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3"/>
  <workbookPr defaultThemeVersion="166925"/>
  <mc:AlternateContent xmlns:mc="http://schemas.openxmlformats.org/markup-compatibility/2006">
    <mc:Choice Requires="x15">
      <x15ac:absPath xmlns:x15ac="http://schemas.microsoft.com/office/spreadsheetml/2010/11/ac" url="P:\LiU\Postdok\Projekt\SPLICE\Manus\För_inskick\"/>
    </mc:Choice>
  </mc:AlternateContent>
  <xr:revisionPtr revIDLastSave="1" documentId="8_{215D3BDB-085C-4A63-91C4-D6ED6C346E37}" xr6:coauthVersionLast="47" xr6:coauthVersionMax="47" xr10:uidLastSave="{03D9D8FE-B4A6-4859-AE05-2ED79F5E4C3F}"/>
  <bookViews>
    <workbookView xWindow="-120" yWindow="-120" windowWidth="29040" windowHeight="17640" activeTab="1" xr2:uid="{4B6908FC-7D46-4CB4-8D22-718DF62FBB31}"/>
  </bookViews>
  <sheets>
    <sheet name="description" sheetId="5" r:id="rId1"/>
    <sheet name="Th1" sheetId="1" r:id="rId2"/>
    <sheet name="Treg" sheetId="2" r:id="rId3"/>
    <sheet name="Bcell" sheetId="3" r:id="rId4"/>
    <sheet name="Sheet1" sheetId="6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C29626" i="1" l="1"/>
  <c r="C29625" i="1"/>
  <c r="C29624" i="1"/>
  <c r="C29623" i="1"/>
  <c r="C29620" i="1"/>
  <c r="C29619" i="1"/>
  <c r="C29618" i="1"/>
  <c r="C29617" i="1"/>
  <c r="C29616" i="1"/>
  <c r="C29615" i="1"/>
  <c r="C29614" i="1"/>
  <c r="C29611" i="1"/>
  <c r="C29610" i="1"/>
  <c r="C29609" i="1"/>
  <c r="C29605" i="1"/>
  <c r="C29604" i="1"/>
  <c r="C29602" i="1"/>
  <c r="C29596" i="1"/>
  <c r="C29594" i="1"/>
  <c r="C29587" i="1"/>
  <c r="C29583" i="1"/>
  <c r="C29581" i="1"/>
  <c r="C29576" i="1"/>
  <c r="C29575" i="1"/>
  <c r="C29574" i="1"/>
  <c r="C29572" i="1"/>
  <c r="C29570" i="1"/>
  <c r="C29569" i="1"/>
  <c r="C29568" i="1"/>
  <c r="C29567" i="1"/>
  <c r="C29566" i="1"/>
  <c r="C29564" i="1"/>
  <c r="C29560" i="1"/>
  <c r="C29559" i="1"/>
  <c r="C29558" i="1"/>
  <c r="C29557" i="1"/>
  <c r="C29556" i="1"/>
  <c r="C29553" i="1"/>
  <c r="C29552" i="1"/>
  <c r="C29551" i="1"/>
  <c r="C29550" i="1"/>
  <c r="C29549" i="1"/>
  <c r="C29547" i="1"/>
  <c r="C29546" i="1"/>
  <c r="C29544" i="1"/>
  <c r="C29542" i="1"/>
  <c r="C29537" i="1"/>
  <c r="C29525" i="1"/>
  <c r="C29524" i="1"/>
  <c r="C29521" i="1"/>
  <c r="C29504" i="1"/>
  <c r="C29502" i="1"/>
  <c r="C29501" i="1"/>
  <c r="C29498" i="1"/>
  <c r="C29494" i="1"/>
  <c r="C29490" i="1"/>
  <c r="C29483" i="1"/>
  <c r="C29482" i="1"/>
  <c r="C29481" i="1"/>
  <c r="C29479" i="1"/>
  <c r="C29477" i="1"/>
  <c r="C29476" i="1"/>
  <c r="C29473" i="1"/>
  <c r="C29471" i="1"/>
  <c r="C29467" i="1"/>
  <c r="C29463" i="1"/>
  <c r="C29461" i="1"/>
  <c r="C29460" i="1"/>
  <c r="C29459" i="1"/>
  <c r="C29458" i="1"/>
  <c r="C29457" i="1"/>
  <c r="C29456" i="1"/>
  <c r="C29455" i="1"/>
  <c r="C29454" i="1"/>
  <c r="C29453" i="1"/>
  <c r="C29450" i="1"/>
  <c r="C29448" i="1"/>
  <c r="C29447" i="1"/>
  <c r="C29444" i="1"/>
  <c r="C29443" i="1"/>
  <c r="C29441" i="1"/>
  <c r="C29435" i="1"/>
  <c r="C29432" i="1"/>
  <c r="C29429" i="1"/>
  <c r="C29426" i="1"/>
  <c r="C29423" i="1"/>
  <c r="C29418" i="1"/>
  <c r="C29416" i="1"/>
  <c r="C29415" i="1"/>
  <c r="C29414" i="1"/>
  <c r="C29413" i="1"/>
  <c r="C29412" i="1"/>
  <c r="C29406" i="1"/>
  <c r="C29401" i="1"/>
  <c r="C29399" i="1"/>
  <c r="C29398" i="1"/>
  <c r="C29396" i="1"/>
  <c r="C29395" i="1"/>
  <c r="C29394" i="1"/>
  <c r="C29393" i="1"/>
  <c r="C29392" i="1"/>
  <c r="C29390" i="1"/>
  <c r="C29388" i="1"/>
  <c r="C29387" i="1"/>
  <c r="C29385" i="1"/>
  <c r="C29383" i="1"/>
  <c r="C29382" i="1"/>
  <c r="C29381" i="1"/>
  <c r="C29380" i="1"/>
  <c r="C29379" i="1"/>
  <c r="C29377" i="1"/>
  <c r="C29376" i="1"/>
  <c r="C29375" i="1"/>
  <c r="C29372" i="1"/>
  <c r="C29370" i="1"/>
  <c r="C29369" i="1"/>
  <c r="C29368" i="1"/>
  <c r="C29367" i="1"/>
  <c r="C29365" i="1"/>
  <c r="C29363" i="1"/>
  <c r="C29361" i="1"/>
  <c r="C29357" i="1"/>
  <c r="C29355" i="1"/>
  <c r="C29354" i="1"/>
  <c r="C29351" i="1"/>
  <c r="C29350" i="1"/>
  <c r="C29349" i="1"/>
  <c r="C29347" i="1"/>
  <c r="C29346" i="1"/>
  <c r="C29343" i="1"/>
  <c r="C29341" i="1"/>
  <c r="C29331" i="1"/>
  <c r="C29324" i="1"/>
  <c r="C29321" i="1"/>
  <c r="C29319" i="1"/>
  <c r="C29315" i="1"/>
  <c r="C29314" i="1"/>
  <c r="C29313" i="1"/>
  <c r="C29307" i="1"/>
  <c r="C29306" i="1"/>
  <c r="C29299" i="1"/>
  <c r="C29297" i="1"/>
  <c r="C29292" i="1"/>
  <c r="C29289" i="1"/>
  <c r="C29287" i="1"/>
  <c r="C29286" i="1"/>
  <c r="C29285" i="1"/>
  <c r="C29282" i="1"/>
  <c r="C29277" i="1"/>
  <c r="C29275" i="1"/>
  <c r="C29273" i="1"/>
  <c r="C29270" i="1"/>
  <c r="C29269" i="1"/>
  <c r="C29266" i="1"/>
  <c r="C29265" i="1"/>
  <c r="C29264" i="1"/>
  <c r="C29251" i="1"/>
  <c r="C29246" i="1"/>
  <c r="C29245" i="1"/>
  <c r="C29244" i="1"/>
  <c r="C29241" i="1"/>
  <c r="C29239" i="1"/>
  <c r="C29238" i="1"/>
  <c r="C29237" i="1"/>
  <c r="C29236" i="1"/>
  <c r="C29233" i="1"/>
  <c r="C29232" i="1"/>
  <c r="C29230" i="1"/>
  <c r="C29222" i="1"/>
  <c r="C29221" i="1"/>
  <c r="C29215" i="1"/>
  <c r="C29214" i="1"/>
  <c r="C29210" i="1"/>
  <c r="C29209" i="1"/>
  <c r="C29208" i="1"/>
  <c r="C29205" i="1"/>
  <c r="C29202" i="1"/>
  <c r="C29198" i="1"/>
  <c r="C29197" i="1"/>
  <c r="C29195" i="1"/>
  <c r="C29192" i="1"/>
  <c r="C29189" i="1"/>
  <c r="C29186" i="1"/>
  <c r="C29185" i="1"/>
  <c r="C29183" i="1"/>
  <c r="C29182" i="1"/>
  <c r="C29179" i="1"/>
  <c r="C29178" i="1"/>
  <c r="C29177" i="1"/>
  <c r="C29175" i="1"/>
  <c r="C29173" i="1"/>
  <c r="C29172" i="1"/>
  <c r="C29171" i="1"/>
  <c r="C29170" i="1"/>
  <c r="C29169" i="1"/>
  <c r="C29168" i="1"/>
  <c r="C29167" i="1"/>
  <c r="C29165" i="1"/>
  <c r="C29157" i="1"/>
  <c r="C29154" i="1"/>
  <c r="C29153" i="1"/>
  <c r="C29146" i="1"/>
  <c r="C29144" i="1"/>
  <c r="C29143" i="1"/>
  <c r="C29142" i="1"/>
  <c r="C29140" i="1"/>
  <c r="C29139" i="1"/>
  <c r="C29133" i="1"/>
  <c r="C29130" i="1"/>
  <c r="C29129" i="1"/>
  <c r="C29128" i="1"/>
  <c r="C29126" i="1"/>
  <c r="C29125" i="1"/>
  <c r="C29123" i="1"/>
  <c r="C29122" i="1"/>
  <c r="C29119" i="1"/>
  <c r="C29118" i="1"/>
  <c r="C29117" i="1"/>
  <c r="C29116" i="1"/>
  <c r="C29112" i="1"/>
  <c r="C29110" i="1"/>
  <c r="C29108" i="1"/>
  <c r="C29107" i="1"/>
  <c r="C29103" i="1"/>
  <c r="C29099" i="1"/>
  <c r="C29098" i="1"/>
  <c r="C29096" i="1"/>
  <c r="C29095" i="1"/>
  <c r="C29093" i="1"/>
  <c r="C29092" i="1"/>
  <c r="C29085" i="1"/>
  <c r="C29084" i="1"/>
  <c r="C29080" i="1"/>
  <c r="C29079" i="1"/>
  <c r="C29078" i="1"/>
  <c r="C29075" i="1"/>
  <c r="C29074" i="1"/>
  <c r="C29073" i="1"/>
  <c r="C29070" i="1"/>
  <c r="C29069" i="1"/>
  <c r="C29066" i="1"/>
  <c r="C29050" i="1"/>
  <c r="C29046" i="1"/>
  <c r="C29044" i="1"/>
  <c r="C29040" i="1"/>
  <c r="C29039" i="1"/>
  <c r="C29038" i="1"/>
  <c r="C29033" i="1"/>
  <c r="C29030" i="1"/>
  <c r="C29029" i="1"/>
  <c r="C29028" i="1"/>
  <c r="C29023" i="1"/>
  <c r="C29021" i="1"/>
  <c r="C29020" i="1"/>
  <c r="C29019" i="1"/>
  <c r="C29018" i="1"/>
  <c r="C29017" i="1"/>
  <c r="C29016" i="1"/>
  <c r="C29014" i="1"/>
  <c r="C29012" i="1"/>
  <c r="C29009" i="1"/>
  <c r="C29008" i="1"/>
  <c r="C29007" i="1"/>
  <c r="C29006" i="1"/>
  <c r="C29005" i="1"/>
  <c r="C29004" i="1"/>
  <c r="C29003" i="1"/>
  <c r="C29002" i="1"/>
  <c r="C29001" i="1"/>
  <c r="C29000" i="1"/>
  <c r="C28996" i="1"/>
  <c r="C28992" i="1"/>
  <c r="C28989" i="1"/>
  <c r="C28986" i="1"/>
  <c r="C28985" i="1"/>
  <c r="C28982" i="1"/>
  <c r="C28976" i="1"/>
  <c r="C28975" i="1"/>
  <c r="C28974" i="1"/>
  <c r="C28972" i="1"/>
  <c r="C28970" i="1"/>
  <c r="C28969" i="1"/>
  <c r="C28968" i="1"/>
  <c r="C28967" i="1"/>
  <c r="C28962" i="1"/>
  <c r="C28961" i="1"/>
  <c r="C28960" i="1"/>
  <c r="C28959" i="1"/>
  <c r="C28957" i="1"/>
  <c r="C28953" i="1"/>
  <c r="C28949" i="1"/>
  <c r="C28948" i="1"/>
  <c r="C28945" i="1"/>
  <c r="C28942" i="1"/>
  <c r="C28941" i="1"/>
  <c r="C28936" i="1"/>
  <c r="C28932" i="1"/>
  <c r="C28931" i="1"/>
  <c r="C28930" i="1"/>
  <c r="C28929" i="1"/>
  <c r="C28927" i="1"/>
  <c r="C28925" i="1"/>
  <c r="C28923" i="1"/>
  <c r="C28920" i="1"/>
  <c r="C28919" i="1"/>
  <c r="C28917" i="1"/>
  <c r="C28916" i="1"/>
  <c r="C28915" i="1"/>
  <c r="C28914" i="1"/>
  <c r="C28913" i="1"/>
  <c r="C28912" i="1"/>
  <c r="C28911" i="1"/>
  <c r="C28910" i="1"/>
  <c r="C28909" i="1"/>
  <c r="C28908" i="1"/>
  <c r="C28907" i="1"/>
  <c r="C28906" i="1"/>
  <c r="C28903" i="1"/>
  <c r="C28900" i="1"/>
  <c r="C28898" i="1"/>
  <c r="C28897" i="1"/>
  <c r="C28896" i="1"/>
  <c r="C28895" i="1"/>
  <c r="C28893" i="1"/>
  <c r="C28892" i="1"/>
  <c r="C28891" i="1"/>
  <c r="C28890" i="1"/>
  <c r="C28889" i="1"/>
  <c r="C28885" i="1"/>
  <c r="C28883" i="1"/>
  <c r="C28882" i="1"/>
  <c r="C28881" i="1"/>
  <c r="C28879" i="1"/>
  <c r="C28876" i="1"/>
  <c r="C28875" i="1"/>
  <c r="C28871" i="1"/>
  <c r="C28870" i="1"/>
  <c r="C28869" i="1"/>
  <c r="C28867" i="1"/>
  <c r="C28866" i="1"/>
  <c r="C28865" i="1"/>
  <c r="C28864" i="1"/>
  <c r="C28863" i="1"/>
  <c r="C28862" i="1"/>
  <c r="C28855" i="1"/>
  <c r="C28850" i="1"/>
  <c r="C28849" i="1"/>
  <c r="C28848" i="1"/>
  <c r="C28847" i="1"/>
  <c r="C28845" i="1"/>
  <c r="C28843" i="1"/>
  <c r="C28842" i="1"/>
  <c r="C28835" i="1"/>
  <c r="C28825" i="1"/>
  <c r="C28816" i="1"/>
  <c r="C28813" i="1"/>
  <c r="C28812" i="1"/>
  <c r="C28811" i="1"/>
  <c r="C28810" i="1"/>
  <c r="C28806" i="1"/>
  <c r="C28799" i="1"/>
  <c r="C28796" i="1"/>
  <c r="C28795" i="1"/>
  <c r="C28794" i="1"/>
  <c r="C28792" i="1"/>
  <c r="C28791" i="1"/>
  <c r="C28782" i="1"/>
  <c r="C28778" i="1"/>
  <c r="C28771" i="1"/>
  <c r="C28768" i="1"/>
  <c r="C28767" i="1"/>
  <c r="C28766" i="1"/>
  <c r="C28765" i="1"/>
  <c r="C28764" i="1"/>
  <c r="C28762" i="1"/>
  <c r="C28761" i="1"/>
  <c r="C28756" i="1"/>
  <c r="C28755" i="1"/>
  <c r="C28752" i="1"/>
  <c r="C28751" i="1"/>
  <c r="C28750" i="1"/>
  <c r="C28749" i="1"/>
  <c r="C28747" i="1"/>
  <c r="C28746" i="1"/>
  <c r="C28745" i="1"/>
  <c r="C28744" i="1"/>
  <c r="C28742" i="1"/>
  <c r="C28741" i="1"/>
  <c r="C28740" i="1"/>
  <c r="C28739" i="1"/>
  <c r="C28738" i="1"/>
  <c r="C28733" i="1"/>
  <c r="C28714" i="1"/>
  <c r="C28713" i="1"/>
  <c r="C28708" i="1"/>
  <c r="C28707" i="1"/>
  <c r="C28704" i="1"/>
  <c r="C28703" i="1"/>
  <c r="C28702" i="1"/>
  <c r="C28699" i="1"/>
  <c r="C28698" i="1"/>
  <c r="C28697" i="1"/>
  <c r="C28692" i="1"/>
  <c r="C28688" i="1"/>
  <c r="C28685" i="1"/>
  <c r="C28684" i="1"/>
  <c r="C28681" i="1"/>
  <c r="C28680" i="1"/>
  <c r="C28676" i="1"/>
  <c r="C28675" i="1"/>
  <c r="C28674" i="1"/>
  <c r="C28673" i="1"/>
  <c r="C28672" i="1"/>
  <c r="C28671" i="1"/>
  <c r="C28669" i="1"/>
  <c r="C28663" i="1"/>
  <c r="C28662" i="1"/>
  <c r="C28659" i="1"/>
  <c r="C28655" i="1"/>
  <c r="C28654" i="1"/>
  <c r="C28649" i="1"/>
  <c r="C28635" i="1"/>
  <c r="C28634" i="1"/>
  <c r="C28633" i="1"/>
  <c r="C28632" i="1"/>
  <c r="C28630" i="1"/>
  <c r="C28625" i="1"/>
  <c r="C28622" i="1"/>
  <c r="C28611" i="1"/>
  <c r="C28608" i="1"/>
  <c r="C28605" i="1"/>
  <c r="C28604" i="1"/>
  <c r="C28601" i="1"/>
  <c r="C28600" i="1"/>
  <c r="C28599" i="1"/>
  <c r="C28598" i="1"/>
  <c r="C28597" i="1"/>
  <c r="C28594" i="1"/>
  <c r="C28593" i="1"/>
  <c r="C28592" i="1"/>
  <c r="C28591" i="1"/>
  <c r="C28583" i="1"/>
  <c r="C28582" i="1"/>
  <c r="C28580" i="1"/>
  <c r="C28578" i="1"/>
  <c r="C28576" i="1"/>
  <c r="C28575" i="1"/>
  <c r="C28574" i="1"/>
  <c r="C28573" i="1"/>
  <c r="C28561" i="1"/>
  <c r="C28560" i="1"/>
  <c r="C28559" i="1"/>
  <c r="C28558" i="1"/>
  <c r="C28557" i="1"/>
  <c r="C28556" i="1"/>
  <c r="C28555" i="1"/>
  <c r="C28554" i="1"/>
  <c r="C28552" i="1"/>
  <c r="C28548" i="1"/>
  <c r="C28546" i="1"/>
  <c r="C28545" i="1"/>
  <c r="C28544" i="1"/>
  <c r="C28543" i="1"/>
  <c r="C28541" i="1"/>
  <c r="C28540" i="1"/>
  <c r="C28537" i="1"/>
  <c r="C28536" i="1"/>
  <c r="C28535" i="1"/>
  <c r="C28533" i="1"/>
  <c r="C28517" i="1"/>
  <c r="C28510" i="1"/>
  <c r="C28505" i="1"/>
  <c r="C28502" i="1"/>
  <c r="C28501" i="1"/>
  <c r="C28500" i="1"/>
  <c r="C28497" i="1"/>
  <c r="C28496" i="1"/>
  <c r="C28485" i="1"/>
  <c r="C28484" i="1"/>
  <c r="C28481" i="1"/>
  <c r="C28479" i="1"/>
  <c r="C28477" i="1"/>
  <c r="C28475" i="1"/>
  <c r="C28474" i="1"/>
  <c r="C28472" i="1"/>
  <c r="C28470" i="1"/>
  <c r="C28469" i="1"/>
  <c r="C28468" i="1"/>
  <c r="C28464" i="1"/>
  <c r="C28463" i="1"/>
  <c r="C28462" i="1"/>
  <c r="C28458" i="1"/>
  <c r="C28455" i="1"/>
  <c r="C28448" i="1"/>
  <c r="C28446" i="1"/>
  <c r="C28438" i="1"/>
  <c r="C28436" i="1"/>
  <c r="C28435" i="1"/>
  <c r="C28434" i="1"/>
  <c r="C28433" i="1"/>
  <c r="C28431" i="1"/>
  <c r="C28430" i="1"/>
  <c r="C28429" i="1"/>
  <c r="C28428" i="1"/>
  <c r="C28427" i="1"/>
  <c r="C28426" i="1"/>
  <c r="C28425" i="1"/>
  <c r="C28424" i="1"/>
  <c r="C28423" i="1"/>
  <c r="C28415" i="1"/>
  <c r="C28412" i="1"/>
  <c r="C28411" i="1"/>
  <c r="C28404" i="1"/>
  <c r="C28399" i="1"/>
  <c r="C28394" i="1"/>
  <c r="C28393" i="1"/>
  <c r="C28392" i="1"/>
  <c r="C28383" i="1"/>
  <c r="C28382" i="1"/>
  <c r="C28381" i="1"/>
  <c r="C28380" i="1"/>
  <c r="C28378" i="1"/>
  <c r="C28375" i="1"/>
  <c r="C28374" i="1"/>
  <c r="C28371" i="1"/>
  <c r="C28366" i="1"/>
  <c r="C28365" i="1"/>
  <c r="C28357" i="1"/>
  <c r="C28354" i="1"/>
  <c r="C28353" i="1"/>
  <c r="C28349" i="1"/>
  <c r="C28348" i="1"/>
  <c r="C28347" i="1"/>
  <c r="C28345" i="1"/>
  <c r="C28344" i="1"/>
  <c r="C28343" i="1"/>
  <c r="C28342" i="1"/>
  <c r="C28341" i="1"/>
  <c r="C28340" i="1"/>
  <c r="C28337" i="1"/>
  <c r="C28336" i="1"/>
  <c r="C28335" i="1"/>
  <c r="C28334" i="1"/>
  <c r="C28333" i="1"/>
  <c r="C28332" i="1"/>
  <c r="C28331" i="1"/>
  <c r="C28330" i="1"/>
  <c r="C28329" i="1"/>
  <c r="C28328" i="1"/>
  <c r="C28327" i="1"/>
  <c r="C28325" i="1"/>
  <c r="C28323" i="1"/>
  <c r="C28322" i="1"/>
  <c r="C28321" i="1"/>
  <c r="C28320" i="1"/>
  <c r="C28317" i="1"/>
  <c r="C28316" i="1"/>
  <c r="C28315" i="1"/>
  <c r="C28312" i="1"/>
  <c r="C28311" i="1"/>
  <c r="C28302" i="1"/>
  <c r="C28298" i="1"/>
  <c r="C28296" i="1"/>
  <c r="C28294" i="1"/>
  <c r="C28288" i="1"/>
  <c r="C28286" i="1"/>
  <c r="C28282" i="1"/>
  <c r="C28276" i="1"/>
  <c r="C28275" i="1"/>
  <c r="C28270" i="1"/>
  <c r="C28267" i="1"/>
  <c r="C28266" i="1"/>
  <c r="C28265" i="1"/>
  <c r="C28263" i="1"/>
  <c r="C28261" i="1"/>
  <c r="C28260" i="1"/>
  <c r="C28259" i="1"/>
  <c r="C28258" i="1"/>
  <c r="C28250" i="1"/>
  <c r="C28240" i="1"/>
  <c r="C28238" i="1"/>
  <c r="C28237" i="1"/>
  <c r="C28236" i="1"/>
  <c r="C28232" i="1"/>
  <c r="C28231" i="1"/>
  <c r="C28228" i="1"/>
  <c r="C28227" i="1"/>
  <c r="C28224" i="1"/>
  <c r="C28221" i="1"/>
  <c r="C28214" i="1"/>
  <c r="C28212" i="1"/>
  <c r="C28208" i="1"/>
  <c r="C28203" i="1"/>
  <c r="C28200" i="1"/>
  <c r="C28199" i="1"/>
  <c r="C28192" i="1"/>
  <c r="C28183" i="1"/>
  <c r="C28182" i="1"/>
  <c r="C28180" i="1"/>
  <c r="C28177" i="1"/>
  <c r="C28176" i="1"/>
  <c r="C28174" i="1"/>
  <c r="C28172" i="1"/>
  <c r="C28169" i="1"/>
  <c r="C28168" i="1"/>
  <c r="C28166" i="1"/>
  <c r="C28164" i="1"/>
  <c r="C28163" i="1"/>
  <c r="C28162" i="1"/>
  <c r="C28161" i="1"/>
  <c r="C28152" i="1"/>
  <c r="C28150" i="1"/>
  <c r="C28145" i="1"/>
  <c r="C28139" i="1"/>
  <c r="C28137" i="1"/>
  <c r="C28136" i="1"/>
  <c r="C28134" i="1"/>
  <c r="C28132" i="1"/>
  <c r="C28123" i="1"/>
  <c r="C28122" i="1"/>
  <c r="C28120" i="1"/>
  <c r="C28117" i="1"/>
  <c r="C28114" i="1"/>
  <c r="C28112" i="1"/>
  <c r="C28111" i="1"/>
  <c r="C28109" i="1"/>
  <c r="C28105" i="1"/>
  <c r="C28104" i="1"/>
  <c r="C28090" i="1"/>
  <c r="C28087" i="1"/>
  <c r="C28086" i="1"/>
  <c r="C28085" i="1"/>
  <c r="C28079" i="1"/>
  <c r="C28078" i="1"/>
  <c r="C28077" i="1"/>
  <c r="C28076" i="1"/>
  <c r="C28074" i="1"/>
  <c r="C28073" i="1"/>
  <c r="C28072" i="1"/>
  <c r="C28071" i="1"/>
  <c r="C28070" i="1"/>
  <c r="C28069" i="1"/>
  <c r="C28068" i="1"/>
  <c r="C28065" i="1"/>
  <c r="C28064" i="1"/>
  <c r="C28063" i="1"/>
  <c r="C28061" i="1"/>
  <c r="C28060" i="1"/>
  <c r="C28059" i="1"/>
  <c r="C28057" i="1"/>
  <c r="C28056" i="1"/>
  <c r="C28054" i="1"/>
  <c r="C28053" i="1"/>
  <c r="C28040" i="1"/>
  <c r="C28039" i="1"/>
  <c r="C28038" i="1"/>
  <c r="C28037" i="1"/>
  <c r="C28035" i="1"/>
  <c r="C28034" i="1"/>
  <c r="C28031" i="1"/>
  <c r="C28030" i="1"/>
  <c r="C28029" i="1"/>
  <c r="C28027" i="1"/>
  <c r="C28026" i="1"/>
  <c r="C28025" i="1"/>
  <c r="C28023" i="1"/>
  <c r="C28021" i="1"/>
  <c r="C28019" i="1"/>
  <c r="C28018" i="1"/>
  <c r="C28017" i="1"/>
  <c r="C28013" i="1"/>
  <c r="C28012" i="1"/>
  <c r="C28008" i="1"/>
  <c r="C28006" i="1"/>
  <c r="C28003" i="1"/>
  <c r="C27991" i="1"/>
  <c r="C27990" i="1"/>
  <c r="C27988" i="1"/>
  <c r="C27986" i="1"/>
  <c r="C27982" i="1"/>
  <c r="C27969" i="1"/>
  <c r="C27968" i="1"/>
  <c r="C27967" i="1"/>
  <c r="C27966" i="1"/>
  <c r="C27965" i="1"/>
  <c r="C27963" i="1"/>
  <c r="C27961" i="1"/>
  <c r="C27959" i="1"/>
  <c r="C27955" i="1"/>
  <c r="C27954" i="1"/>
  <c r="C27950" i="1"/>
  <c r="C27949" i="1"/>
  <c r="C27946" i="1"/>
  <c r="C27943" i="1"/>
  <c r="C27936" i="1"/>
  <c r="C27934" i="1"/>
  <c r="C27931" i="1"/>
  <c r="C27929" i="1"/>
  <c r="C27928" i="1"/>
  <c r="C27927" i="1"/>
  <c r="C27926" i="1"/>
  <c r="C27925" i="1"/>
  <c r="C27921" i="1"/>
  <c r="C27920" i="1"/>
  <c r="C27916" i="1"/>
  <c r="C27912" i="1"/>
  <c r="C27910" i="1"/>
  <c r="C27908" i="1"/>
  <c r="C27905" i="1"/>
  <c r="C27902" i="1"/>
  <c r="C27901" i="1"/>
  <c r="C27900" i="1"/>
  <c r="C27899" i="1"/>
  <c r="C27894" i="1"/>
  <c r="C27893" i="1"/>
  <c r="C27891" i="1"/>
  <c r="C27889" i="1"/>
  <c r="C27888" i="1"/>
  <c r="C27887" i="1"/>
  <c r="C27886" i="1"/>
  <c r="C27885" i="1"/>
  <c r="C27884" i="1"/>
  <c r="C27882" i="1"/>
  <c r="C27876" i="1"/>
  <c r="C27874" i="1"/>
  <c r="C27873" i="1"/>
  <c r="C27872" i="1"/>
  <c r="C27871" i="1"/>
  <c r="C27870" i="1"/>
  <c r="C27868" i="1"/>
  <c r="C27860" i="1"/>
  <c r="C27859" i="1"/>
  <c r="C27857" i="1"/>
  <c r="C27856" i="1"/>
  <c r="C27851" i="1"/>
  <c r="C27848" i="1"/>
  <c r="C27847" i="1"/>
  <c r="C27844" i="1"/>
  <c r="C27843" i="1"/>
  <c r="C27841" i="1"/>
  <c r="C27840" i="1"/>
  <c r="C27839" i="1"/>
  <c r="C27833" i="1"/>
  <c r="C27825" i="1"/>
  <c r="C27824" i="1"/>
  <c r="C27823" i="1"/>
  <c r="C27819" i="1"/>
  <c r="C27818" i="1"/>
  <c r="C27815" i="1"/>
  <c r="C27814" i="1"/>
  <c r="C27813" i="1"/>
  <c r="C27811" i="1"/>
  <c r="C27804" i="1"/>
  <c r="C27801" i="1"/>
  <c r="C27800" i="1"/>
  <c r="C27795" i="1"/>
  <c r="C27793" i="1"/>
  <c r="C27792" i="1"/>
  <c r="C27791" i="1"/>
  <c r="C27790" i="1"/>
  <c r="C27789" i="1"/>
  <c r="C27785" i="1"/>
  <c r="C27775" i="1"/>
  <c r="C27773" i="1"/>
  <c r="C27771" i="1"/>
  <c r="C27769" i="1"/>
  <c r="C27767" i="1"/>
  <c r="C27766" i="1"/>
  <c r="C27765" i="1"/>
  <c r="C27763" i="1"/>
  <c r="C27760" i="1"/>
  <c r="C27750" i="1"/>
  <c r="C27747" i="1"/>
  <c r="C27746" i="1"/>
  <c r="C27745" i="1"/>
  <c r="C27742" i="1"/>
  <c r="C27741" i="1"/>
  <c r="C27739" i="1"/>
  <c r="C27735" i="1"/>
  <c r="C27733" i="1"/>
  <c r="C27728" i="1"/>
  <c r="C27727" i="1"/>
  <c r="C27724" i="1"/>
  <c r="C27721" i="1"/>
  <c r="C27720" i="1"/>
  <c r="C27712" i="1"/>
  <c r="C27711" i="1"/>
  <c r="C27710" i="1"/>
  <c r="C27709" i="1"/>
  <c r="C27708" i="1"/>
  <c r="C27707" i="1"/>
  <c r="C27706" i="1"/>
  <c r="C27705" i="1"/>
  <c r="C27704" i="1"/>
  <c r="C27701" i="1"/>
  <c r="C27694" i="1"/>
  <c r="C27687" i="1"/>
  <c r="C27686" i="1"/>
  <c r="C27685" i="1"/>
  <c r="C27680" i="1"/>
  <c r="C27679" i="1"/>
  <c r="C27678" i="1"/>
  <c r="C27677" i="1"/>
  <c r="C27672" i="1"/>
  <c r="C27669" i="1"/>
  <c r="C27668" i="1"/>
  <c r="C27666" i="1"/>
  <c r="C27662" i="1"/>
  <c r="C27661" i="1"/>
  <c r="C27658" i="1"/>
  <c r="C27652" i="1"/>
  <c r="C27651" i="1"/>
  <c r="C27650" i="1"/>
  <c r="C27643" i="1"/>
  <c r="C27642" i="1"/>
  <c r="C27641" i="1"/>
  <c r="C27640" i="1"/>
  <c r="C27639" i="1"/>
  <c r="C27637" i="1"/>
  <c r="C27635" i="1"/>
  <c r="C27629" i="1"/>
  <c r="C27628" i="1"/>
  <c r="C27626" i="1"/>
  <c r="C27625" i="1"/>
  <c r="C27624" i="1"/>
  <c r="C27623" i="1"/>
  <c r="C27622" i="1"/>
  <c r="C27621" i="1"/>
  <c r="C27620" i="1"/>
  <c r="C27617" i="1"/>
  <c r="C27616" i="1"/>
  <c r="C27615" i="1"/>
  <c r="C27612" i="1"/>
  <c r="C27609" i="1"/>
  <c r="C27608" i="1"/>
  <c r="C27607" i="1"/>
  <c r="C27606" i="1"/>
  <c r="C27605" i="1"/>
  <c r="C27604" i="1"/>
  <c r="C27602" i="1"/>
  <c r="C27600" i="1"/>
  <c r="C27599" i="1"/>
  <c r="C27598" i="1"/>
  <c r="C27597" i="1"/>
  <c r="C27596" i="1"/>
  <c r="C27595" i="1"/>
  <c r="C27594" i="1"/>
  <c r="C27593" i="1"/>
  <c r="C27592" i="1"/>
  <c r="C27588" i="1"/>
  <c r="C27587" i="1"/>
  <c r="C27579" i="1"/>
  <c r="C27578" i="1"/>
  <c r="C27576" i="1"/>
  <c r="C27575" i="1"/>
  <c r="C27572" i="1"/>
  <c r="C27569" i="1"/>
  <c r="C27561" i="1"/>
  <c r="C27560" i="1"/>
  <c r="C27554" i="1"/>
  <c r="C27553" i="1"/>
  <c r="C27550" i="1"/>
  <c r="C27548" i="1"/>
  <c r="C27547" i="1"/>
  <c r="C27546" i="1"/>
  <c r="C27542" i="1"/>
  <c r="C27541" i="1"/>
  <c r="C27537" i="1"/>
  <c r="C27535" i="1"/>
  <c r="C27532" i="1"/>
  <c r="C27530" i="1"/>
  <c r="C27529" i="1"/>
  <c r="C27528" i="1"/>
  <c r="C27525" i="1"/>
  <c r="C27524" i="1"/>
  <c r="C27523" i="1"/>
  <c r="C27522" i="1"/>
  <c r="C27520" i="1"/>
  <c r="C27518" i="1"/>
  <c r="C27516" i="1"/>
  <c r="C27509" i="1"/>
  <c r="C27498" i="1"/>
  <c r="C27496" i="1"/>
  <c r="C27495" i="1"/>
  <c r="C27492" i="1"/>
  <c r="C27490" i="1"/>
  <c r="C27488" i="1"/>
  <c r="C27484" i="1"/>
  <c r="C27483" i="1"/>
  <c r="C27482" i="1"/>
  <c r="C27480" i="1"/>
  <c r="C27479" i="1"/>
  <c r="C27478" i="1"/>
  <c r="C27477" i="1"/>
  <c r="C27476" i="1"/>
  <c r="C27475" i="1"/>
  <c r="C27472" i="1"/>
  <c r="C27471" i="1"/>
  <c r="C27470" i="1"/>
  <c r="C27469" i="1"/>
  <c r="C27465" i="1"/>
  <c r="C27460" i="1"/>
  <c r="C27459" i="1"/>
  <c r="C27457" i="1"/>
  <c r="C27456" i="1"/>
  <c r="C27455" i="1"/>
  <c r="C27453" i="1"/>
  <c r="C27452" i="1"/>
  <c r="C27444" i="1"/>
  <c r="C27441" i="1"/>
  <c r="C27430" i="1"/>
  <c r="C27428" i="1"/>
  <c r="C27421" i="1"/>
  <c r="C27420" i="1"/>
  <c r="C27418" i="1"/>
  <c r="C27416" i="1"/>
  <c r="C27412" i="1"/>
  <c r="C27409" i="1"/>
  <c r="C27408" i="1"/>
  <c r="C27405" i="1"/>
  <c r="C27403" i="1"/>
  <c r="C27401" i="1"/>
  <c r="C27400" i="1"/>
  <c r="C27399" i="1"/>
  <c r="C27396" i="1"/>
  <c r="C27394" i="1"/>
  <c r="C27393" i="1"/>
  <c r="C27392" i="1"/>
  <c r="C27387" i="1"/>
  <c r="C27386" i="1"/>
  <c r="C27384" i="1"/>
  <c r="C27383" i="1"/>
  <c r="C27382" i="1"/>
  <c r="C27381" i="1"/>
  <c r="C27380" i="1"/>
  <c r="C27379" i="1"/>
  <c r="C27371" i="1"/>
  <c r="C27369" i="1"/>
  <c r="C27366" i="1"/>
  <c r="C27364" i="1"/>
  <c r="C27363" i="1"/>
  <c r="C27362" i="1"/>
  <c r="C27360" i="1"/>
  <c r="C27358" i="1"/>
  <c r="C27350" i="1"/>
  <c r="C27348" i="1"/>
  <c r="C27345" i="1"/>
  <c r="C27344" i="1"/>
  <c r="C27342" i="1"/>
  <c r="C27339" i="1"/>
  <c r="C27338" i="1"/>
  <c r="C27337" i="1"/>
  <c r="C27336" i="1"/>
  <c r="C27328" i="1"/>
  <c r="C27327" i="1"/>
  <c r="C27325" i="1"/>
  <c r="C27323" i="1"/>
  <c r="C27319" i="1"/>
  <c r="C27318" i="1"/>
  <c r="C27314" i="1"/>
  <c r="C27313" i="1"/>
  <c r="C27300" i="1"/>
  <c r="C27299" i="1"/>
  <c r="C27298" i="1"/>
  <c r="C27296" i="1"/>
  <c r="C27293" i="1"/>
  <c r="C27284" i="1"/>
  <c r="C27283" i="1"/>
  <c r="C27282" i="1"/>
  <c r="C27281" i="1"/>
  <c r="C27280" i="1"/>
  <c r="C27279" i="1"/>
  <c r="C27273" i="1"/>
  <c r="C27272" i="1"/>
  <c r="C27270" i="1"/>
  <c r="C27269" i="1"/>
  <c r="C27267" i="1"/>
  <c r="C27264" i="1"/>
  <c r="C27263" i="1"/>
  <c r="C27262" i="1"/>
  <c r="C27261" i="1"/>
  <c r="C27260" i="1"/>
  <c r="C27257" i="1"/>
  <c r="C27256" i="1"/>
  <c r="C27255" i="1"/>
  <c r="C27254" i="1"/>
  <c r="C27253" i="1"/>
  <c r="C27248" i="1"/>
  <c r="C27242" i="1"/>
  <c r="C27241" i="1"/>
  <c r="C27240" i="1"/>
  <c r="C27239" i="1"/>
  <c r="C27235" i="1"/>
  <c r="C27232" i="1"/>
  <c r="C27231" i="1"/>
  <c r="C27228" i="1"/>
  <c r="C27226" i="1"/>
  <c r="C27223" i="1"/>
  <c r="C27222" i="1"/>
  <c r="C27221" i="1"/>
  <c r="C27220" i="1"/>
  <c r="C27219" i="1"/>
  <c r="C27217" i="1"/>
  <c r="C27216" i="1"/>
  <c r="C27215" i="1"/>
  <c r="C27214" i="1"/>
  <c r="C27213" i="1"/>
  <c r="C27211" i="1"/>
  <c r="C27210" i="1"/>
  <c r="C27209" i="1"/>
  <c r="C27206" i="1"/>
  <c r="C27205" i="1"/>
  <c r="C27204" i="1"/>
  <c r="C27203" i="1"/>
  <c r="C27199" i="1"/>
  <c r="C27198" i="1"/>
  <c r="C27197" i="1"/>
  <c r="C27195" i="1"/>
  <c r="C27193" i="1"/>
  <c r="C27192" i="1"/>
  <c r="C27190" i="1"/>
  <c r="C27184" i="1"/>
  <c r="C27182" i="1"/>
  <c r="C27181" i="1"/>
  <c r="C27180" i="1"/>
  <c r="C27178" i="1"/>
  <c r="C27177" i="1"/>
  <c r="C27175" i="1"/>
  <c r="C27174" i="1"/>
  <c r="C27172" i="1"/>
  <c r="C27168" i="1"/>
  <c r="C27167" i="1"/>
  <c r="C27165" i="1"/>
  <c r="C27164" i="1"/>
  <c r="C27160" i="1"/>
  <c r="C27159" i="1"/>
  <c r="C27155" i="1"/>
  <c r="C27154" i="1"/>
  <c r="C27150" i="1"/>
  <c r="C27149" i="1"/>
  <c r="C27148" i="1"/>
  <c r="C27147" i="1"/>
  <c r="C27144" i="1"/>
  <c r="C27141" i="1"/>
  <c r="C27129" i="1"/>
  <c r="C27128" i="1"/>
  <c r="C27125" i="1"/>
  <c r="C27124" i="1"/>
  <c r="C27122" i="1"/>
  <c r="C27121" i="1"/>
  <c r="C27120" i="1"/>
  <c r="C27119" i="1"/>
  <c r="C27116" i="1"/>
  <c r="C27112" i="1"/>
  <c r="C27110" i="1"/>
  <c r="C27109" i="1"/>
  <c r="C27108" i="1"/>
  <c r="C27106" i="1"/>
  <c r="C27105" i="1"/>
  <c r="C27104" i="1"/>
  <c r="C27099" i="1"/>
  <c r="C27092" i="1"/>
  <c r="C27090" i="1"/>
  <c r="C27088" i="1"/>
  <c r="C27087" i="1"/>
  <c r="C27086" i="1"/>
  <c r="C27082" i="1"/>
  <c r="C27081" i="1"/>
  <c r="C27070" i="1"/>
  <c r="C27065" i="1"/>
  <c r="C27064" i="1"/>
  <c r="C27060" i="1"/>
  <c r="C27058" i="1"/>
  <c r="C27056" i="1"/>
  <c r="C27055" i="1"/>
  <c r="C27051" i="1"/>
  <c r="C27050" i="1"/>
  <c r="C27049" i="1"/>
  <c r="C27037" i="1"/>
  <c r="C27035" i="1"/>
  <c r="C27027" i="1"/>
  <c r="C27026" i="1"/>
  <c r="C27025" i="1"/>
  <c r="C27024" i="1"/>
  <c r="C27023" i="1"/>
  <c r="C27022" i="1"/>
  <c r="C27020" i="1"/>
  <c r="C27017" i="1"/>
  <c r="C27008" i="1"/>
  <c r="C27007" i="1"/>
  <c r="C26998" i="1"/>
  <c r="C26994" i="1"/>
  <c r="C26990" i="1"/>
  <c r="C26989" i="1"/>
  <c r="C26986" i="1"/>
  <c r="C26985" i="1"/>
  <c r="C26978" i="1"/>
  <c r="C26977" i="1"/>
  <c r="C26976" i="1"/>
  <c r="C26969" i="1"/>
  <c r="C26968" i="1"/>
  <c r="C26967" i="1"/>
  <c r="C26966" i="1"/>
  <c r="C26965" i="1"/>
  <c r="C26959" i="1"/>
  <c r="C26955" i="1"/>
  <c r="C26948" i="1"/>
  <c r="C26941" i="1"/>
  <c r="C26939" i="1"/>
  <c r="C26938" i="1"/>
  <c r="C26937" i="1"/>
  <c r="C26936" i="1"/>
  <c r="C26935" i="1"/>
  <c r="C26934" i="1"/>
  <c r="C26933" i="1"/>
  <c r="C26932" i="1"/>
  <c r="C26931" i="1"/>
  <c r="C26930" i="1"/>
  <c r="C26929" i="1"/>
  <c r="C26928" i="1"/>
  <c r="C26927" i="1"/>
  <c r="C26926" i="1"/>
  <c r="C26925" i="1"/>
  <c r="C26921" i="1"/>
  <c r="C26919" i="1"/>
  <c r="C26918" i="1"/>
  <c r="C26914" i="1"/>
  <c r="C26911" i="1"/>
  <c r="C26910" i="1"/>
  <c r="C26909" i="1"/>
  <c r="C26908" i="1"/>
  <c r="C26907" i="1"/>
  <c r="C26905" i="1"/>
  <c r="C26902" i="1"/>
  <c r="C26901" i="1"/>
  <c r="C26891" i="1"/>
  <c r="C26884" i="1"/>
  <c r="C26874" i="1"/>
  <c r="C26872" i="1"/>
  <c r="C26871" i="1"/>
  <c r="C26869" i="1"/>
  <c r="C26865" i="1"/>
  <c r="C26864" i="1"/>
  <c r="C26860" i="1"/>
  <c r="C26859" i="1"/>
  <c r="C26857" i="1"/>
  <c r="C26854" i="1"/>
  <c r="C26851" i="1"/>
  <c r="C26850" i="1"/>
  <c r="C26845" i="1"/>
  <c r="C26843" i="1"/>
  <c r="C26837" i="1"/>
  <c r="C26836" i="1"/>
  <c r="C26835" i="1"/>
  <c r="C26834" i="1"/>
  <c r="C26827" i="1"/>
  <c r="C26825" i="1"/>
  <c r="C26823" i="1"/>
  <c r="C26821" i="1"/>
  <c r="C26820" i="1"/>
  <c r="C26819" i="1"/>
  <c r="C26810" i="1"/>
  <c r="C26809" i="1"/>
  <c r="C26808" i="1"/>
  <c r="C26806" i="1"/>
  <c r="C26805" i="1"/>
  <c r="C26804" i="1"/>
  <c r="C26801" i="1"/>
  <c r="C26799" i="1"/>
  <c r="C26797" i="1"/>
  <c r="C26795" i="1"/>
  <c r="C26794" i="1"/>
  <c r="C26791" i="1"/>
  <c r="C26789" i="1"/>
  <c r="C26787" i="1"/>
  <c r="C26785" i="1"/>
  <c r="C26784" i="1"/>
  <c r="C26783" i="1"/>
  <c r="C26780" i="1"/>
  <c r="C26775" i="1"/>
  <c r="C26774" i="1"/>
  <c r="C26773" i="1"/>
  <c r="C26771" i="1"/>
  <c r="C26769" i="1"/>
  <c r="C26768" i="1"/>
  <c r="C26767" i="1"/>
  <c r="C26765" i="1"/>
  <c r="C26760" i="1"/>
  <c r="C26758" i="1"/>
  <c r="C26756" i="1"/>
  <c r="C26752" i="1"/>
  <c r="C26751" i="1"/>
  <c r="C26750" i="1"/>
  <c r="C26749" i="1"/>
  <c r="C26748" i="1"/>
  <c r="C26747" i="1"/>
  <c r="C26746" i="1"/>
  <c r="C26745" i="1"/>
  <c r="C26744" i="1"/>
  <c r="C26743" i="1"/>
  <c r="C26742" i="1"/>
  <c r="C26741" i="1"/>
  <c r="C26738" i="1"/>
  <c r="C26736" i="1"/>
  <c r="C26729" i="1"/>
  <c r="C26728" i="1"/>
  <c r="C26727" i="1"/>
  <c r="C26723" i="1"/>
  <c r="C26722" i="1"/>
  <c r="C26720" i="1"/>
  <c r="C26716" i="1"/>
  <c r="C26712" i="1"/>
  <c r="C26711" i="1"/>
  <c r="C26706" i="1"/>
  <c r="C26704" i="1"/>
  <c r="C26702" i="1"/>
  <c r="C26701" i="1"/>
  <c r="C26699" i="1"/>
  <c r="C26698" i="1"/>
  <c r="C26697" i="1"/>
  <c r="C26695" i="1"/>
  <c r="C26693" i="1"/>
  <c r="C26690" i="1"/>
  <c r="C26687" i="1"/>
  <c r="C26686" i="1"/>
  <c r="C26684" i="1"/>
  <c r="C26683" i="1"/>
  <c r="C26680" i="1"/>
  <c r="C26675" i="1"/>
  <c r="C26667" i="1"/>
  <c r="C26663" i="1"/>
  <c r="C26657" i="1"/>
  <c r="C26640" i="1"/>
  <c r="C26632" i="1"/>
  <c r="C26631" i="1"/>
  <c r="C26628" i="1"/>
  <c r="C26627" i="1"/>
  <c r="C26626" i="1"/>
  <c r="C26625" i="1"/>
  <c r="C26624" i="1"/>
  <c r="C26618" i="1"/>
  <c r="C26616" i="1"/>
  <c r="C26615" i="1"/>
  <c r="C26611" i="1"/>
  <c r="C26610" i="1"/>
  <c r="C26609" i="1"/>
  <c r="C26607" i="1"/>
  <c r="C26605" i="1"/>
  <c r="C26602" i="1"/>
  <c r="C26593" i="1"/>
  <c r="C26591" i="1"/>
  <c r="C26589" i="1"/>
  <c r="C26588" i="1"/>
  <c r="C26584" i="1"/>
  <c r="C26583" i="1"/>
  <c r="C26578" i="1"/>
  <c r="C26576" i="1"/>
  <c r="C26575" i="1"/>
  <c r="C26574" i="1"/>
  <c r="C26573" i="1"/>
  <c r="C26565" i="1"/>
  <c r="C26564" i="1"/>
  <c r="C26563" i="1"/>
  <c r="C26560" i="1"/>
  <c r="C26559" i="1"/>
  <c r="C26558" i="1"/>
  <c r="C26555" i="1"/>
  <c r="C26553" i="1"/>
  <c r="C26550" i="1"/>
  <c r="C26548" i="1"/>
  <c r="C26547" i="1"/>
  <c r="C26546" i="1"/>
  <c r="C26543" i="1"/>
  <c r="C26542" i="1"/>
  <c r="C26539" i="1"/>
  <c r="C26538" i="1"/>
  <c r="C26536" i="1"/>
  <c r="C26535" i="1"/>
  <c r="C26534" i="1"/>
  <c r="C26533" i="1"/>
  <c r="C26532" i="1"/>
  <c r="C26531" i="1"/>
  <c r="C26530" i="1"/>
  <c r="C26529" i="1"/>
  <c r="C26524" i="1"/>
  <c r="C26523" i="1"/>
  <c r="C26522" i="1"/>
  <c r="C26521" i="1"/>
  <c r="C26520" i="1"/>
  <c r="C26519" i="1"/>
  <c r="C26517" i="1"/>
  <c r="C26516" i="1"/>
  <c r="C26515" i="1"/>
  <c r="C26514" i="1"/>
  <c r="C26513" i="1"/>
  <c r="C26512" i="1"/>
  <c r="C26510" i="1"/>
  <c r="C26509" i="1"/>
  <c r="C26508" i="1"/>
  <c r="C26506" i="1"/>
  <c r="C26504" i="1"/>
  <c r="C26499" i="1"/>
  <c r="C26497" i="1"/>
  <c r="C26494" i="1"/>
  <c r="C26490" i="1"/>
  <c r="C26489" i="1"/>
  <c r="C26487" i="1"/>
  <c r="C26486" i="1"/>
  <c r="C26484" i="1"/>
  <c r="C26482" i="1"/>
  <c r="C26475" i="1"/>
  <c r="C26471" i="1"/>
  <c r="C26469" i="1"/>
  <c r="C26464" i="1"/>
  <c r="C26463" i="1"/>
  <c r="C26459" i="1"/>
  <c r="C26456" i="1"/>
  <c r="C26455" i="1"/>
  <c r="C26454" i="1"/>
  <c r="C26453" i="1"/>
  <c r="C26451" i="1"/>
  <c r="C26449" i="1"/>
  <c r="C26447" i="1"/>
  <c r="C26446" i="1"/>
  <c r="C26443" i="1"/>
  <c r="C26442" i="1"/>
  <c r="C26440" i="1"/>
  <c r="C26439" i="1"/>
  <c r="C26438" i="1"/>
  <c r="C26433" i="1"/>
  <c r="C26430" i="1"/>
  <c r="C26426" i="1"/>
  <c r="C26423" i="1"/>
  <c r="C26421" i="1"/>
  <c r="C26420" i="1"/>
  <c r="C26417" i="1"/>
  <c r="C26412" i="1"/>
  <c r="C26410" i="1"/>
  <c r="C26409" i="1"/>
  <c r="C26406" i="1"/>
  <c r="C26405" i="1"/>
  <c r="C26401" i="1"/>
  <c r="C26395" i="1"/>
  <c r="C26394" i="1"/>
  <c r="C26390" i="1"/>
  <c r="C26389" i="1"/>
  <c r="C26388" i="1"/>
  <c r="C26384" i="1"/>
  <c r="C26383" i="1"/>
  <c r="C26382" i="1"/>
  <c r="C26380" i="1"/>
  <c r="C26379" i="1"/>
  <c r="C26378" i="1"/>
  <c r="C26377" i="1"/>
  <c r="C26375" i="1"/>
  <c r="C26374" i="1"/>
  <c r="C26373" i="1"/>
  <c r="C26371" i="1"/>
  <c r="C26370" i="1"/>
  <c r="C26369" i="1"/>
  <c r="C26366" i="1"/>
  <c r="C26365" i="1"/>
  <c r="C26363" i="1"/>
  <c r="C26362" i="1"/>
  <c r="C26359" i="1"/>
  <c r="C26357" i="1"/>
  <c r="C26352" i="1"/>
  <c r="C26350" i="1"/>
  <c r="C26349" i="1"/>
  <c r="C26344" i="1"/>
  <c r="C26343" i="1"/>
  <c r="C26341" i="1"/>
  <c r="C26340" i="1"/>
  <c r="C26339" i="1"/>
  <c r="C26335" i="1"/>
  <c r="C26333" i="1"/>
  <c r="C26332" i="1"/>
  <c r="C26329" i="1"/>
  <c r="C26328" i="1"/>
  <c r="C26313" i="1"/>
  <c r="C26312" i="1"/>
  <c r="C26310" i="1"/>
  <c r="C26308" i="1"/>
  <c r="C26304" i="1"/>
  <c r="C26303" i="1"/>
  <c r="C26298" i="1"/>
  <c r="C26295" i="1"/>
  <c r="C26293" i="1"/>
  <c r="C26292" i="1"/>
  <c r="C26288" i="1"/>
  <c r="C26287" i="1"/>
  <c r="C26284" i="1"/>
  <c r="C26283" i="1"/>
  <c r="C26282" i="1"/>
  <c r="C26281" i="1"/>
  <c r="C26277" i="1"/>
  <c r="C26274" i="1"/>
  <c r="C26269" i="1"/>
  <c r="C26263" i="1"/>
  <c r="C26262" i="1"/>
  <c r="C26261" i="1"/>
  <c r="C26260" i="1"/>
  <c r="C26257" i="1"/>
  <c r="C26256" i="1"/>
  <c r="C26254" i="1"/>
  <c r="C26251" i="1"/>
  <c r="C26248" i="1"/>
  <c r="C26244" i="1"/>
  <c r="C26241" i="1"/>
  <c r="C26240" i="1"/>
  <c r="C26239" i="1"/>
  <c r="C26238" i="1"/>
  <c r="C26237" i="1"/>
  <c r="C26234" i="1"/>
  <c r="C26233" i="1"/>
  <c r="C26232" i="1"/>
  <c r="C26230" i="1"/>
  <c r="C26223" i="1"/>
  <c r="C26222" i="1"/>
  <c r="C26216" i="1"/>
  <c r="C26215" i="1"/>
  <c r="C26213" i="1"/>
  <c r="C26211" i="1"/>
  <c r="C26210" i="1"/>
  <c r="C26208" i="1"/>
  <c r="C26207" i="1"/>
  <c r="C26206" i="1"/>
  <c r="C26205" i="1"/>
  <c r="C26204" i="1"/>
  <c r="C26202" i="1"/>
  <c r="C26201" i="1"/>
  <c r="C26200" i="1"/>
  <c r="C26195" i="1"/>
  <c r="C26187" i="1"/>
  <c r="C26181" i="1"/>
  <c r="C26180" i="1"/>
  <c r="C26178" i="1"/>
  <c r="C26175" i="1"/>
  <c r="C26165" i="1"/>
  <c r="C26160" i="1"/>
  <c r="C26158" i="1"/>
  <c r="C26157" i="1"/>
  <c r="C26156" i="1"/>
  <c r="C26153" i="1"/>
  <c r="C26152" i="1"/>
  <c r="C26150" i="1"/>
  <c r="C26148" i="1"/>
  <c r="C26147" i="1"/>
  <c r="C26146" i="1"/>
  <c r="C26143" i="1"/>
  <c r="C26138" i="1"/>
  <c r="C26136" i="1"/>
  <c r="C26135" i="1"/>
  <c r="C26134" i="1"/>
  <c r="C26130" i="1"/>
  <c r="C26127" i="1"/>
  <c r="C26126" i="1"/>
  <c r="C26125" i="1"/>
  <c r="C26123" i="1"/>
  <c r="C26121" i="1"/>
  <c r="C26119" i="1"/>
  <c r="C26118" i="1"/>
  <c r="C26115" i="1"/>
  <c r="C26114" i="1"/>
  <c r="C26109" i="1"/>
  <c r="C26099" i="1"/>
  <c r="C26095" i="1"/>
  <c r="C26093" i="1"/>
  <c r="C26090" i="1"/>
  <c r="C26088" i="1"/>
  <c r="C26085" i="1"/>
  <c r="C26083" i="1"/>
  <c r="C26082" i="1"/>
  <c r="C26080" i="1"/>
  <c r="C26078" i="1"/>
  <c r="C26077" i="1"/>
  <c r="C26075" i="1"/>
  <c r="C26071" i="1"/>
  <c r="C26068" i="1"/>
  <c r="C26067" i="1"/>
  <c r="C26066" i="1"/>
  <c r="C26064" i="1"/>
  <c r="C26055" i="1"/>
  <c r="C26051" i="1"/>
  <c r="C26049" i="1"/>
  <c r="C26047" i="1"/>
  <c r="C26045" i="1"/>
  <c r="C26044" i="1"/>
  <c r="C26043" i="1"/>
  <c r="C26042" i="1"/>
  <c r="C26041" i="1"/>
  <c r="C26040" i="1"/>
  <c r="C26039" i="1"/>
  <c r="C26038" i="1"/>
  <c r="C26037" i="1"/>
  <c r="C26035" i="1"/>
  <c r="C26033" i="1"/>
  <c r="C26032" i="1"/>
  <c r="C26028" i="1"/>
  <c r="C26027" i="1"/>
  <c r="C26026" i="1"/>
  <c r="C26023" i="1"/>
  <c r="C26021" i="1"/>
  <c r="C26020" i="1"/>
  <c r="C26019" i="1"/>
  <c r="C26017" i="1"/>
  <c r="C26016" i="1"/>
  <c r="C26013" i="1"/>
  <c r="C26010" i="1"/>
  <c r="C26009" i="1"/>
  <c r="C26007" i="1"/>
  <c r="C26004" i="1"/>
  <c r="C26003" i="1"/>
  <c r="C26000" i="1"/>
  <c r="C25999" i="1"/>
  <c r="C25997" i="1"/>
  <c r="C25996" i="1"/>
  <c r="C25995" i="1"/>
  <c r="C25992" i="1"/>
  <c r="C25991" i="1"/>
  <c r="C25989" i="1"/>
  <c r="C25988" i="1"/>
  <c r="C25987" i="1"/>
  <c r="C25985" i="1"/>
  <c r="C25983" i="1"/>
  <c r="C25980" i="1"/>
  <c r="C25978" i="1"/>
  <c r="C25977" i="1"/>
  <c r="C25975" i="1"/>
  <c r="C25972" i="1"/>
  <c r="C25969" i="1"/>
  <c r="C25965" i="1"/>
  <c r="C25962" i="1"/>
  <c r="C25961" i="1"/>
  <c r="C25959" i="1"/>
  <c r="C25958" i="1"/>
  <c r="C25954" i="1"/>
  <c r="C25950" i="1"/>
  <c r="C25949" i="1"/>
  <c r="C25940" i="1"/>
  <c r="C25938" i="1"/>
  <c r="C25937" i="1"/>
  <c r="C25936" i="1"/>
  <c r="C25934" i="1"/>
  <c r="C25933" i="1"/>
  <c r="C25931" i="1"/>
  <c r="C25928" i="1"/>
  <c r="C25927" i="1"/>
  <c r="C25926" i="1"/>
  <c r="C25925" i="1"/>
  <c r="C25924" i="1"/>
  <c r="C25923" i="1"/>
  <c r="C25912" i="1"/>
  <c r="C25907" i="1"/>
  <c r="C25906" i="1"/>
  <c r="C25903" i="1"/>
  <c r="C25901" i="1"/>
  <c r="C25899" i="1"/>
  <c r="C25891" i="1"/>
  <c r="C25890" i="1"/>
  <c r="C25885" i="1"/>
  <c r="C25883" i="1"/>
  <c r="C25881" i="1"/>
  <c r="C25879" i="1"/>
  <c r="C25878" i="1"/>
  <c r="C25877" i="1"/>
  <c r="C25875" i="1"/>
  <c r="C25874" i="1"/>
  <c r="C25870" i="1"/>
  <c r="C25868" i="1"/>
  <c r="C25866" i="1"/>
  <c r="C25862" i="1"/>
  <c r="C25861" i="1"/>
  <c r="C25858" i="1"/>
  <c r="C25853" i="1"/>
  <c r="C25850" i="1"/>
  <c r="C25849" i="1"/>
  <c r="C25848" i="1"/>
  <c r="C25847" i="1"/>
  <c r="C25846" i="1"/>
  <c r="C25845" i="1"/>
  <c r="C25841" i="1"/>
  <c r="C25838" i="1"/>
  <c r="C25837" i="1"/>
  <c r="C25836" i="1"/>
  <c r="C25835" i="1"/>
  <c r="C25834" i="1"/>
  <c r="C25833" i="1"/>
  <c r="C25832" i="1"/>
  <c r="C25831" i="1"/>
  <c r="C25830" i="1"/>
  <c r="C25829" i="1"/>
  <c r="C25828" i="1"/>
  <c r="C25820" i="1"/>
  <c r="C25817" i="1"/>
  <c r="C25815" i="1"/>
  <c r="C25812" i="1"/>
  <c r="C25810" i="1"/>
  <c r="C25809" i="1"/>
  <c r="C25808" i="1"/>
  <c r="C25803" i="1"/>
  <c r="C25801" i="1"/>
  <c r="C25799" i="1"/>
  <c r="C25795" i="1"/>
  <c r="C25794" i="1"/>
  <c r="C25792" i="1"/>
  <c r="C25787" i="1"/>
  <c r="C25785" i="1"/>
  <c r="C25783" i="1"/>
  <c r="C25780" i="1"/>
  <c r="C25779" i="1"/>
  <c r="C25775" i="1"/>
  <c r="C25774" i="1"/>
  <c r="C25773" i="1"/>
  <c r="C25770" i="1"/>
  <c r="C25767" i="1"/>
  <c r="C25764" i="1"/>
  <c r="C25763" i="1"/>
  <c r="C25760" i="1"/>
  <c r="C25751" i="1"/>
  <c r="C25750" i="1"/>
  <c r="C25743" i="1"/>
  <c r="C25735" i="1"/>
  <c r="C25727" i="1"/>
  <c r="C25725" i="1"/>
  <c r="C25724" i="1"/>
  <c r="C25719" i="1"/>
  <c r="C25717" i="1"/>
  <c r="C25714" i="1"/>
  <c r="C25713" i="1"/>
  <c r="C25710" i="1"/>
  <c r="C25709" i="1"/>
  <c r="C25708" i="1"/>
  <c r="C25705" i="1"/>
  <c r="C25704" i="1"/>
  <c r="C25694" i="1"/>
  <c r="C25693" i="1"/>
  <c r="C25690" i="1"/>
  <c r="C25689" i="1"/>
  <c r="C25688" i="1"/>
  <c r="C25687" i="1"/>
  <c r="C25686" i="1"/>
  <c r="C25685" i="1"/>
  <c r="C25683" i="1"/>
  <c r="C25682" i="1"/>
  <c r="C25675" i="1"/>
  <c r="C25672" i="1"/>
  <c r="C25671" i="1"/>
  <c r="C25668" i="1"/>
  <c r="C25666" i="1"/>
  <c r="C25665" i="1"/>
  <c r="C25663" i="1"/>
  <c r="C25658" i="1"/>
  <c r="C25655" i="1"/>
  <c r="C25654" i="1"/>
  <c r="C25651" i="1"/>
  <c r="C25648" i="1"/>
  <c r="C25646" i="1"/>
  <c r="C25643" i="1"/>
  <c r="C25642" i="1"/>
  <c r="C25640" i="1"/>
  <c r="C25638" i="1"/>
  <c r="C25635" i="1"/>
  <c r="C25629" i="1"/>
  <c r="C25628" i="1"/>
  <c r="C25626" i="1"/>
  <c r="C25615" i="1"/>
  <c r="C25614" i="1"/>
  <c r="C25612" i="1"/>
  <c r="C25600" i="1"/>
  <c r="C25598" i="1"/>
  <c r="C25591" i="1"/>
  <c r="C25590" i="1"/>
  <c r="C25588" i="1"/>
  <c r="C25586" i="1"/>
  <c r="C25581" i="1"/>
  <c r="C25580" i="1"/>
  <c r="C25579" i="1"/>
  <c r="C25577" i="1"/>
  <c r="C25576" i="1"/>
  <c r="C25575" i="1"/>
  <c r="C25573" i="1"/>
  <c r="C25572" i="1"/>
  <c r="C25571" i="1"/>
  <c r="C25569" i="1"/>
  <c r="C25566" i="1"/>
  <c r="C25564" i="1"/>
  <c r="C25563" i="1"/>
  <c r="C25562" i="1"/>
  <c r="C25561" i="1"/>
  <c r="C25560" i="1"/>
  <c r="C25558" i="1"/>
  <c r="C25557" i="1"/>
  <c r="C25556" i="1"/>
  <c r="C25553" i="1"/>
  <c r="C25549" i="1"/>
  <c r="C25548" i="1"/>
  <c r="C25547" i="1"/>
  <c r="C25546" i="1"/>
  <c r="C25543" i="1"/>
  <c r="C25541" i="1"/>
  <c r="C25540" i="1"/>
  <c r="C25538" i="1"/>
  <c r="C25537" i="1"/>
  <c r="C25528" i="1"/>
  <c r="C25526" i="1"/>
  <c r="C25523" i="1"/>
  <c r="C25522" i="1"/>
  <c r="C25512" i="1"/>
  <c r="C25510" i="1"/>
  <c r="C25505" i="1"/>
  <c r="C25504" i="1"/>
  <c r="C25503" i="1"/>
  <c r="C25502" i="1"/>
  <c r="C25501" i="1"/>
  <c r="C25500" i="1"/>
  <c r="C25499" i="1"/>
  <c r="C25498" i="1"/>
  <c r="C25493" i="1"/>
  <c r="C25492" i="1"/>
  <c r="C25488" i="1"/>
  <c r="C25486" i="1"/>
  <c r="C25485" i="1"/>
  <c r="C25483" i="1"/>
  <c r="C25482" i="1"/>
  <c r="C25481" i="1"/>
  <c r="C25480" i="1"/>
  <c r="C25477" i="1"/>
  <c r="C25464" i="1"/>
  <c r="C25463" i="1"/>
  <c r="C25462" i="1"/>
  <c r="C25459" i="1"/>
  <c r="C25458" i="1"/>
  <c r="C25456" i="1"/>
  <c r="C25455" i="1"/>
  <c r="C25454" i="1"/>
  <c r="C25446" i="1"/>
  <c r="C25445" i="1"/>
  <c r="C25443" i="1"/>
  <c r="C25442" i="1"/>
  <c r="C25441" i="1"/>
  <c r="C25439" i="1"/>
  <c r="C25437" i="1"/>
  <c r="C25434" i="1"/>
  <c r="C25433" i="1"/>
  <c r="C25429" i="1"/>
  <c r="C25427" i="1"/>
  <c r="C25426" i="1"/>
  <c r="C25422" i="1"/>
  <c r="C25419" i="1"/>
  <c r="C25418" i="1"/>
  <c r="C25417" i="1"/>
  <c r="C25409" i="1"/>
  <c r="C25408" i="1"/>
  <c r="C25407" i="1"/>
  <c r="C25405" i="1"/>
  <c r="C25404" i="1"/>
  <c r="C25403" i="1"/>
  <c r="C25400" i="1"/>
  <c r="C25399" i="1"/>
  <c r="C25396" i="1"/>
  <c r="C25395" i="1"/>
  <c r="C25391" i="1"/>
  <c r="C25387" i="1"/>
  <c r="C25385" i="1"/>
  <c r="C25384" i="1"/>
  <c r="C25381" i="1"/>
  <c r="C25380" i="1"/>
  <c r="C25378" i="1"/>
  <c r="C25376" i="1"/>
  <c r="C25373" i="1"/>
  <c r="C25372" i="1"/>
  <c r="C25371" i="1"/>
  <c r="C25370" i="1"/>
  <c r="C25369" i="1"/>
  <c r="C25367" i="1"/>
  <c r="C25357" i="1"/>
  <c r="C25355" i="1"/>
  <c r="C25354" i="1"/>
  <c r="C25351" i="1"/>
  <c r="C25350" i="1"/>
  <c r="C25349" i="1"/>
  <c r="C25348" i="1"/>
  <c r="C25347" i="1"/>
  <c r="C25346" i="1"/>
  <c r="C25337" i="1"/>
  <c r="C25336" i="1"/>
  <c r="C25335" i="1"/>
  <c r="C25333" i="1"/>
  <c r="C25331" i="1"/>
  <c r="C25329" i="1"/>
  <c r="C25322" i="1"/>
  <c r="C25321" i="1"/>
  <c r="C25319" i="1"/>
  <c r="C25317" i="1"/>
  <c r="C25311" i="1"/>
  <c r="C25306" i="1"/>
  <c r="C25304" i="1"/>
  <c r="C25300" i="1"/>
  <c r="C25299" i="1"/>
  <c r="C25297" i="1"/>
  <c r="C25296" i="1"/>
  <c r="C25295" i="1"/>
  <c r="C25294" i="1"/>
  <c r="C25293" i="1"/>
  <c r="C25292" i="1"/>
  <c r="C25290" i="1"/>
  <c r="C25289" i="1"/>
  <c r="C25285" i="1"/>
  <c r="C25284" i="1"/>
  <c r="C25279" i="1"/>
  <c r="C25276" i="1"/>
  <c r="C25273" i="1"/>
  <c r="C25272" i="1"/>
  <c r="C25270" i="1"/>
  <c r="C25267" i="1"/>
  <c r="C25266" i="1"/>
  <c r="C25265" i="1"/>
  <c r="C25262" i="1"/>
  <c r="C25260" i="1"/>
  <c r="C25258" i="1"/>
  <c r="C25256" i="1"/>
  <c r="C25254" i="1"/>
  <c r="C25251" i="1"/>
  <c r="C25249" i="1"/>
  <c r="C25248" i="1"/>
  <c r="C25245" i="1"/>
  <c r="C25244" i="1"/>
  <c r="C25243" i="1"/>
  <c r="C25242" i="1"/>
  <c r="C25241" i="1"/>
  <c r="C25240" i="1"/>
  <c r="C25238" i="1"/>
  <c r="C25237" i="1"/>
  <c r="C25236" i="1"/>
  <c r="C25231" i="1"/>
  <c r="C25226" i="1"/>
  <c r="C25222" i="1"/>
  <c r="C25221" i="1"/>
  <c r="C25212" i="1"/>
  <c r="C25211" i="1"/>
  <c r="C25204" i="1"/>
  <c r="C25200" i="1"/>
  <c r="C25198" i="1"/>
  <c r="C25197" i="1"/>
  <c r="C25192" i="1"/>
  <c r="C25191" i="1"/>
  <c r="C25183" i="1"/>
  <c r="C25177" i="1"/>
  <c r="C25176" i="1"/>
  <c r="C25173" i="1"/>
  <c r="C25166" i="1"/>
  <c r="C25165" i="1"/>
  <c r="C25163" i="1"/>
  <c r="C25159" i="1"/>
  <c r="C25158" i="1"/>
  <c r="C25157" i="1"/>
  <c r="C25154" i="1"/>
  <c r="C25153" i="1"/>
  <c r="C25150" i="1"/>
  <c r="C25148" i="1"/>
  <c r="C25147" i="1"/>
  <c r="C25146" i="1"/>
  <c r="C25144" i="1"/>
  <c r="C25143" i="1"/>
  <c r="C25141" i="1"/>
  <c r="C25138" i="1"/>
  <c r="C25137" i="1"/>
  <c r="C25132" i="1"/>
  <c r="C25131" i="1"/>
  <c r="C25130" i="1"/>
  <c r="C25129" i="1"/>
  <c r="C25126" i="1"/>
  <c r="C25125" i="1"/>
  <c r="C25124" i="1"/>
  <c r="C25123" i="1"/>
  <c r="C25121" i="1"/>
  <c r="C25120" i="1"/>
  <c r="C25118" i="1"/>
  <c r="C25116" i="1"/>
  <c r="C25111" i="1"/>
  <c r="C25108" i="1"/>
  <c r="C25105" i="1"/>
  <c r="C25101" i="1"/>
  <c r="C25100" i="1"/>
  <c r="C25098" i="1"/>
  <c r="C25096" i="1"/>
  <c r="C25095" i="1"/>
  <c r="C25093" i="1"/>
  <c r="C25089" i="1"/>
  <c r="C25082" i="1"/>
  <c r="C25080" i="1"/>
  <c r="C25078" i="1"/>
  <c r="C25077" i="1"/>
  <c r="C25076" i="1"/>
  <c r="C25075" i="1"/>
  <c r="C25074" i="1"/>
  <c r="C25073" i="1"/>
  <c r="C25072" i="1"/>
  <c r="C25071" i="1"/>
  <c r="C25070" i="1"/>
  <c r="C25069" i="1"/>
  <c r="C25062" i="1"/>
  <c r="C25058" i="1"/>
  <c r="C25057" i="1"/>
  <c r="C25054" i="1"/>
  <c r="C25053" i="1"/>
  <c r="C25050" i="1"/>
  <c r="C25047" i="1"/>
  <c r="C25046" i="1"/>
  <c r="C25040" i="1"/>
  <c r="C25039" i="1"/>
  <c r="C25035" i="1"/>
  <c r="C25034" i="1"/>
  <c r="C25033" i="1"/>
  <c r="C25031" i="1"/>
  <c r="C25030" i="1"/>
  <c r="C25027" i="1"/>
  <c r="C25026" i="1"/>
  <c r="C25024" i="1"/>
  <c r="C25023" i="1"/>
  <c r="C25020" i="1"/>
  <c r="C25019" i="1"/>
  <c r="C25018" i="1"/>
  <c r="C25017" i="1"/>
  <c r="C25014" i="1"/>
  <c r="C25010" i="1"/>
  <c r="C25009" i="1"/>
  <c r="C25007" i="1"/>
  <c r="C25006" i="1"/>
  <c r="C25005" i="1"/>
  <c r="C25004" i="1"/>
  <c r="C25003" i="1"/>
  <c r="C25001" i="1"/>
  <c r="C24997" i="1"/>
  <c r="C24993" i="1"/>
  <c r="C24980" i="1"/>
  <c r="C24976" i="1"/>
  <c r="C24975" i="1"/>
  <c r="C24967" i="1"/>
  <c r="C24960" i="1"/>
  <c r="C24959" i="1"/>
  <c r="C24956" i="1"/>
  <c r="C24955" i="1"/>
  <c r="C24953" i="1"/>
  <c r="C24951" i="1"/>
  <c r="C24950" i="1"/>
  <c r="C24949" i="1"/>
  <c r="C24948" i="1"/>
  <c r="C24946" i="1"/>
  <c r="C24944" i="1"/>
  <c r="C24943" i="1"/>
  <c r="C24942" i="1"/>
  <c r="C24941" i="1"/>
  <c r="C24939" i="1"/>
  <c r="C24938" i="1"/>
  <c r="C24937" i="1"/>
  <c r="C24936" i="1"/>
  <c r="C24934" i="1"/>
  <c r="C24933" i="1"/>
  <c r="C24932" i="1"/>
  <c r="C24927" i="1"/>
  <c r="C24921" i="1"/>
  <c r="C24918" i="1"/>
  <c r="C24916" i="1"/>
  <c r="C24910" i="1"/>
  <c r="C24907" i="1"/>
  <c r="C24904" i="1"/>
  <c r="C24902" i="1"/>
  <c r="C24892" i="1"/>
  <c r="C24886" i="1"/>
  <c r="C24884" i="1"/>
  <c r="C24881" i="1"/>
  <c r="C24880" i="1"/>
  <c r="C24879" i="1"/>
  <c r="C24876" i="1"/>
  <c r="C24861" i="1"/>
  <c r="C24856" i="1"/>
  <c r="C24855" i="1"/>
  <c r="C24850" i="1"/>
  <c r="C24844" i="1"/>
  <c r="C24840" i="1"/>
  <c r="C24839" i="1"/>
  <c r="C24838" i="1"/>
  <c r="C24831" i="1"/>
  <c r="C24830" i="1"/>
  <c r="C24827" i="1"/>
  <c r="C24826" i="1"/>
  <c r="C24825" i="1"/>
  <c r="C24824" i="1"/>
  <c r="C24823" i="1"/>
  <c r="C24821" i="1"/>
  <c r="C24818" i="1"/>
  <c r="C24813" i="1"/>
  <c r="C24812" i="1"/>
  <c r="C24805" i="1"/>
  <c r="C24803" i="1"/>
  <c r="C24797" i="1"/>
  <c r="C24795" i="1"/>
  <c r="C24792" i="1"/>
  <c r="C24788" i="1"/>
  <c r="C24785" i="1"/>
  <c r="C24783" i="1"/>
  <c r="C24781" i="1"/>
  <c r="C24779" i="1"/>
  <c r="C24778" i="1"/>
  <c r="C24777" i="1"/>
  <c r="C24771" i="1"/>
  <c r="C24766" i="1"/>
  <c r="C24764" i="1"/>
  <c r="C24763" i="1"/>
  <c r="C24762" i="1"/>
  <c r="C24759" i="1"/>
  <c r="C24758" i="1"/>
  <c r="C24757" i="1"/>
  <c r="C24754" i="1"/>
  <c r="C24753" i="1"/>
  <c r="C24751" i="1"/>
  <c r="C24750" i="1"/>
  <c r="C24748" i="1"/>
  <c r="C24747" i="1"/>
  <c r="C24746" i="1"/>
  <c r="C24744" i="1"/>
  <c r="C24741" i="1"/>
  <c r="C24740" i="1"/>
  <c r="C24738" i="1"/>
  <c r="C24737" i="1"/>
  <c r="C24734" i="1"/>
  <c r="C24729" i="1"/>
  <c r="C24725" i="1"/>
  <c r="C24722" i="1"/>
  <c r="C24719" i="1"/>
  <c r="C24718" i="1"/>
  <c r="C24717" i="1"/>
  <c r="C24715" i="1"/>
  <c r="C24714" i="1"/>
  <c r="C24710" i="1"/>
  <c r="C24706" i="1"/>
  <c r="C24700" i="1"/>
  <c r="C24699" i="1"/>
  <c r="C24698" i="1"/>
  <c r="C24696" i="1"/>
  <c r="C24694" i="1"/>
  <c r="C24693" i="1"/>
  <c r="C24691" i="1"/>
  <c r="C24689" i="1"/>
  <c r="C24685" i="1"/>
  <c r="C24682" i="1"/>
  <c r="C24681" i="1"/>
  <c r="C24680" i="1"/>
  <c r="C24678" i="1"/>
  <c r="C24674" i="1"/>
  <c r="C24670" i="1"/>
  <c r="C24669" i="1"/>
  <c r="C24668" i="1"/>
  <c r="C24664" i="1"/>
  <c r="C24662" i="1"/>
  <c r="C24661" i="1"/>
  <c r="C24660" i="1"/>
  <c r="C24659" i="1"/>
  <c r="C24658" i="1"/>
  <c r="C24657" i="1"/>
  <c r="C24650" i="1"/>
  <c r="C24647" i="1"/>
  <c r="C24645" i="1"/>
  <c r="C24644" i="1"/>
  <c r="C24640" i="1"/>
  <c r="C24638" i="1"/>
  <c r="C24637" i="1"/>
  <c r="C24635" i="1"/>
  <c r="C24633" i="1"/>
  <c r="C24632" i="1"/>
  <c r="C24631" i="1"/>
  <c r="C24630" i="1"/>
  <c r="C24629" i="1"/>
  <c r="C24628" i="1"/>
  <c r="C24627" i="1"/>
  <c r="C24626" i="1"/>
  <c r="C24624" i="1"/>
  <c r="C24623" i="1"/>
  <c r="C24621" i="1"/>
  <c r="C24619" i="1"/>
  <c r="C24617" i="1"/>
  <c r="C24611" i="1"/>
  <c r="C24607" i="1"/>
  <c r="C24602" i="1"/>
  <c r="C24601" i="1"/>
  <c r="C24600" i="1"/>
  <c r="C24598" i="1"/>
  <c r="C24594" i="1"/>
  <c r="C24591" i="1"/>
  <c r="C24590" i="1"/>
  <c r="C24587" i="1"/>
  <c r="C24586" i="1"/>
  <c r="C24581" i="1"/>
  <c r="C24575" i="1"/>
  <c r="C24573" i="1"/>
  <c r="C24572" i="1"/>
  <c r="C24571" i="1"/>
  <c r="C24570" i="1"/>
  <c r="C24568" i="1"/>
  <c r="C24567" i="1"/>
  <c r="C24564" i="1"/>
  <c r="C24563" i="1"/>
  <c r="C24560" i="1"/>
  <c r="C24556" i="1"/>
  <c r="C24550" i="1"/>
  <c r="C24541" i="1"/>
  <c r="C24540" i="1"/>
  <c r="C24539" i="1"/>
  <c r="C24532" i="1"/>
  <c r="C24530" i="1"/>
  <c r="C24525" i="1"/>
  <c r="C24524" i="1"/>
  <c r="C24523" i="1"/>
  <c r="C24522" i="1"/>
  <c r="C24518" i="1"/>
  <c r="C24516" i="1"/>
  <c r="C24515" i="1"/>
  <c r="C24514" i="1"/>
  <c r="C24512" i="1"/>
  <c r="C24511" i="1"/>
  <c r="C24509" i="1"/>
  <c r="C24507" i="1"/>
  <c r="C24506" i="1"/>
  <c r="C24505" i="1"/>
  <c r="C24503" i="1"/>
  <c r="C24502" i="1"/>
  <c r="C24495" i="1"/>
  <c r="C24489" i="1"/>
  <c r="C24484" i="1"/>
  <c r="C24483" i="1"/>
  <c r="C24474" i="1"/>
  <c r="C24473" i="1"/>
  <c r="C24467" i="1"/>
  <c r="C24462" i="1"/>
  <c r="C24459" i="1"/>
  <c r="C24458" i="1"/>
  <c r="C24454" i="1"/>
  <c r="C24447" i="1"/>
  <c r="C24446" i="1"/>
  <c r="C24445" i="1"/>
  <c r="C24444" i="1"/>
  <c r="C24439" i="1"/>
  <c r="C24438" i="1"/>
  <c r="C24437" i="1"/>
  <c r="C24433" i="1"/>
  <c r="C24432" i="1"/>
  <c r="C24424" i="1"/>
  <c r="C24422" i="1"/>
  <c r="C24420" i="1"/>
  <c r="C24415" i="1"/>
  <c r="C24409" i="1"/>
  <c r="C24408" i="1"/>
  <c r="C24406" i="1"/>
  <c r="C24404" i="1"/>
  <c r="C24403" i="1"/>
  <c r="C24402" i="1"/>
  <c r="C24396" i="1"/>
  <c r="C24395" i="1"/>
  <c r="C24393" i="1"/>
  <c r="C24391" i="1"/>
  <c r="C24390" i="1"/>
  <c r="C24389" i="1"/>
  <c r="C24388" i="1"/>
  <c r="C24380" i="1"/>
  <c r="C24376" i="1"/>
  <c r="C24371" i="1"/>
  <c r="C24368" i="1"/>
  <c r="C24367" i="1"/>
  <c r="C24366" i="1"/>
  <c r="C24358" i="1"/>
  <c r="C24356" i="1"/>
  <c r="C24354" i="1"/>
  <c r="C24353" i="1"/>
  <c r="C24351" i="1"/>
  <c r="C24350" i="1"/>
  <c r="C24343" i="1"/>
  <c r="C24342" i="1"/>
  <c r="C24338" i="1"/>
  <c r="C24335" i="1"/>
  <c r="C24333" i="1"/>
  <c r="C24331" i="1"/>
  <c r="C24330" i="1"/>
  <c r="C24329" i="1"/>
  <c r="C24328" i="1"/>
  <c r="C24327" i="1"/>
  <c r="C24326" i="1"/>
  <c r="C24324" i="1"/>
  <c r="C24323" i="1"/>
  <c r="C24321" i="1"/>
  <c r="C24319" i="1"/>
  <c r="C24315" i="1"/>
  <c r="C24312" i="1"/>
  <c r="C24301" i="1"/>
  <c r="C24297" i="1"/>
  <c r="C24295" i="1"/>
  <c r="C24289" i="1"/>
  <c r="C24288" i="1"/>
  <c r="C24286" i="1"/>
  <c r="C24283" i="1"/>
  <c r="C24282" i="1"/>
  <c r="C24281" i="1"/>
  <c r="C24275" i="1"/>
  <c r="C24271" i="1"/>
  <c r="C24270" i="1"/>
  <c r="C24269" i="1"/>
  <c r="C24268" i="1"/>
  <c r="C24267" i="1"/>
  <c r="C24265" i="1"/>
  <c r="C24264" i="1"/>
  <c r="C24262" i="1"/>
  <c r="C24260" i="1"/>
  <c r="C24258" i="1"/>
  <c r="C24256" i="1"/>
  <c r="C24254" i="1"/>
  <c r="C24252" i="1"/>
  <c r="C24250" i="1"/>
  <c r="C24247" i="1"/>
  <c r="C24246" i="1"/>
  <c r="C24245" i="1"/>
  <c r="C24244" i="1"/>
  <c r="C24241" i="1"/>
  <c r="C24240" i="1"/>
  <c r="C24239" i="1"/>
  <c r="C24238" i="1"/>
  <c r="C24237" i="1"/>
  <c r="C24236" i="1"/>
  <c r="C24235" i="1"/>
  <c r="C24233" i="1"/>
  <c r="C24227" i="1"/>
  <c r="C24226" i="1"/>
  <c r="C24225" i="1"/>
  <c r="C24224" i="1"/>
  <c r="C24220" i="1"/>
  <c r="C24218" i="1"/>
  <c r="C24216" i="1"/>
  <c r="C24210" i="1"/>
  <c r="C24205" i="1"/>
  <c r="C24204" i="1"/>
  <c r="C24203" i="1"/>
  <c r="C24202" i="1"/>
  <c r="C24200" i="1"/>
  <c r="C24199" i="1"/>
  <c r="C24198" i="1"/>
  <c r="C24197" i="1"/>
  <c r="C24196" i="1"/>
  <c r="C24193" i="1"/>
  <c r="C24192" i="1"/>
  <c r="C24191" i="1"/>
  <c r="C24185" i="1"/>
  <c r="C24184" i="1"/>
  <c r="C24177" i="1"/>
  <c r="C24173" i="1"/>
  <c r="C24171" i="1"/>
  <c r="C24167" i="1"/>
  <c r="C24161" i="1"/>
  <c r="C24160" i="1"/>
  <c r="C24157" i="1"/>
  <c r="C24140" i="1"/>
  <c r="C24138" i="1"/>
  <c r="C24137" i="1"/>
  <c r="C24136" i="1"/>
  <c r="C24135" i="1"/>
  <c r="C24133" i="1"/>
  <c r="C24132" i="1"/>
  <c r="C24131" i="1"/>
  <c r="C24130" i="1"/>
  <c r="C24129" i="1"/>
  <c r="C24128" i="1"/>
  <c r="C24127" i="1"/>
  <c r="C24124" i="1"/>
  <c r="C24123" i="1"/>
  <c r="C24122" i="1"/>
  <c r="C24121" i="1"/>
  <c r="C24120" i="1"/>
  <c r="C24119" i="1"/>
  <c r="C24118" i="1"/>
  <c r="C24116" i="1"/>
  <c r="C24115" i="1"/>
  <c r="C24114" i="1"/>
  <c r="C24113" i="1"/>
  <c r="C24111" i="1"/>
  <c r="C24106" i="1"/>
  <c r="C24105" i="1"/>
  <c r="C24104" i="1"/>
  <c r="C24103" i="1"/>
  <c r="C24098" i="1"/>
  <c r="C24097" i="1"/>
  <c r="C24084" i="1"/>
  <c r="C24082" i="1"/>
  <c r="C24079" i="1"/>
  <c r="C24077" i="1"/>
  <c r="C24075" i="1"/>
  <c r="C24069" i="1"/>
  <c r="C24067" i="1"/>
  <c r="C24064" i="1"/>
  <c r="C24063" i="1"/>
  <c r="C24060" i="1"/>
  <c r="C24058" i="1"/>
  <c r="C24057" i="1"/>
  <c r="C24051" i="1"/>
  <c r="C24048" i="1"/>
  <c r="C24047" i="1"/>
  <c r="C24046" i="1"/>
  <c r="C24045" i="1"/>
  <c r="C24043" i="1"/>
  <c r="C24040" i="1"/>
  <c r="C24038" i="1"/>
  <c r="C24037" i="1"/>
  <c r="C24036" i="1"/>
  <c r="C24035" i="1"/>
  <c r="C24033" i="1"/>
  <c r="C24032" i="1"/>
  <c r="C24030" i="1"/>
  <c r="C24028" i="1"/>
  <c r="C24027" i="1"/>
  <c r="C24026" i="1"/>
  <c r="C24025" i="1"/>
  <c r="C24024" i="1"/>
  <c r="C24021" i="1"/>
  <c r="C24018" i="1"/>
  <c r="C24015" i="1"/>
  <c r="C24014" i="1"/>
  <c r="C24013" i="1"/>
  <c r="C24012" i="1"/>
  <c r="C24011" i="1"/>
  <c r="C24010" i="1"/>
  <c r="C24009" i="1"/>
  <c r="C24007" i="1"/>
  <c r="C24006" i="1"/>
  <c r="C24005" i="1"/>
  <c r="C24003" i="1"/>
  <c r="C24001" i="1"/>
  <c r="C24000" i="1"/>
  <c r="C23999" i="1"/>
  <c r="C23998" i="1"/>
  <c r="C23996" i="1"/>
  <c r="C23994" i="1"/>
  <c r="C23993" i="1"/>
  <c r="C23991" i="1"/>
  <c r="C23989" i="1"/>
  <c r="C23988" i="1"/>
  <c r="C23987" i="1"/>
  <c r="C23986" i="1"/>
  <c r="C23983" i="1"/>
  <c r="C23981" i="1"/>
  <c r="C23978" i="1"/>
  <c r="C23972" i="1"/>
  <c r="C23970" i="1"/>
  <c r="C23969" i="1"/>
  <c r="C23967" i="1"/>
  <c r="C23966" i="1"/>
  <c r="C23957" i="1"/>
  <c r="C23956" i="1"/>
  <c r="C23955" i="1"/>
  <c r="C23954" i="1"/>
  <c r="C23952" i="1"/>
  <c r="C23950" i="1"/>
  <c r="C23947" i="1"/>
  <c r="C23946" i="1"/>
  <c r="C23945" i="1"/>
  <c r="C23943" i="1"/>
  <c r="C23942" i="1"/>
  <c r="C23941" i="1"/>
  <c r="C23939" i="1"/>
  <c r="C23938" i="1"/>
  <c r="C23936" i="1"/>
  <c r="C23926" i="1"/>
  <c r="C23924" i="1"/>
  <c r="C23922" i="1"/>
  <c r="C23917" i="1"/>
  <c r="C23911" i="1"/>
  <c r="C23910" i="1"/>
  <c r="C23909" i="1"/>
  <c r="C23908" i="1"/>
  <c r="C23907" i="1"/>
  <c r="C23900" i="1"/>
  <c r="C23896" i="1"/>
  <c r="C23891" i="1"/>
  <c r="C23890" i="1"/>
  <c r="C23888" i="1"/>
  <c r="C23887" i="1"/>
  <c r="C23886" i="1"/>
  <c r="C23883" i="1"/>
  <c r="C23882" i="1"/>
  <c r="C23881" i="1"/>
  <c r="C23880" i="1"/>
  <c r="C23879" i="1"/>
  <c r="C23878" i="1"/>
  <c r="C23877" i="1"/>
  <c r="C23873" i="1"/>
  <c r="C23869" i="1"/>
  <c r="C23867" i="1"/>
  <c r="C23865" i="1"/>
  <c r="C23858" i="1"/>
  <c r="C23857" i="1"/>
  <c r="C23855" i="1"/>
  <c r="C23853" i="1"/>
  <c r="C23852" i="1"/>
  <c r="C23848" i="1"/>
  <c r="C23846" i="1"/>
  <c r="C23835" i="1"/>
  <c r="C23831" i="1"/>
  <c r="C23830" i="1"/>
  <c r="C23818" i="1"/>
  <c r="C23816" i="1"/>
  <c r="C23814" i="1"/>
  <c r="C23813" i="1"/>
  <c r="C23811" i="1"/>
  <c r="C23806" i="1"/>
  <c r="C23805" i="1"/>
  <c r="C23804" i="1"/>
  <c r="C23803" i="1"/>
  <c r="C23798" i="1"/>
  <c r="C23797" i="1"/>
  <c r="C23793" i="1"/>
  <c r="C23792" i="1"/>
  <c r="C23791" i="1"/>
  <c r="C23790" i="1"/>
  <c r="C23789" i="1"/>
  <c r="C23788" i="1"/>
  <c r="C23787" i="1"/>
  <c r="C23786" i="1"/>
  <c r="C23783" i="1"/>
  <c r="C23782" i="1"/>
  <c r="C23771" i="1"/>
  <c r="C23770" i="1"/>
  <c r="C23769" i="1"/>
  <c r="C23768" i="1"/>
  <c r="C23766" i="1"/>
  <c r="C23765" i="1"/>
  <c r="C23764" i="1"/>
  <c r="C23762" i="1"/>
  <c r="C23761" i="1"/>
  <c r="C23760" i="1"/>
  <c r="C23759" i="1"/>
  <c r="C23758" i="1"/>
  <c r="C23757" i="1"/>
  <c r="C23755" i="1"/>
  <c r="C23747" i="1"/>
  <c r="C23743" i="1"/>
  <c r="C23739" i="1"/>
  <c r="C23736" i="1"/>
  <c r="C23731" i="1"/>
  <c r="C23724" i="1"/>
  <c r="C23720" i="1"/>
  <c r="C23718" i="1"/>
  <c r="C23716" i="1"/>
  <c r="C23715" i="1"/>
  <c r="C23714" i="1"/>
  <c r="C23712" i="1"/>
  <c r="C23710" i="1"/>
  <c r="C23700" i="1"/>
  <c r="C23695" i="1"/>
  <c r="C23694" i="1"/>
  <c r="C23687" i="1"/>
  <c r="C23686" i="1"/>
  <c r="C23683" i="1"/>
  <c r="C23680" i="1"/>
  <c r="C23678" i="1"/>
  <c r="C23676" i="1"/>
  <c r="C23675" i="1"/>
  <c r="C23673" i="1"/>
  <c r="C23670" i="1"/>
  <c r="C23666" i="1"/>
  <c r="C23661" i="1"/>
  <c r="C23658" i="1"/>
  <c r="C23646" i="1"/>
  <c r="C23643" i="1"/>
  <c r="C23641" i="1"/>
  <c r="C23640" i="1"/>
  <c r="C23638" i="1"/>
  <c r="C23634" i="1"/>
  <c r="C23630" i="1"/>
  <c r="C23628" i="1"/>
  <c r="C23622" i="1"/>
  <c r="C23621" i="1"/>
  <c r="C23620" i="1"/>
  <c r="C23619" i="1"/>
  <c r="C23617" i="1"/>
  <c r="C23616" i="1"/>
  <c r="C23612" i="1"/>
  <c r="C23611" i="1"/>
  <c r="C23610" i="1"/>
  <c r="C23609" i="1"/>
  <c r="C23608" i="1"/>
  <c r="C23607" i="1"/>
  <c r="C23606" i="1"/>
  <c r="C23605" i="1"/>
  <c r="C23603" i="1"/>
  <c r="C23599" i="1"/>
  <c r="C23598" i="1"/>
  <c r="C23595" i="1"/>
  <c r="C23594" i="1"/>
  <c r="C23593" i="1"/>
  <c r="C23592" i="1"/>
  <c r="C23591" i="1"/>
  <c r="C23590" i="1"/>
  <c r="C23587" i="1"/>
  <c r="C23586" i="1"/>
  <c r="C23583" i="1"/>
  <c r="C23581" i="1"/>
  <c r="C23580" i="1"/>
  <c r="C23579" i="1"/>
  <c r="C23572" i="1"/>
  <c r="C23570" i="1"/>
  <c r="C23569" i="1"/>
  <c r="C23568" i="1"/>
  <c r="C23567" i="1"/>
  <c r="C23565" i="1"/>
  <c r="C23563" i="1"/>
  <c r="C23562" i="1"/>
  <c r="C23561" i="1"/>
  <c r="C23559" i="1"/>
  <c r="C23557" i="1"/>
  <c r="C23556" i="1"/>
  <c r="C23554" i="1"/>
  <c r="C23552" i="1"/>
  <c r="C23551" i="1"/>
  <c r="C23550" i="1"/>
  <c r="C23549" i="1"/>
  <c r="C23548" i="1"/>
  <c r="C23546" i="1"/>
  <c r="C23545" i="1"/>
  <c r="C23539" i="1"/>
  <c r="C23536" i="1"/>
  <c r="C23535" i="1"/>
  <c r="C23534" i="1"/>
  <c r="C23531" i="1"/>
  <c r="C23530" i="1"/>
  <c r="C23528" i="1"/>
  <c r="C23527" i="1"/>
  <c r="C23526" i="1"/>
  <c r="C23523" i="1"/>
  <c r="C23522" i="1"/>
  <c r="C23520" i="1"/>
  <c r="C23518" i="1"/>
  <c r="C23517" i="1"/>
  <c r="C23514" i="1"/>
  <c r="C23513" i="1"/>
  <c r="C23512" i="1"/>
  <c r="C23511" i="1"/>
  <c r="C23510" i="1"/>
  <c r="C23509" i="1"/>
  <c r="C23507" i="1"/>
  <c r="C23500" i="1"/>
  <c r="C23498" i="1"/>
  <c r="C23495" i="1"/>
  <c r="C23494" i="1"/>
  <c r="C23489" i="1"/>
  <c r="C23485" i="1"/>
  <c r="C23484" i="1"/>
  <c r="C23483" i="1"/>
  <c r="C23481" i="1"/>
  <c r="C23480" i="1"/>
  <c r="C23473" i="1"/>
  <c r="C23471" i="1"/>
  <c r="C23468" i="1"/>
  <c r="C23459" i="1"/>
  <c r="C23458" i="1"/>
  <c r="C23457" i="1"/>
  <c r="C23450" i="1"/>
  <c r="C23447" i="1"/>
  <c r="C23444" i="1"/>
  <c r="C23442" i="1"/>
  <c r="C23440" i="1"/>
  <c r="C23439" i="1"/>
  <c r="C23438" i="1"/>
  <c r="C23434" i="1"/>
  <c r="C23427" i="1"/>
  <c r="C23425" i="1"/>
  <c r="C23424" i="1"/>
  <c r="C23423" i="1"/>
  <c r="C23422" i="1"/>
  <c r="C23421" i="1"/>
  <c r="C23419" i="1"/>
  <c r="C23414" i="1"/>
  <c r="C23412" i="1"/>
  <c r="C23411" i="1"/>
  <c r="C23407" i="1"/>
  <c r="C23406" i="1"/>
  <c r="C23399" i="1"/>
  <c r="C23395" i="1"/>
  <c r="C23393" i="1"/>
  <c r="C23389" i="1"/>
  <c r="C23388" i="1"/>
  <c r="C23376" i="1"/>
  <c r="C23375" i="1"/>
  <c r="C23373" i="1"/>
  <c r="C23372" i="1"/>
  <c r="C23370" i="1"/>
  <c r="C23364" i="1"/>
  <c r="C23361" i="1"/>
  <c r="C23359" i="1"/>
  <c r="C23357" i="1"/>
  <c r="C23356" i="1"/>
  <c r="C23355" i="1"/>
  <c r="C23354" i="1"/>
  <c r="C23353" i="1"/>
  <c r="C23351" i="1"/>
  <c r="C23350" i="1"/>
  <c r="C23349" i="1"/>
  <c r="C23348" i="1"/>
  <c r="C23347" i="1"/>
  <c r="C23346" i="1"/>
  <c r="C23345" i="1"/>
  <c r="C23342" i="1"/>
  <c r="C23341" i="1"/>
  <c r="C23338" i="1"/>
  <c r="C23336" i="1"/>
  <c r="C23332" i="1"/>
  <c r="C23331" i="1"/>
  <c r="C23329" i="1"/>
  <c r="C23323" i="1"/>
  <c r="C23322" i="1"/>
  <c r="C23321" i="1"/>
  <c r="C23319" i="1"/>
  <c r="C23318" i="1"/>
  <c r="C23315" i="1"/>
  <c r="C23313" i="1"/>
  <c r="C23312" i="1"/>
  <c r="C23310" i="1"/>
  <c r="C23309" i="1"/>
  <c r="C23300" i="1"/>
  <c r="C23298" i="1"/>
  <c r="C23297" i="1"/>
  <c r="C23295" i="1"/>
  <c r="C23294" i="1"/>
  <c r="C23284" i="1"/>
  <c r="C23283" i="1"/>
  <c r="C23282" i="1"/>
  <c r="C23281" i="1"/>
  <c r="C23280" i="1"/>
  <c r="C23278" i="1"/>
  <c r="C23277" i="1"/>
  <c r="C23276" i="1"/>
  <c r="C23275" i="1"/>
  <c r="C23273" i="1"/>
  <c r="C23268" i="1"/>
  <c r="C23261" i="1"/>
  <c r="C23259" i="1"/>
  <c r="C23257" i="1"/>
  <c r="C23253" i="1"/>
  <c r="C23251" i="1"/>
  <c r="C23250" i="1"/>
  <c r="C23247" i="1"/>
  <c r="C23245" i="1"/>
  <c r="C23244" i="1"/>
  <c r="C23243" i="1"/>
  <c r="C23242" i="1"/>
  <c r="C23241" i="1"/>
  <c r="C23240" i="1"/>
  <c r="C23239" i="1"/>
  <c r="C23238" i="1"/>
  <c r="C23236" i="1"/>
  <c r="C23233" i="1"/>
  <c r="C23230" i="1"/>
  <c r="C23229" i="1"/>
  <c r="C23223" i="1"/>
  <c r="C23221" i="1"/>
  <c r="C23220" i="1"/>
  <c r="C23219" i="1"/>
  <c r="C23217" i="1"/>
  <c r="C23213" i="1"/>
  <c r="C23206" i="1"/>
  <c r="C23203" i="1"/>
  <c r="C23202" i="1"/>
  <c r="C23201" i="1"/>
  <c r="C23200" i="1"/>
  <c r="C23199" i="1"/>
  <c r="C23194" i="1"/>
  <c r="C23193" i="1"/>
  <c r="C23192" i="1"/>
  <c r="C23191" i="1"/>
  <c r="C23190" i="1"/>
  <c r="C23189" i="1"/>
  <c r="C23187" i="1"/>
  <c r="C23186" i="1"/>
  <c r="C23185" i="1"/>
  <c r="C23184" i="1"/>
  <c r="C23183" i="1"/>
  <c r="C23182" i="1"/>
  <c r="C23181" i="1"/>
  <c r="C23180" i="1"/>
  <c r="C23178" i="1"/>
  <c r="C23177" i="1"/>
  <c r="C23175" i="1"/>
  <c r="C23170" i="1"/>
  <c r="C23168" i="1"/>
  <c r="C23150" i="1"/>
  <c r="C23145" i="1"/>
  <c r="C23144" i="1"/>
  <c r="C23143" i="1"/>
  <c r="C23142" i="1"/>
  <c r="C23138" i="1"/>
  <c r="C23137" i="1"/>
  <c r="C23136" i="1"/>
  <c r="C23135" i="1"/>
  <c r="C23134" i="1"/>
  <c r="C23133" i="1"/>
  <c r="C23132" i="1"/>
  <c r="C23131" i="1"/>
  <c r="C23130" i="1"/>
  <c r="C23129" i="1"/>
  <c r="C23128" i="1"/>
  <c r="C23127" i="1"/>
  <c r="C23126" i="1"/>
  <c r="C23124" i="1"/>
  <c r="C23123" i="1"/>
  <c r="C23121" i="1"/>
  <c r="C23120" i="1"/>
  <c r="C23119" i="1"/>
  <c r="C23116" i="1"/>
  <c r="C23115" i="1"/>
  <c r="C23108" i="1"/>
  <c r="C23105" i="1"/>
  <c r="C23104" i="1"/>
  <c r="C23103" i="1"/>
  <c r="C23102" i="1"/>
  <c r="C23101" i="1"/>
  <c r="C23087" i="1"/>
  <c r="C23086" i="1"/>
  <c r="C23085" i="1"/>
  <c r="C23084" i="1"/>
  <c r="C23083" i="1"/>
  <c r="C23082" i="1"/>
  <c r="C23081" i="1"/>
  <c r="C23080" i="1"/>
  <c r="C23072" i="1"/>
  <c r="C23070" i="1"/>
  <c r="C23069" i="1"/>
  <c r="C23067" i="1"/>
  <c r="C23053" i="1"/>
  <c r="C23043" i="1"/>
  <c r="C23041" i="1"/>
  <c r="C23039" i="1"/>
  <c r="C23037" i="1"/>
  <c r="C23036" i="1"/>
  <c r="C23030" i="1"/>
  <c r="C23029" i="1"/>
  <c r="C23025" i="1"/>
  <c r="C23017" i="1"/>
  <c r="C23009" i="1"/>
  <c r="C22996" i="1"/>
  <c r="C22995" i="1"/>
  <c r="C22993" i="1"/>
  <c r="C22991" i="1"/>
  <c r="C22988" i="1"/>
  <c r="C22986" i="1"/>
  <c r="C22985" i="1"/>
  <c r="C22975" i="1"/>
  <c r="C22972" i="1"/>
  <c r="C22970" i="1"/>
  <c r="C22968" i="1"/>
  <c r="C22965" i="1"/>
  <c r="C22964" i="1"/>
  <c r="C22963" i="1"/>
  <c r="C22957" i="1"/>
  <c r="C22953" i="1"/>
  <c r="C22952" i="1"/>
  <c r="C22951" i="1"/>
  <c r="C22950" i="1"/>
  <c r="C22949" i="1"/>
  <c r="C22948" i="1"/>
  <c r="C22945" i="1"/>
  <c r="C22944" i="1"/>
  <c r="C22941" i="1"/>
  <c r="C22940" i="1"/>
  <c r="C22939" i="1"/>
  <c r="C22934" i="1"/>
  <c r="C22932" i="1"/>
  <c r="C22930" i="1"/>
  <c r="C22924" i="1"/>
  <c r="C22922" i="1"/>
  <c r="C22916" i="1"/>
  <c r="C22909" i="1"/>
  <c r="C22905" i="1"/>
  <c r="C22904" i="1"/>
  <c r="C22901" i="1"/>
  <c r="C22900" i="1"/>
  <c r="C22894" i="1"/>
  <c r="C22888" i="1"/>
  <c r="C22885" i="1"/>
  <c r="C22884" i="1"/>
  <c r="C22882" i="1"/>
  <c r="C22877" i="1"/>
  <c r="C22875" i="1"/>
  <c r="C22862" i="1"/>
  <c r="C22858" i="1"/>
  <c r="C22856" i="1"/>
  <c r="C22853" i="1"/>
  <c r="C22852" i="1"/>
  <c r="C22847" i="1"/>
  <c r="C22843" i="1"/>
  <c r="C22839" i="1"/>
  <c r="C22835" i="1"/>
  <c r="C22834" i="1"/>
  <c r="C22833" i="1"/>
  <c r="C22832" i="1"/>
  <c r="C22820" i="1"/>
  <c r="C22817" i="1"/>
  <c r="C22816" i="1"/>
  <c r="C22813" i="1"/>
  <c r="C22810" i="1"/>
  <c r="C22809" i="1"/>
  <c r="C22806" i="1"/>
  <c r="C22804" i="1"/>
  <c r="C22801" i="1"/>
  <c r="C22799" i="1"/>
  <c r="C22796" i="1"/>
  <c r="C22794" i="1"/>
  <c r="C22793" i="1"/>
  <c r="C22790" i="1"/>
  <c r="C22789" i="1"/>
  <c r="C22787" i="1"/>
  <c r="C22779" i="1"/>
  <c r="C22772" i="1"/>
  <c r="C22771" i="1"/>
  <c r="C22770" i="1"/>
  <c r="C22764" i="1"/>
  <c r="C22762" i="1"/>
  <c r="C22761" i="1"/>
  <c r="C22759" i="1"/>
  <c r="C22758" i="1"/>
  <c r="C22757" i="1"/>
  <c r="C22756" i="1"/>
  <c r="C22750" i="1"/>
  <c r="C22744" i="1"/>
  <c r="C22743" i="1"/>
  <c r="C22742" i="1"/>
  <c r="C22741" i="1"/>
  <c r="C22739" i="1"/>
  <c r="C22737" i="1"/>
  <c r="C22736" i="1"/>
  <c r="C22735" i="1"/>
  <c r="C22731" i="1"/>
  <c r="C22730" i="1"/>
  <c r="C22729" i="1"/>
  <c r="C22728" i="1"/>
  <c r="C22725" i="1"/>
  <c r="C22723" i="1"/>
  <c r="C22719" i="1"/>
  <c r="C22716" i="1"/>
  <c r="C22711" i="1"/>
  <c r="C22709" i="1"/>
  <c r="C22704" i="1"/>
  <c r="C22703" i="1"/>
  <c r="C22702" i="1"/>
  <c r="C22695" i="1"/>
  <c r="C22694" i="1"/>
  <c r="C22690" i="1"/>
  <c r="C22675" i="1"/>
  <c r="C22672" i="1"/>
  <c r="C22671" i="1"/>
  <c r="C22666" i="1"/>
  <c r="C22665" i="1"/>
  <c r="C22664" i="1"/>
  <c r="C22657" i="1"/>
  <c r="C22655" i="1"/>
  <c r="C22653" i="1"/>
  <c r="C22650" i="1"/>
  <c r="C22649" i="1"/>
  <c r="C22648" i="1"/>
  <c r="C22647" i="1"/>
  <c r="C22645" i="1"/>
  <c r="C22641" i="1"/>
  <c r="C22639" i="1"/>
  <c r="C22635" i="1"/>
  <c r="C22634" i="1"/>
  <c r="C22632" i="1"/>
  <c r="C22630" i="1"/>
  <c r="C22628" i="1"/>
  <c r="C22627" i="1"/>
  <c r="C22626" i="1"/>
  <c r="C22621" i="1"/>
  <c r="C22619" i="1"/>
  <c r="C22617" i="1"/>
  <c r="C22616" i="1"/>
  <c r="C22606" i="1"/>
  <c r="C22605" i="1"/>
  <c r="C22604" i="1"/>
  <c r="C22600" i="1"/>
  <c r="C22599" i="1"/>
  <c r="C22597" i="1"/>
  <c r="C22591" i="1"/>
  <c r="C22589" i="1"/>
  <c r="C22587" i="1"/>
  <c r="C22583" i="1"/>
  <c r="C22580" i="1"/>
  <c r="C22578" i="1"/>
  <c r="C22577" i="1"/>
  <c r="C22576" i="1"/>
  <c r="C22569" i="1"/>
  <c r="C22568" i="1"/>
  <c r="C22565" i="1"/>
  <c r="C22563" i="1"/>
  <c r="C22562" i="1"/>
  <c r="C22561" i="1"/>
  <c r="C22558" i="1"/>
  <c r="C22557" i="1"/>
  <c r="C22556" i="1"/>
  <c r="C22552" i="1"/>
  <c r="C22541" i="1"/>
  <c r="C22540" i="1"/>
  <c r="C22539" i="1"/>
  <c r="C22538" i="1"/>
  <c r="C22536" i="1"/>
  <c r="C22535" i="1"/>
  <c r="C22534" i="1"/>
  <c r="C22533" i="1"/>
  <c r="C22530" i="1"/>
  <c r="C22529" i="1"/>
  <c r="C22528" i="1"/>
  <c r="C22527" i="1"/>
  <c r="C22526" i="1"/>
  <c r="C22524" i="1"/>
  <c r="C22522" i="1"/>
  <c r="C22521" i="1"/>
  <c r="C22519" i="1"/>
  <c r="C22518" i="1"/>
  <c r="C22515" i="1"/>
  <c r="C22514" i="1"/>
  <c r="C22513" i="1"/>
  <c r="C22508" i="1"/>
  <c r="C22507" i="1"/>
  <c r="C22506" i="1"/>
  <c r="C22503" i="1"/>
  <c r="C22502" i="1"/>
  <c r="C22501" i="1"/>
  <c r="C22500" i="1"/>
  <c r="C22498" i="1"/>
  <c r="C22497" i="1"/>
  <c r="C22493" i="1"/>
  <c r="C22491" i="1"/>
  <c r="C22485" i="1"/>
  <c r="C22482" i="1"/>
  <c r="C22476" i="1"/>
  <c r="C22473" i="1"/>
  <c r="C22463" i="1"/>
  <c r="C22459" i="1"/>
  <c r="C22458" i="1"/>
  <c r="C22457" i="1"/>
  <c r="C22456" i="1"/>
  <c r="C22450" i="1"/>
  <c r="C22447" i="1"/>
  <c r="C22446" i="1"/>
  <c r="C22445" i="1"/>
  <c r="C22435" i="1"/>
  <c r="C22432" i="1"/>
  <c r="C22429" i="1"/>
  <c r="C22428" i="1"/>
  <c r="C22427" i="1"/>
  <c r="C22426" i="1"/>
  <c r="C22425" i="1"/>
  <c r="C22423" i="1"/>
  <c r="C22422" i="1"/>
  <c r="C22421" i="1"/>
  <c r="C22420" i="1"/>
  <c r="C22419" i="1"/>
  <c r="C22418" i="1"/>
  <c r="C22417" i="1"/>
  <c r="C22416" i="1"/>
  <c r="C22415" i="1"/>
  <c r="C22414" i="1"/>
  <c r="C22413" i="1"/>
  <c r="C22412" i="1"/>
  <c r="C22410" i="1"/>
  <c r="C22409" i="1"/>
  <c r="C22406" i="1"/>
  <c r="C22405" i="1"/>
  <c r="C22404" i="1"/>
  <c r="C22402" i="1"/>
  <c r="C22391" i="1"/>
  <c r="C22388" i="1"/>
  <c r="C22386" i="1"/>
  <c r="C22385" i="1"/>
  <c r="C22384" i="1"/>
  <c r="C22383" i="1"/>
  <c r="C22382" i="1"/>
  <c r="C22378" i="1"/>
  <c r="C22370" i="1"/>
  <c r="C22361" i="1"/>
  <c r="C22359" i="1"/>
  <c r="C22355" i="1"/>
  <c r="C22354" i="1"/>
  <c r="C22352" i="1"/>
  <c r="C22351" i="1"/>
  <c r="C22349" i="1"/>
  <c r="C22348" i="1"/>
  <c r="C22347" i="1"/>
  <c r="C22345" i="1"/>
  <c r="C22340" i="1"/>
  <c r="C22338" i="1"/>
  <c r="C22337" i="1"/>
  <c r="C22333" i="1"/>
  <c r="C22330" i="1"/>
  <c r="C22327" i="1"/>
  <c r="C22322" i="1"/>
  <c r="C22321" i="1"/>
  <c r="C22319" i="1"/>
  <c r="C22318" i="1"/>
  <c r="C22317" i="1"/>
  <c r="C22316" i="1"/>
  <c r="C22315" i="1"/>
  <c r="C22313" i="1"/>
  <c r="C22308" i="1"/>
  <c r="C22307" i="1"/>
  <c r="C22306" i="1"/>
  <c r="C22301" i="1"/>
  <c r="C22300" i="1"/>
  <c r="C22299" i="1"/>
  <c r="C22297" i="1"/>
  <c r="C22296" i="1"/>
  <c r="C22295" i="1"/>
  <c r="C22294" i="1"/>
  <c r="C22293" i="1"/>
  <c r="C22292" i="1"/>
  <c r="C22285" i="1"/>
  <c r="C22284" i="1"/>
  <c r="C22283" i="1"/>
  <c r="C22282" i="1"/>
  <c r="C22281" i="1"/>
  <c r="C22280" i="1"/>
  <c r="C22279" i="1"/>
  <c r="C22278" i="1"/>
  <c r="C22276" i="1"/>
  <c r="C22273" i="1"/>
  <c r="C22272" i="1"/>
  <c r="C22271" i="1"/>
  <c r="C22269" i="1"/>
  <c r="C22262" i="1"/>
  <c r="C22261" i="1"/>
  <c r="C22257" i="1"/>
  <c r="C22256" i="1"/>
  <c r="C22255" i="1"/>
  <c r="C22253" i="1"/>
  <c r="C22250" i="1"/>
  <c r="C22249" i="1"/>
  <c r="C22248" i="1"/>
  <c r="C22244" i="1"/>
  <c r="C22243" i="1"/>
  <c r="C22241" i="1"/>
  <c r="C22239" i="1"/>
  <c r="C22236" i="1"/>
  <c r="C22235" i="1"/>
  <c r="C22229" i="1"/>
  <c r="C22222" i="1"/>
  <c r="C22221" i="1"/>
  <c r="C22220" i="1"/>
  <c r="C22213" i="1"/>
  <c r="C22212" i="1"/>
  <c r="C22211" i="1"/>
  <c r="C22210" i="1"/>
  <c r="C22208" i="1"/>
  <c r="C22207" i="1"/>
  <c r="C22206" i="1"/>
  <c r="C22205" i="1"/>
  <c r="C22204" i="1"/>
  <c r="C22202" i="1"/>
  <c r="C22201" i="1"/>
  <c r="C22200" i="1"/>
  <c r="C22199" i="1"/>
  <c r="C22198" i="1"/>
  <c r="C22194" i="1"/>
  <c r="C22193" i="1"/>
  <c r="C22189" i="1"/>
  <c r="C22188" i="1"/>
  <c r="C22178" i="1"/>
  <c r="C22177" i="1"/>
  <c r="C22175" i="1"/>
  <c r="C22174" i="1"/>
  <c r="C22171" i="1"/>
  <c r="C22169" i="1"/>
  <c r="C22168" i="1"/>
  <c r="C22166" i="1"/>
  <c r="C22164" i="1"/>
  <c r="C22163" i="1"/>
  <c r="C22162" i="1"/>
  <c r="C22161" i="1"/>
  <c r="C22160" i="1"/>
  <c r="C22159" i="1"/>
  <c r="C22158" i="1"/>
  <c r="C22156" i="1"/>
  <c r="C22153" i="1"/>
  <c r="C22150" i="1"/>
  <c r="C22149" i="1"/>
  <c r="C22142" i="1"/>
  <c r="C22141" i="1"/>
  <c r="C22139" i="1"/>
  <c r="C22137" i="1"/>
  <c r="C22134" i="1"/>
  <c r="C22132" i="1"/>
  <c r="C22131" i="1"/>
  <c r="C22129" i="1"/>
  <c r="C22128" i="1"/>
  <c r="C22125" i="1"/>
  <c r="C22122" i="1"/>
  <c r="C22121" i="1"/>
  <c r="C22118" i="1"/>
  <c r="C22110" i="1"/>
  <c r="C22107" i="1"/>
  <c r="C22097" i="1"/>
  <c r="C22095" i="1"/>
  <c r="C22092" i="1"/>
  <c r="C22091" i="1"/>
  <c r="C22090" i="1"/>
  <c r="C22088" i="1"/>
  <c r="C22085" i="1"/>
  <c r="C22084" i="1"/>
  <c r="C22082" i="1"/>
  <c r="C22081" i="1"/>
  <c r="C22080" i="1"/>
  <c r="C22079" i="1"/>
  <c r="C22078" i="1"/>
  <c r="C22077" i="1"/>
  <c r="C22076" i="1"/>
  <c r="C22075" i="1"/>
  <c r="C22072" i="1"/>
  <c r="C22071" i="1"/>
  <c r="C22067" i="1"/>
  <c r="C22066" i="1"/>
  <c r="C22065" i="1"/>
  <c r="C22064" i="1"/>
  <c r="C22063" i="1"/>
  <c r="C22062" i="1"/>
  <c r="C22059" i="1"/>
  <c r="C22058" i="1"/>
  <c r="C22057" i="1"/>
  <c r="C22056" i="1"/>
  <c r="C22055" i="1"/>
  <c r="C22054" i="1"/>
  <c r="C22053" i="1"/>
  <c r="C22052" i="1"/>
  <c r="C22051" i="1"/>
  <c r="C22050" i="1"/>
  <c r="C22049" i="1"/>
  <c r="C22048" i="1"/>
  <c r="C22047" i="1"/>
  <c r="C22046" i="1"/>
  <c r="C22045" i="1"/>
  <c r="C22044" i="1"/>
  <c r="C22042" i="1"/>
  <c r="C22041" i="1"/>
  <c r="C22037" i="1"/>
  <c r="C22036" i="1"/>
  <c r="C22034" i="1"/>
  <c r="C22032" i="1"/>
  <c r="C22031" i="1"/>
  <c r="C22030" i="1"/>
  <c r="C22029" i="1"/>
  <c r="C22028" i="1"/>
  <c r="C22027" i="1"/>
  <c r="C22026" i="1"/>
  <c r="C22025" i="1"/>
  <c r="C22024" i="1"/>
  <c r="C22023" i="1"/>
  <c r="C22022" i="1"/>
  <c r="C22017" i="1"/>
  <c r="C22013" i="1"/>
  <c r="C22011" i="1"/>
  <c r="C22010" i="1"/>
  <c r="C22008" i="1"/>
  <c r="C22006" i="1"/>
  <c r="C22005" i="1"/>
  <c r="C22004" i="1"/>
  <c r="C21995" i="1"/>
  <c r="C21993" i="1"/>
  <c r="C21992" i="1"/>
  <c r="C21989" i="1"/>
  <c r="C21988" i="1"/>
  <c r="C21984" i="1"/>
  <c r="C21982" i="1"/>
  <c r="C21980" i="1"/>
  <c r="C21979" i="1"/>
  <c r="C21978" i="1"/>
  <c r="C21975" i="1"/>
  <c r="C21974" i="1"/>
  <c r="C21973" i="1"/>
  <c r="C21972" i="1"/>
  <c r="C21967" i="1"/>
  <c r="C21964" i="1"/>
  <c r="C21962" i="1"/>
  <c r="C21961" i="1"/>
  <c r="C21960" i="1"/>
  <c r="C21959" i="1"/>
  <c r="C21955" i="1"/>
  <c r="C21946" i="1"/>
  <c r="C21943" i="1"/>
  <c r="C21941" i="1"/>
  <c r="C21940" i="1"/>
  <c r="C21939" i="1"/>
  <c r="C21938" i="1"/>
  <c r="C21935" i="1"/>
  <c r="C21931" i="1"/>
  <c r="C21930" i="1"/>
  <c r="C21929" i="1"/>
  <c r="C21926" i="1"/>
  <c r="C21925" i="1"/>
  <c r="C21922" i="1"/>
  <c r="C21917" i="1"/>
  <c r="C21916" i="1"/>
  <c r="C21915" i="1"/>
  <c r="C21913" i="1"/>
  <c r="C21912" i="1"/>
  <c r="C21911" i="1"/>
  <c r="C21910" i="1"/>
  <c r="C21909" i="1"/>
  <c r="C21908" i="1"/>
  <c r="C21907" i="1"/>
  <c r="C21906" i="1"/>
  <c r="C21903" i="1"/>
  <c r="C21900" i="1"/>
  <c r="C21899" i="1"/>
  <c r="C21897" i="1"/>
  <c r="C21895" i="1"/>
  <c r="C21893" i="1"/>
  <c r="C21891" i="1"/>
  <c r="C21890" i="1"/>
  <c r="C21888" i="1"/>
  <c r="C21886" i="1"/>
  <c r="C21885" i="1"/>
  <c r="C21884" i="1"/>
  <c r="C21882" i="1"/>
  <c r="C21881" i="1"/>
  <c r="C21880" i="1"/>
  <c r="C21879" i="1"/>
  <c r="C21878" i="1"/>
  <c r="C21877" i="1"/>
  <c r="C21876" i="1"/>
  <c r="C21873" i="1"/>
  <c r="C21871" i="1"/>
  <c r="C21869" i="1"/>
  <c r="C21863" i="1"/>
  <c r="C21862" i="1"/>
  <c r="C21861" i="1"/>
  <c r="C21857" i="1"/>
  <c r="C21855" i="1"/>
  <c r="C21853" i="1"/>
  <c r="C21850" i="1"/>
  <c r="C21843" i="1"/>
  <c r="C21836" i="1"/>
  <c r="C21834" i="1"/>
  <c r="C21833" i="1"/>
  <c r="C21832" i="1"/>
  <c r="C21830" i="1"/>
  <c r="C21828" i="1"/>
  <c r="C21827" i="1"/>
  <c r="C21825" i="1"/>
  <c r="C21822" i="1"/>
  <c r="C21821" i="1"/>
  <c r="C21820" i="1"/>
  <c r="C21819" i="1"/>
  <c r="C21817" i="1"/>
  <c r="C21816" i="1"/>
  <c r="C21815" i="1"/>
  <c r="C21814" i="1"/>
  <c r="C21810" i="1"/>
  <c r="C21808" i="1"/>
  <c r="C21807" i="1"/>
  <c r="C21806" i="1"/>
  <c r="C21805" i="1"/>
  <c r="C21802" i="1"/>
  <c r="C21800" i="1"/>
  <c r="C21798" i="1"/>
  <c r="C21792" i="1"/>
  <c r="C21784" i="1"/>
  <c r="C21782" i="1"/>
  <c r="C21777" i="1"/>
  <c r="C21776" i="1"/>
  <c r="C21774" i="1"/>
  <c r="C21771" i="1"/>
  <c r="C21770" i="1"/>
  <c r="C21767" i="1"/>
  <c r="C21764" i="1"/>
  <c r="C21763" i="1"/>
  <c r="C21762" i="1"/>
  <c r="C21758" i="1"/>
  <c r="C21757" i="1"/>
  <c r="C21756" i="1"/>
  <c r="C21755" i="1"/>
  <c r="C21754" i="1"/>
  <c r="C21753" i="1"/>
  <c r="C21752" i="1"/>
  <c r="C21746" i="1"/>
  <c r="C21745" i="1"/>
  <c r="C21743" i="1"/>
  <c r="C21741" i="1"/>
  <c r="C21737" i="1"/>
  <c r="C21735" i="1"/>
  <c r="C21733" i="1"/>
  <c r="C21732" i="1"/>
  <c r="C21730" i="1"/>
  <c r="C21729" i="1"/>
  <c r="C21726" i="1"/>
  <c r="C21724" i="1"/>
  <c r="C21719" i="1"/>
  <c r="C21710" i="1"/>
  <c r="C21707" i="1"/>
  <c r="C21706" i="1"/>
  <c r="C21704" i="1"/>
  <c r="C21702" i="1"/>
  <c r="C21701" i="1"/>
  <c r="C21700" i="1"/>
  <c r="C21699" i="1"/>
  <c r="C21696" i="1"/>
  <c r="C21695" i="1"/>
  <c r="C21693" i="1"/>
  <c r="C21689" i="1"/>
  <c r="C21685" i="1"/>
  <c r="C21684" i="1"/>
  <c r="C21677" i="1"/>
  <c r="C21673" i="1"/>
  <c r="C21672" i="1"/>
  <c r="C21671" i="1"/>
  <c r="C21667" i="1"/>
  <c r="C21664" i="1"/>
  <c r="C21659" i="1"/>
  <c r="C21649" i="1"/>
  <c r="C21646" i="1"/>
  <c r="C21644" i="1"/>
  <c r="C21643" i="1"/>
  <c r="C21637" i="1"/>
  <c r="C21636" i="1"/>
  <c r="C21635" i="1"/>
  <c r="C21633" i="1"/>
  <c r="C21632" i="1"/>
  <c r="C21631" i="1"/>
  <c r="C21630" i="1"/>
  <c r="C21629" i="1"/>
  <c r="C21628" i="1"/>
  <c r="C21626" i="1"/>
  <c r="C21624" i="1"/>
  <c r="C21623" i="1"/>
  <c r="C21621" i="1"/>
  <c r="C21620" i="1"/>
  <c r="C21614" i="1"/>
  <c r="C21611" i="1"/>
  <c r="C21610" i="1"/>
  <c r="C21609" i="1"/>
  <c r="C21608" i="1"/>
  <c r="C21607" i="1"/>
  <c r="C21606" i="1"/>
  <c r="C21605" i="1"/>
  <c r="C21604" i="1"/>
  <c r="C21603" i="1"/>
  <c r="C21602" i="1"/>
  <c r="C21601" i="1"/>
  <c r="C21599" i="1"/>
  <c r="C21597" i="1"/>
  <c r="C21595" i="1"/>
  <c r="C21594" i="1"/>
  <c r="C21593" i="1"/>
  <c r="C21589" i="1"/>
  <c r="C21588" i="1"/>
  <c r="C21587" i="1"/>
  <c r="C21586" i="1"/>
  <c r="C21584" i="1"/>
  <c r="C21583" i="1"/>
  <c r="C21582" i="1"/>
  <c r="C21580" i="1"/>
  <c r="C21579" i="1"/>
  <c r="C21578" i="1"/>
  <c r="C21575" i="1"/>
  <c r="C21574" i="1"/>
  <c r="C21573" i="1"/>
  <c r="C21572" i="1"/>
  <c r="C21571" i="1"/>
  <c r="C21567" i="1"/>
  <c r="C21565" i="1"/>
  <c r="C21564" i="1"/>
  <c r="C21563" i="1"/>
  <c r="C21562" i="1"/>
  <c r="C21552" i="1"/>
  <c r="C21551" i="1"/>
  <c r="C21550" i="1"/>
  <c r="C21549" i="1"/>
  <c r="C21543" i="1"/>
  <c r="C21541" i="1"/>
  <c r="C21538" i="1"/>
  <c r="C21535" i="1"/>
  <c r="C21528" i="1"/>
  <c r="C21525" i="1"/>
  <c r="C21524" i="1"/>
  <c r="C21523" i="1"/>
  <c r="C21520" i="1"/>
  <c r="C21519" i="1"/>
  <c r="C21516" i="1"/>
  <c r="C21515" i="1"/>
  <c r="C21514" i="1"/>
  <c r="C21513" i="1"/>
  <c r="C21511" i="1"/>
  <c r="C21510" i="1"/>
  <c r="C21504" i="1"/>
  <c r="C21502" i="1"/>
  <c r="C21500" i="1"/>
  <c r="C21498" i="1"/>
  <c r="C21497" i="1"/>
  <c r="C21496" i="1"/>
  <c r="C21493" i="1"/>
  <c r="C21492" i="1"/>
  <c r="C21487" i="1"/>
  <c r="C21486" i="1"/>
  <c r="C21485" i="1"/>
  <c r="C21480" i="1"/>
  <c r="C21474" i="1"/>
  <c r="C21473" i="1"/>
  <c r="C21472" i="1"/>
  <c r="C21466" i="1"/>
  <c r="C21464" i="1"/>
  <c r="C21463" i="1"/>
  <c r="C21462" i="1"/>
  <c r="C21461" i="1"/>
  <c r="C21459" i="1"/>
  <c r="C21457" i="1"/>
  <c r="C21454" i="1"/>
  <c r="C21450" i="1"/>
  <c r="C21445" i="1"/>
  <c r="C21442" i="1"/>
  <c r="C21436" i="1"/>
  <c r="C21435" i="1"/>
  <c r="C21433" i="1"/>
  <c r="C21432" i="1"/>
  <c r="C21427" i="1"/>
  <c r="C21424" i="1"/>
  <c r="C21422" i="1"/>
  <c r="C21421" i="1"/>
  <c r="C21420" i="1"/>
  <c r="C21418" i="1"/>
  <c r="C21417" i="1"/>
  <c r="C21416" i="1"/>
  <c r="C21415" i="1"/>
  <c r="C21414" i="1"/>
  <c r="C21412" i="1"/>
  <c r="C21410" i="1"/>
  <c r="C21408" i="1"/>
  <c r="C21407" i="1"/>
  <c r="C21406" i="1"/>
  <c r="C21401" i="1"/>
  <c r="C21399" i="1"/>
  <c r="C21398" i="1"/>
  <c r="C21396" i="1"/>
  <c r="C21395" i="1"/>
  <c r="C21392" i="1"/>
  <c r="C21391" i="1"/>
  <c r="C21387" i="1"/>
  <c r="C21379" i="1"/>
  <c r="C21378" i="1"/>
  <c r="C21376" i="1"/>
  <c r="C21374" i="1"/>
  <c r="C21373" i="1"/>
  <c r="C21370" i="1"/>
  <c r="C21360" i="1"/>
  <c r="C21346" i="1"/>
  <c r="C21345" i="1"/>
  <c r="C21336" i="1"/>
  <c r="C21333" i="1"/>
  <c r="C21331" i="1"/>
  <c r="C21327" i="1"/>
  <c r="C21324" i="1"/>
  <c r="C21323" i="1"/>
  <c r="C21322" i="1"/>
  <c r="C21304" i="1"/>
  <c r="C21293" i="1"/>
  <c r="C21292" i="1"/>
  <c r="C21291" i="1"/>
  <c r="C21290" i="1"/>
  <c r="C21283" i="1"/>
  <c r="C21281" i="1"/>
  <c r="C21277" i="1"/>
  <c r="C21276" i="1"/>
  <c r="C21275" i="1"/>
  <c r="C21272" i="1"/>
  <c r="C21261" i="1"/>
  <c r="C21242" i="1"/>
  <c r="C21241" i="1"/>
  <c r="C21240" i="1"/>
  <c r="C21239" i="1"/>
  <c r="C21238" i="1"/>
  <c r="C21236" i="1"/>
  <c r="C21234" i="1"/>
  <c r="C21233" i="1"/>
  <c r="C21231" i="1"/>
  <c r="C21229" i="1"/>
  <c r="C21223" i="1"/>
  <c r="C21217" i="1"/>
  <c r="C21215" i="1"/>
  <c r="C21211" i="1"/>
  <c r="C21209" i="1"/>
  <c r="C21207" i="1"/>
  <c r="C21206" i="1"/>
  <c r="C21205" i="1"/>
  <c r="C21194" i="1"/>
  <c r="C21193" i="1"/>
  <c r="C21191" i="1"/>
  <c r="C21189" i="1"/>
  <c r="C21188" i="1"/>
  <c r="C21187" i="1"/>
  <c r="C21185" i="1"/>
  <c r="C21184" i="1"/>
  <c r="C21183" i="1"/>
  <c r="C21180" i="1"/>
  <c r="C21175" i="1"/>
  <c r="C21174" i="1"/>
  <c r="C21173" i="1"/>
  <c r="C21171" i="1"/>
  <c r="C21170" i="1"/>
  <c r="C21166" i="1"/>
  <c r="C21165" i="1"/>
  <c r="C21164" i="1"/>
  <c r="C21161" i="1"/>
  <c r="C21159" i="1"/>
  <c r="C21157" i="1"/>
  <c r="C21149" i="1"/>
  <c r="C21148" i="1"/>
  <c r="C21143" i="1"/>
  <c r="C21142" i="1"/>
  <c r="C21140" i="1"/>
  <c r="C21139" i="1"/>
  <c r="C21138" i="1"/>
  <c r="C21134" i="1"/>
  <c r="C21133" i="1"/>
  <c r="C21132" i="1"/>
  <c r="C21130" i="1"/>
  <c r="C21123" i="1"/>
  <c r="C21122" i="1"/>
  <c r="C21119" i="1"/>
  <c r="C21118" i="1"/>
  <c r="C21117" i="1"/>
  <c r="C21116" i="1"/>
  <c r="C21111" i="1"/>
  <c r="C21110" i="1"/>
  <c r="C21109" i="1"/>
  <c r="C21107" i="1"/>
  <c r="C21104" i="1"/>
  <c r="C21103" i="1"/>
  <c r="C21102" i="1"/>
  <c r="C21101" i="1"/>
  <c r="C21096" i="1"/>
  <c r="C21094" i="1"/>
  <c r="C21093" i="1"/>
  <c r="C21092" i="1"/>
  <c r="C21091" i="1"/>
  <c r="C21090" i="1"/>
  <c r="C21089" i="1"/>
  <c r="C21086" i="1"/>
  <c r="C21084" i="1"/>
  <c r="C21083" i="1"/>
  <c r="C21082" i="1"/>
  <c r="C21080" i="1"/>
  <c r="C21076" i="1"/>
  <c r="C21074" i="1"/>
  <c r="C21072" i="1"/>
  <c r="C21069" i="1"/>
  <c r="C21068" i="1"/>
  <c r="C21067" i="1"/>
  <c r="C21065" i="1"/>
  <c r="C21064" i="1"/>
  <c r="C21062" i="1"/>
  <c r="C21060" i="1"/>
  <c r="C21059" i="1"/>
  <c r="C21058" i="1"/>
  <c r="C21053" i="1"/>
  <c r="C21041" i="1"/>
  <c r="C21040" i="1"/>
  <c r="C21034" i="1"/>
  <c r="C21031" i="1"/>
  <c r="C21030" i="1"/>
  <c r="C21029" i="1"/>
  <c r="C21028" i="1"/>
  <c r="C21027" i="1"/>
  <c r="C21026" i="1"/>
  <c r="C21023" i="1"/>
  <c r="C21022" i="1"/>
  <c r="C21017" i="1"/>
  <c r="C21016" i="1"/>
  <c r="C21013" i="1"/>
  <c r="C21011" i="1"/>
  <c r="C21006" i="1"/>
  <c r="C21003" i="1"/>
  <c r="C21002" i="1"/>
  <c r="C20999" i="1"/>
  <c r="C20998" i="1"/>
  <c r="C20994" i="1"/>
  <c r="C20993" i="1"/>
  <c r="C20992" i="1"/>
  <c r="C20990" i="1"/>
  <c r="C20988" i="1"/>
  <c r="C20986" i="1"/>
  <c r="C20984" i="1"/>
  <c r="C20981" i="1"/>
  <c r="C20978" i="1"/>
  <c r="C20972" i="1"/>
  <c r="C20970" i="1"/>
  <c r="C20961" i="1"/>
  <c r="C20959" i="1"/>
  <c r="C20958" i="1"/>
  <c r="C20943" i="1"/>
  <c r="C20942" i="1"/>
  <c r="C20941" i="1"/>
  <c r="C20938" i="1"/>
  <c r="C20937" i="1"/>
  <c r="C20935" i="1"/>
  <c r="C20934" i="1"/>
  <c r="C20933" i="1"/>
  <c r="C20932" i="1"/>
  <c r="C20931" i="1"/>
  <c r="C20930" i="1"/>
  <c r="C20928" i="1"/>
  <c r="C20927" i="1"/>
  <c r="C20926" i="1"/>
  <c r="C20925" i="1"/>
  <c r="C20924" i="1"/>
  <c r="C20921" i="1"/>
  <c r="C20919" i="1"/>
  <c r="C20915" i="1"/>
  <c r="C20914" i="1"/>
  <c r="C20913" i="1"/>
  <c r="C20910" i="1"/>
  <c r="C20907" i="1"/>
  <c r="C20901" i="1"/>
  <c r="C20898" i="1"/>
  <c r="C20896" i="1"/>
  <c r="C20895" i="1"/>
  <c r="C20886" i="1"/>
  <c r="C20882" i="1"/>
  <c r="C20879" i="1"/>
  <c r="C20878" i="1"/>
  <c r="C20877" i="1"/>
  <c r="C20876" i="1"/>
  <c r="C20873" i="1"/>
  <c r="C20872" i="1"/>
  <c r="C20866" i="1"/>
  <c r="C20863" i="1"/>
  <c r="C20860" i="1"/>
  <c r="C20857" i="1"/>
  <c r="C20855" i="1"/>
  <c r="C20853" i="1"/>
  <c r="C20852" i="1"/>
  <c r="C20849" i="1"/>
  <c r="C20847" i="1"/>
  <c r="C20842" i="1"/>
  <c r="C20832" i="1"/>
  <c r="C20829" i="1"/>
  <c r="C20827" i="1"/>
  <c r="C20823" i="1"/>
  <c r="C20822" i="1"/>
  <c r="C20821" i="1"/>
  <c r="C20820" i="1"/>
  <c r="C20819" i="1"/>
  <c r="C20818" i="1"/>
  <c r="C20817" i="1"/>
  <c r="C20816" i="1"/>
  <c r="C20813" i="1"/>
  <c r="C20812" i="1"/>
  <c r="C20805" i="1"/>
  <c r="C20803" i="1"/>
  <c r="C20800" i="1"/>
  <c r="C20798" i="1"/>
  <c r="C20796" i="1"/>
  <c r="C20790" i="1"/>
  <c r="C20789" i="1"/>
  <c r="C20786" i="1"/>
  <c r="C20783" i="1"/>
  <c r="C20782" i="1"/>
  <c r="C20781" i="1"/>
  <c r="C20780" i="1"/>
  <c r="C20773" i="1"/>
  <c r="C20770" i="1"/>
  <c r="C20767" i="1"/>
  <c r="C20766" i="1"/>
  <c r="C20765" i="1"/>
  <c r="C20763" i="1"/>
  <c r="C20748" i="1"/>
  <c r="C20741" i="1"/>
  <c r="C20738" i="1"/>
  <c r="C20733" i="1"/>
  <c r="C20731" i="1"/>
  <c r="C20725" i="1"/>
  <c r="C20720" i="1"/>
  <c r="C20719" i="1"/>
  <c r="C20718" i="1"/>
  <c r="C20717" i="1"/>
  <c r="C20716" i="1"/>
  <c r="C20709" i="1"/>
  <c r="C20707" i="1"/>
  <c r="C20704" i="1"/>
  <c r="C20703" i="1"/>
  <c r="C20702" i="1"/>
  <c r="C20694" i="1"/>
  <c r="C20690" i="1"/>
  <c r="C20686" i="1"/>
  <c r="C20683" i="1"/>
  <c r="C20682" i="1"/>
  <c r="C20681" i="1"/>
  <c r="C20678" i="1"/>
  <c r="C20677" i="1"/>
  <c r="C20676" i="1"/>
  <c r="C20675" i="1"/>
  <c r="C20673" i="1"/>
  <c r="C20671" i="1"/>
  <c r="C20668" i="1"/>
  <c r="C20667" i="1"/>
  <c r="C20665" i="1"/>
  <c r="C20664" i="1"/>
  <c r="C20663" i="1"/>
  <c r="C20662" i="1"/>
  <c r="C20661" i="1"/>
  <c r="C20660" i="1"/>
  <c r="C20659" i="1"/>
  <c r="C20658" i="1"/>
  <c r="C20657" i="1"/>
  <c r="C20654" i="1"/>
  <c r="C20652" i="1"/>
  <c r="C20650" i="1"/>
  <c r="C20649" i="1"/>
  <c r="C20648" i="1"/>
  <c r="C20647" i="1"/>
  <c r="C20646" i="1"/>
  <c r="C20645" i="1"/>
  <c r="C20643" i="1"/>
  <c r="C20635" i="1"/>
  <c r="C20634" i="1"/>
  <c r="C20631" i="1"/>
  <c r="C20630" i="1"/>
  <c r="C20629" i="1"/>
  <c r="C20628" i="1"/>
  <c r="C20624" i="1"/>
  <c r="C20623" i="1"/>
  <c r="C20622" i="1"/>
  <c r="C20620" i="1"/>
  <c r="C20619" i="1"/>
  <c r="C20618" i="1"/>
  <c r="C20616" i="1"/>
  <c r="C20613" i="1"/>
  <c r="C20612" i="1"/>
  <c r="C20603" i="1"/>
  <c r="C20602" i="1"/>
  <c r="C20601" i="1"/>
  <c r="C20598" i="1"/>
  <c r="C20594" i="1"/>
  <c r="C20592" i="1"/>
  <c r="C20591" i="1"/>
  <c r="C20590" i="1"/>
  <c r="C20589" i="1"/>
  <c r="C20584" i="1"/>
  <c r="C20583" i="1"/>
  <c r="C20574" i="1"/>
  <c r="C20569" i="1"/>
  <c r="C20565" i="1"/>
  <c r="C20563" i="1"/>
  <c r="C20561" i="1"/>
  <c r="C20556" i="1"/>
  <c r="C20554" i="1"/>
  <c r="C20553" i="1"/>
  <c r="C20552" i="1"/>
  <c r="C20547" i="1"/>
  <c r="C20542" i="1"/>
  <c r="C20538" i="1"/>
  <c r="C20535" i="1"/>
  <c r="C20534" i="1"/>
  <c r="C20531" i="1"/>
  <c r="C20530" i="1"/>
  <c r="C20528" i="1"/>
  <c r="C20527" i="1"/>
  <c r="C20525" i="1"/>
  <c r="C20524" i="1"/>
  <c r="C20517" i="1"/>
  <c r="C20515" i="1"/>
  <c r="C20514" i="1"/>
  <c r="C20512" i="1"/>
  <c r="C20508" i="1"/>
  <c r="C20507" i="1"/>
  <c r="C20506" i="1"/>
  <c r="C20505" i="1"/>
  <c r="C20503" i="1"/>
  <c r="C20502" i="1"/>
  <c r="C20501" i="1"/>
  <c r="C20500" i="1"/>
  <c r="C20498" i="1"/>
  <c r="C20497" i="1"/>
  <c r="C20496" i="1"/>
  <c r="C20495" i="1"/>
  <c r="C20494" i="1"/>
  <c r="C20493" i="1"/>
  <c r="C20492" i="1"/>
  <c r="C20490" i="1"/>
  <c r="C20482" i="1"/>
  <c r="C20481" i="1"/>
  <c r="C20479" i="1"/>
  <c r="C20478" i="1"/>
  <c r="C20477" i="1"/>
  <c r="C20476" i="1"/>
  <c r="C20474" i="1"/>
  <c r="C20473" i="1"/>
  <c r="C20472" i="1"/>
  <c r="C20471" i="1"/>
  <c r="C20470" i="1"/>
  <c r="C20469" i="1"/>
  <c r="C20468" i="1"/>
  <c r="C20467" i="1"/>
  <c r="C20466" i="1"/>
  <c r="C20464" i="1"/>
  <c r="C20459" i="1"/>
  <c r="C20458" i="1"/>
  <c r="C20453" i="1"/>
  <c r="C20452" i="1"/>
  <c r="C20451" i="1"/>
  <c r="C20450" i="1"/>
  <c r="C20449" i="1"/>
  <c r="C20448" i="1"/>
  <c r="C20447" i="1"/>
  <c r="C20446" i="1"/>
  <c r="C20445" i="1"/>
  <c r="C20444" i="1"/>
  <c r="C20443" i="1"/>
  <c r="C20442" i="1"/>
  <c r="C20438" i="1"/>
  <c r="C20435" i="1"/>
  <c r="C20432" i="1"/>
  <c r="C20429" i="1"/>
  <c r="C20427" i="1"/>
  <c r="C20426" i="1"/>
  <c r="C20425" i="1"/>
  <c r="C20424" i="1"/>
  <c r="C20423" i="1"/>
  <c r="C20422" i="1"/>
  <c r="C20421" i="1"/>
  <c r="C20420" i="1"/>
  <c r="C20419" i="1"/>
  <c r="C20418" i="1"/>
  <c r="C20410" i="1"/>
  <c r="C20409" i="1"/>
  <c r="C20397" i="1"/>
  <c r="C20396" i="1"/>
  <c r="C20395" i="1"/>
  <c r="C20393" i="1"/>
  <c r="C20392" i="1"/>
  <c r="C20379" i="1"/>
  <c r="C20378" i="1"/>
  <c r="C20377" i="1"/>
  <c r="C20376" i="1"/>
  <c r="C20372" i="1"/>
  <c r="C20370" i="1"/>
  <c r="C20369" i="1"/>
  <c r="C20367" i="1"/>
  <c r="C20363" i="1"/>
  <c r="C20362" i="1"/>
  <c r="C20355" i="1"/>
  <c r="C20353" i="1"/>
  <c r="C20350" i="1"/>
  <c r="C20347" i="1"/>
  <c r="C20346" i="1"/>
  <c r="C20345" i="1"/>
  <c r="C20344" i="1"/>
  <c r="C20340" i="1"/>
  <c r="C20337" i="1"/>
  <c r="C20326" i="1"/>
  <c r="C20324" i="1"/>
  <c r="C20321" i="1"/>
  <c r="C20319" i="1"/>
  <c r="C20318" i="1"/>
  <c r="C20317" i="1"/>
  <c r="C20306" i="1"/>
  <c r="C20305" i="1"/>
  <c r="C20304" i="1"/>
  <c r="C20303" i="1"/>
  <c r="C20300" i="1"/>
  <c r="C20297" i="1"/>
  <c r="C20296" i="1"/>
  <c r="C20290" i="1"/>
  <c r="C20289" i="1"/>
  <c r="C20288" i="1"/>
  <c r="C20287" i="1"/>
  <c r="C20284" i="1"/>
  <c r="C20283" i="1"/>
  <c r="C20278" i="1"/>
  <c r="C20276" i="1"/>
  <c r="C20273" i="1"/>
  <c r="C20272" i="1"/>
  <c r="C20270" i="1"/>
  <c r="C20269" i="1"/>
  <c r="C20268" i="1"/>
  <c r="C20267" i="1"/>
  <c r="C20266" i="1"/>
  <c r="C20262" i="1"/>
  <c r="C20254" i="1"/>
  <c r="C20253" i="1"/>
  <c r="C20251" i="1"/>
  <c r="C20250" i="1"/>
  <c r="C20246" i="1"/>
  <c r="C20241" i="1"/>
  <c r="C20235" i="1"/>
  <c r="C20230" i="1"/>
  <c r="C20229" i="1"/>
  <c r="C20227" i="1"/>
  <c r="C20226" i="1"/>
  <c r="C20219" i="1"/>
  <c r="C20217" i="1"/>
  <c r="C20216" i="1"/>
  <c r="C20214" i="1"/>
  <c r="C20213" i="1"/>
  <c r="C20204" i="1"/>
  <c r="C20202" i="1"/>
  <c r="C20197" i="1"/>
  <c r="C20189" i="1"/>
  <c r="C20186" i="1"/>
  <c r="C20185" i="1"/>
  <c r="C20184" i="1"/>
  <c r="C20183" i="1"/>
  <c r="C20182" i="1"/>
  <c r="C20181" i="1"/>
  <c r="C20180" i="1"/>
  <c r="C20179" i="1"/>
  <c r="C20178" i="1"/>
  <c r="C20173" i="1"/>
  <c r="C20170" i="1"/>
  <c r="C20160" i="1"/>
  <c r="C20159" i="1"/>
  <c r="C20158" i="1"/>
  <c r="C20157" i="1"/>
  <c r="C20156" i="1"/>
  <c r="C20154" i="1"/>
  <c r="C20152" i="1"/>
  <c r="C20151" i="1"/>
  <c r="C20148" i="1"/>
  <c r="C20144" i="1"/>
  <c r="C20142" i="1"/>
  <c r="C20141" i="1"/>
  <c r="C20140" i="1"/>
  <c r="C20139" i="1"/>
  <c r="C20138" i="1"/>
  <c r="C20136" i="1"/>
  <c r="C20132" i="1"/>
  <c r="C20130" i="1"/>
  <c r="C20129" i="1"/>
  <c r="C20127" i="1"/>
  <c r="C20126" i="1"/>
  <c r="C20124" i="1"/>
  <c r="C20122" i="1"/>
  <c r="C20119" i="1"/>
  <c r="C20116" i="1"/>
  <c r="C20111" i="1"/>
  <c r="C20110" i="1"/>
  <c r="C20109" i="1"/>
  <c r="C20104" i="1"/>
  <c r="C20103" i="1"/>
  <c r="C20102" i="1"/>
  <c r="C20101" i="1"/>
  <c r="C20099" i="1"/>
  <c r="C20098" i="1"/>
  <c r="C20095" i="1"/>
  <c r="C20094" i="1"/>
  <c r="C20093" i="1"/>
  <c r="C20089" i="1"/>
  <c r="C20087" i="1"/>
  <c r="C20085" i="1"/>
  <c r="C20080" i="1"/>
  <c r="C20077" i="1"/>
  <c r="C20075" i="1"/>
  <c r="C20073" i="1"/>
  <c r="C20072" i="1"/>
  <c r="C20071" i="1"/>
  <c r="C20066" i="1"/>
  <c r="C20065" i="1"/>
  <c r="C20064" i="1"/>
  <c r="C20063" i="1"/>
  <c r="C20062" i="1"/>
  <c r="C20061" i="1"/>
  <c r="C20053" i="1"/>
  <c r="C20050" i="1"/>
  <c r="C20049" i="1"/>
  <c r="C20048" i="1"/>
  <c r="C20047" i="1"/>
  <c r="C20046" i="1"/>
  <c r="C20044" i="1"/>
  <c r="C20043" i="1"/>
  <c r="C20041" i="1"/>
  <c r="C20040" i="1"/>
  <c r="C20024" i="1"/>
  <c r="C20023" i="1"/>
  <c r="C20021" i="1"/>
  <c r="C20020" i="1"/>
  <c r="C20019" i="1"/>
  <c r="C20016" i="1"/>
  <c r="C20011" i="1"/>
  <c r="C20010" i="1"/>
  <c r="C20008" i="1"/>
  <c r="C20004" i="1"/>
  <c r="C20003" i="1"/>
  <c r="C20001" i="1"/>
  <c r="C20000" i="1"/>
  <c r="C19999" i="1"/>
  <c r="C19997" i="1"/>
  <c r="C19996" i="1"/>
  <c r="C19995" i="1"/>
  <c r="C19994" i="1"/>
  <c r="C19993" i="1"/>
  <c r="C19985" i="1"/>
  <c r="C19970" i="1"/>
  <c r="C19968" i="1"/>
  <c r="C19966" i="1"/>
  <c r="C19961" i="1"/>
  <c r="C19946" i="1"/>
  <c r="C19945" i="1"/>
  <c r="C19943" i="1"/>
  <c r="C19940" i="1"/>
  <c r="C19937" i="1"/>
  <c r="C19932" i="1"/>
  <c r="C19929" i="1"/>
  <c r="C19926" i="1"/>
  <c r="C19925" i="1"/>
  <c r="C19923" i="1"/>
  <c r="C19920" i="1"/>
  <c r="C19919" i="1"/>
  <c r="C19918" i="1"/>
  <c r="C19915" i="1"/>
  <c r="C19908" i="1"/>
  <c r="C19905" i="1"/>
  <c r="C19904" i="1"/>
  <c r="C19901" i="1"/>
  <c r="C19898" i="1"/>
  <c r="C19897" i="1"/>
  <c r="C19896" i="1"/>
  <c r="C19894" i="1"/>
  <c r="C19893" i="1"/>
  <c r="C19892" i="1"/>
  <c r="C19891" i="1"/>
  <c r="C19890" i="1"/>
  <c r="C19888" i="1"/>
  <c r="C19884" i="1"/>
  <c r="C19881" i="1"/>
  <c r="C19879" i="1"/>
  <c r="C19872" i="1"/>
  <c r="C19870" i="1"/>
  <c r="C19869" i="1"/>
  <c r="C19867" i="1"/>
  <c r="C19866" i="1"/>
  <c r="C19863" i="1"/>
  <c r="C19858" i="1"/>
  <c r="C19857" i="1"/>
  <c r="C19856" i="1"/>
  <c r="C19855" i="1"/>
  <c r="C19854" i="1"/>
  <c r="C19853" i="1"/>
  <c r="C19852" i="1"/>
  <c r="C19851" i="1"/>
  <c r="C19848" i="1"/>
  <c r="C19845" i="1"/>
  <c r="C19844" i="1"/>
  <c r="C19842" i="1"/>
  <c r="C19841" i="1"/>
  <c r="C19840" i="1"/>
  <c r="C19835" i="1"/>
  <c r="C19834" i="1"/>
  <c r="C19832" i="1"/>
  <c r="C19831" i="1"/>
  <c r="C19830" i="1"/>
  <c r="C19828" i="1"/>
  <c r="C19815" i="1"/>
  <c r="C19813" i="1"/>
  <c r="C19811" i="1"/>
  <c r="C19809" i="1"/>
  <c r="C19808" i="1"/>
  <c r="C19806" i="1"/>
  <c r="C19805" i="1"/>
  <c r="C19804" i="1"/>
  <c r="C19803" i="1"/>
  <c r="C19801" i="1"/>
  <c r="C19800" i="1"/>
  <c r="C19799" i="1"/>
  <c r="C19797" i="1"/>
  <c r="C19796" i="1"/>
  <c r="C19795" i="1"/>
  <c r="C19793" i="1"/>
  <c r="C19785" i="1"/>
  <c r="C19782" i="1"/>
  <c r="C19780" i="1"/>
  <c r="C19779" i="1"/>
  <c r="C19774" i="1"/>
  <c r="C19773" i="1"/>
  <c r="C19772" i="1"/>
  <c r="C19770" i="1"/>
  <c r="C19767" i="1"/>
  <c r="C19765" i="1"/>
  <c r="C19760" i="1"/>
  <c r="C19758" i="1"/>
  <c r="C19757" i="1"/>
  <c r="C19755" i="1"/>
  <c r="C19754" i="1"/>
  <c r="C19752" i="1"/>
  <c r="C19748" i="1"/>
  <c r="C19746" i="1"/>
  <c r="C19744" i="1"/>
  <c r="C19743" i="1"/>
  <c r="C19742" i="1"/>
  <c r="C19741" i="1"/>
  <c r="C19740" i="1"/>
  <c r="C19738" i="1"/>
  <c r="C19737" i="1"/>
  <c r="C19736" i="1"/>
  <c r="C19735" i="1"/>
  <c r="C19734" i="1"/>
  <c r="C19731" i="1"/>
  <c r="C19722" i="1"/>
  <c r="C19721" i="1"/>
  <c r="C19716" i="1"/>
  <c r="C19715" i="1"/>
  <c r="C19714" i="1"/>
  <c r="C19712" i="1"/>
  <c r="C19711" i="1"/>
  <c r="C19710" i="1"/>
  <c r="C19708" i="1"/>
  <c r="C19705" i="1"/>
  <c r="C19704" i="1"/>
  <c r="C19703" i="1"/>
  <c r="C19702" i="1"/>
  <c r="C19701" i="1"/>
  <c r="C19693" i="1"/>
  <c r="C19692" i="1"/>
  <c r="C19691" i="1"/>
  <c r="C19689" i="1"/>
  <c r="C19687" i="1"/>
  <c r="C19686" i="1"/>
  <c r="C19685" i="1"/>
  <c r="C19684" i="1"/>
  <c r="C19681" i="1"/>
  <c r="C19680" i="1"/>
  <c r="C19679" i="1"/>
  <c r="C19678" i="1"/>
  <c r="C19677" i="1"/>
  <c r="C19675" i="1"/>
  <c r="C19674" i="1"/>
  <c r="C19673" i="1"/>
  <c r="C19671" i="1"/>
  <c r="C19666" i="1"/>
  <c r="C19664" i="1"/>
  <c r="C19663" i="1"/>
  <c r="C19662" i="1"/>
  <c r="C19661" i="1"/>
  <c r="C19660" i="1"/>
  <c r="C19651" i="1"/>
  <c r="C19649" i="1"/>
  <c r="C19645" i="1"/>
  <c r="C19644" i="1"/>
  <c r="C19643" i="1"/>
  <c r="C19642" i="1"/>
  <c r="C19640" i="1"/>
  <c r="C19638" i="1"/>
  <c r="C19637" i="1"/>
  <c r="C19636" i="1"/>
  <c r="C19634" i="1"/>
  <c r="C19628" i="1"/>
  <c r="C19627" i="1"/>
  <c r="C19626" i="1"/>
  <c r="C19625" i="1"/>
  <c r="C19624" i="1"/>
  <c r="C19623" i="1"/>
  <c r="C19616" i="1"/>
  <c r="C19615" i="1"/>
  <c r="C19614" i="1"/>
  <c r="C19609" i="1"/>
  <c r="C19607" i="1"/>
  <c r="C19604" i="1"/>
  <c r="C19601" i="1"/>
  <c r="C19596" i="1"/>
  <c r="C19595" i="1"/>
  <c r="C19591" i="1"/>
  <c r="C19589" i="1"/>
  <c r="C19586" i="1"/>
  <c r="C19585" i="1"/>
  <c r="C19579" i="1"/>
  <c r="C19578" i="1"/>
  <c r="C19577" i="1"/>
  <c r="C19576" i="1"/>
  <c r="C19568" i="1"/>
  <c r="C19567" i="1"/>
  <c r="C19565" i="1"/>
  <c r="C19564" i="1"/>
  <c r="C19560" i="1"/>
  <c r="C19559" i="1"/>
  <c r="C19557" i="1"/>
  <c r="C19556" i="1"/>
  <c r="C19555" i="1"/>
  <c r="C19554" i="1"/>
  <c r="C19553" i="1"/>
  <c r="C19551" i="1"/>
  <c r="C19548" i="1"/>
  <c r="C19546" i="1"/>
  <c r="C19545" i="1"/>
  <c r="C19543" i="1"/>
  <c r="C19540" i="1"/>
  <c r="C19535" i="1"/>
  <c r="C19531" i="1"/>
  <c r="C19530" i="1"/>
  <c r="C19524" i="1"/>
  <c r="C19522" i="1"/>
  <c r="C19517" i="1"/>
  <c r="C19516" i="1"/>
  <c r="C19514" i="1"/>
  <c r="C19513" i="1"/>
  <c r="C19512" i="1"/>
  <c r="C19511" i="1"/>
  <c r="C19510" i="1"/>
  <c r="C19509" i="1"/>
  <c r="C19508" i="1"/>
  <c r="C19507" i="1"/>
  <c r="C19505" i="1"/>
  <c r="C19504" i="1"/>
  <c r="C19502" i="1"/>
  <c r="C19500" i="1"/>
  <c r="C19499" i="1"/>
  <c r="C19498" i="1"/>
  <c r="C19497" i="1"/>
  <c r="C19496" i="1"/>
  <c r="C19494" i="1"/>
  <c r="C19490" i="1"/>
  <c r="C19489" i="1"/>
  <c r="C19488" i="1"/>
  <c r="C19486" i="1"/>
  <c r="C19482" i="1"/>
  <c r="C19480" i="1"/>
  <c r="C19479" i="1"/>
  <c r="C19478" i="1"/>
  <c r="C19477" i="1"/>
  <c r="C19476" i="1"/>
  <c r="C19474" i="1"/>
  <c r="C19471" i="1"/>
  <c r="C19470" i="1"/>
  <c r="C19467" i="1"/>
  <c r="C19464" i="1"/>
  <c r="C19460" i="1"/>
  <c r="C19459" i="1"/>
  <c r="C19458" i="1"/>
  <c r="C19457" i="1"/>
  <c r="C19455" i="1"/>
  <c r="C19454" i="1"/>
  <c r="C19452" i="1"/>
  <c r="C19451" i="1"/>
  <c r="C19449" i="1"/>
  <c r="C19447" i="1"/>
  <c r="C19445" i="1"/>
  <c r="C19443" i="1"/>
  <c r="C19435" i="1"/>
  <c r="C19432" i="1"/>
  <c r="C19431" i="1"/>
  <c r="C19430" i="1"/>
  <c r="C19427" i="1"/>
  <c r="C19426" i="1"/>
  <c r="C19425" i="1"/>
  <c r="C19422" i="1"/>
  <c r="C19421" i="1"/>
  <c r="C19419" i="1"/>
  <c r="C19414" i="1"/>
  <c r="C19413" i="1"/>
  <c r="C19409" i="1"/>
  <c r="C19406" i="1"/>
  <c r="C19402" i="1"/>
  <c r="C19401" i="1"/>
  <c r="C19399" i="1"/>
  <c r="C19397" i="1"/>
  <c r="C19394" i="1"/>
  <c r="C19393" i="1"/>
  <c r="C19392" i="1"/>
  <c r="C19391" i="1"/>
  <c r="C19390" i="1"/>
  <c r="C19389" i="1"/>
  <c r="C19388" i="1"/>
  <c r="C19386" i="1"/>
  <c r="C19385" i="1"/>
  <c r="C19384" i="1"/>
  <c r="C19380" i="1"/>
  <c r="C19374" i="1"/>
  <c r="C19373" i="1"/>
  <c r="C19371" i="1"/>
  <c r="C19370" i="1"/>
  <c r="C19366" i="1"/>
  <c r="C19358" i="1"/>
  <c r="C19357" i="1"/>
  <c r="C19353" i="1"/>
  <c r="C19352" i="1"/>
  <c r="C19347" i="1"/>
  <c r="C19346" i="1"/>
  <c r="C19342" i="1"/>
  <c r="C19341" i="1"/>
  <c r="C19339" i="1"/>
  <c r="C19338" i="1"/>
  <c r="C19334" i="1"/>
  <c r="C19333" i="1"/>
  <c r="C19332" i="1"/>
  <c r="C19331" i="1"/>
  <c r="C19330" i="1"/>
  <c r="C19329" i="1"/>
  <c r="C19328" i="1"/>
  <c r="C19327" i="1"/>
  <c r="C19326" i="1"/>
  <c r="C19325" i="1"/>
  <c r="C19324" i="1"/>
  <c r="C19323" i="1"/>
  <c r="C19322" i="1"/>
  <c r="C19321" i="1"/>
  <c r="C19320" i="1"/>
  <c r="C19319" i="1"/>
  <c r="C19318" i="1"/>
  <c r="C19316" i="1"/>
  <c r="C19305" i="1"/>
  <c r="C19304" i="1"/>
  <c r="C19301" i="1"/>
  <c r="C19299" i="1"/>
  <c r="C19298" i="1"/>
  <c r="C19293" i="1"/>
  <c r="C19291" i="1"/>
  <c r="C19288" i="1"/>
  <c r="C19286" i="1"/>
  <c r="C19285" i="1"/>
  <c r="C19284" i="1"/>
  <c r="C19283" i="1"/>
  <c r="C19282" i="1"/>
  <c r="C19277" i="1"/>
  <c r="C19276" i="1"/>
  <c r="C19275" i="1"/>
  <c r="C19269" i="1"/>
  <c r="C19267" i="1"/>
  <c r="C19265" i="1"/>
  <c r="C19264" i="1"/>
  <c r="C19260" i="1"/>
  <c r="C19259" i="1"/>
  <c r="C19257" i="1"/>
  <c r="C19251" i="1"/>
  <c r="C19250" i="1"/>
  <c r="C19249" i="1"/>
  <c r="C19245" i="1"/>
  <c r="C19242" i="1"/>
  <c r="C19241" i="1"/>
  <c r="C19240" i="1"/>
  <c r="C19238" i="1"/>
  <c r="C19236" i="1"/>
  <c r="C19233" i="1"/>
  <c r="C19232" i="1"/>
  <c r="C19231" i="1"/>
  <c r="C19228" i="1"/>
  <c r="C19227" i="1"/>
  <c r="C19226" i="1"/>
  <c r="C19225" i="1"/>
  <c r="C19223" i="1"/>
  <c r="C19221" i="1"/>
  <c r="C19219" i="1"/>
  <c r="C19218" i="1"/>
  <c r="C19217" i="1"/>
  <c r="C19214" i="1"/>
  <c r="C19212" i="1"/>
  <c r="C19206" i="1"/>
  <c r="C19205" i="1"/>
  <c r="C19204" i="1"/>
  <c r="C19203" i="1"/>
  <c r="C19202" i="1"/>
  <c r="C19201" i="1"/>
  <c r="C19200" i="1"/>
  <c r="C19198" i="1"/>
  <c r="C19196" i="1"/>
  <c r="C19194" i="1"/>
  <c r="C19193" i="1"/>
  <c r="C19190" i="1"/>
  <c r="C19189" i="1"/>
  <c r="C19188" i="1"/>
  <c r="C19187" i="1"/>
  <c r="C19185" i="1"/>
  <c r="C19184" i="1"/>
  <c r="C19183" i="1"/>
  <c r="C19182" i="1"/>
  <c r="C19181" i="1"/>
  <c r="C19178" i="1"/>
  <c r="C19176" i="1"/>
  <c r="C19175" i="1"/>
  <c r="C19172" i="1"/>
  <c r="C19171" i="1"/>
  <c r="C19167" i="1"/>
  <c r="C19165" i="1"/>
  <c r="C19163" i="1"/>
  <c r="C19159" i="1"/>
  <c r="C19157" i="1"/>
  <c r="C19156" i="1"/>
  <c r="C19155" i="1"/>
  <c r="C19154" i="1"/>
  <c r="C19139" i="1"/>
  <c r="C19135" i="1"/>
  <c r="C19132" i="1"/>
  <c r="C19130" i="1"/>
  <c r="C19127" i="1"/>
  <c r="C19125" i="1"/>
  <c r="C19123" i="1"/>
  <c r="C19121" i="1"/>
  <c r="C19116" i="1"/>
  <c r="C19115" i="1"/>
  <c r="C19113" i="1"/>
  <c r="C19112" i="1"/>
  <c r="C19110" i="1"/>
  <c r="C19109" i="1"/>
  <c r="C19108" i="1"/>
  <c r="C19106" i="1"/>
  <c r="C19099" i="1"/>
  <c r="C19097" i="1"/>
  <c r="C19094" i="1"/>
  <c r="C19093" i="1"/>
  <c r="C19087" i="1"/>
  <c r="C19086" i="1"/>
  <c r="C19085" i="1"/>
  <c r="C19082" i="1"/>
  <c r="C19081" i="1"/>
  <c r="C19078" i="1"/>
  <c r="C19077" i="1"/>
  <c r="C19072" i="1"/>
  <c r="C19071" i="1"/>
  <c r="C19064" i="1"/>
  <c r="C19062" i="1"/>
  <c r="C19057" i="1"/>
  <c r="C19052" i="1"/>
  <c r="C19047" i="1"/>
  <c r="C19046" i="1"/>
  <c r="C19045" i="1"/>
  <c r="C19044" i="1"/>
  <c r="C19043" i="1"/>
  <c r="C19042" i="1"/>
  <c r="C19041" i="1"/>
  <c r="C19040" i="1"/>
  <c r="C19037" i="1"/>
  <c r="C19036" i="1"/>
  <c r="C19035" i="1"/>
  <c r="C19033" i="1"/>
  <c r="C19029" i="1"/>
  <c r="C19028" i="1"/>
  <c r="C19027" i="1"/>
  <c r="C19026" i="1"/>
  <c r="C19024" i="1"/>
  <c r="C19023" i="1"/>
  <c r="C19021" i="1"/>
  <c r="C19013" i="1"/>
  <c r="C19011" i="1"/>
  <c r="C19009" i="1"/>
  <c r="C19008" i="1"/>
  <c r="C19007" i="1"/>
  <c r="C19005" i="1"/>
  <c r="C19004" i="1"/>
  <c r="C19003" i="1"/>
  <c r="C19002" i="1"/>
  <c r="C19001" i="1"/>
  <c r="C19000" i="1"/>
  <c r="C18999" i="1"/>
  <c r="C18998" i="1"/>
  <c r="C18997" i="1"/>
  <c r="C18996" i="1"/>
  <c r="C18995" i="1"/>
  <c r="C18994" i="1"/>
  <c r="C18993" i="1"/>
  <c r="C18991" i="1"/>
  <c r="C18989" i="1"/>
  <c r="C18988" i="1"/>
  <c r="C18987" i="1"/>
  <c r="C18986" i="1"/>
  <c r="C18980" i="1"/>
  <c r="C18979" i="1"/>
  <c r="C18978" i="1"/>
  <c r="C18961" i="1"/>
  <c r="C18960" i="1"/>
  <c r="C18958" i="1"/>
  <c r="C18957" i="1"/>
  <c r="C18956" i="1"/>
  <c r="C18955" i="1"/>
  <c r="C18954" i="1"/>
  <c r="C18953" i="1"/>
  <c r="C18952" i="1"/>
  <c r="C18951" i="1"/>
  <c r="C18948" i="1"/>
  <c r="C18947" i="1"/>
  <c r="C18946" i="1"/>
  <c r="C18945" i="1"/>
  <c r="C18942" i="1"/>
  <c r="C18939" i="1"/>
  <c r="C18934" i="1"/>
  <c r="C18932" i="1"/>
  <c r="C18930" i="1"/>
  <c r="C18928" i="1"/>
  <c r="C18926" i="1"/>
  <c r="C18925" i="1"/>
  <c r="C18924" i="1"/>
  <c r="C18923" i="1"/>
  <c r="C18921" i="1"/>
  <c r="C18920" i="1"/>
  <c r="C18919" i="1"/>
  <c r="C18917" i="1"/>
  <c r="C18910" i="1"/>
  <c r="C18909" i="1"/>
  <c r="C18908" i="1"/>
  <c r="C18907" i="1"/>
  <c r="C18906" i="1"/>
  <c r="C18905" i="1"/>
  <c r="C18904" i="1"/>
  <c r="C18898" i="1"/>
  <c r="C18891" i="1"/>
  <c r="C18886" i="1"/>
  <c r="C18880" i="1"/>
  <c r="C18871" i="1"/>
  <c r="C18868" i="1"/>
  <c r="C18866" i="1"/>
  <c r="C18865" i="1"/>
  <c r="C18864" i="1"/>
  <c r="C18863" i="1"/>
  <c r="C18862" i="1"/>
  <c r="C18853" i="1"/>
  <c r="C18852" i="1"/>
  <c r="C18851" i="1"/>
  <c r="C18850" i="1"/>
  <c r="C18848" i="1"/>
  <c r="C18847" i="1"/>
  <c r="C18845" i="1"/>
  <c r="C18842" i="1"/>
  <c r="C18832" i="1"/>
  <c r="C18829" i="1"/>
  <c r="C18828" i="1"/>
  <c r="C18826" i="1"/>
  <c r="C18824" i="1"/>
  <c r="C18821" i="1"/>
  <c r="C18819" i="1"/>
  <c r="C18815" i="1"/>
  <c r="C18814" i="1"/>
  <c r="C18813" i="1"/>
  <c r="C18812" i="1"/>
  <c r="C18810" i="1"/>
  <c r="C18809" i="1"/>
  <c r="C18808" i="1"/>
  <c r="C18807" i="1"/>
  <c r="C18805" i="1"/>
  <c r="C18802" i="1"/>
  <c r="C18798" i="1"/>
  <c r="C18797" i="1"/>
  <c r="C18792" i="1"/>
  <c r="C18791" i="1"/>
  <c r="C18790" i="1"/>
  <c r="C18787" i="1"/>
  <c r="C18786" i="1"/>
  <c r="C18785" i="1"/>
  <c r="C18780" i="1"/>
  <c r="C18770" i="1"/>
  <c r="C18767" i="1"/>
  <c r="C18764" i="1"/>
  <c r="C18762" i="1"/>
  <c r="C18761" i="1"/>
  <c r="C18760" i="1"/>
  <c r="C18758" i="1"/>
  <c r="C18756" i="1"/>
  <c r="C18753" i="1"/>
  <c r="C18752" i="1"/>
  <c r="C18751" i="1"/>
  <c r="C18750" i="1"/>
  <c r="C18749" i="1"/>
  <c r="C18748" i="1"/>
  <c r="C18747" i="1"/>
  <c r="C18746" i="1"/>
  <c r="C18743" i="1"/>
  <c r="C18742" i="1"/>
  <c r="C18739" i="1"/>
  <c r="C18738" i="1"/>
  <c r="C18737" i="1"/>
  <c r="C18735" i="1"/>
  <c r="C18731" i="1"/>
  <c r="C18719" i="1"/>
  <c r="C18718" i="1"/>
  <c r="C18717" i="1"/>
  <c r="C18714" i="1"/>
  <c r="C18713" i="1"/>
  <c r="C18712" i="1"/>
  <c r="C18706" i="1"/>
  <c r="C18705" i="1"/>
  <c r="C18701" i="1"/>
  <c r="C18700" i="1"/>
  <c r="C18693" i="1"/>
  <c r="C18690" i="1"/>
  <c r="C18689" i="1"/>
  <c r="C18688" i="1"/>
  <c r="C18687" i="1"/>
  <c r="C18684" i="1"/>
  <c r="C18683" i="1"/>
  <c r="C18682" i="1"/>
  <c r="C18680" i="1"/>
  <c r="C18678" i="1"/>
  <c r="C18677" i="1"/>
  <c r="C18676" i="1"/>
  <c r="C18674" i="1"/>
  <c r="C18673" i="1"/>
  <c r="C18672" i="1"/>
  <c r="C18664" i="1"/>
  <c r="C18663" i="1"/>
  <c r="C18658" i="1"/>
  <c r="C18655" i="1"/>
  <c r="C18649" i="1"/>
  <c r="C18648" i="1"/>
  <c r="C18647" i="1"/>
  <c r="C18646" i="1"/>
  <c r="C18644" i="1"/>
  <c r="C18643" i="1"/>
  <c r="C18635" i="1"/>
  <c r="C18631" i="1"/>
  <c r="C18630" i="1"/>
  <c r="C18627" i="1"/>
  <c r="C18626" i="1"/>
  <c r="C18625" i="1"/>
  <c r="C18618" i="1"/>
  <c r="C18616" i="1"/>
  <c r="C18615" i="1"/>
  <c r="C18614" i="1"/>
  <c r="C18611" i="1"/>
  <c r="C18610" i="1"/>
  <c r="C18609" i="1"/>
  <c r="C18604" i="1"/>
  <c r="C18598" i="1"/>
  <c r="C18594" i="1"/>
  <c r="C18591" i="1"/>
  <c r="C18590" i="1"/>
  <c r="C18589" i="1"/>
  <c r="C18587" i="1"/>
  <c r="C18585" i="1"/>
  <c r="C18582" i="1"/>
  <c r="C18580" i="1"/>
  <c r="C18579" i="1"/>
  <c r="C18578" i="1"/>
  <c r="C18576" i="1"/>
  <c r="C18574" i="1"/>
  <c r="C18571" i="1"/>
  <c r="C18570" i="1"/>
  <c r="C18567" i="1"/>
  <c r="C18566" i="1"/>
  <c r="C18565" i="1"/>
  <c r="C18563" i="1"/>
  <c r="C18561" i="1"/>
  <c r="C18559" i="1"/>
  <c r="C18558" i="1"/>
  <c r="C18554" i="1"/>
  <c r="C18553" i="1"/>
  <c r="C18550" i="1"/>
  <c r="C18548" i="1"/>
  <c r="C18532" i="1"/>
  <c r="C18531" i="1"/>
  <c r="C18530" i="1"/>
  <c r="C18529" i="1"/>
  <c r="C18525" i="1"/>
  <c r="C18524" i="1"/>
  <c r="C18520" i="1"/>
  <c r="C18519" i="1"/>
  <c r="C18518" i="1"/>
  <c r="C18517" i="1"/>
  <c r="C18516" i="1"/>
  <c r="C18515" i="1"/>
  <c r="C18514" i="1"/>
  <c r="C18511" i="1"/>
  <c r="C18510" i="1"/>
  <c r="C18509" i="1"/>
  <c r="C18508" i="1"/>
  <c r="C18507" i="1"/>
  <c r="C18504" i="1"/>
  <c r="C18503" i="1"/>
  <c r="C18501" i="1"/>
  <c r="C18500" i="1"/>
  <c r="C18499" i="1"/>
  <c r="C18498" i="1"/>
  <c r="C18496" i="1"/>
  <c r="C18495" i="1"/>
  <c r="C18494" i="1"/>
  <c r="C18492" i="1"/>
  <c r="C18486" i="1"/>
  <c r="C18485" i="1"/>
  <c r="C18481" i="1"/>
  <c r="C18480" i="1"/>
  <c r="C18479" i="1"/>
  <c r="C18477" i="1"/>
  <c r="C18476" i="1"/>
  <c r="C18474" i="1"/>
  <c r="C18471" i="1"/>
  <c r="C18467" i="1"/>
  <c r="C18461" i="1"/>
  <c r="C18460" i="1"/>
  <c r="C18459" i="1"/>
  <c r="C18458" i="1"/>
  <c r="C18457" i="1"/>
  <c r="C18455" i="1"/>
  <c r="C18453" i="1"/>
  <c r="C18450" i="1"/>
  <c r="C18447" i="1"/>
  <c r="C18444" i="1"/>
  <c r="C18442" i="1"/>
  <c r="C18439" i="1"/>
  <c r="C18435" i="1"/>
  <c r="C18429" i="1"/>
  <c r="C18423" i="1"/>
  <c r="C18422" i="1"/>
  <c r="C18418" i="1"/>
  <c r="C18413" i="1"/>
  <c r="C18407" i="1"/>
  <c r="C18406" i="1"/>
  <c r="C18405" i="1"/>
  <c r="C18404" i="1"/>
  <c r="C18403" i="1"/>
  <c r="C18399" i="1"/>
  <c r="C18395" i="1"/>
  <c r="C18394" i="1"/>
  <c r="C18392" i="1"/>
  <c r="C18391" i="1"/>
  <c r="C18386" i="1"/>
  <c r="C18385" i="1"/>
  <c r="C18384" i="1"/>
  <c r="C18383" i="1"/>
  <c r="C18379" i="1"/>
  <c r="C18377" i="1"/>
  <c r="C18369" i="1"/>
  <c r="C18367" i="1"/>
  <c r="C18366" i="1"/>
  <c r="C18364" i="1"/>
  <c r="C18361" i="1"/>
  <c r="C18360" i="1"/>
  <c r="C18356" i="1"/>
  <c r="C18350" i="1"/>
  <c r="C18348" i="1"/>
  <c r="C18345" i="1"/>
  <c r="C18344" i="1"/>
  <c r="C18343" i="1"/>
  <c r="C18342" i="1"/>
  <c r="C18341" i="1"/>
  <c r="C18340" i="1"/>
  <c r="C18335" i="1"/>
  <c r="C18329" i="1"/>
  <c r="C18328" i="1"/>
  <c r="C18327" i="1"/>
  <c r="C18326" i="1"/>
  <c r="C18324" i="1"/>
  <c r="C18321" i="1"/>
  <c r="C18316" i="1"/>
  <c r="C18313" i="1"/>
  <c r="C18311" i="1"/>
  <c r="C18310" i="1"/>
  <c r="C18309" i="1"/>
  <c r="C18298" i="1"/>
  <c r="C18293" i="1"/>
  <c r="C18292" i="1"/>
  <c r="C18291" i="1"/>
  <c r="C18289" i="1"/>
  <c r="C18284" i="1"/>
  <c r="C18280" i="1"/>
  <c r="C18278" i="1"/>
  <c r="C18277" i="1"/>
  <c r="C18274" i="1"/>
  <c r="C18273" i="1"/>
  <c r="C18269" i="1"/>
  <c r="C18268" i="1"/>
  <c r="C18267" i="1"/>
  <c r="C18266" i="1"/>
  <c r="C18265" i="1"/>
  <c r="C18262" i="1"/>
  <c r="C18260" i="1"/>
  <c r="C18259" i="1"/>
  <c r="C18257" i="1"/>
  <c r="C18256" i="1"/>
  <c r="C18255" i="1"/>
  <c r="C18254" i="1"/>
  <c r="C18252" i="1"/>
  <c r="C18251" i="1"/>
  <c r="C18249" i="1"/>
  <c r="C18247" i="1"/>
  <c r="C18244" i="1"/>
  <c r="C18240" i="1"/>
  <c r="C18238" i="1"/>
  <c r="C18237" i="1"/>
  <c r="C18235" i="1"/>
  <c r="C18234" i="1"/>
  <c r="C18232" i="1"/>
  <c r="C18227" i="1"/>
  <c r="C18226" i="1"/>
  <c r="C18224" i="1"/>
  <c r="C18223" i="1"/>
  <c r="C18222" i="1"/>
  <c r="C18221" i="1"/>
  <c r="C18219" i="1"/>
  <c r="C18217" i="1"/>
  <c r="C18212" i="1"/>
  <c r="C18210" i="1"/>
  <c r="C18205" i="1"/>
  <c r="C18200" i="1"/>
  <c r="C18199" i="1"/>
  <c r="C18196" i="1"/>
  <c r="C18188" i="1"/>
  <c r="C18185" i="1"/>
  <c r="C18184" i="1"/>
  <c r="C18183" i="1"/>
  <c r="C18178" i="1"/>
  <c r="C18176" i="1"/>
  <c r="C18174" i="1"/>
  <c r="C18166" i="1"/>
  <c r="C18165" i="1"/>
  <c r="C18164" i="1"/>
  <c r="C18163" i="1"/>
  <c r="C18162" i="1"/>
  <c r="C18161" i="1"/>
  <c r="C18160" i="1"/>
  <c r="C18159" i="1"/>
  <c r="C18157" i="1"/>
  <c r="C18151" i="1"/>
  <c r="C18144" i="1"/>
  <c r="C18139" i="1"/>
  <c r="C18138" i="1"/>
  <c r="C18135" i="1"/>
  <c r="C18133" i="1"/>
  <c r="C18132" i="1"/>
  <c r="C18131" i="1"/>
  <c r="C18130" i="1"/>
  <c r="C18121" i="1"/>
  <c r="C18120" i="1"/>
  <c r="C18119" i="1"/>
  <c r="C18117" i="1"/>
  <c r="C18115" i="1"/>
  <c r="C18111" i="1"/>
  <c r="C18107" i="1"/>
  <c r="C18105" i="1"/>
  <c r="C18099" i="1"/>
  <c r="C18096" i="1"/>
  <c r="C18091" i="1"/>
  <c r="C18090" i="1"/>
  <c r="C18086" i="1"/>
  <c r="C18076" i="1"/>
  <c r="C18075" i="1"/>
  <c r="C18074" i="1"/>
  <c r="C18069" i="1"/>
  <c r="C18061" i="1"/>
  <c r="C18060" i="1"/>
  <c r="C18058" i="1"/>
  <c r="C18052" i="1"/>
  <c r="C18051" i="1"/>
  <c r="C18049" i="1"/>
  <c r="C18045" i="1"/>
  <c r="C18040" i="1"/>
  <c r="C18036" i="1"/>
  <c r="C18034" i="1"/>
  <c r="C18033" i="1"/>
  <c r="C18032" i="1"/>
  <c r="C18031" i="1"/>
  <c r="C18029" i="1"/>
  <c r="C18028" i="1"/>
  <c r="C18027" i="1"/>
  <c r="C18026" i="1"/>
  <c r="C18025" i="1"/>
  <c r="C18023" i="1"/>
  <c r="C18021" i="1"/>
  <c r="C18020" i="1"/>
  <c r="C18019" i="1"/>
  <c r="C18016" i="1"/>
  <c r="C18008" i="1"/>
  <c r="C18005" i="1"/>
  <c r="C18003" i="1"/>
  <c r="C18002" i="1"/>
  <c r="C17999" i="1"/>
  <c r="C17998" i="1"/>
  <c r="C17996" i="1"/>
  <c r="C17995" i="1"/>
  <c r="C17987" i="1"/>
  <c r="C17985" i="1"/>
  <c r="C17983" i="1"/>
  <c r="C17980" i="1"/>
  <c r="C17977" i="1"/>
  <c r="C17976" i="1"/>
  <c r="C17975" i="1"/>
  <c r="C17974" i="1"/>
  <c r="C17973" i="1"/>
  <c r="C17972" i="1"/>
  <c r="C17971" i="1"/>
  <c r="C17970" i="1"/>
  <c r="C17969" i="1"/>
  <c r="C17967" i="1"/>
  <c r="C17966" i="1"/>
  <c r="C17963" i="1"/>
  <c r="C17961" i="1"/>
  <c r="C17960" i="1"/>
  <c r="C17959" i="1"/>
  <c r="C17955" i="1"/>
  <c r="C17953" i="1"/>
  <c r="C17949" i="1"/>
  <c r="C17947" i="1"/>
  <c r="C17946" i="1"/>
  <c r="C17945" i="1"/>
  <c r="C17940" i="1"/>
  <c r="C17938" i="1"/>
  <c r="C17937" i="1"/>
  <c r="C17934" i="1"/>
  <c r="C17932" i="1"/>
  <c r="C17931" i="1"/>
  <c r="C17929" i="1"/>
  <c r="C17922" i="1"/>
  <c r="C17920" i="1"/>
  <c r="C17917" i="1"/>
  <c r="C17916" i="1"/>
  <c r="C17914" i="1"/>
  <c r="C17913" i="1"/>
  <c r="C17901" i="1"/>
  <c r="C17891" i="1"/>
  <c r="C17889" i="1"/>
  <c r="C17888" i="1"/>
  <c r="C17887" i="1"/>
  <c r="C17885" i="1"/>
  <c r="C17884" i="1"/>
  <c r="C17883" i="1"/>
  <c r="C17882" i="1"/>
  <c r="C17880" i="1"/>
  <c r="C17878" i="1"/>
  <c r="C17877" i="1"/>
  <c r="C17876" i="1"/>
  <c r="C17874" i="1"/>
  <c r="C17873" i="1"/>
  <c r="C17872" i="1"/>
  <c r="C17871" i="1"/>
  <c r="C17870" i="1"/>
  <c r="C17869" i="1"/>
  <c r="C17868" i="1"/>
  <c r="C17862" i="1"/>
  <c r="C17861" i="1"/>
  <c r="C17860" i="1"/>
  <c r="C17859" i="1"/>
  <c r="C17858" i="1"/>
  <c r="C17857" i="1"/>
  <c r="C17856" i="1"/>
  <c r="C17855" i="1"/>
  <c r="C17854" i="1"/>
  <c r="C17846" i="1"/>
  <c r="C17845" i="1"/>
  <c r="C17843" i="1"/>
  <c r="C17839" i="1"/>
  <c r="C17838" i="1"/>
  <c r="C17837" i="1"/>
  <c r="C17828" i="1"/>
  <c r="C17827" i="1"/>
  <c r="C17826" i="1"/>
  <c r="C17824" i="1"/>
  <c r="C17823" i="1"/>
  <c r="C17822" i="1"/>
  <c r="C17818" i="1"/>
  <c r="C17817" i="1"/>
  <c r="C17816" i="1"/>
  <c r="C17815" i="1"/>
  <c r="C17812" i="1"/>
  <c r="C17811" i="1"/>
  <c r="C17810" i="1"/>
  <c r="C17808" i="1"/>
  <c r="C17807" i="1"/>
  <c r="C17806" i="1"/>
  <c r="C17805" i="1"/>
  <c r="C17804" i="1"/>
  <c r="C17803" i="1"/>
  <c r="C17800" i="1"/>
  <c r="C17798" i="1"/>
  <c r="C17797" i="1"/>
  <c r="C17793" i="1"/>
  <c r="C17790" i="1"/>
  <c r="C17788" i="1"/>
  <c r="C17787" i="1"/>
  <c r="C17785" i="1"/>
  <c r="C17784" i="1"/>
  <c r="C17777" i="1"/>
  <c r="C17776" i="1"/>
  <c r="C17771" i="1"/>
  <c r="C17768" i="1"/>
  <c r="C17765" i="1"/>
  <c r="C17764" i="1"/>
  <c r="C17761" i="1"/>
  <c r="C17759" i="1"/>
  <c r="C17756" i="1"/>
  <c r="C17751" i="1"/>
  <c r="C17749" i="1"/>
  <c r="C17748" i="1"/>
  <c r="C17746" i="1"/>
  <c r="C17745" i="1"/>
  <c r="C17743" i="1"/>
  <c r="C17742" i="1"/>
  <c r="C17741" i="1"/>
  <c r="C17739" i="1"/>
  <c r="C17738" i="1"/>
  <c r="C17737" i="1"/>
  <c r="C17735" i="1"/>
  <c r="C17728" i="1"/>
  <c r="C17727" i="1"/>
  <c r="C17725" i="1"/>
  <c r="C17724" i="1"/>
  <c r="C17723" i="1"/>
  <c r="C17722" i="1"/>
  <c r="C17721" i="1"/>
  <c r="C17720" i="1"/>
  <c r="C17719" i="1"/>
  <c r="C17717" i="1"/>
  <c r="C17715" i="1"/>
  <c r="C17714" i="1"/>
  <c r="C17704" i="1"/>
  <c r="C17694" i="1"/>
  <c r="C17691" i="1"/>
  <c r="C17690" i="1"/>
  <c r="C17689" i="1"/>
  <c r="C17678" i="1"/>
  <c r="C17677" i="1"/>
  <c r="C17675" i="1"/>
  <c r="C17673" i="1"/>
  <c r="C17672" i="1"/>
  <c r="C17671" i="1"/>
  <c r="C17668" i="1"/>
  <c r="C17665" i="1"/>
  <c r="C17664" i="1"/>
  <c r="C17661" i="1"/>
  <c r="C17660" i="1"/>
  <c r="C17656" i="1"/>
  <c r="C17654" i="1"/>
  <c r="C17652" i="1"/>
  <c r="C17651" i="1"/>
  <c r="C17650" i="1"/>
  <c r="C17648" i="1"/>
  <c r="C17642" i="1"/>
  <c r="C17624" i="1"/>
  <c r="C17623" i="1"/>
  <c r="C17621" i="1"/>
  <c r="C17619" i="1"/>
  <c r="C17618" i="1"/>
  <c r="C17617" i="1"/>
  <c r="C17614" i="1"/>
  <c r="C17598" i="1"/>
  <c r="C17597" i="1"/>
  <c r="C17596" i="1"/>
  <c r="C17591" i="1"/>
  <c r="C17590" i="1"/>
  <c r="C17589" i="1"/>
  <c r="C17588" i="1"/>
  <c r="C17586" i="1"/>
  <c r="C17585" i="1"/>
  <c r="C17584" i="1"/>
  <c r="C17583" i="1"/>
  <c r="C17576" i="1"/>
  <c r="C17575" i="1"/>
  <c r="C17574" i="1"/>
  <c r="C17572" i="1"/>
  <c r="C17570" i="1"/>
  <c r="C17567" i="1"/>
  <c r="C17566" i="1"/>
  <c r="C17563" i="1"/>
  <c r="C17561" i="1"/>
  <c r="C17559" i="1"/>
  <c r="C17558" i="1"/>
  <c r="C17557" i="1"/>
  <c r="C17556" i="1"/>
  <c r="C17554" i="1"/>
  <c r="C17552" i="1"/>
  <c r="C17550" i="1"/>
  <c r="C17549" i="1"/>
  <c r="C17545" i="1"/>
  <c r="C17543" i="1"/>
  <c r="C17542" i="1"/>
  <c r="C17539" i="1"/>
  <c r="C17536" i="1"/>
  <c r="C17533" i="1"/>
  <c r="C17532" i="1"/>
  <c r="C17530" i="1"/>
  <c r="C17529" i="1"/>
  <c r="C17528" i="1"/>
  <c r="C17526" i="1"/>
  <c r="C17524" i="1"/>
  <c r="C17518" i="1"/>
  <c r="C17515" i="1"/>
  <c r="C17514" i="1"/>
  <c r="C17513" i="1"/>
  <c r="C17511" i="1"/>
  <c r="C17510" i="1"/>
  <c r="C17505" i="1"/>
  <c r="C17504" i="1"/>
  <c r="C17502" i="1"/>
  <c r="C17501" i="1"/>
  <c r="C17500" i="1"/>
  <c r="C17499" i="1"/>
  <c r="C17496" i="1"/>
  <c r="C17493" i="1"/>
  <c r="C17482" i="1"/>
  <c r="C17481" i="1"/>
  <c r="C17480" i="1"/>
  <c r="C17479" i="1"/>
  <c r="C17478" i="1"/>
  <c r="C17477" i="1"/>
  <c r="C17476" i="1"/>
  <c r="C17475" i="1"/>
  <c r="C17474" i="1"/>
  <c r="C17473" i="1"/>
  <c r="C17472" i="1"/>
  <c r="C17471" i="1"/>
  <c r="C17470" i="1"/>
  <c r="C17468" i="1"/>
  <c r="C17466" i="1"/>
  <c r="C17465" i="1"/>
  <c r="C17463" i="1"/>
  <c r="C17458" i="1"/>
  <c r="C17456" i="1"/>
  <c r="C17454" i="1"/>
  <c r="C17448" i="1"/>
  <c r="C17447" i="1"/>
  <c r="C17446" i="1"/>
  <c r="C17445" i="1"/>
  <c r="C17444" i="1"/>
  <c r="C17443" i="1"/>
  <c r="C17441" i="1"/>
  <c r="C17434" i="1"/>
  <c r="C17426" i="1"/>
  <c r="C17424" i="1"/>
  <c r="C17423" i="1"/>
  <c r="C17422" i="1"/>
  <c r="C17420" i="1"/>
  <c r="C17419" i="1"/>
  <c r="C17417" i="1"/>
  <c r="C17416" i="1"/>
  <c r="C17415" i="1"/>
  <c r="C17414" i="1"/>
  <c r="C17413" i="1"/>
  <c r="C17409" i="1"/>
  <c r="C17408" i="1"/>
  <c r="C17406" i="1"/>
  <c r="C17404" i="1"/>
  <c r="C17403" i="1"/>
  <c r="C17401" i="1"/>
  <c r="C17398" i="1"/>
  <c r="C17395" i="1"/>
  <c r="C17394" i="1"/>
  <c r="C17393" i="1"/>
  <c r="C17387" i="1"/>
  <c r="C17384" i="1"/>
  <c r="C17380" i="1"/>
  <c r="C17378" i="1"/>
  <c r="C17376" i="1"/>
  <c r="C17372" i="1"/>
  <c r="C17371" i="1"/>
  <c r="C17366" i="1"/>
  <c r="C17362" i="1"/>
  <c r="C17361" i="1"/>
  <c r="C17359" i="1"/>
  <c r="C17349" i="1"/>
  <c r="C17348" i="1"/>
  <c r="C17347" i="1"/>
  <c r="C17346" i="1"/>
  <c r="C17345" i="1"/>
  <c r="C17344" i="1"/>
  <c r="C17343" i="1"/>
  <c r="C17341" i="1"/>
  <c r="C17338" i="1"/>
  <c r="C17335" i="1"/>
  <c r="C17334" i="1"/>
  <c r="C17333" i="1"/>
  <c r="C17332" i="1"/>
  <c r="C17331" i="1"/>
  <c r="C17329" i="1"/>
  <c r="C17325" i="1"/>
  <c r="C17324" i="1"/>
  <c r="C17323" i="1"/>
  <c r="C17321" i="1"/>
  <c r="C17320" i="1"/>
  <c r="C17319" i="1"/>
  <c r="C17318" i="1"/>
  <c r="C17317" i="1"/>
  <c r="C17314" i="1"/>
  <c r="C17311" i="1"/>
  <c r="C17309" i="1"/>
  <c r="C17308" i="1"/>
  <c r="C17306" i="1"/>
  <c r="C17305" i="1"/>
  <c r="C17304" i="1"/>
  <c r="C17302" i="1"/>
  <c r="C17298" i="1"/>
  <c r="C17291" i="1"/>
  <c r="C17290" i="1"/>
  <c r="C17287" i="1"/>
  <c r="C17286" i="1"/>
  <c r="C17281" i="1"/>
  <c r="C17279" i="1"/>
  <c r="C17278" i="1"/>
  <c r="C17276" i="1"/>
  <c r="C17272" i="1"/>
  <c r="C17271" i="1"/>
  <c r="C17268" i="1"/>
  <c r="C17266" i="1"/>
  <c r="C17261" i="1"/>
  <c r="C17257" i="1"/>
  <c r="C17249" i="1"/>
  <c r="C17247" i="1"/>
  <c r="C17245" i="1"/>
  <c r="C17244" i="1"/>
  <c r="C17242" i="1"/>
  <c r="C17241" i="1"/>
  <c r="C17235" i="1"/>
  <c r="C17233" i="1"/>
  <c r="C17231" i="1"/>
  <c r="C17230" i="1"/>
  <c r="C17229" i="1"/>
  <c r="C17227" i="1"/>
  <c r="C17226" i="1"/>
  <c r="C17225" i="1"/>
  <c r="C17224" i="1"/>
  <c r="C17221" i="1"/>
  <c r="C17218" i="1"/>
  <c r="C17216" i="1"/>
  <c r="C17214" i="1"/>
  <c r="C17208" i="1"/>
  <c r="C17206" i="1"/>
  <c r="C17204" i="1"/>
  <c r="C17202" i="1"/>
  <c r="C17201" i="1"/>
  <c r="C17196" i="1"/>
  <c r="C17195" i="1"/>
  <c r="C17192" i="1"/>
  <c r="C17190" i="1"/>
  <c r="C17189" i="1"/>
  <c r="C17187" i="1"/>
  <c r="C17186" i="1"/>
  <c r="C17185" i="1"/>
  <c r="C17184" i="1"/>
  <c r="C17183" i="1"/>
  <c r="C17182" i="1"/>
  <c r="C17181" i="1"/>
  <c r="C17180" i="1"/>
  <c r="C17179" i="1"/>
  <c r="C17178" i="1"/>
  <c r="C17177" i="1"/>
  <c r="C17175" i="1"/>
  <c r="C17174" i="1"/>
  <c r="C17173" i="1"/>
  <c r="C17172" i="1"/>
  <c r="C17171" i="1"/>
  <c r="C17170" i="1"/>
  <c r="C17169" i="1"/>
  <c r="C17167" i="1"/>
  <c r="C17166" i="1"/>
  <c r="C17163" i="1"/>
  <c r="C17159" i="1"/>
  <c r="C17157" i="1"/>
  <c r="C17156" i="1"/>
  <c r="C17146" i="1"/>
  <c r="C17145" i="1"/>
  <c r="C17140" i="1"/>
  <c r="C17139" i="1"/>
  <c r="C17137" i="1"/>
  <c r="C17136" i="1"/>
  <c r="C17135" i="1"/>
  <c r="C17133" i="1"/>
  <c r="C17132" i="1"/>
  <c r="C17126" i="1"/>
  <c r="C17118" i="1"/>
  <c r="C17109" i="1"/>
  <c r="C17108" i="1"/>
  <c r="C17107" i="1"/>
  <c r="C17106" i="1"/>
  <c r="C17105" i="1"/>
  <c r="C17101" i="1"/>
  <c r="C17100" i="1"/>
  <c r="C17099" i="1"/>
  <c r="C17098" i="1"/>
  <c r="C17096" i="1"/>
  <c r="C17094" i="1"/>
  <c r="C17091" i="1"/>
  <c r="C17089" i="1"/>
  <c r="C17088" i="1"/>
  <c r="C17085" i="1"/>
  <c r="C17084" i="1"/>
  <c r="C17081" i="1"/>
  <c r="C17080" i="1"/>
  <c r="C17079" i="1"/>
  <c r="C17076" i="1"/>
  <c r="C17073" i="1"/>
  <c r="C17072" i="1"/>
  <c r="C17070" i="1"/>
  <c r="C17065" i="1"/>
  <c r="C17061" i="1"/>
  <c r="C17060" i="1"/>
  <c r="C17055" i="1"/>
  <c r="C17053" i="1"/>
  <c r="C17051" i="1"/>
  <c r="C17050" i="1"/>
  <c r="C17048" i="1"/>
  <c r="C17046" i="1"/>
  <c r="C17045" i="1"/>
  <c r="C17043" i="1"/>
  <c r="C17042" i="1"/>
  <c r="C17041" i="1"/>
  <c r="C17039" i="1"/>
  <c r="C17037" i="1"/>
  <c r="C17033" i="1"/>
  <c r="C17026" i="1"/>
  <c r="C17024" i="1"/>
  <c r="C17022" i="1"/>
  <c r="C17014" i="1"/>
  <c r="C17013" i="1"/>
  <c r="C17009" i="1"/>
  <c r="C16993" i="1"/>
  <c r="C16992" i="1"/>
  <c r="C16991" i="1"/>
  <c r="C16988" i="1"/>
  <c r="C16987" i="1"/>
  <c r="C16986" i="1"/>
  <c r="C16984" i="1"/>
  <c r="C16983" i="1"/>
  <c r="C16981" i="1"/>
  <c r="C16980" i="1"/>
  <c r="C16977" i="1"/>
  <c r="C16976" i="1"/>
  <c r="C16975" i="1"/>
  <c r="C16966" i="1"/>
  <c r="C16964" i="1"/>
  <c r="C16963" i="1"/>
  <c r="C16958" i="1"/>
  <c r="C16955" i="1"/>
  <c r="C16953" i="1"/>
  <c r="C16950" i="1"/>
  <c r="C16949" i="1"/>
  <c r="C16948" i="1"/>
  <c r="C16947" i="1"/>
  <c r="C16946" i="1"/>
  <c r="C16941" i="1"/>
  <c r="C16940" i="1"/>
  <c r="C16937" i="1"/>
  <c r="C16935" i="1"/>
  <c r="C16932" i="1"/>
  <c r="C16931" i="1"/>
  <c r="C16928" i="1"/>
  <c r="C16922" i="1"/>
  <c r="C16919" i="1"/>
  <c r="C16917" i="1"/>
  <c r="C16915" i="1"/>
  <c r="C16914" i="1"/>
  <c r="C16912" i="1"/>
  <c r="C16910" i="1"/>
  <c r="C16906" i="1"/>
  <c r="C16900" i="1"/>
  <c r="C16898" i="1"/>
  <c r="C16897" i="1"/>
  <c r="C16896" i="1"/>
  <c r="C16894" i="1"/>
  <c r="C16891" i="1"/>
  <c r="C16887" i="1"/>
  <c r="C16886" i="1"/>
  <c r="C16884" i="1"/>
  <c r="C16883" i="1"/>
  <c r="C16879" i="1"/>
  <c r="C16876" i="1"/>
  <c r="C16875" i="1"/>
  <c r="C16874" i="1"/>
  <c r="C16872" i="1"/>
  <c r="C16868" i="1"/>
  <c r="C16867" i="1"/>
  <c r="C16860" i="1"/>
  <c r="C16859" i="1"/>
  <c r="C16858" i="1"/>
  <c r="C16857" i="1"/>
  <c r="C16854" i="1"/>
  <c r="C16853" i="1"/>
  <c r="C16852" i="1"/>
  <c r="C16849" i="1"/>
  <c r="C16843" i="1"/>
  <c r="C16842" i="1"/>
  <c r="C16841" i="1"/>
  <c r="C16840" i="1"/>
  <c r="C16839" i="1"/>
  <c r="C16836" i="1"/>
  <c r="C16835" i="1"/>
  <c r="C16833" i="1"/>
  <c r="C16831" i="1"/>
  <c r="C16828" i="1"/>
  <c r="C16823" i="1"/>
  <c r="C16822" i="1"/>
  <c r="C16815" i="1"/>
  <c r="C16811" i="1"/>
  <c r="C16810" i="1"/>
  <c r="C16809" i="1"/>
  <c r="C16808" i="1"/>
  <c r="C16807" i="1"/>
  <c r="C16806" i="1"/>
  <c r="C16805" i="1"/>
  <c r="C16804" i="1"/>
  <c r="C16802" i="1"/>
  <c r="C16800" i="1"/>
  <c r="C16798" i="1"/>
  <c r="C16797" i="1"/>
  <c r="C16796" i="1"/>
  <c r="C16794" i="1"/>
  <c r="C16793" i="1"/>
  <c r="C16791" i="1"/>
  <c r="C16790" i="1"/>
  <c r="C16788" i="1"/>
  <c r="C16786" i="1"/>
  <c r="C16785" i="1"/>
  <c r="C16784" i="1"/>
  <c r="C16782" i="1"/>
  <c r="C16781" i="1"/>
  <c r="C16779" i="1"/>
  <c r="C16774" i="1"/>
  <c r="C16773" i="1"/>
  <c r="C16766" i="1"/>
  <c r="C16762" i="1"/>
  <c r="C16759" i="1"/>
  <c r="C16758" i="1"/>
  <c r="C16757" i="1"/>
  <c r="C16755" i="1"/>
  <c r="C16753" i="1"/>
  <c r="C16750" i="1"/>
  <c r="C16747" i="1"/>
  <c r="C16745" i="1"/>
  <c r="C16743" i="1"/>
  <c r="C16735" i="1"/>
  <c r="C16729" i="1"/>
  <c r="C16728" i="1"/>
  <c r="C16724" i="1"/>
  <c r="C16723" i="1"/>
  <c r="C16720" i="1"/>
  <c r="C16719" i="1"/>
  <c r="C16718" i="1"/>
  <c r="C16714" i="1"/>
  <c r="C16711" i="1"/>
  <c r="C16710" i="1"/>
  <c r="C16706" i="1"/>
  <c r="C16705" i="1"/>
  <c r="C16704" i="1"/>
  <c r="C16703" i="1"/>
  <c r="C16702" i="1"/>
  <c r="C16701" i="1"/>
  <c r="C16700" i="1"/>
  <c r="C16699" i="1"/>
  <c r="C16698" i="1"/>
  <c r="C16697" i="1"/>
  <c r="C16694" i="1"/>
  <c r="C16684" i="1"/>
  <c r="C16682" i="1"/>
  <c r="C16680" i="1"/>
  <c r="C16679" i="1"/>
  <c r="C16678" i="1"/>
  <c r="C16677" i="1"/>
  <c r="C16676" i="1"/>
  <c r="C16673" i="1"/>
  <c r="C16672" i="1"/>
  <c r="C16671" i="1"/>
  <c r="C16670" i="1"/>
  <c r="C16669" i="1"/>
  <c r="C16668" i="1"/>
  <c r="C16666" i="1"/>
  <c r="C16665" i="1"/>
  <c r="C16664" i="1"/>
  <c r="C16662" i="1"/>
  <c r="C16661" i="1"/>
  <c r="C16659" i="1"/>
  <c r="C16657" i="1"/>
  <c r="C16655" i="1"/>
  <c r="C16636" i="1"/>
  <c r="C16633" i="1"/>
  <c r="C16631" i="1"/>
  <c r="C16630" i="1"/>
  <c r="C16623" i="1"/>
  <c r="C16621" i="1"/>
  <c r="C16618" i="1"/>
  <c r="C16617" i="1"/>
  <c r="C16615" i="1"/>
  <c r="C16613" i="1"/>
  <c r="C16612" i="1"/>
  <c r="C16606" i="1"/>
  <c r="C16601" i="1"/>
  <c r="C16592" i="1"/>
  <c r="C16590" i="1"/>
  <c r="C16589" i="1"/>
  <c r="C16588" i="1"/>
  <c r="C16585" i="1"/>
  <c r="C16583" i="1"/>
  <c r="C16582" i="1"/>
  <c r="C16581" i="1"/>
  <c r="C16580" i="1"/>
  <c r="C16579" i="1"/>
  <c r="C16578" i="1"/>
  <c r="C16577" i="1"/>
  <c r="C16574" i="1"/>
  <c r="C16567" i="1"/>
  <c r="C16563" i="1"/>
  <c r="C16559" i="1"/>
  <c r="C16555" i="1"/>
  <c r="C16554" i="1"/>
  <c r="C16550" i="1"/>
  <c r="C16547" i="1"/>
  <c r="C16546" i="1"/>
  <c r="C16541" i="1"/>
  <c r="C16540" i="1"/>
  <c r="C16537" i="1"/>
  <c r="C16530" i="1"/>
  <c r="C16529" i="1"/>
  <c r="C16528" i="1"/>
  <c r="C16527" i="1"/>
  <c r="C16524" i="1"/>
  <c r="C16522" i="1"/>
  <c r="C16521" i="1"/>
  <c r="C16520" i="1"/>
  <c r="C16518" i="1"/>
  <c r="C16516" i="1"/>
  <c r="C16515" i="1"/>
  <c r="C16514" i="1"/>
  <c r="C16513" i="1"/>
  <c r="C16512" i="1"/>
  <c r="C16510" i="1"/>
  <c r="C16509" i="1"/>
  <c r="C16503" i="1"/>
  <c r="C16502" i="1"/>
  <c r="C16499" i="1"/>
  <c r="C16495" i="1"/>
  <c r="C16494" i="1"/>
  <c r="C16493" i="1"/>
  <c r="C16492" i="1"/>
  <c r="C16491" i="1"/>
  <c r="C16490" i="1"/>
  <c r="C16489" i="1"/>
  <c r="C16488" i="1"/>
  <c r="C16487" i="1"/>
  <c r="C16486" i="1"/>
  <c r="C16485" i="1"/>
  <c r="C16484" i="1"/>
  <c r="C16479" i="1"/>
  <c r="C16478" i="1"/>
  <c r="C16476" i="1"/>
  <c r="C16472" i="1"/>
  <c r="C16469" i="1"/>
  <c r="C16465" i="1"/>
  <c r="C16454" i="1"/>
  <c r="C16453" i="1"/>
  <c r="C16452" i="1"/>
  <c r="C16451" i="1"/>
  <c r="C16450" i="1"/>
  <c r="C16445" i="1"/>
  <c r="C16438" i="1"/>
  <c r="C16437" i="1"/>
  <c r="C16436" i="1"/>
  <c r="C16435" i="1"/>
  <c r="C16432" i="1"/>
  <c r="C16431" i="1"/>
  <c r="C16430" i="1"/>
  <c r="C16429" i="1"/>
  <c r="C16428" i="1"/>
  <c r="C16427" i="1"/>
  <c r="C16426" i="1"/>
  <c r="C16424" i="1"/>
  <c r="C16423" i="1"/>
  <c r="C16417" i="1"/>
  <c r="C16413" i="1"/>
  <c r="C16411" i="1"/>
  <c r="C16410" i="1"/>
  <c r="C16408" i="1"/>
  <c r="C16406" i="1"/>
  <c r="C16401" i="1"/>
  <c r="C16397" i="1"/>
  <c r="C16393" i="1"/>
  <c r="C16391" i="1"/>
  <c r="C16389" i="1"/>
  <c r="C16386" i="1"/>
  <c r="C16384" i="1"/>
  <c r="C16383" i="1"/>
  <c r="C16376" i="1"/>
  <c r="C16375" i="1"/>
  <c r="C16374" i="1"/>
  <c r="C16373" i="1"/>
  <c r="C16372" i="1"/>
  <c r="C16371" i="1"/>
  <c r="C16367" i="1"/>
  <c r="C16366" i="1"/>
  <c r="C16365" i="1"/>
  <c r="C16364" i="1"/>
  <c r="C16363" i="1"/>
  <c r="C16362" i="1"/>
  <c r="C16361" i="1"/>
  <c r="C16360" i="1"/>
  <c r="C16359" i="1"/>
  <c r="C16358" i="1"/>
  <c r="C16355" i="1"/>
  <c r="C16352" i="1"/>
  <c r="C16351" i="1"/>
  <c r="C16350" i="1"/>
  <c r="C16349" i="1"/>
  <c r="C16347" i="1"/>
  <c r="C16346" i="1"/>
  <c r="C16340" i="1"/>
  <c r="C16339" i="1"/>
  <c r="C16337" i="1"/>
  <c r="C16336" i="1"/>
  <c r="C16334" i="1"/>
  <c r="C16333" i="1"/>
  <c r="C16332" i="1"/>
  <c r="C16330" i="1"/>
  <c r="C16327" i="1"/>
  <c r="C16326" i="1"/>
  <c r="C16321" i="1"/>
  <c r="C16320" i="1"/>
  <c r="C16314" i="1"/>
  <c r="C16312" i="1"/>
  <c r="C16310" i="1"/>
  <c r="C16308" i="1"/>
  <c r="C16306" i="1"/>
  <c r="C16302" i="1"/>
  <c r="C16300" i="1"/>
  <c r="C16292" i="1"/>
  <c r="C16287" i="1"/>
  <c r="C16281" i="1"/>
  <c r="C16276" i="1"/>
  <c r="C16274" i="1"/>
  <c r="C16273" i="1"/>
  <c r="C16272" i="1"/>
  <c r="C16271" i="1"/>
  <c r="C16269" i="1"/>
  <c r="C16268" i="1"/>
  <c r="C16266" i="1"/>
  <c r="C16265" i="1"/>
  <c r="C16264" i="1"/>
  <c r="C16259" i="1"/>
  <c r="C16258" i="1"/>
  <c r="C16257" i="1"/>
  <c r="C16251" i="1"/>
  <c r="C16249" i="1"/>
  <c r="C16245" i="1"/>
  <c r="C16244" i="1"/>
  <c r="C16242" i="1"/>
  <c r="C16238" i="1"/>
  <c r="C16237" i="1"/>
  <c r="C16236" i="1"/>
  <c r="C16234" i="1"/>
  <c r="C16232" i="1"/>
  <c r="C16230" i="1"/>
  <c r="C16228" i="1"/>
  <c r="C16226" i="1"/>
  <c r="C16225" i="1"/>
  <c r="C16224" i="1"/>
  <c r="C16222" i="1"/>
  <c r="C16221" i="1"/>
  <c r="C16219" i="1"/>
  <c r="C16217" i="1"/>
  <c r="C16216" i="1"/>
  <c r="C16215" i="1"/>
  <c r="C16209" i="1"/>
  <c r="C16207" i="1"/>
  <c r="C16206" i="1"/>
  <c r="C16203" i="1"/>
  <c r="C16201" i="1"/>
  <c r="C16197" i="1"/>
  <c r="C16194" i="1"/>
  <c r="C16192" i="1"/>
  <c r="C16188" i="1"/>
  <c r="C16187" i="1"/>
  <c r="C16186" i="1"/>
  <c r="C16180" i="1"/>
  <c r="C16179" i="1"/>
  <c r="C16178" i="1"/>
  <c r="C16175" i="1"/>
  <c r="C16170" i="1"/>
  <c r="C16168" i="1"/>
  <c r="C16167" i="1"/>
  <c r="C16166" i="1"/>
  <c r="C16164" i="1"/>
  <c r="C16160" i="1"/>
  <c r="C16159" i="1"/>
  <c r="C16158" i="1"/>
  <c r="C16157" i="1"/>
  <c r="C16154" i="1"/>
  <c r="C16153" i="1"/>
  <c r="C16152" i="1"/>
  <c r="C16151" i="1"/>
  <c r="C16147" i="1"/>
  <c r="C16145" i="1"/>
  <c r="C16144" i="1"/>
  <c r="C16143" i="1"/>
  <c r="C16140" i="1"/>
  <c r="C16139" i="1"/>
  <c r="C16138" i="1"/>
  <c r="C16137" i="1"/>
  <c r="C16136" i="1"/>
  <c r="C16135" i="1"/>
  <c r="C16134" i="1"/>
  <c r="C16132" i="1"/>
  <c r="C16131" i="1"/>
  <c r="C16130" i="1"/>
  <c r="C16128" i="1"/>
  <c r="C16127" i="1"/>
  <c r="C16125" i="1"/>
  <c r="C16119" i="1"/>
  <c r="C16118" i="1"/>
  <c r="C16103" i="1"/>
  <c r="C16102" i="1"/>
  <c r="C16101" i="1"/>
  <c r="C16097" i="1"/>
  <c r="C16081" i="1"/>
  <c r="C16080" i="1"/>
  <c r="C16078" i="1"/>
  <c r="C16077" i="1"/>
  <c r="C16071" i="1"/>
  <c r="C16069" i="1"/>
  <c r="C16068" i="1"/>
  <c r="C16067" i="1"/>
  <c r="C16066" i="1"/>
  <c r="C16064" i="1"/>
  <c r="C16063" i="1"/>
  <c r="C16037" i="1"/>
  <c r="C16032" i="1"/>
  <c r="C16031" i="1"/>
  <c r="C16030" i="1"/>
  <c r="C16023" i="1"/>
  <c r="C16021" i="1"/>
  <c r="C16020" i="1"/>
  <c r="C16019" i="1"/>
  <c r="C16018" i="1"/>
  <c r="C16016" i="1"/>
  <c r="C16015" i="1"/>
  <c r="C16014" i="1"/>
  <c r="C16013" i="1"/>
  <c r="C16012" i="1"/>
  <c r="C16006" i="1"/>
  <c r="C16005" i="1"/>
  <c r="C16004" i="1"/>
  <c r="C16003" i="1"/>
  <c r="C15998" i="1"/>
  <c r="C15997" i="1"/>
  <c r="C15995" i="1"/>
  <c r="C15993" i="1"/>
  <c r="C15990" i="1"/>
  <c r="C15988" i="1"/>
  <c r="C15983" i="1"/>
  <c r="C15982" i="1"/>
  <c r="C15981" i="1"/>
  <c r="C15980" i="1"/>
  <c r="C15979" i="1"/>
  <c r="C15978" i="1"/>
  <c r="C15976" i="1"/>
  <c r="C15973" i="1"/>
  <c r="C15972" i="1"/>
  <c r="C15970" i="1"/>
  <c r="C15968" i="1"/>
  <c r="C15965" i="1"/>
  <c r="C15964" i="1"/>
  <c r="C15960" i="1"/>
  <c r="C15959" i="1"/>
  <c r="C15957" i="1"/>
  <c r="C15956" i="1"/>
  <c r="C15955" i="1"/>
  <c r="C15954" i="1"/>
  <c r="C15952" i="1"/>
  <c r="C15951" i="1"/>
  <c r="C15947" i="1"/>
  <c r="C15946" i="1"/>
  <c r="C15945" i="1"/>
  <c r="C15941" i="1"/>
  <c r="C15933" i="1"/>
  <c r="C15932" i="1"/>
  <c r="C15930" i="1"/>
  <c r="C15925" i="1"/>
  <c r="C15920" i="1"/>
  <c r="C15911" i="1"/>
  <c r="C15904" i="1"/>
  <c r="C15899" i="1"/>
  <c r="C15889" i="1"/>
  <c r="C15886" i="1"/>
  <c r="C15885" i="1"/>
  <c r="C15879" i="1"/>
  <c r="C15868" i="1"/>
  <c r="C15861" i="1"/>
  <c r="C15859" i="1"/>
  <c r="C15858" i="1"/>
  <c r="C15857" i="1"/>
  <c r="C15856" i="1"/>
  <c r="C15855" i="1"/>
  <c r="C15853" i="1"/>
  <c r="C15852" i="1"/>
  <c r="C15851" i="1"/>
  <c r="C15849" i="1"/>
  <c r="C15848" i="1"/>
  <c r="C15847" i="1"/>
  <c r="C15846" i="1"/>
  <c r="C15845" i="1"/>
  <c r="C15843" i="1"/>
  <c r="C15841" i="1"/>
  <c r="C15835" i="1"/>
  <c r="C15827" i="1"/>
  <c r="C15822" i="1"/>
  <c r="C15818" i="1"/>
  <c r="C15815" i="1"/>
  <c r="C15814" i="1"/>
  <c r="C15809" i="1"/>
  <c r="C15808" i="1"/>
  <c r="C15804" i="1"/>
  <c r="C15803" i="1"/>
  <c r="C15800" i="1"/>
  <c r="C15799" i="1"/>
  <c r="C15798" i="1"/>
  <c r="C15793" i="1"/>
  <c r="C15789" i="1"/>
  <c r="C15788" i="1"/>
  <c r="C15787" i="1"/>
  <c r="C15785" i="1"/>
  <c r="C15782" i="1"/>
  <c r="C15781" i="1"/>
  <c r="C15779" i="1"/>
  <c r="C15778" i="1"/>
  <c r="C15777" i="1"/>
  <c r="C15776" i="1"/>
  <c r="C15774" i="1"/>
  <c r="C15772" i="1"/>
  <c r="C15771" i="1"/>
  <c r="C15770" i="1"/>
  <c r="C15767" i="1"/>
  <c r="C15763" i="1"/>
  <c r="C15762" i="1"/>
  <c r="C15760" i="1"/>
  <c r="C15759" i="1"/>
  <c r="C15756" i="1"/>
  <c r="C15751" i="1"/>
  <c r="C15750" i="1"/>
  <c r="C15747" i="1"/>
  <c r="C15743" i="1"/>
  <c r="C15740" i="1"/>
  <c r="C15738" i="1"/>
  <c r="C15735" i="1"/>
  <c r="C15729" i="1"/>
  <c r="C15726" i="1"/>
  <c r="C15724" i="1"/>
  <c r="C15723" i="1"/>
  <c r="C15720" i="1"/>
  <c r="C15717" i="1"/>
  <c r="C15715" i="1"/>
  <c r="C15710" i="1"/>
  <c r="C15705" i="1"/>
  <c r="C15704" i="1"/>
  <c r="C15703" i="1"/>
  <c r="C15702" i="1"/>
  <c r="C15701" i="1"/>
  <c r="C15700" i="1"/>
  <c r="C15699" i="1"/>
  <c r="C15698" i="1"/>
  <c r="C15697" i="1"/>
  <c r="C15696" i="1"/>
  <c r="C15687" i="1"/>
  <c r="C15680" i="1"/>
  <c r="C15674" i="1"/>
  <c r="C15672" i="1"/>
  <c r="C15669" i="1"/>
  <c r="C15668" i="1"/>
  <c r="C15662" i="1"/>
  <c r="C15661" i="1"/>
  <c r="C15659" i="1"/>
  <c r="C15657" i="1"/>
  <c r="C15654" i="1"/>
  <c r="C15652" i="1"/>
  <c r="C15651" i="1"/>
  <c r="C15647" i="1"/>
  <c r="C15638" i="1"/>
  <c r="C15633" i="1"/>
  <c r="C15631" i="1"/>
  <c r="C15630" i="1"/>
  <c r="C15629" i="1"/>
  <c r="C15628" i="1"/>
  <c r="C15627" i="1"/>
  <c r="C15618" i="1"/>
  <c r="C15617" i="1"/>
  <c r="C15616" i="1"/>
  <c r="C15612" i="1"/>
  <c r="C15611" i="1"/>
  <c r="C15610" i="1"/>
  <c r="C15606" i="1"/>
  <c r="C15599" i="1"/>
  <c r="C15595" i="1"/>
  <c r="C15594" i="1"/>
  <c r="C15591" i="1"/>
  <c r="C15589" i="1"/>
  <c r="C15587" i="1"/>
  <c r="C15586" i="1"/>
  <c r="C15583" i="1"/>
  <c r="C15581" i="1"/>
  <c r="C15575" i="1"/>
  <c r="C15562" i="1"/>
  <c r="C15560" i="1"/>
  <c r="C15552" i="1"/>
  <c r="C15545" i="1"/>
  <c r="C15537" i="1"/>
  <c r="C15535" i="1"/>
  <c r="C15533" i="1"/>
  <c r="C15532" i="1"/>
  <c r="C15516" i="1"/>
  <c r="C15509" i="1"/>
  <c r="C15508" i="1"/>
  <c r="C15506" i="1"/>
  <c r="C15505" i="1"/>
  <c r="C15504" i="1"/>
  <c r="C15503" i="1"/>
  <c r="C15502" i="1"/>
  <c r="C15501" i="1"/>
  <c r="C15500" i="1"/>
  <c r="C15499" i="1"/>
  <c r="C15498" i="1"/>
  <c r="C15496" i="1"/>
  <c r="C15493" i="1"/>
  <c r="C15492" i="1"/>
  <c r="C15489" i="1"/>
  <c r="C15488" i="1"/>
  <c r="C15481" i="1"/>
  <c r="C15471" i="1"/>
  <c r="C15470" i="1"/>
  <c r="C15468" i="1"/>
  <c r="C15466" i="1"/>
  <c r="C15462" i="1"/>
  <c r="C15459" i="1"/>
  <c r="C15456" i="1"/>
  <c r="C15451" i="1"/>
  <c r="C15448" i="1"/>
  <c r="C15447" i="1"/>
  <c r="C15446" i="1"/>
  <c r="C15441" i="1"/>
  <c r="C15434" i="1"/>
  <c r="C15424" i="1"/>
  <c r="C15421" i="1"/>
  <c r="C15419" i="1"/>
  <c r="C15418" i="1"/>
  <c r="C15416" i="1"/>
  <c r="C15414" i="1"/>
  <c r="C15412" i="1"/>
  <c r="C15411" i="1"/>
  <c r="C15408" i="1"/>
  <c r="C15406" i="1"/>
  <c r="C15405" i="1"/>
  <c r="C15404" i="1"/>
  <c r="C15403" i="1"/>
  <c r="C15402" i="1"/>
  <c r="C15399" i="1"/>
  <c r="C15398" i="1"/>
  <c r="C15396" i="1"/>
  <c r="C15395" i="1"/>
  <c r="C15394" i="1"/>
  <c r="C15393" i="1"/>
  <c r="C15391" i="1"/>
  <c r="C15390" i="1"/>
  <c r="C15380" i="1"/>
  <c r="C15376" i="1"/>
  <c r="C15375" i="1"/>
  <c r="C15374" i="1"/>
  <c r="C15371" i="1"/>
  <c r="C15369" i="1"/>
  <c r="C15367" i="1"/>
  <c r="C15366" i="1"/>
  <c r="C15359" i="1"/>
  <c r="C15358" i="1"/>
  <c r="C15357" i="1"/>
  <c r="C15354" i="1"/>
  <c r="C15351" i="1"/>
  <c r="C15350" i="1"/>
  <c r="C15349" i="1"/>
  <c r="C15348" i="1"/>
  <c r="C15335" i="1"/>
  <c r="C15328" i="1"/>
  <c r="C15324" i="1"/>
  <c r="C15323" i="1"/>
  <c r="C15322" i="1"/>
  <c r="C15320" i="1"/>
  <c r="C15317" i="1"/>
  <c r="C15316" i="1"/>
  <c r="C15312" i="1"/>
  <c r="C15310" i="1"/>
  <c r="C15309" i="1"/>
  <c r="C15307" i="1"/>
  <c r="C15305" i="1"/>
  <c r="C15302" i="1"/>
  <c r="C15301" i="1"/>
  <c r="C15298" i="1"/>
  <c r="C15291" i="1"/>
  <c r="C15286" i="1"/>
  <c r="C15285" i="1"/>
  <c r="C15284" i="1"/>
  <c r="C15283" i="1"/>
  <c r="C15282" i="1"/>
  <c r="C15281" i="1"/>
  <c r="C15280" i="1"/>
  <c r="C15279" i="1"/>
  <c r="C15274" i="1"/>
  <c r="C15273" i="1"/>
  <c r="C15265" i="1"/>
  <c r="C15264" i="1"/>
  <c r="C15262" i="1"/>
  <c r="C15261" i="1"/>
  <c r="C15260" i="1"/>
  <c r="C15252" i="1"/>
  <c r="C15250" i="1"/>
  <c r="C15248" i="1"/>
  <c r="C15247" i="1"/>
  <c r="C15246" i="1"/>
  <c r="C15245" i="1"/>
  <c r="C15244" i="1"/>
  <c r="C15240" i="1"/>
  <c r="C15234" i="1"/>
  <c r="C15232" i="1"/>
  <c r="C15231" i="1"/>
  <c r="C15230" i="1"/>
  <c r="C15228" i="1"/>
  <c r="C15227" i="1"/>
  <c r="C15225" i="1"/>
  <c r="C15224" i="1"/>
  <c r="C15218" i="1"/>
  <c r="C15217" i="1"/>
  <c r="C15216" i="1"/>
  <c r="C15215" i="1"/>
  <c r="C15214" i="1"/>
  <c r="C15213" i="1"/>
  <c r="C15212" i="1"/>
  <c r="C15211" i="1"/>
  <c r="C15210" i="1"/>
  <c r="C15209" i="1"/>
  <c r="C15206" i="1"/>
  <c r="C15203" i="1"/>
  <c r="C15193" i="1"/>
  <c r="C15191" i="1"/>
  <c r="C15190" i="1"/>
  <c r="C15186" i="1"/>
  <c r="C15175" i="1"/>
  <c r="C15167" i="1"/>
  <c r="C15166" i="1"/>
  <c r="C15159" i="1"/>
  <c r="C15158" i="1"/>
  <c r="C15157" i="1"/>
  <c r="C15153" i="1"/>
  <c r="C15152" i="1"/>
  <c r="C15146" i="1"/>
  <c r="C15143" i="1"/>
  <c r="C15139" i="1"/>
  <c r="C15135" i="1"/>
  <c r="C15134" i="1"/>
  <c r="C15132" i="1"/>
  <c r="C15128" i="1"/>
  <c r="C15126" i="1"/>
  <c r="C15122" i="1"/>
  <c r="C15120" i="1"/>
  <c r="C15119" i="1"/>
  <c r="C15118" i="1"/>
  <c r="C15116" i="1"/>
  <c r="C15115" i="1"/>
  <c r="C15112" i="1"/>
  <c r="C15111" i="1"/>
  <c r="C15109" i="1"/>
  <c r="C15108" i="1"/>
  <c r="C15103" i="1"/>
  <c r="C15102" i="1"/>
  <c r="C15101" i="1"/>
  <c r="C15097" i="1"/>
  <c r="C15096" i="1"/>
  <c r="C15095" i="1"/>
  <c r="C15094" i="1"/>
  <c r="C15089" i="1"/>
  <c r="C15088" i="1"/>
  <c r="C15085" i="1"/>
  <c r="C15082" i="1"/>
  <c r="C15079" i="1"/>
  <c r="C15078" i="1"/>
  <c r="C15067" i="1"/>
  <c r="C15055" i="1"/>
  <c r="C15050" i="1"/>
  <c r="C15049" i="1"/>
  <c r="C15044" i="1"/>
  <c r="C15038" i="1"/>
  <c r="C15037" i="1"/>
  <c r="C15028" i="1"/>
  <c r="C15023" i="1"/>
  <c r="C15021" i="1"/>
  <c r="C15020" i="1"/>
  <c r="C15009" i="1"/>
  <c r="C15006" i="1"/>
  <c r="C15003" i="1"/>
  <c r="C15001" i="1"/>
  <c r="C14998" i="1"/>
  <c r="C14996" i="1"/>
  <c r="C14986" i="1"/>
  <c r="C14984" i="1"/>
  <c r="C14983" i="1"/>
  <c r="C14981" i="1"/>
  <c r="C14980" i="1"/>
  <c r="C14979" i="1"/>
  <c r="C14978" i="1"/>
  <c r="C14974" i="1"/>
  <c r="C14973" i="1"/>
  <c r="C14962" i="1"/>
  <c r="C14961" i="1"/>
  <c r="C14960" i="1"/>
  <c r="C14958" i="1"/>
  <c r="C14950" i="1"/>
  <c r="C14949" i="1"/>
  <c r="C14948" i="1"/>
  <c r="C14941" i="1"/>
  <c r="C14939" i="1"/>
  <c r="C14938" i="1"/>
  <c r="C14937" i="1"/>
  <c r="C14934" i="1"/>
  <c r="C14933" i="1"/>
  <c r="C14932" i="1"/>
  <c r="C14929" i="1"/>
  <c r="C14928" i="1"/>
  <c r="C14925" i="1"/>
  <c r="C14924" i="1"/>
  <c r="C14923" i="1"/>
  <c r="C14922" i="1"/>
  <c r="C14920" i="1"/>
  <c r="C14918" i="1"/>
  <c r="C14916" i="1"/>
  <c r="C14912" i="1"/>
  <c r="C14911" i="1"/>
  <c r="C14910" i="1"/>
  <c r="C14909" i="1"/>
  <c r="C14908" i="1"/>
  <c r="C14905" i="1"/>
  <c r="C14904" i="1"/>
  <c r="C14901" i="1"/>
  <c r="C14898" i="1"/>
  <c r="C14897" i="1"/>
  <c r="C14896" i="1"/>
  <c r="C14892" i="1"/>
  <c r="C14890" i="1"/>
  <c r="C14889" i="1"/>
  <c r="C14887" i="1"/>
  <c r="C14886" i="1"/>
  <c r="C14881" i="1"/>
  <c r="C14880" i="1"/>
  <c r="C14878" i="1"/>
  <c r="C14874" i="1"/>
  <c r="C14873" i="1"/>
  <c r="C14872" i="1"/>
  <c r="C14871" i="1"/>
  <c r="C14870" i="1"/>
  <c r="C14861" i="1"/>
  <c r="C14847" i="1"/>
  <c r="C14844" i="1"/>
  <c r="C14842" i="1"/>
  <c r="C14841" i="1"/>
  <c r="C14840" i="1"/>
  <c r="C14839" i="1"/>
  <c r="C14838" i="1"/>
  <c r="C14836" i="1"/>
  <c r="C14834" i="1"/>
  <c r="C14833" i="1"/>
  <c r="C14831" i="1"/>
  <c r="C14829" i="1"/>
  <c r="C14828" i="1"/>
  <c r="C14827" i="1"/>
  <c r="C14826" i="1"/>
  <c r="C14820" i="1"/>
  <c r="C14819" i="1"/>
  <c r="C14818" i="1"/>
  <c r="C14816" i="1"/>
  <c r="C14815" i="1"/>
  <c r="C14814" i="1"/>
  <c r="C14813" i="1"/>
  <c r="C14811" i="1"/>
  <c r="C14810" i="1"/>
  <c r="C14809" i="1"/>
  <c r="C14807" i="1"/>
  <c r="C14806" i="1"/>
  <c r="C14805" i="1"/>
  <c r="C14803" i="1"/>
  <c r="C14802" i="1"/>
  <c r="C14800" i="1"/>
  <c r="C14798" i="1"/>
  <c r="C14796" i="1"/>
  <c r="C14795" i="1"/>
  <c r="C14794" i="1"/>
  <c r="C14793" i="1"/>
  <c r="C14786" i="1"/>
  <c r="C14785" i="1"/>
  <c r="C14783" i="1"/>
  <c r="C14782" i="1"/>
  <c r="C14777" i="1"/>
  <c r="C14776" i="1"/>
  <c r="C14775" i="1"/>
  <c r="C14771" i="1"/>
  <c r="C14770" i="1"/>
  <c r="C14766" i="1"/>
  <c r="C14765" i="1"/>
  <c r="C14764" i="1"/>
  <c r="C14763" i="1"/>
  <c r="C14760" i="1"/>
  <c r="C14756" i="1"/>
  <c r="C14753" i="1"/>
  <c r="C14746" i="1"/>
  <c r="C14741" i="1"/>
  <c r="C14737" i="1"/>
  <c r="C14736" i="1"/>
  <c r="C14735" i="1"/>
  <c r="C14733" i="1"/>
  <c r="C14732" i="1"/>
  <c r="C14731" i="1"/>
  <c r="C14730" i="1"/>
  <c r="C14728" i="1"/>
  <c r="C14726" i="1"/>
  <c r="C14721" i="1"/>
  <c r="C14720" i="1"/>
  <c r="C14717" i="1"/>
  <c r="C14715" i="1"/>
  <c r="C14713" i="1"/>
  <c r="C14709" i="1"/>
  <c r="C14708" i="1"/>
  <c r="C14707" i="1"/>
  <c r="C14703" i="1"/>
  <c r="C14702" i="1"/>
  <c r="C14691" i="1"/>
  <c r="C14689" i="1"/>
  <c r="C14683" i="1"/>
  <c r="C14677" i="1"/>
  <c r="C14675" i="1"/>
  <c r="C14674" i="1"/>
  <c r="C14673" i="1"/>
  <c r="C14672" i="1"/>
  <c r="C14671" i="1"/>
  <c r="C14670" i="1"/>
  <c r="C14669" i="1"/>
  <c r="C14668" i="1"/>
  <c r="C14666" i="1"/>
  <c r="C14665" i="1"/>
  <c r="C14663" i="1"/>
  <c r="C14661" i="1"/>
  <c r="C14655" i="1"/>
  <c r="C14654" i="1"/>
  <c r="C14652" i="1"/>
  <c r="C14651" i="1"/>
  <c r="C14650" i="1"/>
  <c r="C14649" i="1"/>
  <c r="C14648" i="1"/>
  <c r="C14646" i="1"/>
  <c r="C14645" i="1"/>
  <c r="C14644" i="1"/>
  <c r="C14640" i="1"/>
  <c r="C14637" i="1"/>
  <c r="C14636" i="1"/>
  <c r="C14635" i="1"/>
  <c r="C14632" i="1"/>
  <c r="C14630" i="1"/>
  <c r="C14624" i="1"/>
  <c r="C14623" i="1"/>
  <c r="C14621" i="1"/>
  <c r="C14620" i="1"/>
  <c r="C14618" i="1"/>
  <c r="C14606" i="1"/>
  <c r="C14605" i="1"/>
  <c r="C14602" i="1"/>
  <c r="C14601" i="1"/>
  <c r="C14599" i="1"/>
  <c r="C14590" i="1"/>
  <c r="C14589" i="1"/>
  <c r="C14587" i="1"/>
  <c r="C14586" i="1"/>
  <c r="C14583" i="1"/>
  <c r="C14582" i="1"/>
  <c r="C14580" i="1"/>
  <c r="C14578" i="1"/>
  <c r="C14577" i="1"/>
  <c r="C14576" i="1"/>
  <c r="C14574" i="1"/>
  <c r="C14573" i="1"/>
  <c r="C14562" i="1"/>
  <c r="C14556" i="1"/>
  <c r="C14552" i="1"/>
  <c r="C14543" i="1"/>
  <c r="C14538" i="1"/>
  <c r="C14534" i="1"/>
  <c r="C14532" i="1"/>
  <c r="C14531" i="1"/>
  <c r="C14526" i="1"/>
  <c r="C14525" i="1"/>
  <c r="C14519" i="1"/>
  <c r="C14518" i="1"/>
  <c r="C14515" i="1"/>
  <c r="C14512" i="1"/>
  <c r="C14511" i="1"/>
  <c r="C14510" i="1"/>
  <c r="C14509" i="1"/>
  <c r="C14500" i="1"/>
  <c r="C14497" i="1"/>
  <c r="C14489" i="1"/>
  <c r="C14485" i="1"/>
  <c r="C14482" i="1"/>
  <c r="C14480" i="1"/>
  <c r="C14467" i="1"/>
  <c r="C14461" i="1"/>
  <c r="C14456" i="1"/>
  <c r="C14455" i="1"/>
  <c r="C14452" i="1"/>
  <c r="C14451" i="1"/>
  <c r="C14450" i="1"/>
  <c r="C14447" i="1"/>
  <c r="C14445" i="1"/>
  <c r="C14443" i="1"/>
  <c r="C14439" i="1"/>
  <c r="C14435" i="1"/>
  <c r="C14429" i="1"/>
  <c r="C14428" i="1"/>
  <c r="C14427" i="1"/>
  <c r="C14426" i="1"/>
  <c r="C14425" i="1"/>
  <c r="C14422" i="1"/>
  <c r="C14421" i="1"/>
  <c r="C14412" i="1"/>
  <c r="C14410" i="1"/>
  <c r="C14399" i="1"/>
  <c r="C14392" i="1"/>
  <c r="C14390" i="1"/>
  <c r="C14389" i="1"/>
  <c r="C14387" i="1"/>
  <c r="C14380" i="1"/>
  <c r="C14378" i="1"/>
  <c r="C14376" i="1"/>
  <c r="C14370" i="1"/>
  <c r="C14368" i="1"/>
  <c r="C14366" i="1"/>
  <c r="C14360" i="1"/>
  <c r="C14359" i="1"/>
  <c r="C14353" i="1"/>
  <c r="C14348" i="1"/>
  <c r="C14347" i="1"/>
  <c r="C14346" i="1"/>
  <c r="C14345" i="1"/>
  <c r="C14342" i="1"/>
  <c r="C14335" i="1"/>
  <c r="C14323" i="1"/>
  <c r="C14322" i="1"/>
  <c r="C14314" i="1"/>
  <c r="C14313" i="1"/>
  <c r="C14312" i="1"/>
  <c r="C14311" i="1"/>
  <c r="C14310" i="1"/>
  <c r="C14309" i="1"/>
  <c r="C14306" i="1"/>
  <c r="C14304" i="1"/>
  <c r="C14298" i="1"/>
  <c r="C14293" i="1"/>
  <c r="C14290" i="1"/>
  <c r="C14289" i="1"/>
  <c r="C14285" i="1"/>
  <c r="C14284" i="1"/>
  <c r="C14282" i="1"/>
  <c r="C14281" i="1"/>
  <c r="C14280" i="1"/>
  <c r="C14279" i="1"/>
  <c r="C14278" i="1"/>
  <c r="C14277" i="1"/>
  <c r="C14274" i="1"/>
  <c r="C14270" i="1"/>
  <c r="C14267" i="1"/>
  <c r="C14266" i="1"/>
  <c r="C14265" i="1"/>
  <c r="C14264" i="1"/>
  <c r="C14261" i="1"/>
  <c r="C14260" i="1"/>
  <c r="C14259" i="1"/>
  <c r="C14258" i="1"/>
  <c r="C14256" i="1"/>
  <c r="C14255" i="1"/>
  <c r="C14254" i="1"/>
  <c r="C14247" i="1"/>
  <c r="C14243" i="1"/>
  <c r="C14242" i="1"/>
  <c r="C14241" i="1"/>
  <c r="C14236" i="1"/>
  <c r="C14233" i="1"/>
  <c r="C14230" i="1"/>
  <c r="C14229" i="1"/>
  <c r="C14226" i="1"/>
  <c r="C14223" i="1"/>
  <c r="C14222" i="1"/>
  <c r="C14221" i="1"/>
  <c r="C14220" i="1"/>
  <c r="C14216" i="1"/>
  <c r="C14212" i="1"/>
  <c r="C14211" i="1"/>
  <c r="C14209" i="1"/>
  <c r="C14208" i="1"/>
  <c r="C14205" i="1"/>
  <c r="C14204" i="1"/>
  <c r="C14203" i="1"/>
  <c r="C14202" i="1"/>
  <c r="C14200" i="1"/>
  <c r="C14198" i="1"/>
  <c r="C14197" i="1"/>
  <c r="C14196" i="1"/>
  <c r="C14190" i="1"/>
  <c r="C14187" i="1"/>
  <c r="C14186" i="1"/>
  <c r="C14182" i="1"/>
  <c r="C14176" i="1"/>
  <c r="C14169" i="1"/>
  <c r="C14168" i="1"/>
  <c r="C14166" i="1"/>
  <c r="C14165" i="1"/>
  <c r="C14164" i="1"/>
  <c r="C14162" i="1"/>
  <c r="C14153" i="1"/>
  <c r="C14148" i="1"/>
  <c r="C14142" i="1"/>
  <c r="C14140" i="1"/>
  <c r="C14138" i="1"/>
  <c r="C14137" i="1"/>
  <c r="C14130" i="1"/>
  <c r="C14126" i="1"/>
  <c r="C14122" i="1"/>
  <c r="C14120" i="1"/>
  <c r="C14115" i="1"/>
  <c r="C14109" i="1"/>
  <c r="C14108" i="1"/>
  <c r="C14106" i="1"/>
  <c r="C14099" i="1"/>
  <c r="C14097" i="1"/>
  <c r="C14096" i="1"/>
  <c r="C14093" i="1"/>
  <c r="C14086" i="1"/>
  <c r="C14083" i="1"/>
  <c r="C14082" i="1"/>
  <c r="C14081" i="1"/>
  <c r="C14076" i="1"/>
  <c r="C14072" i="1"/>
  <c r="C14071" i="1"/>
  <c r="C14062" i="1"/>
  <c r="C14059" i="1"/>
  <c r="C14058" i="1"/>
  <c r="C14056" i="1"/>
  <c r="C14055" i="1"/>
  <c r="C14054" i="1"/>
  <c r="C14053" i="1"/>
  <c r="C14052" i="1"/>
  <c r="C14050" i="1"/>
  <c r="C14049" i="1"/>
  <c r="C14048" i="1"/>
  <c r="C14047" i="1"/>
  <c r="C14046" i="1"/>
  <c r="C14045" i="1"/>
  <c r="C14043" i="1"/>
  <c r="C14042" i="1"/>
  <c r="C14040" i="1"/>
  <c r="C14038" i="1"/>
  <c r="C14037" i="1"/>
  <c r="C14031" i="1"/>
  <c r="C14030" i="1"/>
  <c r="C14027" i="1"/>
  <c r="C14026" i="1"/>
  <c r="C14025" i="1"/>
  <c r="C14024" i="1"/>
  <c r="C14023" i="1"/>
  <c r="C14017" i="1"/>
  <c r="C14016" i="1"/>
  <c r="C14013" i="1"/>
  <c r="C14008" i="1"/>
  <c r="C13999" i="1"/>
  <c r="C13996" i="1"/>
  <c r="C13995" i="1"/>
  <c r="C13994" i="1"/>
  <c r="C13991" i="1"/>
  <c r="C13985" i="1"/>
  <c r="C13984" i="1"/>
  <c r="C13982" i="1"/>
  <c r="C13976" i="1"/>
  <c r="C13975" i="1"/>
  <c r="C13973" i="1"/>
  <c r="C13972" i="1"/>
  <c r="C13971" i="1"/>
  <c r="C13968" i="1"/>
  <c r="C13967" i="1"/>
  <c r="C13966" i="1"/>
  <c r="C13962" i="1"/>
  <c r="C13961" i="1"/>
  <c r="C13960" i="1"/>
  <c r="C13959" i="1"/>
  <c r="C13958" i="1"/>
  <c r="C13953" i="1"/>
  <c r="C13950" i="1"/>
  <c r="C13946" i="1"/>
  <c r="C13937" i="1"/>
  <c r="C13935" i="1"/>
  <c r="C13934" i="1"/>
  <c r="C13932" i="1"/>
  <c r="C13931" i="1"/>
  <c r="C13926" i="1"/>
  <c r="C13898" i="1"/>
  <c r="C13894" i="1"/>
  <c r="C13893" i="1"/>
  <c r="C13892" i="1"/>
  <c r="C13891" i="1"/>
  <c r="C13890" i="1"/>
  <c r="C13889" i="1"/>
  <c r="C13887" i="1"/>
  <c r="C13886" i="1"/>
  <c r="C13885" i="1"/>
  <c r="C13884" i="1"/>
  <c r="C13883" i="1"/>
  <c r="C13878" i="1"/>
  <c r="C13877" i="1"/>
  <c r="C13873" i="1"/>
  <c r="C13872" i="1"/>
  <c r="C13871" i="1"/>
  <c r="C13868" i="1"/>
  <c r="C13867" i="1"/>
  <c r="C13866" i="1"/>
  <c r="C13865" i="1"/>
  <c r="C13864" i="1"/>
  <c r="C13863" i="1"/>
  <c r="C13862" i="1"/>
  <c r="C13857" i="1"/>
  <c r="C13856" i="1"/>
  <c r="C13849" i="1"/>
  <c r="C13847" i="1"/>
  <c r="C13842" i="1"/>
  <c r="C13840" i="1"/>
  <c r="C13839" i="1"/>
  <c r="C13838" i="1"/>
  <c r="C13835" i="1"/>
  <c r="C13834" i="1"/>
  <c r="C13832" i="1"/>
  <c r="C13828" i="1"/>
  <c r="C13827" i="1"/>
  <c r="C13825" i="1"/>
  <c r="C13822" i="1"/>
  <c r="C13820" i="1"/>
  <c r="C13816" i="1"/>
  <c r="C13815" i="1"/>
  <c r="C13814" i="1"/>
  <c r="C13813" i="1"/>
  <c r="C13811" i="1"/>
  <c r="C13810" i="1"/>
  <c r="C13808" i="1"/>
  <c r="C13805" i="1"/>
  <c r="C13804" i="1"/>
  <c r="C13802" i="1"/>
  <c r="C13801" i="1"/>
  <c r="C13800" i="1"/>
  <c r="C13799" i="1"/>
  <c r="C13798" i="1"/>
  <c r="C13797" i="1"/>
  <c r="C13796" i="1"/>
  <c r="C13791" i="1"/>
  <c r="C13790" i="1"/>
  <c r="C13788" i="1"/>
  <c r="C13786" i="1"/>
  <c r="C13784" i="1"/>
  <c r="C13782" i="1"/>
  <c r="C13781" i="1"/>
  <c r="C13780" i="1"/>
  <c r="C13779" i="1"/>
  <c r="C13778" i="1"/>
  <c r="C13777" i="1"/>
  <c r="C13774" i="1"/>
  <c r="C13773" i="1"/>
  <c r="C13770" i="1"/>
  <c r="C13763" i="1"/>
  <c r="C13755" i="1"/>
  <c r="C13751" i="1"/>
  <c r="C13749" i="1"/>
  <c r="C13741" i="1"/>
  <c r="C13731" i="1"/>
  <c r="C13729" i="1"/>
  <c r="C13722" i="1"/>
  <c r="C13720" i="1"/>
  <c r="C13719" i="1"/>
  <c r="C13717" i="1"/>
  <c r="C13715" i="1"/>
  <c r="C13708" i="1"/>
  <c r="C13706" i="1"/>
  <c r="C13700" i="1"/>
  <c r="C13699" i="1"/>
  <c r="C13698" i="1"/>
  <c r="C13697" i="1"/>
  <c r="C13696" i="1"/>
  <c r="C13695" i="1"/>
  <c r="C13689" i="1"/>
  <c r="C13683" i="1"/>
  <c r="C13677" i="1"/>
  <c r="C13675" i="1"/>
  <c r="C13674" i="1"/>
  <c r="C13673" i="1"/>
  <c r="C13672" i="1"/>
  <c r="C13671" i="1"/>
  <c r="C13670" i="1"/>
  <c r="C13669" i="1"/>
  <c r="C13668" i="1"/>
  <c r="C13667" i="1"/>
  <c r="C13666" i="1"/>
  <c r="C13664" i="1"/>
  <c r="C13662" i="1"/>
  <c r="C13660" i="1"/>
  <c r="C13659" i="1"/>
  <c r="C13658" i="1"/>
  <c r="C13656" i="1"/>
  <c r="C13653" i="1"/>
  <c r="C13650" i="1"/>
  <c r="C13647" i="1"/>
  <c r="C13646" i="1"/>
  <c r="C13645" i="1"/>
  <c r="C13644" i="1"/>
  <c r="C13643" i="1"/>
  <c r="C13641" i="1"/>
  <c r="C13640" i="1"/>
  <c r="C13638" i="1"/>
  <c r="C13637" i="1"/>
  <c r="C13636" i="1"/>
  <c r="C13635" i="1"/>
  <c r="C13629" i="1"/>
  <c r="C13628" i="1"/>
  <c r="C13626" i="1"/>
  <c r="C13625" i="1"/>
  <c r="C13623" i="1"/>
  <c r="C13620" i="1"/>
  <c r="C13618" i="1"/>
  <c r="C13614" i="1"/>
  <c r="C13613" i="1"/>
  <c r="C13612" i="1"/>
  <c r="C13608" i="1"/>
  <c r="C13607" i="1"/>
  <c r="C13606" i="1"/>
  <c r="C13605" i="1"/>
  <c r="C13600" i="1"/>
  <c r="C13599" i="1"/>
  <c r="C13598" i="1"/>
  <c r="C13593" i="1"/>
  <c r="C13592" i="1"/>
  <c r="C13590" i="1"/>
  <c r="C13589" i="1"/>
  <c r="C13588" i="1"/>
  <c r="C13587" i="1"/>
  <c r="C13586" i="1"/>
  <c r="C13584" i="1"/>
  <c r="C13583" i="1"/>
  <c r="C13575" i="1"/>
  <c r="C13573" i="1"/>
  <c r="C13569" i="1"/>
  <c r="C13567" i="1"/>
  <c r="C13566" i="1"/>
  <c r="C13565" i="1"/>
  <c r="C13563" i="1"/>
  <c r="C13559" i="1"/>
  <c r="C13558" i="1"/>
  <c r="C13557" i="1"/>
  <c r="C13556" i="1"/>
  <c r="C13554" i="1"/>
  <c r="C13551" i="1"/>
  <c r="C13549" i="1"/>
  <c r="C13546" i="1"/>
  <c r="C13539" i="1"/>
  <c r="C13537" i="1"/>
  <c r="C13536" i="1"/>
  <c r="C13533" i="1"/>
  <c r="C13528" i="1"/>
  <c r="C13522" i="1"/>
  <c r="C13517" i="1"/>
  <c r="C13515" i="1"/>
  <c r="C13514" i="1"/>
  <c r="C13499" i="1"/>
  <c r="C13494" i="1"/>
  <c r="C13493" i="1"/>
  <c r="C13492" i="1"/>
  <c r="C13491" i="1"/>
  <c r="C13489" i="1"/>
  <c r="C13487" i="1"/>
  <c r="C13486" i="1"/>
  <c r="C13478" i="1"/>
  <c r="C13472" i="1"/>
  <c r="C13471" i="1"/>
  <c r="C13470" i="1"/>
  <c r="C13469" i="1"/>
  <c r="C13462" i="1"/>
  <c r="C13459" i="1"/>
  <c r="C13457" i="1"/>
  <c r="C13453" i="1"/>
  <c r="C13446" i="1"/>
  <c r="C13444" i="1"/>
  <c r="C13443" i="1"/>
  <c r="C13440" i="1"/>
  <c r="C13439" i="1"/>
  <c r="C13423" i="1"/>
  <c r="C13422" i="1"/>
  <c r="C13418" i="1"/>
  <c r="C13408" i="1"/>
  <c r="C13407" i="1"/>
  <c r="C13406" i="1"/>
  <c r="C13405" i="1"/>
  <c r="C13395" i="1"/>
  <c r="C13393" i="1"/>
  <c r="C13392" i="1"/>
  <c r="C13391" i="1"/>
  <c r="C13379" i="1"/>
  <c r="C13367" i="1"/>
  <c r="C13366" i="1"/>
  <c r="C13365" i="1"/>
  <c r="C13364" i="1"/>
  <c r="C13363" i="1"/>
  <c r="C13362" i="1"/>
  <c r="C13361" i="1"/>
  <c r="C13358" i="1"/>
  <c r="C13356" i="1"/>
  <c r="C13355" i="1"/>
  <c r="C13350" i="1"/>
  <c r="C13348" i="1"/>
  <c r="C13346" i="1"/>
  <c r="C13343" i="1"/>
  <c r="C13341" i="1"/>
  <c r="C13340" i="1"/>
  <c r="C13338" i="1"/>
  <c r="C13337" i="1"/>
  <c r="C13336" i="1"/>
  <c r="C13329" i="1"/>
  <c r="C13324" i="1"/>
  <c r="C13323" i="1"/>
  <c r="C13322" i="1"/>
  <c r="C13321" i="1"/>
  <c r="C13319" i="1"/>
  <c r="C13314" i="1"/>
  <c r="C13313" i="1"/>
  <c r="C13312" i="1"/>
  <c r="C13311" i="1"/>
  <c r="C13309" i="1"/>
  <c r="C13307" i="1"/>
  <c r="C13306" i="1"/>
  <c r="C13305" i="1"/>
  <c r="C13304" i="1"/>
  <c r="C13303" i="1"/>
  <c r="C13302" i="1"/>
  <c r="C13300" i="1"/>
  <c r="C13299" i="1"/>
  <c r="C13298" i="1"/>
  <c r="C13296" i="1"/>
  <c r="C13295" i="1"/>
  <c r="C13294" i="1"/>
  <c r="C13293" i="1"/>
  <c r="C13292" i="1"/>
  <c r="C13291" i="1"/>
  <c r="C13289" i="1"/>
  <c r="C13288" i="1"/>
  <c r="C13287" i="1"/>
  <c r="C13286" i="1"/>
  <c r="C13285" i="1"/>
  <c r="C13284" i="1"/>
  <c r="C13283" i="1"/>
  <c r="C13282" i="1"/>
  <c r="C13276" i="1"/>
  <c r="C13275" i="1"/>
  <c r="C13274" i="1"/>
  <c r="C13272" i="1"/>
  <c r="C13270" i="1"/>
  <c r="C13268" i="1"/>
  <c r="C13264" i="1"/>
  <c r="C13263" i="1"/>
  <c r="C13262" i="1"/>
  <c r="C13261" i="1"/>
  <c r="C13255" i="1"/>
  <c r="C13253" i="1"/>
  <c r="C13242" i="1"/>
  <c r="C13240" i="1"/>
  <c r="C13239" i="1"/>
  <c r="C13234" i="1"/>
  <c r="C13233" i="1"/>
  <c r="C13232" i="1"/>
  <c r="C13231" i="1"/>
  <c r="C13230" i="1"/>
  <c r="C13228" i="1"/>
  <c r="C13226" i="1"/>
  <c r="C13225" i="1"/>
  <c r="C13223" i="1"/>
  <c r="C13222" i="1"/>
  <c r="C13218" i="1"/>
  <c r="C13213" i="1"/>
  <c r="C13212" i="1"/>
  <c r="C13211" i="1"/>
  <c r="C13209" i="1"/>
  <c r="C13208" i="1"/>
  <c r="C13196" i="1"/>
  <c r="C13193" i="1"/>
  <c r="C13192" i="1"/>
  <c r="C13184" i="1"/>
  <c r="C13183" i="1"/>
  <c r="C13182" i="1"/>
  <c r="C13181" i="1"/>
  <c r="C13180" i="1"/>
  <c r="C13179" i="1"/>
  <c r="C13178" i="1"/>
  <c r="C13177" i="1"/>
  <c r="C13175" i="1"/>
  <c r="C13174" i="1"/>
  <c r="C13173" i="1"/>
  <c r="C13172" i="1"/>
  <c r="C13171" i="1"/>
  <c r="C13170" i="1"/>
  <c r="C13169" i="1"/>
  <c r="C13166" i="1"/>
  <c r="C13165" i="1"/>
  <c r="C13164" i="1"/>
  <c r="C13163" i="1"/>
  <c r="C13161" i="1"/>
  <c r="C13158" i="1"/>
  <c r="C13157" i="1"/>
  <c r="C13142" i="1"/>
  <c r="C13140" i="1"/>
  <c r="C13137" i="1"/>
  <c r="C13131" i="1"/>
  <c r="C13126" i="1"/>
  <c r="C13124" i="1"/>
  <c r="C13120" i="1"/>
  <c r="C13119" i="1"/>
  <c r="C13118" i="1"/>
  <c r="C13117" i="1"/>
  <c r="C13114" i="1"/>
  <c r="C13111" i="1"/>
  <c r="C13110" i="1"/>
  <c r="C13109" i="1"/>
  <c r="C13108" i="1"/>
  <c r="C13106" i="1"/>
  <c r="C13105" i="1"/>
  <c r="C13103" i="1"/>
  <c r="C13101" i="1"/>
  <c r="C13100" i="1"/>
  <c r="C13094" i="1"/>
  <c r="C13093" i="1"/>
  <c r="C13092" i="1"/>
  <c r="C13091" i="1"/>
  <c r="C13090" i="1"/>
  <c r="C13086" i="1"/>
  <c r="C13082" i="1"/>
  <c r="C13078" i="1"/>
  <c r="C13075" i="1"/>
  <c r="C13073" i="1"/>
  <c r="C13065" i="1"/>
  <c r="C13063" i="1"/>
  <c r="C13061" i="1"/>
  <c r="C13060" i="1"/>
  <c r="C13057" i="1"/>
  <c r="C13055" i="1"/>
  <c r="C13054" i="1"/>
  <c r="C13053" i="1"/>
  <c r="C13051" i="1"/>
  <c r="C13050" i="1"/>
  <c r="C13049" i="1"/>
  <c r="C13048" i="1"/>
  <c r="C13047" i="1"/>
  <c r="C13046" i="1"/>
  <c r="C13043" i="1"/>
  <c r="C13042" i="1"/>
  <c r="C13034" i="1"/>
  <c r="C13033" i="1"/>
  <c r="C13032" i="1"/>
  <c r="C13030" i="1"/>
  <c r="C13029" i="1"/>
  <c r="C13028" i="1"/>
  <c r="C13024" i="1"/>
  <c r="C13023" i="1"/>
  <c r="C13014" i="1"/>
  <c r="C13005" i="1"/>
  <c r="C13003" i="1"/>
  <c r="C13002" i="1"/>
  <c r="C13001" i="1"/>
  <c r="C13000" i="1"/>
  <c r="C12998" i="1"/>
  <c r="C12996" i="1"/>
  <c r="C12995" i="1"/>
  <c r="C12994" i="1"/>
  <c r="C12993" i="1"/>
  <c r="C12992" i="1"/>
  <c r="C12991" i="1"/>
  <c r="C12988" i="1"/>
  <c r="C12977" i="1"/>
  <c r="C12976" i="1"/>
  <c r="C12974" i="1"/>
  <c r="C12972" i="1"/>
  <c r="C12971" i="1"/>
  <c r="C12970" i="1"/>
  <c r="C12969" i="1"/>
  <c r="C12968" i="1"/>
  <c r="C12966" i="1"/>
  <c r="C12965" i="1"/>
  <c r="C12959" i="1"/>
  <c r="C12958" i="1"/>
  <c r="C12957" i="1"/>
  <c r="C12956" i="1"/>
  <c r="C12950" i="1"/>
  <c r="C12949" i="1"/>
  <c r="C12948" i="1"/>
  <c r="C12947" i="1"/>
  <c r="C12945" i="1"/>
  <c r="C12937" i="1"/>
  <c r="C12935" i="1"/>
  <c r="C12934" i="1"/>
  <c r="C12933" i="1"/>
  <c r="C12930" i="1"/>
  <c r="C12927" i="1"/>
  <c r="C12924" i="1"/>
  <c r="C12923" i="1"/>
  <c r="C12922" i="1"/>
  <c r="C12921" i="1"/>
  <c r="C12917" i="1"/>
  <c r="C12916" i="1"/>
  <c r="C12915" i="1"/>
  <c r="C12913" i="1"/>
  <c r="C12912" i="1"/>
  <c r="C12911" i="1"/>
  <c r="C12908" i="1"/>
  <c r="C12907" i="1"/>
  <c r="C12906" i="1"/>
  <c r="C12903" i="1"/>
  <c r="C12899" i="1"/>
  <c r="C12898" i="1"/>
  <c r="C12897" i="1"/>
  <c r="C12896" i="1"/>
  <c r="C12895" i="1"/>
  <c r="C12894" i="1"/>
  <c r="C12892" i="1"/>
  <c r="C12891" i="1"/>
  <c r="C12890" i="1"/>
  <c r="C12889" i="1"/>
  <c r="C12883" i="1"/>
  <c r="C12881" i="1"/>
  <c r="C12879" i="1"/>
  <c r="C12878" i="1"/>
  <c r="C12877" i="1"/>
  <c r="C12873" i="1"/>
  <c r="C12871" i="1"/>
  <c r="C12870" i="1"/>
  <c r="C12869" i="1"/>
  <c r="C12867" i="1"/>
  <c r="C12863" i="1"/>
  <c r="C12862" i="1"/>
  <c r="C12859" i="1"/>
  <c r="C12858" i="1"/>
  <c r="C12857" i="1"/>
  <c r="C12855" i="1"/>
  <c r="C12853" i="1"/>
  <c r="C12849" i="1"/>
  <c r="C12846" i="1"/>
  <c r="C12845" i="1"/>
  <c r="C12844" i="1"/>
  <c r="C12841" i="1"/>
  <c r="C12839" i="1"/>
  <c r="C12833" i="1"/>
  <c r="C12829" i="1"/>
  <c r="C12828" i="1"/>
  <c r="C12827" i="1"/>
  <c r="C12825" i="1"/>
  <c r="C12820" i="1"/>
  <c r="C12819" i="1"/>
  <c r="C12818" i="1"/>
  <c r="C12817" i="1"/>
  <c r="C12816" i="1"/>
  <c r="C12814" i="1"/>
  <c r="C12813" i="1"/>
  <c r="C12803" i="1"/>
  <c r="C12791" i="1"/>
  <c r="C12790" i="1"/>
  <c r="C12788" i="1"/>
  <c r="C12787" i="1"/>
  <c r="C12786" i="1"/>
  <c r="C12784" i="1"/>
  <c r="C12783" i="1"/>
  <c r="C12781" i="1"/>
  <c r="C12780" i="1"/>
  <c r="C12778" i="1"/>
  <c r="C12777" i="1"/>
  <c r="C12775" i="1"/>
  <c r="C12769" i="1"/>
  <c r="C12765" i="1"/>
  <c r="C12763" i="1"/>
  <c r="C12760" i="1"/>
  <c r="C12747" i="1"/>
  <c r="C12746" i="1"/>
  <c r="C12745" i="1"/>
  <c r="C12744" i="1"/>
  <c r="C12743" i="1"/>
  <c r="C12742" i="1"/>
  <c r="C12741" i="1"/>
  <c r="C12739" i="1"/>
  <c r="C12738" i="1"/>
  <c r="C12737" i="1"/>
  <c r="C12736" i="1"/>
  <c r="C12734" i="1"/>
  <c r="C12733" i="1"/>
  <c r="C12732" i="1"/>
  <c r="C12731" i="1"/>
  <c r="C12727" i="1"/>
  <c r="C12726" i="1"/>
  <c r="C12721" i="1"/>
  <c r="C12719" i="1"/>
  <c r="C12716" i="1"/>
  <c r="C12714" i="1"/>
  <c r="C12713" i="1"/>
  <c r="C12712" i="1"/>
  <c r="C12710" i="1"/>
  <c r="C12709" i="1"/>
  <c r="C12707" i="1"/>
  <c r="C12703" i="1"/>
  <c r="C12698" i="1"/>
  <c r="C12697" i="1"/>
  <c r="C12693" i="1"/>
  <c r="C12691" i="1"/>
  <c r="C12686" i="1"/>
  <c r="C12685" i="1"/>
  <c r="C12684" i="1"/>
  <c r="C12683" i="1"/>
  <c r="C12679" i="1"/>
  <c r="C12678" i="1"/>
  <c r="C12676" i="1"/>
  <c r="C12674" i="1"/>
  <c r="C12672" i="1"/>
  <c r="C12671" i="1"/>
  <c r="C12669" i="1"/>
  <c r="C12668" i="1"/>
  <c r="C12666" i="1"/>
  <c r="C12665" i="1"/>
  <c r="C12664" i="1"/>
  <c r="C12663" i="1"/>
  <c r="C12662" i="1"/>
  <c r="C12659" i="1"/>
  <c r="C12653" i="1"/>
  <c r="C12649" i="1"/>
  <c r="C12646" i="1"/>
  <c r="C12644" i="1"/>
  <c r="C12642" i="1"/>
  <c r="C12639" i="1"/>
  <c r="C12638" i="1"/>
  <c r="C12637" i="1"/>
  <c r="C12636" i="1"/>
  <c r="C12635" i="1"/>
  <c r="C12634" i="1"/>
  <c r="C12632" i="1"/>
  <c r="C12628" i="1"/>
  <c r="C12626" i="1"/>
  <c r="C12623" i="1"/>
  <c r="C12621" i="1"/>
  <c r="C12618" i="1"/>
  <c r="C12614" i="1"/>
  <c r="C12611" i="1"/>
  <c r="C12608" i="1"/>
  <c r="C12606" i="1"/>
  <c r="C12605" i="1"/>
  <c r="C12604" i="1"/>
  <c r="C12603" i="1"/>
  <c r="C12602" i="1"/>
  <c r="C12601" i="1"/>
  <c r="C12599" i="1"/>
  <c r="C12592" i="1"/>
  <c r="C12591" i="1"/>
  <c r="C12590" i="1"/>
  <c r="C12585" i="1"/>
  <c r="C12584" i="1"/>
  <c r="C12582" i="1"/>
  <c r="C12581" i="1"/>
  <c r="C12580" i="1"/>
  <c r="C12579" i="1"/>
  <c r="C12578" i="1"/>
  <c r="C12576" i="1"/>
  <c r="C12575" i="1"/>
  <c r="C12572" i="1"/>
  <c r="C12564" i="1"/>
  <c r="C12563" i="1"/>
  <c r="C12562" i="1"/>
  <c r="C12560" i="1"/>
  <c r="C12554" i="1"/>
  <c r="C12552" i="1"/>
  <c r="C12542" i="1"/>
  <c r="C12541" i="1"/>
  <c r="C12530" i="1"/>
  <c r="C12525" i="1"/>
  <c r="C12524" i="1"/>
  <c r="C12522" i="1"/>
  <c r="C12516" i="1"/>
  <c r="C12514" i="1"/>
  <c r="C12513" i="1"/>
  <c r="C12510" i="1"/>
  <c r="C12509" i="1"/>
  <c r="C12508" i="1"/>
  <c r="C12506" i="1"/>
  <c r="C12503" i="1"/>
  <c r="C12497" i="1"/>
  <c r="C12495" i="1"/>
  <c r="C12492" i="1"/>
  <c r="C12491" i="1"/>
  <c r="C12490" i="1"/>
  <c r="C12489" i="1"/>
  <c r="C12488" i="1"/>
  <c r="C12487" i="1"/>
  <c r="C12486" i="1"/>
  <c r="C12485" i="1"/>
  <c r="C12484" i="1"/>
  <c r="C12483" i="1"/>
  <c r="C12482" i="1"/>
  <c r="C12477" i="1"/>
  <c r="C12476" i="1"/>
  <c r="C12475" i="1"/>
  <c r="C12470" i="1"/>
  <c r="C12469" i="1"/>
  <c r="C12467" i="1"/>
  <c r="C12466" i="1"/>
  <c r="C12465" i="1"/>
  <c r="C12463" i="1"/>
  <c r="C12460" i="1"/>
  <c r="C12459" i="1"/>
  <c r="C12458" i="1"/>
  <c r="C12456" i="1"/>
  <c r="C12454" i="1"/>
  <c r="C12453" i="1"/>
  <c r="C12450" i="1"/>
  <c r="C12446" i="1"/>
  <c r="C12444" i="1"/>
  <c r="C12440" i="1"/>
  <c r="C12437" i="1"/>
  <c r="C12436" i="1"/>
  <c r="C12435" i="1"/>
  <c r="C12434" i="1"/>
  <c r="C12432" i="1"/>
  <c r="C12429" i="1"/>
  <c r="C12427" i="1"/>
  <c r="C12424" i="1"/>
  <c r="C12423" i="1"/>
  <c r="C12422" i="1"/>
  <c r="C12419" i="1"/>
  <c r="C12417" i="1"/>
  <c r="C12415" i="1"/>
  <c r="C12414" i="1"/>
  <c r="C12412" i="1"/>
  <c r="C12411" i="1"/>
  <c r="C12408" i="1"/>
  <c r="C12406" i="1"/>
  <c r="C12401" i="1"/>
  <c r="C12394" i="1"/>
  <c r="C12393" i="1"/>
  <c r="C12392" i="1"/>
  <c r="C12391" i="1"/>
  <c r="C12386" i="1"/>
  <c r="C12383" i="1"/>
  <c r="C12379" i="1"/>
  <c r="C12378" i="1"/>
  <c r="C12376" i="1"/>
  <c r="C12365" i="1"/>
  <c r="C12363" i="1"/>
  <c r="C12361" i="1"/>
  <c r="C12359" i="1"/>
  <c r="C12358" i="1"/>
  <c r="C12355" i="1"/>
  <c r="C12350" i="1"/>
  <c r="C12349" i="1"/>
  <c r="C12348" i="1"/>
  <c r="C12346" i="1"/>
  <c r="C12345" i="1"/>
  <c r="C12342" i="1"/>
  <c r="C12338" i="1"/>
  <c r="C12337" i="1"/>
  <c r="C12331" i="1"/>
  <c r="C12330" i="1"/>
  <c r="C12329" i="1"/>
  <c r="C12325" i="1"/>
  <c r="C12322" i="1"/>
  <c r="C12320" i="1"/>
  <c r="C12319" i="1"/>
  <c r="C12318" i="1"/>
  <c r="C12317" i="1"/>
  <c r="C12316" i="1"/>
  <c r="C12315" i="1"/>
  <c r="C12314" i="1"/>
  <c r="C12313" i="1"/>
  <c r="C12312" i="1"/>
  <c r="C12311" i="1"/>
  <c r="C12301" i="1"/>
  <c r="C12297" i="1"/>
  <c r="C12294" i="1"/>
  <c r="C12293" i="1"/>
  <c r="C12291" i="1"/>
  <c r="C12289" i="1"/>
  <c r="C12286" i="1"/>
  <c r="C12281" i="1"/>
  <c r="C12277" i="1"/>
  <c r="C12276" i="1"/>
  <c r="C12274" i="1"/>
  <c r="C12273" i="1"/>
  <c r="C12272" i="1"/>
  <c r="C12270" i="1"/>
  <c r="C12268" i="1"/>
  <c r="C12265" i="1"/>
  <c r="C12263" i="1"/>
  <c r="C12261" i="1"/>
  <c r="C12260" i="1"/>
  <c r="C12259" i="1"/>
  <c r="C12258" i="1"/>
  <c r="C12257" i="1"/>
  <c r="C12256" i="1"/>
  <c r="C12255" i="1"/>
  <c r="C12254" i="1"/>
  <c r="C12252" i="1"/>
  <c r="C12249" i="1"/>
  <c r="C12247" i="1"/>
  <c r="C12242" i="1"/>
  <c r="C12240" i="1"/>
  <c r="C12238" i="1"/>
  <c r="C12235" i="1"/>
  <c r="C12234" i="1"/>
  <c r="C12229" i="1"/>
  <c r="C12228" i="1"/>
  <c r="C12226" i="1"/>
  <c r="C12225" i="1"/>
  <c r="C12224" i="1"/>
  <c r="C12221" i="1"/>
  <c r="C12220" i="1"/>
  <c r="C12219" i="1"/>
  <c r="C12218" i="1"/>
  <c r="C12216" i="1"/>
  <c r="C12213" i="1"/>
  <c r="C12204" i="1"/>
  <c r="C12203" i="1"/>
  <c r="C12198" i="1"/>
  <c r="C12189" i="1"/>
  <c r="C12188" i="1"/>
  <c r="C12186" i="1"/>
  <c r="C12184" i="1"/>
  <c r="C12183" i="1"/>
  <c r="C12182" i="1"/>
  <c r="C12181" i="1"/>
  <c r="C12179" i="1"/>
  <c r="C12177" i="1"/>
  <c r="C12176" i="1"/>
  <c r="C12175" i="1"/>
  <c r="C12174" i="1"/>
  <c r="C12172" i="1"/>
  <c r="C12171" i="1"/>
  <c r="C12168" i="1"/>
  <c r="C12166" i="1"/>
  <c r="C12163" i="1"/>
  <c r="C12162" i="1"/>
  <c r="C12158" i="1"/>
  <c r="C12155" i="1"/>
  <c r="C12153" i="1"/>
  <c r="C12152" i="1"/>
  <c r="C12151" i="1"/>
  <c r="C12150" i="1"/>
  <c r="C12149" i="1"/>
  <c r="C12146" i="1"/>
  <c r="C12142" i="1"/>
  <c r="C12124" i="1"/>
  <c r="C12121" i="1"/>
  <c r="C12114" i="1"/>
  <c r="C12113" i="1"/>
  <c r="C12112" i="1"/>
  <c r="C12111" i="1"/>
  <c r="C12110" i="1"/>
  <c r="C12109" i="1"/>
  <c r="C12108" i="1"/>
  <c r="C12107" i="1"/>
  <c r="C12106" i="1"/>
  <c r="C12105" i="1"/>
  <c r="C12104" i="1"/>
  <c r="C12103" i="1"/>
  <c r="C12102" i="1"/>
  <c r="C12101" i="1"/>
  <c r="C12100" i="1"/>
  <c r="C12099" i="1"/>
  <c r="C12098" i="1"/>
  <c r="C12097" i="1"/>
  <c r="C12096" i="1"/>
  <c r="C12095" i="1"/>
  <c r="C12093" i="1"/>
  <c r="C12092" i="1"/>
  <c r="C12086" i="1"/>
  <c r="C12083" i="1"/>
  <c r="C12082" i="1"/>
  <c r="C12081" i="1"/>
  <c r="C12078" i="1"/>
  <c r="C12076" i="1"/>
  <c r="C12070" i="1"/>
  <c r="C12066" i="1"/>
  <c r="C12065" i="1"/>
  <c r="C12064" i="1"/>
  <c r="C12061" i="1"/>
  <c r="C12060" i="1"/>
  <c r="C12059" i="1"/>
  <c r="C12058" i="1"/>
  <c r="C12057" i="1"/>
  <c r="C12056" i="1"/>
  <c r="C12055" i="1"/>
  <c r="C12048" i="1"/>
  <c r="C12047" i="1"/>
  <c r="C12046" i="1"/>
  <c r="C12045" i="1"/>
  <c r="C12043" i="1"/>
  <c r="C12042" i="1"/>
  <c r="C12040" i="1"/>
  <c r="C12039" i="1"/>
  <c r="C12038" i="1"/>
  <c r="C12037" i="1"/>
  <c r="C12035" i="1"/>
  <c r="C12034" i="1"/>
  <c r="C12033" i="1"/>
  <c r="C12031" i="1"/>
  <c r="C12030" i="1"/>
  <c r="C12029" i="1"/>
  <c r="C12028" i="1"/>
  <c r="C12027" i="1"/>
  <c r="C12023" i="1"/>
  <c r="C12022" i="1"/>
  <c r="C12019" i="1"/>
  <c r="C12011" i="1"/>
  <c r="C12010" i="1"/>
  <c r="C12007" i="1"/>
  <c r="C12003" i="1"/>
  <c r="C12000" i="1"/>
  <c r="C11998" i="1"/>
  <c r="C11992" i="1"/>
  <c r="C11991" i="1"/>
  <c r="C11988" i="1"/>
  <c r="C11987" i="1"/>
  <c r="C11985" i="1"/>
  <c r="C11983" i="1"/>
  <c r="C11980" i="1"/>
  <c r="C11979" i="1"/>
  <c r="C11970" i="1"/>
  <c r="C11968" i="1"/>
  <c r="C11965" i="1"/>
  <c r="C11962" i="1"/>
  <c r="C11961" i="1"/>
  <c r="C11959" i="1"/>
  <c r="C11955" i="1"/>
  <c r="C11954" i="1"/>
  <c r="C11953" i="1"/>
  <c r="C11952" i="1"/>
  <c r="C11951" i="1"/>
  <c r="C11950" i="1"/>
  <c r="C11947" i="1"/>
  <c r="C11946" i="1"/>
  <c r="C11945" i="1"/>
  <c r="C11944" i="1"/>
  <c r="C11943" i="1"/>
  <c r="C11942" i="1"/>
  <c r="C11941" i="1"/>
  <c r="C11940" i="1"/>
  <c r="C11938" i="1"/>
  <c r="C11937" i="1"/>
  <c r="C11935" i="1"/>
  <c r="C11934" i="1"/>
  <c r="C11933" i="1"/>
  <c r="C11932" i="1"/>
  <c r="C11931" i="1"/>
  <c r="C11930" i="1"/>
  <c r="C11922" i="1"/>
  <c r="C11916" i="1"/>
  <c r="C11915" i="1"/>
  <c r="C11911" i="1"/>
  <c r="C11908" i="1"/>
  <c r="C11907" i="1"/>
  <c r="C11906" i="1"/>
  <c r="C11905" i="1"/>
  <c r="C11903" i="1"/>
  <c r="C11900" i="1"/>
  <c r="C11899" i="1"/>
  <c r="C11896" i="1"/>
  <c r="C11895" i="1"/>
  <c r="C11894" i="1"/>
  <c r="C11893" i="1"/>
  <c r="C11892" i="1"/>
  <c r="C11889" i="1"/>
  <c r="C11888" i="1"/>
  <c r="C11887" i="1"/>
  <c r="C11885" i="1"/>
  <c r="C11882" i="1"/>
  <c r="C11881" i="1"/>
  <c r="C11878" i="1"/>
  <c r="C11877" i="1"/>
  <c r="C11876" i="1"/>
  <c r="C11875" i="1"/>
  <c r="C11872" i="1"/>
  <c r="C11871" i="1"/>
  <c r="C11870" i="1"/>
  <c r="C11868" i="1"/>
  <c r="C11866" i="1"/>
  <c r="C11865" i="1"/>
  <c r="C11864" i="1"/>
  <c r="C11863" i="1"/>
  <c r="C11862" i="1"/>
  <c r="C11861" i="1"/>
  <c r="C11848" i="1"/>
  <c r="C11847" i="1"/>
  <c r="C11844" i="1"/>
  <c r="C11843" i="1"/>
  <c r="C11834" i="1"/>
  <c r="C11833" i="1"/>
  <c r="C11832" i="1"/>
  <c r="C11831" i="1"/>
  <c r="C11830" i="1"/>
  <c r="C11828" i="1"/>
  <c r="C11826" i="1"/>
  <c r="C11824" i="1"/>
  <c r="C11823" i="1"/>
  <c r="C11821" i="1"/>
  <c r="C11820" i="1"/>
  <c r="C11819" i="1"/>
  <c r="C11818" i="1"/>
  <c r="C11817" i="1"/>
  <c r="C11815" i="1"/>
  <c r="C11814" i="1"/>
  <c r="C11813" i="1"/>
  <c r="C11812" i="1"/>
  <c r="C11806" i="1"/>
  <c r="C11804" i="1"/>
  <c r="C11803" i="1"/>
  <c r="C11802" i="1"/>
  <c r="C11800" i="1"/>
  <c r="C11795" i="1"/>
  <c r="C11794" i="1"/>
  <c r="C11792" i="1"/>
  <c r="C11790" i="1"/>
  <c r="C11789" i="1"/>
  <c r="C11788" i="1"/>
  <c r="C11787" i="1"/>
  <c r="C11785" i="1"/>
  <c r="C11784" i="1"/>
  <c r="C11783" i="1"/>
  <c r="C11779" i="1"/>
  <c r="C11778" i="1"/>
  <c r="C11769" i="1"/>
  <c r="C11764" i="1"/>
  <c r="C11763" i="1"/>
  <c r="C11761" i="1"/>
  <c r="C11760" i="1"/>
  <c r="C11759" i="1"/>
  <c r="C11758" i="1"/>
  <c r="C11756" i="1"/>
  <c r="C11753" i="1"/>
  <c r="C11752" i="1"/>
  <c r="C11751" i="1"/>
  <c r="C11750" i="1"/>
  <c r="C11747" i="1"/>
  <c r="C11746" i="1"/>
  <c r="C11740" i="1"/>
  <c r="C11739" i="1"/>
  <c r="C11729" i="1"/>
  <c r="C11728" i="1"/>
  <c r="C11727" i="1"/>
  <c r="C11726" i="1"/>
  <c r="C11725" i="1"/>
  <c r="C11723" i="1"/>
  <c r="C11719" i="1"/>
  <c r="C11718" i="1"/>
  <c r="C11717" i="1"/>
  <c r="C11715" i="1"/>
  <c r="C11714" i="1"/>
  <c r="C11713" i="1"/>
  <c r="C11712" i="1"/>
  <c r="C11711" i="1"/>
  <c r="C11710" i="1"/>
  <c r="C11709" i="1"/>
  <c r="C11708" i="1"/>
  <c r="C11703" i="1"/>
  <c r="C11700" i="1"/>
  <c r="C11691" i="1"/>
  <c r="C11689" i="1"/>
  <c r="C11687" i="1"/>
  <c r="C11686" i="1"/>
  <c r="C11685" i="1"/>
  <c r="C11683" i="1"/>
  <c r="C11682" i="1"/>
  <c r="C11678" i="1"/>
  <c r="C11673" i="1"/>
  <c r="C11671" i="1"/>
  <c r="C11670" i="1"/>
  <c r="C11668" i="1"/>
  <c r="C11666" i="1"/>
  <c r="C11665" i="1"/>
  <c r="C11664" i="1"/>
  <c r="C11662" i="1"/>
  <c r="C11649" i="1"/>
  <c r="C11648" i="1"/>
  <c r="C11643" i="1"/>
  <c r="C11642" i="1"/>
  <c r="C11640" i="1"/>
  <c r="C11634" i="1"/>
  <c r="C11627" i="1"/>
  <c r="C11624" i="1"/>
  <c r="C11623" i="1"/>
  <c r="C11621" i="1"/>
  <c r="C11619" i="1"/>
  <c r="C11617" i="1"/>
  <c r="C11615" i="1"/>
  <c r="C11612" i="1"/>
  <c r="C11608" i="1"/>
  <c r="C11607" i="1"/>
  <c r="C11606" i="1"/>
  <c r="C11603" i="1"/>
  <c r="C11599" i="1"/>
  <c r="C11598" i="1"/>
  <c r="C11597" i="1"/>
  <c r="C11591" i="1"/>
  <c r="C11590" i="1"/>
  <c r="C11589" i="1"/>
  <c r="C11588" i="1"/>
  <c r="C11586" i="1"/>
  <c r="C11584" i="1"/>
  <c r="C11583" i="1"/>
  <c r="C11580" i="1"/>
  <c r="C11577" i="1"/>
  <c r="C11576" i="1"/>
  <c r="C11575" i="1"/>
  <c r="C11574" i="1"/>
  <c r="C11569" i="1"/>
  <c r="C11568" i="1"/>
  <c r="C11565" i="1"/>
  <c r="C11561" i="1"/>
  <c r="C11556" i="1"/>
  <c r="C11555" i="1"/>
  <c r="C11554" i="1"/>
  <c r="C11543" i="1"/>
  <c r="C11532" i="1"/>
  <c r="C11529" i="1"/>
  <c r="C11528" i="1"/>
  <c r="C11526" i="1"/>
  <c r="C11521" i="1"/>
  <c r="C11520" i="1"/>
  <c r="C11518" i="1"/>
  <c r="C11516" i="1"/>
  <c r="C11515" i="1"/>
  <c r="C11513" i="1"/>
  <c r="C11504" i="1"/>
  <c r="C11503" i="1"/>
  <c r="C11502" i="1"/>
  <c r="C11501" i="1"/>
  <c r="C11500" i="1"/>
  <c r="C11498" i="1"/>
  <c r="C11497" i="1"/>
  <c r="C11496" i="1"/>
  <c r="C11495" i="1"/>
  <c r="C11494" i="1"/>
  <c r="C11493" i="1"/>
  <c r="C11492" i="1"/>
  <c r="C11488" i="1"/>
  <c r="C11486" i="1"/>
  <c r="C11485" i="1"/>
  <c r="C11484" i="1"/>
  <c r="C11481" i="1"/>
  <c r="C11480" i="1"/>
  <c r="C11479" i="1"/>
  <c r="C11477" i="1"/>
  <c r="C11475" i="1"/>
  <c r="C11474" i="1"/>
  <c r="C11473" i="1"/>
  <c r="C11472" i="1"/>
  <c r="C11471" i="1"/>
  <c r="C11470" i="1"/>
  <c r="C11467" i="1"/>
  <c r="C11466" i="1"/>
  <c r="C11465" i="1"/>
  <c r="C11463" i="1"/>
  <c r="C11462" i="1"/>
  <c r="C11461" i="1"/>
  <c r="C11460" i="1"/>
  <c r="C11459" i="1"/>
  <c r="C11457" i="1"/>
  <c r="C11456" i="1"/>
  <c r="C11452" i="1"/>
  <c r="C11451" i="1"/>
  <c r="C11450" i="1"/>
  <c r="C11449" i="1"/>
  <c r="C11445" i="1"/>
  <c r="C11444" i="1"/>
  <c r="C11443" i="1"/>
  <c r="C11442" i="1"/>
  <c r="C11441" i="1"/>
  <c r="C11440" i="1"/>
  <c r="C11434" i="1"/>
  <c r="C11433" i="1"/>
  <c r="C11432" i="1"/>
  <c r="C11431" i="1"/>
  <c r="C11427" i="1"/>
  <c r="C11426" i="1"/>
  <c r="C11425" i="1"/>
  <c r="C11424" i="1"/>
  <c r="C11422" i="1"/>
  <c r="C11420" i="1"/>
  <c r="C11419" i="1"/>
  <c r="C11418" i="1"/>
  <c r="C11408" i="1"/>
  <c r="C11405" i="1"/>
  <c r="C11400" i="1"/>
  <c r="C11393" i="1"/>
  <c r="C11386" i="1"/>
  <c r="C11382" i="1"/>
  <c r="C11379" i="1"/>
  <c r="C11378" i="1"/>
  <c r="C11374" i="1"/>
  <c r="C11372" i="1"/>
  <c r="C11369" i="1"/>
  <c r="C11368" i="1"/>
  <c r="C11366" i="1"/>
  <c r="C11363" i="1"/>
  <c r="C11356" i="1"/>
  <c r="C11353" i="1"/>
  <c r="C11352" i="1"/>
  <c r="C11351" i="1"/>
  <c r="C11350" i="1"/>
  <c r="C11349" i="1"/>
  <c r="C11348" i="1"/>
  <c r="C11347" i="1"/>
  <c r="C11346" i="1"/>
  <c r="C11345" i="1"/>
  <c r="C11344" i="1"/>
  <c r="C11338" i="1"/>
  <c r="C11332" i="1"/>
  <c r="C11329" i="1"/>
  <c r="C11328" i="1"/>
  <c r="C11317" i="1"/>
  <c r="C11313" i="1"/>
  <c r="C11307" i="1"/>
  <c r="C11305" i="1"/>
  <c r="C11300" i="1"/>
  <c r="C11298" i="1"/>
  <c r="C11296" i="1"/>
  <c r="C11294" i="1"/>
  <c r="C11293" i="1"/>
  <c r="C11292" i="1"/>
  <c r="C11291" i="1"/>
  <c r="C11290" i="1"/>
  <c r="C11286" i="1"/>
  <c r="C11284" i="1"/>
  <c r="C11283" i="1"/>
  <c r="C11281" i="1"/>
  <c r="C11276" i="1"/>
  <c r="C11275" i="1"/>
  <c r="C11274" i="1"/>
  <c r="C11268" i="1"/>
  <c r="C11266" i="1"/>
  <c r="C11264" i="1"/>
  <c r="C11262" i="1"/>
  <c r="C11258" i="1"/>
  <c r="C11245" i="1"/>
  <c r="C11232" i="1"/>
  <c r="C11223" i="1"/>
  <c r="C11222" i="1"/>
  <c r="C11213" i="1"/>
  <c r="C11211" i="1"/>
  <c r="C11210" i="1"/>
  <c r="C11207" i="1"/>
  <c r="C11206" i="1"/>
  <c r="C11203" i="1"/>
  <c r="C11201" i="1"/>
  <c r="C11199" i="1"/>
  <c r="C11196" i="1"/>
  <c r="C11195" i="1"/>
  <c r="C11182" i="1"/>
  <c r="C11181" i="1"/>
  <c r="C11176" i="1"/>
  <c r="C11174" i="1"/>
  <c r="C11169" i="1"/>
  <c r="C11166" i="1"/>
  <c r="C11164" i="1"/>
  <c r="C11163" i="1"/>
  <c r="C11159" i="1"/>
  <c r="C11154" i="1"/>
  <c r="C11150" i="1"/>
  <c r="C11147" i="1"/>
  <c r="C11146" i="1"/>
  <c r="C11142" i="1"/>
  <c r="C11138" i="1"/>
  <c r="C11137" i="1"/>
  <c r="C11136" i="1"/>
  <c r="C11135" i="1"/>
  <c r="C11134" i="1"/>
  <c r="C11133" i="1"/>
  <c r="C11131" i="1"/>
  <c r="C11130" i="1"/>
  <c r="C11129" i="1"/>
  <c r="C11128" i="1"/>
  <c r="C11127" i="1"/>
  <c r="C11126" i="1"/>
  <c r="C11124" i="1"/>
  <c r="C11123" i="1"/>
  <c r="C11118" i="1"/>
  <c r="C11117" i="1"/>
  <c r="C11116" i="1"/>
  <c r="C11115" i="1"/>
  <c r="C11114" i="1"/>
  <c r="C11113" i="1"/>
  <c r="C11111" i="1"/>
  <c r="C11109" i="1"/>
  <c r="C11107" i="1"/>
  <c r="C11104" i="1"/>
  <c r="C11101" i="1"/>
  <c r="C11099" i="1"/>
  <c r="C11098" i="1"/>
  <c r="C11097" i="1"/>
  <c r="C11096" i="1"/>
  <c r="C11093" i="1"/>
  <c r="C11091" i="1"/>
  <c r="C11087" i="1"/>
  <c r="C11085" i="1"/>
  <c r="C11083" i="1"/>
  <c r="C11081" i="1"/>
  <c r="C11080" i="1"/>
  <c r="C11079" i="1"/>
  <c r="C11076" i="1"/>
  <c r="C11074" i="1"/>
  <c r="C11073" i="1"/>
  <c r="C11068" i="1"/>
  <c r="C11062" i="1"/>
  <c r="C11061" i="1"/>
  <c r="C11058" i="1"/>
  <c r="C11053" i="1"/>
  <c r="C11052" i="1"/>
  <c r="C11050" i="1"/>
  <c r="C11049" i="1"/>
  <c r="C11048" i="1"/>
  <c r="C11047" i="1"/>
  <c r="C11045" i="1"/>
  <c r="C11044" i="1"/>
  <c r="C11041" i="1"/>
  <c r="C11039" i="1"/>
  <c r="C11037" i="1"/>
  <c r="C11034" i="1"/>
  <c r="C11033" i="1"/>
  <c r="C11031" i="1"/>
  <c r="C11030" i="1"/>
  <c r="C11029" i="1"/>
  <c r="C11026" i="1"/>
  <c r="C11021" i="1"/>
  <c r="C11020" i="1"/>
  <c r="C11011" i="1"/>
  <c r="C11009" i="1"/>
  <c r="C11008" i="1"/>
  <c r="C11003" i="1"/>
  <c r="C11002" i="1"/>
  <c r="C11000" i="1"/>
  <c r="C10999" i="1"/>
  <c r="C10996" i="1"/>
  <c r="C10992" i="1"/>
  <c r="C10990" i="1"/>
  <c r="C10989" i="1"/>
  <c r="C10988" i="1"/>
  <c r="C10986" i="1"/>
  <c r="C10979" i="1"/>
  <c r="C10977" i="1"/>
  <c r="C10976" i="1"/>
  <c r="C10975" i="1"/>
  <c r="C10973" i="1"/>
  <c r="C10972" i="1"/>
  <c r="C10971" i="1"/>
  <c r="C10970" i="1"/>
  <c r="C10968" i="1"/>
  <c r="C10966" i="1"/>
  <c r="C10965" i="1"/>
  <c r="C10964" i="1"/>
  <c r="C10963" i="1"/>
  <c r="C10961" i="1"/>
  <c r="C10960" i="1"/>
  <c r="C10959" i="1"/>
  <c r="C10955" i="1"/>
  <c r="C10949" i="1"/>
  <c r="C10948" i="1"/>
  <c r="C10946" i="1"/>
  <c r="C10945" i="1"/>
  <c r="C10944" i="1"/>
  <c r="C10943" i="1"/>
  <c r="C10941" i="1"/>
  <c r="C10940" i="1"/>
  <c r="C10939" i="1"/>
  <c r="C10938" i="1"/>
  <c r="C10937" i="1"/>
  <c r="C10936" i="1"/>
  <c r="C10933" i="1"/>
  <c r="C10931" i="1"/>
  <c r="C10928" i="1"/>
  <c r="C10926" i="1"/>
  <c r="C10925" i="1"/>
  <c r="C10924" i="1"/>
  <c r="C10923" i="1"/>
  <c r="C10921" i="1"/>
  <c r="C10919" i="1"/>
  <c r="C10918" i="1"/>
  <c r="C10916" i="1"/>
  <c r="C10915" i="1"/>
  <c r="C10914" i="1"/>
  <c r="C10913" i="1"/>
  <c r="C10912" i="1"/>
  <c r="C10911" i="1"/>
  <c r="C10910" i="1"/>
  <c r="C10909" i="1"/>
  <c r="C10908" i="1"/>
  <c r="C10907" i="1"/>
  <c r="C10906" i="1"/>
  <c r="C10905" i="1"/>
  <c r="C10904" i="1"/>
  <c r="C10903" i="1"/>
  <c r="C10902" i="1"/>
  <c r="C10901" i="1"/>
  <c r="C10900" i="1"/>
  <c r="C10899" i="1"/>
  <c r="C10897" i="1"/>
  <c r="C10895" i="1"/>
  <c r="C10894" i="1"/>
  <c r="C10893" i="1"/>
  <c r="C10892" i="1"/>
  <c r="C10891" i="1"/>
  <c r="C10889" i="1"/>
  <c r="C10888" i="1"/>
  <c r="C10887" i="1"/>
  <c r="C10886" i="1"/>
  <c r="C10885" i="1"/>
  <c r="C10884" i="1"/>
  <c r="C10883" i="1"/>
  <c r="C10877" i="1"/>
  <c r="C10874" i="1"/>
  <c r="C10872" i="1"/>
  <c r="C10871" i="1"/>
  <c r="C10870" i="1"/>
  <c r="C10869" i="1"/>
  <c r="C10868" i="1"/>
  <c r="C10866" i="1"/>
  <c r="C10864" i="1"/>
  <c r="C10863" i="1"/>
  <c r="C10862" i="1"/>
  <c r="C10861" i="1"/>
  <c r="C10859" i="1"/>
  <c r="C10857" i="1"/>
  <c r="C10856" i="1"/>
  <c r="C10855" i="1"/>
  <c r="C10853" i="1"/>
  <c r="C10851" i="1"/>
  <c r="C10850" i="1"/>
  <c r="C10848" i="1"/>
  <c r="C10846" i="1"/>
  <c r="C10842" i="1"/>
  <c r="C10840" i="1"/>
  <c r="C10839" i="1"/>
  <c r="C10838" i="1"/>
  <c r="C10837" i="1"/>
  <c r="C10835" i="1"/>
  <c r="C10833" i="1"/>
  <c r="C10832" i="1"/>
  <c r="C10831" i="1"/>
  <c r="C10829" i="1"/>
  <c r="C10823" i="1"/>
  <c r="C10822" i="1"/>
  <c r="C10821" i="1"/>
  <c r="C10820" i="1"/>
  <c r="C10818" i="1"/>
  <c r="C10816" i="1"/>
  <c r="C10815" i="1"/>
  <c r="C10810" i="1"/>
  <c r="C10807" i="1"/>
  <c r="C10806" i="1"/>
  <c r="C10803" i="1"/>
  <c r="C10802" i="1"/>
  <c r="C10800" i="1"/>
  <c r="C10799" i="1"/>
  <c r="C10797" i="1"/>
  <c r="C10796" i="1"/>
  <c r="C10795" i="1"/>
  <c r="C10794" i="1"/>
  <c r="C10793" i="1"/>
  <c r="C10792" i="1"/>
  <c r="C10791" i="1"/>
  <c r="C10790" i="1"/>
  <c r="C10789" i="1"/>
  <c r="C10785" i="1"/>
  <c r="C10784" i="1"/>
  <c r="C10781" i="1"/>
  <c r="C10780" i="1"/>
  <c r="C10779" i="1"/>
  <c r="C10777" i="1"/>
  <c r="C10767" i="1"/>
  <c r="C10766" i="1"/>
  <c r="C10765" i="1"/>
  <c r="C10761" i="1"/>
  <c r="C10760" i="1"/>
  <c r="C10753" i="1"/>
  <c r="C10752" i="1"/>
  <c r="C10751" i="1"/>
  <c r="C10749" i="1"/>
  <c r="C10748" i="1"/>
  <c r="C10747" i="1"/>
  <c r="C10745" i="1"/>
  <c r="C10742" i="1"/>
  <c r="C10741" i="1"/>
  <c r="C10740" i="1"/>
  <c r="C10739" i="1"/>
  <c r="C10736" i="1"/>
  <c r="C10735" i="1"/>
  <c r="C10734" i="1"/>
  <c r="C10733" i="1"/>
  <c r="C10732" i="1"/>
  <c r="C10730" i="1"/>
  <c r="C10727" i="1"/>
  <c r="C10723" i="1"/>
  <c r="C10722" i="1"/>
  <c r="C10710" i="1"/>
  <c r="C10707" i="1"/>
  <c r="C10706" i="1"/>
  <c r="C10702" i="1"/>
  <c r="C10701" i="1"/>
  <c r="C10694" i="1"/>
  <c r="C10691" i="1"/>
  <c r="C10690" i="1"/>
  <c r="C10688" i="1"/>
  <c r="C10687" i="1"/>
  <c r="C10684" i="1"/>
  <c r="C10683" i="1"/>
  <c r="C10682" i="1"/>
  <c r="C10680" i="1"/>
  <c r="C10679" i="1"/>
  <c r="C10678" i="1"/>
  <c r="C10677" i="1"/>
  <c r="C10676" i="1"/>
  <c r="C10675" i="1"/>
  <c r="C10672" i="1"/>
  <c r="C10671" i="1"/>
  <c r="C10670" i="1"/>
  <c r="C10669" i="1"/>
  <c r="C10668" i="1"/>
  <c r="C10666" i="1"/>
  <c r="C10665" i="1"/>
  <c r="C10664" i="1"/>
  <c r="C10663" i="1"/>
  <c r="C10662" i="1"/>
  <c r="C10661" i="1"/>
  <c r="C10660" i="1"/>
  <c r="C10658" i="1"/>
  <c r="C10657" i="1"/>
  <c r="C10656" i="1"/>
  <c r="C10655" i="1"/>
  <c r="C10653" i="1"/>
  <c r="C10650" i="1"/>
  <c r="C10649" i="1"/>
  <c r="C10647" i="1"/>
  <c r="C10636" i="1"/>
  <c r="C10634" i="1"/>
  <c r="C10632" i="1"/>
  <c r="C10631" i="1"/>
  <c r="C10630" i="1"/>
  <c r="C10629" i="1"/>
  <c r="C10628" i="1"/>
  <c r="C10627" i="1"/>
  <c r="C10625" i="1"/>
  <c r="C10624" i="1"/>
  <c r="C10623" i="1"/>
  <c r="C10622" i="1"/>
  <c r="C10620" i="1"/>
  <c r="C10619" i="1"/>
  <c r="C10618" i="1"/>
  <c r="C10617" i="1"/>
  <c r="C10616" i="1"/>
  <c r="C10614" i="1"/>
  <c r="C10613" i="1"/>
  <c r="C10611" i="1"/>
  <c r="C10609" i="1"/>
  <c r="C10607" i="1"/>
  <c r="C10606" i="1"/>
  <c r="C10605" i="1"/>
  <c r="C10601" i="1"/>
  <c r="C10600" i="1"/>
  <c r="C10597" i="1"/>
  <c r="C10584" i="1"/>
  <c r="C10583" i="1"/>
  <c r="C10580" i="1"/>
  <c r="C10579" i="1"/>
  <c r="C10578" i="1"/>
  <c r="C10572" i="1"/>
  <c r="C10571" i="1"/>
  <c r="C10570" i="1"/>
  <c r="C10569" i="1"/>
  <c r="C10568" i="1"/>
  <c r="C10567" i="1"/>
  <c r="C10566" i="1"/>
  <c r="C10565" i="1"/>
  <c r="C10564" i="1"/>
  <c r="C10563" i="1"/>
  <c r="C10562" i="1"/>
  <c r="C10559" i="1"/>
  <c r="C10558" i="1"/>
  <c r="C10557" i="1"/>
  <c r="C10555" i="1"/>
  <c r="C10553" i="1"/>
  <c r="C10551" i="1"/>
  <c r="C10549" i="1"/>
  <c r="C10548" i="1"/>
  <c r="C10546" i="1"/>
  <c r="C10545" i="1"/>
  <c r="C10544" i="1"/>
  <c r="C10543" i="1"/>
  <c r="C10541" i="1"/>
  <c r="C10540" i="1"/>
  <c r="C10539" i="1"/>
  <c r="C10538" i="1"/>
  <c r="C10537" i="1"/>
  <c r="C10536" i="1"/>
  <c r="C10535" i="1"/>
  <c r="C10532" i="1"/>
  <c r="C10529" i="1"/>
  <c r="C10526" i="1"/>
  <c r="C10524" i="1"/>
  <c r="C10522" i="1"/>
  <c r="C10521" i="1"/>
  <c r="C10520" i="1"/>
  <c r="C10519" i="1"/>
  <c r="C10518" i="1"/>
  <c r="C10517" i="1"/>
  <c r="C10515" i="1"/>
  <c r="C10514" i="1"/>
  <c r="C10509" i="1"/>
  <c r="C10500" i="1"/>
  <c r="C10497" i="1"/>
  <c r="C10495" i="1"/>
  <c r="C10493" i="1"/>
  <c r="C10491" i="1"/>
  <c r="C10487" i="1"/>
  <c r="C10485" i="1"/>
  <c r="C10480" i="1"/>
  <c r="C10479" i="1"/>
  <c r="C10477" i="1"/>
  <c r="C10475" i="1"/>
  <c r="C10474" i="1"/>
  <c r="C10473" i="1"/>
  <c r="C10471" i="1"/>
  <c r="C10470" i="1"/>
  <c r="C10463" i="1"/>
  <c r="C10461" i="1"/>
  <c r="C10460" i="1"/>
  <c r="C10459" i="1"/>
  <c r="C10458" i="1"/>
  <c r="C10455" i="1"/>
  <c r="C10454" i="1"/>
  <c r="C10453" i="1"/>
  <c r="C10450" i="1"/>
  <c r="C10447" i="1"/>
  <c r="C10444" i="1"/>
  <c r="C10441" i="1"/>
  <c r="C10440" i="1"/>
  <c r="C10439" i="1"/>
  <c r="C10435" i="1"/>
  <c r="C10433" i="1"/>
  <c r="C10431" i="1"/>
  <c r="C10430" i="1"/>
  <c r="C10429" i="1"/>
  <c r="C10428" i="1"/>
  <c r="C10426" i="1"/>
  <c r="C10423" i="1"/>
  <c r="C10422" i="1"/>
  <c r="C10421" i="1"/>
  <c r="C10420" i="1"/>
  <c r="C10419" i="1"/>
  <c r="C10418" i="1"/>
  <c r="C10417" i="1"/>
  <c r="C10414" i="1"/>
  <c r="C10413" i="1"/>
  <c r="C10412" i="1"/>
  <c r="C10408" i="1"/>
  <c r="C10406" i="1"/>
  <c r="C10403" i="1"/>
  <c r="C10396" i="1"/>
  <c r="C10394" i="1"/>
  <c r="C10392" i="1"/>
  <c r="C10391" i="1"/>
  <c r="C10390" i="1"/>
  <c r="C10389" i="1"/>
  <c r="C10388" i="1"/>
  <c r="C10387" i="1"/>
  <c r="C10386" i="1"/>
  <c r="C10384" i="1"/>
  <c r="C10383" i="1"/>
  <c r="C10382" i="1"/>
  <c r="C10381" i="1"/>
  <c r="C10371" i="1"/>
  <c r="C10370" i="1"/>
  <c r="C10369" i="1"/>
  <c r="C10367" i="1"/>
  <c r="C10366" i="1"/>
  <c r="C10365" i="1"/>
  <c r="C10362" i="1"/>
  <c r="C10361" i="1"/>
  <c r="C10359" i="1"/>
  <c r="C10358" i="1"/>
  <c r="C10357" i="1"/>
  <c r="C10353" i="1"/>
  <c r="C10351" i="1"/>
  <c r="C10349" i="1"/>
  <c r="C10345" i="1"/>
  <c r="C10342" i="1"/>
  <c r="C10337" i="1"/>
  <c r="C10330" i="1"/>
  <c r="C10326" i="1"/>
  <c r="C10325" i="1"/>
  <c r="C10321" i="1"/>
  <c r="C10319" i="1"/>
  <c r="C10314" i="1"/>
  <c r="C10313" i="1"/>
  <c r="C10309" i="1"/>
  <c r="C10308" i="1"/>
  <c r="C10307" i="1"/>
  <c r="C10303" i="1"/>
  <c r="C10300" i="1"/>
  <c r="C10291" i="1"/>
  <c r="C10283" i="1"/>
  <c r="C10277" i="1"/>
  <c r="C10270" i="1"/>
  <c r="C10269" i="1"/>
  <c r="C10268" i="1"/>
  <c r="C10267" i="1"/>
  <c r="C10266" i="1"/>
  <c r="C10265" i="1"/>
  <c r="C10264" i="1"/>
  <c r="C10263" i="1"/>
  <c r="C10262" i="1"/>
  <c r="C10261" i="1"/>
  <c r="C10260" i="1"/>
  <c r="C10259" i="1"/>
  <c r="C10258" i="1"/>
  <c r="C10253" i="1"/>
  <c r="C10250" i="1"/>
  <c r="C10248" i="1"/>
  <c r="C10246" i="1"/>
  <c r="C10243" i="1"/>
  <c r="C10238" i="1"/>
  <c r="C10236" i="1"/>
  <c r="C10233" i="1"/>
  <c r="C10225" i="1"/>
  <c r="C10224" i="1"/>
  <c r="C10223" i="1"/>
  <c r="C10222" i="1"/>
  <c r="C10221" i="1"/>
  <c r="C10220" i="1"/>
  <c r="C10216" i="1"/>
  <c r="C10212" i="1"/>
  <c r="C10209" i="1"/>
  <c r="C10202" i="1"/>
  <c r="C10199" i="1"/>
  <c r="C10198" i="1"/>
  <c r="C10196" i="1"/>
  <c r="C10194" i="1"/>
  <c r="C10192" i="1"/>
  <c r="C10191" i="1"/>
  <c r="C10188" i="1"/>
  <c r="C10176" i="1"/>
  <c r="C10174" i="1"/>
  <c r="C10173" i="1"/>
  <c r="C10171" i="1"/>
  <c r="C10165" i="1"/>
  <c r="C10164" i="1"/>
  <c r="C10163" i="1"/>
  <c r="C10162" i="1"/>
  <c r="C10161" i="1"/>
  <c r="C10155" i="1"/>
  <c r="C10153" i="1"/>
  <c r="C10152" i="1"/>
  <c r="C10139" i="1"/>
  <c r="C10138" i="1"/>
  <c r="C10132" i="1"/>
  <c r="C10128" i="1"/>
  <c r="C10127" i="1"/>
  <c r="C10124" i="1"/>
  <c r="C10123" i="1"/>
  <c r="C10120" i="1"/>
  <c r="C10119" i="1"/>
  <c r="C10117" i="1"/>
  <c r="C10112" i="1"/>
  <c r="C10108" i="1"/>
  <c r="C10107" i="1"/>
  <c r="C10105" i="1"/>
  <c r="C10104" i="1"/>
  <c r="C10103" i="1"/>
  <c r="C10100" i="1"/>
  <c r="C10096" i="1"/>
  <c r="C10093" i="1"/>
  <c r="C10086" i="1"/>
  <c r="C10081" i="1"/>
  <c r="C10078" i="1"/>
  <c r="C10077" i="1"/>
  <c r="C10073" i="1"/>
  <c r="C10071" i="1"/>
  <c r="C10069" i="1"/>
  <c r="C10067" i="1"/>
  <c r="C10066" i="1"/>
  <c r="C10065" i="1"/>
  <c r="C10062" i="1"/>
  <c r="C10059" i="1"/>
  <c r="C10056" i="1"/>
  <c r="C10055" i="1"/>
  <c r="C10053" i="1"/>
  <c r="C10046" i="1"/>
  <c r="C10045" i="1"/>
  <c r="C10039" i="1"/>
  <c r="C10037" i="1"/>
  <c r="C10036" i="1"/>
  <c r="C10033" i="1"/>
  <c r="C10032" i="1"/>
  <c r="C10031" i="1"/>
  <c r="C10029" i="1"/>
  <c r="C10026" i="1"/>
  <c r="C10022" i="1"/>
  <c r="C10016" i="1"/>
  <c r="C10003" i="1"/>
  <c r="C10001" i="1"/>
  <c r="C9999" i="1"/>
  <c r="C9998" i="1"/>
  <c r="C9997" i="1"/>
  <c r="C9995" i="1"/>
  <c r="C9994" i="1"/>
  <c r="C9993" i="1"/>
  <c r="C9990" i="1"/>
  <c r="C9986" i="1"/>
  <c r="C9981" i="1"/>
  <c r="C9980" i="1"/>
  <c r="C9979" i="1"/>
  <c r="C9977" i="1"/>
  <c r="C9976" i="1"/>
  <c r="C9975" i="1"/>
  <c r="C9973" i="1"/>
  <c r="C9971" i="1"/>
  <c r="C9970" i="1"/>
  <c r="C9968" i="1"/>
  <c r="C9967" i="1"/>
  <c r="C9965" i="1"/>
  <c r="C9961" i="1"/>
  <c r="C9960" i="1"/>
  <c r="C9959" i="1"/>
  <c r="C9958" i="1"/>
  <c r="C9956" i="1"/>
  <c r="C9951" i="1"/>
  <c r="C9950" i="1"/>
  <c r="C9949" i="1"/>
  <c r="C9948" i="1"/>
  <c r="C9946" i="1"/>
  <c r="C9943" i="1"/>
  <c r="C9938" i="1"/>
  <c r="C9936" i="1"/>
  <c r="C9935" i="1"/>
  <c r="C9934" i="1"/>
  <c r="C9925" i="1"/>
  <c r="C9924" i="1"/>
  <c r="C9918" i="1"/>
  <c r="C9915" i="1"/>
  <c r="C9914" i="1"/>
  <c r="C9908" i="1"/>
  <c r="C9907" i="1"/>
  <c r="C9898" i="1"/>
  <c r="C9897" i="1"/>
  <c r="C9896" i="1"/>
  <c r="C9895" i="1"/>
  <c r="C9894" i="1"/>
  <c r="C9893" i="1"/>
  <c r="C9891" i="1"/>
  <c r="C9888" i="1"/>
  <c r="C9885" i="1"/>
  <c r="C9884" i="1"/>
  <c r="C9881" i="1"/>
  <c r="C9880" i="1"/>
  <c r="C9877" i="1"/>
  <c r="C9875" i="1"/>
  <c r="C9874" i="1"/>
  <c r="C9872" i="1"/>
  <c r="C9870" i="1"/>
  <c r="C9869" i="1"/>
  <c r="C9866" i="1"/>
  <c r="C9863" i="1"/>
  <c r="C9855" i="1"/>
  <c r="C9851" i="1"/>
  <c r="C9847" i="1"/>
  <c r="C9844" i="1"/>
  <c r="C9842" i="1"/>
  <c r="C9841" i="1"/>
  <c r="C9840" i="1"/>
  <c r="C9839" i="1"/>
  <c r="C9837" i="1"/>
  <c r="C9831" i="1"/>
  <c r="C9830" i="1"/>
  <c r="C9828" i="1"/>
  <c r="C9825" i="1"/>
  <c r="C9819" i="1"/>
  <c r="C9816" i="1"/>
  <c r="C9814" i="1"/>
  <c r="C9813" i="1"/>
  <c r="C9812" i="1"/>
  <c r="C9809" i="1"/>
  <c r="C9807" i="1"/>
  <c r="C9801" i="1"/>
  <c r="C9798" i="1"/>
  <c r="C9796" i="1"/>
  <c r="C9793" i="1"/>
  <c r="C9785" i="1"/>
  <c r="C9783" i="1"/>
  <c r="C9777" i="1"/>
  <c r="C9776" i="1"/>
  <c r="C9774" i="1"/>
  <c r="C9773" i="1"/>
  <c r="C9769" i="1"/>
  <c r="C9767" i="1"/>
  <c r="C9762" i="1"/>
  <c r="C9760" i="1"/>
  <c r="C9759" i="1"/>
  <c r="C9758" i="1"/>
  <c r="C9756" i="1"/>
  <c r="C9752" i="1"/>
  <c r="C9748" i="1"/>
  <c r="C9739" i="1"/>
  <c r="C9738" i="1"/>
  <c r="C9737" i="1"/>
  <c r="C9736" i="1"/>
  <c r="C9735" i="1"/>
  <c r="C9734" i="1"/>
  <c r="C9732" i="1"/>
  <c r="C9728" i="1"/>
  <c r="C9723" i="1"/>
  <c r="C9721" i="1"/>
  <c r="C9720" i="1"/>
  <c r="C9719" i="1"/>
  <c r="C9716" i="1"/>
  <c r="C9715" i="1"/>
  <c r="C9714" i="1"/>
  <c r="C9713" i="1"/>
  <c r="C9712" i="1"/>
  <c r="C9711" i="1"/>
  <c r="C9709" i="1"/>
  <c r="C9704" i="1"/>
  <c r="C9703" i="1"/>
  <c r="C9699" i="1"/>
  <c r="C9698" i="1"/>
  <c r="C9696" i="1"/>
  <c r="C9694" i="1"/>
  <c r="C9691" i="1"/>
  <c r="C9690" i="1"/>
  <c r="C9688" i="1"/>
  <c r="C9684" i="1"/>
  <c r="C9680" i="1"/>
  <c r="C9677" i="1"/>
  <c r="C9676" i="1"/>
  <c r="C9667" i="1"/>
  <c r="C9666" i="1"/>
  <c r="C9662" i="1"/>
  <c r="C9661" i="1"/>
  <c r="C9660" i="1"/>
  <c r="C9658" i="1"/>
  <c r="C9655" i="1"/>
  <c r="C9653" i="1"/>
  <c r="C9652" i="1"/>
  <c r="C9650" i="1"/>
  <c r="C9647" i="1"/>
  <c r="C9645" i="1"/>
  <c r="C9642" i="1"/>
  <c r="C9631" i="1"/>
  <c r="C9628" i="1"/>
  <c r="C9625" i="1"/>
  <c r="C9624" i="1"/>
  <c r="C9623" i="1"/>
  <c r="C9622" i="1"/>
  <c r="C9621" i="1"/>
  <c r="C9620" i="1"/>
  <c r="C9619" i="1"/>
  <c r="C9618" i="1"/>
  <c r="C9617" i="1"/>
  <c r="C9616" i="1"/>
  <c r="C9615" i="1"/>
  <c r="C9614" i="1"/>
  <c r="C9613" i="1"/>
  <c r="C9612" i="1"/>
  <c r="C9611" i="1"/>
  <c r="C9610" i="1"/>
  <c r="C9609" i="1"/>
  <c r="C9606" i="1"/>
  <c r="C9605" i="1"/>
  <c r="C9602" i="1"/>
  <c r="C9598" i="1"/>
  <c r="C9597" i="1"/>
  <c r="C9591" i="1"/>
  <c r="C9589" i="1"/>
  <c r="C9588" i="1"/>
  <c r="C9586" i="1"/>
  <c r="C9585" i="1"/>
  <c r="C9584" i="1"/>
  <c r="C9583" i="1"/>
  <c r="C9582" i="1"/>
  <c r="C9578" i="1"/>
  <c r="C9577" i="1"/>
  <c r="C9575" i="1"/>
  <c r="C9570" i="1"/>
  <c r="C9568" i="1"/>
  <c r="C9563" i="1"/>
  <c r="C9561" i="1"/>
  <c r="C9560" i="1"/>
  <c r="C9559" i="1"/>
  <c r="C9557" i="1"/>
  <c r="C9555" i="1"/>
  <c r="C9554" i="1"/>
  <c r="C9552" i="1"/>
  <c r="C9551" i="1"/>
  <c r="C9550" i="1"/>
  <c r="C9549" i="1"/>
  <c r="C9548" i="1"/>
  <c r="C9542" i="1"/>
  <c r="C9540" i="1"/>
  <c r="C9539" i="1"/>
  <c r="C9538" i="1"/>
  <c r="C9537" i="1"/>
  <c r="C9534" i="1"/>
  <c r="C9521" i="1"/>
  <c r="C9519" i="1"/>
  <c r="C9518" i="1"/>
  <c r="C9517" i="1"/>
  <c r="C9516" i="1"/>
  <c r="C9513" i="1"/>
  <c r="C9505" i="1"/>
  <c r="C9504" i="1"/>
  <c r="C9495" i="1"/>
  <c r="C9494" i="1"/>
  <c r="C9482" i="1"/>
  <c r="C9481" i="1"/>
  <c r="C9480" i="1"/>
  <c r="C9479" i="1"/>
  <c r="C9478" i="1"/>
  <c r="C9477" i="1"/>
  <c r="C9476" i="1"/>
  <c r="C9475" i="1"/>
  <c r="C9474" i="1"/>
  <c r="C9473" i="1"/>
  <c r="C9472" i="1"/>
  <c r="C9470" i="1"/>
  <c r="C9469" i="1"/>
  <c r="C9467" i="1"/>
  <c r="C9466" i="1"/>
  <c r="C9465" i="1"/>
  <c r="C9464" i="1"/>
  <c r="C9463" i="1"/>
  <c r="C9462" i="1"/>
  <c r="C9461" i="1"/>
  <c r="C9460" i="1"/>
  <c r="C9456" i="1"/>
  <c r="C9452" i="1"/>
  <c r="C9449" i="1"/>
  <c r="C9440" i="1"/>
  <c r="C9436" i="1"/>
  <c r="C9435" i="1"/>
  <c r="C9433" i="1"/>
  <c r="C9432" i="1"/>
  <c r="C9429" i="1"/>
  <c r="C9428" i="1"/>
  <c r="C9426" i="1"/>
  <c r="C9425" i="1"/>
  <c r="C9423" i="1"/>
  <c r="C9422" i="1"/>
  <c r="C9421" i="1"/>
  <c r="C9417" i="1"/>
  <c r="C9415" i="1"/>
  <c r="C9414" i="1"/>
  <c r="C9413" i="1"/>
  <c r="C9410" i="1"/>
  <c r="C9395" i="1"/>
  <c r="C9392" i="1"/>
  <c r="C9391" i="1"/>
  <c r="C9388" i="1"/>
  <c r="C9387" i="1"/>
  <c r="C9384" i="1"/>
  <c r="C9383" i="1"/>
  <c r="C9382" i="1"/>
  <c r="C9381" i="1"/>
  <c r="C9378" i="1"/>
  <c r="C9376" i="1"/>
  <c r="C9375" i="1"/>
  <c r="C9374" i="1"/>
  <c r="C9373" i="1"/>
  <c r="C9372" i="1"/>
  <c r="C9369" i="1"/>
  <c r="C9367" i="1"/>
  <c r="C9364" i="1"/>
  <c r="C9358" i="1"/>
  <c r="C9355" i="1"/>
  <c r="C9352" i="1"/>
  <c r="C9348" i="1"/>
  <c r="C9345" i="1"/>
  <c r="C9341" i="1"/>
  <c r="C9338" i="1"/>
  <c r="C9337" i="1"/>
  <c r="C9336" i="1"/>
  <c r="C9335" i="1"/>
  <c r="C9334" i="1"/>
  <c r="C9333" i="1"/>
  <c r="C9332" i="1"/>
  <c r="C9331" i="1"/>
  <c r="C9327" i="1"/>
  <c r="C9326" i="1"/>
  <c r="C9325" i="1"/>
  <c r="C9323" i="1"/>
  <c r="C9321" i="1"/>
  <c r="C9320" i="1"/>
  <c r="C9317" i="1"/>
  <c r="C9314" i="1"/>
  <c r="C9313" i="1"/>
  <c r="C9312" i="1"/>
  <c r="C9311" i="1"/>
  <c r="C9310" i="1"/>
  <c r="C9304" i="1"/>
  <c r="C9303" i="1"/>
  <c r="C9301" i="1"/>
  <c r="C9300" i="1"/>
  <c r="C9286" i="1"/>
  <c r="C9285" i="1"/>
  <c r="C9282" i="1"/>
  <c r="C9280" i="1"/>
  <c r="C9279" i="1"/>
  <c r="C9278" i="1"/>
  <c r="C9277" i="1"/>
  <c r="C9276" i="1"/>
  <c r="C9274" i="1"/>
  <c r="C9271" i="1"/>
  <c r="C9267" i="1"/>
  <c r="C9264" i="1"/>
  <c r="C9263" i="1"/>
  <c r="C9261" i="1"/>
  <c r="C9260" i="1"/>
  <c r="C9259" i="1"/>
  <c r="C9258" i="1"/>
  <c r="C9257" i="1"/>
  <c r="C9256" i="1"/>
  <c r="C9255" i="1"/>
  <c r="C9254" i="1"/>
  <c r="C9253" i="1"/>
  <c r="C9251" i="1"/>
  <c r="C9249" i="1"/>
  <c r="C9248" i="1"/>
  <c r="C9247" i="1"/>
  <c r="C9246" i="1"/>
  <c r="C9245" i="1"/>
  <c r="C9244" i="1"/>
  <c r="C9243" i="1"/>
  <c r="C9241" i="1"/>
  <c r="C9240" i="1"/>
  <c r="C9239" i="1"/>
  <c r="C9238" i="1"/>
  <c r="C9237" i="1"/>
  <c r="C9234" i="1"/>
  <c r="C9233" i="1"/>
  <c r="C9230" i="1"/>
  <c r="C9224" i="1"/>
  <c r="C9223" i="1"/>
  <c r="C9221" i="1"/>
  <c r="C9219" i="1"/>
  <c r="C9218" i="1"/>
  <c r="C9217" i="1"/>
  <c r="C9216" i="1"/>
  <c r="C9212" i="1"/>
  <c r="C9211" i="1"/>
  <c r="C9208" i="1"/>
  <c r="C9207" i="1"/>
  <c r="C9206" i="1"/>
  <c r="C9205" i="1"/>
  <c r="C9204" i="1"/>
  <c r="C9203" i="1"/>
  <c r="C9201" i="1"/>
  <c r="C9200" i="1"/>
  <c r="C9199" i="1"/>
  <c r="C9193" i="1"/>
  <c r="C9192" i="1"/>
  <c r="C9191" i="1"/>
  <c r="C9190" i="1"/>
  <c r="C9189" i="1"/>
  <c r="C9188" i="1"/>
  <c r="C9187" i="1"/>
  <c r="C9186" i="1"/>
  <c r="C9184" i="1"/>
  <c r="C9176" i="1"/>
  <c r="C9174" i="1"/>
  <c r="C9170" i="1"/>
  <c r="C9167" i="1"/>
  <c r="C9166" i="1"/>
  <c r="C9162" i="1"/>
  <c r="C9161" i="1"/>
  <c r="C9158" i="1"/>
  <c r="C9157" i="1"/>
  <c r="C9153" i="1"/>
  <c r="C9149" i="1"/>
  <c r="C9147" i="1"/>
  <c r="C9145" i="1"/>
  <c r="C9141" i="1"/>
  <c r="C9140" i="1"/>
  <c r="C9138" i="1"/>
  <c r="C9130" i="1"/>
  <c r="C9129" i="1"/>
  <c r="C9128" i="1"/>
  <c r="C9121" i="1"/>
  <c r="C9119" i="1"/>
  <c r="C9118" i="1"/>
  <c r="C9117" i="1"/>
  <c r="C9114" i="1"/>
  <c r="C9112" i="1"/>
  <c r="C9111" i="1"/>
  <c r="C9109" i="1"/>
  <c r="C9106" i="1"/>
  <c r="C9104" i="1"/>
  <c r="C9103" i="1"/>
  <c r="C9102" i="1"/>
  <c r="C9098" i="1"/>
  <c r="C9097" i="1"/>
  <c r="C9095" i="1"/>
  <c r="C9094" i="1"/>
  <c r="C9093" i="1"/>
  <c r="C9092" i="1"/>
  <c r="C9078" i="1"/>
  <c r="C9073" i="1"/>
  <c r="C9071" i="1"/>
  <c r="C9069" i="1"/>
  <c r="C9068" i="1"/>
  <c r="C9067" i="1"/>
  <c r="C9065" i="1"/>
  <c r="C9061" i="1"/>
  <c r="C9059" i="1"/>
  <c r="C9058" i="1"/>
  <c r="C9054" i="1"/>
  <c r="C9052" i="1"/>
  <c r="C9049" i="1"/>
  <c r="C9048" i="1"/>
  <c r="C9043" i="1"/>
  <c r="C9042" i="1"/>
  <c r="C9040" i="1"/>
  <c r="C9027" i="1"/>
  <c r="C9020" i="1"/>
  <c r="C9019" i="1"/>
  <c r="C9013" i="1"/>
  <c r="C9011" i="1"/>
  <c r="C9010" i="1"/>
  <c r="C9007" i="1"/>
  <c r="C8999" i="1"/>
  <c r="C8998" i="1"/>
  <c r="C8994" i="1"/>
  <c r="C8992" i="1"/>
  <c r="C8988" i="1"/>
  <c r="C8986" i="1"/>
  <c r="C8984" i="1"/>
  <c r="C8982" i="1"/>
  <c r="C8978" i="1"/>
  <c r="C8974" i="1"/>
  <c r="C8973" i="1"/>
  <c r="C8965" i="1"/>
  <c r="C8959" i="1"/>
  <c r="C8958" i="1"/>
  <c r="C8955" i="1"/>
  <c r="C8949" i="1"/>
  <c r="C8943" i="1"/>
  <c r="C8942" i="1"/>
  <c r="C8941" i="1"/>
  <c r="C8940" i="1"/>
  <c r="C8939" i="1"/>
  <c r="C8936" i="1"/>
  <c r="C8935" i="1"/>
  <c r="C8925" i="1"/>
  <c r="C8917" i="1"/>
  <c r="C8916" i="1"/>
  <c r="C8915" i="1"/>
  <c r="C8912" i="1"/>
  <c r="C8911" i="1"/>
  <c r="C8910" i="1"/>
  <c r="C8907" i="1"/>
  <c r="C8906" i="1"/>
  <c r="C8904" i="1"/>
  <c r="C8902" i="1"/>
  <c r="C8899" i="1"/>
  <c r="C8898" i="1"/>
  <c r="C8897" i="1"/>
  <c r="C8896" i="1"/>
  <c r="C8892" i="1"/>
  <c r="C8891" i="1"/>
  <c r="C8890" i="1"/>
  <c r="C8888" i="1"/>
  <c r="C8887" i="1"/>
  <c r="C8886" i="1"/>
  <c r="C8884" i="1"/>
  <c r="C8880" i="1"/>
  <c r="C8863" i="1"/>
  <c r="C8862" i="1"/>
  <c r="C8861" i="1"/>
  <c r="C8860" i="1"/>
  <c r="C8859" i="1"/>
  <c r="C8857" i="1"/>
  <c r="C8851" i="1"/>
  <c r="C8850" i="1"/>
  <c r="C8849" i="1"/>
  <c r="C8847" i="1"/>
  <c r="C8846" i="1"/>
  <c r="C8845" i="1"/>
  <c r="C8843" i="1"/>
  <c r="C8841" i="1"/>
  <c r="C8840" i="1"/>
  <c r="C8839" i="1"/>
  <c r="C8836" i="1"/>
  <c r="C8834" i="1"/>
  <c r="C8833" i="1"/>
  <c r="C8832" i="1"/>
  <c r="C8830" i="1"/>
  <c r="C8829" i="1"/>
  <c r="C8828" i="1"/>
  <c r="C8827" i="1"/>
  <c r="C8824" i="1"/>
  <c r="C8823" i="1"/>
  <c r="C8821" i="1"/>
  <c r="C8820" i="1"/>
  <c r="C8819" i="1"/>
  <c r="C8812" i="1"/>
  <c r="C8809" i="1"/>
  <c r="C8808" i="1"/>
  <c r="C8807" i="1"/>
  <c r="C8806" i="1"/>
  <c r="C8805" i="1"/>
  <c r="C8803" i="1"/>
  <c r="C8802" i="1"/>
  <c r="C8800" i="1"/>
  <c r="C8799" i="1"/>
  <c r="C8798" i="1"/>
  <c r="C8796" i="1"/>
  <c r="C8795" i="1"/>
  <c r="C8794" i="1"/>
  <c r="C8793" i="1"/>
  <c r="C8791" i="1"/>
  <c r="C8790" i="1"/>
  <c r="C8786" i="1"/>
  <c r="C8784" i="1"/>
  <c r="C8779" i="1"/>
  <c r="C8778" i="1"/>
  <c r="C8777" i="1"/>
  <c r="C8776" i="1"/>
  <c r="C8775" i="1"/>
  <c r="C8773" i="1"/>
  <c r="C8772" i="1"/>
  <c r="C8765" i="1"/>
  <c r="C8761" i="1"/>
  <c r="C8758" i="1"/>
  <c r="C8754" i="1"/>
  <c r="C8750" i="1"/>
  <c r="C8748" i="1"/>
  <c r="C8745" i="1"/>
  <c r="C8743" i="1"/>
  <c r="C8742" i="1"/>
  <c r="C8741" i="1"/>
  <c r="C8738" i="1"/>
  <c r="C8737" i="1"/>
  <c r="C8735" i="1"/>
  <c r="C8732" i="1"/>
  <c r="C8729" i="1"/>
  <c r="C8722" i="1"/>
  <c r="C8713" i="1"/>
  <c r="C8712" i="1"/>
  <c r="C8709" i="1"/>
  <c r="C8703" i="1"/>
  <c r="C8701" i="1"/>
  <c r="C8699" i="1"/>
  <c r="C8698" i="1"/>
  <c r="C8697" i="1"/>
  <c r="C8696" i="1"/>
  <c r="C8695" i="1"/>
  <c r="C8694" i="1"/>
  <c r="C8691" i="1"/>
  <c r="C8688" i="1"/>
  <c r="C8684" i="1"/>
  <c r="C8680" i="1"/>
  <c r="C8678" i="1"/>
  <c r="C8672" i="1"/>
  <c r="C8668" i="1"/>
  <c r="C8663" i="1"/>
  <c r="C8662" i="1"/>
  <c r="C8661" i="1"/>
  <c r="C8660" i="1"/>
  <c r="C8657" i="1"/>
  <c r="C8656" i="1"/>
  <c r="C8655" i="1"/>
  <c r="C8654" i="1"/>
  <c r="C8653" i="1"/>
  <c r="C8652" i="1"/>
  <c r="C8649" i="1"/>
  <c r="C8647" i="1"/>
  <c r="C8646" i="1"/>
  <c r="C8645" i="1"/>
  <c r="C8644" i="1"/>
  <c r="C8643" i="1"/>
  <c r="C8639" i="1"/>
  <c r="C8637" i="1"/>
  <c r="C8635" i="1"/>
  <c r="C8634" i="1"/>
  <c r="C8628" i="1"/>
  <c r="C8627" i="1"/>
  <c r="C8622" i="1"/>
  <c r="C8620" i="1"/>
  <c r="C8614" i="1"/>
  <c r="C8607" i="1"/>
  <c r="C8606" i="1"/>
  <c r="C8605" i="1"/>
  <c r="C8604" i="1"/>
  <c r="C8599" i="1"/>
  <c r="C8598" i="1"/>
  <c r="C8597" i="1"/>
  <c r="C8596" i="1"/>
  <c r="C8593" i="1"/>
  <c r="C8591" i="1"/>
  <c r="C8587" i="1"/>
  <c r="C8586" i="1"/>
  <c r="C8579" i="1"/>
  <c r="C8578" i="1"/>
  <c r="C8576" i="1"/>
  <c r="C8575" i="1"/>
  <c r="C8572" i="1"/>
  <c r="C8571" i="1"/>
  <c r="C8565" i="1"/>
  <c r="C8564" i="1"/>
  <c r="C8560" i="1"/>
  <c r="C8556" i="1"/>
  <c r="C8548" i="1"/>
  <c r="C8542" i="1"/>
  <c r="C8541" i="1"/>
  <c r="C8534" i="1"/>
  <c r="C8532" i="1"/>
  <c r="C8531" i="1"/>
  <c r="C8529" i="1"/>
  <c r="C8528" i="1"/>
  <c r="C8526" i="1"/>
  <c r="C8518" i="1"/>
  <c r="C8517" i="1"/>
  <c r="C8511" i="1"/>
  <c r="C8510" i="1"/>
  <c r="C8501" i="1"/>
  <c r="C8500" i="1"/>
  <c r="C8497" i="1"/>
  <c r="C8494" i="1"/>
  <c r="C8493" i="1"/>
  <c r="C8492" i="1"/>
  <c r="C8491" i="1"/>
  <c r="C8490" i="1"/>
  <c r="C8489" i="1"/>
  <c r="C8488" i="1"/>
  <c r="C8487" i="1"/>
  <c r="C8481" i="1"/>
  <c r="C8477" i="1"/>
  <c r="C8472" i="1"/>
  <c r="C8471" i="1"/>
  <c r="C8469" i="1"/>
  <c r="C8468" i="1"/>
  <c r="C8467" i="1"/>
  <c r="C8466" i="1"/>
  <c r="C8465" i="1"/>
  <c r="C8463" i="1"/>
  <c r="C8461" i="1"/>
  <c r="C8460" i="1"/>
  <c r="C8459" i="1"/>
  <c r="C8458" i="1"/>
  <c r="C8457" i="1"/>
  <c r="C8456" i="1"/>
  <c r="C8455" i="1"/>
  <c r="C8454" i="1"/>
  <c r="C8453" i="1"/>
  <c r="C8452" i="1"/>
  <c r="C8451" i="1"/>
  <c r="C8450" i="1"/>
  <c r="C8448" i="1"/>
  <c r="C8445" i="1"/>
  <c r="C8444" i="1"/>
  <c r="C8441" i="1"/>
  <c r="C8439" i="1"/>
  <c r="C8438" i="1"/>
  <c r="C8437" i="1"/>
  <c r="C8436" i="1"/>
  <c r="C8435" i="1"/>
  <c r="C8434" i="1"/>
  <c r="C8431" i="1"/>
  <c r="C8420" i="1"/>
  <c r="C8419" i="1"/>
  <c r="C8416" i="1"/>
  <c r="C8415" i="1"/>
  <c r="C8413" i="1"/>
  <c r="C8412" i="1"/>
  <c r="C8411" i="1"/>
  <c r="C8407" i="1"/>
  <c r="C8401" i="1"/>
  <c r="C8396" i="1"/>
  <c r="C8390" i="1"/>
  <c r="C8388" i="1"/>
  <c r="C8385" i="1"/>
  <c r="C8383" i="1"/>
  <c r="C8381" i="1"/>
  <c r="C8380" i="1"/>
  <c r="C8377" i="1"/>
  <c r="C8375" i="1"/>
  <c r="C8373" i="1"/>
  <c r="C8372" i="1"/>
  <c r="C8371" i="1"/>
  <c r="C8370" i="1"/>
  <c r="C8369" i="1"/>
  <c r="C8368" i="1"/>
  <c r="C8364" i="1"/>
  <c r="C8363" i="1"/>
  <c r="C8362" i="1"/>
  <c r="C8361" i="1"/>
  <c r="C8360" i="1"/>
  <c r="C8359" i="1"/>
  <c r="C8357" i="1"/>
  <c r="C8355" i="1"/>
  <c r="C8354" i="1"/>
  <c r="C8353" i="1"/>
  <c r="C8352" i="1"/>
  <c r="C8350" i="1"/>
  <c r="C8349" i="1"/>
  <c r="C8348" i="1"/>
  <c r="C8347" i="1"/>
  <c r="C8345" i="1"/>
  <c r="C8344" i="1"/>
  <c r="C8342" i="1"/>
  <c r="C8341" i="1"/>
  <c r="C8339" i="1"/>
  <c r="C8337" i="1"/>
  <c r="C8335" i="1"/>
  <c r="C8334" i="1"/>
  <c r="C8332" i="1"/>
  <c r="C8329" i="1"/>
  <c r="C8326" i="1"/>
  <c r="C8325" i="1"/>
  <c r="C8324" i="1"/>
  <c r="C8323" i="1"/>
  <c r="C8319" i="1"/>
  <c r="C8318" i="1"/>
  <c r="C8317" i="1"/>
  <c r="C8315" i="1"/>
  <c r="C8313" i="1"/>
  <c r="C8312" i="1"/>
  <c r="C8310" i="1"/>
  <c r="C8309" i="1"/>
  <c r="C8308" i="1"/>
  <c r="C8307" i="1"/>
  <c r="C8306" i="1"/>
  <c r="C8305" i="1"/>
  <c r="C8304" i="1"/>
  <c r="C8303" i="1"/>
  <c r="C8302" i="1"/>
  <c r="C8301" i="1"/>
  <c r="C8300" i="1"/>
  <c r="C8299" i="1"/>
  <c r="C8298" i="1"/>
  <c r="C8297" i="1"/>
  <c r="C8295" i="1"/>
  <c r="C8294" i="1"/>
  <c r="C8293" i="1"/>
  <c r="C8292" i="1"/>
  <c r="C8291" i="1"/>
  <c r="C8287" i="1"/>
  <c r="C8283" i="1"/>
  <c r="C8281" i="1"/>
  <c r="C8276" i="1"/>
  <c r="C8274" i="1"/>
  <c r="C8272" i="1"/>
  <c r="C8269" i="1"/>
  <c r="C8268" i="1"/>
  <c r="C8265" i="1"/>
  <c r="C8264" i="1"/>
  <c r="C8263" i="1"/>
  <c r="C8262" i="1"/>
  <c r="C8258" i="1"/>
  <c r="C8256" i="1"/>
  <c r="C8246" i="1"/>
  <c r="C8240" i="1"/>
  <c r="C8231" i="1"/>
  <c r="C8223" i="1"/>
  <c r="C8222" i="1"/>
  <c r="C8220" i="1"/>
  <c r="C8218" i="1"/>
  <c r="C8215" i="1"/>
  <c r="C8208" i="1"/>
  <c r="C8207" i="1"/>
  <c r="C8206" i="1"/>
  <c r="C8205" i="1"/>
  <c r="C8203" i="1"/>
  <c r="C8200" i="1"/>
  <c r="C8197" i="1"/>
  <c r="C8196" i="1"/>
  <c r="C8195" i="1"/>
  <c r="C8194" i="1"/>
  <c r="C8193" i="1"/>
  <c r="C8192" i="1"/>
  <c r="C8190" i="1"/>
  <c r="C8189" i="1"/>
  <c r="C8188" i="1"/>
  <c r="C8187" i="1"/>
  <c r="C8185" i="1"/>
  <c r="C8184" i="1"/>
  <c r="C8183" i="1"/>
  <c r="C8181" i="1"/>
  <c r="C8179" i="1"/>
  <c r="C8173" i="1"/>
  <c r="C8171" i="1"/>
  <c r="C8170" i="1"/>
  <c r="C8169" i="1"/>
  <c r="C8165" i="1"/>
  <c r="C8162" i="1"/>
  <c r="C8159" i="1"/>
  <c r="C8153" i="1"/>
  <c r="C8148" i="1"/>
  <c r="C8146" i="1"/>
  <c r="C8141" i="1"/>
  <c r="C8139" i="1"/>
  <c r="C8138" i="1"/>
  <c r="C8137" i="1"/>
  <c r="C8135" i="1"/>
  <c r="C8131" i="1"/>
  <c r="C8130" i="1"/>
  <c r="C8126" i="1"/>
  <c r="C8125" i="1"/>
  <c r="C8124" i="1"/>
  <c r="C8123" i="1"/>
  <c r="C8122" i="1"/>
  <c r="C8119" i="1"/>
  <c r="C8118" i="1"/>
  <c r="C8115" i="1"/>
  <c r="C8108" i="1"/>
  <c r="C8106" i="1"/>
  <c r="C8101" i="1"/>
  <c r="C8098" i="1"/>
  <c r="C8095" i="1"/>
  <c r="C8094" i="1"/>
  <c r="C8093" i="1"/>
  <c r="C8092" i="1"/>
  <c r="C8091" i="1"/>
  <c r="C8089" i="1"/>
  <c r="C8088" i="1"/>
  <c r="C8087" i="1"/>
  <c r="C8084" i="1"/>
  <c r="C8082" i="1"/>
  <c r="C8080" i="1"/>
  <c r="C8079" i="1"/>
  <c r="C8078" i="1"/>
  <c r="C8061" i="1"/>
  <c r="C8059" i="1"/>
  <c r="C8058" i="1"/>
  <c r="C8057" i="1"/>
  <c r="C8056" i="1"/>
  <c r="C8055" i="1"/>
  <c r="C8054" i="1"/>
  <c r="C8053" i="1"/>
  <c r="C8051" i="1"/>
  <c r="C8050" i="1"/>
  <c r="C8049" i="1"/>
  <c r="C8048" i="1"/>
  <c r="C8047" i="1"/>
  <c r="C8038" i="1"/>
  <c r="C8037" i="1"/>
  <c r="C8033" i="1"/>
  <c r="C8031" i="1"/>
  <c r="C8027" i="1"/>
  <c r="C8026" i="1"/>
  <c r="C8021" i="1"/>
  <c r="C8018" i="1"/>
  <c r="C8012" i="1"/>
  <c r="C8008" i="1"/>
  <c r="C8007" i="1"/>
  <c r="C8006" i="1"/>
  <c r="C8005" i="1"/>
  <c r="C8004" i="1"/>
  <c r="C8003" i="1"/>
  <c r="C7998" i="1"/>
  <c r="C7997" i="1"/>
  <c r="C7995" i="1"/>
  <c r="C7994" i="1"/>
  <c r="C7993" i="1"/>
  <c r="C7991" i="1"/>
  <c r="C7990" i="1"/>
  <c r="C7989" i="1"/>
  <c r="C7988" i="1"/>
  <c r="C7987" i="1"/>
  <c r="C7986" i="1"/>
  <c r="C7985" i="1"/>
  <c r="C7984" i="1"/>
  <c r="C7983" i="1"/>
  <c r="C7982" i="1"/>
  <c r="C7980" i="1"/>
  <c r="C7979" i="1"/>
  <c r="C7978" i="1"/>
  <c r="C7977" i="1"/>
  <c r="C7976" i="1"/>
  <c r="C7975" i="1"/>
  <c r="C7973" i="1"/>
  <c r="C7972" i="1"/>
  <c r="C7970" i="1"/>
  <c r="C7969" i="1"/>
  <c r="C7965" i="1"/>
  <c r="C7963" i="1"/>
  <c r="C7962" i="1"/>
  <c r="C7961" i="1"/>
  <c r="C7942" i="1"/>
  <c r="C7940" i="1"/>
  <c r="C7938" i="1"/>
  <c r="C7936" i="1"/>
  <c r="C7925" i="1"/>
  <c r="C7910" i="1"/>
  <c r="C7901" i="1"/>
  <c r="C7899" i="1"/>
  <c r="C7897" i="1"/>
  <c r="C7896" i="1"/>
  <c r="C7891" i="1"/>
  <c r="C7884" i="1"/>
  <c r="C7883" i="1"/>
  <c r="C7882" i="1"/>
  <c r="C7880" i="1"/>
  <c r="C7879" i="1"/>
  <c r="C7878" i="1"/>
  <c r="C7876" i="1"/>
  <c r="C7874" i="1"/>
  <c r="C7871" i="1"/>
  <c r="C7861" i="1"/>
  <c r="C7852" i="1"/>
  <c r="C7851" i="1"/>
  <c r="C7850" i="1"/>
  <c r="C7849" i="1"/>
  <c r="C7842" i="1"/>
  <c r="C7841" i="1"/>
  <c r="C7839" i="1"/>
  <c r="C7835" i="1"/>
  <c r="C7830" i="1"/>
  <c r="C7824" i="1"/>
  <c r="C7820" i="1"/>
  <c r="C7819" i="1"/>
  <c r="C7818" i="1"/>
  <c r="C7817" i="1"/>
  <c r="C7815" i="1"/>
  <c r="C7813" i="1"/>
  <c r="C7811" i="1"/>
  <c r="C7808" i="1"/>
  <c r="C7807" i="1"/>
  <c r="C7806" i="1"/>
  <c r="C7805" i="1"/>
  <c r="C7803" i="1"/>
  <c r="C7802" i="1"/>
  <c r="C7800" i="1"/>
  <c r="C7799" i="1"/>
  <c r="C7792" i="1"/>
  <c r="C7783" i="1"/>
  <c r="C7782" i="1"/>
  <c r="C7781" i="1"/>
  <c r="C7779" i="1"/>
  <c r="C7778" i="1"/>
  <c r="C7777" i="1"/>
  <c r="C7776" i="1"/>
  <c r="C7775" i="1"/>
  <c r="C7774" i="1"/>
  <c r="C7771" i="1"/>
  <c r="C7770" i="1"/>
  <c r="C7769" i="1"/>
  <c r="C7768" i="1"/>
  <c r="C7767" i="1"/>
  <c r="C7766" i="1"/>
  <c r="C7765" i="1"/>
  <c r="C7764" i="1"/>
  <c r="C7763" i="1"/>
  <c r="C7762" i="1"/>
  <c r="C7761" i="1"/>
  <c r="C7759" i="1"/>
  <c r="C7758" i="1"/>
  <c r="C7756" i="1"/>
  <c r="C7755" i="1"/>
  <c r="C7753" i="1"/>
  <c r="C7752" i="1"/>
  <c r="C7751" i="1"/>
  <c r="C7749" i="1"/>
  <c r="C7747" i="1"/>
  <c r="C7745" i="1"/>
  <c r="C7743" i="1"/>
  <c r="C7740" i="1"/>
  <c r="C7739" i="1"/>
  <c r="C7736" i="1"/>
  <c r="C7733" i="1"/>
  <c r="C7729" i="1"/>
  <c r="C7723" i="1"/>
  <c r="C7722" i="1"/>
  <c r="C7718" i="1"/>
  <c r="C7717" i="1"/>
  <c r="C7715" i="1"/>
  <c r="C7714" i="1"/>
  <c r="C7713" i="1"/>
  <c r="C7709" i="1"/>
  <c r="C7707" i="1"/>
  <c r="C7702" i="1"/>
  <c r="C7700" i="1"/>
  <c r="C7699" i="1"/>
  <c r="C7693" i="1"/>
  <c r="C7692" i="1"/>
  <c r="C7691" i="1"/>
  <c r="C7690" i="1"/>
  <c r="C7689" i="1"/>
  <c r="C7688" i="1"/>
  <c r="C7687" i="1"/>
  <c r="C7684" i="1"/>
  <c r="C7683" i="1"/>
  <c r="C7681" i="1"/>
  <c r="C7677" i="1"/>
  <c r="C7676" i="1"/>
  <c r="C7675" i="1"/>
  <c r="C7674" i="1"/>
  <c r="C7673" i="1"/>
  <c r="C7672" i="1"/>
  <c r="C7671" i="1"/>
  <c r="C7668" i="1"/>
  <c r="C7667" i="1"/>
  <c r="C7658" i="1"/>
  <c r="C7657" i="1"/>
  <c r="C7649" i="1"/>
  <c r="C7646" i="1"/>
  <c r="C7643" i="1"/>
  <c r="C7640" i="1"/>
  <c r="C7638" i="1"/>
  <c r="C7637" i="1"/>
  <c r="C7635" i="1"/>
  <c r="C7634" i="1"/>
  <c r="C7632" i="1"/>
  <c r="C7631" i="1"/>
  <c r="C7625" i="1"/>
  <c r="C7622" i="1"/>
  <c r="C7619" i="1"/>
  <c r="C7618" i="1"/>
  <c r="C7617" i="1"/>
  <c r="C7613" i="1"/>
  <c r="C7610" i="1"/>
  <c r="C7609" i="1"/>
  <c r="C7601" i="1"/>
  <c r="C7600" i="1"/>
  <c r="C7599" i="1"/>
  <c r="C7598" i="1"/>
  <c r="C7597" i="1"/>
  <c r="C7596" i="1"/>
  <c r="C7593" i="1"/>
  <c r="C7592" i="1"/>
  <c r="C7591" i="1"/>
  <c r="C7589" i="1"/>
  <c r="C7588" i="1"/>
  <c r="C7586" i="1"/>
  <c r="C7580" i="1"/>
  <c r="C7579" i="1"/>
  <c r="C7571" i="1"/>
  <c r="C7568" i="1"/>
  <c r="C7563" i="1"/>
  <c r="C7561" i="1"/>
  <c r="C7557" i="1"/>
  <c r="C7554" i="1"/>
  <c r="C7553" i="1"/>
  <c r="C7552" i="1"/>
  <c r="C7550" i="1"/>
  <c r="C7549" i="1"/>
  <c r="C7548" i="1"/>
  <c r="C7546" i="1"/>
  <c r="C7544" i="1"/>
  <c r="C7543" i="1"/>
  <c r="C7542" i="1"/>
  <c r="C7539" i="1"/>
  <c r="C7537" i="1"/>
  <c r="C7534" i="1"/>
  <c r="C7533" i="1"/>
  <c r="C7532" i="1"/>
  <c r="C7531" i="1"/>
  <c r="C7530" i="1"/>
  <c r="C7528" i="1"/>
  <c r="C7527" i="1"/>
  <c r="C7526" i="1"/>
  <c r="C7525" i="1"/>
  <c r="C7524" i="1"/>
  <c r="C7522" i="1"/>
  <c r="C7521" i="1"/>
  <c r="C7519" i="1"/>
  <c r="C7518" i="1"/>
  <c r="C7517" i="1"/>
  <c r="C7516" i="1"/>
  <c r="C7515" i="1"/>
  <c r="C7514" i="1"/>
  <c r="C7513" i="1"/>
  <c r="C7512" i="1"/>
  <c r="C7511" i="1"/>
  <c r="C7510" i="1"/>
  <c r="C7508" i="1"/>
  <c r="C7502" i="1"/>
  <c r="C7501" i="1"/>
  <c r="C7500" i="1"/>
  <c r="C7499" i="1"/>
  <c r="C7498" i="1"/>
  <c r="C7497" i="1"/>
  <c r="C7496" i="1"/>
  <c r="C7491" i="1"/>
  <c r="C7486" i="1"/>
  <c r="C7484" i="1"/>
  <c r="C7482" i="1"/>
  <c r="C7480" i="1"/>
  <c r="C7478" i="1"/>
  <c r="C7474" i="1"/>
  <c r="C7472" i="1"/>
  <c r="C7470" i="1"/>
  <c r="C7469" i="1"/>
  <c r="C7464" i="1"/>
  <c r="C7463" i="1"/>
  <c r="C7462" i="1"/>
  <c r="C7461" i="1"/>
  <c r="C7460" i="1"/>
  <c r="C7458" i="1"/>
  <c r="C7456" i="1"/>
  <c r="C7455" i="1"/>
  <c r="C7447" i="1"/>
  <c r="C7443" i="1"/>
  <c r="C7438" i="1"/>
  <c r="C7432" i="1"/>
  <c r="C7427" i="1"/>
  <c r="C7423" i="1"/>
  <c r="C7421" i="1"/>
  <c r="C7420" i="1"/>
  <c r="C7416" i="1"/>
  <c r="C7408" i="1"/>
  <c r="C7407" i="1"/>
  <c r="C7405" i="1"/>
  <c r="C7397" i="1"/>
  <c r="C7396" i="1"/>
  <c r="C7395" i="1"/>
  <c r="C7392" i="1"/>
  <c r="C7391" i="1"/>
  <c r="C7389" i="1"/>
  <c r="C7385" i="1"/>
  <c r="C7381" i="1"/>
  <c r="C7372" i="1"/>
  <c r="C7365" i="1"/>
  <c r="C7362" i="1"/>
  <c r="C7360" i="1"/>
  <c r="C7359" i="1"/>
  <c r="C7358" i="1"/>
  <c r="C7357" i="1"/>
  <c r="C7356" i="1"/>
  <c r="C7355" i="1"/>
  <c r="C7352" i="1"/>
  <c r="C7351" i="1"/>
  <c r="C7350" i="1"/>
  <c r="C7347" i="1"/>
  <c r="C7342" i="1"/>
  <c r="C7340" i="1"/>
  <c r="C7339" i="1"/>
  <c r="C7338" i="1"/>
  <c r="C7337" i="1"/>
  <c r="C7336" i="1"/>
  <c r="C7335" i="1"/>
  <c r="C7334" i="1"/>
  <c r="C7333" i="1"/>
  <c r="C7332" i="1"/>
  <c r="C7331" i="1"/>
  <c r="C7330" i="1"/>
  <c r="C7325" i="1"/>
  <c r="C7324" i="1"/>
  <c r="C7315" i="1"/>
  <c r="C7313" i="1"/>
  <c r="C7312" i="1"/>
  <c r="C7311" i="1"/>
  <c r="C7310" i="1"/>
  <c r="C7307" i="1"/>
  <c r="C7303" i="1"/>
  <c r="C7302" i="1"/>
  <c r="C7299" i="1"/>
  <c r="C7298" i="1"/>
  <c r="C7294" i="1"/>
  <c r="C7291" i="1"/>
  <c r="C7287" i="1"/>
  <c r="C7286" i="1"/>
  <c r="C7284" i="1"/>
  <c r="C7280" i="1"/>
  <c r="C7277" i="1"/>
  <c r="C7276" i="1"/>
  <c r="C7275" i="1"/>
  <c r="C7274" i="1"/>
  <c r="C7263" i="1"/>
  <c r="C7259" i="1"/>
  <c r="C7258" i="1"/>
  <c r="C7257" i="1"/>
  <c r="C7256" i="1"/>
  <c r="C7255" i="1"/>
  <c r="C7252" i="1"/>
  <c r="C7251" i="1"/>
  <c r="C7246" i="1"/>
  <c r="C7245" i="1"/>
  <c r="C7244" i="1"/>
  <c r="C7243" i="1"/>
  <c r="C7242" i="1"/>
  <c r="C7241" i="1"/>
  <c r="C7239" i="1"/>
  <c r="C7238" i="1"/>
  <c r="C7237" i="1"/>
  <c r="C7233" i="1"/>
  <c r="C7231" i="1"/>
  <c r="C7230" i="1"/>
  <c r="C7228" i="1"/>
  <c r="C7227" i="1"/>
  <c r="C7226" i="1"/>
  <c r="C7222" i="1"/>
  <c r="C7221" i="1"/>
  <c r="C7220" i="1"/>
  <c r="C7218" i="1"/>
  <c r="C7212" i="1"/>
  <c r="C7210" i="1"/>
  <c r="C7202" i="1"/>
  <c r="C7195" i="1"/>
  <c r="C7194" i="1"/>
  <c r="C7193" i="1"/>
  <c r="C7192" i="1"/>
  <c r="C7191" i="1"/>
  <c r="C7190" i="1"/>
  <c r="C7189" i="1"/>
  <c r="C7188" i="1"/>
  <c r="C7187" i="1"/>
  <c r="C7186" i="1"/>
  <c r="C7185" i="1"/>
  <c r="C7184" i="1"/>
  <c r="C7183" i="1"/>
  <c r="C7182" i="1"/>
  <c r="C7177" i="1"/>
  <c r="C7176" i="1"/>
  <c r="C7173" i="1"/>
  <c r="C7172" i="1"/>
  <c r="C7171" i="1"/>
  <c r="C7167" i="1"/>
  <c r="C7164" i="1"/>
  <c r="C7163" i="1"/>
  <c r="C7161" i="1"/>
  <c r="C7160" i="1"/>
  <c r="C7156" i="1"/>
  <c r="C7155" i="1"/>
  <c r="C7154" i="1"/>
  <c r="C7153" i="1"/>
  <c r="C7152" i="1"/>
  <c r="C7147" i="1"/>
  <c r="C7146" i="1"/>
  <c r="C7145" i="1"/>
  <c r="C7144" i="1"/>
  <c r="C7143" i="1"/>
  <c r="C7139" i="1"/>
  <c r="C7136" i="1"/>
  <c r="C7133" i="1"/>
  <c r="C7132" i="1"/>
  <c r="C7131" i="1"/>
  <c r="C7128" i="1"/>
  <c r="C7126" i="1"/>
  <c r="C7123" i="1"/>
  <c r="C7122" i="1"/>
  <c r="C7121" i="1"/>
  <c r="C7119" i="1"/>
  <c r="C7116" i="1"/>
  <c r="C7111" i="1"/>
  <c r="C7110" i="1"/>
  <c r="C7109" i="1"/>
  <c r="C7106" i="1"/>
  <c r="C7105" i="1"/>
  <c r="C7104" i="1"/>
  <c r="C7103" i="1"/>
  <c r="C7091" i="1"/>
  <c r="C7090" i="1"/>
  <c r="C7089" i="1"/>
  <c r="C7086" i="1"/>
  <c r="C7081" i="1"/>
  <c r="C7080" i="1"/>
  <c r="C7079" i="1"/>
  <c r="C7078" i="1"/>
  <c r="C7076" i="1"/>
  <c r="C7072" i="1"/>
  <c r="C7069" i="1"/>
  <c r="C7065" i="1"/>
  <c r="C7060" i="1"/>
  <c r="C7055" i="1"/>
  <c r="C7054" i="1"/>
  <c r="C7049" i="1"/>
  <c r="C7048" i="1"/>
  <c r="C7046" i="1"/>
  <c r="C7038" i="1"/>
  <c r="C7035" i="1"/>
  <c r="C7034" i="1"/>
  <c r="C7033" i="1"/>
  <c r="C7031" i="1"/>
  <c r="C7030" i="1"/>
  <c r="C7029" i="1"/>
  <c r="C7025" i="1"/>
  <c r="C7022" i="1"/>
  <c r="C7021" i="1"/>
  <c r="C7020" i="1"/>
  <c r="C7019" i="1"/>
  <c r="C7017" i="1"/>
  <c r="C7016" i="1"/>
  <c r="C7014" i="1"/>
  <c r="C7013" i="1"/>
  <c r="C7012" i="1"/>
  <c r="C7009" i="1"/>
  <c r="C7007" i="1"/>
  <c r="C7005" i="1"/>
  <c r="C6997" i="1"/>
  <c r="C6990" i="1"/>
  <c r="C6985" i="1"/>
  <c r="C6984" i="1"/>
  <c r="C6983" i="1"/>
  <c r="C6982" i="1"/>
  <c r="C6981" i="1"/>
  <c r="C6978" i="1"/>
  <c r="C6977" i="1"/>
  <c r="C6976" i="1"/>
  <c r="C6975" i="1"/>
  <c r="C6974" i="1"/>
  <c r="C6973" i="1"/>
  <c r="C6972" i="1"/>
  <c r="C6971" i="1"/>
  <c r="C6970" i="1"/>
  <c r="C6969" i="1"/>
  <c r="C6968" i="1"/>
  <c r="C6966" i="1"/>
  <c r="C6964" i="1"/>
  <c r="C6962" i="1"/>
  <c r="C6961" i="1"/>
  <c r="C6959" i="1"/>
  <c r="C6958" i="1"/>
  <c r="C6953" i="1"/>
  <c r="C6951" i="1"/>
  <c r="C6942" i="1"/>
  <c r="C6939" i="1"/>
  <c r="C6938" i="1"/>
  <c r="C6937" i="1"/>
  <c r="C6936" i="1"/>
  <c r="C6935" i="1"/>
  <c r="C6929" i="1"/>
  <c r="C6928" i="1"/>
  <c r="C6927" i="1"/>
  <c r="C6926" i="1"/>
  <c r="C6923" i="1"/>
  <c r="C6922" i="1"/>
  <c r="C6918" i="1"/>
  <c r="C6917" i="1"/>
  <c r="C6915" i="1"/>
  <c r="C6913" i="1"/>
  <c r="C6912" i="1"/>
  <c r="C6907" i="1"/>
  <c r="C6906" i="1"/>
  <c r="C6905" i="1"/>
  <c r="C6903" i="1"/>
  <c r="C6901" i="1"/>
  <c r="C6899" i="1"/>
  <c r="C6897" i="1"/>
  <c r="C6896" i="1"/>
  <c r="C6893" i="1"/>
  <c r="C6892" i="1"/>
  <c r="C6882" i="1"/>
  <c r="C6880" i="1"/>
  <c r="C6879" i="1"/>
  <c r="C6878" i="1"/>
  <c r="C6877" i="1"/>
  <c r="C6876" i="1"/>
  <c r="C6875" i="1"/>
  <c r="C6873" i="1"/>
  <c r="C6871" i="1"/>
  <c r="C6868" i="1"/>
  <c r="C6867" i="1"/>
  <c r="C6865" i="1"/>
  <c r="C6864" i="1"/>
  <c r="C6862" i="1"/>
  <c r="C6860" i="1"/>
  <c r="C6856" i="1"/>
  <c r="C6855" i="1"/>
  <c r="C6854" i="1"/>
  <c r="C6851" i="1"/>
  <c r="C6847" i="1"/>
  <c r="C6845" i="1"/>
  <c r="C6844" i="1"/>
  <c r="C6843" i="1"/>
  <c r="C6839" i="1"/>
  <c r="C6837" i="1"/>
  <c r="C6834" i="1"/>
  <c r="C6833" i="1"/>
  <c r="C6832" i="1"/>
  <c r="C6831" i="1"/>
  <c r="C6813" i="1"/>
  <c r="C6811" i="1"/>
  <c r="C6808" i="1"/>
  <c r="C6807" i="1"/>
  <c r="C6805" i="1"/>
  <c r="C6804" i="1"/>
  <c r="C6803" i="1"/>
  <c r="C6802" i="1"/>
  <c r="C6801" i="1"/>
  <c r="C6800" i="1"/>
  <c r="C6799" i="1"/>
  <c r="C6798" i="1"/>
  <c r="C6797" i="1"/>
  <c r="C6794" i="1"/>
  <c r="C6791" i="1"/>
  <c r="C6790" i="1"/>
  <c r="C6787" i="1"/>
  <c r="C6784" i="1"/>
  <c r="C6782" i="1"/>
  <c r="C6779" i="1"/>
  <c r="C6778" i="1"/>
  <c r="C6777" i="1"/>
  <c r="C6774" i="1"/>
  <c r="C6773" i="1"/>
  <c r="C6772" i="1"/>
  <c r="C6771" i="1"/>
  <c r="C6770" i="1"/>
  <c r="C6769" i="1"/>
  <c r="C6767" i="1"/>
  <c r="C6766" i="1"/>
  <c r="C6763" i="1"/>
  <c r="C6762" i="1"/>
  <c r="C6761" i="1"/>
  <c r="C6760" i="1"/>
  <c r="C6759" i="1"/>
  <c r="C6758" i="1"/>
  <c r="C6757" i="1"/>
  <c r="C6756" i="1"/>
  <c r="C6755" i="1"/>
  <c r="C6745" i="1"/>
  <c r="C6743" i="1"/>
  <c r="C6742" i="1"/>
  <c r="C6724" i="1"/>
  <c r="C6722" i="1"/>
  <c r="C6717" i="1"/>
  <c r="C6710" i="1"/>
  <c r="C6708" i="1"/>
  <c r="C6707" i="1"/>
  <c r="C6703" i="1"/>
  <c r="C6687" i="1"/>
  <c r="C6684" i="1"/>
  <c r="C6681" i="1"/>
  <c r="C6671" i="1"/>
  <c r="C6665" i="1"/>
  <c r="C6663" i="1"/>
  <c r="C6660" i="1"/>
  <c r="C6649" i="1"/>
  <c r="C6648" i="1"/>
  <c r="C6647" i="1"/>
  <c r="C6644" i="1"/>
  <c r="C6643" i="1"/>
  <c r="C6642" i="1"/>
  <c r="C6641" i="1"/>
  <c r="C6640" i="1"/>
  <c r="C6638" i="1"/>
  <c r="C6637" i="1"/>
  <c r="C6636" i="1"/>
  <c r="C6635" i="1"/>
  <c r="C6634" i="1"/>
  <c r="C6631" i="1"/>
  <c r="C6630" i="1"/>
  <c r="C6629" i="1"/>
  <c r="C6627" i="1"/>
  <c r="C6626" i="1"/>
  <c r="C6624" i="1"/>
  <c r="C6623" i="1"/>
  <c r="C6622" i="1"/>
  <c r="C6621" i="1"/>
  <c r="C6620" i="1"/>
  <c r="C6619" i="1"/>
  <c r="C6618" i="1"/>
  <c r="C6616" i="1"/>
  <c r="C6606" i="1"/>
  <c r="C6604" i="1"/>
  <c r="C6602" i="1"/>
  <c r="C6601" i="1"/>
  <c r="C6599" i="1"/>
  <c r="C6595" i="1"/>
  <c r="C6594" i="1"/>
  <c r="C6592" i="1"/>
  <c r="C6586" i="1"/>
  <c r="C6583" i="1"/>
  <c r="C6580" i="1"/>
  <c r="C6579" i="1"/>
  <c r="C6575" i="1"/>
  <c r="C6563" i="1"/>
  <c r="C6561" i="1"/>
  <c r="C6559" i="1"/>
  <c r="C6553" i="1"/>
  <c r="C6549" i="1"/>
  <c r="C6546" i="1"/>
  <c r="C6544" i="1"/>
  <c r="C6541" i="1"/>
  <c r="C6534" i="1"/>
  <c r="C6533" i="1"/>
  <c r="C6530" i="1"/>
  <c r="C6528" i="1"/>
  <c r="C6523" i="1"/>
  <c r="C6521" i="1"/>
  <c r="C6518" i="1"/>
  <c r="C6514" i="1"/>
  <c r="C6511" i="1"/>
  <c r="C6510" i="1"/>
  <c r="C6509" i="1"/>
  <c r="C6507" i="1"/>
  <c r="C6502" i="1"/>
  <c r="C6501" i="1"/>
  <c r="C6499" i="1"/>
  <c r="C6498" i="1"/>
  <c r="C6497" i="1"/>
  <c r="C6496" i="1"/>
  <c r="C6495" i="1"/>
  <c r="C6493" i="1"/>
  <c r="C6492" i="1"/>
  <c r="C6491" i="1"/>
  <c r="C6489" i="1"/>
  <c r="C6488" i="1"/>
  <c r="C6487" i="1"/>
  <c r="C6486" i="1"/>
  <c r="C6483" i="1"/>
  <c r="C6481" i="1"/>
  <c r="C6480" i="1"/>
  <c r="C6479" i="1"/>
  <c r="C6476" i="1"/>
  <c r="C6475" i="1"/>
  <c r="C6474" i="1"/>
  <c r="C6471" i="1"/>
  <c r="C6468" i="1"/>
  <c r="C6466" i="1"/>
  <c r="C6465" i="1"/>
  <c r="C6464" i="1"/>
  <c r="C6463" i="1"/>
  <c r="C6462" i="1"/>
  <c r="C6461" i="1"/>
  <c r="C6451" i="1"/>
  <c r="C6450" i="1"/>
  <c r="C6449" i="1"/>
  <c r="C6447" i="1"/>
  <c r="C6446" i="1"/>
  <c r="C6442" i="1"/>
  <c r="C6441" i="1"/>
  <c r="C6439" i="1"/>
  <c r="C6435" i="1"/>
  <c r="C6423" i="1"/>
  <c r="C6421" i="1"/>
  <c r="C6420" i="1"/>
  <c r="C6417" i="1"/>
  <c r="C6416" i="1"/>
  <c r="C6413" i="1"/>
  <c r="C6397" i="1"/>
  <c r="C6395" i="1"/>
  <c r="C6393" i="1"/>
  <c r="C6392" i="1"/>
  <c r="C6391" i="1"/>
  <c r="C6386" i="1"/>
  <c r="C6385" i="1"/>
  <c r="C6384" i="1"/>
  <c r="C6383" i="1"/>
  <c r="C6380" i="1"/>
  <c r="C6379" i="1"/>
  <c r="C6377" i="1"/>
  <c r="C6376" i="1"/>
  <c r="C6375" i="1"/>
  <c r="C6374" i="1"/>
  <c r="C6373" i="1"/>
  <c r="C6371" i="1"/>
  <c r="C6366" i="1"/>
  <c r="C6365" i="1"/>
  <c r="C6361" i="1"/>
  <c r="C6358" i="1"/>
  <c r="C6343" i="1"/>
  <c r="C6341" i="1"/>
  <c r="C6337" i="1"/>
  <c r="C6333" i="1"/>
  <c r="C6332" i="1"/>
  <c r="C6325" i="1"/>
  <c r="C6324" i="1"/>
  <c r="C6323" i="1"/>
  <c r="C6322" i="1"/>
  <c r="C6321" i="1"/>
  <c r="C6320" i="1"/>
  <c r="C6319" i="1"/>
  <c r="C6317" i="1"/>
  <c r="C6311" i="1"/>
  <c r="C6310" i="1"/>
  <c r="C6309" i="1"/>
  <c r="C6306" i="1"/>
  <c r="C6304" i="1"/>
  <c r="C6300" i="1"/>
  <c r="C6299" i="1"/>
  <c r="C6296" i="1"/>
  <c r="C6295" i="1"/>
  <c r="C6289" i="1"/>
  <c r="C6288" i="1"/>
  <c r="C6284" i="1"/>
  <c r="C6281" i="1"/>
  <c r="C6278" i="1"/>
  <c r="C6276" i="1"/>
  <c r="C6275" i="1"/>
  <c r="C6274" i="1"/>
  <c r="C6270" i="1"/>
  <c r="C6268" i="1"/>
  <c r="C6266" i="1"/>
  <c r="C6256" i="1"/>
  <c r="C6255" i="1"/>
  <c r="C6254" i="1"/>
  <c r="C6249" i="1"/>
  <c r="C6233" i="1"/>
  <c r="C6211" i="1"/>
  <c r="C6210" i="1"/>
  <c r="C6209" i="1"/>
  <c r="C6206" i="1"/>
  <c r="C6205" i="1"/>
  <c r="C6204" i="1"/>
  <c r="C6203" i="1"/>
  <c r="C6202" i="1"/>
  <c r="C6201" i="1"/>
  <c r="C6199" i="1"/>
  <c r="C6197" i="1"/>
  <c r="C6196" i="1"/>
  <c r="C6195" i="1"/>
  <c r="C6194" i="1"/>
  <c r="C6193" i="1"/>
  <c r="C6192" i="1"/>
  <c r="C6190" i="1"/>
  <c r="C6189" i="1"/>
  <c r="C6181" i="1"/>
  <c r="C6180" i="1"/>
  <c r="C6169" i="1"/>
  <c r="C6168" i="1"/>
  <c r="C6166" i="1"/>
  <c r="C6165" i="1"/>
  <c r="C6164" i="1"/>
  <c r="C6162" i="1"/>
  <c r="C6161" i="1"/>
  <c r="C6160" i="1"/>
  <c r="C6159" i="1"/>
  <c r="C6158" i="1"/>
  <c r="C6157" i="1"/>
  <c r="C6156" i="1"/>
  <c r="C6155" i="1"/>
  <c r="C6154" i="1"/>
  <c r="C6153" i="1"/>
  <c r="C6152" i="1"/>
  <c r="C6148" i="1"/>
  <c r="C6141" i="1"/>
  <c r="C6128" i="1"/>
  <c r="C6117" i="1"/>
  <c r="C6116" i="1"/>
  <c r="C6115" i="1"/>
  <c r="C6113" i="1"/>
  <c r="C6112" i="1"/>
  <c r="C6111" i="1"/>
  <c r="C6110" i="1"/>
  <c r="C6108" i="1"/>
  <c r="C6105" i="1"/>
  <c r="C6104" i="1"/>
  <c r="C6102" i="1"/>
  <c r="C6100" i="1"/>
  <c r="C6099" i="1"/>
  <c r="C6097" i="1"/>
  <c r="C6096" i="1"/>
  <c r="C6094" i="1"/>
  <c r="C6090" i="1"/>
  <c r="C6088" i="1"/>
  <c r="C6087" i="1"/>
  <c r="C6086" i="1"/>
  <c r="C6085" i="1"/>
  <c r="C6084" i="1"/>
  <c r="C6083" i="1"/>
  <c r="C6080" i="1"/>
  <c r="C6077" i="1"/>
  <c r="C6075" i="1"/>
  <c r="C6074" i="1"/>
  <c r="C6073" i="1"/>
  <c r="C6068" i="1"/>
  <c r="C6066" i="1"/>
  <c r="C6065" i="1"/>
  <c r="C6064" i="1"/>
  <c r="C6061" i="1"/>
  <c r="C6060" i="1"/>
  <c r="C6058" i="1"/>
  <c r="C6055" i="1"/>
  <c r="C6054" i="1"/>
  <c r="C6050" i="1"/>
  <c r="C6042" i="1"/>
  <c r="C6038" i="1"/>
  <c r="C6032" i="1"/>
  <c r="C6029" i="1"/>
  <c r="C6027" i="1"/>
  <c r="C6025" i="1"/>
  <c r="C6022" i="1"/>
  <c r="C6020" i="1"/>
  <c r="C6019" i="1"/>
  <c r="C6017" i="1"/>
  <c r="C6014" i="1"/>
  <c r="C6013" i="1"/>
  <c r="C6011" i="1"/>
  <c r="C6010" i="1"/>
  <c r="C6009" i="1"/>
  <c r="C6007" i="1"/>
  <c r="C6004" i="1"/>
  <c r="C6001" i="1"/>
  <c r="C6000" i="1"/>
  <c r="C5999" i="1"/>
  <c r="C5998" i="1"/>
  <c r="C5997" i="1"/>
  <c r="C5996" i="1"/>
  <c r="C5994" i="1"/>
  <c r="C5993" i="1"/>
  <c r="C5991" i="1"/>
  <c r="C5984" i="1"/>
  <c r="C5981" i="1"/>
  <c r="C5978" i="1"/>
  <c r="C5977" i="1"/>
  <c r="C5975" i="1"/>
  <c r="C5974" i="1"/>
  <c r="C5973" i="1"/>
  <c r="C5966" i="1"/>
  <c r="C5965" i="1"/>
  <c r="C5963" i="1"/>
  <c r="C5962" i="1"/>
  <c r="C5961" i="1"/>
  <c r="C5960" i="1"/>
  <c r="C5959" i="1"/>
  <c r="C5954" i="1"/>
  <c r="C5953" i="1"/>
  <c r="C5951" i="1"/>
  <c r="C5949" i="1"/>
  <c r="C5948" i="1"/>
  <c r="C5947" i="1"/>
  <c r="C5944" i="1"/>
  <c r="C5943" i="1"/>
  <c r="C5940" i="1"/>
  <c r="C5937" i="1"/>
  <c r="C5931" i="1"/>
  <c r="C5927" i="1"/>
  <c r="C5924" i="1"/>
  <c r="C5921" i="1"/>
  <c r="C5919" i="1"/>
  <c r="C5917" i="1"/>
  <c r="C5914" i="1"/>
  <c r="C5913" i="1"/>
  <c r="C5912" i="1"/>
  <c r="C5909" i="1"/>
  <c r="C5906" i="1"/>
  <c r="C5905" i="1"/>
  <c r="C5904" i="1"/>
  <c r="C5903" i="1"/>
  <c r="C5902" i="1"/>
  <c r="C5901" i="1"/>
  <c r="C5900" i="1"/>
  <c r="C5898" i="1"/>
  <c r="C5897" i="1"/>
  <c r="C5890" i="1"/>
  <c r="C5887" i="1"/>
  <c r="C5886" i="1"/>
  <c r="C5881" i="1"/>
  <c r="C5879" i="1"/>
  <c r="C5875" i="1"/>
  <c r="C5874" i="1"/>
  <c r="C5872" i="1"/>
  <c r="C5869" i="1"/>
  <c r="C5867" i="1"/>
  <c r="C5863" i="1"/>
  <c r="C5862" i="1"/>
  <c r="C5859" i="1"/>
  <c r="C5858" i="1"/>
  <c r="C5856" i="1"/>
  <c r="C5855" i="1"/>
  <c r="C5852" i="1"/>
  <c r="C5851" i="1"/>
  <c r="C5850" i="1"/>
  <c r="C5845" i="1"/>
  <c r="C5844" i="1"/>
  <c r="C5830" i="1"/>
  <c r="C5829" i="1"/>
  <c r="C5825" i="1"/>
  <c r="C5823" i="1"/>
  <c r="C5820" i="1"/>
  <c r="C5818" i="1"/>
  <c r="C5817" i="1"/>
  <c r="C5815" i="1"/>
  <c r="C5813" i="1"/>
  <c r="C5808" i="1"/>
  <c r="C5807" i="1"/>
  <c r="C5806" i="1"/>
  <c r="C5805" i="1"/>
  <c r="C5804" i="1"/>
  <c r="C5802" i="1"/>
  <c r="C5796" i="1"/>
  <c r="C5791" i="1"/>
  <c r="C5788" i="1"/>
  <c r="C5786" i="1"/>
  <c r="C5785" i="1"/>
  <c r="C5781" i="1"/>
  <c r="C5779" i="1"/>
  <c r="C5772" i="1"/>
  <c r="C5770" i="1"/>
  <c r="C5768" i="1"/>
  <c r="C5767" i="1"/>
  <c r="C5766" i="1"/>
  <c r="C5762" i="1"/>
  <c r="C5759" i="1"/>
  <c r="C5751" i="1"/>
  <c r="C5750" i="1"/>
  <c r="C5746" i="1"/>
  <c r="C5741" i="1"/>
  <c r="C5728" i="1"/>
  <c r="C5727" i="1"/>
  <c r="C5726" i="1"/>
  <c r="C5725" i="1"/>
  <c r="C5724" i="1"/>
  <c r="C5723" i="1"/>
  <c r="C5722" i="1"/>
  <c r="C5712" i="1"/>
  <c r="C5707" i="1"/>
  <c r="C5706" i="1"/>
  <c r="C5705" i="1"/>
  <c r="C5699" i="1"/>
  <c r="C5697" i="1"/>
  <c r="C5696" i="1"/>
  <c r="C5695" i="1"/>
  <c r="C5691" i="1"/>
  <c r="C5690" i="1"/>
  <c r="C5689" i="1"/>
  <c r="C5688" i="1"/>
  <c r="C5686" i="1"/>
  <c r="C5685" i="1"/>
  <c r="C5684" i="1"/>
  <c r="C5681" i="1"/>
  <c r="C5680" i="1"/>
  <c r="C5676" i="1"/>
  <c r="C5675" i="1"/>
  <c r="C5669" i="1"/>
  <c r="C5663" i="1"/>
  <c r="C5662" i="1"/>
  <c r="C5658" i="1"/>
  <c r="C5653" i="1"/>
  <c r="C5649" i="1"/>
  <c r="C5647" i="1"/>
  <c r="C5645" i="1"/>
  <c r="C5644" i="1"/>
  <c r="C5643" i="1"/>
  <c r="C5641" i="1"/>
  <c r="C5640" i="1"/>
  <c r="C5639" i="1"/>
  <c r="C5638" i="1"/>
  <c r="C5637" i="1"/>
  <c r="C5635" i="1"/>
  <c r="C5633" i="1"/>
  <c r="C5631" i="1"/>
  <c r="C5629" i="1"/>
  <c r="C5625" i="1"/>
  <c r="C5618" i="1"/>
  <c r="C5610" i="1"/>
  <c r="C5602" i="1"/>
  <c r="C5599" i="1"/>
  <c r="C5595" i="1"/>
  <c r="C5594" i="1"/>
  <c r="C5593" i="1"/>
  <c r="C5592" i="1"/>
  <c r="C5591" i="1"/>
  <c r="C5588" i="1"/>
  <c r="C5587" i="1"/>
  <c r="C5586" i="1"/>
  <c r="C5583" i="1"/>
  <c r="C5582" i="1"/>
  <c r="C5580" i="1"/>
  <c r="C5579" i="1"/>
  <c r="C5578" i="1"/>
  <c r="C5577" i="1"/>
  <c r="C5576" i="1"/>
  <c r="C5575" i="1"/>
  <c r="C5574" i="1"/>
  <c r="C5572" i="1"/>
  <c r="C5571" i="1"/>
  <c r="C5570" i="1"/>
  <c r="C5568" i="1"/>
  <c r="C5567" i="1"/>
  <c r="C5566" i="1"/>
  <c r="C5564" i="1"/>
  <c r="C5563" i="1"/>
  <c r="C5562" i="1"/>
  <c r="C5561" i="1"/>
  <c r="C5560" i="1"/>
  <c r="C5559" i="1"/>
  <c r="C5558" i="1"/>
  <c r="C5551" i="1"/>
  <c r="C5550" i="1"/>
  <c r="C5549" i="1"/>
  <c r="C5545" i="1"/>
  <c r="C5543" i="1"/>
  <c r="C5538" i="1"/>
  <c r="C5537" i="1"/>
  <c r="C5536" i="1"/>
  <c r="C5535" i="1"/>
  <c r="C5534" i="1"/>
  <c r="C5533" i="1"/>
  <c r="C5532" i="1"/>
  <c r="C5531" i="1"/>
  <c r="C5530" i="1"/>
  <c r="C5529" i="1"/>
  <c r="C5526" i="1"/>
  <c r="C5524" i="1"/>
  <c r="C5522" i="1"/>
  <c r="C5521" i="1"/>
  <c r="C5520" i="1"/>
  <c r="C5519" i="1"/>
  <c r="C5518" i="1"/>
  <c r="C5517" i="1"/>
  <c r="C5516" i="1"/>
  <c r="C5515" i="1"/>
  <c r="C5512" i="1"/>
  <c r="C5511" i="1"/>
  <c r="C5510" i="1"/>
  <c r="C5507" i="1"/>
  <c r="C5505" i="1"/>
  <c r="C5500" i="1"/>
  <c r="C5499" i="1"/>
  <c r="C5498" i="1"/>
  <c r="C5497" i="1"/>
  <c r="C5496" i="1"/>
  <c r="C5495" i="1"/>
  <c r="C5493" i="1"/>
  <c r="C5491" i="1"/>
  <c r="C5489" i="1"/>
  <c r="C5488" i="1"/>
  <c r="C5487" i="1"/>
  <c r="C5486" i="1"/>
  <c r="C5485" i="1"/>
  <c r="C5483" i="1"/>
  <c r="C5482" i="1"/>
  <c r="C5480" i="1"/>
  <c r="C5479" i="1"/>
  <c r="C5478" i="1"/>
  <c r="C5477" i="1"/>
  <c r="C5476" i="1"/>
  <c r="C5475" i="1"/>
  <c r="C5474" i="1"/>
  <c r="C5473" i="1"/>
  <c r="C5472" i="1"/>
  <c r="C5470" i="1"/>
  <c r="C5469" i="1"/>
  <c r="C5464" i="1"/>
  <c r="C5463" i="1"/>
  <c r="C5456" i="1"/>
  <c r="C5455" i="1"/>
  <c r="C5454" i="1"/>
  <c r="C5453" i="1"/>
  <c r="C5451" i="1"/>
  <c r="C5443" i="1"/>
  <c r="C5431" i="1"/>
  <c r="C5429" i="1"/>
  <c r="C5423" i="1"/>
  <c r="C5422" i="1"/>
  <c r="C5418" i="1"/>
  <c r="C5414" i="1"/>
  <c r="C5409" i="1"/>
  <c r="C5405" i="1"/>
  <c r="C5404" i="1"/>
  <c r="C5402" i="1"/>
  <c r="C5398" i="1"/>
  <c r="C5392" i="1"/>
  <c r="C5390" i="1"/>
  <c r="C5389" i="1"/>
  <c r="C5387" i="1"/>
  <c r="C5386" i="1"/>
  <c r="C5384" i="1"/>
  <c r="C5383" i="1"/>
  <c r="C5382" i="1"/>
  <c r="C5381" i="1"/>
  <c r="C5379" i="1"/>
  <c r="C5376" i="1"/>
  <c r="C5375" i="1"/>
  <c r="C5371" i="1"/>
  <c r="C5370" i="1"/>
  <c r="C5369" i="1"/>
  <c r="C5368" i="1"/>
  <c r="C5367" i="1"/>
  <c r="C5365" i="1"/>
  <c r="C5364" i="1"/>
  <c r="C5363" i="1"/>
  <c r="C5361" i="1"/>
  <c r="C5359" i="1"/>
  <c r="C5354" i="1"/>
  <c r="C5352" i="1"/>
  <c r="C5350" i="1"/>
  <c r="C5349" i="1"/>
  <c r="C5348" i="1"/>
  <c r="C5347" i="1"/>
  <c r="C5346" i="1"/>
  <c r="C5342" i="1"/>
  <c r="C5341" i="1"/>
  <c r="C5339" i="1"/>
  <c r="C5338" i="1"/>
  <c r="C5336" i="1"/>
  <c r="C5334" i="1"/>
  <c r="C5333" i="1"/>
  <c r="C5330" i="1"/>
  <c r="C5314" i="1"/>
  <c r="C5312" i="1"/>
  <c r="C5309" i="1"/>
  <c r="C5308" i="1"/>
  <c r="C5307" i="1"/>
  <c r="C5306" i="1"/>
  <c r="C5305" i="1"/>
  <c r="C5304" i="1"/>
  <c r="C5302" i="1"/>
  <c r="C5301" i="1"/>
  <c r="C5298" i="1"/>
  <c r="C5291" i="1"/>
  <c r="C5288" i="1"/>
  <c r="C5287" i="1"/>
  <c r="C5286" i="1"/>
  <c r="C5285" i="1"/>
  <c r="C5284" i="1"/>
  <c r="C5281" i="1"/>
  <c r="C5278" i="1"/>
  <c r="C5276" i="1"/>
  <c r="C5274" i="1"/>
  <c r="C5270" i="1"/>
  <c r="C5269" i="1"/>
  <c r="C5267" i="1"/>
  <c r="C5263" i="1"/>
  <c r="C5262" i="1"/>
  <c r="C5261" i="1"/>
  <c r="C5254" i="1"/>
  <c r="C5253" i="1"/>
  <c r="C5252" i="1"/>
  <c r="C5251" i="1"/>
  <c r="C5249" i="1"/>
  <c r="C5248" i="1"/>
  <c r="C5247" i="1"/>
  <c r="C5241" i="1"/>
  <c r="C5240" i="1"/>
  <c r="C5239" i="1"/>
  <c r="C5235" i="1"/>
  <c r="C5232" i="1"/>
  <c r="C5230" i="1"/>
  <c r="C5229" i="1"/>
  <c r="C5228" i="1"/>
  <c r="C5227" i="1"/>
  <c r="C5226" i="1"/>
  <c r="C5225" i="1"/>
  <c r="C5222" i="1"/>
  <c r="C5218" i="1"/>
  <c r="C5214" i="1"/>
  <c r="C5213" i="1"/>
  <c r="C5212" i="1"/>
  <c r="C5211" i="1"/>
  <c r="C5210" i="1"/>
  <c r="C5209" i="1"/>
  <c r="C5208" i="1"/>
  <c r="C5206" i="1"/>
  <c r="C5204" i="1"/>
  <c r="C5203" i="1"/>
  <c r="C5202" i="1"/>
  <c r="C5201" i="1"/>
  <c r="C5197" i="1"/>
  <c r="C5194" i="1"/>
  <c r="C5188" i="1"/>
  <c r="C5183" i="1"/>
  <c r="C5177" i="1"/>
  <c r="C5176" i="1"/>
  <c r="C5175" i="1"/>
  <c r="C5168" i="1"/>
  <c r="C5166" i="1"/>
  <c r="C5165" i="1"/>
  <c r="C5164" i="1"/>
  <c r="C5163" i="1"/>
  <c r="C5162" i="1"/>
  <c r="C5161" i="1"/>
  <c r="C5160" i="1"/>
  <c r="C5159" i="1"/>
  <c r="C5156" i="1"/>
  <c r="C5147" i="1"/>
  <c r="C5139" i="1"/>
  <c r="C5135" i="1"/>
  <c r="C5134" i="1"/>
  <c r="C5125" i="1"/>
  <c r="C5124" i="1"/>
  <c r="C5123" i="1"/>
  <c r="C5122" i="1"/>
  <c r="C5121" i="1"/>
  <c r="C5118" i="1"/>
  <c r="C5101" i="1"/>
  <c r="C5100" i="1"/>
  <c r="C5097" i="1"/>
  <c r="C5096" i="1"/>
  <c r="C5085" i="1"/>
  <c r="C5084" i="1"/>
  <c r="C5076" i="1"/>
  <c r="C5075" i="1"/>
  <c r="C5074" i="1"/>
  <c r="C5071" i="1"/>
  <c r="C5070" i="1"/>
  <c r="C5069" i="1"/>
  <c r="C5068" i="1"/>
  <c r="C5067" i="1"/>
  <c r="C5065" i="1"/>
  <c r="C5064" i="1"/>
  <c r="C5063" i="1"/>
  <c r="C5061" i="1"/>
  <c r="C5060" i="1"/>
  <c r="C5057" i="1"/>
  <c r="C5056" i="1"/>
  <c r="C5054" i="1"/>
  <c r="C5052" i="1"/>
  <c r="C5051" i="1"/>
  <c r="C5050" i="1"/>
  <c r="C5047" i="1"/>
  <c r="C5043" i="1"/>
  <c r="C5032" i="1"/>
  <c r="C5031" i="1"/>
  <c r="C5026" i="1"/>
  <c r="C5022" i="1"/>
  <c r="C5021" i="1"/>
  <c r="C5020" i="1"/>
  <c r="C5018" i="1"/>
  <c r="C5017" i="1"/>
  <c r="C5015" i="1"/>
  <c r="C5014" i="1"/>
  <c r="C5013" i="1"/>
  <c r="C5012" i="1"/>
  <c r="C5011" i="1"/>
  <c r="C5010" i="1"/>
  <c r="C5009" i="1"/>
  <c r="C5008" i="1"/>
  <c r="C5007" i="1"/>
  <c r="C5004" i="1"/>
  <c r="C5003" i="1"/>
  <c r="C5002" i="1"/>
  <c r="C5001" i="1"/>
  <c r="C5000" i="1"/>
  <c r="C4999" i="1"/>
  <c r="C4997" i="1"/>
  <c r="C4996" i="1"/>
  <c r="C4995" i="1"/>
  <c r="C4994" i="1"/>
  <c r="C4991" i="1"/>
  <c r="C4990" i="1"/>
  <c r="C4988" i="1"/>
  <c r="C4987" i="1"/>
  <c r="C4986" i="1"/>
  <c r="C4985" i="1"/>
  <c r="C4984" i="1"/>
  <c r="C4983" i="1"/>
  <c r="C4982" i="1"/>
  <c r="C4981" i="1"/>
  <c r="C4979" i="1"/>
  <c r="C4976" i="1"/>
  <c r="C4973" i="1"/>
  <c r="C4971" i="1"/>
  <c r="C4970" i="1"/>
  <c r="C4967" i="1"/>
  <c r="C4966" i="1"/>
  <c r="C4963" i="1"/>
  <c r="C4956" i="1"/>
  <c r="C4955" i="1"/>
  <c r="C4952" i="1"/>
  <c r="C4936" i="1"/>
  <c r="C4929" i="1"/>
  <c r="C4926" i="1"/>
  <c r="C4925" i="1"/>
  <c r="C4924" i="1"/>
  <c r="C4920" i="1"/>
  <c r="C4919" i="1"/>
  <c r="C4915" i="1"/>
  <c r="C4911" i="1"/>
  <c r="C4908" i="1"/>
  <c r="C4906" i="1"/>
  <c r="C4903" i="1"/>
  <c r="C4902" i="1"/>
  <c r="C4901" i="1"/>
  <c r="C4900" i="1"/>
  <c r="C4899" i="1"/>
  <c r="C4898" i="1"/>
  <c r="C4897" i="1"/>
  <c r="C4896" i="1"/>
  <c r="C4894" i="1"/>
  <c r="C4892" i="1"/>
  <c r="C4889" i="1"/>
  <c r="C4883" i="1"/>
  <c r="C4881" i="1"/>
  <c r="C4873" i="1"/>
  <c r="C4870" i="1"/>
  <c r="C4867" i="1"/>
  <c r="C4866" i="1"/>
  <c r="C4865" i="1"/>
  <c r="C4855" i="1"/>
  <c r="C4850" i="1"/>
  <c r="C4849" i="1"/>
  <c r="C4844" i="1"/>
  <c r="C4842" i="1"/>
  <c r="C4840" i="1"/>
  <c r="C4835" i="1"/>
  <c r="C4834" i="1"/>
  <c r="C4829" i="1"/>
  <c r="C4821" i="1"/>
  <c r="C4815" i="1"/>
  <c r="C4813" i="1"/>
  <c r="C4812" i="1"/>
  <c r="C4809" i="1"/>
  <c r="C4807" i="1"/>
  <c r="C4806" i="1"/>
  <c r="C4805" i="1"/>
  <c r="C4797" i="1"/>
  <c r="C4795" i="1"/>
  <c r="C4794" i="1"/>
  <c r="C4793" i="1"/>
  <c r="C4792" i="1"/>
  <c r="C4791" i="1"/>
  <c r="C4790" i="1"/>
  <c r="C4789" i="1"/>
  <c r="C4787" i="1"/>
  <c r="C4786" i="1"/>
  <c r="C4785" i="1"/>
  <c r="C4783" i="1"/>
  <c r="C4782" i="1"/>
  <c r="C4781" i="1"/>
  <c r="C4780" i="1"/>
  <c r="C4779" i="1"/>
  <c r="C4776" i="1"/>
  <c r="C4769" i="1"/>
  <c r="C4766" i="1"/>
  <c r="C4763" i="1"/>
  <c r="C4762" i="1"/>
  <c r="C4759" i="1"/>
  <c r="C4757" i="1"/>
  <c r="C4755" i="1"/>
  <c r="C4752" i="1"/>
  <c r="C4742" i="1"/>
  <c r="C4740" i="1"/>
  <c r="C4739" i="1"/>
  <c r="C4735" i="1"/>
  <c r="C4734" i="1"/>
  <c r="C4723" i="1"/>
  <c r="C4721" i="1"/>
  <c r="C4719" i="1"/>
  <c r="C4718" i="1"/>
  <c r="C4717" i="1"/>
  <c r="C4714" i="1"/>
  <c r="C4711" i="1"/>
  <c r="C4710" i="1"/>
  <c r="C4708" i="1"/>
  <c r="C4699" i="1"/>
  <c r="C4697" i="1"/>
  <c r="C4696" i="1"/>
  <c r="C4694" i="1"/>
  <c r="C4692" i="1"/>
  <c r="C4679" i="1"/>
  <c r="C4677" i="1"/>
  <c r="C4676" i="1"/>
  <c r="C4668" i="1"/>
  <c r="C4656" i="1"/>
  <c r="C4653" i="1"/>
  <c r="C4645" i="1"/>
  <c r="C4637" i="1"/>
  <c r="C4632" i="1"/>
  <c r="C4629" i="1"/>
  <c r="C4626" i="1"/>
  <c r="C4621" i="1"/>
  <c r="C4620" i="1"/>
  <c r="C4608" i="1"/>
  <c r="C4607" i="1"/>
  <c r="C4606" i="1"/>
  <c r="C4602" i="1"/>
  <c r="C4599" i="1"/>
  <c r="C4595" i="1"/>
  <c r="C4594" i="1"/>
  <c r="C4593" i="1"/>
  <c r="C4592" i="1"/>
  <c r="C4587" i="1"/>
  <c r="C4586" i="1"/>
  <c r="C4584" i="1"/>
  <c r="C4583" i="1"/>
  <c r="C4580" i="1"/>
  <c r="C4576" i="1"/>
  <c r="C4571" i="1"/>
  <c r="C4570" i="1"/>
  <c r="C4568" i="1"/>
  <c r="C4567" i="1"/>
  <c r="C4566" i="1"/>
  <c r="C4565" i="1"/>
  <c r="C4564" i="1"/>
  <c r="C4563" i="1"/>
  <c r="C4562" i="1"/>
  <c r="C4561" i="1"/>
  <c r="C4560" i="1"/>
  <c r="C4556" i="1"/>
  <c r="C4555" i="1"/>
  <c r="C4550" i="1"/>
  <c r="C4548" i="1"/>
  <c r="C4547" i="1"/>
  <c r="C4546" i="1"/>
  <c r="C4545" i="1"/>
  <c r="C4544" i="1"/>
  <c r="C4542" i="1"/>
  <c r="C4540" i="1"/>
  <c r="C4535" i="1"/>
  <c r="C4534" i="1"/>
  <c r="C4528" i="1"/>
  <c r="C4523" i="1"/>
  <c r="C4521" i="1"/>
  <c r="C4520" i="1"/>
  <c r="C4516" i="1"/>
  <c r="C4515" i="1"/>
  <c r="C4514" i="1"/>
  <c r="C4513" i="1"/>
  <c r="C4512" i="1"/>
  <c r="C4508" i="1"/>
  <c r="C4507" i="1"/>
  <c r="C4506" i="1"/>
  <c r="C4505" i="1"/>
  <c r="C4499" i="1"/>
  <c r="C4498" i="1"/>
  <c r="C4497" i="1"/>
  <c r="C4496" i="1"/>
  <c r="C4495" i="1"/>
  <c r="C4491" i="1"/>
  <c r="C4477" i="1"/>
  <c r="C4476" i="1"/>
  <c r="C4475" i="1"/>
  <c r="C4473" i="1"/>
  <c r="C4464" i="1"/>
  <c r="C4458" i="1"/>
  <c r="C4455" i="1"/>
  <c r="C4454" i="1"/>
  <c r="C4445" i="1"/>
  <c r="C4442" i="1"/>
  <c r="C4441" i="1"/>
  <c r="C4440" i="1"/>
  <c r="C4433" i="1"/>
  <c r="C4432" i="1"/>
  <c r="C4430" i="1"/>
  <c r="C4429" i="1"/>
  <c r="C4420" i="1"/>
  <c r="C4418" i="1"/>
  <c r="C4415" i="1"/>
  <c r="C4405" i="1"/>
  <c r="C4397" i="1"/>
  <c r="C4396" i="1"/>
  <c r="C4395" i="1"/>
  <c r="C4393" i="1"/>
  <c r="C4392" i="1"/>
  <c r="C4391" i="1"/>
  <c r="C4388" i="1"/>
  <c r="C4383" i="1"/>
  <c r="C4374" i="1"/>
  <c r="C4369" i="1"/>
  <c r="C4367" i="1"/>
  <c r="C4364" i="1"/>
  <c r="C4363" i="1"/>
  <c r="C4358" i="1"/>
  <c r="C4355" i="1"/>
  <c r="C4354" i="1"/>
  <c r="C4351" i="1"/>
  <c r="C4343" i="1"/>
  <c r="C4340" i="1"/>
  <c r="C4339" i="1"/>
  <c r="C4335" i="1"/>
  <c r="C4334" i="1"/>
  <c r="C4331" i="1"/>
  <c r="C4329" i="1"/>
  <c r="C4328" i="1"/>
  <c r="C4327" i="1"/>
  <c r="C4326" i="1"/>
  <c r="C4322" i="1"/>
  <c r="C4319" i="1"/>
  <c r="C4315" i="1"/>
  <c r="C4310" i="1"/>
  <c r="C4308" i="1"/>
  <c r="C4303" i="1"/>
  <c r="C4302" i="1"/>
  <c r="C4299" i="1"/>
  <c r="C4296" i="1"/>
  <c r="C4295" i="1"/>
  <c r="C4293" i="1"/>
  <c r="C4292" i="1"/>
  <c r="C4291" i="1"/>
  <c r="C4290" i="1"/>
  <c r="C4289" i="1"/>
  <c r="C4287" i="1"/>
  <c r="C4285" i="1"/>
  <c r="C4276" i="1"/>
  <c r="C4275" i="1"/>
  <c r="C4273" i="1"/>
  <c r="C4272" i="1"/>
  <c r="C4267" i="1"/>
  <c r="C4266" i="1"/>
  <c r="C4265" i="1"/>
  <c r="C4263" i="1"/>
  <c r="C4259" i="1"/>
  <c r="C4256" i="1"/>
  <c r="C4253" i="1"/>
  <c r="C4245" i="1"/>
  <c r="C4240" i="1"/>
  <c r="C4239" i="1"/>
  <c r="C4236" i="1"/>
  <c r="C4234" i="1"/>
  <c r="C4231" i="1"/>
  <c r="C4230" i="1"/>
  <c r="C4228" i="1"/>
  <c r="C4225" i="1"/>
  <c r="C4220" i="1"/>
  <c r="C4218" i="1"/>
  <c r="C4207" i="1"/>
  <c r="C4204" i="1"/>
  <c r="C4202" i="1"/>
  <c r="C4201" i="1"/>
  <c r="C4200" i="1"/>
  <c r="C4199" i="1"/>
  <c r="C4198" i="1"/>
  <c r="C4197" i="1"/>
  <c r="C4194" i="1"/>
  <c r="C4193" i="1"/>
  <c r="C4192" i="1"/>
  <c r="C4191" i="1"/>
  <c r="C4189" i="1"/>
  <c r="C4188" i="1"/>
  <c r="C4184" i="1"/>
  <c r="C4183" i="1"/>
  <c r="C4182" i="1"/>
  <c r="C4181" i="1"/>
  <c r="C4180" i="1"/>
  <c r="C4178" i="1"/>
  <c r="C4175" i="1"/>
  <c r="C4174" i="1"/>
  <c r="C4173" i="1"/>
  <c r="C4171" i="1"/>
  <c r="C4170" i="1"/>
  <c r="C4156" i="1"/>
  <c r="C4153" i="1"/>
  <c r="C4152" i="1"/>
  <c r="C4150" i="1"/>
  <c r="C4143" i="1"/>
  <c r="C4136" i="1"/>
  <c r="C4133" i="1"/>
  <c r="C4129" i="1"/>
  <c r="C4124" i="1"/>
  <c r="C4117" i="1"/>
  <c r="C4102" i="1"/>
  <c r="C4101" i="1"/>
  <c r="C4100" i="1"/>
  <c r="C4096" i="1"/>
  <c r="C4094" i="1"/>
  <c r="C4092" i="1"/>
  <c r="C4091" i="1"/>
  <c r="C4088" i="1"/>
  <c r="C4086" i="1"/>
  <c r="C4085" i="1"/>
  <c r="C4084" i="1"/>
  <c r="C4082" i="1"/>
  <c r="C4074" i="1"/>
  <c r="C4073" i="1"/>
  <c r="C4072" i="1"/>
  <c r="C4066" i="1"/>
  <c r="C4065" i="1"/>
  <c r="C4064" i="1"/>
  <c r="C4063" i="1"/>
  <c r="C4062" i="1"/>
  <c r="C4046" i="1"/>
  <c r="C4043" i="1"/>
  <c r="C4038" i="1"/>
  <c r="C4037" i="1"/>
  <c r="C4032" i="1"/>
  <c r="C4031" i="1"/>
  <c r="C4030" i="1"/>
  <c r="C4026" i="1"/>
  <c r="C4022" i="1"/>
  <c r="C4021" i="1"/>
  <c r="C4020" i="1"/>
  <c r="C4018" i="1"/>
  <c r="C4016" i="1"/>
  <c r="C4015" i="1"/>
  <c r="C4014" i="1"/>
  <c r="C4013" i="1"/>
  <c r="C4007" i="1"/>
  <c r="C4004" i="1"/>
  <c r="C4003" i="1"/>
  <c r="C4002" i="1"/>
  <c r="C4001" i="1"/>
  <c r="C4000" i="1"/>
  <c r="C3997" i="1"/>
  <c r="C3992" i="1"/>
  <c r="C3990" i="1"/>
  <c r="C3988" i="1"/>
  <c r="C3987" i="1"/>
  <c r="C3984" i="1"/>
  <c r="C3981" i="1"/>
  <c r="C3975" i="1"/>
  <c r="C3974" i="1"/>
  <c r="C3972" i="1"/>
  <c r="C3971" i="1"/>
  <c r="C3970" i="1"/>
  <c r="C3969" i="1"/>
  <c r="C3968" i="1"/>
  <c r="C3967" i="1"/>
  <c r="C3966" i="1"/>
  <c r="C3963" i="1"/>
  <c r="C3960" i="1"/>
  <c r="C3954" i="1"/>
  <c r="C3952" i="1"/>
  <c r="C3950" i="1"/>
  <c r="C3946" i="1"/>
  <c r="C3944" i="1"/>
  <c r="C3943" i="1"/>
  <c r="C3942" i="1"/>
  <c r="C3939" i="1"/>
  <c r="C3938" i="1"/>
  <c r="C3937" i="1"/>
  <c r="C3936" i="1"/>
  <c r="C3935" i="1"/>
  <c r="C3934" i="1"/>
  <c r="C3921" i="1"/>
  <c r="C3920" i="1"/>
  <c r="C3918" i="1"/>
  <c r="C3901" i="1"/>
  <c r="C3900" i="1"/>
  <c r="C3899" i="1"/>
  <c r="C3898" i="1"/>
  <c r="C3897" i="1"/>
  <c r="C3894" i="1"/>
  <c r="C3893" i="1"/>
  <c r="C3891" i="1"/>
  <c r="C3884" i="1"/>
  <c r="C3880" i="1"/>
  <c r="C3878" i="1"/>
  <c r="C3875" i="1"/>
  <c r="C3874" i="1"/>
  <c r="C3873" i="1"/>
  <c r="C3871" i="1"/>
  <c r="C3870" i="1"/>
  <c r="C3869" i="1"/>
  <c r="C3868" i="1"/>
  <c r="C3867" i="1"/>
  <c r="C3865" i="1"/>
  <c r="C3862" i="1"/>
  <c r="C3861" i="1"/>
  <c r="C3860" i="1"/>
  <c r="C3859" i="1"/>
  <c r="C3858" i="1"/>
  <c r="C3857" i="1"/>
  <c r="C3856" i="1"/>
  <c r="C3854" i="1"/>
  <c r="C3853" i="1"/>
  <c r="C3849" i="1"/>
  <c r="C3848" i="1"/>
  <c r="C3847" i="1"/>
  <c r="C3846" i="1"/>
  <c r="C3844" i="1"/>
  <c r="C3842" i="1"/>
  <c r="C3841" i="1"/>
  <c r="C3838" i="1"/>
  <c r="C3837" i="1"/>
  <c r="C3834" i="1"/>
  <c r="C3832" i="1"/>
  <c r="C3831" i="1"/>
  <c r="C3829" i="1"/>
  <c r="C3825" i="1"/>
  <c r="C3823" i="1"/>
  <c r="C3822" i="1"/>
  <c r="C3820" i="1"/>
  <c r="C3819" i="1"/>
  <c r="C3818" i="1"/>
  <c r="C3814" i="1"/>
  <c r="C3813" i="1"/>
  <c r="C3812" i="1"/>
  <c r="C3811" i="1"/>
  <c r="C3809" i="1"/>
  <c r="C3808" i="1"/>
  <c r="C3805" i="1"/>
  <c r="C3803" i="1"/>
  <c r="C3795" i="1"/>
  <c r="C3791" i="1"/>
  <c r="C3788" i="1"/>
  <c r="C3785" i="1"/>
  <c r="C3783" i="1"/>
  <c r="C3780" i="1"/>
  <c r="C3777" i="1"/>
  <c r="C3775" i="1"/>
  <c r="C3774" i="1"/>
  <c r="C3773" i="1"/>
  <c r="C3766" i="1"/>
  <c r="C3754" i="1"/>
  <c r="C3753" i="1"/>
  <c r="C3750" i="1"/>
  <c r="C3749" i="1"/>
  <c r="C3748" i="1"/>
  <c r="C3747" i="1"/>
  <c r="C3746" i="1"/>
  <c r="C3745" i="1"/>
  <c r="C3744" i="1"/>
  <c r="C3743" i="1"/>
  <c r="C3742" i="1"/>
  <c r="C3741" i="1"/>
  <c r="C3739" i="1"/>
  <c r="C3736" i="1"/>
  <c r="C3731" i="1"/>
  <c r="C3730" i="1"/>
  <c r="C3729" i="1"/>
  <c r="C3727" i="1"/>
  <c r="C3725" i="1"/>
  <c r="C3723" i="1"/>
  <c r="C3722" i="1"/>
  <c r="C3719" i="1"/>
  <c r="C3718" i="1"/>
  <c r="C3714" i="1"/>
  <c r="C3706" i="1"/>
  <c r="C3705" i="1"/>
  <c r="C3704" i="1"/>
  <c r="C3703" i="1"/>
  <c r="C3702" i="1"/>
  <c r="C3701" i="1"/>
  <c r="C3700" i="1"/>
  <c r="C3699" i="1"/>
  <c r="C3698" i="1"/>
  <c r="C3697" i="1"/>
  <c r="C3696" i="1"/>
  <c r="C3695" i="1"/>
  <c r="C3694" i="1"/>
  <c r="C3693" i="1"/>
  <c r="C3692" i="1"/>
  <c r="C3691" i="1"/>
  <c r="C3690" i="1"/>
  <c r="C3686" i="1"/>
  <c r="C3679" i="1"/>
  <c r="C3676" i="1"/>
  <c r="C3675" i="1"/>
  <c r="C3674" i="1"/>
  <c r="C3670" i="1"/>
  <c r="C3669" i="1"/>
  <c r="C3667" i="1"/>
  <c r="C3665" i="1"/>
  <c r="C3656" i="1"/>
  <c r="C3652" i="1"/>
  <c r="C3651" i="1"/>
  <c r="C3644" i="1"/>
  <c r="C3640" i="1"/>
  <c r="C3639" i="1"/>
  <c r="C3635" i="1"/>
  <c r="C3632" i="1"/>
  <c r="C3631" i="1"/>
  <c r="C3629" i="1"/>
  <c r="C3626" i="1"/>
  <c r="C3625" i="1"/>
  <c r="C3621" i="1"/>
  <c r="C3618" i="1"/>
  <c r="C3617" i="1"/>
  <c r="C3616" i="1"/>
  <c r="C3615" i="1"/>
  <c r="C3614" i="1"/>
  <c r="C3613" i="1"/>
  <c r="C3601" i="1"/>
  <c r="C3598" i="1"/>
  <c r="C3597" i="1"/>
  <c r="C3595" i="1"/>
  <c r="C3591" i="1"/>
  <c r="C3590" i="1"/>
  <c r="C3582" i="1"/>
  <c r="C3579" i="1"/>
  <c r="C3576" i="1"/>
  <c r="C3571" i="1"/>
  <c r="C3569" i="1"/>
  <c r="C3568" i="1"/>
  <c r="C3567" i="1"/>
  <c r="C3566" i="1"/>
  <c r="C3565" i="1"/>
  <c r="C3563" i="1"/>
  <c r="C3562" i="1"/>
  <c r="C3561" i="1"/>
  <c r="C3560" i="1"/>
  <c r="C3559" i="1"/>
  <c r="C3558" i="1"/>
  <c r="C3550" i="1"/>
  <c r="C3549" i="1"/>
  <c r="C3548" i="1"/>
  <c r="C3547" i="1"/>
  <c r="C3538" i="1"/>
  <c r="C3533" i="1"/>
  <c r="C3529" i="1"/>
  <c r="C3526" i="1"/>
  <c r="C3520" i="1"/>
  <c r="C3519" i="1"/>
  <c r="C3510" i="1"/>
  <c r="C3509" i="1"/>
  <c r="C3508" i="1"/>
  <c r="C3506" i="1"/>
  <c r="C3505" i="1"/>
  <c r="C3503" i="1"/>
  <c r="C3502" i="1"/>
  <c r="C3500" i="1"/>
  <c r="C3484" i="1"/>
  <c r="C3483" i="1"/>
  <c r="C3478" i="1"/>
  <c r="C3477" i="1"/>
  <c r="C3474" i="1"/>
  <c r="C3464" i="1"/>
  <c r="C3459" i="1"/>
  <c r="C3455" i="1"/>
  <c r="C3452" i="1"/>
  <c r="C3451" i="1"/>
  <c r="C3450" i="1"/>
  <c r="C3448" i="1"/>
  <c r="C3446" i="1"/>
  <c r="C3442" i="1"/>
  <c r="C3441" i="1"/>
  <c r="C3426" i="1"/>
  <c r="C3423" i="1"/>
  <c r="C3420" i="1"/>
  <c r="C3416" i="1"/>
  <c r="C3413" i="1"/>
  <c r="C3412" i="1"/>
  <c r="C3410" i="1"/>
  <c r="C3409" i="1"/>
  <c r="C3407" i="1"/>
  <c r="C3406" i="1"/>
  <c r="C3395" i="1"/>
  <c r="C3394" i="1"/>
  <c r="C3393" i="1"/>
  <c r="C3391" i="1"/>
  <c r="C3390" i="1"/>
  <c r="C3388" i="1"/>
  <c r="C3385" i="1"/>
  <c r="C3383" i="1"/>
  <c r="C3382" i="1"/>
  <c r="C3381" i="1"/>
  <c r="C3380" i="1"/>
  <c r="C3379" i="1"/>
  <c r="C3374" i="1"/>
  <c r="C3371" i="1"/>
  <c r="C3370" i="1"/>
  <c r="C3369" i="1"/>
  <c r="C3368" i="1"/>
  <c r="C3367" i="1"/>
  <c r="C3365" i="1"/>
  <c r="C3362" i="1"/>
  <c r="C3361" i="1"/>
  <c r="C3359" i="1"/>
  <c r="C3355" i="1"/>
  <c r="C3352" i="1"/>
  <c r="C3351" i="1"/>
  <c r="C3350" i="1"/>
  <c r="C3348" i="1"/>
  <c r="C3346" i="1"/>
  <c r="C3343" i="1"/>
  <c r="C3342" i="1"/>
  <c r="C3341" i="1"/>
  <c r="C3340" i="1"/>
  <c r="C3338" i="1"/>
  <c r="C3322" i="1"/>
  <c r="C3321" i="1"/>
  <c r="C3320" i="1"/>
  <c r="C3319" i="1"/>
  <c r="C3313" i="1"/>
  <c r="C3312" i="1"/>
  <c r="C3309" i="1"/>
  <c r="C3308" i="1"/>
  <c r="C3307" i="1"/>
  <c r="C3296" i="1"/>
  <c r="C3292" i="1"/>
  <c r="C3291" i="1"/>
  <c r="C3289" i="1"/>
  <c r="C3284" i="1"/>
  <c r="C3282" i="1"/>
  <c r="C3281" i="1"/>
  <c r="C3276" i="1"/>
  <c r="C3274" i="1"/>
  <c r="C3266" i="1"/>
  <c r="C3260" i="1"/>
  <c r="C3258" i="1"/>
  <c r="C3257" i="1"/>
  <c r="C3256" i="1"/>
  <c r="C3255" i="1"/>
  <c r="C3241" i="1"/>
  <c r="C3239" i="1"/>
  <c r="C3237" i="1"/>
  <c r="C3233" i="1"/>
  <c r="C3231" i="1"/>
  <c r="C3227" i="1"/>
  <c r="C3226" i="1"/>
  <c r="C3218" i="1"/>
  <c r="C3217" i="1"/>
  <c r="C3216" i="1"/>
  <c r="C3214" i="1"/>
  <c r="C3212" i="1"/>
  <c r="C3211" i="1"/>
  <c r="C3210" i="1"/>
  <c r="C3206" i="1"/>
  <c r="C3205" i="1"/>
  <c r="C3204" i="1"/>
  <c r="C3203" i="1"/>
  <c r="C3202" i="1"/>
  <c r="C3201" i="1"/>
  <c r="C3198" i="1"/>
  <c r="C3193" i="1"/>
  <c r="C3191" i="1"/>
  <c r="C3190" i="1"/>
  <c r="C3189" i="1"/>
  <c r="C3186" i="1"/>
  <c r="C3184" i="1"/>
  <c r="C3183" i="1"/>
  <c r="C3181" i="1"/>
  <c r="C3180" i="1"/>
  <c r="C3179" i="1"/>
  <c r="C3176" i="1"/>
  <c r="C3175" i="1"/>
  <c r="C3173" i="1"/>
  <c r="C3169" i="1"/>
  <c r="C3165" i="1"/>
  <c r="C3164" i="1"/>
  <c r="C3152" i="1"/>
  <c r="C3147" i="1"/>
  <c r="C3146" i="1"/>
  <c r="C3145" i="1"/>
  <c r="C3144" i="1"/>
  <c r="C3142" i="1"/>
  <c r="C3139" i="1"/>
  <c r="C3138" i="1"/>
  <c r="C3134" i="1"/>
  <c r="C3133" i="1"/>
  <c r="C3132" i="1"/>
  <c r="C3131" i="1"/>
  <c r="C3130" i="1"/>
  <c r="C3129" i="1"/>
  <c r="C3128" i="1"/>
  <c r="C3127" i="1"/>
  <c r="C3126" i="1"/>
  <c r="C3124" i="1"/>
  <c r="C3116" i="1"/>
  <c r="C3114" i="1"/>
  <c r="C3113" i="1"/>
  <c r="C3110" i="1"/>
  <c r="C3109" i="1"/>
  <c r="C3108" i="1"/>
  <c r="C3107" i="1"/>
  <c r="C3105" i="1"/>
  <c r="C3104" i="1"/>
  <c r="C3103" i="1"/>
  <c r="C3102" i="1"/>
  <c r="C3100" i="1"/>
  <c r="C3099" i="1"/>
  <c r="C3098" i="1"/>
  <c r="C3097" i="1"/>
  <c r="C3096" i="1"/>
  <c r="C3094" i="1"/>
  <c r="C3093" i="1"/>
  <c r="C3091" i="1"/>
  <c r="C3085" i="1"/>
  <c r="C3084" i="1"/>
  <c r="C3076" i="1"/>
  <c r="C3068" i="1"/>
  <c r="C3067" i="1"/>
  <c r="C3064" i="1"/>
  <c r="C3063" i="1"/>
  <c r="C3062" i="1"/>
  <c r="C3061" i="1"/>
  <c r="C3060" i="1"/>
  <c r="C3059" i="1"/>
  <c r="C3058" i="1"/>
  <c r="C3056" i="1"/>
  <c r="C3055" i="1"/>
  <c r="C3054" i="1"/>
  <c r="C3051" i="1"/>
  <c r="C3050" i="1"/>
  <c r="C3049" i="1"/>
  <c r="C3048" i="1"/>
  <c r="C3047" i="1"/>
  <c r="C3044" i="1"/>
  <c r="C3043" i="1"/>
  <c r="C3041" i="1"/>
  <c r="C3040" i="1"/>
  <c r="C3039" i="1"/>
  <c r="C3037" i="1"/>
  <c r="C3035" i="1"/>
  <c r="C3032" i="1"/>
  <c r="C3031" i="1"/>
  <c r="C3030" i="1"/>
  <c r="C3029" i="1"/>
  <c r="C3018" i="1"/>
  <c r="C3016" i="1"/>
  <c r="C3015" i="1"/>
  <c r="C3013" i="1"/>
  <c r="C3012" i="1"/>
  <c r="C3009" i="1"/>
  <c r="C3008" i="1"/>
  <c r="C3007" i="1"/>
  <c r="C3005" i="1"/>
  <c r="C3003" i="1"/>
  <c r="C3002" i="1"/>
  <c r="C3001" i="1"/>
  <c r="C3000" i="1"/>
  <c r="C2999" i="1"/>
  <c r="C2998" i="1"/>
  <c r="C2997" i="1"/>
  <c r="C2992" i="1"/>
  <c r="C2990" i="1"/>
  <c r="C2988" i="1"/>
  <c r="C2978" i="1"/>
  <c r="C2977" i="1"/>
  <c r="C2975" i="1"/>
  <c r="C2974" i="1"/>
  <c r="C2973" i="1"/>
  <c r="C2972" i="1"/>
  <c r="C2971" i="1"/>
  <c r="C2970" i="1"/>
  <c r="C2967" i="1"/>
  <c r="C2965" i="1"/>
  <c r="C2964" i="1"/>
  <c r="C2963" i="1"/>
  <c r="C2960" i="1"/>
  <c r="C2957" i="1"/>
  <c r="C2954" i="1"/>
  <c r="C2950" i="1"/>
  <c r="C2949" i="1"/>
  <c r="C2944" i="1"/>
  <c r="C2943" i="1"/>
  <c r="C2941" i="1"/>
  <c r="C2931" i="1"/>
  <c r="C2930" i="1"/>
  <c r="C2929" i="1"/>
  <c r="C2928" i="1"/>
  <c r="C2927" i="1"/>
  <c r="C2926" i="1"/>
  <c r="C2925" i="1"/>
  <c r="C2924" i="1"/>
  <c r="C2921" i="1"/>
  <c r="C2919" i="1"/>
  <c r="C2917" i="1"/>
  <c r="C2915" i="1"/>
  <c r="C2914" i="1"/>
  <c r="C2912" i="1"/>
  <c r="C2905" i="1"/>
  <c r="C2901" i="1"/>
  <c r="C2900" i="1"/>
  <c r="C2890" i="1"/>
  <c r="C2888" i="1"/>
  <c r="C2886" i="1"/>
  <c r="C2883" i="1"/>
  <c r="C2882" i="1"/>
  <c r="C2881" i="1"/>
  <c r="C2880" i="1"/>
  <c r="C2879" i="1"/>
  <c r="C2878" i="1"/>
  <c r="C2877" i="1"/>
  <c r="C2874" i="1"/>
  <c r="C2868" i="1"/>
  <c r="C2867" i="1"/>
  <c r="C2866" i="1"/>
  <c r="C2864" i="1"/>
  <c r="C2861" i="1"/>
  <c r="C2859" i="1"/>
  <c r="C2858" i="1"/>
  <c r="C2850" i="1"/>
  <c r="C2845" i="1"/>
  <c r="C2844" i="1"/>
  <c r="C2839" i="1"/>
  <c r="C2837" i="1"/>
  <c r="C2836" i="1"/>
  <c r="C2835" i="1"/>
  <c r="C2834" i="1"/>
  <c r="C2833" i="1"/>
  <c r="C2832" i="1"/>
  <c r="C2823" i="1"/>
  <c r="C2818" i="1"/>
  <c r="C2816" i="1"/>
  <c r="C2815" i="1"/>
  <c r="C2814" i="1"/>
  <c r="C2812" i="1"/>
  <c r="C2811" i="1"/>
  <c r="C2809" i="1"/>
  <c r="C2806" i="1"/>
  <c r="C2803" i="1"/>
  <c r="C2802" i="1"/>
  <c r="C2801" i="1"/>
  <c r="C2799" i="1"/>
  <c r="C2797" i="1"/>
  <c r="C2796" i="1"/>
  <c r="C2794" i="1"/>
  <c r="C2792" i="1"/>
  <c r="C2785" i="1"/>
  <c r="C2781" i="1"/>
  <c r="C2777" i="1"/>
  <c r="C2776" i="1"/>
  <c r="C2767" i="1"/>
  <c r="C2764" i="1"/>
  <c r="C2763" i="1"/>
  <c r="C2756" i="1"/>
  <c r="C2755" i="1"/>
  <c r="C2753" i="1"/>
  <c r="C2748" i="1"/>
  <c r="C2746" i="1"/>
  <c r="C2744" i="1"/>
  <c r="C2743" i="1"/>
  <c r="C2741" i="1"/>
  <c r="C2740" i="1"/>
  <c r="C2739" i="1"/>
  <c r="C2738" i="1"/>
  <c r="C2737" i="1"/>
  <c r="C2734" i="1"/>
  <c r="C2732" i="1"/>
  <c r="C2729" i="1"/>
  <c r="C2728" i="1"/>
  <c r="C2717" i="1"/>
  <c r="C2716" i="1"/>
  <c r="C2715" i="1"/>
  <c r="C2714" i="1"/>
  <c r="C2708" i="1"/>
  <c r="C2707" i="1"/>
  <c r="C2706" i="1"/>
  <c r="C2705" i="1"/>
  <c r="C2703" i="1"/>
  <c r="C2700" i="1"/>
  <c r="C2699" i="1"/>
  <c r="C2698" i="1"/>
  <c r="C2695" i="1"/>
  <c r="C2691" i="1"/>
  <c r="C2685" i="1"/>
  <c r="C2680" i="1"/>
  <c r="C2678" i="1"/>
  <c r="C2677" i="1"/>
  <c r="C2674" i="1"/>
  <c r="C2673" i="1"/>
  <c r="C2672" i="1"/>
  <c r="C2671" i="1"/>
  <c r="C2670" i="1"/>
  <c r="C2669" i="1"/>
  <c r="C2665" i="1"/>
  <c r="C2662" i="1"/>
  <c r="C2659" i="1"/>
  <c r="C2655" i="1"/>
  <c r="C2651" i="1"/>
  <c r="C2646" i="1"/>
  <c r="C2644" i="1"/>
  <c r="C2643" i="1"/>
  <c r="C2642" i="1"/>
  <c r="C2640" i="1"/>
  <c r="C2638" i="1"/>
  <c r="C2634" i="1"/>
  <c r="C2628" i="1"/>
  <c r="C2627" i="1"/>
  <c r="C2626" i="1"/>
  <c r="C2625" i="1"/>
  <c r="C2624" i="1"/>
  <c r="C2623" i="1"/>
  <c r="C2622" i="1"/>
  <c r="C2619" i="1"/>
  <c r="C2618" i="1"/>
  <c r="C2617" i="1"/>
  <c r="C2613" i="1"/>
  <c r="C2612" i="1"/>
  <c r="C2610" i="1"/>
  <c r="C2599" i="1"/>
  <c r="C2596" i="1"/>
  <c r="C2594" i="1"/>
  <c r="C2591" i="1"/>
  <c r="C2586" i="1"/>
  <c r="C2580" i="1"/>
  <c r="C2575" i="1"/>
  <c r="C2574" i="1"/>
  <c r="C2567" i="1"/>
  <c r="C2565" i="1"/>
  <c r="C2563" i="1"/>
  <c r="C2562" i="1"/>
  <c r="C2560" i="1"/>
  <c r="C2559" i="1"/>
  <c r="C2557" i="1"/>
  <c r="C2556" i="1"/>
  <c r="C2551" i="1"/>
  <c r="C2546" i="1"/>
  <c r="C2544" i="1"/>
  <c r="C2540" i="1"/>
  <c r="C2539" i="1"/>
  <c r="C2535" i="1"/>
  <c r="C2534" i="1"/>
  <c r="C2527" i="1"/>
  <c r="C2524" i="1"/>
  <c r="C2523" i="1"/>
  <c r="C2522" i="1"/>
  <c r="C2521" i="1"/>
  <c r="C2520" i="1"/>
  <c r="C2519" i="1"/>
  <c r="C2517" i="1"/>
  <c r="C2510" i="1"/>
  <c r="C2508" i="1"/>
  <c r="C2505" i="1"/>
  <c r="C2501" i="1"/>
  <c r="C2500" i="1"/>
  <c r="C2499" i="1"/>
  <c r="C2498" i="1"/>
  <c r="C2497" i="1"/>
  <c r="C2495" i="1"/>
  <c r="C2493" i="1"/>
  <c r="C2492" i="1"/>
  <c r="C2483" i="1"/>
  <c r="C2481" i="1"/>
  <c r="C2479" i="1"/>
  <c r="C2478" i="1"/>
  <c r="C2476" i="1"/>
  <c r="C2474" i="1"/>
  <c r="C2472" i="1"/>
  <c r="C2467" i="1"/>
  <c r="C2466" i="1"/>
  <c r="C2465" i="1"/>
  <c r="C2464" i="1"/>
  <c r="C2463" i="1"/>
  <c r="C2462" i="1"/>
  <c r="C2461" i="1"/>
  <c r="C2460" i="1"/>
  <c r="C2458" i="1"/>
  <c r="C2455" i="1"/>
  <c r="C2449" i="1"/>
  <c r="C2448" i="1"/>
  <c r="C2446" i="1"/>
  <c r="C2445" i="1"/>
  <c r="C2444" i="1"/>
  <c r="C2441" i="1"/>
  <c r="C2440" i="1"/>
  <c r="C2437" i="1"/>
  <c r="C2436" i="1"/>
  <c r="C2435" i="1"/>
  <c r="C2434" i="1"/>
  <c r="C2433" i="1"/>
  <c r="C2430" i="1"/>
  <c r="C2427" i="1"/>
  <c r="C2423" i="1"/>
  <c r="C2422" i="1"/>
  <c r="C2421" i="1"/>
  <c r="C2418" i="1"/>
  <c r="C2414" i="1"/>
  <c r="C2411" i="1"/>
  <c r="C2410" i="1"/>
  <c r="C2409" i="1"/>
  <c r="C2408" i="1"/>
  <c r="C2407" i="1"/>
  <c r="C2406" i="1"/>
  <c r="C2405" i="1"/>
  <c r="C2404" i="1"/>
  <c r="C2402" i="1"/>
  <c r="C2401" i="1"/>
  <c r="C2399" i="1"/>
  <c r="C2398" i="1"/>
  <c r="C2395" i="1"/>
  <c r="C2394" i="1"/>
  <c r="C2392" i="1"/>
  <c r="C2391" i="1"/>
  <c r="C2388" i="1"/>
  <c r="C2387" i="1"/>
  <c r="C2386" i="1"/>
  <c r="C2382" i="1"/>
  <c r="C2378" i="1"/>
  <c r="C2377" i="1"/>
  <c r="C2376" i="1"/>
  <c r="C2366" i="1"/>
  <c r="C2365" i="1"/>
  <c r="C2364" i="1"/>
  <c r="C2362" i="1"/>
  <c r="C2359" i="1"/>
  <c r="C2358" i="1"/>
  <c r="C2356" i="1"/>
  <c r="C2354" i="1"/>
  <c r="C2353" i="1"/>
  <c r="C2352" i="1"/>
  <c r="C2351" i="1"/>
  <c r="C2347" i="1"/>
  <c r="C2346" i="1"/>
  <c r="C2342" i="1"/>
  <c r="C2340" i="1"/>
  <c r="C2335" i="1"/>
  <c r="C2333" i="1"/>
  <c r="C2332" i="1"/>
  <c r="C2329" i="1"/>
  <c r="C2326" i="1"/>
  <c r="C2316" i="1"/>
  <c r="C2315" i="1"/>
  <c r="C2314" i="1"/>
  <c r="C2313" i="1"/>
  <c r="C2312" i="1"/>
  <c r="C2311" i="1"/>
  <c r="C2310" i="1"/>
  <c r="C2309" i="1"/>
  <c r="C2307" i="1"/>
  <c r="C2306" i="1"/>
  <c r="C2305" i="1"/>
  <c r="C2301" i="1"/>
  <c r="C2299" i="1"/>
  <c r="C2296" i="1"/>
  <c r="C2294" i="1"/>
  <c r="C2292" i="1"/>
  <c r="C2290" i="1"/>
  <c r="C2289" i="1"/>
  <c r="C2288" i="1"/>
  <c r="C2285" i="1"/>
  <c r="C2284" i="1"/>
  <c r="C2283" i="1"/>
  <c r="C2281" i="1"/>
  <c r="C2280" i="1"/>
  <c r="C2275" i="1"/>
  <c r="C2274" i="1"/>
  <c r="C2269" i="1"/>
  <c r="C2267" i="1"/>
  <c r="C2263" i="1"/>
  <c r="C2254" i="1"/>
  <c r="C2252" i="1"/>
  <c r="C2250" i="1"/>
  <c r="C2249" i="1"/>
  <c r="C2240" i="1"/>
  <c r="C2238" i="1"/>
  <c r="C2236" i="1"/>
  <c r="C2234" i="1"/>
  <c r="C2233" i="1"/>
  <c r="C2232" i="1"/>
  <c r="C2230" i="1"/>
  <c r="C2228" i="1"/>
  <c r="C2223" i="1"/>
  <c r="C2220" i="1"/>
  <c r="C2215" i="1"/>
  <c r="C2212" i="1"/>
  <c r="C2211" i="1"/>
  <c r="C2207" i="1"/>
  <c r="C2206" i="1"/>
  <c r="C2204" i="1"/>
  <c r="C2202" i="1"/>
  <c r="C2201" i="1"/>
  <c r="C2195" i="1"/>
  <c r="C2194" i="1"/>
  <c r="C2192" i="1"/>
  <c r="C2191" i="1"/>
  <c r="C2190" i="1"/>
  <c r="C2188" i="1"/>
  <c r="C2187" i="1"/>
  <c r="C2185" i="1"/>
  <c r="C2183" i="1"/>
  <c r="C2181" i="1"/>
  <c r="C2180" i="1"/>
  <c r="C2179" i="1"/>
  <c r="C2178" i="1"/>
  <c r="C2176" i="1"/>
  <c r="C2174" i="1"/>
  <c r="C2167" i="1"/>
  <c r="C2164" i="1"/>
  <c r="C2162" i="1"/>
  <c r="C2161" i="1"/>
  <c r="C2160" i="1"/>
  <c r="C2158" i="1"/>
  <c r="C2154" i="1"/>
  <c r="C2151" i="1"/>
  <c r="C2150" i="1"/>
  <c r="C2149" i="1"/>
  <c r="C2143" i="1"/>
  <c r="C2140" i="1"/>
  <c r="C2138" i="1"/>
  <c r="C2137" i="1"/>
  <c r="C2129" i="1"/>
  <c r="C2126" i="1"/>
  <c r="C2122" i="1"/>
  <c r="C2119" i="1"/>
  <c r="C2118" i="1"/>
  <c r="C2116" i="1"/>
  <c r="C2115" i="1"/>
  <c r="C2114" i="1"/>
  <c r="C2113" i="1"/>
  <c r="C2112" i="1"/>
  <c r="C2108" i="1"/>
  <c r="C2101" i="1"/>
  <c r="C2099" i="1"/>
  <c r="C2098" i="1"/>
  <c r="C2091" i="1"/>
  <c r="C2090" i="1"/>
  <c r="C2083" i="1"/>
  <c r="C2079" i="1"/>
  <c r="C2078" i="1"/>
  <c r="C2076" i="1"/>
  <c r="C2075" i="1"/>
  <c r="C2074" i="1"/>
  <c r="C2073" i="1"/>
  <c r="C2071" i="1"/>
  <c r="C2066" i="1"/>
  <c r="C2063" i="1"/>
  <c r="C2062" i="1"/>
  <c r="C2061" i="1"/>
  <c r="C2060" i="1"/>
  <c r="C2059" i="1"/>
  <c r="C2052" i="1"/>
  <c r="C2049" i="1"/>
  <c r="C2047" i="1"/>
  <c r="C2045" i="1"/>
  <c r="C2043" i="1"/>
  <c r="C2041" i="1"/>
  <c r="C2039" i="1"/>
  <c r="C2037" i="1"/>
  <c r="C2029" i="1"/>
  <c r="C2026" i="1"/>
  <c r="C2023" i="1"/>
  <c r="C2021" i="1"/>
  <c r="C2017" i="1"/>
  <c r="C2015" i="1"/>
  <c r="C2014" i="1"/>
  <c r="C2012" i="1"/>
  <c r="C2010" i="1"/>
  <c r="C2009" i="1"/>
  <c r="C2008" i="1"/>
  <c r="C2006" i="1"/>
  <c r="C2005" i="1"/>
  <c r="C2004" i="1"/>
  <c r="C1999" i="1"/>
  <c r="C1994" i="1"/>
  <c r="C1993" i="1"/>
  <c r="C1990" i="1"/>
  <c r="C1988" i="1"/>
  <c r="C1984" i="1"/>
  <c r="C1983" i="1"/>
  <c r="C1981" i="1"/>
  <c r="C1980" i="1"/>
  <c r="C1978" i="1"/>
  <c r="C1977" i="1"/>
  <c r="C1974" i="1"/>
  <c r="C1972" i="1"/>
  <c r="C1971" i="1"/>
  <c r="C1968" i="1"/>
  <c r="C1967" i="1"/>
  <c r="C1966" i="1"/>
  <c r="C1964" i="1"/>
  <c r="C1963" i="1"/>
  <c r="C1962" i="1"/>
  <c r="C1961" i="1"/>
  <c r="C1951" i="1"/>
  <c r="C1948" i="1"/>
  <c r="C1946" i="1"/>
  <c r="C1945" i="1"/>
  <c r="C1940" i="1"/>
  <c r="C1939" i="1"/>
  <c r="C1935" i="1"/>
  <c r="C1924" i="1"/>
  <c r="C1923" i="1"/>
  <c r="C1918" i="1"/>
  <c r="C1917" i="1"/>
  <c r="C1915" i="1"/>
  <c r="C1914" i="1"/>
  <c r="C1912" i="1"/>
  <c r="C1911" i="1"/>
  <c r="C1908" i="1"/>
  <c r="C1900" i="1"/>
  <c r="C1892" i="1"/>
  <c r="C1891" i="1"/>
  <c r="C1885" i="1"/>
  <c r="C1884" i="1"/>
  <c r="C1883" i="1"/>
  <c r="C1875" i="1"/>
  <c r="C1871" i="1"/>
  <c r="C1870" i="1"/>
  <c r="C1869" i="1"/>
  <c r="C1868" i="1"/>
  <c r="C1867" i="1"/>
  <c r="C1866" i="1"/>
  <c r="C1865" i="1"/>
  <c r="C1864" i="1"/>
  <c r="C1863" i="1"/>
  <c r="C1862" i="1"/>
  <c r="C1861" i="1"/>
  <c r="C1860" i="1"/>
  <c r="C1859" i="1"/>
  <c r="C1857" i="1"/>
  <c r="C1856" i="1"/>
  <c r="C1855" i="1"/>
  <c r="C1850" i="1"/>
  <c r="C1849" i="1"/>
  <c r="C1844" i="1"/>
  <c r="C1843" i="1"/>
  <c r="C1842" i="1"/>
  <c r="C1841" i="1"/>
  <c r="C1840" i="1"/>
  <c r="C1839" i="1"/>
  <c r="C1826" i="1"/>
  <c r="C1823" i="1"/>
  <c r="C1820" i="1"/>
  <c r="C1818" i="1"/>
  <c r="C1816" i="1"/>
  <c r="C1810" i="1"/>
  <c r="C1807" i="1"/>
  <c r="C1803" i="1"/>
  <c r="C1802" i="1"/>
  <c r="C1801" i="1"/>
  <c r="C1797" i="1"/>
  <c r="C1792" i="1"/>
  <c r="C1791" i="1"/>
  <c r="C1789" i="1"/>
  <c r="C1788" i="1"/>
  <c r="C1782" i="1"/>
  <c r="C1776" i="1"/>
  <c r="C1775" i="1"/>
  <c r="C1774" i="1"/>
  <c r="C1773" i="1"/>
  <c r="C1769" i="1"/>
  <c r="C1767" i="1"/>
  <c r="C1764" i="1"/>
  <c r="C1761" i="1"/>
  <c r="C1753" i="1"/>
  <c r="C1751" i="1"/>
  <c r="C1745" i="1"/>
  <c r="C1744" i="1"/>
  <c r="C1743" i="1"/>
  <c r="C1741" i="1"/>
  <c r="C1737" i="1"/>
  <c r="C1736" i="1"/>
  <c r="C1735" i="1"/>
  <c r="C1734" i="1"/>
  <c r="C1732" i="1"/>
  <c r="C1731" i="1"/>
  <c r="C1729" i="1"/>
  <c r="C1728" i="1"/>
  <c r="C1726" i="1"/>
  <c r="C1724" i="1"/>
  <c r="C1723" i="1"/>
  <c r="C1722" i="1"/>
  <c r="C1721" i="1"/>
  <c r="C1719" i="1"/>
  <c r="C1714" i="1"/>
  <c r="C1711" i="1"/>
  <c r="C1708" i="1"/>
  <c r="C1707" i="1"/>
  <c r="C1706" i="1"/>
  <c r="C1704" i="1"/>
  <c r="C1703" i="1"/>
  <c r="C1701" i="1"/>
  <c r="C1700" i="1"/>
  <c r="C1699" i="1"/>
  <c r="C1696" i="1"/>
  <c r="C1695" i="1"/>
  <c r="C1693" i="1"/>
  <c r="C1689" i="1"/>
  <c r="C1687" i="1"/>
  <c r="C1684" i="1"/>
  <c r="C1681" i="1"/>
  <c r="C1680" i="1"/>
  <c r="C1678" i="1"/>
  <c r="C1677" i="1"/>
  <c r="C1676" i="1"/>
  <c r="C1674" i="1"/>
  <c r="C1673" i="1"/>
  <c r="C1670" i="1"/>
  <c r="C1669" i="1"/>
  <c r="C1663" i="1"/>
  <c r="C1659" i="1"/>
  <c r="C1651" i="1"/>
  <c r="C1649" i="1"/>
  <c r="C1647" i="1"/>
  <c r="C1643" i="1"/>
  <c r="C1642" i="1"/>
  <c r="C1640" i="1"/>
  <c r="C1639" i="1"/>
  <c r="C1638" i="1"/>
  <c r="C1635" i="1"/>
  <c r="C1633" i="1"/>
  <c r="C1632" i="1"/>
  <c r="C1630" i="1"/>
  <c r="C1628" i="1"/>
  <c r="C1627" i="1"/>
  <c r="C1626" i="1"/>
  <c r="C1625" i="1"/>
  <c r="C1624" i="1"/>
  <c r="C1623" i="1"/>
  <c r="C1622" i="1"/>
  <c r="C1621" i="1"/>
  <c r="C1620" i="1"/>
  <c r="C1619" i="1"/>
  <c r="C1618" i="1"/>
  <c r="C1616" i="1"/>
  <c r="C1615" i="1"/>
  <c r="C1614" i="1"/>
  <c r="C1612" i="1"/>
  <c r="C1611" i="1"/>
  <c r="C1610" i="1"/>
  <c r="C1609" i="1"/>
  <c r="C1608" i="1"/>
  <c r="C1606" i="1"/>
  <c r="C1605" i="1"/>
  <c r="C1604" i="1"/>
  <c r="C1602" i="1"/>
  <c r="C1601" i="1"/>
  <c r="C1600" i="1"/>
  <c r="C1598" i="1"/>
  <c r="C1593" i="1"/>
  <c r="C1592" i="1"/>
  <c r="C1590" i="1"/>
  <c r="C1588" i="1"/>
  <c r="C1584" i="1"/>
  <c r="C1576" i="1"/>
  <c r="C1572" i="1"/>
  <c r="C1562" i="1"/>
  <c r="C1561" i="1"/>
  <c r="C1560" i="1"/>
  <c r="C1549" i="1"/>
  <c r="C1546" i="1"/>
  <c r="C1545" i="1"/>
  <c r="C1542" i="1"/>
  <c r="C1541" i="1"/>
  <c r="C1540" i="1"/>
  <c r="C1539" i="1"/>
  <c r="C1538" i="1"/>
  <c r="C1532" i="1"/>
  <c r="C1528" i="1"/>
  <c r="C1527" i="1"/>
  <c r="C1525" i="1"/>
  <c r="C1523" i="1"/>
  <c r="C1520" i="1"/>
  <c r="C1519" i="1"/>
  <c r="C1518" i="1"/>
  <c r="C1516" i="1"/>
  <c r="C1512" i="1"/>
  <c r="C1509" i="1"/>
  <c r="C1506" i="1"/>
  <c r="C1501" i="1"/>
  <c r="C1500" i="1"/>
  <c r="C1496" i="1"/>
  <c r="C1495" i="1"/>
  <c r="C1494" i="1"/>
  <c r="C1493" i="1"/>
  <c r="C1490" i="1"/>
  <c r="C1489" i="1"/>
  <c r="C1488" i="1"/>
  <c r="C1486" i="1"/>
  <c r="C1482" i="1"/>
  <c r="C1477" i="1"/>
  <c r="C1471" i="1"/>
  <c r="C1464" i="1"/>
  <c r="C1462" i="1"/>
  <c r="C1460" i="1"/>
  <c r="C1456" i="1"/>
  <c r="C1455" i="1"/>
  <c r="C1448" i="1"/>
  <c r="C1447" i="1"/>
  <c r="C1446" i="1"/>
  <c r="C1444" i="1"/>
  <c r="C1441" i="1"/>
  <c r="C1440" i="1"/>
  <c r="C1439" i="1"/>
  <c r="C1438" i="1"/>
  <c r="C1437" i="1"/>
  <c r="C1436" i="1"/>
  <c r="C1435" i="1"/>
  <c r="C1434" i="1"/>
  <c r="C1430" i="1"/>
  <c r="C1427" i="1"/>
  <c r="C1426" i="1"/>
  <c r="C1425" i="1"/>
  <c r="C1424" i="1"/>
  <c r="C1423" i="1"/>
  <c r="C1421" i="1"/>
  <c r="C1420" i="1"/>
  <c r="C1419" i="1"/>
  <c r="C1418" i="1"/>
  <c r="C1417" i="1"/>
  <c r="C1416" i="1"/>
  <c r="C1415" i="1"/>
  <c r="C1414" i="1"/>
  <c r="C1411" i="1"/>
  <c r="C1410" i="1"/>
  <c r="C1409" i="1"/>
  <c r="C1405" i="1"/>
  <c r="C1404" i="1"/>
  <c r="C1400" i="1"/>
  <c r="C1398" i="1"/>
  <c r="C1396" i="1"/>
  <c r="C1395" i="1"/>
  <c r="C1393" i="1"/>
  <c r="C1392" i="1"/>
  <c r="C1386" i="1"/>
  <c r="C1383" i="1"/>
  <c r="C1379" i="1"/>
  <c r="C1378" i="1"/>
  <c r="C1377" i="1"/>
  <c r="C1374" i="1"/>
  <c r="C1373" i="1"/>
  <c r="C1368" i="1"/>
  <c r="C1366" i="1"/>
  <c r="C1365" i="1"/>
  <c r="C1350" i="1"/>
  <c r="C1348" i="1"/>
  <c r="C1347" i="1"/>
  <c r="C1345" i="1"/>
  <c r="C1343" i="1"/>
  <c r="C1342" i="1"/>
  <c r="C1338" i="1"/>
  <c r="C1335" i="1"/>
  <c r="C1331" i="1"/>
  <c r="C1307" i="1"/>
  <c r="C1301" i="1"/>
  <c r="C1299" i="1"/>
  <c r="C1295" i="1"/>
  <c r="C1293" i="1"/>
  <c r="C1292" i="1"/>
  <c r="C1290" i="1"/>
  <c r="C1289" i="1"/>
  <c r="C1286" i="1"/>
  <c r="C1285" i="1"/>
  <c r="C1277" i="1"/>
  <c r="C1273" i="1"/>
  <c r="C1269" i="1"/>
  <c r="C1268" i="1"/>
  <c r="C1253" i="1"/>
  <c r="C1252" i="1"/>
  <c r="C1250" i="1"/>
  <c r="C1249" i="1"/>
  <c r="C1248" i="1"/>
  <c r="C1247" i="1"/>
  <c r="C1244" i="1"/>
  <c r="C1243" i="1"/>
  <c r="C1241" i="1"/>
  <c r="C1240" i="1"/>
  <c r="C1239" i="1"/>
  <c r="C1231" i="1"/>
  <c r="C1230" i="1"/>
  <c r="C1228" i="1"/>
  <c r="C1226" i="1"/>
  <c r="C1225" i="1"/>
  <c r="C1224" i="1"/>
  <c r="C1223" i="1"/>
  <c r="C1222" i="1"/>
  <c r="C1220" i="1"/>
  <c r="C1219" i="1"/>
  <c r="C1217" i="1"/>
  <c r="C1216" i="1"/>
  <c r="C1215" i="1"/>
  <c r="C1214" i="1"/>
  <c r="C1213" i="1"/>
  <c r="C1212" i="1"/>
  <c r="C1211" i="1"/>
  <c r="C1209" i="1"/>
  <c r="C1206" i="1"/>
  <c r="C1202" i="1"/>
  <c r="C1200" i="1"/>
  <c r="C1195" i="1"/>
  <c r="C1191" i="1"/>
  <c r="C1186" i="1"/>
  <c r="C1181" i="1"/>
  <c r="C1178" i="1"/>
  <c r="C1177" i="1"/>
  <c r="C1173" i="1"/>
  <c r="C1172" i="1"/>
  <c r="C1170" i="1"/>
  <c r="C1168" i="1"/>
  <c r="C1167" i="1"/>
  <c r="C1164" i="1"/>
  <c r="C1163" i="1"/>
  <c r="C1162" i="1"/>
  <c r="C1160" i="1"/>
  <c r="C1158" i="1"/>
  <c r="C1157" i="1"/>
  <c r="C1156" i="1"/>
  <c r="C1154" i="1"/>
  <c r="C1152" i="1"/>
  <c r="C1150" i="1"/>
  <c r="C1149" i="1"/>
  <c r="C1147" i="1"/>
  <c r="C1144" i="1"/>
  <c r="C1143" i="1"/>
  <c r="C1142" i="1"/>
  <c r="C1141" i="1"/>
  <c r="C1140" i="1"/>
  <c r="C1138" i="1"/>
  <c r="C1136" i="1"/>
  <c r="C1135" i="1"/>
  <c r="C1134" i="1"/>
  <c r="C1133" i="1"/>
  <c r="C1129" i="1"/>
  <c r="C1128" i="1"/>
  <c r="C1127" i="1"/>
  <c r="C1123" i="1"/>
  <c r="C1120" i="1"/>
  <c r="C1119" i="1"/>
  <c r="C1118" i="1"/>
  <c r="C1117" i="1"/>
  <c r="C1107" i="1"/>
  <c r="C1102" i="1"/>
  <c r="C1100" i="1"/>
  <c r="C1099" i="1"/>
  <c r="C1098" i="1"/>
  <c r="C1097" i="1"/>
  <c r="C1096" i="1"/>
  <c r="C1095" i="1"/>
  <c r="C1092" i="1"/>
  <c r="C1084" i="1"/>
  <c r="C1083" i="1"/>
  <c r="C1082" i="1"/>
  <c r="C1076" i="1"/>
  <c r="C1073" i="1"/>
  <c r="C1069" i="1"/>
  <c r="C1067" i="1"/>
  <c r="C1064" i="1"/>
  <c r="C1061" i="1"/>
  <c r="C1059" i="1"/>
  <c r="C1058" i="1"/>
  <c r="C1057" i="1"/>
  <c r="C1056" i="1"/>
  <c r="C1052" i="1"/>
  <c r="C1050" i="1"/>
  <c r="C1049" i="1"/>
  <c r="C1048" i="1"/>
  <c r="C1047" i="1"/>
  <c r="C1045" i="1"/>
  <c r="C1042" i="1"/>
  <c r="C1041" i="1"/>
  <c r="C1037" i="1"/>
  <c r="C1036" i="1"/>
  <c r="C1033" i="1"/>
  <c r="C1030" i="1"/>
  <c r="C1029" i="1"/>
  <c r="C1028" i="1"/>
  <c r="C1027" i="1"/>
  <c r="C1026" i="1"/>
  <c r="C1024" i="1"/>
  <c r="C1021" i="1"/>
  <c r="C1020" i="1"/>
  <c r="C1019" i="1"/>
  <c r="C1018" i="1"/>
  <c r="C1014" i="1"/>
  <c r="C1009" i="1"/>
  <c r="C1005" i="1"/>
  <c r="C999" i="1"/>
  <c r="C996" i="1"/>
  <c r="C994" i="1"/>
  <c r="C993" i="1"/>
  <c r="C992" i="1"/>
  <c r="C991" i="1"/>
  <c r="C990" i="1"/>
  <c r="C986" i="1"/>
  <c r="C985" i="1"/>
  <c r="C984" i="1"/>
  <c r="C983" i="1"/>
  <c r="C982" i="1"/>
  <c r="C981" i="1"/>
  <c r="C980" i="1"/>
  <c r="C979" i="1"/>
  <c r="C978" i="1"/>
  <c r="C977" i="1"/>
  <c r="C969" i="1"/>
  <c r="C966" i="1"/>
  <c r="C952" i="1"/>
  <c r="C951" i="1"/>
  <c r="C945" i="1"/>
  <c r="C942" i="1"/>
  <c r="C941" i="1"/>
  <c r="C940" i="1"/>
  <c r="C939" i="1"/>
  <c r="C938" i="1"/>
  <c r="C937" i="1"/>
  <c r="C933" i="1"/>
  <c r="C931" i="1"/>
  <c r="C929" i="1"/>
  <c r="C927" i="1"/>
  <c r="C923" i="1"/>
  <c r="C919" i="1"/>
  <c r="C918" i="1"/>
  <c r="C916" i="1"/>
  <c r="C913" i="1"/>
  <c r="C912" i="1"/>
  <c r="C911" i="1"/>
  <c r="C908" i="1"/>
  <c r="C907" i="1"/>
  <c r="C904" i="1"/>
  <c r="C903" i="1"/>
  <c r="C900" i="1"/>
  <c r="C899" i="1"/>
  <c r="C897" i="1"/>
  <c r="C896" i="1"/>
  <c r="C892" i="1"/>
  <c r="C891" i="1"/>
  <c r="C890" i="1"/>
  <c r="C889" i="1"/>
  <c r="C886" i="1"/>
  <c r="C882" i="1"/>
  <c r="C880" i="1"/>
  <c r="C879" i="1"/>
  <c r="C876" i="1"/>
  <c r="C869" i="1"/>
  <c r="C868" i="1"/>
  <c r="C866" i="1"/>
  <c r="C864" i="1"/>
  <c r="C863" i="1"/>
  <c r="C862" i="1"/>
  <c r="C859" i="1"/>
  <c r="C858" i="1"/>
  <c r="C856" i="1"/>
  <c r="C855" i="1"/>
  <c r="C854" i="1"/>
  <c r="C848" i="1"/>
  <c r="C844" i="1"/>
  <c r="C842" i="1"/>
  <c r="C841" i="1"/>
  <c r="C840" i="1"/>
  <c r="C839" i="1"/>
  <c r="C838" i="1"/>
  <c r="C837" i="1"/>
  <c r="C834" i="1"/>
  <c r="C833" i="1"/>
  <c r="C832" i="1"/>
  <c r="C831" i="1"/>
  <c r="C830" i="1"/>
  <c r="C828" i="1"/>
  <c r="C826" i="1"/>
  <c r="C825" i="1"/>
  <c r="C824" i="1"/>
  <c r="C807" i="1"/>
  <c r="C804" i="1"/>
  <c r="C799" i="1"/>
  <c r="C795" i="1"/>
  <c r="C793" i="1"/>
  <c r="C790" i="1"/>
  <c r="C785" i="1"/>
  <c r="C784" i="1"/>
  <c r="C782" i="1"/>
  <c r="C779" i="1"/>
  <c r="C776" i="1"/>
  <c r="C772" i="1"/>
  <c r="C770" i="1"/>
  <c r="C767" i="1"/>
  <c r="C766" i="1"/>
  <c r="C764" i="1"/>
  <c r="C761" i="1"/>
  <c r="C756" i="1"/>
  <c r="C750" i="1"/>
  <c r="C746" i="1"/>
  <c r="C745" i="1"/>
  <c r="C744" i="1"/>
  <c r="C742" i="1"/>
  <c r="C741" i="1"/>
  <c r="C739" i="1"/>
  <c r="C738" i="1"/>
  <c r="C737" i="1"/>
  <c r="C736" i="1"/>
  <c r="C735" i="1"/>
  <c r="C734" i="1"/>
  <c r="C733" i="1"/>
  <c r="C729" i="1"/>
  <c r="C728" i="1"/>
  <c r="C727" i="1"/>
  <c r="C717" i="1"/>
  <c r="C716" i="1"/>
  <c r="C708" i="1"/>
  <c r="C707" i="1"/>
  <c r="C706" i="1"/>
  <c r="C705" i="1"/>
  <c r="C702" i="1"/>
  <c r="C701" i="1"/>
  <c r="C694" i="1"/>
  <c r="C692" i="1"/>
  <c r="C691" i="1"/>
  <c r="C690" i="1"/>
  <c r="C685" i="1"/>
  <c r="C684" i="1"/>
  <c r="C683" i="1"/>
  <c r="C682" i="1"/>
  <c r="C681" i="1"/>
  <c r="C680" i="1"/>
  <c r="C678" i="1"/>
  <c r="C677" i="1"/>
  <c r="C675" i="1"/>
  <c r="C674" i="1"/>
  <c r="C671" i="1"/>
  <c r="C665" i="1"/>
  <c r="C663" i="1"/>
  <c r="C661" i="1"/>
  <c r="C655" i="1"/>
  <c r="C653" i="1"/>
  <c r="C652" i="1"/>
  <c r="C651" i="1"/>
  <c r="C645" i="1"/>
  <c r="C643" i="1"/>
  <c r="C639" i="1"/>
  <c r="C637" i="1"/>
  <c r="C636" i="1"/>
  <c r="C634" i="1"/>
  <c r="C632" i="1"/>
  <c r="C630" i="1"/>
  <c r="C629" i="1"/>
  <c r="C624" i="1"/>
  <c r="C623" i="1"/>
  <c r="C622" i="1"/>
  <c r="C618" i="1"/>
  <c r="C616" i="1"/>
  <c r="C613" i="1"/>
  <c r="C611" i="1"/>
  <c r="C607" i="1"/>
  <c r="C606" i="1"/>
  <c r="C602" i="1"/>
  <c r="C601" i="1"/>
  <c r="C600" i="1"/>
  <c r="C598" i="1"/>
  <c r="C597" i="1"/>
  <c r="C593" i="1"/>
  <c r="C580" i="1"/>
  <c r="C579" i="1"/>
  <c r="C578" i="1"/>
  <c r="C576" i="1"/>
  <c r="C569" i="1"/>
  <c r="C566" i="1"/>
  <c r="C558" i="1"/>
  <c r="C557" i="1"/>
  <c r="C552" i="1"/>
  <c r="C546" i="1"/>
  <c r="C542" i="1"/>
  <c r="C541" i="1"/>
  <c r="C538" i="1"/>
  <c r="C534" i="1"/>
  <c r="C532" i="1"/>
  <c r="C530" i="1"/>
  <c r="C529" i="1"/>
  <c r="C527" i="1"/>
  <c r="C524" i="1"/>
  <c r="C520" i="1"/>
  <c r="C519" i="1"/>
  <c r="C518" i="1"/>
  <c r="C517" i="1"/>
  <c r="C515" i="1"/>
  <c r="C514" i="1"/>
  <c r="C511" i="1"/>
  <c r="C510" i="1"/>
  <c r="C509" i="1"/>
  <c r="C508" i="1"/>
  <c r="C507" i="1"/>
  <c r="C504" i="1"/>
  <c r="C501" i="1"/>
  <c r="C500" i="1"/>
  <c r="C491" i="1"/>
  <c r="C489" i="1"/>
  <c r="C487" i="1"/>
  <c r="C486" i="1"/>
  <c r="C481" i="1"/>
  <c r="C476" i="1"/>
  <c r="C475" i="1"/>
  <c r="C464" i="1"/>
  <c r="C462" i="1"/>
  <c r="C461" i="1"/>
  <c r="C459" i="1"/>
  <c r="C458" i="1"/>
  <c r="C457" i="1"/>
  <c r="C456" i="1"/>
  <c r="C453" i="1"/>
  <c r="C452" i="1"/>
  <c r="C450" i="1"/>
  <c r="C444" i="1"/>
  <c r="C443" i="1"/>
  <c r="C442" i="1"/>
  <c r="C441" i="1"/>
  <c r="C440" i="1"/>
  <c r="C438" i="1"/>
  <c r="C437" i="1"/>
  <c r="C436" i="1"/>
  <c r="C434" i="1"/>
  <c r="C433" i="1"/>
  <c r="C432" i="1"/>
  <c r="C430" i="1"/>
  <c r="C426" i="1"/>
  <c r="C425" i="1"/>
  <c r="C424" i="1"/>
  <c r="C422" i="1"/>
  <c r="C421" i="1"/>
  <c r="C420" i="1"/>
  <c r="C419" i="1"/>
  <c r="C417" i="1"/>
  <c r="C415" i="1"/>
  <c r="C406" i="1"/>
  <c r="C402" i="1"/>
  <c r="C400" i="1"/>
  <c r="C394" i="1"/>
  <c r="C393" i="1"/>
  <c r="C392" i="1"/>
  <c r="C391" i="1"/>
  <c r="C390" i="1"/>
  <c r="C389" i="1"/>
  <c r="C386" i="1"/>
  <c r="C384" i="1"/>
  <c r="C383" i="1"/>
  <c r="C382" i="1"/>
  <c r="C381" i="1"/>
  <c r="C380" i="1"/>
  <c r="C375" i="1"/>
  <c r="C374" i="1"/>
  <c r="C372" i="1"/>
  <c r="C371" i="1"/>
  <c r="C369" i="1"/>
  <c r="C368" i="1"/>
  <c r="C367" i="1"/>
  <c r="C365" i="1"/>
  <c r="C363" i="1"/>
  <c r="C362" i="1"/>
  <c r="C361" i="1"/>
  <c r="C360" i="1"/>
  <c r="C359" i="1"/>
  <c r="C358" i="1"/>
  <c r="C357" i="1"/>
  <c r="C353" i="1"/>
  <c r="C352" i="1"/>
  <c r="C351" i="1"/>
  <c r="C350" i="1"/>
  <c r="C349" i="1"/>
  <c r="C347" i="1"/>
  <c r="C344" i="1"/>
  <c r="C343" i="1"/>
  <c r="C338" i="1"/>
  <c r="C337" i="1"/>
  <c r="C336" i="1"/>
  <c r="C334" i="1"/>
  <c r="C333" i="1"/>
  <c r="C329" i="1"/>
  <c r="C327" i="1"/>
  <c r="C326" i="1"/>
  <c r="C324" i="1"/>
  <c r="C321" i="1"/>
  <c r="C319" i="1"/>
  <c r="C318" i="1"/>
  <c r="C316" i="1"/>
  <c r="C310" i="1"/>
  <c r="C309" i="1"/>
  <c r="C306" i="1"/>
  <c r="C305" i="1"/>
  <c r="C303" i="1"/>
  <c r="C302" i="1"/>
  <c r="C301" i="1"/>
  <c r="C300" i="1"/>
  <c r="C299" i="1"/>
  <c r="C298" i="1"/>
  <c r="C297" i="1"/>
  <c r="C296" i="1"/>
  <c r="C294" i="1"/>
  <c r="C293" i="1"/>
  <c r="C292" i="1"/>
  <c r="C291" i="1"/>
  <c r="C285" i="1"/>
  <c r="C283" i="1"/>
  <c r="C282" i="1"/>
  <c r="C281" i="1"/>
  <c r="C280" i="1"/>
  <c r="C279" i="1"/>
  <c r="C276" i="1"/>
  <c r="C275" i="1"/>
  <c r="C272" i="1"/>
  <c r="C271" i="1"/>
  <c r="C270" i="1"/>
  <c r="C269" i="1"/>
  <c r="C268" i="1"/>
  <c r="C267" i="1"/>
  <c r="C263" i="1"/>
  <c r="C261" i="1"/>
  <c r="C260" i="1"/>
  <c r="C259" i="1"/>
  <c r="C258" i="1"/>
  <c r="C257" i="1"/>
  <c r="C256" i="1"/>
  <c r="C255" i="1"/>
  <c r="C254" i="1"/>
  <c r="C251" i="1"/>
  <c r="C249" i="1"/>
  <c r="C248" i="1"/>
  <c r="C247" i="1"/>
  <c r="C246" i="1"/>
  <c r="C245" i="1"/>
  <c r="C222" i="1"/>
  <c r="C220" i="1"/>
  <c r="C217" i="1"/>
  <c r="C216" i="1"/>
  <c r="C212" i="1"/>
  <c r="C211" i="1"/>
  <c r="C210" i="1"/>
  <c r="C209" i="1"/>
  <c r="C208" i="1"/>
  <c r="C205" i="1"/>
  <c r="C204" i="1"/>
  <c r="C203" i="1"/>
  <c r="C201" i="1"/>
  <c r="C199" i="1"/>
  <c r="C195" i="1"/>
  <c r="C194" i="1"/>
  <c r="C183" i="1"/>
  <c r="C181" i="1"/>
  <c r="C179" i="1"/>
  <c r="C178" i="1"/>
  <c r="C173" i="1"/>
  <c r="C171" i="1"/>
  <c r="C168" i="1"/>
  <c r="C167" i="1"/>
  <c r="C166" i="1"/>
  <c r="C165" i="1"/>
  <c r="C164" i="1"/>
  <c r="C162" i="1"/>
  <c r="C161" i="1"/>
  <c r="C160" i="1"/>
  <c r="C159" i="1"/>
  <c r="C158" i="1"/>
  <c r="C157" i="1"/>
  <c r="C155" i="1"/>
  <c r="C154" i="1"/>
  <c r="C153" i="1"/>
  <c r="C151" i="1"/>
  <c r="C150" i="1"/>
  <c r="C149" i="1"/>
  <c r="C148" i="1"/>
  <c r="C146" i="1"/>
  <c r="C139" i="1"/>
  <c r="C138" i="1"/>
  <c r="C136" i="1"/>
  <c r="C133" i="1"/>
  <c r="C132" i="1"/>
  <c r="C129" i="1"/>
  <c r="C127" i="1"/>
  <c r="C126" i="1"/>
  <c r="C113" i="1"/>
  <c r="C112" i="1"/>
  <c r="C104" i="1"/>
  <c r="C103" i="1"/>
  <c r="C102" i="1"/>
  <c r="C101" i="1"/>
  <c r="C94" i="1"/>
  <c r="C90" i="1"/>
  <c r="C89" i="1"/>
  <c r="C85" i="1"/>
  <c r="C84" i="1"/>
  <c r="C82" i="1"/>
  <c r="C79" i="1"/>
  <c r="C76" i="1"/>
  <c r="C75" i="1"/>
  <c r="C74" i="1"/>
  <c r="C72" i="1"/>
  <c r="C71" i="1"/>
  <c r="C68" i="1"/>
  <c r="C67" i="1"/>
  <c r="C66" i="1"/>
  <c r="C64" i="1"/>
  <c r="C63" i="1"/>
  <c r="C61" i="1"/>
  <c r="C60" i="1"/>
  <c r="C53" i="1"/>
  <c r="C52" i="1"/>
  <c r="C49" i="1"/>
  <c r="C47" i="1"/>
  <c r="C45" i="1"/>
  <c r="C30" i="1"/>
  <c r="C26" i="1"/>
  <c r="C25" i="1"/>
  <c r="C23" i="1"/>
  <c r="C21" i="1"/>
  <c r="C20" i="1"/>
  <c r="C19" i="1"/>
  <c r="C18" i="1"/>
  <c r="C17" i="1"/>
  <c r="C16" i="1"/>
  <c r="C15" i="1"/>
  <c r="C13" i="1"/>
  <c r="C12" i="1"/>
  <c r="C11" i="1"/>
  <c r="C10" i="1"/>
  <c r="C7" i="1"/>
  <c r="C6" i="1"/>
  <c r="C5" i="1"/>
  <c r="C23110" i="2"/>
  <c r="C23106" i="2"/>
  <c r="C23104" i="2"/>
  <c r="C23102" i="2"/>
  <c r="C23100" i="2"/>
  <c r="C23099" i="2"/>
  <c r="C23098" i="2"/>
  <c r="C23097" i="2"/>
  <c r="C23096" i="2"/>
  <c r="C23094" i="2"/>
  <c r="C23093" i="2"/>
  <c r="C23091" i="2"/>
  <c r="C23090" i="2"/>
  <c r="C23086" i="2"/>
  <c r="C23085" i="2"/>
  <c r="C23083" i="2"/>
  <c r="C23077" i="2"/>
  <c r="C23076" i="2"/>
  <c r="C23074" i="2"/>
  <c r="C23073" i="2"/>
  <c r="C23072" i="2"/>
  <c r="C23071" i="2"/>
  <c r="C23070" i="2"/>
  <c r="C23060" i="2"/>
  <c r="C23057" i="2"/>
  <c r="C23056" i="2"/>
  <c r="C23055" i="2"/>
  <c r="C23052" i="2"/>
  <c r="C23051" i="2"/>
  <c r="C23046" i="2"/>
  <c r="C23045" i="2"/>
  <c r="C23044" i="2"/>
  <c r="C23038" i="2"/>
  <c r="C23037" i="2"/>
  <c r="C23036" i="2"/>
  <c r="C23034" i="2"/>
  <c r="C23033" i="2"/>
  <c r="C23032" i="2"/>
  <c r="C23027" i="2"/>
  <c r="C23026" i="2"/>
  <c r="C23020" i="2"/>
  <c r="C23017" i="2"/>
  <c r="C23016" i="2"/>
  <c r="C23015" i="2"/>
  <c r="C23014" i="2"/>
  <c r="C23013" i="2"/>
  <c r="C23012" i="2"/>
  <c r="C23011" i="2"/>
  <c r="C23010" i="2"/>
  <c r="C23009" i="2"/>
  <c r="C23008" i="2"/>
  <c r="C23005" i="2"/>
  <c r="C23003" i="2"/>
  <c r="C22997" i="2"/>
  <c r="C22994" i="2"/>
  <c r="C22991" i="2"/>
  <c r="C22990" i="2"/>
  <c r="C22989" i="2"/>
  <c r="C22987" i="2"/>
  <c r="C22986" i="2"/>
  <c r="C22985" i="2"/>
  <c r="C22983" i="2"/>
  <c r="C22982" i="2"/>
  <c r="C22981" i="2"/>
  <c r="C22979" i="2"/>
  <c r="C22977" i="2"/>
  <c r="C22976" i="2"/>
  <c r="C22969" i="2"/>
  <c r="C22967" i="2"/>
  <c r="C22965" i="2"/>
  <c r="C22956" i="2"/>
  <c r="C22955" i="2"/>
  <c r="C22954" i="2"/>
  <c r="C22953" i="2"/>
  <c r="C22952" i="2"/>
  <c r="C22950" i="2"/>
  <c r="C22948" i="2"/>
  <c r="C22947" i="2"/>
  <c r="C22946" i="2"/>
  <c r="C22944" i="2"/>
  <c r="C22943" i="2"/>
  <c r="C22941" i="2"/>
  <c r="C22935" i="2"/>
  <c r="C22933" i="2"/>
  <c r="C22932" i="2"/>
  <c r="C22927" i="2"/>
  <c r="C22923" i="2"/>
  <c r="C22920" i="2"/>
  <c r="C22919" i="2"/>
  <c r="C22918" i="2"/>
  <c r="C22915" i="2"/>
  <c r="C22914" i="2"/>
  <c r="C22912" i="2"/>
  <c r="C22910" i="2"/>
  <c r="C22909" i="2"/>
  <c r="C22907" i="2"/>
  <c r="C22905" i="2"/>
  <c r="C22896" i="2"/>
  <c r="C22895" i="2"/>
  <c r="C22890" i="2"/>
  <c r="C22888" i="2"/>
  <c r="C22884" i="2"/>
  <c r="C22883" i="2"/>
  <c r="C22882" i="2"/>
  <c r="C22881" i="2"/>
  <c r="C22880" i="2"/>
  <c r="C22878" i="2"/>
  <c r="C22876" i="2"/>
  <c r="C22875" i="2"/>
  <c r="C22868" i="2"/>
  <c r="C22865" i="2"/>
  <c r="C22864" i="2"/>
  <c r="C22862" i="2"/>
  <c r="C22860" i="2"/>
  <c r="C22859" i="2"/>
  <c r="C22858" i="2"/>
  <c r="C22855" i="2"/>
  <c r="C22854" i="2"/>
  <c r="C22846" i="2"/>
  <c r="C22845" i="2"/>
  <c r="C22844" i="2"/>
  <c r="C22842" i="2"/>
  <c r="C22841" i="2"/>
  <c r="C22831" i="2"/>
  <c r="C22828" i="2"/>
  <c r="C22827" i="2"/>
  <c r="C22823" i="2"/>
  <c r="C22822" i="2"/>
  <c r="C22821" i="2"/>
  <c r="C22820" i="2"/>
  <c r="C22819" i="2"/>
  <c r="C22817" i="2"/>
  <c r="C22816" i="2"/>
  <c r="C22814" i="2"/>
  <c r="C22813" i="2"/>
  <c r="C22811" i="2"/>
  <c r="C22810" i="2"/>
  <c r="C22808" i="2"/>
  <c r="C22807" i="2"/>
  <c r="C22806" i="2"/>
  <c r="C22804" i="2"/>
  <c r="C22803" i="2"/>
  <c r="C22802" i="2"/>
  <c r="C22801" i="2"/>
  <c r="C22799" i="2"/>
  <c r="C22791" i="2"/>
  <c r="C22789" i="2"/>
  <c r="C22788" i="2"/>
  <c r="C22787" i="2"/>
  <c r="C22785" i="2"/>
  <c r="C22780" i="2"/>
  <c r="C22779" i="2"/>
  <c r="C22777" i="2"/>
  <c r="C22776" i="2"/>
  <c r="C22775" i="2"/>
  <c r="C22774" i="2"/>
  <c r="C22773" i="2"/>
  <c r="C22771" i="2"/>
  <c r="C22765" i="2"/>
  <c r="C22763" i="2"/>
  <c r="C22761" i="2"/>
  <c r="C22759" i="2"/>
  <c r="C22752" i="2"/>
  <c r="C22749" i="2"/>
  <c r="C22746" i="2"/>
  <c r="C22744" i="2"/>
  <c r="C22741" i="2"/>
  <c r="C22734" i="2"/>
  <c r="C22733" i="2"/>
  <c r="C22731" i="2"/>
  <c r="C22729" i="2"/>
  <c r="C22728" i="2"/>
  <c r="C22727" i="2"/>
  <c r="C22726" i="2"/>
  <c r="C22724" i="2"/>
  <c r="C22723" i="2"/>
  <c r="C22722" i="2"/>
  <c r="C22721" i="2"/>
  <c r="C22720" i="2"/>
  <c r="C22718" i="2"/>
  <c r="C22717" i="2"/>
  <c r="C22716" i="2"/>
  <c r="C22714" i="2"/>
  <c r="C22713" i="2"/>
  <c r="C22712" i="2"/>
  <c r="C22710" i="2"/>
  <c r="C22703" i="2"/>
  <c r="C22701" i="2"/>
  <c r="C22700" i="2"/>
  <c r="C22698" i="2"/>
  <c r="C22697" i="2"/>
  <c r="C22695" i="2"/>
  <c r="C22693" i="2"/>
  <c r="C22691" i="2"/>
  <c r="C22690" i="2"/>
  <c r="C22689" i="2"/>
  <c r="C22685" i="2"/>
  <c r="C22679" i="2"/>
  <c r="C22674" i="2"/>
  <c r="C22672" i="2"/>
  <c r="C22670" i="2"/>
  <c r="C22666" i="2"/>
  <c r="C22664" i="2"/>
  <c r="C22663" i="2"/>
  <c r="C22662" i="2"/>
  <c r="C22658" i="2"/>
  <c r="C22657" i="2"/>
  <c r="C22655" i="2"/>
  <c r="C22654" i="2"/>
  <c r="C22653" i="2"/>
  <c r="C22652" i="2"/>
  <c r="C22651" i="2"/>
  <c r="C22649" i="2"/>
  <c r="C22646" i="2"/>
  <c r="C22645" i="2"/>
  <c r="C22644" i="2"/>
  <c r="C22643" i="2"/>
  <c r="C22642" i="2"/>
  <c r="C22632" i="2"/>
  <c r="C22629" i="2"/>
  <c r="C22622" i="2"/>
  <c r="C22621" i="2"/>
  <c r="C22620" i="2"/>
  <c r="C22617" i="2"/>
  <c r="C22614" i="2"/>
  <c r="C22612" i="2"/>
  <c r="C22610" i="2"/>
  <c r="C22609" i="2"/>
  <c r="C22608" i="2"/>
  <c r="C22605" i="2"/>
  <c r="C22602" i="2"/>
  <c r="C22599" i="2"/>
  <c r="C22598" i="2"/>
  <c r="C22596" i="2"/>
  <c r="C22594" i="2"/>
  <c r="C22593" i="2"/>
  <c r="C22586" i="2"/>
  <c r="C22584" i="2"/>
  <c r="C22582" i="2"/>
  <c r="C22581" i="2"/>
  <c r="C22579" i="2"/>
  <c r="C22578" i="2"/>
  <c r="C22577" i="2"/>
  <c r="C22576" i="2"/>
  <c r="C22574" i="2"/>
  <c r="C22573" i="2"/>
  <c r="C22572" i="2"/>
  <c r="C22571" i="2"/>
  <c r="C22569" i="2"/>
  <c r="C22566" i="2"/>
  <c r="C22565" i="2"/>
  <c r="C22563" i="2"/>
  <c r="C22561" i="2"/>
  <c r="C22558" i="2"/>
  <c r="C22556" i="2"/>
  <c r="C22554" i="2"/>
  <c r="C22553" i="2"/>
  <c r="C22549" i="2"/>
  <c r="C22547" i="2"/>
  <c r="C22546" i="2"/>
  <c r="C22545" i="2"/>
  <c r="C22540" i="2"/>
  <c r="C22539" i="2"/>
  <c r="C22537" i="2"/>
  <c r="C22536" i="2"/>
  <c r="C22534" i="2"/>
  <c r="C22533" i="2"/>
  <c r="C22532" i="2"/>
  <c r="C22531" i="2"/>
  <c r="C22529" i="2"/>
  <c r="C22528" i="2"/>
  <c r="C22522" i="2"/>
  <c r="C22521" i="2"/>
  <c r="C22517" i="2"/>
  <c r="C22513" i="2"/>
  <c r="C22510" i="2"/>
  <c r="C22509" i="2"/>
  <c r="C22508" i="2"/>
  <c r="C22507" i="2"/>
  <c r="C22506" i="2"/>
  <c r="C22505" i="2"/>
  <c r="C22502" i="2"/>
  <c r="C22496" i="2"/>
  <c r="C22492" i="2"/>
  <c r="C22489" i="2"/>
  <c r="C22488" i="2"/>
  <c r="C22487" i="2"/>
  <c r="C22484" i="2"/>
  <c r="C22482" i="2"/>
  <c r="C22479" i="2"/>
  <c r="C22478" i="2"/>
  <c r="C22477" i="2"/>
  <c r="C22476" i="2"/>
  <c r="C22475" i="2"/>
  <c r="C22473" i="2"/>
  <c r="C22471" i="2"/>
  <c r="C22470" i="2"/>
  <c r="C22468" i="2"/>
  <c r="C22466" i="2"/>
  <c r="C22462" i="2"/>
  <c r="C22459" i="2"/>
  <c r="C22458" i="2"/>
  <c r="C22457" i="2"/>
  <c r="C22455" i="2"/>
  <c r="C22454" i="2"/>
  <c r="C22453" i="2"/>
  <c r="C22451" i="2"/>
  <c r="C22450" i="2"/>
  <c r="C22448" i="2"/>
  <c r="C22446" i="2"/>
  <c r="C22445" i="2"/>
  <c r="C22443" i="2"/>
  <c r="C22442" i="2"/>
  <c r="C22440" i="2"/>
  <c r="C22438" i="2"/>
  <c r="C22437" i="2"/>
  <c r="C22435" i="2"/>
  <c r="C22434" i="2"/>
  <c r="C22432" i="2"/>
  <c r="C22417" i="2"/>
  <c r="C22414" i="2"/>
  <c r="C22411" i="2"/>
  <c r="C22410" i="2"/>
  <c r="C22409" i="2"/>
  <c r="C22407" i="2"/>
  <c r="C22406" i="2"/>
  <c r="C22404" i="2"/>
  <c r="C22403" i="2"/>
  <c r="C22400" i="2"/>
  <c r="C22398" i="2"/>
  <c r="C22397" i="2"/>
  <c r="C22396" i="2"/>
  <c r="C22395" i="2"/>
  <c r="C22394" i="2"/>
  <c r="C22389" i="2"/>
  <c r="C22388" i="2"/>
  <c r="C22383" i="2"/>
  <c r="C22382" i="2"/>
  <c r="C22381" i="2"/>
  <c r="C22373" i="2"/>
  <c r="C22372" i="2"/>
  <c r="C22368" i="2"/>
  <c r="C22365" i="2"/>
  <c r="C22360" i="2"/>
  <c r="C22358" i="2"/>
  <c r="C22357" i="2"/>
  <c r="C22356" i="2"/>
  <c r="C22355" i="2"/>
  <c r="C22354" i="2"/>
  <c r="C22353" i="2"/>
  <c r="C22351" i="2"/>
  <c r="C22350" i="2"/>
  <c r="C22349" i="2"/>
  <c r="C22348" i="2"/>
  <c r="C22340" i="2"/>
  <c r="C22339" i="2"/>
  <c r="C22338" i="2"/>
  <c r="C22336" i="2"/>
  <c r="C22334" i="2"/>
  <c r="C22332" i="2"/>
  <c r="C22330" i="2"/>
  <c r="C22329" i="2"/>
  <c r="C22328" i="2"/>
  <c r="C22327" i="2"/>
  <c r="C22326" i="2"/>
  <c r="C22325" i="2"/>
  <c r="C22324" i="2"/>
  <c r="C22323" i="2"/>
  <c r="C22322" i="2"/>
  <c r="C22319" i="2"/>
  <c r="C22316" i="2"/>
  <c r="C22315" i="2"/>
  <c r="C22312" i="2"/>
  <c r="C22308" i="2"/>
  <c r="C22307" i="2"/>
  <c r="C22306" i="2"/>
  <c r="C22305" i="2"/>
  <c r="C22303" i="2"/>
  <c r="C22302" i="2"/>
  <c r="C22301" i="2"/>
  <c r="C22300" i="2"/>
  <c r="C22298" i="2"/>
  <c r="C22297" i="2"/>
  <c r="C22296" i="2"/>
  <c r="C22293" i="2"/>
  <c r="C22290" i="2"/>
  <c r="C22285" i="2"/>
  <c r="C22284" i="2"/>
  <c r="C22282" i="2"/>
  <c r="C22281" i="2"/>
  <c r="C22276" i="2"/>
  <c r="C22274" i="2"/>
  <c r="C22273" i="2"/>
  <c r="C22270" i="2"/>
  <c r="C22268" i="2"/>
  <c r="C22267" i="2"/>
  <c r="C22266" i="2"/>
  <c r="C22261" i="2"/>
  <c r="C22248" i="2"/>
  <c r="C22245" i="2"/>
  <c r="C22244" i="2"/>
  <c r="C22243" i="2"/>
  <c r="C22242" i="2"/>
  <c r="C22241" i="2"/>
  <c r="C22239" i="2"/>
  <c r="C22237" i="2"/>
  <c r="C22236" i="2"/>
  <c r="C22234" i="2"/>
  <c r="C22231" i="2"/>
  <c r="C22230" i="2"/>
  <c r="C22226" i="2"/>
  <c r="C22225" i="2"/>
  <c r="C22221" i="2"/>
  <c r="C22218" i="2"/>
  <c r="C22207" i="2"/>
  <c r="C22203" i="2"/>
  <c r="C22200" i="2"/>
  <c r="C22199" i="2"/>
  <c r="C22198" i="2"/>
  <c r="C22197" i="2"/>
  <c r="C22196" i="2"/>
  <c r="C22193" i="2"/>
  <c r="C22191" i="2"/>
  <c r="C22190" i="2"/>
  <c r="C22189" i="2"/>
  <c r="C22188" i="2"/>
  <c r="C22181" i="2"/>
  <c r="C22180" i="2"/>
  <c r="C22176" i="2"/>
  <c r="C22175" i="2"/>
  <c r="C22173" i="2"/>
  <c r="C22172" i="2"/>
  <c r="C22168" i="2"/>
  <c r="C22166" i="2"/>
  <c r="C22163" i="2"/>
  <c r="C22160" i="2"/>
  <c r="C22155" i="2"/>
  <c r="C22153" i="2"/>
  <c r="C22150" i="2"/>
  <c r="C22149" i="2"/>
  <c r="C22148" i="2"/>
  <c r="C22143" i="2"/>
  <c r="C22135" i="2"/>
  <c r="C22132" i="2"/>
  <c r="C22131" i="2"/>
  <c r="C22128" i="2"/>
  <c r="C22126" i="2"/>
  <c r="C22124" i="2"/>
  <c r="C22115" i="2"/>
  <c r="C22114" i="2"/>
  <c r="C22109" i="2"/>
  <c r="C22108" i="2"/>
  <c r="C22107" i="2"/>
  <c r="C22106" i="2"/>
  <c r="C22105" i="2"/>
  <c r="C22102" i="2"/>
  <c r="C22101" i="2"/>
  <c r="C22097" i="2"/>
  <c r="C22096" i="2"/>
  <c r="C22094" i="2"/>
  <c r="C22093" i="2"/>
  <c r="C22092" i="2"/>
  <c r="C22091" i="2"/>
  <c r="C22090" i="2"/>
  <c r="C22087" i="2"/>
  <c r="C22085" i="2"/>
  <c r="C22081" i="2"/>
  <c r="C22073" i="2"/>
  <c r="C22072" i="2"/>
  <c r="C22070" i="2"/>
  <c r="C22067" i="2"/>
  <c r="C22066" i="2"/>
  <c r="C22065" i="2"/>
  <c r="C22060" i="2"/>
  <c r="C22059" i="2"/>
  <c r="C22058" i="2"/>
  <c r="C22057" i="2"/>
  <c r="C22056" i="2"/>
  <c r="C22055" i="2"/>
  <c r="C22054" i="2"/>
  <c r="C22053" i="2"/>
  <c r="C22049" i="2"/>
  <c r="C22048" i="2"/>
  <c r="C22039" i="2"/>
  <c r="C22038" i="2"/>
  <c r="C22036" i="2"/>
  <c r="C22035" i="2"/>
  <c r="C22033" i="2"/>
  <c r="C22031" i="2"/>
  <c r="C22030" i="2"/>
  <c r="C22027" i="2"/>
  <c r="C22026" i="2"/>
  <c r="C22025" i="2"/>
  <c r="C22024" i="2"/>
  <c r="C22020" i="2"/>
  <c r="C22018" i="2"/>
  <c r="C22017" i="2"/>
  <c r="C22016" i="2"/>
  <c r="C22015" i="2"/>
  <c r="C22011" i="2"/>
  <c r="C22008" i="2"/>
  <c r="C22007" i="2"/>
  <c r="C22004" i="2"/>
  <c r="C22002" i="2"/>
  <c r="C22001" i="2"/>
  <c r="C21997" i="2"/>
  <c r="C21993" i="2"/>
  <c r="C21987" i="2"/>
  <c r="C21986" i="2"/>
  <c r="C21985" i="2"/>
  <c r="C21984" i="2"/>
  <c r="C21983" i="2"/>
  <c r="C21982" i="2"/>
  <c r="C21981" i="2"/>
  <c r="C21980" i="2"/>
  <c r="C21979" i="2"/>
  <c r="C21978" i="2"/>
  <c r="C21977" i="2"/>
  <c r="C21972" i="2"/>
  <c r="C21971" i="2"/>
  <c r="C21970" i="2"/>
  <c r="C21968" i="2"/>
  <c r="C21966" i="2"/>
  <c r="C21965" i="2"/>
  <c r="C21964" i="2"/>
  <c r="C21963" i="2"/>
  <c r="C21959" i="2"/>
  <c r="C21958" i="2"/>
  <c r="C21957" i="2"/>
  <c r="C21955" i="2"/>
  <c r="C21953" i="2"/>
  <c r="C21952" i="2"/>
  <c r="C21943" i="2"/>
  <c r="C21941" i="2"/>
  <c r="C21940" i="2"/>
  <c r="C21938" i="2"/>
  <c r="C21934" i="2"/>
  <c r="C21933" i="2"/>
  <c r="C21932" i="2"/>
  <c r="C21930" i="2"/>
  <c r="C21929" i="2"/>
  <c r="C21924" i="2"/>
  <c r="C21921" i="2"/>
  <c r="C21918" i="2"/>
  <c r="C21916" i="2"/>
  <c r="C21909" i="2"/>
  <c r="C21908" i="2"/>
  <c r="C21907" i="2"/>
  <c r="C21906" i="2"/>
  <c r="C21900" i="2"/>
  <c r="C21899" i="2"/>
  <c r="C21898" i="2"/>
  <c r="C21895" i="2"/>
  <c r="C21894" i="2"/>
  <c r="C21888" i="2"/>
  <c r="C21887" i="2"/>
  <c r="C21884" i="2"/>
  <c r="C21883" i="2"/>
  <c r="C21880" i="2"/>
  <c r="C21879" i="2"/>
  <c r="C21877" i="2"/>
  <c r="C21875" i="2"/>
  <c r="C21873" i="2"/>
  <c r="C21863" i="2"/>
  <c r="C21862" i="2"/>
  <c r="C21859" i="2"/>
  <c r="C21858" i="2"/>
  <c r="C21857" i="2"/>
  <c r="C21854" i="2"/>
  <c r="C21853" i="2"/>
  <c r="C21852" i="2"/>
  <c r="C21850" i="2"/>
  <c r="C21848" i="2"/>
  <c r="C21847" i="2"/>
  <c r="C21844" i="2"/>
  <c r="C21843" i="2"/>
  <c r="C21842" i="2"/>
  <c r="C21840" i="2"/>
  <c r="C21838" i="2"/>
  <c r="C21836" i="2"/>
  <c r="C21835" i="2"/>
  <c r="C21832" i="2"/>
  <c r="C21830" i="2"/>
  <c r="C21829" i="2"/>
  <c r="C21827" i="2"/>
  <c r="C21825" i="2"/>
  <c r="C21824" i="2"/>
  <c r="C21823" i="2"/>
  <c r="C21817" i="2"/>
  <c r="C21816" i="2"/>
  <c r="C21815" i="2"/>
  <c r="C21814" i="2"/>
  <c r="C21813" i="2"/>
  <c r="C21812" i="2"/>
  <c r="C21811" i="2"/>
  <c r="C21810" i="2"/>
  <c r="C21808" i="2"/>
  <c r="C21805" i="2"/>
  <c r="C21795" i="2"/>
  <c r="C21794" i="2"/>
  <c r="C21790" i="2"/>
  <c r="C21787" i="2"/>
  <c r="C21784" i="2"/>
  <c r="C21783" i="2"/>
  <c r="C21782" i="2"/>
  <c r="C21780" i="2"/>
  <c r="C21776" i="2"/>
  <c r="C21769" i="2"/>
  <c r="C21765" i="2"/>
  <c r="C21762" i="2"/>
  <c r="C21758" i="2"/>
  <c r="C21755" i="2"/>
  <c r="C21754" i="2"/>
  <c r="C21753" i="2"/>
  <c r="C21751" i="2"/>
  <c r="C21750" i="2"/>
  <c r="C21743" i="2"/>
  <c r="C21736" i="2"/>
  <c r="C21729" i="2"/>
  <c r="C21726" i="2"/>
  <c r="C21723" i="2"/>
  <c r="C21721" i="2"/>
  <c r="C21712" i="2"/>
  <c r="C21707" i="2"/>
  <c r="C21704" i="2"/>
  <c r="C21700" i="2"/>
  <c r="C21697" i="2"/>
  <c r="C21692" i="2"/>
  <c r="C21690" i="2"/>
  <c r="C21688" i="2"/>
  <c r="C21686" i="2"/>
  <c r="C21685" i="2"/>
  <c r="C21684" i="2"/>
  <c r="C21683" i="2"/>
  <c r="C21682" i="2"/>
  <c r="C21681" i="2"/>
  <c r="C21680" i="2"/>
  <c r="C21676" i="2"/>
  <c r="C21675" i="2"/>
  <c r="C21674" i="2"/>
  <c r="C21672" i="2"/>
  <c r="C21669" i="2"/>
  <c r="C21668" i="2"/>
  <c r="C21667" i="2"/>
  <c r="C21665" i="2"/>
  <c r="C21664" i="2"/>
  <c r="C21662" i="2"/>
  <c r="C21661" i="2"/>
  <c r="C21658" i="2"/>
  <c r="C21657" i="2"/>
  <c r="C21655" i="2"/>
  <c r="C21653" i="2"/>
  <c r="C21640" i="2"/>
  <c r="C21637" i="2"/>
  <c r="C21636" i="2"/>
  <c r="C21635" i="2"/>
  <c r="C21633" i="2"/>
  <c r="C21632" i="2"/>
  <c r="C21631" i="2"/>
  <c r="C21630" i="2"/>
  <c r="C21629" i="2"/>
  <c r="C21626" i="2"/>
  <c r="C21625" i="2"/>
  <c r="C21624" i="2"/>
  <c r="C21620" i="2"/>
  <c r="C21618" i="2"/>
  <c r="C21615" i="2"/>
  <c r="C21614" i="2"/>
  <c r="C21610" i="2"/>
  <c r="C21608" i="2"/>
  <c r="C21606" i="2"/>
  <c r="C21604" i="2"/>
  <c r="C21599" i="2"/>
  <c r="C21598" i="2"/>
  <c r="C21597" i="2"/>
  <c r="C21595" i="2"/>
  <c r="C21593" i="2"/>
  <c r="C21583" i="2"/>
  <c r="C21582" i="2"/>
  <c r="C21580" i="2"/>
  <c r="C21577" i="2"/>
  <c r="C21576" i="2"/>
  <c r="C21575" i="2"/>
  <c r="C21574" i="2"/>
  <c r="C21572" i="2"/>
  <c r="C21569" i="2"/>
  <c r="C21564" i="2"/>
  <c r="C21563" i="2"/>
  <c r="C21561" i="2"/>
  <c r="C21558" i="2"/>
  <c r="C21557" i="2"/>
  <c r="C21553" i="2"/>
  <c r="C21549" i="2"/>
  <c r="C21547" i="2"/>
  <c r="C21546" i="2"/>
  <c r="C21544" i="2"/>
  <c r="C21540" i="2"/>
  <c r="C21536" i="2"/>
  <c r="C21535" i="2"/>
  <c r="C21530" i="2"/>
  <c r="C21529" i="2"/>
  <c r="C21526" i="2"/>
  <c r="C21525" i="2"/>
  <c r="C21524" i="2"/>
  <c r="C21521" i="2"/>
  <c r="C21518" i="2"/>
  <c r="C21517" i="2"/>
  <c r="C21514" i="2"/>
  <c r="C21512" i="2"/>
  <c r="C21511" i="2"/>
  <c r="C21506" i="2"/>
  <c r="C21503" i="2"/>
  <c r="C21501" i="2"/>
  <c r="C21499" i="2"/>
  <c r="C21498" i="2"/>
  <c r="C21494" i="2"/>
  <c r="C21493" i="2"/>
  <c r="C21486" i="2"/>
  <c r="C21484" i="2"/>
  <c r="C21483" i="2"/>
  <c r="C21482" i="2"/>
  <c r="C21479" i="2"/>
  <c r="C21476" i="2"/>
  <c r="C21457" i="2"/>
  <c r="C21455" i="2"/>
  <c r="C21453" i="2"/>
  <c r="C21452" i="2"/>
  <c r="C21450" i="2"/>
  <c r="C21446" i="2"/>
  <c r="C21445" i="2"/>
  <c r="C21443" i="2"/>
  <c r="C21440" i="2"/>
  <c r="C21430" i="2"/>
  <c r="C21428" i="2"/>
  <c r="C21426" i="2"/>
  <c r="C21425" i="2"/>
  <c r="C21422" i="2"/>
  <c r="C21420" i="2"/>
  <c r="C21416" i="2"/>
  <c r="C21415" i="2"/>
  <c r="C21411" i="2"/>
  <c r="C21410" i="2"/>
  <c r="C21407" i="2"/>
  <c r="C21405" i="2"/>
  <c r="C21403" i="2"/>
  <c r="C21402" i="2"/>
  <c r="C21399" i="2"/>
  <c r="C21398" i="2"/>
  <c r="C21397" i="2"/>
  <c r="C21396" i="2"/>
  <c r="C21395" i="2"/>
  <c r="C21394" i="2"/>
  <c r="C21393" i="2"/>
  <c r="C21392" i="2"/>
  <c r="C21390" i="2"/>
  <c r="C21389" i="2"/>
  <c r="C21382" i="2"/>
  <c r="C21381" i="2"/>
  <c r="C21378" i="2"/>
  <c r="C21377" i="2"/>
  <c r="C21376" i="2"/>
  <c r="C21372" i="2"/>
  <c r="C21369" i="2"/>
  <c r="C21367" i="2"/>
  <c r="C21366" i="2"/>
  <c r="C21365" i="2"/>
  <c r="C21364" i="2"/>
  <c r="C21363" i="2"/>
  <c r="C21362" i="2"/>
  <c r="C21361" i="2"/>
  <c r="C21359" i="2"/>
  <c r="C21353" i="2"/>
  <c r="C21351" i="2"/>
  <c r="C21350" i="2"/>
  <c r="C21347" i="2"/>
  <c r="C21343" i="2"/>
  <c r="C21340" i="2"/>
  <c r="C21338" i="2"/>
  <c r="C21336" i="2"/>
  <c r="C21335" i="2"/>
  <c r="C21334" i="2"/>
  <c r="C21332" i="2"/>
  <c r="C21331" i="2"/>
  <c r="C21326" i="2"/>
  <c r="C21320" i="2"/>
  <c r="C21319" i="2"/>
  <c r="C21318" i="2"/>
  <c r="C21312" i="2"/>
  <c r="C21310" i="2"/>
  <c r="C21309" i="2"/>
  <c r="C21308" i="2"/>
  <c r="C21307" i="2"/>
  <c r="C21306" i="2"/>
  <c r="C21305" i="2"/>
  <c r="C21302" i="2"/>
  <c r="C21299" i="2"/>
  <c r="C21298" i="2"/>
  <c r="C21297" i="2"/>
  <c r="C21296" i="2"/>
  <c r="C21295" i="2"/>
  <c r="C21294" i="2"/>
  <c r="C21290" i="2"/>
  <c r="C21288" i="2"/>
  <c r="C21287" i="2"/>
  <c r="C21285" i="2"/>
  <c r="C21280" i="2"/>
  <c r="C21279" i="2"/>
  <c r="C21278" i="2"/>
  <c r="C21272" i="2"/>
  <c r="C21271" i="2"/>
  <c r="C21270" i="2"/>
  <c r="C21269" i="2"/>
  <c r="C21268" i="2"/>
  <c r="C21267" i="2"/>
  <c r="C21265" i="2"/>
  <c r="C21258" i="2"/>
  <c r="C21254" i="2"/>
  <c r="C21251" i="2"/>
  <c r="C21249" i="2"/>
  <c r="C21248" i="2"/>
  <c r="C21246" i="2"/>
  <c r="C21243" i="2"/>
  <c r="C21240" i="2"/>
  <c r="C21239" i="2"/>
  <c r="C21237" i="2"/>
  <c r="C21230" i="2"/>
  <c r="C21229" i="2"/>
  <c r="C21228" i="2"/>
  <c r="C21227" i="2"/>
  <c r="C21223" i="2"/>
  <c r="C21222" i="2"/>
  <c r="C21221" i="2"/>
  <c r="C21216" i="2"/>
  <c r="C21210" i="2"/>
  <c r="C21208" i="2"/>
  <c r="C21206" i="2"/>
  <c r="C21205" i="2"/>
  <c r="C21203" i="2"/>
  <c r="C21202" i="2"/>
  <c r="C21201" i="2"/>
  <c r="C21200" i="2"/>
  <c r="C21197" i="2"/>
  <c r="C21196" i="2"/>
  <c r="C21194" i="2"/>
  <c r="C21191" i="2"/>
  <c r="C21190" i="2"/>
  <c r="C21186" i="2"/>
  <c r="C21185" i="2"/>
  <c r="C21184" i="2"/>
  <c r="C21183" i="2"/>
  <c r="C21182" i="2"/>
  <c r="C21178" i="2"/>
  <c r="C21172" i="2"/>
  <c r="C21171" i="2"/>
  <c r="C21170" i="2"/>
  <c r="C21167" i="2"/>
  <c r="C21164" i="2"/>
  <c r="C21160" i="2"/>
  <c r="C21158" i="2"/>
  <c r="C21157" i="2"/>
  <c r="C21154" i="2"/>
  <c r="C21153" i="2"/>
  <c r="C21152" i="2"/>
  <c r="C21151" i="2"/>
  <c r="C21150" i="2"/>
  <c r="C21149" i="2"/>
  <c r="C21148" i="2"/>
  <c r="C21147" i="2"/>
  <c r="C21146" i="2"/>
  <c r="C21145" i="2"/>
  <c r="C21142" i="2"/>
  <c r="C21139" i="2"/>
  <c r="C21135" i="2"/>
  <c r="C21134" i="2"/>
  <c r="C21133" i="2"/>
  <c r="C21131" i="2"/>
  <c r="C21129" i="2"/>
  <c r="C21128" i="2"/>
  <c r="C21127" i="2"/>
  <c r="C21123" i="2"/>
  <c r="C21120" i="2"/>
  <c r="C21118" i="2"/>
  <c r="C21115" i="2"/>
  <c r="C21113" i="2"/>
  <c r="C21112" i="2"/>
  <c r="C21104" i="2"/>
  <c r="C21102" i="2"/>
  <c r="C21101" i="2"/>
  <c r="C21099" i="2"/>
  <c r="C21098" i="2"/>
  <c r="C21097" i="2"/>
  <c r="C21096" i="2"/>
  <c r="C21095" i="2"/>
  <c r="C21091" i="2"/>
  <c r="C21089" i="2"/>
  <c r="C21088" i="2"/>
  <c r="C21087" i="2"/>
  <c r="C21083" i="2"/>
  <c r="C21073" i="2"/>
  <c r="C21072" i="2"/>
  <c r="C21070" i="2"/>
  <c r="C21069" i="2"/>
  <c r="C21067" i="2"/>
  <c r="C21065" i="2"/>
  <c r="C21064" i="2"/>
  <c r="C21061" i="2"/>
  <c r="C21060" i="2"/>
  <c r="C21058" i="2"/>
  <c r="C21057" i="2"/>
  <c r="C21056" i="2"/>
  <c r="C21055" i="2"/>
  <c r="C21054" i="2"/>
  <c r="C21053" i="2"/>
  <c r="C21052" i="2"/>
  <c r="C21050" i="2"/>
  <c r="C21049" i="2"/>
  <c r="C21048" i="2"/>
  <c r="C21047" i="2"/>
  <c r="C21043" i="2"/>
  <c r="C21040" i="2"/>
  <c r="C21038" i="2"/>
  <c r="C21034" i="2"/>
  <c r="C21033" i="2"/>
  <c r="C21032" i="2"/>
  <c r="C21031" i="2"/>
  <c r="C21029" i="2"/>
  <c r="C21028" i="2"/>
  <c r="C21026" i="2"/>
  <c r="C21025" i="2"/>
  <c r="C21021" i="2"/>
  <c r="C21019" i="2"/>
  <c r="C21014" i="2"/>
  <c r="C21013" i="2"/>
  <c r="C21011" i="2"/>
  <c r="C21007" i="2"/>
  <c r="C21005" i="2"/>
  <c r="C21004" i="2"/>
  <c r="C21002" i="2"/>
  <c r="C21001" i="2"/>
  <c r="C20999" i="2"/>
  <c r="C20998" i="2"/>
  <c r="C20997" i="2"/>
  <c r="C20985" i="2"/>
  <c r="C20982" i="2"/>
  <c r="C20980" i="2"/>
  <c r="C20979" i="2"/>
  <c r="C20971" i="2"/>
  <c r="C20970" i="2"/>
  <c r="C20968" i="2"/>
  <c r="C20963" i="2"/>
  <c r="C20962" i="2"/>
  <c r="C20961" i="2"/>
  <c r="C20960" i="2"/>
  <c r="C20959" i="2"/>
  <c r="C20957" i="2"/>
  <c r="C20952" i="2"/>
  <c r="C20946" i="2"/>
  <c r="C20942" i="2"/>
  <c r="C20941" i="2"/>
  <c r="C20940" i="2"/>
  <c r="C20939" i="2"/>
  <c r="C20938" i="2"/>
  <c r="C20936" i="2"/>
  <c r="C20930" i="2"/>
  <c r="C20928" i="2"/>
  <c r="C20926" i="2"/>
  <c r="C20925" i="2"/>
  <c r="C20924" i="2"/>
  <c r="C20923" i="2"/>
  <c r="C20921" i="2"/>
  <c r="C20918" i="2"/>
  <c r="C20917" i="2"/>
  <c r="C20916" i="2"/>
  <c r="C20914" i="2"/>
  <c r="C20912" i="2"/>
  <c r="C20911" i="2"/>
  <c r="C20908" i="2"/>
  <c r="C20907" i="2"/>
  <c r="C20906" i="2"/>
  <c r="C20903" i="2"/>
  <c r="C20899" i="2"/>
  <c r="C20898" i="2"/>
  <c r="C20896" i="2"/>
  <c r="C20895" i="2"/>
  <c r="C20894" i="2"/>
  <c r="C20893" i="2"/>
  <c r="C20890" i="2"/>
  <c r="C20889" i="2"/>
  <c r="C20887" i="2"/>
  <c r="C20886" i="2"/>
  <c r="C20885" i="2"/>
  <c r="C20884" i="2"/>
  <c r="C20882" i="2"/>
  <c r="C20881" i="2"/>
  <c r="C20880" i="2"/>
  <c r="C20873" i="2"/>
  <c r="C20872" i="2"/>
  <c r="C20871" i="2"/>
  <c r="C20870" i="2"/>
  <c r="C20866" i="2"/>
  <c r="C20865" i="2"/>
  <c r="C20862" i="2"/>
  <c r="C20860" i="2"/>
  <c r="C20856" i="2"/>
  <c r="C20855" i="2"/>
  <c r="C20845" i="2"/>
  <c r="C20841" i="2"/>
  <c r="C20839" i="2"/>
  <c r="C20838" i="2"/>
  <c r="C20836" i="2"/>
  <c r="C20830" i="2"/>
  <c r="C20823" i="2"/>
  <c r="C20821" i="2"/>
  <c r="C20819" i="2"/>
  <c r="C20818" i="2"/>
  <c r="C20817" i="2"/>
  <c r="C20815" i="2"/>
  <c r="C20811" i="2"/>
  <c r="C20809" i="2"/>
  <c r="C20805" i="2"/>
  <c r="C20804" i="2"/>
  <c r="C20799" i="2"/>
  <c r="C20797" i="2"/>
  <c r="C20793" i="2"/>
  <c r="C20792" i="2"/>
  <c r="C20791" i="2"/>
  <c r="C20786" i="2"/>
  <c r="C20784" i="2"/>
  <c r="C20782" i="2"/>
  <c r="C20781" i="2"/>
  <c r="C20780" i="2"/>
  <c r="C20779" i="2"/>
  <c r="C20778" i="2"/>
  <c r="C20776" i="2"/>
  <c r="C20775" i="2"/>
  <c r="C20774" i="2"/>
  <c r="C20773" i="2"/>
  <c r="C20772" i="2"/>
  <c r="C20771" i="2"/>
  <c r="C20767" i="2"/>
  <c r="C20761" i="2"/>
  <c r="C20759" i="2"/>
  <c r="C20753" i="2"/>
  <c r="C20752" i="2"/>
  <c r="C20748" i="2"/>
  <c r="C20747" i="2"/>
  <c r="C20746" i="2"/>
  <c r="C20744" i="2"/>
  <c r="C20743" i="2"/>
  <c r="C20742" i="2"/>
  <c r="C20739" i="2"/>
  <c r="C20738" i="2"/>
  <c r="C20736" i="2"/>
  <c r="C20733" i="2"/>
  <c r="C20731" i="2"/>
  <c r="C20728" i="2"/>
  <c r="C20726" i="2"/>
  <c r="C20723" i="2"/>
  <c r="C20717" i="2"/>
  <c r="C20715" i="2"/>
  <c r="C20714" i="2"/>
  <c r="C20711" i="2"/>
  <c r="C20710" i="2"/>
  <c r="C20700" i="2"/>
  <c r="C20697" i="2"/>
  <c r="C20696" i="2"/>
  <c r="C20691" i="2"/>
  <c r="C20689" i="2"/>
  <c r="C20688" i="2"/>
  <c r="C20686" i="2"/>
  <c r="C20680" i="2"/>
  <c r="C20679" i="2"/>
  <c r="C20678" i="2"/>
  <c r="C20670" i="2"/>
  <c r="C20669" i="2"/>
  <c r="C20667" i="2"/>
  <c r="C20664" i="2"/>
  <c r="C20663" i="2"/>
  <c r="C20662" i="2"/>
  <c r="C20659" i="2"/>
  <c r="C20658" i="2"/>
  <c r="C20654" i="2"/>
  <c r="C20653" i="2"/>
  <c r="C20652" i="2"/>
  <c r="C20651" i="2"/>
  <c r="C20650" i="2"/>
  <c r="C20647" i="2"/>
  <c r="C20646" i="2"/>
  <c r="C20644" i="2"/>
  <c r="C20640" i="2"/>
  <c r="C20639" i="2"/>
  <c r="C20638" i="2"/>
  <c r="C20637" i="2"/>
  <c r="C20636" i="2"/>
  <c r="C20630" i="2"/>
  <c r="C20623" i="2"/>
  <c r="C20621" i="2"/>
  <c r="C20620" i="2"/>
  <c r="C20614" i="2"/>
  <c r="C20611" i="2"/>
  <c r="C20610" i="2"/>
  <c r="C20607" i="2"/>
  <c r="C20606" i="2"/>
  <c r="C20604" i="2"/>
  <c r="C20603" i="2"/>
  <c r="C20602" i="2"/>
  <c r="C20601" i="2"/>
  <c r="C20598" i="2"/>
  <c r="C20597" i="2"/>
  <c r="C20593" i="2"/>
  <c r="C20592" i="2"/>
  <c r="C20590" i="2"/>
  <c r="C20588" i="2"/>
  <c r="C20584" i="2"/>
  <c r="C20582" i="2"/>
  <c r="C20579" i="2"/>
  <c r="C20578" i="2"/>
  <c r="C20575" i="2"/>
  <c r="C20574" i="2"/>
  <c r="C20572" i="2"/>
  <c r="C20566" i="2"/>
  <c r="C20559" i="2"/>
  <c r="C20556" i="2"/>
  <c r="C20551" i="2"/>
  <c r="C20549" i="2"/>
  <c r="C20548" i="2"/>
  <c r="C20546" i="2"/>
  <c r="C20545" i="2"/>
  <c r="C20543" i="2"/>
  <c r="C20542" i="2"/>
  <c r="C20541" i="2"/>
  <c r="C20539" i="2"/>
  <c r="C20532" i="2"/>
  <c r="C20528" i="2"/>
  <c r="C20524" i="2"/>
  <c r="C20523" i="2"/>
  <c r="C20522" i="2"/>
  <c r="C20521" i="2"/>
  <c r="C20516" i="2"/>
  <c r="C20514" i="2"/>
  <c r="C20512" i="2"/>
  <c r="C20509" i="2"/>
  <c r="C20507" i="2"/>
  <c r="C20506" i="2"/>
  <c r="C20504" i="2"/>
  <c r="C20501" i="2"/>
  <c r="C20497" i="2"/>
  <c r="C20496" i="2"/>
  <c r="C20494" i="2"/>
  <c r="C20493" i="2"/>
  <c r="C20491" i="2"/>
  <c r="C20486" i="2"/>
  <c r="C20485" i="2"/>
  <c r="C20483" i="2"/>
  <c r="C20481" i="2"/>
  <c r="C20473" i="2"/>
  <c r="C20472" i="2"/>
  <c r="C20470" i="2"/>
  <c r="C20469" i="2"/>
  <c r="C20465" i="2"/>
  <c r="C20464" i="2"/>
  <c r="C20463" i="2"/>
  <c r="C20460" i="2"/>
  <c r="C20459" i="2"/>
  <c r="C20457" i="2"/>
  <c r="C20456" i="2"/>
  <c r="C20454" i="2"/>
  <c r="C20453" i="2"/>
  <c r="C20452" i="2"/>
  <c r="C20451" i="2"/>
  <c r="C20450" i="2"/>
  <c r="C20449" i="2"/>
  <c r="C20448" i="2"/>
  <c r="C20447" i="2"/>
  <c r="C20446" i="2"/>
  <c r="C20445" i="2"/>
  <c r="C20444" i="2"/>
  <c r="C20441" i="2"/>
  <c r="C20439" i="2"/>
  <c r="C20436" i="2"/>
  <c r="C20434" i="2"/>
  <c r="C20433" i="2"/>
  <c r="C20432" i="2"/>
  <c r="C20431" i="2"/>
  <c r="C20430" i="2"/>
  <c r="C20420" i="2"/>
  <c r="C20417" i="2"/>
  <c r="C20415" i="2"/>
  <c r="C20409" i="2"/>
  <c r="C20404" i="2"/>
  <c r="C20399" i="2"/>
  <c r="C20396" i="2"/>
  <c r="C20390" i="2"/>
  <c r="C20389" i="2"/>
  <c r="C20388" i="2"/>
  <c r="C20387" i="2"/>
  <c r="C20386" i="2"/>
  <c r="C20385" i="2"/>
  <c r="C20381" i="2"/>
  <c r="C20380" i="2"/>
  <c r="C20379" i="2"/>
  <c r="C20378" i="2"/>
  <c r="C20377" i="2"/>
  <c r="C20376" i="2"/>
  <c r="C20373" i="2"/>
  <c r="C20372" i="2"/>
  <c r="C20370" i="2"/>
  <c r="C20367" i="2"/>
  <c r="C20357" i="2"/>
  <c r="C20355" i="2"/>
  <c r="C20353" i="2"/>
  <c r="C20352" i="2"/>
  <c r="C20351" i="2"/>
  <c r="C20350" i="2"/>
  <c r="C20349" i="2"/>
  <c r="C20348" i="2"/>
  <c r="C20347" i="2"/>
  <c r="C20346" i="2"/>
  <c r="C20345" i="2"/>
  <c r="C20344" i="2"/>
  <c r="C20342" i="2"/>
  <c r="C20341" i="2"/>
  <c r="C20340" i="2"/>
  <c r="C20335" i="2"/>
  <c r="C20330" i="2"/>
  <c r="C20329" i="2"/>
  <c r="C20328" i="2"/>
  <c r="C20327" i="2"/>
  <c r="C20325" i="2"/>
  <c r="C20323" i="2"/>
  <c r="C20322" i="2"/>
  <c r="C20320" i="2"/>
  <c r="C20318" i="2"/>
  <c r="C20317" i="2"/>
  <c r="C20315" i="2"/>
  <c r="C20314" i="2"/>
  <c r="C20311" i="2"/>
  <c r="C20308" i="2"/>
  <c r="C20307" i="2"/>
  <c r="C20306" i="2"/>
  <c r="C20303" i="2"/>
  <c r="C20302" i="2"/>
  <c r="C20301" i="2"/>
  <c r="C20300" i="2"/>
  <c r="C20299" i="2"/>
  <c r="C20298" i="2"/>
  <c r="C20297" i="2"/>
  <c r="C20296" i="2"/>
  <c r="C20292" i="2"/>
  <c r="C20285" i="2"/>
  <c r="C20284" i="2"/>
  <c r="C20281" i="2"/>
  <c r="C20278" i="2"/>
  <c r="C20277" i="2"/>
  <c r="C20274" i="2"/>
  <c r="C20273" i="2"/>
  <c r="C20272" i="2"/>
  <c r="C20271" i="2"/>
  <c r="C20270" i="2"/>
  <c r="C20269" i="2"/>
  <c r="C20266" i="2"/>
  <c r="C20265" i="2"/>
  <c r="C20263" i="2"/>
  <c r="C20260" i="2"/>
  <c r="C20258" i="2"/>
  <c r="C20250" i="2"/>
  <c r="C20249" i="2"/>
  <c r="C20238" i="2"/>
  <c r="C20236" i="2"/>
  <c r="C20234" i="2"/>
  <c r="C20231" i="2"/>
  <c r="C20227" i="2"/>
  <c r="C20226" i="2"/>
  <c r="C20224" i="2"/>
  <c r="C20223" i="2"/>
  <c r="C20222" i="2"/>
  <c r="C20221" i="2"/>
  <c r="C20219" i="2"/>
  <c r="C20218" i="2"/>
  <c r="C20217" i="2"/>
  <c r="C20216" i="2"/>
  <c r="C20215" i="2"/>
  <c r="C20212" i="2"/>
  <c r="C20209" i="2"/>
  <c r="C20202" i="2"/>
  <c r="C20198" i="2"/>
  <c r="C20197" i="2"/>
  <c r="C20195" i="2"/>
  <c r="C20194" i="2"/>
  <c r="C20193" i="2"/>
  <c r="C20192" i="2"/>
  <c r="C20191" i="2"/>
  <c r="C20190" i="2"/>
  <c r="C20187" i="2"/>
  <c r="C20180" i="2"/>
  <c r="C20179" i="2"/>
  <c r="C20176" i="2"/>
  <c r="C20173" i="2"/>
  <c r="C20169" i="2"/>
  <c r="C20168" i="2"/>
  <c r="C20167" i="2"/>
  <c r="C20166" i="2"/>
  <c r="C20165" i="2"/>
  <c r="C20162" i="2"/>
  <c r="C20158" i="2"/>
  <c r="C20157" i="2"/>
  <c r="C20154" i="2"/>
  <c r="C20152" i="2"/>
  <c r="C20151" i="2"/>
  <c r="C20150" i="2"/>
  <c r="C20147" i="2"/>
  <c r="C20146" i="2"/>
  <c r="C20144" i="2"/>
  <c r="C20143" i="2"/>
  <c r="C20142" i="2"/>
  <c r="C20140" i="2"/>
  <c r="C20134" i="2"/>
  <c r="C20132" i="2"/>
  <c r="C20130" i="2"/>
  <c r="C20129" i="2"/>
  <c r="C20127" i="2"/>
  <c r="C20126" i="2"/>
  <c r="C20124" i="2"/>
  <c r="C20120" i="2"/>
  <c r="C20117" i="2"/>
  <c r="C20115" i="2"/>
  <c r="C20113" i="2"/>
  <c r="C20109" i="2"/>
  <c r="C20107" i="2"/>
  <c r="C20105" i="2"/>
  <c r="C20102" i="2"/>
  <c r="C20096" i="2"/>
  <c r="C20094" i="2"/>
  <c r="C20092" i="2"/>
  <c r="C20091" i="2"/>
  <c r="C20090" i="2"/>
  <c r="C20085" i="2"/>
  <c r="C20074" i="2"/>
  <c r="C20072" i="2"/>
  <c r="C20071" i="2"/>
  <c r="C20070" i="2"/>
  <c r="C20069" i="2"/>
  <c r="C20068" i="2"/>
  <c r="C20067" i="2"/>
  <c r="C20062" i="2"/>
  <c r="C20058" i="2"/>
  <c r="C20057" i="2"/>
  <c r="C20055" i="2"/>
  <c r="C20052" i="2"/>
  <c r="C20046" i="2"/>
  <c r="C20041" i="2"/>
  <c r="C20040" i="2"/>
  <c r="C20039" i="2"/>
  <c r="C20038" i="2"/>
  <c r="C20037" i="2"/>
  <c r="C20036" i="2"/>
  <c r="C20030" i="2"/>
  <c r="C20029" i="2"/>
  <c r="C20024" i="2"/>
  <c r="C20023" i="2"/>
  <c r="C20021" i="2"/>
  <c r="C20020" i="2"/>
  <c r="C20010" i="2"/>
  <c r="C20008" i="2"/>
  <c r="C20007" i="2"/>
  <c r="C20006" i="2"/>
  <c r="C20005" i="2"/>
  <c r="C20004" i="2"/>
  <c r="C20002" i="2"/>
  <c r="C19998" i="2"/>
  <c r="C19997" i="2"/>
  <c r="C19995" i="2"/>
  <c r="C19994" i="2"/>
  <c r="C19991" i="2"/>
  <c r="C19990" i="2"/>
  <c r="C19989" i="2"/>
  <c r="C19987" i="2"/>
  <c r="C19982" i="2"/>
  <c r="C19980" i="2"/>
  <c r="C19977" i="2"/>
  <c r="C19976" i="2"/>
  <c r="C19975" i="2"/>
  <c r="C19972" i="2"/>
  <c r="C19971" i="2"/>
  <c r="C19970" i="2"/>
  <c r="C19969" i="2"/>
  <c r="C19964" i="2"/>
  <c r="C19963" i="2"/>
  <c r="C19962" i="2"/>
  <c r="C19961" i="2"/>
  <c r="C19959" i="2"/>
  <c r="C19958" i="2"/>
  <c r="C19956" i="2"/>
  <c r="C19955" i="2"/>
  <c r="C19954" i="2"/>
  <c r="C19953" i="2"/>
  <c r="C19951" i="2"/>
  <c r="C19950" i="2"/>
  <c r="C19949" i="2"/>
  <c r="C19948" i="2"/>
  <c r="C19947" i="2"/>
  <c r="C19943" i="2"/>
  <c r="C19941" i="2"/>
  <c r="C19938" i="2"/>
  <c r="C19935" i="2"/>
  <c r="C19933" i="2"/>
  <c r="C19932" i="2"/>
  <c r="C19926" i="2"/>
  <c r="C19922" i="2"/>
  <c r="C19917" i="2"/>
  <c r="C19913" i="2"/>
  <c r="C19909" i="2"/>
  <c r="C19908" i="2"/>
  <c r="C19907" i="2"/>
  <c r="C19906" i="2"/>
  <c r="C19904" i="2"/>
  <c r="C19903" i="2"/>
  <c r="C19902" i="2"/>
  <c r="C19901" i="2"/>
  <c r="C19900" i="2"/>
  <c r="C19898" i="2"/>
  <c r="C19894" i="2"/>
  <c r="C19893" i="2"/>
  <c r="C19892" i="2"/>
  <c r="C19891" i="2"/>
  <c r="C19890" i="2"/>
  <c r="C19889" i="2"/>
  <c r="C19887" i="2"/>
  <c r="C19879" i="2"/>
  <c r="C19877" i="2"/>
  <c r="C19876" i="2"/>
  <c r="C19870" i="2"/>
  <c r="C19869" i="2"/>
  <c r="C19868" i="2"/>
  <c r="C19867" i="2"/>
  <c r="C19865" i="2"/>
  <c r="C19861" i="2"/>
  <c r="C19860" i="2"/>
  <c r="C19859" i="2"/>
  <c r="C19858" i="2"/>
  <c r="C19857" i="2"/>
  <c r="C19856" i="2"/>
  <c r="C19853" i="2"/>
  <c r="C19850" i="2"/>
  <c r="C19849" i="2"/>
  <c r="C19847" i="2"/>
  <c r="C19845" i="2"/>
  <c r="C19844" i="2"/>
  <c r="C19835" i="2"/>
  <c r="C19831" i="2"/>
  <c r="C19829" i="2"/>
  <c r="C19826" i="2"/>
  <c r="C19825" i="2"/>
  <c r="C19824" i="2"/>
  <c r="C19823" i="2"/>
  <c r="C19822" i="2"/>
  <c r="C19821" i="2"/>
  <c r="C19820" i="2"/>
  <c r="C19819" i="2"/>
  <c r="C19818" i="2"/>
  <c r="C19817" i="2"/>
  <c r="C19811" i="2"/>
  <c r="C19810" i="2"/>
  <c r="C19808" i="2"/>
  <c r="C19802" i="2"/>
  <c r="C19801" i="2"/>
  <c r="C19800" i="2"/>
  <c r="C19798" i="2"/>
  <c r="C19797" i="2"/>
  <c r="C19795" i="2"/>
  <c r="C19791" i="2"/>
  <c r="C19789" i="2"/>
  <c r="C19787" i="2"/>
  <c r="C19785" i="2"/>
  <c r="C19784" i="2"/>
  <c r="C19776" i="2"/>
  <c r="C19770" i="2"/>
  <c r="C19764" i="2"/>
  <c r="C19763" i="2"/>
  <c r="C19762" i="2"/>
  <c r="C19761" i="2"/>
  <c r="C19759" i="2"/>
  <c r="C19757" i="2"/>
  <c r="C19755" i="2"/>
  <c r="C19754" i="2"/>
  <c r="C19752" i="2"/>
  <c r="C19751" i="2"/>
  <c r="C19750" i="2"/>
  <c r="C19749" i="2"/>
  <c r="C19748" i="2"/>
  <c r="C19747" i="2"/>
  <c r="C19743" i="2"/>
  <c r="C19740" i="2"/>
  <c r="C19739" i="2"/>
  <c r="C19738" i="2"/>
  <c r="C19736" i="2"/>
  <c r="C19734" i="2"/>
  <c r="C19733" i="2"/>
  <c r="C19731" i="2"/>
  <c r="C19729" i="2"/>
  <c r="C19728" i="2"/>
  <c r="C19723" i="2"/>
  <c r="C19721" i="2"/>
  <c r="C19719" i="2"/>
  <c r="C19717" i="2"/>
  <c r="C19714" i="2"/>
  <c r="C19713" i="2"/>
  <c r="C19712" i="2"/>
  <c r="C19709" i="2"/>
  <c r="C19706" i="2"/>
  <c r="C19704" i="2"/>
  <c r="C19703" i="2"/>
  <c r="C19702" i="2"/>
  <c r="C19701" i="2"/>
  <c r="C19700" i="2"/>
  <c r="C19699" i="2"/>
  <c r="C19696" i="2"/>
  <c r="C19694" i="2"/>
  <c r="C19693" i="2"/>
  <c r="C19692" i="2"/>
  <c r="C19691" i="2"/>
  <c r="C19690" i="2"/>
  <c r="C19689" i="2"/>
  <c r="C19687" i="2"/>
  <c r="C19685" i="2"/>
  <c r="C19683" i="2"/>
  <c r="C19681" i="2"/>
  <c r="C19677" i="2"/>
  <c r="C19675" i="2"/>
  <c r="C19674" i="2"/>
  <c r="C19672" i="2"/>
  <c r="C19671" i="2"/>
  <c r="C19669" i="2"/>
  <c r="C19665" i="2"/>
  <c r="C19664" i="2"/>
  <c r="C19661" i="2"/>
  <c r="C19657" i="2"/>
  <c r="C19655" i="2"/>
  <c r="C19654" i="2"/>
  <c r="C19653" i="2"/>
  <c r="C19652" i="2"/>
  <c r="C19651" i="2"/>
  <c r="C19650" i="2"/>
  <c r="C19644" i="2"/>
  <c r="C19643" i="2"/>
  <c r="C19639" i="2"/>
  <c r="C19638" i="2"/>
  <c r="C19636" i="2"/>
  <c r="C19634" i="2"/>
  <c r="C19630" i="2"/>
  <c r="C19623" i="2"/>
  <c r="C19622" i="2"/>
  <c r="C19619" i="2"/>
  <c r="C19618" i="2"/>
  <c r="C19617" i="2"/>
  <c r="C19616" i="2"/>
  <c r="C19615" i="2"/>
  <c r="C19614" i="2"/>
  <c r="C19604" i="2"/>
  <c r="C19601" i="2"/>
  <c r="C19599" i="2"/>
  <c r="C19597" i="2"/>
  <c r="C19596" i="2"/>
  <c r="C19595" i="2"/>
  <c r="C19593" i="2"/>
  <c r="C19592" i="2"/>
  <c r="C19590" i="2"/>
  <c r="C19589" i="2"/>
  <c r="C19587" i="2"/>
  <c r="C19586" i="2"/>
  <c r="C19583" i="2"/>
  <c r="C19582" i="2"/>
  <c r="C19581" i="2"/>
  <c r="C19580" i="2"/>
  <c r="C19576" i="2"/>
  <c r="C19575" i="2"/>
  <c r="C19571" i="2"/>
  <c r="C19570" i="2"/>
  <c r="C19569" i="2"/>
  <c r="C19565" i="2"/>
  <c r="C19564" i="2"/>
  <c r="C19555" i="2"/>
  <c r="C19553" i="2"/>
  <c r="C19552" i="2"/>
  <c r="C19551" i="2"/>
  <c r="C19549" i="2"/>
  <c r="C19548" i="2"/>
  <c r="C19545" i="2"/>
  <c r="C19543" i="2"/>
  <c r="C19541" i="2"/>
  <c r="C19539" i="2"/>
  <c r="C19525" i="2"/>
  <c r="C19524" i="2"/>
  <c r="C19514" i="2"/>
  <c r="C19512" i="2"/>
  <c r="C19510" i="2"/>
  <c r="C19506" i="2"/>
  <c r="C19505" i="2"/>
  <c r="C19503" i="2"/>
  <c r="C19502" i="2"/>
  <c r="C19501" i="2"/>
  <c r="C19497" i="2"/>
  <c r="C19496" i="2"/>
  <c r="C19495" i="2"/>
  <c r="C19494" i="2"/>
  <c r="C19492" i="2"/>
  <c r="C19491" i="2"/>
  <c r="C19490" i="2"/>
  <c r="C19489" i="2"/>
  <c r="C19488" i="2"/>
  <c r="C19487" i="2"/>
  <c r="C19483" i="2"/>
  <c r="C19479" i="2"/>
  <c r="C19478" i="2"/>
  <c r="C19476" i="2"/>
  <c r="C19471" i="2"/>
  <c r="C19470" i="2"/>
  <c r="C19468" i="2"/>
  <c r="C19467" i="2"/>
  <c r="C19466" i="2"/>
  <c r="C19465" i="2"/>
  <c r="C19464" i="2"/>
  <c r="C19462" i="2"/>
  <c r="C19461" i="2"/>
  <c r="C19457" i="2"/>
  <c r="C19455" i="2"/>
  <c r="C19454" i="2"/>
  <c r="C19453" i="2"/>
  <c r="C19449" i="2"/>
  <c r="C19448" i="2"/>
  <c r="C19444" i="2"/>
  <c r="C19432" i="2"/>
  <c r="C19428" i="2"/>
  <c r="C19426" i="2"/>
  <c r="C19425" i="2"/>
  <c r="C19423" i="2"/>
  <c r="C19420" i="2"/>
  <c r="C19419" i="2"/>
  <c r="C19418" i="2"/>
  <c r="C19416" i="2"/>
  <c r="C19414" i="2"/>
  <c r="C19412" i="2"/>
  <c r="C19403" i="2"/>
  <c r="C19399" i="2"/>
  <c r="C19398" i="2"/>
  <c r="C19397" i="2"/>
  <c r="C19396" i="2"/>
  <c r="C19395" i="2"/>
  <c r="C19394" i="2"/>
  <c r="C19392" i="2"/>
  <c r="C19390" i="2"/>
  <c r="C19385" i="2"/>
  <c r="C19383" i="2"/>
  <c r="C19382" i="2"/>
  <c r="C19381" i="2"/>
  <c r="C19375" i="2"/>
  <c r="C19370" i="2"/>
  <c r="C19369" i="2"/>
  <c r="C19368" i="2"/>
  <c r="C19366" i="2"/>
  <c r="C19362" i="2"/>
  <c r="C19356" i="2"/>
  <c r="C19353" i="2"/>
  <c r="C19352" i="2"/>
  <c r="C19351" i="2"/>
  <c r="C19350" i="2"/>
  <c r="C19346" i="2"/>
  <c r="C19341" i="2"/>
  <c r="C19338" i="2"/>
  <c r="C19336" i="2"/>
  <c r="C19333" i="2"/>
  <c r="C19331" i="2"/>
  <c r="C19330" i="2"/>
  <c r="C19319" i="2"/>
  <c r="C19315" i="2"/>
  <c r="C19314" i="2"/>
  <c r="C19313" i="2"/>
  <c r="C19311" i="2"/>
  <c r="C19308" i="2"/>
  <c r="C19307" i="2"/>
  <c r="C19305" i="2"/>
  <c r="C19304" i="2"/>
  <c r="C19299" i="2"/>
  <c r="C19298" i="2"/>
  <c r="C19297" i="2"/>
  <c r="C19284" i="2"/>
  <c r="C19282" i="2"/>
  <c r="C19281" i="2"/>
  <c r="C19276" i="2"/>
  <c r="C19275" i="2"/>
  <c r="C19273" i="2"/>
  <c r="C19272" i="2"/>
  <c r="C19269" i="2"/>
  <c r="C19268" i="2"/>
  <c r="C19264" i="2"/>
  <c r="C19261" i="2"/>
  <c r="C19260" i="2"/>
  <c r="C19259" i="2"/>
  <c r="C19258" i="2"/>
  <c r="C19255" i="2"/>
  <c r="C19254" i="2"/>
  <c r="C19253" i="2"/>
  <c r="C19250" i="2"/>
  <c r="C19245" i="2"/>
  <c r="C19244" i="2"/>
  <c r="C19243" i="2"/>
  <c r="C19241" i="2"/>
  <c r="C19234" i="2"/>
  <c r="C19229" i="2"/>
  <c r="C19228" i="2"/>
  <c r="C19226" i="2"/>
  <c r="C19225" i="2"/>
  <c r="C19223" i="2"/>
  <c r="C19219" i="2"/>
  <c r="C19218" i="2"/>
  <c r="C19216" i="2"/>
  <c r="C19213" i="2"/>
  <c r="C19212" i="2"/>
  <c r="C19206" i="2"/>
  <c r="C19204" i="2"/>
  <c r="C19202" i="2"/>
  <c r="C19194" i="2"/>
  <c r="C19193" i="2"/>
  <c r="C19191" i="2"/>
  <c r="C19188" i="2"/>
  <c r="C19184" i="2"/>
  <c r="C19183" i="2"/>
  <c r="C19178" i="2"/>
  <c r="C19176" i="2"/>
  <c r="C19174" i="2"/>
  <c r="C19172" i="2"/>
  <c r="C19165" i="2"/>
  <c r="C19164" i="2"/>
  <c r="C19163" i="2"/>
  <c r="C19162" i="2"/>
  <c r="C19161" i="2"/>
  <c r="C19160" i="2"/>
  <c r="C19159" i="2"/>
  <c r="C19157" i="2"/>
  <c r="C19156" i="2"/>
  <c r="C19154" i="2"/>
  <c r="C19153" i="2"/>
  <c r="C19152" i="2"/>
  <c r="C19151" i="2"/>
  <c r="C19150" i="2"/>
  <c r="C19149" i="2"/>
  <c r="C19147" i="2"/>
  <c r="C19144" i="2"/>
  <c r="C19143" i="2"/>
  <c r="C19139" i="2"/>
  <c r="C19138" i="2"/>
  <c r="C19136" i="2"/>
  <c r="C19132" i="2"/>
  <c r="C19130" i="2"/>
  <c r="C19126" i="2"/>
  <c r="C19122" i="2"/>
  <c r="C19121" i="2"/>
  <c r="C19117" i="2"/>
  <c r="C19115" i="2"/>
  <c r="C19114" i="2"/>
  <c r="C19112" i="2"/>
  <c r="C19111" i="2"/>
  <c r="C19110" i="2"/>
  <c r="C19109" i="2"/>
  <c r="C19108" i="2"/>
  <c r="C19107" i="2"/>
  <c r="C19106" i="2"/>
  <c r="C19105" i="2"/>
  <c r="C19104" i="2"/>
  <c r="C19103" i="2"/>
  <c r="C19096" i="2"/>
  <c r="C19094" i="2"/>
  <c r="C19091" i="2"/>
  <c r="C19089" i="2"/>
  <c r="C19088" i="2"/>
  <c r="C19085" i="2"/>
  <c r="C19083" i="2"/>
  <c r="C19081" i="2"/>
  <c r="C19080" i="2"/>
  <c r="C19077" i="2"/>
  <c r="C19076" i="2"/>
  <c r="C19072" i="2"/>
  <c r="C19071" i="2"/>
  <c r="C19069" i="2"/>
  <c r="C19066" i="2"/>
  <c r="C19065" i="2"/>
  <c r="C19063" i="2"/>
  <c r="C19060" i="2"/>
  <c r="C19057" i="2"/>
  <c r="C19056" i="2"/>
  <c r="C19055" i="2"/>
  <c r="C19053" i="2"/>
  <c r="C19051" i="2"/>
  <c r="C19050" i="2"/>
  <c r="C19048" i="2"/>
  <c r="C19047" i="2"/>
  <c r="C19046" i="2"/>
  <c r="C19045" i="2"/>
  <c r="C19041" i="2"/>
  <c r="C19040" i="2"/>
  <c r="C19038" i="2"/>
  <c r="C19032" i="2"/>
  <c r="C19029" i="2"/>
  <c r="C19025" i="2"/>
  <c r="C19024" i="2"/>
  <c r="C19023" i="2"/>
  <c r="C19022" i="2"/>
  <c r="C19018" i="2"/>
  <c r="C19010" i="2"/>
  <c r="C19008" i="2"/>
  <c r="C19004" i="2"/>
  <c r="C19003" i="2"/>
  <c r="C19000" i="2"/>
  <c r="C18999" i="2"/>
  <c r="C18998" i="2"/>
  <c r="C18997" i="2"/>
  <c r="C18993" i="2"/>
  <c r="C18989" i="2"/>
  <c r="C18986" i="2"/>
  <c r="C18977" i="2"/>
  <c r="C18973" i="2"/>
  <c r="C18970" i="2"/>
  <c r="C18969" i="2"/>
  <c r="C18966" i="2"/>
  <c r="C18964" i="2"/>
  <c r="C18960" i="2"/>
  <c r="C18959" i="2"/>
  <c r="C18956" i="2"/>
  <c r="C18955" i="2"/>
  <c r="C18954" i="2"/>
  <c r="C18953" i="2"/>
  <c r="C18945" i="2"/>
  <c r="C18944" i="2"/>
  <c r="C18943" i="2"/>
  <c r="C18942" i="2"/>
  <c r="C18940" i="2"/>
  <c r="C18939" i="2"/>
  <c r="C18937" i="2"/>
  <c r="C18936" i="2"/>
  <c r="C18932" i="2"/>
  <c r="C18929" i="2"/>
  <c r="C18927" i="2"/>
  <c r="C18926" i="2"/>
  <c r="C18922" i="2"/>
  <c r="C18921" i="2"/>
  <c r="C18916" i="2"/>
  <c r="C18915" i="2"/>
  <c r="C18914" i="2"/>
  <c r="C18912" i="2"/>
  <c r="C18911" i="2"/>
  <c r="C18910" i="2"/>
  <c r="C18909" i="2"/>
  <c r="C18903" i="2"/>
  <c r="C18902" i="2"/>
  <c r="C18896" i="2"/>
  <c r="C18895" i="2"/>
  <c r="C18894" i="2"/>
  <c r="C18893" i="2"/>
  <c r="C18892" i="2"/>
  <c r="C18891" i="2"/>
  <c r="C18889" i="2"/>
  <c r="C18888" i="2"/>
  <c r="C18887" i="2"/>
  <c r="C18885" i="2"/>
  <c r="C18877" i="2"/>
  <c r="C18875" i="2"/>
  <c r="C18874" i="2"/>
  <c r="C18870" i="2"/>
  <c r="C18867" i="2"/>
  <c r="C18864" i="2"/>
  <c r="C18863" i="2"/>
  <c r="C18860" i="2"/>
  <c r="C18856" i="2"/>
  <c r="C18849" i="2"/>
  <c r="C18844" i="2"/>
  <c r="C18841" i="2"/>
  <c r="C18839" i="2"/>
  <c r="C18837" i="2"/>
  <c r="C18835" i="2"/>
  <c r="C18834" i="2"/>
  <c r="C18832" i="2"/>
  <c r="C18831" i="2"/>
  <c r="C18830" i="2"/>
  <c r="C18829" i="2"/>
  <c r="C18828" i="2"/>
  <c r="C18827" i="2"/>
  <c r="C18826" i="2"/>
  <c r="C18825" i="2"/>
  <c r="C18822" i="2"/>
  <c r="C18820" i="2"/>
  <c r="C18817" i="2"/>
  <c r="C18816" i="2"/>
  <c r="C18815" i="2"/>
  <c r="C18811" i="2"/>
  <c r="C18810" i="2"/>
  <c r="C18809" i="2"/>
  <c r="C18808" i="2"/>
  <c r="C18807" i="2"/>
  <c r="C18804" i="2"/>
  <c r="C18801" i="2"/>
  <c r="C18799" i="2"/>
  <c r="C18798" i="2"/>
  <c r="C18795" i="2"/>
  <c r="C18794" i="2"/>
  <c r="C18793" i="2"/>
  <c r="C18791" i="2"/>
  <c r="C18790" i="2"/>
  <c r="C18788" i="2"/>
  <c r="C18787" i="2"/>
  <c r="C18786" i="2"/>
  <c r="C18785" i="2"/>
  <c r="C18783" i="2"/>
  <c r="C18782" i="2"/>
  <c r="C18780" i="2"/>
  <c r="C18779" i="2"/>
  <c r="C18777" i="2"/>
  <c r="C18776" i="2"/>
  <c r="C18775" i="2"/>
  <c r="C18773" i="2"/>
  <c r="C18772" i="2"/>
  <c r="C18771" i="2"/>
  <c r="C18769" i="2"/>
  <c r="C18768" i="2"/>
  <c r="C18764" i="2"/>
  <c r="C18762" i="2"/>
  <c r="C18761" i="2"/>
  <c r="C18759" i="2"/>
  <c r="C18758" i="2"/>
  <c r="C18757" i="2"/>
  <c r="C18756" i="2"/>
  <c r="C18755" i="2"/>
  <c r="C18752" i="2"/>
  <c r="C18751" i="2"/>
  <c r="C18749" i="2"/>
  <c r="C18746" i="2"/>
  <c r="C18745" i="2"/>
  <c r="C18738" i="2"/>
  <c r="C18731" i="2"/>
  <c r="C18722" i="2"/>
  <c r="C18720" i="2"/>
  <c r="C18717" i="2"/>
  <c r="C18715" i="2"/>
  <c r="C18708" i="2"/>
  <c r="C18706" i="2"/>
  <c r="C18705" i="2"/>
  <c r="C18704" i="2"/>
  <c r="C18703" i="2"/>
  <c r="C18702" i="2"/>
  <c r="C18701" i="2"/>
  <c r="C18700" i="2"/>
  <c r="C18699" i="2"/>
  <c r="C18693" i="2"/>
  <c r="C18691" i="2"/>
  <c r="C18690" i="2"/>
  <c r="C18689" i="2"/>
  <c r="C18687" i="2"/>
  <c r="C18685" i="2"/>
  <c r="C18684" i="2"/>
  <c r="C18683" i="2"/>
  <c r="C18681" i="2"/>
  <c r="C18679" i="2"/>
  <c r="C18678" i="2"/>
  <c r="C18676" i="2"/>
  <c r="C18671" i="2"/>
  <c r="C18669" i="2"/>
  <c r="C18658" i="2"/>
  <c r="C18657" i="2"/>
  <c r="C18653" i="2"/>
  <c r="C18652" i="2"/>
  <c r="C18649" i="2"/>
  <c r="C18648" i="2"/>
  <c r="C18644" i="2"/>
  <c r="C18642" i="2"/>
  <c r="C18641" i="2"/>
  <c r="C18640" i="2"/>
  <c r="C18634" i="2"/>
  <c r="C18632" i="2"/>
  <c r="C18631" i="2"/>
  <c r="C18630" i="2"/>
  <c r="C18627" i="2"/>
  <c r="C18625" i="2"/>
  <c r="C18617" i="2"/>
  <c r="C18613" i="2"/>
  <c r="C18612" i="2"/>
  <c r="C18611" i="2"/>
  <c r="C18610" i="2"/>
  <c r="C18609" i="2"/>
  <c r="C18608" i="2"/>
  <c r="C18607" i="2"/>
  <c r="C18606" i="2"/>
  <c r="C18602" i="2"/>
  <c r="C18600" i="2"/>
  <c r="C18598" i="2"/>
  <c r="C18597" i="2"/>
  <c r="C18596" i="2"/>
  <c r="C18595" i="2"/>
  <c r="C18593" i="2"/>
  <c r="C18592" i="2"/>
  <c r="C18591" i="2"/>
  <c r="C18590" i="2"/>
  <c r="C18589" i="2"/>
  <c r="C18586" i="2"/>
  <c r="C18585" i="2"/>
  <c r="C18582" i="2"/>
  <c r="C18581" i="2"/>
  <c r="C18580" i="2"/>
  <c r="C18578" i="2"/>
  <c r="C18576" i="2"/>
  <c r="C18571" i="2"/>
  <c r="C18566" i="2"/>
  <c r="C18562" i="2"/>
  <c r="C18558" i="2"/>
  <c r="C18554" i="2"/>
  <c r="C18544" i="2"/>
  <c r="C18543" i="2"/>
  <c r="C18541" i="2"/>
  <c r="C18537" i="2"/>
  <c r="C18536" i="2"/>
  <c r="C18531" i="2"/>
  <c r="C18527" i="2"/>
  <c r="C18524" i="2"/>
  <c r="C18523" i="2"/>
  <c r="C18522" i="2"/>
  <c r="C18520" i="2"/>
  <c r="C18515" i="2"/>
  <c r="C18514" i="2"/>
  <c r="C18513" i="2"/>
  <c r="C18509" i="2"/>
  <c r="C18508" i="2"/>
  <c r="C18507" i="2"/>
  <c r="C18506" i="2"/>
  <c r="C18504" i="2"/>
  <c r="C18502" i="2"/>
  <c r="C18496" i="2"/>
  <c r="C18495" i="2"/>
  <c r="C18494" i="2"/>
  <c r="C18491" i="2"/>
  <c r="C18487" i="2"/>
  <c r="C18485" i="2"/>
  <c r="C18484" i="2"/>
  <c r="C18479" i="2"/>
  <c r="C18478" i="2"/>
  <c r="C18477" i="2"/>
  <c r="C18475" i="2"/>
  <c r="C18470" i="2"/>
  <c r="C18469" i="2"/>
  <c r="C18468" i="2"/>
  <c r="C18467" i="2"/>
  <c r="C18464" i="2"/>
  <c r="C18462" i="2"/>
  <c r="C18459" i="2"/>
  <c r="C18458" i="2"/>
  <c r="C18453" i="2"/>
  <c r="C18452" i="2"/>
  <c r="C18451" i="2"/>
  <c r="C18444" i="2"/>
  <c r="C18443" i="2"/>
  <c r="C18441" i="2"/>
  <c r="C18439" i="2"/>
  <c r="C18438" i="2"/>
  <c r="C18435" i="2"/>
  <c r="C18433" i="2"/>
  <c r="C18432" i="2"/>
  <c r="C18430" i="2"/>
  <c r="C18428" i="2"/>
  <c r="C18425" i="2"/>
  <c r="C18422" i="2"/>
  <c r="C18420" i="2"/>
  <c r="C18418" i="2"/>
  <c r="C18417" i="2"/>
  <c r="C18414" i="2"/>
  <c r="C18413" i="2"/>
  <c r="C18412" i="2"/>
  <c r="C18409" i="2"/>
  <c r="C18407" i="2"/>
  <c r="C18401" i="2"/>
  <c r="C18397" i="2"/>
  <c r="C18394" i="2"/>
  <c r="C18389" i="2"/>
  <c r="C18388" i="2"/>
  <c r="C18381" i="2"/>
  <c r="C18374" i="2"/>
  <c r="C18371" i="2"/>
  <c r="C18367" i="2"/>
  <c r="C18362" i="2"/>
  <c r="C18360" i="2"/>
  <c r="C18359" i="2"/>
  <c r="C18353" i="2"/>
  <c r="C18351" i="2"/>
  <c r="C18346" i="2"/>
  <c r="C18340" i="2"/>
  <c r="C18336" i="2"/>
  <c r="C18335" i="2"/>
  <c r="C18332" i="2"/>
  <c r="C18329" i="2"/>
  <c r="C18322" i="2"/>
  <c r="C18316" i="2"/>
  <c r="C18315" i="2"/>
  <c r="C18313" i="2"/>
  <c r="C18305" i="2"/>
  <c r="C18298" i="2"/>
  <c r="C18296" i="2"/>
  <c r="C18295" i="2"/>
  <c r="C18285" i="2"/>
  <c r="C18283" i="2"/>
  <c r="C18279" i="2"/>
  <c r="C18276" i="2"/>
  <c r="C18273" i="2"/>
  <c r="C18270" i="2"/>
  <c r="C18266" i="2"/>
  <c r="C18262" i="2"/>
  <c r="C18260" i="2"/>
  <c r="C18259" i="2"/>
  <c r="C18258" i="2"/>
  <c r="C18257" i="2"/>
  <c r="C18246" i="2"/>
  <c r="C18240" i="2"/>
  <c r="C18236" i="2"/>
  <c r="C18235" i="2"/>
  <c r="C18233" i="2"/>
  <c r="C18232" i="2"/>
  <c r="C18231" i="2"/>
  <c r="C18230" i="2"/>
  <c r="C18220" i="2"/>
  <c r="C18218" i="2"/>
  <c r="C18216" i="2"/>
  <c r="C18215" i="2"/>
  <c r="C18214" i="2"/>
  <c r="C18213" i="2"/>
  <c r="C18211" i="2"/>
  <c r="C18209" i="2"/>
  <c r="C18208" i="2"/>
  <c r="C18207" i="2"/>
  <c r="C18206" i="2"/>
  <c r="C18201" i="2"/>
  <c r="C18199" i="2"/>
  <c r="C18196" i="2"/>
  <c r="C18194" i="2"/>
  <c r="C18193" i="2"/>
  <c r="C18191" i="2"/>
  <c r="C18190" i="2"/>
  <c r="C18186" i="2"/>
  <c r="C18185" i="2"/>
  <c r="C18184" i="2"/>
  <c r="C18183" i="2"/>
  <c r="C18182" i="2"/>
  <c r="C18180" i="2"/>
  <c r="C18179" i="2"/>
  <c r="C18178" i="2"/>
  <c r="C18177" i="2"/>
  <c r="C18175" i="2"/>
  <c r="C18173" i="2"/>
  <c r="C18172" i="2"/>
  <c r="C18168" i="2"/>
  <c r="C18167" i="2"/>
  <c r="C18165" i="2"/>
  <c r="C18161" i="2"/>
  <c r="C18160" i="2"/>
  <c r="C18157" i="2"/>
  <c r="C18152" i="2"/>
  <c r="C18151" i="2"/>
  <c r="C18146" i="2"/>
  <c r="C18144" i="2"/>
  <c r="C18140" i="2"/>
  <c r="C18139" i="2"/>
  <c r="C18135" i="2"/>
  <c r="C18133" i="2"/>
  <c r="C18130" i="2"/>
  <c r="C18129" i="2"/>
  <c r="C18128" i="2"/>
  <c r="C18127" i="2"/>
  <c r="C18125" i="2"/>
  <c r="C18124" i="2"/>
  <c r="C18122" i="2"/>
  <c r="C18119" i="2"/>
  <c r="C18118" i="2"/>
  <c r="C18117" i="2"/>
  <c r="C18116" i="2"/>
  <c r="C18109" i="2"/>
  <c r="C18099" i="2"/>
  <c r="C18098" i="2"/>
  <c r="C18095" i="2"/>
  <c r="C18094" i="2"/>
  <c r="C18093" i="2"/>
  <c r="C18092" i="2"/>
  <c r="C18090" i="2"/>
  <c r="C18089" i="2"/>
  <c r="C18088" i="2"/>
  <c r="C18086" i="2"/>
  <c r="C18081" i="2"/>
  <c r="C18079" i="2"/>
  <c r="C18078" i="2"/>
  <c r="C18076" i="2"/>
  <c r="C18075" i="2"/>
  <c r="C18074" i="2"/>
  <c r="C18072" i="2"/>
  <c r="C18069" i="2"/>
  <c r="C18068" i="2"/>
  <c r="C18066" i="2"/>
  <c r="C18065" i="2"/>
  <c r="C18064" i="2"/>
  <c r="C18063" i="2"/>
  <c r="C18061" i="2"/>
  <c r="C18060" i="2"/>
  <c r="C18059" i="2"/>
  <c r="C18057" i="2"/>
  <c r="C18055" i="2"/>
  <c r="C18050" i="2"/>
  <c r="C18049" i="2"/>
  <c r="C18048" i="2"/>
  <c r="C18046" i="2"/>
  <c r="C18045" i="2"/>
  <c r="C18042" i="2"/>
  <c r="C18040" i="2"/>
  <c r="C18037" i="2"/>
  <c r="C18036" i="2"/>
  <c r="C18035" i="2"/>
  <c r="C18032" i="2"/>
  <c r="C18031" i="2"/>
  <c r="C18024" i="2"/>
  <c r="C18023" i="2"/>
  <c r="C18022" i="2"/>
  <c r="C18021" i="2"/>
  <c r="C18016" i="2"/>
  <c r="C18010" i="2"/>
  <c r="C18008" i="2"/>
  <c r="C18006" i="2"/>
  <c r="C18003" i="2"/>
  <c r="C17995" i="2"/>
  <c r="C17993" i="2"/>
  <c r="C17992" i="2"/>
  <c r="C17991" i="2"/>
  <c r="C17989" i="2"/>
  <c r="C17988" i="2"/>
  <c r="C17979" i="2"/>
  <c r="C17976" i="2"/>
  <c r="C17961" i="2"/>
  <c r="C17958" i="2"/>
  <c r="C17957" i="2"/>
  <c r="C17953" i="2"/>
  <c r="C17950" i="2"/>
  <c r="C17949" i="2"/>
  <c r="C17948" i="2"/>
  <c r="C17946" i="2"/>
  <c r="C17945" i="2"/>
  <c r="C17943" i="2"/>
  <c r="C17940" i="2"/>
  <c r="C17937" i="2"/>
  <c r="C17936" i="2"/>
  <c r="C17935" i="2"/>
  <c r="C17933" i="2"/>
  <c r="C17932" i="2"/>
  <c r="C17931" i="2"/>
  <c r="C17929" i="2"/>
  <c r="C17928" i="2"/>
  <c r="C17926" i="2"/>
  <c r="C17925" i="2"/>
  <c r="C17924" i="2"/>
  <c r="C17923" i="2"/>
  <c r="C17922" i="2"/>
  <c r="C17921" i="2"/>
  <c r="C17918" i="2"/>
  <c r="C17917" i="2"/>
  <c r="C17914" i="2"/>
  <c r="C17912" i="2"/>
  <c r="C17910" i="2"/>
  <c r="C17907" i="2"/>
  <c r="C17903" i="2"/>
  <c r="C17901" i="2"/>
  <c r="C17898" i="2"/>
  <c r="C17894" i="2"/>
  <c r="C17891" i="2"/>
  <c r="C17887" i="2"/>
  <c r="C17884" i="2"/>
  <c r="C17883" i="2"/>
  <c r="C17881" i="2"/>
  <c r="C17878" i="2"/>
  <c r="C17877" i="2"/>
  <c r="C17876" i="2"/>
  <c r="C17872" i="2"/>
  <c r="C17870" i="2"/>
  <c r="C17868" i="2"/>
  <c r="C17867" i="2"/>
  <c r="C17866" i="2"/>
  <c r="C17865" i="2"/>
  <c r="C17862" i="2"/>
  <c r="C17861" i="2"/>
  <c r="C17856" i="2"/>
  <c r="C17855" i="2"/>
  <c r="C17852" i="2"/>
  <c r="C17850" i="2"/>
  <c r="C17849" i="2"/>
  <c r="C17847" i="2"/>
  <c r="C17845" i="2"/>
  <c r="C17842" i="2"/>
  <c r="C17841" i="2"/>
  <c r="C17840" i="2"/>
  <c r="C17838" i="2"/>
  <c r="C17837" i="2"/>
  <c r="C17832" i="2"/>
  <c r="C17828" i="2"/>
  <c r="C17825" i="2"/>
  <c r="C17820" i="2"/>
  <c r="C17818" i="2"/>
  <c r="C17817" i="2"/>
  <c r="C17815" i="2"/>
  <c r="C17811" i="2"/>
  <c r="C17806" i="2"/>
  <c r="C17805" i="2"/>
  <c r="C17794" i="2"/>
  <c r="C17787" i="2"/>
  <c r="C17784" i="2"/>
  <c r="C17783" i="2"/>
  <c r="C17781" i="2"/>
  <c r="C17780" i="2"/>
  <c r="C17779" i="2"/>
  <c r="C17778" i="2"/>
  <c r="C17777" i="2"/>
  <c r="C17775" i="2"/>
  <c r="C17774" i="2"/>
  <c r="C17771" i="2"/>
  <c r="C17765" i="2"/>
  <c r="C17764" i="2"/>
  <c r="C17763" i="2"/>
  <c r="C17762" i="2"/>
  <c r="C17760" i="2"/>
  <c r="C17758" i="2"/>
  <c r="C17757" i="2"/>
  <c r="C17755" i="2"/>
  <c r="C17754" i="2"/>
  <c r="C17753" i="2"/>
  <c r="C17749" i="2"/>
  <c r="C17748" i="2"/>
  <c r="C17747" i="2"/>
  <c r="C17746" i="2"/>
  <c r="C17745" i="2"/>
  <c r="C17743" i="2"/>
  <c r="C17742" i="2"/>
  <c r="C17736" i="2"/>
  <c r="C17735" i="2"/>
  <c r="C17734" i="2"/>
  <c r="C17732" i="2"/>
  <c r="C17731" i="2"/>
  <c r="C17730" i="2"/>
  <c r="C17729" i="2"/>
  <c r="C17727" i="2"/>
  <c r="C17725" i="2"/>
  <c r="C17720" i="2"/>
  <c r="C17718" i="2"/>
  <c r="C17717" i="2"/>
  <c r="C17714" i="2"/>
  <c r="C17713" i="2"/>
  <c r="C17711" i="2"/>
  <c r="C17709" i="2"/>
  <c r="C17707" i="2"/>
  <c r="C17702" i="2"/>
  <c r="C17700" i="2"/>
  <c r="C17698" i="2"/>
  <c r="C17692" i="2"/>
  <c r="C17690" i="2"/>
  <c r="C17688" i="2"/>
  <c r="C17687" i="2"/>
  <c r="C17686" i="2"/>
  <c r="C17685" i="2"/>
  <c r="C17684" i="2"/>
  <c r="C17683" i="2"/>
  <c r="C17682" i="2"/>
  <c r="C17681" i="2"/>
  <c r="C17679" i="2"/>
  <c r="C17676" i="2"/>
  <c r="C17675" i="2"/>
  <c r="C17673" i="2"/>
  <c r="C17669" i="2"/>
  <c r="C17663" i="2"/>
  <c r="C17659" i="2"/>
  <c r="C17654" i="2"/>
  <c r="C17652" i="2"/>
  <c r="C17650" i="2"/>
  <c r="C17644" i="2"/>
  <c r="C17642" i="2"/>
  <c r="C17641" i="2"/>
  <c r="C17637" i="2"/>
  <c r="C17636" i="2"/>
  <c r="C17629" i="2"/>
  <c r="C17627" i="2"/>
  <c r="C17624" i="2"/>
  <c r="C17623" i="2"/>
  <c r="C17622" i="2"/>
  <c r="C17619" i="2"/>
  <c r="C17617" i="2"/>
  <c r="C17616" i="2"/>
  <c r="C17609" i="2"/>
  <c r="C17608" i="2"/>
  <c r="C17607" i="2"/>
  <c r="C17606" i="2"/>
  <c r="C17605" i="2"/>
  <c r="C17604" i="2"/>
  <c r="C17602" i="2"/>
  <c r="C17601" i="2"/>
  <c r="C17600" i="2"/>
  <c r="C17599" i="2"/>
  <c r="C17595" i="2"/>
  <c r="C17594" i="2"/>
  <c r="C17593" i="2"/>
  <c r="C17590" i="2"/>
  <c r="C17588" i="2"/>
  <c r="C17587" i="2"/>
  <c r="C17586" i="2"/>
  <c r="C17584" i="2"/>
  <c r="C17583" i="2"/>
  <c r="C17582" i="2"/>
  <c r="C17578" i="2"/>
  <c r="C17575" i="2"/>
  <c r="C17574" i="2"/>
  <c r="C17573" i="2"/>
  <c r="C17572" i="2"/>
  <c r="C17571" i="2"/>
  <c r="C17570" i="2"/>
  <c r="C17566" i="2"/>
  <c r="C17564" i="2"/>
  <c r="C17563" i="2"/>
  <c r="C17561" i="2"/>
  <c r="C17558" i="2"/>
  <c r="C17557" i="2"/>
  <c r="C17556" i="2"/>
  <c r="C17555" i="2"/>
  <c r="C17550" i="2"/>
  <c r="C17548" i="2"/>
  <c r="C17545" i="2"/>
  <c r="C17543" i="2"/>
  <c r="C17542" i="2"/>
  <c r="C17540" i="2"/>
  <c r="C17539" i="2"/>
  <c r="C17538" i="2"/>
  <c r="C17537" i="2"/>
  <c r="C17533" i="2"/>
  <c r="C17529" i="2"/>
  <c r="C17524" i="2"/>
  <c r="C17521" i="2"/>
  <c r="C17520" i="2"/>
  <c r="C17516" i="2"/>
  <c r="C17515" i="2"/>
  <c r="C17513" i="2"/>
  <c r="C17512" i="2"/>
  <c r="C17509" i="2"/>
  <c r="C17500" i="2"/>
  <c r="C17497" i="2"/>
  <c r="C17496" i="2"/>
  <c r="C17495" i="2"/>
  <c r="C17492" i="2"/>
  <c r="C17491" i="2"/>
  <c r="C17490" i="2"/>
  <c r="C17487" i="2"/>
  <c r="C17484" i="2"/>
  <c r="C17481" i="2"/>
  <c r="C17480" i="2"/>
  <c r="C17479" i="2"/>
  <c r="C17478" i="2"/>
  <c r="C17475" i="2"/>
  <c r="C17472" i="2"/>
  <c r="C17470" i="2"/>
  <c r="C17469" i="2"/>
  <c r="C17467" i="2"/>
  <c r="C17466" i="2"/>
  <c r="C17463" i="2"/>
  <c r="C17462" i="2"/>
  <c r="C17461" i="2"/>
  <c r="C17459" i="2"/>
  <c r="C17457" i="2"/>
  <c r="C17456" i="2"/>
  <c r="C17455" i="2"/>
  <c r="C17452" i="2"/>
  <c r="C17449" i="2"/>
  <c r="C17444" i="2"/>
  <c r="C17443" i="2"/>
  <c r="C17442" i="2"/>
  <c r="C17441" i="2"/>
  <c r="C17439" i="2"/>
  <c r="C17437" i="2"/>
  <c r="C17436" i="2"/>
  <c r="C17435" i="2"/>
  <c r="C17434" i="2"/>
  <c r="C17433" i="2"/>
  <c r="C17431" i="2"/>
  <c r="C17428" i="2"/>
  <c r="C17427" i="2"/>
  <c r="C17426" i="2"/>
  <c r="C17425" i="2"/>
  <c r="C17424" i="2"/>
  <c r="C17422" i="2"/>
  <c r="C17421" i="2"/>
  <c r="C17418" i="2"/>
  <c r="C17416" i="2"/>
  <c r="C17415" i="2"/>
  <c r="C17407" i="2"/>
  <c r="C17406" i="2"/>
  <c r="C17404" i="2"/>
  <c r="C17403" i="2"/>
  <c r="C17401" i="2"/>
  <c r="C17398" i="2"/>
  <c r="C17396" i="2"/>
  <c r="C17388" i="2"/>
  <c r="C17382" i="2"/>
  <c r="C17381" i="2"/>
  <c r="C17380" i="2"/>
  <c r="C17379" i="2"/>
  <c r="C17378" i="2"/>
  <c r="C17373" i="2"/>
  <c r="C17372" i="2"/>
  <c r="C17367" i="2"/>
  <c r="C17365" i="2"/>
  <c r="C17358" i="2"/>
  <c r="C17357" i="2"/>
  <c r="C17351" i="2"/>
  <c r="C17349" i="2"/>
  <c r="C17346" i="2"/>
  <c r="C17341" i="2"/>
  <c r="C17338" i="2"/>
  <c r="C17332" i="2"/>
  <c r="C17323" i="2"/>
  <c r="C17320" i="2"/>
  <c r="C17319" i="2"/>
  <c r="C17318" i="2"/>
  <c r="C17317" i="2"/>
  <c r="C17316" i="2"/>
  <c r="C17314" i="2"/>
  <c r="C17313" i="2"/>
  <c r="C17312" i="2"/>
  <c r="C17310" i="2"/>
  <c r="C17309" i="2"/>
  <c r="C17308" i="2"/>
  <c r="C17307" i="2"/>
  <c r="C17306" i="2"/>
  <c r="C17305" i="2"/>
  <c r="C17304" i="2"/>
  <c r="C17303" i="2"/>
  <c r="C17302" i="2"/>
  <c r="C17299" i="2"/>
  <c r="C17297" i="2"/>
  <c r="C17296" i="2"/>
  <c r="C17290" i="2"/>
  <c r="C17289" i="2"/>
  <c r="C17285" i="2"/>
  <c r="C17282" i="2"/>
  <c r="C17281" i="2"/>
  <c r="C17278" i="2"/>
  <c r="C17276" i="2"/>
  <c r="C17275" i="2"/>
  <c r="C17274" i="2"/>
  <c r="C17272" i="2"/>
  <c r="C17264" i="2"/>
  <c r="C17263" i="2"/>
  <c r="C17260" i="2"/>
  <c r="C17257" i="2"/>
  <c r="C17256" i="2"/>
  <c r="C17253" i="2"/>
  <c r="C17251" i="2"/>
  <c r="C17250" i="2"/>
  <c r="C17248" i="2"/>
  <c r="C17238" i="2"/>
  <c r="C17233" i="2"/>
  <c r="C17231" i="2"/>
  <c r="C17230" i="2"/>
  <c r="C17227" i="2"/>
  <c r="C17225" i="2"/>
  <c r="C17220" i="2"/>
  <c r="C17219" i="2"/>
  <c r="C17218" i="2"/>
  <c r="C17216" i="2"/>
  <c r="C17215" i="2"/>
  <c r="C17214" i="2"/>
  <c r="C17213" i="2"/>
  <c r="C17212" i="2"/>
  <c r="C17211" i="2"/>
  <c r="C17210" i="2"/>
  <c r="C17204" i="2"/>
  <c r="C17201" i="2"/>
  <c r="C17200" i="2"/>
  <c r="C17199" i="2"/>
  <c r="C17198" i="2"/>
  <c r="C17197" i="2"/>
  <c r="C17196" i="2"/>
  <c r="C17195" i="2"/>
  <c r="C17193" i="2"/>
  <c r="C17191" i="2"/>
  <c r="C17190" i="2"/>
  <c r="C17189" i="2"/>
  <c r="C17188" i="2"/>
  <c r="C17186" i="2"/>
  <c r="C17185" i="2"/>
  <c r="C17184" i="2"/>
  <c r="C17182" i="2"/>
  <c r="C17181" i="2"/>
  <c r="C17179" i="2"/>
  <c r="C17178" i="2"/>
  <c r="C17177" i="2"/>
  <c r="C17176" i="2"/>
  <c r="C17175" i="2"/>
  <c r="C17174" i="2"/>
  <c r="C17173" i="2"/>
  <c r="C17172" i="2"/>
  <c r="C17171" i="2"/>
  <c r="C17169" i="2"/>
  <c r="C17162" i="2"/>
  <c r="C17161" i="2"/>
  <c r="C17160" i="2"/>
  <c r="C17159" i="2"/>
  <c r="C17156" i="2"/>
  <c r="C17154" i="2"/>
  <c r="C17152" i="2"/>
  <c r="C17151" i="2"/>
  <c r="C17150" i="2"/>
  <c r="C17148" i="2"/>
  <c r="C17146" i="2"/>
  <c r="C17144" i="2"/>
  <c r="C17142" i="2"/>
  <c r="C17137" i="2"/>
  <c r="C17134" i="2"/>
  <c r="C17129" i="2"/>
  <c r="C17128" i="2"/>
  <c r="C17126" i="2"/>
  <c r="C17121" i="2"/>
  <c r="C17120" i="2"/>
  <c r="C17119" i="2"/>
  <c r="C17117" i="2"/>
  <c r="C17116" i="2"/>
  <c r="C17115" i="2"/>
  <c r="C17106" i="2"/>
  <c r="C17103" i="2"/>
  <c r="C17101" i="2"/>
  <c r="C17099" i="2"/>
  <c r="C17097" i="2"/>
  <c r="C17093" i="2"/>
  <c r="C17091" i="2"/>
  <c r="C17090" i="2"/>
  <c r="C17089" i="2"/>
  <c r="C17088" i="2"/>
  <c r="C17087" i="2"/>
  <c r="C17086" i="2"/>
  <c r="C17085" i="2"/>
  <c r="C17084" i="2"/>
  <c r="C17081" i="2"/>
  <c r="C17079" i="2"/>
  <c r="C17078" i="2"/>
  <c r="C17077" i="2"/>
  <c r="C17070" i="2"/>
  <c r="C17065" i="2"/>
  <c r="C17064" i="2"/>
  <c r="C17059" i="2"/>
  <c r="C17057" i="2"/>
  <c r="C17056" i="2"/>
  <c r="C17055" i="2"/>
  <c r="C17054" i="2"/>
  <c r="C17052" i="2"/>
  <c r="C17051" i="2"/>
  <c r="C17049" i="2"/>
  <c r="C17048" i="2"/>
  <c r="C17041" i="2"/>
  <c r="C17037" i="2"/>
  <c r="C17036" i="2"/>
  <c r="C17031" i="2"/>
  <c r="C17030" i="2"/>
  <c r="C17029" i="2"/>
  <c r="C17028" i="2"/>
  <c r="C17027" i="2"/>
  <c r="C17026" i="2"/>
  <c r="C17025" i="2"/>
  <c r="C17020" i="2"/>
  <c r="C17019" i="2"/>
  <c r="C17017" i="2"/>
  <c r="C17016" i="2"/>
  <c r="C17015" i="2"/>
  <c r="C17008" i="2"/>
  <c r="C17001" i="2"/>
  <c r="C17000" i="2"/>
  <c r="C16998" i="2"/>
  <c r="C16993" i="2"/>
  <c r="C16992" i="2"/>
  <c r="C16991" i="2"/>
  <c r="C16989" i="2"/>
  <c r="C16987" i="2"/>
  <c r="C16986" i="2"/>
  <c r="C16984" i="2"/>
  <c r="C16983" i="2"/>
  <c r="C16982" i="2"/>
  <c r="C16980" i="2"/>
  <c r="C16975" i="2"/>
  <c r="C16972" i="2"/>
  <c r="C16970" i="2"/>
  <c r="C16969" i="2"/>
  <c r="C16964" i="2"/>
  <c r="C16962" i="2"/>
  <c r="C16961" i="2"/>
  <c r="C16959" i="2"/>
  <c r="C16957" i="2"/>
  <c r="C16953" i="2"/>
  <c r="C16952" i="2"/>
  <c r="C16948" i="2"/>
  <c r="C16945" i="2"/>
  <c r="C16944" i="2"/>
  <c r="C16943" i="2"/>
  <c r="C16942" i="2"/>
  <c r="C16941" i="2"/>
  <c r="C16939" i="2"/>
  <c r="C16937" i="2"/>
  <c r="C16936" i="2"/>
  <c r="C16935" i="2"/>
  <c r="C16934" i="2"/>
  <c r="C16929" i="2"/>
  <c r="C16928" i="2"/>
  <c r="C16927" i="2"/>
  <c r="C16925" i="2"/>
  <c r="C16924" i="2"/>
  <c r="C16923" i="2"/>
  <c r="C16922" i="2"/>
  <c r="C16921" i="2"/>
  <c r="C16920" i="2"/>
  <c r="C16917" i="2"/>
  <c r="C16913" i="2"/>
  <c r="C16912" i="2"/>
  <c r="C16909" i="2"/>
  <c r="C16907" i="2"/>
  <c r="C16906" i="2"/>
  <c r="C16905" i="2"/>
  <c r="C16902" i="2"/>
  <c r="C16901" i="2"/>
  <c r="C16900" i="2"/>
  <c r="C16899" i="2"/>
  <c r="C16892" i="2"/>
  <c r="C16891" i="2"/>
  <c r="C16890" i="2"/>
  <c r="C16889" i="2"/>
  <c r="C16888" i="2"/>
  <c r="C16884" i="2"/>
  <c r="C16883" i="2"/>
  <c r="C16882" i="2"/>
  <c r="C16881" i="2"/>
  <c r="C16878" i="2"/>
  <c r="C16875" i="2"/>
  <c r="C16873" i="2"/>
  <c r="C16872" i="2"/>
  <c r="C16871" i="2"/>
  <c r="C16870" i="2"/>
  <c r="C16858" i="2"/>
  <c r="C16855" i="2"/>
  <c r="C16854" i="2"/>
  <c r="C16853" i="2"/>
  <c r="C16850" i="2"/>
  <c r="C16849" i="2"/>
  <c r="C16848" i="2"/>
  <c r="C16847" i="2"/>
  <c r="C16846" i="2"/>
  <c r="C16845" i="2"/>
  <c r="C16844" i="2"/>
  <c r="C16843" i="2"/>
  <c r="C16842" i="2"/>
  <c r="C16840" i="2"/>
  <c r="C16839" i="2"/>
  <c r="C16838" i="2"/>
  <c r="C16834" i="2"/>
  <c r="C16830" i="2"/>
  <c r="C16829" i="2"/>
  <c r="C16825" i="2"/>
  <c r="C16824" i="2"/>
  <c r="C16822" i="2"/>
  <c r="C16820" i="2"/>
  <c r="C16816" i="2"/>
  <c r="C16815" i="2"/>
  <c r="C16814" i="2"/>
  <c r="C16811" i="2"/>
  <c r="C16810" i="2"/>
  <c r="C16809" i="2"/>
  <c r="C16808" i="2"/>
  <c r="C16804" i="2"/>
  <c r="C16803" i="2"/>
  <c r="C16800" i="2"/>
  <c r="C16793" i="2"/>
  <c r="C16790" i="2"/>
  <c r="C16785" i="2"/>
  <c r="C16784" i="2"/>
  <c r="C16783" i="2"/>
  <c r="C16782" i="2"/>
  <c r="C16779" i="2"/>
  <c r="C16778" i="2"/>
  <c r="C16775" i="2"/>
  <c r="C16772" i="2"/>
  <c r="C16770" i="2"/>
  <c r="C16769" i="2"/>
  <c r="C16767" i="2"/>
  <c r="C16766" i="2"/>
  <c r="C16764" i="2"/>
  <c r="C16763" i="2"/>
  <c r="C16759" i="2"/>
  <c r="C16758" i="2"/>
  <c r="C16756" i="2"/>
  <c r="C16755" i="2"/>
  <c r="C16752" i="2"/>
  <c r="C16750" i="2"/>
  <c r="C16749" i="2"/>
  <c r="C16748" i="2"/>
  <c r="C16745" i="2"/>
  <c r="C16742" i="2"/>
  <c r="C16741" i="2"/>
  <c r="C16739" i="2"/>
  <c r="C16737" i="2"/>
  <c r="C16736" i="2"/>
  <c r="C16733" i="2"/>
  <c r="C16732" i="2"/>
  <c r="C16731" i="2"/>
  <c r="C16729" i="2"/>
  <c r="C16728" i="2"/>
  <c r="C16724" i="2"/>
  <c r="C16721" i="2"/>
  <c r="C16719" i="2"/>
  <c r="C16716" i="2"/>
  <c r="C16712" i="2"/>
  <c r="C16708" i="2"/>
  <c r="C16707" i="2"/>
  <c r="C16705" i="2"/>
  <c r="C16703" i="2"/>
  <c r="C16700" i="2"/>
  <c r="C16697" i="2"/>
  <c r="C16695" i="2"/>
  <c r="C16694" i="2"/>
  <c r="C16693" i="2"/>
  <c r="C16692" i="2"/>
  <c r="C16691" i="2"/>
  <c r="C16689" i="2"/>
  <c r="C16688" i="2"/>
  <c r="C16687" i="2"/>
  <c r="C16686" i="2"/>
  <c r="C16685" i="2"/>
  <c r="C16684" i="2"/>
  <c r="C16683" i="2"/>
  <c r="C16682" i="2"/>
  <c r="C16681" i="2"/>
  <c r="C16680" i="2"/>
  <c r="C16675" i="2"/>
  <c r="C16673" i="2"/>
  <c r="C16670" i="2"/>
  <c r="C16669" i="2"/>
  <c r="C16668" i="2"/>
  <c r="C16667" i="2"/>
  <c r="C16659" i="2"/>
  <c r="C16658" i="2"/>
  <c r="C16656" i="2"/>
  <c r="C16653" i="2"/>
  <c r="C16651" i="2"/>
  <c r="C16650" i="2"/>
  <c r="C16649" i="2"/>
  <c r="C16645" i="2"/>
  <c r="C16643" i="2"/>
  <c r="C16641" i="2"/>
  <c r="C16639" i="2"/>
  <c r="C16629" i="2"/>
  <c r="C16621" i="2"/>
  <c r="C16620" i="2"/>
  <c r="C16619" i="2"/>
  <c r="C16618" i="2"/>
  <c r="C16615" i="2"/>
  <c r="C16614" i="2"/>
  <c r="C16613" i="2"/>
  <c r="C16611" i="2"/>
  <c r="C16609" i="2"/>
  <c r="C16608" i="2"/>
  <c r="C16607" i="2"/>
  <c r="C16606" i="2"/>
  <c r="C16604" i="2"/>
  <c r="C16601" i="2"/>
  <c r="C16600" i="2"/>
  <c r="C16598" i="2"/>
  <c r="C16596" i="2"/>
  <c r="C16595" i="2"/>
  <c r="C16593" i="2"/>
  <c r="C16592" i="2"/>
  <c r="C16591" i="2"/>
  <c r="C16585" i="2"/>
  <c r="C16584" i="2"/>
  <c r="C16582" i="2"/>
  <c r="C16577" i="2"/>
  <c r="C16573" i="2"/>
  <c r="C16572" i="2"/>
  <c r="C16567" i="2"/>
  <c r="C16563" i="2"/>
  <c r="C16560" i="2"/>
  <c r="C16559" i="2"/>
  <c r="C16558" i="2"/>
  <c r="C16554" i="2"/>
  <c r="C16551" i="2"/>
  <c r="C16550" i="2"/>
  <c r="C16548" i="2"/>
  <c r="C16546" i="2"/>
  <c r="C16545" i="2"/>
  <c r="C16543" i="2"/>
  <c r="C16542" i="2"/>
  <c r="C16538" i="2"/>
  <c r="C16537" i="2"/>
  <c r="C16536" i="2"/>
  <c r="C16534" i="2"/>
  <c r="C16530" i="2"/>
  <c r="C16526" i="2"/>
  <c r="C16522" i="2"/>
  <c r="C16519" i="2"/>
  <c r="C16513" i="2"/>
  <c r="C16510" i="2"/>
  <c r="C16508" i="2"/>
  <c r="C16505" i="2"/>
  <c r="C16499" i="2"/>
  <c r="C16497" i="2"/>
  <c r="C16496" i="2"/>
  <c r="C16495" i="2"/>
  <c r="C16491" i="2"/>
  <c r="C16489" i="2"/>
  <c r="C16487" i="2"/>
  <c r="C16483" i="2"/>
  <c r="C16477" i="2"/>
  <c r="C16476" i="2"/>
  <c r="C16469" i="2"/>
  <c r="C16467" i="2"/>
  <c r="C16465" i="2"/>
  <c r="C16464" i="2"/>
  <c r="C16462" i="2"/>
  <c r="C16461" i="2"/>
  <c r="C16460" i="2"/>
  <c r="C16459" i="2"/>
  <c r="C16458" i="2"/>
  <c r="C16457" i="2"/>
  <c r="C16456" i="2"/>
  <c r="C16455" i="2"/>
  <c r="C16449" i="2"/>
  <c r="C16444" i="2"/>
  <c r="C16438" i="2"/>
  <c r="C16435" i="2"/>
  <c r="C16432" i="2"/>
  <c r="C16428" i="2"/>
  <c r="C16427" i="2"/>
  <c r="C16426" i="2"/>
  <c r="C16423" i="2"/>
  <c r="C16422" i="2"/>
  <c r="C16413" i="2"/>
  <c r="C16411" i="2"/>
  <c r="C16410" i="2"/>
  <c r="C16409" i="2"/>
  <c r="C16407" i="2"/>
  <c r="C16406" i="2"/>
  <c r="C16404" i="2"/>
  <c r="C16403" i="2"/>
  <c r="C16402" i="2"/>
  <c r="C16401" i="2"/>
  <c r="C16400" i="2"/>
  <c r="C16399" i="2"/>
  <c r="C16388" i="2"/>
  <c r="C16386" i="2"/>
  <c r="C16385" i="2"/>
  <c r="C16384" i="2"/>
  <c r="C16380" i="2"/>
  <c r="C16379" i="2"/>
  <c r="C16378" i="2"/>
  <c r="C16376" i="2"/>
  <c r="C16375" i="2"/>
  <c r="C16372" i="2"/>
  <c r="C16370" i="2"/>
  <c r="C16362" i="2"/>
  <c r="C16359" i="2"/>
  <c r="C16355" i="2"/>
  <c r="C16353" i="2"/>
  <c r="C16351" i="2"/>
  <c r="C16348" i="2"/>
  <c r="C16344" i="2"/>
  <c r="C16343" i="2"/>
  <c r="C16342" i="2"/>
  <c r="C16341" i="2"/>
  <c r="C16340" i="2"/>
  <c r="C16337" i="2"/>
  <c r="C16336" i="2"/>
  <c r="C16334" i="2"/>
  <c r="C16329" i="2"/>
  <c r="C16327" i="2"/>
  <c r="C16325" i="2"/>
  <c r="C16324" i="2"/>
  <c r="C16323" i="2"/>
  <c r="C16320" i="2"/>
  <c r="C16317" i="2"/>
  <c r="C16315" i="2"/>
  <c r="C16314" i="2"/>
  <c r="C16312" i="2"/>
  <c r="C16311" i="2"/>
  <c r="C16310" i="2"/>
  <c r="C16309" i="2"/>
  <c r="C16308" i="2"/>
  <c r="C16306" i="2"/>
  <c r="C16303" i="2"/>
  <c r="C16302" i="2"/>
  <c r="C16300" i="2"/>
  <c r="C16291" i="2"/>
  <c r="C16285" i="2"/>
  <c r="C16281" i="2"/>
  <c r="C16280" i="2"/>
  <c r="C16278" i="2"/>
  <c r="C16277" i="2"/>
  <c r="C16274" i="2"/>
  <c r="C16271" i="2"/>
  <c r="C16267" i="2"/>
  <c r="C16262" i="2"/>
  <c r="C16261" i="2"/>
  <c r="C16260" i="2"/>
  <c r="C16259" i="2"/>
  <c r="C16258" i="2"/>
  <c r="C16256" i="2"/>
  <c r="C16255" i="2"/>
  <c r="C16248" i="2"/>
  <c r="C16246" i="2"/>
  <c r="C16244" i="2"/>
  <c r="C16243" i="2"/>
  <c r="C16241" i="2"/>
  <c r="C16240" i="2"/>
  <c r="C16239" i="2"/>
  <c r="C16238" i="2"/>
  <c r="C16236" i="2"/>
  <c r="C16228" i="2"/>
  <c r="C16227" i="2"/>
  <c r="C16226" i="2"/>
  <c r="C16225" i="2"/>
  <c r="C16223" i="2"/>
  <c r="C16221" i="2"/>
  <c r="C16220" i="2"/>
  <c r="C16219" i="2"/>
  <c r="C16214" i="2"/>
  <c r="C16212" i="2"/>
  <c r="C16211" i="2"/>
  <c r="C16209" i="2"/>
  <c r="C16205" i="2"/>
  <c r="C16202" i="2"/>
  <c r="C16201" i="2"/>
  <c r="C16200" i="2"/>
  <c r="C16199" i="2"/>
  <c r="C16195" i="2"/>
  <c r="C16192" i="2"/>
  <c r="C16190" i="2"/>
  <c r="C16188" i="2"/>
  <c r="C16182" i="2"/>
  <c r="C16181" i="2"/>
  <c r="C16180" i="2"/>
  <c r="C16173" i="2"/>
  <c r="C16170" i="2"/>
  <c r="C16165" i="2"/>
  <c r="C16159" i="2"/>
  <c r="C16155" i="2"/>
  <c r="C16154" i="2"/>
  <c r="C16153" i="2"/>
  <c r="C16149" i="2"/>
  <c r="C16148" i="2"/>
  <c r="C16147" i="2"/>
  <c r="C16146" i="2"/>
  <c r="C16145" i="2"/>
  <c r="C16144" i="2"/>
  <c r="C16142" i="2"/>
  <c r="C16141" i="2"/>
  <c r="C16139" i="2"/>
  <c r="C16135" i="2"/>
  <c r="C16134" i="2"/>
  <c r="C16133" i="2"/>
  <c r="C16132" i="2"/>
  <c r="C16130" i="2"/>
  <c r="C16120" i="2"/>
  <c r="C16119" i="2"/>
  <c r="C16118" i="2"/>
  <c r="C16115" i="2"/>
  <c r="C16114" i="2"/>
  <c r="C16112" i="2"/>
  <c r="C16111" i="2"/>
  <c r="C16110" i="2"/>
  <c r="C16109" i="2"/>
  <c r="C16107" i="2"/>
  <c r="C16106" i="2"/>
  <c r="C16105" i="2"/>
  <c r="C16103" i="2"/>
  <c r="C16098" i="2"/>
  <c r="C16096" i="2"/>
  <c r="C16094" i="2"/>
  <c r="C16092" i="2"/>
  <c r="C16091" i="2"/>
  <c r="C16090" i="2"/>
  <c r="C16087" i="2"/>
  <c r="C16084" i="2"/>
  <c r="C16083" i="2"/>
  <c r="C16082" i="2"/>
  <c r="C16080" i="2"/>
  <c r="C16079" i="2"/>
  <c r="C16077" i="2"/>
  <c r="C16075" i="2"/>
  <c r="C16066" i="2"/>
  <c r="C16065" i="2"/>
  <c r="C16062" i="2"/>
  <c r="C16059" i="2"/>
  <c r="C16058" i="2"/>
  <c r="C16056" i="2"/>
  <c r="C16054" i="2"/>
  <c r="C16053" i="2"/>
  <c r="C16051" i="2"/>
  <c r="C16049" i="2"/>
  <c r="C16046" i="2"/>
  <c r="C16041" i="2"/>
  <c r="C16036" i="2"/>
  <c r="C16035" i="2"/>
  <c r="C16034" i="2"/>
  <c r="C16033" i="2"/>
  <c r="C16031" i="2"/>
  <c r="C16028" i="2"/>
  <c r="C16025" i="2"/>
  <c r="C16023" i="2"/>
  <c r="C16019" i="2"/>
  <c r="C16017" i="2"/>
  <c r="C16015" i="2"/>
  <c r="C16013" i="2"/>
  <c r="C16011" i="2"/>
  <c r="C16010" i="2"/>
  <c r="C16009" i="2"/>
  <c r="C16005" i="2"/>
  <c r="C16000" i="2"/>
  <c r="C15999" i="2"/>
  <c r="C15995" i="2"/>
  <c r="C15991" i="2"/>
  <c r="C15990" i="2"/>
  <c r="C15987" i="2"/>
  <c r="C15983" i="2"/>
  <c r="C15981" i="2"/>
  <c r="C15977" i="2"/>
  <c r="C15972" i="2"/>
  <c r="C15969" i="2"/>
  <c r="C15963" i="2"/>
  <c r="C15962" i="2"/>
  <c r="C15961" i="2"/>
  <c r="C15960" i="2"/>
  <c r="C15959" i="2"/>
  <c r="C15958" i="2"/>
  <c r="C15957" i="2"/>
  <c r="C15956" i="2"/>
  <c r="C15953" i="2"/>
  <c r="C15952" i="2"/>
  <c r="C15945" i="2"/>
  <c r="C15944" i="2"/>
  <c r="C15942" i="2"/>
  <c r="C15941" i="2"/>
  <c r="C15936" i="2"/>
  <c r="C15932" i="2"/>
  <c r="C15928" i="2"/>
  <c r="C15926" i="2"/>
  <c r="C15922" i="2"/>
  <c r="C15919" i="2"/>
  <c r="C15915" i="2"/>
  <c r="C15913" i="2"/>
  <c r="C15912" i="2"/>
  <c r="C15910" i="2"/>
  <c r="C15909" i="2"/>
  <c r="C15908" i="2"/>
  <c r="C15907" i="2"/>
  <c r="C15903" i="2"/>
  <c r="C15899" i="2"/>
  <c r="C15898" i="2"/>
  <c r="C15897" i="2"/>
  <c r="C15895" i="2"/>
  <c r="C15893" i="2"/>
  <c r="C15891" i="2"/>
  <c r="C15889" i="2"/>
  <c r="C15886" i="2"/>
  <c r="C15885" i="2"/>
  <c r="C15883" i="2"/>
  <c r="C15882" i="2"/>
  <c r="C15881" i="2"/>
  <c r="C15878" i="2"/>
  <c r="C15877" i="2"/>
  <c r="C15876" i="2"/>
  <c r="C15869" i="2"/>
  <c r="C15861" i="2"/>
  <c r="C15859" i="2"/>
  <c r="C15858" i="2"/>
  <c r="C15857" i="2"/>
  <c r="C15856" i="2"/>
  <c r="C15854" i="2"/>
  <c r="C15852" i="2"/>
  <c r="C15850" i="2"/>
  <c r="C15846" i="2"/>
  <c r="C15844" i="2"/>
  <c r="C15843" i="2"/>
  <c r="C15842" i="2"/>
  <c r="C15841" i="2"/>
  <c r="C15839" i="2"/>
  <c r="C15838" i="2"/>
  <c r="C15837" i="2"/>
  <c r="C15835" i="2"/>
  <c r="C15833" i="2"/>
  <c r="C15832" i="2"/>
  <c r="C15829" i="2"/>
  <c r="C15827" i="2"/>
  <c r="C15820" i="2"/>
  <c r="C15818" i="2"/>
  <c r="C15814" i="2"/>
  <c r="C15812" i="2"/>
  <c r="C15809" i="2"/>
  <c r="C15808" i="2"/>
  <c r="C15806" i="2"/>
  <c r="C15804" i="2"/>
  <c r="C15801" i="2"/>
  <c r="C15800" i="2"/>
  <c r="C15796" i="2"/>
  <c r="C15795" i="2"/>
  <c r="C15793" i="2"/>
  <c r="C15792" i="2"/>
  <c r="C15788" i="2"/>
  <c r="C15786" i="2"/>
  <c r="C15783" i="2"/>
  <c r="C15782" i="2"/>
  <c r="C15777" i="2"/>
  <c r="C15776" i="2"/>
  <c r="C15771" i="2"/>
  <c r="C15770" i="2"/>
  <c r="C15769" i="2"/>
  <c r="C15764" i="2"/>
  <c r="C15762" i="2"/>
  <c r="C15759" i="2"/>
  <c r="C15754" i="2"/>
  <c r="C15750" i="2"/>
  <c r="C15749" i="2"/>
  <c r="C15748" i="2"/>
  <c r="C15747" i="2"/>
  <c r="C15746" i="2"/>
  <c r="C15745" i="2"/>
  <c r="C15740" i="2"/>
  <c r="C15733" i="2"/>
  <c r="C15732" i="2"/>
  <c r="C15731" i="2"/>
  <c r="C15728" i="2"/>
  <c r="C15727" i="2"/>
  <c r="C15725" i="2"/>
  <c r="C15718" i="2"/>
  <c r="C15713" i="2"/>
  <c r="C15712" i="2"/>
  <c r="C15708" i="2"/>
  <c r="C15707" i="2"/>
  <c r="C15706" i="2"/>
  <c r="C15705" i="2"/>
  <c r="C15698" i="2"/>
  <c r="C15697" i="2"/>
  <c r="C15686" i="2"/>
  <c r="C15685" i="2"/>
  <c r="C15683" i="2"/>
  <c r="C15682" i="2"/>
  <c r="C15678" i="2"/>
  <c r="C15677" i="2"/>
  <c r="C15676" i="2"/>
  <c r="C15675" i="2"/>
  <c r="C15673" i="2"/>
  <c r="C15672" i="2"/>
  <c r="C15664" i="2"/>
  <c r="C15663" i="2"/>
  <c r="C15662" i="2"/>
  <c r="C15660" i="2"/>
  <c r="C15659" i="2"/>
  <c r="C15658" i="2"/>
  <c r="C15656" i="2"/>
  <c r="C15651" i="2"/>
  <c r="C15650" i="2"/>
  <c r="C15649" i="2"/>
  <c r="C15646" i="2"/>
  <c r="C15645" i="2"/>
  <c r="C15644" i="2"/>
  <c r="C15643" i="2"/>
  <c r="C15641" i="2"/>
  <c r="C15639" i="2"/>
  <c r="C15638" i="2"/>
  <c r="C15637" i="2"/>
  <c r="C15634" i="2"/>
  <c r="C15633" i="2"/>
  <c r="C15628" i="2"/>
  <c r="C15626" i="2"/>
  <c r="C15625" i="2"/>
  <c r="C15624" i="2"/>
  <c r="C15623" i="2"/>
  <c r="C15620" i="2"/>
  <c r="C15618" i="2"/>
  <c r="C15616" i="2"/>
  <c r="C15615" i="2"/>
  <c r="C15613" i="2"/>
  <c r="C15608" i="2"/>
  <c r="C15602" i="2"/>
  <c r="C15591" i="2"/>
  <c r="C15590" i="2"/>
  <c r="C15585" i="2"/>
  <c r="C15584" i="2"/>
  <c r="C15583" i="2"/>
  <c r="C15578" i="2"/>
  <c r="C15577" i="2"/>
  <c r="C15576" i="2"/>
  <c r="C15571" i="2"/>
  <c r="C15570" i="2"/>
  <c r="C15569" i="2"/>
  <c r="C15568" i="2"/>
  <c r="C15565" i="2"/>
  <c r="C15561" i="2"/>
  <c r="C15557" i="2"/>
  <c r="C15553" i="2"/>
  <c r="C15552" i="2"/>
  <c r="C15550" i="2"/>
  <c r="C15549" i="2"/>
  <c r="C15548" i="2"/>
  <c r="C15547" i="2"/>
  <c r="C15545" i="2"/>
  <c r="C15539" i="2"/>
  <c r="C15538" i="2"/>
  <c r="C15535" i="2"/>
  <c r="C15534" i="2"/>
  <c r="C15533" i="2"/>
  <c r="C15531" i="2"/>
  <c r="C15530" i="2"/>
  <c r="C15528" i="2"/>
  <c r="C15526" i="2"/>
  <c r="C15522" i="2"/>
  <c r="C15521" i="2"/>
  <c r="C15520" i="2"/>
  <c r="C15517" i="2"/>
  <c r="C15516" i="2"/>
  <c r="C15513" i="2"/>
  <c r="C15512" i="2"/>
  <c r="C15498" i="2"/>
  <c r="C15497" i="2"/>
  <c r="C15495" i="2"/>
  <c r="C15494" i="2"/>
  <c r="C15490" i="2"/>
  <c r="C15489" i="2"/>
  <c r="C15485" i="2"/>
  <c r="C15482" i="2"/>
  <c r="C15479" i="2"/>
  <c r="C15476" i="2"/>
  <c r="C15473" i="2"/>
  <c r="C15470" i="2"/>
  <c r="C15469" i="2"/>
  <c r="C15468" i="2"/>
  <c r="C15466" i="2"/>
  <c r="C15464" i="2"/>
  <c r="C15463" i="2"/>
  <c r="C15459" i="2"/>
  <c r="C15457" i="2"/>
  <c r="C15456" i="2"/>
  <c r="C15453" i="2"/>
  <c r="C15451" i="2"/>
  <c r="C15450" i="2"/>
  <c r="C15447" i="2"/>
  <c r="C15444" i="2"/>
  <c r="C15443" i="2"/>
  <c r="C15441" i="2"/>
  <c r="C15440" i="2"/>
  <c r="C15439" i="2"/>
  <c r="C15438" i="2"/>
  <c r="C15437" i="2"/>
  <c r="C15433" i="2"/>
  <c r="C15432" i="2"/>
  <c r="C15431" i="2"/>
  <c r="C15430" i="2"/>
  <c r="C15428" i="2"/>
  <c r="C15425" i="2"/>
  <c r="C15424" i="2"/>
  <c r="C15419" i="2"/>
  <c r="C15415" i="2"/>
  <c r="C15411" i="2"/>
  <c r="C15409" i="2"/>
  <c r="C15406" i="2"/>
  <c r="C15404" i="2"/>
  <c r="C15401" i="2"/>
  <c r="C15397" i="2"/>
  <c r="C15395" i="2"/>
  <c r="C15393" i="2"/>
  <c r="C15392" i="2"/>
  <c r="C15391" i="2"/>
  <c r="C15390" i="2"/>
  <c r="C15389" i="2"/>
  <c r="C15387" i="2"/>
  <c r="C15386" i="2"/>
  <c r="C15385" i="2"/>
  <c r="C15384" i="2"/>
  <c r="C15383" i="2"/>
  <c r="C15381" i="2"/>
  <c r="C15378" i="2"/>
  <c r="C15368" i="2"/>
  <c r="C15365" i="2"/>
  <c r="C15364" i="2"/>
  <c r="C15362" i="2"/>
  <c r="C15358" i="2"/>
  <c r="C15357" i="2"/>
  <c r="C15356" i="2"/>
  <c r="C15352" i="2"/>
  <c r="C15351" i="2"/>
  <c r="C15348" i="2"/>
  <c r="C15346" i="2"/>
  <c r="C15345" i="2"/>
  <c r="C15342" i="2"/>
  <c r="C15340" i="2"/>
  <c r="C15339" i="2"/>
  <c r="C15335" i="2"/>
  <c r="C15334" i="2"/>
  <c r="C15333" i="2"/>
  <c r="C15331" i="2"/>
  <c r="C15330" i="2"/>
  <c r="C15326" i="2"/>
  <c r="C15324" i="2"/>
  <c r="C15319" i="2"/>
  <c r="C15317" i="2"/>
  <c r="C15315" i="2"/>
  <c r="C15314" i="2"/>
  <c r="C15313" i="2"/>
  <c r="C15302" i="2"/>
  <c r="C15300" i="2"/>
  <c r="C15299" i="2"/>
  <c r="C15298" i="2"/>
  <c r="C15296" i="2"/>
  <c r="C15291" i="2"/>
  <c r="C15289" i="2"/>
  <c r="C15288" i="2"/>
  <c r="C15287" i="2"/>
  <c r="C15281" i="2"/>
  <c r="C15279" i="2"/>
  <c r="C15274" i="2"/>
  <c r="C15273" i="2"/>
  <c r="C15272" i="2"/>
  <c r="C15271" i="2"/>
  <c r="C15268" i="2"/>
  <c r="C15264" i="2"/>
  <c r="C15262" i="2"/>
  <c r="C15260" i="2"/>
  <c r="C15259" i="2"/>
  <c r="C15258" i="2"/>
  <c r="C15257" i="2"/>
  <c r="C15256" i="2"/>
  <c r="C15254" i="2"/>
  <c r="C15253" i="2"/>
  <c r="C15248" i="2"/>
  <c r="C15246" i="2"/>
  <c r="C15243" i="2"/>
  <c r="C15240" i="2"/>
  <c r="C15233" i="2"/>
  <c r="C15230" i="2"/>
  <c r="C15229" i="2"/>
  <c r="C15227" i="2"/>
  <c r="C15226" i="2"/>
  <c r="C15224" i="2"/>
  <c r="C15218" i="2"/>
  <c r="C15216" i="2"/>
  <c r="C15214" i="2"/>
  <c r="C15206" i="2"/>
  <c r="C15201" i="2"/>
  <c r="C15200" i="2"/>
  <c r="C15199" i="2"/>
  <c r="C15197" i="2"/>
  <c r="C15196" i="2"/>
  <c r="C15192" i="2"/>
  <c r="C15189" i="2"/>
  <c r="C15186" i="2"/>
  <c r="C15185" i="2"/>
  <c r="C15184" i="2"/>
  <c r="C15180" i="2"/>
  <c r="C15174" i="2"/>
  <c r="C15173" i="2"/>
  <c r="C15171" i="2"/>
  <c r="C15169" i="2"/>
  <c r="C15167" i="2"/>
  <c r="C15166" i="2"/>
  <c r="C15165" i="2"/>
  <c r="C15164" i="2"/>
  <c r="C15161" i="2"/>
  <c r="C15160" i="2"/>
  <c r="C15159" i="2"/>
  <c r="C15156" i="2"/>
  <c r="C15154" i="2"/>
  <c r="C15149" i="2"/>
  <c r="C15147" i="2"/>
  <c r="C15144" i="2"/>
  <c r="C15143" i="2"/>
  <c r="C15142" i="2"/>
  <c r="C15141" i="2"/>
  <c r="C15140" i="2"/>
  <c r="C15138" i="2"/>
  <c r="C15134" i="2"/>
  <c r="C15130" i="2"/>
  <c r="C15128" i="2"/>
  <c r="C15127" i="2"/>
  <c r="C15125" i="2"/>
  <c r="C15121" i="2"/>
  <c r="C15120" i="2"/>
  <c r="C15118" i="2"/>
  <c r="C15116" i="2"/>
  <c r="C15115" i="2"/>
  <c r="C15112" i="2"/>
  <c r="C15108" i="2"/>
  <c r="C15107" i="2"/>
  <c r="C15106" i="2"/>
  <c r="C15105" i="2"/>
  <c r="C15104" i="2"/>
  <c r="C15103" i="2"/>
  <c r="C15100" i="2"/>
  <c r="C15099" i="2"/>
  <c r="C15098" i="2"/>
  <c r="C15097" i="2"/>
  <c r="C15096" i="2"/>
  <c r="C15095" i="2"/>
  <c r="C15091" i="2"/>
  <c r="C15090" i="2"/>
  <c r="C15089" i="2"/>
  <c r="C15088" i="2"/>
  <c r="C15086" i="2"/>
  <c r="C15085" i="2"/>
  <c r="C15084" i="2"/>
  <c r="C15080" i="2"/>
  <c r="C15079" i="2"/>
  <c r="C15076" i="2"/>
  <c r="C15074" i="2"/>
  <c r="C15069" i="2"/>
  <c r="C15068" i="2"/>
  <c r="C15067" i="2"/>
  <c r="C15066" i="2"/>
  <c r="C15065" i="2"/>
  <c r="C15063" i="2"/>
  <c r="C15061" i="2"/>
  <c r="C15060" i="2"/>
  <c r="C15058" i="2"/>
  <c r="C15056" i="2"/>
  <c r="C15054" i="2"/>
  <c r="C15053" i="2"/>
  <c r="C15052" i="2"/>
  <c r="C15051" i="2"/>
  <c r="C15050" i="2"/>
  <c r="C15049" i="2"/>
  <c r="C15048" i="2"/>
  <c r="C15047" i="2"/>
  <c r="C15045" i="2"/>
  <c r="C15032" i="2"/>
  <c r="C15030" i="2"/>
  <c r="C15027" i="2"/>
  <c r="C15025" i="2"/>
  <c r="C15020" i="2"/>
  <c r="C15019" i="2"/>
  <c r="C15018" i="2"/>
  <c r="C15016" i="2"/>
  <c r="C15014" i="2"/>
  <c r="C15013" i="2"/>
  <c r="C15011" i="2"/>
  <c r="C15009" i="2"/>
  <c r="C15006" i="2"/>
  <c r="C15001" i="2"/>
  <c r="C15000" i="2"/>
  <c r="C14999" i="2"/>
  <c r="C14998" i="2"/>
  <c r="C14997" i="2"/>
  <c r="C14987" i="2"/>
  <c r="C14986" i="2"/>
  <c r="C14985" i="2"/>
  <c r="C14984" i="2"/>
  <c r="C14982" i="2"/>
  <c r="C14980" i="2"/>
  <c r="C14979" i="2"/>
  <c r="C14976" i="2"/>
  <c r="C14975" i="2"/>
  <c r="C14972" i="2"/>
  <c r="C14969" i="2"/>
  <c r="C14961" i="2"/>
  <c r="C14960" i="2"/>
  <c r="C14950" i="2"/>
  <c r="C14949" i="2"/>
  <c r="C14948" i="2"/>
  <c r="C14945" i="2"/>
  <c r="C14942" i="2"/>
  <c r="C14941" i="2"/>
  <c r="C14940" i="2"/>
  <c r="C14938" i="2"/>
  <c r="C14937" i="2"/>
  <c r="C14936" i="2"/>
  <c r="C14935" i="2"/>
  <c r="C14928" i="2"/>
  <c r="C14927" i="2"/>
  <c r="C14925" i="2"/>
  <c r="C14924" i="2"/>
  <c r="C14923" i="2"/>
  <c r="C14918" i="2"/>
  <c r="C14917" i="2"/>
  <c r="C14915" i="2"/>
  <c r="C14908" i="2"/>
  <c r="C14906" i="2"/>
  <c r="C14901" i="2"/>
  <c r="C14896" i="2"/>
  <c r="C14894" i="2"/>
  <c r="C14892" i="2"/>
  <c r="C14891" i="2"/>
  <c r="C14890" i="2"/>
  <c r="C14888" i="2"/>
  <c r="C14887" i="2"/>
  <c r="C14886" i="2"/>
  <c r="C14885" i="2"/>
  <c r="C14884" i="2"/>
  <c r="C14882" i="2"/>
  <c r="C14880" i="2"/>
  <c r="C14879" i="2"/>
  <c r="C14878" i="2"/>
  <c r="C14876" i="2"/>
  <c r="C14875" i="2"/>
  <c r="C14869" i="2"/>
  <c r="C14866" i="2"/>
  <c r="C14864" i="2"/>
  <c r="C14861" i="2"/>
  <c r="C14860" i="2"/>
  <c r="C14859" i="2"/>
  <c r="C14858" i="2"/>
  <c r="C14854" i="2"/>
  <c r="C14852" i="2"/>
  <c r="C14848" i="2"/>
  <c r="C14846" i="2"/>
  <c r="C14845" i="2"/>
  <c r="C14844" i="2"/>
  <c r="C14843" i="2"/>
  <c r="C14842" i="2"/>
  <c r="C14841" i="2"/>
  <c r="C14840" i="2"/>
  <c r="C14839" i="2"/>
  <c r="C14838" i="2"/>
  <c r="C14834" i="2"/>
  <c r="C14831" i="2"/>
  <c r="C14828" i="2"/>
  <c r="C14823" i="2"/>
  <c r="C14821" i="2"/>
  <c r="C14819" i="2"/>
  <c r="C14818" i="2"/>
  <c r="C14817" i="2"/>
  <c r="C14816" i="2"/>
  <c r="C14806" i="2"/>
  <c r="C14801" i="2"/>
  <c r="C14793" i="2"/>
  <c r="C14792" i="2"/>
  <c r="C14791" i="2"/>
  <c r="C14790" i="2"/>
  <c r="C14789" i="2"/>
  <c r="C14788" i="2"/>
  <c r="C14785" i="2"/>
  <c r="C14782" i="2"/>
  <c r="C14781" i="2"/>
  <c r="C14777" i="2"/>
  <c r="C14774" i="2"/>
  <c r="C14769" i="2"/>
  <c r="C14766" i="2"/>
  <c r="C14764" i="2"/>
  <c r="C14761" i="2"/>
  <c r="C14760" i="2"/>
  <c r="C14757" i="2"/>
  <c r="C14755" i="2"/>
  <c r="C14754" i="2"/>
  <c r="C14749" i="2"/>
  <c r="C14747" i="2"/>
  <c r="C14746" i="2"/>
  <c r="C14744" i="2"/>
  <c r="C14736" i="2"/>
  <c r="C14734" i="2"/>
  <c r="C14728" i="2"/>
  <c r="C14725" i="2"/>
  <c r="C14724" i="2"/>
  <c r="C14723" i="2"/>
  <c r="C14721" i="2"/>
  <c r="C14720" i="2"/>
  <c r="C14717" i="2"/>
  <c r="C14715" i="2"/>
  <c r="C14709" i="2"/>
  <c r="C14706" i="2"/>
  <c r="C14705" i="2"/>
  <c r="C14703" i="2"/>
  <c r="C14701" i="2"/>
  <c r="C14700" i="2"/>
  <c r="C14699" i="2"/>
  <c r="C14697" i="2"/>
  <c r="C14696" i="2"/>
  <c r="C14695" i="2"/>
  <c r="C14694" i="2"/>
  <c r="C14691" i="2"/>
  <c r="C14690" i="2"/>
  <c r="C14669" i="2"/>
  <c r="C14667" i="2"/>
  <c r="C14665" i="2"/>
  <c r="C14664" i="2"/>
  <c r="C14662" i="2"/>
  <c r="C14657" i="2"/>
  <c r="C14651" i="2"/>
  <c r="C14649" i="2"/>
  <c r="C14648" i="2"/>
  <c r="C14647" i="2"/>
  <c r="C14643" i="2"/>
  <c r="C14642" i="2"/>
  <c r="C14641" i="2"/>
  <c r="C14635" i="2"/>
  <c r="C14634" i="2"/>
  <c r="C14629" i="2"/>
  <c r="C14628" i="2"/>
  <c r="C14625" i="2"/>
  <c r="C14624" i="2"/>
  <c r="C14622" i="2"/>
  <c r="C14621" i="2"/>
  <c r="C14620" i="2"/>
  <c r="C14619" i="2"/>
  <c r="C14618" i="2"/>
  <c r="C14616" i="2"/>
  <c r="C14614" i="2"/>
  <c r="C14611" i="2"/>
  <c r="C14606" i="2"/>
  <c r="C14605" i="2"/>
  <c r="C14604" i="2"/>
  <c r="C14603" i="2"/>
  <c r="C14602" i="2"/>
  <c r="C14601" i="2"/>
  <c r="C14600" i="2"/>
  <c r="C14598" i="2"/>
  <c r="C14597" i="2"/>
  <c r="C14591" i="2"/>
  <c r="C14590" i="2"/>
  <c r="C14588" i="2"/>
  <c r="C14587" i="2"/>
  <c r="C14586" i="2"/>
  <c r="C14585" i="2"/>
  <c r="C14583" i="2"/>
  <c r="C14579" i="2"/>
  <c r="C14577" i="2"/>
  <c r="C14574" i="2"/>
  <c r="C14571" i="2"/>
  <c r="C14567" i="2"/>
  <c r="C14563" i="2"/>
  <c r="C14561" i="2"/>
  <c r="C14559" i="2"/>
  <c r="C14558" i="2"/>
  <c r="C14552" i="2"/>
  <c r="C14551" i="2"/>
  <c r="C14543" i="2"/>
  <c r="C14542" i="2"/>
  <c r="C14536" i="2"/>
  <c r="C14534" i="2"/>
  <c r="C14523" i="2"/>
  <c r="C14521" i="2"/>
  <c r="C14515" i="2"/>
  <c r="C14514" i="2"/>
  <c r="C14512" i="2"/>
  <c r="C14511" i="2"/>
  <c r="C14501" i="2"/>
  <c r="C14500" i="2"/>
  <c r="C14498" i="2"/>
  <c r="C14496" i="2"/>
  <c r="C14493" i="2"/>
  <c r="C14491" i="2"/>
  <c r="C14486" i="2"/>
  <c r="C14484" i="2"/>
  <c r="C14483" i="2"/>
  <c r="C14479" i="2"/>
  <c r="C14474" i="2"/>
  <c r="C14470" i="2"/>
  <c r="C14469" i="2"/>
  <c r="C14468" i="2"/>
  <c r="C14467" i="2"/>
  <c r="C14462" i="2"/>
  <c r="C14460" i="2"/>
  <c r="C14459" i="2"/>
  <c r="C14458" i="2"/>
  <c r="C14455" i="2"/>
  <c r="C14450" i="2"/>
  <c r="C14449" i="2"/>
  <c r="C14443" i="2"/>
  <c r="C14442" i="2"/>
  <c r="C14437" i="2"/>
  <c r="C14436" i="2"/>
  <c r="C14430" i="2"/>
  <c r="C14428" i="2"/>
  <c r="C14427" i="2"/>
  <c r="C14422" i="2"/>
  <c r="C14420" i="2"/>
  <c r="C14417" i="2"/>
  <c r="C14416" i="2"/>
  <c r="C14414" i="2"/>
  <c r="C14413" i="2"/>
  <c r="C14411" i="2"/>
  <c r="C14410" i="2"/>
  <c r="C14409" i="2"/>
  <c r="C14407" i="2"/>
  <c r="C14405" i="2"/>
  <c r="C14403" i="2"/>
  <c r="C14401" i="2"/>
  <c r="C14400" i="2"/>
  <c r="C14398" i="2"/>
  <c r="C14397" i="2"/>
  <c r="C14396" i="2"/>
  <c r="C14391" i="2"/>
  <c r="C14388" i="2"/>
  <c r="C14387" i="2"/>
  <c r="C14384" i="2"/>
  <c r="C14383" i="2"/>
  <c r="C14382" i="2"/>
  <c r="C14380" i="2"/>
  <c r="C14379" i="2"/>
  <c r="C14376" i="2"/>
  <c r="C14375" i="2"/>
  <c r="C14372" i="2"/>
  <c r="C14371" i="2"/>
  <c r="C14370" i="2"/>
  <c r="C14367" i="2"/>
  <c r="C14366" i="2"/>
  <c r="C14364" i="2"/>
  <c r="C14360" i="2"/>
  <c r="C14359" i="2"/>
  <c r="C14357" i="2"/>
  <c r="C14356" i="2"/>
  <c r="C14352" i="2"/>
  <c r="C14351" i="2"/>
  <c r="C14350" i="2"/>
  <c r="C14349" i="2"/>
  <c r="C14348" i="2"/>
  <c r="C14347" i="2"/>
  <c r="C14343" i="2"/>
  <c r="C14342" i="2"/>
  <c r="C14341" i="2"/>
  <c r="C14340" i="2"/>
  <c r="C14337" i="2"/>
  <c r="C14334" i="2"/>
  <c r="C14333" i="2"/>
  <c r="C14331" i="2"/>
  <c r="C14330" i="2"/>
  <c r="C14329" i="2"/>
  <c r="C14327" i="2"/>
  <c r="C14322" i="2"/>
  <c r="C14315" i="2"/>
  <c r="C14313" i="2"/>
  <c r="C14309" i="2"/>
  <c r="C14308" i="2"/>
  <c r="C14303" i="2"/>
  <c r="C14301" i="2"/>
  <c r="C14299" i="2"/>
  <c r="C14298" i="2"/>
  <c r="C14296" i="2"/>
  <c r="C14295" i="2"/>
  <c r="C14294" i="2"/>
  <c r="C14292" i="2"/>
  <c r="C14289" i="2"/>
  <c r="C14288" i="2"/>
  <c r="C14287" i="2"/>
  <c r="C14286" i="2"/>
  <c r="C14284" i="2"/>
  <c r="C14282" i="2"/>
  <c r="C14281" i="2"/>
  <c r="C14279" i="2"/>
  <c r="C14277" i="2"/>
  <c r="C14274" i="2"/>
  <c r="C14273" i="2"/>
  <c r="C14272" i="2"/>
  <c r="C14271" i="2"/>
  <c r="C14269" i="2"/>
  <c r="C14268" i="2"/>
  <c r="C14267" i="2"/>
  <c r="C14266" i="2"/>
  <c r="C14265" i="2"/>
  <c r="C14264" i="2"/>
  <c r="C14262" i="2"/>
  <c r="C14261" i="2"/>
  <c r="C14256" i="2"/>
  <c r="C14254" i="2"/>
  <c r="C14253" i="2"/>
  <c r="C14252" i="2"/>
  <c r="C14251" i="2"/>
  <c r="C14250" i="2"/>
  <c r="C14248" i="2"/>
  <c r="C14247" i="2"/>
  <c r="C14246" i="2"/>
  <c r="C14245" i="2"/>
  <c r="C14243" i="2"/>
  <c r="C14240" i="2"/>
  <c r="C14239" i="2"/>
  <c r="C14232" i="2"/>
  <c r="C14229" i="2"/>
  <c r="C14228" i="2"/>
  <c r="C14227" i="2"/>
  <c r="C14223" i="2"/>
  <c r="C14218" i="2"/>
  <c r="C14215" i="2"/>
  <c r="C14210" i="2"/>
  <c r="C14206" i="2"/>
  <c r="C14205" i="2"/>
  <c r="C14203" i="2"/>
  <c r="C14202" i="2"/>
  <c r="C14200" i="2"/>
  <c r="C14198" i="2"/>
  <c r="C14196" i="2"/>
  <c r="C14194" i="2"/>
  <c r="C14189" i="2"/>
  <c r="C14182" i="2"/>
  <c r="C14179" i="2"/>
  <c r="C14177" i="2"/>
  <c r="C14176" i="2"/>
  <c r="C14173" i="2"/>
  <c r="C14169" i="2"/>
  <c r="C14165" i="2"/>
  <c r="C14162" i="2"/>
  <c r="C14159" i="2"/>
  <c r="C14158" i="2"/>
  <c r="C14156" i="2"/>
  <c r="C14154" i="2"/>
  <c r="C14149" i="2"/>
  <c r="C14142" i="2"/>
  <c r="C14137" i="2"/>
  <c r="C14133" i="2"/>
  <c r="C14132" i="2"/>
  <c r="C14127" i="2"/>
  <c r="C14125" i="2"/>
  <c r="C14119" i="2"/>
  <c r="C14112" i="2"/>
  <c r="C14111" i="2"/>
  <c r="C14110" i="2"/>
  <c r="C14106" i="2"/>
  <c r="C14093" i="2"/>
  <c r="C14092" i="2"/>
  <c r="C14091" i="2"/>
  <c r="C14090" i="2"/>
  <c r="C14088" i="2"/>
  <c r="C14085" i="2"/>
  <c r="C14084" i="2"/>
  <c r="C14082" i="2"/>
  <c r="C14081" i="2"/>
  <c r="C14080" i="2"/>
  <c r="C14079" i="2"/>
  <c r="C14077" i="2"/>
  <c r="C14076" i="2"/>
  <c r="C14075" i="2"/>
  <c r="C14068" i="2"/>
  <c r="C14067" i="2"/>
  <c r="C14066" i="2"/>
  <c r="C14062" i="2"/>
  <c r="C14061" i="2"/>
  <c r="C14059" i="2"/>
  <c r="C14058" i="2"/>
  <c r="C14057" i="2"/>
  <c r="C14056" i="2"/>
  <c r="C14055" i="2"/>
  <c r="C14053" i="2"/>
  <c r="C14052" i="2"/>
  <c r="C14051" i="2"/>
  <c r="C14047" i="2"/>
  <c r="C14046" i="2"/>
  <c r="C14045" i="2"/>
  <c r="C14039" i="2"/>
  <c r="C14038" i="2"/>
  <c r="C14036" i="2"/>
  <c r="C14035" i="2"/>
  <c r="C14032" i="2"/>
  <c r="C14026" i="2"/>
  <c r="C14025" i="2"/>
  <c r="C14023" i="2"/>
  <c r="C14021" i="2"/>
  <c r="C14020" i="2"/>
  <c r="C14019" i="2"/>
  <c r="C14017" i="2"/>
  <c r="C14015" i="2"/>
  <c r="C14014" i="2"/>
  <c r="C14013" i="2"/>
  <c r="C14010" i="2"/>
  <c r="C14009" i="2"/>
  <c r="C14007" i="2"/>
  <c r="C14006" i="2"/>
  <c r="C14005" i="2"/>
  <c r="C14004" i="2"/>
  <c r="C14001" i="2"/>
  <c r="C14000" i="2"/>
  <c r="C13999" i="2"/>
  <c r="C13998" i="2"/>
  <c r="C13997" i="2"/>
  <c r="C13993" i="2"/>
  <c r="C13992" i="2"/>
  <c r="C13991" i="2"/>
  <c r="C13989" i="2"/>
  <c r="C13988" i="2"/>
  <c r="C13987" i="2"/>
  <c r="C13985" i="2"/>
  <c r="C13984" i="2"/>
  <c r="C13983" i="2"/>
  <c r="C13981" i="2"/>
  <c r="C13980" i="2"/>
  <c r="C13979" i="2"/>
  <c r="C13978" i="2"/>
  <c r="C13977" i="2"/>
  <c r="C13976" i="2"/>
  <c r="C13975" i="2"/>
  <c r="C13974" i="2"/>
  <c r="C13971" i="2"/>
  <c r="C13970" i="2"/>
  <c r="C13968" i="2"/>
  <c r="C13964" i="2"/>
  <c r="C13963" i="2"/>
  <c r="C13962" i="2"/>
  <c r="C13955" i="2"/>
  <c r="C13952" i="2"/>
  <c r="C13948" i="2"/>
  <c r="C13947" i="2"/>
  <c r="C13945" i="2"/>
  <c r="C13942" i="2"/>
  <c r="C13939" i="2"/>
  <c r="C13935" i="2"/>
  <c r="C13932" i="2"/>
  <c r="C13922" i="2"/>
  <c r="C13921" i="2"/>
  <c r="C13918" i="2"/>
  <c r="C13917" i="2"/>
  <c r="C13916" i="2"/>
  <c r="C13915" i="2"/>
  <c r="C13913" i="2"/>
  <c r="C13910" i="2"/>
  <c r="C13909" i="2"/>
  <c r="C13908" i="2"/>
  <c r="C13907" i="2"/>
  <c r="C13906" i="2"/>
  <c r="C13904" i="2"/>
  <c r="C13902" i="2"/>
  <c r="C13901" i="2"/>
  <c r="C13900" i="2"/>
  <c r="C13898" i="2"/>
  <c r="C13896" i="2"/>
  <c r="C13895" i="2"/>
  <c r="C13894" i="2"/>
  <c r="C13892" i="2"/>
  <c r="C13891" i="2"/>
  <c r="C13889" i="2"/>
  <c r="C13884" i="2"/>
  <c r="C13883" i="2"/>
  <c r="C13882" i="2"/>
  <c r="C13879" i="2"/>
  <c r="C13876" i="2"/>
  <c r="C13875" i="2"/>
  <c r="C13873" i="2"/>
  <c r="C13872" i="2"/>
  <c r="C13871" i="2"/>
  <c r="C13870" i="2"/>
  <c r="C13869" i="2"/>
  <c r="C13868" i="2"/>
  <c r="C13865" i="2"/>
  <c r="C13864" i="2"/>
  <c r="C13863" i="2"/>
  <c r="C13862" i="2"/>
  <c r="C13861" i="2"/>
  <c r="C13860" i="2"/>
  <c r="C13856" i="2"/>
  <c r="C13854" i="2"/>
  <c r="C13852" i="2"/>
  <c r="C13850" i="2"/>
  <c r="C13849" i="2"/>
  <c r="C13848" i="2"/>
  <c r="C13847" i="2"/>
  <c r="C13846" i="2"/>
  <c r="C13837" i="2"/>
  <c r="C13835" i="2"/>
  <c r="C13834" i="2"/>
  <c r="C13831" i="2"/>
  <c r="C13830" i="2"/>
  <c r="C13828" i="2"/>
  <c r="C13827" i="2"/>
  <c r="C13824" i="2"/>
  <c r="C13821" i="2"/>
  <c r="C13819" i="2"/>
  <c r="C13816" i="2"/>
  <c r="C13814" i="2"/>
  <c r="C13809" i="2"/>
  <c r="C13804" i="2"/>
  <c r="C13800" i="2"/>
  <c r="C13799" i="2"/>
  <c r="C13796" i="2"/>
  <c r="C13795" i="2"/>
  <c r="C13792" i="2"/>
  <c r="C13791" i="2"/>
  <c r="C13789" i="2"/>
  <c r="C13788" i="2"/>
  <c r="C13783" i="2"/>
  <c r="C13781" i="2"/>
  <c r="C13780" i="2"/>
  <c r="C13771" i="2"/>
  <c r="C13769" i="2"/>
  <c r="C13767" i="2"/>
  <c r="C13766" i="2"/>
  <c r="C13762" i="2"/>
  <c r="C13761" i="2"/>
  <c r="C13760" i="2"/>
  <c r="C13759" i="2"/>
  <c r="C13757" i="2"/>
  <c r="C13754" i="2"/>
  <c r="C13753" i="2"/>
  <c r="C13752" i="2"/>
  <c r="C13751" i="2"/>
  <c r="C13750" i="2"/>
  <c r="C13749" i="2"/>
  <c r="C13746" i="2"/>
  <c r="C13744" i="2"/>
  <c r="C13743" i="2"/>
  <c r="C13742" i="2"/>
  <c r="C13740" i="2"/>
  <c r="C13736" i="2"/>
  <c r="C13735" i="2"/>
  <c r="C13734" i="2"/>
  <c r="C13730" i="2"/>
  <c r="C13729" i="2"/>
  <c r="C13728" i="2"/>
  <c r="C13723" i="2"/>
  <c r="C13722" i="2"/>
  <c r="C13721" i="2"/>
  <c r="C13720" i="2"/>
  <c r="C13719" i="2"/>
  <c r="C13718" i="2"/>
  <c r="C13717" i="2"/>
  <c r="C13716" i="2"/>
  <c r="C13714" i="2"/>
  <c r="C13711" i="2"/>
  <c r="C13706" i="2"/>
  <c r="C13704" i="2"/>
  <c r="C13703" i="2"/>
  <c r="C13700" i="2"/>
  <c r="C13698" i="2"/>
  <c r="C13696" i="2"/>
  <c r="C13695" i="2"/>
  <c r="C13690" i="2"/>
  <c r="C13689" i="2"/>
  <c r="C13687" i="2"/>
  <c r="C13684" i="2"/>
  <c r="C13682" i="2"/>
  <c r="C13681" i="2"/>
  <c r="C13680" i="2"/>
  <c r="C13679" i="2"/>
  <c r="C13676" i="2"/>
  <c r="C13675" i="2"/>
  <c r="C13674" i="2"/>
  <c r="C13668" i="2"/>
  <c r="C13667" i="2"/>
  <c r="C13663" i="2"/>
  <c r="C13659" i="2"/>
  <c r="C13658" i="2"/>
  <c r="C13656" i="2"/>
  <c r="C13655" i="2"/>
  <c r="C13654" i="2"/>
  <c r="C13652" i="2"/>
  <c r="C13651" i="2"/>
  <c r="C13650" i="2"/>
  <c r="C13647" i="2"/>
  <c r="C13645" i="2"/>
  <c r="C13642" i="2"/>
  <c r="C13640" i="2"/>
  <c r="C13639" i="2"/>
  <c r="C13636" i="2"/>
  <c r="C13634" i="2"/>
  <c r="C13629" i="2"/>
  <c r="C13626" i="2"/>
  <c r="C13625" i="2"/>
  <c r="C13620" i="2"/>
  <c r="C13619" i="2"/>
  <c r="C13618" i="2"/>
  <c r="C13616" i="2"/>
  <c r="C13615" i="2"/>
  <c r="C13613" i="2"/>
  <c r="C13609" i="2"/>
  <c r="C13608" i="2"/>
  <c r="C13605" i="2"/>
  <c r="C13600" i="2"/>
  <c r="C13599" i="2"/>
  <c r="C13598" i="2"/>
  <c r="C13595" i="2"/>
  <c r="C13592" i="2"/>
  <c r="C13591" i="2"/>
  <c r="C13585" i="2"/>
  <c r="C13584" i="2"/>
  <c r="C13583" i="2"/>
  <c r="C13582" i="2"/>
  <c r="C13581" i="2"/>
  <c r="C13573" i="2"/>
  <c r="C13571" i="2"/>
  <c r="C13569" i="2"/>
  <c r="C13565" i="2"/>
  <c r="C13561" i="2"/>
  <c r="C13560" i="2"/>
  <c r="C13559" i="2"/>
  <c r="C13552" i="2"/>
  <c r="C13550" i="2"/>
  <c r="C13549" i="2"/>
  <c r="C13545" i="2"/>
  <c r="C13544" i="2"/>
  <c r="C13541" i="2"/>
  <c r="C13539" i="2"/>
  <c r="C13536" i="2"/>
  <c r="C13533" i="2"/>
  <c r="C13531" i="2"/>
  <c r="C13529" i="2"/>
  <c r="C13528" i="2"/>
  <c r="C13526" i="2"/>
  <c r="C13525" i="2"/>
  <c r="C13523" i="2"/>
  <c r="C13512" i="2"/>
  <c r="C13511" i="2"/>
  <c r="C13510" i="2"/>
  <c r="C13504" i="2"/>
  <c r="C13502" i="2"/>
  <c r="C13500" i="2"/>
  <c r="C13497" i="2"/>
  <c r="C13495" i="2"/>
  <c r="C13494" i="2"/>
  <c r="C13493" i="2"/>
  <c r="C13492" i="2"/>
  <c r="C13491" i="2"/>
  <c r="C13488" i="2"/>
  <c r="C13485" i="2"/>
  <c r="C13484" i="2"/>
  <c r="C13481" i="2"/>
  <c r="C13479" i="2"/>
  <c r="C13477" i="2"/>
  <c r="C13475" i="2"/>
  <c r="C13469" i="2"/>
  <c r="C13468" i="2"/>
  <c r="C13467" i="2"/>
  <c r="C13466" i="2"/>
  <c r="C13463" i="2"/>
  <c r="C13462" i="2"/>
  <c r="C13458" i="2"/>
  <c r="C13455" i="2"/>
  <c r="C13450" i="2"/>
  <c r="C13449" i="2"/>
  <c r="C13446" i="2"/>
  <c r="C13445" i="2"/>
  <c r="C13441" i="2"/>
  <c r="C13435" i="2"/>
  <c r="C13433" i="2"/>
  <c r="C13432" i="2"/>
  <c r="C13429" i="2"/>
  <c r="C13427" i="2"/>
  <c r="C13426" i="2"/>
  <c r="C13425" i="2"/>
  <c r="C13424" i="2"/>
  <c r="C13422" i="2"/>
  <c r="C13421" i="2"/>
  <c r="C13419" i="2"/>
  <c r="C13418" i="2"/>
  <c r="C13417" i="2"/>
  <c r="C13416" i="2"/>
  <c r="C13415" i="2"/>
  <c r="C13414" i="2"/>
  <c r="C13413" i="2"/>
  <c r="C13412" i="2"/>
  <c r="C13411" i="2"/>
  <c r="C13410" i="2"/>
  <c r="C13409" i="2"/>
  <c r="C13405" i="2"/>
  <c r="C13398" i="2"/>
  <c r="C13396" i="2"/>
  <c r="C13387" i="2"/>
  <c r="C13386" i="2"/>
  <c r="C13385" i="2"/>
  <c r="C13383" i="2"/>
  <c r="C13381" i="2"/>
  <c r="C13380" i="2"/>
  <c r="C13370" i="2"/>
  <c r="C13367" i="2"/>
  <c r="C13366" i="2"/>
  <c r="C13365" i="2"/>
  <c r="C13362" i="2"/>
  <c r="C13361" i="2"/>
  <c r="C13360" i="2"/>
  <c r="C13359" i="2"/>
  <c r="C13357" i="2"/>
  <c r="C13356" i="2"/>
  <c r="C13354" i="2"/>
  <c r="C13353" i="2"/>
  <c r="C13351" i="2"/>
  <c r="C13350" i="2"/>
  <c r="C13348" i="2"/>
  <c r="C13342" i="2"/>
  <c r="C13337" i="2"/>
  <c r="C13336" i="2"/>
  <c r="C13335" i="2"/>
  <c r="C13334" i="2"/>
  <c r="C13333" i="2"/>
  <c r="C13329" i="2"/>
  <c r="C13326" i="2"/>
  <c r="C13325" i="2"/>
  <c r="C13324" i="2"/>
  <c r="C13323" i="2"/>
  <c r="C13319" i="2"/>
  <c r="C13317" i="2"/>
  <c r="C13315" i="2"/>
  <c r="C13314" i="2"/>
  <c r="C13311" i="2"/>
  <c r="C13307" i="2"/>
  <c r="C13305" i="2"/>
  <c r="C13301" i="2"/>
  <c r="C13299" i="2"/>
  <c r="C13294" i="2"/>
  <c r="C13293" i="2"/>
  <c r="C13292" i="2"/>
  <c r="C13290" i="2"/>
  <c r="C13289" i="2"/>
  <c r="C13288" i="2"/>
  <c r="C13285" i="2"/>
  <c r="C13275" i="2"/>
  <c r="C13273" i="2"/>
  <c r="C13269" i="2"/>
  <c r="C13265" i="2"/>
  <c r="C13264" i="2"/>
  <c r="C13262" i="2"/>
  <c r="C13261" i="2"/>
  <c r="C13260" i="2"/>
  <c r="C13257" i="2"/>
  <c r="C13251" i="2"/>
  <c r="C13250" i="2"/>
  <c r="C13248" i="2"/>
  <c r="C13246" i="2"/>
  <c r="C13245" i="2"/>
  <c r="C13242" i="2"/>
  <c r="C13240" i="2"/>
  <c r="C13239" i="2"/>
  <c r="C13237" i="2"/>
  <c r="C13230" i="2"/>
  <c r="C13229" i="2"/>
  <c r="C13227" i="2"/>
  <c r="C13226" i="2"/>
  <c r="C13221" i="2"/>
  <c r="C13220" i="2"/>
  <c r="C13219" i="2"/>
  <c r="C13218" i="2"/>
  <c r="C13215" i="2"/>
  <c r="C13211" i="2"/>
  <c r="C13209" i="2"/>
  <c r="C13207" i="2"/>
  <c r="C13205" i="2"/>
  <c r="C13204" i="2"/>
  <c r="C13203" i="2"/>
  <c r="C13202" i="2"/>
  <c r="C13201" i="2"/>
  <c r="C13200" i="2"/>
  <c r="C13199" i="2"/>
  <c r="C13197" i="2"/>
  <c r="C13189" i="2"/>
  <c r="C13188" i="2"/>
  <c r="C13182" i="2"/>
  <c r="C13180" i="2"/>
  <c r="C13166" i="2"/>
  <c r="C13162" i="2"/>
  <c r="C13161" i="2"/>
  <c r="C13160" i="2"/>
  <c r="C13157" i="2"/>
  <c r="C13156" i="2"/>
  <c r="C13155" i="2"/>
  <c r="C13154" i="2"/>
  <c r="C13153" i="2"/>
  <c r="C13150" i="2"/>
  <c r="C13149" i="2"/>
  <c r="C13148" i="2"/>
  <c r="C13145" i="2"/>
  <c r="C13141" i="2"/>
  <c r="C13140" i="2"/>
  <c r="C13138" i="2"/>
  <c r="C13137" i="2"/>
  <c r="C13132" i="2"/>
  <c r="C13127" i="2"/>
  <c r="C13122" i="2"/>
  <c r="C13115" i="2"/>
  <c r="C13114" i="2"/>
  <c r="C13112" i="2"/>
  <c r="C13111" i="2"/>
  <c r="C13110" i="2"/>
  <c r="C13108" i="2"/>
  <c r="C13107" i="2"/>
  <c r="C13102" i="2"/>
  <c r="C13096" i="2"/>
  <c r="C13095" i="2"/>
  <c r="C13094" i="2"/>
  <c r="C13090" i="2"/>
  <c r="C13089" i="2"/>
  <c r="C13088" i="2"/>
  <c r="C13086" i="2"/>
  <c r="C13085" i="2"/>
  <c r="C13084" i="2"/>
  <c r="C13080" i="2"/>
  <c r="C13077" i="2"/>
  <c r="C13076" i="2"/>
  <c r="C13075" i="2"/>
  <c r="C13074" i="2"/>
  <c r="C13071" i="2"/>
  <c r="C13068" i="2"/>
  <c r="C13067" i="2"/>
  <c r="C13064" i="2"/>
  <c r="C13062" i="2"/>
  <c r="C13061" i="2"/>
  <c r="C13059" i="2"/>
  <c r="C13058" i="2"/>
  <c r="C13057" i="2"/>
  <c r="C13055" i="2"/>
  <c r="C13053" i="2"/>
  <c r="C13050" i="2"/>
  <c r="C13049" i="2"/>
  <c r="C13046" i="2"/>
  <c r="C13043" i="2"/>
  <c r="C13042" i="2"/>
  <c r="C13040" i="2"/>
  <c r="C13038" i="2"/>
  <c r="C13035" i="2"/>
  <c r="C13032" i="2"/>
  <c r="C13030" i="2"/>
  <c r="C13029" i="2"/>
  <c r="C13027" i="2"/>
  <c r="C13026" i="2"/>
  <c r="C13025" i="2"/>
  <c r="C13023" i="2"/>
  <c r="C13010" i="2"/>
  <c r="C13007" i="2"/>
  <c r="C13004" i="2"/>
  <c r="C13003" i="2"/>
  <c r="C13002" i="2"/>
  <c r="C13000" i="2"/>
  <c r="C12998" i="2"/>
  <c r="C12997" i="2"/>
  <c r="C12996" i="2"/>
  <c r="C12995" i="2"/>
  <c r="C12994" i="2"/>
  <c r="C12988" i="2"/>
  <c r="C12984" i="2"/>
  <c r="C12980" i="2"/>
  <c r="C12978" i="2"/>
  <c r="C12977" i="2"/>
  <c r="C12973" i="2"/>
  <c r="C12972" i="2"/>
  <c r="C12971" i="2"/>
  <c r="C12970" i="2"/>
  <c r="C12966" i="2"/>
  <c r="C12962" i="2"/>
  <c r="C12959" i="2"/>
  <c r="C12957" i="2"/>
  <c r="C12956" i="2"/>
  <c r="C12955" i="2"/>
  <c r="C12954" i="2"/>
  <c r="C12951" i="2"/>
  <c r="C12945" i="2"/>
  <c r="C12944" i="2"/>
  <c r="C12939" i="2"/>
  <c r="C12938" i="2"/>
  <c r="C12937" i="2"/>
  <c r="C12934" i="2"/>
  <c r="C12925" i="2"/>
  <c r="C12922" i="2"/>
  <c r="C12921" i="2"/>
  <c r="C12920" i="2"/>
  <c r="C12916" i="2"/>
  <c r="C12915" i="2"/>
  <c r="C12914" i="2"/>
  <c r="C12913" i="2"/>
  <c r="C12912" i="2"/>
  <c r="C12910" i="2"/>
  <c r="C12909" i="2"/>
  <c r="C12907" i="2"/>
  <c r="C12906" i="2"/>
  <c r="C12905" i="2"/>
  <c r="C12904" i="2"/>
  <c r="C12902" i="2"/>
  <c r="C12900" i="2"/>
  <c r="C12896" i="2"/>
  <c r="C12894" i="2"/>
  <c r="C12889" i="2"/>
  <c r="C12886" i="2"/>
  <c r="C12885" i="2"/>
  <c r="C12884" i="2"/>
  <c r="C12878" i="2"/>
  <c r="C12877" i="2"/>
  <c r="C12872" i="2"/>
  <c r="C12870" i="2"/>
  <c r="C12868" i="2"/>
  <c r="C12865" i="2"/>
  <c r="C12864" i="2"/>
  <c r="C12863" i="2"/>
  <c r="C12861" i="2"/>
  <c r="C12860" i="2"/>
  <c r="C12859" i="2"/>
  <c r="C12858" i="2"/>
  <c r="C12857" i="2"/>
  <c r="C12850" i="2"/>
  <c r="C12848" i="2"/>
  <c r="C12845" i="2"/>
  <c r="C12844" i="2"/>
  <c r="C12841" i="2"/>
  <c r="C12840" i="2"/>
  <c r="C12839" i="2"/>
  <c r="C12838" i="2"/>
  <c r="C12837" i="2"/>
  <c r="C12834" i="2"/>
  <c r="C12832" i="2"/>
  <c r="C12831" i="2"/>
  <c r="C12830" i="2"/>
  <c r="C12825" i="2"/>
  <c r="C12821" i="2"/>
  <c r="C12820" i="2"/>
  <c r="C12818" i="2"/>
  <c r="C12814" i="2"/>
  <c r="C12811" i="2"/>
  <c r="C12807" i="2"/>
  <c r="C12806" i="2"/>
  <c r="C12804" i="2"/>
  <c r="C12800" i="2"/>
  <c r="C12798" i="2"/>
  <c r="C12796" i="2"/>
  <c r="C12795" i="2"/>
  <c r="C12792" i="2"/>
  <c r="C12790" i="2"/>
  <c r="C12789" i="2"/>
  <c r="C12788" i="2"/>
  <c r="C12786" i="2"/>
  <c r="C12785" i="2"/>
  <c r="C12783" i="2"/>
  <c r="C12782" i="2"/>
  <c r="C12781" i="2"/>
  <c r="C12780" i="2"/>
  <c r="C12779" i="2"/>
  <c r="C12778" i="2"/>
  <c r="C12777" i="2"/>
  <c r="C12776" i="2"/>
  <c r="C12769" i="2"/>
  <c r="C12767" i="2"/>
  <c r="C12766" i="2"/>
  <c r="C12762" i="2"/>
  <c r="C12759" i="2"/>
  <c r="C12758" i="2"/>
  <c r="C12753" i="2"/>
  <c r="C12751" i="2"/>
  <c r="C12750" i="2"/>
  <c r="C12746" i="2"/>
  <c r="C12745" i="2"/>
  <c r="C12744" i="2"/>
  <c r="C12743" i="2"/>
  <c r="C12730" i="2"/>
  <c r="C12726" i="2"/>
  <c r="C12724" i="2"/>
  <c r="C12722" i="2"/>
  <c r="C12719" i="2"/>
  <c r="C12717" i="2"/>
  <c r="C12713" i="2"/>
  <c r="C12711" i="2"/>
  <c r="C12709" i="2"/>
  <c r="C12708" i="2"/>
  <c r="C12707" i="2"/>
  <c r="C12705" i="2"/>
  <c r="C12703" i="2"/>
  <c r="C12702" i="2"/>
  <c r="C12699" i="2"/>
  <c r="C12695" i="2"/>
  <c r="C12694" i="2"/>
  <c r="C12692" i="2"/>
  <c r="C12687" i="2"/>
  <c r="C12684" i="2"/>
  <c r="C12683" i="2"/>
  <c r="C12682" i="2"/>
  <c r="C12676" i="2"/>
  <c r="C12675" i="2"/>
  <c r="C12674" i="2"/>
  <c r="C12671" i="2"/>
  <c r="C12666" i="2"/>
  <c r="C12665" i="2"/>
  <c r="C12664" i="2"/>
  <c r="C12660" i="2"/>
  <c r="C12656" i="2"/>
  <c r="C12655" i="2"/>
  <c r="C12653" i="2"/>
  <c r="C12650" i="2"/>
  <c r="C12649" i="2"/>
  <c r="C12647" i="2"/>
  <c r="C12645" i="2"/>
  <c r="C12639" i="2"/>
  <c r="C12638" i="2"/>
  <c r="C12635" i="2"/>
  <c r="C12634" i="2"/>
  <c r="C12633" i="2"/>
  <c r="C12632" i="2"/>
  <c r="C12631" i="2"/>
  <c r="C12629" i="2"/>
  <c r="C12628" i="2"/>
  <c r="C12627" i="2"/>
  <c r="C12623" i="2"/>
  <c r="C12622" i="2"/>
  <c r="C12621" i="2"/>
  <c r="C12619" i="2"/>
  <c r="C12616" i="2"/>
  <c r="C12615" i="2"/>
  <c r="C12614" i="2"/>
  <c r="C12610" i="2"/>
  <c r="C12609" i="2"/>
  <c r="C12608" i="2"/>
  <c r="C12606" i="2"/>
  <c r="C12603" i="2"/>
  <c r="C12602" i="2"/>
  <c r="C12601" i="2"/>
  <c r="C12598" i="2"/>
  <c r="C12593" i="2"/>
  <c r="C12592" i="2"/>
  <c r="C12591" i="2"/>
  <c r="C12587" i="2"/>
  <c r="C12585" i="2"/>
  <c r="C12578" i="2"/>
  <c r="C12577" i="2"/>
  <c r="C12575" i="2"/>
  <c r="C12574" i="2"/>
  <c r="C12573" i="2"/>
  <c r="C12571" i="2"/>
  <c r="C12570" i="2"/>
  <c r="C12568" i="2"/>
  <c r="C12567" i="2"/>
  <c r="C12564" i="2"/>
  <c r="C12562" i="2"/>
  <c r="C12561" i="2"/>
  <c r="C12560" i="2"/>
  <c r="C12557" i="2"/>
  <c r="C12556" i="2"/>
  <c r="C12555" i="2"/>
  <c r="C12554" i="2"/>
  <c r="C12553" i="2"/>
  <c r="C12549" i="2"/>
  <c r="C12548" i="2"/>
  <c r="C12547" i="2"/>
  <c r="C12546" i="2"/>
  <c r="C12545" i="2"/>
  <c r="C12544" i="2"/>
  <c r="C12542" i="2"/>
  <c r="C12541" i="2"/>
  <c r="C12540" i="2"/>
  <c r="C12539" i="2"/>
  <c r="C12538" i="2"/>
  <c r="C12536" i="2"/>
  <c r="C12529" i="2"/>
  <c r="C12527" i="2"/>
  <c r="C12525" i="2"/>
  <c r="C12524" i="2"/>
  <c r="C12523" i="2"/>
  <c r="C12521" i="2"/>
  <c r="C12518" i="2"/>
  <c r="C12517" i="2"/>
  <c r="C12515" i="2"/>
  <c r="C12514" i="2"/>
  <c r="C12509" i="2"/>
  <c r="C12506" i="2"/>
  <c r="C12502" i="2"/>
  <c r="C12501" i="2"/>
  <c r="C12499" i="2"/>
  <c r="C12498" i="2"/>
  <c r="C12497" i="2"/>
  <c r="C12495" i="2"/>
  <c r="C12494" i="2"/>
  <c r="C12490" i="2"/>
  <c r="C12488" i="2"/>
  <c r="C12484" i="2"/>
  <c r="C12483" i="2"/>
  <c r="C12482" i="2"/>
  <c r="C12480" i="2"/>
  <c r="C12477" i="2"/>
  <c r="C12476" i="2"/>
  <c r="C12474" i="2"/>
  <c r="C12473" i="2"/>
  <c r="C12472" i="2"/>
  <c r="C12471" i="2"/>
  <c r="C12470" i="2"/>
  <c r="C12469" i="2"/>
  <c r="C12468" i="2"/>
  <c r="C12463" i="2"/>
  <c r="C12461" i="2"/>
  <c r="C12459" i="2"/>
  <c r="C12457" i="2"/>
  <c r="C12456" i="2"/>
  <c r="C12454" i="2"/>
  <c r="C12450" i="2"/>
  <c r="C12449" i="2"/>
  <c r="C12442" i="2"/>
  <c r="C12439" i="2"/>
  <c r="C12438" i="2"/>
  <c r="C12430" i="2"/>
  <c r="C12429" i="2"/>
  <c r="C12428" i="2"/>
  <c r="C12426" i="2"/>
  <c r="C12425" i="2"/>
  <c r="C12424" i="2"/>
  <c r="C12421" i="2"/>
  <c r="C12420" i="2"/>
  <c r="C12418" i="2"/>
  <c r="C12416" i="2"/>
  <c r="C12415" i="2"/>
  <c r="C12414" i="2"/>
  <c r="C12412" i="2"/>
  <c r="C12411" i="2"/>
  <c r="C12402" i="2"/>
  <c r="C12399" i="2"/>
  <c r="C12398" i="2"/>
  <c r="C12397" i="2"/>
  <c r="C12396" i="2"/>
  <c r="C12395" i="2"/>
  <c r="C12394" i="2"/>
  <c r="C12392" i="2"/>
  <c r="C12391" i="2"/>
  <c r="C12390" i="2"/>
  <c r="C12389" i="2"/>
  <c r="C12388" i="2"/>
  <c r="C12387" i="2"/>
  <c r="C12386" i="2"/>
  <c r="C12385" i="2"/>
  <c r="C12384" i="2"/>
  <c r="C12383" i="2"/>
  <c r="C12381" i="2"/>
  <c r="C12378" i="2"/>
  <c r="C12376" i="2"/>
  <c r="C12375" i="2"/>
  <c r="C12374" i="2"/>
  <c r="C12371" i="2"/>
  <c r="C12370" i="2"/>
  <c r="C12366" i="2"/>
  <c r="C12364" i="2"/>
  <c r="C12362" i="2"/>
  <c r="C12358" i="2"/>
  <c r="C12356" i="2"/>
  <c r="C12353" i="2"/>
  <c r="C12352" i="2"/>
  <c r="C12350" i="2"/>
  <c r="C12348" i="2"/>
  <c r="C12347" i="2"/>
  <c r="C12345" i="2"/>
  <c r="C12342" i="2"/>
  <c r="C12341" i="2"/>
  <c r="C12338" i="2"/>
  <c r="C12333" i="2"/>
  <c r="C12331" i="2"/>
  <c r="C12330" i="2"/>
  <c r="C12328" i="2"/>
  <c r="C12326" i="2"/>
  <c r="C12325" i="2"/>
  <c r="C12324" i="2"/>
  <c r="C12323" i="2"/>
  <c r="C12322" i="2"/>
  <c r="C12321" i="2"/>
  <c r="C12320" i="2"/>
  <c r="C12319" i="2"/>
  <c r="C12318" i="2"/>
  <c r="C12317" i="2"/>
  <c r="C12316" i="2"/>
  <c r="C12315" i="2"/>
  <c r="C12314" i="2"/>
  <c r="C12307" i="2"/>
  <c r="C12304" i="2"/>
  <c r="C12302" i="2"/>
  <c r="C12301" i="2"/>
  <c r="C12300" i="2"/>
  <c r="C12299" i="2"/>
  <c r="C12291" i="2"/>
  <c r="C12287" i="2"/>
  <c r="C12283" i="2"/>
  <c r="C12279" i="2"/>
  <c r="C12278" i="2"/>
  <c r="C12277" i="2"/>
  <c r="C12274" i="2"/>
  <c r="C12262" i="2"/>
  <c r="C12261" i="2"/>
  <c r="C12259" i="2"/>
  <c r="C12257" i="2"/>
  <c r="C12256" i="2"/>
  <c r="C12251" i="2"/>
  <c r="C12248" i="2"/>
  <c r="C12247" i="2"/>
  <c r="C12246" i="2"/>
  <c r="C12245" i="2"/>
  <c r="C12244" i="2"/>
  <c r="C12241" i="2"/>
  <c r="C12238" i="2"/>
  <c r="C12237" i="2"/>
  <c r="C12236" i="2"/>
  <c r="C12235" i="2"/>
  <c r="C12233" i="2"/>
  <c r="C12230" i="2"/>
  <c r="C12226" i="2"/>
  <c r="C12224" i="2"/>
  <c r="C12223" i="2"/>
  <c r="C12222" i="2"/>
  <c r="C12221" i="2"/>
  <c r="C12220" i="2"/>
  <c r="C12219" i="2"/>
  <c r="C12218" i="2"/>
  <c r="C12217" i="2"/>
  <c r="C12213" i="2"/>
  <c r="C12212" i="2"/>
  <c r="C12210" i="2"/>
  <c r="C12208" i="2"/>
  <c r="C12203" i="2"/>
  <c r="C12200" i="2"/>
  <c r="C12199" i="2"/>
  <c r="C12198" i="2"/>
  <c r="C12197" i="2"/>
  <c r="C12196" i="2"/>
  <c r="C12195" i="2"/>
  <c r="C12192" i="2"/>
  <c r="C12188" i="2"/>
  <c r="C12187" i="2"/>
  <c r="C12183" i="2"/>
  <c r="C12182" i="2"/>
  <c r="C12181" i="2"/>
  <c r="C12180" i="2"/>
  <c r="C12179" i="2"/>
  <c r="C12177" i="2"/>
  <c r="C12176" i="2"/>
  <c r="C12173" i="2"/>
  <c r="C12172" i="2"/>
  <c r="C12170" i="2"/>
  <c r="C12166" i="2"/>
  <c r="C12164" i="2"/>
  <c r="C12162" i="2"/>
  <c r="C12161" i="2"/>
  <c r="C12160" i="2"/>
  <c r="C12159" i="2"/>
  <c r="C12158" i="2"/>
  <c r="C12157" i="2"/>
  <c r="C12154" i="2"/>
  <c r="C12151" i="2"/>
  <c r="C12149" i="2"/>
  <c r="C12147" i="2"/>
  <c r="C12146" i="2"/>
  <c r="C12145" i="2"/>
  <c r="C12144" i="2"/>
  <c r="C12141" i="2"/>
  <c r="C12139" i="2"/>
  <c r="C12138" i="2"/>
  <c r="C12135" i="2"/>
  <c r="C12133" i="2"/>
  <c r="C12132" i="2"/>
  <c r="C12130" i="2"/>
  <c r="C12128" i="2"/>
  <c r="C12126" i="2"/>
  <c r="C12125" i="2"/>
  <c r="C12122" i="2"/>
  <c r="C12121" i="2"/>
  <c r="C12120" i="2"/>
  <c r="C12117" i="2"/>
  <c r="C12116" i="2"/>
  <c r="C12110" i="2"/>
  <c r="C12109" i="2"/>
  <c r="C12108" i="2"/>
  <c r="C12107" i="2"/>
  <c r="C12106" i="2"/>
  <c r="C12105" i="2"/>
  <c r="C12104" i="2"/>
  <c r="C12103" i="2"/>
  <c r="C12101" i="2"/>
  <c r="C12100" i="2"/>
  <c r="C12099" i="2"/>
  <c r="C12098" i="2"/>
  <c r="C12097" i="2"/>
  <c r="C12096" i="2"/>
  <c r="C12095" i="2"/>
  <c r="C12094" i="2"/>
  <c r="C12092" i="2"/>
  <c r="C12090" i="2"/>
  <c r="C12089" i="2"/>
  <c r="C12088" i="2"/>
  <c r="C12087" i="2"/>
  <c r="C12086" i="2"/>
  <c r="C12085" i="2"/>
  <c r="C12083" i="2"/>
  <c r="C12082" i="2"/>
  <c r="C12081" i="2"/>
  <c r="C12079" i="2"/>
  <c r="C12077" i="2"/>
  <c r="C12076" i="2"/>
  <c r="C12074" i="2"/>
  <c r="C12073" i="2"/>
  <c r="C12071" i="2"/>
  <c r="C12070" i="2"/>
  <c r="C12068" i="2"/>
  <c r="C12067" i="2"/>
  <c r="C12063" i="2"/>
  <c r="C12062" i="2"/>
  <c r="C12061" i="2"/>
  <c r="C12059" i="2"/>
  <c r="C12056" i="2"/>
  <c r="C12053" i="2"/>
  <c r="C12052" i="2"/>
  <c r="C12049" i="2"/>
  <c r="C12045" i="2"/>
  <c r="C12043" i="2"/>
  <c r="C12041" i="2"/>
  <c r="C12037" i="2"/>
  <c r="C12033" i="2"/>
  <c r="C12032" i="2"/>
  <c r="C12031" i="2"/>
  <c r="C12030" i="2"/>
  <c r="C12025" i="2"/>
  <c r="C12024" i="2"/>
  <c r="C12021" i="2"/>
  <c r="C12019" i="2"/>
  <c r="C12018" i="2"/>
  <c r="C12017" i="2"/>
  <c r="C12016" i="2"/>
  <c r="C12015" i="2"/>
  <c r="C12014" i="2"/>
  <c r="C12013" i="2"/>
  <c r="C12011" i="2"/>
  <c r="C12009" i="2"/>
  <c r="C12007" i="2"/>
  <c r="C12005" i="2"/>
  <c r="C12004" i="2"/>
  <c r="C12001" i="2"/>
  <c r="C12000" i="2"/>
  <c r="C11999" i="2"/>
  <c r="C11998" i="2"/>
  <c r="C11997" i="2"/>
  <c r="C11996" i="2"/>
  <c r="C11995" i="2"/>
  <c r="C11993" i="2"/>
  <c r="C11992" i="2"/>
  <c r="C11990" i="2"/>
  <c r="C11989" i="2"/>
  <c r="C11988" i="2"/>
  <c r="C11986" i="2"/>
  <c r="C11985" i="2"/>
  <c r="C11981" i="2"/>
  <c r="C11979" i="2"/>
  <c r="C11978" i="2"/>
  <c r="C11974" i="2"/>
  <c r="C11969" i="2"/>
  <c r="C11967" i="2"/>
  <c r="C11966" i="2"/>
  <c r="C11965" i="2"/>
  <c r="C11964" i="2"/>
  <c r="C11963" i="2"/>
  <c r="C11960" i="2"/>
  <c r="C11956" i="2"/>
  <c r="C11955" i="2"/>
  <c r="C11953" i="2"/>
  <c r="C11952" i="2"/>
  <c r="C11951" i="2"/>
  <c r="C11950" i="2"/>
  <c r="C11948" i="2"/>
  <c r="C11947" i="2"/>
  <c r="C11942" i="2"/>
  <c r="C11941" i="2"/>
  <c r="C11940" i="2"/>
  <c r="C11937" i="2"/>
  <c r="C11936" i="2"/>
  <c r="C11935" i="2"/>
  <c r="C11932" i="2"/>
  <c r="C11931" i="2"/>
  <c r="C11926" i="2"/>
  <c r="C11924" i="2"/>
  <c r="C11923" i="2"/>
  <c r="C11921" i="2"/>
  <c r="C11920" i="2"/>
  <c r="C11919" i="2"/>
  <c r="C11918" i="2"/>
  <c r="C11915" i="2"/>
  <c r="C11913" i="2"/>
  <c r="C11911" i="2"/>
  <c r="C11909" i="2"/>
  <c r="C11904" i="2"/>
  <c r="C11896" i="2"/>
  <c r="C11894" i="2"/>
  <c r="C11893" i="2"/>
  <c r="C11890" i="2"/>
  <c r="C11889" i="2"/>
  <c r="C11888" i="2"/>
  <c r="C11887" i="2"/>
  <c r="C11882" i="2"/>
  <c r="C11877" i="2"/>
  <c r="C11874" i="2"/>
  <c r="C11873" i="2"/>
  <c r="C11872" i="2"/>
  <c r="C11871" i="2"/>
  <c r="C11862" i="2"/>
  <c r="C11860" i="2"/>
  <c r="C11859" i="2"/>
  <c r="C11856" i="2"/>
  <c r="C11852" i="2"/>
  <c r="C11849" i="2"/>
  <c r="C11845" i="2"/>
  <c r="C11843" i="2"/>
  <c r="C11842" i="2"/>
  <c r="C11838" i="2"/>
  <c r="C11835" i="2"/>
  <c r="C11834" i="2"/>
  <c r="C11831" i="2"/>
  <c r="C11827" i="2"/>
  <c r="C11825" i="2"/>
  <c r="C11824" i="2"/>
  <c r="C11823" i="2"/>
  <c r="C11819" i="2"/>
  <c r="C11818" i="2"/>
  <c r="C11817" i="2"/>
  <c r="C11816" i="2"/>
  <c r="C11807" i="2"/>
  <c r="C11806" i="2"/>
  <c r="C11805" i="2"/>
  <c r="C11803" i="2"/>
  <c r="C11802" i="2"/>
  <c r="C11801" i="2"/>
  <c r="C11798" i="2"/>
  <c r="C11794" i="2"/>
  <c r="C11793" i="2"/>
  <c r="C11791" i="2"/>
  <c r="C11789" i="2"/>
  <c r="C11788" i="2"/>
  <c r="C11782" i="2"/>
  <c r="C11781" i="2"/>
  <c r="C11778" i="2"/>
  <c r="C11772" i="2"/>
  <c r="C11762" i="2"/>
  <c r="C11759" i="2"/>
  <c r="C11754" i="2"/>
  <c r="C11753" i="2"/>
  <c r="C11752" i="2"/>
  <c r="C11744" i="2"/>
  <c r="C11741" i="2"/>
  <c r="C11740" i="2"/>
  <c r="C11738" i="2"/>
  <c r="C11736" i="2"/>
  <c r="C11735" i="2"/>
  <c r="C11734" i="2"/>
  <c r="C11732" i="2"/>
  <c r="C11731" i="2"/>
  <c r="C11730" i="2"/>
  <c r="C11728" i="2"/>
  <c r="C11727" i="2"/>
  <c r="C11726" i="2"/>
  <c r="C11723" i="2"/>
  <c r="C11722" i="2"/>
  <c r="C11718" i="2"/>
  <c r="C11717" i="2"/>
  <c r="C11716" i="2"/>
  <c r="C11715" i="2"/>
  <c r="C11713" i="2"/>
  <c r="C11709" i="2"/>
  <c r="C11707" i="2"/>
  <c r="C11706" i="2"/>
  <c r="C11701" i="2"/>
  <c r="C11699" i="2"/>
  <c r="C11697" i="2"/>
  <c r="C11693" i="2"/>
  <c r="C11692" i="2"/>
  <c r="C11691" i="2"/>
  <c r="C11689" i="2"/>
  <c r="C11687" i="2"/>
  <c r="C11685" i="2"/>
  <c r="C11683" i="2"/>
  <c r="C11680" i="2"/>
  <c r="C11678" i="2"/>
  <c r="C11676" i="2"/>
  <c r="C11674" i="2"/>
  <c r="C11673" i="2"/>
  <c r="C11669" i="2"/>
  <c r="C11668" i="2"/>
  <c r="C11666" i="2"/>
  <c r="C11665" i="2"/>
  <c r="C11663" i="2"/>
  <c r="C11660" i="2"/>
  <c r="C11659" i="2"/>
  <c r="C11658" i="2"/>
  <c r="C11657" i="2"/>
  <c r="C11656" i="2"/>
  <c r="C11655" i="2"/>
  <c r="C11654" i="2"/>
  <c r="C11653" i="2"/>
  <c r="C11648" i="2"/>
  <c r="C11647" i="2"/>
  <c r="C11646" i="2"/>
  <c r="C11644" i="2"/>
  <c r="C11642" i="2"/>
  <c r="C11637" i="2"/>
  <c r="C11636" i="2"/>
  <c r="C11633" i="2"/>
  <c r="C11631" i="2"/>
  <c r="C11630" i="2"/>
  <c r="C11628" i="2"/>
  <c r="C11627" i="2"/>
  <c r="C11626" i="2"/>
  <c r="C11625" i="2"/>
  <c r="C11624" i="2"/>
  <c r="C11622" i="2"/>
  <c r="C11621" i="2"/>
  <c r="C11613" i="2"/>
  <c r="C11610" i="2"/>
  <c r="C11609" i="2"/>
  <c r="C11606" i="2"/>
  <c r="C11605" i="2"/>
  <c r="C11604" i="2"/>
  <c r="C11602" i="2"/>
  <c r="C11600" i="2"/>
  <c r="C11598" i="2"/>
  <c r="C11596" i="2"/>
  <c r="C11593" i="2"/>
  <c r="C11591" i="2"/>
  <c r="C11590" i="2"/>
  <c r="C11587" i="2"/>
  <c r="C11581" i="2"/>
  <c r="C11578" i="2"/>
  <c r="C11576" i="2"/>
  <c r="C11575" i="2"/>
  <c r="C11573" i="2"/>
  <c r="C11572" i="2"/>
  <c r="C11571" i="2"/>
  <c r="C11570" i="2"/>
  <c r="C11569" i="2"/>
  <c r="C11567" i="2"/>
  <c r="C11562" i="2"/>
  <c r="C11559" i="2"/>
  <c r="C11558" i="2"/>
  <c r="C11557" i="2"/>
  <c r="C11556" i="2"/>
  <c r="C11555" i="2"/>
  <c r="C11554" i="2"/>
  <c r="C11550" i="2"/>
  <c r="C11549" i="2"/>
  <c r="C11548" i="2"/>
  <c r="C11547" i="2"/>
  <c r="C11546" i="2"/>
  <c r="C11545" i="2"/>
  <c r="C11544" i="2"/>
  <c r="C11543" i="2"/>
  <c r="C11542" i="2"/>
  <c r="C11541" i="2"/>
  <c r="C11533" i="2"/>
  <c r="C11529" i="2"/>
  <c r="C11528" i="2"/>
  <c r="C11527" i="2"/>
  <c r="C11526" i="2"/>
  <c r="C11525" i="2"/>
  <c r="C11522" i="2"/>
  <c r="C11521" i="2"/>
  <c r="C11515" i="2"/>
  <c r="C11508" i="2"/>
  <c r="C11505" i="2"/>
  <c r="C11502" i="2"/>
  <c r="C11499" i="2"/>
  <c r="C11498" i="2"/>
  <c r="C11497" i="2"/>
  <c r="C11494" i="2"/>
  <c r="C11491" i="2"/>
  <c r="C11490" i="2"/>
  <c r="C11487" i="2"/>
  <c r="C11486" i="2"/>
  <c r="C11485" i="2"/>
  <c r="C11484" i="2"/>
  <c r="C11481" i="2"/>
  <c r="C11480" i="2"/>
  <c r="C11474" i="2"/>
  <c r="C11472" i="2"/>
  <c r="C11471" i="2"/>
  <c r="C11470" i="2"/>
  <c r="C11469" i="2"/>
  <c r="C11468" i="2"/>
  <c r="C11462" i="2"/>
  <c r="C11461" i="2"/>
  <c r="C11452" i="2"/>
  <c r="C11451" i="2"/>
  <c r="C11447" i="2"/>
  <c r="C11444" i="2"/>
  <c r="C11442" i="2"/>
  <c r="C11441" i="2"/>
  <c r="C11440" i="2"/>
  <c r="C11438" i="2"/>
  <c r="C11437" i="2"/>
  <c r="C11436" i="2"/>
  <c r="C11435" i="2"/>
  <c r="C11434" i="2"/>
  <c r="C11433" i="2"/>
  <c r="C11432" i="2"/>
  <c r="C11431" i="2"/>
  <c r="C11429" i="2"/>
  <c r="C11428" i="2"/>
  <c r="C11426" i="2"/>
  <c r="C11424" i="2"/>
  <c r="C11422" i="2"/>
  <c r="C11420" i="2"/>
  <c r="C11416" i="2"/>
  <c r="C11414" i="2"/>
  <c r="C11406" i="2"/>
  <c r="C11405" i="2"/>
  <c r="C11402" i="2"/>
  <c r="C11398" i="2"/>
  <c r="C11394" i="2"/>
  <c r="C11392" i="2"/>
  <c r="C11391" i="2"/>
  <c r="C11390" i="2"/>
  <c r="C11389" i="2"/>
  <c r="C11388" i="2"/>
  <c r="C11387" i="2"/>
  <c r="C11386" i="2"/>
  <c r="C11385" i="2"/>
  <c r="C11384" i="2"/>
  <c r="C11382" i="2"/>
  <c r="C11378" i="2"/>
  <c r="C11377" i="2"/>
  <c r="C11376" i="2"/>
  <c r="C11375" i="2"/>
  <c r="C11373" i="2"/>
  <c r="C11368" i="2"/>
  <c r="C11367" i="2"/>
  <c r="C11363" i="2"/>
  <c r="C11360" i="2"/>
  <c r="C11359" i="2"/>
  <c r="C11358" i="2"/>
  <c r="C11356" i="2"/>
  <c r="C11355" i="2"/>
  <c r="C11354" i="2"/>
  <c r="C11350" i="2"/>
  <c r="C11349" i="2"/>
  <c r="C11344" i="2"/>
  <c r="C11343" i="2"/>
  <c r="C11342" i="2"/>
  <c r="C11340" i="2"/>
  <c r="C11338" i="2"/>
  <c r="C11331" i="2"/>
  <c r="C11328" i="2"/>
  <c r="C11326" i="2"/>
  <c r="C11325" i="2"/>
  <c r="C11321" i="2"/>
  <c r="C11320" i="2"/>
  <c r="C11318" i="2"/>
  <c r="C11317" i="2"/>
  <c r="C11314" i="2"/>
  <c r="C11313" i="2"/>
  <c r="C11308" i="2"/>
  <c r="C11307" i="2"/>
  <c r="C11298" i="2"/>
  <c r="C11297" i="2"/>
  <c r="C11295" i="2"/>
  <c r="C11294" i="2"/>
  <c r="C11293" i="2"/>
  <c r="C11292" i="2"/>
  <c r="C11291" i="2"/>
  <c r="C11290" i="2"/>
  <c r="C11289" i="2"/>
  <c r="C11287" i="2"/>
  <c r="C11285" i="2"/>
  <c r="C11284" i="2"/>
  <c r="C11283" i="2"/>
  <c r="C11282" i="2"/>
  <c r="C11278" i="2"/>
  <c r="C11277" i="2"/>
  <c r="C11276" i="2"/>
  <c r="C11274" i="2"/>
  <c r="C11271" i="2"/>
  <c r="C11270" i="2"/>
  <c r="C11264" i="2"/>
  <c r="C11263" i="2"/>
  <c r="C11260" i="2"/>
  <c r="C11258" i="2"/>
  <c r="C11256" i="2"/>
  <c r="C11255" i="2"/>
  <c r="C11253" i="2"/>
  <c r="C11245" i="2"/>
  <c r="C11242" i="2"/>
  <c r="C11237" i="2"/>
  <c r="C11236" i="2"/>
  <c r="C11235" i="2"/>
  <c r="C11234" i="2"/>
  <c r="C11230" i="2"/>
  <c r="C11229" i="2"/>
  <c r="C11224" i="2"/>
  <c r="C11220" i="2"/>
  <c r="C11218" i="2"/>
  <c r="C11217" i="2"/>
  <c r="C11216" i="2"/>
  <c r="C11214" i="2"/>
  <c r="C11213" i="2"/>
  <c r="C11209" i="2"/>
  <c r="C11205" i="2"/>
  <c r="C11203" i="2"/>
  <c r="C11202" i="2"/>
  <c r="C11201" i="2"/>
  <c r="C11200" i="2"/>
  <c r="C11199" i="2"/>
  <c r="C11198" i="2"/>
  <c r="C11193" i="2"/>
  <c r="C11190" i="2"/>
  <c r="C11187" i="2"/>
  <c r="C11185" i="2"/>
  <c r="C11182" i="2"/>
  <c r="C11181" i="2"/>
  <c r="C11180" i="2"/>
  <c r="C11179" i="2"/>
  <c r="C11178" i="2"/>
  <c r="C11177" i="2"/>
  <c r="C11176" i="2"/>
  <c r="C11174" i="2"/>
  <c r="C11170" i="2"/>
  <c r="C11168" i="2"/>
  <c r="C11166" i="2"/>
  <c r="C11164" i="2"/>
  <c r="C11163" i="2"/>
  <c r="C11152" i="2"/>
  <c r="C11151" i="2"/>
  <c r="C11145" i="2"/>
  <c r="C11143" i="2"/>
  <c r="C11141" i="2"/>
  <c r="C11139" i="2"/>
  <c r="C11138" i="2"/>
  <c r="C11135" i="2"/>
  <c r="C11132" i="2"/>
  <c r="C11130" i="2"/>
  <c r="C11129" i="2"/>
  <c r="C11128" i="2"/>
  <c r="C11127" i="2"/>
  <c r="C11126" i="2"/>
  <c r="C11120" i="2"/>
  <c r="C11119" i="2"/>
  <c r="C11116" i="2"/>
  <c r="C11113" i="2"/>
  <c r="C11112" i="2"/>
  <c r="C11111" i="2"/>
  <c r="C11109" i="2"/>
  <c r="C11107" i="2"/>
  <c r="C11105" i="2"/>
  <c r="C11102" i="2"/>
  <c r="C11099" i="2"/>
  <c r="C11098" i="2"/>
  <c r="C11097" i="2"/>
  <c r="C11093" i="2"/>
  <c r="C11091" i="2"/>
  <c r="C11089" i="2"/>
  <c r="C11086" i="2"/>
  <c r="C11085" i="2"/>
  <c r="C11084" i="2"/>
  <c r="C11080" i="2"/>
  <c r="C11079" i="2"/>
  <c r="C11075" i="2"/>
  <c r="C11074" i="2"/>
  <c r="C11072" i="2"/>
  <c r="C11069" i="2"/>
  <c r="C11068" i="2"/>
  <c r="C11067" i="2"/>
  <c r="C11064" i="2"/>
  <c r="C11063" i="2"/>
  <c r="C11062" i="2"/>
  <c r="C11061" i="2"/>
  <c r="C11058" i="2"/>
  <c r="C11055" i="2"/>
  <c r="C11052" i="2"/>
  <c r="C11050" i="2"/>
  <c r="C11049" i="2"/>
  <c r="C11047" i="2"/>
  <c r="C11046" i="2"/>
  <c r="C11039" i="2"/>
  <c r="C11038" i="2"/>
  <c r="C11037" i="2"/>
  <c r="C11034" i="2"/>
  <c r="C11033" i="2"/>
  <c r="C11030" i="2"/>
  <c r="C11029" i="2"/>
  <c r="C11027" i="2"/>
  <c r="C11025" i="2"/>
  <c r="C11024" i="2"/>
  <c r="C11023" i="2"/>
  <c r="C11018" i="2"/>
  <c r="C11017" i="2"/>
  <c r="C11012" i="2"/>
  <c r="C11011" i="2"/>
  <c r="C11010" i="2"/>
  <c r="C11007" i="2"/>
  <c r="C11005" i="2"/>
  <c r="C11004" i="2"/>
  <c r="C11003" i="2"/>
  <c r="C11001" i="2"/>
  <c r="C11000" i="2"/>
  <c r="C10999" i="2"/>
  <c r="C10997" i="2"/>
  <c r="C10992" i="2"/>
  <c r="C10991" i="2"/>
  <c r="C10989" i="2"/>
  <c r="C10987" i="2"/>
  <c r="C10986" i="2"/>
  <c r="C10985" i="2"/>
  <c r="C10984" i="2"/>
  <c r="C10983" i="2"/>
  <c r="C10976" i="2"/>
  <c r="C10971" i="2"/>
  <c r="C10969" i="2"/>
  <c r="C10968" i="2"/>
  <c r="C10962" i="2"/>
  <c r="C10960" i="2"/>
  <c r="C10956" i="2"/>
  <c r="C10955" i="2"/>
  <c r="C10952" i="2"/>
  <c r="C10948" i="2"/>
  <c r="C10947" i="2"/>
  <c r="C10946" i="2"/>
  <c r="C10944" i="2"/>
  <c r="C10943" i="2"/>
  <c r="C10940" i="2"/>
  <c r="C10939" i="2"/>
  <c r="C10937" i="2"/>
  <c r="C10931" i="2"/>
  <c r="C10930" i="2"/>
  <c r="C10924" i="2"/>
  <c r="C10923" i="2"/>
  <c r="C10920" i="2"/>
  <c r="C10918" i="2"/>
  <c r="C10917" i="2"/>
  <c r="C10915" i="2"/>
  <c r="C10914" i="2"/>
  <c r="C10910" i="2"/>
  <c r="C10909" i="2"/>
  <c r="C10908" i="2"/>
  <c r="C10904" i="2"/>
  <c r="C10900" i="2"/>
  <c r="C10898" i="2"/>
  <c r="C10897" i="2"/>
  <c r="C10893" i="2"/>
  <c r="C10892" i="2"/>
  <c r="C10891" i="2"/>
  <c r="C10890" i="2"/>
  <c r="C10888" i="2"/>
  <c r="C10887" i="2"/>
  <c r="C10884" i="2"/>
  <c r="C10883" i="2"/>
  <c r="C10881" i="2"/>
  <c r="C10879" i="2"/>
  <c r="C10878" i="2"/>
  <c r="C10877" i="2"/>
  <c r="C10876" i="2"/>
  <c r="C10875" i="2"/>
  <c r="C10873" i="2"/>
  <c r="C10872" i="2"/>
  <c r="C10871" i="2"/>
  <c r="C10870" i="2"/>
  <c r="C10869" i="2"/>
  <c r="C10868" i="2"/>
  <c r="C10866" i="2"/>
  <c r="C10860" i="2"/>
  <c r="C10858" i="2"/>
  <c r="C10857" i="2"/>
  <c r="C10856" i="2"/>
  <c r="C10853" i="2"/>
  <c r="C10852" i="2"/>
  <c r="C10851" i="2"/>
  <c r="C10850" i="2"/>
  <c r="C10841" i="2"/>
  <c r="C10837" i="2"/>
  <c r="C10834" i="2"/>
  <c r="C10831" i="2"/>
  <c r="C10826" i="2"/>
  <c r="C10825" i="2"/>
  <c r="C10824" i="2"/>
  <c r="C10823" i="2"/>
  <c r="C10821" i="2"/>
  <c r="C10820" i="2"/>
  <c r="C10819" i="2"/>
  <c r="C10817" i="2"/>
  <c r="C10815" i="2"/>
  <c r="C10814" i="2"/>
  <c r="C10813" i="2"/>
  <c r="C10811" i="2"/>
  <c r="C10810" i="2"/>
  <c r="C10809" i="2"/>
  <c r="C10807" i="2"/>
  <c r="C10806" i="2"/>
  <c r="C10805" i="2"/>
  <c r="C10804" i="2"/>
  <c r="C10802" i="2"/>
  <c r="C10800" i="2"/>
  <c r="C10799" i="2"/>
  <c r="C10798" i="2"/>
  <c r="C10797" i="2"/>
  <c r="C10796" i="2"/>
  <c r="C10795" i="2"/>
  <c r="C10794" i="2"/>
  <c r="C10793" i="2"/>
  <c r="C10791" i="2"/>
  <c r="C10788" i="2"/>
  <c r="C10787" i="2"/>
  <c r="C10785" i="2"/>
  <c r="C10784" i="2"/>
  <c r="C10783" i="2"/>
  <c r="C10777" i="2"/>
  <c r="C10776" i="2"/>
  <c r="C10774" i="2"/>
  <c r="C10773" i="2"/>
  <c r="C10766" i="2"/>
  <c r="C10765" i="2"/>
  <c r="C10764" i="2"/>
  <c r="C10763" i="2"/>
  <c r="C10760" i="2"/>
  <c r="C10758" i="2"/>
  <c r="C10756" i="2"/>
  <c r="C10752" i="2"/>
  <c r="C10751" i="2"/>
  <c r="C10744" i="2"/>
  <c r="C10741" i="2"/>
  <c r="C10740" i="2"/>
  <c r="C10737" i="2"/>
  <c r="C10736" i="2"/>
  <c r="C10735" i="2"/>
  <c r="C10733" i="2"/>
  <c r="C10731" i="2"/>
  <c r="C10725" i="2"/>
  <c r="C10723" i="2"/>
  <c r="C10721" i="2"/>
  <c r="C10719" i="2"/>
  <c r="C10718" i="2"/>
  <c r="C10713" i="2"/>
  <c r="C10712" i="2"/>
  <c r="C10707" i="2"/>
  <c r="C10704" i="2"/>
  <c r="C10702" i="2"/>
  <c r="C10699" i="2"/>
  <c r="C10698" i="2"/>
  <c r="C10697" i="2"/>
  <c r="C10696" i="2"/>
  <c r="C10694" i="2"/>
  <c r="C10693" i="2"/>
  <c r="C10692" i="2"/>
  <c r="C10687" i="2"/>
  <c r="C10686" i="2"/>
  <c r="C10683" i="2"/>
  <c r="C10682" i="2"/>
  <c r="C10681" i="2"/>
  <c r="C10679" i="2"/>
  <c r="C10678" i="2"/>
  <c r="C10677" i="2"/>
  <c r="C10675" i="2"/>
  <c r="C10673" i="2"/>
  <c r="C10671" i="2"/>
  <c r="C10668" i="2"/>
  <c r="C10666" i="2"/>
  <c r="C10665" i="2"/>
  <c r="C10663" i="2"/>
  <c r="C10661" i="2"/>
  <c r="C10659" i="2"/>
  <c r="C10658" i="2"/>
  <c r="C10656" i="2"/>
  <c r="C10655" i="2"/>
  <c r="C10653" i="2"/>
  <c r="C10652" i="2"/>
  <c r="C10651" i="2"/>
  <c r="C10649" i="2"/>
  <c r="C10648" i="2"/>
  <c r="C10647" i="2"/>
  <c r="C10645" i="2"/>
  <c r="C10643" i="2"/>
  <c r="C10641" i="2"/>
  <c r="C10637" i="2"/>
  <c r="C10636" i="2"/>
  <c r="C10635" i="2"/>
  <c r="C10633" i="2"/>
  <c r="C10631" i="2"/>
  <c r="C10627" i="2"/>
  <c r="C10624" i="2"/>
  <c r="C10623" i="2"/>
  <c r="C10622" i="2"/>
  <c r="C10621" i="2"/>
  <c r="C10620" i="2"/>
  <c r="C10619" i="2"/>
  <c r="C10617" i="2"/>
  <c r="C10615" i="2"/>
  <c r="C10612" i="2"/>
  <c r="C10610" i="2"/>
  <c r="C10609" i="2"/>
  <c r="C10608" i="2"/>
  <c r="C10601" i="2"/>
  <c r="C10598" i="2"/>
  <c r="C10596" i="2"/>
  <c r="C10594" i="2"/>
  <c r="C10593" i="2"/>
  <c r="C10592" i="2"/>
  <c r="C10591" i="2"/>
  <c r="C10590" i="2"/>
  <c r="C10589" i="2"/>
  <c r="C10588" i="2"/>
  <c r="C10587" i="2"/>
  <c r="C10586" i="2"/>
  <c r="C10584" i="2"/>
  <c r="C10583" i="2"/>
  <c r="C10582" i="2"/>
  <c r="C10581" i="2"/>
  <c r="C10580" i="2"/>
  <c r="C10578" i="2"/>
  <c r="C10573" i="2"/>
  <c r="C10572" i="2"/>
  <c r="C10571" i="2"/>
  <c r="C10569" i="2"/>
  <c r="C10559" i="2"/>
  <c r="C10558" i="2"/>
  <c r="C10556" i="2"/>
  <c r="C10555" i="2"/>
  <c r="C10553" i="2"/>
  <c r="C10550" i="2"/>
  <c r="C10549" i="2"/>
  <c r="C10547" i="2"/>
  <c r="C10544" i="2"/>
  <c r="C10540" i="2"/>
  <c r="C10538" i="2"/>
  <c r="C10536" i="2"/>
  <c r="C10535" i="2"/>
  <c r="C10530" i="2"/>
  <c r="C10522" i="2"/>
  <c r="C10521" i="2"/>
  <c r="C10520" i="2"/>
  <c r="C10518" i="2"/>
  <c r="C10517" i="2"/>
  <c r="C10516" i="2"/>
  <c r="C10512" i="2"/>
  <c r="C10509" i="2"/>
  <c r="C10508" i="2"/>
  <c r="C10507" i="2"/>
  <c r="C10504" i="2"/>
  <c r="C10501" i="2"/>
  <c r="C10495" i="2"/>
  <c r="C10492" i="2"/>
  <c r="C10491" i="2"/>
  <c r="C10487" i="2"/>
  <c r="C10485" i="2"/>
  <c r="C10482" i="2"/>
  <c r="C10480" i="2"/>
  <c r="C10479" i="2"/>
  <c r="C10472" i="2"/>
  <c r="C10465" i="2"/>
  <c r="C10464" i="2"/>
  <c r="C10463" i="2"/>
  <c r="C10462" i="2"/>
  <c r="C10460" i="2"/>
  <c r="C10458" i="2"/>
  <c r="C10457" i="2"/>
  <c r="C10456" i="2"/>
  <c r="C10455" i="2"/>
  <c r="C10454" i="2"/>
  <c r="C10450" i="2"/>
  <c r="C10447" i="2"/>
  <c r="C10446" i="2"/>
  <c r="C10445" i="2"/>
  <c r="C10444" i="2"/>
  <c r="C10440" i="2"/>
  <c r="C10439" i="2"/>
  <c r="C10437" i="2"/>
  <c r="C10433" i="2"/>
  <c r="C10426" i="2"/>
  <c r="C10423" i="2"/>
  <c r="C10422" i="2"/>
  <c r="C10419" i="2"/>
  <c r="C10418" i="2"/>
  <c r="C10413" i="2"/>
  <c r="C10410" i="2"/>
  <c r="C10409" i="2"/>
  <c r="C10408" i="2"/>
  <c r="C10407" i="2"/>
  <c r="C10402" i="2"/>
  <c r="C10399" i="2"/>
  <c r="C10398" i="2"/>
  <c r="C10395" i="2"/>
  <c r="C10394" i="2"/>
  <c r="C10393" i="2"/>
  <c r="C10392" i="2"/>
  <c r="C10388" i="2"/>
  <c r="C10385" i="2"/>
  <c r="C10384" i="2"/>
  <c r="C10383" i="2"/>
  <c r="C10382" i="2"/>
  <c r="C10381" i="2"/>
  <c r="C10380" i="2"/>
  <c r="C10376" i="2"/>
  <c r="C10372" i="2"/>
  <c r="C10371" i="2"/>
  <c r="C10369" i="2"/>
  <c r="C10368" i="2"/>
  <c r="C10367" i="2"/>
  <c r="C10363" i="2"/>
  <c r="C10353" i="2"/>
  <c r="C10351" i="2"/>
  <c r="C10350" i="2"/>
  <c r="C10349" i="2"/>
  <c r="C10348" i="2"/>
  <c r="C10347" i="2"/>
  <c r="C10346" i="2"/>
  <c r="C10345" i="2"/>
  <c r="C10342" i="2"/>
  <c r="C10341" i="2"/>
  <c r="C10339" i="2"/>
  <c r="C10338" i="2"/>
  <c r="C10336" i="2"/>
  <c r="C10335" i="2"/>
  <c r="C10334" i="2"/>
  <c r="C10330" i="2"/>
  <c r="C10329" i="2"/>
  <c r="C10327" i="2"/>
  <c r="C10325" i="2"/>
  <c r="C10324" i="2"/>
  <c r="C10322" i="2"/>
  <c r="C10321" i="2"/>
  <c r="C10320" i="2"/>
  <c r="C10317" i="2"/>
  <c r="C10313" i="2"/>
  <c r="C10312" i="2"/>
  <c r="C10311" i="2"/>
  <c r="C10309" i="2"/>
  <c r="C10308" i="2"/>
  <c r="C10307" i="2"/>
  <c r="C10306" i="2"/>
  <c r="C10300" i="2"/>
  <c r="C10298" i="2"/>
  <c r="C10297" i="2"/>
  <c r="C10294" i="2"/>
  <c r="C10291" i="2"/>
  <c r="C10290" i="2"/>
  <c r="C10288" i="2"/>
  <c r="C10285" i="2"/>
  <c r="C10279" i="2"/>
  <c r="C10278" i="2"/>
  <c r="C10277" i="2"/>
  <c r="C10276" i="2"/>
  <c r="C10275" i="2"/>
  <c r="C10267" i="2"/>
  <c r="C10262" i="2"/>
  <c r="C10261" i="2"/>
  <c r="C10259" i="2"/>
  <c r="C10257" i="2"/>
  <c r="C10256" i="2"/>
  <c r="C10254" i="2"/>
  <c r="C10253" i="2"/>
  <c r="C10249" i="2"/>
  <c r="C10248" i="2"/>
  <c r="C10246" i="2"/>
  <c r="C10244" i="2"/>
  <c r="C10241" i="2"/>
  <c r="C10239" i="2"/>
  <c r="C10238" i="2"/>
  <c r="C10237" i="2"/>
  <c r="C10235" i="2"/>
  <c r="C10233" i="2"/>
  <c r="C10230" i="2"/>
  <c r="C10226" i="2"/>
  <c r="C10225" i="2"/>
  <c r="C10224" i="2"/>
  <c r="C10223" i="2"/>
  <c r="C10222" i="2"/>
  <c r="C10221" i="2"/>
  <c r="C10220" i="2"/>
  <c r="C10219" i="2"/>
  <c r="C10218" i="2"/>
  <c r="C10217" i="2"/>
  <c r="C10216" i="2"/>
  <c r="C10215" i="2"/>
  <c r="C10214" i="2"/>
  <c r="C10213" i="2"/>
  <c r="C10212" i="2"/>
  <c r="C10211" i="2"/>
  <c r="C10210" i="2"/>
  <c r="C10208" i="2"/>
  <c r="C10207" i="2"/>
  <c r="C10205" i="2"/>
  <c r="C10204" i="2"/>
  <c r="C10203" i="2"/>
  <c r="C10201" i="2"/>
  <c r="C10200" i="2"/>
  <c r="C10199" i="2"/>
  <c r="C10197" i="2"/>
  <c r="C10195" i="2"/>
  <c r="C10193" i="2"/>
  <c r="C10192" i="2"/>
  <c r="C10190" i="2"/>
  <c r="C10188" i="2"/>
  <c r="C10187" i="2"/>
  <c r="C10186" i="2"/>
  <c r="C10181" i="2"/>
  <c r="C10175" i="2"/>
  <c r="C10174" i="2"/>
  <c r="C10173" i="2"/>
  <c r="C10172" i="2"/>
  <c r="C10171" i="2"/>
  <c r="C10170" i="2"/>
  <c r="C10169" i="2"/>
  <c r="C10167" i="2"/>
  <c r="C10155" i="2"/>
  <c r="C10146" i="2"/>
  <c r="C10145" i="2"/>
  <c r="C10144" i="2"/>
  <c r="C10143" i="2"/>
  <c r="C10139" i="2"/>
  <c r="C10137" i="2"/>
  <c r="C10135" i="2"/>
  <c r="C10134" i="2"/>
  <c r="C10131" i="2"/>
  <c r="C10130" i="2"/>
  <c r="C10129" i="2"/>
  <c r="C10126" i="2"/>
  <c r="C10124" i="2"/>
  <c r="C10121" i="2"/>
  <c r="C10120" i="2"/>
  <c r="C10118" i="2"/>
  <c r="C10114" i="2"/>
  <c r="C10110" i="2"/>
  <c r="C10108" i="2"/>
  <c r="C10107" i="2"/>
  <c r="C10102" i="2"/>
  <c r="C10101" i="2"/>
  <c r="C10100" i="2"/>
  <c r="C10099" i="2"/>
  <c r="C10097" i="2"/>
  <c r="C10096" i="2"/>
  <c r="C10095" i="2"/>
  <c r="C10093" i="2"/>
  <c r="C10092" i="2"/>
  <c r="C10088" i="2"/>
  <c r="C10087" i="2"/>
  <c r="C10086" i="2"/>
  <c r="C10080" i="2"/>
  <c r="C10079" i="2"/>
  <c r="C10074" i="2"/>
  <c r="C10072" i="2"/>
  <c r="C10071" i="2"/>
  <c r="C10068" i="2"/>
  <c r="C10065" i="2"/>
  <c r="C10061" i="2"/>
  <c r="C10056" i="2"/>
  <c r="C10054" i="2"/>
  <c r="C10053" i="2"/>
  <c r="C10047" i="2"/>
  <c r="C10044" i="2"/>
  <c r="C10043" i="2"/>
  <c r="C10040" i="2"/>
  <c r="C10033" i="2"/>
  <c r="C10029" i="2"/>
  <c r="C10028" i="2"/>
  <c r="C10026" i="2"/>
  <c r="C10024" i="2"/>
  <c r="C10022" i="2"/>
  <c r="C10021" i="2"/>
  <c r="C10019" i="2"/>
  <c r="C10018" i="2"/>
  <c r="C10017" i="2"/>
  <c r="C10015" i="2"/>
  <c r="C10014" i="2"/>
  <c r="C10013" i="2"/>
  <c r="C10012" i="2"/>
  <c r="C10011" i="2"/>
  <c r="C10009" i="2"/>
  <c r="C10007" i="2"/>
  <c r="C10006" i="2"/>
  <c r="C10004" i="2"/>
  <c r="C10003" i="2"/>
  <c r="C10002" i="2"/>
  <c r="C10000" i="2"/>
  <c r="C9998" i="2"/>
  <c r="C9997" i="2"/>
  <c r="C9994" i="2"/>
  <c r="C9992" i="2"/>
  <c r="C9988" i="2"/>
  <c r="C9984" i="2"/>
  <c r="C9982" i="2"/>
  <c r="C9980" i="2"/>
  <c r="C9979" i="2"/>
  <c r="C9975" i="2"/>
  <c r="C9974" i="2"/>
  <c r="C9973" i="2"/>
  <c r="C9972" i="2"/>
  <c r="C9970" i="2"/>
  <c r="C9967" i="2"/>
  <c r="C9966" i="2"/>
  <c r="C9965" i="2"/>
  <c r="C9964" i="2"/>
  <c r="C9962" i="2"/>
  <c r="C9961" i="2"/>
  <c r="C9956" i="2"/>
  <c r="C9948" i="2"/>
  <c r="C9946" i="2"/>
  <c r="C9945" i="2"/>
  <c r="C9943" i="2"/>
  <c r="C9942" i="2"/>
  <c r="C9941" i="2"/>
  <c r="C9940" i="2"/>
  <c r="C9936" i="2"/>
  <c r="C9935" i="2"/>
  <c r="C9931" i="2"/>
  <c r="C9928" i="2"/>
  <c r="C9927" i="2"/>
  <c r="C9923" i="2"/>
  <c r="C9922" i="2"/>
  <c r="C9912" i="2"/>
  <c r="C9911" i="2"/>
  <c r="C9904" i="2"/>
  <c r="C9898" i="2"/>
  <c r="C9896" i="2"/>
  <c r="C9894" i="2"/>
  <c r="C9890" i="2"/>
  <c r="C9888" i="2"/>
  <c r="C9882" i="2"/>
  <c r="C9880" i="2"/>
  <c r="C9878" i="2"/>
  <c r="C9876" i="2"/>
  <c r="C9873" i="2"/>
  <c r="C9870" i="2"/>
  <c r="C9867" i="2"/>
  <c r="C9861" i="2"/>
  <c r="C9858" i="2"/>
  <c r="C9856" i="2"/>
  <c r="C9852" i="2"/>
  <c r="C9848" i="2"/>
  <c r="C9846" i="2"/>
  <c r="C9845" i="2"/>
  <c r="C9844" i="2"/>
  <c r="C9842" i="2"/>
  <c r="C9836" i="2"/>
  <c r="C9835" i="2"/>
  <c r="C9833" i="2"/>
  <c r="C9832" i="2"/>
  <c r="C9831" i="2"/>
  <c r="C9828" i="2"/>
  <c r="C9827" i="2"/>
  <c r="C9821" i="2"/>
  <c r="C9820" i="2"/>
  <c r="C9817" i="2"/>
  <c r="C9816" i="2"/>
  <c r="C9815" i="2"/>
  <c r="C9814" i="2"/>
  <c r="C9813" i="2"/>
  <c r="C9812" i="2"/>
  <c r="C9811" i="2"/>
  <c r="C9809" i="2"/>
  <c r="C9807" i="2"/>
  <c r="C9806" i="2"/>
  <c r="C9804" i="2"/>
  <c r="C9801" i="2"/>
  <c r="C9797" i="2"/>
  <c r="C9796" i="2"/>
  <c r="C9795" i="2"/>
  <c r="C9794" i="2"/>
  <c r="C9793" i="2"/>
  <c r="C9792" i="2"/>
  <c r="C9791" i="2"/>
  <c r="C9790" i="2"/>
  <c r="C9789" i="2"/>
  <c r="C9788" i="2"/>
  <c r="C9781" i="2"/>
  <c r="C9780" i="2"/>
  <c r="C9779" i="2"/>
  <c r="C9777" i="2"/>
  <c r="C9776" i="2"/>
  <c r="C9775" i="2"/>
  <c r="C9772" i="2"/>
  <c r="C9770" i="2"/>
  <c r="C9766" i="2"/>
  <c r="C9763" i="2"/>
  <c r="C9762" i="2"/>
  <c r="C9761" i="2"/>
  <c r="C9760" i="2"/>
  <c r="C9759" i="2"/>
  <c r="C9757" i="2"/>
  <c r="C9756" i="2"/>
  <c r="C9755" i="2"/>
  <c r="C9749" i="2"/>
  <c r="C9747" i="2"/>
  <c r="C9743" i="2"/>
  <c r="C9742" i="2"/>
  <c r="C9741" i="2"/>
  <c r="C9740" i="2"/>
  <c r="C9739" i="2"/>
  <c r="C9738" i="2"/>
  <c r="C9734" i="2"/>
  <c r="C9732" i="2"/>
  <c r="C9729" i="2"/>
  <c r="C9726" i="2"/>
  <c r="C9724" i="2"/>
  <c r="C9719" i="2"/>
  <c r="C9715" i="2"/>
  <c r="C9713" i="2"/>
  <c r="C9712" i="2"/>
  <c r="C9710" i="2"/>
  <c r="C9706" i="2"/>
  <c r="C9702" i="2"/>
  <c r="C9697" i="2"/>
  <c r="C9696" i="2"/>
  <c r="C9695" i="2"/>
  <c r="C9693" i="2"/>
  <c r="C9692" i="2"/>
  <c r="C9691" i="2"/>
  <c r="C9690" i="2"/>
  <c r="C9688" i="2"/>
  <c r="C9684" i="2"/>
  <c r="C9681" i="2"/>
  <c r="C9679" i="2"/>
  <c r="C9678" i="2"/>
  <c r="C9675" i="2"/>
  <c r="C9671" i="2"/>
  <c r="C9670" i="2"/>
  <c r="C9665" i="2"/>
  <c r="C9664" i="2"/>
  <c r="C9660" i="2"/>
  <c r="C9659" i="2"/>
  <c r="C9658" i="2"/>
  <c r="C9656" i="2"/>
  <c r="C9655" i="2"/>
  <c r="C9654" i="2"/>
  <c r="C9648" i="2"/>
  <c r="C9647" i="2"/>
  <c r="C9644" i="2"/>
  <c r="C9642" i="2"/>
  <c r="C9641" i="2"/>
  <c r="C9640" i="2"/>
  <c r="C9639" i="2"/>
  <c r="C9638" i="2"/>
  <c r="C9636" i="2"/>
  <c r="C9635" i="2"/>
  <c r="C9633" i="2"/>
  <c r="C9627" i="2"/>
  <c r="C9626" i="2"/>
  <c r="C9624" i="2"/>
  <c r="C9622" i="2"/>
  <c r="C9614" i="2"/>
  <c r="C9610" i="2"/>
  <c r="C9608" i="2"/>
  <c r="C9604" i="2"/>
  <c r="C9603" i="2"/>
  <c r="C9599" i="2"/>
  <c r="C9589" i="2"/>
  <c r="C9584" i="2"/>
  <c r="C9580" i="2"/>
  <c r="C9577" i="2"/>
  <c r="C9575" i="2"/>
  <c r="C9574" i="2"/>
  <c r="C9572" i="2"/>
  <c r="C9571" i="2"/>
  <c r="C9570" i="2"/>
  <c r="C9569" i="2"/>
  <c r="C9568" i="2"/>
  <c r="C9566" i="2"/>
  <c r="C9564" i="2"/>
  <c r="C9562" i="2"/>
  <c r="C9561" i="2"/>
  <c r="C9559" i="2"/>
  <c r="C9554" i="2"/>
  <c r="C9552" i="2"/>
  <c r="C9549" i="2"/>
  <c r="C9548" i="2"/>
  <c r="C9543" i="2"/>
  <c r="C9539" i="2"/>
  <c r="C9538" i="2"/>
  <c r="C9537" i="2"/>
  <c r="C9536" i="2"/>
  <c r="C9531" i="2"/>
  <c r="C9530" i="2"/>
  <c r="C9526" i="2"/>
  <c r="C9525" i="2"/>
  <c r="C9523" i="2"/>
  <c r="C9516" i="2"/>
  <c r="C9514" i="2"/>
  <c r="C9513" i="2"/>
  <c r="C9509" i="2"/>
  <c r="C9508" i="2"/>
  <c r="C9507" i="2"/>
  <c r="C9504" i="2"/>
  <c r="C9499" i="2"/>
  <c r="C9497" i="2"/>
  <c r="C9496" i="2"/>
  <c r="C9494" i="2"/>
  <c r="C9493" i="2"/>
  <c r="C9489" i="2"/>
  <c r="C9488" i="2"/>
  <c r="C9485" i="2"/>
  <c r="C9484" i="2"/>
  <c r="C9482" i="2"/>
  <c r="C9475" i="2"/>
  <c r="C9474" i="2"/>
  <c r="C9472" i="2"/>
  <c r="C9471" i="2"/>
  <c r="C9470" i="2"/>
  <c r="C9468" i="2"/>
  <c r="C9466" i="2"/>
  <c r="C9465" i="2"/>
  <c r="C9464" i="2"/>
  <c r="C9463" i="2"/>
  <c r="C9462" i="2"/>
  <c r="C9461" i="2"/>
  <c r="C9460" i="2"/>
  <c r="C9450" i="2"/>
  <c r="C9447" i="2"/>
  <c r="C9446" i="2"/>
  <c r="C9440" i="2"/>
  <c r="C9439" i="2"/>
  <c r="C9437" i="2"/>
  <c r="C9436" i="2"/>
  <c r="C9426" i="2"/>
  <c r="C9423" i="2"/>
  <c r="C9418" i="2"/>
  <c r="C9416" i="2"/>
  <c r="C9415" i="2"/>
  <c r="C9413" i="2"/>
  <c r="C9412" i="2"/>
  <c r="C9411" i="2"/>
  <c r="C9409" i="2"/>
  <c r="C9408" i="2"/>
  <c r="C9407" i="2"/>
  <c r="C9406" i="2"/>
  <c r="C9400" i="2"/>
  <c r="C9399" i="2"/>
  <c r="C9397" i="2"/>
  <c r="C9394" i="2"/>
  <c r="C9393" i="2"/>
  <c r="C9392" i="2"/>
  <c r="C9390" i="2"/>
  <c r="C9382" i="2"/>
  <c r="C9380" i="2"/>
  <c r="C9375" i="2"/>
  <c r="C9372" i="2"/>
  <c r="C9371" i="2"/>
  <c r="C9369" i="2"/>
  <c r="C9366" i="2"/>
  <c r="C9365" i="2"/>
  <c r="C9363" i="2"/>
  <c r="C9361" i="2"/>
  <c r="C9356" i="2"/>
  <c r="C9355" i="2"/>
  <c r="C9354" i="2"/>
  <c r="C9350" i="2"/>
  <c r="C9348" i="2"/>
  <c r="C9347" i="2"/>
  <c r="C9346" i="2"/>
  <c r="C9345" i="2"/>
  <c r="C9342" i="2"/>
  <c r="C9341" i="2"/>
  <c r="C9340" i="2"/>
  <c r="C9336" i="2"/>
  <c r="C9335" i="2"/>
  <c r="C9333" i="2"/>
  <c r="C9332" i="2"/>
  <c r="C9325" i="2"/>
  <c r="C9321" i="2"/>
  <c r="C9312" i="2"/>
  <c r="C9311" i="2"/>
  <c r="C9309" i="2"/>
  <c r="C9308" i="2"/>
  <c r="C9306" i="2"/>
  <c r="C9305" i="2"/>
  <c r="C9304" i="2"/>
  <c r="C9303" i="2"/>
  <c r="C9302" i="2"/>
  <c r="C9301" i="2"/>
  <c r="C9300" i="2"/>
  <c r="C9299" i="2"/>
  <c r="C9298" i="2"/>
  <c r="C9297" i="2"/>
  <c r="C9296" i="2"/>
  <c r="C9293" i="2"/>
  <c r="C9292" i="2"/>
  <c r="C9291" i="2"/>
  <c r="C9289" i="2"/>
  <c r="C9285" i="2"/>
  <c r="C9284" i="2"/>
  <c r="C9283" i="2"/>
  <c r="C9277" i="2"/>
  <c r="C9276" i="2"/>
  <c r="C9274" i="2"/>
  <c r="C9273" i="2"/>
  <c r="C9271" i="2"/>
  <c r="C9263" i="2"/>
  <c r="C9261" i="2"/>
  <c r="C9260" i="2"/>
  <c r="C9259" i="2"/>
  <c r="C9258" i="2"/>
  <c r="C9256" i="2"/>
  <c r="C9254" i="2"/>
  <c r="C9253" i="2"/>
  <c r="C9252" i="2"/>
  <c r="C9251" i="2"/>
  <c r="C9248" i="2"/>
  <c r="C9240" i="2"/>
  <c r="C9239" i="2"/>
  <c r="C9238" i="2"/>
  <c r="C9237" i="2"/>
  <c r="C9232" i="2"/>
  <c r="C9230" i="2"/>
  <c r="C9226" i="2"/>
  <c r="C9221" i="2"/>
  <c r="C9219" i="2"/>
  <c r="C9212" i="2"/>
  <c r="C9210" i="2"/>
  <c r="C9209" i="2"/>
  <c r="C9208" i="2"/>
  <c r="C9207" i="2"/>
  <c r="C9205" i="2"/>
  <c r="C9203" i="2"/>
  <c r="C9200" i="2"/>
  <c r="C9199" i="2"/>
  <c r="C9198" i="2"/>
  <c r="C9197" i="2"/>
  <c r="C9196" i="2"/>
  <c r="C9195" i="2"/>
  <c r="C9191" i="2"/>
  <c r="C9190" i="2"/>
  <c r="C9189" i="2"/>
  <c r="C9185" i="2"/>
  <c r="C9182" i="2"/>
  <c r="C9181" i="2"/>
  <c r="C9178" i="2"/>
  <c r="C9177" i="2"/>
  <c r="C9176" i="2"/>
  <c r="C9175" i="2"/>
  <c r="C9171" i="2"/>
  <c r="C9167" i="2"/>
  <c r="C9166" i="2"/>
  <c r="C9165" i="2"/>
  <c r="C9164" i="2"/>
  <c r="C9163" i="2"/>
  <c r="C9162" i="2"/>
  <c r="C9159" i="2"/>
  <c r="C9157" i="2"/>
  <c r="C9156" i="2"/>
  <c r="C9155" i="2"/>
  <c r="C9151" i="2"/>
  <c r="C9149" i="2"/>
  <c r="C9147" i="2"/>
  <c r="C9143" i="2"/>
  <c r="C9140" i="2"/>
  <c r="C9139" i="2"/>
  <c r="C9138" i="2"/>
  <c r="C9132" i="2"/>
  <c r="C9131" i="2"/>
  <c r="C9130" i="2"/>
  <c r="C9129" i="2"/>
  <c r="C9128" i="2"/>
  <c r="C9127" i="2"/>
  <c r="C9126" i="2"/>
  <c r="C9125" i="2"/>
  <c r="C9124" i="2"/>
  <c r="C9122" i="2"/>
  <c r="C9120" i="2"/>
  <c r="C9119" i="2"/>
  <c r="C9116" i="2"/>
  <c r="C9114" i="2"/>
  <c r="C9112" i="2"/>
  <c r="C9111" i="2"/>
  <c r="C9107" i="2"/>
  <c r="C9106" i="2"/>
  <c r="C9105" i="2"/>
  <c r="C9104" i="2"/>
  <c r="C9099" i="2"/>
  <c r="C9092" i="2"/>
  <c r="C9091" i="2"/>
  <c r="C9090" i="2"/>
  <c r="C9089" i="2"/>
  <c r="C9087" i="2"/>
  <c r="C9079" i="2"/>
  <c r="C9076" i="2"/>
  <c r="C9074" i="2"/>
  <c r="C9073" i="2"/>
  <c r="C9071" i="2"/>
  <c r="C9068" i="2"/>
  <c r="C9066" i="2"/>
  <c r="C9065" i="2"/>
  <c r="C9064" i="2"/>
  <c r="C9063" i="2"/>
  <c r="C9062" i="2"/>
  <c r="C9057" i="2"/>
  <c r="C9056" i="2"/>
  <c r="C9050" i="2"/>
  <c r="C9048" i="2"/>
  <c r="C9043" i="2"/>
  <c r="C9041" i="2"/>
  <c r="C9039" i="2"/>
  <c r="C9036" i="2"/>
  <c r="C9032" i="2"/>
  <c r="C9030" i="2"/>
  <c r="C9029" i="2"/>
  <c r="C9026" i="2"/>
  <c r="C9021" i="2"/>
  <c r="C9016" i="2"/>
  <c r="C9014" i="2"/>
  <c r="C9004" i="2"/>
  <c r="C9003" i="2"/>
  <c r="C9002" i="2"/>
  <c r="C9001" i="2"/>
  <c r="C8999" i="2"/>
  <c r="C8996" i="2"/>
  <c r="C8985" i="2"/>
  <c r="C8984" i="2"/>
  <c r="C8983" i="2"/>
  <c r="C8982" i="2"/>
  <c r="C8977" i="2"/>
  <c r="C8976" i="2"/>
  <c r="C8975" i="2"/>
  <c r="C8973" i="2"/>
  <c r="C8964" i="2"/>
  <c r="C8960" i="2"/>
  <c r="C8959" i="2"/>
  <c r="C8958" i="2"/>
  <c r="C8954" i="2"/>
  <c r="C8950" i="2"/>
  <c r="C8949" i="2"/>
  <c r="C8948" i="2"/>
  <c r="C8947" i="2"/>
  <c r="C8946" i="2"/>
  <c r="C8941" i="2"/>
  <c r="C8940" i="2"/>
  <c r="C8935" i="2"/>
  <c r="C8933" i="2"/>
  <c r="C8929" i="2"/>
  <c r="C8928" i="2"/>
  <c r="C8927" i="2"/>
  <c r="C8925" i="2"/>
  <c r="C8923" i="2"/>
  <c r="C8922" i="2"/>
  <c r="C8918" i="2"/>
  <c r="C8914" i="2"/>
  <c r="C8912" i="2"/>
  <c r="C8910" i="2"/>
  <c r="C8909" i="2"/>
  <c r="C8908" i="2"/>
  <c r="C8905" i="2"/>
  <c r="C8902" i="2"/>
  <c r="C8901" i="2"/>
  <c r="C8900" i="2"/>
  <c r="C8899" i="2"/>
  <c r="C8895" i="2"/>
  <c r="C8891" i="2"/>
  <c r="C8889" i="2"/>
  <c r="C8884" i="2"/>
  <c r="C8883" i="2"/>
  <c r="C8881" i="2"/>
  <c r="C8877" i="2"/>
  <c r="C8876" i="2"/>
  <c r="C8873" i="2"/>
  <c r="C8871" i="2"/>
  <c r="C8859" i="2"/>
  <c r="C8856" i="2"/>
  <c r="C8855" i="2"/>
  <c r="C8850" i="2"/>
  <c r="C8845" i="2"/>
  <c r="C8844" i="2"/>
  <c r="C8840" i="2"/>
  <c r="C8838" i="2"/>
  <c r="C8837" i="2"/>
  <c r="C8836" i="2"/>
  <c r="C8835" i="2"/>
  <c r="C8833" i="2"/>
  <c r="C8830" i="2"/>
  <c r="C8828" i="2"/>
  <c r="C8827" i="2"/>
  <c r="C8826" i="2"/>
  <c r="C8824" i="2"/>
  <c r="C8821" i="2"/>
  <c r="C8818" i="2"/>
  <c r="C8816" i="2"/>
  <c r="C8815" i="2"/>
  <c r="C8813" i="2"/>
  <c r="C8811" i="2"/>
  <c r="C8809" i="2"/>
  <c r="C8808" i="2"/>
  <c r="C8807" i="2"/>
  <c r="C8803" i="2"/>
  <c r="C8802" i="2"/>
  <c r="C8798" i="2"/>
  <c r="C8797" i="2"/>
  <c r="C8796" i="2"/>
  <c r="C8791" i="2"/>
  <c r="C8790" i="2"/>
  <c r="C8787" i="2"/>
  <c r="C8785" i="2"/>
  <c r="C8784" i="2"/>
  <c r="C8782" i="2"/>
  <c r="C8781" i="2"/>
  <c r="C8780" i="2"/>
  <c r="C8779" i="2"/>
  <c r="C8777" i="2"/>
  <c r="C8776" i="2"/>
  <c r="C8774" i="2"/>
  <c r="C8773" i="2"/>
  <c r="C8771" i="2"/>
  <c r="C8770" i="2"/>
  <c r="C8769" i="2"/>
  <c r="C8766" i="2"/>
  <c r="C8765" i="2"/>
  <c r="C8763" i="2"/>
  <c r="C8759" i="2"/>
  <c r="C8758" i="2"/>
  <c r="C8757" i="2"/>
  <c r="C8756" i="2"/>
  <c r="C8755" i="2"/>
  <c r="C8752" i="2"/>
  <c r="C8751" i="2"/>
  <c r="C8749" i="2"/>
  <c r="C8746" i="2"/>
  <c r="C8745" i="2"/>
  <c r="C8743" i="2"/>
  <c r="C8742" i="2"/>
  <c r="C8738" i="2"/>
  <c r="C8733" i="2"/>
  <c r="C8729" i="2"/>
  <c r="C8727" i="2"/>
  <c r="C8724" i="2"/>
  <c r="C8721" i="2"/>
  <c r="C8718" i="2"/>
  <c r="C8717" i="2"/>
  <c r="C8715" i="2"/>
  <c r="C8713" i="2"/>
  <c r="C8712" i="2"/>
  <c r="C8711" i="2"/>
  <c r="C8701" i="2"/>
  <c r="C8696" i="2"/>
  <c r="C8689" i="2"/>
  <c r="C8688" i="2"/>
  <c r="C8687" i="2"/>
  <c r="C8686" i="2"/>
  <c r="C8684" i="2"/>
  <c r="C8683" i="2"/>
  <c r="C8682" i="2"/>
  <c r="C8680" i="2"/>
  <c r="C8679" i="2"/>
  <c r="C8677" i="2"/>
  <c r="C8674" i="2"/>
  <c r="C8671" i="2"/>
  <c r="C8670" i="2"/>
  <c r="C8669" i="2"/>
  <c r="C8668" i="2"/>
  <c r="C8667" i="2"/>
  <c r="C8666" i="2"/>
  <c r="C8665" i="2"/>
  <c r="C8663" i="2"/>
  <c r="C8662" i="2"/>
  <c r="C8658" i="2"/>
  <c r="C8656" i="2"/>
  <c r="C8652" i="2"/>
  <c r="C8645" i="2"/>
  <c r="C8644" i="2"/>
  <c r="C8639" i="2"/>
  <c r="C8638" i="2"/>
  <c r="C8637" i="2"/>
  <c r="C8635" i="2"/>
  <c r="C8626" i="2"/>
  <c r="C8622" i="2"/>
  <c r="C8621" i="2"/>
  <c r="C8620" i="2"/>
  <c r="C8619" i="2"/>
  <c r="C8618" i="2"/>
  <c r="C8616" i="2"/>
  <c r="C8615" i="2"/>
  <c r="C8614" i="2"/>
  <c r="C8613" i="2"/>
  <c r="C8612" i="2"/>
  <c r="C8611" i="2"/>
  <c r="C8610" i="2"/>
  <c r="C8605" i="2"/>
  <c r="C8602" i="2"/>
  <c r="C8583" i="2"/>
  <c r="C8581" i="2"/>
  <c r="C8574" i="2"/>
  <c r="C8573" i="2"/>
  <c r="C8571" i="2"/>
  <c r="C8570" i="2"/>
  <c r="C8567" i="2"/>
  <c r="C8564" i="2"/>
  <c r="C8562" i="2"/>
  <c r="C8560" i="2"/>
  <c r="C8559" i="2"/>
  <c r="C8558" i="2"/>
  <c r="C8557" i="2"/>
  <c r="C8553" i="2"/>
  <c r="C8552" i="2"/>
  <c r="C8551" i="2"/>
  <c r="C8550" i="2"/>
  <c r="C8548" i="2"/>
  <c r="C8546" i="2"/>
  <c r="C8545" i="2"/>
  <c r="C8544" i="2"/>
  <c r="C8543" i="2"/>
  <c r="C8538" i="2"/>
  <c r="C8537" i="2"/>
  <c r="C8535" i="2"/>
  <c r="C8534" i="2"/>
  <c r="C8533" i="2"/>
  <c r="C8532" i="2"/>
  <c r="C8531" i="2"/>
  <c r="C8525" i="2"/>
  <c r="C8522" i="2"/>
  <c r="C8515" i="2"/>
  <c r="C8514" i="2"/>
  <c r="C8512" i="2"/>
  <c r="C8510" i="2"/>
  <c r="C8509" i="2"/>
  <c r="C8508" i="2"/>
  <c r="C8506" i="2"/>
  <c r="C8502" i="2"/>
  <c r="C8501" i="2"/>
  <c r="C8499" i="2"/>
  <c r="C8498" i="2"/>
  <c r="C8496" i="2"/>
  <c r="C8494" i="2"/>
  <c r="C8491" i="2"/>
  <c r="C8490" i="2"/>
  <c r="C8489" i="2"/>
  <c r="C8487" i="2"/>
  <c r="C8486" i="2"/>
  <c r="C8484" i="2"/>
  <c r="C8483" i="2"/>
  <c r="C8481" i="2"/>
  <c r="C8478" i="2"/>
  <c r="C8477" i="2"/>
  <c r="C8475" i="2"/>
  <c r="C8472" i="2"/>
  <c r="C8470" i="2"/>
  <c r="C8466" i="2"/>
  <c r="C8463" i="2"/>
  <c r="C8462" i="2"/>
  <c r="C8460" i="2"/>
  <c r="C8459" i="2"/>
  <c r="C8457" i="2"/>
  <c r="C8456" i="2"/>
  <c r="C8455" i="2"/>
  <c r="C8454" i="2"/>
  <c r="C8453" i="2"/>
  <c r="C8452" i="2"/>
  <c r="C8451" i="2"/>
  <c r="C8450" i="2"/>
  <c r="C8449" i="2"/>
  <c r="C8448" i="2"/>
  <c r="C8447" i="2"/>
  <c r="C8446" i="2"/>
  <c r="C8444" i="2"/>
  <c r="C8443" i="2"/>
  <c r="C8442" i="2"/>
  <c r="C8439" i="2"/>
  <c r="C8431" i="2"/>
  <c r="C8430" i="2"/>
  <c r="C8427" i="2"/>
  <c r="C8425" i="2"/>
  <c r="C8422" i="2"/>
  <c r="C8419" i="2"/>
  <c r="C8414" i="2"/>
  <c r="C8408" i="2"/>
  <c r="C8402" i="2"/>
  <c r="C8399" i="2"/>
  <c r="C8397" i="2"/>
  <c r="C8396" i="2"/>
  <c r="C8395" i="2"/>
  <c r="C8391" i="2"/>
  <c r="C8390" i="2"/>
  <c r="C8389" i="2"/>
  <c r="C8388" i="2"/>
  <c r="C8386" i="2"/>
  <c r="C8384" i="2"/>
  <c r="C8381" i="2"/>
  <c r="C8380" i="2"/>
  <c r="C8374" i="2"/>
  <c r="C8371" i="2"/>
  <c r="C8370" i="2"/>
  <c r="C8367" i="2"/>
  <c r="C8366" i="2"/>
  <c r="C8361" i="2"/>
  <c r="C8359" i="2"/>
  <c r="C8356" i="2"/>
  <c r="C8355" i="2"/>
  <c r="C8353" i="2"/>
  <c r="C8352" i="2"/>
  <c r="C8351" i="2"/>
  <c r="C8350" i="2"/>
  <c r="C8348" i="2"/>
  <c r="C8347" i="2"/>
  <c r="C8344" i="2"/>
  <c r="C8343" i="2"/>
  <c r="C8342" i="2"/>
  <c r="C8341" i="2"/>
  <c r="C8339" i="2"/>
  <c r="C8338" i="2"/>
  <c r="C8337" i="2"/>
  <c r="C8335" i="2"/>
  <c r="C8329" i="2"/>
  <c r="C8328" i="2"/>
  <c r="C8327" i="2"/>
  <c r="C8326" i="2"/>
  <c r="C8323" i="2"/>
  <c r="C8322" i="2"/>
  <c r="C8320" i="2"/>
  <c r="C8318" i="2"/>
  <c r="C8315" i="2"/>
  <c r="C8314" i="2"/>
  <c r="C8313" i="2"/>
  <c r="C8311" i="2"/>
  <c r="C8309" i="2"/>
  <c r="C8308" i="2"/>
  <c r="C8305" i="2"/>
  <c r="C8301" i="2"/>
  <c r="C8298" i="2"/>
  <c r="C8296" i="2"/>
  <c r="C8291" i="2"/>
  <c r="C8290" i="2"/>
  <c r="C8288" i="2"/>
  <c r="C8283" i="2"/>
  <c r="C8282" i="2"/>
  <c r="C8281" i="2"/>
  <c r="C8280" i="2"/>
  <c r="C8276" i="2"/>
  <c r="C8275" i="2"/>
  <c r="C8272" i="2"/>
  <c r="C8269" i="2"/>
  <c r="C8268" i="2"/>
  <c r="C8266" i="2"/>
  <c r="C8265" i="2"/>
  <c r="C8263" i="2"/>
  <c r="C8262" i="2"/>
  <c r="C8258" i="2"/>
  <c r="C8253" i="2"/>
  <c r="C8252" i="2"/>
  <c r="C8251" i="2"/>
  <c r="C8250" i="2"/>
  <c r="C8249" i="2"/>
  <c r="C8248" i="2"/>
  <c r="C8247" i="2"/>
  <c r="C8243" i="2"/>
  <c r="C8242" i="2"/>
  <c r="C8241" i="2"/>
  <c r="C8225" i="2"/>
  <c r="C8221" i="2"/>
  <c r="C8218" i="2"/>
  <c r="C8217" i="2"/>
  <c r="C8216" i="2"/>
  <c r="C8214" i="2"/>
  <c r="C8213" i="2"/>
  <c r="C8212" i="2"/>
  <c r="C8211" i="2"/>
  <c r="C8208" i="2"/>
  <c r="C8207" i="2"/>
  <c r="C8205" i="2"/>
  <c r="C8202" i="2"/>
  <c r="C8200" i="2"/>
  <c r="C8196" i="2"/>
  <c r="C8195" i="2"/>
  <c r="C8191" i="2"/>
  <c r="C8190" i="2"/>
  <c r="C8181" i="2"/>
  <c r="C8177" i="2"/>
  <c r="C8172" i="2"/>
  <c r="C8169" i="2"/>
  <c r="C8163" i="2"/>
  <c r="C8162" i="2"/>
  <c r="C8161" i="2"/>
  <c r="C8157" i="2"/>
  <c r="C8154" i="2"/>
  <c r="C8153" i="2"/>
  <c r="C8152" i="2"/>
  <c r="C8151" i="2"/>
  <c r="C8145" i="2"/>
  <c r="C8144" i="2"/>
  <c r="C8143" i="2"/>
  <c r="C8142" i="2"/>
  <c r="C8140" i="2"/>
  <c r="C8139" i="2"/>
  <c r="C8138" i="2"/>
  <c r="C8137" i="2"/>
  <c r="C8136" i="2"/>
  <c r="C8127" i="2"/>
  <c r="C8125" i="2"/>
  <c r="C8122" i="2"/>
  <c r="C8121" i="2"/>
  <c r="C8120" i="2"/>
  <c r="C8118" i="2"/>
  <c r="C8117" i="2"/>
  <c r="C8115" i="2"/>
  <c r="C8114" i="2"/>
  <c r="C8110" i="2"/>
  <c r="C8109" i="2"/>
  <c r="C8107" i="2"/>
  <c r="C8106" i="2"/>
  <c r="C8102" i="2"/>
  <c r="C8101" i="2"/>
  <c r="C8100" i="2"/>
  <c r="C8099" i="2"/>
  <c r="C8098" i="2"/>
  <c r="C8093" i="2"/>
  <c r="C8090" i="2"/>
  <c r="C8089" i="2"/>
  <c r="C8087" i="2"/>
  <c r="C8084" i="2"/>
  <c r="C8082" i="2"/>
  <c r="C8079" i="2"/>
  <c r="C8078" i="2"/>
  <c r="C8076" i="2"/>
  <c r="C8073" i="2"/>
  <c r="C8071" i="2"/>
  <c r="C8068" i="2"/>
  <c r="C8067" i="2"/>
  <c r="C8065" i="2"/>
  <c r="C8064" i="2"/>
  <c r="C8058" i="2"/>
  <c r="C8057" i="2"/>
  <c r="C8055" i="2"/>
  <c r="C8053" i="2"/>
  <c r="C8050" i="2"/>
  <c r="C8049" i="2"/>
  <c r="C8046" i="2"/>
  <c r="C8042" i="2"/>
  <c r="C8039" i="2"/>
  <c r="C8038" i="2"/>
  <c r="C8036" i="2"/>
  <c r="C8033" i="2"/>
  <c r="C8029" i="2"/>
  <c r="C8028" i="2"/>
  <c r="C8025" i="2"/>
  <c r="C8016" i="2"/>
  <c r="C8014" i="2"/>
  <c r="C8013" i="2"/>
  <c r="C8012" i="2"/>
  <c r="C8004" i="2"/>
  <c r="C8000" i="2"/>
  <c r="C7999" i="2"/>
  <c r="C7997" i="2"/>
  <c r="C7995" i="2"/>
  <c r="C7993" i="2"/>
  <c r="C7992" i="2"/>
  <c r="C7991" i="2"/>
  <c r="C7989" i="2"/>
  <c r="C7988" i="2"/>
  <c r="C7987" i="2"/>
  <c r="C7985" i="2"/>
  <c r="C7984" i="2"/>
  <c r="C7981" i="2"/>
  <c r="C7979" i="2"/>
  <c r="C7973" i="2"/>
  <c r="C7971" i="2"/>
  <c r="C7970" i="2"/>
  <c r="C7969" i="2"/>
  <c r="C7965" i="2"/>
  <c r="C7964" i="2"/>
  <c r="C7963" i="2"/>
  <c r="C7962" i="2"/>
  <c r="C7961" i="2"/>
  <c r="C7960" i="2"/>
  <c r="C7956" i="2"/>
  <c r="C7955" i="2"/>
  <c r="C7953" i="2"/>
  <c r="C7952" i="2"/>
  <c r="C7951" i="2"/>
  <c r="C7949" i="2"/>
  <c r="C7948" i="2"/>
  <c r="C7947" i="2"/>
  <c r="C7945" i="2"/>
  <c r="C7944" i="2"/>
  <c r="C7940" i="2"/>
  <c r="C7938" i="2"/>
  <c r="C7937" i="2"/>
  <c r="C7934" i="2"/>
  <c r="C7933" i="2"/>
  <c r="C7928" i="2"/>
  <c r="C7927" i="2"/>
  <c r="C7926" i="2"/>
  <c r="C7925" i="2"/>
  <c r="C7922" i="2"/>
  <c r="C7921" i="2"/>
  <c r="C7919" i="2"/>
  <c r="C7917" i="2"/>
  <c r="C7914" i="2"/>
  <c r="C7913" i="2"/>
  <c r="C7910" i="2"/>
  <c r="C7907" i="2"/>
  <c r="C7904" i="2"/>
  <c r="C7902" i="2"/>
  <c r="C7901" i="2"/>
  <c r="C7900" i="2"/>
  <c r="C7899" i="2"/>
  <c r="C7896" i="2"/>
  <c r="C7895" i="2"/>
  <c r="C7894" i="2"/>
  <c r="C7891" i="2"/>
  <c r="C7886" i="2"/>
  <c r="C7885" i="2"/>
  <c r="C7883" i="2"/>
  <c r="C7881" i="2"/>
  <c r="C7878" i="2"/>
  <c r="C7876" i="2"/>
  <c r="C7875" i="2"/>
  <c r="C7874" i="2"/>
  <c r="C7865" i="2"/>
  <c r="C7864" i="2"/>
  <c r="C7859" i="2"/>
  <c r="C7857" i="2"/>
  <c r="C7851" i="2"/>
  <c r="C7850" i="2"/>
  <c r="C7848" i="2"/>
  <c r="C7847" i="2"/>
  <c r="C7845" i="2"/>
  <c r="C7841" i="2"/>
  <c r="C7839" i="2"/>
  <c r="C7838" i="2"/>
  <c r="C7835" i="2"/>
  <c r="C7834" i="2"/>
  <c r="C7833" i="2"/>
  <c r="C7831" i="2"/>
  <c r="C7830" i="2"/>
  <c r="C7829" i="2"/>
  <c r="C7828" i="2"/>
  <c r="C7827" i="2"/>
  <c r="C7826" i="2"/>
  <c r="C7825" i="2"/>
  <c r="C7824" i="2"/>
  <c r="C7820" i="2"/>
  <c r="C7816" i="2"/>
  <c r="C7815" i="2"/>
  <c r="C7813" i="2"/>
  <c r="C7812" i="2"/>
  <c r="C7810" i="2"/>
  <c r="C7806" i="2"/>
  <c r="C7804" i="2"/>
  <c r="C7801" i="2"/>
  <c r="C7800" i="2"/>
  <c r="C7795" i="2"/>
  <c r="C7793" i="2"/>
  <c r="C7792" i="2"/>
  <c r="C7791" i="2"/>
  <c r="C7790" i="2"/>
  <c r="C7789" i="2"/>
  <c r="C7788" i="2"/>
  <c r="C7787" i="2"/>
  <c r="C7786" i="2"/>
  <c r="C7785" i="2"/>
  <c r="C7783" i="2"/>
  <c r="C7780" i="2"/>
  <c r="C7779" i="2"/>
  <c r="C7778" i="2"/>
  <c r="C7776" i="2"/>
  <c r="C7774" i="2"/>
  <c r="C7773" i="2"/>
  <c r="C7771" i="2"/>
  <c r="C7769" i="2"/>
  <c r="C7766" i="2"/>
  <c r="C7765" i="2"/>
  <c r="C7764" i="2"/>
  <c r="C7762" i="2"/>
  <c r="C7761" i="2"/>
  <c r="C7759" i="2"/>
  <c r="C7755" i="2"/>
  <c r="C7754" i="2"/>
  <c r="C7753" i="2"/>
  <c r="C7749" i="2"/>
  <c r="C7746" i="2"/>
  <c r="C7745" i="2"/>
  <c r="C7744" i="2"/>
  <c r="C7742" i="2"/>
  <c r="C7741" i="2"/>
  <c r="C7739" i="2"/>
  <c r="C7737" i="2"/>
  <c r="C7735" i="2"/>
  <c r="C7734" i="2"/>
  <c r="C7728" i="2"/>
  <c r="C7727" i="2"/>
  <c r="C7724" i="2"/>
  <c r="C7721" i="2"/>
  <c r="C7720" i="2"/>
  <c r="C7716" i="2"/>
  <c r="C7714" i="2"/>
  <c r="C7712" i="2"/>
  <c r="C7709" i="2"/>
  <c r="C7703" i="2"/>
  <c r="C7700" i="2"/>
  <c r="C7699" i="2"/>
  <c r="C7698" i="2"/>
  <c r="C7693" i="2"/>
  <c r="C7691" i="2"/>
  <c r="C7687" i="2"/>
  <c r="C7683" i="2"/>
  <c r="C7680" i="2"/>
  <c r="C7678" i="2"/>
  <c r="C7677" i="2"/>
  <c r="C7675" i="2"/>
  <c r="C7672" i="2"/>
  <c r="C7671" i="2"/>
  <c r="C7665" i="2"/>
  <c r="C7664" i="2"/>
  <c r="C7661" i="2"/>
  <c r="C7658" i="2"/>
  <c r="C7655" i="2"/>
  <c r="C7650" i="2"/>
  <c r="C7648" i="2"/>
  <c r="C7647" i="2"/>
  <c r="C7645" i="2"/>
  <c r="C7641" i="2"/>
  <c r="C7636" i="2"/>
  <c r="C7635" i="2"/>
  <c r="C7631" i="2"/>
  <c r="C7630" i="2"/>
  <c r="C7627" i="2"/>
  <c r="C7625" i="2"/>
  <c r="C7622" i="2"/>
  <c r="C7621" i="2"/>
  <c r="C7618" i="2"/>
  <c r="C7617" i="2"/>
  <c r="C7614" i="2"/>
  <c r="C7613" i="2"/>
  <c r="C7612" i="2"/>
  <c r="C7611" i="2"/>
  <c r="C7608" i="2"/>
  <c r="C7607" i="2"/>
  <c r="C7605" i="2"/>
  <c r="C7604" i="2"/>
  <c r="C7603" i="2"/>
  <c r="C7602" i="2"/>
  <c r="C7601" i="2"/>
  <c r="C7599" i="2"/>
  <c r="C7598" i="2"/>
  <c r="C7597" i="2"/>
  <c r="C7596" i="2"/>
  <c r="C7595" i="2"/>
  <c r="C7593" i="2"/>
  <c r="C7591" i="2"/>
  <c r="C7590" i="2"/>
  <c r="C7589" i="2"/>
  <c r="C7588" i="2"/>
  <c r="C7581" i="2"/>
  <c r="C7578" i="2"/>
  <c r="C7575" i="2"/>
  <c r="C7568" i="2"/>
  <c r="C7566" i="2"/>
  <c r="C7565" i="2"/>
  <c r="C7564" i="2"/>
  <c r="C7563" i="2"/>
  <c r="C7561" i="2"/>
  <c r="C7555" i="2"/>
  <c r="C7554" i="2"/>
  <c r="C7552" i="2"/>
  <c r="C7549" i="2"/>
  <c r="C7548" i="2"/>
  <c r="C7545" i="2"/>
  <c r="C7544" i="2"/>
  <c r="C7543" i="2"/>
  <c r="C7542" i="2"/>
  <c r="C7539" i="2"/>
  <c r="C7530" i="2"/>
  <c r="C7529" i="2"/>
  <c r="C7525" i="2"/>
  <c r="C7521" i="2"/>
  <c r="C7519" i="2"/>
  <c r="C7516" i="2"/>
  <c r="C7515" i="2"/>
  <c r="C7512" i="2"/>
  <c r="C7511" i="2"/>
  <c r="C7509" i="2"/>
  <c r="C7506" i="2"/>
  <c r="C7503" i="2"/>
  <c r="C7501" i="2"/>
  <c r="C7497" i="2"/>
  <c r="C7486" i="2"/>
  <c r="C7483" i="2"/>
  <c r="C7481" i="2"/>
  <c r="C7480" i="2"/>
  <c r="C7479" i="2"/>
  <c r="C7476" i="2"/>
  <c r="C7468" i="2"/>
  <c r="C7466" i="2"/>
  <c r="C7465" i="2"/>
  <c r="C7464" i="2"/>
  <c r="C7463" i="2"/>
  <c r="C7461" i="2"/>
  <c r="C7460" i="2"/>
  <c r="C7459" i="2"/>
  <c r="C7457" i="2"/>
  <c r="C7450" i="2"/>
  <c r="C7445" i="2"/>
  <c r="C7443" i="2"/>
  <c r="C7442" i="2"/>
  <c r="C7441" i="2"/>
  <c r="C7440" i="2"/>
  <c r="C7439" i="2"/>
  <c r="C7438" i="2"/>
  <c r="C7436" i="2"/>
  <c r="C7429" i="2"/>
  <c r="C7425" i="2"/>
  <c r="C7419" i="2"/>
  <c r="C7418" i="2"/>
  <c r="C7417" i="2"/>
  <c r="C7416" i="2"/>
  <c r="C7414" i="2"/>
  <c r="C7413" i="2"/>
  <c r="C7411" i="2"/>
  <c r="C7410" i="2"/>
  <c r="C7409" i="2"/>
  <c r="C7407" i="2"/>
  <c r="C7406" i="2"/>
  <c r="C7405" i="2"/>
  <c r="C7403" i="2"/>
  <c r="C7402" i="2"/>
  <c r="C7401" i="2"/>
  <c r="C7398" i="2"/>
  <c r="C7397" i="2"/>
  <c r="C7389" i="2"/>
  <c r="C7388" i="2"/>
  <c r="C7386" i="2"/>
  <c r="C7385" i="2"/>
  <c r="C7382" i="2"/>
  <c r="C7381" i="2"/>
  <c r="C7380" i="2"/>
  <c r="C7379" i="2"/>
  <c r="C7378" i="2"/>
  <c r="C7377" i="2"/>
  <c r="C7376" i="2"/>
  <c r="C7375" i="2"/>
  <c r="C7372" i="2"/>
  <c r="C7371" i="2"/>
  <c r="C7370" i="2"/>
  <c r="C7369" i="2"/>
  <c r="C7367" i="2"/>
  <c r="C7364" i="2"/>
  <c r="C7360" i="2"/>
  <c r="C7359" i="2"/>
  <c r="C7357" i="2"/>
  <c r="C7356" i="2"/>
  <c r="C7355" i="2"/>
  <c r="C7354" i="2"/>
  <c r="C7353" i="2"/>
  <c r="C7345" i="2"/>
  <c r="C7344" i="2"/>
  <c r="C7340" i="2"/>
  <c r="C7337" i="2"/>
  <c r="C7336" i="2"/>
  <c r="C7335" i="2"/>
  <c r="C7334" i="2"/>
  <c r="C7329" i="2"/>
  <c r="C7328" i="2"/>
  <c r="C7326" i="2"/>
  <c r="C7325" i="2"/>
  <c r="C7324" i="2"/>
  <c r="C7322" i="2"/>
  <c r="C7321" i="2"/>
  <c r="C7318" i="2"/>
  <c r="C7317" i="2"/>
  <c r="C7316" i="2"/>
  <c r="C7315" i="2"/>
  <c r="C7313" i="2"/>
  <c r="C7307" i="2"/>
  <c r="C7303" i="2"/>
  <c r="C7302" i="2"/>
  <c r="C7300" i="2"/>
  <c r="C7299" i="2"/>
  <c r="C7289" i="2"/>
  <c r="C7288" i="2"/>
  <c r="C7286" i="2"/>
  <c r="C7283" i="2"/>
  <c r="C7282" i="2"/>
  <c r="C7281" i="2"/>
  <c r="C7279" i="2"/>
  <c r="C7276" i="2"/>
  <c r="C7275" i="2"/>
  <c r="C7269" i="2"/>
  <c r="C7267" i="2"/>
  <c r="C7259" i="2"/>
  <c r="C7257" i="2"/>
  <c r="C7256" i="2"/>
  <c r="C7255" i="2"/>
  <c r="C7252" i="2"/>
  <c r="C7251" i="2"/>
  <c r="C7249" i="2"/>
  <c r="C7248" i="2"/>
  <c r="C7247" i="2"/>
  <c r="C7246" i="2"/>
  <c r="C7245" i="2"/>
  <c r="C7243" i="2"/>
  <c r="C7242" i="2"/>
  <c r="C7239" i="2"/>
  <c r="C7236" i="2"/>
  <c r="C7226" i="2"/>
  <c r="C7223" i="2"/>
  <c r="C7222" i="2"/>
  <c r="C7221" i="2"/>
  <c r="C7220" i="2"/>
  <c r="C7219" i="2"/>
  <c r="C7218" i="2"/>
  <c r="C7217" i="2"/>
  <c r="C7214" i="2"/>
  <c r="C7206" i="2"/>
  <c r="C7205" i="2"/>
  <c r="C7202" i="2"/>
  <c r="C7201" i="2"/>
  <c r="C7198" i="2"/>
  <c r="C7197" i="2"/>
  <c r="C7195" i="2"/>
  <c r="C7190" i="2"/>
  <c r="C7188" i="2"/>
  <c r="C7186" i="2"/>
  <c r="C7185" i="2"/>
  <c r="C7184" i="2"/>
  <c r="C7183" i="2"/>
  <c r="C7181" i="2"/>
  <c r="C7179" i="2"/>
  <c r="C7178" i="2"/>
  <c r="C7177" i="2"/>
  <c r="C7175" i="2"/>
  <c r="C7169" i="2"/>
  <c r="C7164" i="2"/>
  <c r="C7163" i="2"/>
  <c r="C7162" i="2"/>
  <c r="C7160" i="2"/>
  <c r="C7154" i="2"/>
  <c r="C7152" i="2"/>
  <c r="C7151" i="2"/>
  <c r="C7149" i="2"/>
  <c r="C7145" i="2"/>
  <c r="C7142" i="2"/>
  <c r="C7140" i="2"/>
  <c r="C7136" i="2"/>
  <c r="C7135" i="2"/>
  <c r="C7133" i="2"/>
  <c r="C7132" i="2"/>
  <c r="C7130" i="2"/>
  <c r="C7128" i="2"/>
  <c r="C7127" i="2"/>
  <c r="C7125" i="2"/>
  <c r="C7124" i="2"/>
  <c r="C7122" i="2"/>
  <c r="C7116" i="2"/>
  <c r="C7115" i="2"/>
  <c r="C7103" i="2"/>
  <c r="C7102" i="2"/>
  <c r="C7099" i="2"/>
  <c r="C7097" i="2"/>
  <c r="C7091" i="2"/>
  <c r="C7090" i="2"/>
  <c r="C7089" i="2"/>
  <c r="C7088" i="2"/>
  <c r="C7087" i="2"/>
  <c r="C7086" i="2"/>
  <c r="C7085" i="2"/>
  <c r="C7084" i="2"/>
  <c r="C7082" i="2"/>
  <c r="C7080" i="2"/>
  <c r="C7079" i="2"/>
  <c r="C7077" i="2"/>
  <c r="C7075" i="2"/>
  <c r="C7073" i="2"/>
  <c r="C7071" i="2"/>
  <c r="C7070" i="2"/>
  <c r="C7068" i="2"/>
  <c r="C7065" i="2"/>
  <c r="C7062" i="2"/>
  <c r="C7061" i="2"/>
  <c r="C7060" i="2"/>
  <c r="C7058" i="2"/>
  <c r="C7057" i="2"/>
  <c r="C7056" i="2"/>
  <c r="C7054" i="2"/>
  <c r="C7052" i="2"/>
  <c r="C7050" i="2"/>
  <c r="C7049" i="2"/>
  <c r="C7047" i="2"/>
  <c r="C7045" i="2"/>
  <c r="C7044" i="2"/>
  <c r="C7040" i="2"/>
  <c r="C7037" i="2"/>
  <c r="C7034" i="2"/>
  <c r="C7025" i="2"/>
  <c r="C7024" i="2"/>
  <c r="C7018" i="2"/>
  <c r="C7017" i="2"/>
  <c r="C7016" i="2"/>
  <c r="C7015" i="2"/>
  <c r="C7014" i="2"/>
  <c r="C7012" i="2"/>
  <c r="C7010" i="2"/>
  <c r="C7000" i="2"/>
  <c r="C6995" i="2"/>
  <c r="C6994" i="2"/>
  <c r="C6993" i="2"/>
  <c r="C6992" i="2"/>
  <c r="C6991" i="2"/>
  <c r="C6990" i="2"/>
  <c r="C6989" i="2"/>
  <c r="C6986" i="2"/>
  <c r="C6984" i="2"/>
  <c r="C6982" i="2"/>
  <c r="C6981" i="2"/>
  <c r="C6980" i="2"/>
  <c r="C6979" i="2"/>
  <c r="C6977" i="2"/>
  <c r="C6972" i="2"/>
  <c r="C6971" i="2"/>
  <c r="C6970" i="2"/>
  <c r="C6969" i="2"/>
  <c r="C6968" i="2"/>
  <c r="C6965" i="2"/>
  <c r="C6964" i="2"/>
  <c r="C6962" i="2"/>
  <c r="C6961" i="2"/>
  <c r="C6959" i="2"/>
  <c r="C6958" i="2"/>
  <c r="C6957" i="2"/>
  <c r="C6954" i="2"/>
  <c r="C6952" i="2"/>
  <c r="C6951" i="2"/>
  <c r="C6950" i="2"/>
  <c r="C6949" i="2"/>
  <c r="C6948" i="2"/>
  <c r="C6946" i="2"/>
  <c r="C6945" i="2"/>
  <c r="C6944" i="2"/>
  <c r="C6943" i="2"/>
  <c r="C6941" i="2"/>
  <c r="C6940" i="2"/>
  <c r="C6936" i="2"/>
  <c r="C6935" i="2"/>
  <c r="C6932" i="2"/>
  <c r="C6926" i="2"/>
  <c r="C6922" i="2"/>
  <c r="C6918" i="2"/>
  <c r="C6910" i="2"/>
  <c r="C6909" i="2"/>
  <c r="C6908" i="2"/>
  <c r="C6900" i="2"/>
  <c r="C6899" i="2"/>
  <c r="C6898" i="2"/>
  <c r="C6897" i="2"/>
  <c r="C6895" i="2"/>
  <c r="C6893" i="2"/>
  <c r="C6890" i="2"/>
  <c r="C6889" i="2"/>
  <c r="C6885" i="2"/>
  <c r="C6883" i="2"/>
  <c r="C6882" i="2"/>
  <c r="C6881" i="2"/>
  <c r="C6880" i="2"/>
  <c r="C6878" i="2"/>
  <c r="C6875" i="2"/>
  <c r="C6872" i="2"/>
  <c r="C6869" i="2"/>
  <c r="C6867" i="2"/>
  <c r="C6862" i="2"/>
  <c r="C6861" i="2"/>
  <c r="C6860" i="2"/>
  <c r="C6859" i="2"/>
  <c r="C6858" i="2"/>
  <c r="C6857" i="2"/>
  <c r="C6855" i="2"/>
  <c r="C6853" i="2"/>
  <c r="C6851" i="2"/>
  <c r="C6842" i="2"/>
  <c r="C6841" i="2"/>
  <c r="C6839" i="2"/>
  <c r="C6835" i="2"/>
  <c r="C6834" i="2"/>
  <c r="C6816" i="2"/>
  <c r="C6815" i="2"/>
  <c r="C6814" i="2"/>
  <c r="C6811" i="2"/>
  <c r="C6807" i="2"/>
  <c r="C6806" i="2"/>
  <c r="C6805" i="2"/>
  <c r="C6803" i="2"/>
  <c r="C6802" i="2"/>
  <c r="C6800" i="2"/>
  <c r="C6797" i="2"/>
  <c r="C6796" i="2"/>
  <c r="C6795" i="2"/>
  <c r="C6794" i="2"/>
  <c r="C6793" i="2"/>
  <c r="C6791" i="2"/>
  <c r="C6789" i="2"/>
  <c r="C6787" i="2"/>
  <c r="C6786" i="2"/>
  <c r="C6783" i="2"/>
  <c r="C6782" i="2"/>
  <c r="C6779" i="2"/>
  <c r="C6778" i="2"/>
  <c r="C6777" i="2"/>
  <c r="C6773" i="2"/>
  <c r="C6772" i="2"/>
  <c r="C6768" i="2"/>
  <c r="C6766" i="2"/>
  <c r="C6762" i="2"/>
  <c r="C6761" i="2"/>
  <c r="C6759" i="2"/>
  <c r="C6758" i="2"/>
  <c r="C6755" i="2"/>
  <c r="C6754" i="2"/>
  <c r="C6753" i="2"/>
  <c r="C6750" i="2"/>
  <c r="C6749" i="2"/>
  <c r="C6746" i="2"/>
  <c r="C6745" i="2"/>
  <c r="C6741" i="2"/>
  <c r="C6740" i="2"/>
  <c r="C6739" i="2"/>
  <c r="C6738" i="2"/>
  <c r="C6736" i="2"/>
  <c r="C6733" i="2"/>
  <c r="C6732" i="2"/>
  <c r="C6731" i="2"/>
  <c r="C6730" i="2"/>
  <c r="C6727" i="2"/>
  <c r="C6726" i="2"/>
  <c r="C6723" i="2"/>
  <c r="C6722" i="2"/>
  <c r="C6719" i="2"/>
  <c r="C6714" i="2"/>
  <c r="C6711" i="2"/>
  <c r="C6709" i="2"/>
  <c r="C6706" i="2"/>
  <c r="C6704" i="2"/>
  <c r="C6703" i="2"/>
  <c r="C6702" i="2"/>
  <c r="C6700" i="2"/>
  <c r="C6699" i="2"/>
  <c r="C6698" i="2"/>
  <c r="C6696" i="2"/>
  <c r="C6695" i="2"/>
  <c r="C6694" i="2"/>
  <c r="C6692" i="2"/>
  <c r="C6691" i="2"/>
  <c r="C6690" i="2"/>
  <c r="C6689" i="2"/>
  <c r="C6686" i="2"/>
  <c r="C6685" i="2"/>
  <c r="C6684" i="2"/>
  <c r="C6683" i="2"/>
  <c r="C6682" i="2"/>
  <c r="C6681" i="2"/>
  <c r="C6680" i="2"/>
  <c r="C6674" i="2"/>
  <c r="C6670" i="2"/>
  <c r="C6666" i="2"/>
  <c r="C6660" i="2"/>
  <c r="C6659" i="2"/>
  <c r="C6657" i="2"/>
  <c r="C6653" i="2"/>
  <c r="C6648" i="2"/>
  <c r="C6647" i="2"/>
  <c r="C6645" i="2"/>
  <c r="C6644" i="2"/>
  <c r="C6643" i="2"/>
  <c r="C6642" i="2"/>
  <c r="C6641" i="2"/>
  <c r="C6640" i="2"/>
  <c r="C6639" i="2"/>
  <c r="C6638" i="2"/>
  <c r="C6636" i="2"/>
  <c r="C6635" i="2"/>
  <c r="C6634" i="2"/>
  <c r="C6631" i="2"/>
  <c r="C6630" i="2"/>
  <c r="C6624" i="2"/>
  <c r="C6622" i="2"/>
  <c r="C6620" i="2"/>
  <c r="C6616" i="2"/>
  <c r="C6614" i="2"/>
  <c r="C6605" i="2"/>
  <c r="C6604" i="2"/>
  <c r="C6603" i="2"/>
  <c r="C6594" i="2"/>
  <c r="C6592" i="2"/>
  <c r="C6591" i="2"/>
  <c r="C6590" i="2"/>
  <c r="C6589" i="2"/>
  <c r="C6586" i="2"/>
  <c r="C6585" i="2"/>
  <c r="C6584" i="2"/>
  <c r="C6581" i="2"/>
  <c r="C6578" i="2"/>
  <c r="C6575" i="2"/>
  <c r="C6572" i="2"/>
  <c r="C6571" i="2"/>
  <c r="C6570" i="2"/>
  <c r="C6569" i="2"/>
  <c r="C6566" i="2"/>
  <c r="C6565" i="2"/>
  <c r="C6560" i="2"/>
  <c r="C6556" i="2"/>
  <c r="C6554" i="2"/>
  <c r="C6552" i="2"/>
  <c r="C6550" i="2"/>
  <c r="C6549" i="2"/>
  <c r="C6547" i="2"/>
  <c r="C6546" i="2"/>
  <c r="C6545" i="2"/>
  <c r="C6544" i="2"/>
  <c r="C6543" i="2"/>
  <c r="C6540" i="2"/>
  <c r="C6539" i="2"/>
  <c r="C6533" i="2"/>
  <c r="C6531" i="2"/>
  <c r="C6529" i="2"/>
  <c r="C6526" i="2"/>
  <c r="C6525" i="2"/>
  <c r="C6523" i="2"/>
  <c r="C6516" i="2"/>
  <c r="C6510" i="2"/>
  <c r="C6509" i="2"/>
  <c r="C6506" i="2"/>
  <c r="C6497" i="2"/>
  <c r="C6493" i="2"/>
  <c r="C6491" i="2"/>
  <c r="C6489" i="2"/>
  <c r="C6488" i="2"/>
  <c r="C6487" i="2"/>
  <c r="C6486" i="2"/>
  <c r="C6484" i="2"/>
  <c r="C6483" i="2"/>
  <c r="C6482" i="2"/>
  <c r="C6481" i="2"/>
  <c r="C6480" i="2"/>
  <c r="C6479" i="2"/>
  <c r="C6475" i="2"/>
  <c r="C6469" i="2"/>
  <c r="C6468" i="2"/>
  <c r="C6467" i="2"/>
  <c r="C6465" i="2"/>
  <c r="C6464" i="2"/>
  <c r="C6458" i="2"/>
  <c r="C6457" i="2"/>
  <c r="C6455" i="2"/>
  <c r="C6454" i="2"/>
  <c r="C6452" i="2"/>
  <c r="C6451" i="2"/>
  <c r="C6444" i="2"/>
  <c r="C6443" i="2"/>
  <c r="C6434" i="2"/>
  <c r="C6429" i="2"/>
  <c r="C6427" i="2"/>
  <c r="C6425" i="2"/>
  <c r="C6424" i="2"/>
  <c r="C6423" i="2"/>
  <c r="C6419" i="2"/>
  <c r="C6416" i="2"/>
  <c r="C6415" i="2"/>
  <c r="C6411" i="2"/>
  <c r="C6410" i="2"/>
  <c r="C6409" i="2"/>
  <c r="C6408" i="2"/>
  <c r="C6407" i="2"/>
  <c r="C6406" i="2"/>
  <c r="C6405" i="2"/>
  <c r="C6404" i="2"/>
  <c r="C6403" i="2"/>
  <c r="C6402" i="2"/>
  <c r="C6400" i="2"/>
  <c r="C6397" i="2"/>
  <c r="C6396" i="2"/>
  <c r="C6395" i="2"/>
  <c r="C6393" i="2"/>
  <c r="C6392" i="2"/>
  <c r="C6391" i="2"/>
  <c r="C6390" i="2"/>
  <c r="C6388" i="2"/>
  <c r="C6387" i="2"/>
  <c r="C6385" i="2"/>
  <c r="C6378" i="2"/>
  <c r="C6376" i="2"/>
  <c r="C6375" i="2"/>
  <c r="C6373" i="2"/>
  <c r="C6370" i="2"/>
  <c r="C6369" i="2"/>
  <c r="C6368" i="2"/>
  <c r="C6367" i="2"/>
  <c r="C6365" i="2"/>
  <c r="C6363" i="2"/>
  <c r="C6362" i="2"/>
  <c r="C6358" i="2"/>
  <c r="C6357" i="2"/>
  <c r="C6356" i="2"/>
  <c r="C6354" i="2"/>
  <c r="C6353" i="2"/>
  <c r="C6351" i="2"/>
  <c r="C6349" i="2"/>
  <c r="C6348" i="2"/>
  <c r="C6347" i="2"/>
  <c r="C6346" i="2"/>
  <c r="C6344" i="2"/>
  <c r="C6343" i="2"/>
  <c r="C6337" i="2"/>
  <c r="C6336" i="2"/>
  <c r="C6335" i="2"/>
  <c r="C6334" i="2"/>
  <c r="C6332" i="2"/>
  <c r="C6327" i="2"/>
  <c r="C6322" i="2"/>
  <c r="C6321" i="2"/>
  <c r="C6320" i="2"/>
  <c r="C6317" i="2"/>
  <c r="C6316" i="2"/>
  <c r="C6315" i="2"/>
  <c r="C6313" i="2"/>
  <c r="C6312" i="2"/>
  <c r="C6311" i="2"/>
  <c r="C6310" i="2"/>
  <c r="C6309" i="2"/>
  <c r="C6308" i="2"/>
  <c r="C6307" i="2"/>
  <c r="C6306" i="2"/>
  <c r="C6304" i="2"/>
  <c r="C6303" i="2"/>
  <c r="C6302" i="2"/>
  <c r="C6300" i="2"/>
  <c r="C6299" i="2"/>
  <c r="C6297" i="2"/>
  <c r="C6295" i="2"/>
  <c r="C6294" i="2"/>
  <c r="C6290" i="2"/>
  <c r="C6289" i="2"/>
  <c r="C6288" i="2"/>
  <c r="C6284" i="2"/>
  <c r="C6278" i="2"/>
  <c r="C6277" i="2"/>
  <c r="C6276" i="2"/>
  <c r="C6275" i="2"/>
  <c r="C6274" i="2"/>
  <c r="C6272" i="2"/>
  <c r="C6271" i="2"/>
  <c r="C6270" i="2"/>
  <c r="C6269" i="2"/>
  <c r="C6267" i="2"/>
  <c r="C6258" i="2"/>
  <c r="C6257" i="2"/>
  <c r="C6256" i="2"/>
  <c r="C6254" i="2"/>
  <c r="C6250" i="2"/>
  <c r="C6243" i="2"/>
  <c r="C6240" i="2"/>
  <c r="C6238" i="2"/>
  <c r="C6235" i="2"/>
  <c r="C6232" i="2"/>
  <c r="C6231" i="2"/>
  <c r="C6227" i="2"/>
  <c r="C6223" i="2"/>
  <c r="C6221" i="2"/>
  <c r="C6220" i="2"/>
  <c r="C6217" i="2"/>
  <c r="C6214" i="2"/>
  <c r="C6213" i="2"/>
  <c r="C6212" i="2"/>
  <c r="C6202" i="2"/>
  <c r="C6200" i="2"/>
  <c r="C6197" i="2"/>
  <c r="C6192" i="2"/>
  <c r="C6190" i="2"/>
  <c r="C6183" i="2"/>
  <c r="C6180" i="2"/>
  <c r="C6179" i="2"/>
  <c r="C6177" i="2"/>
  <c r="C6175" i="2"/>
  <c r="C6172" i="2"/>
  <c r="C6171" i="2"/>
  <c r="C6170" i="2"/>
  <c r="C6169" i="2"/>
  <c r="C6168" i="2"/>
  <c r="C6164" i="2"/>
  <c r="C6162" i="2"/>
  <c r="C6160" i="2"/>
  <c r="C6159" i="2"/>
  <c r="C6157" i="2"/>
  <c r="C6153" i="2"/>
  <c r="C6151" i="2"/>
  <c r="C6150" i="2"/>
  <c r="C6149" i="2"/>
  <c r="C6148" i="2"/>
  <c r="C6147" i="2"/>
  <c r="C6146" i="2"/>
  <c r="C6144" i="2"/>
  <c r="C6142" i="2"/>
  <c r="C6140" i="2"/>
  <c r="C6139" i="2"/>
  <c r="C6138" i="2"/>
  <c r="C6137" i="2"/>
  <c r="C6132" i="2"/>
  <c r="C6131" i="2"/>
  <c r="C6126" i="2"/>
  <c r="C6122" i="2"/>
  <c r="C6120" i="2"/>
  <c r="C6119" i="2"/>
  <c r="C6113" i="2"/>
  <c r="C6109" i="2"/>
  <c r="C6108" i="2"/>
  <c r="C6106" i="2"/>
  <c r="C6105" i="2"/>
  <c r="C6104" i="2"/>
  <c r="C6098" i="2"/>
  <c r="C6097" i="2"/>
  <c r="C6096" i="2"/>
  <c r="C6094" i="2"/>
  <c r="C6092" i="2"/>
  <c r="C6080" i="2"/>
  <c r="C6078" i="2"/>
  <c r="C6075" i="2"/>
  <c r="C6070" i="2"/>
  <c r="C6067" i="2"/>
  <c r="C6064" i="2"/>
  <c r="C6062" i="2"/>
  <c r="C6061" i="2"/>
  <c r="C6060" i="2"/>
  <c r="C6056" i="2"/>
  <c r="C6053" i="2"/>
  <c r="C6051" i="2"/>
  <c r="C6050" i="2"/>
  <c r="C6048" i="2"/>
  <c r="C6047" i="2"/>
  <c r="C6044" i="2"/>
  <c r="C6043" i="2"/>
  <c r="C6042" i="2"/>
  <c r="C6039" i="2"/>
  <c r="C6038" i="2"/>
  <c r="C6036" i="2"/>
  <c r="C6034" i="2"/>
  <c r="C6032" i="2"/>
  <c r="C6029" i="2"/>
  <c r="C6019" i="2"/>
  <c r="C6018" i="2"/>
  <c r="C6017" i="2"/>
  <c r="C6016" i="2"/>
  <c r="C6013" i="2"/>
  <c r="C6012" i="2"/>
  <c r="C6008" i="2"/>
  <c r="C6007" i="2"/>
  <c r="C6004" i="2"/>
  <c r="C6002" i="2"/>
  <c r="C6001" i="2"/>
  <c r="C6000" i="2"/>
  <c r="C5998" i="2"/>
  <c r="C5992" i="2"/>
  <c r="C5990" i="2"/>
  <c r="C5988" i="2"/>
  <c r="C5987" i="2"/>
  <c r="C5984" i="2"/>
  <c r="C5982" i="2"/>
  <c r="C5981" i="2"/>
  <c r="C5980" i="2"/>
  <c r="C5978" i="2"/>
  <c r="C5977" i="2"/>
  <c r="C5975" i="2"/>
  <c r="C5974" i="2"/>
  <c r="C5970" i="2"/>
  <c r="C5968" i="2"/>
  <c r="C5964" i="2"/>
  <c r="C5960" i="2"/>
  <c r="C5959" i="2"/>
  <c r="C5958" i="2"/>
  <c r="C5957" i="2"/>
  <c r="C5956" i="2"/>
  <c r="C5955" i="2"/>
  <c r="C5954" i="2"/>
  <c r="C5953" i="2"/>
  <c r="C5950" i="2"/>
  <c r="C5949" i="2"/>
  <c r="C5948" i="2"/>
  <c r="C5944" i="2"/>
  <c r="C5943" i="2"/>
  <c r="C5942" i="2"/>
  <c r="C5940" i="2"/>
  <c r="C5939" i="2"/>
  <c r="C5938" i="2"/>
  <c r="C5935" i="2"/>
  <c r="C5933" i="2"/>
  <c r="C5931" i="2"/>
  <c r="C5929" i="2"/>
  <c r="C5928" i="2"/>
  <c r="C5927" i="2"/>
  <c r="C5926" i="2"/>
  <c r="C5922" i="2"/>
  <c r="C5919" i="2"/>
  <c r="C5918" i="2"/>
  <c r="C5915" i="2"/>
  <c r="C5910" i="2"/>
  <c r="C5909" i="2"/>
  <c r="C5908" i="2"/>
  <c r="C5907" i="2"/>
  <c r="C5906" i="2"/>
  <c r="C5903" i="2"/>
  <c r="C5902" i="2"/>
  <c r="C5901" i="2"/>
  <c r="C5899" i="2"/>
  <c r="C5898" i="2"/>
  <c r="C5897" i="2"/>
  <c r="C5895" i="2"/>
  <c r="C5893" i="2"/>
  <c r="C5889" i="2"/>
  <c r="C5888" i="2"/>
  <c r="C5886" i="2"/>
  <c r="C5885" i="2"/>
  <c r="C5884" i="2"/>
  <c r="C5883" i="2"/>
  <c r="C5881" i="2"/>
  <c r="C5879" i="2"/>
  <c r="C5875" i="2"/>
  <c r="C5874" i="2"/>
  <c r="C5872" i="2"/>
  <c r="C5871" i="2"/>
  <c r="C5870" i="2"/>
  <c r="C5868" i="2"/>
  <c r="C5867" i="2"/>
  <c r="C5865" i="2"/>
  <c r="C5864" i="2"/>
  <c r="C5861" i="2"/>
  <c r="C5859" i="2"/>
  <c r="C5852" i="2"/>
  <c r="C5849" i="2"/>
  <c r="C5846" i="2"/>
  <c r="C5845" i="2"/>
  <c r="C5844" i="2"/>
  <c r="C5841" i="2"/>
  <c r="C5840" i="2"/>
  <c r="C5839" i="2"/>
  <c r="C5838" i="2"/>
  <c r="C5837" i="2"/>
  <c r="C5836" i="2"/>
  <c r="C5835" i="2"/>
  <c r="C5834" i="2"/>
  <c r="C5832" i="2"/>
  <c r="C5830" i="2"/>
  <c r="C5827" i="2"/>
  <c r="C5825" i="2"/>
  <c r="C5821" i="2"/>
  <c r="C5820" i="2"/>
  <c r="C5819" i="2"/>
  <c r="C5812" i="2"/>
  <c r="C5809" i="2"/>
  <c r="C5808" i="2"/>
  <c r="C5807" i="2"/>
  <c r="C5805" i="2"/>
  <c r="C5804" i="2"/>
  <c r="C5803" i="2"/>
  <c r="C5802" i="2"/>
  <c r="C5800" i="2"/>
  <c r="C5799" i="2"/>
  <c r="C5798" i="2"/>
  <c r="C5795" i="2"/>
  <c r="C5794" i="2"/>
  <c r="C5793" i="2"/>
  <c r="C5792" i="2"/>
  <c r="C5791" i="2"/>
  <c r="C5790" i="2"/>
  <c r="C5787" i="2"/>
  <c r="C5786" i="2"/>
  <c r="C5785" i="2"/>
  <c r="C5784" i="2"/>
  <c r="C5783" i="2"/>
  <c r="C5781" i="2"/>
  <c r="C5779" i="2"/>
  <c r="C5778" i="2"/>
  <c r="C5777" i="2"/>
  <c r="C5776" i="2"/>
  <c r="C5769" i="2"/>
  <c r="C5766" i="2"/>
  <c r="C5764" i="2"/>
  <c r="C5763" i="2"/>
  <c r="C5762" i="2"/>
  <c r="C5760" i="2"/>
  <c r="C5759" i="2"/>
  <c r="C5758" i="2"/>
  <c r="C5756" i="2"/>
  <c r="C5754" i="2"/>
  <c r="C5753" i="2"/>
  <c r="C5752" i="2"/>
  <c r="C5751" i="2"/>
  <c r="C5750" i="2"/>
  <c r="C5749" i="2"/>
  <c r="C5745" i="2"/>
  <c r="C5741" i="2"/>
  <c r="C5739" i="2"/>
  <c r="C5738" i="2"/>
  <c r="C5734" i="2"/>
  <c r="C5730" i="2"/>
  <c r="C5729" i="2"/>
  <c r="C5728" i="2"/>
  <c r="C5727" i="2"/>
  <c r="C5723" i="2"/>
  <c r="C5721" i="2"/>
  <c r="C5718" i="2"/>
  <c r="C5716" i="2"/>
  <c r="C5714" i="2"/>
  <c r="C5712" i="2"/>
  <c r="C5711" i="2"/>
  <c r="C5709" i="2"/>
  <c r="C5708" i="2"/>
  <c r="C5707" i="2"/>
  <c r="C5706" i="2"/>
  <c r="C5705" i="2"/>
  <c r="C5704" i="2"/>
  <c r="C5703" i="2"/>
  <c r="C5702" i="2"/>
  <c r="C5700" i="2"/>
  <c r="C5698" i="2"/>
  <c r="C5697" i="2"/>
  <c r="C5696" i="2"/>
  <c r="C5692" i="2"/>
  <c r="C5691" i="2"/>
  <c r="C5689" i="2"/>
  <c r="C5686" i="2"/>
  <c r="C5685" i="2"/>
  <c r="C5683" i="2"/>
  <c r="C5682" i="2"/>
  <c r="C5670" i="2"/>
  <c r="C5668" i="2"/>
  <c r="C5666" i="2"/>
  <c r="C5665" i="2"/>
  <c r="C5662" i="2"/>
  <c r="C5660" i="2"/>
  <c r="C5657" i="2"/>
  <c r="C5656" i="2"/>
  <c r="C5655" i="2"/>
  <c r="C5654" i="2"/>
  <c r="C5651" i="2"/>
  <c r="C5647" i="2"/>
  <c r="C5646" i="2"/>
  <c r="C5645" i="2"/>
  <c r="C5641" i="2"/>
  <c r="C5640" i="2"/>
  <c r="C5632" i="2"/>
  <c r="C5629" i="2"/>
  <c r="C5628" i="2"/>
  <c r="C5627" i="2"/>
  <c r="C5626" i="2"/>
  <c r="C5622" i="2"/>
  <c r="C5619" i="2"/>
  <c r="C5616" i="2"/>
  <c r="C5615" i="2"/>
  <c r="C5614" i="2"/>
  <c r="C5609" i="2"/>
  <c r="C5603" i="2"/>
  <c r="C5599" i="2"/>
  <c r="C5597" i="2"/>
  <c r="C5595" i="2"/>
  <c r="C5594" i="2"/>
  <c r="C5592" i="2"/>
  <c r="C5591" i="2"/>
  <c r="C5590" i="2"/>
  <c r="C5589" i="2"/>
  <c r="C5588" i="2"/>
  <c r="C5585" i="2"/>
  <c r="C5584" i="2"/>
  <c r="C5583" i="2"/>
  <c r="C5575" i="2"/>
  <c r="C5574" i="2"/>
  <c r="C5572" i="2"/>
  <c r="C5571" i="2"/>
  <c r="C5569" i="2"/>
  <c r="C5568" i="2"/>
  <c r="C5567" i="2"/>
  <c r="C5566" i="2"/>
  <c r="C5559" i="2"/>
  <c r="C5557" i="2"/>
  <c r="C5555" i="2"/>
  <c r="C5553" i="2"/>
  <c r="C5552" i="2"/>
  <c r="C5541" i="2"/>
  <c r="C5537" i="2"/>
  <c r="C5534" i="2"/>
  <c r="C5528" i="2"/>
  <c r="C5527" i="2"/>
  <c r="C5525" i="2"/>
  <c r="C5523" i="2"/>
  <c r="C5520" i="2"/>
  <c r="C5518" i="2"/>
  <c r="C5517" i="2"/>
  <c r="C5515" i="2"/>
  <c r="C5514" i="2"/>
  <c r="C5504" i="2"/>
  <c r="C5501" i="2"/>
  <c r="C5500" i="2"/>
  <c r="C5498" i="2"/>
  <c r="C5495" i="2"/>
  <c r="C5492" i="2"/>
  <c r="C5491" i="2"/>
  <c r="C5490" i="2"/>
  <c r="C5488" i="2"/>
  <c r="C5486" i="2"/>
  <c r="C5483" i="2"/>
  <c r="C5477" i="2"/>
  <c r="C5476" i="2"/>
  <c r="C5473" i="2"/>
  <c r="C5472" i="2"/>
  <c r="C5466" i="2"/>
  <c r="C5464" i="2"/>
  <c r="C5462" i="2"/>
  <c r="C5461" i="2"/>
  <c r="C5457" i="2"/>
  <c r="C5456" i="2"/>
  <c r="C5450" i="2"/>
  <c r="C5444" i="2"/>
  <c r="C5443" i="2"/>
  <c r="C5441" i="2"/>
  <c r="C5437" i="2"/>
  <c r="C5436" i="2"/>
  <c r="C5434" i="2"/>
  <c r="C5433" i="2"/>
  <c r="C5431" i="2"/>
  <c r="C5429" i="2"/>
  <c r="C5426" i="2"/>
  <c r="C5424" i="2"/>
  <c r="C5422" i="2"/>
  <c r="C5420" i="2"/>
  <c r="C5416" i="2"/>
  <c r="C5410" i="2"/>
  <c r="C5407" i="2"/>
  <c r="C5403" i="2"/>
  <c r="C5399" i="2"/>
  <c r="C5396" i="2"/>
  <c r="C5394" i="2"/>
  <c r="C5391" i="2"/>
  <c r="C5389" i="2"/>
  <c r="C5388" i="2"/>
  <c r="C5383" i="2"/>
  <c r="C5381" i="2"/>
  <c r="C5378" i="2"/>
  <c r="C5377" i="2"/>
  <c r="C5372" i="2"/>
  <c r="C5369" i="2"/>
  <c r="C5368" i="2"/>
  <c r="C5367" i="2"/>
  <c r="C5366" i="2"/>
  <c r="C5364" i="2"/>
  <c r="C5361" i="2"/>
  <c r="C5359" i="2"/>
  <c r="C5356" i="2"/>
  <c r="C5352" i="2"/>
  <c r="C5351" i="2"/>
  <c r="C5350" i="2"/>
  <c r="C5345" i="2"/>
  <c r="C5339" i="2"/>
  <c r="C5338" i="2"/>
  <c r="C5337" i="2"/>
  <c r="C5335" i="2"/>
  <c r="C5334" i="2"/>
  <c r="C5331" i="2"/>
  <c r="C5326" i="2"/>
  <c r="C5322" i="2"/>
  <c r="C5319" i="2"/>
  <c r="C5318" i="2"/>
  <c r="C5317" i="2"/>
  <c r="C5312" i="2"/>
  <c r="C5306" i="2"/>
  <c r="C5305" i="2"/>
  <c r="C5303" i="2"/>
  <c r="C5301" i="2"/>
  <c r="C5300" i="2"/>
  <c r="C5297" i="2"/>
  <c r="C5295" i="2"/>
  <c r="C5294" i="2"/>
  <c r="C5293" i="2"/>
  <c r="C5282" i="2"/>
  <c r="C5281" i="2"/>
  <c r="C5280" i="2"/>
  <c r="C5278" i="2"/>
  <c r="C5276" i="2"/>
  <c r="C5275" i="2"/>
  <c r="C5271" i="2"/>
  <c r="C5268" i="2"/>
  <c r="C5265" i="2"/>
  <c r="C5260" i="2"/>
  <c r="C5256" i="2"/>
  <c r="C5254" i="2"/>
  <c r="C5251" i="2"/>
  <c r="C5250" i="2"/>
  <c r="C5249" i="2"/>
  <c r="C5247" i="2"/>
  <c r="C5246" i="2"/>
  <c r="C5244" i="2"/>
  <c r="C5243" i="2"/>
  <c r="C5239" i="2"/>
  <c r="C5238" i="2"/>
  <c r="C5237" i="2"/>
  <c r="C5236" i="2"/>
  <c r="C5233" i="2"/>
  <c r="C5232" i="2"/>
  <c r="C5231" i="2"/>
  <c r="C5230" i="2"/>
  <c r="C5229" i="2"/>
  <c r="C5228" i="2"/>
  <c r="C5225" i="2"/>
  <c r="C5224" i="2"/>
  <c r="C5222" i="2"/>
  <c r="C5219" i="2"/>
  <c r="C5217" i="2"/>
  <c r="C5216" i="2"/>
  <c r="C5211" i="2"/>
  <c r="C5210" i="2"/>
  <c r="C5207" i="2"/>
  <c r="C5206" i="2"/>
  <c r="C5204" i="2"/>
  <c r="C5203" i="2"/>
  <c r="C5201" i="2"/>
  <c r="C5200" i="2"/>
  <c r="C5198" i="2"/>
  <c r="C5192" i="2"/>
  <c r="C5191" i="2"/>
  <c r="C5190" i="2"/>
  <c r="C5189" i="2"/>
  <c r="C5188" i="2"/>
  <c r="C5186" i="2"/>
  <c r="C5182" i="2"/>
  <c r="C5180" i="2"/>
  <c r="C5179" i="2"/>
  <c r="C5176" i="2"/>
  <c r="C5174" i="2"/>
  <c r="C5173" i="2"/>
  <c r="C5169" i="2"/>
  <c r="C5166" i="2"/>
  <c r="C5163" i="2"/>
  <c r="C5158" i="2"/>
  <c r="C5156" i="2"/>
  <c r="C5154" i="2"/>
  <c r="C5153" i="2"/>
  <c r="C5152" i="2"/>
  <c r="C5151" i="2"/>
  <c r="C5150" i="2"/>
  <c r="C5147" i="2"/>
  <c r="C5143" i="2"/>
  <c r="C5142" i="2"/>
  <c r="C5140" i="2"/>
  <c r="C5138" i="2"/>
  <c r="C5137" i="2"/>
  <c r="C5136" i="2"/>
  <c r="C5135" i="2"/>
  <c r="C5131" i="2"/>
  <c r="C5128" i="2"/>
  <c r="C5123" i="2"/>
  <c r="C5121" i="2"/>
  <c r="C5120" i="2"/>
  <c r="C5119" i="2"/>
  <c r="C5118" i="2"/>
  <c r="C5117" i="2"/>
  <c r="C5107" i="2"/>
  <c r="C5106" i="2"/>
  <c r="C5104" i="2"/>
  <c r="C5102" i="2"/>
  <c r="C5100" i="2"/>
  <c r="C5097" i="2"/>
  <c r="C5094" i="2"/>
  <c r="C5093" i="2"/>
  <c r="C5090" i="2"/>
  <c r="C5089" i="2"/>
  <c r="C5086" i="2"/>
  <c r="C5085" i="2"/>
  <c r="C5083" i="2"/>
  <c r="C5082" i="2"/>
  <c r="C5080" i="2"/>
  <c r="C5079" i="2"/>
  <c r="C5072" i="2"/>
  <c r="C5070" i="2"/>
  <c r="C5065" i="2"/>
  <c r="C5061" i="2"/>
  <c r="C5059" i="2"/>
  <c r="C5058" i="2"/>
  <c r="C5057" i="2"/>
  <c r="C5056" i="2"/>
  <c r="C5055" i="2"/>
  <c r="C5054" i="2"/>
  <c r="C5052" i="2"/>
  <c r="C5042" i="2"/>
  <c r="C5041" i="2"/>
  <c r="C5038" i="2"/>
  <c r="C5037" i="2"/>
  <c r="C5034" i="2"/>
  <c r="C5032" i="2"/>
  <c r="C5031" i="2"/>
  <c r="C5030" i="2"/>
  <c r="C5028" i="2"/>
  <c r="C5027" i="2"/>
  <c r="C5026" i="2"/>
  <c r="C5025" i="2"/>
  <c r="C5023" i="2"/>
  <c r="C5021" i="2"/>
  <c r="C5019" i="2"/>
  <c r="C5018" i="2"/>
  <c r="C5017" i="2"/>
  <c r="C5016" i="2"/>
  <c r="C5015" i="2"/>
  <c r="C5014" i="2"/>
  <c r="C5013" i="2"/>
  <c r="C5012" i="2"/>
  <c r="C5011" i="2"/>
  <c r="C5008" i="2"/>
  <c r="C5007" i="2"/>
  <c r="C5002" i="2"/>
  <c r="C5000" i="2"/>
  <c r="C4999" i="2"/>
  <c r="C4998" i="2"/>
  <c r="C4996" i="2"/>
  <c r="C4990" i="2"/>
  <c r="C4989" i="2"/>
  <c r="C4985" i="2"/>
  <c r="C4984" i="2"/>
  <c r="C4983" i="2"/>
  <c r="C4982" i="2"/>
  <c r="C4980" i="2"/>
  <c r="C4978" i="2"/>
  <c r="C4976" i="2"/>
  <c r="C4973" i="2"/>
  <c r="C4971" i="2"/>
  <c r="C4969" i="2"/>
  <c r="C4967" i="2"/>
  <c r="C4966" i="2"/>
  <c r="C4965" i="2"/>
  <c r="C4963" i="2"/>
  <c r="C4961" i="2"/>
  <c r="C4960" i="2"/>
  <c r="C4959" i="2"/>
  <c r="C4957" i="2"/>
  <c r="C4956" i="2"/>
  <c r="C4955" i="2"/>
  <c r="C4954" i="2"/>
  <c r="C4953" i="2"/>
  <c r="C4952" i="2"/>
  <c r="C4951" i="2"/>
  <c r="C4950" i="2"/>
  <c r="C4949" i="2"/>
  <c r="C4948" i="2"/>
  <c r="C4947" i="2"/>
  <c r="C4946" i="2"/>
  <c r="C4943" i="2"/>
  <c r="C4938" i="2"/>
  <c r="C4935" i="2"/>
  <c r="C4933" i="2"/>
  <c r="C4928" i="2"/>
  <c r="C4927" i="2"/>
  <c r="C4922" i="2"/>
  <c r="C4921" i="2"/>
  <c r="C4920" i="2"/>
  <c r="C4918" i="2"/>
  <c r="C4917" i="2"/>
  <c r="C4916" i="2"/>
  <c r="C4914" i="2"/>
  <c r="C4912" i="2"/>
  <c r="C4911" i="2"/>
  <c r="C4910" i="2"/>
  <c r="C4909" i="2"/>
  <c r="C4908" i="2"/>
  <c r="C4906" i="2"/>
  <c r="C4905" i="2"/>
  <c r="C4904" i="2"/>
  <c r="C4902" i="2"/>
  <c r="C4893" i="2"/>
  <c r="C4892" i="2"/>
  <c r="C4891" i="2"/>
  <c r="C4890" i="2"/>
  <c r="C4889" i="2"/>
  <c r="C4888" i="2"/>
  <c r="C4887" i="2"/>
  <c r="C4884" i="2"/>
  <c r="C4880" i="2"/>
  <c r="C4879" i="2"/>
  <c r="C4874" i="2"/>
  <c r="C4873" i="2"/>
  <c r="C4872" i="2"/>
  <c r="C4871" i="2"/>
  <c r="C4868" i="2"/>
  <c r="C4866" i="2"/>
  <c r="C4865" i="2"/>
  <c r="C4864" i="2"/>
  <c r="C4863" i="2"/>
  <c r="C4862" i="2"/>
  <c r="C4861" i="2"/>
  <c r="C4860" i="2"/>
  <c r="C4859" i="2"/>
  <c r="C4858" i="2"/>
  <c r="C4856" i="2"/>
  <c r="C4855" i="2"/>
  <c r="C4854" i="2"/>
  <c r="C4853" i="2"/>
  <c r="C4852" i="2"/>
  <c r="C4851" i="2"/>
  <c r="C4850" i="2"/>
  <c r="C4849" i="2"/>
  <c r="C4847" i="2"/>
  <c r="C4846" i="2"/>
  <c r="C4844" i="2"/>
  <c r="C4843" i="2"/>
  <c r="C4842" i="2"/>
  <c r="C4840" i="2"/>
  <c r="C4833" i="2"/>
  <c r="C4832" i="2"/>
  <c r="C4830" i="2"/>
  <c r="C4828" i="2"/>
  <c r="C4826" i="2"/>
  <c r="C4822" i="2"/>
  <c r="C4816" i="2"/>
  <c r="C4815" i="2"/>
  <c r="C4813" i="2"/>
  <c r="C4812" i="2"/>
  <c r="C4808" i="2"/>
  <c r="C4804" i="2"/>
  <c r="C4800" i="2"/>
  <c r="C4796" i="2"/>
  <c r="C4794" i="2"/>
  <c r="C4791" i="2"/>
  <c r="C4789" i="2"/>
  <c r="C4786" i="2"/>
  <c r="C4778" i="2"/>
  <c r="C4777" i="2"/>
  <c r="C4776" i="2"/>
  <c r="C4774" i="2"/>
  <c r="C4773" i="2"/>
  <c r="C4772" i="2"/>
  <c r="C4770" i="2"/>
  <c r="C4760" i="2"/>
  <c r="C4758" i="2"/>
  <c r="C4756" i="2"/>
  <c r="C4755" i="2"/>
  <c r="C4754" i="2"/>
  <c r="C4753" i="2"/>
  <c r="C4747" i="2"/>
  <c r="C4746" i="2"/>
  <c r="C4745" i="2"/>
  <c r="C4744" i="2"/>
  <c r="C4742" i="2"/>
  <c r="C4740" i="2"/>
  <c r="C4739" i="2"/>
  <c r="C4735" i="2"/>
  <c r="C4730" i="2"/>
  <c r="C4726" i="2"/>
  <c r="C4724" i="2"/>
  <c r="C4723" i="2"/>
  <c r="C4721" i="2"/>
  <c r="C4720" i="2"/>
  <c r="C4718" i="2"/>
  <c r="C4717" i="2"/>
  <c r="C4715" i="2"/>
  <c r="C4711" i="2"/>
  <c r="C4708" i="2"/>
  <c r="C4702" i="2"/>
  <c r="C4694" i="2"/>
  <c r="C4693" i="2"/>
  <c r="C4692" i="2"/>
  <c r="C4690" i="2"/>
  <c r="C4687" i="2"/>
  <c r="C4685" i="2"/>
  <c r="C4683" i="2"/>
  <c r="C4681" i="2"/>
  <c r="C4680" i="2"/>
  <c r="C4676" i="2"/>
  <c r="C4675" i="2"/>
  <c r="C4673" i="2"/>
  <c r="C4672" i="2"/>
  <c r="C4671" i="2"/>
  <c r="C4670" i="2"/>
  <c r="C4664" i="2"/>
  <c r="C4663" i="2"/>
  <c r="C4661" i="2"/>
  <c r="C4660" i="2"/>
  <c r="C4657" i="2"/>
  <c r="C4656" i="2"/>
  <c r="C4655" i="2"/>
  <c r="C4653" i="2"/>
  <c r="C4652" i="2"/>
  <c r="C4650" i="2"/>
  <c r="C4638" i="2"/>
  <c r="C4635" i="2"/>
  <c r="C4634" i="2"/>
  <c r="C4632" i="2"/>
  <c r="C4626" i="2"/>
  <c r="C4625" i="2"/>
  <c r="C4624" i="2"/>
  <c r="C4620" i="2"/>
  <c r="C4616" i="2"/>
  <c r="C4613" i="2"/>
  <c r="C4611" i="2"/>
  <c r="C4608" i="2"/>
  <c r="C4604" i="2"/>
  <c r="C4603" i="2"/>
  <c r="C4602" i="2"/>
  <c r="C4600" i="2"/>
  <c r="C4598" i="2"/>
  <c r="C4594" i="2"/>
  <c r="C4590" i="2"/>
  <c r="C4589" i="2"/>
  <c r="C4587" i="2"/>
  <c r="C4584" i="2"/>
  <c r="C4583" i="2"/>
  <c r="C4582" i="2"/>
  <c r="C4579" i="2"/>
  <c r="C4578" i="2"/>
  <c r="C4575" i="2"/>
  <c r="C4573" i="2"/>
  <c r="C4572" i="2"/>
  <c r="C4571" i="2"/>
  <c r="C4570" i="2"/>
  <c r="C4567" i="2"/>
  <c r="C4566" i="2"/>
  <c r="C4564" i="2"/>
  <c r="C4563" i="2"/>
  <c r="C4562" i="2"/>
  <c r="C4558" i="2"/>
  <c r="C4557" i="2"/>
  <c r="C4551" i="2"/>
  <c r="C4549" i="2"/>
  <c r="C4546" i="2"/>
  <c r="C4543" i="2"/>
  <c r="C4542" i="2"/>
  <c r="C4540" i="2"/>
  <c r="C4538" i="2"/>
  <c r="C4537" i="2"/>
  <c r="C4536" i="2"/>
  <c r="C4535" i="2"/>
  <c r="C4532" i="2"/>
  <c r="C4529" i="2"/>
  <c r="C4526" i="2"/>
  <c r="C4524" i="2"/>
  <c r="C4523" i="2"/>
  <c r="C4519" i="2"/>
  <c r="C4518" i="2"/>
  <c r="C4517" i="2"/>
  <c r="C4516" i="2"/>
  <c r="C4510" i="2"/>
  <c r="C4506" i="2"/>
  <c r="C4504" i="2"/>
  <c r="C4503" i="2"/>
  <c r="C4500" i="2"/>
  <c r="C4496" i="2"/>
  <c r="C4493" i="2"/>
  <c r="C4492" i="2"/>
  <c r="C4491" i="2"/>
  <c r="C4489" i="2"/>
  <c r="C4488" i="2"/>
  <c r="C4486" i="2"/>
  <c r="C4485" i="2"/>
  <c r="C4482" i="2"/>
  <c r="C4481" i="2"/>
  <c r="C4480" i="2"/>
  <c r="C4478" i="2"/>
  <c r="C4476" i="2"/>
  <c r="C4475" i="2"/>
  <c r="C4474" i="2"/>
  <c r="C4473" i="2"/>
  <c r="C4471" i="2"/>
  <c r="C4469" i="2"/>
  <c r="C4468" i="2"/>
  <c r="C4462" i="2"/>
  <c r="C4461" i="2"/>
  <c r="C4459" i="2"/>
  <c r="C4457" i="2"/>
  <c r="C4455" i="2"/>
  <c r="C4454" i="2"/>
  <c r="C4448" i="2"/>
  <c r="C4447" i="2"/>
  <c r="C4446" i="2"/>
  <c r="C4443" i="2"/>
  <c r="C4442" i="2"/>
  <c r="C4441" i="2"/>
  <c r="C4440" i="2"/>
  <c r="C4439" i="2"/>
  <c r="C4438" i="2"/>
  <c r="C4437" i="2"/>
  <c r="C4436" i="2"/>
  <c r="C4435" i="2"/>
  <c r="C4434" i="2"/>
  <c r="C4422" i="2"/>
  <c r="C4421" i="2"/>
  <c r="C4420" i="2"/>
  <c r="C4419" i="2"/>
  <c r="C4415" i="2"/>
  <c r="C4413" i="2"/>
  <c r="C4412" i="2"/>
  <c r="C4410" i="2"/>
  <c r="C4409" i="2"/>
  <c r="C4406" i="2"/>
  <c r="C4405" i="2"/>
  <c r="C4401" i="2"/>
  <c r="C4399" i="2"/>
  <c r="C4398" i="2"/>
  <c r="C4391" i="2"/>
  <c r="C4390" i="2"/>
  <c r="C4389" i="2"/>
  <c r="C4387" i="2"/>
  <c r="C4386" i="2"/>
  <c r="C4383" i="2"/>
  <c r="C4382" i="2"/>
  <c r="C4381" i="2"/>
  <c r="C4379" i="2"/>
  <c r="C4377" i="2"/>
  <c r="C4370" i="2"/>
  <c r="C4369" i="2"/>
  <c r="C4368" i="2"/>
  <c r="C4367" i="2"/>
  <c r="C4366" i="2"/>
  <c r="C4365" i="2"/>
  <c r="C4364" i="2"/>
  <c r="C4361" i="2"/>
  <c r="C4360" i="2"/>
  <c r="C4359" i="2"/>
  <c r="C4358" i="2"/>
  <c r="C4357" i="2"/>
  <c r="C4356" i="2"/>
  <c r="C4355" i="2"/>
  <c r="C4354" i="2"/>
  <c r="C4353" i="2"/>
  <c r="C4350" i="2"/>
  <c r="C4348" i="2"/>
  <c r="C4347" i="2"/>
  <c r="C4345" i="2"/>
  <c r="C4340" i="2"/>
  <c r="C4338" i="2"/>
  <c r="C4331" i="2"/>
  <c r="C4329" i="2"/>
  <c r="C4327" i="2"/>
  <c r="C4326" i="2"/>
  <c r="C4325" i="2"/>
  <c r="C4324" i="2"/>
  <c r="C4322" i="2"/>
  <c r="C4321" i="2"/>
  <c r="C4320" i="2"/>
  <c r="C4319" i="2"/>
  <c r="C4318" i="2"/>
  <c r="C4317" i="2"/>
  <c r="C4316" i="2"/>
  <c r="C4314" i="2"/>
  <c r="C4309" i="2"/>
  <c r="C4308" i="2"/>
  <c r="C4306" i="2"/>
  <c r="C4304" i="2"/>
  <c r="C4303" i="2"/>
  <c r="C4302" i="2"/>
  <c r="C4301" i="2"/>
  <c r="C4298" i="2"/>
  <c r="C4297" i="2"/>
  <c r="C4286" i="2"/>
  <c r="C4285" i="2"/>
  <c r="C4282" i="2"/>
  <c r="C4279" i="2"/>
  <c r="C4277" i="2"/>
  <c r="C4276" i="2"/>
  <c r="C4274" i="2"/>
  <c r="C4273" i="2"/>
  <c r="C4266" i="2"/>
  <c r="C4265" i="2"/>
  <c r="C4263" i="2"/>
  <c r="C4261" i="2"/>
  <c r="C4260" i="2"/>
  <c r="C4259" i="2"/>
  <c r="C4257" i="2"/>
  <c r="C4256" i="2"/>
  <c r="C4253" i="2"/>
  <c r="C4252" i="2"/>
  <c r="C4251" i="2"/>
  <c r="C4248" i="2"/>
  <c r="C4246" i="2"/>
  <c r="C4245" i="2"/>
  <c r="C4244" i="2"/>
  <c r="C4242" i="2"/>
  <c r="C4240" i="2"/>
  <c r="C4237" i="2"/>
  <c r="C4231" i="2"/>
  <c r="C4230" i="2"/>
  <c r="C4229" i="2"/>
  <c r="C4228" i="2"/>
  <c r="C4227" i="2"/>
  <c r="C4221" i="2"/>
  <c r="C4220" i="2"/>
  <c r="C4216" i="2"/>
  <c r="C4213" i="2"/>
  <c r="C4212" i="2"/>
  <c r="C4211" i="2"/>
  <c r="C4209" i="2"/>
  <c r="C4207" i="2"/>
  <c r="C4206" i="2"/>
  <c r="C4199" i="2"/>
  <c r="C4197" i="2"/>
  <c r="C4196" i="2"/>
  <c r="C4195" i="2"/>
  <c r="C4194" i="2"/>
  <c r="C4188" i="2"/>
  <c r="C4185" i="2"/>
  <c r="C4183" i="2"/>
  <c r="C4182" i="2"/>
  <c r="C4179" i="2"/>
  <c r="C4178" i="2"/>
  <c r="C4177" i="2"/>
  <c r="C4174" i="2"/>
  <c r="C4172" i="2"/>
  <c r="C4171" i="2"/>
  <c r="C4168" i="2"/>
  <c r="C4166" i="2"/>
  <c r="C4162" i="2"/>
  <c r="C4161" i="2"/>
  <c r="C4156" i="2"/>
  <c r="C4151" i="2"/>
  <c r="C4149" i="2"/>
  <c r="C4147" i="2"/>
  <c r="C4146" i="2"/>
  <c r="C4134" i="2"/>
  <c r="C4133" i="2"/>
  <c r="C4130" i="2"/>
  <c r="C4129" i="2"/>
  <c r="C4128" i="2"/>
  <c r="C4127" i="2"/>
  <c r="C4126" i="2"/>
  <c r="C4123" i="2"/>
  <c r="C4122" i="2"/>
  <c r="C4121" i="2"/>
  <c r="C4119" i="2"/>
  <c r="C4117" i="2"/>
  <c r="C4116" i="2"/>
  <c r="C4115" i="2"/>
  <c r="C4113" i="2"/>
  <c r="C4112" i="2"/>
  <c r="C4108" i="2"/>
  <c r="C4106" i="2"/>
  <c r="C4099" i="2"/>
  <c r="C4098" i="2"/>
  <c r="C4097" i="2"/>
  <c r="C4096" i="2"/>
  <c r="C4095" i="2"/>
  <c r="C4090" i="2"/>
  <c r="C4088" i="2"/>
  <c r="C4084" i="2"/>
  <c r="C4082" i="2"/>
  <c r="C4078" i="2"/>
  <c r="C4077" i="2"/>
  <c r="C4064" i="2"/>
  <c r="C4063" i="2"/>
  <c r="C4061" i="2"/>
  <c r="C4059" i="2"/>
  <c r="C4057" i="2"/>
  <c r="C4056" i="2"/>
  <c r="C4054" i="2"/>
  <c r="C4053" i="2"/>
  <c r="C4049" i="2"/>
  <c r="C4045" i="2"/>
  <c r="C4032" i="2"/>
  <c r="C4029" i="2"/>
  <c r="C4027" i="2"/>
  <c r="C4021" i="2"/>
  <c r="C4019" i="2"/>
  <c r="C4015" i="2"/>
  <c r="C4014" i="2"/>
  <c r="C4010" i="2"/>
  <c r="C4007" i="2"/>
  <c r="C4006" i="2"/>
  <c r="C4004" i="2"/>
  <c r="C4003" i="2"/>
  <c r="C4002" i="2"/>
  <c r="C4001" i="2"/>
  <c r="C4000" i="2"/>
  <c r="C3996" i="2"/>
  <c r="C3995" i="2"/>
  <c r="C3993" i="2"/>
  <c r="C3992" i="2"/>
  <c r="C3991" i="2"/>
  <c r="C3990" i="2"/>
  <c r="C3983" i="2"/>
  <c r="C3974" i="2"/>
  <c r="C3964" i="2"/>
  <c r="C3962" i="2"/>
  <c r="C3959" i="2"/>
  <c r="C3958" i="2"/>
  <c r="C3956" i="2"/>
  <c r="C3953" i="2"/>
  <c r="C3952" i="2"/>
  <c r="C3948" i="2"/>
  <c r="C3946" i="2"/>
  <c r="C3943" i="2"/>
  <c r="C3938" i="2"/>
  <c r="C3937" i="2"/>
  <c r="C3936" i="2"/>
  <c r="C3932" i="2"/>
  <c r="C3928" i="2"/>
  <c r="C3926" i="2"/>
  <c r="C3925" i="2"/>
  <c r="C3924" i="2"/>
  <c r="C3922" i="2"/>
  <c r="C3917" i="2"/>
  <c r="C3914" i="2"/>
  <c r="C3913" i="2"/>
  <c r="C3912" i="2"/>
  <c r="C3911" i="2"/>
  <c r="C3910" i="2"/>
  <c r="C3909" i="2"/>
  <c r="C3907" i="2"/>
  <c r="C3902" i="2"/>
  <c r="C3900" i="2"/>
  <c r="C3899" i="2"/>
  <c r="C3898" i="2"/>
  <c r="C3897" i="2"/>
  <c r="C3896" i="2"/>
  <c r="C3895" i="2"/>
  <c r="C3894" i="2"/>
  <c r="C3892" i="2"/>
  <c r="C3889" i="2"/>
  <c r="C3888" i="2"/>
  <c r="C3885" i="2"/>
  <c r="C3882" i="2"/>
  <c r="C3879" i="2"/>
  <c r="C3878" i="2"/>
  <c r="C3877" i="2"/>
  <c r="C3876" i="2"/>
  <c r="C3874" i="2"/>
  <c r="C3870" i="2"/>
  <c r="C3866" i="2"/>
  <c r="C3864" i="2"/>
  <c r="C3863" i="2"/>
  <c r="C3862" i="2"/>
  <c r="C3861" i="2"/>
  <c r="C3858" i="2"/>
  <c r="C3852" i="2"/>
  <c r="C3851" i="2"/>
  <c r="C3849" i="2"/>
  <c r="C3846" i="2"/>
  <c r="C3843" i="2"/>
  <c r="C3842" i="2"/>
  <c r="C3841" i="2"/>
  <c r="C3840" i="2"/>
  <c r="C3836" i="2"/>
  <c r="C3834" i="2"/>
  <c r="C3824" i="2"/>
  <c r="C3822" i="2"/>
  <c r="C3819" i="2"/>
  <c r="C3818" i="2"/>
  <c r="C3816" i="2"/>
  <c r="C3811" i="2"/>
  <c r="C3807" i="2"/>
  <c r="C3802" i="2"/>
  <c r="C3800" i="2"/>
  <c r="C3799" i="2"/>
  <c r="C3796" i="2"/>
  <c r="C3794" i="2"/>
  <c r="C3786" i="2"/>
  <c r="C3783" i="2"/>
  <c r="C3781" i="2"/>
  <c r="C3780" i="2"/>
  <c r="C3778" i="2"/>
  <c r="C3776" i="2"/>
  <c r="C3775" i="2"/>
  <c r="C3773" i="2"/>
  <c r="C3772" i="2"/>
  <c r="C3770" i="2"/>
  <c r="C3769" i="2"/>
  <c r="C3768" i="2"/>
  <c r="C3767" i="2"/>
  <c r="C3766" i="2"/>
  <c r="C3765" i="2"/>
  <c r="C3763" i="2"/>
  <c r="C3760" i="2"/>
  <c r="C3759" i="2"/>
  <c r="C3756" i="2"/>
  <c r="C3755" i="2"/>
  <c r="C3753" i="2"/>
  <c r="C3750" i="2"/>
  <c r="C3747" i="2"/>
  <c r="C3744" i="2"/>
  <c r="C3743" i="2"/>
  <c r="C3741" i="2"/>
  <c r="C3732" i="2"/>
  <c r="C3727" i="2"/>
  <c r="C3725" i="2"/>
  <c r="C3724" i="2"/>
  <c r="C3723" i="2"/>
  <c r="C3721" i="2"/>
  <c r="C3720" i="2"/>
  <c r="C3719" i="2"/>
  <c r="C3718" i="2"/>
  <c r="C3716" i="2"/>
  <c r="C3713" i="2"/>
  <c r="C3712" i="2"/>
  <c r="C3711" i="2"/>
  <c r="C3710" i="2"/>
  <c r="C3708" i="2"/>
  <c r="C3707" i="2"/>
  <c r="C3706" i="2"/>
  <c r="C3705" i="2"/>
  <c r="C3704" i="2"/>
  <c r="C3701" i="2"/>
  <c r="C3696" i="2"/>
  <c r="C3695" i="2"/>
  <c r="C3693" i="2"/>
  <c r="C3689" i="2"/>
  <c r="C3688" i="2"/>
  <c r="C3686" i="2"/>
  <c r="C3685" i="2"/>
  <c r="C3684" i="2"/>
  <c r="C3682" i="2"/>
  <c r="C3680" i="2"/>
  <c r="C3674" i="2"/>
  <c r="C3671" i="2"/>
  <c r="C3670" i="2"/>
  <c r="C3667" i="2"/>
  <c r="C3665" i="2"/>
  <c r="C3663" i="2"/>
  <c r="C3661" i="2"/>
  <c r="C3659" i="2"/>
  <c r="C3658" i="2"/>
  <c r="C3656" i="2"/>
  <c r="C3654" i="2"/>
  <c r="C3653" i="2"/>
  <c r="C3651" i="2"/>
  <c r="C3649" i="2"/>
  <c r="C3648" i="2"/>
  <c r="C3646" i="2"/>
  <c r="C3644" i="2"/>
  <c r="C3642" i="2"/>
  <c r="C3641" i="2"/>
  <c r="C3640" i="2"/>
  <c r="C3635" i="2"/>
  <c r="C3629" i="2"/>
  <c r="C3628" i="2"/>
  <c r="C3627" i="2"/>
  <c r="C3626" i="2"/>
  <c r="C3625" i="2"/>
  <c r="C3624" i="2"/>
  <c r="C3623" i="2"/>
  <c r="C3622" i="2"/>
  <c r="C3621" i="2"/>
  <c r="C3620" i="2"/>
  <c r="C3619" i="2"/>
  <c r="C3618" i="2"/>
  <c r="C3617" i="2"/>
  <c r="C3616" i="2"/>
  <c r="C3615" i="2"/>
  <c r="C3614" i="2"/>
  <c r="C3611" i="2"/>
  <c r="C3610" i="2"/>
  <c r="C3606" i="2"/>
  <c r="C3605" i="2"/>
  <c r="C3604" i="2"/>
  <c r="C3603" i="2"/>
  <c r="C3602" i="2"/>
  <c r="C3601" i="2"/>
  <c r="C3600" i="2"/>
  <c r="C3598" i="2"/>
  <c r="C3595" i="2"/>
  <c r="C3593" i="2"/>
  <c r="C3591" i="2"/>
  <c r="C3587" i="2"/>
  <c r="C3584" i="2"/>
  <c r="C3582" i="2"/>
  <c r="C3579" i="2"/>
  <c r="C3578" i="2"/>
  <c r="C3577" i="2"/>
  <c r="C3576" i="2"/>
  <c r="C3575" i="2"/>
  <c r="C3573" i="2"/>
  <c r="C3572" i="2"/>
  <c r="C3566" i="2"/>
  <c r="C3565" i="2"/>
  <c r="C3558" i="2"/>
  <c r="C3557" i="2"/>
  <c r="C3555" i="2"/>
  <c r="C3553" i="2"/>
  <c r="C3551" i="2"/>
  <c r="C3550" i="2"/>
  <c r="C3548" i="2"/>
  <c r="C3547" i="2"/>
  <c r="C3546" i="2"/>
  <c r="C3545" i="2"/>
  <c r="C3543" i="2"/>
  <c r="C3535" i="2"/>
  <c r="C3534" i="2"/>
  <c r="C3531" i="2"/>
  <c r="C3529" i="2"/>
  <c r="C3527" i="2"/>
  <c r="C3525" i="2"/>
  <c r="C3523" i="2"/>
  <c r="C3521" i="2"/>
  <c r="C3518" i="2"/>
  <c r="C3517" i="2"/>
  <c r="C3514" i="2"/>
  <c r="C3513" i="2"/>
  <c r="C3511" i="2"/>
  <c r="C3508" i="2"/>
  <c r="C3505" i="2"/>
  <c r="C3502" i="2"/>
  <c r="C3501" i="2"/>
  <c r="C3500" i="2"/>
  <c r="C3495" i="2"/>
  <c r="C3487" i="2"/>
  <c r="C3474" i="2"/>
  <c r="C3470" i="2"/>
  <c r="C3466" i="2"/>
  <c r="C3465" i="2"/>
  <c r="C3464" i="2"/>
  <c r="C3462" i="2"/>
  <c r="C3461" i="2"/>
  <c r="C3460" i="2"/>
  <c r="C3459" i="2"/>
  <c r="C3458" i="2"/>
  <c r="C3456" i="2"/>
  <c r="C3455" i="2"/>
  <c r="C3454" i="2"/>
  <c r="C3452" i="2"/>
  <c r="C3451" i="2"/>
  <c r="C3450" i="2"/>
  <c r="C3449" i="2"/>
  <c r="C3448" i="2"/>
  <c r="C3447" i="2"/>
  <c r="C3445" i="2"/>
  <c r="C3443" i="2"/>
  <c r="C3442" i="2"/>
  <c r="C3441" i="2"/>
  <c r="C3440" i="2"/>
  <c r="C3439" i="2"/>
  <c r="C3436" i="2"/>
  <c r="C3435" i="2"/>
  <c r="C3433" i="2"/>
  <c r="C3432" i="2"/>
  <c r="C3422" i="2"/>
  <c r="C3421" i="2"/>
  <c r="C3416" i="2"/>
  <c r="C3415" i="2"/>
  <c r="C3414" i="2"/>
  <c r="C3412" i="2"/>
  <c r="C3411" i="2"/>
  <c r="C3410" i="2"/>
  <c r="C3406" i="2"/>
  <c r="C3405" i="2"/>
  <c r="C3401" i="2"/>
  <c r="C3399" i="2"/>
  <c r="C3390" i="2"/>
  <c r="C3387" i="2"/>
  <c r="C3385" i="2"/>
  <c r="C3382" i="2"/>
  <c r="C3381" i="2"/>
  <c r="C3380" i="2"/>
  <c r="C3379" i="2"/>
  <c r="C3378" i="2"/>
  <c r="C3370" i="2"/>
  <c r="C3369" i="2"/>
  <c r="C3367" i="2"/>
  <c r="C3366" i="2"/>
  <c r="C3365" i="2"/>
  <c r="C3364" i="2"/>
  <c r="C3363" i="2"/>
  <c r="C3362" i="2"/>
  <c r="C3360" i="2"/>
  <c r="C3358" i="2"/>
  <c r="C3354" i="2"/>
  <c r="C3353" i="2"/>
  <c r="C3351" i="2"/>
  <c r="C3350" i="2"/>
  <c r="C3349" i="2"/>
  <c r="C3348" i="2"/>
  <c r="C3346" i="2"/>
  <c r="C3343" i="2"/>
  <c r="C3342" i="2"/>
  <c r="C3341" i="2"/>
  <c r="C3338" i="2"/>
  <c r="C3336" i="2"/>
  <c r="C3334" i="2"/>
  <c r="C3333" i="2"/>
  <c r="C3332" i="2"/>
  <c r="C3331" i="2"/>
  <c r="C3327" i="2"/>
  <c r="C3325" i="2"/>
  <c r="C3324" i="2"/>
  <c r="C3313" i="2"/>
  <c r="C3311" i="2"/>
  <c r="C3310" i="2"/>
  <c r="C3309" i="2"/>
  <c r="C3308" i="2"/>
  <c r="C3307" i="2"/>
  <c r="C3306" i="2"/>
  <c r="C3303" i="2"/>
  <c r="C3295" i="2"/>
  <c r="C3288" i="2"/>
  <c r="C3287" i="2"/>
  <c r="C3286" i="2"/>
  <c r="C3285" i="2"/>
  <c r="C3279" i="2"/>
  <c r="C3278" i="2"/>
  <c r="C3272" i="2"/>
  <c r="C3267" i="2"/>
  <c r="C3265" i="2"/>
  <c r="C3264" i="2"/>
  <c r="C3261" i="2"/>
  <c r="C3257" i="2"/>
  <c r="C3256" i="2"/>
  <c r="C3255" i="2"/>
  <c r="C3249" i="2"/>
  <c r="C3248" i="2"/>
  <c r="C3243" i="2"/>
  <c r="C3241" i="2"/>
  <c r="C3238" i="2"/>
  <c r="C3236" i="2"/>
  <c r="C3234" i="2"/>
  <c r="C3231" i="2"/>
  <c r="C3229" i="2"/>
  <c r="C3227" i="2"/>
  <c r="C3222" i="2"/>
  <c r="C3219" i="2"/>
  <c r="C3218" i="2"/>
  <c r="C3217" i="2"/>
  <c r="C3212" i="2"/>
  <c r="C3210" i="2"/>
  <c r="C3207" i="2"/>
  <c r="C3206" i="2"/>
  <c r="C3205" i="2"/>
  <c r="C3201" i="2"/>
  <c r="C3200" i="2"/>
  <c r="C3199" i="2"/>
  <c r="C3198" i="2"/>
  <c r="C3197" i="2"/>
  <c r="C3196" i="2"/>
  <c r="C3193" i="2"/>
  <c r="C3190" i="2"/>
  <c r="C3189" i="2"/>
  <c r="C3187" i="2"/>
  <c r="C3181" i="2"/>
  <c r="C3179" i="2"/>
  <c r="C3177" i="2"/>
  <c r="C3176" i="2"/>
  <c r="C3175" i="2"/>
  <c r="C3174" i="2"/>
  <c r="C3173" i="2"/>
  <c r="C3172" i="2"/>
  <c r="C3171" i="2"/>
  <c r="C3170" i="2"/>
  <c r="C3169" i="2"/>
  <c r="C3168" i="2"/>
  <c r="C3167" i="2"/>
  <c r="C3164" i="2"/>
  <c r="C3163" i="2"/>
  <c r="C3162" i="2"/>
  <c r="C3161" i="2"/>
  <c r="C3160" i="2"/>
  <c r="C3158" i="2"/>
  <c r="C3157" i="2"/>
  <c r="C3156" i="2"/>
  <c r="C3155" i="2"/>
  <c r="C3154" i="2"/>
  <c r="C3153" i="2"/>
  <c r="C3151" i="2"/>
  <c r="C3150" i="2"/>
  <c r="C3147" i="2"/>
  <c r="C3145" i="2"/>
  <c r="C3142" i="2"/>
  <c r="C3140" i="2"/>
  <c r="C3139" i="2"/>
  <c r="C3138" i="2"/>
  <c r="C3134" i="2"/>
  <c r="C3129" i="2"/>
  <c r="C3125" i="2"/>
  <c r="C3124" i="2"/>
  <c r="C3123" i="2"/>
  <c r="C3122" i="2"/>
  <c r="C3116" i="2"/>
  <c r="C3108" i="2"/>
  <c r="C3107" i="2"/>
  <c r="C3105" i="2"/>
  <c r="C3104" i="2"/>
  <c r="C3101" i="2"/>
  <c r="C3096" i="2"/>
  <c r="C3095" i="2"/>
  <c r="C3094" i="2"/>
  <c r="C3091" i="2"/>
  <c r="C3089" i="2"/>
  <c r="C3086" i="2"/>
  <c r="C3085" i="2"/>
  <c r="C3082" i="2"/>
  <c r="C3081" i="2"/>
  <c r="C3071" i="2"/>
  <c r="C3066" i="2"/>
  <c r="C3065" i="2"/>
  <c r="C3063" i="2"/>
  <c r="C3062" i="2"/>
  <c r="C3060" i="2"/>
  <c r="C3059" i="2"/>
  <c r="C3058" i="2"/>
  <c r="C3054" i="2"/>
  <c r="C3052" i="2"/>
  <c r="C3049" i="2"/>
  <c r="C3047" i="2"/>
  <c r="C3046" i="2"/>
  <c r="C3044" i="2"/>
  <c r="C3041" i="2"/>
  <c r="C3040" i="2"/>
  <c r="C3037" i="2"/>
  <c r="C3035" i="2"/>
  <c r="C3031" i="2"/>
  <c r="C3030" i="2"/>
  <c r="C3029" i="2"/>
  <c r="C3025" i="2"/>
  <c r="C3024" i="2"/>
  <c r="C3022" i="2"/>
  <c r="C3020" i="2"/>
  <c r="C3014" i="2"/>
  <c r="C3012" i="2"/>
  <c r="C3011" i="2"/>
  <c r="C3007" i="2"/>
  <c r="C3000" i="2"/>
  <c r="C2997" i="2"/>
  <c r="C2996" i="2"/>
  <c r="C2995" i="2"/>
  <c r="C2993" i="2"/>
  <c r="C2991" i="2"/>
  <c r="C2990" i="2"/>
  <c r="C2988" i="2"/>
  <c r="C2987" i="2"/>
  <c r="C2986" i="2"/>
  <c r="C2977" i="2"/>
  <c r="C2976" i="2"/>
  <c r="C2974" i="2"/>
  <c r="C2965" i="2"/>
  <c r="C2962" i="2"/>
  <c r="C2960" i="2"/>
  <c r="C2959" i="2"/>
  <c r="C2958" i="2"/>
  <c r="C2957" i="2"/>
  <c r="C2954" i="2"/>
  <c r="C2952" i="2"/>
  <c r="C2950" i="2"/>
  <c r="C2947" i="2"/>
  <c r="C2946" i="2"/>
  <c r="C2945" i="2"/>
  <c r="C2944" i="2"/>
  <c r="C2942" i="2"/>
  <c r="C2939" i="2"/>
  <c r="C2938" i="2"/>
  <c r="C2937" i="2"/>
  <c r="C2936" i="2"/>
  <c r="C2934" i="2"/>
  <c r="C2933" i="2"/>
  <c r="C2931" i="2"/>
  <c r="C2930" i="2"/>
  <c r="C2929" i="2"/>
  <c r="C2928" i="2"/>
  <c r="C2927" i="2"/>
  <c r="C2925" i="2"/>
  <c r="C2919" i="2"/>
  <c r="C2918" i="2"/>
  <c r="C2917" i="2"/>
  <c r="C2916" i="2"/>
  <c r="C2915" i="2"/>
  <c r="C2914" i="2"/>
  <c r="C2912" i="2"/>
  <c r="C2910" i="2"/>
  <c r="C2902" i="2"/>
  <c r="C2900" i="2"/>
  <c r="C2898" i="2"/>
  <c r="C2895" i="2"/>
  <c r="C2894" i="2"/>
  <c r="C2891" i="2"/>
  <c r="C2889" i="2"/>
  <c r="C2888" i="2"/>
  <c r="C2887" i="2"/>
  <c r="C2884" i="2"/>
  <c r="C2882" i="2"/>
  <c r="C2868" i="2"/>
  <c r="C2866" i="2"/>
  <c r="C2863" i="2"/>
  <c r="C2862" i="2"/>
  <c r="C2861" i="2"/>
  <c r="C2860" i="2"/>
  <c r="C2858" i="2"/>
  <c r="C2856" i="2"/>
  <c r="C2855" i="2"/>
  <c r="C2849" i="2"/>
  <c r="C2843" i="2"/>
  <c r="C2842" i="2"/>
  <c r="C2840" i="2"/>
  <c r="C2839" i="2"/>
  <c r="C2836" i="2"/>
  <c r="C2835" i="2"/>
  <c r="C2833" i="2"/>
  <c r="C2832" i="2"/>
  <c r="C2831" i="2"/>
  <c r="C2827" i="2"/>
  <c r="C2824" i="2"/>
  <c r="C2823" i="2"/>
  <c r="C2821" i="2"/>
  <c r="C2819" i="2"/>
  <c r="C2818" i="2"/>
  <c r="C2817" i="2"/>
  <c r="C2808" i="2"/>
  <c r="C2804" i="2"/>
  <c r="C2802" i="2"/>
  <c r="C2798" i="2"/>
  <c r="C2797" i="2"/>
  <c r="C2795" i="2"/>
  <c r="C2791" i="2"/>
  <c r="C2790" i="2"/>
  <c r="C2786" i="2"/>
  <c r="C2778" i="2"/>
  <c r="C2777" i="2"/>
  <c r="C2776" i="2"/>
  <c r="C2775" i="2"/>
  <c r="C2774" i="2"/>
  <c r="C2773" i="2"/>
  <c r="C2771" i="2"/>
  <c r="C2770" i="2"/>
  <c r="C2769" i="2"/>
  <c r="C2768" i="2"/>
  <c r="C2766" i="2"/>
  <c r="C2765" i="2"/>
  <c r="C2764" i="2"/>
  <c r="C2763" i="2"/>
  <c r="C2762" i="2"/>
  <c r="C2761" i="2"/>
  <c r="C2760" i="2"/>
  <c r="C2757" i="2"/>
  <c r="C2755" i="2"/>
  <c r="C2754" i="2"/>
  <c r="C2753" i="2"/>
  <c r="C2746" i="2"/>
  <c r="C2743" i="2"/>
  <c r="C2741" i="2"/>
  <c r="C2739" i="2"/>
  <c r="C2738" i="2"/>
  <c r="C2737" i="2"/>
  <c r="C2736" i="2"/>
  <c r="C2735" i="2"/>
  <c r="C2731" i="2"/>
  <c r="C2729" i="2"/>
  <c r="C2728" i="2"/>
  <c r="C2724" i="2"/>
  <c r="C2722" i="2"/>
  <c r="C2719" i="2"/>
  <c r="C2716" i="2"/>
  <c r="C2715" i="2"/>
  <c r="C2714" i="2"/>
  <c r="C2713" i="2"/>
  <c r="C2712" i="2"/>
  <c r="C2710" i="2"/>
  <c r="C2709" i="2"/>
  <c r="C2706" i="2"/>
  <c r="C2705" i="2"/>
  <c r="C2703" i="2"/>
  <c r="C2702" i="2"/>
  <c r="C2701" i="2"/>
  <c r="C2700" i="2"/>
  <c r="C2699" i="2"/>
  <c r="C2698" i="2"/>
  <c r="C2697" i="2"/>
  <c r="C2696" i="2"/>
  <c r="C2695" i="2"/>
  <c r="C2693" i="2"/>
  <c r="C2690" i="2"/>
  <c r="C2688" i="2"/>
  <c r="C2685" i="2"/>
  <c r="C2684" i="2"/>
  <c r="C2683" i="2"/>
  <c r="C2682" i="2"/>
  <c r="C2678" i="2"/>
  <c r="C2677" i="2"/>
  <c r="C2676" i="2"/>
  <c r="C2675" i="2"/>
  <c r="C2674" i="2"/>
  <c r="C2671" i="2"/>
  <c r="C2670" i="2"/>
  <c r="C2669" i="2"/>
  <c r="C2667" i="2"/>
  <c r="C2666" i="2"/>
  <c r="C2665" i="2"/>
  <c r="C2664" i="2"/>
  <c r="C2663" i="2"/>
  <c r="C2661" i="2"/>
  <c r="C2660" i="2"/>
  <c r="C2658" i="2"/>
  <c r="C2656" i="2"/>
  <c r="C2655" i="2"/>
  <c r="C2654" i="2"/>
  <c r="C2653" i="2"/>
  <c r="C2647" i="2"/>
  <c r="C2646" i="2"/>
  <c r="C2643" i="2"/>
  <c r="C2642" i="2"/>
  <c r="C2640" i="2"/>
  <c r="C2638" i="2"/>
  <c r="C2635" i="2"/>
  <c r="C2634" i="2"/>
  <c r="C2630" i="2"/>
  <c r="C2628" i="2"/>
  <c r="C2627" i="2"/>
  <c r="C2626" i="2"/>
  <c r="C2625" i="2"/>
  <c r="C2622" i="2"/>
  <c r="C2620" i="2"/>
  <c r="C2619" i="2"/>
  <c r="C2616" i="2"/>
  <c r="C2615" i="2"/>
  <c r="C2614" i="2"/>
  <c r="C2613" i="2"/>
  <c r="C2609" i="2"/>
  <c r="C2608" i="2"/>
  <c r="C2607" i="2"/>
  <c r="C2605" i="2"/>
  <c r="C2603" i="2"/>
  <c r="C2601" i="2"/>
  <c r="C2600" i="2"/>
  <c r="C2598" i="2"/>
  <c r="C2597" i="2"/>
  <c r="C2596" i="2"/>
  <c r="C2595" i="2"/>
  <c r="C2593" i="2"/>
  <c r="C2591" i="2"/>
  <c r="C2589" i="2"/>
  <c r="C2588" i="2"/>
  <c r="C2584" i="2"/>
  <c r="C2582" i="2"/>
  <c r="C2580" i="2"/>
  <c r="C2579" i="2"/>
  <c r="C2578" i="2"/>
  <c r="C2575" i="2"/>
  <c r="C2574" i="2"/>
  <c r="C2573" i="2"/>
  <c r="C2569" i="2"/>
  <c r="C2568" i="2"/>
  <c r="C2567" i="2"/>
  <c r="C2566" i="2"/>
  <c r="C2563" i="2"/>
  <c r="C2562" i="2"/>
  <c r="C2561" i="2"/>
  <c r="C2560" i="2"/>
  <c r="C2559" i="2"/>
  <c r="C2553" i="2"/>
  <c r="C2550" i="2"/>
  <c r="C2546" i="2"/>
  <c r="C2545" i="2"/>
  <c r="C2544" i="2"/>
  <c r="C2543" i="2"/>
  <c r="C2542" i="2"/>
  <c r="C2541" i="2"/>
  <c r="C2540" i="2"/>
  <c r="C2533" i="2"/>
  <c r="C2532" i="2"/>
  <c r="C2530" i="2"/>
  <c r="C2528" i="2"/>
  <c r="C2524" i="2"/>
  <c r="C2523" i="2"/>
  <c r="C2522" i="2"/>
  <c r="C2520" i="2"/>
  <c r="C2515" i="2"/>
  <c r="C2503" i="2"/>
  <c r="C2500" i="2"/>
  <c r="C2498" i="2"/>
  <c r="C2496" i="2"/>
  <c r="C2495" i="2"/>
  <c r="C2494" i="2"/>
  <c r="C2492" i="2"/>
  <c r="C2489" i="2"/>
  <c r="C2487" i="2"/>
  <c r="C2484" i="2"/>
  <c r="C2483" i="2"/>
  <c r="C2480" i="2"/>
  <c r="C2479" i="2"/>
  <c r="C2478" i="2"/>
  <c r="C2477" i="2"/>
  <c r="C2473" i="2"/>
  <c r="C2471" i="2"/>
  <c r="C2468" i="2"/>
  <c r="C2465" i="2"/>
  <c r="C2464" i="2"/>
  <c r="C2463" i="2"/>
  <c r="C2462" i="2"/>
  <c r="C2459" i="2"/>
  <c r="C2458" i="2"/>
  <c r="C2454" i="2"/>
  <c r="C2448" i="2"/>
  <c r="C2447" i="2"/>
  <c r="C2445" i="2"/>
  <c r="C2443" i="2"/>
  <c r="C2442" i="2"/>
  <c r="C2441" i="2"/>
  <c r="C2439" i="2"/>
  <c r="C2438" i="2"/>
  <c r="C2433" i="2"/>
  <c r="C2432" i="2"/>
  <c r="C2431" i="2"/>
  <c r="C2430" i="2"/>
  <c r="C2429" i="2"/>
  <c r="C2428" i="2"/>
  <c r="C2427" i="2"/>
  <c r="C2425" i="2"/>
  <c r="C2424" i="2"/>
  <c r="C2423" i="2"/>
  <c r="C2420" i="2"/>
  <c r="C2414" i="2"/>
  <c r="C2412" i="2"/>
  <c r="C2408" i="2"/>
  <c r="C2403" i="2"/>
  <c r="C2402" i="2"/>
  <c r="C2401" i="2"/>
  <c r="C2400" i="2"/>
  <c r="C2393" i="2"/>
  <c r="C2392" i="2"/>
  <c r="C2389" i="2"/>
  <c r="C2387" i="2"/>
  <c r="C2385" i="2"/>
  <c r="C2383" i="2"/>
  <c r="C2382" i="2"/>
  <c r="C2380" i="2"/>
  <c r="C2379" i="2"/>
  <c r="C2377" i="2"/>
  <c r="C2375" i="2"/>
  <c r="C2373" i="2"/>
  <c r="C2371" i="2"/>
  <c r="C2370" i="2"/>
  <c r="C2359" i="2"/>
  <c r="C2357" i="2"/>
  <c r="C2355" i="2"/>
  <c r="C2353" i="2"/>
  <c r="C2352" i="2"/>
  <c r="C2351" i="2"/>
  <c r="C2349" i="2"/>
  <c r="C2348" i="2"/>
  <c r="C2346" i="2"/>
  <c r="C2345" i="2"/>
  <c r="C2344" i="2"/>
  <c r="C2342" i="2"/>
  <c r="C2339" i="2"/>
  <c r="C2338" i="2"/>
  <c r="C2337" i="2"/>
  <c r="C2335" i="2"/>
  <c r="C2334" i="2"/>
  <c r="C2333" i="2"/>
  <c r="C2329" i="2"/>
  <c r="C2328" i="2"/>
  <c r="C2327" i="2"/>
  <c r="C2326" i="2"/>
  <c r="C2325" i="2"/>
  <c r="C2323" i="2"/>
  <c r="C2320" i="2"/>
  <c r="C2319" i="2"/>
  <c r="C2318" i="2"/>
  <c r="C2317" i="2"/>
  <c r="C2315" i="2"/>
  <c r="C2312" i="2"/>
  <c r="C2311" i="2"/>
  <c r="C2310" i="2"/>
  <c r="C2309" i="2"/>
  <c r="C2308" i="2"/>
  <c r="C2307" i="2"/>
  <c r="C2306" i="2"/>
  <c r="C2305" i="2"/>
  <c r="C2303" i="2"/>
  <c r="C2302" i="2"/>
  <c r="C2301" i="2"/>
  <c r="C2298" i="2"/>
  <c r="C2297" i="2"/>
  <c r="C2296" i="2"/>
  <c r="C2295" i="2"/>
  <c r="C2293" i="2"/>
  <c r="C2292" i="2"/>
  <c r="C2291" i="2"/>
  <c r="C2290" i="2"/>
  <c r="C2288" i="2"/>
  <c r="C2287" i="2"/>
  <c r="C2286" i="2"/>
  <c r="C2285" i="2"/>
  <c r="C2284" i="2"/>
  <c r="C2283" i="2"/>
  <c r="C2281" i="2"/>
  <c r="C2280" i="2"/>
  <c r="C2278" i="2"/>
  <c r="C2277" i="2"/>
  <c r="C2276" i="2"/>
  <c r="C2275" i="2"/>
  <c r="C2274" i="2"/>
  <c r="C2272" i="2"/>
  <c r="C2270" i="2"/>
  <c r="C2265" i="2"/>
  <c r="C2260" i="2"/>
  <c r="C2255" i="2"/>
  <c r="C2251" i="2"/>
  <c r="C2248" i="2"/>
  <c r="C2245" i="2"/>
  <c r="C2243" i="2"/>
  <c r="C2242" i="2"/>
  <c r="C2240" i="2"/>
  <c r="C2238" i="2"/>
  <c r="C2237" i="2"/>
  <c r="C2236" i="2"/>
  <c r="C2235" i="2"/>
  <c r="C2230" i="2"/>
  <c r="C2229" i="2"/>
  <c r="C2227" i="2"/>
  <c r="C2226" i="2"/>
  <c r="C2225" i="2"/>
  <c r="C2218" i="2"/>
  <c r="C2212" i="2"/>
  <c r="C2209" i="2"/>
  <c r="C2206" i="2"/>
  <c r="C2204" i="2"/>
  <c r="C2202" i="2"/>
  <c r="C2201" i="2"/>
  <c r="C2198" i="2"/>
  <c r="C2196" i="2"/>
  <c r="C2189" i="2"/>
  <c r="C2185" i="2"/>
  <c r="C2184" i="2"/>
  <c r="C2182" i="2"/>
  <c r="C2179" i="2"/>
  <c r="C2178" i="2"/>
  <c r="C2174" i="2"/>
  <c r="C2172" i="2"/>
  <c r="C2171" i="2"/>
  <c r="C2168" i="2"/>
  <c r="C2167" i="2"/>
  <c r="C2165" i="2"/>
  <c r="C2163" i="2"/>
  <c r="C2161" i="2"/>
  <c r="C2156" i="2"/>
  <c r="C2154" i="2"/>
  <c r="C2152" i="2"/>
  <c r="C2151" i="2"/>
  <c r="C2149" i="2"/>
  <c r="C2148" i="2"/>
  <c r="C2147" i="2"/>
  <c r="C2146" i="2"/>
  <c r="C2145" i="2"/>
  <c r="C2144" i="2"/>
  <c r="C2136" i="2"/>
  <c r="C2132" i="2"/>
  <c r="C2128" i="2"/>
  <c r="C2127" i="2"/>
  <c r="C2120" i="2"/>
  <c r="C2117" i="2"/>
  <c r="C2116" i="2"/>
  <c r="C2115" i="2"/>
  <c r="C2114" i="2"/>
  <c r="C2113" i="2"/>
  <c r="C2111" i="2"/>
  <c r="C2110" i="2"/>
  <c r="C2109" i="2"/>
  <c r="C2105" i="2"/>
  <c r="C2102" i="2"/>
  <c r="C2098" i="2"/>
  <c r="C2097" i="2"/>
  <c r="C2093" i="2"/>
  <c r="C2088" i="2"/>
  <c r="C2083" i="2"/>
  <c r="C2081" i="2"/>
  <c r="C2080" i="2"/>
  <c r="C2079" i="2"/>
  <c r="C2078" i="2"/>
  <c r="C2077" i="2"/>
  <c r="C2076" i="2"/>
  <c r="C2075" i="2"/>
  <c r="C2074" i="2"/>
  <c r="C2069" i="2"/>
  <c r="C2068" i="2"/>
  <c r="C2067" i="2"/>
  <c r="C2066" i="2"/>
  <c r="C2064" i="2"/>
  <c r="C2062" i="2"/>
  <c r="C2060" i="2"/>
  <c r="C2059" i="2"/>
  <c r="C2056" i="2"/>
  <c r="C2055" i="2"/>
  <c r="C2053" i="2"/>
  <c r="C2050" i="2"/>
  <c r="C2049" i="2"/>
  <c r="C2048" i="2"/>
  <c r="C2047" i="2"/>
  <c r="C2045" i="2"/>
  <c r="C2044" i="2"/>
  <c r="C2041" i="2"/>
  <c r="C2040" i="2"/>
  <c r="C2037" i="2"/>
  <c r="C2036" i="2"/>
  <c r="C2035" i="2"/>
  <c r="C2034" i="2"/>
  <c r="C2033" i="2"/>
  <c r="C2026" i="2"/>
  <c r="C2024" i="2"/>
  <c r="C2023" i="2"/>
  <c r="C2015" i="2"/>
  <c r="C2011" i="2"/>
  <c r="C2010" i="2"/>
  <c r="C2009" i="2"/>
  <c r="C2007" i="2"/>
  <c r="C2006" i="2"/>
  <c r="C2002" i="2"/>
  <c r="C2001" i="2"/>
  <c r="C2000" i="2"/>
  <c r="C1991" i="2"/>
  <c r="C1990" i="2"/>
  <c r="C1989" i="2"/>
  <c r="C1988" i="2"/>
  <c r="C1987" i="2"/>
  <c r="C1986" i="2"/>
  <c r="C1981" i="2"/>
  <c r="C1980" i="2"/>
  <c r="C1979" i="2"/>
  <c r="C1977" i="2"/>
  <c r="C1973" i="2"/>
  <c r="C1971" i="2"/>
  <c r="C1967" i="2"/>
  <c r="C1966" i="2"/>
  <c r="C1964" i="2"/>
  <c r="C1963" i="2"/>
  <c r="C1962" i="2"/>
  <c r="C1961" i="2"/>
  <c r="C1960" i="2"/>
  <c r="C1959" i="2"/>
  <c r="C1957" i="2"/>
  <c r="C1951" i="2"/>
  <c r="C1944" i="2"/>
  <c r="C1942" i="2"/>
  <c r="C1941" i="2"/>
  <c r="C1939" i="2"/>
  <c r="C1937" i="2"/>
  <c r="C1935" i="2"/>
  <c r="C1932" i="2"/>
  <c r="C1931" i="2"/>
  <c r="C1930" i="2"/>
  <c r="C1929" i="2"/>
  <c r="C1927" i="2"/>
  <c r="C1926" i="2"/>
  <c r="C1914" i="2"/>
  <c r="C1912" i="2"/>
  <c r="C1911" i="2"/>
  <c r="C1910" i="2"/>
  <c r="C1907" i="2"/>
  <c r="C1906" i="2"/>
  <c r="C1905" i="2"/>
  <c r="C1904" i="2"/>
  <c r="C1903" i="2"/>
  <c r="C1897" i="2"/>
  <c r="C1896" i="2"/>
  <c r="C1895" i="2"/>
  <c r="C1894" i="2"/>
  <c r="C1893" i="2"/>
  <c r="C1891" i="2"/>
  <c r="C1890" i="2"/>
  <c r="C1884" i="2"/>
  <c r="C1878" i="2"/>
  <c r="C1877" i="2"/>
  <c r="C1874" i="2"/>
  <c r="C1873" i="2"/>
  <c r="C1872" i="2"/>
  <c r="C1870" i="2"/>
  <c r="C1867" i="2"/>
  <c r="C1866" i="2"/>
  <c r="C1864" i="2"/>
  <c r="C1863" i="2"/>
  <c r="C1862" i="2"/>
  <c r="C1861" i="2"/>
  <c r="C1860" i="2"/>
  <c r="C1856" i="2"/>
  <c r="C1855" i="2"/>
  <c r="C1852" i="2"/>
  <c r="C1851" i="2"/>
  <c r="C1849" i="2"/>
  <c r="C1847" i="2"/>
  <c r="C1845" i="2"/>
  <c r="C1844" i="2"/>
  <c r="C1843" i="2"/>
  <c r="C1836" i="2"/>
  <c r="C1832" i="2"/>
  <c r="C1831" i="2"/>
  <c r="C1830" i="2"/>
  <c r="C1829" i="2"/>
  <c r="C1828" i="2"/>
  <c r="C1825" i="2"/>
  <c r="C1823" i="2"/>
  <c r="C1821" i="2"/>
  <c r="C1820" i="2"/>
  <c r="C1819" i="2"/>
  <c r="C1818" i="2"/>
  <c r="C1815" i="2"/>
  <c r="C1813" i="2"/>
  <c r="C1811" i="2"/>
  <c r="C1809" i="2"/>
  <c r="C1806" i="2"/>
  <c r="C1802" i="2"/>
  <c r="C1801" i="2"/>
  <c r="C1799" i="2"/>
  <c r="C1797" i="2"/>
  <c r="C1796" i="2"/>
  <c r="C1793" i="2"/>
  <c r="C1792" i="2"/>
  <c r="C1787" i="2"/>
  <c r="C1782" i="2"/>
  <c r="C1781" i="2"/>
  <c r="C1780" i="2"/>
  <c r="C1779" i="2"/>
  <c r="C1778" i="2"/>
  <c r="C1777" i="2"/>
  <c r="C1776" i="2"/>
  <c r="C1775" i="2"/>
  <c r="C1774" i="2"/>
  <c r="C1773" i="2"/>
  <c r="C1771" i="2"/>
  <c r="C1770" i="2"/>
  <c r="C1769" i="2"/>
  <c r="C1756" i="2"/>
  <c r="C1755" i="2"/>
  <c r="C1754" i="2"/>
  <c r="C1750" i="2"/>
  <c r="C1749" i="2"/>
  <c r="C1746" i="2"/>
  <c r="C1744" i="2"/>
  <c r="C1741" i="2"/>
  <c r="C1740" i="2"/>
  <c r="C1738" i="2"/>
  <c r="C1736" i="2"/>
  <c r="C1734" i="2"/>
  <c r="C1733" i="2"/>
  <c r="C1732" i="2"/>
  <c r="C1730" i="2"/>
  <c r="C1727" i="2"/>
  <c r="C1726" i="2"/>
  <c r="C1725" i="2"/>
  <c r="C1724" i="2"/>
  <c r="C1723" i="2"/>
  <c r="C1721" i="2"/>
  <c r="C1720" i="2"/>
  <c r="C1718" i="2"/>
  <c r="C1716" i="2"/>
  <c r="C1714" i="2"/>
  <c r="C1713" i="2"/>
  <c r="C1712" i="2"/>
  <c r="C1711" i="2"/>
  <c r="C1710" i="2"/>
  <c r="C1707" i="2"/>
  <c r="C1705" i="2"/>
  <c r="C1704" i="2"/>
  <c r="C1702" i="2"/>
  <c r="C1699" i="2"/>
  <c r="C1697" i="2"/>
  <c r="C1696" i="2"/>
  <c r="C1695" i="2"/>
  <c r="C1693" i="2"/>
  <c r="C1690" i="2"/>
  <c r="C1688" i="2"/>
  <c r="C1687" i="2"/>
  <c r="C1686" i="2"/>
  <c r="C1685" i="2"/>
  <c r="C1684" i="2"/>
  <c r="C1681" i="2"/>
  <c r="C1679" i="2"/>
  <c r="C1678" i="2"/>
  <c r="C1673" i="2"/>
  <c r="C1672" i="2"/>
  <c r="C1668" i="2"/>
  <c r="C1664" i="2"/>
  <c r="C1659" i="2"/>
  <c r="C1658" i="2"/>
  <c r="C1657" i="2"/>
  <c r="C1656" i="2"/>
  <c r="C1654" i="2"/>
  <c r="C1651" i="2"/>
  <c r="C1650" i="2"/>
  <c r="C1649" i="2"/>
  <c r="C1646" i="2"/>
  <c r="C1645" i="2"/>
  <c r="C1641" i="2"/>
  <c r="C1640" i="2"/>
  <c r="C1638" i="2"/>
  <c r="C1636" i="2"/>
  <c r="C1635" i="2"/>
  <c r="C1633" i="2"/>
  <c r="C1632" i="2"/>
  <c r="C1631" i="2"/>
  <c r="C1630" i="2"/>
  <c r="C1628" i="2"/>
  <c r="C1624" i="2"/>
  <c r="C1620" i="2"/>
  <c r="C1610" i="2"/>
  <c r="C1609" i="2"/>
  <c r="C1604" i="2"/>
  <c r="C1601" i="2"/>
  <c r="C1598" i="2"/>
  <c r="C1595" i="2"/>
  <c r="C1594" i="2"/>
  <c r="C1592" i="2"/>
  <c r="C1590" i="2"/>
  <c r="C1589" i="2"/>
  <c r="C1588" i="2"/>
  <c r="C1586" i="2"/>
  <c r="C1585" i="2"/>
  <c r="C1584" i="2"/>
  <c r="C1583" i="2"/>
  <c r="C1580" i="2"/>
  <c r="C1579" i="2"/>
  <c r="C1578" i="2"/>
  <c r="C1575" i="2"/>
  <c r="C1574" i="2"/>
  <c r="C1573" i="2"/>
  <c r="C1572" i="2"/>
  <c r="C1571" i="2"/>
  <c r="C1570" i="2"/>
  <c r="C1569" i="2"/>
  <c r="C1567" i="2"/>
  <c r="C1563" i="2"/>
  <c r="C1561" i="2"/>
  <c r="C1558" i="2"/>
  <c r="C1557" i="2"/>
  <c r="C1556" i="2"/>
  <c r="C1555" i="2"/>
  <c r="C1552" i="2"/>
  <c r="C1550" i="2"/>
  <c r="C1548" i="2"/>
  <c r="C1543" i="2"/>
  <c r="C1539" i="2"/>
  <c r="C1538" i="2"/>
  <c r="C1535" i="2"/>
  <c r="C1526" i="2"/>
  <c r="C1512" i="2"/>
  <c r="C1503" i="2"/>
  <c r="C1502" i="2"/>
  <c r="C1501" i="2"/>
  <c r="C1500" i="2"/>
  <c r="C1498" i="2"/>
  <c r="C1497" i="2"/>
  <c r="C1496" i="2"/>
  <c r="C1494" i="2"/>
  <c r="C1493" i="2"/>
  <c r="C1491" i="2"/>
  <c r="C1489" i="2"/>
  <c r="C1485" i="2"/>
  <c r="C1483" i="2"/>
  <c r="C1482" i="2"/>
  <c r="C1480" i="2"/>
  <c r="C1479" i="2"/>
  <c r="C1478" i="2"/>
  <c r="C1475" i="2"/>
  <c r="C1474" i="2"/>
  <c r="C1472" i="2"/>
  <c r="C1469" i="2"/>
  <c r="C1468" i="2"/>
  <c r="C1467" i="2"/>
  <c r="C1466" i="2"/>
  <c r="C1464" i="2"/>
  <c r="C1463" i="2"/>
  <c r="C1462" i="2"/>
  <c r="C1458" i="2"/>
  <c r="C1456" i="2"/>
  <c r="C1453" i="2"/>
  <c r="C1451" i="2"/>
  <c r="C1450" i="2"/>
  <c r="C1448" i="2"/>
  <c r="C1447" i="2"/>
  <c r="C1443" i="2"/>
  <c r="C1442" i="2"/>
  <c r="C1438" i="2"/>
  <c r="C1432" i="2"/>
  <c r="C1431" i="2"/>
  <c r="C1429" i="2"/>
  <c r="C1428" i="2"/>
  <c r="C1427" i="2"/>
  <c r="C1426" i="2"/>
  <c r="C1425" i="2"/>
  <c r="C1424" i="2"/>
  <c r="C1420" i="2"/>
  <c r="C1419" i="2"/>
  <c r="C1416" i="2"/>
  <c r="C1414" i="2"/>
  <c r="C1411" i="2"/>
  <c r="C1410" i="2"/>
  <c r="C1409" i="2"/>
  <c r="C1403" i="2"/>
  <c r="C1402" i="2"/>
  <c r="C1401" i="2"/>
  <c r="C1400" i="2"/>
  <c r="C1396" i="2"/>
  <c r="C1394" i="2"/>
  <c r="C1391" i="2"/>
  <c r="C1390" i="2"/>
  <c r="C1389" i="2"/>
  <c r="C1388" i="2"/>
  <c r="C1387" i="2"/>
  <c r="C1386" i="2"/>
  <c r="C1385" i="2"/>
  <c r="C1384" i="2"/>
  <c r="C1382" i="2"/>
  <c r="C1380" i="2"/>
  <c r="C1374" i="2"/>
  <c r="C1373" i="2"/>
  <c r="C1371" i="2"/>
  <c r="C1370" i="2"/>
  <c r="C1369" i="2"/>
  <c r="C1367" i="2"/>
  <c r="C1366" i="2"/>
  <c r="C1365" i="2"/>
  <c r="C1364" i="2"/>
  <c r="C1363" i="2"/>
  <c r="C1362" i="2"/>
  <c r="C1361" i="2"/>
  <c r="C1359" i="2"/>
  <c r="C1358" i="2"/>
  <c r="C1357" i="2"/>
  <c r="C1356" i="2"/>
  <c r="C1354" i="2"/>
  <c r="C1353" i="2"/>
  <c r="C1348" i="2"/>
  <c r="C1347" i="2"/>
  <c r="C1345" i="2"/>
  <c r="C1344" i="2"/>
  <c r="C1343" i="2"/>
  <c r="C1342" i="2"/>
  <c r="C1341" i="2"/>
  <c r="C1340" i="2"/>
  <c r="C1339" i="2"/>
  <c r="C1338" i="2"/>
  <c r="C1337" i="2"/>
  <c r="C1336" i="2"/>
  <c r="C1335" i="2"/>
  <c r="C1333" i="2"/>
  <c r="C1326" i="2"/>
  <c r="C1324" i="2"/>
  <c r="C1321" i="2"/>
  <c r="C1320" i="2"/>
  <c r="C1318" i="2"/>
  <c r="C1317" i="2"/>
  <c r="C1315" i="2"/>
  <c r="C1314" i="2"/>
  <c r="C1312" i="2"/>
  <c r="C1311" i="2"/>
  <c r="C1310" i="2"/>
  <c r="C1308" i="2"/>
  <c r="C1307" i="2"/>
  <c r="C1306" i="2"/>
  <c r="C1304" i="2"/>
  <c r="C1302" i="2"/>
  <c r="C1299" i="2"/>
  <c r="C1293" i="2"/>
  <c r="C1290" i="2"/>
  <c r="C1289" i="2"/>
  <c r="C1288" i="2"/>
  <c r="C1284" i="2"/>
  <c r="C1282" i="2"/>
  <c r="C1281" i="2"/>
  <c r="C1270" i="2"/>
  <c r="C1269" i="2"/>
  <c r="C1268" i="2"/>
  <c r="C1262" i="2"/>
  <c r="C1258" i="2"/>
  <c r="C1257" i="2"/>
  <c r="C1253" i="2"/>
  <c r="C1251" i="2"/>
  <c r="C1247" i="2"/>
  <c r="C1246" i="2"/>
  <c r="C1244" i="2"/>
  <c r="C1239" i="2"/>
  <c r="C1238" i="2"/>
  <c r="C1234" i="2"/>
  <c r="C1227" i="2"/>
  <c r="C1224" i="2"/>
  <c r="C1223" i="2"/>
  <c r="C1221" i="2"/>
  <c r="C1220" i="2"/>
  <c r="C1216" i="2"/>
  <c r="C1213" i="2"/>
  <c r="C1211" i="2"/>
  <c r="C1210" i="2"/>
  <c r="C1207" i="2"/>
  <c r="C1206" i="2"/>
  <c r="C1203" i="2"/>
  <c r="C1202" i="2"/>
  <c r="C1197" i="2"/>
  <c r="C1194" i="2"/>
  <c r="C1193" i="2"/>
  <c r="C1191" i="2"/>
  <c r="C1190" i="2"/>
  <c r="C1185" i="2"/>
  <c r="C1183" i="2"/>
  <c r="C1182" i="2"/>
  <c r="C1173" i="2"/>
  <c r="C1171" i="2"/>
  <c r="C1168" i="2"/>
  <c r="C1165" i="2"/>
  <c r="C1160" i="2"/>
  <c r="C1159" i="2"/>
  <c r="C1158" i="2"/>
  <c r="C1157" i="2"/>
  <c r="C1156" i="2"/>
  <c r="C1154" i="2"/>
  <c r="C1149" i="2"/>
  <c r="C1147" i="2"/>
  <c r="C1146" i="2"/>
  <c r="C1145" i="2"/>
  <c r="C1143" i="2"/>
  <c r="C1142" i="2"/>
  <c r="C1141" i="2"/>
  <c r="C1140" i="2"/>
  <c r="C1139" i="2"/>
  <c r="C1138" i="2"/>
  <c r="C1137" i="2"/>
  <c r="C1136" i="2"/>
  <c r="C1135" i="2"/>
  <c r="C1134" i="2"/>
  <c r="C1133" i="2"/>
  <c r="C1132" i="2"/>
  <c r="C1129" i="2"/>
  <c r="C1127" i="2"/>
  <c r="C1126" i="2"/>
  <c r="C1125" i="2"/>
  <c r="C1124" i="2"/>
  <c r="C1122" i="2"/>
  <c r="C1118" i="2"/>
  <c r="C1116" i="2"/>
  <c r="C1114" i="2"/>
  <c r="C1113" i="2"/>
  <c r="C1111" i="2"/>
  <c r="C1109" i="2"/>
  <c r="C1108" i="2"/>
  <c r="C1107" i="2"/>
  <c r="C1106" i="2"/>
  <c r="C1105" i="2"/>
  <c r="C1104" i="2"/>
  <c r="C1103" i="2"/>
  <c r="C1098" i="2"/>
  <c r="C1097" i="2"/>
  <c r="C1095" i="2"/>
  <c r="C1094" i="2"/>
  <c r="C1091" i="2"/>
  <c r="C1087" i="2"/>
  <c r="C1086" i="2"/>
  <c r="C1085" i="2"/>
  <c r="C1079" i="2"/>
  <c r="C1078" i="2"/>
  <c r="C1070" i="2"/>
  <c r="C1069" i="2"/>
  <c r="C1064" i="2"/>
  <c r="C1063" i="2"/>
  <c r="C1060" i="2"/>
  <c r="C1059" i="2"/>
  <c r="C1058" i="2"/>
  <c r="C1057" i="2"/>
  <c r="C1056" i="2"/>
  <c r="C1054" i="2"/>
  <c r="C1053" i="2"/>
  <c r="C1052" i="2"/>
  <c r="C1051" i="2"/>
  <c r="C1050" i="2"/>
  <c r="C1049" i="2"/>
  <c r="C1046" i="2"/>
  <c r="C1044" i="2"/>
  <c r="C1041" i="2"/>
  <c r="C1038" i="2"/>
  <c r="C1035" i="2"/>
  <c r="C1026" i="2"/>
  <c r="C1025" i="2"/>
  <c r="C1023" i="2"/>
  <c r="C1021" i="2"/>
  <c r="C1019" i="2"/>
  <c r="C1017" i="2"/>
  <c r="C1016" i="2"/>
  <c r="C1010" i="2"/>
  <c r="C1008" i="2"/>
  <c r="C1002" i="2"/>
  <c r="C1000" i="2"/>
  <c r="C997" i="2"/>
  <c r="C995" i="2"/>
  <c r="C993" i="2"/>
  <c r="C990" i="2"/>
  <c r="C987" i="2"/>
  <c r="C985" i="2"/>
  <c r="C982" i="2"/>
  <c r="C981" i="2"/>
  <c r="C980" i="2"/>
  <c r="C978" i="2"/>
  <c r="C976" i="2"/>
  <c r="C973" i="2"/>
  <c r="C971" i="2"/>
  <c r="C969" i="2"/>
  <c r="C968" i="2"/>
  <c r="C967" i="2"/>
  <c r="C966" i="2"/>
  <c r="C965" i="2"/>
  <c r="C964" i="2"/>
  <c r="C963" i="2"/>
  <c r="C960" i="2"/>
  <c r="C956" i="2"/>
  <c r="C955" i="2"/>
  <c r="C954" i="2"/>
  <c r="C951" i="2"/>
  <c r="C949" i="2"/>
  <c r="C948" i="2"/>
  <c r="C947" i="2"/>
  <c r="C946" i="2"/>
  <c r="C945" i="2"/>
  <c r="C943" i="2"/>
  <c r="C942" i="2"/>
  <c r="C939" i="2"/>
  <c r="C938" i="2"/>
  <c r="C936" i="2"/>
  <c r="C935" i="2"/>
  <c r="C934" i="2"/>
  <c r="C930" i="2"/>
  <c r="C927" i="2"/>
  <c r="C926" i="2"/>
  <c r="C925" i="2"/>
  <c r="C920" i="2"/>
  <c r="C916" i="2"/>
  <c r="C914" i="2"/>
  <c r="C913" i="2"/>
  <c r="C909" i="2"/>
  <c r="C908" i="2"/>
  <c r="C906" i="2"/>
  <c r="C900" i="2"/>
  <c r="C893" i="2"/>
  <c r="C891" i="2"/>
  <c r="C889" i="2"/>
  <c r="C888" i="2"/>
  <c r="C885" i="2"/>
  <c r="C884" i="2"/>
  <c r="C883" i="2"/>
  <c r="C882" i="2"/>
  <c r="C881" i="2"/>
  <c r="C879" i="2"/>
  <c r="C877" i="2"/>
  <c r="C875" i="2"/>
  <c r="C874" i="2"/>
  <c r="C873" i="2"/>
  <c r="C871" i="2"/>
  <c r="C870" i="2"/>
  <c r="C869" i="2"/>
  <c r="C867" i="2"/>
  <c r="C865" i="2"/>
  <c r="C863" i="2"/>
  <c r="C856" i="2"/>
  <c r="C853" i="2"/>
  <c r="C852" i="2"/>
  <c r="C846" i="2"/>
  <c r="C843" i="2"/>
  <c r="C842" i="2"/>
  <c r="C836" i="2"/>
  <c r="C833" i="2"/>
  <c r="C832" i="2"/>
  <c r="C831" i="2"/>
  <c r="C825" i="2"/>
  <c r="C823" i="2"/>
  <c r="C822" i="2"/>
  <c r="C821" i="2"/>
  <c r="C820" i="2"/>
  <c r="C811" i="2"/>
  <c r="C810" i="2"/>
  <c r="C809" i="2"/>
  <c r="C808" i="2"/>
  <c r="C805" i="2"/>
  <c r="C804" i="2"/>
  <c r="C803" i="2"/>
  <c r="C798" i="2"/>
  <c r="C794" i="2"/>
  <c r="C793" i="2"/>
  <c r="C788" i="2"/>
  <c r="C787" i="2"/>
  <c r="C785" i="2"/>
  <c r="C781" i="2"/>
  <c r="C779" i="2"/>
  <c r="C778" i="2"/>
  <c r="C777" i="2"/>
  <c r="C776" i="2"/>
  <c r="C775" i="2"/>
  <c r="C773" i="2"/>
  <c r="C769" i="2"/>
  <c r="C768" i="2"/>
  <c r="C766" i="2"/>
  <c r="C765" i="2"/>
  <c r="C760" i="2"/>
  <c r="C754" i="2"/>
  <c r="C753" i="2"/>
  <c r="C752" i="2"/>
  <c r="C749" i="2"/>
  <c r="C748" i="2"/>
  <c r="C747" i="2"/>
  <c r="C743" i="2"/>
  <c r="C742" i="2"/>
  <c r="C741" i="2"/>
  <c r="C740" i="2"/>
  <c r="C739" i="2"/>
  <c r="C735" i="2"/>
  <c r="C734" i="2"/>
  <c r="C733" i="2"/>
  <c r="C732" i="2"/>
  <c r="C730" i="2"/>
  <c r="C717" i="2"/>
  <c r="C716" i="2"/>
  <c r="C715" i="2"/>
  <c r="C701" i="2"/>
  <c r="C694" i="2"/>
  <c r="C683" i="2"/>
  <c r="C682" i="2"/>
  <c r="C680" i="2"/>
  <c r="C679" i="2"/>
  <c r="C678" i="2"/>
  <c r="C672" i="2"/>
  <c r="C670" i="2"/>
  <c r="C668" i="2"/>
  <c r="C664" i="2"/>
  <c r="C660" i="2"/>
  <c r="C657" i="2"/>
  <c r="C655" i="2"/>
  <c r="C653" i="2"/>
  <c r="C652" i="2"/>
  <c r="C651" i="2"/>
  <c r="C650" i="2"/>
  <c r="C649" i="2"/>
  <c r="C647" i="2"/>
  <c r="C641" i="2"/>
  <c r="C640" i="2"/>
  <c r="C639" i="2"/>
  <c r="C633" i="2"/>
  <c r="C628" i="2"/>
  <c r="C627" i="2"/>
  <c r="C625" i="2"/>
  <c r="C624" i="2"/>
  <c r="C618" i="2"/>
  <c r="C616" i="2"/>
  <c r="C612" i="2"/>
  <c r="C607" i="2"/>
  <c r="C606" i="2"/>
  <c r="C605" i="2"/>
  <c r="C602" i="2"/>
  <c r="C600" i="2"/>
  <c r="C597" i="2"/>
  <c r="C595" i="2"/>
  <c r="C594" i="2"/>
  <c r="C589" i="2"/>
  <c r="C587" i="2"/>
  <c r="C586" i="2"/>
  <c r="C585" i="2"/>
  <c r="C583" i="2"/>
  <c r="C576" i="2"/>
  <c r="C575" i="2"/>
  <c r="C573" i="2"/>
  <c r="C572" i="2"/>
  <c r="C568" i="2"/>
  <c r="C567" i="2"/>
  <c r="C566" i="2"/>
  <c r="C565" i="2"/>
  <c r="C564" i="2"/>
  <c r="C563" i="2"/>
  <c r="C560" i="2"/>
  <c r="C559" i="2"/>
  <c r="C557" i="2"/>
  <c r="C556" i="2"/>
  <c r="C552" i="2"/>
  <c r="C551" i="2"/>
  <c r="C548" i="2"/>
  <c r="C547" i="2"/>
  <c r="C546" i="2"/>
  <c r="C544" i="2"/>
  <c r="C543" i="2"/>
  <c r="C540" i="2"/>
  <c r="C537" i="2"/>
  <c r="C534" i="2"/>
  <c r="C533" i="2"/>
  <c r="C532" i="2"/>
  <c r="C531" i="2"/>
  <c r="C530" i="2"/>
  <c r="C528" i="2"/>
  <c r="C526" i="2"/>
  <c r="C525" i="2"/>
  <c r="C524" i="2"/>
  <c r="C523" i="2"/>
  <c r="C522" i="2"/>
  <c r="C511" i="2"/>
  <c r="C510" i="2"/>
  <c r="C507" i="2"/>
  <c r="C502" i="2"/>
  <c r="C500" i="2"/>
  <c r="C492" i="2"/>
  <c r="C491" i="2"/>
  <c r="C488" i="2"/>
  <c r="C485" i="2"/>
  <c r="C484" i="2"/>
  <c r="C482" i="2"/>
  <c r="C481" i="2"/>
  <c r="C480" i="2"/>
  <c r="C479" i="2"/>
  <c r="C478" i="2"/>
  <c r="C477" i="2"/>
  <c r="C475" i="2"/>
  <c r="C474" i="2"/>
  <c r="C473" i="2"/>
  <c r="C472" i="2"/>
  <c r="C471" i="2"/>
  <c r="C469" i="2"/>
  <c r="C464" i="2"/>
  <c r="C463" i="2"/>
  <c r="C461" i="2"/>
  <c r="C459" i="2"/>
  <c r="C458" i="2"/>
  <c r="C457" i="2"/>
  <c r="C455" i="2"/>
  <c r="C453" i="2"/>
  <c r="C452" i="2"/>
  <c r="C450" i="2"/>
  <c r="C449" i="2"/>
  <c r="C447" i="2"/>
  <c r="C446" i="2"/>
  <c r="C444" i="2"/>
  <c r="C440" i="2"/>
  <c r="C439" i="2"/>
  <c r="C437" i="2"/>
  <c r="C433" i="2"/>
  <c r="C432" i="2"/>
  <c r="C431" i="2"/>
  <c r="C428" i="2"/>
  <c r="C427" i="2"/>
  <c r="C426" i="2"/>
  <c r="C425" i="2"/>
  <c r="C422" i="2"/>
  <c r="C421" i="2"/>
  <c r="C420" i="2"/>
  <c r="C419" i="2"/>
  <c r="C418" i="2"/>
  <c r="C415" i="2"/>
  <c r="C411" i="2"/>
  <c r="C404" i="2"/>
  <c r="C403" i="2"/>
  <c r="C399" i="2"/>
  <c r="C398" i="2"/>
  <c r="C397" i="2"/>
  <c r="C393" i="2"/>
  <c r="C392" i="2"/>
  <c r="C387" i="2"/>
  <c r="C385" i="2"/>
  <c r="C382" i="2"/>
  <c r="C381" i="2"/>
  <c r="C378" i="2"/>
  <c r="C368" i="2"/>
  <c r="C367" i="2"/>
  <c r="C363" i="2"/>
  <c r="C359" i="2"/>
  <c r="C356" i="2"/>
  <c r="C354" i="2"/>
  <c r="C351" i="2"/>
  <c r="C348" i="2"/>
  <c r="C346" i="2"/>
  <c r="C345" i="2"/>
  <c r="C344" i="2"/>
  <c r="C342" i="2"/>
  <c r="C341" i="2"/>
  <c r="C339" i="2"/>
  <c r="C338" i="2"/>
  <c r="C329" i="2"/>
  <c r="C328" i="2"/>
  <c r="C327" i="2"/>
  <c r="C324" i="2"/>
  <c r="C323" i="2"/>
  <c r="C321" i="2"/>
  <c r="C320" i="2"/>
  <c r="C318" i="2"/>
  <c r="C314" i="2"/>
  <c r="C313" i="2"/>
  <c r="C312" i="2"/>
  <c r="C311" i="2"/>
  <c r="C310" i="2"/>
  <c r="C309" i="2"/>
  <c r="C308" i="2"/>
  <c r="C307" i="2"/>
  <c r="C306" i="2"/>
  <c r="C305" i="2"/>
  <c r="C304" i="2"/>
  <c r="C303" i="2"/>
  <c r="C301" i="2"/>
  <c r="C300" i="2"/>
  <c r="C297" i="2"/>
  <c r="C295" i="2"/>
  <c r="C294" i="2"/>
  <c r="C292" i="2"/>
  <c r="C291" i="2"/>
  <c r="C288" i="2"/>
  <c r="C287" i="2"/>
  <c r="C285" i="2"/>
  <c r="C281" i="2"/>
  <c r="C279" i="2"/>
  <c r="C277" i="2"/>
  <c r="C276" i="2"/>
  <c r="C275" i="2"/>
  <c r="C272" i="2"/>
  <c r="C268" i="2"/>
  <c r="C266" i="2"/>
  <c r="C265" i="2"/>
  <c r="C262" i="2"/>
  <c r="C260" i="2"/>
  <c r="C259" i="2"/>
  <c r="C255" i="2"/>
  <c r="C254" i="2"/>
  <c r="C251" i="2"/>
  <c r="C248" i="2"/>
  <c r="C243" i="2"/>
  <c r="C240" i="2"/>
  <c r="C235" i="2"/>
  <c r="C234" i="2"/>
  <c r="C232" i="2"/>
  <c r="C224" i="2"/>
  <c r="C222" i="2"/>
  <c r="C217" i="2"/>
  <c r="C215" i="2"/>
  <c r="C214" i="2"/>
  <c r="C212" i="2"/>
  <c r="C209" i="2"/>
  <c r="C206" i="2"/>
  <c r="C205" i="2"/>
  <c r="C204" i="2"/>
  <c r="C203" i="2"/>
  <c r="C202" i="2"/>
  <c r="C201" i="2"/>
  <c r="C200" i="2"/>
  <c r="C198" i="2"/>
  <c r="C195" i="2"/>
  <c r="C194" i="2"/>
  <c r="C193" i="2"/>
  <c r="C192" i="2"/>
  <c r="C191" i="2"/>
  <c r="C190" i="2"/>
  <c r="C189" i="2"/>
  <c r="C188" i="2"/>
  <c r="C185" i="2"/>
  <c r="C184" i="2"/>
  <c r="C173" i="2"/>
  <c r="C172" i="2"/>
  <c r="C169" i="2"/>
  <c r="C166" i="2"/>
  <c r="C164" i="2"/>
  <c r="C160" i="2"/>
  <c r="C154" i="2"/>
  <c r="C145" i="2"/>
  <c r="C144" i="2"/>
  <c r="C143" i="2"/>
  <c r="C142" i="2"/>
  <c r="C141" i="2"/>
  <c r="C140" i="2"/>
  <c r="C138" i="2"/>
  <c r="C137" i="2"/>
  <c r="C133" i="2"/>
  <c r="C128" i="2"/>
  <c r="C126" i="2"/>
  <c r="C124" i="2"/>
  <c r="C123" i="2"/>
  <c r="C122" i="2"/>
  <c r="C120" i="2"/>
  <c r="C118" i="2"/>
  <c r="C116" i="2"/>
  <c r="C115" i="2"/>
  <c r="C114" i="2"/>
  <c r="C113" i="2"/>
  <c r="C112" i="2"/>
  <c r="C111" i="2"/>
  <c r="C110" i="2"/>
  <c r="C108" i="2"/>
  <c r="C107" i="2"/>
  <c r="C106" i="2"/>
  <c r="C104" i="2"/>
  <c r="C103" i="2"/>
  <c r="C102" i="2"/>
  <c r="C94" i="2"/>
  <c r="C93" i="2"/>
  <c r="C90" i="2"/>
  <c r="C89" i="2"/>
  <c r="C87" i="2"/>
  <c r="C86" i="2"/>
  <c r="C85" i="2"/>
  <c r="C83" i="2"/>
  <c r="C81" i="2"/>
  <c r="C80" i="2"/>
  <c r="C79" i="2"/>
  <c r="C77" i="2"/>
  <c r="C76" i="2"/>
  <c r="C64" i="2"/>
  <c r="C56" i="2"/>
  <c r="C53" i="2"/>
  <c r="C49" i="2"/>
  <c r="C45" i="2"/>
  <c r="C44" i="2"/>
  <c r="C43" i="2"/>
  <c r="C41" i="2"/>
  <c r="C39" i="2"/>
  <c r="C38" i="2"/>
  <c r="C37" i="2"/>
  <c r="C34" i="2"/>
  <c r="C31" i="2"/>
  <c r="C30" i="2"/>
  <c r="C27" i="2"/>
  <c r="C25" i="2"/>
  <c r="C23" i="2"/>
  <c r="C22" i="2"/>
  <c r="C20" i="2"/>
  <c r="C19" i="2"/>
  <c r="C18" i="2"/>
  <c r="C16" i="2"/>
  <c r="C15" i="2"/>
  <c r="C14" i="2"/>
  <c r="C5" i="2"/>
  <c r="C4" i="2"/>
  <c r="C3" i="2"/>
  <c r="C2" i="2"/>
</calcChain>
</file>

<file path=xl/sharedStrings.xml><?xml version="1.0" encoding="utf-8"?>
<sst xmlns="http://schemas.openxmlformats.org/spreadsheetml/2006/main" count="130899" uniqueCount="53967">
  <si>
    <r>
      <t xml:space="preserve">Table S1: Table of all genes with their transcripts and modelling coefficients across all three models.  </t>
    </r>
    <r>
      <rPr>
        <sz val="12"/>
        <color theme="1"/>
        <rFont val="Times New Roman"/>
        <family val="1"/>
      </rPr>
      <t>Each sheet represents one cell-type, namely human T</t>
    </r>
    <r>
      <rPr>
        <vertAlign val="subscript"/>
        <sz val="12"/>
        <color theme="1"/>
        <rFont val="Times New Roman"/>
        <family val="1"/>
      </rPr>
      <t>H</t>
    </r>
    <r>
      <rPr>
        <sz val="12"/>
        <color theme="1"/>
        <rFont val="Times New Roman"/>
        <family val="1"/>
      </rPr>
      <t>1, T</t>
    </r>
    <r>
      <rPr>
        <vertAlign val="subscript"/>
        <sz val="12"/>
        <color theme="1"/>
        <rFont val="Times New Roman"/>
        <family val="1"/>
      </rPr>
      <t>REG</t>
    </r>
    <r>
      <rPr>
        <sz val="12"/>
        <color theme="1"/>
        <rFont val="Times New Roman"/>
        <family val="1"/>
      </rPr>
      <t xml:space="preserve">, and mice B-cells, were each row represent one transcript to protein association (see section time-delayed models for details). Column A is the gene name of the corresponding protein, column B the splice variant name, column C the value of the linear coefficient, column D is the correlation between measured and predicted protein abundance values, column E is the corresponding time-delay (τ). </t>
    </r>
  </si>
  <si>
    <t>Example</t>
  </si>
  <si>
    <r>
      <t>Predicted protein abundance of A0A0B4J2F0 for T</t>
    </r>
    <r>
      <rPr>
        <vertAlign val="subscript"/>
        <sz val="11"/>
        <color theme="1"/>
        <rFont val="Calibri"/>
        <family val="2"/>
        <scheme val="minor"/>
      </rPr>
      <t>H</t>
    </r>
    <r>
      <rPr>
        <sz val="11"/>
        <color theme="1"/>
        <rFont val="Calibri"/>
        <family val="2"/>
        <scheme val="minor"/>
      </rPr>
      <t>1 is calculated as a</t>
    </r>
  </si>
  <si>
    <t xml:space="preserve">[A0A0B4J2F0] (t+ 24h) =  0,0107193564651 *[ENST00000436697](t) + 0,0130141864817 *[ENST00000565225](t)  + 0 *[ENST00000567948](t)  </t>
  </si>
  <si>
    <t>This model shows a correlation of 0,694550425308 to measurement data.</t>
  </si>
  <si>
    <t>gene_name</t>
  </si>
  <si>
    <t>splice_name</t>
  </si>
  <si>
    <t>coef</t>
  </si>
  <si>
    <t>model_corr</t>
  </si>
  <si>
    <t>time_delay (hours)</t>
  </si>
  <si>
    <t>A0A0B4J2F0</t>
  </si>
  <si>
    <t>ENST00000436697</t>
  </si>
  <si>
    <t>ENST00000565225</t>
  </si>
  <si>
    <t>ENST00000567948</t>
  </si>
  <si>
    <t>A0AVT1</t>
  </si>
  <si>
    <t>ENST00000322244</t>
  </si>
  <si>
    <t>ENST00000420827</t>
  </si>
  <si>
    <t>ENST00000429659</t>
  </si>
  <si>
    <t>ENST00000506571</t>
  </si>
  <si>
    <t>A0JNW5</t>
  </si>
  <si>
    <t>ENST00000279907</t>
  </si>
  <si>
    <t>ENST00000356828</t>
  </si>
  <si>
    <t>ENST00000547428</t>
  </si>
  <si>
    <t>ENST00000547504</t>
  </si>
  <si>
    <t>A1L0T0</t>
  </si>
  <si>
    <t>ENST00000263383</t>
  </si>
  <si>
    <t>ENST00000524779</t>
  </si>
  <si>
    <t>ENST00000525880</t>
  </si>
  <si>
    <t>ENST00000527093</t>
  </si>
  <si>
    <t>ENST00000533086</t>
  </si>
  <si>
    <t>ENST00000533148</t>
  </si>
  <si>
    <t>ENST00000533747</t>
  </si>
  <si>
    <t>ENST00000534378</t>
  </si>
  <si>
    <t>ENST00000534806</t>
  </si>
  <si>
    <t>ENST00000596093</t>
  </si>
  <si>
    <t>ENST00000599324</t>
  </si>
  <si>
    <t>ENST00000600984</t>
  </si>
  <si>
    <t>A2A288</t>
  </si>
  <si>
    <t>ENST00000409806</t>
  </si>
  <si>
    <t>ENST00000458251</t>
  </si>
  <si>
    <t>ENST00000462655</t>
  </si>
  <si>
    <t>A2RRP1</t>
  </si>
  <si>
    <t>ENST00000281513</t>
  </si>
  <si>
    <t>ENST00000423602</t>
  </si>
  <si>
    <t>ENST00000433283</t>
  </si>
  <si>
    <t>ENST00000485694</t>
  </si>
  <si>
    <t>A2RTX5</t>
  </si>
  <si>
    <t>ENST00000335968</t>
  </si>
  <si>
    <t>ENST00000539112</t>
  </si>
  <si>
    <t>ENST00000557811</t>
  </si>
  <si>
    <t>ENST00000558533</t>
  </si>
  <si>
    <t>ENST00000559492</t>
  </si>
  <si>
    <t>ENST00000560150</t>
  </si>
  <si>
    <t>A2RU30</t>
  </si>
  <si>
    <t>ENST00000316577</t>
  </si>
  <si>
    <t>ENST00000449076</t>
  </si>
  <si>
    <t>ENST00000524622</t>
  </si>
  <si>
    <t>ENST00000524668</t>
  </si>
  <si>
    <t>ENST00000524923</t>
  </si>
  <si>
    <t>ENST00000525978</t>
  </si>
  <si>
    <t>ENST00000526532</t>
  </si>
  <si>
    <t>ENST00000528240</t>
  </si>
  <si>
    <t>ENST00000532757</t>
  </si>
  <si>
    <t>ENST00000532804</t>
  </si>
  <si>
    <t>A4D1E9</t>
  </si>
  <si>
    <t>ENST00000222511</t>
  </si>
  <si>
    <t>ENST00000257659</t>
  </si>
  <si>
    <t>ENST00000380058</t>
  </si>
  <si>
    <t>ENST00000417207</t>
  </si>
  <si>
    <t>ENST00000477972</t>
  </si>
  <si>
    <t>A4D1P6</t>
  </si>
  <si>
    <t>ENST00000354475</t>
  </si>
  <si>
    <t>ENST00000423565</t>
  </si>
  <si>
    <t>ENST00000462707</t>
  </si>
  <si>
    <t>ENST00000466182</t>
  </si>
  <si>
    <t>ENST00000474411</t>
  </si>
  <si>
    <t>ENST00000476775</t>
  </si>
  <si>
    <t>ENST00000479698</t>
  </si>
  <si>
    <t>ENST00000485942</t>
  </si>
  <si>
    <t>A4D1U4</t>
  </si>
  <si>
    <t>ENST00000536163</t>
  </si>
  <si>
    <t>A4D2B0</t>
  </si>
  <si>
    <t>ENST00000398075</t>
  </si>
  <si>
    <t>ENST00000421390</t>
  </si>
  <si>
    <t>A5YKK6</t>
  </si>
  <si>
    <t>ENST00000245138</t>
  </si>
  <si>
    <t>ENST00000317147</t>
  </si>
  <si>
    <t>ENST00000441024</t>
  </si>
  <si>
    <t>ENST00000563130</t>
  </si>
  <si>
    <t>ENST00000563283</t>
  </si>
  <si>
    <t>ENST00000564557</t>
  </si>
  <si>
    <t>ENST00000565605</t>
  </si>
  <si>
    <t>ENST00000565697</t>
  </si>
  <si>
    <t>ENST00000566240</t>
  </si>
  <si>
    <t>ENST00000567133</t>
  </si>
  <si>
    <t>ENST00000567188</t>
  </si>
  <si>
    <t>ENST00000567285</t>
  </si>
  <si>
    <t>ENST00000568158</t>
  </si>
  <si>
    <t>ENST00000568917</t>
  </si>
  <si>
    <t>ENST00000569240</t>
  </si>
  <si>
    <t>ENST00000569263</t>
  </si>
  <si>
    <t>ENST00000569882</t>
  </si>
  <si>
    <t>ENST00000569924</t>
  </si>
  <si>
    <t>ENST00000570139</t>
  </si>
  <si>
    <t>A6NC98</t>
  </si>
  <si>
    <t>ENST00000301897</t>
  </si>
  <si>
    <t>nan</t>
  </si>
  <si>
    <t>ENST00000356786</t>
  </si>
  <si>
    <t>ENST00000463837</t>
  </si>
  <si>
    <t>ENST00000472524</t>
  </si>
  <si>
    <t>ENST00000473405</t>
  </si>
  <si>
    <t>ENST00000479965</t>
  </si>
  <si>
    <t>ENST00000492980</t>
  </si>
  <si>
    <t>ENST00000494080</t>
  </si>
  <si>
    <t>A6ND36</t>
  </si>
  <si>
    <t>ENST00000388995</t>
  </si>
  <si>
    <t>ENST00000399096</t>
  </si>
  <si>
    <t>A6NDG6</t>
  </si>
  <si>
    <t>ENST00000333503</t>
  </si>
  <si>
    <t>A6NDU8</t>
  </si>
  <si>
    <t>ENST00000381647</t>
  </si>
  <si>
    <t>ENST00000505931</t>
  </si>
  <si>
    <t>ENST00000509976</t>
  </si>
  <si>
    <t>A6NED2</t>
  </si>
  <si>
    <t>ENST00000394258</t>
  </si>
  <si>
    <t>ENST00000554302</t>
  </si>
  <si>
    <t>ENST00000555737</t>
  </si>
  <si>
    <t>ENST00000557750</t>
  </si>
  <si>
    <t>A6NFI3</t>
  </si>
  <si>
    <t>ENST00000382252</t>
  </si>
  <si>
    <t>ENST00000427912</t>
  </si>
  <si>
    <t>A6NFY7</t>
  </si>
  <si>
    <t>ENST00000378887</t>
  </si>
  <si>
    <t>A6NHR9</t>
  </si>
  <si>
    <t>ENST00000320876</t>
  </si>
  <si>
    <t>ENST00000577300</t>
  </si>
  <si>
    <t>ENST00000581226</t>
  </si>
  <si>
    <t>ENST00000581383</t>
  </si>
  <si>
    <t>ENST00000581631</t>
  </si>
  <si>
    <t>ENST00000581711</t>
  </si>
  <si>
    <t>ENST00000583344</t>
  </si>
  <si>
    <t>ENST00000583441</t>
  </si>
  <si>
    <t>ENST00000583800</t>
  </si>
  <si>
    <t>ENST00000584897</t>
  </si>
  <si>
    <t>ENST00000585229</t>
  </si>
  <si>
    <t>ENST00000609587</t>
  </si>
  <si>
    <t>A6NI79</t>
  </si>
  <si>
    <t>ENST00000355417</t>
  </si>
  <si>
    <t>ENST00000518189</t>
  </si>
  <si>
    <t>ENST00000519448</t>
  </si>
  <si>
    <t>ENST00000519740</t>
  </si>
  <si>
    <t>ENST00000522179</t>
  </si>
  <si>
    <t>ENST00000522964</t>
  </si>
  <si>
    <t>ENST00000524344</t>
  </si>
  <si>
    <t>A6NIH7</t>
  </si>
  <si>
    <t>ENST00000344651</t>
  </si>
  <si>
    <t>A6NJ78</t>
  </si>
  <si>
    <t>ENST00000403099</t>
  </si>
  <si>
    <t>ENST00000406787</t>
  </si>
  <si>
    <t>ENST00000407364</t>
  </si>
  <si>
    <t>ENST00000437814</t>
  </si>
  <si>
    <t>A6NJG2</t>
  </si>
  <si>
    <t>ENST00000343905</t>
  </si>
  <si>
    <t>A6NK58</t>
  </si>
  <si>
    <t>ENST00000310109</t>
  </si>
  <si>
    <t>ENST00000527115</t>
  </si>
  <si>
    <t>A6NKD9</t>
  </si>
  <si>
    <t>ENST00000380243</t>
  </si>
  <si>
    <t>ENST00000555822</t>
  </si>
  <si>
    <t>ENST00000557769</t>
  </si>
  <si>
    <t>A6ZKI3</t>
  </si>
  <si>
    <t>ENST00000257013</t>
  </si>
  <si>
    <t>A7MCY6</t>
  </si>
  <si>
    <t>ENST00000361722</t>
  </si>
  <si>
    <t>A8CG34</t>
  </si>
  <si>
    <t>ENST00000398379</t>
  </si>
  <si>
    <t>ENST00000473168</t>
  </si>
  <si>
    <t>ENST00000473609</t>
  </si>
  <si>
    <t>ENST00000479864</t>
  </si>
  <si>
    <t>A8MSI8</t>
  </si>
  <si>
    <t>ENST00000379102</t>
  </si>
  <si>
    <t>ENST00000379103</t>
  </si>
  <si>
    <t>ENST00000460380</t>
  </si>
  <si>
    <t>ENST00000508816</t>
  </si>
  <si>
    <t>ENST00000582343</t>
  </si>
  <si>
    <t>A8MVS5</t>
  </si>
  <si>
    <t>ENST00000397820</t>
  </si>
  <si>
    <t>ENST00000587494</t>
  </si>
  <si>
    <t>A8MW92</t>
  </si>
  <si>
    <t>ENST00000220847</t>
  </si>
  <si>
    <t>ENST00000315808</t>
  </si>
  <si>
    <t>ENST00000337920</t>
  </si>
  <si>
    <t>ENST00000361997</t>
  </si>
  <si>
    <t>ENST00000395374</t>
  </si>
  <si>
    <t>ENST00000395376</t>
  </si>
  <si>
    <t>ENST00000395379</t>
  </si>
  <si>
    <t>ENST00000395383</t>
  </si>
  <si>
    <t>ENST00000395386</t>
  </si>
  <si>
    <t>ENST00000395390</t>
  </si>
  <si>
    <t>ENST00000469979</t>
  </si>
  <si>
    <t>ENST00000477051</t>
  </si>
  <si>
    <t>ENST00000485595</t>
  </si>
  <si>
    <t>ENST00000486199</t>
  </si>
  <si>
    <t>ENST00000493126</t>
  </si>
  <si>
    <t>ENST00000521038</t>
  </si>
  <si>
    <t>ENST00000522253</t>
  </si>
  <si>
    <t>ENST00000522580</t>
  </si>
  <si>
    <t>A8MXV4</t>
  </si>
  <si>
    <t>ENST00000397061</t>
  </si>
  <si>
    <t>A9UHW6</t>
  </si>
  <si>
    <t>ENST00000245551</t>
  </si>
  <si>
    <t>ENST00000325102</t>
  </si>
  <si>
    <t>ENST00000577240</t>
  </si>
  <si>
    <t>ENST00000577542</t>
  </si>
  <si>
    <t>ENST00000579119</t>
  </si>
  <si>
    <t>ENST00000579194</t>
  </si>
  <si>
    <t>ENST00000579297</t>
  </si>
  <si>
    <t>ENST00000579612</t>
  </si>
  <si>
    <t>ENST00000580099</t>
  </si>
  <si>
    <t>ENST00000580571</t>
  </si>
  <si>
    <t>ENST00000580717</t>
  </si>
  <si>
    <t>ENST00000581777</t>
  </si>
  <si>
    <t>B0I1T2</t>
  </si>
  <si>
    <t>ENST00000258787</t>
  </si>
  <si>
    <t>ENST00000463516</t>
  </si>
  <si>
    <t>ENST00000464434</t>
  </si>
  <si>
    <t>ENST00000480503</t>
  </si>
  <si>
    <t>ENST00000483585</t>
  </si>
  <si>
    <t>ENST00000488554</t>
  </si>
  <si>
    <t>ENST00000495831</t>
  </si>
  <si>
    <t>B9A064</t>
  </si>
  <si>
    <t>ENST00000532223</t>
  </si>
  <si>
    <t>C9JLW8</t>
  </si>
  <si>
    <t>ENST00000455127</t>
  </si>
  <si>
    <t>ENST00000457257</t>
  </si>
  <si>
    <t>ENST00000538396</t>
  </si>
  <si>
    <t>ENST00000570507</t>
  </si>
  <si>
    <t>ENST00000572645</t>
  </si>
  <si>
    <t>ENST00000573478</t>
  </si>
  <si>
    <t>ENST00000574190</t>
  </si>
  <si>
    <t>ENST00000575061</t>
  </si>
  <si>
    <t>ENST00000575090</t>
  </si>
  <si>
    <t>ENST00000576431</t>
  </si>
  <si>
    <t>ENST00000576679</t>
  </si>
  <si>
    <t>ENST00000576730</t>
  </si>
  <si>
    <t>O00116</t>
  </si>
  <si>
    <t>ENST00000264167</t>
  </si>
  <si>
    <t>ENST00000460342</t>
  </si>
  <si>
    <t>O00139</t>
  </si>
  <si>
    <t>ENST00000381103</t>
  </si>
  <si>
    <t>ENST00000401507</t>
  </si>
  <si>
    <t>ENST00000407818</t>
  </si>
  <si>
    <t>ENST00000504883</t>
  </si>
  <si>
    <t>ENST00000509624</t>
  </si>
  <si>
    <t>ENST00000514082</t>
  </si>
  <si>
    <t>O00148</t>
  </si>
  <si>
    <t>ENST00000242776</t>
  </si>
  <si>
    <t>ENST00000324340</t>
  </si>
  <si>
    <t>ENST00000454233</t>
  </si>
  <si>
    <t>ENST00000586558</t>
  </si>
  <si>
    <t>ENST00000587730</t>
  </si>
  <si>
    <t>ENST00000588542</t>
  </si>
  <si>
    <t>ENST00000588692</t>
  </si>
  <si>
    <t>ENST00000589318</t>
  </si>
  <si>
    <t>ENST00000590260</t>
  </si>
  <si>
    <t>ENST00000590315</t>
  </si>
  <si>
    <t>ENST00000590556</t>
  </si>
  <si>
    <t>ENST00000590696</t>
  </si>
  <si>
    <t>ENST00000592391</t>
  </si>
  <si>
    <t>ENST00000592632</t>
  </si>
  <si>
    <t>ENST00000593026</t>
  </si>
  <si>
    <t>O00151</t>
  </si>
  <si>
    <t>ENST00000329399</t>
  </si>
  <si>
    <t>ENST00000490391</t>
  </si>
  <si>
    <t>ENST00000492511</t>
  </si>
  <si>
    <t>O00160</t>
  </si>
  <si>
    <t>ENST00000338257</t>
  </si>
  <si>
    <t>ENST00000594774</t>
  </si>
  <si>
    <t>ENST00000595046</t>
  </si>
  <si>
    <t>ENST00000595191</t>
  </si>
  <si>
    <t>ENST00000595325</t>
  </si>
  <si>
    <t>ENST00000596245</t>
  </si>
  <si>
    <t>ENST00000596645</t>
  </si>
  <si>
    <t>ENST00000596937</t>
  </si>
  <si>
    <t>ENST00000597222</t>
  </si>
  <si>
    <t>ENST00000598005</t>
  </si>
  <si>
    <t>ENST00000598529</t>
  </si>
  <si>
    <t>ENST00000598797</t>
  </si>
  <si>
    <t>ENST00000599123</t>
  </si>
  <si>
    <t>ENST00000600825</t>
  </si>
  <si>
    <t>ENST00000601502</t>
  </si>
  <si>
    <t>ENST00000602136</t>
  </si>
  <si>
    <t>O00161</t>
  </si>
  <si>
    <t>ENST00000249647</t>
  </si>
  <si>
    <t>ENST00000349777</t>
  </si>
  <si>
    <t>ENST00000397138</t>
  </si>
  <si>
    <t>ENST00000563333</t>
  </si>
  <si>
    <t>ENST00000563451</t>
  </si>
  <si>
    <t>ENST00000566035</t>
  </si>
  <si>
    <t>ENST00000566141</t>
  </si>
  <si>
    <t>ENST00000567094</t>
  </si>
  <si>
    <t>ENST00000568331</t>
  </si>
  <si>
    <t>ENST00000568514</t>
  </si>
  <si>
    <t>O00170</t>
  </si>
  <si>
    <t>ENST00000279146</t>
  </si>
  <si>
    <t>ENST00000525341</t>
  </si>
  <si>
    <t>ENST00000528641</t>
  </si>
  <si>
    <t>ENST00000529797</t>
  </si>
  <si>
    <t>O00178</t>
  </si>
  <si>
    <t>ENST00000216044</t>
  </si>
  <si>
    <t>ENST00000418601</t>
  </si>
  <si>
    <t>ENST00000460605</t>
  </si>
  <si>
    <t>ENST00000461428</t>
  </si>
  <si>
    <t>ENST00000462332</t>
  </si>
  <si>
    <t>ENST00000470836</t>
  </si>
  <si>
    <t>ENST00000475959</t>
  </si>
  <si>
    <t>ENST00000484971</t>
  </si>
  <si>
    <t>ENST00000487538</t>
  </si>
  <si>
    <t>O00186</t>
  </si>
  <si>
    <t>ENST00000370008</t>
  </si>
  <si>
    <t>ENST00000469338</t>
  </si>
  <si>
    <t>ENST00000472099</t>
  </si>
  <si>
    <t>ENST00000483586</t>
  </si>
  <si>
    <t>ENST00000485167</t>
  </si>
  <si>
    <t>ENST00000495245</t>
  </si>
  <si>
    <t>O00189</t>
  </si>
  <si>
    <t>ENST00000359593</t>
  </si>
  <si>
    <t>ENST00000416938</t>
  </si>
  <si>
    <t>ENST00000422582</t>
  </si>
  <si>
    <t>ENST00000429084</t>
  </si>
  <si>
    <t>ENST00000463195</t>
  </si>
  <si>
    <t>ENST00000479916</t>
  </si>
  <si>
    <t>ENST00000489387</t>
  </si>
  <si>
    <t>O00193</t>
  </si>
  <si>
    <t>ENST00000228136</t>
  </si>
  <si>
    <t>ENST00000524439</t>
  </si>
  <si>
    <t>ENST00000524461</t>
  </si>
  <si>
    <t>ENST00000525106</t>
  </si>
  <si>
    <t>ENST00000525256</t>
  </si>
  <si>
    <t>ENST00000525684</t>
  </si>
  <si>
    <t>ENST00000528634</t>
  </si>
  <si>
    <t>ENST00000531658</t>
  </si>
  <si>
    <t>O00194</t>
  </si>
  <si>
    <t>ENST00000262094</t>
  </si>
  <si>
    <t>O00203</t>
  </si>
  <si>
    <t>ENST00000255194</t>
  </si>
  <si>
    <t>ENST00000517940</t>
  </si>
  <si>
    <t>ENST00000519295</t>
  </si>
  <si>
    <t>ENST00000519888</t>
  </si>
  <si>
    <t>ENST00000520122</t>
  </si>
  <si>
    <t>ENST00000522901</t>
  </si>
  <si>
    <t>O00217</t>
  </si>
  <si>
    <t>ENST00000313468</t>
  </si>
  <si>
    <t>ENST00000432321</t>
  </si>
  <si>
    <t>ENST00000453471</t>
  </si>
  <si>
    <t>ENST00000524810</t>
  </si>
  <si>
    <t>ENST00000525628</t>
  </si>
  <si>
    <t>ENST00000526446</t>
  </si>
  <si>
    <t>ENST00000526542</t>
  </si>
  <si>
    <t>ENST00000528492</t>
  </si>
  <si>
    <t>ENST00000529645</t>
  </si>
  <si>
    <t>ENST00000531228</t>
  </si>
  <si>
    <t>ENST00000531282</t>
  </si>
  <si>
    <t>ENST00000531796</t>
  </si>
  <si>
    <t>ENST00000532399</t>
  </si>
  <si>
    <t>O00221</t>
  </si>
  <si>
    <t>ENST00000275015</t>
  </si>
  <si>
    <t>ENST00000443607</t>
  </si>
  <si>
    <t>ENST00000477930</t>
  </si>
  <si>
    <t>O00231</t>
  </si>
  <si>
    <t>ENST00000261712</t>
  </si>
  <si>
    <t>ENST00000457654</t>
  </si>
  <si>
    <t>ENST00000469475</t>
  </si>
  <si>
    <t>ENST00000481992</t>
  </si>
  <si>
    <t>ENST00000493026</t>
  </si>
  <si>
    <t>ENST00000578397</t>
  </si>
  <si>
    <t>ENST00000580904</t>
  </si>
  <si>
    <t>ENST00000585265</t>
  </si>
  <si>
    <t>O00232</t>
  </si>
  <si>
    <t>ENST00000356126</t>
  </si>
  <si>
    <t>ENST00000577724</t>
  </si>
  <si>
    <t>ENST00000578015</t>
  </si>
  <si>
    <t>ENST00000581618</t>
  </si>
  <si>
    <t>ENST00000584008</t>
  </si>
  <si>
    <t>ENST00000584289</t>
  </si>
  <si>
    <t>O00233</t>
  </si>
  <si>
    <t>ENST00000261817</t>
  </si>
  <si>
    <t>ENST00000361485</t>
  </si>
  <si>
    <t>ENST00000535293</t>
  </si>
  <si>
    <t>ENST00000538613</t>
  </si>
  <si>
    <t>ENST00000540962</t>
  </si>
  <si>
    <t>ENST00000541212</t>
  </si>
  <si>
    <t>ENST00000543699</t>
  </si>
  <si>
    <t>ENST00000544254</t>
  </si>
  <si>
    <t>ENST00000544724</t>
  </si>
  <si>
    <t>O00241</t>
  </si>
  <si>
    <t>ENST00000279477</t>
  </si>
  <si>
    <t>ENST00000381605</t>
  </si>
  <si>
    <t>ENST00000565076</t>
  </si>
  <si>
    <t>O00244</t>
  </si>
  <si>
    <t>ENST00000313115</t>
  </si>
  <si>
    <t>ENST00000520382</t>
  </si>
  <si>
    <t>ENST00000521264</t>
  </si>
  <si>
    <t>ENST00000522145</t>
  </si>
  <si>
    <t>ENST00000522314</t>
  </si>
  <si>
    <t>ENST00000522710</t>
  </si>
  <si>
    <t>O00257</t>
  </si>
  <si>
    <t>ENST00000269397</t>
  </si>
  <si>
    <t>ENST00000494546</t>
  </si>
  <si>
    <t>ENST00000495122</t>
  </si>
  <si>
    <t>O00264</t>
  </si>
  <si>
    <t>ENST00000217971</t>
  </si>
  <si>
    <t>ENST00000535419</t>
  </si>
  <si>
    <t>O00268</t>
  </si>
  <si>
    <t>ENST00000252996</t>
  </si>
  <si>
    <t>ENST00000436129</t>
  </si>
  <si>
    <t>ENST00000486599</t>
  </si>
  <si>
    <t>ENST00000608458</t>
  </si>
  <si>
    <t>ENST00000608887</t>
  </si>
  <si>
    <t>ENST00000609041</t>
  </si>
  <si>
    <t>O00273</t>
  </si>
  <si>
    <t>ENST00000377036</t>
  </si>
  <si>
    <t>ENST00000377038</t>
  </si>
  <si>
    <t>ENST00000476658</t>
  </si>
  <si>
    <t>O00287</t>
  </si>
  <si>
    <t>ENST00000255476</t>
  </si>
  <si>
    <t>ENST00000472888</t>
  </si>
  <si>
    <t>O00299</t>
  </si>
  <si>
    <t>ENST00000375784</t>
  </si>
  <si>
    <t>O00303</t>
  </si>
  <si>
    <t>ENST00000309828</t>
  </si>
  <si>
    <t>ENST00000528653</t>
  </si>
  <si>
    <t>ENST00000528763</t>
  </si>
  <si>
    <t>ENST00000530219</t>
  </si>
  <si>
    <t>ENST00000531329</t>
  </si>
  <si>
    <t>ENST00000531572</t>
  </si>
  <si>
    <t>ENST00000532882</t>
  </si>
  <si>
    <t>ENST00000533626</t>
  </si>
  <si>
    <t>O00308</t>
  </si>
  <si>
    <t>ENST00000356003</t>
  </si>
  <si>
    <t>ENST00000359154</t>
  </si>
  <si>
    <t>ENST00000561780</t>
  </si>
  <si>
    <t>ENST00000563659</t>
  </si>
  <si>
    <t>ENST00000566463</t>
  </si>
  <si>
    <t>ENST00000567161</t>
  </si>
  <si>
    <t>ENST00000567303</t>
  </si>
  <si>
    <t>ENST00000567986</t>
  </si>
  <si>
    <t>ENST00000568185</t>
  </si>
  <si>
    <t>ENST00000568684</t>
  </si>
  <si>
    <t>ENST00000568818</t>
  </si>
  <si>
    <t>ENST00000569174</t>
  </si>
  <si>
    <t>ENST00000569658</t>
  </si>
  <si>
    <t>ENST00000570104</t>
  </si>
  <si>
    <t>O00329</t>
  </si>
  <si>
    <t>ENST00000377346</t>
  </si>
  <si>
    <t>ENST00000479223</t>
  </si>
  <si>
    <t>ENST00000481137</t>
  </si>
  <si>
    <t>ENST00000484851</t>
  </si>
  <si>
    <t>ENST00000536656</t>
  </si>
  <si>
    <t>ENST00000543390</t>
  </si>
  <si>
    <t>O00398</t>
  </si>
  <si>
    <t>ENST00000171757</t>
  </si>
  <si>
    <t>ENST00000461541</t>
  </si>
  <si>
    <t>ENST00000475374</t>
  </si>
  <si>
    <t>ENST00000544091</t>
  </si>
  <si>
    <t>O00399</t>
  </si>
  <si>
    <t>ENST00000221114</t>
  </si>
  <si>
    <t>ENST00000519830</t>
  </si>
  <si>
    <t>ENST00000520829</t>
  </si>
  <si>
    <t>ENST00000522141</t>
  </si>
  <si>
    <t>ENST00000522540</t>
  </si>
  <si>
    <t>O00400</t>
  </si>
  <si>
    <t>ENST00000359479</t>
  </si>
  <si>
    <t>ENST00000392845</t>
  </si>
  <si>
    <t>ENST00000460729</t>
  </si>
  <si>
    <t>ENST00000468581</t>
  </si>
  <si>
    <t>ENST00000496772</t>
  </si>
  <si>
    <t>O00410</t>
  </si>
  <si>
    <t>ENST00000468620</t>
  </si>
  <si>
    <t>ENST00000470493</t>
  </si>
  <si>
    <t>ENST00000479736</t>
  </si>
  <si>
    <t>ENST00000485433</t>
  </si>
  <si>
    <t>ENST00000489058</t>
  </si>
  <si>
    <t>ENST00000490680</t>
  </si>
  <si>
    <t>ENST00000491555</t>
  </si>
  <si>
    <t>ENST00000493122</t>
  </si>
  <si>
    <t>ENST00000497270</t>
  </si>
  <si>
    <t>O00411</t>
  </si>
  <si>
    <t>ENST00000587057</t>
  </si>
  <si>
    <t>ENST00000588649</t>
  </si>
  <si>
    <t>ENST00000590336</t>
  </si>
  <si>
    <t>ENST00000590709</t>
  </si>
  <si>
    <t>ENST00000592633</t>
  </si>
  <si>
    <t>ENST00000592863</t>
  </si>
  <si>
    <t>O00418</t>
  </si>
  <si>
    <t>ENST00000263026</t>
  </si>
  <si>
    <t>ENST00000563555</t>
  </si>
  <si>
    <t>ENST00000568269</t>
  </si>
  <si>
    <t>O00422</t>
  </si>
  <si>
    <t>ENST00000382533</t>
  </si>
  <si>
    <t>ENST00000450573</t>
  </si>
  <si>
    <t>ENST00000467636</t>
  </si>
  <si>
    <t>ENST00000471009</t>
  </si>
  <si>
    <t>ENST00000485646</t>
  </si>
  <si>
    <t>ENST00000492245</t>
  </si>
  <si>
    <t>ENST00000607003</t>
  </si>
  <si>
    <t>O00442</t>
  </si>
  <si>
    <t>ENST00000260563</t>
  </si>
  <si>
    <t>ENST00000370126</t>
  </si>
  <si>
    <t>ENST00000370128</t>
  </si>
  <si>
    <t>ENST00000498617</t>
  </si>
  <si>
    <t>O00443</t>
  </si>
  <si>
    <t>ENST00000265970</t>
  </si>
  <si>
    <t>ENST00000531428</t>
  </si>
  <si>
    <t>ENST00000532035</t>
  </si>
  <si>
    <t>ENST00000533645</t>
  </si>
  <si>
    <t>O00458</t>
  </si>
  <si>
    <t>ENST00000403825</t>
  </si>
  <si>
    <t>ENST00000421296</t>
  </si>
  <si>
    <t>ENST00000429071</t>
  </si>
  <si>
    <t>ENST00000440625</t>
  </si>
  <si>
    <t>ENST00000443101</t>
  </si>
  <si>
    <t>ENST00000466459</t>
  </si>
  <si>
    <t>ENST00000470441</t>
  </si>
  <si>
    <t>ENST00000476927</t>
  </si>
  <si>
    <t>ENST00000489994</t>
  </si>
  <si>
    <t>O00459</t>
  </si>
  <si>
    <t>ENST00000222254</t>
  </si>
  <si>
    <t>ENST00000426902</t>
  </si>
  <si>
    <t>ENST00000459743</t>
  </si>
  <si>
    <t>ENST00000474310</t>
  </si>
  <si>
    <t>ENST00000600533</t>
  </si>
  <si>
    <t>O00462</t>
  </si>
  <si>
    <t>ENST00000226578</t>
  </si>
  <si>
    <t>ENST00000506478</t>
  </si>
  <si>
    <t>ENST00000507358</t>
  </si>
  <si>
    <t>ENST00000508141</t>
  </si>
  <si>
    <t>ENST00000514430</t>
  </si>
  <si>
    <t>O00463</t>
  </si>
  <si>
    <t>ENST00000261464</t>
  </si>
  <si>
    <t>ENST00000336184</t>
  </si>
  <si>
    <t>ENST00000462410</t>
  </si>
  <si>
    <t>ENST00000473385</t>
  </si>
  <si>
    <t>ENST00000488428</t>
  </si>
  <si>
    <t>ENST00000494355</t>
  </si>
  <si>
    <t>O00471</t>
  </si>
  <si>
    <t>ENST00000340918</t>
  </si>
  <si>
    <t>ENST00000413566</t>
  </si>
  <si>
    <t>ENST00000554011</t>
  </si>
  <si>
    <t>ENST00000554598</t>
  </si>
  <si>
    <t>ENST00000554934</t>
  </si>
  <si>
    <t>ENST00000555749</t>
  </si>
  <si>
    <t>ENST00000556629</t>
  </si>
  <si>
    <t>O00478</t>
  </si>
  <si>
    <t>ENST00000244519</t>
  </si>
  <si>
    <t>ENST00000361232</t>
  </si>
  <si>
    <t>ENST00000467524</t>
  </si>
  <si>
    <t>ENST00000471353</t>
  </si>
  <si>
    <t>ENST00000474790</t>
  </si>
  <si>
    <t>ENST00000477388</t>
  </si>
  <si>
    <t>ENST00000480110</t>
  </si>
  <si>
    <t>ENST00000483179</t>
  </si>
  <si>
    <t>ENST00000487627</t>
  </si>
  <si>
    <t>ENST00000494393</t>
  </si>
  <si>
    <t>ENST00000496719</t>
  </si>
  <si>
    <t>ENST00000497681</t>
  </si>
  <si>
    <t>O00479</t>
  </si>
  <si>
    <t>ENST00000377575</t>
  </si>
  <si>
    <t>ENST00000477243</t>
  </si>
  <si>
    <t>O00481</t>
  </si>
  <si>
    <t>ENST00000082468</t>
  </si>
  <si>
    <t>ENST00000289361</t>
  </si>
  <si>
    <t>ENST00000414912</t>
  </si>
  <si>
    <t>ENST00000425234</t>
  </si>
  <si>
    <t>ENST00000465690</t>
  </si>
  <si>
    <t>ENST00000476549</t>
  </si>
  <si>
    <t>ENST00000502361</t>
  </si>
  <si>
    <t>ENST00000506698</t>
  </si>
  <si>
    <t>ENST00000513047</t>
  </si>
  <si>
    <t>O00483</t>
  </si>
  <si>
    <t>ENST00000339600</t>
  </si>
  <si>
    <t>ENST00000463308</t>
  </si>
  <si>
    <t>ENST00000470761</t>
  </si>
  <si>
    <t>ENST00000482299</t>
  </si>
  <si>
    <t>ENST00000486007</t>
  </si>
  <si>
    <t>ENST00000492822</t>
  </si>
  <si>
    <t>O00487</t>
  </si>
  <si>
    <t>ENST00000409682</t>
  </si>
  <si>
    <t>ENST00000437630</t>
  </si>
  <si>
    <t>ENST00000477232</t>
  </si>
  <si>
    <t>ENST00000478123</t>
  </si>
  <si>
    <t>ENST00000492908</t>
  </si>
  <si>
    <t>O00488</t>
  </si>
  <si>
    <t>ENST00000270812</t>
  </si>
  <si>
    <t>ENST00000374266</t>
  </si>
  <si>
    <t>O00505</t>
  </si>
  <si>
    <t>ENST00000261667</t>
  </si>
  <si>
    <t>O00506</t>
  </si>
  <si>
    <t>ENST00000316586</t>
  </si>
  <si>
    <t>ENST00000401869</t>
  </si>
  <si>
    <t>ENST00000403346</t>
  </si>
  <si>
    <t>ENST00000420551</t>
  </si>
  <si>
    <t>ENST00000423004</t>
  </si>
  <si>
    <t>ENST00000426941</t>
  </si>
  <si>
    <t>ENST00000439101</t>
  </si>
  <si>
    <t>ENST00000440109</t>
  </si>
  <si>
    <t>ENST00000442307</t>
  </si>
  <si>
    <t>ENST00000450497</t>
  </si>
  <si>
    <t>ENST00000462953</t>
  </si>
  <si>
    <t>ENST00000465009</t>
  </si>
  <si>
    <t>ENST00000478403</t>
  </si>
  <si>
    <t>ENST00000479442</t>
  </si>
  <si>
    <t>ENST00000483603</t>
  </si>
  <si>
    <t>ENST00000487962</t>
  </si>
  <si>
    <t>ENST00000492127</t>
  </si>
  <si>
    <t>ENST00000495143</t>
  </si>
  <si>
    <t>ENST00000495372</t>
  </si>
  <si>
    <t>ENST00000496159</t>
  </si>
  <si>
    <t>ENST00000543554</t>
  </si>
  <si>
    <t>O00512</t>
  </si>
  <si>
    <t>ENST00000234739</t>
  </si>
  <si>
    <t>ENST00000473292</t>
  </si>
  <si>
    <t>ENST00000497938</t>
  </si>
  <si>
    <t>O00519</t>
  </si>
  <si>
    <t>ENST00000243167</t>
  </si>
  <si>
    <t>ENST00000484697</t>
  </si>
  <si>
    <t>ENST00000489366</t>
  </si>
  <si>
    <t>ENST00000493636</t>
  </si>
  <si>
    <t>ENST00000493735</t>
  </si>
  <si>
    <t>O00522</t>
  </si>
  <si>
    <t>ENST00000340022</t>
  </si>
  <si>
    <t>ENST00000394503</t>
  </si>
  <si>
    <t>ENST00000394507</t>
  </si>
  <si>
    <t>ENST00000430102</t>
  </si>
  <si>
    <t>ENST00000433016</t>
  </si>
  <si>
    <t>ENST00000444960</t>
  </si>
  <si>
    <t>ENST00000445516</t>
  </si>
  <si>
    <t>ENST00000452773</t>
  </si>
  <si>
    <t>ENST00000470309</t>
  </si>
  <si>
    <t>ENST00000475770</t>
  </si>
  <si>
    <t>ENST00000486261</t>
  </si>
  <si>
    <t>ENST00000487168</t>
  </si>
  <si>
    <t>ENST00000489087</t>
  </si>
  <si>
    <t>O00534</t>
  </si>
  <si>
    <t>ENST00000361352</t>
  </si>
  <si>
    <t>ENST00000392744</t>
  </si>
  <si>
    <t>ENST00000392748</t>
  </si>
  <si>
    <t>ENST00000456829</t>
  </si>
  <si>
    <t>ENST00000533623</t>
  </si>
  <si>
    <t>O00541</t>
  </si>
  <si>
    <t>ENST00000335214</t>
  </si>
  <si>
    <t>ENST00000354694</t>
  </si>
  <si>
    <t>ENST00000402284</t>
  </si>
  <si>
    <t>ENST00000441668</t>
  </si>
  <si>
    <t>ENST00000466614</t>
  </si>
  <si>
    <t>ENST00000477762</t>
  </si>
  <si>
    <t>ENST00000488719</t>
  </si>
  <si>
    <t>O00566</t>
  </si>
  <si>
    <t>ENST00000244230</t>
  </si>
  <si>
    <t>ENST00000468427</t>
  </si>
  <si>
    <t>ENST00000476969</t>
  </si>
  <si>
    <t>ENST00000493360</t>
  </si>
  <si>
    <t>ENST00000498451</t>
  </si>
  <si>
    <t>O00567</t>
  </si>
  <si>
    <t>ENST00000329276</t>
  </si>
  <si>
    <t>ENST00000415272</t>
  </si>
  <si>
    <t>ENST00000445139</t>
  </si>
  <si>
    <t>ENST00000462630</t>
  </si>
  <si>
    <t>ENST00000466447</t>
  </si>
  <si>
    <t>ENST00000467196</t>
  </si>
  <si>
    <t>ENST00000467857</t>
  </si>
  <si>
    <t>ENST00000469588</t>
  </si>
  <si>
    <t>ENST00000470143</t>
  </si>
  <si>
    <t>ENST00000471023</t>
  </si>
  <si>
    <t>ENST00000480447</t>
  </si>
  <si>
    <t>ENST00000480992</t>
  </si>
  <si>
    <t>ENST00000484998</t>
  </si>
  <si>
    <t>ENST00000490753</t>
  </si>
  <si>
    <t>ENST00000492135</t>
  </si>
  <si>
    <t>ENST00000494697</t>
  </si>
  <si>
    <t>ENST00000496775</t>
  </si>
  <si>
    <t>O00571</t>
  </si>
  <si>
    <t>ENST00000399959</t>
  </si>
  <si>
    <t>ENST00000441189</t>
  </si>
  <si>
    <t>ENST00000457138</t>
  </si>
  <si>
    <t>ENST00000480592</t>
  </si>
  <si>
    <t>ENST00000542215</t>
  </si>
  <si>
    <t>O00584</t>
  </si>
  <si>
    <t>ENST00000028008</t>
  </si>
  <si>
    <t>ENST00000358165</t>
  </si>
  <si>
    <t>ENST00000366855</t>
  </si>
  <si>
    <t>ENST00000421787</t>
  </si>
  <si>
    <t>ENST00000467705</t>
  </si>
  <si>
    <t>ENST00000499370</t>
  </si>
  <si>
    <t>ENST00000508775</t>
  </si>
  <si>
    <t>ENST00000509073</t>
  </si>
  <si>
    <t>ENST00000510083</t>
  </si>
  <si>
    <t>O00602</t>
  </si>
  <si>
    <t>ENST00000371806</t>
  </si>
  <si>
    <t>O00625</t>
  </si>
  <si>
    <t>ENST00000380421</t>
  </si>
  <si>
    <t>O00629</t>
  </si>
  <si>
    <t>ENST00000334256</t>
  </si>
  <si>
    <t>ENST00000469804</t>
  </si>
  <si>
    <t>ENST00000483437</t>
  </si>
  <si>
    <t>O00635</t>
  </si>
  <si>
    <t>ENST00000357085</t>
  </si>
  <si>
    <t>O00743</t>
  </si>
  <si>
    <t>ENST00000373547</t>
  </si>
  <si>
    <t>ENST00000415905</t>
  </si>
  <si>
    <t>ENST00000451402</t>
  </si>
  <si>
    <t>ENST00000456642</t>
  </si>
  <si>
    <t>O00750</t>
  </si>
  <si>
    <t>ENST00000367187</t>
  </si>
  <si>
    <t>ENST00000415899</t>
  </si>
  <si>
    <t>ENST00000462752</t>
  </si>
  <si>
    <t>ENST00000479079</t>
  </si>
  <si>
    <t>ENST00000496872</t>
  </si>
  <si>
    <t>O00754</t>
  </si>
  <si>
    <t>ENST00000221363</t>
  </si>
  <si>
    <t>ENST00000456935</t>
  </si>
  <si>
    <t>ENST00000462144</t>
  </si>
  <si>
    <t>ENST00000465830</t>
  </si>
  <si>
    <t>ENST00000466794</t>
  </si>
  <si>
    <t>ENST00000469423</t>
  </si>
  <si>
    <t>ENST00000493218</t>
  </si>
  <si>
    <t>ENST00000495617</t>
  </si>
  <si>
    <t>ENST00000596591</t>
  </si>
  <si>
    <t>ENST00000598876</t>
  </si>
  <si>
    <t>ENST00000600281</t>
  </si>
  <si>
    <t>O00764</t>
  </si>
  <si>
    <t>ENST00000291565</t>
  </si>
  <si>
    <t>ENST00000327574</t>
  </si>
  <si>
    <t>ENST00000398078</t>
  </si>
  <si>
    <t>ENST00000398081</t>
  </si>
  <si>
    <t>ENST00000398085</t>
  </si>
  <si>
    <t>ENST00000438837</t>
  </si>
  <si>
    <t>ENST00000461123</t>
  </si>
  <si>
    <t>ENST00000467908</t>
  </si>
  <si>
    <t>ENST00000468090</t>
  </si>
  <si>
    <t>ENST00000468392</t>
  </si>
  <si>
    <t>ENST00000470029</t>
  </si>
  <si>
    <t>ENST00000472777</t>
  </si>
  <si>
    <t>ENST00000476084</t>
  </si>
  <si>
    <t>ENST00000481512</t>
  </si>
  <si>
    <t>ENST00000498040</t>
  </si>
  <si>
    <t>O14497</t>
  </si>
  <si>
    <t>ENST00000324856</t>
  </si>
  <si>
    <t>ENST00000374152</t>
  </si>
  <si>
    <t>ENST00000430291</t>
  </si>
  <si>
    <t>ENST00000430799</t>
  </si>
  <si>
    <t>ENST00000457599</t>
  </si>
  <si>
    <t>ENST00000532781</t>
  </si>
  <si>
    <t>O14523</t>
  </si>
  <si>
    <t>ENST00000336702</t>
  </si>
  <si>
    <t>ENST00000525598</t>
  </si>
  <si>
    <t>ENST00000529874</t>
  </si>
  <si>
    <t>ENST00000533458</t>
  </si>
  <si>
    <t>O14524</t>
  </si>
  <si>
    <t>ENST00000300128</t>
  </si>
  <si>
    <t>ENST00000379391</t>
  </si>
  <si>
    <t>ENST00000554340</t>
  </si>
  <si>
    <t>O14531</t>
  </si>
  <si>
    <t>ENST00000338492</t>
  </si>
  <si>
    <t>ENST00000471544</t>
  </si>
  <si>
    <t>O14545</t>
  </si>
  <si>
    <t>ENST00000257604</t>
  </si>
  <si>
    <t>ENST00000412615</t>
  </si>
  <si>
    <t>ENST00000548277</t>
  </si>
  <si>
    <t>ENST00000549358</t>
  </si>
  <si>
    <t>ENST00000550051</t>
  </si>
  <si>
    <t>O14548</t>
  </si>
  <si>
    <t>ENST00000234301</t>
  </si>
  <si>
    <t>ENST00000378669</t>
  </si>
  <si>
    <t>ENST00000463055</t>
  </si>
  <si>
    <t>ENST00000464443</t>
  </si>
  <si>
    <t>ENST00000482463</t>
  </si>
  <si>
    <t>O14561</t>
  </si>
  <si>
    <t>ENST00000007516</t>
  </si>
  <si>
    <t>ENST00000484769</t>
  </si>
  <si>
    <t>ENST00000567761</t>
  </si>
  <si>
    <t>ENST00000570319</t>
  </si>
  <si>
    <t>O14562</t>
  </si>
  <si>
    <t>ENST00000395878</t>
  </si>
  <si>
    <t>ENST00000564106</t>
  </si>
  <si>
    <t>ENST00000565634</t>
  </si>
  <si>
    <t>ENST00000566136</t>
  </si>
  <si>
    <t>ENST00000566669</t>
  </si>
  <si>
    <t>ENST00000567264</t>
  </si>
  <si>
    <t>ENST00000569919</t>
  </si>
  <si>
    <t>ENST00000571064</t>
  </si>
  <si>
    <t>O14578</t>
  </si>
  <si>
    <t>ENST00000392521</t>
  </si>
  <si>
    <t>O14602</t>
  </si>
  <si>
    <t>ENST00000361365</t>
  </si>
  <si>
    <t>ENST00000382772</t>
  </si>
  <si>
    <t>ENST00000464196</t>
  </si>
  <si>
    <t>ENST00000465253</t>
  </si>
  <si>
    <t>ENST00000485584</t>
  </si>
  <si>
    <t>O14617</t>
  </si>
  <si>
    <t>ENST00000345016</t>
  </si>
  <si>
    <t>ENST00000355272</t>
  </si>
  <si>
    <t>ENST00000585652</t>
  </si>
  <si>
    <t>ENST00000586177</t>
  </si>
  <si>
    <t>ENST00000586370</t>
  </si>
  <si>
    <t>ENST00000589223</t>
  </si>
  <si>
    <t>ENST00000589369</t>
  </si>
  <si>
    <t>ENST00000590683</t>
  </si>
  <si>
    <t>ENST00000591284</t>
  </si>
  <si>
    <t>ENST00000591631</t>
  </si>
  <si>
    <t>ENST00000591650</t>
  </si>
  <si>
    <t>ENST00000592488</t>
  </si>
  <si>
    <t>O14618</t>
  </si>
  <si>
    <t>ENST00000310190</t>
  </si>
  <si>
    <t>ENST00000525435</t>
  </si>
  <si>
    <t>ENST00000526066</t>
  </si>
  <si>
    <t>ENST00000530384</t>
  </si>
  <si>
    <t>ENST00000530961</t>
  </si>
  <si>
    <t>ENST00000531990</t>
  </si>
  <si>
    <t>ENST00000533244</t>
  </si>
  <si>
    <t>ENST00000534763</t>
  </si>
  <si>
    <t>O14626</t>
  </si>
  <si>
    <t>ENST00000309180</t>
  </si>
  <si>
    <t>ENST00000480322</t>
  </si>
  <si>
    <t>O14641</t>
  </si>
  <si>
    <t>ENST00000005340</t>
  </si>
  <si>
    <t>ENST00000571745</t>
  </si>
  <si>
    <t>ENST00000572285</t>
  </si>
  <si>
    <t>ENST00000573354</t>
  </si>
  <si>
    <t>ENST00000574143</t>
  </si>
  <si>
    <t>ENST00000574591</t>
  </si>
  <si>
    <t>ENST00000574642</t>
  </si>
  <si>
    <t>ENST00000575086</t>
  </si>
  <si>
    <t>ENST00000576285</t>
  </si>
  <si>
    <t>ENST00000576439</t>
  </si>
  <si>
    <t>ENST00000576840</t>
  </si>
  <si>
    <t>ENST00000576949</t>
  </si>
  <si>
    <t>ENST00000577154</t>
  </si>
  <si>
    <t>O14647</t>
  </si>
  <si>
    <t>ENST00000394196</t>
  </si>
  <si>
    <t>ENST00000420239</t>
  </si>
  <si>
    <t>O14656</t>
  </si>
  <si>
    <t>ENST00000351698</t>
  </si>
  <si>
    <t>ENST00000473084</t>
  </si>
  <si>
    <t>ENST00000473604</t>
  </si>
  <si>
    <t>ENST00000474192</t>
  </si>
  <si>
    <t>O14657</t>
  </si>
  <si>
    <t>ENST00000259339</t>
  </si>
  <si>
    <t>ENST00000486372</t>
  </si>
  <si>
    <t>ENST00000488169</t>
  </si>
  <si>
    <t>O14672</t>
  </si>
  <si>
    <t>ENST00000260408</t>
  </si>
  <si>
    <t>ENST00000461408</t>
  </si>
  <si>
    <t>ENST00000462061</t>
  </si>
  <si>
    <t>ENST00000470269</t>
  </si>
  <si>
    <t>ENST00000481164</t>
  </si>
  <si>
    <t>ENST00000482945</t>
  </si>
  <si>
    <t>ENST00000558004</t>
  </si>
  <si>
    <t>ENST00000558733</t>
  </si>
  <si>
    <t>O14686</t>
  </si>
  <si>
    <t>ENST00000301067</t>
  </si>
  <si>
    <t>ENST00000526209</t>
  </si>
  <si>
    <t>ENST00000547610</t>
  </si>
  <si>
    <t>ENST00000549743</t>
  </si>
  <si>
    <t>ENST00000550356</t>
  </si>
  <si>
    <t>ENST00000552391</t>
  </si>
  <si>
    <t>O14733</t>
  </si>
  <si>
    <t>ENST00000397979</t>
  </si>
  <si>
    <t>ENST00000397981</t>
  </si>
  <si>
    <t>ENST00000397983</t>
  </si>
  <si>
    <t>ENST00000465324</t>
  </si>
  <si>
    <t>ENST00000468058</t>
  </si>
  <si>
    <t>ENST00000494348</t>
  </si>
  <si>
    <t>ENST00000498118</t>
  </si>
  <si>
    <t>O14735</t>
  </si>
  <si>
    <t>ENST00000219789</t>
  </si>
  <si>
    <t>ENST00000561555</t>
  </si>
  <si>
    <t>ENST00000562041</t>
  </si>
  <si>
    <t>ENST00000563415</t>
  </si>
  <si>
    <t>ENST00000563893</t>
  </si>
  <si>
    <t>ENST00000564296</t>
  </si>
  <si>
    <t>ENST00000566113</t>
  </si>
  <si>
    <t>ENST00000569956</t>
  </si>
  <si>
    <t>O14737</t>
  </si>
  <si>
    <t>ENST00000419343</t>
  </si>
  <si>
    <t>ENST00000586035</t>
  </si>
  <si>
    <t>ENST00000586316</t>
  </si>
  <si>
    <t>ENST00000588622</t>
  </si>
  <si>
    <t>ENST00000590247</t>
  </si>
  <si>
    <t>O14744</t>
  </si>
  <si>
    <t>ENST00000324366</t>
  </si>
  <si>
    <t>ENST00000397441</t>
  </si>
  <si>
    <t>ENST00000421938</t>
  </si>
  <si>
    <t>ENST00000454731</t>
  </si>
  <si>
    <t>ENST00000553417</t>
  </si>
  <si>
    <t>ENST00000553502</t>
  </si>
  <si>
    <t>ENST00000554910</t>
  </si>
  <si>
    <t>ENST00000556032</t>
  </si>
  <si>
    <t>ENST00000556043</t>
  </si>
  <si>
    <t>ENST00000556426</t>
  </si>
  <si>
    <t>ENST00000557015</t>
  </si>
  <si>
    <t>ENST00000557415</t>
  </si>
  <si>
    <t>ENST00000557443</t>
  </si>
  <si>
    <t>ENST00000557758</t>
  </si>
  <si>
    <t>O14745</t>
  </si>
  <si>
    <t>ENST00000262613</t>
  </si>
  <si>
    <t>ENST00000413388</t>
  </si>
  <si>
    <t>ENST00000578958</t>
  </si>
  <si>
    <t>O14757</t>
  </si>
  <si>
    <t>ENST00000427383</t>
  </si>
  <si>
    <t>ENST00000438015</t>
  </si>
  <si>
    <t>ENST00000524737</t>
  </si>
  <si>
    <t>ENST00000525396</t>
  </si>
  <si>
    <t>ENST00000528276</t>
  </si>
  <si>
    <t>ENST00000531062</t>
  </si>
  <si>
    <t>ENST00000534070</t>
  </si>
  <si>
    <t>O14772</t>
  </si>
  <si>
    <t>ENST00000370898</t>
  </si>
  <si>
    <t>ENST00000482102</t>
  </si>
  <si>
    <t>ENST00000524915</t>
  </si>
  <si>
    <t>O14777</t>
  </si>
  <si>
    <t>ENST00000261597</t>
  </si>
  <si>
    <t>ENST00000574096</t>
  </si>
  <si>
    <t>ENST00000574567</t>
  </si>
  <si>
    <t>ENST00000576274</t>
  </si>
  <si>
    <t>O14802</t>
  </si>
  <si>
    <t>ENST00000372371</t>
  </si>
  <si>
    <t>ENST00000484760</t>
  </si>
  <si>
    <t>O14818</t>
  </si>
  <si>
    <t>ENST00000370858</t>
  </si>
  <si>
    <t>ENST00000370861</t>
  </si>
  <si>
    <t>ENST00000370873</t>
  </si>
  <si>
    <t>ENST00000442551</t>
  </si>
  <si>
    <t>ENST00000484488</t>
  </si>
  <si>
    <t>ENST00000486193</t>
  </si>
  <si>
    <t>O14827</t>
  </si>
  <si>
    <t>ENST00000265080</t>
  </si>
  <si>
    <t>ENST00000502677</t>
  </si>
  <si>
    <t>ENST00000503795</t>
  </si>
  <si>
    <t>ENST00000512186</t>
  </si>
  <si>
    <t>O14828</t>
  </si>
  <si>
    <t>ENST00000302631</t>
  </si>
  <si>
    <t>ENST00000355379</t>
  </si>
  <si>
    <t>ENST00000462151</t>
  </si>
  <si>
    <t>ENST00000465312</t>
  </si>
  <si>
    <t>ENST00000478737</t>
  </si>
  <si>
    <t>ENST00000480219</t>
  </si>
  <si>
    <t>ENST00000490999</t>
  </si>
  <si>
    <t>O14867</t>
  </si>
  <si>
    <t>ENST00000286800</t>
  </si>
  <si>
    <t>ENST00000399921</t>
  </si>
  <si>
    <t>ENST00000435072</t>
  </si>
  <si>
    <t>O14879</t>
  </si>
  <si>
    <t>ENST00000371811</t>
  </si>
  <si>
    <t>ENST00000371818</t>
  </si>
  <si>
    <t>O14880</t>
  </si>
  <si>
    <t>ENST00000367885</t>
  </si>
  <si>
    <t>ENST00000367889</t>
  </si>
  <si>
    <t>ENST00000461308</t>
  </si>
  <si>
    <t>ENST00000461759</t>
  </si>
  <si>
    <t>ENST00000477450</t>
  </si>
  <si>
    <t>ENST00000488688</t>
  </si>
  <si>
    <t>ENST00000494074</t>
  </si>
  <si>
    <t>ENST00000609263</t>
  </si>
  <si>
    <t>O14907</t>
  </si>
  <si>
    <t>ENST00000225525</t>
  </si>
  <si>
    <t>O14908</t>
  </si>
  <si>
    <t>ENST00000393033</t>
  </si>
  <si>
    <t>ENST00000585606</t>
  </si>
  <si>
    <t>ENST00000586027</t>
  </si>
  <si>
    <t>ENST00000587811</t>
  </si>
  <si>
    <t>ENST00000587969</t>
  </si>
  <si>
    <t>ENST00000591349</t>
  </si>
  <si>
    <t>O14920</t>
  </si>
  <si>
    <t>ENST00000342222</t>
  </si>
  <si>
    <t>ENST00000517388</t>
  </si>
  <si>
    <t>ENST00000517890</t>
  </si>
  <si>
    <t>ENST00000517917</t>
  </si>
  <si>
    <t>ENST00000518647</t>
  </si>
  <si>
    <t>ENST00000518983</t>
  </si>
  <si>
    <t>ENST00000519733</t>
  </si>
  <si>
    <t>ENST00000519938</t>
  </si>
  <si>
    <t>ENST00000520201</t>
  </si>
  <si>
    <t>ENST00000520320</t>
  </si>
  <si>
    <t>ENST00000520655</t>
  </si>
  <si>
    <t>ENST00000520810</t>
  </si>
  <si>
    <t>ENST00000521225</t>
  </si>
  <si>
    <t>ENST00000521661</t>
  </si>
  <si>
    <t>ENST00000522103</t>
  </si>
  <si>
    <t>ENST00000522133</t>
  </si>
  <si>
    <t>ENST00000522545</t>
  </si>
  <si>
    <t>ENST00000522785</t>
  </si>
  <si>
    <t>ENST00000523018</t>
  </si>
  <si>
    <t>ENST00000523105</t>
  </si>
  <si>
    <t>ENST00000523517</t>
  </si>
  <si>
    <t>ENST00000523599</t>
  </si>
  <si>
    <t>O14929</t>
  </si>
  <si>
    <t>ENST00000264108</t>
  </si>
  <si>
    <t>ENST00000392584</t>
  </si>
  <si>
    <t>ENST00000412731</t>
  </si>
  <si>
    <t>ENST00000457761</t>
  </si>
  <si>
    <t>ENST00000460481</t>
  </si>
  <si>
    <t>ENST00000494601</t>
  </si>
  <si>
    <t>O14933</t>
  </si>
  <si>
    <t>ENST00000287156</t>
  </si>
  <si>
    <t>ENST00000526659</t>
  </si>
  <si>
    <t>ENST00000527022</t>
  </si>
  <si>
    <t>ENST00000528275</t>
  </si>
  <si>
    <t>O14949</t>
  </si>
  <si>
    <t>ENST00000378665</t>
  </si>
  <si>
    <t>ENST00000378667</t>
  </si>
  <si>
    <t>ENST00000378670</t>
  </si>
  <si>
    <t>ENST00000480372</t>
  </si>
  <si>
    <t>ENST00000496429</t>
  </si>
  <si>
    <t>ENST00000498309</t>
  </si>
  <si>
    <t>O14964</t>
  </si>
  <si>
    <t>ENST00000329138</t>
  </si>
  <si>
    <t>ENST00000570355</t>
  </si>
  <si>
    <t>ENST00000571647</t>
  </si>
  <si>
    <t>ENST00000571885</t>
  </si>
  <si>
    <t>ENST00000573080</t>
  </si>
  <si>
    <t>ENST00000573320</t>
  </si>
  <si>
    <t>ENST00000575058</t>
  </si>
  <si>
    <t>ENST00000575078</t>
  </si>
  <si>
    <t>ENST00000576087</t>
  </si>
  <si>
    <t>ENST00000576393</t>
  </si>
  <si>
    <t>ENST00000576498</t>
  </si>
  <si>
    <t>O14966</t>
  </si>
  <si>
    <t>ENST00000235932</t>
  </si>
  <si>
    <t>ENST00000367139</t>
  </si>
  <si>
    <t>ENST00000414729</t>
  </si>
  <si>
    <t>ENST00000437324</t>
  </si>
  <si>
    <t>ENST00000446390</t>
  </si>
  <si>
    <t>ENST00000528078</t>
  </si>
  <si>
    <t>O14972</t>
  </si>
  <si>
    <t>ENST00000309117</t>
  </si>
  <si>
    <t>ENST00000399000</t>
  </si>
  <si>
    <t>ENST00000399001</t>
  </si>
  <si>
    <t>ENST00000462467</t>
  </si>
  <si>
    <t>ENST00000475009</t>
  </si>
  <si>
    <t>ENST00000476950</t>
  </si>
  <si>
    <t>ENST00000480452</t>
  </si>
  <si>
    <t>ENST00000495858</t>
  </si>
  <si>
    <t>ENST00000497493</t>
  </si>
  <si>
    <t>ENST00000498789</t>
  </si>
  <si>
    <t>O14976</t>
  </si>
  <si>
    <t>ENST00000314167</t>
  </si>
  <si>
    <t>ENST00000502656</t>
  </si>
  <si>
    <t>ENST00000502799</t>
  </si>
  <si>
    <t>ENST00000504435</t>
  </si>
  <si>
    <t>ENST00000504668</t>
  </si>
  <si>
    <t>ENST00000504947</t>
  </si>
  <si>
    <t>ENST00000505819</t>
  </si>
  <si>
    <t>ENST00000507124</t>
  </si>
  <si>
    <t>ENST00000507991</t>
  </si>
  <si>
    <t>ENST00000509566</t>
  </si>
  <si>
    <t>ENST00000510799</t>
  </si>
  <si>
    <t>ENST00000511163</t>
  </si>
  <si>
    <t>ENST00000511345</t>
  </si>
  <si>
    <t>ENST00000511980</t>
  </si>
  <si>
    <t>ENST00000512325</t>
  </si>
  <si>
    <t>ENST00000513935</t>
  </si>
  <si>
    <t>ENST00000515868</t>
  </si>
  <si>
    <t>O14979</t>
  </si>
  <si>
    <t>ENST00000295470</t>
  </si>
  <si>
    <t>ENST00000349655</t>
  </si>
  <si>
    <t>ENST00000502762</t>
  </si>
  <si>
    <t>ENST00000507721</t>
  </si>
  <si>
    <t>ENST00000514511</t>
  </si>
  <si>
    <t>O14980</t>
  </si>
  <si>
    <t>ENST00000401558</t>
  </si>
  <si>
    <t>ENST00000404992</t>
  </si>
  <si>
    <t>ENST00000420673</t>
  </si>
  <si>
    <t>ENST00000422552</t>
  </si>
  <si>
    <t>ENST00000428210</t>
  </si>
  <si>
    <t>ENST00000449444</t>
  </si>
  <si>
    <t>ENST00000457483</t>
  </si>
  <si>
    <t>ENST00000460037</t>
  </si>
  <si>
    <t>ENST00000461407</t>
  </si>
  <si>
    <t>ENST00000468259</t>
  </si>
  <si>
    <t>ENST00000469337</t>
  </si>
  <si>
    <t>ENST00000475744</t>
  </si>
  <si>
    <t>ENST00000476585</t>
  </si>
  <si>
    <t>ENST00000481073</t>
  </si>
  <si>
    <t>ENST00000481214</t>
  </si>
  <si>
    <t>ENST00000489954</t>
  </si>
  <si>
    <t>ENST00000492182</t>
  </si>
  <si>
    <t>ENST00000494468</t>
  </si>
  <si>
    <t>ENST00000495003</t>
  </si>
  <si>
    <t>O14981</t>
  </si>
  <si>
    <t>ENST00000265990</t>
  </si>
  <si>
    <t>ENST00000471217</t>
  </si>
  <si>
    <t>ENST00000476401</t>
  </si>
  <si>
    <t>ENST00000544642</t>
  </si>
  <si>
    <t>O15014</t>
  </si>
  <si>
    <t>ENST00000326648</t>
  </si>
  <si>
    <t>ENST00000416172</t>
  </si>
  <si>
    <t>ENST00000558680</t>
  </si>
  <si>
    <t>O15015</t>
  </si>
  <si>
    <t>ENST00000300850</t>
  </si>
  <si>
    <t>ENST00000394979</t>
  </si>
  <si>
    <t>ENST00000428260</t>
  </si>
  <si>
    <t>ENST00000564189</t>
  </si>
  <si>
    <t>O15027</t>
  </si>
  <si>
    <t>ENST00000290037</t>
  </si>
  <si>
    <t>ENST00000313050</t>
  </si>
  <si>
    <t>ENST00000313084</t>
  </si>
  <si>
    <t>ENST00000371706</t>
  </si>
  <si>
    <t>ENST00000431893</t>
  </si>
  <si>
    <t>ENST00000453963</t>
  </si>
  <si>
    <t>ENST00000467838</t>
  </si>
  <si>
    <t>O15031</t>
  </si>
  <si>
    <t>ENST00000463165</t>
  </si>
  <si>
    <t>ENST00000479701</t>
  </si>
  <si>
    <t>ENST00000479818</t>
  </si>
  <si>
    <t>ENST00000492578</t>
  </si>
  <si>
    <t>O15037</t>
  </si>
  <si>
    <t>ENST00000553935</t>
  </si>
  <si>
    <t>ENST00000554268</t>
  </si>
  <si>
    <t>ENST00000556255</t>
  </si>
  <si>
    <t>ENST00000556510</t>
  </si>
  <si>
    <t>ENST00000556842</t>
  </si>
  <si>
    <t>O15050</t>
  </si>
  <si>
    <t>ENST00000429976</t>
  </si>
  <si>
    <t>ENST00000463764</t>
  </si>
  <si>
    <t>ENST00000463984</t>
  </si>
  <si>
    <t>O15054</t>
  </si>
  <si>
    <t>ENST00000254846</t>
  </si>
  <si>
    <t>ENST00000448097</t>
  </si>
  <si>
    <t>ENST00000570632</t>
  </si>
  <si>
    <t>ENST00000571047</t>
  </si>
  <si>
    <t>ENST00000575521</t>
  </si>
  <si>
    <t>O15056</t>
  </si>
  <si>
    <t>ENST00000355585</t>
  </si>
  <si>
    <t>ENST00000367112</t>
  </si>
  <si>
    <t>ENST00000367113</t>
  </si>
  <si>
    <t>ENST00000367122</t>
  </si>
  <si>
    <t>O15066</t>
  </si>
  <si>
    <t>ENST00000375712</t>
  </si>
  <si>
    <t>O15067</t>
  </si>
  <si>
    <t>ENST00000314666</t>
  </si>
  <si>
    <t>ENST00000546020</t>
  </si>
  <si>
    <t>ENST00000578979</t>
  </si>
  <si>
    <t>ENST00000580251</t>
  </si>
  <si>
    <t>ENST00000580356</t>
  </si>
  <si>
    <t>ENST00000581288</t>
  </si>
  <si>
    <t>ENST00000584044</t>
  </si>
  <si>
    <t>ENST00000585183</t>
  </si>
  <si>
    <t>O15084</t>
  </si>
  <si>
    <t>ENST00000399451</t>
  </si>
  <si>
    <t>ENST00000439830</t>
  </si>
  <si>
    <t>ENST00000451422</t>
  </si>
  <si>
    <t>ENST00000461696</t>
  </si>
  <si>
    <t>ENST00000462657</t>
  </si>
  <si>
    <t>ENST00000463533</t>
  </si>
  <si>
    <t>ENST00000479043</t>
  </si>
  <si>
    <t>ENST00000497037</t>
  </si>
  <si>
    <t>ENST00000498524</t>
  </si>
  <si>
    <t>ENST00000498713</t>
  </si>
  <si>
    <t>O15085</t>
  </si>
  <si>
    <t>ENST00000368194</t>
  </si>
  <si>
    <t>ENST00000461678</t>
  </si>
  <si>
    <t>ENST00000486670</t>
  </si>
  <si>
    <t>ENST00000487682</t>
  </si>
  <si>
    <t>O15091</t>
  </si>
  <si>
    <t>ENST00000250377</t>
  </si>
  <si>
    <t>ENST00000321130</t>
  </si>
  <si>
    <t>ENST00000557404</t>
  </si>
  <si>
    <t>ENST00000557565</t>
  </si>
  <si>
    <t>ENST00000603544</t>
  </si>
  <si>
    <t>ENST00000603588</t>
  </si>
  <si>
    <t>ENST00000605201</t>
  </si>
  <si>
    <t>ENST00000605870</t>
  </si>
  <si>
    <t>O15111</t>
  </si>
  <si>
    <t>ENST00000370397</t>
  </si>
  <si>
    <t>ENST00000585551</t>
  </si>
  <si>
    <t>ENST00000590930</t>
  </si>
  <si>
    <t>O15116</t>
  </si>
  <si>
    <t>ENST00000311351</t>
  </si>
  <si>
    <t>ENST00000520286</t>
  </si>
  <si>
    <t>ENST00000520755</t>
  </si>
  <si>
    <t>ENST00000522515</t>
  </si>
  <si>
    <t>ENST00000523511</t>
  </si>
  <si>
    <t>O15118</t>
  </si>
  <si>
    <t>ENST00000269228</t>
  </si>
  <si>
    <t>ENST00000586718</t>
  </si>
  <si>
    <t>ENST00000587163</t>
  </si>
  <si>
    <t>ENST00000587223</t>
  </si>
  <si>
    <t>ENST00000588867</t>
  </si>
  <si>
    <t>ENST00000590301</t>
  </si>
  <si>
    <t>ENST00000591075</t>
  </si>
  <si>
    <t>ENST00000591107</t>
  </si>
  <si>
    <t>ENST00000591955</t>
  </si>
  <si>
    <t>ENST00000593280</t>
  </si>
  <si>
    <t>O15126</t>
  </si>
  <si>
    <t>ENST00000320280</t>
  </si>
  <si>
    <t>ENST00000510030</t>
  </si>
  <si>
    <t>O15127</t>
  </si>
  <si>
    <t>ENST00000268099</t>
  </si>
  <si>
    <t>ENST00000562363</t>
  </si>
  <si>
    <t>ENST00000563829</t>
  </si>
  <si>
    <t>ENST00000564529</t>
  </si>
  <si>
    <t>ENST00000565345</t>
  </si>
  <si>
    <t>ENST00000566480</t>
  </si>
  <si>
    <t>ENST00000566557</t>
  </si>
  <si>
    <t>ENST00000567638</t>
  </si>
  <si>
    <t>ENST00000569124</t>
  </si>
  <si>
    <t>ENST00000569251</t>
  </si>
  <si>
    <t>ENST00000569904</t>
  </si>
  <si>
    <t>O15143</t>
  </si>
  <si>
    <t>ENST00000252725</t>
  </si>
  <si>
    <t>ENST00000417330</t>
  </si>
  <si>
    <t>ENST00000427217</t>
  </si>
  <si>
    <t>ENST00000429246</t>
  </si>
  <si>
    <t>ENST00000431816</t>
  </si>
  <si>
    <t>ENST00000432343</t>
  </si>
  <si>
    <t>ENST00000443222</t>
  </si>
  <si>
    <t>ENST00000451682</t>
  </si>
  <si>
    <t>ENST00000458033</t>
  </si>
  <si>
    <t>ENST00000468337</t>
  </si>
  <si>
    <t>ENST00000474880</t>
  </si>
  <si>
    <t>ENST00000481997</t>
  </si>
  <si>
    <t>ENST00000484375</t>
  </si>
  <si>
    <t>ENST00000484600</t>
  </si>
  <si>
    <t>ENST00000491294</t>
  </si>
  <si>
    <t>ENST00000493403</t>
  </si>
  <si>
    <t>O15144</t>
  </si>
  <si>
    <t>ENST00000295685</t>
  </si>
  <si>
    <t>ENST00000315717</t>
  </si>
  <si>
    <t>ENST00000414983</t>
  </si>
  <si>
    <t>ENST00000420201</t>
  </si>
  <si>
    <t>ENST00000456575</t>
  </si>
  <si>
    <t>ENST00000462034</t>
  </si>
  <si>
    <t>ENST00000465395</t>
  </si>
  <si>
    <t>ENST00000470146</t>
  </si>
  <si>
    <t>ENST00000471355</t>
  </si>
  <si>
    <t>ENST00000472753</t>
  </si>
  <si>
    <t>ENST00000477992</t>
  </si>
  <si>
    <t>ENST00000478612</t>
  </si>
  <si>
    <t>ENST00000480062</t>
  </si>
  <si>
    <t>ENST00000487321</t>
  </si>
  <si>
    <t>ENST00000489598</t>
  </si>
  <si>
    <t>ENST00000491780</t>
  </si>
  <si>
    <t>O15145</t>
  </si>
  <si>
    <t>ENST00000228825</t>
  </si>
  <si>
    <t>ENST00000426440</t>
  </si>
  <si>
    <t>ENST00000467622</t>
  </si>
  <si>
    <t>ENST00000471641</t>
  </si>
  <si>
    <t>ENST00000475777</t>
  </si>
  <si>
    <t>ENST00000476566</t>
  </si>
  <si>
    <t>ENST00000547365</t>
  </si>
  <si>
    <t>ENST00000548878</t>
  </si>
  <si>
    <t>O15151</t>
  </si>
  <si>
    <t>ENST00000367179</t>
  </si>
  <si>
    <t>ENST00000367180</t>
  </si>
  <si>
    <t>ENST00000367182</t>
  </si>
  <si>
    <t>ENST00000391947</t>
  </si>
  <si>
    <t>ENST00000444261</t>
  </si>
  <si>
    <t>ENST00000454264</t>
  </si>
  <si>
    <t>ENST00000462012</t>
  </si>
  <si>
    <t>ENST00000463049</t>
  </si>
  <si>
    <t>ENST00000470797</t>
  </si>
  <si>
    <t>ENST00000470908</t>
  </si>
  <si>
    <t>O15156</t>
  </si>
  <si>
    <t>ENST00000292176</t>
  </si>
  <si>
    <t>ENST00000368426</t>
  </si>
  <si>
    <t>ENST00000417934</t>
  </si>
  <si>
    <t>ENST00000461530</t>
  </si>
  <si>
    <t>ENST00000483226</t>
  </si>
  <si>
    <t>ENST00000487542</t>
  </si>
  <si>
    <t>ENST00000535420</t>
  </si>
  <si>
    <t>O15173</t>
  </si>
  <si>
    <t>ENST00000296425</t>
  </si>
  <si>
    <t>ENST00000394276</t>
  </si>
  <si>
    <t>ENST00000509070</t>
  </si>
  <si>
    <t>ENST00000520121</t>
  </si>
  <si>
    <t>O15182</t>
  </si>
  <si>
    <t>ENST00000283122</t>
  </si>
  <si>
    <t>ENST00000522083</t>
  </si>
  <si>
    <t>ENST00000522565</t>
  </si>
  <si>
    <t>ENST00000522842</t>
  </si>
  <si>
    <t>O15211</t>
  </si>
  <si>
    <t>ENST00000425946</t>
  </si>
  <si>
    <t>ENST00000437840</t>
  </si>
  <si>
    <t>ENST00000460988</t>
  </si>
  <si>
    <t>ENST00000471319</t>
  </si>
  <si>
    <t>ENST00000476616</t>
  </si>
  <si>
    <t>ENST00000478610</t>
  </si>
  <si>
    <t>ENST00000483151</t>
  </si>
  <si>
    <t>ENST00000485077</t>
  </si>
  <si>
    <t>ENST00000497454</t>
  </si>
  <si>
    <t>O15212</t>
  </si>
  <si>
    <t>ENST00000374606</t>
  </si>
  <si>
    <t>ENST00000374607</t>
  </si>
  <si>
    <t>ENST00000395131</t>
  </si>
  <si>
    <t>ENST00000395134</t>
  </si>
  <si>
    <t>ENST00000463584</t>
  </si>
  <si>
    <t>ENST00000491382</t>
  </si>
  <si>
    <t>O15213</t>
  </si>
  <si>
    <t>ENST00000374617</t>
  </si>
  <si>
    <t>ENST00000468157</t>
  </si>
  <si>
    <t>ENST00000473611</t>
  </si>
  <si>
    <t>ENST00000477718</t>
  </si>
  <si>
    <t>ENST00000481025</t>
  </si>
  <si>
    <t>ENST00000488944</t>
  </si>
  <si>
    <t>ENST00000489905</t>
  </si>
  <si>
    <t>O15234</t>
  </si>
  <si>
    <t>ENST00000264645</t>
  </si>
  <si>
    <t>ENST00000394114</t>
  </si>
  <si>
    <t>ENST00000418132</t>
  </si>
  <si>
    <t>ENST00000577605</t>
  </si>
  <si>
    <t>ENST00000579238</t>
  </si>
  <si>
    <t>ENST00000581849</t>
  </si>
  <si>
    <t>ENST00000583649</t>
  </si>
  <si>
    <t>ENST00000583902</t>
  </si>
  <si>
    <t>ENST00000584997</t>
  </si>
  <si>
    <t>O15235</t>
  </si>
  <si>
    <t>ENST00000308018</t>
  </si>
  <si>
    <t>ENST00000402029</t>
  </si>
  <si>
    <t>ENST00000407800</t>
  </si>
  <si>
    <t>ENST00000598734</t>
  </si>
  <si>
    <t>O15243</t>
  </si>
  <si>
    <t>ENST00000371065</t>
  </si>
  <si>
    <t>ENST00000484243</t>
  </si>
  <si>
    <t>ENST00000497874</t>
  </si>
  <si>
    <t>O15247</t>
  </si>
  <si>
    <t>ENST00000369449</t>
  </si>
  <si>
    <t>O15258</t>
  </si>
  <si>
    <t>ENST00000378512</t>
  </si>
  <si>
    <t>ENST00000378513</t>
  </si>
  <si>
    <t>ENST00000378518</t>
  </si>
  <si>
    <t>ENST00000443438</t>
  </si>
  <si>
    <t>ENST00000462129</t>
  </si>
  <si>
    <t>ENST00000488353</t>
  </si>
  <si>
    <t>ENST00000493207</t>
  </si>
  <si>
    <t>ENST00000605895</t>
  </si>
  <si>
    <t>O15264</t>
  </si>
  <si>
    <t>ENST00000211287</t>
  </si>
  <si>
    <t>ENST00000373759</t>
  </si>
  <si>
    <t>ENST00000373766</t>
  </si>
  <si>
    <t>ENST00000490334</t>
  </si>
  <si>
    <t>O15265</t>
  </si>
  <si>
    <t>ENST00000295900</t>
  </si>
  <si>
    <t>ENST00000466529</t>
  </si>
  <si>
    <t>ENST00000472569</t>
  </si>
  <si>
    <t>ENST00000474112</t>
  </si>
  <si>
    <t>ENST00000475897</t>
  </si>
  <si>
    <t>ENST00000477516</t>
  </si>
  <si>
    <t>ENST00000484332</t>
  </si>
  <si>
    <t>ENST00000484668</t>
  </si>
  <si>
    <t>ENST00000487717</t>
  </si>
  <si>
    <t>ENST00000538065</t>
  </si>
  <si>
    <t>O15269</t>
  </si>
  <si>
    <t>ENST00000262554</t>
  </si>
  <si>
    <t>ENST00000337841</t>
  </si>
  <si>
    <t>ENST00000461132</t>
  </si>
  <si>
    <t>ENST00000469778</t>
  </si>
  <si>
    <t>ENST00000477888</t>
  </si>
  <si>
    <t>ENST00000488921</t>
  </si>
  <si>
    <t>O15270</t>
  </si>
  <si>
    <t>ENST00000216484</t>
  </si>
  <si>
    <t>ENST00000554365</t>
  </si>
  <si>
    <t>ENST00000554901</t>
  </si>
  <si>
    <t>ENST00000556607</t>
  </si>
  <si>
    <t>ENST00000557566</t>
  </si>
  <si>
    <t>O15294</t>
  </si>
  <si>
    <t>ENST00000373701</t>
  </si>
  <si>
    <t>ENST00000373719</t>
  </si>
  <si>
    <t>ENST00000444774</t>
  </si>
  <si>
    <t>ENST00000455587</t>
  </si>
  <si>
    <t>ENST00000459760</t>
  </si>
  <si>
    <t>ENST00000462638</t>
  </si>
  <si>
    <t>ENST00000466181</t>
  </si>
  <si>
    <t>ENST00000472270</t>
  </si>
  <si>
    <t>ENST00000474633</t>
  </si>
  <si>
    <t>ENST00000488174</t>
  </si>
  <si>
    <t>O15305</t>
  </si>
  <si>
    <t>ENST00000268261</t>
  </si>
  <si>
    <t>ENST00000562025</t>
  </si>
  <si>
    <t>ENST00000562448</t>
  </si>
  <si>
    <t>ENST00000564030</t>
  </si>
  <si>
    <t>ENST00000564069</t>
  </si>
  <si>
    <t>ENST00000566196</t>
  </si>
  <si>
    <t>ENST00000566540</t>
  </si>
  <si>
    <t>ENST00000566604</t>
  </si>
  <si>
    <t>ENST00000567697</t>
  </si>
  <si>
    <t>ENST00000568602</t>
  </si>
  <si>
    <t>O15327</t>
  </si>
  <si>
    <t>ENST00000262992</t>
  </si>
  <si>
    <t>ENST00000506297</t>
  </si>
  <si>
    <t>ENST00000507861</t>
  </si>
  <si>
    <t>ENST00000509777</t>
  </si>
  <si>
    <t>ENST00000510812</t>
  </si>
  <si>
    <t>O15347</t>
  </si>
  <si>
    <t>ENST00000325307</t>
  </si>
  <si>
    <t>ENST00000430118</t>
  </si>
  <si>
    <t>O15355</t>
  </si>
  <si>
    <t>ENST00000344034</t>
  </si>
  <si>
    <t>ENST00000472077</t>
  </si>
  <si>
    <t>ENST00000484925</t>
  </si>
  <si>
    <t>O15357</t>
  </si>
  <si>
    <t>ENST00000320683</t>
  </si>
  <si>
    <t>ENST00000537656</t>
  </si>
  <si>
    <t>ENST00000537755</t>
  </si>
  <si>
    <t>ENST00000538339</t>
  </si>
  <si>
    <t>ENST00000538751</t>
  </si>
  <si>
    <t>ENST00000540329</t>
  </si>
  <si>
    <t>ENST00000540973</t>
  </si>
  <si>
    <t>ENST00000541303</t>
  </si>
  <si>
    <t>ENST00000541544</t>
  </si>
  <si>
    <t>ENST00000541752</t>
  </si>
  <si>
    <t>ENST00000541756</t>
  </si>
  <si>
    <t>ENST00000543234</t>
  </si>
  <si>
    <t>ENST00000544806</t>
  </si>
  <si>
    <t>ENST00000545355</t>
  </si>
  <si>
    <t>O15372</t>
  </si>
  <si>
    <t>ENST00000276682</t>
  </si>
  <si>
    <t>ENST00000517974</t>
  </si>
  <si>
    <t>ENST00000518034</t>
  </si>
  <si>
    <t>ENST00000518949</t>
  </si>
  <si>
    <t>ENST00000518995</t>
  </si>
  <si>
    <t>ENST00000519046</t>
  </si>
  <si>
    <t>ENST00000520289</t>
  </si>
  <si>
    <t>ENST00000521861</t>
  </si>
  <si>
    <t>ENST00000522453</t>
  </si>
  <si>
    <t>ENST00000522800</t>
  </si>
  <si>
    <t>O15379</t>
  </si>
  <si>
    <t>ENST00000305264</t>
  </si>
  <si>
    <t>ENST00000459727</t>
  </si>
  <si>
    <t>ENST00000469550</t>
  </si>
  <si>
    <t>ENST00000471968</t>
  </si>
  <si>
    <t>ENST00000475549</t>
  </si>
  <si>
    <t>ENST00000476739</t>
  </si>
  <si>
    <t>ENST00000486618</t>
  </si>
  <si>
    <t>ENST00000490808</t>
  </si>
  <si>
    <t>ENST00000491581</t>
  </si>
  <si>
    <t>ENST00000492407</t>
  </si>
  <si>
    <t>ENST00000492506</t>
  </si>
  <si>
    <t>ENST00000519474</t>
  </si>
  <si>
    <t>O15381</t>
  </si>
  <si>
    <t>ENST00000281701</t>
  </si>
  <si>
    <t>ENST00000391875</t>
  </si>
  <si>
    <t>ENST00000462893</t>
  </si>
  <si>
    <t>ENST00000468673</t>
  </si>
  <si>
    <t>ENST00000469075</t>
  </si>
  <si>
    <t>ENST00000469968</t>
  </si>
  <si>
    <t>ENST00000470903</t>
  </si>
  <si>
    <t>ENST00000481213</t>
  </si>
  <si>
    <t>ENST00000488718</t>
  </si>
  <si>
    <t>ENST00000493060</t>
  </si>
  <si>
    <t>ENST00000496393</t>
  </si>
  <si>
    <t>ENST00000498767</t>
  </si>
  <si>
    <t>O15382</t>
  </si>
  <si>
    <t>ENST00000316273</t>
  </si>
  <si>
    <t>ENST00000402551</t>
  </si>
  <si>
    <t>ENST00000545387</t>
  </si>
  <si>
    <t>ENST00000595376</t>
  </si>
  <si>
    <t>ENST00000598162</t>
  </si>
  <si>
    <t>ENST00000599246</t>
  </si>
  <si>
    <t>ENST00000599510</t>
  </si>
  <si>
    <t>O15397</t>
  </si>
  <si>
    <t>ENST00000256079</t>
  </si>
  <si>
    <t>ENST00000535598</t>
  </si>
  <si>
    <t>ENST00000545077</t>
  </si>
  <si>
    <t>O15427</t>
  </si>
  <si>
    <t>ENST00000392341</t>
  </si>
  <si>
    <t>ENST00000577650</t>
  </si>
  <si>
    <t>ENST00000578574</t>
  </si>
  <si>
    <t>ENST00000578810</t>
  </si>
  <si>
    <t>ENST00000579572</t>
  </si>
  <si>
    <t>ENST00000580098</t>
  </si>
  <si>
    <t>ENST00000581287</t>
  </si>
  <si>
    <t>ENST00000581642</t>
  </si>
  <si>
    <t>ENST00000582743</t>
  </si>
  <si>
    <t>ENST00000583025</t>
  </si>
  <si>
    <t>ENST00000583237</t>
  </si>
  <si>
    <t>ENST00000583444</t>
  </si>
  <si>
    <t>ENST00000584689</t>
  </si>
  <si>
    <t>O15446</t>
  </si>
  <si>
    <t>ENST00000309424</t>
  </si>
  <si>
    <t>ENST00000592852</t>
  </si>
  <si>
    <t>O15498</t>
  </si>
  <si>
    <t>ENST00000223369</t>
  </si>
  <si>
    <t>ENST00000421621</t>
  </si>
  <si>
    <t>ENST00000424864</t>
  </si>
  <si>
    <t>ENST00000447123</t>
  </si>
  <si>
    <t>ENST00000463014</t>
  </si>
  <si>
    <t>ENST00000496112</t>
  </si>
  <si>
    <t>O15504</t>
  </si>
  <si>
    <t>ENST00000258742</t>
  </si>
  <si>
    <t>ENST00000410002</t>
  </si>
  <si>
    <t>ENST00000413919</t>
  </si>
  <si>
    <t>ENST00000477844</t>
  </si>
  <si>
    <t>ENST00000485250</t>
  </si>
  <si>
    <t>ENST00000486136</t>
  </si>
  <si>
    <t>ENST00000487595</t>
  </si>
  <si>
    <t>ENST00000489145</t>
  </si>
  <si>
    <t>ENST00000497500</t>
  </si>
  <si>
    <t>O15511</t>
  </si>
  <si>
    <t>ENST00000294742</t>
  </si>
  <si>
    <t>ENST00000359856</t>
  </si>
  <si>
    <t>ENST00000367534</t>
  </si>
  <si>
    <t>ENST00000462965</t>
  </si>
  <si>
    <t>ENST00000602490</t>
  </si>
  <si>
    <t>O15514</t>
  </si>
  <si>
    <t>ENST00000272645</t>
  </si>
  <si>
    <t>ENST00000409698</t>
  </si>
  <si>
    <t>ENST00000409955</t>
  </si>
  <si>
    <t>ENST00000487079</t>
  </si>
  <si>
    <t>O15523</t>
  </si>
  <si>
    <t>ENST00000336079</t>
  </si>
  <si>
    <t>ENST00000440554</t>
  </si>
  <si>
    <t>ENST00000463199</t>
  </si>
  <si>
    <t>ENST00000469101</t>
  </si>
  <si>
    <t>ENST00000472510</t>
  </si>
  <si>
    <t>ENST00000493363</t>
  </si>
  <si>
    <t>ENST00000495478</t>
  </si>
  <si>
    <t>O15525</t>
  </si>
  <si>
    <t>ENST00000357736</t>
  </si>
  <si>
    <t>ENST00000392366</t>
  </si>
  <si>
    <t>O15534</t>
  </si>
  <si>
    <t>ENST00000317276</t>
  </si>
  <si>
    <t>ENST00000577424</t>
  </si>
  <si>
    <t>ENST00000578089</t>
  </si>
  <si>
    <t>ENST00000578223</t>
  </si>
  <si>
    <t>ENST00000578950</t>
  </si>
  <si>
    <t>ENST00000579065</t>
  </si>
  <si>
    <t>ENST00000579098</t>
  </si>
  <si>
    <t>ENST00000579203</t>
  </si>
  <si>
    <t>ENST00000581082</t>
  </si>
  <si>
    <t>ENST00000583677</t>
  </si>
  <si>
    <t>ENST00000584202</t>
  </si>
  <si>
    <t>ENST00000585095</t>
  </si>
  <si>
    <t>ENST00000585284</t>
  </si>
  <si>
    <t>O15541</t>
  </si>
  <si>
    <t>ENST00000371442</t>
  </si>
  <si>
    <t>O15550</t>
  </si>
  <si>
    <t>ENST00000377967</t>
  </si>
  <si>
    <t>ENST00000382899</t>
  </si>
  <si>
    <t>ENST00000414389</t>
  </si>
  <si>
    <t>ENST00000431196</t>
  </si>
  <si>
    <t>ENST00000433797</t>
  </si>
  <si>
    <t>ENST00000451692</t>
  </si>
  <si>
    <t>ENST00000475233</t>
  </si>
  <si>
    <t>ENST00000479423</t>
  </si>
  <si>
    <t>ENST00000484732</t>
  </si>
  <si>
    <t>ENST00000485072</t>
  </si>
  <si>
    <t>ENST00000536777</t>
  </si>
  <si>
    <t>ENST00000543216</t>
  </si>
  <si>
    <t>O15553</t>
  </si>
  <si>
    <t>ENST00000539154</t>
  </si>
  <si>
    <t>ENST00000542898</t>
  </si>
  <si>
    <t>O43143</t>
  </si>
  <si>
    <t>ENST00000336812</t>
  </si>
  <si>
    <t>ENST00000503562</t>
  </si>
  <si>
    <t>ENST00000504279</t>
  </si>
  <si>
    <t>ENST00000508032</t>
  </si>
  <si>
    <t>ENST00000508368</t>
  </si>
  <si>
    <t>ENST00000510645</t>
  </si>
  <si>
    <t>ENST00000512903</t>
  </si>
  <si>
    <t>ENST00000513036</t>
  </si>
  <si>
    <t>ENST00000513092</t>
  </si>
  <si>
    <t>O43148</t>
  </si>
  <si>
    <t>ENST00000262173</t>
  </si>
  <si>
    <t>ENST00000383314</t>
  </si>
  <si>
    <t>ENST00000543302</t>
  </si>
  <si>
    <t>ENST00000588417</t>
  </si>
  <si>
    <t>ENST00000589866</t>
  </si>
  <si>
    <t>ENST00000591922</t>
  </si>
  <si>
    <t>ENST00000592764</t>
  </si>
  <si>
    <t>ENST00000593007</t>
  </si>
  <si>
    <t>O43149</t>
  </si>
  <si>
    <t>ENST00000381638</t>
  </si>
  <si>
    <t>ENST00000571436</t>
  </si>
  <si>
    <t>ENST00000572426</t>
  </si>
  <si>
    <t>ENST00000572699</t>
  </si>
  <si>
    <t>ENST00000573183</t>
  </si>
  <si>
    <t>ENST00000573536</t>
  </si>
  <si>
    <t>ENST00000573606</t>
  </si>
  <si>
    <t>ENST00000574474</t>
  </si>
  <si>
    <t>ENST00000575428</t>
  </si>
  <si>
    <t>O43156</t>
  </si>
  <si>
    <t>ENST00000373447</t>
  </si>
  <si>
    <t>ENST00000373448</t>
  </si>
  <si>
    <t>ENST00000449821</t>
  </si>
  <si>
    <t>ENST00000473288</t>
  </si>
  <si>
    <t>O43159</t>
  </si>
  <si>
    <t>ENST00000254605</t>
  </si>
  <si>
    <t>ENST00000526352</t>
  </si>
  <si>
    <t>ENST00000530762</t>
  </si>
  <si>
    <t>ENST00000533907</t>
  </si>
  <si>
    <t>ENST00000534343</t>
  </si>
  <si>
    <t>O43167</t>
  </si>
  <si>
    <t>ENST00000230122</t>
  </si>
  <si>
    <t>O43169</t>
  </si>
  <si>
    <t>ENST00000307892</t>
  </si>
  <si>
    <t>ENST00000512062</t>
  </si>
  <si>
    <t>ENST00000514123</t>
  </si>
  <si>
    <t>ENST00000568342</t>
  </si>
  <si>
    <t>O43175</t>
  </si>
  <si>
    <t>ENST00000369407</t>
  </si>
  <si>
    <t>ENST00000369409</t>
  </si>
  <si>
    <t>ENST00000462324</t>
  </si>
  <si>
    <t>ENST00000469443</t>
  </si>
  <si>
    <t>ENST00000482968</t>
  </si>
  <si>
    <t>ENST00000496756</t>
  </si>
  <si>
    <t>O43181</t>
  </si>
  <si>
    <t>ENST00000296684</t>
  </si>
  <si>
    <t>ENST00000506765</t>
  </si>
  <si>
    <t>ENST00000506974</t>
  </si>
  <si>
    <t>ENST00000509443</t>
  </si>
  <si>
    <t>O43189</t>
  </si>
  <si>
    <t>ENST00000374512</t>
  </si>
  <si>
    <t>ENST00000374516</t>
  </si>
  <si>
    <t>ENST00000427826</t>
  </si>
  <si>
    <t>ENST00000428274</t>
  </si>
  <si>
    <t>ENST00000459809</t>
  </si>
  <si>
    <t>ENST00000479029</t>
  </si>
  <si>
    <t>ENST00000486845</t>
  </si>
  <si>
    <t>ENST00000487667</t>
  </si>
  <si>
    <t>ENST00000488767</t>
  </si>
  <si>
    <t>ENST00000495509</t>
  </si>
  <si>
    <t>O43237</t>
  </si>
  <si>
    <t>ENST00000258198</t>
  </si>
  <si>
    <t>ENST00000561727</t>
  </si>
  <si>
    <t>ENST00000564559</t>
  </si>
  <si>
    <t>ENST00000564833</t>
  </si>
  <si>
    <t>ENST00000565532</t>
  </si>
  <si>
    <t>ENST00000567499</t>
  </si>
  <si>
    <t>ENST00000570201</t>
  </si>
  <si>
    <t>O43242</t>
  </si>
  <si>
    <t>ENST00000264639</t>
  </si>
  <si>
    <t>ENST00000485835</t>
  </si>
  <si>
    <t>ENST00000540504</t>
  </si>
  <si>
    <t>ENST00000580980</t>
  </si>
  <si>
    <t>O43252</t>
  </si>
  <si>
    <t>ENST00000265174</t>
  </si>
  <si>
    <t>ENST00000506544</t>
  </si>
  <si>
    <t>ENST00000512641</t>
  </si>
  <si>
    <t>O43255</t>
  </si>
  <si>
    <t>ENST00000312960</t>
  </si>
  <si>
    <t>ENST00000472885</t>
  </si>
  <si>
    <t>ENST00000482706</t>
  </si>
  <si>
    <t>O43264</t>
  </si>
  <si>
    <t>ENST00000200135</t>
  </si>
  <si>
    <t>O43290</t>
  </si>
  <si>
    <t>ENST00000312397</t>
  </si>
  <si>
    <t>ENST00000528137</t>
  </si>
  <si>
    <t>ENST00000528573</t>
  </si>
  <si>
    <t>ENST00000529532</t>
  </si>
  <si>
    <t>ENST00000529580</t>
  </si>
  <si>
    <t>ENST00000530251</t>
  </si>
  <si>
    <t>ENST00000532333</t>
  </si>
  <si>
    <t>ENST00000533386</t>
  </si>
  <si>
    <t>O43293</t>
  </si>
  <si>
    <t>ENST00000301264</t>
  </si>
  <si>
    <t>ENST00000545797</t>
  </si>
  <si>
    <t>ENST00000593844</t>
  </si>
  <si>
    <t>ENST00000594894</t>
  </si>
  <si>
    <t>ENST00000595279</t>
  </si>
  <si>
    <t>ENST00000596311</t>
  </si>
  <si>
    <t>O43299</t>
  </si>
  <si>
    <t>ENST00000348624</t>
  </si>
  <si>
    <t>ENST00000469614</t>
  </si>
  <si>
    <t>ENST00000477454</t>
  </si>
  <si>
    <t>ENST00000477680</t>
  </si>
  <si>
    <t>ENST00000491375</t>
  </si>
  <si>
    <t>ENST00000496303</t>
  </si>
  <si>
    <t>O43324</t>
  </si>
  <si>
    <t>ENST00000379715</t>
  </si>
  <si>
    <t>ENST00000429723</t>
  </si>
  <si>
    <t>ENST00000488226</t>
  </si>
  <si>
    <t>ENST00000502429</t>
  </si>
  <si>
    <t>ENST00000507463</t>
  </si>
  <si>
    <t>ENST00000515633</t>
  </si>
  <si>
    <t>O43379</t>
  </si>
  <si>
    <t>ENST00000401500</t>
  </si>
  <si>
    <t>ENST00000587391</t>
  </si>
  <si>
    <t>O43395</t>
  </si>
  <si>
    <t>ENST00000324862</t>
  </si>
  <si>
    <t>ENST00000467329</t>
  </si>
  <si>
    <t>ENST00000467514</t>
  </si>
  <si>
    <t>ENST00000470824</t>
  </si>
  <si>
    <t>ENST00000476970</t>
  </si>
  <si>
    <t>ENST00000493553</t>
  </si>
  <si>
    <t>ENST00000496202</t>
  </si>
  <si>
    <t>O43396</t>
  </si>
  <si>
    <t>ENST00000217515</t>
  </si>
  <si>
    <t>ENST00000585497</t>
  </si>
  <si>
    <t>ENST00000586262</t>
  </si>
  <si>
    <t>ENST00000587807</t>
  </si>
  <si>
    <t>ENST00000588615</t>
  </si>
  <si>
    <t>ENST00000589931</t>
  </si>
  <si>
    <t>O43399</t>
  </si>
  <si>
    <t>ENST00000217121</t>
  </si>
  <si>
    <t>ENST00000346249</t>
  </si>
  <si>
    <t>ENST00000348257</t>
  </si>
  <si>
    <t>ENST00000352482</t>
  </si>
  <si>
    <t>ENST00000474176</t>
  </si>
  <si>
    <t>O43402</t>
  </si>
  <si>
    <t>ENST00000253457</t>
  </si>
  <si>
    <t>ENST00000435200</t>
  </si>
  <si>
    <t>ENST00000595980</t>
  </si>
  <si>
    <t>ENST00000596852</t>
  </si>
  <si>
    <t>ENST00000597291</t>
  </si>
  <si>
    <t>ENST00000600807</t>
  </si>
  <si>
    <t>O43422</t>
  </si>
  <si>
    <t>ENST00000260045</t>
  </si>
  <si>
    <t>ENST00000525277</t>
  </si>
  <si>
    <t>ENST00000528993</t>
  </si>
  <si>
    <t>ENST00000529901</t>
  </si>
  <si>
    <t>O43426</t>
  </si>
  <si>
    <t>ENST00000357345</t>
  </si>
  <si>
    <t>ENST00000382491</t>
  </si>
  <si>
    <t>ENST00000382499</t>
  </si>
  <si>
    <t>ENST00000429236</t>
  </si>
  <si>
    <t>ENST00000456084</t>
  </si>
  <si>
    <t>ENST00000467445</t>
  </si>
  <si>
    <t>O43432</t>
  </si>
  <si>
    <t>ENST00000264211</t>
  </si>
  <si>
    <t>ENST00000356916</t>
  </si>
  <si>
    <t>ENST00000374933</t>
  </si>
  <si>
    <t>ENST00000400422</t>
  </si>
  <si>
    <t>ENST00000411888</t>
  </si>
  <si>
    <t>ENST00000438975</t>
  </si>
  <si>
    <t>ENST00000463775</t>
  </si>
  <si>
    <t>ENST00000485722</t>
  </si>
  <si>
    <t>ENST00000496705</t>
  </si>
  <si>
    <t>O43447</t>
  </si>
  <si>
    <t>ENST00000304979</t>
  </si>
  <si>
    <t>ENST00000372549</t>
  </si>
  <si>
    <t>ENST00000372550</t>
  </si>
  <si>
    <t>ENST00000436387</t>
  </si>
  <si>
    <t>ENST00000440068</t>
  </si>
  <si>
    <t>ENST00000461351</t>
  </si>
  <si>
    <t>O43463</t>
  </si>
  <si>
    <t>ENST00000376687</t>
  </si>
  <si>
    <t>ENST00000462786</t>
  </si>
  <si>
    <t>ENST00000482260</t>
  </si>
  <si>
    <t>O43464</t>
  </si>
  <si>
    <t>ENST00000258080</t>
  </si>
  <si>
    <t>ENST00000462909</t>
  </si>
  <si>
    <t>ENST00000465521</t>
  </si>
  <si>
    <t>ENST00000467961</t>
  </si>
  <si>
    <t>ENST00000482205</t>
  </si>
  <si>
    <t>ENST00000482331</t>
  </si>
  <si>
    <t>ENST00000484352</t>
  </si>
  <si>
    <t>ENST00000484881</t>
  </si>
  <si>
    <t>O43488</t>
  </si>
  <si>
    <t>ENST00000235835</t>
  </si>
  <si>
    <t>ENST00000492217</t>
  </si>
  <si>
    <t>O43504</t>
  </si>
  <si>
    <t>ENST00000256644</t>
  </si>
  <si>
    <t>ENST00000464240</t>
  </si>
  <si>
    <t>ENST00000474861</t>
  </si>
  <si>
    <t>ENST00000483260</t>
  </si>
  <si>
    <t>ENST00000531779</t>
  </si>
  <si>
    <t>ENST00000602318</t>
  </si>
  <si>
    <t>ENST00000602858</t>
  </si>
  <si>
    <t>O43516</t>
  </si>
  <si>
    <t>ENST00000272746</t>
  </si>
  <si>
    <t>ENST00000359761</t>
  </si>
  <si>
    <t>ENST00000392546</t>
  </si>
  <si>
    <t>ENST00000392547</t>
  </si>
  <si>
    <t>ENST00000409415</t>
  </si>
  <si>
    <t>ENST00000409891</t>
  </si>
  <si>
    <t>ENST00000410117</t>
  </si>
  <si>
    <t>ENST00000469002</t>
  </si>
  <si>
    <t>ENST00000470752</t>
  </si>
  <si>
    <t>ENST00000474332</t>
  </si>
  <si>
    <t>ENST00000480400</t>
  </si>
  <si>
    <t>ENST00000487291</t>
  </si>
  <si>
    <t>ENST00000488830</t>
  </si>
  <si>
    <t>O43566</t>
  </si>
  <si>
    <t>ENST00000408923</t>
  </si>
  <si>
    <t>ENST00000425155</t>
  </si>
  <si>
    <t>ENST00000502731</t>
  </si>
  <si>
    <t>ENST00000503044</t>
  </si>
  <si>
    <t>ENST00000504631</t>
  </si>
  <si>
    <t>ENST00000506944</t>
  </si>
  <si>
    <t>ENST00000509289</t>
  </si>
  <si>
    <t>ENST00000511890</t>
  </si>
  <si>
    <t>ENST00000512000</t>
  </si>
  <si>
    <t>ENST00000512490</t>
  </si>
  <si>
    <t>ENST00000514102</t>
  </si>
  <si>
    <t>ENST00000514713</t>
  </si>
  <si>
    <t>O43567</t>
  </si>
  <si>
    <t>ENST00000344229</t>
  </si>
  <si>
    <t>ENST00000361785</t>
  </si>
  <si>
    <t>ENST00000392894</t>
  </si>
  <si>
    <t>ENST00000459632</t>
  </si>
  <si>
    <t>ENST00000468648</t>
  </si>
  <si>
    <t>ENST00000474348</t>
  </si>
  <si>
    <t>ENST00000493238</t>
  </si>
  <si>
    <t>O43572</t>
  </si>
  <si>
    <t>ENST00000225737</t>
  </si>
  <si>
    <t>ENST00000395536</t>
  </si>
  <si>
    <t>ENST00000460046</t>
  </si>
  <si>
    <t>ENST00000474245</t>
  </si>
  <si>
    <t>ENST00000571858</t>
  </si>
  <si>
    <t>ENST00000576896</t>
  </si>
  <si>
    <t>ENST00000582611</t>
  </si>
  <si>
    <t>ENST00000583951</t>
  </si>
  <si>
    <t>O43583</t>
  </si>
  <si>
    <t>ENST00000280557</t>
  </si>
  <si>
    <t>ENST00000537955</t>
  </si>
  <si>
    <t>ENST00000539463</t>
  </si>
  <si>
    <t>O43586</t>
  </si>
  <si>
    <t>ENST00000379595</t>
  </si>
  <si>
    <t>ENST00000558012</t>
  </si>
  <si>
    <t>ENST00000558870</t>
  </si>
  <si>
    <t>ENST00000559750</t>
  </si>
  <si>
    <t>ENST00000559785</t>
  </si>
  <si>
    <t>ENST00000559856</t>
  </si>
  <si>
    <t>ENST00000560064</t>
  </si>
  <si>
    <t>ENST00000560377</t>
  </si>
  <si>
    <t>ENST00000560621</t>
  </si>
  <si>
    <t>ENST00000560796</t>
  </si>
  <si>
    <t>ENST00000561315</t>
  </si>
  <si>
    <t>O43592</t>
  </si>
  <si>
    <t>ENST00000332707</t>
  </si>
  <si>
    <t>ENST00000400935</t>
  </si>
  <si>
    <t>ENST00000538086</t>
  </si>
  <si>
    <t>ENST00000540203</t>
  </si>
  <si>
    <t>ENST00000541842</t>
  </si>
  <si>
    <t>ENST00000542958</t>
  </si>
  <si>
    <t>O43598</t>
  </si>
  <si>
    <t>ENST00000230431</t>
  </si>
  <si>
    <t>ENST00000393987</t>
  </si>
  <si>
    <t>ENST00000505042</t>
  </si>
  <si>
    <t>ENST00000509253</t>
  </si>
  <si>
    <t>O43615</t>
  </si>
  <si>
    <t>ENST00000270538</t>
  </si>
  <si>
    <t>ENST00000595831</t>
  </si>
  <si>
    <t>ENST00000595876</t>
  </si>
  <si>
    <t>ENST00000598481</t>
  </si>
  <si>
    <t>ENST00000598675</t>
  </si>
  <si>
    <t>ENST00000598968</t>
  </si>
  <si>
    <t>ENST00000599650</t>
  </si>
  <si>
    <t>ENST00000599939</t>
  </si>
  <si>
    <t>ENST00000600000</t>
  </si>
  <si>
    <t>ENST00000600748</t>
  </si>
  <si>
    <t>O43617</t>
  </si>
  <si>
    <t>ENST00000373159</t>
  </si>
  <si>
    <t>ENST00000373162</t>
  </si>
  <si>
    <t>ENST00000373166</t>
  </si>
  <si>
    <t>ENST00000462715</t>
  </si>
  <si>
    <t>ENST00000469757</t>
  </si>
  <si>
    <t>ENST00000497251</t>
  </si>
  <si>
    <t>O43633</t>
  </si>
  <si>
    <t>ENST00000312547</t>
  </si>
  <si>
    <t>ENST00000597209</t>
  </si>
  <si>
    <t>ENST00000597848</t>
  </si>
  <si>
    <t>ENST00000600006</t>
  </si>
  <si>
    <t>ENST00000600118</t>
  </si>
  <si>
    <t>ENST00000600804</t>
  </si>
  <si>
    <t>ENST00000601220</t>
  </si>
  <si>
    <t>O43639</t>
  </si>
  <si>
    <t>ENST00000233154</t>
  </si>
  <si>
    <t>ENST00000451463</t>
  </si>
  <si>
    <t>ENST00000522586</t>
  </si>
  <si>
    <t>O43660</t>
  </si>
  <si>
    <t>ENST00000302078</t>
  </si>
  <si>
    <t>ENST00000499023</t>
  </si>
  <si>
    <t>ENST00000503251</t>
  </si>
  <si>
    <t>ENST00000503751</t>
  </si>
  <si>
    <t>ENST00000504341</t>
  </si>
  <si>
    <t>ENST00000506192</t>
  </si>
  <si>
    <t>ENST00000506627</t>
  </si>
  <si>
    <t>ENST00000506918</t>
  </si>
  <si>
    <t>ENST00000507125</t>
  </si>
  <si>
    <t>ENST00000509975</t>
  </si>
  <si>
    <t>ENST00000512719</t>
  </si>
  <si>
    <t>ENST00000512773</t>
  </si>
  <si>
    <t>ENST00000515520</t>
  </si>
  <si>
    <t>O43674</t>
  </si>
  <si>
    <t>ENST00000259037</t>
  </si>
  <si>
    <t>ENST00000359944</t>
  </si>
  <si>
    <t>ENST00000468210</t>
  </si>
  <si>
    <t>ENST00000472629</t>
  </si>
  <si>
    <t>ENST00000476587</t>
  </si>
  <si>
    <t>ENST00000477177</t>
  </si>
  <si>
    <t>ENST00000480374</t>
  </si>
  <si>
    <t>ENST00000482604</t>
  </si>
  <si>
    <t>ENST00000488002</t>
  </si>
  <si>
    <t>ENST00000491054</t>
  </si>
  <si>
    <t>ENST00000493716</t>
  </si>
  <si>
    <t>ENST00000493866</t>
  </si>
  <si>
    <t>ENST00000496904</t>
  </si>
  <si>
    <t>O43676</t>
  </si>
  <si>
    <t>ENST00000237889</t>
  </si>
  <si>
    <t>ENST00000433898</t>
  </si>
  <si>
    <t>ENST00000450023</t>
  </si>
  <si>
    <t>O43677</t>
  </si>
  <si>
    <t>ENST00000394223</t>
  </si>
  <si>
    <t>ENST00000394225</t>
  </si>
  <si>
    <t>ENST00000507764</t>
  </si>
  <si>
    <t>ENST00000539002</t>
  </si>
  <si>
    <t>ENST00000539387</t>
  </si>
  <si>
    <t>ENST00000544855</t>
  </si>
  <si>
    <t>O43678</t>
  </si>
  <si>
    <t>ENST00000252102</t>
  </si>
  <si>
    <t>ENST00000502960</t>
  </si>
  <si>
    <t>ENST00000510680</t>
  </si>
  <si>
    <t>ENST00000512088</t>
  </si>
  <si>
    <t>O43681</t>
  </si>
  <si>
    <t>ENST00000357332</t>
  </si>
  <si>
    <t>ENST00000586561</t>
  </si>
  <si>
    <t>ENST00000590633</t>
  </si>
  <si>
    <t>O43704</t>
  </si>
  <si>
    <t>ENST00000310613</t>
  </si>
  <si>
    <t>O43707</t>
  </si>
  <si>
    <t>ENST00000252699</t>
  </si>
  <si>
    <t>ENST00000440400</t>
  </si>
  <si>
    <t>ENST00000477174</t>
  </si>
  <si>
    <t>ENST00000489451</t>
  </si>
  <si>
    <t>ENST00000497637</t>
  </si>
  <si>
    <t>ENST00000586538</t>
  </si>
  <si>
    <t>ENST00000588618</t>
  </si>
  <si>
    <t>O43709</t>
  </si>
  <si>
    <t>ENST00000265758</t>
  </si>
  <si>
    <t>ENST00000421304</t>
  </si>
  <si>
    <t>ENST00000421744</t>
  </si>
  <si>
    <t>ENST00000423497</t>
  </si>
  <si>
    <t>ENST00000428163</t>
  </si>
  <si>
    <t>ENST00000430270</t>
  </si>
  <si>
    <t>ENST00000430446</t>
  </si>
  <si>
    <t>ENST00000432522</t>
  </si>
  <si>
    <t>ENST00000436944</t>
  </si>
  <si>
    <t>ENST00000441822</t>
  </si>
  <si>
    <t>ENST00000442099</t>
  </si>
  <si>
    <t>ENST00000453316</t>
  </si>
  <si>
    <t>ENST00000463307</t>
  </si>
  <si>
    <t>ENST00000464615</t>
  </si>
  <si>
    <t>ENST00000471215</t>
  </si>
  <si>
    <t>ENST00000478670</t>
  </si>
  <si>
    <t>ENST00000487006</t>
  </si>
  <si>
    <t>ENST00000496153</t>
  </si>
  <si>
    <t>O43715</t>
  </si>
  <si>
    <t>ENST00000302432</t>
  </si>
  <si>
    <t>ENST00000546954</t>
  </si>
  <si>
    <t>O43716</t>
  </si>
  <si>
    <t>ENST00000229384</t>
  </si>
  <si>
    <t>ENST00000548171</t>
  </si>
  <si>
    <t>ENST00000551765</t>
  </si>
  <si>
    <t>O43719</t>
  </si>
  <si>
    <t>ENST00000218364</t>
  </si>
  <si>
    <t>ENST00000425695</t>
  </si>
  <si>
    <t>ENST00000448450</t>
  </si>
  <si>
    <t>ENST00000535601</t>
  </si>
  <si>
    <t>O43747</t>
  </si>
  <si>
    <t>ENST00000299980</t>
  </si>
  <si>
    <t>ENST00000393512</t>
  </si>
  <si>
    <t>ENST00000450149</t>
  </si>
  <si>
    <t>ENST00000562934</t>
  </si>
  <si>
    <t>ENST00000563104</t>
  </si>
  <si>
    <t>ENST00000563259</t>
  </si>
  <si>
    <t>ENST00000564155</t>
  </si>
  <si>
    <t>ENST00000565009</t>
  </si>
  <si>
    <t>ENST00000566161</t>
  </si>
  <si>
    <t>ENST00000567583</t>
  </si>
  <si>
    <t>ENST00000569044</t>
  </si>
  <si>
    <t>ENST00000569748</t>
  </si>
  <si>
    <t>ENST00000569975</t>
  </si>
  <si>
    <t>ENST00000570052</t>
  </si>
  <si>
    <t>O43752</t>
  </si>
  <si>
    <t>ENST00000258301</t>
  </si>
  <si>
    <t>ENST00000469135</t>
  </si>
  <si>
    <t>ENST00000496476</t>
  </si>
  <si>
    <t>O43760</t>
  </si>
  <si>
    <t>ENST00000225777</t>
  </si>
  <si>
    <t>ENST00000588282</t>
  </si>
  <si>
    <t>ENST00000589168</t>
  </si>
  <si>
    <t>ENST00000590201</t>
  </si>
  <si>
    <t>ENST00000591770</t>
  </si>
  <si>
    <t>ENST00000592456</t>
  </si>
  <si>
    <t>O43765</t>
  </si>
  <si>
    <t>ENST00000221566</t>
  </si>
  <si>
    <t>ENST00000591984</t>
  </si>
  <si>
    <t>O43768</t>
  </si>
  <si>
    <t>ENST00000271690</t>
  </si>
  <si>
    <t>ENST00000339643</t>
  </si>
  <si>
    <t>ENST00000361532</t>
  </si>
  <si>
    <t>ENST00000361631</t>
  </si>
  <si>
    <t>ENST00000362052</t>
  </si>
  <si>
    <t>ENST00000369014</t>
  </si>
  <si>
    <t>ENST00000369016</t>
  </si>
  <si>
    <t>ENST00000503241</t>
  </si>
  <si>
    <t>ENST00000503345</t>
  </si>
  <si>
    <t>ENST00000505321</t>
  </si>
  <si>
    <t>ENST00000513281</t>
  </si>
  <si>
    <t>O43772</t>
  </si>
  <si>
    <t>ENST00000319017</t>
  </si>
  <si>
    <t>ENST00000479050</t>
  </si>
  <si>
    <t>O43776</t>
  </si>
  <si>
    <t>ENST00000256854</t>
  </si>
  <si>
    <t>ENST00000411676</t>
  </si>
  <si>
    <t>ENST00000587366</t>
  </si>
  <si>
    <t>ENST00000587675</t>
  </si>
  <si>
    <t>ENST00000589314</t>
  </si>
  <si>
    <t>ENST00000590123</t>
  </si>
  <si>
    <t>O43805</t>
  </si>
  <si>
    <t>ENST00000322310</t>
  </si>
  <si>
    <t>ENST00000459860</t>
  </si>
  <si>
    <t>ENST00000463511</t>
  </si>
  <si>
    <t>ENST00000464553</t>
  </si>
  <si>
    <t>O43809</t>
  </si>
  <si>
    <t>ENST00000300291</t>
  </si>
  <si>
    <t>ENST00000563362</t>
  </si>
  <si>
    <t>ENST00000563860</t>
  </si>
  <si>
    <t>ENST00000567110</t>
  </si>
  <si>
    <t>O43813</t>
  </si>
  <si>
    <t>ENST00000233714</t>
  </si>
  <si>
    <t>ENST00000412863</t>
  </si>
  <si>
    <t>ENST00000431941</t>
  </si>
  <si>
    <t>ENST00000443314</t>
  </si>
  <si>
    <t>ENST00000450366</t>
  </si>
  <si>
    <t>O43815</t>
  </si>
  <si>
    <t>ENST00000263918</t>
  </si>
  <si>
    <t>O43818</t>
  </si>
  <si>
    <t>ENST00000232888</t>
  </si>
  <si>
    <t>O43819</t>
  </si>
  <si>
    <t>ENST00000395693</t>
  </si>
  <si>
    <t>ENST00000423348</t>
  </si>
  <si>
    <t>ENST00000439934</t>
  </si>
  <si>
    <t>ENST00000535425</t>
  </si>
  <si>
    <t>ENST00000543927</t>
  </si>
  <si>
    <t>O43823</t>
  </si>
  <si>
    <t>ENST00000269701</t>
  </si>
  <si>
    <t>ENST00000537303</t>
  </si>
  <si>
    <t>ENST00000595416</t>
  </si>
  <si>
    <t>ENST00000598597</t>
  </si>
  <si>
    <t>O43824</t>
  </si>
  <si>
    <t>ENST00000326153</t>
  </si>
  <si>
    <t>ENST00000485332</t>
  </si>
  <si>
    <t>O43829</t>
  </si>
  <si>
    <t>ENST00000357006</t>
  </si>
  <si>
    <t>ENST00000400143</t>
  </si>
  <si>
    <t>ENST00000578327</t>
  </si>
  <si>
    <t>ENST00000582388</t>
  </si>
  <si>
    <t>ENST00000585253</t>
  </si>
  <si>
    <t>O43837</t>
  </si>
  <si>
    <t>ENST00000380843</t>
  </si>
  <si>
    <t>ENST00000380851</t>
  </si>
  <si>
    <t>ENST00000462967</t>
  </si>
  <si>
    <t>ENST00000466494</t>
  </si>
  <si>
    <t>ENST00000466999</t>
  </si>
  <si>
    <t>ENST00000477689</t>
  </si>
  <si>
    <t>ENST00000479376</t>
  </si>
  <si>
    <t>ENST00000488299</t>
  </si>
  <si>
    <t>ENST00000491065</t>
  </si>
  <si>
    <t>ENST00000492240</t>
  </si>
  <si>
    <t>O43847</t>
  </si>
  <si>
    <t>ENST00000352171</t>
  </si>
  <si>
    <t>ENST00000354831</t>
  </si>
  <si>
    <t>ENST00000464385</t>
  </si>
  <si>
    <t>ENST00000473805</t>
  </si>
  <si>
    <t>ENST00000475310</t>
  </si>
  <si>
    <t>ENST00000483007</t>
  </si>
  <si>
    <t>ENST00000485608</t>
  </si>
  <si>
    <t>ENST00000491410</t>
  </si>
  <si>
    <t>ENST00000539524</t>
  </si>
  <si>
    <t>ENST00000544028</t>
  </si>
  <si>
    <t>O43852</t>
  </si>
  <si>
    <t>ENST00000249364</t>
  </si>
  <si>
    <t>ENST00000449187</t>
  </si>
  <si>
    <t>ENST00000479257</t>
  </si>
  <si>
    <t>ENST00000493278</t>
  </si>
  <si>
    <t>ENST00000535011</t>
  </si>
  <si>
    <t>ENST00000542996</t>
  </si>
  <si>
    <t>O43865</t>
  </si>
  <si>
    <t>ENST00000369799</t>
  </si>
  <si>
    <t>ENST00000469401</t>
  </si>
  <si>
    <t>ENST00000475081</t>
  </si>
  <si>
    <t>ENST00000481423</t>
  </si>
  <si>
    <t>O43896</t>
  </si>
  <si>
    <t>ENST00000320785</t>
  </si>
  <si>
    <t>ENST00000572959</t>
  </si>
  <si>
    <t>ENST00000574165</t>
  </si>
  <si>
    <t>O43900</t>
  </si>
  <si>
    <t>ENST00000376310</t>
  </si>
  <si>
    <t>ENST00000376317</t>
  </si>
  <si>
    <t>ENST00000453382</t>
  </si>
  <si>
    <t>O43913</t>
  </si>
  <si>
    <t>ENST00000297431</t>
  </si>
  <si>
    <t>ENST00000447452</t>
  </si>
  <si>
    <t>ENST00000463152</t>
  </si>
  <si>
    <t>ENST00000477223</t>
  </si>
  <si>
    <t>ENST00000485726</t>
  </si>
  <si>
    <t>O43920</t>
  </si>
  <si>
    <t>ENST00000372967</t>
  </si>
  <si>
    <t>ENST00000372969</t>
  </si>
  <si>
    <t>O43924</t>
  </si>
  <si>
    <t>ENST00000287600</t>
  </si>
  <si>
    <t>ENST00000409772</t>
  </si>
  <si>
    <t>ENST00000428104</t>
  </si>
  <si>
    <t>ENST00000477748</t>
  </si>
  <si>
    <t>ENST00000486044</t>
  </si>
  <si>
    <t>O43929</t>
  </si>
  <si>
    <t>ENST00000264169</t>
  </si>
  <si>
    <t>ENST00000392857</t>
  </si>
  <si>
    <t>ENST00000416719</t>
  </si>
  <si>
    <t>ENST00000440042</t>
  </si>
  <si>
    <t>ENST00000457954</t>
  </si>
  <si>
    <t>ENST00000478904</t>
  </si>
  <si>
    <t>ENST00000481488</t>
  </si>
  <si>
    <t>ENST00000483608</t>
  </si>
  <si>
    <t>ENST00000488761</t>
  </si>
  <si>
    <t>ENST00000495601</t>
  </si>
  <si>
    <t>ENST00000535373</t>
  </si>
  <si>
    <t>O60216</t>
  </si>
  <si>
    <t>ENST00000297338</t>
  </si>
  <si>
    <t>ENST00000517485</t>
  </si>
  <si>
    <t>ENST00000517749</t>
  </si>
  <si>
    <t>ENST00000518055</t>
  </si>
  <si>
    <t>ENST00000519469</t>
  </si>
  <si>
    <t>ENST00000520992</t>
  </si>
  <si>
    <t>ENST00000523547</t>
  </si>
  <si>
    <t>ENST00000523986</t>
  </si>
  <si>
    <t>O60220</t>
  </si>
  <si>
    <t>ENST00000372902</t>
  </si>
  <si>
    <t>ENST00000480575</t>
  </si>
  <si>
    <t>O60231</t>
  </si>
  <si>
    <t>ENST00000376437</t>
  </si>
  <si>
    <t>ENST00000376442</t>
  </si>
  <si>
    <t>ENST00000480966</t>
  </si>
  <si>
    <t>O60232</t>
  </si>
  <si>
    <t>ENST00000527413</t>
  </si>
  <si>
    <t>ENST00000527920</t>
  </si>
  <si>
    <t>ENST00000531405</t>
  </si>
  <si>
    <t>O60234</t>
  </si>
  <si>
    <t>ENST00000253054</t>
  </si>
  <si>
    <t>ENST00000594700</t>
  </si>
  <si>
    <t>ENST00000595207</t>
  </si>
  <si>
    <t>ENST00000595636</t>
  </si>
  <si>
    <t>ENST00000596583</t>
  </si>
  <si>
    <t>ENST00000597595</t>
  </si>
  <si>
    <t>ENST00000598034</t>
  </si>
  <si>
    <t>ENST00000598218</t>
  </si>
  <si>
    <t>ENST00000601387</t>
  </si>
  <si>
    <t>ENST00000602185</t>
  </si>
  <si>
    <t>O60244</t>
  </si>
  <si>
    <t>ENST00000324817</t>
  </si>
  <si>
    <t>ENST00000416199</t>
  </si>
  <si>
    <t>ENST00000433003</t>
  </si>
  <si>
    <t>ENST00000463072</t>
  </si>
  <si>
    <t>ENST00000472736</t>
  </si>
  <si>
    <t>ENST00000482034</t>
  </si>
  <si>
    <t>ENST00000492219</t>
  </si>
  <si>
    <t>ENST00000495865</t>
  </si>
  <si>
    <t>O60256</t>
  </si>
  <si>
    <t>ENST00000268835</t>
  </si>
  <si>
    <t>ENST00000395656</t>
  </si>
  <si>
    <t>ENST00000412418</t>
  </si>
  <si>
    <t>ENST00000419284</t>
  </si>
  <si>
    <t>ENST00000422237</t>
  </si>
  <si>
    <t>ENST00000455992</t>
  </si>
  <si>
    <t>ENST00000460724</t>
  </si>
  <si>
    <t>ENST00000466106</t>
  </si>
  <si>
    <t>ENST00000478622</t>
  </si>
  <si>
    <t>ENST00000536323</t>
  </si>
  <si>
    <t>ENST00000574451</t>
  </si>
  <si>
    <t>ENST00000575228</t>
  </si>
  <si>
    <t>ENST00000575337</t>
  </si>
  <si>
    <t>ENST00000576355</t>
  </si>
  <si>
    <t>O60264</t>
  </si>
  <si>
    <t>ENST00000283131</t>
  </si>
  <si>
    <t>ENST00000508573</t>
  </si>
  <si>
    <t>ENST00000515531</t>
  </si>
  <si>
    <t>O60271</t>
  </si>
  <si>
    <t>ENST00000262013</t>
  </si>
  <si>
    <t>ENST00000357122</t>
  </si>
  <si>
    <t>ENST00000502329</t>
  </si>
  <si>
    <t>ENST00000505173</t>
  </si>
  <si>
    <t>ENST00000506483</t>
  </si>
  <si>
    <t>ENST00000506500</t>
  </si>
  <si>
    <t>ENST00000510283</t>
  </si>
  <si>
    <t>ENST00000511312</t>
  </si>
  <si>
    <t>ENST00000511795</t>
  </si>
  <si>
    <t>ENST00000511987</t>
  </si>
  <si>
    <t>ENST00000513827</t>
  </si>
  <si>
    <t>ENST00000513906</t>
  </si>
  <si>
    <t>ENST00000514205</t>
  </si>
  <si>
    <t>ENST00000514613</t>
  </si>
  <si>
    <t>ENST00000515685</t>
  </si>
  <si>
    <t>O60281</t>
  </si>
  <si>
    <t>ENST00000369577</t>
  </si>
  <si>
    <t>ENST00000369578</t>
  </si>
  <si>
    <t>ENST00000392985</t>
  </si>
  <si>
    <t>O60282</t>
  </si>
  <si>
    <t>ENST00000435030</t>
  </si>
  <si>
    <t>ENST00000460377</t>
  </si>
  <si>
    <t>ENST00000482151</t>
  </si>
  <si>
    <t>O60287</t>
  </si>
  <si>
    <t>ENST00000382751</t>
  </si>
  <si>
    <t>ENST00000480196</t>
  </si>
  <si>
    <t>O60292</t>
  </si>
  <si>
    <t>ENST00000222345</t>
  </si>
  <si>
    <t>ENST00000594553</t>
  </si>
  <si>
    <t>ENST00000595495</t>
  </si>
  <si>
    <t>ENST00000596403</t>
  </si>
  <si>
    <t>ENST00000599644</t>
  </si>
  <si>
    <t>ENST00000600919</t>
  </si>
  <si>
    <t>ENST00000601054</t>
  </si>
  <si>
    <t>ENST00000601222</t>
  </si>
  <si>
    <t>ENST00000601881</t>
  </si>
  <si>
    <t>O60294</t>
  </si>
  <si>
    <t>ENST00000305641</t>
  </si>
  <si>
    <t>O60306</t>
  </si>
  <si>
    <t>ENST00000156471</t>
  </si>
  <si>
    <t>ENST00000543879</t>
  </si>
  <si>
    <t>ENST00000558202</t>
  </si>
  <si>
    <t>ENST00000559090</t>
  </si>
  <si>
    <t>ENST00000559767</t>
  </si>
  <si>
    <t>ENST00000560117</t>
  </si>
  <si>
    <t>O60307</t>
  </si>
  <si>
    <t>ENST00000601226</t>
  </si>
  <si>
    <t>ENST00000608648</t>
  </si>
  <si>
    <t>O60318</t>
  </si>
  <si>
    <t>ENST00000291688</t>
  </si>
  <si>
    <t>ENST00000426537</t>
  </si>
  <si>
    <t>ENST00000467026</t>
  </si>
  <si>
    <t>ENST00000479557</t>
  </si>
  <si>
    <t>ENST00000481113</t>
  </si>
  <si>
    <t>ENST00000486937</t>
  </si>
  <si>
    <t>ENST00000494755</t>
  </si>
  <si>
    <t>ENST00000495475</t>
  </si>
  <si>
    <t>ENST00000496607</t>
  </si>
  <si>
    <t>O60341</t>
  </si>
  <si>
    <t>ENST00000356634</t>
  </si>
  <si>
    <t>ENST00000400181</t>
  </si>
  <si>
    <t>ENST00000465864</t>
  </si>
  <si>
    <t>ENST00000481879</t>
  </si>
  <si>
    <t>ENST00000494920</t>
  </si>
  <si>
    <t>ENST00000602503</t>
  </si>
  <si>
    <t>O60449</t>
  </si>
  <si>
    <t>ENST00000263636</t>
  </si>
  <si>
    <t>ENST00000484559</t>
  </si>
  <si>
    <t>ENST00000492955</t>
  </si>
  <si>
    <t>O60476</t>
  </si>
  <si>
    <t>ENST00000356554</t>
  </si>
  <si>
    <t>ENST00000421535</t>
  </si>
  <si>
    <t>ENST00000422329</t>
  </si>
  <si>
    <t>ENST00000449370</t>
  </si>
  <si>
    <t>O60486</t>
  </si>
  <si>
    <t>ENST00000258526</t>
  </si>
  <si>
    <t>ENST00000545312</t>
  </si>
  <si>
    <t>ENST00000546659</t>
  </si>
  <si>
    <t>ENST00000547057</t>
  </si>
  <si>
    <t>ENST00000549187</t>
  </si>
  <si>
    <t>ENST00000551495</t>
  </si>
  <si>
    <t>O60493</t>
  </si>
  <si>
    <t>ENST00000230085</t>
  </si>
  <si>
    <t>ENST00000349379</t>
  </si>
  <si>
    <t>ENST00000368979</t>
  </si>
  <si>
    <t>ENST00000426155</t>
  </si>
  <si>
    <t>O60496</t>
  </si>
  <si>
    <t>ENST00000276420</t>
  </si>
  <si>
    <t>ENST00000518197</t>
  </si>
  <si>
    <t>ENST00000522011</t>
  </si>
  <si>
    <t>ENST00000523932</t>
  </si>
  <si>
    <t>ENST00000524001</t>
  </si>
  <si>
    <t>O60499</t>
  </si>
  <si>
    <t>ENST00000242770</t>
  </si>
  <si>
    <t>ENST00000587230</t>
  </si>
  <si>
    <t>ENST00000588848</t>
  </si>
  <si>
    <t>ENST00000589083</t>
  </si>
  <si>
    <t>ENST00000591197</t>
  </si>
  <si>
    <t>ENST00000591415</t>
  </si>
  <si>
    <t>O60506</t>
  </si>
  <si>
    <t>ENST00000355238</t>
  </si>
  <si>
    <t>ENST00000369622</t>
  </si>
  <si>
    <t>O60508</t>
  </si>
  <si>
    <t>ENST00000307731</t>
  </si>
  <si>
    <t>ENST00000368932</t>
  </si>
  <si>
    <t>ENST00000431461</t>
  </si>
  <si>
    <t>ENST00000445340</t>
  </si>
  <si>
    <t>ENST00000606893</t>
  </si>
  <si>
    <t>O60516</t>
  </si>
  <si>
    <t>ENST00000310331</t>
  </si>
  <si>
    <t>O60547</t>
  </si>
  <si>
    <t>ENST00000380805</t>
  </si>
  <si>
    <t>ENST00000380815</t>
  </si>
  <si>
    <t>ENST00000467288</t>
  </si>
  <si>
    <t>ENST00000476972</t>
  </si>
  <si>
    <t>ENST00000486793</t>
  </si>
  <si>
    <t>ENST00000530075</t>
  </si>
  <si>
    <t>ENST00000531690</t>
  </si>
  <si>
    <t>O60551</t>
  </si>
  <si>
    <t>ENST00000378150</t>
  </si>
  <si>
    <t>ENST00000378165</t>
  </si>
  <si>
    <t>ENST00000466201</t>
  </si>
  <si>
    <t>ENST00000478580</t>
  </si>
  <si>
    <t>ENST00000486786</t>
  </si>
  <si>
    <t>O60563</t>
  </si>
  <si>
    <t>ENST00000261900</t>
  </si>
  <si>
    <t>ENST00000417344</t>
  </si>
  <si>
    <t>ENST00000550457</t>
  </si>
  <si>
    <t>ENST00000551989</t>
  </si>
  <si>
    <t>O60566</t>
  </si>
  <si>
    <t>ENST00000287598</t>
  </si>
  <si>
    <t>O60568</t>
  </si>
  <si>
    <t>ENST00000223127</t>
  </si>
  <si>
    <t>ENST00000424135</t>
  </si>
  <si>
    <t>ENST00000460132</t>
  </si>
  <si>
    <t>ENST00000460475</t>
  </si>
  <si>
    <t>ENST00000463479</t>
  </si>
  <si>
    <t>ENST00000466881</t>
  </si>
  <si>
    <t>ENST00000478082</t>
  </si>
  <si>
    <t>ENST00000478264</t>
  </si>
  <si>
    <t>ENST00000487563</t>
  </si>
  <si>
    <t>ENST00000489927</t>
  </si>
  <si>
    <t>O60603</t>
  </si>
  <si>
    <t>ENST00000260010</t>
  </si>
  <si>
    <t>O60613</t>
  </si>
  <si>
    <t>ENST00000331835</t>
  </si>
  <si>
    <t>ENST00000370554</t>
  </si>
  <si>
    <t>ENST00000401030</t>
  </si>
  <si>
    <t>ENST00000467557</t>
  </si>
  <si>
    <t>ENST00000469566</t>
  </si>
  <si>
    <t>ENST00000497861</t>
  </si>
  <si>
    <t>O60664</t>
  </si>
  <si>
    <t>ENST00000221957</t>
  </si>
  <si>
    <t>ENST00000585479</t>
  </si>
  <si>
    <t>ENST00000587462</t>
  </si>
  <si>
    <t>O60669</t>
  </si>
  <si>
    <t>ENST00000547379</t>
  </si>
  <si>
    <t>ENST00000549033</t>
  </si>
  <si>
    <t>ENST00000549465</t>
  </si>
  <si>
    <t>ENST00000552432</t>
  </si>
  <si>
    <t>O60671</t>
  </si>
  <si>
    <t>ENST00000325577</t>
  </si>
  <si>
    <t>ENST00000382038</t>
  </si>
  <si>
    <t>ENST00000506311</t>
  </si>
  <si>
    <t>ENST00000512192</t>
  </si>
  <si>
    <t>ENST00000513914</t>
  </si>
  <si>
    <t>O60674</t>
  </si>
  <si>
    <t>ENST00000381652</t>
  </si>
  <si>
    <t>ENST00000487310</t>
  </si>
  <si>
    <t>O60675</t>
  </si>
  <si>
    <t>ENST00000343242</t>
  </si>
  <si>
    <t>ENST00000403150</t>
  </si>
  <si>
    <t>ENST00000406174</t>
  </si>
  <si>
    <t>O60678</t>
  </si>
  <si>
    <t>ENST00000330796</t>
  </si>
  <si>
    <t>ENST00000331079</t>
  </si>
  <si>
    <t>ENST00000526583</t>
  </si>
  <si>
    <t>ENST00000529592</t>
  </si>
  <si>
    <t>O60684</t>
  </si>
  <si>
    <t>ENST00000373625</t>
  </si>
  <si>
    <t>ENST00000469790</t>
  </si>
  <si>
    <t>O60701</t>
  </si>
  <si>
    <t>ENST00000316423</t>
  </si>
  <si>
    <t>ENST00000509391</t>
  </si>
  <si>
    <t>ENST00000515021</t>
  </si>
  <si>
    <t>O60711</t>
  </si>
  <si>
    <t>ENST00000395074</t>
  </si>
  <si>
    <t>ENST00000528489</t>
  </si>
  <si>
    <t>ENST00000528954</t>
  </si>
  <si>
    <t>ENST00000529915</t>
  </si>
  <si>
    <t>ENST00000530561</t>
  </si>
  <si>
    <t>O60759</t>
  </si>
  <si>
    <t>ENST00000264192</t>
  </si>
  <si>
    <t>ENST00000418920</t>
  </si>
  <si>
    <t>ENST00000462109</t>
  </si>
  <si>
    <t>ENST00000483929</t>
  </si>
  <si>
    <t>O60762</t>
  </si>
  <si>
    <t>ENST00000371582</t>
  </si>
  <si>
    <t>ENST00000371584</t>
  </si>
  <si>
    <t>ENST00000371588</t>
  </si>
  <si>
    <t>ENST00000466152</t>
  </si>
  <si>
    <t>O60763</t>
  </si>
  <si>
    <t>ENST00000264904</t>
  </si>
  <si>
    <t>ENST00000508454</t>
  </si>
  <si>
    <t>ENST00000512893</t>
  </si>
  <si>
    <t>O60783</t>
  </si>
  <si>
    <t>ENST00000367677</t>
  </si>
  <si>
    <t>ENST00000476371</t>
  </si>
  <si>
    <t>ENST00000498253</t>
  </si>
  <si>
    <t>O60826</t>
  </si>
  <si>
    <t>ENST00000376227</t>
  </si>
  <si>
    <t>ENST00000490300</t>
  </si>
  <si>
    <t>ENST00000496651</t>
  </si>
  <si>
    <t>O60831</t>
  </si>
  <si>
    <t>ENST00000376386</t>
  </si>
  <si>
    <t>O60832</t>
  </si>
  <si>
    <t>ENST00000369550</t>
  </si>
  <si>
    <t>ENST00000426673</t>
  </si>
  <si>
    <t>ENST00000473552</t>
  </si>
  <si>
    <t>ENST00000475423</t>
  </si>
  <si>
    <t>ENST00000475966</t>
  </si>
  <si>
    <t>ENST00000481062</t>
  </si>
  <si>
    <t>ENST00000484317</t>
  </si>
  <si>
    <t>ENST00000492372</t>
  </si>
  <si>
    <t>O60841</t>
  </si>
  <si>
    <t>ENST00000289371</t>
  </si>
  <si>
    <t>ENST00000470023</t>
  </si>
  <si>
    <t>ENST00000470868</t>
  </si>
  <si>
    <t>ENST00000494190</t>
  </si>
  <si>
    <t>O60869</t>
  </si>
  <si>
    <t>ENST00000224073</t>
  </si>
  <si>
    <t>ENST00000371648</t>
  </si>
  <si>
    <t>ENST00000371649</t>
  </si>
  <si>
    <t>O60870</t>
  </si>
  <si>
    <t>ENST00000379562</t>
  </si>
  <si>
    <t>ENST00000460089</t>
  </si>
  <si>
    <t>ENST00000471320</t>
  </si>
  <si>
    <t>ENST00000498098</t>
  </si>
  <si>
    <t>O60880</t>
  </si>
  <si>
    <t>ENST00000360027</t>
  </si>
  <si>
    <t>ENST00000371139</t>
  </si>
  <si>
    <t>O60884</t>
  </si>
  <si>
    <t>ENST00000317089</t>
  </si>
  <si>
    <t>ENST00000563158</t>
  </si>
  <si>
    <t>ENST00000569553</t>
  </si>
  <si>
    <t>O60885</t>
  </si>
  <si>
    <t>ENST00000360016</t>
  </si>
  <si>
    <t>ENST00000594842</t>
  </si>
  <si>
    <t>ENST00000595926</t>
  </si>
  <si>
    <t>ENST00000597315</t>
  </si>
  <si>
    <t>ENST00000601071</t>
  </si>
  <si>
    <t>O60906</t>
  </si>
  <si>
    <t>ENST00000258052</t>
  </si>
  <si>
    <t>ENST00000439615</t>
  </si>
  <si>
    <t>ENST00000458487</t>
  </si>
  <si>
    <t>O60921</t>
  </si>
  <si>
    <t>ENST00000258774</t>
  </si>
  <si>
    <t>ENST00000432325</t>
  </si>
  <si>
    <t>ENST00000433977</t>
  </si>
  <si>
    <t>ENST00000436444</t>
  </si>
  <si>
    <t>ENST00000442024</t>
  </si>
  <si>
    <t>ENST00000446009</t>
  </si>
  <si>
    <t>ENST00000458191</t>
  </si>
  <si>
    <t>ENST00000468868</t>
  </si>
  <si>
    <t>O60925</t>
  </si>
  <si>
    <t>ENST00000261813</t>
  </si>
  <si>
    <t>ENST00000507185</t>
  </si>
  <si>
    <t>ENST00000510217</t>
  </si>
  <si>
    <t>ENST00000512707</t>
  </si>
  <si>
    <t>ENST00000514611</t>
  </si>
  <si>
    <t>ENST00000524074</t>
  </si>
  <si>
    <t>O60927</t>
  </si>
  <si>
    <t>ENST00000376758</t>
  </si>
  <si>
    <t>ENST00000376765</t>
  </si>
  <si>
    <t>ENST00000376769</t>
  </si>
  <si>
    <t>ENST00000376772</t>
  </si>
  <si>
    <t>ENST00000376773</t>
  </si>
  <si>
    <t>O60930</t>
  </si>
  <si>
    <t>ENST00000315212</t>
  </si>
  <si>
    <t>ENST00000436842</t>
  </si>
  <si>
    <t>ENST00000464986</t>
  </si>
  <si>
    <t>O60934</t>
  </si>
  <si>
    <t>ENST00000265433</t>
  </si>
  <si>
    <t>ENST00000396252</t>
  </si>
  <si>
    <t>ENST00000474821</t>
  </si>
  <si>
    <t>ENST00000494804</t>
  </si>
  <si>
    <t>ENST00000517772</t>
  </si>
  <si>
    <t>ENST00000520325</t>
  </si>
  <si>
    <t>ENST00000523444</t>
  </si>
  <si>
    <t>O60942</t>
  </si>
  <si>
    <t>ENST00000369475</t>
  </si>
  <si>
    <t>ENST00000369485</t>
  </si>
  <si>
    <t>O75027</t>
  </si>
  <si>
    <t>ENST00000253577</t>
  </si>
  <si>
    <t>ENST00000373394</t>
  </si>
  <si>
    <t>ENST00000469368</t>
  </si>
  <si>
    <t>ENST00000490858</t>
  </si>
  <si>
    <t>ENST00000534570</t>
  </si>
  <si>
    <t>O75063</t>
  </si>
  <si>
    <t>ENST00000263733</t>
  </si>
  <si>
    <t>O75064</t>
  </si>
  <si>
    <t>ENST00000361217</t>
  </si>
  <si>
    <t>ENST00000368646</t>
  </si>
  <si>
    <t>ENST00000462423</t>
  </si>
  <si>
    <t>ENST00000464048</t>
  </si>
  <si>
    <t>ENST00000472932</t>
  </si>
  <si>
    <t>ENST00000477746</t>
  </si>
  <si>
    <t>ENST00000480340</t>
  </si>
  <si>
    <t>ENST00000483561</t>
  </si>
  <si>
    <t>ENST00000485359</t>
  </si>
  <si>
    <t>ENST00000492898</t>
  </si>
  <si>
    <t>ENST00000531748</t>
  </si>
  <si>
    <t>O75083</t>
  </si>
  <si>
    <t>ENST00000264785</t>
  </si>
  <si>
    <t>ENST00000382451</t>
  </si>
  <si>
    <t>ENST00000382452</t>
  </si>
  <si>
    <t>ENST00000499869</t>
  </si>
  <si>
    <t>ENST00000502702</t>
  </si>
  <si>
    <t>ENST00000505543</t>
  </si>
  <si>
    <t>ENST00000508079</t>
  </si>
  <si>
    <t>ENST00000509600</t>
  </si>
  <si>
    <t>ENST00000509695</t>
  </si>
  <si>
    <t>ENST00000514319</t>
  </si>
  <si>
    <t>ENST00000515018</t>
  </si>
  <si>
    <t>ENST00000515743</t>
  </si>
  <si>
    <t>O75113</t>
  </si>
  <si>
    <t>ENST00000262384</t>
  </si>
  <si>
    <t>ENST00000564124</t>
  </si>
  <si>
    <t>ENST00000565423</t>
  </si>
  <si>
    <t>ENST00000565638</t>
  </si>
  <si>
    <t>ENST00000569027</t>
  </si>
  <si>
    <t>O75116</t>
  </si>
  <si>
    <t>ENST00000315872</t>
  </si>
  <si>
    <t>ENST00000460262</t>
  </si>
  <si>
    <t>ENST00000484951</t>
  </si>
  <si>
    <t>ENST00000493096</t>
  </si>
  <si>
    <t>O75127</t>
  </si>
  <si>
    <t>ENST00000292478</t>
  </si>
  <si>
    <t>ENST00000485746</t>
  </si>
  <si>
    <t>O75131</t>
  </si>
  <si>
    <t>ENST00000517354</t>
  </si>
  <si>
    <t>ENST00000517490</t>
  </si>
  <si>
    <t>ENST00000517862</t>
  </si>
  <si>
    <t>ENST00000523588</t>
  </si>
  <si>
    <t>O75146</t>
  </si>
  <si>
    <t>ENST00000253083</t>
  </si>
  <si>
    <t>ENST00000452196</t>
  </si>
  <si>
    <t>ENST00000536617</t>
  </si>
  <si>
    <t>ENST00000536772</t>
  </si>
  <si>
    <t>ENST00000536847</t>
  </si>
  <si>
    <t>ENST00000538236</t>
  </si>
  <si>
    <t>ENST00000541712</t>
  </si>
  <si>
    <t>O75150</t>
  </si>
  <si>
    <t>ENST00000324685</t>
  </si>
  <si>
    <t>ENST00000493683</t>
  </si>
  <si>
    <t>ENST00000563683</t>
  </si>
  <si>
    <t>ENST00000564260</t>
  </si>
  <si>
    <t>ENST00000566703</t>
  </si>
  <si>
    <t>ENST00000566811</t>
  </si>
  <si>
    <t>ENST00000567365</t>
  </si>
  <si>
    <t>O75151</t>
  </si>
  <si>
    <t>ENST00000359246</t>
  </si>
  <si>
    <t>ENST00000375376</t>
  </si>
  <si>
    <t>O75152</t>
  </si>
  <si>
    <t>ENST00000332127</t>
  </si>
  <si>
    <t>ENST00000367212</t>
  </si>
  <si>
    <t>ENST00000367214</t>
  </si>
  <si>
    <t>ENST00000461980</t>
  </si>
  <si>
    <t>ENST00000466470</t>
  </si>
  <si>
    <t>ENST00000480354</t>
  </si>
  <si>
    <t>ENST00000488411</t>
  </si>
  <si>
    <t>ENST00000492823</t>
  </si>
  <si>
    <t>ENST00000495527</t>
  </si>
  <si>
    <t>ENST00000545588</t>
  </si>
  <si>
    <t>O75153</t>
  </si>
  <si>
    <t>ENST00000435359</t>
  </si>
  <si>
    <t>ENST00000571539</t>
  </si>
  <si>
    <t>ENST00000572014</t>
  </si>
  <si>
    <t>ENST00000573641</t>
  </si>
  <si>
    <t>ENST00000574166</t>
  </si>
  <si>
    <t>ENST00000574210</t>
  </si>
  <si>
    <t>ENST00000574426</t>
  </si>
  <si>
    <t>ENST00000575014</t>
  </si>
  <si>
    <t>ENST00000575624</t>
  </si>
  <si>
    <t>O75165</t>
  </si>
  <si>
    <t>ENST00000260818</t>
  </si>
  <si>
    <t>ENST00000463038</t>
  </si>
  <si>
    <t>ENST00000464766</t>
  </si>
  <si>
    <t>ENST00000471925</t>
  </si>
  <si>
    <t>ENST00000486798</t>
  </si>
  <si>
    <t>ENST00000506813</t>
  </si>
  <si>
    <t>ENST00000509279</t>
  </si>
  <si>
    <t>ENST00000513822</t>
  </si>
  <si>
    <t>O75175</t>
  </si>
  <si>
    <t>ENST00000221232</t>
  </si>
  <si>
    <t>ENST00000440571</t>
  </si>
  <si>
    <t>ENST00000447684</t>
  </si>
  <si>
    <t>ENST00000457463</t>
  </si>
  <si>
    <t>ENST00000471126</t>
  </si>
  <si>
    <t>ENST00000496327</t>
  </si>
  <si>
    <t>O75177</t>
  </si>
  <si>
    <t>ENST00000331758</t>
  </si>
  <si>
    <t>ENST00000491916</t>
  </si>
  <si>
    <t>ENST00000492466</t>
  </si>
  <si>
    <t>O75208</t>
  </si>
  <si>
    <t>ENST00000262507</t>
  </si>
  <si>
    <t>ENST00000562734</t>
  </si>
  <si>
    <t>ENST00000566388</t>
  </si>
  <si>
    <t>ENST00000567384</t>
  </si>
  <si>
    <t>ENST00000567576</t>
  </si>
  <si>
    <t>ENST00000569980</t>
  </si>
  <si>
    <t>O75223</t>
  </si>
  <si>
    <t>ENST00000275428</t>
  </si>
  <si>
    <t>ENST00000409144</t>
  </si>
  <si>
    <t>ENST00000409436</t>
  </si>
  <si>
    <t>ENST00000440082</t>
  </si>
  <si>
    <t>O75312</t>
  </si>
  <si>
    <t>ENST00000227322</t>
  </si>
  <si>
    <t>ENST00000366405</t>
  </si>
  <si>
    <t>ENST00000449430</t>
  </si>
  <si>
    <t>ENST00000487030</t>
  </si>
  <si>
    <t>ENST00000498065</t>
  </si>
  <si>
    <t>O75319</t>
  </si>
  <si>
    <t>ENST00000272444</t>
  </si>
  <si>
    <t>ENST00000443070</t>
  </si>
  <si>
    <t>ENST00000480948</t>
  </si>
  <si>
    <t>O75323</t>
  </si>
  <si>
    <t>ENST00000322090</t>
  </si>
  <si>
    <t>ENST00000415967</t>
  </si>
  <si>
    <t>ENST00000446778</t>
  </si>
  <si>
    <t>ENST00000456204</t>
  </si>
  <si>
    <t>ENST00000464772</t>
  </si>
  <si>
    <t>ENST00000470036</t>
  </si>
  <si>
    <t>ENST00000497279</t>
  </si>
  <si>
    <t>O75326</t>
  </si>
  <si>
    <t>ENST00000261918</t>
  </si>
  <si>
    <t>ENST00000569617</t>
  </si>
  <si>
    <t>O75340</t>
  </si>
  <si>
    <t>ENST00000264933</t>
  </si>
  <si>
    <t>ENST00000505221</t>
  </si>
  <si>
    <t>ENST00000505526</t>
  </si>
  <si>
    <t>ENST00000507473</t>
  </si>
  <si>
    <t>ENST00000507528</t>
  </si>
  <si>
    <t>ENST00000509581</t>
  </si>
  <si>
    <t>ENST00000511482</t>
  </si>
  <si>
    <t>ENST00000512466</t>
  </si>
  <si>
    <t>ENST00000513582</t>
  </si>
  <si>
    <t>ENST00000515587</t>
  </si>
  <si>
    <t>O75347</t>
  </si>
  <si>
    <t>ENST00000306388</t>
  </si>
  <si>
    <t>ENST00000380377</t>
  </si>
  <si>
    <t>ENST00000518218</t>
  </si>
  <si>
    <t>ENST00000518338</t>
  </si>
  <si>
    <t>ENST00000520039</t>
  </si>
  <si>
    <t>O75348</t>
  </si>
  <si>
    <t>ENST00000374050</t>
  </si>
  <si>
    <t>ENST00000473413</t>
  </si>
  <si>
    <t>O75351</t>
  </si>
  <si>
    <t>ENST00000238497</t>
  </si>
  <si>
    <t>ENST00000588323</t>
  </si>
  <si>
    <t>ENST00000589604</t>
  </si>
  <si>
    <t>ENST00000591383</t>
  </si>
  <si>
    <t>ENST00000591475</t>
  </si>
  <si>
    <t>ENST00000591519</t>
  </si>
  <si>
    <t>O75362</t>
  </si>
  <si>
    <t>ENST00000302342</t>
  </si>
  <si>
    <t>ENST00000371471</t>
  </si>
  <si>
    <t>ENST00000431687</t>
  </si>
  <si>
    <t>ENST00000437222</t>
  </si>
  <si>
    <t>ENST00000540425</t>
  </si>
  <si>
    <t>O75368</t>
  </si>
  <si>
    <t>ENST00000373212</t>
  </si>
  <si>
    <t>ENST00000481106</t>
  </si>
  <si>
    <t>O75376</t>
  </si>
  <si>
    <t>ENST00000268712</t>
  </si>
  <si>
    <t>ENST00000395848</t>
  </si>
  <si>
    <t>ENST00000395851</t>
  </si>
  <si>
    <t>ENST00000411510</t>
  </si>
  <si>
    <t>ENST00000436068</t>
  </si>
  <si>
    <t>ENST00000436828</t>
  </si>
  <si>
    <t>ENST00000458113</t>
  </si>
  <si>
    <t>ENST00000464381</t>
  </si>
  <si>
    <t>ENST00000466825</t>
  </si>
  <si>
    <t>ENST00000470782</t>
  </si>
  <si>
    <t>ENST00000472189</t>
  </si>
  <si>
    <t>ENST00000579573</t>
  </si>
  <si>
    <t>ENST00000579606</t>
  </si>
  <si>
    <t>ENST00000580554</t>
  </si>
  <si>
    <t>ENST00000580617</t>
  </si>
  <si>
    <t>ENST00000582357</t>
  </si>
  <si>
    <t>ENST00000582565</t>
  </si>
  <si>
    <t>ENST00000583234</t>
  </si>
  <si>
    <t>ENST00000584872</t>
  </si>
  <si>
    <t>ENST00000585296</t>
  </si>
  <si>
    <t>ENST00000603989</t>
  </si>
  <si>
    <t>O75380</t>
  </si>
  <si>
    <t>ENST00000274137</t>
  </si>
  <si>
    <t>ENST00000469176</t>
  </si>
  <si>
    <t>ENST00000510329</t>
  </si>
  <si>
    <t>O75390</t>
  </si>
  <si>
    <t>ENST00000351328</t>
  </si>
  <si>
    <t>ENST00000546585</t>
  </si>
  <si>
    <t>ENST00000546621</t>
  </si>
  <si>
    <t>ENST00000546891</t>
  </si>
  <si>
    <t>ENST00000547449</t>
  </si>
  <si>
    <t>ENST00000547912</t>
  </si>
  <si>
    <t>ENST00000548567</t>
  </si>
  <si>
    <t>ENST00000548849</t>
  </si>
  <si>
    <t>ENST00000549143</t>
  </si>
  <si>
    <t>ENST00000550159</t>
  </si>
  <si>
    <t>ENST00000550655</t>
  </si>
  <si>
    <t>ENST00000550700</t>
  </si>
  <si>
    <t>ENST00000550734</t>
  </si>
  <si>
    <t>ENST00000550996</t>
  </si>
  <si>
    <t>ENST00000551137</t>
  </si>
  <si>
    <t>ENST00000551430</t>
  </si>
  <si>
    <t>ENST00000551441</t>
  </si>
  <si>
    <t>ENST00000551968</t>
  </si>
  <si>
    <t>ENST00000552222</t>
  </si>
  <si>
    <t>ENST00000552331</t>
  </si>
  <si>
    <t>O75391</t>
  </si>
  <si>
    <t>ENST00000206020</t>
  </si>
  <si>
    <t>ENST00000570341</t>
  </si>
  <si>
    <t>ENST00000571023</t>
  </si>
  <si>
    <t>ENST00000572148</t>
  </si>
  <si>
    <t>ENST00000573366</t>
  </si>
  <si>
    <t>ENST00000573805</t>
  </si>
  <si>
    <t>ENST00000575142</t>
  </si>
  <si>
    <t>ENST00000575784</t>
  </si>
  <si>
    <t>O75410</t>
  </si>
  <si>
    <t>ENST00000276520</t>
  </si>
  <si>
    <t>ENST00000317827</t>
  </si>
  <si>
    <t>ENST00000517336</t>
  </si>
  <si>
    <t>ENST00000518809</t>
  </si>
  <si>
    <t>ENST00000519093</t>
  </si>
  <si>
    <t>ENST00000521154</t>
  </si>
  <si>
    <t>ENST00000521528</t>
  </si>
  <si>
    <t>ENST00000521568</t>
  </si>
  <si>
    <t>ENST00000521866</t>
  </si>
  <si>
    <t>ENST00000522548</t>
  </si>
  <si>
    <t>ENST00000522752</t>
  </si>
  <si>
    <t>ENST00000522904</t>
  </si>
  <si>
    <t>ENST00000523834</t>
  </si>
  <si>
    <t>O75420</t>
  </si>
  <si>
    <t>ENST00000275732</t>
  </si>
  <si>
    <t>ENST00000464111</t>
  </si>
  <si>
    <t>ENST00000472105</t>
  </si>
  <si>
    <t>O75427</t>
  </si>
  <si>
    <t>ENST00000310300</t>
  </si>
  <si>
    <t>ENST00000467201</t>
  </si>
  <si>
    <t>ENST00000470184</t>
  </si>
  <si>
    <t>ENST00000476881</t>
  </si>
  <si>
    <t>ENST00000485554</t>
  </si>
  <si>
    <t>ENST00000485583</t>
  </si>
  <si>
    <t>ENST00000487697</t>
  </si>
  <si>
    <t>ENST00000490359</t>
  </si>
  <si>
    <t>ENST00000498539</t>
  </si>
  <si>
    <t>O75436</t>
  </si>
  <si>
    <t>ENST00000263559</t>
  </si>
  <si>
    <t>ENST00000373382</t>
  </si>
  <si>
    <t>ENST00000395098</t>
  </si>
  <si>
    <t>ENST00000489656</t>
  </si>
  <si>
    <t>ENST00000489794</t>
  </si>
  <si>
    <t>O75438</t>
  </si>
  <si>
    <t>ENST00000329559</t>
  </si>
  <si>
    <t>ENST00000553514</t>
  </si>
  <si>
    <t>ENST00000553666</t>
  </si>
  <si>
    <t>ENST00000555441</t>
  </si>
  <si>
    <t>ENST00000556555</t>
  </si>
  <si>
    <t>ENST00000605997</t>
  </si>
  <si>
    <t>O75439</t>
  </si>
  <si>
    <t>ENST00000249269</t>
  </si>
  <si>
    <t>ENST00000428154</t>
  </si>
  <si>
    <t>ENST00000443722</t>
  </si>
  <si>
    <t>ENST00000444457</t>
  </si>
  <si>
    <t>ENST00000453466</t>
  </si>
  <si>
    <t>ENST00000456433</t>
  </si>
  <si>
    <t>ENST00000469560</t>
  </si>
  <si>
    <t>ENST00000498530</t>
  </si>
  <si>
    <t>O75446</t>
  </si>
  <si>
    <t>ENST00000296504</t>
  </si>
  <si>
    <t>ENST00000504618</t>
  </si>
  <si>
    <t>O75449</t>
  </si>
  <si>
    <t>ENST00000335643</t>
  </si>
  <si>
    <t>ENST00000335647</t>
  </si>
  <si>
    <t>ENST00000367411</t>
  </si>
  <si>
    <t>ENST00000444282</t>
  </si>
  <si>
    <t>ENST00000470620</t>
  </si>
  <si>
    <t>ENST00000481905</t>
  </si>
  <si>
    <t>ENST00000494504</t>
  </si>
  <si>
    <t>O75460</t>
  </si>
  <si>
    <t>ENST00000433197</t>
  </si>
  <si>
    <t>ENST00000579249</t>
  </si>
  <si>
    <t>ENST00000583028</t>
  </si>
  <si>
    <t>ENST00000583077</t>
  </si>
  <si>
    <t>ENST00000583896</t>
  </si>
  <si>
    <t>ENST00000584041</t>
  </si>
  <si>
    <t>ENST00000606895</t>
  </si>
  <si>
    <t>O75467</t>
  </si>
  <si>
    <t>ENST00000196482</t>
  </si>
  <si>
    <t>ENST00000536459</t>
  </si>
  <si>
    <t>ENST00000593925</t>
  </si>
  <si>
    <t>O75475</t>
  </si>
  <si>
    <t>ENST00000380715</t>
  </si>
  <si>
    <t>ENST00000380716</t>
  </si>
  <si>
    <t>ENST00000380733</t>
  </si>
  <si>
    <t>ENST00000380738</t>
  </si>
  <si>
    <t>ENST00000397519</t>
  </si>
  <si>
    <t>ENST00000463712</t>
  </si>
  <si>
    <t>ENST00000481862</t>
  </si>
  <si>
    <t>ENST00000484265</t>
  </si>
  <si>
    <t>ENST00000487363</t>
  </si>
  <si>
    <t>ENST00000488797</t>
  </si>
  <si>
    <t>ENST00000495873</t>
  </si>
  <si>
    <t>O75477</t>
  </si>
  <si>
    <t>ENST00000370408</t>
  </si>
  <si>
    <t>ENST00000407654</t>
  </si>
  <si>
    <t>ENST00000421367</t>
  </si>
  <si>
    <t>O75489</t>
  </si>
  <si>
    <t>ENST00000263774</t>
  </si>
  <si>
    <t>ENST00000524568</t>
  </si>
  <si>
    <t>ENST00000525212</t>
  </si>
  <si>
    <t>ENST00000525378</t>
  </si>
  <si>
    <t>ENST00000527178</t>
  </si>
  <si>
    <t>ENST00000528192</t>
  </si>
  <si>
    <t>ENST00000529276</t>
  </si>
  <si>
    <t>ENST00000531351</t>
  </si>
  <si>
    <t>ENST00000533105</t>
  </si>
  <si>
    <t>ENST00000533507</t>
  </si>
  <si>
    <t>ENST00000534208</t>
  </si>
  <si>
    <t>ENST00000534716</t>
  </si>
  <si>
    <t>O75503</t>
  </si>
  <si>
    <t>ENST00000377453</t>
  </si>
  <si>
    <t>ENST00000485938</t>
  </si>
  <si>
    <t>O75529</t>
  </si>
  <si>
    <t>ENST00000258281</t>
  </si>
  <si>
    <t>ENST00000366674</t>
  </si>
  <si>
    <t>ENST00000366675</t>
  </si>
  <si>
    <t>ENST00000366676</t>
  </si>
  <si>
    <t>ENST00000477957</t>
  </si>
  <si>
    <t>O75531</t>
  </si>
  <si>
    <t>ENST00000312175</t>
  </si>
  <si>
    <t>ENST00000445560</t>
  </si>
  <si>
    <t>ENST00000524628</t>
  </si>
  <si>
    <t>ENST00000524663</t>
  </si>
  <si>
    <t>ENST00000533166</t>
  </si>
  <si>
    <t>O75533</t>
  </si>
  <si>
    <t>ENST00000335508</t>
  </si>
  <si>
    <t>ENST00000409915</t>
  </si>
  <si>
    <t>ENST00000414963</t>
  </si>
  <si>
    <t>ENST00000424674</t>
  </si>
  <si>
    <t>ENST00000462613</t>
  </si>
  <si>
    <t>ENST00000468925</t>
  </si>
  <si>
    <t>ENST00000470268</t>
  </si>
  <si>
    <t>ENST00000479532</t>
  </si>
  <si>
    <t>ENST00000482158</t>
  </si>
  <si>
    <t>ENST00000487698</t>
  </si>
  <si>
    <t>ENST00000496458</t>
  </si>
  <si>
    <t>O75534</t>
  </si>
  <si>
    <t>ENST00000261443</t>
  </si>
  <si>
    <t>ENST00000339438</t>
  </si>
  <si>
    <t>ENST00000358528</t>
  </si>
  <si>
    <t>ENST00000369530</t>
  </si>
  <si>
    <t>ENST00000438362</t>
  </si>
  <si>
    <t>ENST00000483030</t>
  </si>
  <si>
    <t>ENST00000483407</t>
  </si>
  <si>
    <t>ENST00000524652</t>
  </si>
  <si>
    <t>ENST00000525970</t>
  </si>
  <si>
    <t>ENST00000530784</t>
  </si>
  <si>
    <t>ENST00000530886</t>
  </si>
  <si>
    <t>ENST00000534389</t>
  </si>
  <si>
    <t>ENST00000534699</t>
  </si>
  <si>
    <t>O75554</t>
  </si>
  <si>
    <t>ENST00000379487</t>
  </si>
  <si>
    <t>O75558</t>
  </si>
  <si>
    <t>ENST00000367568</t>
  </si>
  <si>
    <t>O75563</t>
  </si>
  <si>
    <t>ENST00000345317</t>
  </si>
  <si>
    <t>O75569</t>
  </si>
  <si>
    <t>ENST00000325748</t>
  </si>
  <si>
    <t>ENST00000424699</t>
  </si>
  <si>
    <t>ENST00000432031</t>
  </si>
  <si>
    <t>ENST00000448279</t>
  </si>
  <si>
    <t>ENST00000457633</t>
  </si>
  <si>
    <t>ENST00000463882</t>
  </si>
  <si>
    <t>ENST00000466165</t>
  </si>
  <si>
    <t>ENST00000470200</t>
  </si>
  <si>
    <t>ENST00000474793</t>
  </si>
  <si>
    <t>ENST00000490501</t>
  </si>
  <si>
    <t>O75582</t>
  </si>
  <si>
    <t>ENST00000261991</t>
  </si>
  <si>
    <t>ENST00000418736</t>
  </si>
  <si>
    <t>ENST00000554206</t>
  </si>
  <si>
    <t>O75586</t>
  </si>
  <si>
    <t>ENST00000256379</t>
  </si>
  <si>
    <t>ENST00000430055</t>
  </si>
  <si>
    <t>ENST00000553523</t>
  </si>
  <si>
    <t>ENST00000553611</t>
  </si>
  <si>
    <t>ENST00000554870</t>
  </si>
  <si>
    <t>ENST00000554963</t>
  </si>
  <si>
    <t>ENST00000555296</t>
  </si>
  <si>
    <t>ENST00000556423</t>
  </si>
  <si>
    <t>ENST00000556495</t>
  </si>
  <si>
    <t>O75607</t>
  </si>
  <si>
    <t>ENST00000370110</t>
  </si>
  <si>
    <t>ENST00000462391</t>
  </si>
  <si>
    <t>ENST00000468544</t>
  </si>
  <si>
    <t>ENST00000474993</t>
  </si>
  <si>
    <t>O75616</t>
  </si>
  <si>
    <t>ENST00000254928</t>
  </si>
  <si>
    <t>ENST00000471992</t>
  </si>
  <si>
    <t>ENST00000577942</t>
  </si>
  <si>
    <t>ENST00000580917</t>
  </si>
  <si>
    <t>O75629</t>
  </si>
  <si>
    <t>ENST00000370509</t>
  </si>
  <si>
    <t>O75643</t>
  </si>
  <si>
    <t>ENST00000323853</t>
  </si>
  <si>
    <t>ENST00000429650</t>
  </si>
  <si>
    <t>ENST00000480242</t>
  </si>
  <si>
    <t>ENST00000480615</t>
  </si>
  <si>
    <t>ENST00000480835</t>
  </si>
  <si>
    <t>ENST00000484372</t>
  </si>
  <si>
    <t>ENST00000493271</t>
  </si>
  <si>
    <t>ENST00000497539</t>
  </si>
  <si>
    <t>O75663</t>
  </si>
  <si>
    <t>ENST00000367830</t>
  </si>
  <si>
    <t>ENST00000367833</t>
  </si>
  <si>
    <t>O75665</t>
  </si>
  <si>
    <t>ENST00000340096</t>
  </si>
  <si>
    <t>ENST00000380550</t>
  </si>
  <si>
    <t>ENST00000380567</t>
  </si>
  <si>
    <t>ENST00000398395</t>
  </si>
  <si>
    <t>ENST00000464463</t>
  </si>
  <si>
    <t>ENST00000466534</t>
  </si>
  <si>
    <t>ENST00000474705</t>
  </si>
  <si>
    <t>ENST00000490265</t>
  </si>
  <si>
    <t>O75683</t>
  </si>
  <si>
    <t>ENST00000372022</t>
  </si>
  <si>
    <t>ENST00000468290</t>
  </si>
  <si>
    <t>O75688</t>
  </si>
  <si>
    <t>ENST00000282412</t>
  </si>
  <si>
    <t>ENST00000378540</t>
  </si>
  <si>
    <t>ENST00000378551</t>
  </si>
  <si>
    <t>ENST00000409432</t>
  </si>
  <si>
    <t>ENST00000409486</t>
  </si>
  <si>
    <t>ENST00000459690</t>
  </si>
  <si>
    <t>ENST00000487286</t>
  </si>
  <si>
    <t>ENST00000488866</t>
  </si>
  <si>
    <t>O75691</t>
  </si>
  <si>
    <t>ENST00000261637</t>
  </si>
  <si>
    <t>ENST00000551345</t>
  </si>
  <si>
    <t>ENST00000551825</t>
  </si>
  <si>
    <t>ENST00000551998</t>
  </si>
  <si>
    <t>O75695</t>
  </si>
  <si>
    <t>ENST00000218340</t>
  </si>
  <si>
    <t>O75716</t>
  </si>
  <si>
    <t>ENST00000396738</t>
  </si>
  <si>
    <t>ENST00000409638</t>
  </si>
  <si>
    <t>ENST00000409743</t>
  </si>
  <si>
    <t>ENST00000461417</t>
  </si>
  <si>
    <t>ENST00000475342</t>
  </si>
  <si>
    <t>ENST00000475696</t>
  </si>
  <si>
    <t>ENST00000478018</t>
  </si>
  <si>
    <t>ENST00000491697</t>
  </si>
  <si>
    <t>ENST00000496443</t>
  </si>
  <si>
    <t>ENST00000496800</t>
  </si>
  <si>
    <t>O75717</t>
  </si>
  <si>
    <t>ENST00000360586</t>
  </si>
  <si>
    <t>ENST00000475379</t>
  </si>
  <si>
    <t>O75718</t>
  </si>
  <si>
    <t>ENST00000320954</t>
  </si>
  <si>
    <t>O75746</t>
  </si>
  <si>
    <t>ENST00000422440</t>
  </si>
  <si>
    <t>ENST00000472070</t>
  </si>
  <si>
    <t>ENST00000475360</t>
  </si>
  <si>
    <t>ENST00000484227</t>
  </si>
  <si>
    <t>ENST00000485880</t>
  </si>
  <si>
    <t>ENST00000494892</t>
  </si>
  <si>
    <t>O75764</t>
  </si>
  <si>
    <t>ENST00000374602</t>
  </si>
  <si>
    <t>ENST00000450454</t>
  </si>
  <si>
    <t>ENST00000476978</t>
  </si>
  <si>
    <t>ENST00000492271</t>
  </si>
  <si>
    <t>O75791</t>
  </si>
  <si>
    <t>ENST00000344138</t>
  </si>
  <si>
    <t>ENST00000407075</t>
  </si>
  <si>
    <t>ENST00000420971</t>
  </si>
  <si>
    <t>ENST00000460449</t>
  </si>
  <si>
    <t>ENST00000461082</t>
  </si>
  <si>
    <t>ENST00000481263</t>
  </si>
  <si>
    <t>O75792</t>
  </si>
  <si>
    <t>ENST00000221486</t>
  </si>
  <si>
    <t>ENST00000590121</t>
  </si>
  <si>
    <t>ENST00000590279</t>
  </si>
  <si>
    <t>ENST00000593017</t>
  </si>
  <si>
    <t>O75794</t>
  </si>
  <si>
    <t>ENST00000281141</t>
  </si>
  <si>
    <t>ENST00000429258</t>
  </si>
  <si>
    <t>ENST00000440613</t>
  </si>
  <si>
    <t>ENST00000442050</t>
  </si>
  <si>
    <t>ENST00000455773</t>
  </si>
  <si>
    <t>ENST00000467016</t>
  </si>
  <si>
    <t>ENST00000497963</t>
  </si>
  <si>
    <t>O75808</t>
  </si>
  <si>
    <t>ENST00000219611</t>
  </si>
  <si>
    <t>ENST00000562370</t>
  </si>
  <si>
    <t>ENST00000565010</t>
  </si>
  <si>
    <t>ENST00000567216</t>
  </si>
  <si>
    <t>O75817</t>
  </si>
  <si>
    <t>ENST00000303151</t>
  </si>
  <si>
    <t>O75821</t>
  </si>
  <si>
    <t>ENST00000253108</t>
  </si>
  <si>
    <t>ENST00000586151</t>
  </si>
  <si>
    <t>ENST00000587168</t>
  </si>
  <si>
    <t>ENST00000587590</t>
  </si>
  <si>
    <t>ENST00000587681</t>
  </si>
  <si>
    <t>ENST00000587993</t>
  </si>
  <si>
    <t>ENST00000589009</t>
  </si>
  <si>
    <t>ENST00000589454</t>
  </si>
  <si>
    <t>ENST00000589458</t>
  </si>
  <si>
    <t>ENST00000589674</t>
  </si>
  <si>
    <t>ENST00000590158</t>
  </si>
  <si>
    <t>ENST00000590647</t>
  </si>
  <si>
    <t>ENST00000590940</t>
  </si>
  <si>
    <t>ENST00000592485</t>
  </si>
  <si>
    <t>ENST00000593066</t>
  </si>
  <si>
    <t>ENST00000593095</t>
  </si>
  <si>
    <t>O75822</t>
  </si>
  <si>
    <t>ENST00000261868</t>
  </si>
  <si>
    <t>ENST00000424492</t>
  </si>
  <si>
    <t>ENST00000535391</t>
  </si>
  <si>
    <t>ENST00000536248</t>
  </si>
  <si>
    <t>ENST00000558053</t>
  </si>
  <si>
    <t>ENST00000558227</t>
  </si>
  <si>
    <t>ENST00000558353</t>
  </si>
  <si>
    <t>O75828</t>
  </si>
  <si>
    <t>ENST00000290354</t>
  </si>
  <si>
    <t>O75832</t>
  </si>
  <si>
    <t>ENST00000217958</t>
  </si>
  <si>
    <t>ENST00000338548</t>
  </si>
  <si>
    <t>ENST00000340200</t>
  </si>
  <si>
    <t>ENST00000361815</t>
  </si>
  <si>
    <t>ENST00000553388</t>
  </si>
  <si>
    <t>O75843</t>
  </si>
  <si>
    <t>ENST00000308724</t>
  </si>
  <si>
    <t>ENST00000397120</t>
  </si>
  <si>
    <t>ENST00000460049</t>
  </si>
  <si>
    <t>ENST00000465445</t>
  </si>
  <si>
    <t>ENST00000553629</t>
  </si>
  <si>
    <t>ENST00000553685</t>
  </si>
  <si>
    <t>ENST00000553756</t>
  </si>
  <si>
    <t>ENST00000554312</t>
  </si>
  <si>
    <t>ENST00000554477</t>
  </si>
  <si>
    <t>ENST00000554554</t>
  </si>
  <si>
    <t>ENST00000554892</t>
  </si>
  <si>
    <t>ENST00000554977</t>
  </si>
  <si>
    <t>ENST00000554982</t>
  </si>
  <si>
    <t>ENST00000555118</t>
  </si>
  <si>
    <t>ENST00000555510</t>
  </si>
  <si>
    <t>ENST00000555789</t>
  </si>
  <si>
    <t>ENST00000555974</t>
  </si>
  <si>
    <t>ENST00000556152</t>
  </si>
  <si>
    <t>ENST00000556277</t>
  </si>
  <si>
    <t>ENST00000556743</t>
  </si>
  <si>
    <t>ENST00000556943</t>
  </si>
  <si>
    <t>ENST00000556966</t>
  </si>
  <si>
    <t>ENST00000557132</t>
  </si>
  <si>
    <t>ENST00000557162</t>
  </si>
  <si>
    <t>ENST00000557391</t>
  </si>
  <si>
    <t>ENST00000557482</t>
  </si>
  <si>
    <t>ENST00000557619</t>
  </si>
  <si>
    <t>O75844</t>
  </si>
  <si>
    <t>ENST00000372759</t>
  </si>
  <si>
    <t>ENST00000472583</t>
  </si>
  <si>
    <t>ENST00000474142</t>
  </si>
  <si>
    <t>ENST00000479131</t>
  </si>
  <si>
    <t>O75874</t>
  </si>
  <si>
    <t>ENST00000345146</t>
  </si>
  <si>
    <t>ENST00000415282</t>
  </si>
  <si>
    <t>ENST00000462386</t>
  </si>
  <si>
    <t>ENST00000481557</t>
  </si>
  <si>
    <t>ENST00000484575</t>
  </si>
  <si>
    <t>O75879</t>
  </si>
  <si>
    <t>ENST00000263985</t>
  </si>
  <si>
    <t>ENST00000505211</t>
  </si>
  <si>
    <t>ENST00000510396</t>
  </si>
  <si>
    <t>ENST00000511538</t>
  </si>
  <si>
    <t>ENST00000512306</t>
  </si>
  <si>
    <t>ENST00000515490</t>
  </si>
  <si>
    <t>ENST00000515564</t>
  </si>
  <si>
    <t>O75880</t>
  </si>
  <si>
    <t>ENST00000255390</t>
  </si>
  <si>
    <t>ENST00000577335</t>
  </si>
  <si>
    <t>ENST00000579396</t>
  </si>
  <si>
    <t>O75884</t>
  </si>
  <si>
    <t>ENST00000337227</t>
  </si>
  <si>
    <t>ENST00000491835</t>
  </si>
  <si>
    <t>O75886</t>
  </si>
  <si>
    <t>ENST00000263904</t>
  </si>
  <si>
    <t>ENST00000463854</t>
  </si>
  <si>
    <t>ENST00000482997</t>
  </si>
  <si>
    <t>ENST00000489389</t>
  </si>
  <si>
    <t>O75907</t>
  </si>
  <si>
    <t>ENST00000332324</t>
  </si>
  <si>
    <t>ENST00000524844</t>
  </si>
  <si>
    <t>ENST00000524965</t>
  </si>
  <si>
    <t>ENST00000525371</t>
  </si>
  <si>
    <t>ENST00000527885</t>
  </si>
  <si>
    <t>ENST00000528718</t>
  </si>
  <si>
    <t>ENST00000531896</t>
  </si>
  <si>
    <t>O75909</t>
  </si>
  <si>
    <t>ENST00000389879</t>
  </si>
  <si>
    <t>ENST00000553636</t>
  </si>
  <si>
    <t>ENST00000553865</t>
  </si>
  <si>
    <t>ENST00000555842</t>
  </si>
  <si>
    <t>ENST00000556641</t>
  </si>
  <si>
    <t>ENST00000557165</t>
  </si>
  <si>
    <t>ENST00000557441</t>
  </si>
  <si>
    <t>O75911</t>
  </si>
  <si>
    <t>ENST00000464917</t>
  </si>
  <si>
    <t>O75915</t>
  </si>
  <si>
    <t>ENST00000273258</t>
  </si>
  <si>
    <t>ENST00000470936</t>
  </si>
  <si>
    <t>ENST00000484921</t>
  </si>
  <si>
    <t>ENST00000485444</t>
  </si>
  <si>
    <t>O75923</t>
  </si>
  <si>
    <t>ENST00000258104</t>
  </si>
  <si>
    <t>O75925</t>
  </si>
  <si>
    <t>ENST00000249636</t>
  </si>
  <si>
    <t>ENST00000545237</t>
  </si>
  <si>
    <t>ENST00000562190</t>
  </si>
  <si>
    <t>ENST00000563996</t>
  </si>
  <si>
    <t>ENST00000564009</t>
  </si>
  <si>
    <t>ENST00000564915</t>
  </si>
  <si>
    <t>ENST00000567417</t>
  </si>
  <si>
    <t>O75934</t>
  </si>
  <si>
    <t>ENST00000369541</t>
  </si>
  <si>
    <t>ENST00000485021</t>
  </si>
  <si>
    <t>O75935</t>
  </si>
  <si>
    <t>ENST00000259632</t>
  </si>
  <si>
    <t>ENST00000378911</t>
  </si>
  <si>
    <t>ENST00000378913</t>
  </si>
  <si>
    <t>ENST00000472074</t>
  </si>
  <si>
    <t>ENST00000472418</t>
  </si>
  <si>
    <t>ENST00000477738</t>
  </si>
  <si>
    <t>ENST00000479399</t>
  </si>
  <si>
    <t>ENST00000481438</t>
  </si>
  <si>
    <t>O75937</t>
  </si>
  <si>
    <t>ENST00000263697</t>
  </si>
  <si>
    <t>ENST00000470967</t>
  </si>
  <si>
    <t>ENST00000488868</t>
  </si>
  <si>
    <t>ENST00000489277</t>
  </si>
  <si>
    <t>ENST00000603289</t>
  </si>
  <si>
    <t>O75940</t>
  </si>
  <si>
    <t>ENST00000369592</t>
  </si>
  <si>
    <t>ENST00000369603</t>
  </si>
  <si>
    <t>ENST00000460483</t>
  </si>
  <si>
    <t>ENST00000471297</t>
  </si>
  <si>
    <t>ENST00000477763</t>
  </si>
  <si>
    <t>O75947</t>
  </si>
  <si>
    <t>ENST00000301587</t>
  </si>
  <si>
    <t>ENST00000344546</t>
  </si>
  <si>
    <t>ENST00000580649</t>
  </si>
  <si>
    <t>ENST00000582341</t>
  </si>
  <si>
    <t>O75955</t>
  </si>
  <si>
    <t>ENST00000376389</t>
  </si>
  <si>
    <t>ENST00000413165</t>
  </si>
  <si>
    <t>ENST00000418160</t>
  </si>
  <si>
    <t>ENST00000438162</t>
  </si>
  <si>
    <t>ENST00000445853</t>
  </si>
  <si>
    <t>ENST00000470643</t>
  </si>
  <si>
    <t>ENST00000476729</t>
  </si>
  <si>
    <t>ENST00000484168</t>
  </si>
  <si>
    <t>ENST00000484693</t>
  </si>
  <si>
    <t>ENST00000487376</t>
  </si>
  <si>
    <t>O75964</t>
  </si>
  <si>
    <t>ENST00000300688</t>
  </si>
  <si>
    <t>ENST00000524422</t>
  </si>
  <si>
    <t>ENST00000527186</t>
  </si>
  <si>
    <t>ENST00000529460</t>
  </si>
  <si>
    <t>ENST00000529770</t>
  </si>
  <si>
    <t>ENST00000529790</t>
  </si>
  <si>
    <t>ENST00000533172</t>
  </si>
  <si>
    <t>ENST00000534385</t>
  </si>
  <si>
    <t>O75976</t>
  </si>
  <si>
    <t>ENST00000225719</t>
  </si>
  <si>
    <t>ENST00000580396</t>
  </si>
  <si>
    <t>ENST00000581826</t>
  </si>
  <si>
    <t>ENST00000583275</t>
  </si>
  <si>
    <t>ENST00000584050</t>
  </si>
  <si>
    <t>ENST00000584051</t>
  </si>
  <si>
    <t>ENST00000588977</t>
  </si>
  <si>
    <t>O75995</t>
  </si>
  <si>
    <t>ENST00000356892</t>
  </si>
  <si>
    <t>ENST00000476532</t>
  </si>
  <si>
    <t>O76003</t>
  </si>
  <si>
    <t>ENST00000331244</t>
  </si>
  <si>
    <t>ENST00000368644</t>
  </si>
  <si>
    <t>ENST00000481034</t>
  </si>
  <si>
    <t>ENST00000486974</t>
  </si>
  <si>
    <t>ENST00000496195</t>
  </si>
  <si>
    <t>O76021</t>
  </si>
  <si>
    <t>ENST00000355674</t>
  </si>
  <si>
    <t>ENST00000570767</t>
  </si>
  <si>
    <t>ENST00000571133</t>
  </si>
  <si>
    <t>ENST00000571988</t>
  </si>
  <si>
    <t>ENST00000573029</t>
  </si>
  <si>
    <t>ENST00000573251</t>
  </si>
  <si>
    <t>ENST00000573791</t>
  </si>
  <si>
    <t>ENST00000574287</t>
  </si>
  <si>
    <t>ENST00000574823</t>
  </si>
  <si>
    <t>O76024</t>
  </si>
  <si>
    <t>ENST00000506588</t>
  </si>
  <si>
    <t>ENST00000507765</t>
  </si>
  <si>
    <t>ENST00000513395</t>
  </si>
  <si>
    <t>O76031</t>
  </si>
  <si>
    <t>ENST00000300107</t>
  </si>
  <si>
    <t>ENST00000558103</t>
  </si>
  <si>
    <t>ENST00000558958</t>
  </si>
  <si>
    <t>ENST00000559152</t>
  </si>
  <si>
    <t>ENST00000560166</t>
  </si>
  <si>
    <t>O76054</t>
  </si>
  <si>
    <t>ENST00000405717</t>
  </si>
  <si>
    <t>ENST00000428195</t>
  </si>
  <si>
    <t>ENST00000429917</t>
  </si>
  <si>
    <t>ENST00000483116</t>
  </si>
  <si>
    <t>ENST00000485482</t>
  </si>
  <si>
    <t>O76062</t>
  </si>
  <si>
    <t>ENST00000279263</t>
  </si>
  <si>
    <t>ENST00000526048</t>
  </si>
  <si>
    <t>ENST00000526809</t>
  </si>
  <si>
    <t>ENST00000527851</t>
  </si>
  <si>
    <t>ENST00000528026</t>
  </si>
  <si>
    <t>ENST00000528802</t>
  </si>
  <si>
    <t>ENST00000530650</t>
  </si>
  <si>
    <t>ENST00000530892</t>
  </si>
  <si>
    <t>ENST00000532328</t>
  </si>
  <si>
    <t>ENST00000533766</t>
  </si>
  <si>
    <t>ENST00000534667</t>
  </si>
  <si>
    <t>O76071</t>
  </si>
  <si>
    <t>ENST00000469320</t>
  </si>
  <si>
    <t>ENST00000488633</t>
  </si>
  <si>
    <t>ENST00000491394</t>
  </si>
  <si>
    <t>O76080</t>
  </si>
  <si>
    <t>ENST00000237937</t>
  </si>
  <si>
    <t>ENST00000343431</t>
  </si>
  <si>
    <t>ENST00000376956</t>
  </si>
  <si>
    <t>ENST00000376960</t>
  </si>
  <si>
    <t>ENST00000376962</t>
  </si>
  <si>
    <t>ENST00000471197</t>
  </si>
  <si>
    <t>ENST00000487330</t>
  </si>
  <si>
    <t>ENST00000488164</t>
  </si>
  <si>
    <t>O94763</t>
  </si>
  <si>
    <t>ENST00000392271</t>
  </si>
  <si>
    <t>ENST00000570564</t>
  </si>
  <si>
    <t>ENST00000574110</t>
  </si>
  <si>
    <t>ENST00000574176</t>
  </si>
  <si>
    <t>ENST00000574666</t>
  </si>
  <si>
    <t>ENST00000575242</t>
  </si>
  <si>
    <t>ENST00000576442</t>
  </si>
  <si>
    <t>O94766</t>
  </si>
  <si>
    <t>ENST00000265471</t>
  </si>
  <si>
    <t>ENST00000531383</t>
  </si>
  <si>
    <t>ENST00000532585</t>
  </si>
  <si>
    <t>ENST00000533303</t>
  </si>
  <si>
    <t>ENST00000534026</t>
  </si>
  <si>
    <t>O94768</t>
  </si>
  <si>
    <t>ENST00000263955</t>
  </si>
  <si>
    <t>ENST00000409228</t>
  </si>
  <si>
    <t>ENST00000420683</t>
  </si>
  <si>
    <t>ENST00000449152</t>
  </si>
  <si>
    <t>ENST00000606789</t>
  </si>
  <si>
    <t>O94776</t>
  </si>
  <si>
    <t>ENST00000278823</t>
  </si>
  <si>
    <t>ENST00000526844</t>
  </si>
  <si>
    <t>ENST00000527204</t>
  </si>
  <si>
    <t>ENST00000531179</t>
  </si>
  <si>
    <t>ENST00000531261</t>
  </si>
  <si>
    <t>ENST00000532239</t>
  </si>
  <si>
    <t>O94782</t>
  </si>
  <si>
    <t>ENST00000339950</t>
  </si>
  <si>
    <t>ENST00000371146</t>
  </si>
  <si>
    <t>ENST00000452143</t>
  </si>
  <si>
    <t>O94804</t>
  </si>
  <si>
    <t>ENST00000176763</t>
  </si>
  <si>
    <t>ENST00000517360</t>
  </si>
  <si>
    <t>ENST00000517524</t>
  </si>
  <si>
    <t>ENST00000517527</t>
  </si>
  <si>
    <t>ENST00000518267</t>
  </si>
  <si>
    <t>ENST00000519269</t>
  </si>
  <si>
    <t>ENST00000519441</t>
  </si>
  <si>
    <t>ENST00000520476</t>
  </si>
  <si>
    <t>ENST00000521322</t>
  </si>
  <si>
    <t>ENST00000522879</t>
  </si>
  <si>
    <t>ENST00000523603</t>
  </si>
  <si>
    <t>ENST00000523615</t>
  </si>
  <si>
    <t>O94806</t>
  </si>
  <si>
    <t>ENST00000234179</t>
  </si>
  <si>
    <t>ENST00000379066</t>
  </si>
  <si>
    <t>ENST00000443187</t>
  </si>
  <si>
    <t>ENST00000443977</t>
  </si>
  <si>
    <t>ENST00000452104</t>
  </si>
  <si>
    <t>ENST00000464552</t>
  </si>
  <si>
    <t>ENST00000469275</t>
  </si>
  <si>
    <t>ENST00000475912</t>
  </si>
  <si>
    <t>ENST00000477132</t>
  </si>
  <si>
    <t>ENST00000494667</t>
  </si>
  <si>
    <t>O94819</t>
  </si>
  <si>
    <t>ENST00000320248</t>
  </si>
  <si>
    <t>O94822</t>
  </si>
  <si>
    <t>ENST00000361371</t>
  </si>
  <si>
    <t>ENST00000389194</t>
  </si>
  <si>
    <t>ENST00000475344</t>
  </si>
  <si>
    <t>ENST00000486427</t>
  </si>
  <si>
    <t>O94826</t>
  </si>
  <si>
    <t>ENST00000284320</t>
  </si>
  <si>
    <t>ENST00000483945</t>
  </si>
  <si>
    <t>ENST00000492171</t>
  </si>
  <si>
    <t>O94829</t>
  </si>
  <si>
    <t>ENST00000372339</t>
  </si>
  <si>
    <t>ENST00000372343</t>
  </si>
  <si>
    <t>ENST00000480902</t>
  </si>
  <si>
    <t>ENST00000486876</t>
  </si>
  <si>
    <t>ENST00000489061</t>
  </si>
  <si>
    <t>O94830</t>
  </si>
  <si>
    <t>ENST00000397166</t>
  </si>
  <si>
    <t>ENST00000517385</t>
  </si>
  <si>
    <t>ENST00000519857</t>
  </si>
  <si>
    <t>ENST00000520176</t>
  </si>
  <si>
    <t>ENST00000524545</t>
  </si>
  <si>
    <t>ENST00000526071</t>
  </si>
  <si>
    <t>ENST00000526144</t>
  </si>
  <si>
    <t>ENST00000526237</t>
  </si>
  <si>
    <t>ENST00000527415</t>
  </si>
  <si>
    <t>ENST00000528148</t>
  </si>
  <si>
    <t>ENST00000528358</t>
  </si>
  <si>
    <t>ENST00000528504</t>
  </si>
  <si>
    <t>ENST00000528613</t>
  </si>
  <si>
    <t>ENST00000528888</t>
  </si>
  <si>
    <t>ENST00000529872</t>
  </si>
  <si>
    <t>ENST00000531344</t>
  </si>
  <si>
    <t>ENST00000532222</t>
  </si>
  <si>
    <t>ENST00000533100</t>
  </si>
  <si>
    <t>O94855</t>
  </si>
  <si>
    <t>ENST00000280551</t>
  </si>
  <si>
    <t>ENST00000502526</t>
  </si>
  <si>
    <t>ENST00000502830</t>
  </si>
  <si>
    <t>ENST00000505134</t>
  </si>
  <si>
    <t>ENST00000509818</t>
  </si>
  <si>
    <t>ENST00000511715</t>
  </si>
  <si>
    <t>ENST00000514418</t>
  </si>
  <si>
    <t>O94868</t>
  </si>
  <si>
    <t>ENST00000311172</t>
  </si>
  <si>
    <t>ENST00000409263</t>
  </si>
  <si>
    <t>ENST00000409314</t>
  </si>
  <si>
    <t>ENST00000409418</t>
  </si>
  <si>
    <t>ENST00000409853</t>
  </si>
  <si>
    <t>ENST00000543644</t>
  </si>
  <si>
    <t>O94874</t>
  </si>
  <si>
    <t>ENST00000369278</t>
  </si>
  <si>
    <t>ENST00000461673</t>
  </si>
  <si>
    <t>O94880</t>
  </si>
  <si>
    <t>ENST00000403050</t>
  </si>
  <si>
    <t>ENST00000423760</t>
  </si>
  <si>
    <t>ENST00000469407</t>
  </si>
  <si>
    <t>ENST00000470665</t>
  </si>
  <si>
    <t>ENST00000473050</t>
  </si>
  <si>
    <t>ENST00000476009</t>
  </si>
  <si>
    <t>ENST00000481418</t>
  </si>
  <si>
    <t>ENST00000489305</t>
  </si>
  <si>
    <t>ENST00000490957</t>
  </si>
  <si>
    <t>ENST00000497851</t>
  </si>
  <si>
    <t>ENST00000498784</t>
  </si>
  <si>
    <t>ENST00000521747</t>
  </si>
  <si>
    <t>O94886</t>
  </si>
  <si>
    <t>ENST00000366835</t>
  </si>
  <si>
    <t>ENST00000436966</t>
  </si>
  <si>
    <t>ENST00000482753</t>
  </si>
  <si>
    <t>ENST00000483779</t>
  </si>
  <si>
    <t>ENST00000487817</t>
  </si>
  <si>
    <t>ENST00000487971</t>
  </si>
  <si>
    <t>ENST00000496025</t>
  </si>
  <si>
    <t>O94888</t>
  </si>
  <si>
    <t>ENST00000296328</t>
  </si>
  <si>
    <t>ENST00000429160</t>
  </si>
  <si>
    <t>ENST00000493566</t>
  </si>
  <si>
    <t>O94903</t>
  </si>
  <si>
    <t>ENST00000328195</t>
  </si>
  <si>
    <t>ENST00000518036</t>
  </si>
  <si>
    <t>ENST00000520073</t>
  </si>
  <si>
    <t>ENST00000521631</t>
  </si>
  <si>
    <t>ENST00000522808</t>
  </si>
  <si>
    <t>ENST00000523187</t>
  </si>
  <si>
    <t>ENST00000523358</t>
  </si>
  <si>
    <t>ENST00000523994</t>
  </si>
  <si>
    <t>O94905</t>
  </si>
  <si>
    <t>ENST00000276461</t>
  </si>
  <si>
    <t>ENST00000335171</t>
  </si>
  <si>
    <t>ENST00000397228</t>
  </si>
  <si>
    <t>ENST00000518586</t>
  </si>
  <si>
    <t>ENST00000519638</t>
  </si>
  <si>
    <t>ENST00000519872</t>
  </si>
  <si>
    <t>ENST00000521644</t>
  </si>
  <si>
    <t>ENST00000521993</t>
  </si>
  <si>
    <t>ENST00000523887</t>
  </si>
  <si>
    <t>O94906</t>
  </si>
  <si>
    <t>ENST00000266079</t>
  </si>
  <si>
    <t>O94913</t>
  </si>
  <si>
    <t>ENST00000298281</t>
  </si>
  <si>
    <t>ENST00000528336</t>
  </si>
  <si>
    <t>ENST00000530304</t>
  </si>
  <si>
    <t>ENST00000530660</t>
  </si>
  <si>
    <t>ENST00000530906</t>
  </si>
  <si>
    <t>O94915</t>
  </si>
  <si>
    <t>ENST00000302806</t>
  </si>
  <si>
    <t>ENST00000358350</t>
  </si>
  <si>
    <t>ENST00000502520</t>
  </si>
  <si>
    <t>ENST00000502925</t>
  </si>
  <si>
    <t>ENST00000503238</t>
  </si>
  <si>
    <t>ENST00000503339</t>
  </si>
  <si>
    <t>ENST00000505437</t>
  </si>
  <si>
    <t>ENST00000506685</t>
  </si>
  <si>
    <t>ENST00000507711</t>
  </si>
  <si>
    <t>ENST00000507873</t>
  </si>
  <si>
    <t>ENST00000511343</t>
  </si>
  <si>
    <t>ENST00000512810</t>
  </si>
  <si>
    <t>ENST00000513401</t>
  </si>
  <si>
    <t>ENST00000514617</t>
  </si>
  <si>
    <t>ENST00000514783</t>
  </si>
  <si>
    <t>O94916</t>
  </si>
  <si>
    <t>ENST00000354436</t>
  </si>
  <si>
    <t>ENST00000393742</t>
  </si>
  <si>
    <t>ENST00000426654</t>
  </si>
  <si>
    <t>ENST00000562429</t>
  </si>
  <si>
    <t>ENST00000566899</t>
  </si>
  <si>
    <t>ENST00000567239</t>
  </si>
  <si>
    <t>ENST00000567990</t>
  </si>
  <si>
    <t>ENST00000568832</t>
  </si>
  <si>
    <t>O94919</t>
  </si>
  <si>
    <t>ENST00000278505</t>
  </si>
  <si>
    <t>O94925</t>
  </si>
  <si>
    <t>ENST00000320717</t>
  </si>
  <si>
    <t>ENST00000338435</t>
  </si>
  <si>
    <t>ENST00000409428</t>
  </si>
  <si>
    <t>ENST00000417154</t>
  </si>
  <si>
    <t>ENST00000457316</t>
  </si>
  <si>
    <t>ENST00000461965</t>
  </si>
  <si>
    <t>ENST00000468352</t>
  </si>
  <si>
    <t>ENST00000469774</t>
  </si>
  <si>
    <t>ENST00000479552</t>
  </si>
  <si>
    <t>ENST00000496170</t>
  </si>
  <si>
    <t>O94927</t>
  </si>
  <si>
    <t>ENST00000203166</t>
  </si>
  <si>
    <t>ENST00000424522</t>
  </si>
  <si>
    <t>ENST00000428854</t>
  </si>
  <si>
    <t>ENST00000430749</t>
  </si>
  <si>
    <t>ENST00000585968</t>
  </si>
  <si>
    <t>ENST00000588570</t>
  </si>
  <si>
    <t>O94953</t>
  </si>
  <si>
    <t>ENST00000159111</t>
  </si>
  <si>
    <t>ENST00000381759</t>
  </si>
  <si>
    <t>ENST00000536461</t>
  </si>
  <si>
    <t>ENST00000588166</t>
  </si>
  <si>
    <t>ENST00000588361</t>
  </si>
  <si>
    <t>ENST00000588961</t>
  </si>
  <si>
    <t>ENST00000589104</t>
  </si>
  <si>
    <t>O94992</t>
  </si>
  <si>
    <t>ENST00000332499</t>
  </si>
  <si>
    <t>O95070</t>
  </si>
  <si>
    <t>ENST00000359461</t>
  </si>
  <si>
    <t>ENST00000376899</t>
  </si>
  <si>
    <t>ENST00000376901</t>
  </si>
  <si>
    <t>ENST00000484814</t>
  </si>
  <si>
    <t>ENST00000485820</t>
  </si>
  <si>
    <t>ENST00000494836</t>
  </si>
  <si>
    <t>ENST00000496746</t>
  </si>
  <si>
    <t>ENST00000534374</t>
  </si>
  <si>
    <t>O95081</t>
  </si>
  <si>
    <t>ENST00000300176</t>
  </si>
  <si>
    <t>ENST00000429987</t>
  </si>
  <si>
    <t>ENST00000477022</t>
  </si>
  <si>
    <t>O95139</t>
  </si>
  <si>
    <t>ENST00000350021</t>
  </si>
  <si>
    <t>ENST00000379847</t>
  </si>
  <si>
    <t>O95140</t>
  </si>
  <si>
    <t>ENST00000235329</t>
  </si>
  <si>
    <t>ENST00000412236</t>
  </si>
  <si>
    <t>ENST00000444836</t>
  </si>
  <si>
    <t>ENST00000484391</t>
  </si>
  <si>
    <t>ENST00000490079</t>
  </si>
  <si>
    <t>ENST00000497302</t>
  </si>
  <si>
    <t>O95149</t>
  </si>
  <si>
    <t>ENST00000308588</t>
  </si>
  <si>
    <t>ENST00000564086</t>
  </si>
  <si>
    <t>ENST00000564675</t>
  </si>
  <si>
    <t>ENST00000567437</t>
  </si>
  <si>
    <t>ENST00000568078</t>
  </si>
  <si>
    <t>O95159</t>
  </si>
  <si>
    <t>ENST00000294258</t>
  </si>
  <si>
    <t>ENST00000525509</t>
  </si>
  <si>
    <t>ENST00000526289</t>
  </si>
  <si>
    <t>ENST00000526334</t>
  </si>
  <si>
    <t>ENST00000526440</t>
  </si>
  <si>
    <t>ENST00000526791</t>
  </si>
  <si>
    <t>ENST00000528123</t>
  </si>
  <si>
    <t>ENST00000530488</t>
  </si>
  <si>
    <t>ENST00000532200</t>
  </si>
  <si>
    <t>ENST00000533216</t>
  </si>
  <si>
    <t>O95163</t>
  </si>
  <si>
    <t>ENST00000374647</t>
  </si>
  <si>
    <t>ENST00000467959</t>
  </si>
  <si>
    <t>ENST00000495759</t>
  </si>
  <si>
    <t>O95164</t>
  </si>
  <si>
    <t>ENST00000380680</t>
  </si>
  <si>
    <t>O95166</t>
  </si>
  <si>
    <t>ENST00000302386</t>
  </si>
  <si>
    <t>ENST00000570856</t>
  </si>
  <si>
    <t>ENST00000571253</t>
  </si>
  <si>
    <t>ENST00000573928</t>
  </si>
  <si>
    <t>ENST00000577035</t>
  </si>
  <si>
    <t>O95168</t>
  </si>
  <si>
    <t>ENST00000184266</t>
  </si>
  <si>
    <t>ENST00000461682</t>
  </si>
  <si>
    <t>ENST00000485064</t>
  </si>
  <si>
    <t>ENST00000491335</t>
  </si>
  <si>
    <t>ENST00000496588</t>
  </si>
  <si>
    <t>O95182</t>
  </si>
  <si>
    <t>ENST00000301457</t>
  </si>
  <si>
    <t>ENST00000593729</t>
  </si>
  <si>
    <t>ENST00000595856</t>
  </si>
  <si>
    <t>ENST00000601258</t>
  </si>
  <si>
    <t>ENST00000602059</t>
  </si>
  <si>
    <t>O95183</t>
  </si>
  <si>
    <t>ENST00000306384</t>
  </si>
  <si>
    <t>ENST00000462451</t>
  </si>
  <si>
    <t>O95202</t>
  </si>
  <si>
    <t>ENST00000302787</t>
  </si>
  <si>
    <t>ENST00000466175</t>
  </si>
  <si>
    <t>ENST00000510940</t>
  </si>
  <si>
    <t>ENST00000511977</t>
  </si>
  <si>
    <t>ENST00000512189</t>
  </si>
  <si>
    <t>O95219</t>
  </si>
  <si>
    <t>ENST00000251775</t>
  </si>
  <si>
    <t>ENST00000473417</t>
  </si>
  <si>
    <t>ENST00000482965</t>
  </si>
  <si>
    <t>O95232</t>
  </si>
  <si>
    <t>ENST00000240304</t>
  </si>
  <si>
    <t>ENST00000393227</t>
  </si>
  <si>
    <t>ENST00000503728</t>
  </si>
  <si>
    <t>ENST00000503798</t>
  </si>
  <si>
    <t>ENST00000504065</t>
  </si>
  <si>
    <t>ENST00000504563</t>
  </si>
  <si>
    <t>ENST00000505619</t>
  </si>
  <si>
    <t>ENST00000505658</t>
  </si>
  <si>
    <t>ENST00000506686</t>
  </si>
  <si>
    <t>ENST00000507503</t>
  </si>
  <si>
    <t>ENST00000508045</t>
  </si>
  <si>
    <t>ENST00000508218</t>
  </si>
  <si>
    <t>ENST00000508482</t>
  </si>
  <si>
    <t>ENST00000509335</t>
  </si>
  <si>
    <t>ENST00000510984</t>
  </si>
  <si>
    <t>ENST00000511068</t>
  </si>
  <si>
    <t>ENST00000511974</t>
  </si>
  <si>
    <t>ENST00000512549</t>
  </si>
  <si>
    <t>ENST00000513025</t>
  </si>
  <si>
    <t>ENST00000513969</t>
  </si>
  <si>
    <t>O95239</t>
  </si>
  <si>
    <t>ENST00000374403</t>
  </si>
  <si>
    <t>O95248</t>
  </si>
  <si>
    <t>ENST00000348911</t>
  </si>
  <si>
    <t>ENST00000380817</t>
  </si>
  <si>
    <t>ENST00000399627</t>
  </si>
  <si>
    <t>ENST00000470434</t>
  </si>
  <si>
    <t>ENST00000473724</t>
  </si>
  <si>
    <t>ENST00000476293</t>
  </si>
  <si>
    <t>ENST00000477234</t>
  </si>
  <si>
    <t>O95249</t>
  </si>
  <si>
    <t>ENST00000225724</t>
  </si>
  <si>
    <t>ENST00000414833</t>
  </si>
  <si>
    <t>ENST00000427274</t>
  </si>
  <si>
    <t>ENST00000451249</t>
  </si>
  <si>
    <t>ENST00000467337</t>
  </si>
  <si>
    <t>ENST00000467635</t>
  </si>
  <si>
    <t>ENST00000477885</t>
  </si>
  <si>
    <t>ENST00000491489</t>
  </si>
  <si>
    <t>ENST00000494918</t>
  </si>
  <si>
    <t>ENST00000579905</t>
  </si>
  <si>
    <t>ENST00000581721</t>
  </si>
  <si>
    <t>O95260</t>
  </si>
  <si>
    <t>ENST00000224652</t>
  </si>
  <si>
    <t>ENST00000369043</t>
  </si>
  <si>
    <t>ENST00000423243</t>
  </si>
  <si>
    <t>ENST00000455628</t>
  </si>
  <si>
    <t>ENST00000485281</t>
  </si>
  <si>
    <t>ENST00000540606</t>
  </si>
  <si>
    <t>O95292</t>
  </si>
  <si>
    <t>ENST00000395802</t>
  </si>
  <si>
    <t>ENST00000463370</t>
  </si>
  <si>
    <t>ENST00000475243</t>
  </si>
  <si>
    <t>ENST00000476395</t>
  </si>
  <si>
    <t>ENST00000520497</t>
  </si>
  <si>
    <t>O95295</t>
  </si>
  <si>
    <t>ENST00000368685</t>
  </si>
  <si>
    <t>ENST00000462880</t>
  </si>
  <si>
    <t>ENST00000474959</t>
  </si>
  <si>
    <t>ENST00000478558</t>
  </si>
  <si>
    <t>O95298</t>
  </si>
  <si>
    <t>ENST00000281031</t>
  </si>
  <si>
    <t>ENST00000528164</t>
  </si>
  <si>
    <t>O95299</t>
  </si>
  <si>
    <t>ENST00000252711</t>
  </si>
  <si>
    <t>ENST00000307300</t>
  </si>
  <si>
    <t>ENST00000404554</t>
  </si>
  <si>
    <t>ENST00000407129</t>
  </si>
  <si>
    <t>ENST00000414580</t>
  </si>
  <si>
    <t>ENST00000443626</t>
  </si>
  <si>
    <t>ENST00000444548</t>
  </si>
  <si>
    <t>ENST00000448880</t>
  </si>
  <si>
    <t>ENST00000471378</t>
  </si>
  <si>
    <t>ENST00000476216</t>
  </si>
  <si>
    <t>ENST00000485344</t>
  </si>
  <si>
    <t>ENST00000497536</t>
  </si>
  <si>
    <t>O95336</t>
  </si>
  <si>
    <t>ENST00000252603</t>
  </si>
  <si>
    <t>ENST00000594761</t>
  </si>
  <si>
    <t>ENST00000596799</t>
  </si>
  <si>
    <t>ENST00000598811</t>
  </si>
  <si>
    <t>ENST00000600923</t>
  </si>
  <si>
    <t>O95340</t>
  </si>
  <si>
    <t>ENST00000361175</t>
  </si>
  <si>
    <t>O95347</t>
  </si>
  <si>
    <t>ENST00000286398</t>
  </si>
  <si>
    <t>ENST00000374787</t>
  </si>
  <si>
    <t>ENST00000374793</t>
  </si>
  <si>
    <t>O95352</t>
  </si>
  <si>
    <t>ENST00000354449</t>
  </si>
  <si>
    <t>ENST00000414717</t>
  </si>
  <si>
    <t>ENST00000435760</t>
  </si>
  <si>
    <t>ENST00000451830</t>
  </si>
  <si>
    <t>ENST00000460291</t>
  </si>
  <si>
    <t>ENST00000460444</t>
  </si>
  <si>
    <t>ENST00000461278</t>
  </si>
  <si>
    <t>ENST00000467121</t>
  </si>
  <si>
    <t>ENST00000469654</t>
  </si>
  <si>
    <t>ENST00000470474</t>
  </si>
  <si>
    <t>O95363</t>
  </si>
  <si>
    <t>ENST00000274680</t>
  </si>
  <si>
    <t>ENST00000445533</t>
  </si>
  <si>
    <t>ENST00000602691</t>
  </si>
  <si>
    <t>O95365</t>
  </si>
  <si>
    <t>ENST00000322357</t>
  </si>
  <si>
    <t>ENST00000601588</t>
  </si>
  <si>
    <t>O95372</t>
  </si>
  <si>
    <t>ENST00000374501</t>
  </si>
  <si>
    <t>ENST00000374502</t>
  </si>
  <si>
    <t>ENST00000374503</t>
  </si>
  <si>
    <t>ENST00000374514</t>
  </si>
  <si>
    <t>ENST00000472213</t>
  </si>
  <si>
    <t>O95373</t>
  </si>
  <si>
    <t>ENST00000379719</t>
  </si>
  <si>
    <t>ENST00000528833</t>
  </si>
  <si>
    <t>ENST00000530037</t>
  </si>
  <si>
    <t>ENST00000531235</t>
  </si>
  <si>
    <t>ENST00000533233</t>
  </si>
  <si>
    <t>ENST00000533680</t>
  </si>
  <si>
    <t>O95376</t>
  </si>
  <si>
    <t>ENST00000356401</t>
  </si>
  <si>
    <t>ENST00000420814</t>
  </si>
  <si>
    <t>ENST00000430423</t>
  </si>
  <si>
    <t>ENST00000449376</t>
  </si>
  <si>
    <t>ENST00000452385</t>
  </si>
  <si>
    <t>ENST00000452882</t>
  </si>
  <si>
    <t>ENST00000459976</t>
  </si>
  <si>
    <t>ENST00000463204</t>
  </si>
  <si>
    <t>ENST00000463738</t>
  </si>
  <si>
    <t>ENST00000466850</t>
  </si>
  <si>
    <t>ENST00000469038</t>
  </si>
  <si>
    <t>ENST00000472640</t>
  </si>
  <si>
    <t>ENST00000474618</t>
  </si>
  <si>
    <t>ENST00000482342</t>
  </si>
  <si>
    <t>ENST00000482427</t>
  </si>
  <si>
    <t>ENST00000484999</t>
  </si>
  <si>
    <t>ENST00000487891</t>
  </si>
  <si>
    <t>ENST00000488963</t>
  </si>
  <si>
    <t>ENST00000490095</t>
  </si>
  <si>
    <t>ENST00000495507</t>
  </si>
  <si>
    <t>ENST00000498314</t>
  </si>
  <si>
    <t>O95379</t>
  </si>
  <si>
    <t>ENST00000274456</t>
  </si>
  <si>
    <t>ENST00000415806</t>
  </si>
  <si>
    <t>ENST00000504642</t>
  </si>
  <si>
    <t>ENST00000504771</t>
  </si>
  <si>
    <t>ENST00000513374</t>
  </si>
  <si>
    <t>O95391</t>
  </si>
  <si>
    <t>ENST00000297151</t>
  </si>
  <si>
    <t>ENST00000518268</t>
  </si>
  <si>
    <t>ENST00000519349</t>
  </si>
  <si>
    <t>ENST00000520664</t>
  </si>
  <si>
    <t>ENST00000520841</t>
  </si>
  <si>
    <t>ENST00000521190</t>
  </si>
  <si>
    <t>ENST00000521320</t>
  </si>
  <si>
    <t>ENST00000523219</t>
  </si>
  <si>
    <t>O95394</t>
  </si>
  <si>
    <t>ENST00000503094</t>
  </si>
  <si>
    <t>ENST00000506587</t>
  </si>
  <si>
    <t>ENST00000507404</t>
  </si>
  <si>
    <t>ENST00000509219</t>
  </si>
  <si>
    <t>ENST00000512866</t>
  </si>
  <si>
    <t>ENST00000513973</t>
  </si>
  <si>
    <t>ENST00000515333</t>
  </si>
  <si>
    <t>ENST00000605602</t>
  </si>
  <si>
    <t>O95396</t>
  </si>
  <si>
    <t>ENST00000244051</t>
  </si>
  <si>
    <t>O95400</t>
  </si>
  <si>
    <t>ENST00000305596</t>
  </si>
  <si>
    <t>ENST00000564525</t>
  </si>
  <si>
    <t>ENST00000569466</t>
  </si>
  <si>
    <t>O95402</t>
  </si>
  <si>
    <t>ENST00000263390</t>
  </si>
  <si>
    <t>ENST00000597244</t>
  </si>
  <si>
    <t>ENST00000598608</t>
  </si>
  <si>
    <t>ENST00000600060</t>
  </si>
  <si>
    <t>O95433</t>
  </si>
  <si>
    <t>ENST00000216479</t>
  </si>
  <si>
    <t>ENST00000535854</t>
  </si>
  <si>
    <t>ENST00000553374</t>
  </si>
  <si>
    <t>ENST00000554156</t>
  </si>
  <si>
    <t>ENST00000555133</t>
  </si>
  <si>
    <t>ENST00000555457</t>
  </si>
  <si>
    <t>ENST00000555473</t>
  </si>
  <si>
    <t>ENST00000555517</t>
  </si>
  <si>
    <t>ENST00000556369</t>
  </si>
  <si>
    <t>ENST00000556866</t>
  </si>
  <si>
    <t>ENST00000556963</t>
  </si>
  <si>
    <t>O95470</t>
  </si>
  <si>
    <t>ENST00000299297</t>
  </si>
  <si>
    <t>ENST00000373202</t>
  </si>
  <si>
    <t>ENST00000409118</t>
  </si>
  <si>
    <t>ENST00000486993</t>
  </si>
  <si>
    <t>O95478</t>
  </si>
  <si>
    <t>ENST00000296802</t>
  </si>
  <si>
    <t>ENST00000513356</t>
  </si>
  <si>
    <t>ENST00000514918</t>
  </si>
  <si>
    <t>ENST00000515524</t>
  </si>
  <si>
    <t>O95479</t>
  </si>
  <si>
    <t>ENST00000377403</t>
  </si>
  <si>
    <t>O95486</t>
  </si>
  <si>
    <t>ENST00000322887</t>
  </si>
  <si>
    <t>ENST00000398844</t>
  </si>
  <si>
    <t>ENST00000513123</t>
  </si>
  <si>
    <t>O95503</t>
  </si>
  <si>
    <t>ENST00000216083</t>
  </si>
  <si>
    <t>ENST00000407418</t>
  </si>
  <si>
    <t>ENST00000469420</t>
  </si>
  <si>
    <t>O95551</t>
  </si>
  <si>
    <t>ENST00000378198</t>
  </si>
  <si>
    <t>ENST00000478285</t>
  </si>
  <si>
    <t>ENST00000480495</t>
  </si>
  <si>
    <t>O95562</t>
  </si>
  <si>
    <t>ENST00000271375</t>
  </si>
  <si>
    <t>O95563</t>
  </si>
  <si>
    <t>ENST00000367846</t>
  </si>
  <si>
    <t>O95568</t>
  </si>
  <si>
    <t>ENST00000310392</t>
  </si>
  <si>
    <t>ENST00000454472</t>
  </si>
  <si>
    <t>O95571</t>
  </si>
  <si>
    <t>ENST00000292147</t>
  </si>
  <si>
    <t>ENST00000594342</t>
  </si>
  <si>
    <t>ENST00000595115</t>
  </si>
  <si>
    <t>ENST00000598330</t>
  </si>
  <si>
    <t>ENST00000600651</t>
  </si>
  <si>
    <t>ENST00000602138</t>
  </si>
  <si>
    <t>O95573</t>
  </si>
  <si>
    <t>ENST00000357430</t>
  </si>
  <si>
    <t>ENST00000392066</t>
  </si>
  <si>
    <t>ENST00000407441</t>
  </si>
  <si>
    <t>ENST00000463813</t>
  </si>
  <si>
    <t>ENST00000474422</t>
  </si>
  <si>
    <t>ENST00000495541</t>
  </si>
  <si>
    <t>ENST00000542810</t>
  </si>
  <si>
    <t>O95602</t>
  </si>
  <si>
    <t>ENST00000263857</t>
  </si>
  <si>
    <t>ENST00000462078</t>
  </si>
  <si>
    <t>ENST00000471427</t>
  </si>
  <si>
    <t>ENST00000483538</t>
  </si>
  <si>
    <t>ENST00000486964</t>
  </si>
  <si>
    <t>ENST00000492034</t>
  </si>
  <si>
    <t>O95613</t>
  </si>
  <si>
    <t>ENST00000359568</t>
  </si>
  <si>
    <t>ENST00000418394</t>
  </si>
  <si>
    <t>ENST00000465356</t>
  </si>
  <si>
    <t>ENST00000480896</t>
  </si>
  <si>
    <t>ENST00000482575</t>
  </si>
  <si>
    <t>O95619</t>
  </si>
  <si>
    <t>ENST00000247843</t>
  </si>
  <si>
    <t>ENST00000548020</t>
  </si>
  <si>
    <t>ENST00000549685</t>
  </si>
  <si>
    <t>ENST00000552949</t>
  </si>
  <si>
    <t>O95625</t>
  </si>
  <si>
    <t>ENST00000312938</t>
  </si>
  <si>
    <t>ENST00000461821</t>
  </si>
  <si>
    <t>ENST00000471673</t>
  </si>
  <si>
    <t>O95630</t>
  </si>
  <si>
    <t>ENST00000339566</t>
  </si>
  <si>
    <t>ENST00000394070</t>
  </si>
  <si>
    <t>ENST00000394073</t>
  </si>
  <si>
    <t>ENST00000424659</t>
  </si>
  <si>
    <t>ENST00000432295</t>
  </si>
  <si>
    <t>ENST00000478946</t>
  </si>
  <si>
    <t>ENST00000486458</t>
  </si>
  <si>
    <t>ENST00000487811</t>
  </si>
  <si>
    <t>ENST00000536064</t>
  </si>
  <si>
    <t>O95639</t>
  </si>
  <si>
    <t>ENST00000292476</t>
  </si>
  <si>
    <t>ENST00000430038</t>
  </si>
  <si>
    <t>ENST00000436336</t>
  </si>
  <si>
    <t>ENST00000440514</t>
  </si>
  <si>
    <t>ENST00000441580</t>
  </si>
  <si>
    <t>ENST00000451876</t>
  </si>
  <si>
    <t>ENST00000465132</t>
  </si>
  <si>
    <t>ENST00000469897</t>
  </si>
  <si>
    <t>ENST00000482251</t>
  </si>
  <si>
    <t>ENST00000484112</t>
  </si>
  <si>
    <t>O95674</t>
  </si>
  <si>
    <t>ENST00000379070</t>
  </si>
  <si>
    <t>ENST00000450570</t>
  </si>
  <si>
    <t>ENST00000460006</t>
  </si>
  <si>
    <t>ENST00000467923</t>
  </si>
  <si>
    <t>ENST00000468817</t>
  </si>
  <si>
    <t>ENST00000486875</t>
  </si>
  <si>
    <t>O95685</t>
  </si>
  <si>
    <t>ENST00000370996</t>
  </si>
  <si>
    <t>O95696</t>
  </si>
  <si>
    <t>ENST00000216267</t>
  </si>
  <si>
    <t>ENST00000404034</t>
  </si>
  <si>
    <t>ENST00000404760</t>
  </si>
  <si>
    <t>ENST00000438393</t>
  </si>
  <si>
    <t>ENST00000457780</t>
  </si>
  <si>
    <t>ENST00000479985</t>
  </si>
  <si>
    <t>ENST00000494833</t>
  </si>
  <si>
    <t>O95707</t>
  </si>
  <si>
    <t>ENST00000221770</t>
  </si>
  <si>
    <t>ENST00000585603</t>
  </si>
  <si>
    <t>ENST00000586136</t>
  </si>
  <si>
    <t>ENST00000586173</t>
  </si>
  <si>
    <t>ENST00000587232</t>
  </si>
  <si>
    <t>ENST00000588551</t>
  </si>
  <si>
    <t>ENST00000591061</t>
  </si>
  <si>
    <t>ENST00000591824</t>
  </si>
  <si>
    <t>ENST00000592749</t>
  </si>
  <si>
    <t>O95714</t>
  </si>
  <si>
    <t>ENST00000261609</t>
  </si>
  <si>
    <t>ENST00000562136</t>
  </si>
  <si>
    <t>ENST00000563670</t>
  </si>
  <si>
    <t>ENST00000563945</t>
  </si>
  <si>
    <t>ENST00000564383</t>
  </si>
  <si>
    <t>ENST00000564519</t>
  </si>
  <si>
    <t>ENST00000566635</t>
  </si>
  <si>
    <t>ENST00000567869</t>
  </si>
  <si>
    <t>ENST00000568206</t>
  </si>
  <si>
    <t>ENST00000569335</t>
  </si>
  <si>
    <t>O95716</t>
  </si>
  <si>
    <t>ENST00000222120</t>
  </si>
  <si>
    <t>O95721</t>
  </si>
  <si>
    <t>ENST00000215730</t>
  </si>
  <si>
    <t>ENST00000490458</t>
  </si>
  <si>
    <t>O95747</t>
  </si>
  <si>
    <t>ENST00000311806</t>
  </si>
  <si>
    <t>ENST00000426620</t>
  </si>
  <si>
    <t>ENST00000446845</t>
  </si>
  <si>
    <t>ENST00000467900</t>
  </si>
  <si>
    <t>ENST00000483695</t>
  </si>
  <si>
    <t>O95749</t>
  </si>
  <si>
    <t>ENST00000282841</t>
  </si>
  <si>
    <t>ENST00000391855</t>
  </si>
  <si>
    <t>O95757</t>
  </si>
  <si>
    <t>ENST00000296464</t>
  </si>
  <si>
    <t>ENST00000515262</t>
  </si>
  <si>
    <t>O95777</t>
  </si>
  <si>
    <t>ENST00000249299</t>
  </si>
  <si>
    <t>ENST00000411938</t>
  </si>
  <si>
    <t>ENST00000422760</t>
  </si>
  <si>
    <t>ENST00000424702</t>
  </si>
  <si>
    <t>O95786</t>
  </si>
  <si>
    <t>ENST00000379868</t>
  </si>
  <si>
    <t>ENST00000379883</t>
  </si>
  <si>
    <t>O95793</t>
  </si>
  <si>
    <t>ENST00000340954</t>
  </si>
  <si>
    <t>ENST00000347458</t>
  </si>
  <si>
    <t>ENST00000360426</t>
  </si>
  <si>
    <t>ENST00000371802</t>
  </si>
  <si>
    <t>ENST00000371828</t>
  </si>
  <si>
    <t>ENST00000371856</t>
  </si>
  <si>
    <t>ENST00000437404</t>
  </si>
  <si>
    <t>ENST00000456866</t>
  </si>
  <si>
    <t>O95801</t>
  </si>
  <si>
    <t>ENST00000371281</t>
  </si>
  <si>
    <t>ENST00000371284</t>
  </si>
  <si>
    <t>ENST00000486091</t>
  </si>
  <si>
    <t>ENST00000486621</t>
  </si>
  <si>
    <t>O95807</t>
  </si>
  <si>
    <t>ENST00000374358</t>
  </si>
  <si>
    <t>ENST00000468704</t>
  </si>
  <si>
    <t>ENST00000480937</t>
  </si>
  <si>
    <t>ENST00000487234</t>
  </si>
  <si>
    <t>ENST00000491936</t>
  </si>
  <si>
    <t>ENST00000498135</t>
  </si>
  <si>
    <t>O95810</t>
  </si>
  <si>
    <t>ENST00000304141</t>
  </si>
  <si>
    <t>O95817</t>
  </si>
  <si>
    <t>ENST00000369085</t>
  </si>
  <si>
    <t>ENST00000450186</t>
  </si>
  <si>
    <t>O95822</t>
  </si>
  <si>
    <t>ENST00000262430</t>
  </si>
  <si>
    <t>ENST00000569024</t>
  </si>
  <si>
    <t>O95825</t>
  </si>
  <si>
    <t>ENST00000361534</t>
  </si>
  <si>
    <t>ENST00000381554</t>
  </si>
  <si>
    <t>ENST00000413017</t>
  </si>
  <si>
    <t>ENST00000414079</t>
  </si>
  <si>
    <t>ENST00000420072</t>
  </si>
  <si>
    <t>ENST00000437996</t>
  </si>
  <si>
    <t>ENST00000440526</t>
  </si>
  <si>
    <t>ENST00000441940</t>
  </si>
  <si>
    <t>ENST00000468349</t>
  </si>
  <si>
    <t>ENST00000479964</t>
  </si>
  <si>
    <t>ENST00000488167</t>
  </si>
  <si>
    <t>ENST00000490714</t>
  </si>
  <si>
    <t>O95833</t>
  </si>
  <si>
    <t>ENST00000473911</t>
  </si>
  <si>
    <t>ENST00000494426</t>
  </si>
  <si>
    <t>O95835</t>
  </si>
  <si>
    <t>ENST00000253339</t>
  </si>
  <si>
    <t>ENST00000392273</t>
  </si>
  <si>
    <t>ENST00000542747</t>
  </si>
  <si>
    <t>ENST00000543571</t>
  </si>
  <si>
    <t>O95865</t>
  </si>
  <si>
    <t>ENST00000375789</t>
  </si>
  <si>
    <t>ENST00000375792</t>
  </si>
  <si>
    <t>ENST00000469963</t>
  </si>
  <si>
    <t>ENST00000488119</t>
  </si>
  <si>
    <t>O95870</t>
  </si>
  <si>
    <t>ENST00000395952</t>
  </si>
  <si>
    <t>ENST00000468037</t>
  </si>
  <si>
    <t>ENST00000468205</t>
  </si>
  <si>
    <t>ENST00000471644</t>
  </si>
  <si>
    <t>ENST00000474007</t>
  </si>
  <si>
    <t>ENST00000475742</t>
  </si>
  <si>
    <t>ENST00000477016</t>
  </si>
  <si>
    <t>ENST00000490209</t>
  </si>
  <si>
    <t>ENST00000492084</t>
  </si>
  <si>
    <t>ENST00000492899</t>
  </si>
  <si>
    <t>ENST00000495769</t>
  </si>
  <si>
    <t>ENST00000496579</t>
  </si>
  <si>
    <t>O95873</t>
  </si>
  <si>
    <t>ENST00000375911</t>
  </si>
  <si>
    <t>O95881</t>
  </si>
  <si>
    <t>ENST00000371626</t>
  </si>
  <si>
    <t>ENST00000469458</t>
  </si>
  <si>
    <t>ENST00000471493</t>
  </si>
  <si>
    <t>ENST00000472624</t>
  </si>
  <si>
    <t>ENST00000610127</t>
  </si>
  <si>
    <t>O95905</t>
  </si>
  <si>
    <t>ENST00000372979</t>
  </si>
  <si>
    <t>ENST00000453402</t>
  </si>
  <si>
    <t>ENST00000494307</t>
  </si>
  <si>
    <t>O95926</t>
  </si>
  <si>
    <t>ENST00000236273</t>
  </si>
  <si>
    <t>ENST00000354361</t>
  </si>
  <si>
    <t>ENST00000474160</t>
  </si>
  <si>
    <t>ENST00000476231</t>
  </si>
  <si>
    <t>O95980</t>
  </si>
  <si>
    <t>ENST00000377966</t>
  </si>
  <si>
    <t>ENST00000475774</t>
  </si>
  <si>
    <t>ENST00000479053</t>
  </si>
  <si>
    <t>O95985</t>
  </si>
  <si>
    <t>ENST00000357179</t>
  </si>
  <si>
    <t>ENST00000398793</t>
  </si>
  <si>
    <t>ENST00000430142</t>
  </si>
  <si>
    <t>ENST00000434517</t>
  </si>
  <si>
    <t>ENST00000436282</t>
  </si>
  <si>
    <t>ENST00000437103</t>
  </si>
  <si>
    <t>ENST00000442653</t>
  </si>
  <si>
    <t>ENST00000444502</t>
  </si>
  <si>
    <t>ENST00000449704</t>
  </si>
  <si>
    <t>ENST00000456075</t>
  </si>
  <si>
    <t>ENST00000457179</t>
  </si>
  <si>
    <t>ENST00000457270</t>
  </si>
  <si>
    <t>ENST00000470338</t>
  </si>
  <si>
    <t>ENST00000487485</t>
  </si>
  <si>
    <t>ENST00000489581</t>
  </si>
  <si>
    <t>O95989</t>
  </si>
  <si>
    <t>ENST00000607016</t>
  </si>
  <si>
    <t>O95999</t>
  </si>
  <si>
    <t>ENST00000370580</t>
  </si>
  <si>
    <t>O96000</t>
  </si>
  <si>
    <t>ENST00000268668</t>
  </si>
  <si>
    <t>ENST00000543683</t>
  </si>
  <si>
    <t>ENST00000565031</t>
  </si>
  <si>
    <t>ENST00000569148</t>
  </si>
  <si>
    <t>ENST00000570172</t>
  </si>
  <si>
    <t>O96005</t>
  </si>
  <si>
    <t>ENST00000337392</t>
  </si>
  <si>
    <t>ENST00000541297</t>
  </si>
  <si>
    <t>ENST00000546079</t>
  </si>
  <si>
    <t>ENST00000586915</t>
  </si>
  <si>
    <t>ENST00000586975</t>
  </si>
  <si>
    <t>ENST00000587537</t>
  </si>
  <si>
    <t>ENST00000588274</t>
  </si>
  <si>
    <t>ENST00000588855</t>
  </si>
  <si>
    <t>ENST00000589158</t>
  </si>
  <si>
    <t>ENST00000589347</t>
  </si>
  <si>
    <t>O96006</t>
  </si>
  <si>
    <t>ENST00000381218</t>
  </si>
  <si>
    <t>ENST00000381222</t>
  </si>
  <si>
    <t>ENST00000381223</t>
  </si>
  <si>
    <t>ENST00000461691</t>
  </si>
  <si>
    <t>O96007</t>
  </si>
  <si>
    <t>ENST00000361377</t>
  </si>
  <si>
    <t>ENST00000396954</t>
  </si>
  <si>
    <t>ENST00000450852</t>
  </si>
  <si>
    <t>ENST00000502402</t>
  </si>
  <si>
    <t>ENST00000508922</t>
  </si>
  <si>
    <t>ENST00000514553</t>
  </si>
  <si>
    <t>O96008</t>
  </si>
  <si>
    <t>ENST00000252487</t>
  </si>
  <si>
    <t>ENST00000405636</t>
  </si>
  <si>
    <t>ENST00000426677</t>
  </si>
  <si>
    <t>ENST00000589649</t>
  </si>
  <si>
    <t>ENST00000592041</t>
  </si>
  <si>
    <t>ENST00000592434</t>
  </si>
  <si>
    <t>O96009</t>
  </si>
  <si>
    <t>ENST00000253719</t>
  </si>
  <si>
    <t>ENST00000598044</t>
  </si>
  <si>
    <t>ENST00000599181</t>
  </si>
  <si>
    <t>O96011</t>
  </si>
  <si>
    <t>ENST00000369306</t>
  </si>
  <si>
    <t>ENST00000428634</t>
  </si>
  <si>
    <t>O96013</t>
  </si>
  <si>
    <t>ENST00000599386</t>
  </si>
  <si>
    <t>ENST00000600350</t>
  </si>
  <si>
    <t>O96017</t>
  </si>
  <si>
    <t>ENST00000328354</t>
  </si>
  <si>
    <t>ENST00000348295</t>
  </si>
  <si>
    <t>ENST00000382580</t>
  </si>
  <si>
    <t>ENST00000398017</t>
  </si>
  <si>
    <t>ENST00000404276</t>
  </si>
  <si>
    <t>ENST00000472807</t>
  </si>
  <si>
    <t>ENST00000491919</t>
  </si>
  <si>
    <t>O96019</t>
  </si>
  <si>
    <t>ENST00000392662</t>
  </si>
  <si>
    <t>ENST00000429709</t>
  </si>
  <si>
    <t>ENST00000450518</t>
  </si>
  <si>
    <t>ENST00000461125</t>
  </si>
  <si>
    <t>ENST00000467383</t>
  </si>
  <si>
    <t>ENST00000467615</t>
  </si>
  <si>
    <t>ENST00000468767</t>
  </si>
  <si>
    <t>ENST00000479056</t>
  </si>
  <si>
    <t>ENST00000484312</t>
  </si>
  <si>
    <t>ENST00000486471</t>
  </si>
  <si>
    <t>ENST00000487978</t>
  </si>
  <si>
    <t>ENST00000491202</t>
  </si>
  <si>
    <t>ENST00000494843</t>
  </si>
  <si>
    <t>O96028</t>
  </si>
  <si>
    <t>ENST00000312087</t>
  </si>
  <si>
    <t>ENST00000382888</t>
  </si>
  <si>
    <t>ENST00000398261</t>
  </si>
  <si>
    <t>ENST00000420906</t>
  </si>
  <si>
    <t>ENST00000482415</t>
  </si>
  <si>
    <t>ENST00000502425</t>
  </si>
  <si>
    <t>ENST00000505643</t>
  </si>
  <si>
    <t>ENST00000507094</t>
  </si>
  <si>
    <t>ENST00000507820</t>
  </si>
  <si>
    <t>ENST00000508299</t>
  </si>
  <si>
    <t>ENST00000508355</t>
  </si>
  <si>
    <t>ENST00000508803</t>
  </si>
  <si>
    <t>ENST00000509115</t>
  </si>
  <si>
    <t>ENST00000511904</t>
  </si>
  <si>
    <t>ENST00000512700</t>
  </si>
  <si>
    <t>ENST00000513726</t>
  </si>
  <si>
    <t>ENST00000514045</t>
  </si>
  <si>
    <t>ENST00000515695</t>
  </si>
  <si>
    <t>O96033</t>
  </si>
  <si>
    <t>P00338</t>
  </si>
  <si>
    <t>ENST00000227157</t>
  </si>
  <si>
    <t>ENST00000375710</t>
  </si>
  <si>
    <t>ENST00000396222</t>
  </si>
  <si>
    <t>ENST00000422447</t>
  </si>
  <si>
    <t>ENST00000430553</t>
  </si>
  <si>
    <t>ENST00000460405</t>
  </si>
  <si>
    <t>ENST00000469976</t>
  </si>
  <si>
    <t>ENST00000478970</t>
  </si>
  <si>
    <t>ENST00000486690</t>
  </si>
  <si>
    <t>ENST00000494573</t>
  </si>
  <si>
    <t>ENST00000535451</t>
  </si>
  <si>
    <t>ENST00000536528</t>
  </si>
  <si>
    <t>ENST00000537296</t>
  </si>
  <si>
    <t>ENST00000538451</t>
  </si>
  <si>
    <t>ENST00000539814</t>
  </si>
  <si>
    <t>ENST00000540430</t>
  </si>
  <si>
    <t>ENST00000541097</t>
  </si>
  <si>
    <t>ENST00000542179</t>
  </si>
  <si>
    <t>ENST00000543445</t>
  </si>
  <si>
    <t>ENST00000545215</t>
  </si>
  <si>
    <t>ENST00000545467</t>
  </si>
  <si>
    <t>P00352</t>
  </si>
  <si>
    <t>ENST00000297785</t>
  </si>
  <si>
    <t>P00367</t>
  </si>
  <si>
    <t>ENST00000277865</t>
  </si>
  <si>
    <t>ENST00000465164</t>
  </si>
  <si>
    <t>ENST00000474574</t>
  </si>
  <si>
    <t>ENST00000487058</t>
  </si>
  <si>
    <t>P00374</t>
  </si>
  <si>
    <t>ENST00000439211</t>
  </si>
  <si>
    <t>ENST00000508282</t>
  </si>
  <si>
    <t>ENST00000513314</t>
  </si>
  <si>
    <t>P00441</t>
  </si>
  <si>
    <t>ENST00000270142</t>
  </si>
  <si>
    <t>ENST00000470944</t>
  </si>
  <si>
    <t>ENST00000476106</t>
  </si>
  <si>
    <t>P00488</t>
  </si>
  <si>
    <t>ENST00000264870</t>
  </si>
  <si>
    <t>P00491</t>
  </si>
  <si>
    <t>ENST00000361505</t>
  </si>
  <si>
    <t>ENST00000553591</t>
  </si>
  <si>
    <t>ENST00000554056</t>
  </si>
  <si>
    <t>ENST00000554065</t>
  </si>
  <si>
    <t>ENST00000556293</t>
  </si>
  <si>
    <t>ENST00000556754</t>
  </si>
  <si>
    <t>ENST00000557229</t>
  </si>
  <si>
    <t>P00492</t>
  </si>
  <si>
    <t>ENST00000298556</t>
  </si>
  <si>
    <t>P00505</t>
  </si>
  <si>
    <t>ENST00000245206</t>
  </si>
  <si>
    <t>ENST00000492378</t>
  </si>
  <si>
    <t>ENST00000494627</t>
  </si>
  <si>
    <t>ENST00000496461</t>
  </si>
  <si>
    <t>ENST00000564400</t>
  </si>
  <si>
    <t>P00519</t>
  </si>
  <si>
    <t>ENST00000318560</t>
  </si>
  <si>
    <t>ENST00000372348</t>
  </si>
  <si>
    <t>ENST00000393293</t>
  </si>
  <si>
    <t>P00558</t>
  </si>
  <si>
    <t>ENST00000373316</t>
  </si>
  <si>
    <t>ENST00000474281</t>
  </si>
  <si>
    <t>ENST00000476531</t>
  </si>
  <si>
    <t>ENST00000491291</t>
  </si>
  <si>
    <t>P00568</t>
  </si>
  <si>
    <t>ENST00000223836</t>
  </si>
  <si>
    <t>ENST00000373176</t>
  </si>
  <si>
    <t>ENST00000550143</t>
  </si>
  <si>
    <t>ENST00000550992</t>
  </si>
  <si>
    <t>P00738</t>
  </si>
  <si>
    <t>ENST00000566821</t>
  </si>
  <si>
    <t>P00813</t>
  </si>
  <si>
    <t>ENST00000372874</t>
  </si>
  <si>
    <t>ENST00000464097</t>
  </si>
  <si>
    <t>ENST00000492931</t>
  </si>
  <si>
    <t>ENST00000535573</t>
  </si>
  <si>
    <t>ENST00000536532</t>
  </si>
  <si>
    <t>ENST00000537820</t>
  </si>
  <si>
    <t>ENST00000545776</t>
  </si>
  <si>
    <t>P00918</t>
  </si>
  <si>
    <t>ENST00000285379</t>
  </si>
  <si>
    <t>ENST00000518231</t>
  </si>
  <si>
    <t>ENST00000520996</t>
  </si>
  <si>
    <t>P01009</t>
  </si>
  <si>
    <t>ENST00000393087</t>
  </si>
  <si>
    <t>ENST00000393088</t>
  </si>
  <si>
    <t>ENST00000402629</t>
  </si>
  <si>
    <t>ENST00000440909</t>
  </si>
  <si>
    <t>ENST00000448921</t>
  </si>
  <si>
    <t>ENST00000449399</t>
  </si>
  <si>
    <t>ENST00000489769</t>
  </si>
  <si>
    <t>ENST00000555289</t>
  </si>
  <si>
    <t>ENST00000557093</t>
  </si>
  <si>
    <t>ENST00000557361</t>
  </si>
  <si>
    <t>P01024</t>
  </si>
  <si>
    <t>ENST00000245907</t>
  </si>
  <si>
    <t>ENST00000594005</t>
  </si>
  <si>
    <t>ENST00000596179</t>
  </si>
  <si>
    <t>ENST00000598805</t>
  </si>
  <si>
    <t>ENST00000599899</t>
  </si>
  <si>
    <t>ENST00000601475</t>
  </si>
  <si>
    <t>ENST00000602229</t>
  </si>
  <si>
    <t>P01034</t>
  </si>
  <si>
    <t>ENST00000376925</t>
  </si>
  <si>
    <t>P01040</t>
  </si>
  <si>
    <t>ENST00000264474</t>
  </si>
  <si>
    <t>ENST00000479204</t>
  </si>
  <si>
    <t>P01106</t>
  </si>
  <si>
    <t>ENST00000259523</t>
  </si>
  <si>
    <t>ENST00000377970</t>
  </si>
  <si>
    <t>ENST00000520751</t>
  </si>
  <si>
    <t>ENST00000524013</t>
  </si>
  <si>
    <t>P01111</t>
  </si>
  <si>
    <t>ENST00000369535</t>
  </si>
  <si>
    <t>P01137</t>
  </si>
  <si>
    <t>ENST00000221930</t>
  </si>
  <si>
    <t>ENST00000597453</t>
  </si>
  <si>
    <t>ENST00000598758</t>
  </si>
  <si>
    <t>ENST00000600196</t>
  </si>
  <si>
    <t>P01375</t>
  </si>
  <si>
    <t>ENST00000449264</t>
  </si>
  <si>
    <t>P01579</t>
  </si>
  <si>
    <t>ENST00000229135</t>
  </si>
  <si>
    <t>P01589</t>
  </si>
  <si>
    <t>ENST00000379954</t>
  </si>
  <si>
    <t>ENST00000379959</t>
  </si>
  <si>
    <t>ENST00000447847</t>
  </si>
  <si>
    <t>P01730</t>
  </si>
  <si>
    <t>ENST00000011653</t>
  </si>
  <si>
    <t>ENST00000437800</t>
  </si>
  <si>
    <t>ENST00000535466</t>
  </si>
  <si>
    <t>ENST00000536590</t>
  </si>
  <si>
    <t>ENST00000536610</t>
  </si>
  <si>
    <t>ENST00000538827</t>
  </si>
  <si>
    <t>ENST00000541982</t>
  </si>
  <si>
    <t>ENST00000543755</t>
  </si>
  <si>
    <t>ENST00000544344</t>
  </si>
  <si>
    <t>P01920</t>
  </si>
  <si>
    <t>ENST00000374943</t>
  </si>
  <si>
    <t>ENST00000399079</t>
  </si>
  <si>
    <t>ENST00000399082</t>
  </si>
  <si>
    <t>ENST00000434651</t>
  </si>
  <si>
    <t>ENST00000487676</t>
  </si>
  <si>
    <t>P02545</t>
  </si>
  <si>
    <t>ENST00000347559</t>
  </si>
  <si>
    <t>ENST00000361308</t>
  </si>
  <si>
    <t>ENST00000368298</t>
  </si>
  <si>
    <t>ENST00000368299</t>
  </si>
  <si>
    <t>ENST00000368300</t>
  </si>
  <si>
    <t>ENST00000459904</t>
  </si>
  <si>
    <t>ENST00000470199</t>
  </si>
  <si>
    <t>ENST00000478063</t>
  </si>
  <si>
    <t>ENST00000496738</t>
  </si>
  <si>
    <t>ENST00000498722</t>
  </si>
  <si>
    <t>ENST00000506981</t>
  </si>
  <si>
    <t>ENST00000508500</t>
  </si>
  <si>
    <t>ENST00000515711</t>
  </si>
  <si>
    <t>ENST00000515824</t>
  </si>
  <si>
    <t>P02750</t>
  </si>
  <si>
    <t>ENST00000306390</t>
  </si>
  <si>
    <t>P02775</t>
  </si>
  <si>
    <t>ENST00000296028</t>
  </si>
  <si>
    <t>P02786</t>
  </si>
  <si>
    <t>ENST00000360110</t>
  </si>
  <si>
    <t>ENST00000392396</t>
  </si>
  <si>
    <t>ENST00000420415</t>
  </si>
  <si>
    <t>ENST00000463047</t>
  </si>
  <si>
    <t>ENST00000463356</t>
  </si>
  <si>
    <t>ENST00000464011</t>
  </si>
  <si>
    <t>ENST00000464368</t>
  </si>
  <si>
    <t>ENST00000465288</t>
  </si>
  <si>
    <t>ENST00000475593</t>
  </si>
  <si>
    <t>ENST00000477148</t>
  </si>
  <si>
    <t>ENST00000482479</t>
  </si>
  <si>
    <t>ENST00000483983</t>
  </si>
  <si>
    <t>ENST00000491658</t>
  </si>
  <si>
    <t>P02792</t>
  </si>
  <si>
    <t>ENST00000331825</t>
  </si>
  <si>
    <t>P02794</t>
  </si>
  <si>
    <t>ENST00000273550</t>
  </si>
  <si>
    <t>ENST00000526640</t>
  </si>
  <si>
    <t>ENST00000529548</t>
  </si>
  <si>
    <t>ENST00000530019</t>
  </si>
  <si>
    <t>ENST00000532601</t>
  </si>
  <si>
    <t>ENST00000532829</t>
  </si>
  <si>
    <t>ENST00000533138</t>
  </si>
  <si>
    <t>ENST00000534180</t>
  </si>
  <si>
    <t>ENST00000534719</t>
  </si>
  <si>
    <t>P02795</t>
  </si>
  <si>
    <t>ENST00000245185</t>
  </si>
  <si>
    <t>ENST00000561491</t>
  </si>
  <si>
    <t>ENST00000562017</t>
  </si>
  <si>
    <t>ENST00000563985</t>
  </si>
  <si>
    <t>P03989</t>
  </si>
  <si>
    <t>ENST00000412585</t>
  </si>
  <si>
    <t>ENST00000463574</t>
  </si>
  <si>
    <t>ENST00000474381</t>
  </si>
  <si>
    <t>ENST00000481849</t>
  </si>
  <si>
    <t>ENST00000497377</t>
  </si>
  <si>
    <t>ENST00000498007</t>
  </si>
  <si>
    <t>P04040</t>
  </si>
  <si>
    <t>ENST00000241052</t>
  </si>
  <si>
    <t>ENST00000525707</t>
  </si>
  <si>
    <t>ENST00000528104</t>
  </si>
  <si>
    <t>ENST00000530343</t>
  </si>
  <si>
    <t>ENST00000534710</t>
  </si>
  <si>
    <t>P04049</t>
  </si>
  <si>
    <t>ENST00000251849</t>
  </si>
  <si>
    <t>ENST00000416093</t>
  </si>
  <si>
    <t>ENST00000423275</t>
  </si>
  <si>
    <t>ENST00000432427</t>
  </si>
  <si>
    <t>ENST00000442415</t>
  </si>
  <si>
    <t>ENST00000460610</t>
  </si>
  <si>
    <t>ENST00000465826</t>
  </si>
  <si>
    <t>ENST00000471449</t>
  </si>
  <si>
    <t>ENST00000475353</t>
  </si>
  <si>
    <t>ENST00000491290</t>
  </si>
  <si>
    <t>ENST00000492690</t>
  </si>
  <si>
    <t>ENST00000494557</t>
  </si>
  <si>
    <t>P04066</t>
  </si>
  <si>
    <t>ENST00000374479</t>
  </si>
  <si>
    <t>P04075</t>
  </si>
  <si>
    <t>ENST00000338110</t>
  </si>
  <si>
    <t>ENST00000395240</t>
  </si>
  <si>
    <t>ENST00000412304</t>
  </si>
  <si>
    <t>ENST00000562168</t>
  </si>
  <si>
    <t>ENST00000562302</t>
  </si>
  <si>
    <t>ENST00000562679</t>
  </si>
  <si>
    <t>ENST00000563060</t>
  </si>
  <si>
    <t>ENST00000563987</t>
  </si>
  <si>
    <t>ENST00000564521</t>
  </si>
  <si>
    <t>ENST00000564546</t>
  </si>
  <si>
    <t>ENST00000564595</t>
  </si>
  <si>
    <t>ENST00000565355</t>
  </si>
  <si>
    <t>ENST00000566130</t>
  </si>
  <si>
    <t>ENST00000566146</t>
  </si>
  <si>
    <t>ENST00000566846</t>
  </si>
  <si>
    <t>ENST00000566897</t>
  </si>
  <si>
    <t>ENST00000567555</t>
  </si>
  <si>
    <t>ENST00000569545</t>
  </si>
  <si>
    <t>ENST00000569798</t>
  </si>
  <si>
    <t>P04080</t>
  </si>
  <si>
    <t>ENST00000291568</t>
  </si>
  <si>
    <t>ENST00000480147</t>
  </si>
  <si>
    <t>P04083</t>
  </si>
  <si>
    <t>ENST00000257497</t>
  </si>
  <si>
    <t>ENST00000376911</t>
  </si>
  <si>
    <t>ENST00000468639</t>
  </si>
  <si>
    <t>ENST00000489109</t>
  </si>
  <si>
    <t>ENST00000491192</t>
  </si>
  <si>
    <t>ENST00000495713</t>
  </si>
  <si>
    <t>P04181</t>
  </si>
  <si>
    <t>ENST00000368845</t>
  </si>
  <si>
    <t>ENST00000471127</t>
  </si>
  <si>
    <t>ENST00000476917</t>
  </si>
  <si>
    <t>ENST00000483711</t>
  </si>
  <si>
    <t>ENST00000539214</t>
  </si>
  <si>
    <t>P04183</t>
  </si>
  <si>
    <t>ENST00000301634</t>
  </si>
  <si>
    <t>ENST00000588734</t>
  </si>
  <si>
    <t>P04217</t>
  </si>
  <si>
    <t>ENST00000596924</t>
  </si>
  <si>
    <t>ENST00000598345</t>
  </si>
  <si>
    <t>P04234</t>
  </si>
  <si>
    <t>ENST00000300692</t>
  </si>
  <si>
    <t>ENST00000392884</t>
  </si>
  <si>
    <t>ENST00000526561</t>
  </si>
  <si>
    <t>ENST00000529594</t>
  </si>
  <si>
    <t>ENST00000534687</t>
  </si>
  <si>
    <t>P04275</t>
  </si>
  <si>
    <t>ENST00000261405</t>
  </si>
  <si>
    <t>P04350</t>
  </si>
  <si>
    <t>ENST00000264071</t>
  </si>
  <si>
    <t>P04406</t>
  </si>
  <si>
    <t>ENST00000229239</t>
  </si>
  <si>
    <t>ENST00000396856</t>
  </si>
  <si>
    <t>ENST00000396858</t>
  </si>
  <si>
    <t>ENST00000396859</t>
  </si>
  <si>
    <t>ENST00000396861</t>
  </si>
  <si>
    <t>ENST00000466525</t>
  </si>
  <si>
    <t>ENST00000466588</t>
  </si>
  <si>
    <t>ENST00000474249</t>
  </si>
  <si>
    <t>ENST00000492719</t>
  </si>
  <si>
    <t>ENST00000496049</t>
  </si>
  <si>
    <t>P04439</t>
  </si>
  <si>
    <t>ENST00000376802</t>
  </si>
  <si>
    <t>ENST00000376806</t>
  </si>
  <si>
    <t>ENST00000376809</t>
  </si>
  <si>
    <t>ENST00000461903</t>
  </si>
  <si>
    <t>ENST00000479320</t>
  </si>
  <si>
    <t>ENST00000495183</t>
  </si>
  <si>
    <t>ENST00000496081</t>
  </si>
  <si>
    <t>P04440</t>
  </si>
  <si>
    <t>ENST00000418931</t>
  </si>
  <si>
    <t>ENST00000469120</t>
  </si>
  <si>
    <t>ENST00000471184</t>
  </si>
  <si>
    <t>ENST00000498038</t>
  </si>
  <si>
    <t>P04632</t>
  </si>
  <si>
    <t>ENST00000246533</t>
  </si>
  <si>
    <t>ENST00000587718</t>
  </si>
  <si>
    <t>ENST00000588780</t>
  </si>
  <si>
    <t>ENST00000588815</t>
  </si>
  <si>
    <t>ENST00000589162</t>
  </si>
  <si>
    <t>ENST00000590049</t>
  </si>
  <si>
    <t>P04733</t>
  </si>
  <si>
    <t>ENST00000334350</t>
  </si>
  <si>
    <t>ENST00000564295</t>
  </si>
  <si>
    <t>ENST00000568475</t>
  </si>
  <si>
    <t>P04792</t>
  </si>
  <si>
    <t>ENST00000248553</t>
  </si>
  <si>
    <t>ENST00000447574</t>
  </si>
  <si>
    <t>P04818</t>
  </si>
  <si>
    <t>ENST00000323274</t>
  </si>
  <si>
    <t>ENST00000579128</t>
  </si>
  <si>
    <t>ENST00000581920</t>
  </si>
  <si>
    <t>P04839</t>
  </si>
  <si>
    <t>ENST00000378588</t>
  </si>
  <si>
    <t>P04843</t>
  </si>
  <si>
    <t>ENST00000296255</t>
  </si>
  <si>
    <t>ENST00000476931</t>
  </si>
  <si>
    <t>ENST00000481168</t>
  </si>
  <si>
    <t>ENST00000490166</t>
  </si>
  <si>
    <t>ENST00000497289</t>
  </si>
  <si>
    <t>ENST00000497415</t>
  </si>
  <si>
    <t>P04844</t>
  </si>
  <si>
    <t>ENST00000237530</t>
  </si>
  <si>
    <t>ENST00000373622</t>
  </si>
  <si>
    <t>ENST00000373632</t>
  </si>
  <si>
    <t>ENST00000437329</t>
  </si>
  <si>
    <t>ENST00000456102</t>
  </si>
  <si>
    <t>ENST00000456400</t>
  </si>
  <si>
    <t>ENST00000462163</t>
  </si>
  <si>
    <t>ENST00000470352</t>
  </si>
  <si>
    <t>P04899</t>
  </si>
  <si>
    <t>ENST00000313601</t>
  </si>
  <si>
    <t>ENST00000422163</t>
  </si>
  <si>
    <t>ENST00000440628</t>
  </si>
  <si>
    <t>ENST00000446079</t>
  </si>
  <si>
    <t>ENST00000451956</t>
  </si>
  <si>
    <t>ENST00000468422</t>
  </si>
  <si>
    <t>ENST00000490122</t>
  </si>
  <si>
    <t>ENST00000491100</t>
  </si>
  <si>
    <t>ENST00000492383</t>
  </si>
  <si>
    <t>P04920</t>
  </si>
  <si>
    <t>ENST00000413384</t>
  </si>
  <si>
    <t>ENST00000460010</t>
  </si>
  <si>
    <t>ENST00000469355</t>
  </si>
  <si>
    <t>ENST00000469467</t>
  </si>
  <si>
    <t>ENST00000472204</t>
  </si>
  <si>
    <t>ENST00000480107</t>
  </si>
  <si>
    <t>ENST00000482697</t>
  </si>
  <si>
    <t>ENST00000485713</t>
  </si>
  <si>
    <t>ENST00000488420</t>
  </si>
  <si>
    <t>ENST00000493040</t>
  </si>
  <si>
    <t>ENST00000494125</t>
  </si>
  <si>
    <t>ENST00000494298</t>
  </si>
  <si>
    <t>P05091</t>
  </si>
  <si>
    <t>ENST00000261733</t>
  </si>
  <si>
    <t>P05106</t>
  </si>
  <si>
    <t>ENST00000559488</t>
  </si>
  <si>
    <t>P05107</t>
  </si>
  <si>
    <t>ENST00000302347</t>
  </si>
  <si>
    <t>ENST00000320216</t>
  </si>
  <si>
    <t>ENST00000397846</t>
  </si>
  <si>
    <t>ENST00000397850</t>
  </si>
  <si>
    <t>ENST00000397852</t>
  </si>
  <si>
    <t>ENST00000475170</t>
  </si>
  <si>
    <t>ENST00000479202</t>
  </si>
  <si>
    <t>ENST00000479849</t>
  </si>
  <si>
    <t>ENST00000498666</t>
  </si>
  <si>
    <t>ENST00000517819</t>
  </si>
  <si>
    <t>ENST00000518033</t>
  </si>
  <si>
    <t>ENST00000521987</t>
  </si>
  <si>
    <t>ENST00000521995</t>
  </si>
  <si>
    <t>ENST00000522688</t>
  </si>
  <si>
    <t>ENST00000523126</t>
  </si>
  <si>
    <t>ENST00000523323</t>
  </si>
  <si>
    <t>P05109</t>
  </si>
  <si>
    <t>ENST00000368732</t>
  </si>
  <si>
    <t>ENST00000368733</t>
  </si>
  <si>
    <t>ENST00000477801</t>
  </si>
  <si>
    <t>P05114</t>
  </si>
  <si>
    <t>ENST00000288344</t>
  </si>
  <si>
    <t>ENST00000380748</t>
  </si>
  <si>
    <t>ENST00000380749</t>
  </si>
  <si>
    <t>ENST00000419378</t>
  </si>
  <si>
    <t>ENST00000431390</t>
  </si>
  <si>
    <t>ENST00000436324</t>
  </si>
  <si>
    <t>ENST00000443046</t>
  </si>
  <si>
    <t>ENST00000463631</t>
  </si>
  <si>
    <t>ENST00000464078</t>
  </si>
  <si>
    <t>ENST00000471260</t>
  </si>
  <si>
    <t>ENST00000479586</t>
  </si>
  <si>
    <t>ENST00000482192</t>
  </si>
  <si>
    <t>ENST00000482733</t>
  </si>
  <si>
    <t>ENST00000485550</t>
  </si>
  <si>
    <t>ENST00000486741</t>
  </si>
  <si>
    <t>ENST00000489072</t>
  </si>
  <si>
    <t>ENST00000491183</t>
  </si>
  <si>
    <t>P05120</t>
  </si>
  <si>
    <t>ENST00000457692</t>
  </si>
  <si>
    <t>P05141</t>
  </si>
  <si>
    <t>ENST00000317881</t>
  </si>
  <si>
    <t>ENST00000460013</t>
  </si>
  <si>
    <t>ENST00000463551</t>
  </si>
  <si>
    <t>ENST00000475354</t>
  </si>
  <si>
    <t>P05161</t>
  </si>
  <si>
    <t>ENST00000379389</t>
  </si>
  <si>
    <t>P05166</t>
  </si>
  <si>
    <t>ENST00000251654</t>
  </si>
  <si>
    <t>ENST00000466072</t>
  </si>
  <si>
    <t>ENST00000469217</t>
  </si>
  <si>
    <t>ENST00000471595</t>
  </si>
  <si>
    <t>ENST00000473073</t>
  </si>
  <si>
    <t>ENST00000482086</t>
  </si>
  <si>
    <t>ENST00000484181</t>
  </si>
  <si>
    <t>P05198</t>
  </si>
  <si>
    <t>ENST00000256383</t>
  </si>
  <si>
    <t>ENST00000466499</t>
  </si>
  <si>
    <t>ENST00000554332</t>
  </si>
  <si>
    <t>ENST00000555876</t>
  </si>
  <si>
    <t>ENST00000556724</t>
  </si>
  <si>
    <t>ENST00000557310</t>
  </si>
  <si>
    <t>P05204</t>
  </si>
  <si>
    <t>ENST00000361427</t>
  </si>
  <si>
    <t>ENST00000460563</t>
  </si>
  <si>
    <t>ENST00000464888</t>
  </si>
  <si>
    <t>ENST00000466194</t>
  </si>
  <si>
    <t>ENST00000467700</t>
  </si>
  <si>
    <t>ENST00000468388</t>
  </si>
  <si>
    <t>ENST00000479815</t>
  </si>
  <si>
    <t>ENST00000493418</t>
  </si>
  <si>
    <t>P05362</t>
  </si>
  <si>
    <t>ENST00000264832</t>
  </si>
  <si>
    <t>ENST00000592686</t>
  </si>
  <si>
    <t>P05387</t>
  </si>
  <si>
    <t>ENST00000321153</t>
  </si>
  <si>
    <t>ENST00000524867</t>
  </si>
  <si>
    <t>ENST00000525722</t>
  </si>
  <si>
    <t>ENST00000526222</t>
  </si>
  <si>
    <t>ENST00000527517</t>
  </si>
  <si>
    <t>ENST00000530398</t>
  </si>
  <si>
    <t>ENST00000530797</t>
  </si>
  <si>
    <t>ENST00000532004</t>
  </si>
  <si>
    <t>P05412</t>
  </si>
  <si>
    <t>ENST00000371222</t>
  </si>
  <si>
    <t>P05423</t>
  </si>
  <si>
    <t>ENST00000306433</t>
  </si>
  <si>
    <t>ENST00000397802</t>
  </si>
  <si>
    <t>ENST00000517789</t>
  </si>
  <si>
    <t>ENST00000518039</t>
  </si>
  <si>
    <t>P05455</t>
  </si>
  <si>
    <t>ENST00000260956</t>
  </si>
  <si>
    <t>ENST00000409333</t>
  </si>
  <si>
    <t>ENST00000413002</t>
  </si>
  <si>
    <t>ENST00000417292</t>
  </si>
  <si>
    <t>ENST00000461708</t>
  </si>
  <si>
    <t>ENST00000465871</t>
  </si>
  <si>
    <t>ENST00000468600</t>
  </si>
  <si>
    <t>ENST00000470621</t>
  </si>
  <si>
    <t>ENST00000474273</t>
  </si>
  <si>
    <t>ENST00000490914</t>
  </si>
  <si>
    <t>ENST00000494051</t>
  </si>
  <si>
    <t>P05534</t>
  </si>
  <si>
    <t>P05556</t>
  </si>
  <si>
    <t>ENST00000302278</t>
  </si>
  <si>
    <t>ENST00000396033</t>
  </si>
  <si>
    <t>ENST00000423113</t>
  </si>
  <si>
    <t>ENST00000464001</t>
  </si>
  <si>
    <t>ENST00000474568</t>
  </si>
  <si>
    <t>ENST00000484088</t>
  </si>
  <si>
    <t>P06127</t>
  </si>
  <si>
    <t>ENST00000347785</t>
  </si>
  <si>
    <t>ENST00000544014</t>
  </si>
  <si>
    <t>P06132</t>
  </si>
  <si>
    <t>ENST00000246337</t>
  </si>
  <si>
    <t>ENST00000428106</t>
  </si>
  <si>
    <t>ENST00000434478</t>
  </si>
  <si>
    <t>ENST00000460334</t>
  </si>
  <si>
    <t>ENST00000460906</t>
  </si>
  <si>
    <t>ENST00000461035</t>
  </si>
  <si>
    <t>ENST00000462688</t>
  </si>
  <si>
    <t>ENST00000463092</t>
  </si>
  <si>
    <t>ENST00000465678</t>
  </si>
  <si>
    <t>ENST00000466193</t>
  </si>
  <si>
    <t>ENST00000469548</t>
  </si>
  <si>
    <t>ENST00000472254</t>
  </si>
  <si>
    <t>ENST00000473012</t>
  </si>
  <si>
    <t>ENST00000478467</t>
  </si>
  <si>
    <t>ENST00000486699</t>
  </si>
  <si>
    <t>ENST00000490385</t>
  </si>
  <si>
    <t>ENST00000491300</t>
  </si>
  <si>
    <t>ENST00000491773</t>
  </si>
  <si>
    <t>ENST00000494399</t>
  </si>
  <si>
    <t>ENST00000496439</t>
  </si>
  <si>
    <t>P06239</t>
  </si>
  <si>
    <t>ENST00000333070</t>
  </si>
  <si>
    <t>ENST00000336890</t>
  </si>
  <si>
    <t>ENST00000355928</t>
  </si>
  <si>
    <t>ENST00000373557</t>
  </si>
  <si>
    <t>ENST00000373562</t>
  </si>
  <si>
    <t>ENST00000373564</t>
  </si>
  <si>
    <t>ENST00000461712</t>
  </si>
  <si>
    <t>ENST00000469765</t>
  </si>
  <si>
    <t>ENST00000469956</t>
  </si>
  <si>
    <t>ENST00000476457</t>
  </si>
  <si>
    <t>ENST00000477031</t>
  </si>
  <si>
    <t>ENST00000482949</t>
  </si>
  <si>
    <t>ENST00000495610</t>
  </si>
  <si>
    <t>P06280</t>
  </si>
  <si>
    <t>ENST00000218516</t>
  </si>
  <si>
    <t>ENST00000466414</t>
  </si>
  <si>
    <t>ENST00000468823</t>
  </si>
  <si>
    <t>ENST00000479445</t>
  </si>
  <si>
    <t>ENST00000493905</t>
  </si>
  <si>
    <t>P06400</t>
  </si>
  <si>
    <t>ENST00000267163</t>
  </si>
  <si>
    <t>ENST00000484879</t>
  </si>
  <si>
    <t>ENST00000525036</t>
  </si>
  <si>
    <t>ENST00000531171</t>
  </si>
  <si>
    <t>P06493</t>
  </si>
  <si>
    <t>ENST00000395284</t>
  </si>
  <si>
    <t>ENST00000475504</t>
  </si>
  <si>
    <t>ENST00000487784</t>
  </si>
  <si>
    <t>ENST00000519078</t>
  </si>
  <si>
    <t>P06576</t>
  </si>
  <si>
    <t>ENST00000262030</t>
  </si>
  <si>
    <t>ENST00000550162</t>
  </si>
  <si>
    <t>ENST00000551020</t>
  </si>
  <si>
    <t>ENST00000551182</t>
  </si>
  <si>
    <t>ENST00000551570</t>
  </si>
  <si>
    <t>ENST00000552959</t>
  </si>
  <si>
    <t>P06702</t>
  </si>
  <si>
    <t>ENST00000368738</t>
  </si>
  <si>
    <t>P06703</t>
  </si>
  <si>
    <t>ENST00000368719</t>
  </si>
  <si>
    <t>ENST00000368720</t>
  </si>
  <si>
    <t>ENST00000462776</t>
  </si>
  <si>
    <t>ENST00000462951</t>
  </si>
  <si>
    <t>ENST00000496817</t>
  </si>
  <si>
    <t>P06729</t>
  </si>
  <si>
    <t>ENST00000369477</t>
  </si>
  <si>
    <t>ENST00000369478</t>
  </si>
  <si>
    <t>P06730</t>
  </si>
  <si>
    <t>ENST00000280892</t>
  </si>
  <si>
    <t>ENST00000418385</t>
  </si>
  <si>
    <t>ENST00000450253</t>
  </si>
  <si>
    <t>ENST00000504432</t>
  </si>
  <si>
    <t>ENST00000504472</t>
  </si>
  <si>
    <t>ENST00000505194</t>
  </si>
  <si>
    <t>ENST00000505829</t>
  </si>
  <si>
    <t>ENST00000505992</t>
  </si>
  <si>
    <t>ENST00000507665</t>
  </si>
  <si>
    <t>ENST00000511644</t>
  </si>
  <si>
    <t>ENST00000515638</t>
  </si>
  <si>
    <t>P06733</t>
  </si>
  <si>
    <t>ENST00000234590</t>
  </si>
  <si>
    <t>ENST00000464920</t>
  </si>
  <si>
    <t>ENST00000486051</t>
  </si>
  <si>
    <t>ENST00000489867</t>
  </si>
  <si>
    <t>ENST00000492343</t>
  </si>
  <si>
    <t>ENST00000497492</t>
  </si>
  <si>
    <t>P06744</t>
  </si>
  <si>
    <t>ENST00000356487</t>
  </si>
  <si>
    <t>ENST00000415930</t>
  </si>
  <si>
    <t>ENST00000586077</t>
  </si>
  <si>
    <t>ENST00000586392</t>
  </si>
  <si>
    <t>ENST00000587384</t>
  </si>
  <si>
    <t>ENST00000588991</t>
  </si>
  <si>
    <t>ENST00000589504</t>
  </si>
  <si>
    <t>ENST00000589985</t>
  </si>
  <si>
    <t>ENST00000590362</t>
  </si>
  <si>
    <t>P06746</t>
  </si>
  <si>
    <t>ENST00000265421</t>
  </si>
  <si>
    <t>ENST00000517393</t>
  </si>
  <si>
    <t>ENST00000518925</t>
  </si>
  <si>
    <t>ENST00000519094</t>
  </si>
  <si>
    <t>ENST00000519524</t>
  </si>
  <si>
    <t>ENST00000520008</t>
  </si>
  <si>
    <t>ENST00000521290</t>
  </si>
  <si>
    <t>ENST00000521418</t>
  </si>
  <si>
    <t>ENST00000521492</t>
  </si>
  <si>
    <t>ENST00000522297</t>
  </si>
  <si>
    <t>ENST00000522610</t>
  </si>
  <si>
    <t>ENST00000523465</t>
  </si>
  <si>
    <t>ENST00000524208</t>
  </si>
  <si>
    <t>ENST00000532157</t>
  </si>
  <si>
    <t>P06748</t>
  </si>
  <si>
    <t>ENST00000296930</t>
  </si>
  <si>
    <t>ENST00000351986</t>
  </si>
  <si>
    <t>ENST00000393820</t>
  </si>
  <si>
    <t>ENST00000518587</t>
  </si>
  <si>
    <t>ENST00000519955</t>
  </si>
  <si>
    <t>ENST00000521260</t>
  </si>
  <si>
    <t>ENST00000521672</t>
  </si>
  <si>
    <t>ENST00000521710</t>
  </si>
  <si>
    <t>ENST00000523339</t>
  </si>
  <si>
    <t>ENST00000524204</t>
  </si>
  <si>
    <t>P06753</t>
  </si>
  <si>
    <t>ENST00000302206</t>
  </si>
  <si>
    <t>ENST00000312970</t>
  </si>
  <si>
    <t>ENST00000323144</t>
  </si>
  <si>
    <t>ENST00000328159</t>
  </si>
  <si>
    <t>ENST00000330188</t>
  </si>
  <si>
    <t>ENST00000368530</t>
  </si>
  <si>
    <t>ENST00000368531</t>
  </si>
  <si>
    <t>ENST00000368533</t>
  </si>
  <si>
    <t>ENST00000368545</t>
  </si>
  <si>
    <t>ENST00000469717</t>
  </si>
  <si>
    <t>ENST00000473036</t>
  </si>
  <si>
    <t>ENST00000504663</t>
  </si>
  <si>
    <t>ENST00000505010</t>
  </si>
  <si>
    <t>ENST00000509409</t>
  </si>
  <si>
    <t>ENST00000509601</t>
  </si>
  <si>
    <t>P06865</t>
  </si>
  <si>
    <t>ENST00000268097</t>
  </si>
  <si>
    <t>ENST00000563762</t>
  </si>
  <si>
    <t>ENST00000563908</t>
  </si>
  <si>
    <t>ENST00000564677</t>
  </si>
  <si>
    <t>ENST00000565873</t>
  </si>
  <si>
    <t>ENST00000566304</t>
  </si>
  <si>
    <t>ENST00000566672</t>
  </si>
  <si>
    <t>ENST00000567027</t>
  </si>
  <si>
    <t>ENST00000567159</t>
  </si>
  <si>
    <t>ENST00000567213</t>
  </si>
  <si>
    <t>ENST00000567411</t>
  </si>
  <si>
    <t>ENST00000568260</t>
  </si>
  <si>
    <t>ENST00000568777</t>
  </si>
  <si>
    <t>ENST00000569116</t>
  </si>
  <si>
    <t>ENST00000569410</t>
  </si>
  <si>
    <t>P07108</t>
  </si>
  <si>
    <t>ENST00000355857</t>
  </si>
  <si>
    <t>ENST00000393103</t>
  </si>
  <si>
    <t>ENST00000409094</t>
  </si>
  <si>
    <t>ENST00000460901</t>
  </si>
  <si>
    <t>ENST00000475783</t>
  </si>
  <si>
    <t>ENST00000492375</t>
  </si>
  <si>
    <t>ENST00000535757</t>
  </si>
  <si>
    <t>ENST00000542275</t>
  </si>
  <si>
    <t>P07195</t>
  </si>
  <si>
    <t>ENST00000350669</t>
  </si>
  <si>
    <t>ENST00000396076</t>
  </si>
  <si>
    <t>ENST00000450584</t>
  </si>
  <si>
    <t>ENST00000470280</t>
  </si>
  <si>
    <t>ENST00000470985</t>
  </si>
  <si>
    <t>ENST00000542765</t>
  </si>
  <si>
    <t>ENST00000544151</t>
  </si>
  <si>
    <t>P07199</t>
  </si>
  <si>
    <t>ENST00000379751</t>
  </si>
  <si>
    <t>P07203</t>
  </si>
  <si>
    <t>ENST00000419349</t>
  </si>
  <si>
    <t>ENST00000419783</t>
  </si>
  <si>
    <t>P07237</t>
  </si>
  <si>
    <t>ENST00000331483</t>
  </si>
  <si>
    <t>ENST00000466567</t>
  </si>
  <si>
    <t>ENST00000467086</t>
  </si>
  <si>
    <t>ENST00000472244</t>
  </si>
  <si>
    <t>ENST00000473021</t>
  </si>
  <si>
    <t>ENST00000474712</t>
  </si>
  <si>
    <t>ENST00000476482</t>
  </si>
  <si>
    <t>ENST00000477607</t>
  </si>
  <si>
    <t>ENST00000478034</t>
  </si>
  <si>
    <t>ENST00000484286</t>
  </si>
  <si>
    <t>ENST00000570907</t>
  </si>
  <si>
    <t>ENST00000571507</t>
  </si>
  <si>
    <t>ENST00000571617</t>
  </si>
  <si>
    <t>ENST00000574007</t>
  </si>
  <si>
    <t>ENST00000574914</t>
  </si>
  <si>
    <t>ENST00000575069</t>
  </si>
  <si>
    <t>ENST00000576380</t>
  </si>
  <si>
    <t>ENST00000576390</t>
  </si>
  <si>
    <t>ENST00000576541</t>
  </si>
  <si>
    <t>P07305</t>
  </si>
  <si>
    <t>ENST00000340857</t>
  </si>
  <si>
    <t>P07311</t>
  </si>
  <si>
    <t>ENST00000238618</t>
  </si>
  <si>
    <t>ENST00000357971</t>
  </si>
  <si>
    <t>ENST00000553302</t>
  </si>
  <si>
    <t>ENST00000555135</t>
  </si>
  <si>
    <t>P07339</t>
  </si>
  <si>
    <t>ENST00000236671</t>
  </si>
  <si>
    <t>ENST00000367196</t>
  </si>
  <si>
    <t>ENST00000429746</t>
  </si>
  <si>
    <t>ENST00000433655</t>
  </si>
  <si>
    <t>ENST00000438213</t>
  </si>
  <si>
    <t>ENST00000497544</t>
  </si>
  <si>
    <t>P07355</t>
  </si>
  <si>
    <t>ENST00000396024</t>
  </si>
  <si>
    <t>ENST00000421017</t>
  </si>
  <si>
    <t>ENST00000451270</t>
  </si>
  <si>
    <t>ENST00000504475</t>
  </si>
  <si>
    <t>ENST00000557904</t>
  </si>
  <si>
    <t>ENST00000558169</t>
  </si>
  <si>
    <t>ENST00000558503</t>
  </si>
  <si>
    <t>ENST00000559176</t>
  </si>
  <si>
    <t>ENST00000559467</t>
  </si>
  <si>
    <t>ENST00000559559</t>
  </si>
  <si>
    <t>ENST00000559647</t>
  </si>
  <si>
    <t>ENST00000560014</t>
  </si>
  <si>
    <t>ENST00000560468</t>
  </si>
  <si>
    <t>ENST00000560495</t>
  </si>
  <si>
    <t>ENST00000560546</t>
  </si>
  <si>
    <t>ENST00000560936</t>
  </si>
  <si>
    <t>ENST00000561022</t>
  </si>
  <si>
    <t>P07384</t>
  </si>
  <si>
    <t>ENST00000279247</t>
  </si>
  <si>
    <t>ENST00000524773</t>
  </si>
  <si>
    <t>ENST00000525013</t>
  </si>
  <si>
    <t>ENST00000526468</t>
  </si>
  <si>
    <t>ENST00000527323</t>
  </si>
  <si>
    <t>ENST00000527469</t>
  </si>
  <si>
    <t>ENST00000527739</t>
  </si>
  <si>
    <t>ENST00000527887</t>
  </si>
  <si>
    <t>ENST00000527897</t>
  </si>
  <si>
    <t>ENST00000528165</t>
  </si>
  <si>
    <t>ENST00000529133</t>
  </si>
  <si>
    <t>ENST00000530442</t>
  </si>
  <si>
    <t>ENST00000530495</t>
  </si>
  <si>
    <t>ENST00000530567</t>
  </si>
  <si>
    <t>ENST00000533079</t>
  </si>
  <si>
    <t>ENST00000533704</t>
  </si>
  <si>
    <t>P07437</t>
  </si>
  <si>
    <t>ENST00000327892</t>
  </si>
  <si>
    <t>ENST00000330914</t>
  </si>
  <si>
    <t>ENST00000396384</t>
  </si>
  <si>
    <t>ENST00000396389</t>
  </si>
  <si>
    <t>P07602</t>
  </si>
  <si>
    <t>ENST00000394936</t>
  </si>
  <si>
    <t>ENST00000493143</t>
  </si>
  <si>
    <t>ENST00000495196</t>
  </si>
  <si>
    <t>P07686</t>
  </si>
  <si>
    <t>ENST00000261416</t>
  </si>
  <si>
    <t>ENST00000504459</t>
  </si>
  <si>
    <t>ENST00000509579</t>
  </si>
  <si>
    <t>ENST00000510820</t>
  </si>
  <si>
    <t>ENST00000511181</t>
  </si>
  <si>
    <t>ENST00000511621</t>
  </si>
  <si>
    <t>ENST00000513079</t>
  </si>
  <si>
    <t>ENST00000513539</t>
  </si>
  <si>
    <t>ENST00000513867</t>
  </si>
  <si>
    <t>ENST00000515528</t>
  </si>
  <si>
    <t>P07711</t>
  </si>
  <si>
    <t>ENST00000340342</t>
  </si>
  <si>
    <t>ENST00000342020</t>
  </si>
  <si>
    <t>ENST00000343150</t>
  </si>
  <si>
    <t>ENST00000482054</t>
  </si>
  <si>
    <t>ENST00000495822</t>
  </si>
  <si>
    <t>P07737</t>
  </si>
  <si>
    <t>ENST00000225655</t>
  </si>
  <si>
    <t>ENST00000572383</t>
  </si>
  <si>
    <t>ENST00000574872</t>
  </si>
  <si>
    <t>P07738</t>
  </si>
  <si>
    <t>ENST00000344924</t>
  </si>
  <si>
    <t>ENST00000393132</t>
  </si>
  <si>
    <t>ENST00000418040</t>
  </si>
  <si>
    <t>P07766</t>
  </si>
  <si>
    <t>ENST00000361763</t>
  </si>
  <si>
    <t>ENST00000526146</t>
  </si>
  <si>
    <t>ENST00000528435</t>
  </si>
  <si>
    <t>ENST00000529713</t>
  </si>
  <si>
    <t>ENST00000531913</t>
  </si>
  <si>
    <t>P07814</t>
  </si>
  <si>
    <t>ENST00000366923</t>
  </si>
  <si>
    <t>ENST00000464052</t>
  </si>
  <si>
    <t>ENST00000468487</t>
  </si>
  <si>
    <t>ENST00000485821</t>
  </si>
  <si>
    <t>ENST00000609181</t>
  </si>
  <si>
    <t>P07858</t>
  </si>
  <si>
    <t>ENST00000345125</t>
  </si>
  <si>
    <t>ENST00000353047</t>
  </si>
  <si>
    <t>ENST00000420692</t>
  </si>
  <si>
    <t>ENST00000453527</t>
  </si>
  <si>
    <t>ENST00000524500</t>
  </si>
  <si>
    <t>ENST00000524654</t>
  </si>
  <si>
    <t>ENST00000525315</t>
  </si>
  <si>
    <t>ENST00000526481</t>
  </si>
  <si>
    <t>ENST00000530624</t>
  </si>
  <si>
    <t>ENST00000530640</t>
  </si>
  <si>
    <t>ENST00000531089</t>
  </si>
  <si>
    <t>ENST00000532370</t>
  </si>
  <si>
    <t>ENST00000532392</t>
  </si>
  <si>
    <t>ENST00000532409</t>
  </si>
  <si>
    <t>ENST00000533110</t>
  </si>
  <si>
    <t>ENST00000533455</t>
  </si>
  <si>
    <t>ENST00000533572</t>
  </si>
  <si>
    <t>ENST00000534510</t>
  </si>
  <si>
    <t>P07900</t>
  </si>
  <si>
    <t>ENST00000216281</t>
  </si>
  <si>
    <t>ENST00000334701</t>
  </si>
  <si>
    <t>ENST00000554401</t>
  </si>
  <si>
    <t>ENST00000555662</t>
  </si>
  <si>
    <t>ENST00000556554</t>
  </si>
  <si>
    <t>ENST00000557089</t>
  </si>
  <si>
    <t>ENST00000560130</t>
  </si>
  <si>
    <t>P07902</t>
  </si>
  <si>
    <t>ENST00000378842</t>
  </si>
  <si>
    <t>ENST00000465543</t>
  </si>
  <si>
    <t>ENST00000472111</t>
  </si>
  <si>
    <t>ENST00000473506</t>
  </si>
  <si>
    <t>ENST00000473529</t>
  </si>
  <si>
    <t>ENST00000487381</t>
  </si>
  <si>
    <t>ENST00000488412</t>
  </si>
  <si>
    <t>ENST00000489643</t>
  </si>
  <si>
    <t>ENST00000554085</t>
  </si>
  <si>
    <t>ENST00000554139</t>
  </si>
  <si>
    <t>ENST00000554330</t>
  </si>
  <si>
    <t>ENST00000554550</t>
  </si>
  <si>
    <t>ENST00000554638</t>
  </si>
  <si>
    <t>ENST00000554897</t>
  </si>
  <si>
    <t>ENST00000554944</t>
  </si>
  <si>
    <t>ENST00000555020</t>
  </si>
  <si>
    <t>ENST00000555086</t>
  </si>
  <si>
    <t>ENST00000555754</t>
  </si>
  <si>
    <t>ENST00000556157</t>
  </si>
  <si>
    <t>ENST00000556244</t>
  </si>
  <si>
    <t>ENST00000556403</t>
  </si>
  <si>
    <t>ENST00000557706</t>
  </si>
  <si>
    <t>P07919</t>
  </si>
  <si>
    <t>ENST00000311672</t>
  </si>
  <si>
    <t>ENST00000460947</t>
  </si>
  <si>
    <t>ENST00000486951</t>
  </si>
  <si>
    <t>ENST00000489056</t>
  </si>
  <si>
    <t>ENST00000496387</t>
  </si>
  <si>
    <t>P07948</t>
  </si>
  <si>
    <t>ENST00000519728</t>
  </si>
  <si>
    <t>ENST00000520220</t>
  </si>
  <si>
    <t>P07992</t>
  </si>
  <si>
    <t>ENST00000013807</t>
  </si>
  <si>
    <t>ENST00000300853</t>
  </si>
  <si>
    <t>ENST00000340192</t>
  </si>
  <si>
    <t>ENST00000587888</t>
  </si>
  <si>
    <t>ENST00000588300</t>
  </si>
  <si>
    <t>ENST00000588738</t>
  </si>
  <si>
    <t>ENST00000589165</t>
  </si>
  <si>
    <t>ENST00000589381</t>
  </si>
  <si>
    <t>ENST00000591636</t>
  </si>
  <si>
    <t>ENST00000592083</t>
  </si>
  <si>
    <t>ENST00000592410</t>
  </si>
  <si>
    <t>ENST00000592444</t>
  </si>
  <si>
    <t>ENST00000592905</t>
  </si>
  <si>
    <t>P08047</t>
  </si>
  <si>
    <t>ENST00000327443</t>
  </si>
  <si>
    <t>ENST00000426431</t>
  </si>
  <si>
    <t>ENST00000548560</t>
  </si>
  <si>
    <t>ENST00000551969</t>
  </si>
  <si>
    <t>P08069</t>
  </si>
  <si>
    <t>ENST00000268035</t>
  </si>
  <si>
    <t>ENST00000558355</t>
  </si>
  <si>
    <t>ENST00000558751</t>
  </si>
  <si>
    <t>ENST00000558762</t>
  </si>
  <si>
    <t>ENST00000559925</t>
  </si>
  <si>
    <t>ENST00000560343</t>
  </si>
  <si>
    <t>ENST00000560972</t>
  </si>
  <si>
    <t>ENST00000561049</t>
  </si>
  <si>
    <t>P08133</t>
  </si>
  <si>
    <t>ENST00000354546</t>
  </si>
  <si>
    <t>ENST00000517707</t>
  </si>
  <si>
    <t>ENST00000519610</t>
  </si>
  <si>
    <t>ENST00000520054</t>
  </si>
  <si>
    <t>ENST00000520378</t>
  </si>
  <si>
    <t>ENST00000521749</t>
  </si>
  <si>
    <t>ENST00000522664</t>
  </si>
  <si>
    <t>ENST00000523714</t>
  </si>
  <si>
    <t>P08134</t>
  </si>
  <si>
    <t>ENST00000285735</t>
  </si>
  <si>
    <t>ENST00000339083</t>
  </si>
  <si>
    <t>ENST00000369638</t>
  </si>
  <si>
    <t>ENST00000369642</t>
  </si>
  <si>
    <t>ENST00000414971</t>
  </si>
  <si>
    <t>ENST00000473074</t>
  </si>
  <si>
    <t>ENST00000478447</t>
  </si>
  <si>
    <t>ENST00000527563</t>
  </si>
  <si>
    <t>P08237</t>
  </si>
  <si>
    <t>ENST00000312352</t>
  </si>
  <si>
    <t>ENST00000359794</t>
  </si>
  <si>
    <t>ENST00000546964</t>
  </si>
  <si>
    <t>ENST00000547148</t>
  </si>
  <si>
    <t>ENST00000547581</t>
  </si>
  <si>
    <t>ENST00000547587</t>
  </si>
  <si>
    <t>ENST00000548720</t>
  </si>
  <si>
    <t>ENST00000550345</t>
  </si>
  <si>
    <t>ENST00000550802</t>
  </si>
  <si>
    <t>ENST00000552214</t>
  </si>
  <si>
    <t>ENST00000552752</t>
  </si>
  <si>
    <t>ENST00000552818</t>
  </si>
  <si>
    <t>P08238</t>
  </si>
  <si>
    <t>ENST00000353801</t>
  </si>
  <si>
    <t>ENST00000371554</t>
  </si>
  <si>
    <t>ENST00000371646</t>
  </si>
  <si>
    <t>P08240</t>
  </si>
  <si>
    <t>ENST00000332118</t>
  </si>
  <si>
    <t>ENST00000527817</t>
  </si>
  <si>
    <t>ENST00000528744</t>
  </si>
  <si>
    <t>ENST00000531104</t>
  </si>
  <si>
    <t>ENST00000532259</t>
  </si>
  <si>
    <t>ENST00000532268</t>
  </si>
  <si>
    <t>P08311</t>
  </si>
  <si>
    <t>ENST00000552252</t>
  </si>
  <si>
    <t>P08514</t>
  </si>
  <si>
    <t>ENST00000262407</t>
  </si>
  <si>
    <t>ENST00000588098</t>
  </si>
  <si>
    <t>ENST00000592462</t>
  </si>
  <si>
    <t>P08567</t>
  </si>
  <si>
    <t>ENST00000234313</t>
  </si>
  <si>
    <t>ENST00000474788</t>
  </si>
  <si>
    <t>P08571</t>
  </si>
  <si>
    <t>ENST00000302014</t>
  </si>
  <si>
    <t>P08574</t>
  </si>
  <si>
    <t>ENST00000318911</t>
  </si>
  <si>
    <t>ENST00000525122</t>
  </si>
  <si>
    <t>ENST00000528618</t>
  </si>
  <si>
    <t>ENST00000533444</t>
  </si>
  <si>
    <t>P08575</t>
  </si>
  <si>
    <t>ENST00000348564</t>
  </si>
  <si>
    <t>ENST00000367364</t>
  </si>
  <si>
    <t>ENST00000367367</t>
  </si>
  <si>
    <t>ENST00000413409</t>
  </si>
  <si>
    <t>ENST00000418674</t>
  </si>
  <si>
    <t>ENST00000442510</t>
  </si>
  <si>
    <t>ENST00000462363</t>
  </si>
  <si>
    <t>ENST00000484135</t>
  </si>
  <si>
    <t>ENST00000491302</t>
  </si>
  <si>
    <t>ENST00000529828</t>
  </si>
  <si>
    <t>ENST00000530727</t>
  </si>
  <si>
    <t>P08579</t>
  </si>
  <si>
    <t>ENST00000246071</t>
  </si>
  <si>
    <t>ENST00000377943</t>
  </si>
  <si>
    <t>ENST00000478522</t>
  </si>
  <si>
    <t>P08621</t>
  </si>
  <si>
    <t>ENST00000221448</t>
  </si>
  <si>
    <t>ENST00000401730</t>
  </si>
  <si>
    <t>ENST00000544278</t>
  </si>
  <si>
    <t>ENST00000595231</t>
  </si>
  <si>
    <t>ENST00000597936</t>
  </si>
  <si>
    <t>ENST00000598441</t>
  </si>
  <si>
    <t>ENST00000598984</t>
  </si>
  <si>
    <t>ENST00000599687</t>
  </si>
  <si>
    <t>ENST00000601065</t>
  </si>
  <si>
    <t>ENST00000601411</t>
  </si>
  <si>
    <t>P08648</t>
  </si>
  <si>
    <t>ENST00000293379</t>
  </si>
  <si>
    <t>ENST00000549601</t>
  </si>
  <si>
    <t>ENST00000550141</t>
  </si>
  <si>
    <t>ENST00000551564</t>
  </si>
  <si>
    <t>ENST00000551861</t>
  </si>
  <si>
    <t>ENST00000552387</t>
  </si>
  <si>
    <t>ENST00000552431</t>
  </si>
  <si>
    <t>ENST00000552564</t>
  </si>
  <si>
    <t>ENST00000552583</t>
  </si>
  <si>
    <t>ENST00000553071</t>
  </si>
  <si>
    <t>P08670</t>
  </si>
  <si>
    <t>ENST00000224237</t>
  </si>
  <si>
    <t>ENST00000421459</t>
  </si>
  <si>
    <t>ENST00000469543</t>
  </si>
  <si>
    <t>ENST00000485947</t>
  </si>
  <si>
    <t>ENST00000487938</t>
  </si>
  <si>
    <t>ENST00000495528</t>
  </si>
  <si>
    <t>ENST00000497849</t>
  </si>
  <si>
    <t>ENST00000544301</t>
  </si>
  <si>
    <t>P08708</t>
  </si>
  <si>
    <t>ENST00000330244</t>
  </si>
  <si>
    <t>ENST00000558397</t>
  </si>
  <si>
    <t>ENST00000559273</t>
  </si>
  <si>
    <t>ENST00000559776</t>
  </si>
  <si>
    <t>ENST00000560229</t>
  </si>
  <si>
    <t>ENST00000560612</t>
  </si>
  <si>
    <t>ENST00000560639</t>
  </si>
  <si>
    <t>ENST00000561068</t>
  </si>
  <si>
    <t>ENST00000561157</t>
  </si>
  <si>
    <t>ENST00000561440</t>
  </si>
  <si>
    <t>P08754</t>
  </si>
  <si>
    <t>ENST00000369851</t>
  </si>
  <si>
    <t>P08758</t>
  </si>
  <si>
    <t>ENST00000296511</t>
  </si>
  <si>
    <t>ENST00000506395</t>
  </si>
  <si>
    <t>ENST00000509648</t>
  </si>
  <si>
    <t>ENST00000511552</t>
  </si>
  <si>
    <t>ENST00000513428</t>
  </si>
  <si>
    <t>ENST00000515717</t>
  </si>
  <si>
    <t>P08865</t>
  </si>
  <si>
    <t>ENST00000301821</t>
  </si>
  <si>
    <t>ENST00000443003</t>
  </si>
  <si>
    <t>ENST00000444512</t>
  </si>
  <si>
    <t>ENST00000458478</t>
  </si>
  <si>
    <t>ENST00000475346</t>
  </si>
  <si>
    <t>ENST00000477325</t>
  </si>
  <si>
    <t>ENST00000478027</t>
  </si>
  <si>
    <t>ENST00000487876</t>
  </si>
  <si>
    <t>ENST00000495394</t>
  </si>
  <si>
    <t>P09001</t>
  </si>
  <si>
    <t>ENST00000264995</t>
  </si>
  <si>
    <t>ENST00000425847</t>
  </si>
  <si>
    <t>ENST00000506487</t>
  </si>
  <si>
    <t>ENST00000507669</t>
  </si>
  <si>
    <t>ENST00000510043</t>
  </si>
  <si>
    <t>ENST00000510923</t>
  </si>
  <si>
    <t>ENST00000511168</t>
  </si>
  <si>
    <t>ENST00000512877</t>
  </si>
  <si>
    <t>P09012</t>
  </si>
  <si>
    <t>ENST00000243563</t>
  </si>
  <si>
    <t>ENST00000596860</t>
  </si>
  <si>
    <t>ENST00000598452</t>
  </si>
  <si>
    <t>ENST00000598923</t>
  </si>
  <si>
    <t>ENST00000600456</t>
  </si>
  <si>
    <t>ENST00000601253</t>
  </si>
  <si>
    <t>ENST00000601393</t>
  </si>
  <si>
    <t>P09104</t>
  </si>
  <si>
    <t>ENST00000229277</t>
  </si>
  <si>
    <t>ENST00000441285</t>
  </si>
  <si>
    <t>ENST00000535275</t>
  </si>
  <si>
    <t>ENST00000535366</t>
  </si>
  <si>
    <t>ENST00000536199</t>
  </si>
  <si>
    <t>ENST00000537838</t>
  </si>
  <si>
    <t>ENST00000539713</t>
  </si>
  <si>
    <t>ENST00000541477</t>
  </si>
  <si>
    <t>ENST00000542509</t>
  </si>
  <si>
    <t>ENST00000545045</t>
  </si>
  <si>
    <t>P09110</t>
  </si>
  <si>
    <t>ENST00000333167</t>
  </si>
  <si>
    <t>ENST00000411549</t>
  </si>
  <si>
    <t>ENST00000418880</t>
  </si>
  <si>
    <t>ENST00000421218</t>
  </si>
  <si>
    <t>ENST00000423611</t>
  </si>
  <si>
    <t>ENST00000440176</t>
  </si>
  <si>
    <t>ENST00000447223</t>
  </si>
  <si>
    <t>ENST00000452171</t>
  </si>
  <si>
    <t>ENST00000465181</t>
  </si>
  <si>
    <t>ENST00000469559</t>
  </si>
  <si>
    <t>ENST00000469600</t>
  </si>
  <si>
    <t>ENST00000480865</t>
  </si>
  <si>
    <t>ENST00000484284</t>
  </si>
  <si>
    <t>ENST00000489559</t>
  </si>
  <si>
    <t>P09132</t>
  </si>
  <si>
    <t>ENST00000282999</t>
  </si>
  <si>
    <t>ENST00000445150</t>
  </si>
  <si>
    <t>ENST00000504696</t>
  </si>
  <si>
    <t>ENST00000505459</t>
  </si>
  <si>
    <t>ENST00000506987</t>
  </si>
  <si>
    <t>ENST00000515755</t>
  </si>
  <si>
    <t>P09211</t>
  </si>
  <si>
    <t>ENST00000398603</t>
  </si>
  <si>
    <t>ENST00000398606</t>
  </si>
  <si>
    <t>ENST00000467591</t>
  </si>
  <si>
    <t>ENST00000489040</t>
  </si>
  <si>
    <t>ENST00000494593</t>
  </si>
  <si>
    <t>ENST00000498765</t>
  </si>
  <si>
    <t>P09234</t>
  </si>
  <si>
    <t>ENST00000244520</t>
  </si>
  <si>
    <t>ENST00000374017</t>
  </si>
  <si>
    <t>ENST00000374018</t>
  </si>
  <si>
    <t>ENST00000474635</t>
  </si>
  <si>
    <t>P09326</t>
  </si>
  <si>
    <t>ENST00000368045</t>
  </si>
  <si>
    <t>ENST00000368046</t>
  </si>
  <si>
    <t>P09382</t>
  </si>
  <si>
    <t>ENST00000215909</t>
  </si>
  <si>
    <t>ENST00000425542</t>
  </si>
  <si>
    <t>ENST00000464120</t>
  </si>
  <si>
    <t>ENST00000472321</t>
  </si>
  <si>
    <t>ENST00000480207</t>
  </si>
  <si>
    <t>ENST00000489315</t>
  </si>
  <si>
    <t>P09417</t>
  </si>
  <si>
    <t>ENST00000281243</t>
  </si>
  <si>
    <t>ENST00000428702</t>
  </si>
  <si>
    <t>ENST00000501943</t>
  </si>
  <si>
    <t>ENST00000505710</t>
  </si>
  <si>
    <t>ENST00000507439</t>
  </si>
  <si>
    <t>ENST00000511609</t>
  </si>
  <si>
    <t>ENST00000513615</t>
  </si>
  <si>
    <t>P09429</t>
  </si>
  <si>
    <t>ENST00000326004</t>
  </si>
  <si>
    <t>ENST00000339872</t>
  </si>
  <si>
    <t>ENST00000341423</t>
  </si>
  <si>
    <t>ENST00000399489</t>
  </si>
  <si>
    <t>ENST00000399494</t>
  </si>
  <si>
    <t>ENST00000405805</t>
  </si>
  <si>
    <t>ENST00000468384</t>
  </si>
  <si>
    <t>ENST00000490788</t>
  </si>
  <si>
    <t>P09486</t>
  </si>
  <si>
    <t>ENST00000231061</t>
  </si>
  <si>
    <t>ENST00000524277</t>
  </si>
  <si>
    <t>P09525</t>
  </si>
  <si>
    <t>ENST00000394295</t>
  </si>
  <si>
    <t>ENST00000468815</t>
  </si>
  <si>
    <t>ENST00000471395</t>
  </si>
  <si>
    <t>ENST00000477632</t>
  </si>
  <si>
    <t>ENST00000487351</t>
  </si>
  <si>
    <t>P09564</t>
  </si>
  <si>
    <t>ENST00000312648</t>
  </si>
  <si>
    <t>ENST00000578509</t>
  </si>
  <si>
    <t>ENST00000581434</t>
  </si>
  <si>
    <t>ENST00000581744</t>
  </si>
  <si>
    <t>ENST00000582480</t>
  </si>
  <si>
    <t>ENST00000583376</t>
  </si>
  <si>
    <t>ENST00000584284</t>
  </si>
  <si>
    <t>P09601</t>
  </si>
  <si>
    <t>ENST00000216117</t>
  </si>
  <si>
    <t>ENST00000494998</t>
  </si>
  <si>
    <t>P09622</t>
  </si>
  <si>
    <t>ENST00000205402</t>
  </si>
  <si>
    <t>ENST00000440410</t>
  </si>
  <si>
    <t>ENST00000460577</t>
  </si>
  <si>
    <t>ENST00000478414</t>
  </si>
  <si>
    <t>ENST00000485066</t>
  </si>
  <si>
    <t>ENST00000489184</t>
  </si>
  <si>
    <t>P09651</t>
  </si>
  <si>
    <t>ENST00000330752</t>
  </si>
  <si>
    <t>ENST00000340913</t>
  </si>
  <si>
    <t>ENST00000546500</t>
  </si>
  <si>
    <t>ENST00000547276</t>
  </si>
  <si>
    <t>ENST00000547566</t>
  </si>
  <si>
    <t>ENST00000547708</t>
  </si>
  <si>
    <t>ENST00000550994</t>
  </si>
  <si>
    <t>ENST00000551665</t>
  </si>
  <si>
    <t>ENST00000551679</t>
  </si>
  <si>
    <t>ENST00000551702</t>
  </si>
  <si>
    <t>ENST00000551803</t>
  </si>
  <si>
    <t>P09661</t>
  </si>
  <si>
    <t>ENST00000254193</t>
  </si>
  <si>
    <t>ENST00000394082</t>
  </si>
  <si>
    <t>ENST00000540017</t>
  </si>
  <si>
    <t>ENST00000558036</t>
  </si>
  <si>
    <t>ENST00000559309</t>
  </si>
  <si>
    <t>ENST00000559686</t>
  </si>
  <si>
    <t>ENST00000560307</t>
  </si>
  <si>
    <t>ENST00000560383</t>
  </si>
  <si>
    <t>ENST00000560433</t>
  </si>
  <si>
    <t>ENST00000560496</t>
  </si>
  <si>
    <t>ENST00000560987</t>
  </si>
  <si>
    <t>ENST00000561187</t>
  </si>
  <si>
    <t>P09668</t>
  </si>
  <si>
    <t>ENST00000220166</t>
  </si>
  <si>
    <t>ENST00000527138</t>
  </si>
  <si>
    <t>ENST00000527715</t>
  </si>
  <si>
    <t>ENST00000529263</t>
  </si>
  <si>
    <t>ENST00000529612</t>
  </si>
  <si>
    <t>ENST00000530010</t>
  </si>
  <si>
    <t>ENST00000533777</t>
  </si>
  <si>
    <t>P09669</t>
  </si>
  <si>
    <t>ENST00000297564</t>
  </si>
  <si>
    <t>ENST00000517682</t>
  </si>
  <si>
    <t>ENST00000518171</t>
  </si>
  <si>
    <t>ENST00000520271</t>
  </si>
  <si>
    <t>ENST00000520468</t>
  </si>
  <si>
    <t>ENST00000520517</t>
  </si>
  <si>
    <t>ENST00000522934</t>
  </si>
  <si>
    <t>ENST00000522940</t>
  </si>
  <si>
    <t>ENST00000523016</t>
  </si>
  <si>
    <t>ENST00000524245</t>
  </si>
  <si>
    <t>ENST00000606245</t>
  </si>
  <si>
    <t>P09693</t>
  </si>
  <si>
    <t>ENST00000527777</t>
  </si>
  <si>
    <t>ENST00000532903</t>
  </si>
  <si>
    <t>ENST00000532917</t>
  </si>
  <si>
    <t>ENST00000533462</t>
  </si>
  <si>
    <t>P09769</t>
  </si>
  <si>
    <t>ENST00000374003</t>
  </si>
  <si>
    <t>ENST00000374004</t>
  </si>
  <si>
    <t>ENST00000374005</t>
  </si>
  <si>
    <t>ENST00000475472</t>
  </si>
  <si>
    <t>P09874</t>
  </si>
  <si>
    <t>ENST00000366790</t>
  </si>
  <si>
    <t>ENST00000366792</t>
  </si>
  <si>
    <t>ENST00000366794</t>
  </si>
  <si>
    <t>ENST00000463968</t>
  </si>
  <si>
    <t>ENST00000468608</t>
  </si>
  <si>
    <t>ENST00000490921</t>
  </si>
  <si>
    <t>ENST00000491816</t>
  </si>
  <si>
    <t>ENST00000498787</t>
  </si>
  <si>
    <t>P09884</t>
  </si>
  <si>
    <t>ENST00000379068</t>
  </si>
  <si>
    <t>ENST00000493342</t>
  </si>
  <si>
    <t>P09913</t>
  </si>
  <si>
    <t>ENST00000371826</t>
  </si>
  <si>
    <t>P09914</t>
  </si>
  <si>
    <t>ENST00000371804</t>
  </si>
  <si>
    <t>ENST00000546318</t>
  </si>
  <si>
    <t>P09958</t>
  </si>
  <si>
    <t>ENST00000558794</t>
  </si>
  <si>
    <t>ENST00000559353</t>
  </si>
  <si>
    <t>ENST00000560018</t>
  </si>
  <si>
    <t>P09960</t>
  </si>
  <si>
    <t>ENST00000228740</t>
  </si>
  <si>
    <t>ENST00000413268</t>
  </si>
  <si>
    <t>ENST00000547393</t>
  </si>
  <si>
    <t>ENST00000547982</t>
  </si>
  <si>
    <t>ENST00000548375</t>
  </si>
  <si>
    <t>ENST00000548852</t>
  </si>
  <si>
    <t>ENST00000552091</t>
  </si>
  <si>
    <t>ENST00000553041</t>
  </si>
  <si>
    <t>P09972</t>
  </si>
  <si>
    <t>ENST00000226253</t>
  </si>
  <si>
    <t>ENST00000395321</t>
  </si>
  <si>
    <t>ENST00000435638</t>
  </si>
  <si>
    <t>ENST00000460201</t>
  </si>
  <si>
    <t>ENST00000578590</t>
  </si>
  <si>
    <t>ENST00000582381</t>
  </si>
  <si>
    <t>ENST00000584086</t>
  </si>
  <si>
    <t>P0C2W1</t>
  </si>
  <si>
    <t>ENST00000311630</t>
  </si>
  <si>
    <t>P0C7T5</t>
  </si>
  <si>
    <t>ENST00000427980</t>
  </si>
  <si>
    <t>ENST00000565676</t>
  </si>
  <si>
    <t>ENST00000569119</t>
  </si>
  <si>
    <t>P0C870</t>
  </si>
  <si>
    <t>ENST00000397299</t>
  </si>
  <si>
    <t>ENST00000405106</t>
  </si>
  <si>
    <t>ENST00000431823</t>
  </si>
  <si>
    <t>ENST00000478178</t>
  </si>
  <si>
    <t>ENST00000562035</t>
  </si>
  <si>
    <t>P0CAP2</t>
  </si>
  <si>
    <t>ENST00000299638</t>
  </si>
  <si>
    <t>ENST00000380557</t>
  </si>
  <si>
    <t>ENST00000464277</t>
  </si>
  <si>
    <t>ENST00000482852</t>
  </si>
  <si>
    <t>ENST00000567643</t>
  </si>
  <si>
    <t>P0CG12</t>
  </si>
  <si>
    <t>ENST00000448552</t>
  </si>
  <si>
    <t>ENST00000518041</t>
  </si>
  <si>
    <t>ENST00000519520</t>
  </si>
  <si>
    <t>ENST00000519534</t>
  </si>
  <si>
    <t>ENST00000522091</t>
  </si>
  <si>
    <t>ENST00000522497</t>
  </si>
  <si>
    <t>ENST00000523421</t>
  </si>
  <si>
    <t>ENST00000567763</t>
  </si>
  <si>
    <t>P0CG13</t>
  </si>
  <si>
    <t>P0CG35</t>
  </si>
  <si>
    <t>ENST00000419165</t>
  </si>
  <si>
    <t>ENST00000436583</t>
  </si>
  <si>
    <t>ENST00000455723</t>
  </si>
  <si>
    <t>ENST00000540220</t>
  </si>
  <si>
    <t>ENST00000563257</t>
  </si>
  <si>
    <t>ENST00000569577</t>
  </si>
  <si>
    <t>P0CJ78</t>
  </si>
  <si>
    <t>ENST00000568956</t>
  </si>
  <si>
    <t>P0DI82</t>
  </si>
  <si>
    <t>ENST00000543226</t>
  </si>
  <si>
    <t>ENST00000596755</t>
  </si>
  <si>
    <t>P0DMV9</t>
  </si>
  <si>
    <t>ENST00000375650</t>
  </si>
  <si>
    <t>ENST00000417199</t>
  </si>
  <si>
    <t>ENST00000458062</t>
  </si>
  <si>
    <t>P10109</t>
  </si>
  <si>
    <t>ENST00000260270</t>
  </si>
  <si>
    <t>P10124</t>
  </si>
  <si>
    <t>ENST00000242465</t>
  </si>
  <si>
    <t>ENST00000462445</t>
  </si>
  <si>
    <t>P10144</t>
  </si>
  <si>
    <t>ENST00000216341</t>
  </si>
  <si>
    <t>ENST00000382542</t>
  </si>
  <si>
    <t>ENST00000415355</t>
  </si>
  <si>
    <t>ENST00000526004</t>
  </si>
  <si>
    <t>ENST00000530830</t>
  </si>
  <si>
    <t>ENST00000532263</t>
  </si>
  <si>
    <t>ENST00000554242</t>
  </si>
  <si>
    <t>P10155</t>
  </si>
  <si>
    <t>ENST00000367441</t>
  </si>
  <si>
    <t>ENST00000367446</t>
  </si>
  <si>
    <t>ENST00000400968</t>
  </si>
  <si>
    <t>ENST00000432079</t>
  </si>
  <si>
    <t>ENST00000460715</t>
  </si>
  <si>
    <t>ENST00000469214</t>
  </si>
  <si>
    <t>ENST00000512587</t>
  </si>
  <si>
    <t>P10253</t>
  </si>
  <si>
    <t>ENST00000302262</t>
  </si>
  <si>
    <t>ENST00000390015</t>
  </si>
  <si>
    <t>ENST00000570716</t>
  </si>
  <si>
    <t>ENST00000570803</t>
  </si>
  <si>
    <t>ENST00000572080</t>
  </si>
  <si>
    <t>ENST00000572803</t>
  </si>
  <si>
    <t>ENST00000573556</t>
  </si>
  <si>
    <t>ENST00000574376</t>
  </si>
  <si>
    <t>P10301</t>
  </si>
  <si>
    <t>ENST00000246792</t>
  </si>
  <si>
    <t>ENST00000601532</t>
  </si>
  <si>
    <t>P10321</t>
  </si>
  <si>
    <t>ENST00000376228</t>
  </si>
  <si>
    <t>ENST00000376237</t>
  </si>
  <si>
    <t>ENST00000383329</t>
  </si>
  <si>
    <t>ENST00000415537</t>
  </si>
  <si>
    <t>ENST00000466892</t>
  </si>
  <si>
    <t>ENST00000470363</t>
  </si>
  <si>
    <t>ENST00000484378</t>
  </si>
  <si>
    <t>ENST00000487245</t>
  </si>
  <si>
    <t>ENST00000495835</t>
  </si>
  <si>
    <t>P10398</t>
  </si>
  <si>
    <t>ENST00000377039</t>
  </si>
  <si>
    <t>ENST00000469505</t>
  </si>
  <si>
    <t>ENST00000470206</t>
  </si>
  <si>
    <t>ENST00000489496</t>
  </si>
  <si>
    <t>P10412</t>
  </si>
  <si>
    <t>ENST00000304218</t>
  </si>
  <si>
    <t>P10515</t>
  </si>
  <si>
    <t>ENST00000280346</t>
  </si>
  <si>
    <t>ENST00000527231</t>
  </si>
  <si>
    <t>ENST00000533297</t>
  </si>
  <si>
    <t>P10599</t>
  </si>
  <si>
    <t>ENST00000374515</t>
  </si>
  <si>
    <t>ENST00000374517</t>
  </si>
  <si>
    <t>ENST00000487892</t>
  </si>
  <si>
    <t>P10606</t>
  </si>
  <si>
    <t>ENST00000258424</t>
  </si>
  <si>
    <t>ENST00000464949</t>
  </si>
  <si>
    <t>ENST00000494306</t>
  </si>
  <si>
    <t>P10644</t>
  </si>
  <si>
    <t>ENST00000358598</t>
  </si>
  <si>
    <t>ENST00000392711</t>
  </si>
  <si>
    <t>ENST00000536854</t>
  </si>
  <si>
    <t>ENST00000585460</t>
  </si>
  <si>
    <t>ENST00000585608</t>
  </si>
  <si>
    <t>ENST00000585815</t>
  </si>
  <si>
    <t>ENST00000585907</t>
  </si>
  <si>
    <t>ENST00000585981</t>
  </si>
  <si>
    <t>ENST00000586397</t>
  </si>
  <si>
    <t>ENST00000588188</t>
  </si>
  <si>
    <t>ENST00000588702</t>
  </si>
  <si>
    <t>ENST00000589017</t>
  </si>
  <si>
    <t>ENST00000589228</t>
  </si>
  <si>
    <t>ENST00000592194</t>
  </si>
  <si>
    <t>ENST00000592800</t>
  </si>
  <si>
    <t>P10746</t>
  </si>
  <si>
    <t>ENST00000368774</t>
  </si>
  <si>
    <t>ENST00000368778</t>
  </si>
  <si>
    <t>ENST00000368786</t>
  </si>
  <si>
    <t>ENST00000368797</t>
  </si>
  <si>
    <t>ENST00000420761</t>
  </si>
  <si>
    <t>ENST00000462490</t>
  </si>
  <si>
    <t>ENST00000464267</t>
  </si>
  <si>
    <t>ENST00000470483</t>
  </si>
  <si>
    <t>ENST00000484541</t>
  </si>
  <si>
    <t>P10747</t>
  </si>
  <si>
    <t>ENST00000324106</t>
  </si>
  <si>
    <t>ENST00000374481</t>
  </si>
  <si>
    <t>ENST00000458610</t>
  </si>
  <si>
    <t>P10768</t>
  </si>
  <si>
    <t>ENST00000378697</t>
  </si>
  <si>
    <t>ENST00000378720</t>
  </si>
  <si>
    <t>ENST00000412582</t>
  </si>
  <si>
    <t>ENST00000471867</t>
  </si>
  <si>
    <t>ENST00000495654</t>
  </si>
  <si>
    <t>P10809</t>
  </si>
  <si>
    <t>ENST00000345042</t>
  </si>
  <si>
    <t>ENST00000388968</t>
  </si>
  <si>
    <t>ENST00000418022</t>
  </si>
  <si>
    <t>ENST00000430176</t>
  </si>
  <si>
    <t>ENST00000440114</t>
  </si>
  <si>
    <t>ENST00000452200</t>
  </si>
  <si>
    <t>ENST00000461097</t>
  </si>
  <si>
    <t>ENST00000476746</t>
  </si>
  <si>
    <t>ENST00000482167</t>
  </si>
  <si>
    <t>ENST00000486181</t>
  </si>
  <si>
    <t>ENST00000491249</t>
  </si>
  <si>
    <t>P11021</t>
  </si>
  <si>
    <t>ENST00000324460</t>
  </si>
  <si>
    <t>P11117</t>
  </si>
  <si>
    <t>ENST00000256997</t>
  </si>
  <si>
    <t>ENST00000444355</t>
  </si>
  <si>
    <t>ENST00000524769</t>
  </si>
  <si>
    <t>ENST00000525230</t>
  </si>
  <si>
    <t>ENST00000529788</t>
  </si>
  <si>
    <t>ENST00000534448</t>
  </si>
  <si>
    <t>ENST00000534752</t>
  </si>
  <si>
    <t>P11142</t>
  </si>
  <si>
    <t>ENST00000227378</t>
  </si>
  <si>
    <t>ENST00000453788</t>
  </si>
  <si>
    <t>ENST00000524552</t>
  </si>
  <si>
    <t>ENST00000525624</t>
  </si>
  <si>
    <t>ENST00000526686</t>
  </si>
  <si>
    <t>ENST00000526862</t>
  </si>
  <si>
    <t>ENST00000527983</t>
  </si>
  <si>
    <t>ENST00000528292</t>
  </si>
  <si>
    <t>ENST00000530391</t>
  </si>
  <si>
    <t>ENST00000531063</t>
  </si>
  <si>
    <t>ENST00000532091</t>
  </si>
  <si>
    <t>ENST00000532167</t>
  </si>
  <si>
    <t>ENST00000532780</t>
  </si>
  <si>
    <t>ENST00000533238</t>
  </si>
  <si>
    <t>ENST00000533540</t>
  </si>
  <si>
    <t>ENST00000534319</t>
  </si>
  <si>
    <t>ENST00000534567</t>
  </si>
  <si>
    <t>ENST00000534624</t>
  </si>
  <si>
    <t>P11166</t>
  </si>
  <si>
    <t>ENST00000372500</t>
  </si>
  <si>
    <t>ENST00000415851</t>
  </si>
  <si>
    <t>ENST00000426263</t>
  </si>
  <si>
    <t>ENST00000439722</t>
  </si>
  <si>
    <t>ENST00000460369</t>
  </si>
  <si>
    <t>P11169</t>
  </si>
  <si>
    <t>ENST00000075120</t>
  </si>
  <si>
    <t>ENST00000469295</t>
  </si>
  <si>
    <t>ENST00000476634</t>
  </si>
  <si>
    <t>ENST00000486749</t>
  </si>
  <si>
    <t>ENST00000490763</t>
  </si>
  <si>
    <t>ENST00000495813</t>
  </si>
  <si>
    <t>ENST00000541671</t>
  </si>
  <si>
    <t>ENST00000543435</t>
  </si>
  <si>
    <t>ENST00000544291</t>
  </si>
  <si>
    <t>ENST00000544936</t>
  </si>
  <si>
    <t>P11172</t>
  </si>
  <si>
    <t>ENST00000232607</t>
  </si>
  <si>
    <t>ENST00000462091</t>
  </si>
  <si>
    <t>ENST00000467167</t>
  </si>
  <si>
    <t>ENST00000479719</t>
  </si>
  <si>
    <t>ENST00000487622</t>
  </si>
  <si>
    <t>ENST00000495751</t>
  </si>
  <si>
    <t>ENST00000497791</t>
  </si>
  <si>
    <t>ENST00000498715</t>
  </si>
  <si>
    <t>P11182</t>
  </si>
  <si>
    <t>ENST00000370131</t>
  </si>
  <si>
    <t>ENST00000370132</t>
  </si>
  <si>
    <t>P11215</t>
  </si>
  <si>
    <t>ENST00000287497</t>
  </si>
  <si>
    <t>ENST00000544665</t>
  </si>
  <si>
    <t>ENST00000561838</t>
  </si>
  <si>
    <t>ENST00000565142</t>
  </si>
  <si>
    <t>ENST00000567178</t>
  </si>
  <si>
    <t>ENST00000569746</t>
  </si>
  <si>
    <t>P11216</t>
  </si>
  <si>
    <t>ENST00000216962</t>
  </si>
  <si>
    <t>ENST00000428458</t>
  </si>
  <si>
    <t>ENST00000471359</t>
  </si>
  <si>
    <t>P11217</t>
  </si>
  <si>
    <t>ENST00000164139</t>
  </si>
  <si>
    <t>ENST00000377432</t>
  </si>
  <si>
    <t>ENST00000460413</t>
  </si>
  <si>
    <t>ENST00000462303</t>
  </si>
  <si>
    <t>ENST00000483742</t>
  </si>
  <si>
    <t>P11233</t>
  </si>
  <si>
    <t>ENST00000005257</t>
  </si>
  <si>
    <t>ENST00000434466</t>
  </si>
  <si>
    <t>ENST00000436179</t>
  </si>
  <si>
    <t>ENST00000466491</t>
  </si>
  <si>
    <t>ENST00000468201</t>
  </si>
  <si>
    <t>P11234</t>
  </si>
  <si>
    <t>ENST00000272519</t>
  </si>
  <si>
    <t>ENST00000420510</t>
  </si>
  <si>
    <t>P11274</t>
  </si>
  <si>
    <t>ENST00000305877</t>
  </si>
  <si>
    <t>ENST00000359540</t>
  </si>
  <si>
    <t>ENST00000436990</t>
  </si>
  <si>
    <t>ENST00000458056</t>
  </si>
  <si>
    <t>ENST00000466076</t>
  </si>
  <si>
    <t>ENST00000471452</t>
  </si>
  <si>
    <t>ENST00000475025</t>
  </si>
  <si>
    <t>ENST00000478978</t>
  </si>
  <si>
    <t>ENST00000480973</t>
  </si>
  <si>
    <t>ENST00000487968</t>
  </si>
  <si>
    <t>P11279</t>
  </si>
  <si>
    <t>ENST00000332556</t>
  </si>
  <si>
    <t>ENST00000471046</t>
  </si>
  <si>
    <t>ENST00000472564</t>
  </si>
  <si>
    <t>P11310</t>
  </si>
  <si>
    <t>ENST00000370841</t>
  </si>
  <si>
    <t>ENST00000473018</t>
  </si>
  <si>
    <t>ENST00000481374</t>
  </si>
  <si>
    <t>ENST00000525881</t>
  </si>
  <si>
    <t>ENST00000526129</t>
  </si>
  <si>
    <t>ENST00000526196</t>
  </si>
  <si>
    <t>ENST00000526930</t>
  </si>
  <si>
    <t>ENST00000529059</t>
  </si>
  <si>
    <t>ENST00000532207</t>
  </si>
  <si>
    <t>ENST00000534334</t>
  </si>
  <si>
    <t>ENST00000541113</t>
  </si>
  <si>
    <t>P11387</t>
  </si>
  <si>
    <t>ENST00000361337</t>
  </si>
  <si>
    <t>P11388</t>
  </si>
  <si>
    <t>ENST00000423485</t>
  </si>
  <si>
    <t>ENST00000578412</t>
  </si>
  <si>
    <t>P11413</t>
  </si>
  <si>
    <t>ENST00000369620</t>
  </si>
  <si>
    <t>ENST00000393562</t>
  </si>
  <si>
    <t>ENST00000393564</t>
  </si>
  <si>
    <t>ENST00000439227</t>
  </si>
  <si>
    <t>ENST00000488434</t>
  </si>
  <si>
    <t>ENST00000489497</t>
  </si>
  <si>
    <t>ENST00000490651</t>
  </si>
  <si>
    <t>ENST00000497281</t>
  </si>
  <si>
    <t>P11441</t>
  </si>
  <si>
    <t>ENST00000369660</t>
  </si>
  <si>
    <t>ENST00000477777</t>
  </si>
  <si>
    <t>ENST00000481237</t>
  </si>
  <si>
    <t>P11473</t>
  </si>
  <si>
    <t>ENST00000229022</t>
  </si>
  <si>
    <t>ENST00000547065</t>
  </si>
  <si>
    <t>ENST00000550314</t>
  </si>
  <si>
    <t>P11498</t>
  </si>
  <si>
    <t>ENST00000393960</t>
  </si>
  <si>
    <t>ENST00000528224</t>
  </si>
  <si>
    <t>ENST00000529047</t>
  </si>
  <si>
    <t>ENST00000529352</t>
  </si>
  <si>
    <t>P11586</t>
  </si>
  <si>
    <t>ENST00000216605</t>
  </si>
  <si>
    <t>ENST00000545908</t>
  </si>
  <si>
    <t>ENST00000553405</t>
  </si>
  <si>
    <t>ENST00000554353</t>
  </si>
  <si>
    <t>ENST00000554677</t>
  </si>
  <si>
    <t>ENST00000555252</t>
  </si>
  <si>
    <t>ENST00000555709</t>
  </si>
  <si>
    <t>ENST00000555858</t>
  </si>
  <si>
    <t>ENST00000556284</t>
  </si>
  <si>
    <t>ENST00000556771</t>
  </si>
  <si>
    <t>ENST00000557370</t>
  </si>
  <si>
    <t>P11678</t>
  </si>
  <si>
    <t>ENST00000225371</t>
  </si>
  <si>
    <t>P11717</t>
  </si>
  <si>
    <t>ENST00000356956</t>
  </si>
  <si>
    <t>ENST00000464636</t>
  </si>
  <si>
    <t>ENST00000475834</t>
  </si>
  <si>
    <t>ENST00000487607</t>
  </si>
  <si>
    <t>P11766</t>
  </si>
  <si>
    <t>ENST00000296412</t>
  </si>
  <si>
    <t>ENST00000503130</t>
  </si>
  <si>
    <t>ENST00000505652</t>
  </si>
  <si>
    <t>ENST00000507102</t>
  </si>
  <si>
    <t>ENST00000508146</t>
  </si>
  <si>
    <t>ENST00000508511</t>
  </si>
  <si>
    <t>ENST00000512604</t>
  </si>
  <si>
    <t>ENST00000512621</t>
  </si>
  <si>
    <t>ENST00000512659</t>
  </si>
  <si>
    <t>P11802</t>
  </si>
  <si>
    <t>ENST00000257904</t>
  </si>
  <si>
    <t>ENST00000546489</t>
  </si>
  <si>
    <t>ENST00000547853</t>
  </si>
  <si>
    <t>ENST00000550419</t>
  </si>
  <si>
    <t>ENST00000551706</t>
  </si>
  <si>
    <t>ENST00000552254</t>
  </si>
  <si>
    <t>ENST00000552388</t>
  </si>
  <si>
    <t>ENST00000552713</t>
  </si>
  <si>
    <t>P11831</t>
  </si>
  <si>
    <t>ENST00000265354</t>
  </si>
  <si>
    <t>P11908</t>
  </si>
  <si>
    <t>ENST00000380668</t>
  </si>
  <si>
    <t>ENST00000398491</t>
  </si>
  <si>
    <t>ENST00000489404</t>
  </si>
  <si>
    <t>P11940</t>
  </si>
  <si>
    <t>ENST00000318607</t>
  </si>
  <si>
    <t>ENST00000517403</t>
  </si>
  <si>
    <t>ENST00000517921</t>
  </si>
  <si>
    <t>ENST00000517990</t>
  </si>
  <si>
    <t>ENST00000518293</t>
  </si>
  <si>
    <t>ENST00000518716</t>
  </si>
  <si>
    <t>ENST00000519004</t>
  </si>
  <si>
    <t>ENST00000519100</t>
  </si>
  <si>
    <t>ENST00000519596</t>
  </si>
  <si>
    <t>ENST00000519622</t>
  </si>
  <si>
    <t>ENST00000519848</t>
  </si>
  <si>
    <t>ENST00000520142</t>
  </si>
  <si>
    <t>ENST00000520868</t>
  </si>
  <si>
    <t>ENST00000521865</t>
  </si>
  <si>
    <t>ENST00000522387</t>
  </si>
  <si>
    <t>ENST00000522658</t>
  </si>
  <si>
    <t>ENST00000523555</t>
  </si>
  <si>
    <t>ENST00000523636</t>
  </si>
  <si>
    <t>P12004</t>
  </si>
  <si>
    <t>ENST00000379143</t>
  </si>
  <si>
    <t>ENST00000379160</t>
  </si>
  <si>
    <t>P12081</t>
  </si>
  <si>
    <t>ENST00000307633</t>
  </si>
  <si>
    <t>ENST00000438307</t>
  </si>
  <si>
    <t>ENST00000457527</t>
  </si>
  <si>
    <t>ENST00000502888</t>
  </si>
  <si>
    <t>ENST00000504156</t>
  </si>
  <si>
    <t>ENST00000504366</t>
  </si>
  <si>
    <t>ENST00000506579</t>
  </si>
  <si>
    <t>ENST00000509087</t>
  </si>
  <si>
    <t>ENST00000518126</t>
  </si>
  <si>
    <t>P12235</t>
  </si>
  <si>
    <t>ENST00000281456</t>
  </si>
  <si>
    <t>ENST00000491736</t>
  </si>
  <si>
    <t>P12236</t>
  </si>
  <si>
    <t>ENST00000381401</t>
  </si>
  <si>
    <t>ENST00000475167</t>
  </si>
  <si>
    <t>ENST00000484026</t>
  </si>
  <si>
    <t>P12259</t>
  </si>
  <si>
    <t>ENST00000367797</t>
  </si>
  <si>
    <t>ENST00000495481</t>
  </si>
  <si>
    <t>P12268</t>
  </si>
  <si>
    <t>ENST00000326739</t>
  </si>
  <si>
    <t>ENST00000429182</t>
  </si>
  <si>
    <t>ENST00000442157</t>
  </si>
  <si>
    <t>ENST00000462980</t>
  </si>
  <si>
    <t>ENST00000463903</t>
  </si>
  <si>
    <t>ENST00000466147</t>
  </si>
  <si>
    <t>ENST00000472328</t>
  </si>
  <si>
    <t>ENST00000481274</t>
  </si>
  <si>
    <t>ENST00000484872</t>
  </si>
  <si>
    <t>ENST00000485500</t>
  </si>
  <si>
    <t>ENST00000491610</t>
  </si>
  <si>
    <t>ENST00000496837</t>
  </si>
  <si>
    <t>P12270</t>
  </si>
  <si>
    <t>ENST00000367478</t>
  </si>
  <si>
    <t>ENST00000451586</t>
  </si>
  <si>
    <t>ENST00000467810</t>
  </si>
  <si>
    <t>ENST00000469463</t>
  </si>
  <si>
    <t>ENST00000474852</t>
  </si>
  <si>
    <t>ENST00000481347</t>
  </si>
  <si>
    <t>ENST00000491783</t>
  </si>
  <si>
    <t>ENST00000492973</t>
  </si>
  <si>
    <t>P12277</t>
  </si>
  <si>
    <t>ENST00000348956</t>
  </si>
  <si>
    <t>ENST00000553528</t>
  </si>
  <si>
    <t>ENST00000553878</t>
  </si>
  <si>
    <t>ENST00000553994</t>
  </si>
  <si>
    <t>ENST00000554705</t>
  </si>
  <si>
    <t>ENST00000555366</t>
  </si>
  <si>
    <t>ENST00000555659</t>
  </si>
  <si>
    <t>ENST00000557287</t>
  </si>
  <si>
    <t>ENST00000557569</t>
  </si>
  <si>
    <t>P12314</t>
  </si>
  <si>
    <t>ENST00000369168</t>
  </si>
  <si>
    <t>P12429</t>
  </si>
  <si>
    <t>ENST00000264908</t>
  </si>
  <si>
    <t>ENST00000503776</t>
  </si>
  <si>
    <t>ENST00000505805</t>
  </si>
  <si>
    <t>P12694</t>
  </si>
  <si>
    <t>ENST00000269980</t>
  </si>
  <si>
    <t>ENST00000457836</t>
  </si>
  <si>
    <t>ENST00000538423</t>
  </si>
  <si>
    <t>ENST00000541315</t>
  </si>
  <si>
    <t>ENST00000544905</t>
  </si>
  <si>
    <t>ENST00000545787</t>
  </si>
  <si>
    <t>P12814</t>
  </si>
  <si>
    <t>ENST00000193403</t>
  </si>
  <si>
    <t>ENST00000394419</t>
  </si>
  <si>
    <t>ENST00000538545</t>
  </si>
  <si>
    <t>ENST00000553290</t>
  </si>
  <si>
    <t>ENST00000553882</t>
  </si>
  <si>
    <t>ENST00000554508</t>
  </si>
  <si>
    <t>ENST00000556083</t>
  </si>
  <si>
    <t>ENST00000556343</t>
  </si>
  <si>
    <t>ENST00000556432</t>
  </si>
  <si>
    <t>ENST00000556433</t>
  </si>
  <si>
    <t>P12931</t>
  </si>
  <si>
    <t>ENST00000358208</t>
  </si>
  <si>
    <t>ENST00000373578</t>
  </si>
  <si>
    <t>ENST00000467556</t>
  </si>
  <si>
    <t>ENST00000472968</t>
  </si>
  <si>
    <t>ENST00000489153</t>
  </si>
  <si>
    <t>ENST00000493775</t>
  </si>
  <si>
    <t>P12955</t>
  </si>
  <si>
    <t>ENST00000244137</t>
  </si>
  <si>
    <t>ENST00000589598</t>
  </si>
  <si>
    <t>ENST00000591968</t>
  </si>
  <si>
    <t>ENST00000593085</t>
  </si>
  <si>
    <t>ENST00000593163</t>
  </si>
  <si>
    <t>ENST00000609145</t>
  </si>
  <si>
    <t>P12956</t>
  </si>
  <si>
    <t>ENST00000359308</t>
  </si>
  <si>
    <t>ENST00000360079</t>
  </si>
  <si>
    <t>ENST00000402580</t>
  </si>
  <si>
    <t>ENST00000405506</t>
  </si>
  <si>
    <t>ENST00000428575</t>
  </si>
  <si>
    <t>ENST00000464116</t>
  </si>
  <si>
    <t>ENST00000478914</t>
  </si>
  <si>
    <t>P13010</t>
  </si>
  <si>
    <t>ENST00000392132</t>
  </si>
  <si>
    <t>ENST00000392133</t>
  </si>
  <si>
    <t>ENST00000417391</t>
  </si>
  <si>
    <t>ENST00000451695</t>
  </si>
  <si>
    <t>ENST00000460284</t>
  </si>
  <si>
    <t>ENST00000476360</t>
  </si>
  <si>
    <t>ENST00000485763</t>
  </si>
  <si>
    <t>ENST00000493706</t>
  </si>
  <si>
    <t>P13073</t>
  </si>
  <si>
    <t>ENST00000253452</t>
  </si>
  <si>
    <t>ENST00000561569</t>
  </si>
  <si>
    <t>ENST00000562336</t>
  </si>
  <si>
    <t>ENST00000563774</t>
  </si>
  <si>
    <t>ENST00000564544</t>
  </si>
  <si>
    <t>ENST00000564648</t>
  </si>
  <si>
    <t>ENST00000564903</t>
  </si>
  <si>
    <t>ENST00000565078</t>
  </si>
  <si>
    <t>ENST00000566115</t>
  </si>
  <si>
    <t>ENST00000566405</t>
  </si>
  <si>
    <t>ENST00000566617</t>
  </si>
  <si>
    <t>ENST00000567241</t>
  </si>
  <si>
    <t>ENST00000568339</t>
  </si>
  <si>
    <t>ENST00000568794</t>
  </si>
  <si>
    <t>ENST00000569997</t>
  </si>
  <si>
    <t>ENST00000570123</t>
  </si>
  <si>
    <t>P13164</t>
  </si>
  <si>
    <t>ENST00000328221</t>
  </si>
  <si>
    <t>ENST00000408968</t>
  </si>
  <si>
    <t>ENST00000525554</t>
  </si>
  <si>
    <t>P13284</t>
  </si>
  <si>
    <t>ENST00000407280</t>
  </si>
  <si>
    <t>ENST00000600463</t>
  </si>
  <si>
    <t>P13489</t>
  </si>
  <si>
    <t>ENST00000354420</t>
  </si>
  <si>
    <t>ENST00000356187</t>
  </si>
  <si>
    <t>ENST00000397604</t>
  </si>
  <si>
    <t>ENST00000397614</t>
  </si>
  <si>
    <t>ENST00000397615</t>
  </si>
  <si>
    <t>ENST00000438658</t>
  </si>
  <si>
    <t>ENST00000524780</t>
  </si>
  <si>
    <t>ENST00000525522</t>
  </si>
  <si>
    <t>ENST00000525701</t>
  </si>
  <si>
    <t>ENST00000527485</t>
  </si>
  <si>
    <t>ENST00000528713</t>
  </si>
  <si>
    <t>ENST00000529115</t>
  </si>
  <si>
    <t>ENST00000529368</t>
  </si>
  <si>
    <t>ENST00000529768</t>
  </si>
  <si>
    <t>ENST00000531223</t>
  </si>
  <si>
    <t>ENST00000533410</t>
  </si>
  <si>
    <t>ENST00000533592</t>
  </si>
  <si>
    <t>ENST00000534797</t>
  </si>
  <si>
    <t>P13498</t>
  </si>
  <si>
    <t>ENST00000261623</t>
  </si>
  <si>
    <t>ENST00000561972</t>
  </si>
  <si>
    <t>ENST00000562209</t>
  </si>
  <si>
    <t>ENST00000563526</t>
  </si>
  <si>
    <t>ENST00000565588</t>
  </si>
  <si>
    <t>ENST00000566229</t>
  </si>
  <si>
    <t>ENST00000566534</t>
  </si>
  <si>
    <t>ENST00000567174</t>
  </si>
  <si>
    <t>ENST00000568278</t>
  </si>
  <si>
    <t>ENST00000569359</t>
  </si>
  <si>
    <t>P13598</t>
  </si>
  <si>
    <t>ENST00000412356</t>
  </si>
  <si>
    <t>ENST00000418105</t>
  </si>
  <si>
    <t>ENST00000449662</t>
  </si>
  <si>
    <t>ENST00000578313</t>
  </si>
  <si>
    <t>ENST00000578379</t>
  </si>
  <si>
    <t>ENST00000579687</t>
  </si>
  <si>
    <t>ENST00000579788</t>
  </si>
  <si>
    <t>ENST00000580011</t>
  </si>
  <si>
    <t>ENST00000580389</t>
  </si>
  <si>
    <t>ENST00000581417</t>
  </si>
  <si>
    <t>ENST00000583186</t>
  </si>
  <si>
    <t>ENST00000583366</t>
  </si>
  <si>
    <t>ENST00000583684</t>
  </si>
  <si>
    <t>ENST00000584084</t>
  </si>
  <si>
    <t>ENST00000584403</t>
  </si>
  <si>
    <t>P13612</t>
  </si>
  <si>
    <t>ENST00000233573</t>
  </si>
  <si>
    <t>ENST00000339307</t>
  </si>
  <si>
    <t>ENST00000397033</t>
  </si>
  <si>
    <t>ENST00000465522</t>
  </si>
  <si>
    <t>ENST00000468948</t>
  </si>
  <si>
    <t>ENST00000473002</t>
  </si>
  <si>
    <t>ENST00000476089</t>
  </si>
  <si>
    <t>ENST00000476824</t>
  </si>
  <si>
    <t>ENST00000478440</t>
  </si>
  <si>
    <t>ENST00000484404</t>
  </si>
  <si>
    <t>ENST00000490435</t>
  </si>
  <si>
    <t>P13639</t>
  </si>
  <si>
    <t>ENST00000309311</t>
  </si>
  <si>
    <t>ENST00000594885</t>
  </si>
  <si>
    <t>ENST00000596417</t>
  </si>
  <si>
    <t>ENST00000598182</t>
  </si>
  <si>
    <t>ENST00000598436</t>
  </si>
  <si>
    <t>ENST00000600720</t>
  </si>
  <si>
    <t>ENST00000600794</t>
  </si>
  <si>
    <t>P13667</t>
  </si>
  <si>
    <t>ENST00000286091</t>
  </si>
  <si>
    <t>ENST00000466592</t>
  </si>
  <si>
    <t>P13674</t>
  </si>
  <si>
    <t>ENST00000307116</t>
  </si>
  <si>
    <t>ENST00000373008</t>
  </si>
  <si>
    <t>ENST00000464310</t>
  </si>
  <si>
    <t>P13693</t>
  </si>
  <si>
    <t>ENST00000309246</t>
  </si>
  <si>
    <t>ENST00000379055</t>
  </si>
  <si>
    <t>ENST00000379056</t>
  </si>
  <si>
    <t>ENST00000379060</t>
  </si>
  <si>
    <t>ENST00000442760</t>
  </si>
  <si>
    <t>ENST00000484604</t>
  </si>
  <si>
    <t>ENST00000490277</t>
  </si>
  <si>
    <t>ENST00000527226</t>
  </si>
  <si>
    <t>ENST00000528619</t>
  </si>
  <si>
    <t>ENST00000529421</t>
  </si>
  <si>
    <t>ENST00000530245</t>
  </si>
  <si>
    <t>ENST00000530705</t>
  </si>
  <si>
    <t>ENST00000533567</t>
  </si>
  <si>
    <t>P13716</t>
  </si>
  <si>
    <t>ENST00000409155</t>
  </si>
  <si>
    <t>ENST00000445750</t>
  </si>
  <si>
    <t>ENST00000452726</t>
  </si>
  <si>
    <t>ENST00000468504</t>
  </si>
  <si>
    <t>ENST00000482001</t>
  </si>
  <si>
    <t>ENST00000482847</t>
  </si>
  <si>
    <t>ENST00000494848</t>
  </si>
  <si>
    <t>P13747</t>
  </si>
  <si>
    <t>ENST00000376630</t>
  </si>
  <si>
    <t>ENST00000484194</t>
  </si>
  <si>
    <t>ENST00000493699</t>
  </si>
  <si>
    <t>P13796</t>
  </si>
  <si>
    <t>ENST00000323076</t>
  </si>
  <si>
    <t>ENST00000398576</t>
  </si>
  <si>
    <t>ENST00000416500</t>
  </si>
  <si>
    <t>ENST00000442275</t>
  </si>
  <si>
    <t>ENST00000460190</t>
  </si>
  <si>
    <t>ENST00000469227</t>
  </si>
  <si>
    <t>ENST00000494531</t>
  </si>
  <si>
    <t>P13798</t>
  </si>
  <si>
    <t>ENST00000296456</t>
  </si>
  <si>
    <t>ENST00000438011</t>
  </si>
  <si>
    <t>ENST00000442186</t>
  </si>
  <si>
    <t>ENST00000446089</t>
  </si>
  <si>
    <t>ENST00000447436</t>
  </si>
  <si>
    <t>ENST00000447541</t>
  </si>
  <si>
    <t>ENST00000457042</t>
  </si>
  <si>
    <t>ENST00000462439</t>
  </si>
  <si>
    <t>ENST00000463616</t>
  </si>
  <si>
    <t>ENST00000463995</t>
  </si>
  <si>
    <t>ENST00000480772</t>
  </si>
  <si>
    <t>ENST00000482301</t>
  </si>
  <si>
    <t>ENST00000483715</t>
  </si>
  <si>
    <t>ENST00000491799</t>
  </si>
  <si>
    <t>P13804</t>
  </si>
  <si>
    <t>ENST00000267950</t>
  </si>
  <si>
    <t>ENST00000433983</t>
  </si>
  <si>
    <t>ENST00000557943</t>
  </si>
  <si>
    <t>ENST00000557975</t>
  </si>
  <si>
    <t>ENST00000558803</t>
  </si>
  <si>
    <t>ENST00000559075</t>
  </si>
  <si>
    <t>ENST00000559386</t>
  </si>
  <si>
    <t>ENST00000559758</t>
  </si>
  <si>
    <t>ENST00000559973</t>
  </si>
  <si>
    <t>ENST00000560044</t>
  </si>
  <si>
    <t>ENST00000560179</t>
  </si>
  <si>
    <t>ENST00000560595</t>
  </si>
  <si>
    <t>ENST00000560726</t>
  </si>
  <si>
    <t>ENST00000560816</t>
  </si>
  <si>
    <t>ENST00000561092</t>
  </si>
  <si>
    <t>P13861</t>
  </si>
  <si>
    <t>ENST00000265563</t>
  </si>
  <si>
    <t>ENST00000438535</t>
  </si>
  <si>
    <t>ENST00000454963</t>
  </si>
  <si>
    <t>ENST00000457914</t>
  </si>
  <si>
    <t>P13984</t>
  </si>
  <si>
    <t>ENST00000340473</t>
  </si>
  <si>
    <t>ENST00000494087</t>
  </si>
  <si>
    <t>P13987</t>
  </si>
  <si>
    <t>ENST00000351554</t>
  </si>
  <si>
    <t>ENST00000395850</t>
  </si>
  <si>
    <t>ENST00000415002</t>
  </si>
  <si>
    <t>ENST00000426650</t>
  </si>
  <si>
    <t>ENST00000527577</t>
  </si>
  <si>
    <t>ENST00000528700</t>
  </si>
  <si>
    <t>ENST00000528987</t>
  </si>
  <si>
    <t>P13994</t>
  </si>
  <si>
    <t>ENST00000221554</t>
  </si>
  <si>
    <t>ENST00000585844</t>
  </si>
  <si>
    <t>ENST00000586600</t>
  </si>
  <si>
    <t>ENST00000587019</t>
  </si>
  <si>
    <t>ENST00000588809</t>
  </si>
  <si>
    <t>ENST00000589096</t>
  </si>
  <si>
    <t>ENST00000589669</t>
  </si>
  <si>
    <t>ENST00000593174</t>
  </si>
  <si>
    <t>P13995</t>
  </si>
  <si>
    <t>ENST00000394053</t>
  </si>
  <si>
    <t>ENST00000462026</t>
  </si>
  <si>
    <t>ENST00000477455</t>
  </si>
  <si>
    <t>ENST00000488086</t>
  </si>
  <si>
    <t>P14151</t>
  </si>
  <si>
    <t>ENST00000236147</t>
  </si>
  <si>
    <t>ENST00000460650</t>
  </si>
  <si>
    <t>ENST00000463108</t>
  </si>
  <si>
    <t>ENST00000466340</t>
  </si>
  <si>
    <t>ENST00000479657</t>
  </si>
  <si>
    <t>ENST00000497295</t>
  </si>
  <si>
    <t>P14174</t>
  </si>
  <si>
    <t>ENST00000215754</t>
  </si>
  <si>
    <t>ENST00000465752</t>
  </si>
  <si>
    <t>ENST00000498385</t>
  </si>
  <si>
    <t>P14222</t>
  </si>
  <si>
    <t>ENST00000373209</t>
  </si>
  <si>
    <t>ENST00000441259</t>
  </si>
  <si>
    <t>P14317</t>
  </si>
  <si>
    <t>ENST00000314583</t>
  </si>
  <si>
    <t>ENST00000428394</t>
  </si>
  <si>
    <t>ENST00000464274</t>
  </si>
  <si>
    <t>ENST00000468693</t>
  </si>
  <si>
    <t>ENST00000473883</t>
  </si>
  <si>
    <t>ENST00000479994</t>
  </si>
  <si>
    <t>ENST00000481314</t>
  </si>
  <si>
    <t>ENST00000487290</t>
  </si>
  <si>
    <t>ENST00000488033</t>
  </si>
  <si>
    <t>ENST00000491824</t>
  </si>
  <si>
    <t>ENST00000495491</t>
  </si>
  <si>
    <t>ENST00000497391</t>
  </si>
  <si>
    <t>P14324</t>
  </si>
  <si>
    <t>ENST00000368356</t>
  </si>
  <si>
    <t>ENST00000447866</t>
  </si>
  <si>
    <t>ENST00000461507</t>
  </si>
  <si>
    <t>ENST00000467076</t>
  </si>
  <si>
    <t>ENST00000468479</t>
  </si>
  <si>
    <t>ENST00000470171</t>
  </si>
  <si>
    <t>ENST00000471117</t>
  </si>
  <si>
    <t>ENST00000474345</t>
  </si>
  <si>
    <t>ENST00000477057</t>
  </si>
  <si>
    <t>ENST00000487002</t>
  </si>
  <si>
    <t>ENST00000489003</t>
  </si>
  <si>
    <t>ENST00000489324</t>
  </si>
  <si>
    <t>ENST00000490140</t>
  </si>
  <si>
    <t>ENST00000492244</t>
  </si>
  <si>
    <t>ENST00000492887</t>
  </si>
  <si>
    <t>ENST00000495308</t>
  </si>
  <si>
    <t>P14373</t>
  </si>
  <si>
    <t>ENST00000377194</t>
  </si>
  <si>
    <t>ENST00000377199</t>
  </si>
  <si>
    <t>ENST00000467742</t>
  </si>
  <si>
    <t>ENST00000481474</t>
  </si>
  <si>
    <t>ENST00000496091</t>
  </si>
  <si>
    <t>ENST00000498117</t>
  </si>
  <si>
    <t>P14384</t>
  </si>
  <si>
    <t>ENST00000551568</t>
  </si>
  <si>
    <t>P14550</t>
  </si>
  <si>
    <t>ENST00000372070</t>
  </si>
  <si>
    <t>ENST00000434299</t>
  </si>
  <si>
    <t>ENST00000471651</t>
  </si>
  <si>
    <t>ENST00000473038</t>
  </si>
  <si>
    <t>ENST00000475919</t>
  </si>
  <si>
    <t>ENST00000475985</t>
  </si>
  <si>
    <t>ENST00000476957</t>
  </si>
  <si>
    <t>ENST00000487654</t>
  </si>
  <si>
    <t>ENST00000496999</t>
  </si>
  <si>
    <t>ENST00000497973</t>
  </si>
  <si>
    <t>P14598</t>
  </si>
  <si>
    <t>ENST00000289473</t>
  </si>
  <si>
    <t>ENST00000398421</t>
  </si>
  <si>
    <t>ENST00000449343</t>
  </si>
  <si>
    <t>ENST00000455062</t>
  </si>
  <si>
    <t>ENST00000464878</t>
  </si>
  <si>
    <t>ENST00000486097</t>
  </si>
  <si>
    <t>ENST00000488197</t>
  </si>
  <si>
    <t>P14618</t>
  </si>
  <si>
    <t>ENST00000319622</t>
  </si>
  <si>
    <t>ENST00000335181</t>
  </si>
  <si>
    <t>ENST00000389093</t>
  </si>
  <si>
    <t>ENST00000449901</t>
  </si>
  <si>
    <t>ENST00000561609</t>
  </si>
  <si>
    <t>ENST00000562784</t>
  </si>
  <si>
    <t>ENST00000562997</t>
  </si>
  <si>
    <t>ENST00000563275</t>
  </si>
  <si>
    <t>ENST00000563986</t>
  </si>
  <si>
    <t>ENST00000564178</t>
  </si>
  <si>
    <t>ENST00000564276</t>
  </si>
  <si>
    <t>ENST00000564440</t>
  </si>
  <si>
    <t>ENST00000564993</t>
  </si>
  <si>
    <t>ENST00000565143</t>
  </si>
  <si>
    <t>ENST00000565184</t>
  </si>
  <si>
    <t>ENST00000566809</t>
  </si>
  <si>
    <t>ENST00000568459</t>
  </si>
  <si>
    <t>ENST00000568743</t>
  </si>
  <si>
    <t>ENST00000569050</t>
  </si>
  <si>
    <t>ENST00000570166</t>
  </si>
  <si>
    <t>P14621</t>
  </si>
  <si>
    <t>ENST00000303536</t>
  </si>
  <si>
    <t>ENST00000394666</t>
  </si>
  <si>
    <t>ENST00000406041</t>
  </si>
  <si>
    <t>ENST00000422521</t>
  </si>
  <si>
    <t>ENST00000458030</t>
  </si>
  <si>
    <t>ENST00000494922</t>
  </si>
  <si>
    <t>ENST00000607452</t>
  </si>
  <si>
    <t>P14625</t>
  </si>
  <si>
    <t>ENST00000299767</t>
  </si>
  <si>
    <t>ENST00000540297</t>
  </si>
  <si>
    <t>ENST00000548462</t>
  </si>
  <si>
    <t>ENST00000548622</t>
  </si>
  <si>
    <t>ENST00000550479</t>
  </si>
  <si>
    <t>ENST00000550595</t>
  </si>
  <si>
    <t>ENST00000551983</t>
  </si>
  <si>
    <t>ENST00000552051</t>
  </si>
  <si>
    <t>P14649</t>
  </si>
  <si>
    <t>ENST00000405661</t>
  </si>
  <si>
    <t>ENST00000548548</t>
  </si>
  <si>
    <t>ENST00000548571</t>
  </si>
  <si>
    <t>ENST00000549178</t>
  </si>
  <si>
    <t>ENST00000549380</t>
  </si>
  <si>
    <t>ENST00000550550</t>
  </si>
  <si>
    <t>ENST00000551834</t>
  </si>
  <si>
    <t>ENST00000553066</t>
  </si>
  <si>
    <t>P14735</t>
  </si>
  <si>
    <t>ENST00000265986</t>
  </si>
  <si>
    <t>ENST00000462988</t>
  </si>
  <si>
    <t>ENST00000478361</t>
  </si>
  <si>
    <t>ENST00000492362</t>
  </si>
  <si>
    <t>ENST00000496903</t>
  </si>
  <si>
    <t>P14780</t>
  </si>
  <si>
    <t>ENST00000372330</t>
  </si>
  <si>
    <t>P14854</t>
  </si>
  <si>
    <t>ENST00000246554</t>
  </si>
  <si>
    <t>ENST00000590618</t>
  </si>
  <si>
    <t>ENST00000592141</t>
  </si>
  <si>
    <t>P14866</t>
  </si>
  <si>
    <t>ENST00000221419</t>
  </si>
  <si>
    <t>ENST00000388749</t>
  </si>
  <si>
    <t>ENST00000595164</t>
  </si>
  <si>
    <t>ENST00000595443</t>
  </si>
  <si>
    <t>ENST00000595804</t>
  </si>
  <si>
    <t>ENST00000597731</t>
  </si>
  <si>
    <t>ENST00000598985</t>
  </si>
  <si>
    <t>ENST00000600233</t>
  </si>
  <si>
    <t>ENST00000600741</t>
  </si>
  <si>
    <t>ENST00000600873</t>
  </si>
  <si>
    <t>ENST00000601047</t>
  </si>
  <si>
    <t>ENST00000601664</t>
  </si>
  <si>
    <t>ENST00000601813</t>
  </si>
  <si>
    <t>P14868</t>
  </si>
  <si>
    <t>ENST00000264161</t>
  </si>
  <si>
    <t>ENST00000435076</t>
  </si>
  <si>
    <t>ENST00000449218</t>
  </si>
  <si>
    <t>ENST00000456565</t>
  </si>
  <si>
    <t>ENST00000474184</t>
  </si>
  <si>
    <t>ENST00000478212</t>
  </si>
  <si>
    <t>ENST00000489964</t>
  </si>
  <si>
    <t>ENST00000491481</t>
  </si>
  <si>
    <t>P14902</t>
  </si>
  <si>
    <t>ENST00000518237</t>
  </si>
  <si>
    <t>P14921</t>
  </si>
  <si>
    <t>ENST00000319397</t>
  </si>
  <si>
    <t>ENST00000526145</t>
  </si>
  <si>
    <t>ENST00000530924</t>
  </si>
  <si>
    <t>ENST00000531611</t>
  </si>
  <si>
    <t>ENST00000608978</t>
  </si>
  <si>
    <t>P14923</t>
  </si>
  <si>
    <t>ENST00000393931</t>
  </si>
  <si>
    <t>P14927</t>
  </si>
  <si>
    <t>ENST00000287022</t>
  </si>
  <si>
    <t>ENST00000517523</t>
  </si>
  <si>
    <t>ENST00000517603</t>
  </si>
  <si>
    <t>ENST00000518406</t>
  </si>
  <si>
    <t>ENST00000518876</t>
  </si>
  <si>
    <t>ENST00000519322</t>
  </si>
  <si>
    <t>ENST00000521036</t>
  </si>
  <si>
    <t>ENST00000521948</t>
  </si>
  <si>
    <t>ENST00000523920</t>
  </si>
  <si>
    <t>P15056</t>
  </si>
  <si>
    <t>ENST00000288602</t>
  </si>
  <si>
    <t>ENST00000469930</t>
  </si>
  <si>
    <t>ENST00000479537</t>
  </si>
  <si>
    <t>ENST00000496384</t>
  </si>
  <si>
    <t>ENST00000497784</t>
  </si>
  <si>
    <t>P15104</t>
  </si>
  <si>
    <t>ENST00000331872</t>
  </si>
  <si>
    <t>ENST00000339526</t>
  </si>
  <si>
    <t>ENST00000417584</t>
  </si>
  <si>
    <t>ENST00000461447</t>
  </si>
  <si>
    <t>ENST00000462444</t>
  </si>
  <si>
    <t>ENST00000475808</t>
  </si>
  <si>
    <t>ENST00000484996</t>
  </si>
  <si>
    <t>ENST00000491322</t>
  </si>
  <si>
    <t>P15121</t>
  </si>
  <si>
    <t>ENST00000285930</t>
  </si>
  <si>
    <t>ENST00000426422</t>
  </si>
  <si>
    <t>ENST00000434222</t>
  </si>
  <si>
    <t>ENST00000462784</t>
  </si>
  <si>
    <t>ENST00000465351</t>
  </si>
  <si>
    <t>ENST00000467251</t>
  </si>
  <si>
    <t>ENST00000467829</t>
  </si>
  <si>
    <t>ENST00000484592</t>
  </si>
  <si>
    <t>ENST00000487438</t>
  </si>
  <si>
    <t>ENST00000489022</t>
  </si>
  <si>
    <t>ENST00000491741</t>
  </si>
  <si>
    <t>ENST00000497983</t>
  </si>
  <si>
    <t>ENST00000498373</t>
  </si>
  <si>
    <t>ENST00000498771</t>
  </si>
  <si>
    <t>P15144</t>
  </si>
  <si>
    <t>ENST00000300060</t>
  </si>
  <si>
    <t>ENST00000558740</t>
  </si>
  <si>
    <t>ENST00000559761</t>
  </si>
  <si>
    <t>ENST00000559887</t>
  </si>
  <si>
    <t>P15153</t>
  </si>
  <si>
    <t>ENST00000249071</t>
  </si>
  <si>
    <t>ENST00000401529</t>
  </si>
  <si>
    <t>ENST00000405484</t>
  </si>
  <si>
    <t>ENST00000406508</t>
  </si>
  <si>
    <t>ENST00000441619</t>
  </si>
  <si>
    <t>ENST00000469532</t>
  </si>
  <si>
    <t>ENST00000481215</t>
  </si>
  <si>
    <t>P15260</t>
  </si>
  <si>
    <t>ENST00000367739</t>
  </si>
  <si>
    <t>ENST00000478333</t>
  </si>
  <si>
    <t>P15289</t>
  </si>
  <si>
    <t>ENST00000216124</t>
  </si>
  <si>
    <t>ENST00000356098</t>
  </si>
  <si>
    <t>ENST00000453344</t>
  </si>
  <si>
    <t>ENST00000551731</t>
  </si>
  <si>
    <t>ENST00000610191</t>
  </si>
  <si>
    <t>P15311</t>
  </si>
  <si>
    <t>ENST00000337147</t>
  </si>
  <si>
    <t>ENST00000367075</t>
  </si>
  <si>
    <t>ENST00000392177</t>
  </si>
  <si>
    <t>ENST00000476189</t>
  </si>
  <si>
    <t>P15374</t>
  </si>
  <si>
    <t>ENST00000377595</t>
  </si>
  <si>
    <t>ENST00000419068</t>
  </si>
  <si>
    <t>ENST00000471792</t>
  </si>
  <si>
    <t>ENST00000606347</t>
  </si>
  <si>
    <t>ENST00000607339</t>
  </si>
  <si>
    <t>P15408</t>
  </si>
  <si>
    <t>ENST00000264716</t>
  </si>
  <si>
    <t>ENST00000379619</t>
  </si>
  <si>
    <t>ENST00000436647</t>
  </si>
  <si>
    <t>ENST00000460736</t>
  </si>
  <si>
    <t>P15498</t>
  </si>
  <si>
    <t>ENST00000304076</t>
  </si>
  <si>
    <t>ENST00000539284</t>
  </si>
  <si>
    <t>ENST00000594082</t>
  </si>
  <si>
    <t>ENST00000596764</t>
  </si>
  <si>
    <t>ENST00000597967</t>
  </si>
  <si>
    <t>ENST00000598270</t>
  </si>
  <si>
    <t>ENST00000600396</t>
  </si>
  <si>
    <t>ENST00000601452</t>
  </si>
  <si>
    <t>ENST00000602142</t>
  </si>
  <si>
    <t>P15848</t>
  </si>
  <si>
    <t>ENST00000264914</t>
  </si>
  <si>
    <t>ENST00000396151</t>
  </si>
  <si>
    <t>ENST00000521011</t>
  </si>
  <si>
    <t>ENST00000521800</t>
  </si>
  <si>
    <t>P15880</t>
  </si>
  <si>
    <t>ENST00000343262</t>
  </si>
  <si>
    <t>ENST00000526522</t>
  </si>
  <si>
    <t>ENST00000526586</t>
  </si>
  <si>
    <t>ENST00000526908</t>
  </si>
  <si>
    <t>ENST00000527826</t>
  </si>
  <si>
    <t>ENST00000527871</t>
  </si>
  <si>
    <t>ENST00000529806</t>
  </si>
  <si>
    <t>ENST00000530225</t>
  </si>
  <si>
    <t>ENST00000531065</t>
  </si>
  <si>
    <t>ENST00000532746</t>
  </si>
  <si>
    <t>ENST00000533161</t>
  </si>
  <si>
    <t>ENST00000533186</t>
  </si>
  <si>
    <t>ENST00000533872</t>
  </si>
  <si>
    <t>ENST00000534461</t>
  </si>
  <si>
    <t>ENST00000563194</t>
  </si>
  <si>
    <t>P15907</t>
  </si>
  <si>
    <t>ENST00000169298</t>
  </si>
  <si>
    <t>ENST00000416235</t>
  </si>
  <si>
    <t>ENST00000423451</t>
  </si>
  <si>
    <t>ENST00000442023</t>
  </si>
  <si>
    <t>ENST00000446170</t>
  </si>
  <si>
    <t>ENST00000448408</t>
  </si>
  <si>
    <t>ENST00000448449</t>
  </si>
  <si>
    <t>ENST00000458216</t>
  </si>
  <si>
    <t>ENST00000463542</t>
  </si>
  <si>
    <t>ENST00000464827</t>
  </si>
  <si>
    <t>ENST00000468614</t>
  </si>
  <si>
    <t>ENST00000470633</t>
  </si>
  <si>
    <t>ENST00000485105</t>
  </si>
  <si>
    <t>ENST00000487031</t>
  </si>
  <si>
    <t>P15923</t>
  </si>
  <si>
    <t>ENST00000262965</t>
  </si>
  <si>
    <t>ENST00000344749</t>
  </si>
  <si>
    <t>ENST00000395423</t>
  </si>
  <si>
    <t>ENST00000453954</t>
  </si>
  <si>
    <t>ENST00000585731</t>
  </si>
  <si>
    <t>ENST00000585855</t>
  </si>
  <si>
    <t>ENST00000586164</t>
  </si>
  <si>
    <t>ENST00000586318</t>
  </si>
  <si>
    <t>ENST00000586410</t>
  </si>
  <si>
    <t>ENST00000587235</t>
  </si>
  <si>
    <t>ENST00000587425</t>
  </si>
  <si>
    <t>ENST00000588136</t>
  </si>
  <si>
    <t>ENST00000590605</t>
  </si>
  <si>
    <t>ENST00000590684</t>
  </si>
  <si>
    <t>ENST00000592395</t>
  </si>
  <si>
    <t>ENST00000592628</t>
  </si>
  <si>
    <t>ENST00000593064</t>
  </si>
  <si>
    <t>P15927</t>
  </si>
  <si>
    <t>ENST00000313433</t>
  </si>
  <si>
    <t>ENST00000373909</t>
  </si>
  <si>
    <t>ENST00000373912</t>
  </si>
  <si>
    <t>ENST00000444045</t>
  </si>
  <si>
    <t>P15954</t>
  </si>
  <si>
    <t>ENST00000247655</t>
  </si>
  <si>
    <t>ENST00000505430</t>
  </si>
  <si>
    <t>ENST00000509578</t>
  </si>
  <si>
    <t>ENST00000510447</t>
  </si>
  <si>
    <t>ENST00000511472</t>
  </si>
  <si>
    <t>ENST00000513124</t>
  </si>
  <si>
    <t>ENST00000515763</t>
  </si>
  <si>
    <t>P16035</t>
  </si>
  <si>
    <t>ENST00000262768</t>
  </si>
  <si>
    <t>ENST00000586057</t>
  </si>
  <si>
    <t>ENST00000592761</t>
  </si>
  <si>
    <t>P16083</t>
  </si>
  <si>
    <t>ENST00000338130</t>
  </si>
  <si>
    <t>ENST00000380430</t>
  </si>
  <si>
    <t>ENST00000380441</t>
  </si>
  <si>
    <t>ENST00000380454</t>
  </si>
  <si>
    <t>ENST00000380455</t>
  </si>
  <si>
    <t>ENST00000380472</t>
  </si>
  <si>
    <t>ENST00000397717</t>
  </si>
  <si>
    <t>ENST00000606474</t>
  </si>
  <si>
    <t>P16104</t>
  </si>
  <si>
    <t>ENST00000375167</t>
  </si>
  <si>
    <t>ENST00000530167</t>
  </si>
  <si>
    <t>P16109</t>
  </si>
  <si>
    <t>ENST00000426706</t>
  </si>
  <si>
    <t>P16150</t>
  </si>
  <si>
    <t>ENST00000360121</t>
  </si>
  <si>
    <t>ENST00000395389</t>
  </si>
  <si>
    <t>ENST00000436527</t>
  </si>
  <si>
    <t>ENST00000563039</t>
  </si>
  <si>
    <t>P16152</t>
  </si>
  <si>
    <t>ENST00000290349</t>
  </si>
  <si>
    <t>ENST00000439427</t>
  </si>
  <si>
    <t>ENST00000530908</t>
  </si>
  <si>
    <t>P16219</t>
  </si>
  <si>
    <t>ENST00000242592</t>
  </si>
  <si>
    <t>ENST00000411593</t>
  </si>
  <si>
    <t>ENST00000539690</t>
  </si>
  <si>
    <t>P16220</t>
  </si>
  <si>
    <t>ENST00000353267</t>
  </si>
  <si>
    <t>ENST00000418081</t>
  </si>
  <si>
    <t>ENST00000421139</t>
  </si>
  <si>
    <t>ENST00000430624</t>
  </si>
  <si>
    <t>ENST00000432329</t>
  </si>
  <si>
    <t>ENST00000445803</t>
  </si>
  <si>
    <t>ENST00000451164</t>
  </si>
  <si>
    <t>ENST00000455757</t>
  </si>
  <si>
    <t>ENST00000494094</t>
  </si>
  <si>
    <t>ENST00000494983</t>
  </si>
  <si>
    <t>P16298</t>
  </si>
  <si>
    <t>ENST00000342558</t>
  </si>
  <si>
    <t>ENST00000360663</t>
  </si>
  <si>
    <t>ENST00000394828</t>
  </si>
  <si>
    <t>ENST00000394829</t>
  </si>
  <si>
    <t>ENST00000430762</t>
  </si>
  <si>
    <t>ENST00000495897</t>
  </si>
  <si>
    <t>P16333</t>
  </si>
  <si>
    <t>ENST00000288986</t>
  </si>
  <si>
    <t>ENST00000460960</t>
  </si>
  <si>
    <t>ENST00000469404</t>
  </si>
  <si>
    <t>ENST00000476286</t>
  </si>
  <si>
    <t>ENST00000478862</t>
  </si>
  <si>
    <t>ENST00000481752</t>
  </si>
  <si>
    <t>ENST00000488930</t>
  </si>
  <si>
    <t>ENST00000496489</t>
  </si>
  <si>
    <t>P16383</t>
  </si>
  <si>
    <t>ENST00000321027</t>
  </si>
  <si>
    <t>ENST00000427862</t>
  </si>
  <si>
    <t>ENST00000442309</t>
  </si>
  <si>
    <t>ENST00000470197</t>
  </si>
  <si>
    <t>ENST00000470503</t>
  </si>
  <si>
    <t>ENST00000472230</t>
  </si>
  <si>
    <t>ENST00000486016</t>
  </si>
  <si>
    <t>ENST00000492826</t>
  </si>
  <si>
    <t>P16403</t>
  </si>
  <si>
    <t>ENST00000343677</t>
  </si>
  <si>
    <t>P16410</t>
  </si>
  <si>
    <t>ENST00000295854</t>
  </si>
  <si>
    <t>ENST00000302823</t>
  </si>
  <si>
    <t>ENST00000427473</t>
  </si>
  <si>
    <t>P16435</t>
  </si>
  <si>
    <t>ENST00000394893</t>
  </si>
  <si>
    <t>ENST00000418341</t>
  </si>
  <si>
    <t>ENST00000439269</t>
  </si>
  <si>
    <t>ENST00000447222</t>
  </si>
  <si>
    <t>ENST00000448410</t>
  </si>
  <si>
    <t>ENST00000460892</t>
  </si>
  <si>
    <t>ENST00000461988</t>
  </si>
  <si>
    <t>ENST00000471238</t>
  </si>
  <si>
    <t>ENST00000475509</t>
  </si>
  <si>
    <t>ENST00000487247</t>
  </si>
  <si>
    <t>ENST00000493973</t>
  </si>
  <si>
    <t>ENST00000495770</t>
  </si>
  <si>
    <t>ENST00000496888</t>
  </si>
  <si>
    <t>P16455</t>
  </si>
  <si>
    <t>ENST00000306010</t>
  </si>
  <si>
    <t>ENST00000482547</t>
  </si>
  <si>
    <t>P16615</t>
  </si>
  <si>
    <t>ENST00000308664</t>
  </si>
  <si>
    <t>ENST00000313432</t>
  </si>
  <si>
    <t>ENST00000539276</t>
  </si>
  <si>
    <t>ENST00000547050</t>
  </si>
  <si>
    <t>ENST00000547792</t>
  </si>
  <si>
    <t>ENST00000549840</t>
  </si>
  <si>
    <t>ENST00000550248</t>
  </si>
  <si>
    <t>ENST00000550262</t>
  </si>
  <si>
    <t>P16871</t>
  </si>
  <si>
    <t>ENST00000303115</t>
  </si>
  <si>
    <t>ENST00000505093</t>
  </si>
  <si>
    <t>ENST00000505875</t>
  </si>
  <si>
    <t>ENST00000508941</t>
  </si>
  <si>
    <t>ENST00000509668</t>
  </si>
  <si>
    <t>ENST00000511031</t>
  </si>
  <si>
    <t>ENST00000511982</t>
  </si>
  <si>
    <t>ENST00000514217</t>
  </si>
  <si>
    <t>ENST00000515665</t>
  </si>
  <si>
    <t>P16885</t>
  </si>
  <si>
    <t>ENST00000359376</t>
  </si>
  <si>
    <t>ENST00000563193</t>
  </si>
  <si>
    <t>ENST00000563269</t>
  </si>
  <si>
    <t>ENST00000564138</t>
  </si>
  <si>
    <t>ENST00000565020</t>
  </si>
  <si>
    <t>ENST00000567356</t>
  </si>
  <si>
    <t>ENST00000567373</t>
  </si>
  <si>
    <t>ENST00000570196</t>
  </si>
  <si>
    <t>ENST00000570198</t>
  </si>
  <si>
    <t>P16930</t>
  </si>
  <si>
    <t>ENST00000407106</t>
  </si>
  <si>
    <t>ENST00000539156</t>
  </si>
  <si>
    <t>ENST00000558514</t>
  </si>
  <si>
    <t>ENST00000558767</t>
  </si>
  <si>
    <t>ENST00000559217</t>
  </si>
  <si>
    <t>ENST00000559542</t>
  </si>
  <si>
    <t>ENST00000561421</t>
  </si>
  <si>
    <t>P16949</t>
  </si>
  <si>
    <t>ENST00000399728</t>
  </si>
  <si>
    <t>ENST00000446334</t>
  </si>
  <si>
    <t>ENST00000455785</t>
  </si>
  <si>
    <t>ENST00000465604</t>
  </si>
  <si>
    <t>ENST00000485226</t>
  </si>
  <si>
    <t>P16989</t>
  </si>
  <si>
    <t>ENST00000228251</t>
  </si>
  <si>
    <t>ENST00000279550</t>
  </si>
  <si>
    <t>ENST00000366290</t>
  </si>
  <si>
    <t>ENST00000536107</t>
  </si>
  <si>
    <t>ENST00000536823</t>
  </si>
  <si>
    <t>ENST00000540447</t>
  </si>
  <si>
    <t>ENST00000542002</t>
  </si>
  <si>
    <t>ENST00000542641</t>
  </si>
  <si>
    <t>ENST00000544501</t>
  </si>
  <si>
    <t>ENST00000544622</t>
  </si>
  <si>
    <t>ENST00000546164</t>
  </si>
  <si>
    <t>ENST00000546298</t>
  </si>
  <si>
    <t>P17017</t>
  </si>
  <si>
    <t>ENST00000344099</t>
  </si>
  <si>
    <t>P17026</t>
  </si>
  <si>
    <t>ENST00000298299</t>
  </si>
  <si>
    <t>P17028</t>
  </si>
  <si>
    <t>ENST00000261332</t>
  </si>
  <si>
    <t>ENST00000399061</t>
  </si>
  <si>
    <t>ENST00000589539</t>
  </si>
  <si>
    <t>ENST00000589881</t>
  </si>
  <si>
    <t>ENST00000593130</t>
  </si>
  <si>
    <t>P17029</t>
  </si>
  <si>
    <t>ENST00000324306</t>
  </si>
  <si>
    <t>ENST00000482979</t>
  </si>
  <si>
    <t>P17036</t>
  </si>
  <si>
    <t>ENST00000292393</t>
  </si>
  <si>
    <t>ENST00000299667</t>
  </si>
  <si>
    <t>ENST00000303915</t>
  </si>
  <si>
    <t>ENST00000412947</t>
  </si>
  <si>
    <t>ENST00000413658</t>
  </si>
  <si>
    <t>ENST00000415068</t>
  </si>
  <si>
    <t>ENST00000424697</t>
  </si>
  <si>
    <t>ENST00000428683</t>
  </si>
  <si>
    <t>ENST00000441298</t>
  </si>
  <si>
    <t>ENST00000449785</t>
  </si>
  <si>
    <t>ENST00000466121</t>
  </si>
  <si>
    <t>ENST00000479192</t>
  </si>
  <si>
    <t>ENST00000487620</t>
  </si>
  <si>
    <t>P17041</t>
  </si>
  <si>
    <t>ENST00000374433</t>
  </si>
  <si>
    <t>ENST00000395797</t>
  </si>
  <si>
    <t>ENST00000485351</t>
  </si>
  <si>
    <t>P17050</t>
  </si>
  <si>
    <t>ENST00000396398</t>
  </si>
  <si>
    <t>ENST00000403363</t>
  </si>
  <si>
    <t>P17096</t>
  </si>
  <si>
    <t>ENST00000311487</t>
  </si>
  <si>
    <t>ENST00000347617</t>
  </si>
  <si>
    <t>ENST00000374116</t>
  </si>
  <si>
    <t>ENST00000401473</t>
  </si>
  <si>
    <t>ENST00000447654</t>
  </si>
  <si>
    <t>ENST00000478214</t>
  </si>
  <si>
    <t>P17152</t>
  </si>
  <si>
    <t>ENST00000317635</t>
  </si>
  <si>
    <t>ENST00000577419</t>
  </si>
  <si>
    <t>ENST00000583264</t>
  </si>
  <si>
    <t>ENST00000583929</t>
  </si>
  <si>
    <t>P17174</t>
  </si>
  <si>
    <t>ENST00000370508</t>
  </si>
  <si>
    <t>ENST00000471741</t>
  </si>
  <si>
    <t>ENST00000489349</t>
  </si>
  <si>
    <t>P17213</t>
  </si>
  <si>
    <t>ENST00000262865</t>
  </si>
  <si>
    <t>ENST00000490381</t>
  </si>
  <si>
    <t>P17252</t>
  </si>
  <si>
    <t>ENST00000284384</t>
  </si>
  <si>
    <t>ENST00000413366</t>
  </si>
  <si>
    <t>ENST00000578063</t>
  </si>
  <si>
    <t>ENST00000583361</t>
  </si>
  <si>
    <t>ENST00000583775</t>
  </si>
  <si>
    <t>P17275</t>
  </si>
  <si>
    <t>ENST00000302754</t>
  </si>
  <si>
    <t>P17301</t>
  </si>
  <si>
    <t>ENST00000296585</t>
  </si>
  <si>
    <t>P17480</t>
  </si>
  <si>
    <t>ENST00000302904</t>
  </si>
  <si>
    <t>ENST00000343638</t>
  </si>
  <si>
    <t>ENST00000393606</t>
  </si>
  <si>
    <t>ENST00000436088</t>
  </si>
  <si>
    <t>ENST00000526094</t>
  </si>
  <si>
    <t>ENST00000529042</t>
  </si>
  <si>
    <t>ENST00000529373</t>
  </si>
  <si>
    <t>ENST00000529383</t>
  </si>
  <si>
    <t>ENST00000529947</t>
  </si>
  <si>
    <t>ENST00000530828</t>
  </si>
  <si>
    <t>ENST00000531368</t>
  </si>
  <si>
    <t>ENST00000533177</t>
  </si>
  <si>
    <t>ENST00000537550</t>
  </si>
  <si>
    <t>P17535</t>
  </si>
  <si>
    <t>ENST00000252818</t>
  </si>
  <si>
    <t>ENST00000600972</t>
  </si>
  <si>
    <t>P17568</t>
  </si>
  <si>
    <t>ENST00000215565</t>
  </si>
  <si>
    <t>P17612</t>
  </si>
  <si>
    <t>ENST00000308677</t>
  </si>
  <si>
    <t>ENST00000587372</t>
  </si>
  <si>
    <t>ENST00000587533</t>
  </si>
  <si>
    <t>ENST00000588209</t>
  </si>
  <si>
    <t>ENST00000590853</t>
  </si>
  <si>
    <t>ENST00000593092</t>
  </si>
  <si>
    <t>P17655</t>
  </si>
  <si>
    <t>ENST00000295006</t>
  </si>
  <si>
    <t>ENST00000463997</t>
  </si>
  <si>
    <t>ENST00000474026</t>
  </si>
  <si>
    <t>ENST00000480581</t>
  </si>
  <si>
    <t>ENST00000483579</t>
  </si>
  <si>
    <t>ENST00000487223</t>
  </si>
  <si>
    <t>ENST00000492565</t>
  </si>
  <si>
    <t>ENST00000498027</t>
  </si>
  <si>
    <t>P17707</t>
  </si>
  <si>
    <t>ENST00000368877</t>
  </si>
  <si>
    <t>ENST00000368882</t>
  </si>
  <si>
    <t>ENST00000368885</t>
  </si>
  <si>
    <t>ENST00000465404</t>
  </si>
  <si>
    <t>P17812</t>
  </si>
  <si>
    <t>ENST00000372616</t>
  </si>
  <si>
    <t>ENST00000372621</t>
  </si>
  <si>
    <t>ENST00000463423</t>
  </si>
  <si>
    <t>ENST00000470271</t>
  </si>
  <si>
    <t>ENST00000475060</t>
  </si>
  <si>
    <t>ENST00000480420</t>
  </si>
  <si>
    <t>ENST00000486889</t>
  </si>
  <si>
    <t>ENST00000497210</t>
  </si>
  <si>
    <t>ENST00000498694</t>
  </si>
  <si>
    <t>P17844</t>
  </si>
  <si>
    <t>ENST00000225792</t>
  </si>
  <si>
    <t>ENST00000450599</t>
  </si>
  <si>
    <t>ENST00000540698</t>
  </si>
  <si>
    <t>ENST00000577787</t>
  </si>
  <si>
    <t>ENST00000578491</t>
  </si>
  <si>
    <t>ENST00000578758</t>
  </si>
  <si>
    <t>ENST00000578804</t>
  </si>
  <si>
    <t>ENST00000579461</t>
  </si>
  <si>
    <t>ENST00000579996</t>
  </si>
  <si>
    <t>ENST00000580026</t>
  </si>
  <si>
    <t>ENST00000581230</t>
  </si>
  <si>
    <t>ENST00000581551</t>
  </si>
  <si>
    <t>ENST00000582326</t>
  </si>
  <si>
    <t>ENST00000583201</t>
  </si>
  <si>
    <t>ENST00000583562</t>
  </si>
  <si>
    <t>ENST00000583699</t>
  </si>
  <si>
    <t>ENST00000583894</t>
  </si>
  <si>
    <t>ENST00000584279</t>
  </si>
  <si>
    <t>ENST00000584500</t>
  </si>
  <si>
    <t>ENST00000584549</t>
  </si>
  <si>
    <t>ENST00000585060</t>
  </si>
  <si>
    <t>ENST00000585111</t>
  </si>
  <si>
    <t>ENST00000585223</t>
  </si>
  <si>
    <t>ENST00000585317</t>
  </si>
  <si>
    <t>P17858</t>
  </si>
  <si>
    <t>ENST00000349048</t>
  </si>
  <si>
    <t>ENST00000397961</t>
  </si>
  <si>
    <t>ENST00000460020</t>
  </si>
  <si>
    <t>ENST00000460521</t>
  </si>
  <si>
    <t>ENST00000466134</t>
  </si>
  <si>
    <t>ENST00000474114</t>
  </si>
  <si>
    <t>ENST00000491298</t>
  </si>
  <si>
    <t>ENST00000495274</t>
  </si>
  <si>
    <t>ENST00000498841</t>
  </si>
  <si>
    <t>P17900</t>
  </si>
  <si>
    <t>ENST00000357164</t>
  </si>
  <si>
    <t>ENST00000523004</t>
  </si>
  <si>
    <t>ENST00000523466</t>
  </si>
  <si>
    <t>P17927</t>
  </si>
  <si>
    <t>ENST00000367049</t>
  </si>
  <si>
    <t>ENST00000534202</t>
  </si>
  <si>
    <t>P17931</t>
  </si>
  <si>
    <t>ENST00000254301</t>
  </si>
  <si>
    <t>ENST00000553755</t>
  </si>
  <si>
    <t>ENST00000554715</t>
  </si>
  <si>
    <t>ENST00000556263</t>
  </si>
  <si>
    <t>ENST00000556438</t>
  </si>
  <si>
    <t>P17936</t>
  </si>
  <si>
    <t>ENST00000275521</t>
  </si>
  <si>
    <t>ENST00000381086</t>
  </si>
  <si>
    <t>ENST00000417621</t>
  </si>
  <si>
    <t>ENST00000460209</t>
  </si>
  <si>
    <t>ENST00000460477</t>
  </si>
  <si>
    <t>P17980</t>
  </si>
  <si>
    <t>ENST00000298852</t>
  </si>
  <si>
    <t>ENST00000524447</t>
  </si>
  <si>
    <t>ENST00000526993</t>
  </si>
  <si>
    <t>ENST00000527906</t>
  </si>
  <si>
    <t>ENST00000528362</t>
  </si>
  <si>
    <t>ENST00000529500</t>
  </si>
  <si>
    <t>ENST00000530651</t>
  </si>
  <si>
    <t>ENST00000530887</t>
  </si>
  <si>
    <t>ENST00000530912</t>
  </si>
  <si>
    <t>ENST00000531653</t>
  </si>
  <si>
    <t>ENST00000602866</t>
  </si>
  <si>
    <t>P17987</t>
  </si>
  <si>
    <t>ENST00000321394</t>
  </si>
  <si>
    <t>ENST00000392168</t>
  </si>
  <si>
    <t>ENST00000467544</t>
  </si>
  <si>
    <t>ENST00000536394</t>
  </si>
  <si>
    <t>ENST00000536607</t>
  </si>
  <si>
    <t>ENST00000536807</t>
  </si>
  <si>
    <t>ENST00000537390</t>
  </si>
  <si>
    <t>ENST00000538530</t>
  </si>
  <si>
    <t>ENST00000539948</t>
  </si>
  <si>
    <t>ENST00000543532</t>
  </si>
  <si>
    <t>ENST00000544255</t>
  </si>
  <si>
    <t>ENST00000545764</t>
  </si>
  <si>
    <t>ENST00000546023</t>
  </si>
  <si>
    <t>ENST00000546204</t>
  </si>
  <si>
    <t>P18031</t>
  </si>
  <si>
    <t>ENST00000371621</t>
  </si>
  <si>
    <t>P18054</t>
  </si>
  <si>
    <t>ENST00000251535</t>
  </si>
  <si>
    <t>P18074</t>
  </si>
  <si>
    <t>ENST00000391941</t>
  </si>
  <si>
    <t>ENST00000391942</t>
  </si>
  <si>
    <t>ENST00000391945</t>
  </si>
  <si>
    <t>ENST00000586441</t>
  </si>
  <si>
    <t>ENST00000586737</t>
  </si>
  <si>
    <t>ENST00000588652</t>
  </si>
  <si>
    <t>ENST00000591309</t>
  </si>
  <si>
    <t>P18077</t>
  </si>
  <si>
    <t>ENST00000329092</t>
  </si>
  <si>
    <t>ENST00000429437</t>
  </si>
  <si>
    <t>ENST00000439255</t>
  </si>
  <si>
    <t>ENST00000442341</t>
  </si>
  <si>
    <t>ENST00000448864</t>
  </si>
  <si>
    <t>ENST00000464167</t>
  </si>
  <si>
    <t>ENST00000474640</t>
  </si>
  <si>
    <t>ENST00000485439</t>
  </si>
  <si>
    <t>ENST00000496582</t>
  </si>
  <si>
    <t>P18085</t>
  </si>
  <si>
    <t>ENST00000303436</t>
  </si>
  <si>
    <t>ENST00000463880</t>
  </si>
  <si>
    <t>ENST00000483848</t>
  </si>
  <si>
    <t>ENST00000486310</t>
  </si>
  <si>
    <t>ENST00000489843</t>
  </si>
  <si>
    <t>ENST00000493378</t>
  </si>
  <si>
    <t>ENST00000495354</t>
  </si>
  <si>
    <t>P18124</t>
  </si>
  <si>
    <t>ENST00000352983</t>
  </si>
  <si>
    <t>ENST00000396465</t>
  </si>
  <si>
    <t>ENST00000396467</t>
  </si>
  <si>
    <t>ENST00000431653</t>
  </si>
  <si>
    <t>ENST00000435330</t>
  </si>
  <si>
    <t>ENST00000466821</t>
  </si>
  <si>
    <t>ENST00000487500</t>
  </si>
  <si>
    <t>P18146</t>
  </si>
  <si>
    <t>ENST00000239938</t>
  </si>
  <si>
    <t>P18440</t>
  </si>
  <si>
    <t>ENST00000307719</t>
  </si>
  <si>
    <t>ENST00000517492</t>
  </si>
  <si>
    <t>ENST00000520546</t>
  </si>
  <si>
    <t>ENST00000545197</t>
  </si>
  <si>
    <t>P18615</t>
  </si>
  <si>
    <t>ENST00000375429</t>
  </si>
  <si>
    <t>ENST00000436289</t>
  </si>
  <si>
    <t>ENST00000441998</t>
  </si>
  <si>
    <t>ENST00000444811</t>
  </si>
  <si>
    <t>ENST00000454913</t>
  </si>
  <si>
    <t>ENST00000481121</t>
  </si>
  <si>
    <t>ENST00000488426</t>
  </si>
  <si>
    <t>ENST00000491139</t>
  </si>
  <si>
    <t>ENST00000492185</t>
  </si>
  <si>
    <t>ENST00000492539</t>
  </si>
  <si>
    <t>ENST00000494956</t>
  </si>
  <si>
    <t>P18621</t>
  </si>
  <si>
    <t>ENST00000418495</t>
  </si>
  <si>
    <t>ENST00000578528</t>
  </si>
  <si>
    <t>ENST00000578532</t>
  </si>
  <si>
    <t>ENST00000578966</t>
  </si>
  <si>
    <t>ENST00000579248</t>
  </si>
  <si>
    <t>ENST00000579408</t>
  </si>
  <si>
    <t>ENST00000579495</t>
  </si>
  <si>
    <t>ENST00000580210</t>
  </si>
  <si>
    <t>ENST00000580261</t>
  </si>
  <si>
    <t>ENST00000580387</t>
  </si>
  <si>
    <t>ENST00000581091</t>
  </si>
  <si>
    <t>ENST00000581305</t>
  </si>
  <si>
    <t>ENST00000581373</t>
  </si>
  <si>
    <t>ENST00000582588</t>
  </si>
  <si>
    <t>ENST00000582782</t>
  </si>
  <si>
    <t>ENST00000582935</t>
  </si>
  <si>
    <t>ENST00000583036</t>
  </si>
  <si>
    <t>ENST00000583637</t>
  </si>
  <si>
    <t>ENST00000584364</t>
  </si>
  <si>
    <t>P18627</t>
  </si>
  <si>
    <t>ENST00000203629</t>
  </si>
  <si>
    <t>ENST00000441671</t>
  </si>
  <si>
    <t>ENST00000538079</t>
  </si>
  <si>
    <t>ENST00000541049</t>
  </si>
  <si>
    <t>P18669</t>
  </si>
  <si>
    <t>ENST00000334828</t>
  </si>
  <si>
    <t>ENST00000467867</t>
  </si>
  <si>
    <t>P18846</t>
  </si>
  <si>
    <t>ENST00000262053</t>
  </si>
  <si>
    <t>ENST00000549612</t>
  </si>
  <si>
    <t>ENST00000552487</t>
  </si>
  <si>
    <t>P18858</t>
  </si>
  <si>
    <t>ENST00000263274</t>
  </si>
  <si>
    <t>ENST00000427526</t>
  </si>
  <si>
    <t>ENST00000594067</t>
  </si>
  <si>
    <t>ENST00000594759</t>
  </si>
  <si>
    <t>ENST00000595758</t>
  </si>
  <si>
    <t>ENST00000596332</t>
  </si>
  <si>
    <t>ENST00000596457</t>
  </si>
  <si>
    <t>ENST00000596672</t>
  </si>
  <si>
    <t>ENST00000597146</t>
  </si>
  <si>
    <t>ENST00000597901</t>
  </si>
  <si>
    <t>ENST00000599322</t>
  </si>
  <si>
    <t>ENST00000600055</t>
  </si>
  <si>
    <t>ENST00000601091</t>
  </si>
  <si>
    <t>P18859</t>
  </si>
  <si>
    <t>ENST00000284971</t>
  </si>
  <si>
    <t>ENST00000400087</t>
  </si>
  <si>
    <t>ENST00000400090</t>
  </si>
  <si>
    <t>ENST00000400093</t>
  </si>
  <si>
    <t>ENST00000400094</t>
  </si>
  <si>
    <t>ENST00000457143</t>
  </si>
  <si>
    <t>ENST00000486002</t>
  </si>
  <si>
    <t>P18887</t>
  </si>
  <si>
    <t>ENST00000262887</t>
  </si>
  <si>
    <t>ENST00000594511</t>
  </si>
  <si>
    <t>ENST00000595789</t>
  </si>
  <si>
    <t>ENST00000597811</t>
  </si>
  <si>
    <t>ENST00000598422</t>
  </si>
  <si>
    <t>P19105</t>
  </si>
  <si>
    <t>ENST00000217652</t>
  </si>
  <si>
    <t>ENST00000578562</t>
  </si>
  <si>
    <t>ENST00000578611</t>
  </si>
  <si>
    <t>ENST00000579226</t>
  </si>
  <si>
    <t>ENST00000583449</t>
  </si>
  <si>
    <t>ENST00000585090</t>
  </si>
  <si>
    <t>ENST00000608786</t>
  </si>
  <si>
    <t>P19174</t>
  </si>
  <si>
    <t>ENST00000244007</t>
  </si>
  <si>
    <t>ENST00000373271</t>
  </si>
  <si>
    <t>ENST00000423733</t>
  </si>
  <si>
    <t>ENST00000461641</t>
  </si>
  <si>
    <t>ENST00000465571</t>
  </si>
  <si>
    <t>ENST00000470528</t>
  </si>
  <si>
    <t>ENST00000473632</t>
  </si>
  <si>
    <t>ENST00000477870</t>
  </si>
  <si>
    <t>ENST00000483175</t>
  </si>
  <si>
    <t>ENST00000483646</t>
  </si>
  <si>
    <t>ENST00000490253</t>
  </si>
  <si>
    <t>ENST00000492148</t>
  </si>
  <si>
    <t>P19338</t>
  </si>
  <si>
    <t>ENST00000322723</t>
  </si>
  <si>
    <t>ENST00000356936</t>
  </si>
  <si>
    <t>ENST00000436894</t>
  </si>
  <si>
    <t>ENST00000453992</t>
  </si>
  <si>
    <t>ENST00000454824</t>
  </si>
  <si>
    <t>ENST00000461347</t>
  </si>
  <si>
    <t>ENST00000466274</t>
  </si>
  <si>
    <t>ENST00000484328</t>
  </si>
  <si>
    <t>ENST00000494618</t>
  </si>
  <si>
    <t>P19367</t>
  </si>
  <si>
    <t>ENST00000359426</t>
  </si>
  <si>
    <t>ENST00000470050</t>
  </si>
  <si>
    <t>ENST00000494253</t>
  </si>
  <si>
    <t>P19387</t>
  </si>
  <si>
    <t>ENST00000219252</t>
  </si>
  <si>
    <t>ENST00000562599</t>
  </si>
  <si>
    <t>ENST00000562953</t>
  </si>
  <si>
    <t>ENST00000563115</t>
  </si>
  <si>
    <t>ENST00000563589</t>
  </si>
  <si>
    <t>ENST00000564626</t>
  </si>
  <si>
    <t>ENST00000564651</t>
  </si>
  <si>
    <t>ENST00000567982</t>
  </si>
  <si>
    <t>P19388</t>
  </si>
  <si>
    <t>ENST00000215587</t>
  </si>
  <si>
    <t>ENST00000585838</t>
  </si>
  <si>
    <t>ENST00000586215</t>
  </si>
  <si>
    <t>ENST00000586817</t>
  </si>
  <si>
    <t>ENST00000589737</t>
  </si>
  <si>
    <t>ENST00000591709</t>
  </si>
  <si>
    <t>ENST00000591767</t>
  </si>
  <si>
    <t>ENST00000592597</t>
  </si>
  <si>
    <t>P19397</t>
  </si>
  <si>
    <t>ENST00000271324</t>
  </si>
  <si>
    <t>ENST00000464329</t>
  </si>
  <si>
    <t>ENST00000471220</t>
  </si>
  <si>
    <t>ENST00000476408</t>
  </si>
  <si>
    <t>ENST00000497404</t>
  </si>
  <si>
    <t>P19404</t>
  </si>
  <si>
    <t>ENST00000318388</t>
  </si>
  <si>
    <t>ENST00000400033</t>
  </si>
  <si>
    <t>ENST00000465096</t>
  </si>
  <si>
    <t>ENST00000474350</t>
  </si>
  <si>
    <t>ENST00000474740</t>
  </si>
  <si>
    <t>ENST00000483511</t>
  </si>
  <si>
    <t>ENST00000497577</t>
  </si>
  <si>
    <t>ENST00000577703</t>
  </si>
  <si>
    <t>P19440</t>
  </si>
  <si>
    <t>ENST00000248923</t>
  </si>
  <si>
    <t>ENST00000403838</t>
  </si>
  <si>
    <t>ENST00000404223</t>
  </si>
  <si>
    <t>ENST00000425895</t>
  </si>
  <si>
    <t>ENST00000428855</t>
  </si>
  <si>
    <t>ENST00000432867</t>
  </si>
  <si>
    <t>ENST00000447416</t>
  </si>
  <si>
    <t>ENST00000487766</t>
  </si>
  <si>
    <t>P19447</t>
  </si>
  <si>
    <t>ENST00000285398</t>
  </si>
  <si>
    <t>ENST00000426778</t>
  </si>
  <si>
    <t>ENST00000456257</t>
  </si>
  <si>
    <t>ENST00000460485</t>
  </si>
  <si>
    <t>ENST00000462306</t>
  </si>
  <si>
    <t>ENST00000490062</t>
  </si>
  <si>
    <t>ENST00000491292</t>
  </si>
  <si>
    <t>ENST00000494464</t>
  </si>
  <si>
    <t>P19474</t>
  </si>
  <si>
    <t>ENST00000254436</t>
  </si>
  <si>
    <t>ENST00000533692</t>
  </si>
  <si>
    <t>P19525</t>
  </si>
  <si>
    <t>ENST00000233057</t>
  </si>
  <si>
    <t>ENST00000390013</t>
  </si>
  <si>
    <t>ENST00000395127</t>
  </si>
  <si>
    <t>ENST00000462861</t>
  </si>
  <si>
    <t>ENST00000496059</t>
  </si>
  <si>
    <t>P19532</t>
  </si>
  <si>
    <t>ENST00000315869</t>
  </si>
  <si>
    <t>ENST00000481606</t>
  </si>
  <si>
    <t>ENST00000493583</t>
  </si>
  <si>
    <t>ENST00000495940</t>
  </si>
  <si>
    <t>P19623</t>
  </si>
  <si>
    <t>ENST00000376957</t>
  </si>
  <si>
    <t>ENST00000459997</t>
  </si>
  <si>
    <t>ENST00000465788</t>
  </si>
  <si>
    <t>ENST00000475189</t>
  </si>
  <si>
    <t>ENST00000487300</t>
  </si>
  <si>
    <t>ENST00000490101</t>
  </si>
  <si>
    <t>P19784</t>
  </si>
  <si>
    <t>ENST00000262506</t>
  </si>
  <si>
    <t>ENST00000562367</t>
  </si>
  <si>
    <t>ENST00000563307</t>
  </si>
  <si>
    <t>ENST00000565188</t>
  </si>
  <si>
    <t>P19838</t>
  </si>
  <si>
    <t>ENST00000226574</t>
  </si>
  <si>
    <t>ENST00000394820</t>
  </si>
  <si>
    <t>ENST00000502367</t>
  </si>
  <si>
    <t>ENST00000504044</t>
  </si>
  <si>
    <t>ENST00000507079</t>
  </si>
  <si>
    <t>ENST00000511926</t>
  </si>
  <si>
    <t>ENST00000600343</t>
  </si>
  <si>
    <t>P19878</t>
  </si>
  <si>
    <t>ENST00000367535</t>
  </si>
  <si>
    <t>ENST00000413720</t>
  </si>
  <si>
    <t>ENST00000419402</t>
  </si>
  <si>
    <t>ENST00000420553</t>
  </si>
  <si>
    <t>ENST00000469280</t>
  </si>
  <si>
    <t>P19971</t>
  </si>
  <si>
    <t>ENST00000252029</t>
  </si>
  <si>
    <t>ENST00000395678</t>
  </si>
  <si>
    <t>ENST00000395681</t>
  </si>
  <si>
    <t>ENST00000476284</t>
  </si>
  <si>
    <t>ENST00000487162</t>
  </si>
  <si>
    <t>ENST00000487577</t>
  </si>
  <si>
    <t>P20042</t>
  </si>
  <si>
    <t>ENST00000374980</t>
  </si>
  <si>
    <t>P20160</t>
  </si>
  <si>
    <t>ENST00000233997</t>
  </si>
  <si>
    <t>ENST00000592205</t>
  </si>
  <si>
    <t>P20248</t>
  </si>
  <si>
    <t>ENST00000274026</t>
  </si>
  <si>
    <t>P20290</t>
  </si>
  <si>
    <t>ENST00000335895</t>
  </si>
  <si>
    <t>ENST00000380591</t>
  </si>
  <si>
    <t>ENST00000508901</t>
  </si>
  <si>
    <t>ENST00000510787</t>
  </si>
  <si>
    <t>ENST00000512257</t>
  </si>
  <si>
    <t>ENST00000514360</t>
  </si>
  <si>
    <t>ENST00000514505</t>
  </si>
  <si>
    <t>P20292</t>
  </si>
  <si>
    <t>ENST00000380490</t>
  </si>
  <si>
    <t>ENST00000479597</t>
  </si>
  <si>
    <t>P20333</t>
  </si>
  <si>
    <t>ENST00000376259</t>
  </si>
  <si>
    <t>ENST00000489921</t>
  </si>
  <si>
    <t>ENST00000492361</t>
  </si>
  <si>
    <t>ENST00000536782</t>
  </si>
  <si>
    <t>P20338</t>
  </si>
  <si>
    <t>ENST00000366690</t>
  </si>
  <si>
    <t>ENST00000473894</t>
  </si>
  <si>
    <t>ENST00000481981</t>
  </si>
  <si>
    <t>ENST00000489342</t>
  </si>
  <si>
    <t>P20591</t>
  </si>
  <si>
    <t>ENST00000288383</t>
  </si>
  <si>
    <t>ENST00000398598</t>
  </si>
  <si>
    <t>ENST00000398600</t>
  </si>
  <si>
    <t>ENST00000417963</t>
  </si>
  <si>
    <t>ENST00000419044</t>
  </si>
  <si>
    <t>ENST00000424365</t>
  </si>
  <si>
    <t>ENST00000441677</t>
  </si>
  <si>
    <t>ENST00000455164</t>
  </si>
  <si>
    <t>ENST00000467510</t>
  </si>
  <si>
    <t>ENST00000468506</t>
  </si>
  <si>
    <t>ENST00000478268</t>
  </si>
  <si>
    <t>ENST00000484465</t>
  </si>
  <si>
    <t>ENST00000486275</t>
  </si>
  <si>
    <t>ENST00000491110</t>
  </si>
  <si>
    <t>P20592</t>
  </si>
  <si>
    <t>ENST00000330714</t>
  </si>
  <si>
    <t>ENST00000398632</t>
  </si>
  <si>
    <t>ENST00000416447</t>
  </si>
  <si>
    <t>ENST00000418103</t>
  </si>
  <si>
    <t>ENST00000435611</t>
  </si>
  <si>
    <t>ENST00000474368</t>
  </si>
  <si>
    <t>ENST00000481838</t>
  </si>
  <si>
    <t>ENST00000482953</t>
  </si>
  <si>
    <t>ENST00000493753</t>
  </si>
  <si>
    <t>ENST00000495892</t>
  </si>
  <si>
    <t>ENST00000496774</t>
  </si>
  <si>
    <t>P20618</t>
  </si>
  <si>
    <t>ENST00000262193</t>
  </si>
  <si>
    <t>ENST00000462957</t>
  </si>
  <si>
    <t>P20645</t>
  </si>
  <si>
    <t>ENST00000000412</t>
  </si>
  <si>
    <t>ENST00000537621</t>
  </si>
  <si>
    <t>ENST00000539143</t>
  </si>
  <si>
    <t>ENST00000540837</t>
  </si>
  <si>
    <t>ENST00000543159</t>
  </si>
  <si>
    <t>ENST00000543258</t>
  </si>
  <si>
    <t>ENST00000543834</t>
  </si>
  <si>
    <t>ENST00000543845</t>
  </si>
  <si>
    <t>ENST00000544193</t>
  </si>
  <si>
    <t>ENST00000544245</t>
  </si>
  <si>
    <t>P20674</t>
  </si>
  <si>
    <t>ENST00000322347</t>
  </si>
  <si>
    <t>ENST00000562233</t>
  </si>
  <si>
    <t>ENST00000564811</t>
  </si>
  <si>
    <t>ENST00000567270</t>
  </si>
  <si>
    <t>ENST00000568783</t>
  </si>
  <si>
    <t>P20700</t>
  </si>
  <si>
    <t>ENST00000261366</t>
  </si>
  <si>
    <t>ENST00000395354</t>
  </si>
  <si>
    <t>ENST00000460265</t>
  </si>
  <si>
    <t>ENST00000494185</t>
  </si>
  <si>
    <t>P20701</t>
  </si>
  <si>
    <t>ENST00000356798</t>
  </si>
  <si>
    <t>ENST00000358164</t>
  </si>
  <si>
    <t>ENST00000562020</t>
  </si>
  <si>
    <t>ENST00000562652</t>
  </si>
  <si>
    <t>ENST00000562857</t>
  </si>
  <si>
    <t>ENST00000563615</t>
  </si>
  <si>
    <t>ENST00000564118</t>
  </si>
  <si>
    <t>ENST00000564632</t>
  </si>
  <si>
    <t>ENST00000564935</t>
  </si>
  <si>
    <t>ENST00000565864</t>
  </si>
  <si>
    <t>ENST00000566149</t>
  </si>
  <si>
    <t>ENST00000566267</t>
  </si>
  <si>
    <t>ENST00000568926</t>
  </si>
  <si>
    <t>ENST00000568987</t>
  </si>
  <si>
    <t>ENST00000569570</t>
  </si>
  <si>
    <t>ENST00000569725</t>
  </si>
  <si>
    <t>P20702</t>
  </si>
  <si>
    <t>ENST00000268296</t>
  </si>
  <si>
    <t>ENST00000562138</t>
  </si>
  <si>
    <t>ENST00000564308</t>
  </si>
  <si>
    <t>ENST00000567409</t>
  </si>
  <si>
    <t>ENST00000571644</t>
  </si>
  <si>
    <t>P20718</t>
  </si>
  <si>
    <t>ENST00000216338</t>
  </si>
  <si>
    <t>ENST00000382548</t>
  </si>
  <si>
    <t>ENST00000557220</t>
  </si>
  <si>
    <t>P20749</t>
  </si>
  <si>
    <t>ENST00000164227</t>
  </si>
  <si>
    <t>ENST00000403534</t>
  </si>
  <si>
    <t>ENST00000444487</t>
  </si>
  <si>
    <t>ENST00000464319</t>
  </si>
  <si>
    <t>ENST00000473473</t>
  </si>
  <si>
    <t>ENST00000474300</t>
  </si>
  <si>
    <t>ENST00000487394</t>
  </si>
  <si>
    <t>P20962</t>
  </si>
  <si>
    <t>ENST00000309083</t>
  </si>
  <si>
    <t>ENST00000389462</t>
  </si>
  <si>
    <t>ENST00000538057</t>
  </si>
  <si>
    <t>ENST00000540828</t>
  </si>
  <si>
    <t>P21266</t>
  </si>
  <si>
    <t>ENST00000256594</t>
  </si>
  <si>
    <t>ENST00000476321</t>
  </si>
  <si>
    <t>ENST00000486823</t>
  </si>
  <si>
    <t>ENST00000488824</t>
  </si>
  <si>
    <t>P21281</t>
  </si>
  <si>
    <t>ENST00000276390</t>
  </si>
  <si>
    <t>ENST00000519667</t>
  </si>
  <si>
    <t>ENST00000521442</t>
  </si>
  <si>
    <t>ENST00000523482</t>
  </si>
  <si>
    <t>P21283</t>
  </si>
  <si>
    <t>ENST00000395862</t>
  </si>
  <si>
    <t>ENST00000518738</t>
  </si>
  <si>
    <t>ENST00000518959</t>
  </si>
  <si>
    <t>ENST00000521671</t>
  </si>
  <si>
    <t>P21291</t>
  </si>
  <si>
    <t>ENST00000340006</t>
  </si>
  <si>
    <t>ENST00000471596</t>
  </si>
  <si>
    <t>ENST00000481851</t>
  </si>
  <si>
    <t>ENST00000524951</t>
  </si>
  <si>
    <t>ENST00000526723</t>
  </si>
  <si>
    <t>ENST00000527662</t>
  </si>
  <si>
    <t>ENST00000531916</t>
  </si>
  <si>
    <t>ENST00000532313</t>
  </si>
  <si>
    <t>ENST00000532460</t>
  </si>
  <si>
    <t>ENST00000533402</t>
  </si>
  <si>
    <t>P21399</t>
  </si>
  <si>
    <t>ENST00000309951</t>
  </si>
  <si>
    <t>P21580</t>
  </si>
  <si>
    <t>ENST00000237289</t>
  </si>
  <si>
    <t>ENST00000420009</t>
  </si>
  <si>
    <t>ENST00000421450</t>
  </si>
  <si>
    <t>ENST00000433680</t>
  </si>
  <si>
    <t>ENST00000485192</t>
  </si>
  <si>
    <t>P21709</t>
  </si>
  <si>
    <t>ENST00000275815</t>
  </si>
  <si>
    <t>ENST00000465208</t>
  </si>
  <si>
    <t>ENST00000479459</t>
  </si>
  <si>
    <t>ENST00000488068</t>
  </si>
  <si>
    <t>ENST00000494989</t>
  </si>
  <si>
    <t>ENST00000497891</t>
  </si>
  <si>
    <t>P21730</t>
  </si>
  <si>
    <t>ENST00000355085</t>
  </si>
  <si>
    <t>P21796</t>
  </si>
  <si>
    <t>ENST00000265333</t>
  </si>
  <si>
    <t>ENST00000395044</t>
  </si>
  <si>
    <t>ENST00000395047</t>
  </si>
  <si>
    <t>ENST00000425992</t>
  </si>
  <si>
    <t>ENST00000466080</t>
  </si>
  <si>
    <t>ENST00000489906</t>
  </si>
  <si>
    <t>ENST00000492324</t>
  </si>
  <si>
    <t>P21912</t>
  </si>
  <si>
    <t>ENST00000375499</t>
  </si>
  <si>
    <t>ENST00000466613</t>
  </si>
  <si>
    <t>ENST00000475049</t>
  </si>
  <si>
    <t>ENST00000475506</t>
  </si>
  <si>
    <t>ENST00000485092</t>
  </si>
  <si>
    <t>ENST00000485515</t>
  </si>
  <si>
    <t>ENST00000491274</t>
  </si>
  <si>
    <t>P21926</t>
  </si>
  <si>
    <t>ENST00000009180</t>
  </si>
  <si>
    <t>ENST00000382519</t>
  </si>
  <si>
    <t>ENST00000538418</t>
  </si>
  <si>
    <t>ENST00000546073</t>
  </si>
  <si>
    <t>P21953</t>
  </si>
  <si>
    <t>ENST00000320393</t>
  </si>
  <si>
    <t>ENST00000356489</t>
  </si>
  <si>
    <t>ENST00000491328</t>
  </si>
  <si>
    <t>P22001</t>
  </si>
  <si>
    <t>ENST00000369769</t>
  </si>
  <si>
    <t>P22033</t>
  </si>
  <si>
    <t>ENST00000274813</t>
  </si>
  <si>
    <t>P22059</t>
  </si>
  <si>
    <t>ENST00000263847</t>
  </si>
  <si>
    <t>ENST00000525357</t>
  </si>
  <si>
    <t>ENST00000528903</t>
  </si>
  <si>
    <t>P22061</t>
  </si>
  <si>
    <t>ENST00000367378</t>
  </si>
  <si>
    <t>ENST00000367380</t>
  </si>
  <si>
    <t>ENST00000367384</t>
  </si>
  <si>
    <t>ENST00000464889</t>
  </si>
  <si>
    <t>ENST00000480010</t>
  </si>
  <si>
    <t>ENST00000486585</t>
  </si>
  <si>
    <t>P22087</t>
  </si>
  <si>
    <t>ENST00000221801</t>
  </si>
  <si>
    <t>ENST00000593503</t>
  </si>
  <si>
    <t>ENST00000594309</t>
  </si>
  <si>
    <t>ENST00000594443</t>
  </si>
  <si>
    <t>ENST00000595545</t>
  </si>
  <si>
    <t>ENST00000597224</t>
  </si>
  <si>
    <t>ENST00000597634</t>
  </si>
  <si>
    <t>ENST00000599159</t>
  </si>
  <si>
    <t>ENST00000601274</t>
  </si>
  <si>
    <t>P22090</t>
  </si>
  <si>
    <t>ENST00000250784</t>
  </si>
  <si>
    <t>ENST00000430575</t>
  </si>
  <si>
    <t>ENST00000477725</t>
  </si>
  <si>
    <t>ENST00000515575</t>
  </si>
  <si>
    <t>P22102</t>
  </si>
  <si>
    <t>ENST00000361093</t>
  </si>
  <si>
    <t>ENST00000366093</t>
  </si>
  <si>
    <t>ENST00000381815</t>
  </si>
  <si>
    <t>ENST00000424203</t>
  </si>
  <si>
    <t>ENST00000441403</t>
  </si>
  <si>
    <t>ENST00000466882</t>
  </si>
  <si>
    <t>ENST00000467575</t>
  </si>
  <si>
    <t>ENST00000476524</t>
  </si>
  <si>
    <t>ENST00000482663</t>
  </si>
  <si>
    <t>ENST00000487155</t>
  </si>
  <si>
    <t>ENST00000488791</t>
  </si>
  <si>
    <t>ENST00000497313</t>
  </si>
  <si>
    <t>P22234</t>
  </si>
  <si>
    <t>ENST00000264221</t>
  </si>
  <si>
    <t>ENST00000399688</t>
  </si>
  <si>
    <t>ENST00000504188</t>
  </si>
  <si>
    <t>ENST00000508554</t>
  </si>
  <si>
    <t>ENST00000510584</t>
  </si>
  <si>
    <t>ENST00000512576</t>
  </si>
  <si>
    <t>P22314</t>
  </si>
  <si>
    <t>ENST00000335972</t>
  </si>
  <si>
    <t>ENST00000377269</t>
  </si>
  <si>
    <t>ENST00000377351</t>
  </si>
  <si>
    <t>ENST00000412206</t>
  </si>
  <si>
    <t>ENST00000442035</t>
  </si>
  <si>
    <t>ENST00000451702</t>
  </si>
  <si>
    <t>ENST00000490869</t>
  </si>
  <si>
    <t>P22570</t>
  </si>
  <si>
    <t>ENST00000577932</t>
  </si>
  <si>
    <t>ENST00000578473</t>
  </si>
  <si>
    <t>ENST00000579482</t>
  </si>
  <si>
    <t>ENST00000581530</t>
  </si>
  <si>
    <t>P22626</t>
  </si>
  <si>
    <t>ENST00000354667</t>
  </si>
  <si>
    <t>ENST00000360787</t>
  </si>
  <si>
    <t>ENST00000463181</t>
  </si>
  <si>
    <t>ENST00000476233</t>
  </si>
  <si>
    <t>ENST00000490912</t>
  </si>
  <si>
    <t>ENST00000495810</t>
  </si>
  <si>
    <t>P22670</t>
  </si>
  <si>
    <t>ENST00000254325</t>
  </si>
  <si>
    <t>ENST00000588520</t>
  </si>
  <si>
    <t>ENST00000589239</t>
  </si>
  <si>
    <t>ENST00000589760</t>
  </si>
  <si>
    <t>ENST00000589937</t>
  </si>
  <si>
    <t>P22681</t>
  </si>
  <si>
    <t>ENST00000264033</t>
  </si>
  <si>
    <t>P22695</t>
  </si>
  <si>
    <t>ENST00000268379</t>
  </si>
  <si>
    <t>ENST00000561798</t>
  </si>
  <si>
    <t>ENST00000563711</t>
  </si>
  <si>
    <t>ENST00000564095</t>
  </si>
  <si>
    <t>ENST00000565464</t>
  </si>
  <si>
    <t>ENST00000567597</t>
  </si>
  <si>
    <t>ENST00000567810</t>
  </si>
  <si>
    <t>P22736</t>
  </si>
  <si>
    <t>ENST00000243050</t>
  </si>
  <si>
    <t>ENST00000394824</t>
  </si>
  <si>
    <t>ENST00000394825</t>
  </si>
  <si>
    <t>ENST00000478250</t>
  </si>
  <si>
    <t>ENST00000545748</t>
  </si>
  <si>
    <t>ENST00000546842</t>
  </si>
  <si>
    <t>ENST00000548232</t>
  </si>
  <si>
    <t>ENST00000549102</t>
  </si>
  <si>
    <t>ENST00000550082</t>
  </si>
  <si>
    <t>ENST00000550339</t>
  </si>
  <si>
    <t>ENST00000550557</t>
  </si>
  <si>
    <t>ENST00000553200</t>
  </si>
  <si>
    <t>ENST00000562373</t>
  </si>
  <si>
    <t>ENST00000565848</t>
  </si>
  <si>
    <t>P22794</t>
  </si>
  <si>
    <t>ENST00000247270</t>
  </si>
  <si>
    <t>ENST00000461237</t>
  </si>
  <si>
    <t>ENST00000462804</t>
  </si>
  <si>
    <t>P22830</t>
  </si>
  <si>
    <t>ENST00000262093</t>
  </si>
  <si>
    <t>ENST00000585494</t>
  </si>
  <si>
    <t>ENST00000585878</t>
  </si>
  <si>
    <t>ENST00000591977</t>
  </si>
  <si>
    <t>ENST00000592111</t>
  </si>
  <si>
    <t>P23193</t>
  </si>
  <si>
    <t>ENST00000396401</t>
  </si>
  <si>
    <t>ENST00000518310</t>
  </si>
  <si>
    <t>ENST00000518784</t>
  </si>
  <si>
    <t>ENST00000520534</t>
  </si>
  <si>
    <t>ENST00000521086</t>
  </si>
  <si>
    <t>ENST00000521604</t>
  </si>
  <si>
    <t>ENST00000521836</t>
  </si>
  <si>
    <t>ENST00000522397</t>
  </si>
  <si>
    <t>P23246</t>
  </si>
  <si>
    <t>ENST00000357214</t>
  </si>
  <si>
    <t>ENST00000460428</t>
  </si>
  <si>
    <t>ENST00000466213</t>
  </si>
  <si>
    <t>ENST00000466745</t>
  </si>
  <si>
    <t>ENST00000468598</t>
  </si>
  <si>
    <t>ENST00000470472</t>
  </si>
  <si>
    <t>ENST00000471991</t>
  </si>
  <si>
    <t>ENST00000485365</t>
  </si>
  <si>
    <t>ENST00000485454</t>
  </si>
  <si>
    <t>ENST00000490668</t>
  </si>
  <si>
    <t>P23258</t>
  </si>
  <si>
    <t>ENST00000251413</t>
  </si>
  <si>
    <t>ENST00000588056</t>
  </si>
  <si>
    <t>ENST00000589613</t>
  </si>
  <si>
    <t>ENST00000591509</t>
  </si>
  <si>
    <t>P23284</t>
  </si>
  <si>
    <t>ENST00000300026</t>
  </si>
  <si>
    <t>ENST00000561048</t>
  </si>
  <si>
    <t>P23368</t>
  </si>
  <si>
    <t>ENST00000321341</t>
  </si>
  <si>
    <t>ENST00000585680</t>
  </si>
  <si>
    <t>ENST00000589330</t>
  </si>
  <si>
    <t>ENST00000591925</t>
  </si>
  <si>
    <t>P23381</t>
  </si>
  <si>
    <t>ENST00000344102</t>
  </si>
  <si>
    <t>ENST00000355338</t>
  </si>
  <si>
    <t>ENST00000358655</t>
  </si>
  <si>
    <t>ENST00000392882</t>
  </si>
  <si>
    <t>ENST00000553769</t>
  </si>
  <si>
    <t>ENST00000553808</t>
  </si>
  <si>
    <t>ENST00000554084</t>
  </si>
  <si>
    <t>ENST00000554331</t>
  </si>
  <si>
    <t>ENST00000554601</t>
  </si>
  <si>
    <t>ENST00000554605</t>
  </si>
  <si>
    <t>ENST00000554950</t>
  </si>
  <si>
    <t>ENST00000555031</t>
  </si>
  <si>
    <t>ENST00000555063</t>
  </si>
  <si>
    <t>ENST00000555464</t>
  </si>
  <si>
    <t>ENST00000556435</t>
  </si>
  <si>
    <t>ENST00000556504</t>
  </si>
  <si>
    <t>ENST00000556579</t>
  </si>
  <si>
    <t>ENST00000556645</t>
  </si>
  <si>
    <t>ENST00000556783</t>
  </si>
  <si>
    <t>ENST00000557094</t>
  </si>
  <si>
    <t>ENST00000557135</t>
  </si>
  <si>
    <t>ENST00000557614</t>
  </si>
  <si>
    <t>ENST00000557722</t>
  </si>
  <si>
    <t>P23396</t>
  </si>
  <si>
    <t>ENST00000278572</t>
  </si>
  <si>
    <t>ENST00000422465</t>
  </si>
  <si>
    <t>ENST00000524851</t>
  </si>
  <si>
    <t>ENST00000525690</t>
  </si>
  <si>
    <t>ENST00000525933</t>
  </si>
  <si>
    <t>ENST00000526248</t>
  </si>
  <si>
    <t>ENST00000527273</t>
  </si>
  <si>
    <t>ENST00000527446</t>
  </si>
  <si>
    <t>ENST00000528439</t>
  </si>
  <si>
    <t>ENST00000528847</t>
  </si>
  <si>
    <t>ENST00000529173</t>
  </si>
  <si>
    <t>ENST00000529285</t>
  </si>
  <si>
    <t>ENST00000530164</t>
  </si>
  <si>
    <t>ENST00000530170</t>
  </si>
  <si>
    <t>ENST00000530721</t>
  </si>
  <si>
    <t>ENST00000531188</t>
  </si>
  <si>
    <t>ENST00000532872</t>
  </si>
  <si>
    <t>ENST00000534440</t>
  </si>
  <si>
    <t>ENST00000534555</t>
  </si>
  <si>
    <t>P23434</t>
  </si>
  <si>
    <t>ENST00000315467</t>
  </si>
  <si>
    <t>ENST00000564477</t>
  </si>
  <si>
    <t>ENST00000566566</t>
  </si>
  <si>
    <t>P23458</t>
  </si>
  <si>
    <t>ENST00000342505</t>
  </si>
  <si>
    <t>ENST00000465376</t>
  </si>
  <si>
    <t>ENST00000467764</t>
  </si>
  <si>
    <t>ENST00000471473</t>
  </si>
  <si>
    <t>ENST00000481702</t>
  </si>
  <si>
    <t>ENST00000494904</t>
  </si>
  <si>
    <t>P23508</t>
  </si>
  <si>
    <t>ENST00000302475</t>
  </si>
  <si>
    <t>ENST00000502648</t>
  </si>
  <si>
    <t>ENST00000505604</t>
  </si>
  <si>
    <t>ENST00000514701</t>
  </si>
  <si>
    <t>P23526</t>
  </si>
  <si>
    <t>ENST00000217426</t>
  </si>
  <si>
    <t>ENST00000468908</t>
  </si>
  <si>
    <t>ENST00000473516</t>
  </si>
  <si>
    <t>ENST00000480653</t>
  </si>
  <si>
    <t>ENST00000606061</t>
  </si>
  <si>
    <t>P23528</t>
  </si>
  <si>
    <t>ENST00000308162</t>
  </si>
  <si>
    <t>ENST00000524553</t>
  </si>
  <si>
    <t>ENST00000525451</t>
  </si>
  <si>
    <t>ENST00000527344</t>
  </si>
  <si>
    <t>ENST00000530413</t>
  </si>
  <si>
    <t>ENST00000530945</t>
  </si>
  <si>
    <t>ENST00000531407</t>
  </si>
  <si>
    <t>ENST00000532134</t>
  </si>
  <si>
    <t>ENST00000534769</t>
  </si>
  <si>
    <t>P23588</t>
  </si>
  <si>
    <t>ENST00000262056</t>
  </si>
  <si>
    <t>ENST00000416762</t>
  </si>
  <si>
    <t>ENST00000420463</t>
  </si>
  <si>
    <t>ENST00000549077</t>
  </si>
  <si>
    <t>ENST00000549481</t>
  </si>
  <si>
    <t>ENST00000549592</t>
  </si>
  <si>
    <t>ENST00000549645</t>
  </si>
  <si>
    <t>ENST00000550025</t>
  </si>
  <si>
    <t>ENST00000550390</t>
  </si>
  <si>
    <t>ENST00000550704</t>
  </si>
  <si>
    <t>ENST00000551527</t>
  </si>
  <si>
    <t>ENST00000552490</t>
  </si>
  <si>
    <t>ENST00000553209</t>
  </si>
  <si>
    <t>P23610</t>
  </si>
  <si>
    <t>ENST00000369505</t>
  </si>
  <si>
    <t>P23743</t>
  </si>
  <si>
    <t>ENST00000331886</t>
  </si>
  <si>
    <t>ENST00000394147</t>
  </si>
  <si>
    <t>ENST00000432422</t>
  </si>
  <si>
    <t>ENST00000546878</t>
  </si>
  <si>
    <t>ENST00000546895</t>
  </si>
  <si>
    <t>ENST00000547324</t>
  </si>
  <si>
    <t>ENST00000547358</t>
  </si>
  <si>
    <t>ENST00000547535</t>
  </si>
  <si>
    <t>ENST00000548047</t>
  </si>
  <si>
    <t>ENST00000548378</t>
  </si>
  <si>
    <t>ENST00000548407</t>
  </si>
  <si>
    <t>ENST00000548479</t>
  </si>
  <si>
    <t>ENST00000548491</t>
  </si>
  <si>
    <t>ENST00000549079</t>
  </si>
  <si>
    <t>ENST00000549085</t>
  </si>
  <si>
    <t>ENST00000549097</t>
  </si>
  <si>
    <t>ENST00000549323</t>
  </si>
  <si>
    <t>ENST00000549986</t>
  </si>
  <si>
    <t>ENST00000550115</t>
  </si>
  <si>
    <t>ENST00000550484</t>
  </si>
  <si>
    <t>ENST00000550888</t>
  </si>
  <si>
    <t>ENST00000551156</t>
  </si>
  <si>
    <t>ENST00000551296</t>
  </si>
  <si>
    <t>ENST00000551585</t>
  </si>
  <si>
    <t>ENST00000551615</t>
  </si>
  <si>
    <t>ENST00000551739</t>
  </si>
  <si>
    <t>ENST00000552335</t>
  </si>
  <si>
    <t>ENST00000552478</t>
  </si>
  <si>
    <t>ENST00000552652</t>
  </si>
  <si>
    <t>ENST00000552687</t>
  </si>
  <si>
    <t>ENST00000552903</t>
  </si>
  <si>
    <t>ENST00000553084</t>
  </si>
  <si>
    <t>ENST00000553783</t>
  </si>
  <si>
    <t>ENST00000554434</t>
  </si>
  <si>
    <t>ENST00000555025</t>
  </si>
  <si>
    <t>ENST00000555090</t>
  </si>
  <si>
    <t>ENST00000556001</t>
  </si>
  <si>
    <t>ENST00000556344</t>
  </si>
  <si>
    <t>ENST00000557180</t>
  </si>
  <si>
    <t>P23771</t>
  </si>
  <si>
    <t>ENST00000346208</t>
  </si>
  <si>
    <t>ENST00000379328</t>
  </si>
  <si>
    <t>ENST00000461472</t>
  </si>
  <si>
    <t>ENST00000481743</t>
  </si>
  <si>
    <t>P23786</t>
  </si>
  <si>
    <t>ENST00000371486</t>
  </si>
  <si>
    <t>ENST00000468572</t>
  </si>
  <si>
    <t>P23919</t>
  </si>
  <si>
    <t>ENST00000305784</t>
  </si>
  <si>
    <t>ENST00000400770</t>
  </si>
  <si>
    <t>ENST00000420144</t>
  </si>
  <si>
    <t>ENST00000432348</t>
  </si>
  <si>
    <t>ENST00000464603</t>
  </si>
  <si>
    <t>P23921</t>
  </si>
  <si>
    <t>ENST00000300738</t>
  </si>
  <si>
    <t>ENST00000526350</t>
  </si>
  <si>
    <t>ENST00000528442</t>
  </si>
  <si>
    <t>ENST00000529109</t>
  </si>
  <si>
    <t>ENST00000530368</t>
  </si>
  <si>
    <t>ENST00000531591</t>
  </si>
  <si>
    <t>ENST00000532170</t>
  </si>
  <si>
    <t>ENST00000532710</t>
  </si>
  <si>
    <t>P24386</t>
  </si>
  <si>
    <t>ENST00000357749</t>
  </si>
  <si>
    <t>ENST00000467744</t>
  </si>
  <si>
    <t>ENST00000483950</t>
  </si>
  <si>
    <t>ENST00000487515</t>
  </si>
  <si>
    <t>P24534</t>
  </si>
  <si>
    <t>ENST00000236957</t>
  </si>
  <si>
    <t>ENST00000392221</t>
  </si>
  <si>
    <t>ENST00000392222</t>
  </si>
  <si>
    <t>ENST00000415904</t>
  </si>
  <si>
    <t>ENST00000429769</t>
  </si>
  <si>
    <t>ENST00000435123</t>
  </si>
  <si>
    <t>ENST00000445505</t>
  </si>
  <si>
    <t>ENST00000455150</t>
  </si>
  <si>
    <t>ENST00000460760</t>
  </si>
  <si>
    <t>ENST00000479587</t>
  </si>
  <si>
    <t>P24539</t>
  </si>
  <si>
    <t>ENST00000369721</t>
  </si>
  <si>
    <t>ENST00000369722</t>
  </si>
  <si>
    <t>ENST00000464154</t>
  </si>
  <si>
    <t>ENST00000468818</t>
  </si>
  <si>
    <t>P24557</t>
  </si>
  <si>
    <t>ENST00000448866</t>
  </si>
  <si>
    <t>ENST00000462275</t>
  </si>
  <si>
    <t>ENST00000469630</t>
  </si>
  <si>
    <t>ENST00000492560</t>
  </si>
  <si>
    <t>ENST00000494876</t>
  </si>
  <si>
    <t>P24666</t>
  </si>
  <si>
    <t>ENST00000272065</t>
  </si>
  <si>
    <t>ENST00000272067</t>
  </si>
  <si>
    <t>ENST00000405233</t>
  </si>
  <si>
    <t>ENST00000405364</t>
  </si>
  <si>
    <t>ENST00000407983</t>
  </si>
  <si>
    <t>ENST00000413140</t>
  </si>
  <si>
    <t>ENST00000439645</t>
  </si>
  <si>
    <t>ENST00000442386</t>
  </si>
  <si>
    <t>ENST00000453390</t>
  </si>
  <si>
    <t>ENST00000463831</t>
  </si>
  <si>
    <t>ENST00000480874</t>
  </si>
  <si>
    <t>ENST00000484125</t>
  </si>
  <si>
    <t>P24723</t>
  </si>
  <si>
    <t>ENST00000332981</t>
  </si>
  <si>
    <t>ENST00000536400</t>
  </si>
  <si>
    <t>ENST00000552875</t>
  </si>
  <si>
    <t>ENST00000553831</t>
  </si>
  <si>
    <t>ENST00000553846</t>
  </si>
  <si>
    <t>ENST00000553889</t>
  </si>
  <si>
    <t>ENST00000555082</t>
  </si>
  <si>
    <t>ENST00000555110</t>
  </si>
  <si>
    <t>ENST00000555233</t>
  </si>
  <si>
    <t>ENST00000555382</t>
  </si>
  <si>
    <t>ENST00000556245</t>
  </si>
  <si>
    <t>ENST00000557294</t>
  </si>
  <si>
    <t>P24752</t>
  </si>
  <si>
    <t>ENST00000265838</t>
  </si>
  <si>
    <t>ENST00000299355</t>
  </si>
  <si>
    <t>ENST00000524833</t>
  </si>
  <si>
    <t>ENST00000526119</t>
  </si>
  <si>
    <t>ENST00000528370</t>
  </si>
  <si>
    <t>ENST00000531813</t>
  </si>
  <si>
    <t>ENST00000532792</t>
  </si>
  <si>
    <t>ENST00000533597</t>
  </si>
  <si>
    <t>ENST00000533610</t>
  </si>
  <si>
    <t>ENST00000534773</t>
  </si>
  <si>
    <t>P24928</t>
  </si>
  <si>
    <t>ENST00000572844</t>
  </si>
  <si>
    <t>ENST00000573603</t>
  </si>
  <si>
    <t>ENST00000574158</t>
  </si>
  <si>
    <t>ENST00000575547</t>
  </si>
  <si>
    <t>ENST00000576114</t>
  </si>
  <si>
    <t>ENST00000576718</t>
  </si>
  <si>
    <t>ENST00000576952</t>
  </si>
  <si>
    <t>P24941</t>
  </si>
  <si>
    <t>ENST00000266970</t>
  </si>
  <si>
    <t>ENST00000354056</t>
  </si>
  <si>
    <t>ENST00000553376</t>
  </si>
  <si>
    <t>ENST00000554545</t>
  </si>
  <si>
    <t>ENST00000554619</t>
  </si>
  <si>
    <t>ENST00000555357</t>
  </si>
  <si>
    <t>ENST00000555408</t>
  </si>
  <si>
    <t>ENST00000556146</t>
  </si>
  <si>
    <t>ENST00000556656</t>
  </si>
  <si>
    <t>P25098</t>
  </si>
  <si>
    <t>ENST00000308595</t>
  </si>
  <si>
    <t>ENST00000416281</t>
  </si>
  <si>
    <t>ENST00000524899</t>
  </si>
  <si>
    <t>ENST00000526572</t>
  </si>
  <si>
    <t>ENST00000529738</t>
  </si>
  <si>
    <t>ENST00000529815</t>
  </si>
  <si>
    <t>ENST00000530291</t>
  </si>
  <si>
    <t>ENST00000531390</t>
  </si>
  <si>
    <t>ENST00000532099</t>
  </si>
  <si>
    <t>ENST00000532611</t>
  </si>
  <si>
    <t>ENST00000533077</t>
  </si>
  <si>
    <t>ENST00000534651</t>
  </si>
  <si>
    <t>P25205</t>
  </si>
  <si>
    <t>ENST00000229854</t>
  </si>
  <si>
    <t>ENST00000419835</t>
  </si>
  <si>
    <t>ENST00000421471</t>
  </si>
  <si>
    <t>ENST00000476448</t>
  </si>
  <si>
    <t>ENST00000596288</t>
  </si>
  <si>
    <t>ENST00000596983</t>
  </si>
  <si>
    <t>P25208</t>
  </si>
  <si>
    <t>ENST00000240055</t>
  </si>
  <si>
    <t>ENST00000550189</t>
  </si>
  <si>
    <t>ENST00000550881</t>
  </si>
  <si>
    <t>ENST00000551446</t>
  </si>
  <si>
    <t>ENST00000551727</t>
  </si>
  <si>
    <t>P25325</t>
  </si>
  <si>
    <t>ENST00000397225</t>
  </si>
  <si>
    <t>ENST00000401419</t>
  </si>
  <si>
    <t>ENST00000404393</t>
  </si>
  <si>
    <t>ENST00000485587</t>
  </si>
  <si>
    <t>P25398</t>
  </si>
  <si>
    <t>ENST00000230050</t>
  </si>
  <si>
    <t>ENST00000484616</t>
  </si>
  <si>
    <t>P25440</t>
  </si>
  <si>
    <t>ENST00000374825</t>
  </si>
  <si>
    <t>ENST00000374831</t>
  </si>
  <si>
    <t>ENST00000449025</t>
  </si>
  <si>
    <t>ENST00000463639</t>
  </si>
  <si>
    <t>ENST00000464592</t>
  </si>
  <si>
    <t>ENST00000469132</t>
  </si>
  <si>
    <t>ENST00000481259</t>
  </si>
  <si>
    <t>ENST00000482838</t>
  </si>
  <si>
    <t>ENST00000482914</t>
  </si>
  <si>
    <t>ENST00000495733</t>
  </si>
  <si>
    <t>ENST00000496118</t>
  </si>
  <si>
    <t>ENST00000580234</t>
  </si>
  <si>
    <t>ENST00000584808</t>
  </si>
  <si>
    <t>ENST00000607833</t>
  </si>
  <si>
    <t>P25490</t>
  </si>
  <si>
    <t>ENST00000262238</t>
  </si>
  <si>
    <t>ENST00000554371</t>
  </si>
  <si>
    <t>ENST00000554579</t>
  </si>
  <si>
    <t>ENST00000554804</t>
  </si>
  <si>
    <t>P25685</t>
  </si>
  <si>
    <t>ENST00000254322</t>
  </si>
  <si>
    <t>ENST00000594099</t>
  </si>
  <si>
    <t>ENST00000595139</t>
  </si>
  <si>
    <t>ENST00000595992</t>
  </si>
  <si>
    <t>ENST00000598235</t>
  </si>
  <si>
    <t>ENST00000601087</t>
  </si>
  <si>
    <t>P25686</t>
  </si>
  <si>
    <t>ENST00000336576</t>
  </si>
  <si>
    <t>ENST00000392086</t>
  </si>
  <si>
    <t>ENST00000421532</t>
  </si>
  <si>
    <t>ENST00000442681</t>
  </si>
  <si>
    <t>ENST00000463463</t>
  </si>
  <si>
    <t>ENST00000472019</t>
  </si>
  <si>
    <t>ENST00000473750</t>
  </si>
  <si>
    <t>ENST00000476254</t>
  </si>
  <si>
    <t>ENST00000477917</t>
  </si>
  <si>
    <t>ENST00000480537</t>
  </si>
  <si>
    <t>ENST00000481815</t>
  </si>
  <si>
    <t>ENST00000482988</t>
  </si>
  <si>
    <t>ENST00000487855</t>
  </si>
  <si>
    <t>P25713</t>
  </si>
  <si>
    <t>ENST00000200691</t>
  </si>
  <si>
    <t>ENST00000566451</t>
  </si>
  <si>
    <t>ENST00000570176</t>
  </si>
  <si>
    <t>P25774</t>
  </si>
  <si>
    <t>ENST00000368985</t>
  </si>
  <si>
    <t>ENST00000480760</t>
  </si>
  <si>
    <t>ENST00000607427</t>
  </si>
  <si>
    <t>P25786</t>
  </si>
  <si>
    <t>ENST00000396394</t>
  </si>
  <si>
    <t>ENST00000418988</t>
  </si>
  <si>
    <t>ENST00000524606</t>
  </si>
  <si>
    <t>ENST00000526443</t>
  </si>
  <si>
    <t>ENST00000527632</t>
  </si>
  <si>
    <t>ENST00000528018</t>
  </si>
  <si>
    <t>ENST00000529524</t>
  </si>
  <si>
    <t>ENST00000530457</t>
  </si>
  <si>
    <t>ENST00000531023</t>
  </si>
  <si>
    <t>ENST00000531156</t>
  </si>
  <si>
    <t>ENST00000533331</t>
  </si>
  <si>
    <t>P25787</t>
  </si>
  <si>
    <t>ENST00000223321</t>
  </si>
  <si>
    <t>ENST00000411875</t>
  </si>
  <si>
    <t>ENST00000436986</t>
  </si>
  <si>
    <t>ENST00000445517</t>
  </si>
  <si>
    <t>ENST00000457444</t>
  </si>
  <si>
    <t>P25789</t>
  </si>
  <si>
    <t>ENST00000044462</t>
  </si>
  <si>
    <t>ENST00000413382</t>
  </si>
  <si>
    <t>ENST00000558094</t>
  </si>
  <si>
    <t>ENST00000558281</t>
  </si>
  <si>
    <t>ENST00000558635</t>
  </si>
  <si>
    <t>ENST00000558639</t>
  </si>
  <si>
    <t>ENST00000559082</t>
  </si>
  <si>
    <t>ENST00000559146</t>
  </si>
  <si>
    <t>ENST00000559154</t>
  </si>
  <si>
    <t>ENST00000559365</t>
  </si>
  <si>
    <t>ENST00000559437</t>
  </si>
  <si>
    <t>ENST00000559906</t>
  </si>
  <si>
    <t>ENST00000559934</t>
  </si>
  <si>
    <t>ENST00000560033</t>
  </si>
  <si>
    <t>ENST00000560099</t>
  </si>
  <si>
    <t>ENST00000560217</t>
  </si>
  <si>
    <t>ENST00000560842</t>
  </si>
  <si>
    <t>P25815</t>
  </si>
  <si>
    <t>ENST00000296370</t>
  </si>
  <si>
    <t>ENST00000513778</t>
  </si>
  <si>
    <t>P26010</t>
  </si>
  <si>
    <t>ENST00000267082</t>
  </si>
  <si>
    <t>ENST00000422257</t>
  </si>
  <si>
    <t>ENST00000542497</t>
  </si>
  <si>
    <t>ENST00000548269</t>
  </si>
  <si>
    <t>ENST00000548706</t>
  </si>
  <si>
    <t>ENST00000549196</t>
  </si>
  <si>
    <t>ENST00000549462</t>
  </si>
  <si>
    <t>ENST00000550743</t>
  </si>
  <si>
    <t>ENST00000551319</t>
  </si>
  <si>
    <t>ENST00000551887</t>
  </si>
  <si>
    <t>ENST00000552935</t>
  </si>
  <si>
    <t>P26038</t>
  </si>
  <si>
    <t>ENST00000360270</t>
  </si>
  <si>
    <t>P26196</t>
  </si>
  <si>
    <t>ENST00000525082</t>
  </si>
  <si>
    <t>ENST00000526070</t>
  </si>
  <si>
    <t>ENST00000529162</t>
  </si>
  <si>
    <t>ENST00000531971</t>
  </si>
  <si>
    <t>ENST00000533239</t>
  </si>
  <si>
    <t>ENST00000534980</t>
  </si>
  <si>
    <t>P26358</t>
  </si>
  <si>
    <t>ENST00000340748</t>
  </si>
  <si>
    <t>ENST00000359526</t>
  </si>
  <si>
    <t>ENST00000540357</t>
  </si>
  <si>
    <t>ENST00000585843</t>
  </si>
  <si>
    <t>ENST00000585920</t>
  </si>
  <si>
    <t>ENST00000586588</t>
  </si>
  <si>
    <t>ENST00000586667</t>
  </si>
  <si>
    <t>ENST00000587197</t>
  </si>
  <si>
    <t>ENST00000587604</t>
  </si>
  <si>
    <t>ENST00000588913</t>
  </si>
  <si>
    <t>ENST00000588952</t>
  </si>
  <si>
    <t>ENST00000589091</t>
  </si>
  <si>
    <t>ENST00000589294</t>
  </si>
  <si>
    <t>ENST00000589349</t>
  </si>
  <si>
    <t>ENST00000589351</t>
  </si>
  <si>
    <t>ENST00000589538</t>
  </si>
  <si>
    <t>ENST00000590619</t>
  </si>
  <si>
    <t>ENST00000591239</t>
  </si>
  <si>
    <t>ENST00000591764</t>
  </si>
  <si>
    <t>ENST00000591798</t>
  </si>
  <si>
    <t>ENST00000592705</t>
  </si>
  <si>
    <t>ENST00000593049</t>
  </si>
  <si>
    <t>P26373</t>
  </si>
  <si>
    <t>ENST00000311528</t>
  </si>
  <si>
    <t>ENST00000393099</t>
  </si>
  <si>
    <t>ENST00000399461</t>
  </si>
  <si>
    <t>ENST00000452368</t>
  </si>
  <si>
    <t>ENST00000467736</t>
  </si>
  <si>
    <t>ENST00000472354</t>
  </si>
  <si>
    <t>ENST00000484610</t>
  </si>
  <si>
    <t>ENST00000487034</t>
  </si>
  <si>
    <t>ENST00000491523</t>
  </si>
  <si>
    <t>ENST00000563270</t>
  </si>
  <si>
    <t>ENST00000563749</t>
  </si>
  <si>
    <t>ENST00000567815</t>
  </si>
  <si>
    <t>ENST00000570149</t>
  </si>
  <si>
    <t>P26374</t>
  </si>
  <si>
    <t>ENST00000366553</t>
  </si>
  <si>
    <t>P26440</t>
  </si>
  <si>
    <t>ENST00000466756</t>
  </si>
  <si>
    <t>ENST00000481262</t>
  </si>
  <si>
    <t>ENST00000484250</t>
  </si>
  <si>
    <t>ENST00000487418</t>
  </si>
  <si>
    <t>ENST00000491554</t>
  </si>
  <si>
    <t>ENST00000497816</t>
  </si>
  <si>
    <t>ENST00000558610</t>
  </si>
  <si>
    <t>ENST00000559575</t>
  </si>
  <si>
    <t>ENST00000560660</t>
  </si>
  <si>
    <t>P26447</t>
  </si>
  <si>
    <t>ENST00000354332</t>
  </si>
  <si>
    <t>ENST00000368715</t>
  </si>
  <si>
    <t>ENST00000368716</t>
  </si>
  <si>
    <t>ENST00000468373</t>
  </si>
  <si>
    <t>ENST00000481009</t>
  </si>
  <si>
    <t>P26572</t>
  </si>
  <si>
    <t>ENST00000307826</t>
  </si>
  <si>
    <t>ENST00000333055</t>
  </si>
  <si>
    <t>ENST00000427865</t>
  </si>
  <si>
    <t>ENST00000446023</t>
  </si>
  <si>
    <t>ENST00000502678</t>
  </si>
  <si>
    <t>ENST00000504671</t>
  </si>
  <si>
    <t>ENST00000505682</t>
  </si>
  <si>
    <t>ENST00000506033</t>
  </si>
  <si>
    <t>ENST00000506269</t>
  </si>
  <si>
    <t>ENST00000506708</t>
  </si>
  <si>
    <t>ENST00000506889</t>
  </si>
  <si>
    <t>ENST00000507384</t>
  </si>
  <si>
    <t>ENST00000508090</t>
  </si>
  <si>
    <t>ENST00000510341</t>
  </si>
  <si>
    <t>ENST00000512080</t>
  </si>
  <si>
    <t>ENST00000512695</t>
  </si>
  <si>
    <t>ENST00000514283</t>
  </si>
  <si>
    <t>ENST00000514760</t>
  </si>
  <si>
    <t>P26583</t>
  </si>
  <si>
    <t>ENST00000296503</t>
  </si>
  <si>
    <t>ENST00000438704</t>
  </si>
  <si>
    <t>ENST00000446922</t>
  </si>
  <si>
    <t>ENST00000506267</t>
  </si>
  <si>
    <t>ENST00000511316</t>
  </si>
  <si>
    <t>P26599</t>
  </si>
  <si>
    <t>ENST00000349038</t>
  </si>
  <si>
    <t>ENST00000350092</t>
  </si>
  <si>
    <t>ENST00000356948</t>
  </si>
  <si>
    <t>ENST00000585535</t>
  </si>
  <si>
    <t>ENST00000585856</t>
  </si>
  <si>
    <t>ENST00000585932</t>
  </si>
  <si>
    <t>ENST00000586481</t>
  </si>
  <si>
    <t>ENST00000586944</t>
  </si>
  <si>
    <t>ENST00000587094</t>
  </si>
  <si>
    <t>ENST00000587136</t>
  </si>
  <si>
    <t>ENST00000587191</t>
  </si>
  <si>
    <t>ENST00000589575</t>
  </si>
  <si>
    <t>ENST00000589883</t>
  </si>
  <si>
    <t>ENST00000590887</t>
  </si>
  <si>
    <t>ENST00000592113</t>
  </si>
  <si>
    <t>ENST00000592804</t>
  </si>
  <si>
    <t>P26639</t>
  </si>
  <si>
    <t>ENST00000265112</t>
  </si>
  <si>
    <t>ENST00000502553</t>
  </si>
  <si>
    <t>ENST00000503422</t>
  </si>
  <si>
    <t>ENST00000504698</t>
  </si>
  <si>
    <t>ENST00000506040</t>
  </si>
  <si>
    <t>ENST00000508361</t>
  </si>
  <si>
    <t>ENST00000509410</t>
  </si>
  <si>
    <t>ENST00000513066</t>
  </si>
  <si>
    <t>P26640</t>
  </si>
  <si>
    <t>ENST00000375663</t>
  </si>
  <si>
    <t>ENST00000440048</t>
  </si>
  <si>
    <t>ENST00000459667</t>
  </si>
  <si>
    <t>ENST00000461328</t>
  </si>
  <si>
    <t>ENST00000461874</t>
  </si>
  <si>
    <t>ENST00000463184</t>
  </si>
  <si>
    <t>ENST00000470953</t>
  </si>
  <si>
    <t>ENST00000474643</t>
  </si>
  <si>
    <t>ENST00000479051</t>
  </si>
  <si>
    <t>ENST00000482996</t>
  </si>
  <si>
    <t>ENST00000483275</t>
  </si>
  <si>
    <t>ENST00000489979</t>
  </si>
  <si>
    <t>ENST00000495010</t>
  </si>
  <si>
    <t>P26641</t>
  </si>
  <si>
    <t>ENST00000329251</t>
  </si>
  <si>
    <t>ENST00000524420</t>
  </si>
  <si>
    <t>ENST00000525340</t>
  </si>
  <si>
    <t>ENST00000532986</t>
  </si>
  <si>
    <t>P26651</t>
  </si>
  <si>
    <t>ENST00000594045</t>
  </si>
  <si>
    <t>ENST00000597629</t>
  </si>
  <si>
    <t>ENST00000600033</t>
  </si>
  <si>
    <t>P26842</t>
  </si>
  <si>
    <t>ENST00000266557</t>
  </si>
  <si>
    <t>ENST00000541233</t>
  </si>
  <si>
    <t>P26885</t>
  </si>
  <si>
    <t>ENST00000309366</t>
  </si>
  <si>
    <t>ENST00000394540</t>
  </si>
  <si>
    <t>ENST00000535135</t>
  </si>
  <si>
    <t>ENST00000536642</t>
  </si>
  <si>
    <t>ENST00000541388</t>
  </si>
  <si>
    <t>P27105</t>
  </si>
  <si>
    <t>ENST00000286713</t>
  </si>
  <si>
    <t>ENST00000347359</t>
  </si>
  <si>
    <t>ENST00000538954</t>
  </si>
  <si>
    <t>P27144</t>
  </si>
  <si>
    <t>ENST00000395334</t>
  </si>
  <si>
    <t>P27348</t>
  </si>
  <si>
    <t>ENST00000238081</t>
  </si>
  <si>
    <t>ENST00000381844</t>
  </si>
  <si>
    <t>ENST00000446619</t>
  </si>
  <si>
    <t>ENST00000460093</t>
  </si>
  <si>
    <t>ENST00000474715</t>
  </si>
  <si>
    <t>P27361</t>
  </si>
  <si>
    <t>ENST00000263025</t>
  </si>
  <si>
    <t>ENST00000395199</t>
  </si>
  <si>
    <t>ENST00000461737</t>
  </si>
  <si>
    <t>ENST00000473431</t>
  </si>
  <si>
    <t>ENST00000483869</t>
  </si>
  <si>
    <t>ENST00000484663</t>
  </si>
  <si>
    <t>ENST00000485579</t>
  </si>
  <si>
    <t>ENST00000494643</t>
  </si>
  <si>
    <t>P27487</t>
  </si>
  <si>
    <t>ENST00000360534</t>
  </si>
  <si>
    <t>ENST00000416189</t>
  </si>
  <si>
    <t>ENST00000434918</t>
  </si>
  <si>
    <t>ENST00000461836</t>
  </si>
  <si>
    <t>ENST00000490286</t>
  </si>
  <si>
    <t>ENST00000494507</t>
  </si>
  <si>
    <t>ENST00000497461</t>
  </si>
  <si>
    <t>P27635</t>
  </si>
  <si>
    <t>ENST00000344746</t>
  </si>
  <si>
    <t>ENST00000369817</t>
  </si>
  <si>
    <t>ENST00000406022</t>
  </si>
  <si>
    <t>ENST00000424325</t>
  </si>
  <si>
    <t>ENST00000436473</t>
  </si>
  <si>
    <t>ENST00000449494</t>
  </si>
  <si>
    <t>ENST00000451365</t>
  </si>
  <si>
    <t>ENST00000458500</t>
  </si>
  <si>
    <t>ENST00000467168</t>
  </si>
  <si>
    <t>ENST00000479366</t>
  </si>
  <si>
    <t>ENST00000482732</t>
  </si>
  <si>
    <t>ENST00000485196</t>
  </si>
  <si>
    <t>ENST00000489200</t>
  </si>
  <si>
    <t>ENST00000491035</t>
  </si>
  <si>
    <t>ENST00000492572</t>
  </si>
  <si>
    <t>P27694</t>
  </si>
  <si>
    <t>ENST00000254719</t>
  </si>
  <si>
    <t>ENST00000570451</t>
  </si>
  <si>
    <t>ENST00000573994</t>
  </si>
  <si>
    <t>ENST00000574049</t>
  </si>
  <si>
    <t>P27695</t>
  </si>
  <si>
    <t>ENST00000216714</t>
  </si>
  <si>
    <t>ENST00000398030</t>
  </si>
  <si>
    <t>ENST00000553555</t>
  </si>
  <si>
    <t>ENST00000553681</t>
  </si>
  <si>
    <t>ENST00000554325</t>
  </si>
  <si>
    <t>ENST00000555306</t>
  </si>
  <si>
    <t>ENST00000555414</t>
  </si>
  <si>
    <t>ENST00000555839</t>
  </si>
  <si>
    <t>ENST00000556054</t>
  </si>
  <si>
    <t>ENST00000556296</t>
  </si>
  <si>
    <t>ENST00000557150</t>
  </si>
  <si>
    <t>ENST00000557159</t>
  </si>
  <si>
    <t>ENST00000557181</t>
  </si>
  <si>
    <t>ENST00000557344</t>
  </si>
  <si>
    <t>ENST00000557365</t>
  </si>
  <si>
    <t>P27707</t>
  </si>
  <si>
    <t>ENST00000286648</t>
  </si>
  <si>
    <t>ENST00000503359</t>
  </si>
  <si>
    <t>ENST00000504952</t>
  </si>
  <si>
    <t>ENST00000509764</t>
  </si>
  <si>
    <t>P27708</t>
  </si>
  <si>
    <t>ENST00000264705</t>
  </si>
  <si>
    <t>ENST00000403525</t>
  </si>
  <si>
    <t>ENST00000428460</t>
  </si>
  <si>
    <t>ENST00000475695</t>
  </si>
  <si>
    <t>ENST00000479002</t>
  </si>
  <si>
    <t>ENST00000487239</t>
  </si>
  <si>
    <t>ENST00000491891</t>
  </si>
  <si>
    <t>P27797</t>
  </si>
  <si>
    <t>ENST00000316448</t>
  </si>
  <si>
    <t>ENST00000586760</t>
  </si>
  <si>
    <t>ENST00000586803</t>
  </si>
  <si>
    <t>ENST00000586967</t>
  </si>
  <si>
    <t>ENST00000587486</t>
  </si>
  <si>
    <t>ENST00000588454</t>
  </si>
  <si>
    <t>ENST00000590325</t>
  </si>
  <si>
    <t>P27816</t>
  </si>
  <si>
    <t>ENST00000360240</t>
  </si>
  <si>
    <t>ENST00000383736</t>
  </si>
  <si>
    <t>ENST00000426837</t>
  </si>
  <si>
    <t>ENST00000429422</t>
  </si>
  <si>
    <t>ENST00000434267</t>
  </si>
  <si>
    <t>ENST00000462206</t>
  </si>
  <si>
    <t>ENST00000477765</t>
  </si>
  <si>
    <t>ENST00000497735</t>
  </si>
  <si>
    <t>P27824</t>
  </si>
  <si>
    <t>ENST00000247461</t>
  </si>
  <si>
    <t>ENST00000452673</t>
  </si>
  <si>
    <t>ENST00000502296</t>
  </si>
  <si>
    <t>ENST00000502498</t>
  </si>
  <si>
    <t>ENST00000502673</t>
  </si>
  <si>
    <t>ENST00000503126</t>
  </si>
  <si>
    <t>ENST00000503303</t>
  </si>
  <si>
    <t>ENST00000505090</t>
  </si>
  <si>
    <t>ENST00000506298</t>
  </si>
  <si>
    <t>ENST00000507307</t>
  </si>
  <si>
    <t>ENST00000508787</t>
  </si>
  <si>
    <t>ENST00000509563</t>
  </si>
  <si>
    <t>ENST00000513246</t>
  </si>
  <si>
    <t>P27986</t>
  </si>
  <si>
    <t>ENST00000320694</t>
  </si>
  <si>
    <t>ENST00000336483</t>
  </si>
  <si>
    <t>ENST00000517412</t>
  </si>
  <si>
    <t>ENST00000518292</t>
  </si>
  <si>
    <t>ENST00000518813</t>
  </si>
  <si>
    <t>ENST00000520550</t>
  </si>
  <si>
    <t>ENST00000521381</t>
  </si>
  <si>
    <t>ENST00000521657</t>
  </si>
  <si>
    <t>ENST00000522084</t>
  </si>
  <si>
    <t>P27987</t>
  </si>
  <si>
    <t>ENST00000272117</t>
  </si>
  <si>
    <t>ENST00000366784</t>
  </si>
  <si>
    <t>ENST00000429204</t>
  </si>
  <si>
    <t>P28062</t>
  </si>
  <si>
    <t>ENST00000374881</t>
  </si>
  <si>
    <t>ENST00000374882</t>
  </si>
  <si>
    <t>ENST00000484003</t>
  </si>
  <si>
    <t>ENST00000490613</t>
  </si>
  <si>
    <t>P28065</t>
  </si>
  <si>
    <t>ENST00000374859</t>
  </si>
  <si>
    <t>ENST00000464863</t>
  </si>
  <si>
    <t>ENST00000467593</t>
  </si>
  <si>
    <t>P28066</t>
  </si>
  <si>
    <t>ENST00000271308</t>
  </si>
  <si>
    <t>ENST00000477897</t>
  </si>
  <si>
    <t>ENST00000484563</t>
  </si>
  <si>
    <t>ENST00000490870</t>
  </si>
  <si>
    <t>ENST00000491287</t>
  </si>
  <si>
    <t>ENST00000538610</t>
  </si>
  <si>
    <t>P28070</t>
  </si>
  <si>
    <t>ENST00000290541</t>
  </si>
  <si>
    <t>ENST00000466425</t>
  </si>
  <si>
    <t>ENST00000474100</t>
  </si>
  <si>
    <t>ENST00000476467</t>
  </si>
  <si>
    <t>ENST00000493673</t>
  </si>
  <si>
    <t>ENST00000495288</t>
  </si>
  <si>
    <t>ENST00000495805</t>
  </si>
  <si>
    <t>P28072</t>
  </si>
  <si>
    <t>ENST00000270586</t>
  </si>
  <si>
    <t>ENST00000571309</t>
  </si>
  <si>
    <t>ENST00000575079</t>
  </si>
  <si>
    <t>ENST00000575643</t>
  </si>
  <si>
    <t>P28074</t>
  </si>
  <si>
    <t>ENST00000334454</t>
  </si>
  <si>
    <t>ENST00000361611</t>
  </si>
  <si>
    <t>ENST00000425762</t>
  </si>
  <si>
    <t>ENST00000460922</t>
  </si>
  <si>
    <t>ENST00000493471</t>
  </si>
  <si>
    <t>ENST00000555895</t>
  </si>
  <si>
    <t>P28161</t>
  </si>
  <si>
    <t>ENST00000241337</t>
  </si>
  <si>
    <t>ENST00000369829</t>
  </si>
  <si>
    <t>ENST00000442650</t>
  </si>
  <si>
    <t>ENST00000460717</t>
  </si>
  <si>
    <t>ENST00000472225</t>
  </si>
  <si>
    <t>ENST00000476040</t>
  </si>
  <si>
    <t>ENST00000481656</t>
  </si>
  <si>
    <t>ENST00000496578</t>
  </si>
  <si>
    <t>ENST00000568786</t>
  </si>
  <si>
    <t>P28288</t>
  </si>
  <si>
    <t>ENST00000315713</t>
  </si>
  <si>
    <t>ENST00000370214</t>
  </si>
  <si>
    <t>ENST00000464165</t>
  </si>
  <si>
    <t>ENST00000484213</t>
  </si>
  <si>
    <t>ENST00000493416</t>
  </si>
  <si>
    <t>P28340</t>
  </si>
  <si>
    <t>ENST00000440232</t>
  </si>
  <si>
    <t>ENST00000593407</t>
  </si>
  <si>
    <t>ENST00000595904</t>
  </si>
  <si>
    <t>ENST00000596221</t>
  </si>
  <si>
    <t>ENST00000596425</t>
  </si>
  <si>
    <t>ENST00000596648</t>
  </si>
  <si>
    <t>ENST00000597963</t>
  </si>
  <si>
    <t>ENST00000600746</t>
  </si>
  <si>
    <t>ENST00000600859</t>
  </si>
  <si>
    <t>ENST00000601098</t>
  </si>
  <si>
    <t>P28482</t>
  </si>
  <si>
    <t>ENST00000215832</t>
  </si>
  <si>
    <t>ENST00000398822</t>
  </si>
  <si>
    <t>ENST00000491588</t>
  </si>
  <si>
    <t>P28676</t>
  </si>
  <si>
    <t>ENST00000233612</t>
  </si>
  <si>
    <t>ENST00000437150</t>
  </si>
  <si>
    <t>ENST00000446271</t>
  </si>
  <si>
    <t>ENST00000473240</t>
  </si>
  <si>
    <t>ENST00000479199</t>
  </si>
  <si>
    <t>ENST00000481161</t>
  </si>
  <si>
    <t>ENST00000487445</t>
  </si>
  <si>
    <t>P28702</t>
  </si>
  <si>
    <t>ENST00000374680</t>
  </si>
  <si>
    <t>ENST00000374685</t>
  </si>
  <si>
    <t>ENST00000481441</t>
  </si>
  <si>
    <t>ENST00000483281</t>
  </si>
  <si>
    <t>ENST00000483821</t>
  </si>
  <si>
    <t>P28715</t>
  </si>
  <si>
    <t>ENST00000375954</t>
  </si>
  <si>
    <t>ENST00000375958</t>
  </si>
  <si>
    <t>ENST00000472247</t>
  </si>
  <si>
    <t>ENST00000481099</t>
  </si>
  <si>
    <t>P28749</t>
  </si>
  <si>
    <t>ENST00000344359</t>
  </si>
  <si>
    <t>ENST00000373664</t>
  </si>
  <si>
    <t>P28799</t>
  </si>
  <si>
    <t>ENST00000053867</t>
  </si>
  <si>
    <t>ENST00000585348</t>
  </si>
  <si>
    <t>ENST00000586443</t>
  </si>
  <si>
    <t>ENST00000587109</t>
  </si>
  <si>
    <t>ENST00000587387</t>
  </si>
  <si>
    <t>ENST00000587958</t>
  </si>
  <si>
    <t>ENST00000588170</t>
  </si>
  <si>
    <t>ENST00000590984</t>
  </si>
  <si>
    <t>ENST00000592323</t>
  </si>
  <si>
    <t>ENST00000593167</t>
  </si>
  <si>
    <t>P28907</t>
  </si>
  <si>
    <t>ENST00000226279</t>
  </si>
  <si>
    <t>ENST00000506191</t>
  </si>
  <si>
    <t>ENST00000511430</t>
  </si>
  <si>
    <t>P29083</t>
  </si>
  <si>
    <t>ENST00000283875</t>
  </si>
  <si>
    <t>ENST00000484715</t>
  </si>
  <si>
    <t>ENST00000497393</t>
  </si>
  <si>
    <t>P29084</t>
  </si>
  <si>
    <t>ENST00000355904</t>
  </si>
  <si>
    <t>ENST00000522833</t>
  </si>
  <si>
    <t>ENST00000523499</t>
  </si>
  <si>
    <t>P29144</t>
  </si>
  <si>
    <t>ENST00000376052</t>
  </si>
  <si>
    <t>ENST00000376065</t>
  </si>
  <si>
    <t>ENST00000466153</t>
  </si>
  <si>
    <t>ENST00000482393</t>
  </si>
  <si>
    <t>ENST00000490010</t>
  </si>
  <si>
    <t>ENST00000490420</t>
  </si>
  <si>
    <t>ENST00000493770</t>
  </si>
  <si>
    <t>ENST00000496126</t>
  </si>
  <si>
    <t>P29218</t>
  </si>
  <si>
    <t>ENST00000256108</t>
  </si>
  <si>
    <t>ENST00000311489</t>
  </si>
  <si>
    <t>ENST00000449740</t>
  </si>
  <si>
    <t>ENST00000518188</t>
  </si>
  <si>
    <t>ENST00000518202</t>
  </si>
  <si>
    <t>ENST00000519816</t>
  </si>
  <si>
    <t>ENST00000519964</t>
  </si>
  <si>
    <t>ENST00000520065</t>
  </si>
  <si>
    <t>ENST00000521979</t>
  </si>
  <si>
    <t>ENST00000522997</t>
  </si>
  <si>
    <t>ENST00000523942</t>
  </si>
  <si>
    <t>P29350</t>
  </si>
  <si>
    <t>ENST00000318974</t>
  </si>
  <si>
    <t>ENST00000416215</t>
  </si>
  <si>
    <t>ENST00000456013</t>
  </si>
  <si>
    <t>ENST00000535462</t>
  </si>
  <si>
    <t>ENST00000536013</t>
  </si>
  <si>
    <t>ENST00000536521</t>
  </si>
  <si>
    <t>ENST00000539029</t>
  </si>
  <si>
    <t>ENST00000539365</t>
  </si>
  <si>
    <t>ENST00000540740</t>
  </si>
  <si>
    <t>ENST00000541698</t>
  </si>
  <si>
    <t>ENST00000542277</t>
  </si>
  <si>
    <t>ENST00000542761</t>
  </si>
  <si>
    <t>ENST00000542848</t>
  </si>
  <si>
    <t>ENST00000543115</t>
  </si>
  <si>
    <t>ENST00000543744</t>
  </si>
  <si>
    <t>ENST00000545153</t>
  </si>
  <si>
    <t>P29401</t>
  </si>
  <si>
    <t>ENST00000423516</t>
  </si>
  <si>
    <t>ENST00000423525</t>
  </si>
  <si>
    <t>ENST00000460243</t>
  </si>
  <si>
    <t>ENST00000460343</t>
  </si>
  <si>
    <t>ENST00000461139</t>
  </si>
  <si>
    <t>ENST00000462138</t>
  </si>
  <si>
    <t>ENST00000466765</t>
  </si>
  <si>
    <t>ENST00000483706</t>
  </si>
  <si>
    <t>ENST00000487660</t>
  </si>
  <si>
    <t>ENST00000494523</t>
  </si>
  <si>
    <t>P29597</t>
  </si>
  <si>
    <t>ENST00000264818</t>
  </si>
  <si>
    <t>ENST00000524470</t>
  </si>
  <si>
    <t>ENST00000525621</t>
  </si>
  <si>
    <t>ENST00000525824</t>
  </si>
  <si>
    <t>ENST00000525976</t>
  </si>
  <si>
    <t>ENST00000527481</t>
  </si>
  <si>
    <t>ENST00000529317</t>
  </si>
  <si>
    <t>ENST00000529370</t>
  </si>
  <si>
    <t>ENST00000529412</t>
  </si>
  <si>
    <t>ENST00000529422</t>
  </si>
  <si>
    <t>ENST00000529739</t>
  </si>
  <si>
    <t>ENST00000530560</t>
  </si>
  <si>
    <t>ENST00000530829</t>
  </si>
  <si>
    <t>ENST00000531620</t>
  </si>
  <si>
    <t>ENST00000531836</t>
  </si>
  <si>
    <t>ENST00000533334</t>
  </si>
  <si>
    <t>ENST00000534228</t>
  </si>
  <si>
    <t>ENST00000592137</t>
  </si>
  <si>
    <t>P29965</t>
  </si>
  <si>
    <t>ENST00000370629</t>
  </si>
  <si>
    <t>P29992</t>
  </si>
  <si>
    <t>ENST00000078429</t>
  </si>
  <si>
    <t>ENST00000590534</t>
  </si>
  <si>
    <t>ENST00000591301</t>
  </si>
  <si>
    <t>P30040</t>
  </si>
  <si>
    <t>ENST00000261735</t>
  </si>
  <si>
    <t>ENST00000455836</t>
  </si>
  <si>
    <t>ENST00000546477</t>
  </si>
  <si>
    <t>ENST00000552052</t>
  </si>
  <si>
    <t>ENST00000553161</t>
  </si>
  <si>
    <t>P30041</t>
  </si>
  <si>
    <t>ENST00000340385</t>
  </si>
  <si>
    <t>ENST00000460950</t>
  </si>
  <si>
    <t>ENST00000470017</t>
  </si>
  <si>
    <t>P30042</t>
  </si>
  <si>
    <t>ENST00000291577</t>
  </si>
  <si>
    <t>ENST00000348499</t>
  </si>
  <si>
    <t>ENST00000389690</t>
  </si>
  <si>
    <t>ENST00000427803</t>
  </si>
  <si>
    <t>ENST00000470545</t>
  </si>
  <si>
    <t>ENST00000480786</t>
  </si>
  <si>
    <t>ENST00000488392</t>
  </si>
  <si>
    <t>ENST00000493883</t>
  </si>
  <si>
    <t>ENST00000495007</t>
  </si>
  <si>
    <t>P30043</t>
  </si>
  <si>
    <t>ENST00000263368</t>
  </si>
  <si>
    <t>ENST00000597870</t>
  </si>
  <si>
    <t>ENST00000601346</t>
  </si>
  <si>
    <t>P30047</t>
  </si>
  <si>
    <t>ENST00000260447</t>
  </si>
  <si>
    <t>ENST00000558467</t>
  </si>
  <si>
    <t>ENST00000561160</t>
  </si>
  <si>
    <t>P30049</t>
  </si>
  <si>
    <t>ENST00000215375</t>
  </si>
  <si>
    <t>ENST00000395633</t>
  </si>
  <si>
    <t>ENST00000588538</t>
  </si>
  <si>
    <t>ENST00000589478</t>
  </si>
  <si>
    <t>ENST00000590265</t>
  </si>
  <si>
    <t>ENST00000591249</t>
  </si>
  <si>
    <t>ENST00000592624</t>
  </si>
  <si>
    <t>P30050</t>
  </si>
  <si>
    <t>ENST00000361436</t>
  </si>
  <si>
    <t>ENST00000483598</t>
  </si>
  <si>
    <t>ENST00000497322</t>
  </si>
  <si>
    <t>ENST00000497825</t>
  </si>
  <si>
    <t>ENST00000536368</t>
  </si>
  <si>
    <t>P30084</t>
  </si>
  <si>
    <t>ENST00000368547</t>
  </si>
  <si>
    <t>P30085</t>
  </si>
  <si>
    <t>ENST00000371870</t>
  </si>
  <si>
    <t>ENST00000371871</t>
  </si>
  <si>
    <t>ENST00000371873</t>
  </si>
  <si>
    <t>ENST00000450808</t>
  </si>
  <si>
    <t>ENST00000471289</t>
  </si>
  <si>
    <t>P30086</t>
  </si>
  <si>
    <t>ENST00000261313</t>
  </si>
  <si>
    <t>P30101</t>
  </si>
  <si>
    <t>ENST00000300289</t>
  </si>
  <si>
    <t>ENST00000434494</t>
  </si>
  <si>
    <t>ENST00000446523</t>
  </si>
  <si>
    <t>ENST00000469684</t>
  </si>
  <si>
    <t>ENST00000497349</t>
  </si>
  <si>
    <t>P30153</t>
  </si>
  <si>
    <t>ENST00000322088</t>
  </si>
  <si>
    <t>ENST00000391791</t>
  </si>
  <si>
    <t>ENST00000454220</t>
  </si>
  <si>
    <t>ENST00000462047</t>
  </si>
  <si>
    <t>ENST00000462990</t>
  </si>
  <si>
    <t>ENST00000468280</t>
  </si>
  <si>
    <t>ENST00000473455</t>
  </si>
  <si>
    <t>ENST00000473820</t>
  </si>
  <si>
    <t>ENST00000477989</t>
  </si>
  <si>
    <t>ENST00000490868</t>
  </si>
  <si>
    <t>ENST00000495876</t>
  </si>
  <si>
    <t>P30154</t>
  </si>
  <si>
    <t>ENST00000341980</t>
  </si>
  <si>
    <t>ENST00000527614</t>
  </si>
  <si>
    <t>ENST00000529672</t>
  </si>
  <si>
    <t>P30260</t>
  </si>
  <si>
    <t>ENST00000066544</t>
  </si>
  <si>
    <t>ENST00000525495</t>
  </si>
  <si>
    <t>ENST00000527547</t>
  </si>
  <si>
    <t>ENST00000531206</t>
  </si>
  <si>
    <t>ENST00000533415</t>
  </si>
  <si>
    <t>ENST00000571643</t>
  </si>
  <si>
    <t>ENST00000573502</t>
  </si>
  <si>
    <t>ENST00000576484</t>
  </si>
  <si>
    <t>P30273</t>
  </si>
  <si>
    <t>ENST00000289902</t>
  </si>
  <si>
    <t>ENST00000367992</t>
  </si>
  <si>
    <t>ENST00000490414</t>
  </si>
  <si>
    <t>P30405</t>
  </si>
  <si>
    <t>ENST00000225174</t>
  </si>
  <si>
    <t>ENST00000448165</t>
  </si>
  <si>
    <t>ENST00000472580</t>
  </si>
  <si>
    <t>ENST00000492149</t>
  </si>
  <si>
    <t>ENST00000498681</t>
  </si>
  <si>
    <t>P30414</t>
  </si>
  <si>
    <t>ENST00000232978</t>
  </si>
  <si>
    <t>ENST00000429888</t>
  </si>
  <si>
    <t>ENST00000442970</t>
  </si>
  <si>
    <t>ENST00000445842</t>
  </si>
  <si>
    <t>ENST00000459950</t>
  </si>
  <si>
    <t>ENST00000460807</t>
  </si>
  <si>
    <t>ENST00000464315</t>
  </si>
  <si>
    <t>ENST00000465584</t>
  </si>
  <si>
    <t>ENST00000466553</t>
  </si>
  <si>
    <t>ENST00000468735</t>
  </si>
  <si>
    <t>ENST00000472127</t>
  </si>
  <si>
    <t>ENST00000472258</t>
  </si>
  <si>
    <t>ENST00000478488</t>
  </si>
  <si>
    <t>ENST00000487466</t>
  </si>
  <si>
    <t>ENST00000490189</t>
  </si>
  <si>
    <t>ENST00000498730</t>
  </si>
  <si>
    <t>ENST00000508351</t>
  </si>
  <si>
    <t>P30419</t>
  </si>
  <si>
    <t>ENST00000258960</t>
  </si>
  <si>
    <t>ENST00000543908</t>
  </si>
  <si>
    <t>ENST00000587014</t>
  </si>
  <si>
    <t>ENST00000587120</t>
  </si>
  <si>
    <t>ENST00000588455</t>
  </si>
  <si>
    <t>ENST00000590114</t>
  </si>
  <si>
    <t>ENST00000590310</t>
  </si>
  <si>
    <t>ENST00000591931</t>
  </si>
  <si>
    <t>P30443</t>
  </si>
  <si>
    <t>P30460</t>
  </si>
  <si>
    <t>P30504</t>
  </si>
  <si>
    <t>P30511</t>
  </si>
  <si>
    <t>ENST00000259951</t>
  </si>
  <si>
    <t>ENST00000334668</t>
  </si>
  <si>
    <t>ENST00000376861</t>
  </si>
  <si>
    <t>ENST00000429294</t>
  </si>
  <si>
    <t>ENST00000434407</t>
  </si>
  <si>
    <t>ENST00000444621</t>
  </si>
  <si>
    <t>ENST00000462777</t>
  </si>
  <si>
    <t>ENST00000465459</t>
  </si>
  <si>
    <t>ENST00000475996</t>
  </si>
  <si>
    <t>ENST00000482257</t>
  </si>
  <si>
    <t>ENST00000484704</t>
  </si>
  <si>
    <t>ENST00000485513</t>
  </si>
  <si>
    <t>ENST00000486194</t>
  </si>
  <si>
    <t>ENST00000489502</t>
  </si>
  <si>
    <t>ENST00000606273</t>
  </si>
  <si>
    <t>P30519</t>
  </si>
  <si>
    <t>ENST00000398595</t>
  </si>
  <si>
    <t>ENST00000406590</t>
  </si>
  <si>
    <t>ENST00000458134</t>
  </si>
  <si>
    <t>ENST00000570445</t>
  </si>
  <si>
    <t>ENST00000570622</t>
  </si>
  <si>
    <t>ENST00000570646</t>
  </si>
  <si>
    <t>ENST00000572812</t>
  </si>
  <si>
    <t>ENST00000574466</t>
  </si>
  <si>
    <t>ENST00000574594</t>
  </si>
  <si>
    <t>ENST00000575120</t>
  </si>
  <si>
    <t>P30520</t>
  </si>
  <si>
    <t>ENST00000366535</t>
  </si>
  <si>
    <t>ENST00000462358</t>
  </si>
  <si>
    <t>ENST00000468215</t>
  </si>
  <si>
    <t>P30533</t>
  </si>
  <si>
    <t>ENST00000296325</t>
  </si>
  <si>
    <t>ENST00000500728</t>
  </si>
  <si>
    <t>ENST00000509198</t>
  </si>
  <si>
    <t>ENST00000515119</t>
  </si>
  <si>
    <t>P30536</t>
  </si>
  <si>
    <t>ENST00000337554</t>
  </si>
  <si>
    <t>ENST00000396265</t>
  </si>
  <si>
    <t>ENST00000428336</t>
  </si>
  <si>
    <t>ENST00000472378</t>
  </si>
  <si>
    <t>ENST00000583777</t>
  </si>
  <si>
    <t>P30566</t>
  </si>
  <si>
    <t>ENST00000216194</t>
  </si>
  <si>
    <t>ENST00000342312</t>
  </si>
  <si>
    <t>ENST00000423176</t>
  </si>
  <si>
    <t>ENST00000466863</t>
  </si>
  <si>
    <t>ENST00000477111</t>
  </si>
  <si>
    <t>ENST00000480775</t>
  </si>
  <si>
    <t>P30679</t>
  </si>
  <si>
    <t>ENST00000262958</t>
  </si>
  <si>
    <t>ENST00000586082</t>
  </si>
  <si>
    <t>P30740</t>
  </si>
  <si>
    <t>ENST00000380739</t>
  </si>
  <si>
    <t>ENST00000460260</t>
  </si>
  <si>
    <t>ENST00000468511</t>
  </si>
  <si>
    <t>ENST00000476896</t>
  </si>
  <si>
    <t>P30793</t>
  </si>
  <si>
    <t>ENST00000254299</t>
  </si>
  <si>
    <t>ENST00000395514</t>
  </si>
  <si>
    <t>ENST00000491895</t>
  </si>
  <si>
    <t>ENST00000536224</t>
  </si>
  <si>
    <t>P30825</t>
  </si>
  <si>
    <t>ENST00000380752</t>
  </si>
  <si>
    <t>ENST00000473577</t>
  </si>
  <si>
    <t>P30837</t>
  </si>
  <si>
    <t>ENST00000377698</t>
  </si>
  <si>
    <t>P30876</t>
  </si>
  <si>
    <t>ENST00000314595</t>
  </si>
  <si>
    <t>ENST00000381227</t>
  </si>
  <si>
    <t>ENST00000431623</t>
  </si>
  <si>
    <t>ENST00000433463</t>
  </si>
  <si>
    <t>ENST00000464918</t>
  </si>
  <si>
    <t>ENST00000478188</t>
  </si>
  <si>
    <t>ENST00000484821</t>
  </si>
  <si>
    <t>ENST00000497845</t>
  </si>
  <si>
    <t>ENST00000510355</t>
  </si>
  <si>
    <t>P31040</t>
  </si>
  <si>
    <t>ENST00000264932</t>
  </si>
  <si>
    <t>ENST00000502379</t>
  </si>
  <si>
    <t>ENST00000503674</t>
  </si>
  <si>
    <t>ENST00000504309</t>
  </si>
  <si>
    <t>ENST00000504824</t>
  </si>
  <si>
    <t>ENST00000505555</t>
  </si>
  <si>
    <t>ENST00000507266</t>
  </si>
  <si>
    <t>ENST00000507522</t>
  </si>
  <si>
    <t>ENST00000509420</t>
  </si>
  <si>
    <t>ENST00000509564</t>
  </si>
  <si>
    <t>ENST00000509632</t>
  </si>
  <si>
    <t>ENST00000511810</t>
  </si>
  <si>
    <t>ENST00000514027</t>
  </si>
  <si>
    <t>ENST00000515752</t>
  </si>
  <si>
    <t>P31146</t>
  </si>
  <si>
    <t>ENST00000219150</t>
  </si>
  <si>
    <t>ENST00000561815</t>
  </si>
  <si>
    <t>ENST00000561849</t>
  </si>
  <si>
    <t>ENST00000562129</t>
  </si>
  <si>
    <t>ENST00000563778</t>
  </si>
  <si>
    <t>ENST00000564446</t>
  </si>
  <si>
    <t>ENST00000564768</t>
  </si>
  <si>
    <t>ENST00000565497</t>
  </si>
  <si>
    <t>ENST00000567034</t>
  </si>
  <si>
    <t>ENST00000568763</t>
  </si>
  <si>
    <t>ENST00000568982</t>
  </si>
  <si>
    <t>ENST00000569203</t>
  </si>
  <si>
    <t>ENST00000569469</t>
  </si>
  <si>
    <t>ENST00000569970</t>
  </si>
  <si>
    <t>ENST00000570045</t>
  </si>
  <si>
    <t>P31150</t>
  </si>
  <si>
    <t>ENST00000434049</t>
  </si>
  <si>
    <t>ENST00000447750</t>
  </si>
  <si>
    <t>ENST00000460984</t>
  </si>
  <si>
    <t>ENST00000465640</t>
  </si>
  <si>
    <t>ENST00000468483</t>
  </si>
  <si>
    <t>ENST00000471972</t>
  </si>
  <si>
    <t>ENST00000475976</t>
  </si>
  <si>
    <t>ENST00000476540</t>
  </si>
  <si>
    <t>ENST00000481304</t>
  </si>
  <si>
    <t>ENST00000485143</t>
  </si>
  <si>
    <t>ENST00000489589</t>
  </si>
  <si>
    <t>ENST00000491154</t>
  </si>
  <si>
    <t>P31153</t>
  </si>
  <si>
    <t>ENST00000306434</t>
  </si>
  <si>
    <t>ENST00000465151</t>
  </si>
  <si>
    <t>ENST00000469221</t>
  </si>
  <si>
    <t>ENST00000490878</t>
  </si>
  <si>
    <t>P31321</t>
  </si>
  <si>
    <t>ENST00000360274</t>
  </si>
  <si>
    <t>ENST00000403562</t>
  </si>
  <si>
    <t>ENST00000417852</t>
  </si>
  <si>
    <t>ENST00000478198</t>
  </si>
  <si>
    <t>ENST00000488474</t>
  </si>
  <si>
    <t>ENST00000537384</t>
  </si>
  <si>
    <t>P31323</t>
  </si>
  <si>
    <t>ENST00000265717</t>
  </si>
  <si>
    <t>P31350</t>
  </si>
  <si>
    <t>ENST00000360566</t>
  </si>
  <si>
    <t>ENST00000462343</t>
  </si>
  <si>
    <t>ENST00000474701</t>
  </si>
  <si>
    <t>ENST00000487591</t>
  </si>
  <si>
    <t>P31483</t>
  </si>
  <si>
    <t>ENST00000282574</t>
  </si>
  <si>
    <t>ENST00000361692</t>
  </si>
  <si>
    <t>ENST00000415783</t>
  </si>
  <si>
    <t>ENST00000416149</t>
  </si>
  <si>
    <t>ENST00000433529</t>
  </si>
  <si>
    <t>ENST00000454815</t>
  </si>
  <si>
    <t>ENST00000468787</t>
  </si>
  <si>
    <t>ENST00000474699</t>
  </si>
  <si>
    <t>ENST00000474809</t>
  </si>
  <si>
    <t>ENST00000477044</t>
  </si>
  <si>
    <t>ENST00000477415</t>
  </si>
  <si>
    <t>ENST00000481650</t>
  </si>
  <si>
    <t>ENST00000482876</t>
  </si>
  <si>
    <t>ENST00000484065</t>
  </si>
  <si>
    <t>ENST00000486392</t>
  </si>
  <si>
    <t>ENST00000495774</t>
  </si>
  <si>
    <t>ENST00000496096</t>
  </si>
  <si>
    <t>ENST00000496452</t>
  </si>
  <si>
    <t>ENST00000497672</t>
  </si>
  <si>
    <t>P31629</t>
  </si>
  <si>
    <t>ENST00000367603</t>
  </si>
  <si>
    <t>ENST00000367604</t>
  </si>
  <si>
    <t>ENST00000474532</t>
  </si>
  <si>
    <t>P31641</t>
  </si>
  <si>
    <t>ENST00000452775</t>
  </si>
  <si>
    <t>P31689</t>
  </si>
  <si>
    <t>ENST00000330899</t>
  </si>
  <si>
    <t>ENST00000465677</t>
  </si>
  <si>
    <t>ENST00000495015</t>
  </si>
  <si>
    <t>P31749</t>
  </si>
  <si>
    <t>ENST00000349310</t>
  </si>
  <si>
    <t>ENST00000402615</t>
  </si>
  <si>
    <t>ENST00000407796</t>
  </si>
  <si>
    <t>ENST00000544168</t>
  </si>
  <si>
    <t>ENST00000553506</t>
  </si>
  <si>
    <t>ENST00000554581</t>
  </si>
  <si>
    <t>ENST00000554585</t>
  </si>
  <si>
    <t>ENST00000554826</t>
  </si>
  <si>
    <t>ENST00000555458</t>
  </si>
  <si>
    <t>ENST00000555528</t>
  </si>
  <si>
    <t>ENST00000555926</t>
  </si>
  <si>
    <t>ENST00000556836</t>
  </si>
  <si>
    <t>ENST00000557494</t>
  </si>
  <si>
    <t>ENST00000557552</t>
  </si>
  <si>
    <t>P31751</t>
  </si>
  <si>
    <t>ENST00000311278</t>
  </si>
  <si>
    <t>ENST00000358335</t>
  </si>
  <si>
    <t>ENST00000391844</t>
  </si>
  <si>
    <t>ENST00000391845</t>
  </si>
  <si>
    <t>ENST00000392037</t>
  </si>
  <si>
    <t>ENST00000392038</t>
  </si>
  <si>
    <t>ENST00000416362</t>
  </si>
  <si>
    <t>ENST00000416994</t>
  </si>
  <si>
    <t>ENST00000423127</t>
  </si>
  <si>
    <t>ENST00000424901</t>
  </si>
  <si>
    <t>ENST00000441941</t>
  </si>
  <si>
    <t>ENST00000476247</t>
  </si>
  <si>
    <t>ENST00000476266</t>
  </si>
  <si>
    <t>ENST00000483166</t>
  </si>
  <si>
    <t>ENST00000486368</t>
  </si>
  <si>
    <t>ENST00000487537</t>
  </si>
  <si>
    <t>ENST00000489375</t>
  </si>
  <si>
    <t>ENST00000496089</t>
  </si>
  <si>
    <t>ENST00000497948</t>
  </si>
  <si>
    <t>ENST00000498350</t>
  </si>
  <si>
    <t>ENST00000537834</t>
  </si>
  <si>
    <t>ENST00000578282</t>
  </si>
  <si>
    <t>ENST00000578310</t>
  </si>
  <si>
    <t>ENST00000578615</t>
  </si>
  <si>
    <t>ENST00000578975</t>
  </si>
  <si>
    <t>ENST00000579047</t>
  </si>
  <si>
    <t>ENST00000579345</t>
  </si>
  <si>
    <t>ENST00000580747</t>
  </si>
  <si>
    <t>ENST00000580878</t>
  </si>
  <si>
    <t>ENST00000581582</t>
  </si>
  <si>
    <t>ENST00000584288</t>
  </si>
  <si>
    <t>ENST00000601166</t>
  </si>
  <si>
    <t>P31785</t>
  </si>
  <si>
    <t>ENST00000276110</t>
  </si>
  <si>
    <t>ENST00000374202</t>
  </si>
  <si>
    <t>ENST00000456850</t>
  </si>
  <si>
    <t>ENST00000473378</t>
  </si>
  <si>
    <t>ENST00000487883</t>
  </si>
  <si>
    <t>ENST00000512747</t>
  </si>
  <si>
    <t>P31930</t>
  </si>
  <si>
    <t>ENST00000203407</t>
  </si>
  <si>
    <t>ENST00000412343</t>
  </si>
  <si>
    <t>ENST00000460105</t>
  </si>
  <si>
    <t>ENST00000463708</t>
  </si>
  <si>
    <t>ENST00000467690</t>
  </si>
  <si>
    <t>ENST00000471189</t>
  </si>
  <si>
    <t>ENST00000472438</t>
  </si>
  <si>
    <t>ENST00000480561</t>
  </si>
  <si>
    <t>P31937</t>
  </si>
  <si>
    <t>ENST00000265395</t>
  </si>
  <si>
    <t>ENST00000425715</t>
  </si>
  <si>
    <t>ENST00000496814</t>
  </si>
  <si>
    <t>P31939</t>
  </si>
  <si>
    <t>ENST00000236959</t>
  </si>
  <si>
    <t>ENST00000413174</t>
  </si>
  <si>
    <t>ENST00000426233</t>
  </si>
  <si>
    <t>ENST00000435675</t>
  </si>
  <si>
    <t>ENST00000442048</t>
  </si>
  <si>
    <t>ENST00000446622</t>
  </si>
  <si>
    <t>ENST00000459796</t>
  </si>
  <si>
    <t>ENST00000467388</t>
  </si>
  <si>
    <t>ENST00000478734</t>
  </si>
  <si>
    <t>ENST00000479093</t>
  </si>
  <si>
    <t>ENST00000488712</t>
  </si>
  <si>
    <t>P31942</t>
  </si>
  <si>
    <t>ENST00000265866</t>
  </si>
  <si>
    <t>ENST00000354695</t>
  </si>
  <si>
    <t>ENST00000469172</t>
  </si>
  <si>
    <t>ENST00000478698</t>
  </si>
  <si>
    <t>ENST00000480987</t>
  </si>
  <si>
    <t>ENST00000481819</t>
  </si>
  <si>
    <t>ENST00000486854</t>
  </si>
  <si>
    <t>ENST00000490442</t>
  </si>
  <si>
    <t>ENST00000491200</t>
  </si>
  <si>
    <t>P31943</t>
  </si>
  <si>
    <t>ENST00000329433</t>
  </si>
  <si>
    <t>ENST00000356731</t>
  </si>
  <si>
    <t>ENST00000393432</t>
  </si>
  <si>
    <t>ENST00000442819</t>
  </si>
  <si>
    <t>ENST00000502632</t>
  </si>
  <si>
    <t>ENST00000502904</t>
  </si>
  <si>
    <t>ENST00000503105</t>
  </si>
  <si>
    <t>ENST00000504348</t>
  </si>
  <si>
    <t>ENST00000504549</t>
  </si>
  <si>
    <t>ENST00000504779</t>
  </si>
  <si>
    <t>ENST00000505087</t>
  </si>
  <si>
    <t>ENST00000506721</t>
  </si>
  <si>
    <t>ENST00000508103</t>
  </si>
  <si>
    <t>ENST00000510411</t>
  </si>
  <si>
    <t>ENST00000510431</t>
  </si>
  <si>
    <t>ENST00000510678</t>
  </si>
  <si>
    <t>ENST00000513230</t>
  </si>
  <si>
    <t>ENST00000513972</t>
  </si>
  <si>
    <t>ENST00000514332</t>
  </si>
  <si>
    <t>ENST00000514731</t>
  </si>
  <si>
    <t>ENST00000515158</t>
  </si>
  <si>
    <t>ENST00000515481</t>
  </si>
  <si>
    <t>ENST00000518548</t>
  </si>
  <si>
    <t>ENST00000519033</t>
  </si>
  <si>
    <t>ENST00000519455</t>
  </si>
  <si>
    <t>ENST00000519707</t>
  </si>
  <si>
    <t>ENST00000519943</t>
  </si>
  <si>
    <t>ENST00000519958</t>
  </si>
  <si>
    <t>ENST00000520415</t>
  </si>
  <si>
    <t>ENST00000521173</t>
  </si>
  <si>
    <t>ENST00000521720</t>
  </si>
  <si>
    <t>ENST00000521790</t>
  </si>
  <si>
    <t>ENST00000522256</t>
  </si>
  <si>
    <t>ENST00000522958</t>
  </si>
  <si>
    <t>ENST00000523136</t>
  </si>
  <si>
    <t>ENST00000523137</t>
  </si>
  <si>
    <t>ENST00000523449</t>
  </si>
  <si>
    <t>ENST00000523921</t>
  </si>
  <si>
    <t>ENST00000524179</t>
  </si>
  <si>
    <t>ENST00000524180</t>
  </si>
  <si>
    <t>P31946</t>
  </si>
  <si>
    <t>ENST00000353703</t>
  </si>
  <si>
    <t>ENST00000372839</t>
  </si>
  <si>
    <t>ENST00000428262</t>
  </si>
  <si>
    <t>ENST00000445830</t>
  </si>
  <si>
    <t>ENST00000477896</t>
  </si>
  <si>
    <t>ENST00000479421</t>
  </si>
  <si>
    <t>P31948</t>
  </si>
  <si>
    <t>ENST00000305218</t>
  </si>
  <si>
    <t>ENST00000355603</t>
  </si>
  <si>
    <t>ENST00000358794</t>
  </si>
  <si>
    <t>ENST00000536973</t>
  </si>
  <si>
    <t>ENST00000538497</t>
  </si>
  <si>
    <t>ENST00000538945</t>
  </si>
  <si>
    <t>ENST00000540736</t>
  </si>
  <si>
    <t>ENST00000540887</t>
  </si>
  <si>
    <t>ENST00000543847</t>
  </si>
  <si>
    <t>ENST00000544739</t>
  </si>
  <si>
    <t>P31949</t>
  </si>
  <si>
    <t>ENST00000271638</t>
  </si>
  <si>
    <t>P31997</t>
  </si>
  <si>
    <t>ENST00000244336</t>
  </si>
  <si>
    <t>ENST00000599005</t>
  </si>
  <si>
    <t>P32119</t>
  </si>
  <si>
    <t>ENST00000301522</t>
  </si>
  <si>
    <t>ENST00000334482</t>
  </si>
  <si>
    <t>ENST00000466174</t>
  </si>
  <si>
    <t>ENST00000477555</t>
  </si>
  <si>
    <t>ENST00000478908</t>
  </si>
  <si>
    <t>ENST00000498785</t>
  </si>
  <si>
    <t>P32249</t>
  </si>
  <si>
    <t>ENST00000376414</t>
  </si>
  <si>
    <t>P32320</t>
  </si>
  <si>
    <t>ENST00000375071</t>
  </si>
  <si>
    <t>P32321</t>
  </si>
  <si>
    <t>ENST00000357067</t>
  </si>
  <si>
    <t>ENST00000438320</t>
  </si>
  <si>
    <t>ENST00000500813</t>
  </si>
  <si>
    <t>ENST00000503820</t>
  </si>
  <si>
    <t>ENST00000503988</t>
  </si>
  <si>
    <t>ENST00000507631</t>
  </si>
  <si>
    <t>ENST00000510307</t>
  </si>
  <si>
    <t>ENST00000510370</t>
  </si>
  <si>
    <t>ENST00000512766</t>
  </si>
  <si>
    <t>ENST00000514754</t>
  </si>
  <si>
    <t>P32455</t>
  </si>
  <si>
    <t>ENST00000370473</t>
  </si>
  <si>
    <t>ENST00000459831</t>
  </si>
  <si>
    <t>ENST00000468959</t>
  </si>
  <si>
    <t>ENST00000469194</t>
  </si>
  <si>
    <t>ENST00000479889</t>
  </si>
  <si>
    <t>ENST00000484970</t>
  </si>
  <si>
    <t>ENST00000493139</t>
  </si>
  <si>
    <t>ENST00000495131</t>
  </si>
  <si>
    <t>P32456</t>
  </si>
  <si>
    <t>ENST00000370466</t>
  </si>
  <si>
    <t>ENST00000463660</t>
  </si>
  <si>
    <t>ENST00000493802</t>
  </si>
  <si>
    <t>P32780</t>
  </si>
  <si>
    <t>ENST00000265963</t>
  </si>
  <si>
    <t>ENST00000418116</t>
  </si>
  <si>
    <t>ENST00000453096</t>
  </si>
  <si>
    <t>ENST00000524753</t>
  </si>
  <si>
    <t>ENST00000525831</t>
  </si>
  <si>
    <t>ENST00000526282</t>
  </si>
  <si>
    <t>ENST00000526461</t>
  </si>
  <si>
    <t>ENST00000526630</t>
  </si>
  <si>
    <t>ENST00000528427</t>
  </si>
  <si>
    <t>ENST00000530496</t>
  </si>
  <si>
    <t>ENST00000531757</t>
  </si>
  <si>
    <t>ENST00000532227</t>
  </si>
  <si>
    <t>ENST00000534213</t>
  </si>
  <si>
    <t>ENST00000543932</t>
  </si>
  <si>
    <t>ENST00000607664</t>
  </si>
  <si>
    <t>P32929</t>
  </si>
  <si>
    <t>ENST00000370938</t>
  </si>
  <si>
    <t>ENST00000411986</t>
  </si>
  <si>
    <t>ENST00000482383</t>
  </si>
  <si>
    <t>P32942</t>
  </si>
  <si>
    <t>ENST00000160262</t>
  </si>
  <si>
    <t>ENST00000585439</t>
  </si>
  <si>
    <t>ENST00000587992</t>
  </si>
  <si>
    <t>ENST00000589249</t>
  </si>
  <si>
    <t>ENST00000589261</t>
  </si>
  <si>
    <t>ENST00000589580</t>
  </si>
  <si>
    <t>ENST00000589900</t>
  </si>
  <si>
    <t>ENST00000592945</t>
  </si>
  <si>
    <t>P32969</t>
  </si>
  <si>
    <t>ENST00000295955</t>
  </si>
  <si>
    <t>ENST00000437992</t>
  </si>
  <si>
    <t>ENST00000449470</t>
  </si>
  <si>
    <t>ENST00000503040</t>
  </si>
  <si>
    <t>ENST00000503277</t>
  </si>
  <si>
    <t>ENST00000504470</t>
  </si>
  <si>
    <t>ENST00000506581</t>
  </si>
  <si>
    <t>ENST00000508595</t>
  </si>
  <si>
    <t>ENST00000511075</t>
  </si>
  <si>
    <t>ENST00000511643</t>
  </si>
  <si>
    <t>ENST00000514842</t>
  </si>
  <si>
    <t>P32971</t>
  </si>
  <si>
    <t>ENST00000223795</t>
  </si>
  <si>
    <t>ENST00000474301</t>
  </si>
  <si>
    <t>P33176</t>
  </si>
  <si>
    <t>ENST00000302418</t>
  </si>
  <si>
    <t>P33241</t>
  </si>
  <si>
    <t>ENST00000311604</t>
  </si>
  <si>
    <t>ENST00000406638</t>
  </si>
  <si>
    <t>ENST00000432093</t>
  </si>
  <si>
    <t>ENST00000464670</t>
  </si>
  <si>
    <t>ENST00000484895</t>
  </si>
  <si>
    <t>ENST00000485341</t>
  </si>
  <si>
    <t>P33316</t>
  </si>
  <si>
    <t>ENST00000331200</t>
  </si>
  <si>
    <t>ENST00000455976</t>
  </si>
  <si>
    <t>ENST00000558367</t>
  </si>
  <si>
    <t>ENST00000558472</t>
  </si>
  <si>
    <t>ENST00000558813</t>
  </si>
  <si>
    <t>ENST00000558978</t>
  </si>
  <si>
    <t>ENST00000559416</t>
  </si>
  <si>
    <t>ENST00000559540</t>
  </si>
  <si>
    <t>ENST00000559852</t>
  </si>
  <si>
    <t>ENST00000559935</t>
  </si>
  <si>
    <t>ENST00000561350</t>
  </si>
  <si>
    <t>P33552</t>
  </si>
  <si>
    <t>ENST00000314355</t>
  </si>
  <si>
    <t>P33897</t>
  </si>
  <si>
    <t>ENST00000218104</t>
  </si>
  <si>
    <t>ENST00000370129</t>
  </si>
  <si>
    <t>P33991</t>
  </si>
  <si>
    <t>ENST00000262105</t>
  </si>
  <si>
    <t>ENST00000517709</t>
  </si>
  <si>
    <t>ENST00000518680</t>
  </si>
  <si>
    <t>ENST00000519138</t>
  </si>
  <si>
    <t>ENST00000519170</t>
  </si>
  <si>
    <t>ENST00000519470</t>
  </si>
  <si>
    <t>ENST00000520994</t>
  </si>
  <si>
    <t>ENST00000521151</t>
  </si>
  <si>
    <t>ENST00000521261</t>
  </si>
  <si>
    <t>ENST00000523853</t>
  </si>
  <si>
    <t>ENST00000523944</t>
  </si>
  <si>
    <t>P33992</t>
  </si>
  <si>
    <t>ENST00000216122</t>
  </si>
  <si>
    <t>ENST00000416905</t>
  </si>
  <si>
    <t>ENST00000417343</t>
  </si>
  <si>
    <t>ENST00000493076</t>
  </si>
  <si>
    <t>P33993</t>
  </si>
  <si>
    <t>ENST00000303887</t>
  </si>
  <si>
    <t>ENST00000343023</t>
  </si>
  <si>
    <t>ENST00000425308</t>
  </si>
  <si>
    <t>ENST00000463722</t>
  </si>
  <si>
    <t>ENST00000465688</t>
  </si>
  <si>
    <t>ENST00000465738</t>
  </si>
  <si>
    <t>ENST00000467516</t>
  </si>
  <si>
    <t>ENST00000485286</t>
  </si>
  <si>
    <t>ENST00000489841</t>
  </si>
  <si>
    <t>ENST00000493352</t>
  </si>
  <si>
    <t>P34059</t>
  </si>
  <si>
    <t>ENST00000268695</t>
  </si>
  <si>
    <t>ENST00000561812</t>
  </si>
  <si>
    <t>ENST00000562593</t>
  </si>
  <si>
    <t>ENST00000564263</t>
  </si>
  <si>
    <t>ENST00000565364</t>
  </si>
  <si>
    <t>ENST00000566563</t>
  </si>
  <si>
    <t>ENST00000567779</t>
  </si>
  <si>
    <t>ENST00000568311</t>
  </si>
  <si>
    <t>ENST00000568613</t>
  </si>
  <si>
    <t>P34910</t>
  </si>
  <si>
    <t>ENST00000330927</t>
  </si>
  <si>
    <t>ENST00000577894</t>
  </si>
  <si>
    <t>P34913</t>
  </si>
  <si>
    <t>ENST00000520623</t>
  </si>
  <si>
    <t>ENST00000521400</t>
  </si>
  <si>
    <t>ENST00000521684</t>
  </si>
  <si>
    <t>ENST00000521924</t>
  </si>
  <si>
    <t>ENST00000523326</t>
  </si>
  <si>
    <t>P34931</t>
  </si>
  <si>
    <t>ENST00000375654</t>
  </si>
  <si>
    <t>P34932</t>
  </si>
  <si>
    <t>ENST00000304858</t>
  </si>
  <si>
    <t>ENST00000514825</t>
  </si>
  <si>
    <t>P34947</t>
  </si>
  <si>
    <t>ENST00000392870</t>
  </si>
  <si>
    <t>P34949</t>
  </si>
  <si>
    <t>ENST00000352410</t>
  </si>
  <si>
    <t>ENST00000535694</t>
  </si>
  <si>
    <t>ENST00000561470</t>
  </si>
  <si>
    <t>ENST00000563422</t>
  </si>
  <si>
    <t>ENST00000565576</t>
  </si>
  <si>
    <t>ENST00000566377</t>
  </si>
  <si>
    <t>ENST00000566556</t>
  </si>
  <si>
    <t>ENST00000567116</t>
  </si>
  <si>
    <t>ENST00000567132</t>
  </si>
  <si>
    <t>ENST00000567570</t>
  </si>
  <si>
    <t>ENST00000568303</t>
  </si>
  <si>
    <t>ENST00000568840</t>
  </si>
  <si>
    <t>ENST00000569233</t>
  </si>
  <si>
    <t>ENST00000569931</t>
  </si>
  <si>
    <t>P35080</t>
  </si>
  <si>
    <t>ENST00000239940</t>
  </si>
  <si>
    <t>ENST00000452853</t>
  </si>
  <si>
    <t>ENST00000461868</t>
  </si>
  <si>
    <t>ENST00000497060</t>
  </si>
  <si>
    <t>P35219</t>
  </si>
  <si>
    <t>ENST00000317995</t>
  </si>
  <si>
    <t>P35221</t>
  </si>
  <si>
    <t>ENST00000302763</t>
  </si>
  <si>
    <t>ENST00000517534</t>
  </si>
  <si>
    <t>ENST00000517904</t>
  </si>
  <si>
    <t>ENST00000518825</t>
  </si>
  <si>
    <t>ENST00000518919</t>
  </si>
  <si>
    <t>ENST00000519489</t>
  </si>
  <si>
    <t>ENST00000521387</t>
  </si>
  <si>
    <t>ENST00000521724</t>
  </si>
  <si>
    <t>ENST00000522730</t>
  </si>
  <si>
    <t>ENST00000522792</t>
  </si>
  <si>
    <t>P35226</t>
  </si>
  <si>
    <t>ENST00000376663</t>
  </si>
  <si>
    <t>ENST00000442508</t>
  </si>
  <si>
    <t>ENST00000456675</t>
  </si>
  <si>
    <t>ENST00000490311</t>
  </si>
  <si>
    <t>ENST00000496174</t>
  </si>
  <si>
    <t>ENST00000602358</t>
  </si>
  <si>
    <t>ENST00000602523</t>
  </si>
  <si>
    <t>ENST00000602524</t>
  </si>
  <si>
    <t>P35232</t>
  </si>
  <si>
    <t>ENST00000300408</t>
  </si>
  <si>
    <t>ENST00000393345</t>
  </si>
  <si>
    <t>ENST00000419140</t>
  </si>
  <si>
    <t>ENST00000504124</t>
  </si>
  <si>
    <t>ENST00000507748</t>
  </si>
  <si>
    <t>ENST00000511933</t>
  </si>
  <si>
    <t>ENST00000513412</t>
  </si>
  <si>
    <t>P35236</t>
  </si>
  <si>
    <t>ENST00000309017</t>
  </si>
  <si>
    <t>ENST00000367279</t>
  </si>
  <si>
    <t>ENST00000467283</t>
  </si>
  <si>
    <t>ENST00000468385</t>
  </si>
  <si>
    <t>ENST00000476061</t>
  </si>
  <si>
    <t>ENST00000477625</t>
  </si>
  <si>
    <t>ENST00000479092</t>
  </si>
  <si>
    <t>ENST00000486116</t>
  </si>
  <si>
    <t>ENST00000492977</t>
  </si>
  <si>
    <t>ENST00000495688</t>
  </si>
  <si>
    <t>ENST00000496197</t>
  </si>
  <si>
    <t>P35237</t>
  </si>
  <si>
    <t>ENST00000335686</t>
  </si>
  <si>
    <t>ENST00000380520</t>
  </si>
  <si>
    <t>ENST00000380524</t>
  </si>
  <si>
    <t>ENST00000380529</t>
  </si>
  <si>
    <t>ENST00000380539</t>
  </si>
  <si>
    <t>ENST00000380546</t>
  </si>
  <si>
    <t>P35240</t>
  </si>
  <si>
    <t>ENST00000338641</t>
  </si>
  <si>
    <t>ENST00000361166</t>
  </si>
  <si>
    <t>ENST00000361452</t>
  </si>
  <si>
    <t>ENST00000403435</t>
  </si>
  <si>
    <t>ENST00000403999</t>
  </si>
  <si>
    <t>P35241</t>
  </si>
  <si>
    <t>ENST00000343115</t>
  </si>
  <si>
    <t>ENST00000527537</t>
  </si>
  <si>
    <t>ENST00000529774</t>
  </si>
  <si>
    <t>ENST00000530085</t>
  </si>
  <si>
    <t>ENST00000532461</t>
  </si>
  <si>
    <t>ENST00000533961</t>
  </si>
  <si>
    <t>P35244</t>
  </si>
  <si>
    <t>ENST00000223129</t>
  </si>
  <si>
    <t>ENST00000401447</t>
  </si>
  <si>
    <t>ENST00000406109</t>
  </si>
  <si>
    <t>ENST00000462723</t>
  </si>
  <si>
    <t>ENST00000463632</t>
  </si>
  <si>
    <t>ENST00000483031</t>
  </si>
  <si>
    <t>P35250</t>
  </si>
  <si>
    <t>ENST00000055077</t>
  </si>
  <si>
    <t>ENST00000352131</t>
  </si>
  <si>
    <t>ENST00000463194</t>
  </si>
  <si>
    <t>ENST00000470266</t>
  </si>
  <si>
    <t>ENST00000479105</t>
  </si>
  <si>
    <t>ENST00000480432</t>
  </si>
  <si>
    <t>ENST00000485545</t>
  </si>
  <si>
    <t>ENST00000491206</t>
  </si>
  <si>
    <t>ENST00000494019</t>
  </si>
  <si>
    <t>ENST00000497430</t>
  </si>
  <si>
    <t>P35268</t>
  </si>
  <si>
    <t>ENST00000234875</t>
  </si>
  <si>
    <t>ENST00000462296</t>
  </si>
  <si>
    <t>ENST00000465387</t>
  </si>
  <si>
    <t>ENST00000480661</t>
  </si>
  <si>
    <t>ENST00000484532</t>
  </si>
  <si>
    <t>P35269</t>
  </si>
  <si>
    <t>ENST00000394456</t>
  </si>
  <si>
    <t>ENST00000594213</t>
  </si>
  <si>
    <t>ENST00000594965</t>
  </si>
  <si>
    <t>ENST00000595047</t>
  </si>
  <si>
    <t>P35408</t>
  </si>
  <si>
    <t>ENST00000302472</t>
  </si>
  <si>
    <t>ENST00000512578</t>
  </si>
  <si>
    <t>ENST00000513635</t>
  </si>
  <si>
    <t>ENST00000514343</t>
  </si>
  <si>
    <t>P35475</t>
  </si>
  <si>
    <t>ENST00000247933</t>
  </si>
  <si>
    <t>ENST00000502829</t>
  </si>
  <si>
    <t>ENST00000504568</t>
  </si>
  <si>
    <t>ENST00000506561</t>
  </si>
  <si>
    <t>ENST00000509744</t>
  </si>
  <si>
    <t>ENST00000509948</t>
  </si>
  <si>
    <t>ENST00000514192</t>
  </si>
  <si>
    <t>ENST00000514224</t>
  </si>
  <si>
    <t>ENST00000514417</t>
  </si>
  <si>
    <t>ENST00000514698</t>
  </si>
  <si>
    <t>P35573</t>
  </si>
  <si>
    <t>ENST00000294724</t>
  </si>
  <si>
    <t>ENST00000361522</t>
  </si>
  <si>
    <t>ENST00000361915</t>
  </si>
  <si>
    <t>ENST00000477753</t>
  </si>
  <si>
    <t>P35579</t>
  </si>
  <si>
    <t>ENST00000216181</t>
  </si>
  <si>
    <t>ENST00000401701</t>
  </si>
  <si>
    <t>ENST00000459960</t>
  </si>
  <si>
    <t>ENST00000463027</t>
  </si>
  <si>
    <t>ENST00000472210</t>
  </si>
  <si>
    <t>ENST00000473022</t>
  </si>
  <si>
    <t>ENST00000475726</t>
  </si>
  <si>
    <t>ENST00000477189</t>
  </si>
  <si>
    <t>ENST00000486218</t>
  </si>
  <si>
    <t>ENST00000495928</t>
  </si>
  <si>
    <t>P35580</t>
  </si>
  <si>
    <t>ENST00000360416</t>
  </si>
  <si>
    <t>P35610</t>
  </si>
  <si>
    <t>ENST00000367619</t>
  </si>
  <si>
    <t>ENST00000426956</t>
  </si>
  <si>
    <t>ENST00000539888</t>
  </si>
  <si>
    <t>ENST00000540564</t>
  </si>
  <si>
    <t>P35612</t>
  </si>
  <si>
    <t>ENST00000264436</t>
  </si>
  <si>
    <t>ENST00000413157</t>
  </si>
  <si>
    <t>P35626</t>
  </si>
  <si>
    <t>ENST00000324198</t>
  </si>
  <si>
    <t>P35659</t>
  </si>
  <si>
    <t>ENST00000244776</t>
  </si>
  <si>
    <t>ENST00000397239</t>
  </si>
  <si>
    <t>ENST00000505224</t>
  </si>
  <si>
    <t>ENST00000507591</t>
  </si>
  <si>
    <t>ENST00000512145</t>
  </si>
  <si>
    <t>ENST00000515742</t>
  </si>
  <si>
    <t>ENST00000515770</t>
  </si>
  <si>
    <t>P35754</t>
  </si>
  <si>
    <t>ENST00000237858</t>
  </si>
  <si>
    <t>ENST00000379979</t>
  </si>
  <si>
    <t>ENST00000505427</t>
  </si>
  <si>
    <t>ENST00000507412</t>
  </si>
  <si>
    <t>ENST00000507605</t>
  </si>
  <si>
    <t>ENST00000512469</t>
  </si>
  <si>
    <t>P35813</t>
  </si>
  <si>
    <t>ENST00000325658</t>
  </si>
  <si>
    <t>ENST00000395076</t>
  </si>
  <si>
    <t>ENST00000525399</t>
  </si>
  <si>
    <t>ENST00000528241</t>
  </si>
  <si>
    <t>P35869</t>
  </si>
  <si>
    <t>ENST00000242057</t>
  </si>
  <si>
    <t>ENST00000475440</t>
  </si>
  <si>
    <t>ENST00000481944</t>
  </si>
  <si>
    <t>ENST00000492120</t>
  </si>
  <si>
    <t>P35914</t>
  </si>
  <si>
    <t>ENST00000374490</t>
  </si>
  <si>
    <t>ENST00000479458</t>
  </si>
  <si>
    <t>ENST00000496907</t>
  </si>
  <si>
    <t>ENST00000498698</t>
  </si>
  <si>
    <t>ENST00000509389</t>
  </si>
  <si>
    <t>ENST00000513148</t>
  </si>
  <si>
    <t>P35998</t>
  </si>
  <si>
    <t>ENST00000292644</t>
  </si>
  <si>
    <t>ENST00000435765</t>
  </si>
  <si>
    <t>ENST00000460021</t>
  </si>
  <si>
    <t>P36404</t>
  </si>
  <si>
    <t>ENST00000246747</t>
  </si>
  <si>
    <t>ENST00000524585</t>
  </si>
  <si>
    <t>ENST00000529254</t>
  </si>
  <si>
    <t>ENST00000529384</t>
  </si>
  <si>
    <t>ENST00000531533</t>
  </si>
  <si>
    <t>P36405</t>
  </si>
  <si>
    <t>ENST00000260746</t>
  </si>
  <si>
    <t>P36507</t>
  </si>
  <si>
    <t>ENST00000262948</t>
  </si>
  <si>
    <t>ENST00000593364</t>
  </si>
  <si>
    <t>ENST00000595715</t>
  </si>
  <si>
    <t>ENST00000597008</t>
  </si>
  <si>
    <t>ENST00000597263</t>
  </si>
  <si>
    <t>ENST00000599345</t>
  </si>
  <si>
    <t>ENST00000600584</t>
  </si>
  <si>
    <t>ENST00000601786</t>
  </si>
  <si>
    <t>ENST00000602167</t>
  </si>
  <si>
    <t>P36551</t>
  </si>
  <si>
    <t>ENST00000264193</t>
  </si>
  <si>
    <t>ENST00000510489</t>
  </si>
  <si>
    <t>ENST00000515041</t>
  </si>
  <si>
    <t>P36578</t>
  </si>
  <si>
    <t>ENST00000307961</t>
  </si>
  <si>
    <t>ENST00000561554</t>
  </si>
  <si>
    <t>ENST00000561775</t>
  </si>
  <si>
    <t>ENST00000564647</t>
  </si>
  <si>
    <t>ENST00000564744</t>
  </si>
  <si>
    <t>ENST00000565723</t>
  </si>
  <si>
    <t>ENST00000566039</t>
  </si>
  <si>
    <t>ENST00000566491</t>
  </si>
  <si>
    <t>ENST00000566622</t>
  </si>
  <si>
    <t>ENST00000566624</t>
  </si>
  <si>
    <t>ENST00000567229</t>
  </si>
  <si>
    <t>ENST00000568588</t>
  </si>
  <si>
    <t>ENST00000569438</t>
  </si>
  <si>
    <t>P36871</t>
  </si>
  <si>
    <t>ENST00000371083</t>
  </si>
  <si>
    <t>ENST00000371084</t>
  </si>
  <si>
    <t>ENST00000483707</t>
  </si>
  <si>
    <t>ENST00000540265</t>
  </si>
  <si>
    <t>P36873</t>
  </si>
  <si>
    <t>ENST00000335007</t>
  </si>
  <si>
    <t>ENST00000340766</t>
  </si>
  <si>
    <t>ENST00000546904</t>
  </si>
  <si>
    <t>ENST00000546933</t>
  </si>
  <si>
    <t>ENST00000550991</t>
  </si>
  <si>
    <t>ENST00000551676</t>
  </si>
  <si>
    <t>ENST00000551690</t>
  </si>
  <si>
    <t>ENST00000553024</t>
  </si>
  <si>
    <t>P36915</t>
  </si>
  <si>
    <t>ENST00000376621</t>
  </si>
  <si>
    <t>ENST00000433809</t>
  </si>
  <si>
    <t>ENST00000462708</t>
  </si>
  <si>
    <t>ENST00000464231</t>
  </si>
  <si>
    <t>ENST00000487166</t>
  </si>
  <si>
    <t>P36954</t>
  </si>
  <si>
    <t>ENST00000221859</t>
  </si>
  <si>
    <t>ENST00000586789</t>
  </si>
  <si>
    <t>ENST00000589069</t>
  </si>
  <si>
    <t>ENST00000589591</t>
  </si>
  <si>
    <t>ENST00000592962</t>
  </si>
  <si>
    <t>P36957</t>
  </si>
  <si>
    <t>ENST00000238671</t>
  </si>
  <si>
    <t>ENST00000334220</t>
  </si>
  <si>
    <t>ENST00000550473</t>
  </si>
  <si>
    <t>ENST00000554806</t>
  </si>
  <si>
    <t>ENST00000555071</t>
  </si>
  <si>
    <t>ENST00000555190</t>
  </si>
  <si>
    <t>ENST00000555492</t>
  </si>
  <si>
    <t>ENST00000555988</t>
  </si>
  <si>
    <t>ENST00000556190</t>
  </si>
  <si>
    <t>ENST00000556460</t>
  </si>
  <si>
    <t>ENST00000556582</t>
  </si>
  <si>
    <t>ENST00000557012</t>
  </si>
  <si>
    <t>P36959</t>
  </si>
  <si>
    <t>ENST00000259727</t>
  </si>
  <si>
    <t>ENST00000540478</t>
  </si>
  <si>
    <t>P37108</t>
  </si>
  <si>
    <t>ENST00000267884</t>
  </si>
  <si>
    <t>ENST00000558243</t>
  </si>
  <si>
    <t>ENST00000558720</t>
  </si>
  <si>
    <t>ENST00000559081</t>
  </si>
  <si>
    <t>ENST00000559439</t>
  </si>
  <si>
    <t>ENST00000559475</t>
  </si>
  <si>
    <t>P37173</t>
  </si>
  <si>
    <t>ENST00000295754</t>
  </si>
  <si>
    <t>ENST00000359013</t>
  </si>
  <si>
    <t>P37198</t>
  </si>
  <si>
    <t>ENST00000352066</t>
  </si>
  <si>
    <t>ENST00000413454</t>
  </si>
  <si>
    <t>ENST00000422090</t>
  </si>
  <si>
    <t>ENST00000593652</t>
  </si>
  <si>
    <t>ENST00000594673</t>
  </si>
  <si>
    <t>ENST00000596217</t>
  </si>
  <si>
    <t>ENST00000597029</t>
  </si>
  <si>
    <t>ENST00000597723</t>
  </si>
  <si>
    <t>ENST00000599560</t>
  </si>
  <si>
    <t>ENST00000600583</t>
  </si>
  <si>
    <t>P37235</t>
  </si>
  <si>
    <t>ENST00000307845</t>
  </si>
  <si>
    <t>ENST00000381765</t>
  </si>
  <si>
    <t>ENST00000419810</t>
  </si>
  <si>
    <t>ENST00000422133</t>
  </si>
  <si>
    <t>ENST00000423674</t>
  </si>
  <si>
    <t>P37268</t>
  </si>
  <si>
    <t>ENST00000220584</t>
  </si>
  <si>
    <t>ENST00000525283</t>
  </si>
  <si>
    <t>ENST00000525571</t>
  </si>
  <si>
    <t>ENST00000525607</t>
  </si>
  <si>
    <t>ENST00000525777</t>
  </si>
  <si>
    <t>ENST00000525954</t>
  </si>
  <si>
    <t>ENST00000527045</t>
  </si>
  <si>
    <t>ENST00000528729</t>
  </si>
  <si>
    <t>ENST00000528812</t>
  </si>
  <si>
    <t>ENST00000529521</t>
  </si>
  <si>
    <t>ENST00000530664</t>
  </si>
  <si>
    <t>ENST00000531249</t>
  </si>
  <si>
    <t>ENST00000531733</t>
  </si>
  <si>
    <t>ENST00000532266</t>
  </si>
  <si>
    <t>P37802</t>
  </si>
  <si>
    <t>ENST00000320307</t>
  </si>
  <si>
    <t>ENST00000368096</t>
  </si>
  <si>
    <t>ENST00000368097</t>
  </si>
  <si>
    <t>ENST00000397334</t>
  </si>
  <si>
    <t>ENST00000478033</t>
  </si>
  <si>
    <t>P37837</t>
  </si>
  <si>
    <t>ENST00000319006</t>
  </si>
  <si>
    <t>ENST00000528070</t>
  </si>
  <si>
    <t>ENST00000528097</t>
  </si>
  <si>
    <t>ENST00000530119</t>
  </si>
  <si>
    <t>ENST00000530440</t>
  </si>
  <si>
    <t>ENST00000530666</t>
  </si>
  <si>
    <t>ENST00000532202</t>
  </si>
  <si>
    <t>ENST00000532685</t>
  </si>
  <si>
    <t>ENST00000533796</t>
  </si>
  <si>
    <t>P38117</t>
  </si>
  <si>
    <t>ENST00000309244</t>
  </si>
  <si>
    <t>ENST00000354232</t>
  </si>
  <si>
    <t>ENST00000593992</t>
  </si>
  <si>
    <t>ENST00000594361</t>
  </si>
  <si>
    <t>P38432</t>
  </si>
  <si>
    <t>ENST00000240316</t>
  </si>
  <si>
    <t>P38646</t>
  </si>
  <si>
    <t>ENST00000297185</t>
  </si>
  <si>
    <t>ENST00000501917</t>
  </si>
  <si>
    <t>ENST00000504810</t>
  </si>
  <si>
    <t>ENST00000504902</t>
  </si>
  <si>
    <t>ENST00000505110</t>
  </si>
  <si>
    <t>ENST00000506477</t>
  </si>
  <si>
    <t>ENST00000507097</t>
  </si>
  <si>
    <t>ENST00000507115</t>
  </si>
  <si>
    <t>ENST00000507886</t>
  </si>
  <si>
    <t>ENST00000508003</t>
  </si>
  <si>
    <t>ENST00000512328</t>
  </si>
  <si>
    <t>ENST00000523929</t>
  </si>
  <si>
    <t>ENST00000524109</t>
  </si>
  <si>
    <t>P38919</t>
  </si>
  <si>
    <t>ENST00000269349</t>
  </si>
  <si>
    <t>ENST00000570625</t>
  </si>
  <si>
    <t>ENST00000570837</t>
  </si>
  <si>
    <t>ENST00000575668</t>
  </si>
  <si>
    <t>ENST00000575957</t>
  </si>
  <si>
    <t>ENST00000575978</t>
  </si>
  <si>
    <t>ENST00000576547</t>
  </si>
  <si>
    <t>ENST00000576573</t>
  </si>
  <si>
    <t>P38935</t>
  </si>
  <si>
    <t>ENST00000255078</t>
  </si>
  <si>
    <t>ENST00000536803</t>
  </si>
  <si>
    <t>ENST00000537458</t>
  </si>
  <si>
    <t>ENST00000539064</t>
  </si>
  <si>
    <t>ENST00000539224</t>
  </si>
  <si>
    <t>ENST00000541229</t>
  </si>
  <si>
    <t>ENST00000544521</t>
  </si>
  <si>
    <t>ENST00000544541</t>
  </si>
  <si>
    <t>ENST00000545146</t>
  </si>
  <si>
    <t>ENST00000545475</t>
  </si>
  <si>
    <t>ENST00000568742</t>
  </si>
  <si>
    <t>P38936</t>
  </si>
  <si>
    <t>ENST00000244741</t>
  </si>
  <si>
    <t>ENST00000373711</t>
  </si>
  <si>
    <t>ENST00000405375</t>
  </si>
  <si>
    <t>ENST00000462537</t>
  </si>
  <si>
    <t>ENST00000478800</t>
  </si>
  <si>
    <t>P39019</t>
  </si>
  <si>
    <t>ENST00000593863</t>
  </si>
  <si>
    <t>ENST00000598261</t>
  </si>
  <si>
    <t>ENST00000598399</t>
  </si>
  <si>
    <t>ENST00000598466</t>
  </si>
  <si>
    <t>ENST00000598742</t>
  </si>
  <si>
    <t>ENST00000600467</t>
  </si>
  <si>
    <t>ENST00000601492</t>
  </si>
  <si>
    <t>P39023</t>
  </si>
  <si>
    <t>ENST00000216146</t>
  </si>
  <si>
    <t>ENST00000401609</t>
  </si>
  <si>
    <t>ENST00000402527</t>
  </si>
  <si>
    <t>ENST00000420536</t>
  </si>
  <si>
    <t>ENST00000453303</t>
  </si>
  <si>
    <t>ENST00000459859</t>
  </si>
  <si>
    <t>ENST00000460589</t>
  </si>
  <si>
    <t>ENST00000461967</t>
  </si>
  <si>
    <t>ENST00000464182</t>
  </si>
  <si>
    <t>ENST00000465618</t>
  </si>
  <si>
    <t>ENST00000467105</t>
  </si>
  <si>
    <t>ENST00000471290</t>
  </si>
  <si>
    <t>ENST00000473638</t>
  </si>
  <si>
    <t>ENST00000481985</t>
  </si>
  <si>
    <t>ENST00000484358</t>
  </si>
  <si>
    <t>ENST00000484615</t>
  </si>
  <si>
    <t>ENST00000498462</t>
  </si>
  <si>
    <t>P39656</t>
  </si>
  <si>
    <t>ENST00000375048</t>
  </si>
  <si>
    <t>ENST00000415136</t>
  </si>
  <si>
    <t>ENST00000475210</t>
  </si>
  <si>
    <t>ENST00000477229</t>
  </si>
  <si>
    <t>ENST00000602624</t>
  </si>
  <si>
    <t>P39687</t>
  </si>
  <si>
    <t>ENST00000409628</t>
  </si>
  <si>
    <t>ENST00000465139</t>
  </si>
  <si>
    <t>ENST00000480858</t>
  </si>
  <si>
    <t>ENST00000483221</t>
  </si>
  <si>
    <t>ENST00000483551</t>
  </si>
  <si>
    <t>ENST00000486054</t>
  </si>
  <si>
    <t>ENST00000495420</t>
  </si>
  <si>
    <t>ENST00000495764</t>
  </si>
  <si>
    <t>ENST00000561430</t>
  </si>
  <si>
    <t>P39748</t>
  </si>
  <si>
    <t>ENST00000305885</t>
  </si>
  <si>
    <t>ENST00000535307</t>
  </si>
  <si>
    <t>P40189</t>
  </si>
  <si>
    <t>ENST00000336909</t>
  </si>
  <si>
    <t>ENST00000381287</t>
  </si>
  <si>
    <t>ENST00000381294</t>
  </si>
  <si>
    <t>ENST00000381298</t>
  </si>
  <si>
    <t>ENST00000396816</t>
  </si>
  <si>
    <t>ENST00000423954</t>
  </si>
  <si>
    <t>ENST00000503773</t>
  </si>
  <si>
    <t>ENST00000506241</t>
  </si>
  <si>
    <t>ENST00000522633</t>
  </si>
  <si>
    <t>ENST00000523039</t>
  </si>
  <si>
    <t>ENST00000577363</t>
  </si>
  <si>
    <t>ENST00000583149</t>
  </si>
  <si>
    <t>P40197</t>
  </si>
  <si>
    <t>ENST00000401815</t>
  </si>
  <si>
    <t>P40222</t>
  </si>
  <si>
    <t>ENST00000373609</t>
  </si>
  <si>
    <t>ENST00000373610</t>
  </si>
  <si>
    <t>P40227</t>
  </si>
  <si>
    <t>ENST00000275603</t>
  </si>
  <si>
    <t>ENST00000335503</t>
  </si>
  <si>
    <t>ENST00000462133</t>
  </si>
  <si>
    <t>ENST00000466572</t>
  </si>
  <si>
    <t>ENST00000482776</t>
  </si>
  <si>
    <t>ENST00000492618</t>
  </si>
  <si>
    <t>ENST00000493855</t>
  </si>
  <si>
    <t>ENST00000494736</t>
  </si>
  <si>
    <t>P40306</t>
  </si>
  <si>
    <t>ENST00000358514</t>
  </si>
  <si>
    <t>ENST00000570304</t>
  </si>
  <si>
    <t>ENST00000570985</t>
  </si>
  <si>
    <t>ENST00000574576</t>
  </si>
  <si>
    <t>ENST00000575556</t>
  </si>
  <si>
    <t>P40425</t>
  </si>
  <si>
    <t>ENST00000375050</t>
  </si>
  <si>
    <t>ENST00000478678</t>
  </si>
  <si>
    <t>ENST00000480254</t>
  </si>
  <si>
    <t>ENST00000495300</t>
  </si>
  <si>
    <t>ENST00000496171</t>
  </si>
  <si>
    <t>P40429</t>
  </si>
  <si>
    <t>ENST00000391857</t>
  </si>
  <si>
    <t>ENST00000467825</t>
  </si>
  <si>
    <t>ENST00000468655</t>
  </si>
  <si>
    <t>ENST00000472481</t>
  </si>
  <si>
    <t>ENST00000474171</t>
  </si>
  <si>
    <t>ENST00000476300</t>
  </si>
  <si>
    <t>ENST00000477613</t>
  </si>
  <si>
    <t>ENST00000479992</t>
  </si>
  <si>
    <t>ENST00000484279</t>
  </si>
  <si>
    <t>ENST00000486930</t>
  </si>
  <si>
    <t>ENST00000488946</t>
  </si>
  <si>
    <t>P40692</t>
  </si>
  <si>
    <t>ENST00000231790</t>
  </si>
  <si>
    <t>ENST00000413212</t>
  </si>
  <si>
    <t>ENST00000432299</t>
  </si>
  <si>
    <t>ENST00000441265</t>
  </si>
  <si>
    <t>ENST00000447829</t>
  </si>
  <si>
    <t>ENST00000476172</t>
  </si>
  <si>
    <t>ENST00000536378</t>
  </si>
  <si>
    <t>ENST00000539477</t>
  </si>
  <si>
    <t>P40818</t>
  </si>
  <si>
    <t>ENST00000307179</t>
  </si>
  <si>
    <t>ENST00000396444</t>
  </si>
  <si>
    <t>ENST00000419830</t>
  </si>
  <si>
    <t>ENST00000558892</t>
  </si>
  <si>
    <t>ENST00000559242</t>
  </si>
  <si>
    <t>ENST00000559329</t>
  </si>
  <si>
    <t>ENST00000560297</t>
  </si>
  <si>
    <t>ENST00000560379</t>
  </si>
  <si>
    <t>ENST00000561206</t>
  </si>
  <si>
    <t>ENST00000561211</t>
  </si>
  <si>
    <t>P40855</t>
  </si>
  <si>
    <t>ENST00000368072</t>
  </si>
  <si>
    <t>ENST00000392220</t>
  </si>
  <si>
    <t>ENST00000467711</t>
  </si>
  <si>
    <t>ENST00000472750</t>
  </si>
  <si>
    <t>ENST00000495624</t>
  </si>
  <si>
    <t>ENST00000524939</t>
  </si>
  <si>
    <t>ENST00000532508</t>
  </si>
  <si>
    <t>ENST00000532516</t>
  </si>
  <si>
    <t>ENST00000532643</t>
  </si>
  <si>
    <t>ENST00000533104</t>
  </si>
  <si>
    <t>P40925</t>
  </si>
  <si>
    <t>ENST00000233114</t>
  </si>
  <si>
    <t>ENST00000409476</t>
  </si>
  <si>
    <t>ENST00000421012</t>
  </si>
  <si>
    <t>ENST00000432309</t>
  </si>
  <si>
    <t>ENST00000436321</t>
  </si>
  <si>
    <t>ENST00000442225</t>
  </si>
  <si>
    <t>ENST00000462944</t>
  </si>
  <si>
    <t>ENST00000472098</t>
  </si>
  <si>
    <t>ENST00000484538</t>
  </si>
  <si>
    <t>ENST00000485155</t>
  </si>
  <si>
    <t>ENST00000485781</t>
  </si>
  <si>
    <t>ENST00000495083</t>
  </si>
  <si>
    <t>ENST00000539945</t>
  </si>
  <si>
    <t>ENST00000544381</t>
  </si>
  <si>
    <t>P40926</t>
  </si>
  <si>
    <t>ENST00000315758</t>
  </si>
  <si>
    <t>ENST00000424167</t>
  </si>
  <si>
    <t>ENST00000443006</t>
  </si>
  <si>
    <t>ENST00000461263</t>
  </si>
  <si>
    <t>ENST00000461665</t>
  </si>
  <si>
    <t>ENST00000490105</t>
  </si>
  <si>
    <t>ENST00000492663</t>
  </si>
  <si>
    <t>P40937</t>
  </si>
  <si>
    <t>ENST00000454402</t>
  </si>
  <si>
    <t>ENST00000472603</t>
  </si>
  <si>
    <t>ENST00000543153</t>
  </si>
  <si>
    <t>P40938</t>
  </si>
  <si>
    <t>ENST00000380071</t>
  </si>
  <si>
    <t>P40939</t>
  </si>
  <si>
    <t>ENST00000380649</t>
  </si>
  <si>
    <t>ENST00000471743</t>
  </si>
  <si>
    <t>ENST00000492433</t>
  </si>
  <si>
    <t>P41091</t>
  </si>
  <si>
    <t>ENST00000253039</t>
  </si>
  <si>
    <t>ENST00000423068</t>
  </si>
  <si>
    <t>ENST00000460032</t>
  </si>
  <si>
    <t>ENST00000487075</t>
  </si>
  <si>
    <t>P41162</t>
  </si>
  <si>
    <t>ENST00000326786</t>
  </si>
  <si>
    <t>ENST00000368192</t>
  </si>
  <si>
    <t>ENST00000460850</t>
  </si>
  <si>
    <t>P41208</t>
  </si>
  <si>
    <t>ENST00000370277</t>
  </si>
  <si>
    <t>ENST00000493482</t>
  </si>
  <si>
    <t>P41212</t>
  </si>
  <si>
    <t>ENST00000396373</t>
  </si>
  <si>
    <t>ENST00000541426</t>
  </si>
  <si>
    <t>ENST00000544715</t>
  </si>
  <si>
    <t>ENST00000545027</t>
  </si>
  <si>
    <t>P41214</t>
  </si>
  <si>
    <t>ENST00000271764</t>
  </si>
  <si>
    <t>ENST00000367114</t>
  </si>
  <si>
    <t>ENST00000437518</t>
  </si>
  <si>
    <t>ENST00000461334</t>
  </si>
  <si>
    <t>ENST00000468891</t>
  </si>
  <si>
    <t>ENST00000474408</t>
  </si>
  <si>
    <t>ENST00000484492</t>
  </si>
  <si>
    <t>P41218</t>
  </si>
  <si>
    <t>ENST00000368141</t>
  </si>
  <si>
    <t>ENST00000491210</t>
  </si>
  <si>
    <t>P41223</t>
  </si>
  <si>
    <t>ENST00000222969</t>
  </si>
  <si>
    <t>ENST00000403633</t>
  </si>
  <si>
    <t>ENST00000427499</t>
  </si>
  <si>
    <t>ENST00000431419</t>
  </si>
  <si>
    <t>ENST00000456893</t>
  </si>
  <si>
    <t>ENST00000466798</t>
  </si>
  <si>
    <t>ENST00000471813</t>
  </si>
  <si>
    <t>ENST00000473447</t>
  </si>
  <si>
    <t>ENST00000496696</t>
  </si>
  <si>
    <t>P41226</t>
  </si>
  <si>
    <t>ENST00000333486</t>
  </si>
  <si>
    <t>ENST00000460516</t>
  </si>
  <si>
    <t>ENST00000460703</t>
  </si>
  <si>
    <t>ENST00000473992</t>
  </si>
  <si>
    <t>ENST00000478875</t>
  </si>
  <si>
    <t>ENST00000483751</t>
  </si>
  <si>
    <t>ENST00000488536</t>
  </si>
  <si>
    <t>ENST00000494212</t>
  </si>
  <si>
    <t>ENST00000497908</t>
  </si>
  <si>
    <t>P41227</t>
  </si>
  <si>
    <t>ENST00000370015</t>
  </si>
  <si>
    <t>ENST00000432089</t>
  </si>
  <si>
    <t>ENST00000460996</t>
  </si>
  <si>
    <t>ENST00000464845</t>
  </si>
  <si>
    <t>ENST00000466877</t>
  </si>
  <si>
    <t>ENST00000467451</t>
  </si>
  <si>
    <t>ENST00000477750</t>
  </si>
  <si>
    <t>ENST00000477882</t>
  </si>
  <si>
    <t>ENST00000478177</t>
  </si>
  <si>
    <t>ENST00000482485</t>
  </si>
  <si>
    <t>ENST00000484950</t>
  </si>
  <si>
    <t>ENST00000488481</t>
  </si>
  <si>
    <t>P41236</t>
  </si>
  <si>
    <t>ENST00000413183</t>
  </si>
  <si>
    <t>ENST00000418939</t>
  </si>
  <si>
    <t>ENST00000438848</t>
  </si>
  <si>
    <t>ENST00000460437</t>
  </si>
  <si>
    <t>ENST00000462906</t>
  </si>
  <si>
    <t>P41240</t>
  </si>
  <si>
    <t>ENST00000220003</t>
  </si>
  <si>
    <t>ENST00000439220</t>
  </si>
  <si>
    <t>ENST00000562066</t>
  </si>
  <si>
    <t>ENST00000563894</t>
  </si>
  <si>
    <t>ENST00000564216</t>
  </si>
  <si>
    <t>ENST00000566464</t>
  </si>
  <si>
    <t>ENST00000567135</t>
  </si>
  <si>
    <t>ENST00000567571</t>
  </si>
  <si>
    <t>ENST00000568329</t>
  </si>
  <si>
    <t>ENST00000569321</t>
  </si>
  <si>
    <t>ENST00000569462</t>
  </si>
  <si>
    <t>ENST00000569915</t>
  </si>
  <si>
    <t>P41250</t>
  </si>
  <si>
    <t>ENST00000389266</t>
  </si>
  <si>
    <t>ENST00000444666</t>
  </si>
  <si>
    <t>ENST00000454308</t>
  </si>
  <si>
    <t>ENST00000465748</t>
  </si>
  <si>
    <t>ENST00000478124</t>
  </si>
  <si>
    <t>ENST00000484093</t>
  </si>
  <si>
    <t>ENST00000485784</t>
  </si>
  <si>
    <t>ENST00000496643</t>
  </si>
  <si>
    <t>P41252</t>
  </si>
  <si>
    <t>ENST00000375627</t>
  </si>
  <si>
    <t>ENST00000375643</t>
  </si>
  <si>
    <t>ENST00000395554</t>
  </si>
  <si>
    <t>ENST00000430417</t>
  </si>
  <si>
    <t>ENST00000443024</t>
  </si>
  <si>
    <t>ENST00000447699</t>
  </si>
  <si>
    <t>ENST00000467876</t>
  </si>
  <si>
    <t>ENST00000472894</t>
  </si>
  <si>
    <t>ENST00000473915</t>
  </si>
  <si>
    <t>ENST00000474340</t>
  </si>
  <si>
    <t>ENST00000490438</t>
  </si>
  <si>
    <t>ENST00000498025</t>
  </si>
  <si>
    <t>P41567</t>
  </si>
  <si>
    <t>ENST00000310837</t>
  </si>
  <si>
    <t>ENST00000462917</t>
  </si>
  <si>
    <t>ENST00000469257</t>
  </si>
  <si>
    <t>ENST00000482111</t>
  </si>
  <si>
    <t>ENST00000586699</t>
  </si>
  <si>
    <t>ENST00000591776</t>
  </si>
  <si>
    <t>P41743</t>
  </si>
  <si>
    <t>ENST00000295797</t>
  </si>
  <si>
    <t>ENST00000476635</t>
  </si>
  <si>
    <t>ENST00000482353</t>
  </si>
  <si>
    <t>ENST00000483697</t>
  </si>
  <si>
    <t>ENST00000485837</t>
  </si>
  <si>
    <t>ENST00000488541</t>
  </si>
  <si>
    <t>ENST00000493761</t>
  </si>
  <si>
    <t>P42025</t>
  </si>
  <si>
    <t>ENST00000289228</t>
  </si>
  <si>
    <t>ENST00000451664</t>
  </si>
  <si>
    <t>ENST00000460427</t>
  </si>
  <si>
    <t>P42166</t>
  </si>
  <si>
    <t>ENST00000261210</t>
  </si>
  <si>
    <t>ENST00000266732</t>
  </si>
  <si>
    <t>ENST00000343315</t>
  </si>
  <si>
    <t>ENST00000393053</t>
  </si>
  <si>
    <t>ENST00000547214</t>
  </si>
  <si>
    <t>ENST00000548223</t>
  </si>
  <si>
    <t>ENST00000548911</t>
  </si>
  <si>
    <t>ENST00000551987</t>
  </si>
  <si>
    <t>ENST00000552831</t>
  </si>
  <si>
    <t>ENST00000556029</t>
  </si>
  <si>
    <t>ENST00000556678</t>
  </si>
  <si>
    <t>P42167</t>
  </si>
  <si>
    <t>P42224</t>
  </si>
  <si>
    <t>ENST00000361099</t>
  </si>
  <si>
    <t>ENST00000392322</t>
  </si>
  <si>
    <t>ENST00000392323</t>
  </si>
  <si>
    <t>ENST00000409465</t>
  </si>
  <si>
    <t>ENST00000415035</t>
  </si>
  <si>
    <t>ENST00000423282</t>
  </si>
  <si>
    <t>ENST00000424722</t>
  </si>
  <si>
    <t>ENST00000452281</t>
  </si>
  <si>
    <t>ENST00000464072</t>
  </si>
  <si>
    <t>ENST00000540176</t>
  </si>
  <si>
    <t>P42226</t>
  </si>
  <si>
    <t>ENST00000300134</t>
  </si>
  <si>
    <t>ENST00000454075</t>
  </si>
  <si>
    <t>ENST00000538913</t>
  </si>
  <si>
    <t>ENST00000553275</t>
  </si>
  <si>
    <t>ENST00000553533</t>
  </si>
  <si>
    <t>ENST00000554202</t>
  </si>
  <si>
    <t>ENST00000554764</t>
  </si>
  <si>
    <t>ENST00000554825</t>
  </si>
  <si>
    <t>ENST00000555222</t>
  </si>
  <si>
    <t>ENST00000555375</t>
  </si>
  <si>
    <t>ENST00000555641</t>
  </si>
  <si>
    <t>ENST00000555849</t>
  </si>
  <si>
    <t>ENST00000556259</t>
  </si>
  <si>
    <t>ENST00000557563</t>
  </si>
  <si>
    <t>ENST00000557635</t>
  </si>
  <si>
    <t>ENST00000557781</t>
  </si>
  <si>
    <t>P42229</t>
  </si>
  <si>
    <t>ENST00000345506</t>
  </si>
  <si>
    <t>ENST00000468096</t>
  </si>
  <si>
    <t>ENST00000469124</t>
  </si>
  <si>
    <t>ENST00000478897</t>
  </si>
  <si>
    <t>ENST00000479417</t>
  </si>
  <si>
    <t>ENST00000546010</t>
  </si>
  <si>
    <t>ENST00000587646</t>
  </si>
  <si>
    <t>ENST00000588868</t>
  </si>
  <si>
    <t>ENST00000590949</t>
  </si>
  <si>
    <t>ENST00000591556</t>
  </si>
  <si>
    <t>P42285</t>
  </si>
  <si>
    <t>ENST00000230640</t>
  </si>
  <si>
    <t>ENST00000502953</t>
  </si>
  <si>
    <t>ENST00000503165</t>
  </si>
  <si>
    <t>ENST00000508716</t>
  </si>
  <si>
    <t>ENST00000518955</t>
  </si>
  <si>
    <t>P42330</t>
  </si>
  <si>
    <t>ENST00000380554</t>
  </si>
  <si>
    <t>ENST00000480697</t>
  </si>
  <si>
    <t>ENST00000603312</t>
  </si>
  <si>
    <t>ENST00000603484</t>
  </si>
  <si>
    <t>ENST00000605322</t>
  </si>
  <si>
    <t>P42336</t>
  </si>
  <si>
    <t>ENST00000263967</t>
  </si>
  <si>
    <t>ENST00000462255</t>
  </si>
  <si>
    <t>ENST00000468036</t>
  </si>
  <si>
    <t>P42338</t>
  </si>
  <si>
    <t>ENST00000289153</t>
  </si>
  <si>
    <t>ENST00000461451</t>
  </si>
  <si>
    <t>ENST00000481749</t>
  </si>
  <si>
    <t>ENST00000485060</t>
  </si>
  <si>
    <t>ENST00000487552</t>
  </si>
  <si>
    <t>P42345</t>
  </si>
  <si>
    <t>ENST00000361445</t>
  </si>
  <si>
    <t>ENST00000376838</t>
  </si>
  <si>
    <t>ENST00000455339</t>
  </si>
  <si>
    <t>ENST00000473471</t>
  </si>
  <si>
    <t>ENST00000476768</t>
  </si>
  <si>
    <t>ENST00000490931</t>
  </si>
  <si>
    <t>ENST00000495435</t>
  </si>
  <si>
    <t>P42356</t>
  </si>
  <si>
    <t>ENST00000255882</t>
  </si>
  <si>
    <t>ENST00000399213</t>
  </si>
  <si>
    <t>ENST00000462210</t>
  </si>
  <si>
    <t>ENST00000466394</t>
  </si>
  <si>
    <t>ENST00000466772</t>
  </si>
  <si>
    <t>ENST00000475414</t>
  </si>
  <si>
    <t>ENST00000477245</t>
  </si>
  <si>
    <t>ENST00000477368</t>
  </si>
  <si>
    <t>ENST00000482030</t>
  </si>
  <si>
    <t>ENST00000484220</t>
  </si>
  <si>
    <t>ENST00000485123</t>
  </si>
  <si>
    <t>ENST00000485950</t>
  </si>
  <si>
    <t>ENST00000485963</t>
  </si>
  <si>
    <t>ENST00000489966</t>
  </si>
  <si>
    <t>ENST00000492581</t>
  </si>
  <si>
    <t>ENST00000494113</t>
  </si>
  <si>
    <t>P42566</t>
  </si>
  <si>
    <t>ENST00000371727</t>
  </si>
  <si>
    <t>ENST00000371733</t>
  </si>
  <si>
    <t>ENST00000464478</t>
  </si>
  <si>
    <t>ENST00000471391</t>
  </si>
  <si>
    <t>ENST00000478657</t>
  </si>
  <si>
    <t>ENST00000493793</t>
  </si>
  <si>
    <t>P42574</t>
  </si>
  <si>
    <t>ENST00000308394</t>
  </si>
  <si>
    <t>ENST00000393585</t>
  </si>
  <si>
    <t>ENST00000393588</t>
  </si>
  <si>
    <t>ENST00000447121</t>
  </si>
  <si>
    <t>ENST00000517513</t>
  </si>
  <si>
    <t>ENST00000523916</t>
  </si>
  <si>
    <t>P42575</t>
  </si>
  <si>
    <t>ENST00000310447</t>
  </si>
  <si>
    <t>ENST00000392925</t>
  </si>
  <si>
    <t>ENST00000472067</t>
  </si>
  <si>
    <t>ENST00000481483</t>
  </si>
  <si>
    <t>ENST00000493642</t>
  </si>
  <si>
    <t>P42677</t>
  </si>
  <si>
    <t>ENST00000368567</t>
  </si>
  <si>
    <t>ENST00000392558</t>
  </si>
  <si>
    <t>ENST00000477151</t>
  </si>
  <si>
    <t>ENST00000493224</t>
  </si>
  <si>
    <t>P42694</t>
  </si>
  <si>
    <t>ENST00000358691</t>
  </si>
  <si>
    <t>ENST00000417253</t>
  </si>
  <si>
    <t>ENST00000578938</t>
  </si>
  <si>
    <t>ENST00000579861</t>
  </si>
  <si>
    <t>ENST00000579953</t>
  </si>
  <si>
    <t>ENST00000580168</t>
  </si>
  <si>
    <t>ENST00000580963</t>
  </si>
  <si>
    <t>ENST00000582864</t>
  </si>
  <si>
    <t>ENST00000584641</t>
  </si>
  <si>
    <t>P42695</t>
  </si>
  <si>
    <t>ENST00000525432</t>
  </si>
  <si>
    <t>ENST00000525964</t>
  </si>
  <si>
    <t>ENST00000526422</t>
  </si>
  <si>
    <t>ENST00000526787</t>
  </si>
  <si>
    <t>ENST00000527944</t>
  </si>
  <si>
    <t>ENST00000528065</t>
  </si>
  <si>
    <t>ENST00000530396</t>
  </si>
  <si>
    <t>ENST00000534227</t>
  </si>
  <si>
    <t>ENST00000534290</t>
  </si>
  <si>
    <t>ENST00000534532</t>
  </si>
  <si>
    <t>ENST00000534548</t>
  </si>
  <si>
    <t>P42696</t>
  </si>
  <si>
    <t>ENST00000408888</t>
  </si>
  <si>
    <t>ENST00000429912</t>
  </si>
  <si>
    <t>ENST00000447801</t>
  </si>
  <si>
    <t>ENST00000468751</t>
  </si>
  <si>
    <t>ENST00000474086</t>
  </si>
  <si>
    <t>ENST00000475960</t>
  </si>
  <si>
    <t>ENST00000476261</t>
  </si>
  <si>
    <t>ENST00000485019</t>
  </si>
  <si>
    <t>ENST00000486751</t>
  </si>
  <si>
    <t>ENST00000495224</t>
  </si>
  <si>
    <t>P42704</t>
  </si>
  <si>
    <t>ENST00000260665</t>
  </si>
  <si>
    <t>ENST00000409659</t>
  </si>
  <si>
    <t>ENST00000409946</t>
  </si>
  <si>
    <t>ENST00000419884</t>
  </si>
  <si>
    <t>ENST00000447246</t>
  </si>
  <si>
    <t>ENST00000463456</t>
  </si>
  <si>
    <t>ENST00000467058</t>
  </si>
  <si>
    <t>ENST00000472420</t>
  </si>
  <si>
    <t>ENST00000483489</t>
  </si>
  <si>
    <t>P42765</t>
  </si>
  <si>
    <t>ENST00000285093</t>
  </si>
  <si>
    <t>ENST00000586100</t>
  </si>
  <si>
    <t>ENST00000586485</t>
  </si>
  <si>
    <t>ENST00000587994</t>
  </si>
  <si>
    <t>ENST00000591171</t>
  </si>
  <si>
    <t>P42766</t>
  </si>
  <si>
    <t>ENST00000348462</t>
  </si>
  <si>
    <t>ENST00000373570</t>
  </si>
  <si>
    <t>ENST00000487431</t>
  </si>
  <si>
    <t>ENST00000493018</t>
  </si>
  <si>
    <t>ENST00000495728</t>
  </si>
  <si>
    <t>P42768</t>
  </si>
  <si>
    <t>ENST00000376701</t>
  </si>
  <si>
    <t>ENST00000450772</t>
  </si>
  <si>
    <t>ENST00000470107</t>
  </si>
  <si>
    <t>ENST00000474174</t>
  </si>
  <si>
    <t>ENST00000483750</t>
  </si>
  <si>
    <t>P42773</t>
  </si>
  <si>
    <t>ENST00000262662</t>
  </si>
  <si>
    <t>ENST00000371761</t>
  </si>
  <si>
    <t>ENST00000396148</t>
  </si>
  <si>
    <t>P42785</t>
  </si>
  <si>
    <t>ENST00000313010</t>
  </si>
  <si>
    <t>ENST00000393399</t>
  </si>
  <si>
    <t>ENST00000525772</t>
  </si>
  <si>
    <t>ENST00000532709</t>
  </si>
  <si>
    <t>P42858</t>
  </si>
  <si>
    <t>ENST00000355072</t>
  </si>
  <si>
    <t>ENST00000506137</t>
  </si>
  <si>
    <t>ENST00000508321</t>
  </si>
  <si>
    <t>ENST00000509043</t>
  </si>
  <si>
    <t>ENST00000509618</t>
  </si>
  <si>
    <t>ENST00000509751</t>
  </si>
  <si>
    <t>ENST00000510626</t>
  </si>
  <si>
    <t>ENST00000512909</t>
  </si>
  <si>
    <t>ENST00000513326</t>
  </si>
  <si>
    <t>ENST00000513639</t>
  </si>
  <si>
    <t>P42898</t>
  </si>
  <si>
    <t>ENST00000376592</t>
  </si>
  <si>
    <t>P43007</t>
  </si>
  <si>
    <t>ENST00000234256</t>
  </si>
  <si>
    <t>ENST00000480594</t>
  </si>
  <si>
    <t>ENST00000493121</t>
  </si>
  <si>
    <t>P43034</t>
  </si>
  <si>
    <t>ENST00000397195</t>
  </si>
  <si>
    <t>ENST00000570400</t>
  </si>
  <si>
    <t>ENST00000571289</t>
  </si>
  <si>
    <t>ENST00000571495</t>
  </si>
  <si>
    <t>ENST00000574213</t>
  </si>
  <si>
    <t>ENST00000574816</t>
  </si>
  <si>
    <t>ENST00000575477</t>
  </si>
  <si>
    <t>ENST00000609078</t>
  </si>
  <si>
    <t>ENST00000610190</t>
  </si>
  <si>
    <t>P43243</t>
  </si>
  <si>
    <t>ENST00000361059</t>
  </si>
  <si>
    <t>ENST00000394800</t>
  </si>
  <si>
    <t>ENST00000394805</t>
  </si>
  <si>
    <t>ENST00000502422</t>
  </si>
  <si>
    <t>ENST00000502499</t>
  </si>
  <si>
    <t>ENST00000502944</t>
  </si>
  <si>
    <t>ENST00000503811</t>
  </si>
  <si>
    <t>ENST00000504045</t>
  </si>
  <si>
    <t>ENST00000505625</t>
  </si>
  <si>
    <t>ENST00000507860</t>
  </si>
  <si>
    <t>ENST00000508689</t>
  </si>
  <si>
    <t>ENST00000511333</t>
  </si>
  <si>
    <t>ENST00000511378</t>
  </si>
  <si>
    <t>ENST00000512876</t>
  </si>
  <si>
    <t>ENST00000513121</t>
  </si>
  <si>
    <t>ENST00000513678</t>
  </si>
  <si>
    <t>ENST00000514402</t>
  </si>
  <si>
    <t>ENST00000514528</t>
  </si>
  <si>
    <t>ENST00000514694</t>
  </si>
  <si>
    <t>ENST00000515833</t>
  </si>
  <si>
    <t>P43246</t>
  </si>
  <si>
    <t>ENST00000233146</t>
  </si>
  <si>
    <t>ENST00000406134</t>
  </si>
  <si>
    <t>P43304</t>
  </si>
  <si>
    <t>ENST00000310454</t>
  </si>
  <si>
    <t>ENST00000438166</t>
  </si>
  <si>
    <t>ENST00000464846</t>
  </si>
  <si>
    <t>ENST00000492005</t>
  </si>
  <si>
    <t>ENST00000495851</t>
  </si>
  <si>
    <t>ENST00000496190</t>
  </si>
  <si>
    <t>P43307</t>
  </si>
  <si>
    <t>ENST00000244763</t>
  </si>
  <si>
    <t>ENST00000462112</t>
  </si>
  <si>
    <t>ENST00000479485</t>
  </si>
  <si>
    <t>ENST00000483409</t>
  </si>
  <si>
    <t>ENST00000489567</t>
  </si>
  <si>
    <t>P43378</t>
  </si>
  <si>
    <t>ENST00000306726</t>
  </si>
  <si>
    <t>ENST00000561731</t>
  </si>
  <si>
    <t>ENST00000563835</t>
  </si>
  <si>
    <t>ENST00000568108</t>
  </si>
  <si>
    <t>P43403</t>
  </si>
  <si>
    <t>ENST00000264972</t>
  </si>
  <si>
    <t>ENST00000451498</t>
  </si>
  <si>
    <t>ENST00000483781</t>
  </si>
  <si>
    <t>ENST00000487283</t>
  </si>
  <si>
    <t>ENST00000489250</t>
  </si>
  <si>
    <t>ENST00000495754</t>
  </si>
  <si>
    <t>ENST00000498836</t>
  </si>
  <si>
    <t>P43405</t>
  </si>
  <si>
    <t>ENST00000375754</t>
  </si>
  <si>
    <t>P43487</t>
  </si>
  <si>
    <t>ENST00000331821</t>
  </si>
  <si>
    <t>ENST00000402752</t>
  </si>
  <si>
    <t>ENST00000411892</t>
  </si>
  <si>
    <t>ENST00000416427</t>
  </si>
  <si>
    <t>ENST00000418705</t>
  </si>
  <si>
    <t>ENST00000432879</t>
  </si>
  <si>
    <t>ENST00000435265</t>
  </si>
  <si>
    <t>ENST00000448394</t>
  </si>
  <si>
    <t>ENST00000467920</t>
  </si>
  <si>
    <t>ENST00000486575</t>
  </si>
  <si>
    <t>ENST00000488484</t>
  </si>
  <si>
    <t>P43489</t>
  </si>
  <si>
    <t>ENST00000379236</t>
  </si>
  <si>
    <t>ENST00000497869</t>
  </si>
  <si>
    <t>P43490</t>
  </si>
  <si>
    <t>ENST00000222553</t>
  </si>
  <si>
    <t>ENST00000354289</t>
  </si>
  <si>
    <t>ENST00000393618</t>
  </si>
  <si>
    <t>ENST00000463871</t>
  </si>
  <si>
    <t>ENST00000467730</t>
  </si>
  <si>
    <t>ENST00000484527</t>
  </si>
  <si>
    <t>ENST00000486949</t>
  </si>
  <si>
    <t>ENST00000489732</t>
  </si>
  <si>
    <t>ENST00000491027</t>
  </si>
  <si>
    <t>P43686</t>
  </si>
  <si>
    <t>ENST00000157812</t>
  </si>
  <si>
    <t>ENST00000455878</t>
  </si>
  <si>
    <t>ENST00000593455</t>
  </si>
  <si>
    <t>ENST00000596386</t>
  </si>
  <si>
    <t>ENST00000601194</t>
  </si>
  <si>
    <t>ENST00000601697</t>
  </si>
  <si>
    <t>P43897</t>
  </si>
  <si>
    <t>ENST00000323833</t>
  </si>
  <si>
    <t>ENST00000454289</t>
  </si>
  <si>
    <t>ENST00000540550</t>
  </si>
  <si>
    <t>ENST00000543727</t>
  </si>
  <si>
    <t>ENST00000548851</t>
  </si>
  <si>
    <t>P45880</t>
  </si>
  <si>
    <t>ENST00000332211</t>
  </si>
  <si>
    <t>ENST00000344036</t>
  </si>
  <si>
    <t>ENST00000447677</t>
  </si>
  <si>
    <t>ENST00000460044</t>
  </si>
  <si>
    <t>ENST00000468285</t>
  </si>
  <si>
    <t>ENST00000470745</t>
  </si>
  <si>
    <t>ENST00000475142</t>
  </si>
  <si>
    <t>ENST00000481876</t>
  </si>
  <si>
    <t>ENST00000498394</t>
  </si>
  <si>
    <t>P45954</t>
  </si>
  <si>
    <t>ENST00000358776</t>
  </si>
  <si>
    <t>ENST00000368869</t>
  </si>
  <si>
    <t>ENST00000541070</t>
  </si>
  <si>
    <t>P45973</t>
  </si>
  <si>
    <t>ENST00000209875</t>
  </si>
  <si>
    <t>ENST00000547872</t>
  </si>
  <si>
    <t>P45985</t>
  </si>
  <si>
    <t>ENST00000353533</t>
  </si>
  <si>
    <t>ENST00000415385</t>
  </si>
  <si>
    <t>ENST00000536413</t>
  </si>
  <si>
    <t>ENST00000581941</t>
  </si>
  <si>
    <t>ENST00000582377</t>
  </si>
  <si>
    <t>ENST00000585076</t>
  </si>
  <si>
    <t>ENST00000602375</t>
  </si>
  <si>
    <t>ENST00000602811</t>
  </si>
  <si>
    <t>P46013</t>
  </si>
  <si>
    <t>ENST00000368654</t>
  </si>
  <si>
    <t>P46019</t>
  </si>
  <si>
    <t>ENST00000379942</t>
  </si>
  <si>
    <t>ENST00000464455</t>
  </si>
  <si>
    <t>ENST00000469485</t>
  </si>
  <si>
    <t>ENST00000469645</t>
  </si>
  <si>
    <t>ENST00000473597</t>
  </si>
  <si>
    <t>ENST00000473739</t>
  </si>
  <si>
    <t>ENST00000481718</t>
  </si>
  <si>
    <t>P46060</t>
  </si>
  <si>
    <t>ENST00000356244</t>
  </si>
  <si>
    <t>ENST00000405486</t>
  </si>
  <si>
    <t>ENST00000446258</t>
  </si>
  <si>
    <t>ENST00000455915</t>
  </si>
  <si>
    <t>P46063</t>
  </si>
  <si>
    <t>ENST00000314748</t>
  </si>
  <si>
    <t>ENST00000396093</t>
  </si>
  <si>
    <t>ENST00000421138</t>
  </si>
  <si>
    <t>ENST00000444129</t>
  </si>
  <si>
    <t>ENST00000536240</t>
  </si>
  <si>
    <t>ENST00000536964</t>
  </si>
  <si>
    <t>ENST00000539672</t>
  </si>
  <si>
    <t>ENST00000542432</t>
  </si>
  <si>
    <t>P46108</t>
  </si>
  <si>
    <t>ENST00000300574</t>
  </si>
  <si>
    <t>ENST00000398970</t>
  </si>
  <si>
    <t>P46109</t>
  </si>
  <si>
    <t>ENST00000354336</t>
  </si>
  <si>
    <t>P46199</t>
  </si>
  <si>
    <t>ENST00000263629</t>
  </si>
  <si>
    <t>ENST00000394600</t>
  </si>
  <si>
    <t>ENST00000403721</t>
  </si>
  <si>
    <t>ENST00000404297</t>
  </si>
  <si>
    <t>ENST00000417363</t>
  </si>
  <si>
    <t>ENST00000417741</t>
  </si>
  <si>
    <t>ENST00000441307</t>
  </si>
  <si>
    <t>P46459</t>
  </si>
  <si>
    <t>ENST00000398238</t>
  </si>
  <si>
    <t>ENST00000486366</t>
  </si>
  <si>
    <t>ENST00000575068</t>
  </si>
  <si>
    <t>P46527</t>
  </si>
  <si>
    <t>ENST00000228872</t>
  </si>
  <si>
    <t>P46531</t>
  </si>
  <si>
    <t>ENST00000277541</t>
  </si>
  <si>
    <t>ENST00000491649</t>
  </si>
  <si>
    <t>ENST00000494783</t>
  </si>
  <si>
    <t>P46734</t>
  </si>
  <si>
    <t>ENST00000342679</t>
  </si>
  <si>
    <t>ENST00000477540</t>
  </si>
  <si>
    <t>ENST00000479129</t>
  </si>
  <si>
    <t>ENST00000527123</t>
  </si>
  <si>
    <t>ENST00000534743</t>
  </si>
  <si>
    <t>P46736</t>
  </si>
  <si>
    <t>ENST00000330045</t>
  </si>
  <si>
    <t>ENST00000340647</t>
  </si>
  <si>
    <t>ENST00000369459</t>
  </si>
  <si>
    <t>ENST00000369462</t>
  </si>
  <si>
    <t>ENST00000399026</t>
  </si>
  <si>
    <t>ENST00000399042</t>
  </si>
  <si>
    <t>P46776</t>
  </si>
  <si>
    <t>ENST00000314138</t>
  </si>
  <si>
    <t>ENST00000525981</t>
  </si>
  <si>
    <t>ENST00000529227</t>
  </si>
  <si>
    <t>ENST00000530022</t>
  </si>
  <si>
    <t>ENST00000530585</t>
  </si>
  <si>
    <t>ENST00000530913</t>
  </si>
  <si>
    <t>ENST00000531978</t>
  </si>
  <si>
    <t>ENST00000532359</t>
  </si>
  <si>
    <t>ENST00000534599</t>
  </si>
  <si>
    <t>P46777</t>
  </si>
  <si>
    <t>ENST00000315741</t>
  </si>
  <si>
    <t>ENST00000370321</t>
  </si>
  <si>
    <t>ENST00000461952</t>
  </si>
  <si>
    <t>ENST00000470843</t>
  </si>
  <si>
    <t>ENST00000497519</t>
  </si>
  <si>
    <t>P46778</t>
  </si>
  <si>
    <t>ENST00000272274</t>
  </si>
  <si>
    <t>ENST00000311549</t>
  </si>
  <si>
    <t>ENST00000319826</t>
  </si>
  <si>
    <t>ENST00000326092</t>
  </si>
  <si>
    <t>ENST00000461690</t>
  </si>
  <si>
    <t>ENST00000466550</t>
  </si>
  <si>
    <t>ENST00000473558</t>
  </si>
  <si>
    <t>ENST00000483765</t>
  </si>
  <si>
    <t>ENST00000485756</t>
  </si>
  <si>
    <t>ENST00000493317</t>
  </si>
  <si>
    <t>P46779</t>
  </si>
  <si>
    <t>ENST00000344063</t>
  </si>
  <si>
    <t>ENST00000426763</t>
  </si>
  <si>
    <t>ENST00000428193</t>
  </si>
  <si>
    <t>ENST00000431533</t>
  </si>
  <si>
    <t>ENST00000558131</t>
  </si>
  <si>
    <t>ENST00000558752</t>
  </si>
  <si>
    <t>ENST00000558815</t>
  </si>
  <si>
    <t>ENST00000559463</t>
  </si>
  <si>
    <t>ENST00000560055</t>
  </si>
  <si>
    <t>ENST00000560583</t>
  </si>
  <si>
    <t>ENST00000560881</t>
  </si>
  <si>
    <t>P46781</t>
  </si>
  <si>
    <t>ENST00000302907</t>
  </si>
  <si>
    <t>ENST00000391751</t>
  </si>
  <si>
    <t>ENST00000391752</t>
  </si>
  <si>
    <t>ENST00000391753</t>
  </si>
  <si>
    <t>ENST00000402367</t>
  </si>
  <si>
    <t>ENST00000436445</t>
  </si>
  <si>
    <t>ENST00000441429</t>
  </si>
  <si>
    <t>ENST00000445961</t>
  </si>
  <si>
    <t>ENST00000448962</t>
  </si>
  <si>
    <t>ENST00000460761</t>
  </si>
  <si>
    <t>ENST00000484121</t>
  </si>
  <si>
    <t>ENST00000495002</t>
  </si>
  <si>
    <t>P46782</t>
  </si>
  <si>
    <t>ENST00000196551</t>
  </si>
  <si>
    <t>ENST00000596046</t>
  </si>
  <si>
    <t>ENST00000596314</t>
  </si>
  <si>
    <t>ENST00000598098</t>
  </si>
  <si>
    <t>ENST00000598495</t>
  </si>
  <si>
    <t>ENST00000598807</t>
  </si>
  <si>
    <t>ENST00000599232</t>
  </si>
  <si>
    <t>ENST00000599909</t>
  </si>
  <si>
    <t>ENST00000601521</t>
  </si>
  <si>
    <t>P46783</t>
  </si>
  <si>
    <t>ENST00000326199</t>
  </si>
  <si>
    <t>ENST00000344700</t>
  </si>
  <si>
    <t>ENST00000467531</t>
  </si>
  <si>
    <t>ENST00000480942</t>
  </si>
  <si>
    <t>ENST00000494077</t>
  </si>
  <si>
    <t>P46926</t>
  </si>
  <si>
    <t>ENST00000311337</t>
  </si>
  <si>
    <t>ENST00000500692</t>
  </si>
  <si>
    <t>ENST00000503794</t>
  </si>
  <si>
    <t>ENST00000505689</t>
  </si>
  <si>
    <t>ENST00000507107</t>
  </si>
  <si>
    <t>ENST00000507559</t>
  </si>
  <si>
    <t>ENST00000508177</t>
  </si>
  <si>
    <t>ENST00000515747</t>
  </si>
  <si>
    <t>P46939</t>
  </si>
  <si>
    <t>ENST00000367524</t>
  </si>
  <si>
    <t>ENST00000367545</t>
  </si>
  <si>
    <t>ENST00000417142</t>
  </si>
  <si>
    <t>ENST00000421035</t>
  </si>
  <si>
    <t>ENST00000432686</t>
  </si>
  <si>
    <t>ENST00000433557</t>
  </si>
  <si>
    <t>ENST00000460618</t>
  </si>
  <si>
    <t>ENST00000465299</t>
  </si>
  <si>
    <t>ENST00000480333</t>
  </si>
  <si>
    <t>P46940</t>
  </si>
  <si>
    <t>ENST00000268182</t>
  </si>
  <si>
    <t>ENST00000558003</t>
  </si>
  <si>
    <t>ENST00000558491</t>
  </si>
  <si>
    <t>ENST00000558957</t>
  </si>
  <si>
    <t>ENST00000559031</t>
  </si>
  <si>
    <t>ENST00000559674</t>
  </si>
  <si>
    <t>ENST00000559682</t>
  </si>
  <si>
    <t>ENST00000559809</t>
  </si>
  <si>
    <t>ENST00000560020</t>
  </si>
  <si>
    <t>ENST00000560218</t>
  </si>
  <si>
    <t>ENST00000560373</t>
  </si>
  <si>
    <t>ENST00000560733</t>
  </si>
  <si>
    <t>ENST00000561086</t>
  </si>
  <si>
    <t>ENST00000561132</t>
  </si>
  <si>
    <t>ENST00000561461</t>
  </si>
  <si>
    <t>P46977</t>
  </si>
  <si>
    <t>ENST00000392708</t>
  </si>
  <si>
    <t>ENST00000524639</t>
  </si>
  <si>
    <t>ENST00000525431</t>
  </si>
  <si>
    <t>ENST00000525946</t>
  </si>
  <si>
    <t>ENST00000526213</t>
  </si>
  <si>
    <t>ENST00000527606</t>
  </si>
  <si>
    <t>ENST00000529196</t>
  </si>
  <si>
    <t>ENST00000531001</t>
  </si>
  <si>
    <t>ENST00000531491</t>
  </si>
  <si>
    <t>ENST00000531599</t>
  </si>
  <si>
    <t>ENST00000534472</t>
  </si>
  <si>
    <t>P47224</t>
  </si>
  <si>
    <t>ENST00000367262</t>
  </si>
  <si>
    <t>P47755</t>
  </si>
  <si>
    <t>ENST00000361183</t>
  </si>
  <si>
    <t>ENST00000417431</t>
  </si>
  <si>
    <t>ENST00000426421</t>
  </si>
  <si>
    <t>ENST00000449080</t>
  </si>
  <si>
    <t>ENST00000461878</t>
  </si>
  <si>
    <t>ENST00000464669</t>
  </si>
  <si>
    <t>ENST00000465607</t>
  </si>
  <si>
    <t>ENST00000490693</t>
  </si>
  <si>
    <t>ENST00000496161</t>
  </si>
  <si>
    <t>P47813</t>
  </si>
  <si>
    <t>ENST00000379607</t>
  </si>
  <si>
    <t>P47897</t>
  </si>
  <si>
    <t>ENST00000306125</t>
  </si>
  <si>
    <t>ENST00000430182</t>
  </si>
  <si>
    <t>ENST00000452739</t>
  </si>
  <si>
    <t>ENST00000453392</t>
  </si>
  <si>
    <t>ENST00000459870</t>
  </si>
  <si>
    <t>ENST00000464962</t>
  </si>
  <si>
    <t>ENST00000466179</t>
  </si>
  <si>
    <t>ENST00000470113</t>
  </si>
  <si>
    <t>ENST00000470225</t>
  </si>
  <si>
    <t>ENST00000470619</t>
  </si>
  <si>
    <t>ENST00000475599</t>
  </si>
  <si>
    <t>ENST00000478561</t>
  </si>
  <si>
    <t>ENST00000482248</t>
  </si>
  <si>
    <t>ENST00000482261</t>
  </si>
  <si>
    <t>ENST00000482438</t>
  </si>
  <si>
    <t>ENST00000482468</t>
  </si>
  <si>
    <t>ENST00000487495</t>
  </si>
  <si>
    <t>ENST00000494767</t>
  </si>
  <si>
    <t>ENST00000494838</t>
  </si>
  <si>
    <t>ENST00000494984</t>
  </si>
  <si>
    <t>ENST00000497635</t>
  </si>
  <si>
    <t>P47914</t>
  </si>
  <si>
    <t>ENST00000294189</t>
  </si>
  <si>
    <t>ENST00000466397</t>
  </si>
  <si>
    <t>ENST00000475248</t>
  </si>
  <si>
    <t>ENST00000480306</t>
  </si>
  <si>
    <t>ENST00000481629</t>
  </si>
  <si>
    <t>ENST00000486565</t>
  </si>
  <si>
    <t>P47974</t>
  </si>
  <si>
    <t>ENST00000282388</t>
  </si>
  <si>
    <t>P47985</t>
  </si>
  <si>
    <t>ENST00000304863</t>
  </si>
  <si>
    <t>P48047</t>
  </si>
  <si>
    <t>ENST00000290299</t>
  </si>
  <si>
    <t>ENST00000418933</t>
  </si>
  <si>
    <t>ENST00000431254</t>
  </si>
  <si>
    <t>ENST00000484627</t>
  </si>
  <si>
    <t>ENST00000487374</t>
  </si>
  <si>
    <t>ENST00000491703</t>
  </si>
  <si>
    <t>ENST00000495005</t>
  </si>
  <si>
    <t>ENST00000496044</t>
  </si>
  <si>
    <t>P48147</t>
  </si>
  <si>
    <t>ENST00000369110</t>
  </si>
  <si>
    <t>ENST00000448705</t>
  </si>
  <si>
    <t>P48200</t>
  </si>
  <si>
    <t>ENST00000258886</t>
  </si>
  <si>
    <t>ENST00000558525</t>
  </si>
  <si>
    <t>ENST00000558570</t>
  </si>
  <si>
    <t>ENST00000559091</t>
  </si>
  <si>
    <t>ENST00000559215</t>
  </si>
  <si>
    <t>ENST00000559676</t>
  </si>
  <si>
    <t>ENST00000560440</t>
  </si>
  <si>
    <t>ENST00000560454</t>
  </si>
  <si>
    <t>P48382</t>
  </si>
  <si>
    <t>ENST00000290524</t>
  </si>
  <si>
    <t>ENST00000392746</t>
  </si>
  <si>
    <t>ENST00000412774</t>
  </si>
  <si>
    <t>ENST00000430227</t>
  </si>
  <si>
    <t>ENST00000435314</t>
  </si>
  <si>
    <t>ENST00000436271</t>
  </si>
  <si>
    <t>ENST00000437327</t>
  </si>
  <si>
    <t>ENST00000450506</t>
  </si>
  <si>
    <t>ENST00000452671</t>
  </si>
  <si>
    <t>ENST00000458484</t>
  </si>
  <si>
    <t>ENST00000469513</t>
  </si>
  <si>
    <t>ENST00000475144</t>
  </si>
  <si>
    <t>ENST00000479681</t>
  </si>
  <si>
    <t>ENST00000494217</t>
  </si>
  <si>
    <t>P48444</t>
  </si>
  <si>
    <t>ENST00000264028</t>
  </si>
  <si>
    <t>ENST00000359415</t>
  </si>
  <si>
    <t>ENST00000392859</t>
  </si>
  <si>
    <t>ENST00000534182</t>
  </si>
  <si>
    <t>P48449</t>
  </si>
  <si>
    <t>ENST00000356396</t>
  </si>
  <si>
    <t>ENST00000397728</t>
  </si>
  <si>
    <t>ENST00000457828</t>
  </si>
  <si>
    <t>ENST00000464357</t>
  </si>
  <si>
    <t>ENST00000472272</t>
  </si>
  <si>
    <t>ENST00000474319</t>
  </si>
  <si>
    <t>ENST00000484808</t>
  </si>
  <si>
    <t>ENST00000491729</t>
  </si>
  <si>
    <t>ENST00000522411</t>
  </si>
  <si>
    <t>P48454</t>
  </si>
  <si>
    <t>ENST00000240139</t>
  </si>
  <si>
    <t>ENST00000289963</t>
  </si>
  <si>
    <t>ENST00000397775</t>
  </si>
  <si>
    <t>ENST00000518852</t>
  </si>
  <si>
    <t>ENST00000521651</t>
  </si>
  <si>
    <t>ENST00000522000</t>
  </si>
  <si>
    <t>ENST00000523620</t>
  </si>
  <si>
    <t>P48506</t>
  </si>
  <si>
    <t>ENST00000229416</t>
  </si>
  <si>
    <t>ENST00000504353</t>
  </si>
  <si>
    <t>ENST00000509541</t>
  </si>
  <si>
    <t>ENST00000510837</t>
  </si>
  <si>
    <t>ENST00000513939</t>
  </si>
  <si>
    <t>ENST00000514004</t>
  </si>
  <si>
    <t>ENST00000514373</t>
  </si>
  <si>
    <t>ENST00000515580</t>
  </si>
  <si>
    <t>P48507</t>
  </si>
  <si>
    <t>ENST00000370238</t>
  </si>
  <si>
    <t>ENST00000462183</t>
  </si>
  <si>
    <t>P48509</t>
  </si>
  <si>
    <t>ENST00000322008</t>
  </si>
  <si>
    <t>ENST00000397421</t>
  </si>
  <si>
    <t>ENST00000525718</t>
  </si>
  <si>
    <t>ENST00000525868</t>
  </si>
  <si>
    <t>ENST00000526439</t>
  </si>
  <si>
    <t>ENST00000526661</t>
  </si>
  <si>
    <t>ENST00000530155</t>
  </si>
  <si>
    <t>ENST00000531999</t>
  </si>
  <si>
    <t>ENST00000532045</t>
  </si>
  <si>
    <t>ENST00000532075</t>
  </si>
  <si>
    <t>P48553</t>
  </si>
  <si>
    <t>ENST00000291574</t>
  </si>
  <si>
    <t>ENST00000380221</t>
  </si>
  <si>
    <t>ENST00000422875</t>
  </si>
  <si>
    <t>ENST00000459741</t>
  </si>
  <si>
    <t>ENST00000461889</t>
  </si>
  <si>
    <t>ENST00000468864</t>
  </si>
  <si>
    <t>ENST00000469521</t>
  </si>
  <si>
    <t>ENST00000481460</t>
  </si>
  <si>
    <t>ENST00000485621</t>
  </si>
  <si>
    <t>P48556</t>
  </si>
  <si>
    <t>ENST00000215071</t>
  </si>
  <si>
    <t>ENST00000585598</t>
  </si>
  <si>
    <t>ENST00000590331</t>
  </si>
  <si>
    <t>ENST00000592001</t>
  </si>
  <si>
    <t>ENST00000592035</t>
  </si>
  <si>
    <t>ENST00000592561</t>
  </si>
  <si>
    <t>ENST00000602911</t>
  </si>
  <si>
    <t>P48595</t>
  </si>
  <si>
    <t>ENST00000238508</t>
  </si>
  <si>
    <t>P48634</t>
  </si>
  <si>
    <t>ENST00000376007</t>
  </si>
  <si>
    <t>ENST00000376033</t>
  </si>
  <si>
    <t>ENST00000460302</t>
  </si>
  <si>
    <t>ENST00000462617</t>
  </si>
  <si>
    <t>ENST00000464079</t>
  </si>
  <si>
    <t>ENST00000464890</t>
  </si>
  <si>
    <t>ENST00000469501</t>
  </si>
  <si>
    <t>ENST00000469577</t>
  </si>
  <si>
    <t>ENST00000482441</t>
  </si>
  <si>
    <t>ENST00000483470</t>
  </si>
  <si>
    <t>ENST00000484787</t>
  </si>
  <si>
    <t>ENST00000487089</t>
  </si>
  <si>
    <t>ENST00000487839</t>
  </si>
  <si>
    <t>ENST00000492691</t>
  </si>
  <si>
    <t>P48637</t>
  </si>
  <si>
    <t>ENST00000216951</t>
  </si>
  <si>
    <t>P48643</t>
  </si>
  <si>
    <t>ENST00000280326</t>
  </si>
  <si>
    <t>ENST00000508451</t>
  </si>
  <si>
    <t>ENST00000509846</t>
  </si>
  <si>
    <t>ENST00000510326</t>
  </si>
  <si>
    <t>ENST00000511700</t>
  </si>
  <si>
    <t>ENST00000511995</t>
  </si>
  <si>
    <t>ENST00000514674</t>
  </si>
  <si>
    <t>ENST00000515390</t>
  </si>
  <si>
    <t>ENST00000515676</t>
  </si>
  <si>
    <t>P48651</t>
  </si>
  <si>
    <t>ENST00000337004</t>
  </si>
  <si>
    <t>ENST00000517309</t>
  </si>
  <si>
    <t>ENST00000517557</t>
  </si>
  <si>
    <t>ENST00000517982</t>
  </si>
  <si>
    <t>ENST00000522072</t>
  </si>
  <si>
    <t>P48729</t>
  </si>
  <si>
    <t>ENST00000261798</t>
  </si>
  <si>
    <t>ENST00000377843</t>
  </si>
  <si>
    <t>ENST00000503350</t>
  </si>
  <si>
    <t>ENST00000504676</t>
  </si>
  <si>
    <t>ENST00000515435</t>
  </si>
  <si>
    <t>ENST00000515748</t>
  </si>
  <si>
    <t>ENST00000515768</t>
  </si>
  <si>
    <t>ENST00000606299</t>
  </si>
  <si>
    <t>ENST00000606719</t>
  </si>
  <si>
    <t>ENST00000606826</t>
  </si>
  <si>
    <t>P48735</t>
  </si>
  <si>
    <t>ENST00000330062</t>
  </si>
  <si>
    <t>ENST00000560061</t>
  </si>
  <si>
    <t>P48736</t>
  </si>
  <si>
    <t>ENST00000359195</t>
  </si>
  <si>
    <t>ENST00000440650</t>
  </si>
  <si>
    <t>ENST00000496166</t>
  </si>
  <si>
    <t>P48739</t>
  </si>
  <si>
    <t>ENST00000320996</t>
  </si>
  <si>
    <t>ENST00000335272</t>
  </si>
  <si>
    <t>ENST00000415296</t>
  </si>
  <si>
    <t>ENST00000436663</t>
  </si>
  <si>
    <t>ENST00000455418</t>
  </si>
  <si>
    <t>ENST00000460566</t>
  </si>
  <si>
    <t>ENST00000465179</t>
  </si>
  <si>
    <t>ENST00000471825</t>
  </si>
  <si>
    <t>ENST00000477861</t>
  </si>
  <si>
    <t>ENST00000493007</t>
  </si>
  <si>
    <t>P49005</t>
  </si>
  <si>
    <t>ENST00000223361</t>
  </si>
  <si>
    <t>ENST00000406581</t>
  </si>
  <si>
    <t>ENST00000436844</t>
  </si>
  <si>
    <t>ENST00000452185</t>
  </si>
  <si>
    <t>ENST00000461116</t>
  </si>
  <si>
    <t>ENST00000463464</t>
  </si>
  <si>
    <t>ENST00000464871</t>
  </si>
  <si>
    <t>ENST00000467469</t>
  </si>
  <si>
    <t>ENST00000470867</t>
  </si>
  <si>
    <t>ENST00000481104</t>
  </si>
  <si>
    <t>ENST00000489883</t>
  </si>
  <si>
    <t>ENST00000496539</t>
  </si>
  <si>
    <t>P49006</t>
  </si>
  <si>
    <t>ENST00000329421</t>
  </si>
  <si>
    <t>P49023</t>
  </si>
  <si>
    <t>ENST00000228307</t>
  </si>
  <si>
    <t>ENST00000267257</t>
  </si>
  <si>
    <t>ENST00000424649</t>
  </si>
  <si>
    <t>ENST00000440827</t>
  </si>
  <si>
    <t>ENST00000536957</t>
  </si>
  <si>
    <t>ENST00000538144</t>
  </si>
  <si>
    <t>ENST00000540221</t>
  </si>
  <si>
    <t>ENST00000547746</t>
  </si>
  <si>
    <t>ENST00000547772</t>
  </si>
  <si>
    <t>ENST00000547983</t>
  </si>
  <si>
    <t>ENST00000548912</t>
  </si>
  <si>
    <t>ENST00000552550</t>
  </si>
  <si>
    <t>P49069</t>
  </si>
  <si>
    <t>ENST00000297156</t>
  </si>
  <si>
    <t>ENST00000514518</t>
  </si>
  <si>
    <t>P49137</t>
  </si>
  <si>
    <t>ENST00000294981</t>
  </si>
  <si>
    <t>ENST00000367103</t>
  </si>
  <si>
    <t>ENST00000479009</t>
  </si>
  <si>
    <t>ENST00000493447</t>
  </si>
  <si>
    <t>P49189</t>
  </si>
  <si>
    <t>ENST00000354775</t>
  </si>
  <si>
    <t>ENST00000461664</t>
  </si>
  <si>
    <t>ENST00000463610</t>
  </si>
  <si>
    <t>ENST00000471457</t>
  </si>
  <si>
    <t>ENST00000491436</t>
  </si>
  <si>
    <t>P49207</t>
  </si>
  <si>
    <t>ENST00000394665</t>
  </si>
  <si>
    <t>ENST00000394667</t>
  </si>
  <si>
    <t>ENST00000394668</t>
  </si>
  <si>
    <t>ENST00000502534</t>
  </si>
  <si>
    <t>ENST00000503574</t>
  </si>
  <si>
    <t>ENST00000504231</t>
  </si>
  <si>
    <t>P49247</t>
  </si>
  <si>
    <t>ENST00000283646</t>
  </si>
  <si>
    <t>P49257</t>
  </si>
  <si>
    <t>ENST00000251047</t>
  </si>
  <si>
    <t>ENST00000587561</t>
  </si>
  <si>
    <t>ENST00000587918</t>
  </si>
  <si>
    <t>ENST00000587940</t>
  </si>
  <si>
    <t>ENST00000592562</t>
  </si>
  <si>
    <t>P49279</t>
  </si>
  <si>
    <t>ENST00000233202</t>
  </si>
  <si>
    <t>ENST00000468221</t>
  </si>
  <si>
    <t>ENST00000468721</t>
  </si>
  <si>
    <t>ENST00000469449</t>
  </si>
  <si>
    <t>ENST00000483487</t>
  </si>
  <si>
    <t>ENST00000490536</t>
  </si>
  <si>
    <t>P49321</t>
  </si>
  <si>
    <t>ENST00000350030</t>
  </si>
  <si>
    <t>ENST00000351223</t>
  </si>
  <si>
    <t>ENST00000437362</t>
  </si>
  <si>
    <t>ENST00000453748</t>
  </si>
  <si>
    <t>ENST00000464190</t>
  </si>
  <si>
    <t>ENST00000470768</t>
  </si>
  <si>
    <t>ENST00000472408</t>
  </si>
  <si>
    <t>ENST00000481782</t>
  </si>
  <si>
    <t>ENST00000527359</t>
  </si>
  <si>
    <t>ENST00000527932</t>
  </si>
  <si>
    <t>ENST00000528084</t>
  </si>
  <si>
    <t>ENST00000529333</t>
  </si>
  <si>
    <t>ENST00000530073</t>
  </si>
  <si>
    <t>ENST00000530840</t>
  </si>
  <si>
    <t>ENST00000531532</t>
  </si>
  <si>
    <t>ENST00000534101</t>
  </si>
  <si>
    <t>P49327</t>
  </si>
  <si>
    <t>ENST00000306749</t>
  </si>
  <si>
    <t>ENST00000578424</t>
  </si>
  <si>
    <t>ENST00000579410</t>
  </si>
  <si>
    <t>ENST00000584610</t>
  </si>
  <si>
    <t>P49354</t>
  </si>
  <si>
    <t>ENST00000302279</t>
  </si>
  <si>
    <t>ENST00000524546</t>
  </si>
  <si>
    <t>ENST00000525099</t>
  </si>
  <si>
    <t>ENST00000526755</t>
  </si>
  <si>
    <t>ENST00000527153</t>
  </si>
  <si>
    <t>ENST00000528400</t>
  </si>
  <si>
    <t>ENST00000529687</t>
  </si>
  <si>
    <t>ENST00000531266</t>
  </si>
  <si>
    <t>ENST00000533336</t>
  </si>
  <si>
    <t>ENST00000533368</t>
  </si>
  <si>
    <t>ENST00000533383</t>
  </si>
  <si>
    <t>ENST00000533559</t>
  </si>
  <si>
    <t>ENST00000533998</t>
  </si>
  <si>
    <t>P49356</t>
  </si>
  <si>
    <t>ENST00000246166</t>
  </si>
  <si>
    <t>ENST00000554334</t>
  </si>
  <si>
    <t>ENST00000555618</t>
  </si>
  <si>
    <t>ENST00000557300</t>
  </si>
  <si>
    <t>P49366</t>
  </si>
  <si>
    <t>ENST00000210060</t>
  </si>
  <si>
    <t>ENST00000351660</t>
  </si>
  <si>
    <t>ENST00000593400</t>
  </si>
  <si>
    <t>ENST00000593432</t>
  </si>
  <si>
    <t>ENST00000593473</t>
  </si>
  <si>
    <t>ENST00000595100</t>
  </si>
  <si>
    <t>ENST00000595844</t>
  </si>
  <si>
    <t>ENST00000595912</t>
  </si>
  <si>
    <t>ENST00000596847</t>
  </si>
  <si>
    <t>ENST00000598246</t>
  </si>
  <si>
    <t>ENST00000600451</t>
  </si>
  <si>
    <t>ENST00000600510</t>
  </si>
  <si>
    <t>ENST00000600639</t>
  </si>
  <si>
    <t>ENST00000601537</t>
  </si>
  <si>
    <t>ENST00000601639</t>
  </si>
  <si>
    <t>P49368</t>
  </si>
  <si>
    <t>ENST00000295688</t>
  </si>
  <si>
    <t>ENST00000368256</t>
  </si>
  <si>
    <t>ENST00000368259</t>
  </si>
  <si>
    <t>ENST00000368261</t>
  </si>
  <si>
    <t>ENST00000415548</t>
  </si>
  <si>
    <t>ENST00000472765</t>
  </si>
  <si>
    <t>ENST00000489870</t>
  </si>
  <si>
    <t>ENST00000490221</t>
  </si>
  <si>
    <t>ENST00000496684</t>
  </si>
  <si>
    <t>P49406</t>
  </si>
  <si>
    <t>ENST00000358788</t>
  </si>
  <si>
    <t>ENST00000393909</t>
  </si>
  <si>
    <t>ENST00000409374</t>
  </si>
  <si>
    <t>ENST00000476622</t>
  </si>
  <si>
    <t>ENST00000493686</t>
  </si>
  <si>
    <t>P49411</t>
  </si>
  <si>
    <t>ENST00000313511</t>
  </si>
  <si>
    <t>ENST00000561644</t>
  </si>
  <si>
    <t>ENST00000565012</t>
  </si>
  <si>
    <t>ENST00000569217</t>
  </si>
  <si>
    <t>P49427</t>
  </si>
  <si>
    <t>ENST00000215574</t>
  </si>
  <si>
    <t>ENST00000586283</t>
  </si>
  <si>
    <t>ENST00000586788</t>
  </si>
  <si>
    <t>ENST00000593036</t>
  </si>
  <si>
    <t>ENST00000606065</t>
  </si>
  <si>
    <t>ENST00000607527</t>
  </si>
  <si>
    <t>P49441</t>
  </si>
  <si>
    <t>ENST00000392329</t>
  </si>
  <si>
    <t>ENST00000422454</t>
  </si>
  <si>
    <t>ENST00000470892</t>
  </si>
  <si>
    <t>ENST00000487628</t>
  </si>
  <si>
    <t>P49454</t>
  </si>
  <si>
    <t>ENST00000366955</t>
  </si>
  <si>
    <t>ENST00000467765</t>
  </si>
  <si>
    <t>ENST00000469862</t>
  </si>
  <si>
    <t>P49458</t>
  </si>
  <si>
    <t>ENST00000304786</t>
  </si>
  <si>
    <t>ENST00000366838</t>
  </si>
  <si>
    <t>ENST00000366839</t>
  </si>
  <si>
    <t>P49585</t>
  </si>
  <si>
    <t>ENST00000292823</t>
  </si>
  <si>
    <t>ENST00000411591</t>
  </si>
  <si>
    <t>ENST00000412869</t>
  </si>
  <si>
    <t>ENST00000430755</t>
  </si>
  <si>
    <t>ENST00000431016</t>
  </si>
  <si>
    <t>ENST00000433733</t>
  </si>
  <si>
    <t>ENST00000438634</t>
  </si>
  <si>
    <t>ENST00000443555</t>
  </si>
  <si>
    <t>ENST00000460677</t>
  </si>
  <si>
    <t>ENST00000460827</t>
  </si>
  <si>
    <t>ENST00000473978</t>
  </si>
  <si>
    <t>ENST00000488235</t>
  </si>
  <si>
    <t>P49588</t>
  </si>
  <si>
    <t>ENST00000261772</t>
  </si>
  <si>
    <t>ENST00000564359</t>
  </si>
  <si>
    <t>ENST00000565361</t>
  </si>
  <si>
    <t>ENST00000566969</t>
  </si>
  <si>
    <t>ENST00000567490</t>
  </si>
  <si>
    <t>ENST00000569825</t>
  </si>
  <si>
    <t>P49591</t>
  </si>
  <si>
    <t>ENST00000234677</t>
  </si>
  <si>
    <t>ENST00000369923</t>
  </si>
  <si>
    <t>ENST00000468588</t>
  </si>
  <si>
    <t>ENST00000471705</t>
  </si>
  <si>
    <t>ENST00000477544</t>
  </si>
  <si>
    <t>ENST00000482384</t>
  </si>
  <si>
    <t>P49642</t>
  </si>
  <si>
    <t>ENST00000338193</t>
  </si>
  <si>
    <t>ENST00000546761</t>
  </si>
  <si>
    <t>ENST00000548173</t>
  </si>
  <si>
    <t>ENST00000549549</t>
  </si>
  <si>
    <t>ENST00000552408</t>
  </si>
  <si>
    <t>ENST00000552590</t>
  </si>
  <si>
    <t>P49643</t>
  </si>
  <si>
    <t>ENST00000274891</t>
  </si>
  <si>
    <t>ENST00000419977</t>
  </si>
  <si>
    <t>ENST00000550475</t>
  </si>
  <si>
    <t>P49662</t>
  </si>
  <si>
    <t>ENST00000393150</t>
  </si>
  <si>
    <t>ENST00000444739</t>
  </si>
  <si>
    <t>ENST00000524843</t>
  </si>
  <si>
    <t>ENST00000525116</t>
  </si>
  <si>
    <t>ENST00000529183</t>
  </si>
  <si>
    <t>ENST00000529565</t>
  </si>
  <si>
    <t>ENST00000530309</t>
  </si>
  <si>
    <t>ENST00000531333</t>
  </si>
  <si>
    <t>ENST00000531546</t>
  </si>
  <si>
    <t>ENST00000533730</t>
  </si>
  <si>
    <t>ENST00000534356</t>
  </si>
  <si>
    <t>P49674</t>
  </si>
  <si>
    <t>ENST00000366216</t>
  </si>
  <si>
    <t>ENST00000396832</t>
  </si>
  <si>
    <t>ENST00000403904</t>
  </si>
  <si>
    <t>ENST00000405675</t>
  </si>
  <si>
    <t>ENST00000413574</t>
  </si>
  <si>
    <t>ENST00000431611</t>
  </si>
  <si>
    <t>ENST00000442216</t>
  </si>
  <si>
    <t>ENST00000451964</t>
  </si>
  <si>
    <t>ENST00000494610</t>
  </si>
  <si>
    <t>ENST00000495232</t>
  </si>
  <si>
    <t>ENST00000498529</t>
  </si>
  <si>
    <t>P49711</t>
  </si>
  <si>
    <t>ENST00000264010</t>
  </si>
  <si>
    <t>ENST00000566078</t>
  </si>
  <si>
    <t>P49721</t>
  </si>
  <si>
    <t>ENST00000373237</t>
  </si>
  <si>
    <t>P49736</t>
  </si>
  <si>
    <t>ENST00000265056</t>
  </si>
  <si>
    <t>ENST00000468414</t>
  </si>
  <si>
    <t>ENST00000472731</t>
  </si>
  <si>
    <t>ENST00000473785</t>
  </si>
  <si>
    <t>ENST00000474964</t>
  </si>
  <si>
    <t>P49748</t>
  </si>
  <si>
    <t>ENST00000322910</t>
  </si>
  <si>
    <t>ENST00000350303</t>
  </si>
  <si>
    <t>ENST00000356839</t>
  </si>
  <si>
    <t>ENST00000577191</t>
  </si>
  <si>
    <t>ENST00000577433</t>
  </si>
  <si>
    <t>ENST00000578033</t>
  </si>
  <si>
    <t>ENST00000578269</t>
  </si>
  <si>
    <t>ENST00000578319</t>
  </si>
  <si>
    <t>ENST00000578421</t>
  </si>
  <si>
    <t>ENST00000578579</t>
  </si>
  <si>
    <t>ENST00000578711</t>
  </si>
  <si>
    <t>ENST00000578809</t>
  </si>
  <si>
    <t>ENST00000578824</t>
  </si>
  <si>
    <t>ENST00000579286</t>
  </si>
  <si>
    <t>ENST00000579391</t>
  </si>
  <si>
    <t>ENST00000579425</t>
  </si>
  <si>
    <t>ENST00000579546</t>
  </si>
  <si>
    <t>ENST00000579886</t>
  </si>
  <si>
    <t>ENST00000579894</t>
  </si>
  <si>
    <t>ENST00000580263</t>
  </si>
  <si>
    <t>ENST00000580365</t>
  </si>
  <si>
    <t>ENST00000581378</t>
  </si>
  <si>
    <t>ENST00000582056</t>
  </si>
  <si>
    <t>ENST00000582166</t>
  </si>
  <si>
    <t>ENST00000582356</t>
  </si>
  <si>
    <t>ENST00000582379</t>
  </si>
  <si>
    <t>ENST00000582450</t>
  </si>
  <si>
    <t>ENST00000583312</t>
  </si>
  <si>
    <t>ENST00000583760</t>
  </si>
  <si>
    <t>ENST00000583850</t>
  </si>
  <si>
    <t>ENST00000583858</t>
  </si>
  <si>
    <t>P49755</t>
  </si>
  <si>
    <t>ENST00000303575</t>
  </si>
  <si>
    <t>ENST00000555036</t>
  </si>
  <si>
    <t>ENST00000555085</t>
  </si>
  <si>
    <t>ENST00000555873</t>
  </si>
  <si>
    <t>ENST00000556969</t>
  </si>
  <si>
    <t>ENST00000557670</t>
  </si>
  <si>
    <t>P49756</t>
  </si>
  <si>
    <t>ENST00000261973</t>
  </si>
  <si>
    <t>ENST00000525321</t>
  </si>
  <si>
    <t>ENST00000527432</t>
  </si>
  <si>
    <t>ENST00000527449</t>
  </si>
  <si>
    <t>ENST00000530978</t>
  </si>
  <si>
    <t>ENST00000531500</t>
  </si>
  <si>
    <t>ENST00000532192</t>
  </si>
  <si>
    <t>ENST00000532483</t>
  </si>
  <si>
    <t>ENST00000532683</t>
  </si>
  <si>
    <t>P49759</t>
  </si>
  <si>
    <t>ENST00000321356</t>
  </si>
  <si>
    <t>ENST00000409769</t>
  </si>
  <si>
    <t>ENST00000432425</t>
  </si>
  <si>
    <t>ENST00000434813</t>
  </si>
  <si>
    <t>ENST00000461326</t>
  </si>
  <si>
    <t>ENST00000461981</t>
  </si>
  <si>
    <t>ENST00000464454</t>
  </si>
  <si>
    <t>ENST00000472679</t>
  </si>
  <si>
    <t>ENST00000473565</t>
  </si>
  <si>
    <t>ENST00000481641</t>
  </si>
  <si>
    <t>ENST00000482590</t>
  </si>
  <si>
    <t>ENST00000492793</t>
  </si>
  <si>
    <t>ENST00000496205</t>
  </si>
  <si>
    <t>P49770</t>
  </si>
  <si>
    <t>ENST00000266126</t>
  </si>
  <si>
    <t>ENST00000553401</t>
  </si>
  <si>
    <t>ENST00000553539</t>
  </si>
  <si>
    <t>ENST00000554748</t>
  </si>
  <si>
    <t>ENST00000555522</t>
  </si>
  <si>
    <t>ENST00000556028</t>
  </si>
  <si>
    <t>ENST00000556668</t>
  </si>
  <si>
    <t>P49773</t>
  </si>
  <si>
    <t>ENST00000304043</t>
  </si>
  <si>
    <t>ENST00000504202</t>
  </si>
  <si>
    <t>ENST00000506908</t>
  </si>
  <si>
    <t>ENST00000508488</t>
  </si>
  <si>
    <t>ENST00000508495</t>
  </si>
  <si>
    <t>ENST00000511475</t>
  </si>
  <si>
    <t>ENST00000513012</t>
  </si>
  <si>
    <t>ENST00000513345</t>
  </si>
  <si>
    <t>ENST00000520028</t>
  </si>
  <si>
    <t>P49790</t>
  </si>
  <si>
    <t>ENST00000262077</t>
  </si>
  <si>
    <t>ENST00000537253</t>
  </si>
  <si>
    <t>P49792</t>
  </si>
  <si>
    <t>ENST00000283195</t>
  </si>
  <si>
    <t>ENST00000495506</t>
  </si>
  <si>
    <t>ENST00000495924</t>
  </si>
  <si>
    <t>P49795</t>
  </si>
  <si>
    <t>ENST00000332298</t>
  </si>
  <si>
    <t>ENST00000395042</t>
  </si>
  <si>
    <t>ENST00000479996</t>
  </si>
  <si>
    <t>ENST00000493165</t>
  </si>
  <si>
    <t>P49840</t>
  </si>
  <si>
    <t>ENST00000222330</t>
  </si>
  <si>
    <t>ENST00000398249</t>
  </si>
  <si>
    <t>ENST00000453535</t>
  </si>
  <si>
    <t>ENST00000493059</t>
  </si>
  <si>
    <t>P49841</t>
  </si>
  <si>
    <t>ENST00000264235</t>
  </si>
  <si>
    <t>ENST00000316626</t>
  </si>
  <si>
    <t>ENST00000473886</t>
  </si>
  <si>
    <t>ENST00000474830</t>
  </si>
  <si>
    <t>P49848</t>
  </si>
  <si>
    <t>ENST00000344095</t>
  </si>
  <si>
    <t>ENST00000431404</t>
  </si>
  <si>
    <t>ENST00000440225</t>
  </si>
  <si>
    <t>ENST00000451699</t>
  </si>
  <si>
    <t>ENST00000452041</t>
  </si>
  <si>
    <t>ENST00000453269</t>
  </si>
  <si>
    <t>ENST00000472509</t>
  </si>
  <si>
    <t>ENST00000487115</t>
  </si>
  <si>
    <t>ENST00000487288</t>
  </si>
  <si>
    <t>ENST00000497233</t>
  </si>
  <si>
    <t>ENST00000520135</t>
  </si>
  <si>
    <t>ENST00000523306</t>
  </si>
  <si>
    <t>P49902</t>
  </si>
  <si>
    <t>ENST00000343289</t>
  </si>
  <si>
    <t>ENST00000369857</t>
  </si>
  <si>
    <t>ENST00000404739</t>
  </si>
  <si>
    <t>ENST00000421281</t>
  </si>
  <si>
    <t>ENST00000452156</t>
  </si>
  <si>
    <t>ENST00000461461</t>
  </si>
  <si>
    <t>ENST00000467380</t>
  </si>
  <si>
    <t>ENST00000469228</t>
  </si>
  <si>
    <t>ENST00000470228</t>
  </si>
  <si>
    <t>ENST00000470299</t>
  </si>
  <si>
    <t>ENST00000481549</t>
  </si>
  <si>
    <t>ENST00000552185</t>
  </si>
  <si>
    <t>P49914</t>
  </si>
  <si>
    <t>ENST00000258874</t>
  </si>
  <si>
    <t>ENST00000559722</t>
  </si>
  <si>
    <t>ENST00000560919</t>
  </si>
  <si>
    <t>P49915</t>
  </si>
  <si>
    <t>ENST00000496455</t>
  </si>
  <si>
    <t>P49959</t>
  </si>
  <si>
    <t>ENST00000323929</t>
  </si>
  <si>
    <t>ENST00000323977</t>
  </si>
  <si>
    <t>ENST00000393241</t>
  </si>
  <si>
    <t>ENST00000535120</t>
  </si>
  <si>
    <t>ENST00000540013</t>
  </si>
  <si>
    <t>P50148</t>
  </si>
  <si>
    <t>ENST00000286548</t>
  </si>
  <si>
    <t>P50213</t>
  </si>
  <si>
    <t>ENST00000299518</t>
  </si>
  <si>
    <t>ENST00000558016</t>
  </si>
  <si>
    <t>ENST00000558535</t>
  </si>
  <si>
    <t>ENST00000558602</t>
  </si>
  <si>
    <t>ENST00000558605</t>
  </si>
  <si>
    <t>ENST00000558933</t>
  </si>
  <si>
    <t>ENST00000559803</t>
  </si>
  <si>
    <t>ENST00000559865</t>
  </si>
  <si>
    <t>ENST00000559881</t>
  </si>
  <si>
    <t>ENST00000559889</t>
  </si>
  <si>
    <t>ENST00000560414</t>
  </si>
  <si>
    <t>ENST00000560667</t>
  </si>
  <si>
    <t>ENST00000560770</t>
  </si>
  <si>
    <t>ENST00000561366</t>
  </si>
  <si>
    <t>P50238</t>
  </si>
  <si>
    <t>ENST00000330233</t>
  </si>
  <si>
    <t>ENST00000409393</t>
  </si>
  <si>
    <t>ENST00000460900</t>
  </si>
  <si>
    <t>ENST00000461556</t>
  </si>
  <si>
    <t>ENST00000496700</t>
  </si>
  <si>
    <t>P50336</t>
  </si>
  <si>
    <t>ENST00000352210</t>
  </si>
  <si>
    <t>ENST00000367999</t>
  </si>
  <si>
    <t>ENST00000460611</t>
  </si>
  <si>
    <t>ENST00000462977</t>
  </si>
  <si>
    <t>ENST00000466452</t>
  </si>
  <si>
    <t>ENST00000468968</t>
  </si>
  <si>
    <t>ENST00000479246</t>
  </si>
  <si>
    <t>ENST00000490768</t>
  </si>
  <si>
    <t>ENST00000494216</t>
  </si>
  <si>
    <t>ENST00000495483</t>
  </si>
  <si>
    <t>ENST00000537829</t>
  </si>
  <si>
    <t>ENST00000541818</t>
  </si>
  <si>
    <t>P50395</t>
  </si>
  <si>
    <t>ENST00000380181</t>
  </si>
  <si>
    <t>ENST00000380191</t>
  </si>
  <si>
    <t>ENST00000447751</t>
  </si>
  <si>
    <t>ENST00000479928</t>
  </si>
  <si>
    <t>P50402</t>
  </si>
  <si>
    <t>ENST00000369835</t>
  </si>
  <si>
    <t>ENST00000369842</t>
  </si>
  <si>
    <t>ENST00000428228</t>
  </si>
  <si>
    <t>ENST00000468294</t>
  </si>
  <si>
    <t>ENST00000471965</t>
  </si>
  <si>
    <t>ENST00000485261</t>
  </si>
  <si>
    <t>ENST00000486738</t>
  </si>
  <si>
    <t>ENST00000492448</t>
  </si>
  <si>
    <t>ENST00000494443</t>
  </si>
  <si>
    <t>P50416</t>
  </si>
  <si>
    <t>ENST00000265641</t>
  </si>
  <si>
    <t>ENST00000376618</t>
  </si>
  <si>
    <t>ENST00000538994</t>
  </si>
  <si>
    <t>ENST00000539743</t>
  </si>
  <si>
    <t>P50443</t>
  </si>
  <si>
    <t>ENST00000286298</t>
  </si>
  <si>
    <t>P50452</t>
  </si>
  <si>
    <t>ENST00000295211</t>
  </si>
  <si>
    <t>ENST00000353706</t>
  </si>
  <si>
    <t>ENST00000397985</t>
  </si>
  <si>
    <t>ENST00000397988</t>
  </si>
  <si>
    <t>ENST00000542677</t>
  </si>
  <si>
    <t>P50453</t>
  </si>
  <si>
    <t>ENST00000380698</t>
  </si>
  <si>
    <t>P50454</t>
  </si>
  <si>
    <t>ENST00000358171</t>
  </si>
  <si>
    <t>ENST00000524558</t>
  </si>
  <si>
    <t>ENST00000525876</t>
  </si>
  <si>
    <t>ENST00000530284</t>
  </si>
  <si>
    <t>ENST00000533603</t>
  </si>
  <si>
    <t>P50502</t>
  </si>
  <si>
    <t>ENST00000216218</t>
  </si>
  <si>
    <t>ENST00000413424</t>
  </si>
  <si>
    <t>ENST00000480048</t>
  </si>
  <si>
    <t>ENST00000495652</t>
  </si>
  <si>
    <t>P50552</t>
  </si>
  <si>
    <t>ENST00000245932</t>
  </si>
  <si>
    <t>ENST00000586619</t>
  </si>
  <si>
    <t>ENST00000587444</t>
  </si>
  <si>
    <t>ENST00000588273</t>
  </si>
  <si>
    <t>ENST00000588463</t>
  </si>
  <si>
    <t>ENST00000588482</t>
  </si>
  <si>
    <t>ENST00000590459</t>
  </si>
  <si>
    <t>ENST00000592139</t>
  </si>
  <si>
    <t>P50579</t>
  </si>
  <si>
    <t>ENST00000261220</t>
  </si>
  <si>
    <t>ENST00000323666</t>
  </si>
  <si>
    <t>ENST00000546478</t>
  </si>
  <si>
    <t>ENST00000549136</t>
  </si>
  <si>
    <t>ENST00000549808</t>
  </si>
  <si>
    <t>ENST00000551840</t>
  </si>
  <si>
    <t>ENST00000553151</t>
  </si>
  <si>
    <t>P50583</t>
  </si>
  <si>
    <t>ENST00000346365</t>
  </si>
  <si>
    <t>ENST00000379155</t>
  </si>
  <si>
    <t>ENST00000379158</t>
  </si>
  <si>
    <t>P50591</t>
  </si>
  <si>
    <t>ENST00000241261</t>
  </si>
  <si>
    <t>ENST00000420541</t>
  </si>
  <si>
    <t>ENST00000430881</t>
  </si>
  <si>
    <t>ENST00000466777</t>
  </si>
  <si>
    <t>ENST00000472804</t>
  </si>
  <si>
    <t>ENST00000494851</t>
  </si>
  <si>
    <t>P50613</t>
  </si>
  <si>
    <t>ENST00000256443</t>
  </si>
  <si>
    <t>ENST00000502604</t>
  </si>
  <si>
    <t>ENST00000506789</t>
  </si>
  <si>
    <t>ENST00000512687</t>
  </si>
  <si>
    <t>ENST00000512985</t>
  </si>
  <si>
    <t>ENST00000515391</t>
  </si>
  <si>
    <t>P50747</t>
  </si>
  <si>
    <t>ENST00000336648</t>
  </si>
  <si>
    <t>ENST00000399120</t>
  </si>
  <si>
    <t>ENST00000419461</t>
  </si>
  <si>
    <t>ENST00000427746</t>
  </si>
  <si>
    <t>ENST00000482273</t>
  </si>
  <si>
    <t>P50748</t>
  </si>
  <si>
    <t>ENST00000377192</t>
  </si>
  <si>
    <t>ENST00000423927</t>
  </si>
  <si>
    <t>ENST00000534995</t>
  </si>
  <si>
    <t>ENST00000535186</t>
  </si>
  <si>
    <t>ENST00000536625</t>
  </si>
  <si>
    <t>ENST00000539013</t>
  </si>
  <si>
    <t>ENST00000541427</t>
  </si>
  <si>
    <t>ENST00000541466</t>
  </si>
  <si>
    <t>ENST00000542727</t>
  </si>
  <si>
    <t>ENST00000545065</t>
  </si>
  <si>
    <t>P50749</t>
  </si>
  <si>
    <t>ENST00000379376</t>
  </si>
  <si>
    <t>ENST00000379400</t>
  </si>
  <si>
    <t>ENST00000478553</t>
  </si>
  <si>
    <t>P50750</t>
  </si>
  <si>
    <t>ENST00000373264</t>
  </si>
  <si>
    <t>ENST00000421939</t>
  </si>
  <si>
    <t>ENST00000480353</t>
  </si>
  <si>
    <t>ENST00000491521</t>
  </si>
  <si>
    <t>ENST00000498339</t>
  </si>
  <si>
    <t>P50897</t>
  </si>
  <si>
    <t>ENST00000433473</t>
  </si>
  <si>
    <t>ENST00000439754</t>
  </si>
  <si>
    <t>ENST00000530704</t>
  </si>
  <si>
    <t>P50914</t>
  </si>
  <si>
    <t>ENST00000338970</t>
  </si>
  <si>
    <t>ENST00000396203</t>
  </si>
  <si>
    <t>ENST00000416518</t>
  </si>
  <si>
    <t>ENST00000435633</t>
  </si>
  <si>
    <t>ENST00000461368</t>
  </si>
  <si>
    <t>ENST00000465280</t>
  </si>
  <si>
    <t>ENST00000465325</t>
  </si>
  <si>
    <t>ENST00000479563</t>
  </si>
  <si>
    <t>ENST00000481798</t>
  </si>
  <si>
    <t>P50990</t>
  </si>
  <si>
    <t>ENST00000286788</t>
  </si>
  <si>
    <t>ENST00000431234</t>
  </si>
  <si>
    <t>ENST00000432178</t>
  </si>
  <si>
    <t>ENST00000470450</t>
  </si>
  <si>
    <t>ENST00000475205</t>
  </si>
  <si>
    <t>ENST00000480359</t>
  </si>
  <si>
    <t>ENST00000481059</t>
  </si>
  <si>
    <t>ENST00000484403</t>
  </si>
  <si>
    <t>ENST00000494296</t>
  </si>
  <si>
    <t>ENST00000496121</t>
  </si>
  <si>
    <t>P50991</t>
  </si>
  <si>
    <t>ENST00000394440</t>
  </si>
  <si>
    <t>ENST00000461370</t>
  </si>
  <si>
    <t>P51003</t>
  </si>
  <si>
    <t>ENST00000216277</t>
  </si>
  <si>
    <t>ENST00000392990</t>
  </si>
  <si>
    <t>ENST00000553689</t>
  </si>
  <si>
    <t>ENST00000553940</t>
  </si>
  <si>
    <t>ENST00000554130</t>
  </si>
  <si>
    <t>ENST00000554135</t>
  </si>
  <si>
    <t>ENST00000554666</t>
  </si>
  <si>
    <t>ENST00000555021</t>
  </si>
  <si>
    <t>ENST00000555131</t>
  </si>
  <si>
    <t>ENST00000555224</t>
  </si>
  <si>
    <t>ENST00000555508</t>
  </si>
  <si>
    <t>ENST00000555701</t>
  </si>
  <si>
    <t>ENST00000555912</t>
  </si>
  <si>
    <t>ENST00000556283</t>
  </si>
  <si>
    <t>ENST00000556459</t>
  </si>
  <si>
    <t>ENST00000556619</t>
  </si>
  <si>
    <t>ENST00000556787</t>
  </si>
  <si>
    <t>ENST00000557320</t>
  </si>
  <si>
    <t>ENST00000557406</t>
  </si>
  <si>
    <t>ENST00000557471</t>
  </si>
  <si>
    <t>P51114</t>
  </si>
  <si>
    <t>ENST00000305586</t>
  </si>
  <si>
    <t>ENST00000357559</t>
  </si>
  <si>
    <t>ENST00000445140</t>
  </si>
  <si>
    <t>ENST00000461044</t>
  </si>
  <si>
    <t>ENST00000461801</t>
  </si>
  <si>
    <t>ENST00000472339</t>
  </si>
  <si>
    <t>ENST00000473375</t>
  </si>
  <si>
    <t>ENST00000476672</t>
  </si>
  <si>
    <t>ENST00000479176</t>
  </si>
  <si>
    <t>ENST00000498658</t>
  </si>
  <si>
    <t>P51116</t>
  </si>
  <si>
    <t>ENST00000250113</t>
  </si>
  <si>
    <t>ENST00000571079</t>
  </si>
  <si>
    <t>ENST00000573057</t>
  </si>
  <si>
    <t>ENST00000573957</t>
  </si>
  <si>
    <t>ENST00000574490</t>
  </si>
  <si>
    <t>ENST00000576693</t>
  </si>
  <si>
    <t>P51124</t>
  </si>
  <si>
    <t>ENST00000264553</t>
  </si>
  <si>
    <t>ENST00000592501</t>
  </si>
  <si>
    <t>P51148</t>
  </si>
  <si>
    <t>ENST00000346213</t>
  </si>
  <si>
    <t>ENST00000393860</t>
  </si>
  <si>
    <t>ENST00000546881</t>
  </si>
  <si>
    <t>ENST00000547517</t>
  </si>
  <si>
    <t>ENST00000550013</t>
  </si>
  <si>
    <t>ENST00000550406</t>
  </si>
  <si>
    <t>ENST00000550504</t>
  </si>
  <si>
    <t>ENST00000551338</t>
  </si>
  <si>
    <t>P51149</t>
  </si>
  <si>
    <t>ENST00000265062</t>
  </si>
  <si>
    <t>ENST00000464496</t>
  </si>
  <si>
    <t>ENST00000482525</t>
  </si>
  <si>
    <t>ENST00000483906</t>
  </si>
  <si>
    <t>ENST00000485280</t>
  </si>
  <si>
    <t>ENST00000490093</t>
  </si>
  <si>
    <t>ENST00000491681</t>
  </si>
  <si>
    <t>ENST00000493186</t>
  </si>
  <si>
    <t>P51151</t>
  </si>
  <si>
    <t>ENST00000243325</t>
  </si>
  <si>
    <t>ENST00000464506</t>
  </si>
  <si>
    <t>P51153</t>
  </si>
  <si>
    <t>ENST00000368575</t>
  </si>
  <si>
    <t>ENST00000462680</t>
  </si>
  <si>
    <t>P51159</t>
  </si>
  <si>
    <t>ENST00000336787</t>
  </si>
  <si>
    <t>ENST00000396307</t>
  </si>
  <si>
    <t>ENST00000561545</t>
  </si>
  <si>
    <t>ENST00000564609</t>
  </si>
  <si>
    <t>ENST00000565776</t>
  </si>
  <si>
    <t>ENST00000567639</t>
  </si>
  <si>
    <t>P51178</t>
  </si>
  <si>
    <t>ENST00000417185</t>
  </si>
  <si>
    <t>ENST00000461445</t>
  </si>
  <si>
    <t>ENST00000463876</t>
  </si>
  <si>
    <t>ENST00000473834</t>
  </si>
  <si>
    <t>ENST00000484829</t>
  </si>
  <si>
    <t>ENST00000495367</t>
  </si>
  <si>
    <t>ENST00000495395</t>
  </si>
  <si>
    <t>P51397</t>
  </si>
  <si>
    <t>ENST00000230895</t>
  </si>
  <si>
    <t>ENST00000508253</t>
  </si>
  <si>
    <t>ENST00000508646</t>
  </si>
  <si>
    <t>ENST00000510546</t>
  </si>
  <si>
    <t>P51398</t>
  </si>
  <si>
    <t>ENST00000343043</t>
  </si>
  <si>
    <t>ENST00000368336</t>
  </si>
  <si>
    <t>ENST00000421487</t>
  </si>
  <si>
    <t>ENST00000461479</t>
  </si>
  <si>
    <t>ENST00000462002</t>
  </si>
  <si>
    <t>ENST00000462978</t>
  </si>
  <si>
    <t>ENST00000463295</t>
  </si>
  <si>
    <t>ENST00000463575</t>
  </si>
  <si>
    <t>ENST00000465375</t>
  </si>
  <si>
    <t>ENST00000466384</t>
  </si>
  <si>
    <t>ENST00000470830</t>
  </si>
  <si>
    <t>ENST00000471214</t>
  </si>
  <si>
    <t>ENST00000471523</t>
  </si>
  <si>
    <t>ENST00000471642</t>
  </si>
  <si>
    <t>ENST00000475056</t>
  </si>
  <si>
    <t>ENST00000476444</t>
  </si>
  <si>
    <t>ENST00000477394</t>
  </si>
  <si>
    <t>ENST00000479076</t>
  </si>
  <si>
    <t>ENST00000479151</t>
  </si>
  <si>
    <t>ENST00000490249</t>
  </si>
  <si>
    <t>ENST00000496863</t>
  </si>
  <si>
    <t>ENST00000497433</t>
  </si>
  <si>
    <t>ENST00000535183</t>
  </si>
  <si>
    <t>ENST00000608852</t>
  </si>
  <si>
    <t>P51452</t>
  </si>
  <si>
    <t>ENST00000226004</t>
  </si>
  <si>
    <t>ENST00000590753</t>
  </si>
  <si>
    <t>ENST00000591618</t>
  </si>
  <si>
    <t>P51531</t>
  </si>
  <si>
    <t>ENST00000302401</t>
  </si>
  <si>
    <t>ENST00000349721</t>
  </si>
  <si>
    <t>ENST00000357248</t>
  </si>
  <si>
    <t>ENST00000382203</t>
  </si>
  <si>
    <t>ENST00000417599</t>
  </si>
  <si>
    <t>ENST00000450198</t>
  </si>
  <si>
    <t>ENST00000457226</t>
  </si>
  <si>
    <t>P51553</t>
  </si>
  <si>
    <t>ENST00000217901</t>
  </si>
  <si>
    <t>ENST00000370092</t>
  </si>
  <si>
    <t>ENST00000370093</t>
  </si>
  <si>
    <t>ENST00000444338</t>
  </si>
  <si>
    <t>ENST00000454076</t>
  </si>
  <si>
    <t>ENST00000461215</t>
  </si>
  <si>
    <t>ENST00000491235</t>
  </si>
  <si>
    <t>ENST00000495356</t>
  </si>
  <si>
    <t>P51570</t>
  </si>
  <si>
    <t>ENST00000586733</t>
  </si>
  <si>
    <t>ENST00000588479</t>
  </si>
  <si>
    <t>ENST00000589030</t>
  </si>
  <si>
    <t>ENST00000589643</t>
  </si>
  <si>
    <t>ENST00000592494</t>
  </si>
  <si>
    <t>P51571</t>
  </si>
  <si>
    <t>ENST00000320857</t>
  </si>
  <si>
    <t>ENST00000370085</t>
  </si>
  <si>
    <t>ENST00000370086</t>
  </si>
  <si>
    <t>ENST00000370087</t>
  </si>
  <si>
    <t>ENST00000447375</t>
  </si>
  <si>
    <t>ENST00000460616</t>
  </si>
  <si>
    <t>ENST00000471724</t>
  </si>
  <si>
    <t>ENST00000471880</t>
  </si>
  <si>
    <t>ENST00000482902</t>
  </si>
  <si>
    <t>ENST00000485612</t>
  </si>
  <si>
    <t>ENST00000491833</t>
  </si>
  <si>
    <t>P51572</t>
  </si>
  <si>
    <t>ENST00000345046</t>
  </si>
  <si>
    <t>ENST00000416815</t>
  </si>
  <si>
    <t>ENST00000430088</t>
  </si>
  <si>
    <t>ENST00000442093</t>
  </si>
  <si>
    <t>ENST00000458587</t>
  </si>
  <si>
    <t>ENST00000468947</t>
  </si>
  <si>
    <t>P51580</t>
  </si>
  <si>
    <t>ENST00000309983</t>
  </si>
  <si>
    <t>P51606</t>
  </si>
  <si>
    <t>ENST00000393700</t>
  </si>
  <si>
    <t>ENST00000442361</t>
  </si>
  <si>
    <t>ENST00000451114</t>
  </si>
  <si>
    <t>ENST00000457282</t>
  </si>
  <si>
    <t>ENST00000462086</t>
  </si>
  <si>
    <t>ENST00000464227</t>
  </si>
  <si>
    <t>ENST00000475904</t>
  </si>
  <si>
    <t>P51648</t>
  </si>
  <si>
    <t>ENST00000176643</t>
  </si>
  <si>
    <t>ENST00000339618</t>
  </si>
  <si>
    <t>ENST00000476965</t>
  </si>
  <si>
    <t>ENST00000571537</t>
  </si>
  <si>
    <t>ENST00000573505</t>
  </si>
  <si>
    <t>ENST00000579403</t>
  </si>
  <si>
    <t>P51649</t>
  </si>
  <si>
    <t>ENST00000348925</t>
  </si>
  <si>
    <t>ENST00000357578</t>
  </si>
  <si>
    <t>ENST00000479394</t>
  </si>
  <si>
    <t>ENST00000492697</t>
  </si>
  <si>
    <t>P51659</t>
  </si>
  <si>
    <t>ENST00000256216</t>
  </si>
  <si>
    <t>ENST00000442060</t>
  </si>
  <si>
    <t>ENST00000503168</t>
  </si>
  <si>
    <t>ENST00000503310</t>
  </si>
  <si>
    <t>ENST00000504811</t>
  </si>
  <si>
    <t>ENST00000507353</t>
  </si>
  <si>
    <t>ENST00000507695</t>
  </si>
  <si>
    <t>ENST00000508750</t>
  </si>
  <si>
    <t>ENST00000509606</t>
  </si>
  <si>
    <t>ENST00000510025</t>
  </si>
  <si>
    <t>ENST00000512029</t>
  </si>
  <si>
    <t>ENST00000512644</t>
  </si>
  <si>
    <t>ENST00000512841</t>
  </si>
  <si>
    <t>ENST00000515235</t>
  </si>
  <si>
    <t>ENST00000518349</t>
  </si>
  <si>
    <t>ENST00000519184</t>
  </si>
  <si>
    <t>ENST00000520216</t>
  </si>
  <si>
    <t>ENST00000520244</t>
  </si>
  <si>
    <t>ENST00000522415</t>
  </si>
  <si>
    <t>P51665</t>
  </si>
  <si>
    <t>ENST00000219313</t>
  </si>
  <si>
    <t>ENST00000563150</t>
  </si>
  <si>
    <t>ENST00000566015</t>
  </si>
  <si>
    <t>ENST00000568615</t>
  </si>
  <si>
    <t>P51668</t>
  </si>
  <si>
    <t>ENST00000373910</t>
  </si>
  <si>
    <t>ENST00000473824</t>
  </si>
  <si>
    <t>ENST00000606483</t>
  </si>
  <si>
    <t>P51688</t>
  </si>
  <si>
    <t>ENST00000326317</t>
  </si>
  <si>
    <t>ENST00000570427</t>
  </si>
  <si>
    <t>ENST00000570923</t>
  </si>
  <si>
    <t>ENST00000571075</t>
  </si>
  <si>
    <t>ENST00000571675</t>
  </si>
  <si>
    <t>ENST00000573150</t>
  </si>
  <si>
    <t>ENST00000575188</t>
  </si>
  <si>
    <t>ENST00000575282</t>
  </si>
  <si>
    <t>P51692</t>
  </si>
  <si>
    <t>ENST00000293328</t>
  </si>
  <si>
    <t>ENST00000468312</t>
  </si>
  <si>
    <t>ENST00000468496</t>
  </si>
  <si>
    <t>ENST00000481253</t>
  </si>
  <si>
    <t>ENST00000481517</t>
  </si>
  <si>
    <t>ENST00000498674</t>
  </si>
  <si>
    <t>P51784</t>
  </si>
  <si>
    <t>ENST00000218348</t>
  </si>
  <si>
    <t>ENST00000377080</t>
  </si>
  <si>
    <t>ENST00000377107</t>
  </si>
  <si>
    <t>ENST00000467378</t>
  </si>
  <si>
    <t>ENST00000469080</t>
  </si>
  <si>
    <t>ENST00000478596</t>
  </si>
  <si>
    <t>ENST00000480104</t>
  </si>
  <si>
    <t>ENST00000488848</t>
  </si>
  <si>
    <t>ENST00000489030</t>
  </si>
  <si>
    <t>ENST00000489111</t>
  </si>
  <si>
    <t>ENST00000497179</t>
  </si>
  <si>
    <t>P51808</t>
  </si>
  <si>
    <t>ENST00000378578</t>
  </si>
  <si>
    <t>ENST00000378581</t>
  </si>
  <si>
    <t>ENST00000432389</t>
  </si>
  <si>
    <t>P51812</t>
  </si>
  <si>
    <t>ENST00000379565</t>
  </si>
  <si>
    <t>ENST00000438357</t>
  </si>
  <si>
    <t>ENST00000474266</t>
  </si>
  <si>
    <t>P51817</t>
  </si>
  <si>
    <t>ENST00000262848</t>
  </si>
  <si>
    <t>ENST00000425240</t>
  </si>
  <si>
    <t>ENST00000496648</t>
  </si>
  <si>
    <t>P51825</t>
  </si>
  <si>
    <t>ENST00000307808</t>
  </si>
  <si>
    <t>ENST00000395146</t>
  </si>
  <si>
    <t>ENST00000503369</t>
  </si>
  <si>
    <t>ENST00000504956</t>
  </si>
  <si>
    <t>ENST00000507468</t>
  </si>
  <si>
    <t>ENST00000511442</t>
  </si>
  <si>
    <t>P51828</t>
  </si>
  <si>
    <t>ENST00000254235</t>
  </si>
  <si>
    <t>ENST00000394697</t>
  </si>
  <si>
    <t>ENST00000562623</t>
  </si>
  <si>
    <t>ENST00000566433</t>
  </si>
  <si>
    <t>ENST00000566761</t>
  </si>
  <si>
    <t>ENST00000567277</t>
  </si>
  <si>
    <t>ENST00000568731</t>
  </si>
  <si>
    <t>ENST00000568930</t>
  </si>
  <si>
    <t>ENST00000568933</t>
  </si>
  <si>
    <t>ENST00000570187</t>
  </si>
  <si>
    <t>P51858</t>
  </si>
  <si>
    <t>ENST00000357325</t>
  </si>
  <si>
    <t>ENST00000368206</t>
  </si>
  <si>
    <t>ENST00000368209</t>
  </si>
  <si>
    <t>ENST00000465180</t>
  </si>
  <si>
    <t>ENST00000469145</t>
  </si>
  <si>
    <t>ENST00000477306</t>
  </si>
  <si>
    <t>ENST00000482651</t>
  </si>
  <si>
    <t>ENST00000495212</t>
  </si>
  <si>
    <t>P51946</t>
  </si>
  <si>
    <t>ENST00000256897</t>
  </si>
  <si>
    <t>ENST00000504115</t>
  </si>
  <si>
    <t>ENST00000504878</t>
  </si>
  <si>
    <t>ENST00000505230</t>
  </si>
  <si>
    <t>ENST00000505587</t>
  </si>
  <si>
    <t>ENST00000508855</t>
  </si>
  <si>
    <t>ENST00000510020</t>
  </si>
  <si>
    <t>ENST00000510921</t>
  </si>
  <si>
    <t>ENST00000511207</t>
  </si>
  <si>
    <t>ENST00000513499</t>
  </si>
  <si>
    <t>P51965</t>
  </si>
  <si>
    <t>ENST00000306627</t>
  </si>
  <si>
    <t>ENST00000346855</t>
  </si>
  <si>
    <t>ENST00000424381</t>
  </si>
  <si>
    <t>ENST00000442670</t>
  </si>
  <si>
    <t>ENST00000452012</t>
  </si>
  <si>
    <t>ENST00000481622</t>
  </si>
  <si>
    <t>ENST00000484048</t>
  </si>
  <si>
    <t>ENST00000495141</t>
  </si>
  <si>
    <t>P51970</t>
  </si>
  <si>
    <t>ENST00000373768</t>
  </si>
  <si>
    <t>P51991</t>
  </si>
  <si>
    <t>ENST00000392524</t>
  </si>
  <si>
    <t>ENST00000411529</t>
  </si>
  <si>
    <t>ENST00000432457</t>
  </si>
  <si>
    <t>ENST00000435711</t>
  </si>
  <si>
    <t>ENST00000483137</t>
  </si>
  <si>
    <t>P52292</t>
  </si>
  <si>
    <t>ENST00000330459</t>
  </si>
  <si>
    <t>ENST00000537025</t>
  </si>
  <si>
    <t>ENST00000579754</t>
  </si>
  <si>
    <t>ENST00000582898</t>
  </si>
  <si>
    <t>P52294</t>
  </si>
  <si>
    <t>ENST00000344337</t>
  </si>
  <si>
    <t>ENST00000465882</t>
  </si>
  <si>
    <t>ENST00000466923</t>
  </si>
  <si>
    <t>ENST00000470904</t>
  </si>
  <si>
    <t>ENST00000476916</t>
  </si>
  <si>
    <t>ENST00000485027</t>
  </si>
  <si>
    <t>ENST00000494339</t>
  </si>
  <si>
    <t>P52298</t>
  </si>
  <si>
    <t>ENST00000321256</t>
  </si>
  <si>
    <t>ENST00000422610</t>
  </si>
  <si>
    <t>ENST00000427641</t>
  </si>
  <si>
    <t>ENST00000428425</t>
  </si>
  <si>
    <t>ENST00000447325</t>
  </si>
  <si>
    <t>ENST00000452404</t>
  </si>
  <si>
    <t>ENST00000455953</t>
  </si>
  <si>
    <t>ENST00000463783</t>
  </si>
  <si>
    <t>ENST00000467803</t>
  </si>
  <si>
    <t>ENST00000468923</t>
  </si>
  <si>
    <t>ENST00000479647</t>
  </si>
  <si>
    <t>ENST00000482976</t>
  </si>
  <si>
    <t>P52306</t>
  </si>
  <si>
    <t>ENST00000339360</t>
  </si>
  <si>
    <t>ENST00000380158</t>
  </si>
  <si>
    <t>ENST00000408927</t>
  </si>
  <si>
    <t>ENST00000453712</t>
  </si>
  <si>
    <t>ENST00000503667</t>
  </si>
  <si>
    <t>ENST00000505378</t>
  </si>
  <si>
    <t>ENST00000507303</t>
  </si>
  <si>
    <t>ENST00000509011</t>
  </si>
  <si>
    <t>ENST00000511212</t>
  </si>
  <si>
    <t>ENST00000511379</t>
  </si>
  <si>
    <t>ENST00000512857</t>
  </si>
  <si>
    <t>ENST00000514139</t>
  </si>
  <si>
    <t>ENST00000515187</t>
  </si>
  <si>
    <t>P52333</t>
  </si>
  <si>
    <t>ENST00000458235</t>
  </si>
  <si>
    <t>ENST00000526008</t>
  </si>
  <si>
    <t>ENST00000527031</t>
  </si>
  <si>
    <t>ENST00000527670</t>
  </si>
  <si>
    <t>ENST00000528293</t>
  </si>
  <si>
    <t>ENST00000528705</t>
  </si>
  <si>
    <t>ENST00000534444</t>
  </si>
  <si>
    <t>P52429</t>
  </si>
  <si>
    <t>ENST00000284061</t>
  </si>
  <si>
    <t>ENST00000571084</t>
  </si>
  <si>
    <t>ENST00000572810</t>
  </si>
  <si>
    <t>ENST00000572944</t>
  </si>
  <si>
    <t>P52434</t>
  </si>
  <si>
    <t>ENST00000429568</t>
  </si>
  <si>
    <t>ENST00000430783</t>
  </si>
  <si>
    <t>ENST00000443489</t>
  </si>
  <si>
    <t>ENST00000452961</t>
  </si>
  <si>
    <t>ENST00000455712</t>
  </si>
  <si>
    <t>ENST00000456318</t>
  </si>
  <si>
    <t>ENST00000460083</t>
  </si>
  <si>
    <t>ENST00000476003</t>
  </si>
  <si>
    <t>ENST00000488213</t>
  </si>
  <si>
    <t>ENST00000489043</t>
  </si>
  <si>
    <t>ENST00000490958</t>
  </si>
  <si>
    <t>P52435</t>
  </si>
  <si>
    <t>ENST00000292614</t>
  </si>
  <si>
    <t>ENST00000393794</t>
  </si>
  <si>
    <t>P52564</t>
  </si>
  <si>
    <t>ENST00000591445</t>
  </si>
  <si>
    <t>ENST00000592348</t>
  </si>
  <si>
    <t>P52565</t>
  </si>
  <si>
    <t>ENST00000269321</t>
  </si>
  <si>
    <t>ENST00000400721</t>
  </si>
  <si>
    <t>ENST00000541078</t>
  </si>
  <si>
    <t>ENST00000578351</t>
  </si>
  <si>
    <t>ENST00000579121</t>
  </si>
  <si>
    <t>ENST00000580033</t>
  </si>
  <si>
    <t>ENST00000580685</t>
  </si>
  <si>
    <t>ENST00000582309</t>
  </si>
  <si>
    <t>ENST00000582520</t>
  </si>
  <si>
    <t>ENST00000582984</t>
  </si>
  <si>
    <t>ENST00000583111</t>
  </si>
  <si>
    <t>ENST00000583499</t>
  </si>
  <si>
    <t>ENST00000583791</t>
  </si>
  <si>
    <t>ENST00000583868</t>
  </si>
  <si>
    <t>ENST00000584397</t>
  </si>
  <si>
    <t>ENST00000584461</t>
  </si>
  <si>
    <t>P52566</t>
  </si>
  <si>
    <t>ENST00000228945</t>
  </si>
  <si>
    <t>ENST00000535676</t>
  </si>
  <si>
    <t>ENST00000536592</t>
  </si>
  <si>
    <t>ENST00000539131</t>
  </si>
  <si>
    <t>ENST00000541380</t>
  </si>
  <si>
    <t>ENST00000541546</t>
  </si>
  <si>
    <t>ENST00000542276</t>
  </si>
  <si>
    <t>ENST00000545895</t>
  </si>
  <si>
    <t>P52597</t>
  </si>
  <si>
    <t>ENST00000337970</t>
  </si>
  <si>
    <t>ENST00000356053</t>
  </si>
  <si>
    <t>ENST00000357065</t>
  </si>
  <si>
    <t>ENST00000443950</t>
  </si>
  <si>
    <t>ENST00000498176</t>
  </si>
  <si>
    <t>ENST00000544000</t>
  </si>
  <si>
    <t>P52655</t>
  </si>
  <si>
    <t>ENST00000298173</t>
  </si>
  <si>
    <t>ENST00000553612</t>
  </si>
  <si>
    <t>ENST00000556268</t>
  </si>
  <si>
    <t>P52657</t>
  </si>
  <si>
    <t>ENST00000267869</t>
  </si>
  <si>
    <t>ENST00000396060</t>
  </si>
  <si>
    <t>ENST00000396061</t>
  </si>
  <si>
    <t>ENST00000396063</t>
  </si>
  <si>
    <t>ENST00000396064</t>
  </si>
  <si>
    <t>ENST00000472508</t>
  </si>
  <si>
    <t>ENST00000480768</t>
  </si>
  <si>
    <t>ENST00000559141</t>
  </si>
  <si>
    <t>ENST00000559706</t>
  </si>
  <si>
    <t>P52701</t>
  </si>
  <si>
    <t>ENST00000234420</t>
  </si>
  <si>
    <t>ENST00000445503</t>
  </si>
  <si>
    <t>ENST00000455383</t>
  </si>
  <si>
    <t>ENST00000456246</t>
  </si>
  <si>
    <t>P52732</t>
  </si>
  <si>
    <t>ENST00000260731</t>
  </si>
  <si>
    <t>P52756</t>
  </si>
  <si>
    <t>ENST00000347869</t>
  </si>
  <si>
    <t>ENST00000395174</t>
  </si>
  <si>
    <t>ENST00000404526</t>
  </si>
  <si>
    <t>ENST00000417905</t>
  </si>
  <si>
    <t>ENST00000433556</t>
  </si>
  <si>
    <t>ENST00000438369</t>
  </si>
  <si>
    <t>ENST00000441305</t>
  </si>
  <si>
    <t>ENST00000441812</t>
  </si>
  <si>
    <t>ENST00000461242</t>
  </si>
  <si>
    <t>ENST00000462025</t>
  </si>
  <si>
    <t>ENST00000464087</t>
  </si>
  <si>
    <t>ENST00000464988</t>
  </si>
  <si>
    <t>ENST00000469838</t>
  </si>
  <si>
    <t>ENST00000471995</t>
  </si>
  <si>
    <t>ENST00000474818</t>
  </si>
  <si>
    <t>ENST00000475128</t>
  </si>
  <si>
    <t>ENST00000475590</t>
  </si>
  <si>
    <t>ENST00000479275</t>
  </si>
  <si>
    <t>ENST00000489437</t>
  </si>
  <si>
    <t>ENST00000492430</t>
  </si>
  <si>
    <t>ENST00000492472</t>
  </si>
  <si>
    <t>ENST00000493993</t>
  </si>
  <si>
    <t>ENST00000494360</t>
  </si>
  <si>
    <t>ENST00000496179</t>
  </si>
  <si>
    <t>P52758</t>
  </si>
  <si>
    <t>ENST00000254878</t>
  </si>
  <si>
    <t>ENST00000519155</t>
  </si>
  <si>
    <t>ENST00000519608</t>
  </si>
  <si>
    <t>ENST00000520507</t>
  </si>
  <si>
    <t>P52788</t>
  </si>
  <si>
    <t>ENST00000379404</t>
  </si>
  <si>
    <t>ENST00000404933</t>
  </si>
  <si>
    <t>P52789</t>
  </si>
  <si>
    <t>ENST00000290573</t>
  </si>
  <si>
    <t>ENST00000472302</t>
  </si>
  <si>
    <t>P52790</t>
  </si>
  <si>
    <t>ENST00000514666</t>
  </si>
  <si>
    <t>P52815</t>
  </si>
  <si>
    <t>ENST00000333676</t>
  </si>
  <si>
    <t>P52824</t>
  </si>
  <si>
    <t>ENST00000273814</t>
  </si>
  <si>
    <t>ENST00000502309</t>
  </si>
  <si>
    <t>P52888</t>
  </si>
  <si>
    <t>ENST00000307741</t>
  </si>
  <si>
    <t>ENST00000395212</t>
  </si>
  <si>
    <t>ENST00000585673</t>
  </si>
  <si>
    <t>ENST00000586677</t>
  </si>
  <si>
    <t>ENST00000587468</t>
  </si>
  <si>
    <t>ENST00000589087</t>
  </si>
  <si>
    <t>ENST00000590533</t>
  </si>
  <si>
    <t>ENST00000590970</t>
  </si>
  <si>
    <t>P52907</t>
  </si>
  <si>
    <t>ENST00000263168</t>
  </si>
  <si>
    <t>ENST00000466066</t>
  </si>
  <si>
    <t>ENST00000476820</t>
  </si>
  <si>
    <t>ENST00000485542</t>
  </si>
  <si>
    <t>ENST00000498626</t>
  </si>
  <si>
    <t>P52943</t>
  </si>
  <si>
    <t>ENST00000329146</t>
  </si>
  <si>
    <t>ENST00000547643</t>
  </si>
  <si>
    <t>ENST00000551738</t>
  </si>
  <si>
    <t>P53004</t>
  </si>
  <si>
    <t>ENST00000265523</t>
  </si>
  <si>
    <t>ENST00000402924</t>
  </si>
  <si>
    <t>ENST00000453612</t>
  </si>
  <si>
    <t>ENST00000486984</t>
  </si>
  <si>
    <t>P53007</t>
  </si>
  <si>
    <t>ENST00000215882</t>
  </si>
  <si>
    <t>ENST00000451283</t>
  </si>
  <si>
    <t>ENST00000461267</t>
  </si>
  <si>
    <t>ENST00000470922</t>
  </si>
  <si>
    <t>P53041</t>
  </si>
  <si>
    <t>ENST00000012443</t>
  </si>
  <si>
    <t>ENST00000391919</t>
  </si>
  <si>
    <t>ENST00000467502</t>
  </si>
  <si>
    <t>ENST00000467902</t>
  </si>
  <si>
    <t>ENST00000486994</t>
  </si>
  <si>
    <t>ENST00000487483</t>
  </si>
  <si>
    <t>ENST00000491003</t>
  </si>
  <si>
    <t>ENST00000492109</t>
  </si>
  <si>
    <t>ENST00000493347</t>
  </si>
  <si>
    <t>ENST00000525507</t>
  </si>
  <si>
    <t>ENST00000527193</t>
  </si>
  <si>
    <t>ENST00000527623</t>
  </si>
  <si>
    <t>ENST00000532058</t>
  </si>
  <si>
    <t>ENST00000595055</t>
  </si>
  <si>
    <t>P53350</t>
  </si>
  <si>
    <t>ENST00000562272</t>
  </si>
  <si>
    <t>ENST00000562407</t>
  </si>
  <si>
    <t>ENST00000564947</t>
  </si>
  <si>
    <t>P53367</t>
  </si>
  <si>
    <t>ENST00000353617</t>
  </si>
  <si>
    <t>ENST00000356064</t>
  </si>
  <si>
    <t>ENST00000405727</t>
  </si>
  <si>
    <t>ENST00000451320</t>
  </si>
  <si>
    <t>ENST00000509413</t>
  </si>
  <si>
    <t>ENST00000514499</t>
  </si>
  <si>
    <t>P53582</t>
  </si>
  <si>
    <t>ENST00000296411</t>
  </si>
  <si>
    <t>ENST00000507537</t>
  </si>
  <si>
    <t>ENST00000510209</t>
  </si>
  <si>
    <t>ENST00000513097</t>
  </si>
  <si>
    <t>ENST00000513199</t>
  </si>
  <si>
    <t>ENST00000514051</t>
  </si>
  <si>
    <t>P53597</t>
  </si>
  <si>
    <t>ENST00000393868</t>
  </si>
  <si>
    <t>ENST00000430989</t>
  </si>
  <si>
    <t>ENST00000484365</t>
  </si>
  <si>
    <t>ENST00000487809</t>
  </si>
  <si>
    <t>ENST00000488234</t>
  </si>
  <si>
    <t>ENST00000491123</t>
  </si>
  <si>
    <t>ENST00000491642</t>
  </si>
  <si>
    <t>P53602</t>
  </si>
  <si>
    <t>ENST00000301012</t>
  </si>
  <si>
    <t>ENST00000561895</t>
  </si>
  <si>
    <t>ENST00000562651</t>
  </si>
  <si>
    <t>ENST00000562741</t>
  </si>
  <si>
    <t>ENST00000562981</t>
  </si>
  <si>
    <t>ENST00000563170</t>
  </si>
  <si>
    <t>ENST00000563463</t>
  </si>
  <si>
    <t>ENST00000563785</t>
  </si>
  <si>
    <t>ENST00000565149</t>
  </si>
  <si>
    <t>ENST00000565842</t>
  </si>
  <si>
    <t>ENST00000566636</t>
  </si>
  <si>
    <t>ENST00000569177</t>
  </si>
  <si>
    <t>P53609</t>
  </si>
  <si>
    <t>ENST00000296642</t>
  </si>
  <si>
    <t>ENST00000419445</t>
  </si>
  <si>
    <t>ENST00000503638</t>
  </si>
  <si>
    <t>P53611</t>
  </si>
  <si>
    <t>ENST00000319942</t>
  </si>
  <si>
    <t>ENST00000461653</t>
  </si>
  <si>
    <t>ENST00000462042</t>
  </si>
  <si>
    <t>ENST00000467748</t>
  </si>
  <si>
    <t>ENST00000470201</t>
  </si>
  <si>
    <t>ENST00000471759</t>
  </si>
  <si>
    <t>ENST00000485459</t>
  </si>
  <si>
    <t>ENST00000491266</t>
  </si>
  <si>
    <t>ENST00000496055</t>
  </si>
  <si>
    <t>ENST00000497648</t>
  </si>
  <si>
    <t>P53618</t>
  </si>
  <si>
    <t>ENST00000249923</t>
  </si>
  <si>
    <t>ENST00000439561</t>
  </si>
  <si>
    <t>ENST00000525214</t>
  </si>
  <si>
    <t>ENST00000526191</t>
  </si>
  <si>
    <t>ENST00000526527</t>
  </si>
  <si>
    <t>ENST00000529210</t>
  </si>
  <si>
    <t>ENST00000529866</t>
  </si>
  <si>
    <t>ENST00000532088</t>
  </si>
  <si>
    <t>ENST00000533533</t>
  </si>
  <si>
    <t>ENST00000534234</t>
  </si>
  <si>
    <t>P53621</t>
  </si>
  <si>
    <t>ENST00000241704</t>
  </si>
  <si>
    <t>ENST00000368069</t>
  </si>
  <si>
    <t>ENST00000481040</t>
  </si>
  <si>
    <t>ENST00000481522</t>
  </si>
  <si>
    <t>ENST00000541366</t>
  </si>
  <si>
    <t>ENST00000545266</t>
  </si>
  <si>
    <t>ENST00000545284</t>
  </si>
  <si>
    <t>P53634</t>
  </si>
  <si>
    <t>ENST00000227266</t>
  </si>
  <si>
    <t>ENST00000393301</t>
  </si>
  <si>
    <t>ENST00000524463</t>
  </si>
  <si>
    <t>ENST00000528020</t>
  </si>
  <si>
    <t>ENST00000529974</t>
  </si>
  <si>
    <t>ENST00000533897</t>
  </si>
  <si>
    <t>ENST00000534131</t>
  </si>
  <si>
    <t>P53677</t>
  </si>
  <si>
    <t>ENST00000174653</t>
  </si>
  <si>
    <t>ENST00000396926</t>
  </si>
  <si>
    <t>ENST00000517499</t>
  </si>
  <si>
    <t>ENST00000517865</t>
  </si>
  <si>
    <t>ENST00000517922</t>
  </si>
  <si>
    <t>ENST00000517969</t>
  </si>
  <si>
    <t>ENST00000518421</t>
  </si>
  <si>
    <t>ENST00000520689</t>
  </si>
  <si>
    <t>ENST00000521899</t>
  </si>
  <si>
    <t>ENST00000522320</t>
  </si>
  <si>
    <t>ENST00000522606</t>
  </si>
  <si>
    <t>ENST00000523249</t>
  </si>
  <si>
    <t>ENST00000530375</t>
  </si>
  <si>
    <t>P53680</t>
  </si>
  <si>
    <t>ENST00000263270</t>
  </si>
  <si>
    <t>ENST00000352203</t>
  </si>
  <si>
    <t>ENST00000593442</t>
  </si>
  <si>
    <t>ENST00000597020</t>
  </si>
  <si>
    <t>ENST00000597421</t>
  </si>
  <si>
    <t>ENST00000598027</t>
  </si>
  <si>
    <t>ENST00000600964</t>
  </si>
  <si>
    <t>ENST00000601649</t>
  </si>
  <si>
    <t>P53701</t>
  </si>
  <si>
    <t>ENST00000321143</t>
  </si>
  <si>
    <t>ENST00000380762</t>
  </si>
  <si>
    <t>ENST00000380763</t>
  </si>
  <si>
    <t>P53801</t>
  </si>
  <si>
    <t>ENST00000330938</t>
  </si>
  <si>
    <t>ENST00000474737</t>
  </si>
  <si>
    <t>ENST00000494690</t>
  </si>
  <si>
    <t>P53803</t>
  </si>
  <si>
    <t>ENST00000353107</t>
  </si>
  <si>
    <t>ENST00000519765</t>
  </si>
  <si>
    <t>ENST00000522439</t>
  </si>
  <si>
    <t>P53985</t>
  </si>
  <si>
    <t>ENST00000369626</t>
  </si>
  <si>
    <t>ENST00000478835</t>
  </si>
  <si>
    <t>ENST00000481750</t>
  </si>
  <si>
    <t>P53992</t>
  </si>
  <si>
    <t>ENST00000339365</t>
  </si>
  <si>
    <t>ENST00000345254</t>
  </si>
  <si>
    <t>ENST00000465076</t>
  </si>
  <si>
    <t>ENST00000477008</t>
  </si>
  <si>
    <t>P53999</t>
  </si>
  <si>
    <t>ENST00000265073</t>
  </si>
  <si>
    <t>ENST00000502453</t>
  </si>
  <si>
    <t>ENST00000504016</t>
  </si>
  <si>
    <t>ENST00000506237</t>
  </si>
  <si>
    <t>ENST00000510442</t>
  </si>
  <si>
    <t>ENST00000511175</t>
  </si>
  <si>
    <t>ENST00000511615</t>
  </si>
  <si>
    <t>ENST00000511988</t>
  </si>
  <si>
    <t>ENST00000512913</t>
  </si>
  <si>
    <t>ENST00000513013</t>
  </si>
  <si>
    <t>ENST00000515355</t>
  </si>
  <si>
    <t>P54098</t>
  </si>
  <si>
    <t>ENST00000268124</t>
  </si>
  <si>
    <t>ENST00000442287</t>
  </si>
  <si>
    <t>ENST00000526314</t>
  </si>
  <si>
    <t>ENST00000526398</t>
  </si>
  <si>
    <t>ENST00000526573</t>
  </si>
  <si>
    <t>ENST00000526671</t>
  </si>
  <si>
    <t>ENST00000530292</t>
  </si>
  <si>
    <t>ENST00000532363</t>
  </si>
  <si>
    <t>ENST00000532584</t>
  </si>
  <si>
    <t>ENST00000533857</t>
  </si>
  <si>
    <t>P54105</t>
  </si>
  <si>
    <t>ENST00000525064</t>
  </si>
  <si>
    <t>ENST00000525359</t>
  </si>
  <si>
    <t>ENST00000525428</t>
  </si>
  <si>
    <t>ENST00000526761</t>
  </si>
  <si>
    <t>ENST00000527265</t>
  </si>
  <si>
    <t>ENST00000527299</t>
  </si>
  <si>
    <t>ENST00000528364</t>
  </si>
  <si>
    <t>ENST00000533957</t>
  </si>
  <si>
    <t>P54132</t>
  </si>
  <si>
    <t>ENST00000355112</t>
  </si>
  <si>
    <t>ENST00000558825</t>
  </si>
  <si>
    <t>ENST00000560559</t>
  </si>
  <si>
    <t>ENST00000560821</t>
  </si>
  <si>
    <t>P54136</t>
  </si>
  <si>
    <t>ENST00000231572</t>
  </si>
  <si>
    <t>ENST00000518757</t>
  </si>
  <si>
    <t>ENST00000519346</t>
  </si>
  <si>
    <t>ENST00000520421</t>
  </si>
  <si>
    <t>ENST00000521329</t>
  </si>
  <si>
    <t>ENST00000521939</t>
  </si>
  <si>
    <t>ENST00000524082</t>
  </si>
  <si>
    <t>P54259</t>
  </si>
  <si>
    <t>ENST00000356654</t>
  </si>
  <si>
    <t>ENST00000396684</t>
  </si>
  <si>
    <t>ENST00000537488</t>
  </si>
  <si>
    <t>ENST00000541029</t>
  </si>
  <si>
    <t>P54278</t>
  </si>
  <si>
    <t>ENST00000265849</t>
  </si>
  <si>
    <t>ENST00000380416</t>
  </si>
  <si>
    <t>ENST00000415839</t>
  </si>
  <si>
    <t>P54577</t>
  </si>
  <si>
    <t>ENST00000373477</t>
  </si>
  <si>
    <t>ENST00000466052</t>
  </si>
  <si>
    <t>ENST00000469100</t>
  </si>
  <si>
    <t>ENST00000470377</t>
  </si>
  <si>
    <t>ENST00000472692</t>
  </si>
  <si>
    <t>ENST00000478828</t>
  </si>
  <si>
    <t>ENST00000481895</t>
  </si>
  <si>
    <t>ENST00000487404</t>
  </si>
  <si>
    <t>ENST00000490826</t>
  </si>
  <si>
    <t>P54578</t>
  </si>
  <si>
    <t>ENST00000261601</t>
  </si>
  <si>
    <t>ENST00000578786</t>
  </si>
  <si>
    <t>ENST00000578942</t>
  </si>
  <si>
    <t>ENST00000581983</t>
  </si>
  <si>
    <t>ENST00000582707</t>
  </si>
  <si>
    <t>ENST00000583119</t>
  </si>
  <si>
    <t>P54652</t>
  </si>
  <si>
    <t>ENST00000247207</t>
  </si>
  <si>
    <t>P54709</t>
  </si>
  <si>
    <t>ENST00000286371</t>
  </si>
  <si>
    <t>ENST00000465172</t>
  </si>
  <si>
    <t>ENST00000466678</t>
  </si>
  <si>
    <t>ENST00000482635</t>
  </si>
  <si>
    <t>ENST00000484727</t>
  </si>
  <si>
    <t>ENST00000486782</t>
  </si>
  <si>
    <t>ENST00000487199</t>
  </si>
  <si>
    <t>P54727</t>
  </si>
  <si>
    <t>ENST00000358015</t>
  </si>
  <si>
    <t>ENST00000419616</t>
  </si>
  <si>
    <t>P54802</t>
  </si>
  <si>
    <t>ENST00000225927</t>
  </si>
  <si>
    <t>ENST00000586516</t>
  </si>
  <si>
    <t>ENST00000590358</t>
  </si>
  <si>
    <t>P54803</t>
  </si>
  <si>
    <t>ENST00000261304</t>
  </si>
  <si>
    <t>ENST00000393569</t>
  </si>
  <si>
    <t>ENST00000474294</t>
  </si>
  <si>
    <t>ENST00000477716</t>
  </si>
  <si>
    <t>ENST00000544807</t>
  </si>
  <si>
    <t>ENST00000554372</t>
  </si>
  <si>
    <t>ENST00000555000</t>
  </si>
  <si>
    <t>ENST00000555179</t>
  </si>
  <si>
    <t>ENST00000555956</t>
  </si>
  <si>
    <t>ENST00000556261</t>
  </si>
  <si>
    <t>P54920</t>
  </si>
  <si>
    <t>ENST00000263354</t>
  </si>
  <si>
    <t>ENST00000593761</t>
  </si>
  <si>
    <t>ENST00000593905</t>
  </si>
  <si>
    <t>ENST00000594001</t>
  </si>
  <si>
    <t>ENST00000594217</t>
  </si>
  <si>
    <t>ENST00000594740</t>
  </si>
  <si>
    <t>ENST00000595826</t>
  </si>
  <si>
    <t>ENST00000596892</t>
  </si>
  <si>
    <t>ENST00000597271</t>
  </si>
  <si>
    <t>ENST00000597274</t>
  </si>
  <si>
    <t>ENST00000597778</t>
  </si>
  <si>
    <t>ENST00000601208</t>
  </si>
  <si>
    <t>ENST00000601927</t>
  </si>
  <si>
    <t>ENST00000602082</t>
  </si>
  <si>
    <t>ENST00000602174</t>
  </si>
  <si>
    <t>P54922</t>
  </si>
  <si>
    <t>ENST00000478399</t>
  </si>
  <si>
    <t>P55008</t>
  </si>
  <si>
    <t>ENST00000337917</t>
  </si>
  <si>
    <t>ENST00000376049</t>
  </si>
  <si>
    <t>ENST00000376059</t>
  </si>
  <si>
    <t>ENST00000466820</t>
  </si>
  <si>
    <t>ENST00000497362</t>
  </si>
  <si>
    <t>P55010</t>
  </si>
  <si>
    <t>ENST00000216554</t>
  </si>
  <si>
    <t>ENST00000392715</t>
  </si>
  <si>
    <t>ENST00000558316</t>
  </si>
  <si>
    <t>ENST00000558506</t>
  </si>
  <si>
    <t>ENST00000558551</t>
  </si>
  <si>
    <t>ENST00000558800</t>
  </si>
  <si>
    <t>ENST00000559011</t>
  </si>
  <si>
    <t>ENST00000559249</t>
  </si>
  <si>
    <t>ENST00000559923</t>
  </si>
  <si>
    <t>ENST00000560338</t>
  </si>
  <si>
    <t>ENST00000560763</t>
  </si>
  <si>
    <t>ENST00000561023</t>
  </si>
  <si>
    <t>ENST00000561380</t>
  </si>
  <si>
    <t>ENST00000561406</t>
  </si>
  <si>
    <t>ENST00000561439</t>
  </si>
  <si>
    <t>P55036</t>
  </si>
  <si>
    <t>ENST00000368881</t>
  </si>
  <si>
    <t>ENST00000368884</t>
  </si>
  <si>
    <t>ENST00000437736</t>
  </si>
  <si>
    <t>ENST00000445776</t>
  </si>
  <si>
    <t>ENST00000453615</t>
  </si>
  <si>
    <t>ENST00000461434</t>
  </si>
  <si>
    <t>ENST00000462970</t>
  </si>
  <si>
    <t>ENST00000469786</t>
  </si>
  <si>
    <t>ENST00000470396</t>
  </si>
  <si>
    <t>ENST00000476855</t>
  </si>
  <si>
    <t>ENST00000491857</t>
  </si>
  <si>
    <t>P55039</t>
  </si>
  <si>
    <t>ENST00000225729</t>
  </si>
  <si>
    <t>ENST00000395726</t>
  </si>
  <si>
    <t>ENST00000467099</t>
  </si>
  <si>
    <t>ENST00000473213</t>
  </si>
  <si>
    <t>ENST00000482564</t>
  </si>
  <si>
    <t>ENST00000496428</t>
  </si>
  <si>
    <t>ENST00000497744</t>
  </si>
  <si>
    <t>ENST00000577771</t>
  </si>
  <si>
    <t>ENST00000578173</t>
  </si>
  <si>
    <t>ENST00000578767</t>
  </si>
  <si>
    <t>ENST00000579224</t>
  </si>
  <si>
    <t>ENST00000579601</t>
  </si>
  <si>
    <t>ENST00000580055</t>
  </si>
  <si>
    <t>ENST00000580929</t>
  </si>
  <si>
    <t>ENST00000582314</t>
  </si>
  <si>
    <t>ENST00000582419</t>
  </si>
  <si>
    <t>ENST00000582528</t>
  </si>
  <si>
    <t>ENST00000583162</t>
  </si>
  <si>
    <t>ENST00000583355</t>
  </si>
  <si>
    <t>ENST00000584212</t>
  </si>
  <si>
    <t>P55040</t>
  </si>
  <si>
    <t>ENST00000297596</t>
  </si>
  <si>
    <t>ENST00000396194</t>
  </si>
  <si>
    <t>ENST00000521817</t>
  </si>
  <si>
    <t>ENST00000523660</t>
  </si>
  <si>
    <t>P55061</t>
  </si>
  <si>
    <t>ENST00000267115</t>
  </si>
  <si>
    <t>ENST00000395006</t>
  </si>
  <si>
    <t>ENST00000423828</t>
  </si>
  <si>
    <t>ENST00000546885</t>
  </si>
  <si>
    <t>ENST00000546914</t>
  </si>
  <si>
    <t>ENST00000547013</t>
  </si>
  <si>
    <t>ENST00000547187</t>
  </si>
  <si>
    <t>ENST00000547798</t>
  </si>
  <si>
    <t>ENST00000547832</t>
  </si>
  <si>
    <t>ENST00000548201</t>
  </si>
  <si>
    <t>ENST00000548713</t>
  </si>
  <si>
    <t>ENST00000549130</t>
  </si>
  <si>
    <t>ENST00000549385</t>
  </si>
  <si>
    <t>ENST00000549445</t>
  </si>
  <si>
    <t>ENST00000549471</t>
  </si>
  <si>
    <t>ENST00000549966</t>
  </si>
  <si>
    <t>ENST00000550040</t>
  </si>
  <si>
    <t>ENST00000550445</t>
  </si>
  <si>
    <t>ENST00000550951</t>
  </si>
  <si>
    <t>ENST00000552370</t>
  </si>
  <si>
    <t>ENST00000552635</t>
  </si>
  <si>
    <t>ENST00000553022</t>
  </si>
  <si>
    <t>P55072</t>
  </si>
  <si>
    <t>ENST00000358901</t>
  </si>
  <si>
    <t>ENST00000417448</t>
  </si>
  <si>
    <t>ENST00000448530</t>
  </si>
  <si>
    <t>ENST00000466100</t>
  </si>
  <si>
    <t>ENST00000479300</t>
  </si>
  <si>
    <t>ENST00000480327</t>
  </si>
  <si>
    <t>ENST00000493886</t>
  </si>
  <si>
    <t>P55081</t>
  </si>
  <si>
    <t>ENST00000267812</t>
  </si>
  <si>
    <t>ENST00000484386</t>
  </si>
  <si>
    <t>P55084</t>
  </si>
  <si>
    <t>ENST00000317799</t>
  </si>
  <si>
    <t>ENST00000405867</t>
  </si>
  <si>
    <t>ENST00000425035</t>
  </si>
  <si>
    <t>ENST00000479347</t>
  </si>
  <si>
    <t>ENST00000494615</t>
  </si>
  <si>
    <t>ENST00000545822</t>
  </si>
  <si>
    <t>P55145</t>
  </si>
  <si>
    <t>ENST00000446668</t>
  </si>
  <si>
    <t>ENST00000470900</t>
  </si>
  <si>
    <t>ENST00000482262</t>
  </si>
  <si>
    <t>ENST00000528157</t>
  </si>
  <si>
    <t>P55160</t>
  </si>
  <si>
    <t>ENST00000293373</t>
  </si>
  <si>
    <t>ENST00000547500</t>
  </si>
  <si>
    <t>ENST00000548221</t>
  </si>
  <si>
    <t>ENST00000548916</t>
  </si>
  <si>
    <t>ENST00000548980</t>
  </si>
  <si>
    <t>ENST00000549451</t>
  </si>
  <si>
    <t>ENST00000552211</t>
  </si>
  <si>
    <t>P55196</t>
  </si>
  <si>
    <t>ENST00000423229</t>
  </si>
  <si>
    <t>ENST00000476946</t>
  </si>
  <si>
    <t>ENST00000485634</t>
  </si>
  <si>
    <t>ENST00000497596</t>
  </si>
  <si>
    <t>ENST00000507704</t>
  </si>
  <si>
    <t>ENST00000509296</t>
  </si>
  <si>
    <t>ENST00000511503</t>
  </si>
  <si>
    <t>ENST00000511637</t>
  </si>
  <si>
    <t>P55197</t>
  </si>
  <si>
    <t>ENST00000307729</t>
  </si>
  <si>
    <t>ENST00000377059</t>
  </si>
  <si>
    <t>ENST00000377072</t>
  </si>
  <si>
    <t>ENST00000377091</t>
  </si>
  <si>
    <t>ENST00000377100</t>
  </si>
  <si>
    <t>ENST00000420525</t>
  </si>
  <si>
    <t>ENST00000462999</t>
  </si>
  <si>
    <t>ENST00000468309</t>
  </si>
  <si>
    <t>ENST00000471315</t>
  </si>
  <si>
    <t>ENST00000476557</t>
  </si>
  <si>
    <t>ENST00000480415</t>
  </si>
  <si>
    <t>ENST00000495130</t>
  </si>
  <si>
    <t>P55199</t>
  </si>
  <si>
    <t>ENST00000262809</t>
  </si>
  <si>
    <t>ENST00000596124</t>
  </si>
  <si>
    <t>ENST00000596915</t>
  </si>
  <si>
    <t>ENST00000608165</t>
  </si>
  <si>
    <t>ENST00000610152</t>
  </si>
  <si>
    <t>P55209</t>
  </si>
  <si>
    <t>ENST00000261182</t>
  </si>
  <si>
    <t>ENST00000393263</t>
  </si>
  <si>
    <t>ENST00000431879</t>
  </si>
  <si>
    <t>ENST00000535020</t>
  </si>
  <si>
    <t>ENST00000542344</t>
  </si>
  <si>
    <t>ENST00000544816</t>
  </si>
  <si>
    <t>ENST00000547479</t>
  </si>
  <si>
    <t>ENST00000547704</t>
  </si>
  <si>
    <t>ENST00000547773</t>
  </si>
  <si>
    <t>ENST00000547969</t>
  </si>
  <si>
    <t>ENST00000547993</t>
  </si>
  <si>
    <t>ENST00000548044</t>
  </si>
  <si>
    <t>ENST00000548273</t>
  </si>
  <si>
    <t>ENST00000549479</t>
  </si>
  <si>
    <t>ENST00000549596</t>
  </si>
  <si>
    <t>ENST00000549988</t>
  </si>
  <si>
    <t>ENST00000550934</t>
  </si>
  <si>
    <t>ENST00000551500</t>
  </si>
  <si>
    <t>ENST00000551524</t>
  </si>
  <si>
    <t>ENST00000551992</t>
  </si>
  <si>
    <t>ENST00000552013</t>
  </si>
  <si>
    <t>ENST00000552056</t>
  </si>
  <si>
    <t>ENST00000552342</t>
  </si>
  <si>
    <t>P55210</t>
  </si>
  <si>
    <t>ENST00000369318</t>
  </si>
  <si>
    <t>ENST00000369321</t>
  </si>
  <si>
    <t>ENST00000369331</t>
  </si>
  <si>
    <t>ENST00000429617</t>
  </si>
  <si>
    <t>ENST00000487232</t>
  </si>
  <si>
    <t>P55212</t>
  </si>
  <si>
    <t>ENST00000265164</t>
  </si>
  <si>
    <t>ENST00000352981</t>
  </si>
  <si>
    <t>ENST00000503684</t>
  </si>
  <si>
    <t>ENST00000505117</t>
  </si>
  <si>
    <t>ENST00000505486</t>
  </si>
  <si>
    <t>ENST00000507550</t>
  </si>
  <si>
    <t>ENST00000508203</t>
  </si>
  <si>
    <t>ENST00000510324</t>
  </si>
  <si>
    <t>P55265</t>
  </si>
  <si>
    <t>ENST00000368471</t>
  </si>
  <si>
    <t>ENST00000368474</t>
  </si>
  <si>
    <t>ENST00000463920</t>
  </si>
  <si>
    <t>ENST00000471068</t>
  </si>
  <si>
    <t>ENST00000494866</t>
  </si>
  <si>
    <t>ENST00000526905</t>
  </si>
  <si>
    <t>ENST00000529168</t>
  </si>
  <si>
    <t>ENST00000530954</t>
  </si>
  <si>
    <t>ENST00000534279</t>
  </si>
  <si>
    <t>P55273</t>
  </si>
  <si>
    <t>ENST00000335766</t>
  </si>
  <si>
    <t>ENST00000393599</t>
  </si>
  <si>
    <t>P55345</t>
  </si>
  <si>
    <t>ENST00000291705</t>
  </si>
  <si>
    <t>ENST00000334494</t>
  </si>
  <si>
    <t>ENST00000355680</t>
  </si>
  <si>
    <t>ENST00000397628</t>
  </si>
  <si>
    <t>ENST00000397637</t>
  </si>
  <si>
    <t>ENST00000397638</t>
  </si>
  <si>
    <t>ENST00000440086</t>
  </si>
  <si>
    <t>ENST00000455177</t>
  </si>
  <si>
    <t>ENST00000481861</t>
  </si>
  <si>
    <t>ENST00000482508</t>
  </si>
  <si>
    <t>ENST00000486520</t>
  </si>
  <si>
    <t>ENST00000491389</t>
  </si>
  <si>
    <t>ENST00000498151</t>
  </si>
  <si>
    <t>P55735</t>
  </si>
  <si>
    <t>ENST00000337354</t>
  </si>
  <si>
    <t>ENST00000350697</t>
  </si>
  <si>
    <t>ENST00000383801</t>
  </si>
  <si>
    <t>ENST00000397101</t>
  </si>
  <si>
    <t>ENST00000397102</t>
  </si>
  <si>
    <t>ENST00000397105</t>
  </si>
  <si>
    <t>ENST00000397117</t>
  </si>
  <si>
    <t>ENST00000476597</t>
  </si>
  <si>
    <t>ENST00000477547</t>
  </si>
  <si>
    <t>ENST00000479868</t>
  </si>
  <si>
    <t>ENST00000482647</t>
  </si>
  <si>
    <t>ENST00000490283</t>
  </si>
  <si>
    <t>P55769</t>
  </si>
  <si>
    <t>ENST00000215956</t>
  </si>
  <si>
    <t>ENST00000355257</t>
  </si>
  <si>
    <t>ENST00000401959</t>
  </si>
  <si>
    <t>ENST00000402458</t>
  </si>
  <si>
    <t>ENST00000463675</t>
  </si>
  <si>
    <t>ENST00000469028</t>
  </si>
  <si>
    <t>ENST00000469522</t>
  </si>
  <si>
    <t>ENST00000488571</t>
  </si>
  <si>
    <t>P55786</t>
  </si>
  <si>
    <t>ENST00000322157</t>
  </si>
  <si>
    <t>ENST00000525021</t>
  </si>
  <si>
    <t>ENST00000525048</t>
  </si>
  <si>
    <t>ENST00000525401</t>
  </si>
  <si>
    <t>ENST00000526247</t>
  </si>
  <si>
    <t>ENST00000527298</t>
  </si>
  <si>
    <t>ENST00000527824</t>
  </si>
  <si>
    <t>ENST00000527964</t>
  </si>
  <si>
    <t>ENST00000529602</t>
  </si>
  <si>
    <t>ENST00000530514</t>
  </si>
  <si>
    <t>ENST00000531486</t>
  </si>
  <si>
    <t>ENST00000532729</t>
  </si>
  <si>
    <t>ENST00000533538</t>
  </si>
  <si>
    <t>ENST00000533573</t>
  </si>
  <si>
    <t>ENST00000534727</t>
  </si>
  <si>
    <t>ENST00000534807</t>
  </si>
  <si>
    <t>P55789</t>
  </si>
  <si>
    <t>ENST00000248114</t>
  </si>
  <si>
    <t>ENST00000561710</t>
  </si>
  <si>
    <t>ENST00000565658</t>
  </si>
  <si>
    <t>ENST00000567719</t>
  </si>
  <si>
    <t>ENST00000569451</t>
  </si>
  <si>
    <t>P55795</t>
  </si>
  <si>
    <t>ENST00000316594</t>
  </si>
  <si>
    <t>P55809</t>
  </si>
  <si>
    <t>ENST00000196371</t>
  </si>
  <si>
    <t>ENST00000503374</t>
  </si>
  <si>
    <t>ENST00000508557</t>
  </si>
  <si>
    <t>ENST00000512084</t>
  </si>
  <si>
    <t>P55854</t>
  </si>
  <si>
    <t>ENST00000332859</t>
  </si>
  <si>
    <t>ENST00000397893</t>
  </si>
  <si>
    <t>ENST00000397898</t>
  </si>
  <si>
    <t>ENST00000411651</t>
  </si>
  <si>
    <t>ENST00000466861</t>
  </si>
  <si>
    <t>P55884</t>
  </si>
  <si>
    <t>ENST00000360876</t>
  </si>
  <si>
    <t>ENST00000397011</t>
  </si>
  <si>
    <t>ENST00000413917</t>
  </si>
  <si>
    <t>ENST00000463026</t>
  </si>
  <si>
    <t>ENST00000463229</t>
  </si>
  <si>
    <t>ENST00000465670</t>
  </si>
  <si>
    <t>ENST00000466199</t>
  </si>
  <si>
    <t>ENST00000468250</t>
  </si>
  <si>
    <t>ENST00000468611</t>
  </si>
  <si>
    <t>ENST00000475415</t>
  </si>
  <si>
    <t>ENST00000494658</t>
  </si>
  <si>
    <t>P55899</t>
  </si>
  <si>
    <t>ENST00000221466</t>
  </si>
  <si>
    <t>ENST00000426395</t>
  </si>
  <si>
    <t>ENST00000595881</t>
  </si>
  <si>
    <t>ENST00000596975</t>
  </si>
  <si>
    <t>ENST00000598927</t>
  </si>
  <si>
    <t>P55957</t>
  </si>
  <si>
    <t>ENST00000317361</t>
  </si>
  <si>
    <t>ENST00000399765</t>
  </si>
  <si>
    <t>ENST00000399767</t>
  </si>
  <si>
    <t>ENST00000399774</t>
  </si>
  <si>
    <t>ENST00000473439</t>
  </si>
  <si>
    <t>ENST00000494097</t>
  </si>
  <si>
    <t>P56134</t>
  </si>
  <si>
    <t>ENST00000292475</t>
  </si>
  <si>
    <t>ENST00000359832</t>
  </si>
  <si>
    <t>ENST00000394186</t>
  </si>
  <si>
    <t>ENST00000449683</t>
  </si>
  <si>
    <t>ENST00000466753</t>
  </si>
  <si>
    <t>ENST00000481899</t>
  </si>
  <si>
    <t>ENST00000485011</t>
  </si>
  <si>
    <t>ENST00000488775</t>
  </si>
  <si>
    <t>ENST00000491560</t>
  </si>
  <si>
    <t>ENST00000524321</t>
  </si>
  <si>
    <t>P56182</t>
  </si>
  <si>
    <t>ENST00000467112</t>
  </si>
  <si>
    <t>ENST00000471909</t>
  </si>
  <si>
    <t>ENST00000473988</t>
  </si>
  <si>
    <t>ENST00000475534</t>
  </si>
  <si>
    <t>ENST00000492638</t>
  </si>
  <si>
    <t>ENST00000497547</t>
  </si>
  <si>
    <t>P56192</t>
  </si>
  <si>
    <t>ENST00000262027</t>
  </si>
  <si>
    <t>ENST00000447721</t>
  </si>
  <si>
    <t>ENST00000537638</t>
  </si>
  <si>
    <t>ENST00000545888</t>
  </si>
  <si>
    <t>ENST00000546481</t>
  </si>
  <si>
    <t>ENST00000546971</t>
  </si>
  <si>
    <t>ENST00000547062</t>
  </si>
  <si>
    <t>ENST00000547501</t>
  </si>
  <si>
    <t>ENST00000547665</t>
  </si>
  <si>
    <t>ENST00000548146</t>
  </si>
  <si>
    <t>ENST00000548202</t>
  </si>
  <si>
    <t>ENST00000548630</t>
  </si>
  <si>
    <t>ENST00000548674</t>
  </si>
  <si>
    <t>ENST00000548714</t>
  </si>
  <si>
    <t>ENST00000548944</t>
  </si>
  <si>
    <t>ENST00000549048</t>
  </si>
  <si>
    <t>ENST00000549074</t>
  </si>
  <si>
    <t>ENST00000549133</t>
  </si>
  <si>
    <t>ENST00000549603</t>
  </si>
  <si>
    <t>ENST00000549827</t>
  </si>
  <si>
    <t>ENST00000550449</t>
  </si>
  <si>
    <t>ENST00000551172</t>
  </si>
  <si>
    <t>ENST00000551805</t>
  </si>
  <si>
    <t>ENST00000551842</t>
  </si>
  <si>
    <t>ENST00000552499</t>
  </si>
  <si>
    <t>ENST00000552914</t>
  </si>
  <si>
    <t>ENST00000553123</t>
  </si>
  <si>
    <t>ENST00000553162</t>
  </si>
  <si>
    <t>P56202</t>
  </si>
  <si>
    <t>ENST00000307886</t>
  </si>
  <si>
    <t>ENST00000524681</t>
  </si>
  <si>
    <t>ENST00000528419</t>
  </si>
  <si>
    <t>P56211</t>
  </si>
  <si>
    <t>ENST00000249822</t>
  </si>
  <si>
    <t>ENST00000561650</t>
  </si>
  <si>
    <t>ENST00000561971</t>
  </si>
  <si>
    <t>ENST00000563277</t>
  </si>
  <si>
    <t>ENST00000563566</t>
  </si>
  <si>
    <t>ENST00000564163</t>
  </si>
  <si>
    <t>ENST00000566423</t>
  </si>
  <si>
    <t>ENST00000567669</t>
  </si>
  <si>
    <t>ENST00000568196</t>
  </si>
  <si>
    <t>P56277</t>
  </si>
  <si>
    <t>ENST00000369479</t>
  </si>
  <si>
    <t>ENST00000369484</t>
  </si>
  <si>
    <t>P56279</t>
  </si>
  <si>
    <t>ENST00000402399</t>
  </si>
  <si>
    <t>P56378</t>
  </si>
  <si>
    <t>ENST00000286953</t>
  </si>
  <si>
    <t>ENST00000414262</t>
  </si>
  <si>
    <t>ENST00000553430</t>
  </si>
  <si>
    <t>ENST00000553449</t>
  </si>
  <si>
    <t>ENST00000554089</t>
  </si>
  <si>
    <t>ENST00000554287</t>
  </si>
  <si>
    <t>ENST00000554528</t>
  </si>
  <si>
    <t>ENST00000554713</t>
  </si>
  <si>
    <t>ENST00000555030</t>
  </si>
  <si>
    <t>ENST00000557040</t>
  </si>
  <si>
    <t>ENST00000557260</t>
  </si>
  <si>
    <t>P56381</t>
  </si>
  <si>
    <t>ENST00000243997</t>
  </si>
  <si>
    <t>ENST00000395659</t>
  </si>
  <si>
    <t>ENST00000395663</t>
  </si>
  <si>
    <t>P56385</t>
  </si>
  <si>
    <t>ENST00000304312</t>
  </si>
  <si>
    <t>ENST00000505852</t>
  </si>
  <si>
    <t>ENST00000506525</t>
  </si>
  <si>
    <t>ENST00000515116</t>
  </si>
  <si>
    <t>ENST00000515202</t>
  </si>
  <si>
    <t>P56524</t>
  </si>
  <si>
    <t>ENST00000345617</t>
  </si>
  <si>
    <t>ENST00000430200</t>
  </si>
  <si>
    <t>ENST00000460235</t>
  </si>
  <si>
    <t>ENST00000463007</t>
  </si>
  <si>
    <t>ENST00000487617</t>
  </si>
  <si>
    <t>ENST00000493582</t>
  </si>
  <si>
    <t>ENST00000494800</t>
  </si>
  <si>
    <t>ENST00000495497</t>
  </si>
  <si>
    <t>ENST00000496347</t>
  </si>
  <si>
    <t>ENST00000535493</t>
  </si>
  <si>
    <t>P56537</t>
  </si>
  <si>
    <t>ENST00000374436</t>
  </si>
  <si>
    <t>ENST00000374443</t>
  </si>
  <si>
    <t>ENST00000374450</t>
  </si>
  <si>
    <t>ENST00000415116</t>
  </si>
  <si>
    <t>ENST00000440766</t>
  </si>
  <si>
    <t>ENST00000447927</t>
  </si>
  <si>
    <t>ENST00000462894</t>
  </si>
  <si>
    <t>P56545</t>
  </si>
  <si>
    <t>ENST00000337195</t>
  </si>
  <si>
    <t>ENST00000486955</t>
  </si>
  <si>
    <t>P56556</t>
  </si>
  <si>
    <t>ENST00000470753</t>
  </si>
  <si>
    <t>ENST00000498737</t>
  </si>
  <si>
    <t>ENST00000602404</t>
  </si>
  <si>
    <t>P56589</t>
  </si>
  <si>
    <t>ENST00000367591</t>
  </si>
  <si>
    <t>ENST00000367592</t>
  </si>
  <si>
    <t>ENST00000585848</t>
  </si>
  <si>
    <t>P56962</t>
  </si>
  <si>
    <t>ENST00000259400</t>
  </si>
  <si>
    <t>ENST00000525640</t>
  </si>
  <si>
    <t>ENST00000529385</t>
  </si>
  <si>
    <t>ENST00000533696</t>
  </si>
  <si>
    <t>P57076</t>
  </si>
  <si>
    <t>ENST00000290155</t>
  </si>
  <si>
    <t>ENST00000382549</t>
  </si>
  <si>
    <t>ENST00000425336</t>
  </si>
  <si>
    <t>ENST00000440966</t>
  </si>
  <si>
    <t>ENST00000458138</t>
  </si>
  <si>
    <t>ENST00000483315</t>
  </si>
  <si>
    <t>P57088</t>
  </si>
  <si>
    <t>ENST00000264452</t>
  </si>
  <si>
    <t>ENST00000504986</t>
  </si>
  <si>
    <t>ENST00000508448</t>
  </si>
  <si>
    <t>ENST00000510383</t>
  </si>
  <si>
    <t>ENST00000513558</t>
  </si>
  <si>
    <t>ENST00000513702</t>
  </si>
  <si>
    <t>P57105</t>
  </si>
  <si>
    <t>ENST00000256366</t>
  </si>
  <si>
    <t>ENST00000554216</t>
  </si>
  <si>
    <t>P57678</t>
  </si>
  <si>
    <t>ENST00000319004</t>
  </si>
  <si>
    <t>ENST00000573482</t>
  </si>
  <si>
    <t>ENST00000576778</t>
  </si>
  <si>
    <t>P57740</t>
  </si>
  <si>
    <t>ENST00000229179</t>
  </si>
  <si>
    <t>ENST00000401003</t>
  </si>
  <si>
    <t>ENST00000535718</t>
  </si>
  <si>
    <t>ENST00000537662</t>
  </si>
  <si>
    <t>ENST00000539373</t>
  </si>
  <si>
    <t>ENST00000540453</t>
  </si>
  <si>
    <t>ENST00000545140</t>
  </si>
  <si>
    <t>P57764</t>
  </si>
  <si>
    <t>ENST00000262580</t>
  </si>
  <si>
    <t>ENST00000524846</t>
  </si>
  <si>
    <t>ENST00000525208</t>
  </si>
  <si>
    <t>ENST00000526051</t>
  </si>
  <si>
    <t>ENST00000526406</t>
  </si>
  <si>
    <t>ENST00000526469</t>
  </si>
  <si>
    <t>ENST00000528475</t>
  </si>
  <si>
    <t>ENST00000531173</t>
  </si>
  <si>
    <t>ENST00000531184</t>
  </si>
  <si>
    <t>ENST00000533063</t>
  </si>
  <si>
    <t>ENST00000534602</t>
  </si>
  <si>
    <t>P57772</t>
  </si>
  <si>
    <t>ENST00000254730</t>
  </si>
  <si>
    <t>ENST00000483457</t>
  </si>
  <si>
    <t>ENST00000483569</t>
  </si>
  <si>
    <t>P58004</t>
  </si>
  <si>
    <t>ENST00000253063</t>
  </si>
  <si>
    <t>P58005</t>
  </si>
  <si>
    <t>ENST00000416495</t>
  </si>
  <si>
    <t>ENST00000536441</t>
  </si>
  <si>
    <t>P58546</t>
  </si>
  <si>
    <t>ENST00000393085</t>
  </si>
  <si>
    <t>ENST00000435723</t>
  </si>
  <si>
    <t>P59665</t>
  </si>
  <si>
    <t>ENST00000327857</t>
  </si>
  <si>
    <t>ENST00000382679</t>
  </si>
  <si>
    <t>ENST00000382689</t>
  </si>
  <si>
    <t>ENST00000382692</t>
  </si>
  <si>
    <t>ENST00000535841</t>
  </si>
  <si>
    <t>P59666</t>
  </si>
  <si>
    <t>P59768</t>
  </si>
  <si>
    <t>ENST00000335281</t>
  </si>
  <si>
    <t>ENST00000553299</t>
  </si>
  <si>
    <t>ENST00000553560</t>
  </si>
  <si>
    <t>ENST00000554840</t>
  </si>
  <si>
    <t>ENST00000555472</t>
  </si>
  <si>
    <t>ENST00000556471</t>
  </si>
  <si>
    <t>ENST00000556752</t>
  </si>
  <si>
    <t>ENST00000556766</t>
  </si>
  <si>
    <t>ENST00000557208</t>
  </si>
  <si>
    <t>P59998</t>
  </si>
  <si>
    <t>ENST00000397261</t>
  </si>
  <si>
    <t>ENST00000417500</t>
  </si>
  <si>
    <t>ENST00000433034</t>
  </si>
  <si>
    <t>ENST00000440787</t>
  </si>
  <si>
    <t>ENST00000467289</t>
  </si>
  <si>
    <t>ENST00000479956</t>
  </si>
  <si>
    <t>ENST00000485273</t>
  </si>
  <si>
    <t>ENST00000498623</t>
  </si>
  <si>
    <t>P60174</t>
  </si>
  <si>
    <t>ENST00000229270</t>
  </si>
  <si>
    <t>ENST00000396705</t>
  </si>
  <si>
    <t>ENST00000474253</t>
  </si>
  <si>
    <t>ENST00000482209</t>
  </si>
  <si>
    <t>ENST00000488464</t>
  </si>
  <si>
    <t>ENST00000495834</t>
  </si>
  <si>
    <t>ENST00000535434</t>
  </si>
  <si>
    <t>P60228</t>
  </si>
  <si>
    <t>ENST00000220849</t>
  </si>
  <si>
    <t>ENST00000518345</t>
  </si>
  <si>
    <t>ENST00000518442</t>
  </si>
  <si>
    <t>ENST00000519030</t>
  </si>
  <si>
    <t>ENST00000519413</t>
  </si>
  <si>
    <t>ENST00000519517</t>
  </si>
  <si>
    <t>ENST00000519627</t>
  </si>
  <si>
    <t>ENST00000521440</t>
  </si>
  <si>
    <t>ENST00000521614</t>
  </si>
  <si>
    <t>ENST00000522352</t>
  </si>
  <si>
    <t>ENST00000522445</t>
  </si>
  <si>
    <t>ENST00000523646</t>
  </si>
  <si>
    <t>ENST00000523674</t>
  </si>
  <si>
    <t>P60468</t>
  </si>
  <si>
    <t>ENST00000223641</t>
  </si>
  <si>
    <t>ENST00000481573</t>
  </si>
  <si>
    <t>ENST00000498603</t>
  </si>
  <si>
    <t>P60484</t>
  </si>
  <si>
    <t>ENST00000371953</t>
  </si>
  <si>
    <t>ENST00000462694</t>
  </si>
  <si>
    <t>ENST00000472832</t>
  </si>
  <si>
    <t>ENST00000487939</t>
  </si>
  <si>
    <t>ENST00000498703</t>
  </si>
  <si>
    <t>P60510</t>
  </si>
  <si>
    <t>ENST00000279387</t>
  </si>
  <si>
    <t>ENST00000561610</t>
  </si>
  <si>
    <t>ENST00000562222</t>
  </si>
  <si>
    <t>ENST00000562664</t>
  </si>
  <si>
    <t>ENST00000563200</t>
  </si>
  <si>
    <t>ENST00000563597</t>
  </si>
  <si>
    <t>ENST00000563732</t>
  </si>
  <si>
    <t>ENST00000564966</t>
  </si>
  <si>
    <t>ENST00000566749</t>
  </si>
  <si>
    <t>ENST00000567040</t>
  </si>
  <si>
    <t>ENST00000567642</t>
  </si>
  <si>
    <t>ENST00000567828</t>
  </si>
  <si>
    <t>ENST00000568810</t>
  </si>
  <si>
    <t>P60520</t>
  </si>
  <si>
    <t>ENST00000037243</t>
  </si>
  <si>
    <t>ENST00000565057</t>
  </si>
  <si>
    <t>ENST00000565985</t>
  </si>
  <si>
    <t>ENST00000568455</t>
  </si>
  <si>
    <t>P60602</t>
  </si>
  <si>
    <t>ENST00000336695</t>
  </si>
  <si>
    <t>ENST00000374072</t>
  </si>
  <si>
    <t>ENST00000374077</t>
  </si>
  <si>
    <t>ENST00000374078</t>
  </si>
  <si>
    <t>P60604</t>
  </si>
  <si>
    <t>ENST00000330942</t>
  </si>
  <si>
    <t>ENST00000345496</t>
  </si>
  <si>
    <t>ENST00000462569</t>
  </si>
  <si>
    <t>ENST00000481546</t>
  </si>
  <si>
    <t>ENST00000490091</t>
  </si>
  <si>
    <t>ENST00000490450</t>
  </si>
  <si>
    <t>ENST00000491513</t>
  </si>
  <si>
    <t>P60842</t>
  </si>
  <si>
    <t>ENST00000293831</t>
  </si>
  <si>
    <t>ENST00000577269</t>
  </si>
  <si>
    <t>ENST00000577731</t>
  </si>
  <si>
    <t>ENST00000577738</t>
  </si>
  <si>
    <t>ENST00000578324</t>
  </si>
  <si>
    <t>ENST00000578476</t>
  </si>
  <si>
    <t>ENST00000578495</t>
  </si>
  <si>
    <t>ENST00000578569</t>
  </si>
  <si>
    <t>ENST00000579139</t>
  </si>
  <si>
    <t>ENST00000580461</t>
  </si>
  <si>
    <t>ENST00000580886</t>
  </si>
  <si>
    <t>ENST00000580888</t>
  </si>
  <si>
    <t>ENST00000581384</t>
  </si>
  <si>
    <t>ENST00000581544</t>
  </si>
  <si>
    <t>ENST00000581841</t>
  </si>
  <si>
    <t>ENST00000582050</t>
  </si>
  <si>
    <t>ENST00000582169</t>
  </si>
  <si>
    <t>ENST00000582746</t>
  </si>
  <si>
    <t>ENST00000582848</t>
  </si>
  <si>
    <t>ENST00000583217</t>
  </si>
  <si>
    <t>ENST00000583899</t>
  </si>
  <si>
    <t>ENST00000584054</t>
  </si>
  <si>
    <t>ENST00000584712</t>
  </si>
  <si>
    <t>ENST00000584784</t>
  </si>
  <si>
    <t>ENST00000584798</t>
  </si>
  <si>
    <t>ENST00000584860</t>
  </si>
  <si>
    <t>ENST00000584901</t>
  </si>
  <si>
    <t>P60866</t>
  </si>
  <si>
    <t>ENST00000009589</t>
  </si>
  <si>
    <t>ENST00000518875</t>
  </si>
  <si>
    <t>ENST00000519369</t>
  </si>
  <si>
    <t>ENST00000519606</t>
  </si>
  <si>
    <t>ENST00000519807</t>
  </si>
  <si>
    <t>ENST00000520490</t>
  </si>
  <si>
    <t>ENST00000520627</t>
  </si>
  <si>
    <t>ENST00000521262</t>
  </si>
  <si>
    <t>ENST00000521289</t>
  </si>
  <si>
    <t>ENST00000523936</t>
  </si>
  <si>
    <t>ENST00000524349</t>
  </si>
  <si>
    <t>P60891</t>
  </si>
  <si>
    <t>ENST00000372419</t>
  </si>
  <si>
    <t>ENST00000372435</t>
  </si>
  <si>
    <t>P60900</t>
  </si>
  <si>
    <t>ENST00000261479</t>
  </si>
  <si>
    <t>ENST00000540871</t>
  </si>
  <si>
    <t>ENST00000553688</t>
  </si>
  <si>
    <t>ENST00000553809</t>
  </si>
  <si>
    <t>ENST00000554457</t>
  </si>
  <si>
    <t>ENST00000554541</t>
  </si>
  <si>
    <t>ENST00000554620</t>
  </si>
  <si>
    <t>ENST00000554843</t>
  </si>
  <si>
    <t>ENST00000554961</t>
  </si>
  <si>
    <t>ENST00000555050</t>
  </si>
  <si>
    <t>ENST00000555764</t>
  </si>
  <si>
    <t>ENST00000556167</t>
  </si>
  <si>
    <t>P60903</t>
  </si>
  <si>
    <t>ENST00000368811</t>
  </si>
  <si>
    <t>ENST00000478348</t>
  </si>
  <si>
    <t>ENST00000478574</t>
  </si>
  <si>
    <t>P60981</t>
  </si>
  <si>
    <t>ENST00000246069</t>
  </si>
  <si>
    <t>ENST00000474024</t>
  </si>
  <si>
    <t>P60983</t>
  </si>
  <si>
    <t>ENST00000358056</t>
  </si>
  <si>
    <t>ENST00000553952</t>
  </si>
  <si>
    <t>ENST00000554163</t>
  </si>
  <si>
    <t>ENST00000554908</t>
  </si>
  <si>
    <t>P61006</t>
  </si>
  <si>
    <t>ENST00000300935</t>
  </si>
  <si>
    <t>ENST00000586682</t>
  </si>
  <si>
    <t>ENST00000587156</t>
  </si>
  <si>
    <t>ENST00000589697</t>
  </si>
  <si>
    <t>ENST00000590899</t>
  </si>
  <si>
    <t>ENST00000592971</t>
  </si>
  <si>
    <t>P61009</t>
  </si>
  <si>
    <t>ENST00000503362</t>
  </si>
  <si>
    <t>ENST00000507001</t>
  </si>
  <si>
    <t>ENST00000507678</t>
  </si>
  <si>
    <t>ENST00000513139</t>
  </si>
  <si>
    <t>P61011</t>
  </si>
  <si>
    <t>ENST00000216774</t>
  </si>
  <si>
    <t>ENST00000546080</t>
  </si>
  <si>
    <t>ENST00000553544</t>
  </si>
  <si>
    <t>ENST00000553923</t>
  </si>
  <si>
    <t>ENST00000555317</t>
  </si>
  <si>
    <t>ENST00000555535</t>
  </si>
  <si>
    <t>ENST00000555557</t>
  </si>
  <si>
    <t>ENST00000555746</t>
  </si>
  <si>
    <t>ENST00000556380</t>
  </si>
  <si>
    <t>ENST00000556445</t>
  </si>
  <si>
    <t>ENST00000556992</t>
  </si>
  <si>
    <t>ENST00000556994</t>
  </si>
  <si>
    <t>P61018</t>
  </si>
  <si>
    <t>ENST00000357052</t>
  </si>
  <si>
    <t>ENST00000594800</t>
  </si>
  <si>
    <t>ENST00000595728</t>
  </si>
  <si>
    <t>ENST00000597476</t>
  </si>
  <si>
    <t>ENST00000598430</t>
  </si>
  <si>
    <t>ENST00000600078</t>
  </si>
  <si>
    <t>ENST00000602173</t>
  </si>
  <si>
    <t>P61019</t>
  </si>
  <si>
    <t>ENST00000262646</t>
  </si>
  <si>
    <t>ENST00000396696</t>
  </si>
  <si>
    <t>ENST00000429861</t>
  </si>
  <si>
    <t>ENST00000452437</t>
  </si>
  <si>
    <t>ENST00000466595</t>
  </si>
  <si>
    <t>ENST00000481569</t>
  </si>
  <si>
    <t>ENST00000529579</t>
  </si>
  <si>
    <t>ENST00000531098</t>
  </si>
  <si>
    <t>P61020</t>
  </si>
  <si>
    <t>ENST00000360299</t>
  </si>
  <si>
    <t>ENST00000546810</t>
  </si>
  <si>
    <t>ENST00000548068</t>
  </si>
  <si>
    <t>ENST00000549034</t>
  </si>
  <si>
    <t>ENST00000550283</t>
  </si>
  <si>
    <t>ENST00000551459</t>
  </si>
  <si>
    <t>ENST00000553116</t>
  </si>
  <si>
    <t>P61024</t>
  </si>
  <si>
    <t>ENST00000308987</t>
  </si>
  <si>
    <t>ENST00000368436</t>
  </si>
  <si>
    <t>ENST00000368439</t>
  </si>
  <si>
    <t>ENST00000471245</t>
  </si>
  <si>
    <t>ENST00000474215</t>
  </si>
  <si>
    <t>ENST00000477676</t>
  </si>
  <si>
    <t>P61026</t>
  </si>
  <si>
    <t>ENST00000264710</t>
  </si>
  <si>
    <t>ENST00000495146</t>
  </si>
  <si>
    <t>P61073</t>
  </si>
  <si>
    <t>ENST00000241393</t>
  </si>
  <si>
    <t>ENST00000409817</t>
  </si>
  <si>
    <t>ENST00000466288</t>
  </si>
  <si>
    <t>P61077</t>
  </si>
  <si>
    <t>ENST00000321805</t>
  </si>
  <si>
    <t>ENST00000338145</t>
  </si>
  <si>
    <t>ENST00000343106</t>
  </si>
  <si>
    <t>ENST00000349311</t>
  </si>
  <si>
    <t>ENST00000350435</t>
  </si>
  <si>
    <t>ENST00000357194</t>
  </si>
  <si>
    <t>ENST00000394801</t>
  </si>
  <si>
    <t>ENST00000394803</t>
  </si>
  <si>
    <t>ENST00000453744</t>
  </si>
  <si>
    <t>ENST00000502563</t>
  </si>
  <si>
    <t>ENST00000503282</t>
  </si>
  <si>
    <t>ENST00000503418</t>
  </si>
  <si>
    <t>ENST00000503742</t>
  </si>
  <si>
    <t>ENST00000505009</t>
  </si>
  <si>
    <t>ENST00000505307</t>
  </si>
  <si>
    <t>ENST00000508474</t>
  </si>
  <si>
    <t>ENST00000508476</t>
  </si>
  <si>
    <t>ENST00000508818</t>
  </si>
  <si>
    <t>ENST00000508974</t>
  </si>
  <si>
    <t>ENST00000510129</t>
  </si>
  <si>
    <t>ENST00000510599</t>
  </si>
  <si>
    <t>ENST00000513098</t>
  </si>
  <si>
    <t>ENST00000514755</t>
  </si>
  <si>
    <t>P61081</t>
  </si>
  <si>
    <t>ENST00000253023</t>
  </si>
  <si>
    <t>ENST00000593801</t>
  </si>
  <si>
    <t>ENST00000596985</t>
  </si>
  <si>
    <t>ENST00000599829</t>
  </si>
  <si>
    <t>P61086</t>
  </si>
  <si>
    <t>ENST00000261427</t>
  </si>
  <si>
    <t>ENST00000445950</t>
  </si>
  <si>
    <t>ENST00000503368</t>
  </si>
  <si>
    <t>ENST00000510719</t>
  </si>
  <si>
    <t>P61088</t>
  </si>
  <si>
    <t>ENST00000318066</t>
  </si>
  <si>
    <t>ENST00000548946</t>
  </si>
  <si>
    <t>ENST00000549490</t>
  </si>
  <si>
    <t>ENST00000549833</t>
  </si>
  <si>
    <t>ENST00000550657</t>
  </si>
  <si>
    <t>ENST00000552442</t>
  </si>
  <si>
    <t>P61106</t>
  </si>
  <si>
    <t>ENST00000373840</t>
  </si>
  <si>
    <t>P61129</t>
  </si>
  <si>
    <t>ENST00000343936</t>
  </si>
  <si>
    <t>ENST00000409871</t>
  </si>
  <si>
    <t>ENST00000476511</t>
  </si>
  <si>
    <t>P61158</t>
  </si>
  <si>
    <t>ENST00000263238</t>
  </si>
  <si>
    <t>ENST00000443297</t>
  </si>
  <si>
    <t>ENST00000478928</t>
  </si>
  <si>
    <t>ENST00000484165</t>
  </si>
  <si>
    <t>ENST00000489779</t>
  </si>
  <si>
    <t>ENST00000535589</t>
  </si>
  <si>
    <t>P61160</t>
  </si>
  <si>
    <t>ENST00000260641</t>
  </si>
  <si>
    <t>ENST00000476840</t>
  </si>
  <si>
    <t>ENST00000542850</t>
  </si>
  <si>
    <t>P61163</t>
  </si>
  <si>
    <t>ENST00000369905</t>
  </si>
  <si>
    <t>ENST00000470322</t>
  </si>
  <si>
    <t>ENST00000480947</t>
  </si>
  <si>
    <t>ENST00000481044</t>
  </si>
  <si>
    <t>ENST00000494549</t>
  </si>
  <si>
    <t>P61201</t>
  </si>
  <si>
    <t>ENST00000299259</t>
  </si>
  <si>
    <t>ENST00000388901</t>
  </si>
  <si>
    <t>ENST00000558545</t>
  </si>
  <si>
    <t>ENST00000558843</t>
  </si>
  <si>
    <t>ENST00000559016</t>
  </si>
  <si>
    <t>P61221</t>
  </si>
  <si>
    <t>ENST00000296577</t>
  </si>
  <si>
    <t>ENST00000502586</t>
  </si>
  <si>
    <t>ENST00000504292</t>
  </si>
  <si>
    <t>ENST00000504683</t>
  </si>
  <si>
    <t>ENST00000509593</t>
  </si>
  <si>
    <t>ENST00000510321</t>
  </si>
  <si>
    <t>ENST00000515678</t>
  </si>
  <si>
    <t>P61225</t>
  </si>
  <si>
    <t>ENST00000323534</t>
  </si>
  <si>
    <t>P61247</t>
  </si>
  <si>
    <t>ENST00000274065</t>
  </si>
  <si>
    <t>ENST00000503002</t>
  </si>
  <si>
    <t>ENST00000505243</t>
  </si>
  <si>
    <t>ENST00000506126</t>
  </si>
  <si>
    <t>ENST00000507485</t>
  </si>
  <si>
    <t>ENST00000509736</t>
  </si>
  <si>
    <t>ENST00000510993</t>
  </si>
  <si>
    <t>ENST00000512690</t>
  </si>
  <si>
    <t>ENST00000512797</t>
  </si>
  <si>
    <t>ENST00000514682</t>
  </si>
  <si>
    <t>ENST00000515792</t>
  </si>
  <si>
    <t>ENST00000515818</t>
  </si>
  <si>
    <t>P61254</t>
  </si>
  <si>
    <t>ENST00000293842</t>
  </si>
  <si>
    <t>ENST00000578069</t>
  </si>
  <si>
    <t>ENST00000578115</t>
  </si>
  <si>
    <t>ENST00000578812</t>
  </si>
  <si>
    <t>ENST00000582485</t>
  </si>
  <si>
    <t>ENST00000582556</t>
  </si>
  <si>
    <t>ENST00000583011</t>
  </si>
  <si>
    <t>ENST00000583515</t>
  </si>
  <si>
    <t>ENST00000584164</t>
  </si>
  <si>
    <t>ENST00000584343</t>
  </si>
  <si>
    <t>ENST00000584441</t>
  </si>
  <si>
    <t>ENST00000584906</t>
  </si>
  <si>
    <t>ENST00000585176</t>
  </si>
  <si>
    <t>P61289</t>
  </si>
  <si>
    <t>ENST00000293362</t>
  </si>
  <si>
    <t>ENST00000441946</t>
  </si>
  <si>
    <t>ENST00000543428</t>
  </si>
  <si>
    <t>ENST00000585805</t>
  </si>
  <si>
    <t>ENST00000586114</t>
  </si>
  <si>
    <t>ENST00000589469</t>
  </si>
  <si>
    <t>ENST00000590720</t>
  </si>
  <si>
    <t>ENST00000591152</t>
  </si>
  <si>
    <t>ENST00000591722</t>
  </si>
  <si>
    <t>ENST00000592169</t>
  </si>
  <si>
    <t>P61313</t>
  </si>
  <si>
    <t>ENST00000307839</t>
  </si>
  <si>
    <t>ENST00000354811</t>
  </si>
  <si>
    <t>ENST00000412097</t>
  </si>
  <si>
    <t>ENST00000413699</t>
  </si>
  <si>
    <t>ENST00000415719</t>
  </si>
  <si>
    <t>ENST00000435882</t>
  </si>
  <si>
    <t>ENST00000465786</t>
  </si>
  <si>
    <t>ENST00000490223</t>
  </si>
  <si>
    <t>P61353</t>
  </si>
  <si>
    <t>ENST00000253788</t>
  </si>
  <si>
    <t>ENST00000586277</t>
  </si>
  <si>
    <t>ENST00000587478</t>
  </si>
  <si>
    <t>ENST00000588830</t>
  </si>
  <si>
    <t>ENST00000589037</t>
  </si>
  <si>
    <t>ENST00000589913</t>
  </si>
  <si>
    <t>ENST00000593262</t>
  </si>
  <si>
    <t>P61421</t>
  </si>
  <si>
    <t>ENST00000290949</t>
  </si>
  <si>
    <t>ENST00000561658</t>
  </si>
  <si>
    <t>ENST00000563305</t>
  </si>
  <si>
    <t>ENST00000564191</t>
  </si>
  <si>
    <t>ENST00000564615</t>
  </si>
  <si>
    <t>ENST00000565835</t>
  </si>
  <si>
    <t>ENST00000567170</t>
  </si>
  <si>
    <t>ENST00000568298</t>
  </si>
  <si>
    <t>ENST00000568620</t>
  </si>
  <si>
    <t>P61513</t>
  </si>
  <si>
    <t>ENST00000359681</t>
  </si>
  <si>
    <t>ENST00000420712</t>
  </si>
  <si>
    <t>ENST00000427280</t>
  </si>
  <si>
    <t>ENST00000441179</t>
  </si>
  <si>
    <t>ENST00000446558</t>
  </si>
  <si>
    <t>ENST00000456586</t>
  </si>
  <si>
    <t>ENST00000478153</t>
  </si>
  <si>
    <t>ENST00000487233</t>
  </si>
  <si>
    <t>ENST00000490649</t>
  </si>
  <si>
    <t>ENST00000491306</t>
  </si>
  <si>
    <t>ENST00000598925</t>
  </si>
  <si>
    <t>ENST00000600880</t>
  </si>
  <si>
    <t>P61586</t>
  </si>
  <si>
    <t>ENST00000418115</t>
  </si>
  <si>
    <t>ENST00000422781</t>
  </si>
  <si>
    <t>ENST00000431929</t>
  </si>
  <si>
    <t>ENST00000445425</t>
  </si>
  <si>
    <t>ENST00000454011</t>
  </si>
  <si>
    <t>P61599</t>
  </si>
  <si>
    <t>ENST00000310450</t>
  </si>
  <si>
    <t>ENST00000334982</t>
  </si>
  <si>
    <t>ENST00000398602</t>
  </si>
  <si>
    <t>ENST00000463154</t>
  </si>
  <si>
    <t>ENST00000481837</t>
  </si>
  <si>
    <t>ENST00000484480</t>
  </si>
  <si>
    <t>P61604</t>
  </si>
  <si>
    <t>ENST00000233893</t>
  </si>
  <si>
    <t>ENST00000409468</t>
  </si>
  <si>
    <t>ENST00000409729</t>
  </si>
  <si>
    <t>ENST00000463841</t>
  </si>
  <si>
    <t>ENST00000473395</t>
  </si>
  <si>
    <t>ENST00000495200</t>
  </si>
  <si>
    <t>P61619</t>
  </si>
  <si>
    <t>ENST00000243253</t>
  </si>
  <si>
    <t>ENST00000481210</t>
  </si>
  <si>
    <t>ENST00000483956</t>
  </si>
  <si>
    <t>ENST00000491668</t>
  </si>
  <si>
    <t>ENST00000498837</t>
  </si>
  <si>
    <t>P61626</t>
  </si>
  <si>
    <t>ENST00000261267</t>
  </si>
  <si>
    <t>ENST00000548839</t>
  </si>
  <si>
    <t>P61758</t>
  </si>
  <si>
    <t>ENST00000286428</t>
  </si>
  <si>
    <t>ENST00000460509</t>
  </si>
  <si>
    <t>P61769</t>
  </si>
  <si>
    <t>ENST00000349264</t>
  </si>
  <si>
    <t>ENST00000544417</t>
  </si>
  <si>
    <t>ENST00000558401</t>
  </si>
  <si>
    <t>ENST00000559220</t>
  </si>
  <si>
    <t>ENST00000559720</t>
  </si>
  <si>
    <t>ENST00000559907</t>
  </si>
  <si>
    <t>ENST00000559916</t>
  </si>
  <si>
    <t>ENST00000560556</t>
  </si>
  <si>
    <t>ENST00000560681</t>
  </si>
  <si>
    <t>ENST00000561139</t>
  </si>
  <si>
    <t>P61803</t>
  </si>
  <si>
    <t>ENST00000250498</t>
  </si>
  <si>
    <t>ENST00000489532</t>
  </si>
  <si>
    <t>ENST00000538631</t>
  </si>
  <si>
    <t>P61916</t>
  </si>
  <si>
    <t>ENST00000541064</t>
  </si>
  <si>
    <t>ENST00000554482</t>
  </si>
  <si>
    <t>ENST00000555592</t>
  </si>
  <si>
    <t>ENST00000555619</t>
  </si>
  <si>
    <t>ENST00000556009</t>
  </si>
  <si>
    <t>ENST00000557510</t>
  </si>
  <si>
    <t>P61925</t>
  </si>
  <si>
    <t>ENST00000352966</t>
  </si>
  <si>
    <t>ENST00000396418</t>
  </si>
  <si>
    <t>P61927</t>
  </si>
  <si>
    <t>ENST00000274242</t>
  </si>
  <si>
    <t>ENST00000504562</t>
  </si>
  <si>
    <t>ENST00000507642</t>
  </si>
  <si>
    <t>ENST00000508493</t>
  </si>
  <si>
    <t>ENST00000509877</t>
  </si>
  <si>
    <t>P61962</t>
  </si>
  <si>
    <t>ENST00000582274</t>
  </si>
  <si>
    <t>P61964</t>
  </si>
  <si>
    <t>ENST00000358625</t>
  </si>
  <si>
    <t>ENST00000608937</t>
  </si>
  <si>
    <t>P61966</t>
  </si>
  <si>
    <t>ENST00000337619</t>
  </si>
  <si>
    <t>P61970</t>
  </si>
  <si>
    <t>ENST00000219169</t>
  </si>
  <si>
    <t>ENST00000568233</t>
  </si>
  <si>
    <t>ENST00000568390</t>
  </si>
  <si>
    <t>ENST00000569436</t>
  </si>
  <si>
    <t>ENST00000570026</t>
  </si>
  <si>
    <t>ENST00000587481</t>
  </si>
  <si>
    <t>P61981</t>
  </si>
  <si>
    <t>ENST00000307630</t>
  </si>
  <si>
    <t>P62070</t>
  </si>
  <si>
    <t>ENST00000256196</t>
  </si>
  <si>
    <t>ENST00000414023</t>
  </si>
  <si>
    <t>ENST00000526717</t>
  </si>
  <si>
    <t>ENST00000532950</t>
  </si>
  <si>
    <t>ENST00000545643</t>
  </si>
  <si>
    <t>P62072</t>
  </si>
  <si>
    <t>ENST00000257245</t>
  </si>
  <si>
    <t>ENST00000525158</t>
  </si>
  <si>
    <t>ENST00000525587</t>
  </si>
  <si>
    <t>P62081</t>
  </si>
  <si>
    <t>ENST00000304921</t>
  </si>
  <si>
    <t>ENST00000403564</t>
  </si>
  <si>
    <t>ENST00000406376</t>
  </si>
  <si>
    <t>ENST00000407445</t>
  </si>
  <si>
    <t>ENST00000462576</t>
  </si>
  <si>
    <t>ENST00000472966</t>
  </si>
  <si>
    <t>ENST00000479123</t>
  </si>
  <si>
    <t>ENST00000481006</t>
  </si>
  <si>
    <t>ENST00000491937</t>
  </si>
  <si>
    <t>P62136</t>
  </si>
  <si>
    <t>ENST00000312989</t>
  </si>
  <si>
    <t>ENST00000358239</t>
  </si>
  <si>
    <t>ENST00000376745</t>
  </si>
  <si>
    <t>ENST00000526510</t>
  </si>
  <si>
    <t>ENST00000529724</t>
  </si>
  <si>
    <t>ENST00000532279</t>
  </si>
  <si>
    <t>ENST00000532446</t>
  </si>
  <si>
    <t>ENST00000542876</t>
  </si>
  <si>
    <t>ENST00000546202</t>
  </si>
  <si>
    <t>P62140</t>
  </si>
  <si>
    <t>ENST00000296122</t>
  </si>
  <si>
    <t>ENST00000358506</t>
  </si>
  <si>
    <t>ENST00000395366</t>
  </si>
  <si>
    <t>ENST00000418910</t>
  </si>
  <si>
    <t>ENST00000420282</t>
  </si>
  <si>
    <t>ENST00000441461</t>
  </si>
  <si>
    <t>ENST00000455580</t>
  </si>
  <si>
    <t>ENST00000464273</t>
  </si>
  <si>
    <t>P62191</t>
  </si>
  <si>
    <t>ENST00000261303</t>
  </si>
  <si>
    <t>ENST00000554624</t>
  </si>
  <si>
    <t>ENST00000555679</t>
  </si>
  <si>
    <t>ENST00000555787</t>
  </si>
  <si>
    <t>P62195</t>
  </si>
  <si>
    <t>ENST00000310144</t>
  </si>
  <si>
    <t>ENST00000375812</t>
  </si>
  <si>
    <t>ENST00000578570</t>
  </si>
  <si>
    <t>ENST00000579031</t>
  </si>
  <si>
    <t>ENST00000579147</t>
  </si>
  <si>
    <t>ENST00000579708</t>
  </si>
  <si>
    <t>ENST00000580063</t>
  </si>
  <si>
    <t>ENST00000580265</t>
  </si>
  <si>
    <t>ENST00000581764</t>
  </si>
  <si>
    <t>ENST00000581882</t>
  </si>
  <si>
    <t>ENST00000582130</t>
  </si>
  <si>
    <t>ENST00000582420</t>
  </si>
  <si>
    <t>ENST00000583283</t>
  </si>
  <si>
    <t>ENST00000584536</t>
  </si>
  <si>
    <t>ENST00000584657</t>
  </si>
  <si>
    <t>ENST00000584880</t>
  </si>
  <si>
    <t>P62241</t>
  </si>
  <si>
    <t>ENST00000372209</t>
  </si>
  <si>
    <t>ENST00000396651</t>
  </si>
  <si>
    <t>ENST00000464658</t>
  </si>
  <si>
    <t>ENST00000470475</t>
  </si>
  <si>
    <t>ENST00000474582</t>
  </si>
  <si>
    <t>ENST00000484599</t>
  </si>
  <si>
    <t>ENST00000485390</t>
  </si>
  <si>
    <t>ENST00000497035</t>
  </si>
  <si>
    <t>P62244</t>
  </si>
  <si>
    <t>ENST00000322989</t>
  </si>
  <si>
    <t>ENST00000562935</t>
  </si>
  <si>
    <t>ENST00000563390</t>
  </si>
  <si>
    <t>ENST00000565420</t>
  </si>
  <si>
    <t>ENST00000569083</t>
  </si>
  <si>
    <t>ENST00000569365</t>
  </si>
  <si>
    <t>ENST00000573554</t>
  </si>
  <si>
    <t>ENST00000574723</t>
  </si>
  <si>
    <t>ENST00000575669</t>
  </si>
  <si>
    <t>ENST00000576008</t>
  </si>
  <si>
    <t>ENST00000576436</t>
  </si>
  <si>
    <t>P62249</t>
  </si>
  <si>
    <t>ENST00000251453</t>
  </si>
  <si>
    <t>ENST00000339471</t>
  </si>
  <si>
    <t>ENST00000595386</t>
  </si>
  <si>
    <t>ENST00000599539</t>
  </si>
  <si>
    <t>ENST00000599705</t>
  </si>
  <si>
    <t>ENST00000601390</t>
  </si>
  <si>
    <t>ENST00000601655</t>
  </si>
  <si>
    <t>ENST00000602153</t>
  </si>
  <si>
    <t>P62253</t>
  </si>
  <si>
    <t>ENST00000396981</t>
  </si>
  <si>
    <t>ENST00000571953</t>
  </si>
  <si>
    <t>ENST00000571980</t>
  </si>
  <si>
    <t>ENST00000572484</t>
  </si>
  <si>
    <t>ENST00000574633</t>
  </si>
  <si>
    <t>P62258</t>
  </si>
  <si>
    <t>ENST00000264335</t>
  </si>
  <si>
    <t>ENST00000469398</t>
  </si>
  <si>
    <t>ENST00000486241</t>
  </si>
  <si>
    <t>ENST00000489287</t>
  </si>
  <si>
    <t>ENST00000496706</t>
  </si>
  <si>
    <t>ENST00000571732</t>
  </si>
  <si>
    <t>ENST00000573026</t>
  </si>
  <si>
    <t>ENST00000573196</t>
  </si>
  <si>
    <t>ENST00000576854</t>
  </si>
  <si>
    <t>P62263</t>
  </si>
  <si>
    <t>ENST00000312037</t>
  </si>
  <si>
    <t>ENST00000401695</t>
  </si>
  <si>
    <t>ENST00000407193</t>
  </si>
  <si>
    <t>ENST00000518139</t>
  </si>
  <si>
    <t>ENST00000519690</t>
  </si>
  <si>
    <t>ENST00000519855</t>
  </si>
  <si>
    <t>ENST00000521466</t>
  </si>
  <si>
    <t>P62266</t>
  </si>
  <si>
    <t>ENST00000296674</t>
  </si>
  <si>
    <t>ENST00000503605</t>
  </si>
  <si>
    <t>ENST00000504293</t>
  </si>
  <si>
    <t>ENST00000507980</t>
  </si>
  <si>
    <t>ENST00000510019</t>
  </si>
  <si>
    <t>ENST00000510210</t>
  </si>
  <si>
    <t>ENST00000511844</t>
  </si>
  <si>
    <t>ENST00000512493</t>
  </si>
  <si>
    <t>P62269</t>
  </si>
  <si>
    <t>ENST00000439602</t>
  </si>
  <si>
    <t>ENST00000472218</t>
  </si>
  <si>
    <t>ENST00000474626</t>
  </si>
  <si>
    <t>ENST00000474973</t>
  </si>
  <si>
    <t>ENST00000476222</t>
  </si>
  <si>
    <t>ENST00000479802</t>
  </si>
  <si>
    <t>ENST00000490191</t>
  </si>
  <si>
    <t>ENST00000496813</t>
  </si>
  <si>
    <t>P62273</t>
  </si>
  <si>
    <t>ENST00000245458</t>
  </si>
  <si>
    <t>ENST00000396020</t>
  </si>
  <si>
    <t>ENST00000539688</t>
  </si>
  <si>
    <t>ENST00000554075</t>
  </si>
  <si>
    <t>ENST00000556230</t>
  </si>
  <si>
    <t>ENST00000557111</t>
  </si>
  <si>
    <t>ENST00000557367</t>
  </si>
  <si>
    <t>P62277</t>
  </si>
  <si>
    <t>ENST00000228140</t>
  </si>
  <si>
    <t>ENST00000525634</t>
  </si>
  <si>
    <t>ENST00000525828</t>
  </si>
  <si>
    <t>ENST00000526895</t>
  </si>
  <si>
    <t>ENST00000527571</t>
  </si>
  <si>
    <t>ENST00000528074</t>
  </si>
  <si>
    <t>ENST00000531008</t>
  </si>
  <si>
    <t>ENST00000531908</t>
  </si>
  <si>
    <t>ENST00000533969</t>
  </si>
  <si>
    <t>ENST00000534329</t>
  </si>
  <si>
    <t>P62280</t>
  </si>
  <si>
    <t>ENST00000270625</t>
  </si>
  <si>
    <t>ENST00000594493</t>
  </si>
  <si>
    <t>ENST00000596873</t>
  </si>
  <si>
    <t>ENST00000599167</t>
  </si>
  <si>
    <t>ENST00000599561</t>
  </si>
  <si>
    <t>ENST00000600027</t>
  </si>
  <si>
    <t>ENST00000601216</t>
  </si>
  <si>
    <t>ENST00000601306</t>
  </si>
  <si>
    <t>ENST00000602252</t>
  </si>
  <si>
    <t>P62304</t>
  </si>
  <si>
    <t>ENST00000367208</t>
  </si>
  <si>
    <t>ENST00000414487</t>
  </si>
  <si>
    <t>ENST00000469451</t>
  </si>
  <si>
    <t>ENST00000475035</t>
  </si>
  <si>
    <t>ENST00000483099</t>
  </si>
  <si>
    <t>P62306</t>
  </si>
  <si>
    <t>ENST00000266735</t>
  </si>
  <si>
    <t>ENST00000549580</t>
  </si>
  <si>
    <t>ENST00000551316</t>
  </si>
  <si>
    <t>ENST00000553192</t>
  </si>
  <si>
    <t>P62308</t>
  </si>
  <si>
    <t>ENST00000272348</t>
  </si>
  <si>
    <t>ENST00000429728</t>
  </si>
  <si>
    <t>ENST00000438261</t>
  </si>
  <si>
    <t>ENST00000449935</t>
  </si>
  <si>
    <t>ENST00000454893</t>
  </si>
  <si>
    <t>ENST00000480370</t>
  </si>
  <si>
    <t>ENST00000482975</t>
  </si>
  <si>
    <t>ENST00000488400</t>
  </si>
  <si>
    <t>P62310</t>
  </si>
  <si>
    <t>ENST00000306024</t>
  </si>
  <si>
    <t>P62312</t>
  </si>
  <si>
    <t>ENST00000296581</t>
  </si>
  <si>
    <t>ENST00000502781</t>
  </si>
  <si>
    <t>ENST00000503982</t>
  </si>
  <si>
    <t>ENST00000504181</t>
  </si>
  <si>
    <t>ENST00000507449</t>
  </si>
  <si>
    <t>ENST00000510331</t>
  </si>
  <si>
    <t>P62314</t>
  </si>
  <si>
    <t>ENST00000300413</t>
  </si>
  <si>
    <t>ENST00000582475</t>
  </si>
  <si>
    <t>P62316</t>
  </si>
  <si>
    <t>ENST00000342669</t>
  </si>
  <si>
    <t>ENST00000391932</t>
  </si>
  <si>
    <t>ENST00000585392</t>
  </si>
  <si>
    <t>ENST00000587367</t>
  </si>
  <si>
    <t>ENST00000588599</t>
  </si>
  <si>
    <t>ENST00000590212</t>
  </si>
  <si>
    <t>P62328</t>
  </si>
  <si>
    <t>ENST00000380635</t>
  </si>
  <si>
    <t>ENST00000380636</t>
  </si>
  <si>
    <t>ENST00000451311</t>
  </si>
  <si>
    <t>P62330</t>
  </si>
  <si>
    <t>ENST00000298316</t>
  </si>
  <si>
    <t>P62333</t>
  </si>
  <si>
    <t>ENST00000445930</t>
  </si>
  <si>
    <t>ENST00000458604</t>
  </si>
  <si>
    <t>ENST00000551328</t>
  </si>
  <si>
    <t>ENST00000553798</t>
  </si>
  <si>
    <t>ENST00000553899</t>
  </si>
  <si>
    <t>ENST00000554952</t>
  </si>
  <si>
    <t>ENST00000554956</t>
  </si>
  <si>
    <t>ENST00000555175</t>
  </si>
  <si>
    <t>ENST00000555887</t>
  </si>
  <si>
    <t>ENST00000557085</t>
  </si>
  <si>
    <t>ENST00000557557</t>
  </si>
  <si>
    <t>ENST00000557632</t>
  </si>
  <si>
    <t>P62341</t>
  </si>
  <si>
    <t>ENST00000466234</t>
  </si>
  <si>
    <t>ENST00000471696</t>
  </si>
  <si>
    <t>ENST00000477889</t>
  </si>
  <si>
    <t>ENST00000485923</t>
  </si>
  <si>
    <t>P62424</t>
  </si>
  <si>
    <t>ENST00000315731</t>
  </si>
  <si>
    <t>ENST00000323345</t>
  </si>
  <si>
    <t>ENST00000463740</t>
  </si>
  <si>
    <t>ENST00000468019</t>
  </si>
  <si>
    <t>ENST00000485706</t>
  </si>
  <si>
    <t>ENST00000489392</t>
  </si>
  <si>
    <t>ENST00000492798</t>
  </si>
  <si>
    <t>ENST00000496554</t>
  </si>
  <si>
    <t>P62487</t>
  </si>
  <si>
    <t>ENST00000301788</t>
  </si>
  <si>
    <t>ENST00000524819</t>
  </si>
  <si>
    <t>ENST00000525455</t>
  </si>
  <si>
    <t>ENST00000526368</t>
  </si>
  <si>
    <t>ENST00000527435</t>
  </si>
  <si>
    <t>ENST00000531944</t>
  </si>
  <si>
    <t>ENST00000531996</t>
  </si>
  <si>
    <t>ENST00000533442</t>
  </si>
  <si>
    <t>P62495</t>
  </si>
  <si>
    <t>ENST00000360541</t>
  </si>
  <si>
    <t>ENST00000499810</t>
  </si>
  <si>
    <t>ENST00000503014</t>
  </si>
  <si>
    <t>ENST00000503183</t>
  </si>
  <si>
    <t>ENST00000506345</t>
  </si>
  <si>
    <t>ENST00000507939</t>
  </si>
  <si>
    <t>ENST00000572514</t>
  </si>
  <si>
    <t>P62699</t>
  </si>
  <si>
    <t>ENST00000261353</t>
  </si>
  <si>
    <t>ENST00000379519</t>
  </si>
  <si>
    <t>ENST00000379520</t>
  </si>
  <si>
    <t>ENST00000402003</t>
  </si>
  <si>
    <t>ENST00000402708</t>
  </si>
  <si>
    <t>ENST00000490211</t>
  </si>
  <si>
    <t>ENST00000495673</t>
  </si>
  <si>
    <t>P62701</t>
  </si>
  <si>
    <t>ENST00000316084</t>
  </si>
  <si>
    <t>ENST00000373626</t>
  </si>
  <si>
    <t>ENST00000470671</t>
  </si>
  <si>
    <t>ENST00000486733</t>
  </si>
  <si>
    <t>ENST00000492695</t>
  </si>
  <si>
    <t>P62714</t>
  </si>
  <si>
    <t>ENST00000221138</t>
  </si>
  <si>
    <t>ENST00000518532</t>
  </si>
  <si>
    <t>ENST00000520334</t>
  </si>
  <si>
    <t>ENST00000522113</t>
  </si>
  <si>
    <t>ENST00000523804</t>
  </si>
  <si>
    <t>P62750</t>
  </si>
  <si>
    <t>ENST00000355731</t>
  </si>
  <si>
    <t>ENST00000394938</t>
  </si>
  <si>
    <t>ENST00000422514</t>
  </si>
  <si>
    <t>ENST00000472628</t>
  </si>
  <si>
    <t>ENST00000578181</t>
  </si>
  <si>
    <t>ENST00000580755</t>
  </si>
  <si>
    <t>ENST00000582736</t>
  </si>
  <si>
    <t>P62753</t>
  </si>
  <si>
    <t>ENST00000315377</t>
  </si>
  <si>
    <t>ENST00000380381</t>
  </si>
  <si>
    <t>ENST00000380384</t>
  </si>
  <si>
    <t>ENST00000380394</t>
  </si>
  <si>
    <t>ENST00000498815</t>
  </si>
  <si>
    <t>P62805</t>
  </si>
  <si>
    <t>ENST00000355057</t>
  </si>
  <si>
    <t>ENST00000358064</t>
  </si>
  <si>
    <t>ENST00000377727</t>
  </si>
  <si>
    <t>ENST00000537096</t>
  </si>
  <si>
    <t>ENST00000537853</t>
  </si>
  <si>
    <t>ENST00000539745</t>
  </si>
  <si>
    <t>P62820</t>
  </si>
  <si>
    <t>ENST00000311481</t>
  </si>
  <si>
    <t>ENST00000398529</t>
  </si>
  <si>
    <t>ENST00000409784</t>
  </si>
  <si>
    <t>P62826</t>
  </si>
  <si>
    <t>ENST00000392369</t>
  </si>
  <si>
    <t>ENST00000448750</t>
  </si>
  <si>
    <t>ENST00000477395</t>
  </si>
  <si>
    <t>ENST00000536606</t>
  </si>
  <si>
    <t>ENST00000537745</t>
  </si>
  <si>
    <t>ENST00000539498</t>
  </si>
  <si>
    <t>ENST00000543796</t>
  </si>
  <si>
    <t>P62829</t>
  </si>
  <si>
    <t>ENST00000245857</t>
  </si>
  <si>
    <t>ENST00000394332</t>
  </si>
  <si>
    <t>ENST00000479035</t>
  </si>
  <si>
    <t>ENST00000577407</t>
  </si>
  <si>
    <t>ENST00000577760</t>
  </si>
  <si>
    <t>ENST00000584056</t>
  </si>
  <si>
    <t>ENST00000584583</t>
  </si>
  <si>
    <t>ENST00000584912</t>
  </si>
  <si>
    <t>P62834</t>
  </si>
  <si>
    <t>ENST00000369709</t>
  </si>
  <si>
    <t>ENST00000433097</t>
  </si>
  <si>
    <t>ENST00000494982</t>
  </si>
  <si>
    <t>P62837</t>
  </si>
  <si>
    <t>ENST00000253815</t>
  </si>
  <si>
    <t>ENST00000398733</t>
  </si>
  <si>
    <t>ENST00000505007</t>
  </si>
  <si>
    <t>ENST00000505548</t>
  </si>
  <si>
    <t>ENST00000511691</t>
  </si>
  <si>
    <t>P62841</t>
  </si>
  <si>
    <t>ENST00000233609</t>
  </si>
  <si>
    <t>ENST00000585665</t>
  </si>
  <si>
    <t>ENST00000586096</t>
  </si>
  <si>
    <t>ENST00000586686</t>
  </si>
  <si>
    <t>ENST00000589656</t>
  </si>
  <si>
    <t>ENST00000591032</t>
  </si>
  <si>
    <t>ENST00000591804</t>
  </si>
  <si>
    <t>ENST00000592588</t>
  </si>
  <si>
    <t>ENST00000592623</t>
  </si>
  <si>
    <t>ENST00000592700</t>
  </si>
  <si>
    <t>ENST00000593052</t>
  </si>
  <si>
    <t>P62847</t>
  </si>
  <si>
    <t>ENST00000360830</t>
  </si>
  <si>
    <t>ENST00000372360</t>
  </si>
  <si>
    <t>ENST00000435275</t>
  </si>
  <si>
    <t>ENST00000440692</t>
  </si>
  <si>
    <t>ENST00000464716</t>
  </si>
  <si>
    <t>ENST00000465692</t>
  </si>
  <si>
    <t>ENST00000466129</t>
  </si>
  <si>
    <t>ENST00000475468</t>
  </si>
  <si>
    <t>ENST00000476545</t>
  </si>
  <si>
    <t>ENST00000478655</t>
  </si>
  <si>
    <t>ENST00000480662</t>
  </si>
  <si>
    <t>ENST00000485708</t>
  </si>
  <si>
    <t>P62851</t>
  </si>
  <si>
    <t>ENST00000524864</t>
  </si>
  <si>
    <t>ENST00000527673</t>
  </si>
  <si>
    <t>ENST00000527791</t>
  </si>
  <si>
    <t>ENST00000527853</t>
  </si>
  <si>
    <t>ENST00000528547</t>
  </si>
  <si>
    <t>ENST00000532567</t>
  </si>
  <si>
    <t>P62854</t>
  </si>
  <si>
    <t>ENST00000356464</t>
  </si>
  <si>
    <t>ENST00000548590</t>
  </si>
  <si>
    <t>P62857</t>
  </si>
  <si>
    <t>ENST00000417088</t>
  </si>
  <si>
    <t>ENST00000449223</t>
  </si>
  <si>
    <t>ENST00000600659</t>
  </si>
  <si>
    <t>ENST00000602140</t>
  </si>
  <si>
    <t>P62861</t>
  </si>
  <si>
    <t>ENST00000279259</t>
  </si>
  <si>
    <t>ENST00000434372</t>
  </si>
  <si>
    <t>ENST00000525297</t>
  </si>
  <si>
    <t>ENST00000529259</t>
  </si>
  <si>
    <t>ENST00000529639</t>
  </si>
  <si>
    <t>ENST00000531357</t>
  </si>
  <si>
    <t>ENST00000531743</t>
  </si>
  <si>
    <t>P62877</t>
  </si>
  <si>
    <t>ENST00000216225</t>
  </si>
  <si>
    <t>ENST00000467617</t>
  </si>
  <si>
    <t>ENST00000476110</t>
  </si>
  <si>
    <t>P62879</t>
  </si>
  <si>
    <t>ENST00000303210</t>
  </si>
  <si>
    <t>ENST00000393924</t>
  </si>
  <si>
    <t>ENST00000393926</t>
  </si>
  <si>
    <t>ENST00000412215</t>
  </si>
  <si>
    <t>ENST00000431068</t>
  </si>
  <si>
    <t>ENST00000469287</t>
  </si>
  <si>
    <t>ENST00000470354</t>
  </si>
  <si>
    <t>ENST00000480159</t>
  </si>
  <si>
    <t>P62888</t>
  </si>
  <si>
    <t>ENST00000287038</t>
  </si>
  <si>
    <t>ENST00000396070</t>
  </si>
  <si>
    <t>ENST00000517489</t>
  </si>
  <si>
    <t>ENST00000517805</t>
  </si>
  <si>
    <t>ENST00000518164</t>
  </si>
  <si>
    <t>ENST00000518850</t>
  </si>
  <si>
    <t>ENST00000520998</t>
  </si>
  <si>
    <t>ENST00000521112</t>
  </si>
  <si>
    <t>ENST00000521291</t>
  </si>
  <si>
    <t>ENST00000521534</t>
  </si>
  <si>
    <t>ENST00000521726</t>
  </si>
  <si>
    <t>ENST00000522156</t>
  </si>
  <si>
    <t>ENST00000523172</t>
  </si>
  <si>
    <t>P62899</t>
  </si>
  <si>
    <t>ENST00000264258</t>
  </si>
  <si>
    <t>ENST00000409000</t>
  </si>
  <si>
    <t>ENST00000409028</t>
  </si>
  <si>
    <t>ENST00000409038</t>
  </si>
  <si>
    <t>ENST00000409320</t>
  </si>
  <si>
    <t>ENST00000409650</t>
  </si>
  <si>
    <t>ENST00000409711</t>
  </si>
  <si>
    <t>ENST00000409733</t>
  </si>
  <si>
    <t>ENST00000419276</t>
  </si>
  <si>
    <t>ENST00000441435</t>
  </si>
  <si>
    <t>ENST00000456292</t>
  </si>
  <si>
    <t>P62906</t>
  </si>
  <si>
    <t>ENST00000322203</t>
  </si>
  <si>
    <t>ENST00000464112</t>
  </si>
  <si>
    <t>ENST00000467020</t>
  </si>
  <si>
    <t>ENST00000478340</t>
  </si>
  <si>
    <t>ENST00000490335</t>
  </si>
  <si>
    <t>P62910</t>
  </si>
  <si>
    <t>ENST00000273223</t>
  </si>
  <si>
    <t>ENST00000396953</t>
  </si>
  <si>
    <t>ENST00000396957</t>
  </si>
  <si>
    <t>ENST00000429711</t>
  </si>
  <si>
    <t>ENST00000434963</t>
  </si>
  <si>
    <t>ENST00000435983</t>
  </si>
  <si>
    <t>ENST00000452606</t>
  </si>
  <si>
    <t>ENST00000457131</t>
  </si>
  <si>
    <t>P62917</t>
  </si>
  <si>
    <t>ENST00000262584</t>
  </si>
  <si>
    <t>ENST00000394920</t>
  </si>
  <si>
    <t>ENST00000525232</t>
  </si>
  <si>
    <t>ENST00000526668</t>
  </si>
  <si>
    <t>ENST00000527914</t>
  </si>
  <si>
    <t>ENST00000528296</t>
  </si>
  <si>
    <t>ENST00000528957</t>
  </si>
  <si>
    <t>ENST00000529163</t>
  </si>
  <si>
    <t>ENST00000529920</t>
  </si>
  <si>
    <t>ENST00000531767</t>
  </si>
  <si>
    <t>ENST00000531975</t>
  </si>
  <si>
    <t>ENST00000532702</t>
  </si>
  <si>
    <t>ENST00000533397</t>
  </si>
  <si>
    <t>ENST00000534781</t>
  </si>
  <si>
    <t>P62937</t>
  </si>
  <si>
    <t>ENST00000355968</t>
  </si>
  <si>
    <t>ENST00000415933</t>
  </si>
  <si>
    <t>ENST00000451562</t>
  </si>
  <si>
    <t>ENST00000468812</t>
  </si>
  <si>
    <t>ENST00000480603</t>
  </si>
  <si>
    <t>ENST00000481437</t>
  </si>
  <si>
    <t>ENST00000489459</t>
  </si>
  <si>
    <t>ENST00000494484</t>
  </si>
  <si>
    <t>P62942</t>
  </si>
  <si>
    <t>ENST00000381715</t>
  </si>
  <si>
    <t>ENST00000381719</t>
  </si>
  <si>
    <t>ENST00000381724</t>
  </si>
  <si>
    <t>ENST00000400137</t>
  </si>
  <si>
    <t>ENST00000460490</t>
  </si>
  <si>
    <t>ENST00000474657</t>
  </si>
  <si>
    <t>ENST00000474726</t>
  </si>
  <si>
    <t>P62979</t>
  </si>
  <si>
    <t>ENST00000272317</t>
  </si>
  <si>
    <t>ENST00000402285</t>
  </si>
  <si>
    <t>ENST00000404735</t>
  </si>
  <si>
    <t>ENST00000463185</t>
  </si>
  <si>
    <t>ENST00000468810</t>
  </si>
  <si>
    <t>ENST00000471772</t>
  </si>
  <si>
    <t>ENST00000478196</t>
  </si>
  <si>
    <t>ENST00000494756</t>
  </si>
  <si>
    <t>ENST00000495843</t>
  </si>
  <si>
    <t>P62987</t>
  </si>
  <si>
    <t>ENST00000430157</t>
  </si>
  <si>
    <t>ENST00000442744</t>
  </si>
  <si>
    <t>ENST00000594527</t>
  </si>
  <si>
    <t>ENST00000595683</t>
  </si>
  <si>
    <t>ENST00000596272</t>
  </si>
  <si>
    <t>ENST00000596273</t>
  </si>
  <si>
    <t>ENST00000596304</t>
  </si>
  <si>
    <t>ENST00000597451</t>
  </si>
  <si>
    <t>ENST00000598780</t>
  </si>
  <si>
    <t>ENST00000598814</t>
  </si>
  <si>
    <t>ENST00000599256</t>
  </si>
  <si>
    <t>ENST00000599551</t>
  </si>
  <si>
    <t>ENST00000599595</t>
  </si>
  <si>
    <t>P62993</t>
  </si>
  <si>
    <t>ENST00000316615</t>
  </si>
  <si>
    <t>ENST00000316804</t>
  </si>
  <si>
    <t>ENST00000392562</t>
  </si>
  <si>
    <t>ENST00000392564</t>
  </si>
  <si>
    <t>ENST00000462266</t>
  </si>
  <si>
    <t>ENST00000577711</t>
  </si>
  <si>
    <t>ENST00000578961</t>
  </si>
  <si>
    <t>ENST00000581959</t>
  </si>
  <si>
    <t>P62995</t>
  </si>
  <si>
    <t>ENST00000259043</t>
  </si>
  <si>
    <t>ENST00000342294</t>
  </si>
  <si>
    <t>ENST00000382191</t>
  </si>
  <si>
    <t>ENST00000414862</t>
  </si>
  <si>
    <t>ENST00000453386</t>
  </si>
  <si>
    <t>ENST00000456380</t>
  </si>
  <si>
    <t>ENST00000463328</t>
  </si>
  <si>
    <t>ENST00000465245</t>
  </si>
  <si>
    <t>ENST00000466832</t>
  </si>
  <si>
    <t>ENST00000477939</t>
  </si>
  <si>
    <t>ENST00000480461</t>
  </si>
  <si>
    <t>ENST00000485530</t>
  </si>
  <si>
    <t>ENST00000487615</t>
  </si>
  <si>
    <t>ENST00000492417</t>
  </si>
  <si>
    <t>ENST00000493864</t>
  </si>
  <si>
    <t>P63000</t>
  </si>
  <si>
    <t>ENST00000348035</t>
  </si>
  <si>
    <t>ENST00000356142</t>
  </si>
  <si>
    <t>ENST00000473564</t>
  </si>
  <si>
    <t>ENST00000495499</t>
  </si>
  <si>
    <t>ENST00000497741</t>
  </si>
  <si>
    <t>P63010</t>
  </si>
  <si>
    <t>ENST00000587805</t>
  </si>
  <si>
    <t>ENST00000588093</t>
  </si>
  <si>
    <t>ENST00000590538</t>
  </si>
  <si>
    <t>ENST00000592167</t>
  </si>
  <si>
    <t>P63027</t>
  </si>
  <si>
    <t>ENST00000316509</t>
  </si>
  <si>
    <t>ENST00000404970</t>
  </si>
  <si>
    <t>ENST00000481878</t>
  </si>
  <si>
    <t>ENST00000488857</t>
  </si>
  <si>
    <t>P63096</t>
  </si>
  <si>
    <t>ENST00000351004</t>
  </si>
  <si>
    <t>P63098</t>
  </si>
  <si>
    <t>ENST00000234310</t>
  </si>
  <si>
    <t>P63104</t>
  </si>
  <si>
    <t>ENST00000353245</t>
  </si>
  <si>
    <t>ENST00000395951</t>
  </si>
  <si>
    <t>ENST00000395953</t>
  </si>
  <si>
    <t>ENST00000395956</t>
  </si>
  <si>
    <t>ENST00000395957</t>
  </si>
  <si>
    <t>ENST00000395958</t>
  </si>
  <si>
    <t>ENST00000418997</t>
  </si>
  <si>
    <t>ENST00000419477</t>
  </si>
  <si>
    <t>ENST00000457309</t>
  </si>
  <si>
    <t>ENST00000480304</t>
  </si>
  <si>
    <t>ENST00000492736</t>
  </si>
  <si>
    <t>ENST00000517727</t>
  </si>
  <si>
    <t>ENST00000518736</t>
  </si>
  <si>
    <t>ENST00000521309</t>
  </si>
  <si>
    <t>ENST00000521328</t>
  </si>
  <si>
    <t>ENST00000521607</t>
  </si>
  <si>
    <t>ENST00000522542</t>
  </si>
  <si>
    <t>ENST00000523848</t>
  </si>
  <si>
    <t>P63146</t>
  </si>
  <si>
    <t>ENST00000265339</t>
  </si>
  <si>
    <t>ENST00000499038</t>
  </si>
  <si>
    <t>ENST00000503080</t>
  </si>
  <si>
    <t>ENST00000504431</t>
  </si>
  <si>
    <t>ENST00000506787</t>
  </si>
  <si>
    <t>ENST00000510021</t>
  </si>
  <si>
    <t>ENST00000511807</t>
  </si>
  <si>
    <t>P63151</t>
  </si>
  <si>
    <t>ENST00000380737</t>
  </si>
  <si>
    <t>ENST00000517754</t>
  </si>
  <si>
    <t>ENST00000518208</t>
  </si>
  <si>
    <t>ENST00000518215</t>
  </si>
  <si>
    <t>ENST00000518254</t>
  </si>
  <si>
    <t>ENST00000518397</t>
  </si>
  <si>
    <t>ENST00000518890</t>
  </si>
  <si>
    <t>ENST00000519439</t>
  </si>
  <si>
    <t>ENST00000520329</t>
  </si>
  <si>
    <t>ENST00000520438</t>
  </si>
  <si>
    <t>ENST00000521484</t>
  </si>
  <si>
    <t>ENST00000521557</t>
  </si>
  <si>
    <t>ENST00000522482</t>
  </si>
  <si>
    <t>P63162</t>
  </si>
  <si>
    <t>ENST00000346403</t>
  </si>
  <si>
    <t>ENST00000390687</t>
  </si>
  <si>
    <t>ENST00000554227</t>
  </si>
  <si>
    <t>ENST00000577565</t>
  </si>
  <si>
    <t>ENST00000579070</t>
  </si>
  <si>
    <t>ENST00000584968</t>
  </si>
  <si>
    <t>P63165</t>
  </si>
  <si>
    <t>ENST00000392244</t>
  </si>
  <si>
    <t>ENST00000392245</t>
  </si>
  <si>
    <t>ENST00000392246</t>
  </si>
  <si>
    <t>ENST00000409181</t>
  </si>
  <si>
    <t>ENST00000409205</t>
  </si>
  <si>
    <t>ENST00000409368</t>
  </si>
  <si>
    <t>ENST00000409498</t>
  </si>
  <si>
    <t>ENST00000409627</t>
  </si>
  <si>
    <t>ENST00000469034</t>
  </si>
  <si>
    <t>P63167</t>
  </si>
  <si>
    <t>ENST00000242577</t>
  </si>
  <si>
    <t>ENST00000392508</t>
  </si>
  <si>
    <t>ENST00000392509</t>
  </si>
  <si>
    <t>ENST00000548214</t>
  </si>
  <si>
    <t>ENST00000549649</t>
  </si>
  <si>
    <t>ENST00000549989</t>
  </si>
  <si>
    <t>ENST00000550178</t>
  </si>
  <si>
    <t>ENST00000550845</t>
  </si>
  <si>
    <t>ENST00000552316</t>
  </si>
  <si>
    <t>ENST00000552870</t>
  </si>
  <si>
    <t>P63173</t>
  </si>
  <si>
    <t>ENST00000311111</t>
  </si>
  <si>
    <t>ENST00000439590</t>
  </si>
  <si>
    <t>ENST00000528433</t>
  </si>
  <si>
    <t>ENST00000529123</t>
  </si>
  <si>
    <t>ENST00000530646</t>
  </si>
  <si>
    <t>ENST00000533498</t>
  </si>
  <si>
    <t>ENST00000534490</t>
  </si>
  <si>
    <t>ENST00000584577</t>
  </si>
  <si>
    <t>P63208</t>
  </si>
  <si>
    <t>ENST00000328392</t>
  </si>
  <si>
    <t>ENST00000353411</t>
  </si>
  <si>
    <t>ENST00000517625</t>
  </si>
  <si>
    <t>ENST00000517691</t>
  </si>
  <si>
    <t>ENST00000519054</t>
  </si>
  <si>
    <t>ENST00000519321</t>
  </si>
  <si>
    <t>ENST00000520417</t>
  </si>
  <si>
    <t>ENST00000521216</t>
  </si>
  <si>
    <t>ENST00000522552</t>
  </si>
  <si>
    <t>ENST00000522855</t>
  </si>
  <si>
    <t>ENST00000523359</t>
  </si>
  <si>
    <t>ENST00000523966</t>
  </si>
  <si>
    <t>ENST00000524288</t>
  </si>
  <si>
    <t>P63218</t>
  </si>
  <si>
    <t>ENST00000370641</t>
  </si>
  <si>
    <t>ENST00000370645</t>
  </si>
  <si>
    <t>ENST00000487806</t>
  </si>
  <si>
    <t>P63220</t>
  </si>
  <si>
    <t>ENST00000343986</t>
  </si>
  <si>
    <t>ENST00000370562</t>
  </si>
  <si>
    <t>ENST00000370592</t>
  </si>
  <si>
    <t>ENST00000450116</t>
  </si>
  <si>
    <t>ENST00000492356</t>
  </si>
  <si>
    <t>P63241</t>
  </si>
  <si>
    <t>ENST00000336452</t>
  </si>
  <si>
    <t>ENST00000336458</t>
  </si>
  <si>
    <t>ENST00000355068</t>
  </si>
  <si>
    <t>ENST00000416016</t>
  </si>
  <si>
    <t>ENST00000419711</t>
  </si>
  <si>
    <t>ENST00000572815</t>
  </si>
  <si>
    <t>ENST00000573542</t>
  </si>
  <si>
    <t>ENST00000573714</t>
  </si>
  <si>
    <t>ENST00000575001</t>
  </si>
  <si>
    <t>P63244</t>
  </si>
  <si>
    <t>ENST00000502548</t>
  </si>
  <si>
    <t>ENST00000502844</t>
  </si>
  <si>
    <t>ENST00000502890</t>
  </si>
  <si>
    <t>ENST00000502905</t>
  </si>
  <si>
    <t>ENST00000503081</t>
  </si>
  <si>
    <t>ENST00000503494</t>
  </si>
  <si>
    <t>ENST00000504128</t>
  </si>
  <si>
    <t>ENST00000504325</t>
  </si>
  <si>
    <t>ENST00000504726</t>
  </si>
  <si>
    <t>ENST00000505461</t>
  </si>
  <si>
    <t>ENST00000506312</t>
  </si>
  <si>
    <t>ENST00000507261</t>
  </si>
  <si>
    <t>ENST00000507273</t>
  </si>
  <si>
    <t>ENST00000507756</t>
  </si>
  <si>
    <t>ENST00000508044</t>
  </si>
  <si>
    <t>ENST00000508682</t>
  </si>
  <si>
    <t>ENST00000508963</t>
  </si>
  <si>
    <t>ENST00000509148</t>
  </si>
  <si>
    <t>ENST00000509535</t>
  </si>
  <si>
    <t>ENST00000511473</t>
  </si>
  <si>
    <t>ENST00000511566</t>
  </si>
  <si>
    <t>ENST00000512805</t>
  </si>
  <si>
    <t>ENST00000512968</t>
  </si>
  <si>
    <t>ENST00000513027</t>
  </si>
  <si>
    <t>ENST00000513060</t>
  </si>
  <si>
    <t>ENST00000514183</t>
  </si>
  <si>
    <t>ENST00000514318</t>
  </si>
  <si>
    <t>ENST00000514455</t>
  </si>
  <si>
    <t>ENST00000515417</t>
  </si>
  <si>
    <t>P63272</t>
  </si>
  <si>
    <t>ENST00000225504</t>
  </si>
  <si>
    <t>ENST00000577396</t>
  </si>
  <si>
    <t>ENST00000579289</t>
  </si>
  <si>
    <t>ENST00000581166</t>
  </si>
  <si>
    <t>ENST00000581204</t>
  </si>
  <si>
    <t>ENST00000581540</t>
  </si>
  <si>
    <t>P63279</t>
  </si>
  <si>
    <t>ENST00000325437</t>
  </si>
  <si>
    <t>ENST00000397514</t>
  </si>
  <si>
    <t>ENST00000397515</t>
  </si>
  <si>
    <t>ENST00000402301</t>
  </si>
  <si>
    <t>ENST00000403747</t>
  </si>
  <si>
    <t>ENST00000406620</t>
  </si>
  <si>
    <t>ENST00000473256</t>
  </si>
  <si>
    <t>ENST00000562470</t>
  </si>
  <si>
    <t>ENST00000562482</t>
  </si>
  <si>
    <t>ENST00000566159</t>
  </si>
  <si>
    <t>ENST00000566587</t>
  </si>
  <si>
    <t>ENST00000566775</t>
  </si>
  <si>
    <t>ENST00000567074</t>
  </si>
  <si>
    <t>ENST00000567383</t>
  </si>
  <si>
    <t>ENST00000568989</t>
  </si>
  <si>
    <t>P63302</t>
  </si>
  <si>
    <t>ENST00000593892</t>
  </si>
  <si>
    <t>ENST00000595615</t>
  </si>
  <si>
    <t>ENST00000598083</t>
  </si>
  <si>
    <t>ENST00000598273</t>
  </si>
  <si>
    <t>ENST00000598956</t>
  </si>
  <si>
    <t>ENST00000599627</t>
  </si>
  <si>
    <t>ENST00000599874</t>
  </si>
  <si>
    <t>ENST00000601048</t>
  </si>
  <si>
    <t>ENST00000601419</t>
  </si>
  <si>
    <t>ENST00000601937</t>
  </si>
  <si>
    <t>ENST00000602163</t>
  </si>
  <si>
    <t>P67809</t>
  </si>
  <si>
    <t>ENST00000321358</t>
  </si>
  <si>
    <t>ENST00000332220</t>
  </si>
  <si>
    <t>ENST00000436427</t>
  </si>
  <si>
    <t>ENST00000467957</t>
  </si>
  <si>
    <t>P67870</t>
  </si>
  <si>
    <t>ENST00000375882</t>
  </si>
  <si>
    <t>ENST00000375885</t>
  </si>
  <si>
    <t>ENST00000465481</t>
  </si>
  <si>
    <t>ENST00000468255</t>
  </si>
  <si>
    <t>ENST00000475875</t>
  </si>
  <si>
    <t>ENST00000481269</t>
  </si>
  <si>
    <t>P67936</t>
  </si>
  <si>
    <t>ENST00000300933</t>
  </si>
  <si>
    <t>ENST00000586193</t>
  </si>
  <si>
    <t>ENST00000586833</t>
  </si>
  <si>
    <t>ENST00000587201</t>
  </si>
  <si>
    <t>ENST00000588410</t>
  </si>
  <si>
    <t>ENST00000588483</t>
  </si>
  <si>
    <t>ENST00000590180</t>
  </si>
  <si>
    <t>ENST00000591226</t>
  </si>
  <si>
    <t>ENST00000591645</t>
  </si>
  <si>
    <t>ENST00000592138</t>
  </si>
  <si>
    <t>ENST00000592822</t>
  </si>
  <si>
    <t>P68104</t>
  </si>
  <si>
    <t>ENST00000309268</t>
  </si>
  <si>
    <t>ENST00000316292</t>
  </si>
  <si>
    <t>ENST00000331523</t>
  </si>
  <si>
    <t>ENST00000356303</t>
  </si>
  <si>
    <t>ENST00000455918</t>
  </si>
  <si>
    <t>ENST00000488500</t>
  </si>
  <si>
    <t>ENST00000490569</t>
  </si>
  <si>
    <t>ENST00000491404</t>
  </si>
  <si>
    <t>ENST00000495333</t>
  </si>
  <si>
    <t>P68371</t>
  </si>
  <si>
    <t>ENST00000340384</t>
  </si>
  <si>
    <t>ENST00000604929</t>
  </si>
  <si>
    <t>P68400</t>
  </si>
  <si>
    <t>ENST00000217244</t>
  </si>
  <si>
    <t>ENST00000349736</t>
  </si>
  <si>
    <t>ENST00000400217</t>
  </si>
  <si>
    <t>ENST00000608490</t>
  </si>
  <si>
    <t>ENST00000609606</t>
  </si>
  <si>
    <t>P68402</t>
  </si>
  <si>
    <t>ENST00000419197</t>
  </si>
  <si>
    <t>ENST00000527958</t>
  </si>
  <si>
    <t>ENST00000529887</t>
  </si>
  <si>
    <t>ENST00000530272</t>
  </si>
  <si>
    <t>ENST00000533206</t>
  </si>
  <si>
    <t>ENST00000533677</t>
  </si>
  <si>
    <t>P68871</t>
  </si>
  <si>
    <t>ENST00000335295</t>
  </si>
  <si>
    <t>ENST00000475226</t>
  </si>
  <si>
    <t>ENST00000485743</t>
  </si>
  <si>
    <t>P69905</t>
  </si>
  <si>
    <t>ENST00000251595</t>
  </si>
  <si>
    <t>ENST00000320868</t>
  </si>
  <si>
    <t>ENST00000472694</t>
  </si>
  <si>
    <t>ENST00000482565</t>
  </si>
  <si>
    <t>ENST00000484216</t>
  </si>
  <si>
    <t>ENST00000487791</t>
  </si>
  <si>
    <t>P78314</t>
  </si>
  <si>
    <t>ENST00000356331</t>
  </si>
  <si>
    <t>ENST00000442312</t>
  </si>
  <si>
    <t>ENST00000452765</t>
  </si>
  <si>
    <t>ENST00000503393</t>
  </si>
  <si>
    <t>ENST00000504450</t>
  </si>
  <si>
    <t>ENST00000505941</t>
  </si>
  <si>
    <t>ENST00000508338</t>
  </si>
  <si>
    <t>ENST00000508385</t>
  </si>
  <si>
    <t>ENST00000509677</t>
  </si>
  <si>
    <t>ENST00000510193</t>
  </si>
  <si>
    <t>ENST00000510204</t>
  </si>
  <si>
    <t>ENST00000511185</t>
  </si>
  <si>
    <t>ENST00000511663</t>
  </si>
  <si>
    <t>ENST00000512131</t>
  </si>
  <si>
    <t>ENST00000513020</t>
  </si>
  <si>
    <t>ENST00000513069</t>
  </si>
  <si>
    <t>ENST00000515802</t>
  </si>
  <si>
    <t>P78316</t>
  </si>
  <si>
    <t>ENST00000314262</t>
  </si>
  <si>
    <t>ENST00000398071</t>
  </si>
  <si>
    <t>ENST00000416614</t>
  </si>
  <si>
    <t>ENST00000507120</t>
  </si>
  <si>
    <t>P78318</t>
  </si>
  <si>
    <t>ENST00000342206</t>
  </si>
  <si>
    <t>P78325</t>
  </si>
  <si>
    <t>ENST00000445355</t>
  </si>
  <si>
    <t>ENST00000463298</t>
  </si>
  <si>
    <t>ENST00000468964</t>
  </si>
  <si>
    <t>ENST00000486609</t>
  </si>
  <si>
    <t>ENST00000537099</t>
  </si>
  <si>
    <t>ENST00000559018</t>
  </si>
  <si>
    <t>ENST00000559180</t>
  </si>
  <si>
    <t>ENST00000560135</t>
  </si>
  <si>
    <t>ENST00000561175</t>
  </si>
  <si>
    <t>P78330</t>
  </si>
  <si>
    <t>ENST00000427797</t>
  </si>
  <si>
    <t>ENST00000472276</t>
  </si>
  <si>
    <t>P78332</t>
  </si>
  <si>
    <t>ENST00000266022</t>
  </si>
  <si>
    <t>ENST00000421682</t>
  </si>
  <si>
    <t>ENST00000422955</t>
  </si>
  <si>
    <t>ENST00000425608</t>
  </si>
  <si>
    <t>ENST00000433811</t>
  </si>
  <si>
    <t>ENST00000438912</t>
  </si>
  <si>
    <t>ENST00000441115</t>
  </si>
  <si>
    <t>ENST00000442092</t>
  </si>
  <si>
    <t>ENST00000443081</t>
  </si>
  <si>
    <t>ENST00000446471</t>
  </si>
  <si>
    <t>ENST00000454079</t>
  </si>
  <si>
    <t>ENST00000466247</t>
  </si>
  <si>
    <t>ENST00000478026</t>
  </si>
  <si>
    <t>ENST00000483350</t>
  </si>
  <si>
    <t>ENST00000493652</t>
  </si>
  <si>
    <t>P78344</t>
  </si>
  <si>
    <t>ENST00000339995</t>
  </si>
  <si>
    <t>ENST00000396525</t>
  </si>
  <si>
    <t>ENST00000525606</t>
  </si>
  <si>
    <t>ENST00000525681</t>
  </si>
  <si>
    <t>ENST00000526148</t>
  </si>
  <si>
    <t>ENST00000527015</t>
  </si>
  <si>
    <t>ENST00000527526</t>
  </si>
  <si>
    <t>ENST00000528562</t>
  </si>
  <si>
    <t>ENST00000530211</t>
  </si>
  <si>
    <t>ENST00000530564</t>
  </si>
  <si>
    <t>ENST00000530702</t>
  </si>
  <si>
    <t>ENST00000531180</t>
  </si>
  <si>
    <t>ENST00000531416</t>
  </si>
  <si>
    <t>ENST00000531507</t>
  </si>
  <si>
    <t>ENST00000532082</t>
  </si>
  <si>
    <t>ENST00000532120</t>
  </si>
  <si>
    <t>ENST00000532152</t>
  </si>
  <si>
    <t>ENST00000532349</t>
  </si>
  <si>
    <t>ENST00000532383</t>
  </si>
  <si>
    <t>ENST00000533485</t>
  </si>
  <si>
    <t>ENST00000534246</t>
  </si>
  <si>
    <t>ENST00000534272</t>
  </si>
  <si>
    <t>ENST00000534470</t>
  </si>
  <si>
    <t>P78345</t>
  </si>
  <si>
    <t>ENST00000378197</t>
  </si>
  <si>
    <t>ENST00000378201</t>
  </si>
  <si>
    <t>ENST00000378202</t>
  </si>
  <si>
    <t>ENST00000378203</t>
  </si>
  <si>
    <t>ENST00000441850</t>
  </si>
  <si>
    <t>ENST00000451677</t>
  </si>
  <si>
    <t>P78346</t>
  </si>
  <si>
    <t>ENST00000371703</t>
  </si>
  <si>
    <t>ENST00000413330</t>
  </si>
  <si>
    <t>ENST00000414836</t>
  </si>
  <si>
    <t>ENST00000470933</t>
  </si>
  <si>
    <t>ENST00000479678</t>
  </si>
  <si>
    <t>ENST00000480406</t>
  </si>
  <si>
    <t>ENST00000487998</t>
  </si>
  <si>
    <t>ENST00000489806</t>
  </si>
  <si>
    <t>P78364</t>
  </si>
  <si>
    <t>ENST00000540574</t>
  </si>
  <si>
    <t>ENST00000540809</t>
  </si>
  <si>
    <t>ENST00000541181</t>
  </si>
  <si>
    <t>ENST00000543824</t>
  </si>
  <si>
    <t>ENST00000544916</t>
  </si>
  <si>
    <t>P78368</t>
  </si>
  <si>
    <t>ENST00000255641</t>
  </si>
  <si>
    <t>ENST00000585957</t>
  </si>
  <si>
    <t>ENST00000589350</t>
  </si>
  <si>
    <t>ENST00000589385</t>
  </si>
  <si>
    <t>ENST00000589861</t>
  </si>
  <si>
    <t>ENST00000590106</t>
  </si>
  <si>
    <t>ENST00000591752</t>
  </si>
  <si>
    <t>P78371</t>
  </si>
  <si>
    <t>ENST00000299300</t>
  </si>
  <si>
    <t>ENST00000543146</t>
  </si>
  <si>
    <t>ENST00000546850</t>
  </si>
  <si>
    <t>ENST00000546859</t>
  </si>
  <si>
    <t>ENST00000548787</t>
  </si>
  <si>
    <t>ENST00000549933</t>
  </si>
  <si>
    <t>ENST00000550455</t>
  </si>
  <si>
    <t>ENST00000550638</t>
  </si>
  <si>
    <t>ENST00000550653</t>
  </si>
  <si>
    <t>ENST00000551620</t>
  </si>
  <si>
    <t>ENST00000553169</t>
  </si>
  <si>
    <t>P78382</t>
  </si>
  <si>
    <t>ENST00000369552</t>
  </si>
  <si>
    <t>ENST00000369556</t>
  </si>
  <si>
    <t>ENST00000544441</t>
  </si>
  <si>
    <t>P78406</t>
  </si>
  <si>
    <t>ENST00000371242</t>
  </si>
  <si>
    <t>ENST00000395840</t>
  </si>
  <si>
    <t>ENST00000395841</t>
  </si>
  <si>
    <t>ENST00000462438</t>
  </si>
  <si>
    <t>ENST00000527947</t>
  </si>
  <si>
    <t>P78417</t>
  </si>
  <si>
    <t>ENST00000369710</t>
  </si>
  <si>
    <t>ENST00000369713</t>
  </si>
  <si>
    <t>ENST00000432659</t>
  </si>
  <si>
    <t>ENST00000445155</t>
  </si>
  <si>
    <t>P78527</t>
  </si>
  <si>
    <t>ENST00000338368</t>
  </si>
  <si>
    <t>ENST00000432581</t>
  </si>
  <si>
    <t>ENST00000521331</t>
  </si>
  <si>
    <t>ENST00000535375</t>
  </si>
  <si>
    <t>ENST00000536483</t>
  </si>
  <si>
    <t>ENST00000536710</t>
  </si>
  <si>
    <t>ENST00000540819</t>
  </si>
  <si>
    <t>ENST00000541488</t>
  </si>
  <si>
    <t>ENST00000546304</t>
  </si>
  <si>
    <t>P78536</t>
  </si>
  <si>
    <t>ENST00000310823</t>
  </si>
  <si>
    <t>ENST00000478059</t>
  </si>
  <si>
    <t>ENST00000497134</t>
  </si>
  <si>
    <t>P78559</t>
  </si>
  <si>
    <t>ENST00000382031</t>
  </si>
  <si>
    <t>P80217</t>
  </si>
  <si>
    <t>ENST00000246911</t>
  </si>
  <si>
    <t>ENST00000396722</t>
  </si>
  <si>
    <t>ENST00000415816</t>
  </si>
  <si>
    <t>ENST00000438323</t>
  </si>
  <si>
    <t>ENST00000534876</t>
  </si>
  <si>
    <t>ENST00000536969</t>
  </si>
  <si>
    <t>ENST00000538473</t>
  </si>
  <si>
    <t>ENST00000546325</t>
  </si>
  <si>
    <t>P80297</t>
  </si>
  <si>
    <t>ENST00000394485</t>
  </si>
  <si>
    <t>ENST00000562939</t>
  </si>
  <si>
    <t>ENST00000564974</t>
  </si>
  <si>
    <t>ENST00000568370</t>
  </si>
  <si>
    <t>P80404</t>
  </si>
  <si>
    <t>ENST00000268251</t>
  </si>
  <si>
    <t>ENST00000396600</t>
  </si>
  <si>
    <t>ENST00000563215</t>
  </si>
  <si>
    <t>ENST00000563992</t>
  </si>
  <si>
    <t>ENST00000564453</t>
  </si>
  <si>
    <t>ENST00000569156</t>
  </si>
  <si>
    <t>P80511</t>
  </si>
  <si>
    <t>ENST00000368737</t>
  </si>
  <si>
    <t>P80723</t>
  </si>
  <si>
    <t>ENST00000322611</t>
  </si>
  <si>
    <t>P82094</t>
  </si>
  <si>
    <t>ENST00000398559</t>
  </si>
  <si>
    <t>ENST00000488010</t>
  </si>
  <si>
    <t>ENST00000543976</t>
  </si>
  <si>
    <t>P82650</t>
  </si>
  <si>
    <t>ENST00000310776</t>
  </si>
  <si>
    <t>ENST00000465056</t>
  </si>
  <si>
    <t>ENST00000480644</t>
  </si>
  <si>
    <t>ENST00000480938</t>
  </si>
  <si>
    <t>ENST00000483545</t>
  </si>
  <si>
    <t>ENST00000486705</t>
  </si>
  <si>
    <t>ENST00000492644</t>
  </si>
  <si>
    <t>ENST00000495075</t>
  </si>
  <si>
    <t>ENST00000498505</t>
  </si>
  <si>
    <t>P82663</t>
  </si>
  <si>
    <t>ENST00000253686</t>
  </si>
  <si>
    <t>ENST00000447299</t>
  </si>
  <si>
    <t>ENST00000449354</t>
  </si>
  <si>
    <t>ENST00000474866</t>
  </si>
  <si>
    <t>ENST00000496484</t>
  </si>
  <si>
    <t>P82664</t>
  </si>
  <si>
    <t>ENST00000053468</t>
  </si>
  <si>
    <t>P82673</t>
  </si>
  <si>
    <t>ENST00000081029</t>
  </si>
  <si>
    <t>ENST00000536569</t>
  </si>
  <si>
    <t>ENST00000538315</t>
  </si>
  <si>
    <t>ENST00000542199</t>
  </si>
  <si>
    <t>P82675</t>
  </si>
  <si>
    <t>ENST00000272418</t>
  </si>
  <si>
    <t>ENST00000461916</t>
  </si>
  <si>
    <t>ENST00000464458</t>
  </si>
  <si>
    <t>ENST00000475895</t>
  </si>
  <si>
    <t>ENST00000482568</t>
  </si>
  <si>
    <t>ENST00000482821</t>
  </si>
  <si>
    <t>P82909</t>
  </si>
  <si>
    <t>ENST00000256441</t>
  </si>
  <si>
    <t>ENST00000602380</t>
  </si>
  <si>
    <t>P82914</t>
  </si>
  <si>
    <t>ENST00000373116</t>
  </si>
  <si>
    <t>ENST00000477040</t>
  </si>
  <si>
    <t>ENST00000488606</t>
  </si>
  <si>
    <t>P82930</t>
  </si>
  <si>
    <t>ENST00000177742</t>
  </si>
  <si>
    <t>ENST00000397375</t>
  </si>
  <si>
    <t>ENST00000569585</t>
  </si>
  <si>
    <t>P82932</t>
  </si>
  <si>
    <t>ENST00000399312</t>
  </si>
  <si>
    <t>ENST00000477091</t>
  </si>
  <si>
    <t>ENST00000483977</t>
  </si>
  <si>
    <t>ENST00000488492</t>
  </si>
  <si>
    <t>P82933</t>
  </si>
  <si>
    <t>ENST00000258455</t>
  </si>
  <si>
    <t>ENST00000413583</t>
  </si>
  <si>
    <t>ENST00000472220</t>
  </si>
  <si>
    <t>P82970</t>
  </si>
  <si>
    <t>ENST00000358130</t>
  </si>
  <si>
    <t>ENST00000373250</t>
  </si>
  <si>
    <t>ENST00000430960</t>
  </si>
  <si>
    <t>ENST00000436386</t>
  </si>
  <si>
    <t>P82979</t>
  </si>
  <si>
    <t>ENST00000336133</t>
  </si>
  <si>
    <t>ENST00000546604</t>
  </si>
  <si>
    <t>ENST00000552080</t>
  </si>
  <si>
    <t>ENST00000552207</t>
  </si>
  <si>
    <t>ENST00000552884</t>
  </si>
  <si>
    <t>ENST00000552946</t>
  </si>
  <si>
    <t>P83111</t>
  </si>
  <si>
    <t>ENST00000261893</t>
  </si>
  <si>
    <t>ENST00000413507</t>
  </si>
  <si>
    <t>ENST00000557972</t>
  </si>
  <si>
    <t>ENST00000559782</t>
  </si>
  <si>
    <t>P83436</t>
  </si>
  <si>
    <t>ENST00000307149</t>
  </si>
  <si>
    <t>ENST00000561854</t>
  </si>
  <si>
    <t>ENST00000563164</t>
  </si>
  <si>
    <t>ENST00000566364</t>
  </si>
  <si>
    <t>ENST00000567821</t>
  </si>
  <si>
    <t>ENST00000569635</t>
  </si>
  <si>
    <t>P83731</t>
  </si>
  <si>
    <t>ENST00000394077</t>
  </si>
  <si>
    <t>ENST00000464595</t>
  </si>
  <si>
    <t>ENST00000469605</t>
  </si>
  <si>
    <t>ENST00000470961</t>
  </si>
  <si>
    <t>ENST00000488288</t>
  </si>
  <si>
    <t>ENST00000495401</t>
  </si>
  <si>
    <t>P83876</t>
  </si>
  <si>
    <t>ENST00000269601</t>
  </si>
  <si>
    <t>ENST00000355491</t>
  </si>
  <si>
    <t>ENST00000585474</t>
  </si>
  <si>
    <t>ENST00000585769</t>
  </si>
  <si>
    <t>ENST00000586612</t>
  </si>
  <si>
    <t>ENST00000586825</t>
  </si>
  <si>
    <t>ENST00000588162</t>
  </si>
  <si>
    <t>ENST00000589926</t>
  </si>
  <si>
    <t>ENST00000591711</t>
  </si>
  <si>
    <t>ENST00000592837</t>
  </si>
  <si>
    <t>P83881</t>
  </si>
  <si>
    <t>ENST00000372849</t>
  </si>
  <si>
    <t>ENST00000392994</t>
  </si>
  <si>
    <t>ENST00000427805</t>
  </si>
  <si>
    <t>ENST00000465340</t>
  </si>
  <si>
    <t>ENST00000465744</t>
  </si>
  <si>
    <t>ENST00000471855</t>
  </si>
  <si>
    <t>ENST00000489407</t>
  </si>
  <si>
    <t>ENST00000491851</t>
  </si>
  <si>
    <t>ENST00000553110</t>
  </si>
  <si>
    <t>P83916</t>
  </si>
  <si>
    <t>ENST00000225603</t>
  </si>
  <si>
    <t>ENST00000495350</t>
  </si>
  <si>
    <t>P84022</t>
  </si>
  <si>
    <t>ENST00000327367</t>
  </si>
  <si>
    <t>ENST00000558428</t>
  </si>
  <si>
    <t>ENST00000558763</t>
  </si>
  <si>
    <t>ENST00000559092</t>
  </si>
  <si>
    <t>ENST00000559937</t>
  </si>
  <si>
    <t>ENST00000560402</t>
  </si>
  <si>
    <t>ENST00000560424</t>
  </si>
  <si>
    <t>P84077</t>
  </si>
  <si>
    <t>ENST00000272102</t>
  </si>
  <si>
    <t>ENST00000470558</t>
  </si>
  <si>
    <t>ENST00000470670</t>
  </si>
  <si>
    <t>ENST00000473949</t>
  </si>
  <si>
    <t>ENST00000477451</t>
  </si>
  <si>
    <t>ENST00000478424</t>
  </si>
  <si>
    <t>ENST00000490705</t>
  </si>
  <si>
    <t>ENST00000497165</t>
  </si>
  <si>
    <t>ENST00000540651</t>
  </si>
  <si>
    <t>P84085</t>
  </si>
  <si>
    <t>ENST00000000233</t>
  </si>
  <si>
    <t>ENST00000415666</t>
  </si>
  <si>
    <t>ENST00000459680</t>
  </si>
  <si>
    <t>ENST00000463733</t>
  </si>
  <si>
    <t>ENST00000467281</t>
  </si>
  <si>
    <t>ENST00000489673</t>
  </si>
  <si>
    <t>P84090</t>
  </si>
  <si>
    <t>ENST00000216520</t>
  </si>
  <si>
    <t>ENST00000555373</t>
  </si>
  <si>
    <t>ENST00000557016</t>
  </si>
  <si>
    <t>ENST00000557697</t>
  </si>
  <si>
    <t>P84095</t>
  </si>
  <si>
    <t>ENST00000351018</t>
  </si>
  <si>
    <t>ENST00000396978</t>
  </si>
  <si>
    <t>ENST00000396979</t>
  </si>
  <si>
    <t>ENST00000533217</t>
  </si>
  <si>
    <t>P84098</t>
  </si>
  <si>
    <t>ENST00000225430</t>
  </si>
  <si>
    <t>ENST00000577741</t>
  </si>
  <si>
    <t>ENST00000577759</t>
  </si>
  <si>
    <t>ENST00000579260</t>
  </si>
  <si>
    <t>ENST00000579374</t>
  </si>
  <si>
    <t>ENST00000580333</t>
  </si>
  <si>
    <t>ENST00000582193</t>
  </si>
  <si>
    <t>ENST00000585199</t>
  </si>
  <si>
    <t>P84243</t>
  </si>
  <si>
    <t>ENST00000254810</t>
  </si>
  <si>
    <t>ENST00000366813</t>
  </si>
  <si>
    <t>ENST00000366814</t>
  </si>
  <si>
    <t>ENST00000366815</t>
  </si>
  <si>
    <t>ENST00000366816</t>
  </si>
  <si>
    <t>ENST00000586270</t>
  </si>
  <si>
    <t>ENST00000586518</t>
  </si>
  <si>
    <t>ENST00000587171</t>
  </si>
  <si>
    <t>ENST00000587560</t>
  </si>
  <si>
    <t>ENST00000589417</t>
  </si>
  <si>
    <t>ENST00000589599</t>
  </si>
  <si>
    <t>ENST00000589949</t>
  </si>
  <si>
    <t>ENST00000591893</t>
  </si>
  <si>
    <t>ENST00000592643</t>
  </si>
  <si>
    <t>ENST00000593254</t>
  </si>
  <si>
    <t>P85037</t>
  </si>
  <si>
    <t>ENST00000328914</t>
  </si>
  <si>
    <t>ENST00000460979</t>
  </si>
  <si>
    <t>ENST00000496023</t>
  </si>
  <si>
    <t>P86791</t>
  </si>
  <si>
    <t>ENST00000325974</t>
  </si>
  <si>
    <t>ENST00000461592</t>
  </si>
  <si>
    <t>ENST00000474507</t>
  </si>
  <si>
    <t>ENST00000478672</t>
  </si>
  <si>
    <t>ENST00000483394</t>
  </si>
  <si>
    <t>ENST00000496860</t>
  </si>
  <si>
    <t>P98170</t>
  </si>
  <si>
    <t>ENST00000371199</t>
  </si>
  <si>
    <t>ENST00000468691</t>
  </si>
  <si>
    <t>ENST00000496602</t>
  </si>
  <si>
    <t>ENST00000497640</t>
  </si>
  <si>
    <t>P98171</t>
  </si>
  <si>
    <t>ENST00000350060</t>
  </si>
  <si>
    <t>ENST00000370016</t>
  </si>
  <si>
    <t>ENST00000370028</t>
  </si>
  <si>
    <t>ENST00000393721</t>
  </si>
  <si>
    <t>ENST00000404127</t>
  </si>
  <si>
    <t>ENST00000418750</t>
  </si>
  <si>
    <t>ENST00000422091</t>
  </si>
  <si>
    <t>ENST00000422918</t>
  </si>
  <si>
    <t>ENST00000442172</t>
  </si>
  <si>
    <t>ENST00000454164</t>
  </si>
  <si>
    <t>ENST00000460782</t>
  </si>
  <si>
    <t>ENST00000461052</t>
  </si>
  <si>
    <t>ENST00000461739</t>
  </si>
  <si>
    <t>ENST00000463905</t>
  </si>
  <si>
    <t>ENST00000466928</t>
  </si>
  <si>
    <t>ENST00000467421</t>
  </si>
  <si>
    <t>ENST00000470209</t>
  </si>
  <si>
    <t>ENST00000470979</t>
  </si>
  <si>
    <t>ENST00000488269</t>
  </si>
  <si>
    <t>ENST00000494397</t>
  </si>
  <si>
    <t>ENST00000494813</t>
  </si>
  <si>
    <t>P98172</t>
  </si>
  <si>
    <t>ENST00000204961</t>
  </si>
  <si>
    <t>P98179</t>
  </si>
  <si>
    <t>ENST00000354480</t>
  </si>
  <si>
    <t>ENST00000376755</t>
  </si>
  <si>
    <t>ENST00000376759</t>
  </si>
  <si>
    <t>ENST00000466764</t>
  </si>
  <si>
    <t>ENST00000472897</t>
  </si>
  <si>
    <t>ENST00000485213</t>
  </si>
  <si>
    <t>ENST00000488216</t>
  </si>
  <si>
    <t>ENST00000489344</t>
  </si>
  <si>
    <t>ENST00000490127</t>
  </si>
  <si>
    <t>ENST00000491236</t>
  </si>
  <si>
    <t>ENST00000491240</t>
  </si>
  <si>
    <t>P98196</t>
  </si>
  <si>
    <t>ENST00000375630</t>
  </si>
  <si>
    <t>ENST00000375645</t>
  </si>
  <si>
    <t>ENST00000415301</t>
  </si>
  <si>
    <t>ENST00000418678</t>
  </si>
  <si>
    <t>ENST00000419631</t>
  </si>
  <si>
    <t>ENST00000459908</t>
  </si>
  <si>
    <t>ENST00000479193</t>
  </si>
  <si>
    <t>ENST00000493489</t>
  </si>
  <si>
    <t>ENST00000495930</t>
  </si>
  <si>
    <t>P98198</t>
  </si>
  <si>
    <t>ENST00000368487</t>
  </si>
  <si>
    <t>ENST00000368490</t>
  </si>
  <si>
    <t>ENST00000426445</t>
  </si>
  <si>
    <t>ENST00000505882</t>
  </si>
  <si>
    <t>ENST00000514107</t>
  </si>
  <si>
    <t>P99999</t>
  </si>
  <si>
    <t>ENST00000305786</t>
  </si>
  <si>
    <t>ENST00000409409</t>
  </si>
  <si>
    <t>ENST00000409764</t>
  </si>
  <si>
    <t>Q00059</t>
  </si>
  <si>
    <t>ENST00000373895</t>
  </si>
  <si>
    <t>ENST00000373899</t>
  </si>
  <si>
    <t>ENST00000395377</t>
  </si>
  <si>
    <t>ENST00000487519</t>
  </si>
  <si>
    <t>Q00169</t>
  </si>
  <si>
    <t>ENST00000313486</t>
  </si>
  <si>
    <t>ENST00000572004</t>
  </si>
  <si>
    <t>ENST00000573056</t>
  </si>
  <si>
    <t>ENST00000574991</t>
  </si>
  <si>
    <t>ENST00000576010</t>
  </si>
  <si>
    <t>Q00341</t>
  </si>
  <si>
    <t>ENST00000310931</t>
  </si>
  <si>
    <t>ENST00000373292</t>
  </si>
  <si>
    <t>ENST00000391975</t>
  </si>
  <si>
    <t>ENST00000391976</t>
  </si>
  <si>
    <t>ENST00000422933</t>
  </si>
  <si>
    <t>ENST00000425989</t>
  </si>
  <si>
    <t>ENST00000427183</t>
  </si>
  <si>
    <t>ENST00000441124</t>
  </si>
  <si>
    <t>ENST00000442714</t>
  </si>
  <si>
    <t>ENST00000442730</t>
  </si>
  <si>
    <t>ENST00000444092</t>
  </si>
  <si>
    <t>ENST00000452931</t>
  </si>
  <si>
    <t>ENST00000453141</t>
  </si>
  <si>
    <t>ENST00000459788</t>
  </si>
  <si>
    <t>ENST00000460826</t>
  </si>
  <si>
    <t>ENST00000462130</t>
  </si>
  <si>
    <t>ENST00000467435</t>
  </si>
  <si>
    <t>ENST00000470482</t>
  </si>
  <si>
    <t>ENST00000470710</t>
  </si>
  <si>
    <t>ENST00000471294</t>
  </si>
  <si>
    <t>ENST00000476807</t>
  </si>
  <si>
    <t>ENST00000479169</t>
  </si>
  <si>
    <t>ENST00000479894</t>
  </si>
  <si>
    <t>ENST00000483086</t>
  </si>
  <si>
    <t>ENST00000487169</t>
  </si>
  <si>
    <t>ENST00000488013</t>
  </si>
  <si>
    <t>ENST00000488923</t>
  </si>
  <si>
    <t>ENST00000490697</t>
  </si>
  <si>
    <t>ENST00000494862</t>
  </si>
  <si>
    <t>Q00403</t>
  </si>
  <si>
    <t>ENST00000370500</t>
  </si>
  <si>
    <t>ENST00000418217</t>
  </si>
  <si>
    <t>ENST00000486078</t>
  </si>
  <si>
    <t>ENST00000494819</t>
  </si>
  <si>
    <t>Q00534</t>
  </si>
  <si>
    <t>ENST00000265734</t>
  </si>
  <si>
    <t>ENST00000424848</t>
  </si>
  <si>
    <t>ENST00000467166</t>
  </si>
  <si>
    <t>ENST00000473078</t>
  </si>
  <si>
    <t>Q00535</t>
  </si>
  <si>
    <t>ENST00000297518</t>
  </si>
  <si>
    <t>ENST00000469108</t>
  </si>
  <si>
    <t>ENST00000476691</t>
  </si>
  <si>
    <t>ENST00000485972</t>
  </si>
  <si>
    <t>Q00577</t>
  </si>
  <si>
    <t>ENST00000331327</t>
  </si>
  <si>
    <t>ENST00000505703</t>
  </si>
  <si>
    <t>Q00653</t>
  </si>
  <si>
    <t>ENST00000189444</t>
  </si>
  <si>
    <t>ENST00000369966</t>
  </si>
  <si>
    <t>ENST00000428099</t>
  </si>
  <si>
    <t>ENST00000467116</t>
  </si>
  <si>
    <t>ENST00000471698</t>
  </si>
  <si>
    <t>ENST00000473400</t>
  </si>
  <si>
    <t>ENST00000593908</t>
  </si>
  <si>
    <t>Q00688</t>
  </si>
  <si>
    <t>ENST00000396062</t>
  </si>
  <si>
    <t>ENST00000556231</t>
  </si>
  <si>
    <t>Q00765</t>
  </si>
  <si>
    <t>ENST00000261482</t>
  </si>
  <si>
    <t>ENST00000379638</t>
  </si>
  <si>
    <t>ENST00000474542</t>
  </si>
  <si>
    <t>ENST00000497856</t>
  </si>
  <si>
    <t>ENST00000504247</t>
  </si>
  <si>
    <t>ENST00000513339</t>
  </si>
  <si>
    <t>Q00796</t>
  </si>
  <si>
    <t>ENST00000267814</t>
  </si>
  <si>
    <t>ENST00000558574</t>
  </si>
  <si>
    <t>ENST00000558789</t>
  </si>
  <si>
    <t>Q00839</t>
  </si>
  <si>
    <t>ENST00000283179</t>
  </si>
  <si>
    <t>ENST00000366525</t>
  </si>
  <si>
    <t>ENST00000440865</t>
  </si>
  <si>
    <t>ENST00000444376</t>
  </si>
  <si>
    <t>ENST00000465881</t>
  </si>
  <si>
    <t>ENST00000468690</t>
  </si>
  <si>
    <t>ENST00000476241</t>
  </si>
  <si>
    <t>ENST00000483966</t>
  </si>
  <si>
    <t>Q00978</t>
  </si>
  <si>
    <t>ENST00000324076</t>
  </si>
  <si>
    <t>ENST00000396864</t>
  </si>
  <si>
    <t>ENST00000557894</t>
  </si>
  <si>
    <t>ENST00000559229</t>
  </si>
  <si>
    <t>ENST00000559284</t>
  </si>
  <si>
    <t>ENST00000559863</t>
  </si>
  <si>
    <t>ENST00000560275</t>
  </si>
  <si>
    <t>ENST00000560311</t>
  </si>
  <si>
    <t>ENST00000560365</t>
  </si>
  <si>
    <t>ENST00000560542</t>
  </si>
  <si>
    <t>ENST00000560852</t>
  </si>
  <si>
    <t>ENST00000561009</t>
  </si>
  <si>
    <t>ENST00000561342</t>
  </si>
  <si>
    <t>ENST00000561412</t>
  </si>
  <si>
    <t>ENST00000561415</t>
  </si>
  <si>
    <t>Q01081</t>
  </si>
  <si>
    <t>ENST00000291552</t>
  </si>
  <si>
    <t>ENST00000380276</t>
  </si>
  <si>
    <t>ENST00000398137</t>
  </si>
  <si>
    <t>ENST00000459639</t>
  </si>
  <si>
    <t>ENST00000463599</t>
  </si>
  <si>
    <t>ENST00000464750</t>
  </si>
  <si>
    <t>ENST00000468039</t>
  </si>
  <si>
    <t>ENST00000471250</t>
  </si>
  <si>
    <t>ENST00000475639</t>
  </si>
  <si>
    <t>ENST00000478282</t>
  </si>
  <si>
    <t>ENST00000496462</t>
  </si>
  <si>
    <t>Q01082</t>
  </si>
  <si>
    <t>ENST00000333896</t>
  </si>
  <si>
    <t>ENST00000467371</t>
  </si>
  <si>
    <t>ENST00000496323</t>
  </si>
  <si>
    <t>Q01105</t>
  </si>
  <si>
    <t>ENST00000322030</t>
  </si>
  <si>
    <t>ENST00000372688</t>
  </si>
  <si>
    <t>ENST00000372692</t>
  </si>
  <si>
    <t>ENST00000454747</t>
  </si>
  <si>
    <t>ENST00000466009</t>
  </si>
  <si>
    <t>ENST00000477806</t>
  </si>
  <si>
    <t>ENST00000480536</t>
  </si>
  <si>
    <t>ENST00000485056</t>
  </si>
  <si>
    <t>Q01130</t>
  </si>
  <si>
    <t>ENST00000358156</t>
  </si>
  <si>
    <t>ENST00000359995</t>
  </si>
  <si>
    <t>ENST00000392485</t>
  </si>
  <si>
    <t>ENST00000452355</t>
  </si>
  <si>
    <t>ENST00000508921</t>
  </si>
  <si>
    <t>ENST00000582449</t>
  </si>
  <si>
    <t>ENST00000583836</t>
  </si>
  <si>
    <t>ENST00000585202</t>
  </si>
  <si>
    <t>ENST00000586778</t>
  </si>
  <si>
    <t>ENST00000589919</t>
  </si>
  <si>
    <t>ENST00000592676</t>
  </si>
  <si>
    <t>Q01201</t>
  </si>
  <si>
    <t>ENST00000221452</t>
  </si>
  <si>
    <t>ENST00000505236</t>
  </si>
  <si>
    <t>ENST00000509229</t>
  </si>
  <si>
    <t>ENST00000509480</t>
  </si>
  <si>
    <t>ENST00000510184</t>
  </si>
  <si>
    <t>Q01415</t>
  </si>
  <si>
    <t>ENST00000327171</t>
  </si>
  <si>
    <t>ENST00000559883</t>
  </si>
  <si>
    <t>ENST00000559963</t>
  </si>
  <si>
    <t>ENST00000560031</t>
  </si>
  <si>
    <t>ENST00000560119</t>
  </si>
  <si>
    <t>ENST00000560138</t>
  </si>
  <si>
    <t>ENST00000560528</t>
  </si>
  <si>
    <t>ENST00000561014</t>
  </si>
  <si>
    <t>Q01432</t>
  </si>
  <si>
    <t>ENST00000396554</t>
  </si>
  <si>
    <t>ENST00000444303</t>
  </si>
  <si>
    <t>ENST00000528723</t>
  </si>
  <si>
    <t>ENST00000529834</t>
  </si>
  <si>
    <t>ENST00000530864</t>
  </si>
  <si>
    <t>ENST00000531227</t>
  </si>
  <si>
    <t>ENST00000534047</t>
  </si>
  <si>
    <t>Q01459</t>
  </si>
  <si>
    <t>ENST00000370625</t>
  </si>
  <si>
    <t>ENST00000370630</t>
  </si>
  <si>
    <t>ENST00000465118</t>
  </si>
  <si>
    <t>ENST00000477677</t>
  </si>
  <si>
    <t>Q01469</t>
  </si>
  <si>
    <t>ENST00000297258</t>
  </si>
  <si>
    <t>ENST00000396359</t>
  </si>
  <si>
    <t>ENST00000481695</t>
  </si>
  <si>
    <t>ENST00000486269</t>
  </si>
  <si>
    <t>Q01581</t>
  </si>
  <si>
    <t>ENST00000325110</t>
  </si>
  <si>
    <t>ENST00000433297</t>
  </si>
  <si>
    <t>ENST00000507004</t>
  </si>
  <si>
    <t>ENST00000507293</t>
  </si>
  <si>
    <t>ENST00000508319</t>
  </si>
  <si>
    <t>ENST00000511774</t>
  </si>
  <si>
    <t>ENST00000514610</t>
  </si>
  <si>
    <t>Q01650</t>
  </si>
  <si>
    <t>ENST00000261622</t>
  </si>
  <si>
    <t>ENST00000563489</t>
  </si>
  <si>
    <t>Q01658</t>
  </si>
  <si>
    <t>ENST00000370272</t>
  </si>
  <si>
    <t>ENST00000481583</t>
  </si>
  <si>
    <t>Q01664</t>
  </si>
  <si>
    <t>ENST00000204517</t>
  </si>
  <si>
    <t>ENST00000573476</t>
  </si>
  <si>
    <t>ENST00000574639</t>
  </si>
  <si>
    <t>ENST00000575300</t>
  </si>
  <si>
    <t>ENST00000575320</t>
  </si>
  <si>
    <t>ENST00000575672</t>
  </si>
  <si>
    <t>Q01780</t>
  </si>
  <si>
    <t>ENST00000304457</t>
  </si>
  <si>
    <t>ENST00000376936</t>
  </si>
  <si>
    <t>ENST00000469634</t>
  </si>
  <si>
    <t>ENST00000470611</t>
  </si>
  <si>
    <t>ENST00000472078</t>
  </si>
  <si>
    <t>ENST00000474216</t>
  </si>
  <si>
    <t>ENST00000478271</t>
  </si>
  <si>
    <t>ENST00000485606</t>
  </si>
  <si>
    <t>ENST00000490565</t>
  </si>
  <si>
    <t>ENST00000498576</t>
  </si>
  <si>
    <t>Q01804</t>
  </si>
  <si>
    <t>ENST00000447906</t>
  </si>
  <si>
    <t>ENST00000454497</t>
  </si>
  <si>
    <t>ENST00000455611</t>
  </si>
  <si>
    <t>ENST00000504331</t>
  </si>
  <si>
    <t>ENST00000505976</t>
  </si>
  <si>
    <t>ENST00000509517</t>
  </si>
  <si>
    <t>ENST00000509620</t>
  </si>
  <si>
    <t>ENST00000514973</t>
  </si>
  <si>
    <t>Q01813</t>
  </si>
  <si>
    <t>ENST00000381072</t>
  </si>
  <si>
    <t>ENST00000381075</t>
  </si>
  <si>
    <t>ENST00000381125</t>
  </si>
  <si>
    <t>ENST00000407806</t>
  </si>
  <si>
    <t>ENST00000415005</t>
  </si>
  <si>
    <t>ENST00000433193</t>
  </si>
  <si>
    <t>Q01826</t>
  </si>
  <si>
    <t>ENST00000338745</t>
  </si>
  <si>
    <t>ENST00000414509</t>
  </si>
  <si>
    <t>ENST00000415069</t>
  </si>
  <si>
    <t>ENST00000417717</t>
  </si>
  <si>
    <t>ENST00000440737</t>
  </si>
  <si>
    <t>ENST00000444341</t>
  </si>
  <si>
    <t>ENST00000450898</t>
  </si>
  <si>
    <t>ENST00000452260</t>
  </si>
  <si>
    <t>ENST00000454909</t>
  </si>
  <si>
    <t>ENST00000457005</t>
  </si>
  <si>
    <t>ENST00000467628</t>
  </si>
  <si>
    <t>ENST00000476178</t>
  </si>
  <si>
    <t>ENST00000482788</t>
  </si>
  <si>
    <t>ENST00000487699</t>
  </si>
  <si>
    <t>ENST00000491519</t>
  </si>
  <si>
    <t>ENST00000493952</t>
  </si>
  <si>
    <t>ENST00000606296</t>
  </si>
  <si>
    <t>Q01831</t>
  </si>
  <si>
    <t>ENST00000285021</t>
  </si>
  <si>
    <t>ENST00000427795</t>
  </si>
  <si>
    <t>ENST00000452172</t>
  </si>
  <si>
    <t>ENST00000455144</t>
  </si>
  <si>
    <t>ENST00000477324</t>
  </si>
  <si>
    <t>Q01850</t>
  </si>
  <si>
    <t>ENST00000268383</t>
  </si>
  <si>
    <t>ENST00000561630</t>
  </si>
  <si>
    <t>ENST00000563573</t>
  </si>
  <si>
    <t>ENST00000567010</t>
  </si>
  <si>
    <t>ENST00000569045</t>
  </si>
  <si>
    <t>Q02040</t>
  </si>
  <si>
    <t>ENST00000313871</t>
  </si>
  <si>
    <t>ENST00000381261</t>
  </si>
  <si>
    <t>ENST00000474361</t>
  </si>
  <si>
    <t>Q02127</t>
  </si>
  <si>
    <t>ENST00000219240</t>
  </si>
  <si>
    <t>ENST00000571288</t>
  </si>
  <si>
    <t>ENST00000571392</t>
  </si>
  <si>
    <t>ENST00000572003</t>
  </si>
  <si>
    <t>ENST00000573922</t>
  </si>
  <si>
    <t>Q02338</t>
  </si>
  <si>
    <t>ENST00000392378</t>
  </si>
  <si>
    <t>ENST00000392379</t>
  </si>
  <si>
    <t>ENST00000432819</t>
  </si>
  <si>
    <t>ENST00000434143</t>
  </si>
  <si>
    <t>ENST00000445160</t>
  </si>
  <si>
    <t>ENST00000446746</t>
  </si>
  <si>
    <t>ENST00000468710</t>
  </si>
  <si>
    <t>ENST00000476764</t>
  </si>
  <si>
    <t>ENST00000477015</t>
  </si>
  <si>
    <t>ENST00000479425</t>
  </si>
  <si>
    <t>ENST00000483920</t>
  </si>
  <si>
    <t>ENST00000492681</t>
  </si>
  <si>
    <t>ENST00000495285</t>
  </si>
  <si>
    <t>Q02446</t>
  </si>
  <si>
    <t>ENST00000222584</t>
  </si>
  <si>
    <t>ENST00000440636</t>
  </si>
  <si>
    <t>Q02543</t>
  </si>
  <si>
    <t>ENST00000222247</t>
  </si>
  <si>
    <t>ENST00000597648</t>
  </si>
  <si>
    <t>ENST00000599870</t>
  </si>
  <si>
    <t>ENST00000599898</t>
  </si>
  <si>
    <t>ENST00000600147</t>
  </si>
  <si>
    <t>ENST00000600238</t>
  </si>
  <si>
    <t>ENST00000602216</t>
  </si>
  <si>
    <t>Q02556</t>
  </si>
  <si>
    <t>ENST00000268638</t>
  </si>
  <si>
    <t>ENST00000563180</t>
  </si>
  <si>
    <t>ENST00000564056</t>
  </si>
  <si>
    <t>ENST00000564617</t>
  </si>
  <si>
    <t>ENST00000566369</t>
  </si>
  <si>
    <t>ENST00000569607</t>
  </si>
  <si>
    <t>ENST00000570088</t>
  </si>
  <si>
    <t>Q02750</t>
  </si>
  <si>
    <t>ENST00000307102</t>
  </si>
  <si>
    <t>ENST00000425818</t>
  </si>
  <si>
    <t>ENST00000566326</t>
  </si>
  <si>
    <t>Q02790</t>
  </si>
  <si>
    <t>ENST00000001008</t>
  </si>
  <si>
    <t>ENST00000538622</t>
  </si>
  <si>
    <t>ENST00000540260</t>
  </si>
  <si>
    <t>ENST00000543037</t>
  </si>
  <si>
    <t>Q02809</t>
  </si>
  <si>
    <t>ENST00000196061</t>
  </si>
  <si>
    <t>ENST00000465920</t>
  </si>
  <si>
    <t>ENST00000470133</t>
  </si>
  <si>
    <t>ENST00000481933</t>
  </si>
  <si>
    <t>Q02818</t>
  </si>
  <si>
    <t>ENST00000405315</t>
  </si>
  <si>
    <t>ENST00000411700</t>
  </si>
  <si>
    <t>ENST00000443560</t>
  </si>
  <si>
    <t>ENST00000451312</t>
  </si>
  <si>
    <t>ENST00000460125</t>
  </si>
  <si>
    <t>ENST00000465524</t>
  </si>
  <si>
    <t>ENST00000469291</t>
  </si>
  <si>
    <t>ENST00000485798</t>
  </si>
  <si>
    <t>ENST00000492367</t>
  </si>
  <si>
    <t>Q02878</t>
  </si>
  <si>
    <t>ENST00000202773</t>
  </si>
  <si>
    <t>ENST00000424576</t>
  </si>
  <si>
    <t>ENST00000546368</t>
  </si>
  <si>
    <t>ENST00000548343</t>
  </si>
  <si>
    <t>ENST00000549562</t>
  </si>
  <si>
    <t>ENST00000549847</t>
  </si>
  <si>
    <t>ENST00000550238</t>
  </si>
  <si>
    <t>ENST00000550566</t>
  </si>
  <si>
    <t>ENST00000551041</t>
  </si>
  <si>
    <t>ENST00000551291</t>
  </si>
  <si>
    <t>ENST00000552455</t>
  </si>
  <si>
    <t>ENST00000553205</t>
  </si>
  <si>
    <t>ENST00000553213</t>
  </si>
  <si>
    <t>Q02978</t>
  </si>
  <si>
    <t>ENST00000225665</t>
  </si>
  <si>
    <t>ENST00000544061</t>
  </si>
  <si>
    <t>ENST00000570543</t>
  </si>
  <si>
    <t>ENST00000574710</t>
  </si>
  <si>
    <t>Q03001</t>
  </si>
  <si>
    <t>ENST00000312431</t>
  </si>
  <si>
    <t>ENST00000370765</t>
  </si>
  <si>
    <t>ENST00000459869</t>
  </si>
  <si>
    <t>ENST00000466429</t>
  </si>
  <si>
    <t>ENST00000482156</t>
  </si>
  <si>
    <t>ENST00000487754</t>
  </si>
  <si>
    <t>ENST00000492944</t>
  </si>
  <si>
    <t>ENST00000517840</t>
  </si>
  <si>
    <t>ENST00000518464</t>
  </si>
  <si>
    <t>ENST00000523943</t>
  </si>
  <si>
    <t>Q03111</t>
  </si>
  <si>
    <t>ENST00000252674</t>
  </si>
  <si>
    <t>ENST00000585588</t>
  </si>
  <si>
    <t>ENST00000587473</t>
  </si>
  <si>
    <t>Q03169</t>
  </si>
  <si>
    <t>ENST00000333007</t>
  </si>
  <si>
    <t>ENST00000558056</t>
  </si>
  <si>
    <t>ENST00000559255</t>
  </si>
  <si>
    <t>ENST00000560428</t>
  </si>
  <si>
    <t>ENST00000560869</t>
  </si>
  <si>
    <t>ENST00000561156</t>
  </si>
  <si>
    <t>Q03188</t>
  </si>
  <si>
    <t>ENST00000273853</t>
  </si>
  <si>
    <t>ENST00000506410</t>
  </si>
  <si>
    <t>ENST00000506882</t>
  </si>
  <si>
    <t>ENST00000507196</t>
  </si>
  <si>
    <t>ENST00000510189</t>
  </si>
  <si>
    <t>ENST00000513216</t>
  </si>
  <si>
    <t>ENST00000515140</t>
  </si>
  <si>
    <t>Q03252</t>
  </si>
  <si>
    <t>ENST00000325327</t>
  </si>
  <si>
    <t>ENST00000490554</t>
  </si>
  <si>
    <t>ENST00000527409</t>
  </si>
  <si>
    <t>Q03426</t>
  </si>
  <si>
    <t>ENST00000228510</t>
  </si>
  <si>
    <t>ENST00000392727</t>
  </si>
  <si>
    <t>ENST00000447878</t>
  </si>
  <si>
    <t>ENST00000535044</t>
  </si>
  <si>
    <t>ENST00000537237</t>
  </si>
  <si>
    <t>ENST00000539335</t>
  </si>
  <si>
    <t>ENST00000539575</t>
  </si>
  <si>
    <t>ENST00000540353</t>
  </si>
  <si>
    <t>ENST00000545516</t>
  </si>
  <si>
    <t>ENST00000545774</t>
  </si>
  <si>
    <t>ENST00000546277</t>
  </si>
  <si>
    <t>Q03468</t>
  </si>
  <si>
    <t>ENST00000355832</t>
  </si>
  <si>
    <t>ENST00000465653</t>
  </si>
  <si>
    <t>ENST00000479652</t>
  </si>
  <si>
    <t>Q03518</t>
  </si>
  <si>
    <t>ENST00000354258</t>
  </si>
  <si>
    <t>ENST00000486332</t>
  </si>
  <si>
    <t>ENST00000487296</t>
  </si>
  <si>
    <t>Q03519</t>
  </si>
  <si>
    <t>ENST00000374897</t>
  </si>
  <si>
    <t>ENST00000374899</t>
  </si>
  <si>
    <t>ENST00000464100</t>
  </si>
  <si>
    <t>ENST00000485701</t>
  </si>
  <si>
    <t>Q03701</t>
  </si>
  <si>
    <t>ENST00000234170</t>
  </si>
  <si>
    <t>ENST00000489306</t>
  </si>
  <si>
    <t>Q03989</t>
  </si>
  <si>
    <t>ENST00000357485</t>
  </si>
  <si>
    <t>ENST00000412735</t>
  </si>
  <si>
    <t>ENST00000454558</t>
  </si>
  <si>
    <t>ENST00000467498</t>
  </si>
  <si>
    <t>ENST00000470579</t>
  </si>
  <si>
    <t>ENST00000497920</t>
  </si>
  <si>
    <t>Q04323</t>
  </si>
  <si>
    <t>ENST00000294119</t>
  </si>
  <si>
    <t>ENST00000301935</t>
  </si>
  <si>
    <t>ENST00000436354</t>
  </si>
  <si>
    <t>ENST00000524762</t>
  </si>
  <si>
    <t>ENST00000525004</t>
  </si>
  <si>
    <t>ENST00000525717</t>
  </si>
  <si>
    <t>ENST00000526919</t>
  </si>
  <si>
    <t>ENST00000527421</t>
  </si>
  <si>
    <t>ENST00000528907</t>
  </si>
  <si>
    <t>ENST00000531056</t>
  </si>
  <si>
    <t>ENST00000531625</t>
  </si>
  <si>
    <t>ENST00000532904</t>
  </si>
  <si>
    <t>ENST00000533000</t>
  </si>
  <si>
    <t>ENST00000533476</t>
  </si>
  <si>
    <t>ENST00000533908</t>
  </si>
  <si>
    <t>ENST00000534176</t>
  </si>
  <si>
    <t>Q04446</t>
  </si>
  <si>
    <t>ENST00000429644</t>
  </si>
  <si>
    <t>ENST00000484687</t>
  </si>
  <si>
    <t>ENST00000486920</t>
  </si>
  <si>
    <t>ENST00000498468</t>
  </si>
  <si>
    <t>Q04721</t>
  </si>
  <si>
    <t>ENST00000256646</t>
  </si>
  <si>
    <t>ENST00000478864</t>
  </si>
  <si>
    <t>ENST00000479412</t>
  </si>
  <si>
    <t>ENST00000489731</t>
  </si>
  <si>
    <t>ENST00000493703</t>
  </si>
  <si>
    <t>ENST00000602566</t>
  </si>
  <si>
    <t>Q04760</t>
  </si>
  <si>
    <t>ENST00000373365</t>
  </si>
  <si>
    <t>ENST00000470973</t>
  </si>
  <si>
    <t>Q04771</t>
  </si>
  <si>
    <t>ENST00000263640</t>
  </si>
  <si>
    <t>ENST00000434821</t>
  </si>
  <si>
    <t>Q04837</t>
  </si>
  <si>
    <t>ENST00000265304</t>
  </si>
  <si>
    <t>ENST00000461433</t>
  </si>
  <si>
    <t>ENST00000463093</t>
  </si>
  <si>
    <t>ENST00000465167</t>
  </si>
  <si>
    <t>ENST00000467681</t>
  </si>
  <si>
    <t>ENST00000468267</t>
  </si>
  <si>
    <t>ENST00000469123</t>
  </si>
  <si>
    <t>ENST00000481508</t>
  </si>
  <si>
    <t>ENST00000484178</t>
  </si>
  <si>
    <t>ENST00000489378</t>
  </si>
  <si>
    <t>ENST00000496622</t>
  </si>
  <si>
    <t>ENST00000498107</t>
  </si>
  <si>
    <t>Q04917</t>
  </si>
  <si>
    <t>ENST00000248975</t>
  </si>
  <si>
    <t>ENST00000397492</t>
  </si>
  <si>
    <t>ENST00000443669</t>
  </si>
  <si>
    <t>ENST00000471374</t>
  </si>
  <si>
    <t>ENST00000479649</t>
  </si>
  <si>
    <t>Q04941</t>
  </si>
  <si>
    <t>ENST00000376322</t>
  </si>
  <si>
    <t>ENST00000376327</t>
  </si>
  <si>
    <t>Q05048</t>
  </si>
  <si>
    <t>ENST00000217109</t>
  </si>
  <si>
    <t>ENST00000415828</t>
  </si>
  <si>
    <t>ENST00000452950</t>
  </si>
  <si>
    <t>ENST00000498689</t>
  </si>
  <si>
    <t>Q05209</t>
  </si>
  <si>
    <t>ENST00000248594</t>
  </si>
  <si>
    <t>ENST00000460731</t>
  </si>
  <si>
    <t>ENST00000464313</t>
  </si>
  <si>
    <t>ENST00000481154</t>
  </si>
  <si>
    <t>ENST00000494248</t>
  </si>
  <si>
    <t>ENST00000519553</t>
  </si>
  <si>
    <t>ENST00000520947</t>
  </si>
  <si>
    <t>ENST00000523952</t>
  </si>
  <si>
    <t>Q05315</t>
  </si>
  <si>
    <t>ENST00000221804</t>
  </si>
  <si>
    <t>Q05655</t>
  </si>
  <si>
    <t>ENST00000330452</t>
  </si>
  <si>
    <t>ENST00000394729</t>
  </si>
  <si>
    <t>Q06124</t>
  </si>
  <si>
    <t>ENST00000351677</t>
  </si>
  <si>
    <t>ENST00000392597</t>
  </si>
  <si>
    <t>ENST00000530818</t>
  </si>
  <si>
    <t>Q06187</t>
  </si>
  <si>
    <t>ENST00000308731</t>
  </si>
  <si>
    <t>ENST00000464006</t>
  </si>
  <si>
    <t>ENST00000470069</t>
  </si>
  <si>
    <t>ENST00000470329</t>
  </si>
  <si>
    <t>ENST00000478995</t>
  </si>
  <si>
    <t>ENST00000488970</t>
  </si>
  <si>
    <t>Q06203</t>
  </si>
  <si>
    <t>ENST00000264220</t>
  </si>
  <si>
    <t>ENST00000425339</t>
  </si>
  <si>
    <t>ENST00000507724</t>
  </si>
  <si>
    <t>Q06265</t>
  </si>
  <si>
    <t>ENST00000243498</t>
  </si>
  <si>
    <t>ENST00000379663</t>
  </si>
  <si>
    <t>ENST00000503139</t>
  </si>
  <si>
    <t>ENST00000503236</t>
  </si>
  <si>
    <t>ENST00000506201</t>
  </si>
  <si>
    <t>ENST00000508212</t>
  </si>
  <si>
    <t>ENST00000509980</t>
  </si>
  <si>
    <t>ENST00000512454</t>
  </si>
  <si>
    <t>ENST00000513654</t>
  </si>
  <si>
    <t>Q06546</t>
  </si>
  <si>
    <t>ENST00000354828</t>
  </si>
  <si>
    <t>ENST00000400075</t>
  </si>
  <si>
    <t>ENST00000487266</t>
  </si>
  <si>
    <t>Q06587</t>
  </si>
  <si>
    <t>ENST00000374656</t>
  </si>
  <si>
    <t>ENST00000478431</t>
  </si>
  <si>
    <t>Q06643</t>
  </si>
  <si>
    <t>ENST00000429299</t>
  </si>
  <si>
    <t>ENST00000446745</t>
  </si>
  <si>
    <t>ENST00000482429</t>
  </si>
  <si>
    <t>ENST00000483972</t>
  </si>
  <si>
    <t>Q06830</t>
  </si>
  <si>
    <t>ENST00000262746</t>
  </si>
  <si>
    <t>ENST00000319248</t>
  </si>
  <si>
    <t>ENST00000483583</t>
  </si>
  <si>
    <t>Q07020</t>
  </si>
  <si>
    <t>ENST00000084795</t>
  </si>
  <si>
    <t>ENST00000546623</t>
  </si>
  <si>
    <t>ENST00000547892</t>
  </si>
  <si>
    <t>ENST00000547897</t>
  </si>
  <si>
    <t>ENST00000549273</t>
  </si>
  <si>
    <t>ENST00000549370</t>
  </si>
  <si>
    <t>ENST00000549533</t>
  </si>
  <si>
    <t>ENST00000549920</t>
  </si>
  <si>
    <t>ENST00000550645</t>
  </si>
  <si>
    <t>ENST00000550671</t>
  </si>
  <si>
    <t>ENST00000550973</t>
  </si>
  <si>
    <t>ENST00000551749</t>
  </si>
  <si>
    <t>ENST00000552347</t>
  </si>
  <si>
    <t>ENST00000552588</t>
  </si>
  <si>
    <t>ENST00000552705</t>
  </si>
  <si>
    <t>ENST00000552851</t>
  </si>
  <si>
    <t>Q07021</t>
  </si>
  <si>
    <t>ENST00000225698</t>
  </si>
  <si>
    <t>ENST00000573204</t>
  </si>
  <si>
    <t>ENST00000573406</t>
  </si>
  <si>
    <t>ENST00000573421</t>
  </si>
  <si>
    <t>ENST00000576122</t>
  </si>
  <si>
    <t>Q07065</t>
  </si>
  <si>
    <t>ENST00000378026</t>
  </si>
  <si>
    <t>ENST00000553039</t>
  </si>
  <si>
    <t>Q07108</t>
  </si>
  <si>
    <t>ENST00000228434</t>
  </si>
  <si>
    <t>ENST00000416624</t>
  </si>
  <si>
    <t>ENST00000536709</t>
  </si>
  <si>
    <t>ENST00000543147</t>
  </si>
  <si>
    <t>Q07283</t>
  </si>
  <si>
    <t>ENST00000368804</t>
  </si>
  <si>
    <t>Q07352</t>
  </si>
  <si>
    <t>ENST00000336440</t>
  </si>
  <si>
    <t>ENST00000439696</t>
  </si>
  <si>
    <t>ENST00000555997</t>
  </si>
  <si>
    <t>Q07617</t>
  </si>
  <si>
    <t>ENST00000388798</t>
  </si>
  <si>
    <t>ENST00000519409</t>
  </si>
  <si>
    <t>ENST00000519424</t>
  </si>
  <si>
    <t>Q07666</t>
  </si>
  <si>
    <t>ENST00000307714</t>
  </si>
  <si>
    <t>ENST00000327300</t>
  </si>
  <si>
    <t>ENST00000484270</t>
  </si>
  <si>
    <t>ENST00000492989</t>
  </si>
  <si>
    <t>Q07864</t>
  </si>
  <si>
    <t>ENST00000320574</t>
  </si>
  <si>
    <t>ENST00000416953</t>
  </si>
  <si>
    <t>ENST00000434528</t>
  </si>
  <si>
    <t>ENST00000441786</t>
  </si>
  <si>
    <t>ENST00000503265</t>
  </si>
  <si>
    <t>ENST00000534922</t>
  </si>
  <si>
    <t>ENST00000535934</t>
  </si>
  <si>
    <t>ENST00000536445</t>
  </si>
  <si>
    <t>ENST00000537064</t>
  </si>
  <si>
    <t>ENST00000539215</t>
  </si>
  <si>
    <t>ENST00000539357</t>
  </si>
  <si>
    <t>ENST00000539618</t>
  </si>
  <si>
    <t>ENST00000540987</t>
  </si>
  <si>
    <t>ENST00000541213</t>
  </si>
  <si>
    <t>ENST00000541627</t>
  </si>
  <si>
    <t>ENST00000542362</t>
  </si>
  <si>
    <t>ENST00000544414</t>
  </si>
  <si>
    <t>ENST00000544692</t>
  </si>
  <si>
    <t>ENST00000544870</t>
  </si>
  <si>
    <t>ENST00000545015</t>
  </si>
  <si>
    <t>Q07889</t>
  </si>
  <si>
    <t>ENST00000395038</t>
  </si>
  <si>
    <t>ENST00000402219</t>
  </si>
  <si>
    <t>ENST00000426016</t>
  </si>
  <si>
    <t>ENST00000461545</t>
  </si>
  <si>
    <t>ENST00000469581</t>
  </si>
  <si>
    <t>ENST00000474390</t>
  </si>
  <si>
    <t>Q07912</t>
  </si>
  <si>
    <t>ENST00000333602</t>
  </si>
  <si>
    <t>ENST00000381916</t>
  </si>
  <si>
    <t>ENST00000416152</t>
  </si>
  <si>
    <t>ENST00000420716</t>
  </si>
  <si>
    <t>ENST00000427576</t>
  </si>
  <si>
    <t>ENST00000428187</t>
  </si>
  <si>
    <t>ENST00000430929</t>
  </si>
  <si>
    <t>ENST00000433111</t>
  </si>
  <si>
    <t>ENST00000439230</t>
  </si>
  <si>
    <t>ENST00000447060</t>
  </si>
  <si>
    <t>ENST00000464041</t>
  </si>
  <si>
    <t>ENST00000468680</t>
  </si>
  <si>
    <t>ENST00000468819</t>
  </si>
  <si>
    <t>ENST00000478715</t>
  </si>
  <si>
    <t>ENST00000481865</t>
  </si>
  <si>
    <t>ENST00000486523</t>
  </si>
  <si>
    <t>ENST00000489628</t>
  </si>
  <si>
    <t>Q07954</t>
  </si>
  <si>
    <t>ENST00000243077</t>
  </si>
  <si>
    <t>ENST00000555941</t>
  </si>
  <si>
    <t>ENST00000556247</t>
  </si>
  <si>
    <t>ENST00000556356</t>
  </si>
  <si>
    <t>Q07955</t>
  </si>
  <si>
    <t>ENST00000258962</t>
  </si>
  <si>
    <t>ENST00000578430</t>
  </si>
  <si>
    <t>ENST00000581497</t>
  </si>
  <si>
    <t>ENST00000581979</t>
  </si>
  <si>
    <t>ENST00000582730</t>
  </si>
  <si>
    <t>ENST00000584668</t>
  </si>
  <si>
    <t>ENST00000584773</t>
  </si>
  <si>
    <t>Q07960</t>
  </si>
  <si>
    <t>ENST00000311956</t>
  </si>
  <si>
    <t>ENST00000524594</t>
  </si>
  <si>
    <t>ENST00000526423</t>
  </si>
  <si>
    <t>ENST00000527588</t>
  </si>
  <si>
    <t>ENST00000528837</t>
  </si>
  <si>
    <t>ENST00000529960</t>
  </si>
  <si>
    <t>Q08117</t>
  </si>
  <si>
    <t>ENST00000221561</t>
  </si>
  <si>
    <t>ENST00000327141</t>
  </si>
  <si>
    <t>ENST00000585557</t>
  </si>
  <si>
    <t>ENST00000585782</t>
  </si>
  <si>
    <t>ENST00000586003</t>
  </si>
  <si>
    <t>ENST00000586742</t>
  </si>
  <si>
    <t>ENST00000586839</t>
  </si>
  <si>
    <t>ENST00000587083</t>
  </si>
  <si>
    <t>ENST00000587393</t>
  </si>
  <si>
    <t>ENST00000590067</t>
  </si>
  <si>
    <t>ENST00000592330</t>
  </si>
  <si>
    <t>ENST00000592414</t>
  </si>
  <si>
    <t>Q08170</t>
  </si>
  <si>
    <t>ENST00000373795</t>
  </si>
  <si>
    <t>ENST00000466448</t>
  </si>
  <si>
    <t>ENST00000477193</t>
  </si>
  <si>
    <t>ENST00000497015</t>
  </si>
  <si>
    <t>Q08211</t>
  </si>
  <si>
    <t>ENST00000367549</t>
  </si>
  <si>
    <t>ENST00000473076</t>
  </si>
  <si>
    <t>ENST00000474446</t>
  </si>
  <si>
    <t>ENST00000477802</t>
  </si>
  <si>
    <t>ENST00000479271</t>
  </si>
  <si>
    <t>ENST00000485081</t>
  </si>
  <si>
    <t>ENST00000490519</t>
  </si>
  <si>
    <t>Q08257</t>
  </si>
  <si>
    <t>ENST00000340866</t>
  </si>
  <si>
    <t>ENST00000370872</t>
  </si>
  <si>
    <t>ENST00000417775</t>
  </si>
  <si>
    <t>ENST00000492102</t>
  </si>
  <si>
    <t>Q08378</t>
  </si>
  <si>
    <t>ENST00000450791</t>
  </si>
  <si>
    <t>ENST00000456883</t>
  </si>
  <si>
    <t>ENST00000534967</t>
  </si>
  <si>
    <t>ENST00000537452</t>
  </si>
  <si>
    <t>ENST00000545875</t>
  </si>
  <si>
    <t>Q08379</t>
  </si>
  <si>
    <t>ENST00000421699</t>
  </si>
  <si>
    <t>ENST00000458730</t>
  </si>
  <si>
    <t>ENST00000461031</t>
  </si>
  <si>
    <t>ENST00000462089</t>
  </si>
  <si>
    <t>ENST00000468488</t>
  </si>
  <si>
    <t>ENST00000470630</t>
  </si>
  <si>
    <t>ENST00000486411</t>
  </si>
  <si>
    <t>ENST00000490257</t>
  </si>
  <si>
    <t>ENST00000490628</t>
  </si>
  <si>
    <t>ENST00000496221</t>
  </si>
  <si>
    <t>ENST00000609374</t>
  </si>
  <si>
    <t>Q08380</t>
  </si>
  <si>
    <t>ENST00000262776</t>
  </si>
  <si>
    <t>ENST00000585407</t>
  </si>
  <si>
    <t>ENST00000586300</t>
  </si>
  <si>
    <t>ENST00000587251</t>
  </si>
  <si>
    <t>ENST00000588205</t>
  </si>
  <si>
    <t>ENST00000588508</t>
  </si>
  <si>
    <t>ENST00000588587</t>
  </si>
  <si>
    <t>ENST00000588899</t>
  </si>
  <si>
    <t>ENST00000588990</t>
  </si>
  <si>
    <t>ENST00000589775</t>
  </si>
  <si>
    <t>ENST00000589906</t>
  </si>
  <si>
    <t>ENST00000591274</t>
  </si>
  <si>
    <t>ENST00000591778</t>
  </si>
  <si>
    <t>ENST00000592255</t>
  </si>
  <si>
    <t>Q08722</t>
  </si>
  <si>
    <t>ENST00000355354</t>
  </si>
  <si>
    <t>ENST00000361309</t>
  </si>
  <si>
    <t>ENST00000398258</t>
  </si>
  <si>
    <t>ENST00000471694</t>
  </si>
  <si>
    <t>ENST00000517766</t>
  </si>
  <si>
    <t>Q08752</t>
  </si>
  <si>
    <t>ENST00000307720</t>
  </si>
  <si>
    <t>ENST00000507213</t>
  </si>
  <si>
    <t>ENST00000512699</t>
  </si>
  <si>
    <t>Q08881</t>
  </si>
  <si>
    <t>ENST00000422843</t>
  </si>
  <si>
    <t>ENST00000517779</t>
  </si>
  <si>
    <t>ENST00000519402</t>
  </si>
  <si>
    <t>ENST00000519749</t>
  </si>
  <si>
    <t>ENST00000519759</t>
  </si>
  <si>
    <t>ENST00000520173</t>
  </si>
  <si>
    <t>ENST00000520555</t>
  </si>
  <si>
    <t>ENST00000522616</t>
  </si>
  <si>
    <t>ENST00000523926</t>
  </si>
  <si>
    <t>Q08945</t>
  </si>
  <si>
    <t>ENST00000278412</t>
  </si>
  <si>
    <t>ENST00000293880</t>
  </si>
  <si>
    <t>Q08999</t>
  </si>
  <si>
    <t>ENST00000262133</t>
  </si>
  <si>
    <t>ENST00000379935</t>
  </si>
  <si>
    <t>ENST00000544545</t>
  </si>
  <si>
    <t>ENST00000561512</t>
  </si>
  <si>
    <t>ENST00000562837</t>
  </si>
  <si>
    <t>ENST00000562850</t>
  </si>
  <si>
    <t>ENST00000564605</t>
  </si>
  <si>
    <t>Q08AF3</t>
  </si>
  <si>
    <t>ENST00000299977</t>
  </si>
  <si>
    <t>ENST00000542451</t>
  </si>
  <si>
    <t>ENST00000592325</t>
  </si>
  <si>
    <t>Q08AM6</t>
  </si>
  <si>
    <t>ENST00000261776</t>
  </si>
  <si>
    <t>ENST00000536184</t>
  </si>
  <si>
    <t>ENST00000561879</t>
  </si>
  <si>
    <t>ENST00000563662</t>
  </si>
  <si>
    <t>ENST00000564512</t>
  </si>
  <si>
    <t>ENST00000564685</t>
  </si>
  <si>
    <t>ENST00000566416</t>
  </si>
  <si>
    <t>ENST00000566655</t>
  </si>
  <si>
    <t>ENST00000568548</t>
  </si>
  <si>
    <t>ENST00000571759</t>
  </si>
  <si>
    <t>Q08AN1</t>
  </si>
  <si>
    <t>ENST00000330123</t>
  </si>
  <si>
    <t>ENST00000596290</t>
  </si>
  <si>
    <t>ENST00000597013</t>
  </si>
  <si>
    <t>ENST00000600228</t>
  </si>
  <si>
    <t>ENST00000600282</t>
  </si>
  <si>
    <t>Q08ET2</t>
  </si>
  <si>
    <t>ENST00000360844</t>
  </si>
  <si>
    <t>Q08J23</t>
  </si>
  <si>
    <t>ENST00000264670</t>
  </si>
  <si>
    <t>ENST00000502932</t>
  </si>
  <si>
    <t>ENST00000505892</t>
  </si>
  <si>
    <t>ENST00000506139</t>
  </si>
  <si>
    <t>ENST00000507888</t>
  </si>
  <si>
    <t>ENST00000513888</t>
  </si>
  <si>
    <t>ENST00000514127</t>
  </si>
  <si>
    <t>Q09161</t>
  </si>
  <si>
    <t>ENST00000375130</t>
  </si>
  <si>
    <t>ENST00000375147</t>
  </si>
  <si>
    <t>ENST00000491445</t>
  </si>
  <si>
    <t>Q09328</t>
  </si>
  <si>
    <t>ENST00000281923</t>
  </si>
  <si>
    <t>ENST00000409645</t>
  </si>
  <si>
    <t>ENST00000468758</t>
  </si>
  <si>
    <t>ENST00000481801</t>
  </si>
  <si>
    <t>ENST00000488365</t>
  </si>
  <si>
    <t>Q09472</t>
  </si>
  <si>
    <t>ENST00000263253</t>
  </si>
  <si>
    <t>Q09666</t>
  </si>
  <si>
    <t>ENST00000257247</t>
  </si>
  <si>
    <t>ENST00000378024</t>
  </si>
  <si>
    <t>Q0PNE2</t>
  </si>
  <si>
    <t>ENST00000296149</t>
  </si>
  <si>
    <t>ENST00000412761</t>
  </si>
  <si>
    <t>ENST00000425291</t>
  </si>
  <si>
    <t>ENST00000442215</t>
  </si>
  <si>
    <t>ENST00000444760</t>
  </si>
  <si>
    <t>ENST00000445044</t>
  </si>
  <si>
    <t>ENST00000460502</t>
  </si>
  <si>
    <t>ENST00000461208</t>
  </si>
  <si>
    <t>ENST00000483205</t>
  </si>
  <si>
    <t>ENST00000485029</t>
  </si>
  <si>
    <t>Q0VDF9</t>
  </si>
  <si>
    <t>ENST00000378372</t>
  </si>
  <si>
    <t>ENST00000437161</t>
  </si>
  <si>
    <t>ENST00000441647</t>
  </si>
  <si>
    <t>ENST00000470430</t>
  </si>
  <si>
    <t>ENST00000493863</t>
  </si>
  <si>
    <t>Q0VGL1</t>
  </si>
  <si>
    <t>ENST00000341942</t>
  </si>
  <si>
    <t>ENST00000441173</t>
  </si>
  <si>
    <t>ENST00000460732</t>
  </si>
  <si>
    <t>ENST00000466498</t>
  </si>
  <si>
    <t>ENST00000468582</t>
  </si>
  <si>
    <t>ENST00000473459</t>
  </si>
  <si>
    <t>ENST00000474831</t>
  </si>
  <si>
    <t>ENST00000488241</t>
  </si>
  <si>
    <t>ENST00000488338</t>
  </si>
  <si>
    <t>ENST00000490633</t>
  </si>
  <si>
    <t>ENST00000494136</t>
  </si>
  <si>
    <t>Q10469</t>
  </si>
  <si>
    <t>ENST00000305386</t>
  </si>
  <si>
    <t>Q10471</t>
  </si>
  <si>
    <t>ENST00000366672</t>
  </si>
  <si>
    <t>ENST00000485438</t>
  </si>
  <si>
    <t>ENST00000488903</t>
  </si>
  <si>
    <t>ENST00000492568</t>
  </si>
  <si>
    <t>Q10472</t>
  </si>
  <si>
    <t>ENST00000269195</t>
  </si>
  <si>
    <t>ENST00000589189</t>
  </si>
  <si>
    <t>ENST00000590654</t>
  </si>
  <si>
    <t>ENST00000591081</t>
  </si>
  <si>
    <t>ENST00000591924</t>
  </si>
  <si>
    <t>Q10570</t>
  </si>
  <si>
    <t>ENST00000526271</t>
  </si>
  <si>
    <t>ENST00000527827</t>
  </si>
  <si>
    <t>ENST00000527916</t>
  </si>
  <si>
    <t>ENST00000529288</t>
  </si>
  <si>
    <t>ENST00000531042</t>
  </si>
  <si>
    <t>ENST00000531480</t>
  </si>
  <si>
    <t>ENST00000531727</t>
  </si>
  <si>
    <t>ENST00000532560</t>
  </si>
  <si>
    <t>ENST00000532725</t>
  </si>
  <si>
    <t>ENST00000533492</t>
  </si>
  <si>
    <t>Q10587</t>
  </si>
  <si>
    <t>ENST00000266304</t>
  </si>
  <si>
    <t>Q10588</t>
  </si>
  <si>
    <t>ENST00000382346</t>
  </si>
  <si>
    <t>Q10589</t>
  </si>
  <si>
    <t>ENST00000252593</t>
  </si>
  <si>
    <t>ENST00000527220</t>
  </si>
  <si>
    <t>ENST00000533098</t>
  </si>
  <si>
    <t>Q10713</t>
  </si>
  <si>
    <t>ENST00000371717</t>
  </si>
  <si>
    <t>ENST00000371720</t>
  </si>
  <si>
    <t>ENST00000399219</t>
  </si>
  <si>
    <t>ENST00000444897</t>
  </si>
  <si>
    <t>ENST00000462616</t>
  </si>
  <si>
    <t>Q11201</t>
  </si>
  <si>
    <t>ENST00000399640</t>
  </si>
  <si>
    <t>ENST00000517668</t>
  </si>
  <si>
    <t>ENST00000518298</t>
  </si>
  <si>
    <t>ENST00000519435</t>
  </si>
  <si>
    <t>ENST00000520020</t>
  </si>
  <si>
    <t>ENST00000521180</t>
  </si>
  <si>
    <t>ENST00000522204</t>
  </si>
  <si>
    <t>ENST00000522285</t>
  </si>
  <si>
    <t>ENST00000522652</t>
  </si>
  <si>
    <t>ENST00000522873</t>
  </si>
  <si>
    <t>ENST00000523854</t>
  </si>
  <si>
    <t>ENST00000523855</t>
  </si>
  <si>
    <t>Q12768</t>
  </si>
  <si>
    <t>ENST00000318410</t>
  </si>
  <si>
    <t>ENST00000519042</t>
  </si>
  <si>
    <t>ENST00000523297</t>
  </si>
  <si>
    <t>ENST00000523397</t>
  </si>
  <si>
    <t>ENST00000530856</t>
  </si>
  <si>
    <t>Q12769</t>
  </si>
  <si>
    <t>ENST00000378460</t>
  </si>
  <si>
    <t>ENST00000526569</t>
  </si>
  <si>
    <t>ENST00000526870</t>
  </si>
  <si>
    <t>ENST00000527126</t>
  </si>
  <si>
    <t>ENST00000527750</t>
  </si>
  <si>
    <t>ENST00000528071</t>
  </si>
  <si>
    <t>ENST00000528501</t>
  </si>
  <si>
    <t>ENST00000531016</t>
  </si>
  <si>
    <t>ENST00000532773</t>
  </si>
  <si>
    <t>Q12774</t>
  </si>
  <si>
    <t>ENST00000056217</t>
  </si>
  <si>
    <t>ENST00000471847</t>
  </si>
  <si>
    <t>ENST00000498580</t>
  </si>
  <si>
    <t>Q12778</t>
  </si>
  <si>
    <t>ENST00000379561</t>
  </si>
  <si>
    <t>ENST00000473775</t>
  </si>
  <si>
    <t>Q12788</t>
  </si>
  <si>
    <t>ENST00000564171</t>
  </si>
  <si>
    <t>ENST00000567615</t>
  </si>
  <si>
    <t>ENST00000568546</t>
  </si>
  <si>
    <t>ENST00000569628</t>
  </si>
  <si>
    <t>ENST00000569792</t>
  </si>
  <si>
    <t>Q12792</t>
  </si>
  <si>
    <t>ENST00000395510</t>
  </si>
  <si>
    <t>ENST00000546506</t>
  </si>
  <si>
    <t>ENST00000546662</t>
  </si>
  <si>
    <t>ENST00000547459</t>
  </si>
  <si>
    <t>ENST00000547564</t>
  </si>
  <si>
    <t>ENST00000547961</t>
  </si>
  <si>
    <t>ENST00000550371</t>
  </si>
  <si>
    <t>ENST00000551789</t>
  </si>
  <si>
    <t>Q12834</t>
  </si>
  <si>
    <t>ENST00000372462</t>
  </si>
  <si>
    <t>Q12846</t>
  </si>
  <si>
    <t>ENST00000313843</t>
  </si>
  <si>
    <t>ENST00000460668</t>
  </si>
  <si>
    <t>ENST00000461455</t>
  </si>
  <si>
    <t>ENST00000468583</t>
  </si>
  <si>
    <t>ENST00000475862</t>
  </si>
  <si>
    <t>ENST00000478150</t>
  </si>
  <si>
    <t>ENST00000486660</t>
  </si>
  <si>
    <t>ENST00000487411</t>
  </si>
  <si>
    <t>ENST00000493902</t>
  </si>
  <si>
    <t>ENST00000496977</t>
  </si>
  <si>
    <t>ENST00000503629</t>
  </si>
  <si>
    <t>ENST00000565483</t>
  </si>
  <si>
    <t>ENST00000566353</t>
  </si>
  <si>
    <t>Q12849</t>
  </si>
  <si>
    <t>ENST00000254799</t>
  </si>
  <si>
    <t>ENST00000499044</t>
  </si>
  <si>
    <t>ENST00000505068</t>
  </si>
  <si>
    <t>ENST00000506453</t>
  </si>
  <si>
    <t>ENST00000514161</t>
  </si>
  <si>
    <t>ENST00000545193</t>
  </si>
  <si>
    <t>Q12872</t>
  </si>
  <si>
    <t>ENST00000261674</t>
  </si>
  <si>
    <t>ENST00000535202</t>
  </si>
  <si>
    <t>ENST00000535236</t>
  </si>
  <si>
    <t>ENST00000535399</t>
  </si>
  <si>
    <t>ENST00000537582</t>
  </si>
  <si>
    <t>ENST00000538548</t>
  </si>
  <si>
    <t>ENST00000539506</t>
  </si>
  <si>
    <t>ENST00000540469</t>
  </si>
  <si>
    <t>ENST00000541286</t>
  </si>
  <si>
    <t>Q12873</t>
  </si>
  <si>
    <t>ENST00000330494</t>
  </si>
  <si>
    <t>ENST00000358181</t>
  </si>
  <si>
    <t>ENST00000380358</t>
  </si>
  <si>
    <t>ENST00000452447</t>
  </si>
  <si>
    <t>ENST00000466233</t>
  </si>
  <si>
    <t>ENST00000470531</t>
  </si>
  <si>
    <t>ENST00000473376</t>
  </si>
  <si>
    <t>ENST00000479080</t>
  </si>
  <si>
    <t>ENST00000481999</t>
  </si>
  <si>
    <t>ENST00000570758</t>
  </si>
  <si>
    <t>ENST00000571249</t>
  </si>
  <si>
    <t>ENST00000572579</t>
  </si>
  <si>
    <t>ENST00000572750</t>
  </si>
  <si>
    <t>ENST00000573936</t>
  </si>
  <si>
    <t>ENST00000574022</t>
  </si>
  <si>
    <t>Q12874</t>
  </si>
  <si>
    <t>ENST00000373019</t>
  </si>
  <si>
    <t>ENST00000460925</t>
  </si>
  <si>
    <t>ENST00000461869</t>
  </si>
  <si>
    <t>ENST00000462258</t>
  </si>
  <si>
    <t>ENST00000470585</t>
  </si>
  <si>
    <t>ENST00000487062</t>
  </si>
  <si>
    <t>ENST00000488934</t>
  </si>
  <si>
    <t>ENST00000489537</t>
  </si>
  <si>
    <t>Q12882</t>
  </si>
  <si>
    <t>ENST00000306031</t>
  </si>
  <si>
    <t>ENST00000370192</t>
  </si>
  <si>
    <t>ENST00000460019</t>
  </si>
  <si>
    <t>ENST00000474241</t>
  </si>
  <si>
    <t>Q12888</t>
  </si>
  <si>
    <t>ENST00000263801</t>
  </si>
  <si>
    <t>ENST00000382039</t>
  </si>
  <si>
    <t>ENST00000382044</t>
  </si>
  <si>
    <t>ENST00000411772</t>
  </si>
  <si>
    <t>ENST00000414758</t>
  </si>
  <si>
    <t>ENST00000417342</t>
  </si>
  <si>
    <t>ENST00000467474</t>
  </si>
  <si>
    <t>ENST00000476454</t>
  </si>
  <si>
    <t>ENST00000480860</t>
  </si>
  <si>
    <t>ENST00000571145</t>
  </si>
  <si>
    <t>ENST00000572085</t>
  </si>
  <si>
    <t>Q12893</t>
  </si>
  <si>
    <t>ENST00000266025</t>
  </si>
  <si>
    <t>Q12899</t>
  </si>
  <si>
    <t>ENST00000416596</t>
  </si>
  <si>
    <t>ENST00000453195</t>
  </si>
  <si>
    <t>ENST00000454678</t>
  </si>
  <si>
    <t>ENST00000480999</t>
  </si>
  <si>
    <t>Q12904</t>
  </si>
  <si>
    <t>ENST00000358008</t>
  </si>
  <si>
    <t>ENST00000394701</t>
  </si>
  <si>
    <t>ENST00000442366</t>
  </si>
  <si>
    <t>ENST00000510207</t>
  </si>
  <si>
    <t>Q12905</t>
  </si>
  <si>
    <t>ENST00000361891</t>
  </si>
  <si>
    <t>ENST00000368681</t>
  </si>
  <si>
    <t>ENST00000368684</t>
  </si>
  <si>
    <t>ENST00000480213</t>
  </si>
  <si>
    <t>Q12907</t>
  </si>
  <si>
    <t>ENST00000303127</t>
  </si>
  <si>
    <t>ENST00000502721</t>
  </si>
  <si>
    <t>ENST00000504071</t>
  </si>
  <si>
    <t>ENST00000513877</t>
  </si>
  <si>
    <t>ENST00000515209</t>
  </si>
  <si>
    <t>Q12913</t>
  </si>
  <si>
    <t>ENST00000418331</t>
  </si>
  <si>
    <t>ENST00000440289</t>
  </si>
  <si>
    <t>ENST00000527026</t>
  </si>
  <si>
    <t>Q12955</t>
  </si>
  <si>
    <t>ENST00000280772</t>
  </si>
  <si>
    <t>ENST00000373827</t>
  </si>
  <si>
    <t>ENST00000459732</t>
  </si>
  <si>
    <t>ENST00000460468</t>
  </si>
  <si>
    <t>ENST00000465749</t>
  </si>
  <si>
    <t>ENST00000469721</t>
  </si>
  <si>
    <t>ENST00000474360</t>
  </si>
  <si>
    <t>ENST00000480699</t>
  </si>
  <si>
    <t>ENST00000486349</t>
  </si>
  <si>
    <t>ENST00000489505</t>
  </si>
  <si>
    <t>ENST00000502769</t>
  </si>
  <si>
    <t>ENST00000508449</t>
  </si>
  <si>
    <t>ENST00000510382</t>
  </si>
  <si>
    <t>ENST00000511043</t>
  </si>
  <si>
    <t>Q12962</t>
  </si>
  <si>
    <t>ENST00000299424</t>
  </si>
  <si>
    <t>ENST00000531760</t>
  </si>
  <si>
    <t>ENST00000532344</t>
  </si>
  <si>
    <t>Q12968</t>
  </si>
  <si>
    <t>ENST00000329524</t>
  </si>
  <si>
    <t>ENST00000346183</t>
  </si>
  <si>
    <t>ENST00000349223</t>
  </si>
  <si>
    <t>ENST00000379165</t>
  </si>
  <si>
    <t>ENST00000539828</t>
  </si>
  <si>
    <t>ENST00000549350</t>
  </si>
  <si>
    <t>ENST00000553077</t>
  </si>
  <si>
    <t>ENST00000561714</t>
  </si>
  <si>
    <t>ENST00000562171</t>
  </si>
  <si>
    <t>ENST00000563319</t>
  </si>
  <si>
    <t>ENST00000565750</t>
  </si>
  <si>
    <t>ENST00000566301</t>
  </si>
  <si>
    <t>ENST00000569766</t>
  </si>
  <si>
    <t>ENST00000575270</t>
  </si>
  <si>
    <t>Q12972</t>
  </si>
  <si>
    <t>ENST00000236412</t>
  </si>
  <si>
    <t>ENST00000311772</t>
  </si>
  <si>
    <t>ENST00000373931</t>
  </si>
  <si>
    <t>ENST00000431586</t>
  </si>
  <si>
    <t>Q12980</t>
  </si>
  <si>
    <t>ENST00000399953</t>
  </si>
  <si>
    <t>ENST00000464069</t>
  </si>
  <si>
    <t>ENST00000468260</t>
  </si>
  <si>
    <t>ENST00000483663</t>
  </si>
  <si>
    <t>Q12981</t>
  </si>
  <si>
    <t>ENST00000231668</t>
  </si>
  <si>
    <t>ENST00000351486</t>
  </si>
  <si>
    <t>ENST00000519459</t>
  </si>
  <si>
    <t>Q12982</t>
  </si>
  <si>
    <t>ENST00000267859</t>
  </si>
  <si>
    <t>ENST00000415213</t>
  </si>
  <si>
    <t>ENST00000439052</t>
  </si>
  <si>
    <t>ENST00000464390</t>
  </si>
  <si>
    <t>ENST00000477543</t>
  </si>
  <si>
    <t>ENST00000478981</t>
  </si>
  <si>
    <t>ENST00000557987</t>
  </si>
  <si>
    <t>ENST00000560458</t>
  </si>
  <si>
    <t>ENST00000560776</t>
  </si>
  <si>
    <t>ENST00000607373</t>
  </si>
  <si>
    <t>Q12986</t>
  </si>
  <si>
    <t>ENST00000318524</t>
  </si>
  <si>
    <t>ENST00000379521</t>
  </si>
  <si>
    <t>ENST00000379540</t>
  </si>
  <si>
    <t>ENST00000466359</t>
  </si>
  <si>
    <t>ENST00000466971</t>
  </si>
  <si>
    <t>Q12996</t>
  </si>
  <si>
    <t>ENST00000323959</t>
  </si>
  <si>
    <t>ENST00000431742</t>
  </si>
  <si>
    <t>ENST00000438862</t>
  </si>
  <si>
    <t>ENST00000524827</t>
  </si>
  <si>
    <t>ENST00000528865</t>
  </si>
  <si>
    <t>Q13011</t>
  </si>
  <si>
    <t>ENST00000221418</t>
  </si>
  <si>
    <t>ENST00000594164</t>
  </si>
  <si>
    <t>ENST00000594391</t>
  </si>
  <si>
    <t>ENST00000595470</t>
  </si>
  <si>
    <t>ENST00000596118</t>
  </si>
  <si>
    <t>ENST00000597089</t>
  </si>
  <si>
    <t>ENST00000598316</t>
  </si>
  <si>
    <t>ENST00000598707</t>
  </si>
  <si>
    <t>ENST00000600178</t>
  </si>
  <si>
    <t>ENST00000601060</t>
  </si>
  <si>
    <t>ENST00000601094</t>
  </si>
  <si>
    <t>ENST00000601333</t>
  </si>
  <si>
    <t>Q13043</t>
  </si>
  <si>
    <t>ENST00000372801</t>
  </si>
  <si>
    <t>ENST00000372806</t>
  </si>
  <si>
    <t>ENST00000474717</t>
  </si>
  <si>
    <t>ENST00000487587</t>
  </si>
  <si>
    <t>ENST00000488618</t>
  </si>
  <si>
    <t>Q13049</t>
  </si>
  <si>
    <t>ENST00000373983</t>
  </si>
  <si>
    <t>ENST00000450136</t>
  </si>
  <si>
    <t>Q13057</t>
  </si>
  <si>
    <t>ENST00000393818</t>
  </si>
  <si>
    <t>ENST00000421097</t>
  </si>
  <si>
    <t>ENST00000588353</t>
  </si>
  <si>
    <t>ENST00000591583</t>
  </si>
  <si>
    <t>ENST00000591753</t>
  </si>
  <si>
    <t>ENST00000591779</t>
  </si>
  <si>
    <t>Q13075</t>
  </si>
  <si>
    <t>ENST00000315147</t>
  </si>
  <si>
    <t>ENST00000447012</t>
  </si>
  <si>
    <t>ENST00000508794</t>
  </si>
  <si>
    <t>ENST00000514857</t>
  </si>
  <si>
    <t>ENST00000517649</t>
  </si>
  <si>
    <t>ENST00000519014</t>
  </si>
  <si>
    <t>Q13077</t>
  </si>
  <si>
    <t>ENST00000373887</t>
  </si>
  <si>
    <t>ENST00000540010</t>
  </si>
  <si>
    <t>ENST00000546084</t>
  </si>
  <si>
    <t>Q13084</t>
  </si>
  <si>
    <t>ENST00000199706</t>
  </si>
  <si>
    <t>ENST00000389675</t>
  </si>
  <si>
    <t>ENST00000447696</t>
  </si>
  <si>
    <t>ENST00000461550</t>
  </si>
  <si>
    <t>ENST00000469744</t>
  </si>
  <si>
    <t>ENST00000481453</t>
  </si>
  <si>
    <t>ENST00000483764</t>
  </si>
  <si>
    <t>Q13094</t>
  </si>
  <si>
    <t>ENST00000046794</t>
  </si>
  <si>
    <t>ENST00000519149</t>
  </si>
  <si>
    <t>ENST00000519594</t>
  </si>
  <si>
    <t>ENST00000520322</t>
  </si>
  <si>
    <t>ENST00000520344</t>
  </si>
  <si>
    <t>ENST00000521416</t>
  </si>
  <si>
    <t>ENST00000522760</t>
  </si>
  <si>
    <t>ENST00000522823</t>
  </si>
  <si>
    <t>ENST00000523369</t>
  </si>
  <si>
    <t>Q13105</t>
  </si>
  <si>
    <t>ENST00000375733</t>
  </si>
  <si>
    <t>ENST00000375743</t>
  </si>
  <si>
    <t>ENST00000440560</t>
  </si>
  <si>
    <t>ENST00000444358</t>
  </si>
  <si>
    <t>ENST00000462525</t>
  </si>
  <si>
    <t>ENST00000472658</t>
  </si>
  <si>
    <t>ENST00000474511</t>
  </si>
  <si>
    <t>ENST00000479282</t>
  </si>
  <si>
    <t>ENST00000487785</t>
  </si>
  <si>
    <t>ENST00000488008</t>
  </si>
  <si>
    <t>ENST00000492834</t>
  </si>
  <si>
    <t>ENST00000494020</t>
  </si>
  <si>
    <t>ENST00000537142</t>
  </si>
  <si>
    <t>Q13111</t>
  </si>
  <si>
    <t>ENST00000301280</t>
  </si>
  <si>
    <t>Q13112</t>
  </si>
  <si>
    <t>ENST00000314103</t>
  </si>
  <si>
    <t>ENST00000481458</t>
  </si>
  <si>
    <t>Q13114</t>
  </si>
  <si>
    <t>ENST00000347662</t>
  </si>
  <si>
    <t>ENST00000351691</t>
  </si>
  <si>
    <t>ENST00000392745</t>
  </si>
  <si>
    <t>ENST00000558700</t>
  </si>
  <si>
    <t>ENST00000558880</t>
  </si>
  <si>
    <t>ENST00000559734</t>
  </si>
  <si>
    <t>ENST00000560371</t>
  </si>
  <si>
    <t>Q13123</t>
  </si>
  <si>
    <t>ENST00000502899</t>
  </si>
  <si>
    <t>ENST00000503332</t>
  </si>
  <si>
    <t>ENST00000508301</t>
  </si>
  <si>
    <t>ENST00000512827</t>
  </si>
  <si>
    <t>ENST00000513256</t>
  </si>
  <si>
    <t>ENST00000515015</t>
  </si>
  <si>
    <t>ENST00000515592</t>
  </si>
  <si>
    <t>ENST00000523672</t>
  </si>
  <si>
    <t>Q13126</t>
  </si>
  <si>
    <t>ENST00000380172</t>
  </si>
  <si>
    <t>ENST00000427788</t>
  </si>
  <si>
    <t>ENST00000484957</t>
  </si>
  <si>
    <t>ENST00000580675</t>
  </si>
  <si>
    <t>ENST00000580900</t>
  </si>
  <si>
    <t>ENST00000581962</t>
  </si>
  <si>
    <t>ENST00000584988</t>
  </si>
  <si>
    <t>Q13127</t>
  </si>
  <si>
    <t>ENST00000309042</t>
  </si>
  <si>
    <t>ENST00000511065</t>
  </si>
  <si>
    <t>Q13129</t>
  </si>
  <si>
    <t>ENST00000372771</t>
  </si>
  <si>
    <t>Q13131</t>
  </si>
  <si>
    <t>ENST00000296800</t>
  </si>
  <si>
    <t>ENST00000354209</t>
  </si>
  <si>
    <t>ENST00000397128</t>
  </si>
  <si>
    <t>ENST00000505783</t>
  </si>
  <si>
    <t>ENST00000506652</t>
  </si>
  <si>
    <t>ENST00000509874</t>
  </si>
  <si>
    <t>ENST00000511248</t>
  </si>
  <si>
    <t>ENST00000513152</t>
  </si>
  <si>
    <t>Q13136</t>
  </si>
  <si>
    <t>ENST00000253925</t>
  </si>
  <si>
    <t>ENST00000389547</t>
  </si>
  <si>
    <t>ENST00000525530</t>
  </si>
  <si>
    <t>ENST00000525922</t>
  </si>
  <si>
    <t>ENST00000526262</t>
  </si>
  <si>
    <t>ENST00000526347</t>
  </si>
  <si>
    <t>ENST00000526369</t>
  </si>
  <si>
    <t>ENST00000527612</t>
  </si>
  <si>
    <t>ENST00000528284</t>
  </si>
  <si>
    <t>ENST00000528750</t>
  </si>
  <si>
    <t>ENST00000530390</t>
  </si>
  <si>
    <t>ENST00000530746</t>
  </si>
  <si>
    <t>ENST00000531657</t>
  </si>
  <si>
    <t>ENST00000532024</t>
  </si>
  <si>
    <t>ENST00000532443</t>
  </si>
  <si>
    <t>ENST00000532793</t>
  </si>
  <si>
    <t>Q13144</t>
  </si>
  <si>
    <t>ENST00000273783</t>
  </si>
  <si>
    <t>ENST00000432569</t>
  </si>
  <si>
    <t>ENST00000465218</t>
  </si>
  <si>
    <t>ENST00000468748</t>
  </si>
  <si>
    <t>ENST00000471832</t>
  </si>
  <si>
    <t>ENST00000479250</t>
  </si>
  <si>
    <t>ENST00000479833</t>
  </si>
  <si>
    <t>ENST00000481054</t>
  </si>
  <si>
    <t>ENST00000484154</t>
  </si>
  <si>
    <t>ENST00000491008</t>
  </si>
  <si>
    <t>ENST00000491144</t>
  </si>
  <si>
    <t>ENST00000492226</t>
  </si>
  <si>
    <t>ENST00000492773</t>
  </si>
  <si>
    <t>ENST00000493740</t>
  </si>
  <si>
    <t>Q13148</t>
  </si>
  <si>
    <t>ENST00000240185</t>
  </si>
  <si>
    <t>ENST00000315091</t>
  </si>
  <si>
    <t>ENST00000439080</t>
  </si>
  <si>
    <t>ENST00000472476</t>
  </si>
  <si>
    <t>ENST00000473869</t>
  </si>
  <si>
    <t>ENST00000476201</t>
  </si>
  <si>
    <t>ENST00000480464</t>
  </si>
  <si>
    <t>Q13151</t>
  </si>
  <si>
    <t>ENST00000314940</t>
  </si>
  <si>
    <t>Q13153</t>
  </si>
  <si>
    <t>ENST00000278568</t>
  </si>
  <si>
    <t>ENST00000526103</t>
  </si>
  <si>
    <t>ENST00000526910</t>
  </si>
  <si>
    <t>ENST00000528633</t>
  </si>
  <si>
    <t>ENST00000530358</t>
  </si>
  <si>
    <t>ENST00000532711</t>
  </si>
  <si>
    <t>ENST00000532991</t>
  </si>
  <si>
    <t>ENST00000533468</t>
  </si>
  <si>
    <t>ENST00000533568</t>
  </si>
  <si>
    <t>Q13155</t>
  </si>
  <si>
    <t>ENST00000223029</t>
  </si>
  <si>
    <t>ENST00000415999</t>
  </si>
  <si>
    <t>Q13158</t>
  </si>
  <si>
    <t>ENST00000301838</t>
  </si>
  <si>
    <t>Q13162</t>
  </si>
  <si>
    <t>ENST00000379331</t>
  </si>
  <si>
    <t>ENST00000379341</t>
  </si>
  <si>
    <t>ENST00000439422</t>
  </si>
  <si>
    <t>Q13164</t>
  </si>
  <si>
    <t>ENST00000308406</t>
  </si>
  <si>
    <t>ENST00000395602</t>
  </si>
  <si>
    <t>ENST00000395604</t>
  </si>
  <si>
    <t>ENST00000490660</t>
  </si>
  <si>
    <t>ENST00000570306</t>
  </si>
  <si>
    <t>ENST00000572716</t>
  </si>
  <si>
    <t>ENST00000572853</t>
  </si>
  <si>
    <t>ENST00000573466</t>
  </si>
  <si>
    <t>Q13177</t>
  </si>
  <si>
    <t>ENST00000327134</t>
  </si>
  <si>
    <t>ENST00000426668</t>
  </si>
  <si>
    <t>ENST00000481344</t>
  </si>
  <si>
    <t>Q13185</t>
  </si>
  <si>
    <t>ENST00000337620</t>
  </si>
  <si>
    <t>ENST00000396386</t>
  </si>
  <si>
    <t>ENST00000409747</t>
  </si>
  <si>
    <t>ENST00000456948</t>
  </si>
  <si>
    <t>ENST00000462165</t>
  </si>
  <si>
    <t>ENST00000481057</t>
  </si>
  <si>
    <t>ENST00000481300</t>
  </si>
  <si>
    <t>ENST00000497498</t>
  </si>
  <si>
    <t>Q13188</t>
  </si>
  <si>
    <t>ENST00000419617</t>
  </si>
  <si>
    <t>ENST00000520440</t>
  </si>
  <si>
    <t>Q13190</t>
  </si>
  <si>
    <t>ENST00000294179</t>
  </si>
  <si>
    <t>ENST00000377897</t>
  </si>
  <si>
    <t>ENST00000394690</t>
  </si>
  <si>
    <t>ENST00000431400</t>
  </si>
  <si>
    <t>ENST00000491231</t>
  </si>
  <si>
    <t>Q13191</t>
  </si>
  <si>
    <t>ENST00000264122</t>
  </si>
  <si>
    <t>ENST00000394030</t>
  </si>
  <si>
    <t>ENST00000403724</t>
  </si>
  <si>
    <t>ENST00000405772</t>
  </si>
  <si>
    <t>ENST00000407712</t>
  </si>
  <si>
    <t>ENST00000447441</t>
  </si>
  <si>
    <t>ENST00000476370</t>
  </si>
  <si>
    <t>Q13200</t>
  </si>
  <si>
    <t>ENST00000310118</t>
  </si>
  <si>
    <t>ENST00000417952</t>
  </si>
  <si>
    <t>ENST00000433010</t>
  </si>
  <si>
    <t>ENST00000459910</t>
  </si>
  <si>
    <t>ENST00000460628</t>
  </si>
  <si>
    <t>ENST00000466987</t>
  </si>
  <si>
    <t>ENST00000473991</t>
  </si>
  <si>
    <t>ENST00000476461</t>
  </si>
  <si>
    <t>ENST00000485937</t>
  </si>
  <si>
    <t>ENST00000487475</t>
  </si>
  <si>
    <t>ENST00000488085</t>
  </si>
  <si>
    <t>ENST00000491149</t>
  </si>
  <si>
    <t>ENST00000491494</t>
  </si>
  <si>
    <t>ENST00000492191</t>
  </si>
  <si>
    <t>ENST00000496925</t>
  </si>
  <si>
    <t>Q13201</t>
  </si>
  <si>
    <t>ENST00000394980</t>
  </si>
  <si>
    <t>ENST00000506328</t>
  </si>
  <si>
    <t>Q13206</t>
  </si>
  <si>
    <t>ENST00000322536</t>
  </si>
  <si>
    <t>ENST00000526794</t>
  </si>
  <si>
    <t>ENST00000533198</t>
  </si>
  <si>
    <t>ENST00000534439</t>
  </si>
  <si>
    <t>ENST00000534774</t>
  </si>
  <si>
    <t>Q13216</t>
  </si>
  <si>
    <t>ENST00000265038</t>
  </si>
  <si>
    <t>ENST00000439176</t>
  </si>
  <si>
    <t>ENST00000462279</t>
  </si>
  <si>
    <t>ENST00000477893</t>
  </si>
  <si>
    <t>ENST00000495985</t>
  </si>
  <si>
    <t>ENST00000497892</t>
  </si>
  <si>
    <t>Q13217</t>
  </si>
  <si>
    <t>ENST00000602402</t>
  </si>
  <si>
    <t>Q13232</t>
  </si>
  <si>
    <t>ENST00000219302</t>
  </si>
  <si>
    <t>ENST00000561637</t>
  </si>
  <si>
    <t>ENST00000563367</t>
  </si>
  <si>
    <t>ENST00000563498</t>
  </si>
  <si>
    <t>ENST00000564252</t>
  </si>
  <si>
    <t>ENST00000564628</t>
  </si>
  <si>
    <t>ENST00000565379</t>
  </si>
  <si>
    <t>ENST00000566600</t>
  </si>
  <si>
    <t>ENST00000567271</t>
  </si>
  <si>
    <t>ENST00000568561</t>
  </si>
  <si>
    <t>Q13233</t>
  </si>
  <si>
    <t>ENST00000399503</t>
  </si>
  <si>
    <t>ENST00000469188</t>
  </si>
  <si>
    <t>Q13242</t>
  </si>
  <si>
    <t>ENST00000229390</t>
  </si>
  <si>
    <t>ENST00000546942</t>
  </si>
  <si>
    <t>ENST00000548326</t>
  </si>
  <si>
    <t>ENST00000548792</t>
  </si>
  <si>
    <t>ENST00000603963</t>
  </si>
  <si>
    <t>Q13243</t>
  </si>
  <si>
    <t>ENST00000394366</t>
  </si>
  <si>
    <t>ENST00000553369</t>
  </si>
  <si>
    <t>ENST00000553521</t>
  </si>
  <si>
    <t>ENST00000553635</t>
  </si>
  <si>
    <t>ENST00000554465</t>
  </si>
  <si>
    <t>ENST00000554929</t>
  </si>
  <si>
    <t>ENST00000555412</t>
  </si>
  <si>
    <t>ENST00000555547</t>
  </si>
  <si>
    <t>ENST00000556184</t>
  </si>
  <si>
    <t>ENST00000556330</t>
  </si>
  <si>
    <t>ENST00000556436</t>
  </si>
  <si>
    <t>ENST00000556587</t>
  </si>
  <si>
    <t>ENST00000557154</t>
  </si>
  <si>
    <t>ENST00000557435</t>
  </si>
  <si>
    <t>ENST00000557460</t>
  </si>
  <si>
    <t>Q13257</t>
  </si>
  <si>
    <t>ENST00000296509</t>
  </si>
  <si>
    <t>ENST00000333047</t>
  </si>
  <si>
    <t>ENST00000511295</t>
  </si>
  <si>
    <t>ENST00000512484</t>
  </si>
  <si>
    <t>Q13263</t>
  </si>
  <si>
    <t>ENST00000253024</t>
  </si>
  <si>
    <t>ENST00000341753</t>
  </si>
  <si>
    <t>ENST00000594806</t>
  </si>
  <si>
    <t>ENST00000595028</t>
  </si>
  <si>
    <t>ENST00000595974</t>
  </si>
  <si>
    <t>ENST00000597136</t>
  </si>
  <si>
    <t>ENST00000597172</t>
  </si>
  <si>
    <t>ENST00000597618</t>
  </si>
  <si>
    <t>ENST00000597968</t>
  </si>
  <si>
    <t>ENST00000597995</t>
  </si>
  <si>
    <t>ENST00000598355</t>
  </si>
  <si>
    <t>ENST00000600840</t>
  </si>
  <si>
    <t>ENST00000601150</t>
  </si>
  <si>
    <t>Q13283</t>
  </si>
  <si>
    <t>ENST00000356245</t>
  </si>
  <si>
    <t>ENST00000394123</t>
  </si>
  <si>
    <t>ENST00000507878</t>
  </si>
  <si>
    <t>ENST00000517947</t>
  </si>
  <si>
    <t>ENST00000518726</t>
  </si>
  <si>
    <t>ENST00000519832</t>
  </si>
  <si>
    <t>ENST00000520006</t>
  </si>
  <si>
    <t>ENST00000522666</t>
  </si>
  <si>
    <t>Q13287</t>
  </si>
  <si>
    <t>ENST00000243346</t>
  </si>
  <si>
    <t>ENST00000477072</t>
  </si>
  <si>
    <t>ENST00000491771</t>
  </si>
  <si>
    <t>Q13303</t>
  </si>
  <si>
    <t>ENST00000341524</t>
  </si>
  <si>
    <t>ENST00000352527</t>
  </si>
  <si>
    <t>ENST00000378083</t>
  </si>
  <si>
    <t>ENST00000378092</t>
  </si>
  <si>
    <t>ENST00000378097</t>
  </si>
  <si>
    <t>ENST00000389632</t>
  </si>
  <si>
    <t>ENST00000428161</t>
  </si>
  <si>
    <t>ENST00000435937</t>
  </si>
  <si>
    <t>ENST00000445501</t>
  </si>
  <si>
    <t>ENST00000458166</t>
  </si>
  <si>
    <t>ENST00000459822</t>
  </si>
  <si>
    <t>ENST00000462676</t>
  </si>
  <si>
    <t>ENST00000472700</t>
  </si>
  <si>
    <t>ENST00000478098</t>
  </si>
  <si>
    <t>ENST00000481789</t>
  </si>
  <si>
    <t>ENST00000493807</t>
  </si>
  <si>
    <t>ENST00000602612</t>
  </si>
  <si>
    <t>Q13315</t>
  </si>
  <si>
    <t>ENST00000278616</t>
  </si>
  <si>
    <t>ENST00000452508</t>
  </si>
  <si>
    <t>ENST00000524792</t>
  </si>
  <si>
    <t>ENST00000525056</t>
  </si>
  <si>
    <t>ENST00000525537</t>
  </si>
  <si>
    <t>ENST00000526567</t>
  </si>
  <si>
    <t>ENST00000527181</t>
  </si>
  <si>
    <t>ENST00000527389</t>
  </si>
  <si>
    <t>ENST00000527805</t>
  </si>
  <si>
    <t>ENST00000530958</t>
  </si>
  <si>
    <t>ENST00000531957</t>
  </si>
  <si>
    <t>ENST00000532931</t>
  </si>
  <si>
    <t>ENST00000533526</t>
  </si>
  <si>
    <t>ENST00000533690</t>
  </si>
  <si>
    <t>ENST00000533733</t>
  </si>
  <si>
    <t>ENST00000533979</t>
  </si>
  <si>
    <t>ENST00000534625</t>
  </si>
  <si>
    <t>ENST00000601453</t>
  </si>
  <si>
    <t>Q13325</t>
  </si>
  <si>
    <t>ENST00000371795</t>
  </si>
  <si>
    <t>Q13347</t>
  </si>
  <si>
    <t>ENST00000373586</t>
  </si>
  <si>
    <t>ENST00000471486</t>
  </si>
  <si>
    <t>ENST00000474371</t>
  </si>
  <si>
    <t>ENST00000489353</t>
  </si>
  <si>
    <t>Q13356</t>
  </si>
  <si>
    <t>ENST00000335025</t>
  </si>
  <si>
    <t>ENST00000398831</t>
  </si>
  <si>
    <t>ENST00000406385</t>
  </si>
  <si>
    <t>ENST00000417788</t>
  </si>
  <si>
    <t>ENST00000446951</t>
  </si>
  <si>
    <t>ENST00000462188</t>
  </si>
  <si>
    <t>ENST00000484439</t>
  </si>
  <si>
    <t>ENST00000496819</t>
  </si>
  <si>
    <t>ENST00000498109</t>
  </si>
  <si>
    <t>ENST00000498589</t>
  </si>
  <si>
    <t>Q13360</t>
  </si>
  <si>
    <t>ENST00000434737</t>
  </si>
  <si>
    <t>ENST00000446085</t>
  </si>
  <si>
    <t>ENST00000605775</t>
  </si>
  <si>
    <t>Q13363</t>
  </si>
  <si>
    <t>ENST00000290921</t>
  </si>
  <si>
    <t>ENST00000382950</t>
  </si>
  <si>
    <t>ENST00000382952</t>
  </si>
  <si>
    <t>ENST00000503594</t>
  </si>
  <si>
    <t>ENST00000504092</t>
  </si>
  <si>
    <t>ENST00000504784</t>
  </si>
  <si>
    <t>ENST00000505826</t>
  </si>
  <si>
    <t>ENST00000510568</t>
  </si>
  <si>
    <t>ENST00000510739</t>
  </si>
  <si>
    <t>ENST00000511907</t>
  </si>
  <si>
    <t>ENST00000513420</t>
  </si>
  <si>
    <t>ENST00000514210</t>
  </si>
  <si>
    <t>ENST00000514495</t>
  </si>
  <si>
    <t>ENST00000514596</t>
  </si>
  <si>
    <t>ENST00000514669</t>
  </si>
  <si>
    <t>Q13371</t>
  </si>
  <si>
    <t>ENST00000259467</t>
  </si>
  <si>
    <t>ENST00000394285</t>
  </si>
  <si>
    <t>Q13395</t>
  </si>
  <si>
    <t>ENST00000040877</t>
  </si>
  <si>
    <t>ENST00000462259</t>
  </si>
  <si>
    <t>ENST00000463793</t>
  </si>
  <si>
    <t>ENST00000468077</t>
  </si>
  <si>
    <t>ENST00000471918</t>
  </si>
  <si>
    <t>ENST00000481183</t>
  </si>
  <si>
    <t>ENST00000483404</t>
  </si>
  <si>
    <t>ENST00000484454</t>
  </si>
  <si>
    <t>ENST00000496673</t>
  </si>
  <si>
    <t>Q13404</t>
  </si>
  <si>
    <t>ENST00000340309</t>
  </si>
  <si>
    <t>ENST00000371674</t>
  </si>
  <si>
    <t>ENST00000396059</t>
  </si>
  <si>
    <t>ENST00000462217</t>
  </si>
  <si>
    <t>ENST00000467839</t>
  </si>
  <si>
    <t>ENST00000470565</t>
  </si>
  <si>
    <t>ENST00000483534</t>
  </si>
  <si>
    <t>ENST00000490555</t>
  </si>
  <si>
    <t>ENST00000493090</t>
  </si>
  <si>
    <t>Q13405</t>
  </si>
  <si>
    <t>ENST00000279242</t>
  </si>
  <si>
    <t>ENST00000524482</t>
  </si>
  <si>
    <t>ENST00000526171</t>
  </si>
  <si>
    <t>ENST00000528529</t>
  </si>
  <si>
    <t>ENST00000531705</t>
  </si>
  <si>
    <t>ENST00000532671</t>
  </si>
  <si>
    <t>ENST00000533943</t>
  </si>
  <si>
    <t>ENST00000534078</t>
  </si>
  <si>
    <t>Q13416</t>
  </si>
  <si>
    <t>ENST00000234296</t>
  </si>
  <si>
    <t>ENST00000457595</t>
  </si>
  <si>
    <t>ENST00000464147</t>
  </si>
  <si>
    <t>ENST00000467605</t>
  </si>
  <si>
    <t>ENST00000487853</t>
  </si>
  <si>
    <t>Q13418</t>
  </si>
  <si>
    <t>ENST00000299421</t>
  </si>
  <si>
    <t>ENST00000396751</t>
  </si>
  <si>
    <t>ENST00000420936</t>
  </si>
  <si>
    <t>ENST00000524735</t>
  </si>
  <si>
    <t>ENST00000526711</t>
  </si>
  <si>
    <t>ENST00000527121</t>
  </si>
  <si>
    <t>ENST00000528784</t>
  </si>
  <si>
    <t>ENST00000528995</t>
  </si>
  <si>
    <t>ENST00000530016</t>
  </si>
  <si>
    <t>ENST00000534565</t>
  </si>
  <si>
    <t>ENST00000534706</t>
  </si>
  <si>
    <t>ENST00000537806</t>
  </si>
  <si>
    <t>Q13422</t>
  </si>
  <si>
    <t>ENST00000331340</t>
  </si>
  <si>
    <t>ENST00000343574</t>
  </si>
  <si>
    <t>ENST00000413698</t>
  </si>
  <si>
    <t>ENST00000438033</t>
  </si>
  <si>
    <t>ENST00000439701</t>
  </si>
  <si>
    <t>ENST00000440768</t>
  </si>
  <si>
    <t>ENST00000462201</t>
  </si>
  <si>
    <t>ENST00000471793</t>
  </si>
  <si>
    <t>ENST00000484847</t>
  </si>
  <si>
    <t>ENST00000492119</t>
  </si>
  <si>
    <t>ENST00000492782</t>
  </si>
  <si>
    <t>Q13423</t>
  </si>
  <si>
    <t>ENST00000264663</t>
  </si>
  <si>
    <t>ENST00000344920</t>
  </si>
  <si>
    <t>ENST00000503651</t>
  </si>
  <si>
    <t>ENST00000506893</t>
  </si>
  <si>
    <t>ENST00000513390</t>
  </si>
  <si>
    <t>ENST00000515208</t>
  </si>
  <si>
    <t>Q13425</t>
  </si>
  <si>
    <t>ENST00000336278</t>
  </si>
  <si>
    <t>ENST00000524887</t>
  </si>
  <si>
    <t>Q13426</t>
  </si>
  <si>
    <t>ENST00000338635</t>
  </si>
  <si>
    <t>ENST00000509268</t>
  </si>
  <si>
    <t>ENST00000542685</t>
  </si>
  <si>
    <t>Q13427</t>
  </si>
  <si>
    <t>ENST00000260970</t>
  </si>
  <si>
    <t>ENST00000414307</t>
  </si>
  <si>
    <t>ENST00000417938</t>
  </si>
  <si>
    <t>ENST00000448752</t>
  </si>
  <si>
    <t>ENST00000462903</t>
  </si>
  <si>
    <t>ENST00000466142</t>
  </si>
  <si>
    <t>ENST00000482772</t>
  </si>
  <si>
    <t>Q13435</t>
  </si>
  <si>
    <t>ENST00000322535</t>
  </si>
  <si>
    <t>ENST00000524475</t>
  </si>
  <si>
    <t>ENST00000524627</t>
  </si>
  <si>
    <t>ENST00000525207</t>
  </si>
  <si>
    <t>ENST00000526653</t>
  </si>
  <si>
    <t>ENST00000528302</t>
  </si>
  <si>
    <t>ENST00000529994</t>
  </si>
  <si>
    <t>ENST00000530322</t>
  </si>
  <si>
    <t>ENST00000530981</t>
  </si>
  <si>
    <t>ENST00000531041</t>
  </si>
  <si>
    <t>ENST00000531589</t>
  </si>
  <si>
    <t>ENST00000533595</t>
  </si>
  <si>
    <t>ENST00000534765</t>
  </si>
  <si>
    <t>Q13442</t>
  </si>
  <si>
    <t>ENST00000350498</t>
  </si>
  <si>
    <t>ENST00000426447</t>
  </si>
  <si>
    <t>ENST00000488214</t>
  </si>
  <si>
    <t>Q13445</t>
  </si>
  <si>
    <t>ENST00000214869</t>
  </si>
  <si>
    <t>ENST00000586835</t>
  </si>
  <si>
    <t>ENST00000588289</t>
  </si>
  <si>
    <t>ENST00000591695</t>
  </si>
  <si>
    <t>Q13451</t>
  </si>
  <si>
    <t>ENST00000357266</t>
  </si>
  <si>
    <t>ENST00000539068</t>
  </si>
  <si>
    <t>ENST00000542713</t>
  </si>
  <si>
    <t>Q13459</t>
  </si>
  <si>
    <t>ENST00000397274</t>
  </si>
  <si>
    <t>ENST00000593411</t>
  </si>
  <si>
    <t>ENST00000594824</t>
  </si>
  <si>
    <t>ENST00000594971</t>
  </si>
  <si>
    <t>ENST00000595618</t>
  </si>
  <si>
    <t>ENST00000595641</t>
  </si>
  <si>
    <t>ENST00000596942</t>
  </si>
  <si>
    <t>ENST00000597073</t>
  </si>
  <si>
    <t>ENST00000597572</t>
  </si>
  <si>
    <t>ENST00000597881</t>
  </si>
  <si>
    <t>ENST00000598101</t>
  </si>
  <si>
    <t>ENST00000598464</t>
  </si>
  <si>
    <t>ENST00000599420</t>
  </si>
  <si>
    <t>ENST00000601490</t>
  </si>
  <si>
    <t>ENST00000601749</t>
  </si>
  <si>
    <t>ENST00000602158</t>
  </si>
  <si>
    <t>ENST00000602177</t>
  </si>
  <si>
    <t>Q13464</t>
  </si>
  <si>
    <t>ENST00000399799</t>
  </si>
  <si>
    <t>ENST00000578051</t>
  </si>
  <si>
    <t>ENST00000582445</t>
  </si>
  <si>
    <t>ENST00000583556</t>
  </si>
  <si>
    <t>ENST00000584687</t>
  </si>
  <si>
    <t>ENST00000584875</t>
  </si>
  <si>
    <t>Q13478</t>
  </si>
  <si>
    <t>ENST00000233957</t>
  </si>
  <si>
    <t>ENST00000334376</t>
  </si>
  <si>
    <t>ENST00000409599</t>
  </si>
  <si>
    <t>ENST00000466357</t>
  </si>
  <si>
    <t>Q13485</t>
  </si>
  <si>
    <t>ENST00000342988</t>
  </si>
  <si>
    <t>ENST00000586253</t>
  </si>
  <si>
    <t>ENST00000588860</t>
  </si>
  <si>
    <t>ENST00000589076</t>
  </si>
  <si>
    <t>ENST00000589706</t>
  </si>
  <si>
    <t>ENST00000589941</t>
  </si>
  <si>
    <t>ENST00000590499</t>
  </si>
  <si>
    <t>ENST00000591126</t>
  </si>
  <si>
    <t>ENST00000591914</t>
  </si>
  <si>
    <t>ENST00000593223</t>
  </si>
  <si>
    <t>Q13488</t>
  </si>
  <si>
    <t>ENST00000265686</t>
  </si>
  <si>
    <t>ENST00000524598</t>
  </si>
  <si>
    <t>ENST00000524870</t>
  </si>
  <si>
    <t>ENST00000525516</t>
  </si>
  <si>
    <t>ENST00000525724</t>
  </si>
  <si>
    <t>ENST00000527530</t>
  </si>
  <si>
    <t>ENST00000528981</t>
  </si>
  <si>
    <t>ENST00000529657</t>
  </si>
  <si>
    <t>ENST00000530449</t>
  </si>
  <si>
    <t>ENST00000533005</t>
  </si>
  <si>
    <t>ENST00000533947</t>
  </si>
  <si>
    <t>ENST00000534673</t>
  </si>
  <si>
    <t>Q13489</t>
  </si>
  <si>
    <t>ENST00000263464</t>
  </si>
  <si>
    <t>ENST00000527309</t>
  </si>
  <si>
    <t>ENST00000527336</t>
  </si>
  <si>
    <t>ENST00000528940</t>
  </si>
  <si>
    <t>ENST00000532808</t>
  </si>
  <si>
    <t>Q13496</t>
  </si>
  <si>
    <t>ENST00000306167</t>
  </si>
  <si>
    <t>ENST00000370393</t>
  </si>
  <si>
    <t>ENST00000370396</t>
  </si>
  <si>
    <t>Q13501</t>
  </si>
  <si>
    <t>ENST00000360718</t>
  </si>
  <si>
    <t>ENST00000389805</t>
  </si>
  <si>
    <t>ENST00000453046</t>
  </si>
  <si>
    <t>ENST00000466342</t>
  </si>
  <si>
    <t>ENST00000485412</t>
  </si>
  <si>
    <t>ENST00000506042</t>
  </si>
  <si>
    <t>ENST00000506690</t>
  </si>
  <si>
    <t>ENST00000512234</t>
  </si>
  <si>
    <t>ENST00000514093</t>
  </si>
  <si>
    <t>Q13505</t>
  </si>
  <si>
    <t>ENST00000316721</t>
  </si>
  <si>
    <t>ENST00000368376</t>
  </si>
  <si>
    <t>ENST00000424959</t>
  </si>
  <si>
    <t>ENST00000481771</t>
  </si>
  <si>
    <t>ENST00000495492</t>
  </si>
  <si>
    <t>ENST00000609421</t>
  </si>
  <si>
    <t>Q13510</t>
  </si>
  <si>
    <t>ENST00000262097</t>
  </si>
  <si>
    <t>ENST00000381733</t>
  </si>
  <si>
    <t>ENST00000517409</t>
  </si>
  <si>
    <t>ENST00000518087</t>
  </si>
  <si>
    <t>ENST00000518746</t>
  </si>
  <si>
    <t>ENST00000521542</t>
  </si>
  <si>
    <t>ENST00000523593</t>
  </si>
  <si>
    <t>ENST00000523744</t>
  </si>
  <si>
    <t>Q13523</t>
  </si>
  <si>
    <t>ENST00000337659</t>
  </si>
  <si>
    <t>ENST00000461612</t>
  </si>
  <si>
    <t>ENST00000466185</t>
  </si>
  <si>
    <t>ENST00000480058</t>
  </si>
  <si>
    <t>ENST00000481109</t>
  </si>
  <si>
    <t>ENST00000490399</t>
  </si>
  <si>
    <t>ENST00000490653</t>
  </si>
  <si>
    <t>ENST00000494674</t>
  </si>
  <si>
    <t>Q13526</t>
  </si>
  <si>
    <t>ENST00000247970</t>
  </si>
  <si>
    <t>ENST00000380889</t>
  </si>
  <si>
    <t>ENST00000585442</t>
  </si>
  <si>
    <t>ENST00000586025</t>
  </si>
  <si>
    <t>ENST00000587625</t>
  </si>
  <si>
    <t>ENST00000589058</t>
  </si>
  <si>
    <t>ENST00000590540</t>
  </si>
  <si>
    <t>Q13541</t>
  </si>
  <si>
    <t>ENST00000338825</t>
  </si>
  <si>
    <t>Q13542</t>
  </si>
  <si>
    <t>ENST00000373218</t>
  </si>
  <si>
    <t>Q13546</t>
  </si>
  <si>
    <t>ENST00000259808</t>
  </si>
  <si>
    <t>ENST00000380409</t>
  </si>
  <si>
    <t>Q13547</t>
  </si>
  <si>
    <t>ENST00000373548</t>
  </si>
  <si>
    <t>ENST00000463172</t>
  </si>
  <si>
    <t>ENST00000471488</t>
  </si>
  <si>
    <t>ENST00000476391</t>
  </si>
  <si>
    <t>ENST00000482310</t>
  </si>
  <si>
    <t>ENST00000490081</t>
  </si>
  <si>
    <t>Q13561</t>
  </si>
  <si>
    <t>ENST00000434715</t>
  </si>
  <si>
    <t>ENST00000543672</t>
  </si>
  <si>
    <t>ENST00000546559</t>
  </si>
  <si>
    <t>ENST00000546965</t>
  </si>
  <si>
    <t>ENST00000547345</t>
  </si>
  <si>
    <t>ENST00000548249</t>
  </si>
  <si>
    <t>ENST00000548736</t>
  </si>
  <si>
    <t>ENST00000550201</t>
  </si>
  <si>
    <t>ENST00000550576</t>
  </si>
  <si>
    <t>ENST00000550750</t>
  </si>
  <si>
    <t>ENST00000550988</t>
  </si>
  <si>
    <t>ENST00000551142</t>
  </si>
  <si>
    <t>ENST00000551400</t>
  </si>
  <si>
    <t>ENST00000551872</t>
  </si>
  <si>
    <t>ENST00000552390</t>
  </si>
  <si>
    <t>Q13573</t>
  </si>
  <si>
    <t>ENST00000261531</t>
  </si>
  <si>
    <t>ENST00000553565</t>
  </si>
  <si>
    <t>ENST00000555761</t>
  </si>
  <si>
    <t>ENST00000556428</t>
  </si>
  <si>
    <t>ENST00000557663</t>
  </si>
  <si>
    <t>Q13576</t>
  </si>
  <si>
    <t>ENST00000274364</t>
  </si>
  <si>
    <t>ENST00000504558</t>
  </si>
  <si>
    <t>ENST00000504815</t>
  </si>
  <si>
    <t>ENST00000508410</t>
  </si>
  <si>
    <t>ENST00000509741</t>
  </si>
  <si>
    <t>ENST00000512256</t>
  </si>
  <si>
    <t>ENST00000514350</t>
  </si>
  <si>
    <t>ENST00000514579</t>
  </si>
  <si>
    <t>Q13586</t>
  </si>
  <si>
    <t>ENST00000300737</t>
  </si>
  <si>
    <t>ENST00000525403</t>
  </si>
  <si>
    <t>ENST00000526156</t>
  </si>
  <si>
    <t>ENST00000526596</t>
  </si>
  <si>
    <t>ENST00000527484</t>
  </si>
  <si>
    <t>ENST00000528656</t>
  </si>
  <si>
    <t>ENST00000531332</t>
  </si>
  <si>
    <t>ENST00000532990</t>
  </si>
  <si>
    <t>ENST00000533343</t>
  </si>
  <si>
    <t>ENST00000533445</t>
  </si>
  <si>
    <t>ENST00000534707</t>
  </si>
  <si>
    <t>Q13588</t>
  </si>
  <si>
    <t>ENST00000284154</t>
  </si>
  <si>
    <t>ENST00000571380</t>
  </si>
  <si>
    <t>ENST00000573099</t>
  </si>
  <si>
    <t>ENST00000583020</t>
  </si>
  <si>
    <t>Q13596</t>
  </si>
  <si>
    <t>ENST00000261889</t>
  </si>
  <si>
    <t>ENST00000380285</t>
  </si>
  <si>
    <t>ENST00000558040</t>
  </si>
  <si>
    <t>ENST00000559389</t>
  </si>
  <si>
    <t>ENST00000559401</t>
  </si>
  <si>
    <t>ENST00000559844</t>
  </si>
  <si>
    <t>ENST00000559961</t>
  </si>
  <si>
    <t>ENST00000560260</t>
  </si>
  <si>
    <t>ENST00000560829</t>
  </si>
  <si>
    <t>ENST00000561026</t>
  </si>
  <si>
    <t>Q13601</t>
  </si>
  <si>
    <t>ENST00000229214</t>
  </si>
  <si>
    <t>ENST00000550023</t>
  </si>
  <si>
    <t>ENST00000551070</t>
  </si>
  <si>
    <t>Q13608</t>
  </si>
  <si>
    <t>ENST00000304611</t>
  </si>
  <si>
    <t>Q13610</t>
  </si>
  <si>
    <t>ENST00000412830</t>
  </si>
  <si>
    <t>ENST00000541166</t>
  </si>
  <si>
    <t>ENST00000547120</t>
  </si>
  <si>
    <t>ENST00000547995</t>
  </si>
  <si>
    <t>ENST00000552760</t>
  </si>
  <si>
    <t>Q13613</t>
  </si>
  <si>
    <t>ENST00000370387</t>
  </si>
  <si>
    <t>ENST00000370390</t>
  </si>
  <si>
    <t>ENST00000445323</t>
  </si>
  <si>
    <t>ENST00000485376</t>
  </si>
  <si>
    <t>ENST00000493480</t>
  </si>
  <si>
    <t>ENST00000493995</t>
  </si>
  <si>
    <t>ENST00000542156</t>
  </si>
  <si>
    <t>Q13616</t>
  </si>
  <si>
    <t>ENST00000325222</t>
  </si>
  <si>
    <t>ENST00000602748</t>
  </si>
  <si>
    <t>Q13617</t>
  </si>
  <si>
    <t>ENST00000374746</t>
  </si>
  <si>
    <t>ENST00000374748</t>
  </si>
  <si>
    <t>ENST00000374749</t>
  </si>
  <si>
    <t>ENST00000374751</t>
  </si>
  <si>
    <t>ENST00000468804</t>
  </si>
  <si>
    <t>Q13619</t>
  </si>
  <si>
    <t>ENST00000375440</t>
  </si>
  <si>
    <t>ENST00000463426</t>
  </si>
  <si>
    <t>ENST00000470067</t>
  </si>
  <si>
    <t>ENST00000474116</t>
  </si>
  <si>
    <t>ENST00000488558</t>
  </si>
  <si>
    <t>ENST00000498562</t>
  </si>
  <si>
    <t>Q13630</t>
  </si>
  <si>
    <t>ENST00000425753</t>
  </si>
  <si>
    <t>ENST00000524719</t>
  </si>
  <si>
    <t>ENST00000526290</t>
  </si>
  <si>
    <t>ENST00000527006</t>
  </si>
  <si>
    <t>ENST00000527549</t>
  </si>
  <si>
    <t>ENST00000527677</t>
  </si>
  <si>
    <t>ENST00000528920</t>
  </si>
  <si>
    <t>ENST00000529064</t>
  </si>
  <si>
    <t>ENST00000529899</t>
  </si>
  <si>
    <t>ENST00000530474</t>
  </si>
  <si>
    <t>ENST00000531006</t>
  </si>
  <si>
    <t>ENST00000531473</t>
  </si>
  <si>
    <t>ENST00000532308</t>
  </si>
  <si>
    <t>Q13637</t>
  </si>
  <si>
    <t>ENST00000367495</t>
  </si>
  <si>
    <t>Q13643</t>
  </si>
  <si>
    <t>ENST00000373016</t>
  </si>
  <si>
    <t>ENST00000475084</t>
  </si>
  <si>
    <t>ENST00000477194</t>
  </si>
  <si>
    <t>ENST00000483132</t>
  </si>
  <si>
    <t>ENST00000485803</t>
  </si>
  <si>
    <t>Q13685</t>
  </si>
  <si>
    <t>ENST00000248450</t>
  </si>
  <si>
    <t>ENST00000420660</t>
  </si>
  <si>
    <t>ENST00000422731</t>
  </si>
  <si>
    <t>ENST00000444053</t>
  </si>
  <si>
    <t>ENST00000461911</t>
  </si>
  <si>
    <t>ENST00000465442</t>
  </si>
  <si>
    <t>ENST00000475678</t>
  </si>
  <si>
    <t>ENST00000489767</t>
  </si>
  <si>
    <t>Q13686</t>
  </si>
  <si>
    <t>ENST00000216489</t>
  </si>
  <si>
    <t>ENST00000554097</t>
  </si>
  <si>
    <t>ENST00000555100</t>
  </si>
  <si>
    <t>ENST00000557057</t>
  </si>
  <si>
    <t>Q13724</t>
  </si>
  <si>
    <t>ENST00000233616</t>
  </si>
  <si>
    <t>ENST00000409065</t>
  </si>
  <si>
    <t>ENST00000448666</t>
  </si>
  <si>
    <t>ENST00000452063</t>
  </si>
  <si>
    <t>ENST00000462189</t>
  </si>
  <si>
    <t>ENST00000486036</t>
  </si>
  <si>
    <t>ENST00000489655</t>
  </si>
  <si>
    <t>Q13761</t>
  </si>
  <si>
    <t>ENST00000308873</t>
  </si>
  <si>
    <t>ENST00000399916</t>
  </si>
  <si>
    <t>ENST00000496967</t>
  </si>
  <si>
    <t>Q13765</t>
  </si>
  <si>
    <t>ENST00000356769</t>
  </si>
  <si>
    <t>ENST00000393891</t>
  </si>
  <si>
    <t>ENST00000454682</t>
  </si>
  <si>
    <t>ENST00000546392</t>
  </si>
  <si>
    <t>ENST00000546410</t>
  </si>
  <si>
    <t>ENST00000546862</t>
  </si>
  <si>
    <t>ENST00000546917</t>
  </si>
  <si>
    <t>ENST00000548084</t>
  </si>
  <si>
    <t>ENST00000548386</t>
  </si>
  <si>
    <t>ENST00000548563</t>
  </si>
  <si>
    <t>ENST00000549259</t>
  </si>
  <si>
    <t>ENST00000550343</t>
  </si>
  <si>
    <t>ENST00000550920</t>
  </si>
  <si>
    <t>ENST00000551520</t>
  </si>
  <si>
    <t>ENST00000551793</t>
  </si>
  <si>
    <t>ENST00000552055</t>
  </si>
  <si>
    <t>Q13769</t>
  </si>
  <si>
    <t>ENST00000358079</t>
  </si>
  <si>
    <t>ENST00000397872</t>
  </si>
  <si>
    <t>ENST00000397873</t>
  </si>
  <si>
    <t>ENST00000442555</t>
  </si>
  <si>
    <t>ENST00000443089</t>
  </si>
  <si>
    <t>ENST00000472164</t>
  </si>
  <si>
    <t>ENST00000475187</t>
  </si>
  <si>
    <t>ENST00000484924</t>
  </si>
  <si>
    <t>ENST00000488052</t>
  </si>
  <si>
    <t>ENST00000490103</t>
  </si>
  <si>
    <t>ENST00000492707</t>
  </si>
  <si>
    <t>Q13795</t>
  </si>
  <si>
    <t>ENST00000424545</t>
  </si>
  <si>
    <t>ENST00000607873</t>
  </si>
  <si>
    <t>ENST00000609537</t>
  </si>
  <si>
    <t>Q13823</t>
  </si>
  <si>
    <t>ENST00000373062</t>
  </si>
  <si>
    <t>ENST00000462812</t>
  </si>
  <si>
    <t>ENST00000463351</t>
  </si>
  <si>
    <t>ENST00000469191</t>
  </si>
  <si>
    <t>ENST00000479255</t>
  </si>
  <si>
    <t>ENST00000488496</t>
  </si>
  <si>
    <t>ENST00000489146</t>
  </si>
  <si>
    <t>ENST00000490029</t>
  </si>
  <si>
    <t>Q13825</t>
  </si>
  <si>
    <t>ENST00000375731</t>
  </si>
  <si>
    <t>ENST00000473695</t>
  </si>
  <si>
    <t>ENST00000478465</t>
  </si>
  <si>
    <t>Q13838</t>
  </si>
  <si>
    <t>ENST00000376177</t>
  </si>
  <si>
    <t>ENST00000396172</t>
  </si>
  <si>
    <t>ENST00000417023</t>
  </si>
  <si>
    <t>ENST00000418897</t>
  </si>
  <si>
    <t>ENST00000419020</t>
  </si>
  <si>
    <t>ENST00000428098</t>
  </si>
  <si>
    <t>ENST00000428450</t>
  </si>
  <si>
    <t>ENST00000431908</t>
  </si>
  <si>
    <t>ENST00000456976</t>
  </si>
  <si>
    <t>ENST00000458640</t>
  </si>
  <si>
    <t>ENST00000462256</t>
  </si>
  <si>
    <t>ENST00000462421</t>
  </si>
  <si>
    <t>ENST00000474961</t>
  </si>
  <si>
    <t>ENST00000478365</t>
  </si>
  <si>
    <t>ENST00000481456</t>
  </si>
  <si>
    <t>ENST00000482195</t>
  </si>
  <si>
    <t>ENST00000484566</t>
  </si>
  <si>
    <t>Q13867</t>
  </si>
  <si>
    <t>ENST00000261714</t>
  </si>
  <si>
    <t>ENST00000577306</t>
  </si>
  <si>
    <t>ENST00000577623</t>
  </si>
  <si>
    <t>ENST00000578795</t>
  </si>
  <si>
    <t>ENST00000579325</t>
  </si>
  <si>
    <t>ENST00000579957</t>
  </si>
  <si>
    <t>ENST00000581037</t>
  </si>
  <si>
    <t>ENST00000582669</t>
  </si>
  <si>
    <t>ENST00000582749</t>
  </si>
  <si>
    <t>ENST00000584603</t>
  </si>
  <si>
    <t>Q13884</t>
  </si>
  <si>
    <t>ENST00000517992</t>
  </si>
  <si>
    <t>ENST00000519177</t>
  </si>
  <si>
    <t>Q13885</t>
  </si>
  <si>
    <t>ENST00000333628</t>
  </si>
  <si>
    <t>ENST00000489942</t>
  </si>
  <si>
    <t>Q13889</t>
  </si>
  <si>
    <t>ENST00000537368</t>
  </si>
  <si>
    <t>ENST00000537695</t>
  </si>
  <si>
    <t>ENST00000539429</t>
  </si>
  <si>
    <t>ENST00000542279</t>
  </si>
  <si>
    <t>ENST00000543005</t>
  </si>
  <si>
    <t>ENST00000543154</t>
  </si>
  <si>
    <t>ENST00000543341</t>
  </si>
  <si>
    <t>ENST00000543415</t>
  </si>
  <si>
    <t>Q13895</t>
  </si>
  <si>
    <t>ENST00000230340</t>
  </si>
  <si>
    <t>ENST00000372996</t>
  </si>
  <si>
    <t>ENST00000475702</t>
  </si>
  <si>
    <t>ENST00000489290</t>
  </si>
  <si>
    <t>ENST00000494032</t>
  </si>
  <si>
    <t>Q13901</t>
  </si>
  <si>
    <t>ENST00000355848</t>
  </si>
  <si>
    <t>ENST00000407324</t>
  </si>
  <si>
    <t>ENST00000409302</t>
  </si>
  <si>
    <t>ENST00000410067</t>
  </si>
  <si>
    <t>ENST00000479484</t>
  </si>
  <si>
    <t>ENST00000485709</t>
  </si>
  <si>
    <t>Q13907</t>
  </si>
  <si>
    <t>ENST00000381344</t>
  </si>
  <si>
    <t>ENST00000427898</t>
  </si>
  <si>
    <t>ENST00000429642</t>
  </si>
  <si>
    <t>ENST00000482091</t>
  </si>
  <si>
    <t>ENST00000491735</t>
  </si>
  <si>
    <t>Q13951</t>
  </si>
  <si>
    <t>ENST00000290858</t>
  </si>
  <si>
    <t>ENST00000412916</t>
  </si>
  <si>
    <t>ENST00000563939</t>
  </si>
  <si>
    <t>ENST00000564034</t>
  </si>
  <si>
    <t>ENST00000566281</t>
  </si>
  <si>
    <t>ENST00000567947</t>
  </si>
  <si>
    <t>ENST00000568858</t>
  </si>
  <si>
    <t>Q14004</t>
  </si>
  <si>
    <t>ENST00000181839</t>
  </si>
  <si>
    <t>ENST00000340829</t>
  </si>
  <si>
    <t>ENST00000465643</t>
  </si>
  <si>
    <t>ENST00000478563</t>
  </si>
  <si>
    <t>ENST00000484589</t>
  </si>
  <si>
    <t>Q14008</t>
  </si>
  <si>
    <t>ENST00000525896</t>
  </si>
  <si>
    <t>ENST00000528593</t>
  </si>
  <si>
    <t>ENST00000529230</t>
  </si>
  <si>
    <t>ENST00000533413</t>
  </si>
  <si>
    <t>Q14011</t>
  </si>
  <si>
    <t>ENST00000320936</t>
  </si>
  <si>
    <t>ENST00000413636</t>
  </si>
  <si>
    <t>ENST00000585630</t>
  </si>
  <si>
    <t>ENST00000585914</t>
  </si>
  <si>
    <t>ENST00000586472</t>
  </si>
  <si>
    <t>ENST00000586555</t>
  </si>
  <si>
    <t>ENST00000586636</t>
  </si>
  <si>
    <t>ENST00000586773</t>
  </si>
  <si>
    <t>ENST00000587169</t>
  </si>
  <si>
    <t>ENST00000587323</t>
  </si>
  <si>
    <t>ENST00000587896</t>
  </si>
  <si>
    <t>ENST00000588090</t>
  </si>
  <si>
    <t>ENST00000588230</t>
  </si>
  <si>
    <t>ENST00000588344</t>
  </si>
  <si>
    <t>ENST00000588411</t>
  </si>
  <si>
    <t>ENST00000588917</t>
  </si>
  <si>
    <t>ENST00000589161</t>
  </si>
  <si>
    <t>ENST00000589235</t>
  </si>
  <si>
    <t>ENST00000589266</t>
  </si>
  <si>
    <t>ENST00000589686</t>
  </si>
  <si>
    <t>ENST00000589710</t>
  </si>
  <si>
    <t>ENST00000590188</t>
  </si>
  <si>
    <t>ENST00000590347</t>
  </si>
  <si>
    <t>ENST00000590704</t>
  </si>
  <si>
    <t>ENST00000591055</t>
  </si>
  <si>
    <t>ENST00000591097</t>
  </si>
  <si>
    <t>ENST00000591376</t>
  </si>
  <si>
    <t>ENST00000591659</t>
  </si>
  <si>
    <t>ENST00000591935</t>
  </si>
  <si>
    <t>ENST00000592051</t>
  </si>
  <si>
    <t>ENST00000592412</t>
  </si>
  <si>
    <t>ENST00000592815</t>
  </si>
  <si>
    <t>ENST00000593048</t>
  </si>
  <si>
    <t>ENST00000593093</t>
  </si>
  <si>
    <t>ENST00000593128</t>
  </si>
  <si>
    <t>ENST00000593283</t>
  </si>
  <si>
    <t>Q14012</t>
  </si>
  <si>
    <t>ENST00000256460</t>
  </si>
  <si>
    <t>ENST00000421120</t>
  </si>
  <si>
    <t>ENST00000482803</t>
  </si>
  <si>
    <t>ENST00000496534</t>
  </si>
  <si>
    <t>Q14019</t>
  </si>
  <si>
    <t>ENST00000262428</t>
  </si>
  <si>
    <t>ENST00000561707</t>
  </si>
  <si>
    <t>ENST00000564662</t>
  </si>
  <si>
    <t>ENST00000567278</t>
  </si>
  <si>
    <t>ENST00000567786</t>
  </si>
  <si>
    <t>Q14061</t>
  </si>
  <si>
    <t>ENST00000261070</t>
  </si>
  <si>
    <t>ENST00000468918</t>
  </si>
  <si>
    <t>ENST00000484810</t>
  </si>
  <si>
    <t>ENST00000490145</t>
  </si>
  <si>
    <t>ENST00000497116</t>
  </si>
  <si>
    <t>ENST00000497997</t>
  </si>
  <si>
    <t>Q14088</t>
  </si>
  <si>
    <t>ENST00000257017</t>
  </si>
  <si>
    <t>Q14108</t>
  </si>
  <si>
    <t>ENST00000264896</t>
  </si>
  <si>
    <t>ENST00000502908</t>
  </si>
  <si>
    <t>ENST00000511129</t>
  </si>
  <si>
    <t>Q14118</t>
  </si>
  <si>
    <t>ENST00000308775</t>
  </si>
  <si>
    <t>ENST00000428779</t>
  </si>
  <si>
    <t>ENST00000475424</t>
  </si>
  <si>
    <t>ENST00000479935</t>
  </si>
  <si>
    <t>ENST00000539901</t>
  </si>
  <si>
    <t>Q14119</t>
  </si>
  <si>
    <t>ENST00000258963</t>
  </si>
  <si>
    <t>ENST00000581208</t>
  </si>
  <si>
    <t>ENST00000583932</t>
  </si>
  <si>
    <t>ENST00000584396</t>
  </si>
  <si>
    <t>Q14139</t>
  </si>
  <si>
    <t>ENST00000252108</t>
  </si>
  <si>
    <t>ENST00000431736</t>
  </si>
  <si>
    <t>ENST00000545354</t>
  </si>
  <si>
    <t>Q14142</t>
  </si>
  <si>
    <t>ENST00000341469</t>
  </si>
  <si>
    <t>ENST00000375098</t>
  </si>
  <si>
    <t>ENST00000475147</t>
  </si>
  <si>
    <t>Q14145</t>
  </si>
  <si>
    <t>ENST00000171111</t>
  </si>
  <si>
    <t>ENST00000393623</t>
  </si>
  <si>
    <t>ENST00000590237</t>
  </si>
  <si>
    <t>ENST00000590593</t>
  </si>
  <si>
    <t>ENST00000591039</t>
  </si>
  <si>
    <t>ENST00000591419</t>
  </si>
  <si>
    <t>ENST00000592055</t>
  </si>
  <si>
    <t>ENST00000592478</t>
  </si>
  <si>
    <t>Q14146</t>
  </si>
  <si>
    <t>ENST00000258243</t>
  </si>
  <si>
    <t>ENST00000434387</t>
  </si>
  <si>
    <t>Q14149</t>
  </si>
  <si>
    <t>ENST00000400485</t>
  </si>
  <si>
    <t>ENST00000484028</t>
  </si>
  <si>
    <t>ENST00000485299</t>
  </si>
  <si>
    <t>ENST00000485933</t>
  </si>
  <si>
    <t>ENST00000492336</t>
  </si>
  <si>
    <t>ENST00000549948</t>
  </si>
  <si>
    <t>Q14151</t>
  </si>
  <si>
    <t>ENST00000252542</t>
  </si>
  <si>
    <t>ENST00000585449</t>
  </si>
  <si>
    <t>ENST00000589925</t>
  </si>
  <si>
    <t>ENST00000590000</t>
  </si>
  <si>
    <t>ENST00000590262</t>
  </si>
  <si>
    <t>ENST00000591101</t>
  </si>
  <si>
    <t>ENST00000591120</t>
  </si>
  <si>
    <t>ENST00000591123</t>
  </si>
  <si>
    <t>ENST00000591310</t>
  </si>
  <si>
    <t>ENST00000592599</t>
  </si>
  <si>
    <t>Q14152</t>
  </si>
  <si>
    <t>ENST00000369144</t>
  </si>
  <si>
    <t>ENST00000462527</t>
  </si>
  <si>
    <t>ENST00000541549</t>
  </si>
  <si>
    <t>Q14157</t>
  </si>
  <si>
    <t>ENST00000271877</t>
  </si>
  <si>
    <t>ENST00000343815</t>
  </si>
  <si>
    <t>ENST00000361546</t>
  </si>
  <si>
    <t>ENST00000368504</t>
  </si>
  <si>
    <t>ENST00000428595</t>
  </si>
  <si>
    <t>ENST00000428931</t>
  </si>
  <si>
    <t>ENST00000433615</t>
  </si>
  <si>
    <t>ENST00000437652</t>
  </si>
  <si>
    <t>ENST00000441890</t>
  </si>
  <si>
    <t>ENST00000456325</t>
  </si>
  <si>
    <t>ENST00000465855</t>
  </si>
  <si>
    <t>ENST00000466173</t>
  </si>
  <si>
    <t>ENST00000475373</t>
  </si>
  <si>
    <t>ENST00000484696</t>
  </si>
  <si>
    <t>ENST00000484819</t>
  </si>
  <si>
    <t>ENST00000489076</t>
  </si>
  <si>
    <t>ENST00000493867</t>
  </si>
  <si>
    <t>ENST00000495676</t>
  </si>
  <si>
    <t>Q14160</t>
  </si>
  <si>
    <t>ENST00000320476</t>
  </si>
  <si>
    <t>ENST00000356994</t>
  </si>
  <si>
    <t>ENST00000525051</t>
  </si>
  <si>
    <t>ENST00000526832</t>
  </si>
  <si>
    <t>ENST00000531163</t>
  </si>
  <si>
    <t>ENST00000531942</t>
  </si>
  <si>
    <t>ENST00000546337</t>
  </si>
  <si>
    <t>Q14165</t>
  </si>
  <si>
    <t>ENST00000228506</t>
  </si>
  <si>
    <t>ENST00000412616</t>
  </si>
  <si>
    <t>ENST00000535413</t>
  </si>
  <si>
    <t>ENST00000535656</t>
  </si>
  <si>
    <t>ENST00000545525</t>
  </si>
  <si>
    <t>Q14166</t>
  </si>
  <si>
    <t>ENST00000216129</t>
  </si>
  <si>
    <t>ENST00000484118</t>
  </si>
  <si>
    <t>ENST00000484711</t>
  </si>
  <si>
    <t>ENST00000494035</t>
  </si>
  <si>
    <t>Q14181</t>
  </si>
  <si>
    <t>ENST00000265465</t>
  </si>
  <si>
    <t>ENST00000525924</t>
  </si>
  <si>
    <t>ENST00000527618</t>
  </si>
  <si>
    <t>ENST00000527850</t>
  </si>
  <si>
    <t>ENST00000532391</t>
  </si>
  <si>
    <t>ENST00000532469</t>
  </si>
  <si>
    <t>ENST00000533192</t>
  </si>
  <si>
    <t>ENST00000534785</t>
  </si>
  <si>
    <t>Q14191</t>
  </si>
  <si>
    <t>ENST00000298139</t>
  </si>
  <si>
    <t>ENST00000520169</t>
  </si>
  <si>
    <t>ENST00000521620</t>
  </si>
  <si>
    <t>Q14197</t>
  </si>
  <si>
    <t>ENST00000301585</t>
  </si>
  <si>
    <t>ENST00000580800</t>
  </si>
  <si>
    <t>ENST00000583772</t>
  </si>
  <si>
    <t>ENST00000584208</t>
  </si>
  <si>
    <t>Q14204</t>
  </si>
  <si>
    <t>ENST00000360184</t>
  </si>
  <si>
    <t>ENST00000553423</t>
  </si>
  <si>
    <t>ENST00000554854</t>
  </si>
  <si>
    <t>ENST00000555062</t>
  </si>
  <si>
    <t>ENST00000555102</t>
  </si>
  <si>
    <t>ENST00000555800</t>
  </si>
  <si>
    <t>ENST00000556139</t>
  </si>
  <si>
    <t>ENST00000556229</t>
  </si>
  <si>
    <t>ENST00000556499</t>
  </si>
  <si>
    <t>ENST00000556791</t>
  </si>
  <si>
    <t>Q14207</t>
  </si>
  <si>
    <t>ENST00000278612</t>
  </si>
  <si>
    <t>ENST00000527296</t>
  </si>
  <si>
    <t>ENST00000530859</t>
  </si>
  <si>
    <t>ENST00000530926</t>
  </si>
  <si>
    <t>ENST00000531384</t>
  </si>
  <si>
    <t>ENST00000610253</t>
  </si>
  <si>
    <t>Q14232</t>
  </si>
  <si>
    <t>ENST00000424014</t>
  </si>
  <si>
    <t>ENST00000452159</t>
  </si>
  <si>
    <t>ENST00000537073</t>
  </si>
  <si>
    <t>ENST00000539951</t>
  </si>
  <si>
    <t>ENST00000543940</t>
  </si>
  <si>
    <t>Q14241</t>
  </si>
  <si>
    <t>ENST00000418390</t>
  </si>
  <si>
    <t>ENST00000487554</t>
  </si>
  <si>
    <t>ENST00000609199</t>
  </si>
  <si>
    <t>Q14242</t>
  </si>
  <si>
    <t>ENST00000228463</t>
  </si>
  <si>
    <t>ENST00000388962</t>
  </si>
  <si>
    <t>ENST00000550948</t>
  </si>
  <si>
    <t>Q14247</t>
  </si>
  <si>
    <t>ENST00000301843</t>
  </si>
  <si>
    <t>ENST00000525276</t>
  </si>
  <si>
    <t>ENST00000525852</t>
  </si>
  <si>
    <t>ENST00000532334</t>
  </si>
  <si>
    <t>Q14249</t>
  </si>
  <si>
    <t>ENST00000372642</t>
  </si>
  <si>
    <t>Q14254</t>
  </si>
  <si>
    <t>ENST00000394906</t>
  </si>
  <si>
    <t>ENST00000394908</t>
  </si>
  <si>
    <t>ENST00000465427</t>
  </si>
  <si>
    <t>ENST00000580313</t>
  </si>
  <si>
    <t>ENST00000580805</t>
  </si>
  <si>
    <t>ENST00000581509</t>
  </si>
  <si>
    <t>ENST00000582174</t>
  </si>
  <si>
    <t>ENST00000584569</t>
  </si>
  <si>
    <t>ENST00000585169</t>
  </si>
  <si>
    <t>ENST00000593158</t>
  </si>
  <si>
    <t>Q14257</t>
  </si>
  <si>
    <t>ENST00000320963</t>
  </si>
  <si>
    <t>ENST00000394885</t>
  </si>
  <si>
    <t>ENST00000557805</t>
  </si>
  <si>
    <t>ENST00000558598</t>
  </si>
  <si>
    <t>ENST00000560833</t>
  </si>
  <si>
    <t>Q14258</t>
  </si>
  <si>
    <t>ENST00000316881</t>
  </si>
  <si>
    <t>ENST00000570473</t>
  </si>
  <si>
    <t>ENST00000570749</t>
  </si>
  <si>
    <t>ENST00000572021</t>
  </si>
  <si>
    <t>ENST00000572550</t>
  </si>
  <si>
    <t>ENST00000574997</t>
  </si>
  <si>
    <t>Q14314</t>
  </si>
  <si>
    <t>ENST00000248598</t>
  </si>
  <si>
    <t>Q14320</t>
  </si>
  <si>
    <t>ENST00000158526</t>
  </si>
  <si>
    <t>ENST00000393600</t>
  </si>
  <si>
    <t>ENST00000464419</t>
  </si>
  <si>
    <t>ENST00000478509</t>
  </si>
  <si>
    <t>ENST00000481619</t>
  </si>
  <si>
    <t>ENST00000490480</t>
  </si>
  <si>
    <t>ENST00000494278</t>
  </si>
  <si>
    <t>Q14331</t>
  </si>
  <si>
    <t>ENST00000226798</t>
  </si>
  <si>
    <t>ENST00000505327</t>
  </si>
  <si>
    <t>ENST00000507103</t>
  </si>
  <si>
    <t>ENST00000514482</t>
  </si>
  <si>
    <t>ENST00000524583</t>
  </si>
  <si>
    <t>Q14344</t>
  </si>
  <si>
    <t>ENST00000439174</t>
  </si>
  <si>
    <t>ENST00000541118</t>
  </si>
  <si>
    <t>Q14353</t>
  </si>
  <si>
    <t>ENST00000252288</t>
  </si>
  <si>
    <t>ENST00000447102</t>
  </si>
  <si>
    <t>ENST00000591788</t>
  </si>
  <si>
    <t>Q14376</t>
  </si>
  <si>
    <t>ENST00000374497</t>
  </si>
  <si>
    <t>ENST00000418277</t>
  </si>
  <si>
    <t>ENST00000429356</t>
  </si>
  <si>
    <t>ENST00000445705</t>
  </si>
  <si>
    <t>ENST00000456977</t>
  </si>
  <si>
    <t>ENST00000459934</t>
  </si>
  <si>
    <t>ENST00000466250</t>
  </si>
  <si>
    <t>ENST00000469556</t>
  </si>
  <si>
    <t>ENST00000470383</t>
  </si>
  <si>
    <t>ENST00000481736</t>
  </si>
  <si>
    <t>ENST00000486382</t>
  </si>
  <si>
    <t>Q14457</t>
  </si>
  <si>
    <t>ENST00000361523</t>
  </si>
  <si>
    <t>ENST00000438274</t>
  </si>
  <si>
    <t>ENST00000543382</t>
  </si>
  <si>
    <t>ENST00000585515</t>
  </si>
  <si>
    <t>ENST00000586589</t>
  </si>
  <si>
    <t>ENST00000586754</t>
  </si>
  <si>
    <t>ENST00000587880</t>
  </si>
  <si>
    <t>ENST00000588276</t>
  </si>
  <si>
    <t>ENST00000589492</t>
  </si>
  <si>
    <t>ENST00000589493</t>
  </si>
  <si>
    <t>ENST00000589663</t>
  </si>
  <si>
    <t>ENST00000590099</t>
  </si>
  <si>
    <t>ENST00000590185</t>
  </si>
  <si>
    <t>ENST00000590852</t>
  </si>
  <si>
    <t>ENST00000591085</t>
  </si>
  <si>
    <t>ENST00000591307</t>
  </si>
  <si>
    <t>ENST00000593112</t>
  </si>
  <si>
    <t>ENST00000593205</t>
  </si>
  <si>
    <t>Q14493</t>
  </si>
  <si>
    <t>ENST00000318386</t>
  </si>
  <si>
    <t>ENST00000429429</t>
  </si>
  <si>
    <t>ENST00000483348</t>
  </si>
  <si>
    <t>ENST00000488267</t>
  </si>
  <si>
    <t>ENST00000489418</t>
  </si>
  <si>
    <t>Q14527</t>
  </si>
  <si>
    <t>ENST00000310053</t>
  </si>
  <si>
    <t>ENST00000465259</t>
  </si>
  <si>
    <t>ENST00000472830</t>
  </si>
  <si>
    <t>ENST00000497427</t>
  </si>
  <si>
    <t>Q14534</t>
  </si>
  <si>
    <t>ENST00000265896</t>
  </si>
  <si>
    <t>ENST00000518604</t>
  </si>
  <si>
    <t>ENST00000518931</t>
  </si>
  <si>
    <t>ENST00000520493</t>
  </si>
  <si>
    <t>ENST00000521232</t>
  </si>
  <si>
    <t>ENST00000523430</t>
  </si>
  <si>
    <t>Q14554</t>
  </si>
  <si>
    <t>ENST00000316218</t>
  </si>
  <si>
    <t>ENST00000467157</t>
  </si>
  <si>
    <t>ENST00000472319</t>
  </si>
  <si>
    <t>ENST00000485208</t>
  </si>
  <si>
    <t>ENST00000495004</t>
  </si>
  <si>
    <t>Q14562</t>
  </si>
  <si>
    <t>ENST00000262415</t>
  </si>
  <si>
    <t>ENST00000540306</t>
  </si>
  <si>
    <t>ENST00000587044</t>
  </si>
  <si>
    <t>ENST00000589898</t>
  </si>
  <si>
    <t>ENST00000592258</t>
  </si>
  <si>
    <t>ENST00000605777</t>
  </si>
  <si>
    <t>Q14566</t>
  </si>
  <si>
    <t>ENST00000264156</t>
  </si>
  <si>
    <t>ENST00000483902</t>
  </si>
  <si>
    <t>Q14571</t>
  </si>
  <si>
    <t>ENST00000381340</t>
  </si>
  <si>
    <t>ENST00000451599</t>
  </si>
  <si>
    <t>ENST00000536627</t>
  </si>
  <si>
    <t>ENST00000538984</t>
  </si>
  <si>
    <t>ENST00000540429</t>
  </si>
  <si>
    <t>ENST00000540791</t>
  </si>
  <si>
    <t>ENST00000543958</t>
  </si>
  <si>
    <t>Q14573</t>
  </si>
  <si>
    <t>ENST00000374316</t>
  </si>
  <si>
    <t>ENST00000605930</t>
  </si>
  <si>
    <t>Q14586</t>
  </si>
  <si>
    <t>ENST00000300870</t>
  </si>
  <si>
    <t>ENST00000394846</t>
  </si>
  <si>
    <t>ENST00000561814</t>
  </si>
  <si>
    <t>ENST00000575471</t>
  </si>
  <si>
    <t>Q14644</t>
  </si>
  <si>
    <t>ENST00000334062</t>
  </si>
  <si>
    <t>ENST00000542651</t>
  </si>
  <si>
    <t>Q14651</t>
  </si>
  <si>
    <t>ENST00000460104</t>
  </si>
  <si>
    <t>Q14653</t>
  </si>
  <si>
    <t>ENST00000309877</t>
  </si>
  <si>
    <t>ENST00000377135</t>
  </si>
  <si>
    <t>ENST00000377139</t>
  </si>
  <si>
    <t>ENST00000442265</t>
  </si>
  <si>
    <t>ENST00000593818</t>
  </si>
  <si>
    <t>ENST00000593922</t>
  </si>
  <si>
    <t>ENST00000594387</t>
  </si>
  <si>
    <t>ENST00000595240</t>
  </si>
  <si>
    <t>ENST00000596644</t>
  </si>
  <si>
    <t>ENST00000596788</t>
  </si>
  <si>
    <t>ENST00000597180</t>
  </si>
  <si>
    <t>ENST00000597369</t>
  </si>
  <si>
    <t>ENST00000597636</t>
  </si>
  <si>
    <t>ENST00000598808</t>
  </si>
  <si>
    <t>ENST00000599223</t>
  </si>
  <si>
    <t>ENST00000599680</t>
  </si>
  <si>
    <t>ENST00000600911</t>
  </si>
  <si>
    <t>ENST00000601291</t>
  </si>
  <si>
    <t>Q14657</t>
  </si>
  <si>
    <t>ENST00000357360</t>
  </si>
  <si>
    <t>Q14671</t>
  </si>
  <si>
    <t>ENST00000257075</t>
  </si>
  <si>
    <t>ENST00000373747</t>
  </si>
  <si>
    <t>ENST00000426105</t>
  </si>
  <si>
    <t>ENST00000440538</t>
  </si>
  <si>
    <t>ENST00000471894</t>
  </si>
  <si>
    <t>ENST00000480602</t>
  </si>
  <si>
    <t>ENST00000490546</t>
  </si>
  <si>
    <t>ENST00000498419</t>
  </si>
  <si>
    <t>ENST00000498627</t>
  </si>
  <si>
    <t>ENST00000524516</t>
  </si>
  <si>
    <t>ENST00000525843</t>
  </si>
  <si>
    <t>ENST00000525948</t>
  </si>
  <si>
    <t>ENST00000525997</t>
  </si>
  <si>
    <t>ENST00000526128</t>
  </si>
  <si>
    <t>ENST00000529846</t>
  </si>
  <si>
    <t>ENST00000530669</t>
  </si>
  <si>
    <t>ENST00000532678</t>
  </si>
  <si>
    <t>Q14676</t>
  </si>
  <si>
    <t>ENST00000376406</t>
  </si>
  <si>
    <t>ENST00000416571</t>
  </si>
  <si>
    <t>ENST00000417033</t>
  </si>
  <si>
    <t>ENST00000422266</t>
  </si>
  <si>
    <t>ENST00000489540</t>
  </si>
  <si>
    <t>ENST00000492462</t>
  </si>
  <si>
    <t>ENST00000494654</t>
  </si>
  <si>
    <t>Q14677</t>
  </si>
  <si>
    <t>ENST00000411809</t>
  </si>
  <si>
    <t>ENST00000518855</t>
  </si>
  <si>
    <t>ENST00000521047</t>
  </si>
  <si>
    <t>ENST00000521615</t>
  </si>
  <si>
    <t>ENST00000522381</t>
  </si>
  <si>
    <t>ENST00000523094</t>
  </si>
  <si>
    <t>ENST00000523908</t>
  </si>
  <si>
    <t>ENST00000524306</t>
  </si>
  <si>
    <t>ENST00000530302</t>
  </si>
  <si>
    <t>Q14683</t>
  </si>
  <si>
    <t>ENST00000322213</t>
  </si>
  <si>
    <t>ENST00000375340</t>
  </si>
  <si>
    <t>ENST00000428014</t>
  </si>
  <si>
    <t>ENST00000469129</t>
  </si>
  <si>
    <t>ENST00000470241</t>
  </si>
  <si>
    <t>Q14684</t>
  </si>
  <si>
    <t>ENST00000340648</t>
  </si>
  <si>
    <t>ENST00000470886</t>
  </si>
  <si>
    <t>Q14686</t>
  </si>
  <si>
    <t>ENST00000359003</t>
  </si>
  <si>
    <t>ENST00000471897</t>
  </si>
  <si>
    <t>Q14690</t>
  </si>
  <si>
    <t>ENST00000369797</t>
  </si>
  <si>
    <t>ENST00000466959</t>
  </si>
  <si>
    <t>ENST00000471061</t>
  </si>
  <si>
    <t>ENST00000478543</t>
  </si>
  <si>
    <t>ENST00000493610</t>
  </si>
  <si>
    <t>Q14692</t>
  </si>
  <si>
    <t>ENST00000374518</t>
  </si>
  <si>
    <t>Q14693</t>
  </si>
  <si>
    <t>ENST00000256720</t>
  </si>
  <si>
    <t>ENST00000396097</t>
  </si>
  <si>
    <t>ENST00000441684</t>
  </si>
  <si>
    <t>ENST00000460096</t>
  </si>
  <si>
    <t>ENST00000464953</t>
  </si>
  <si>
    <t>ENST00000475922</t>
  </si>
  <si>
    <t>ENST00000487346</t>
  </si>
  <si>
    <t>ENST00000487576</t>
  </si>
  <si>
    <t>Q14694</t>
  </si>
  <si>
    <t>ENST00000219473</t>
  </si>
  <si>
    <t>ENST00000540269</t>
  </si>
  <si>
    <t>ENST00000562743</t>
  </si>
  <si>
    <t>ENST00000563023</t>
  </si>
  <si>
    <t>ENST00000563433</t>
  </si>
  <si>
    <t>ENST00000566378</t>
  </si>
  <si>
    <t>ENST00000566512</t>
  </si>
  <si>
    <t>ENST00000567526</t>
  </si>
  <si>
    <t>ENST00000569925</t>
  </si>
  <si>
    <t>ENST00000570191</t>
  </si>
  <si>
    <t>Q14696</t>
  </si>
  <si>
    <t>ENST00000261758</t>
  </si>
  <si>
    <t>ENST00000560244</t>
  </si>
  <si>
    <t>Q14699</t>
  </si>
  <si>
    <t>ENST00000334133</t>
  </si>
  <si>
    <t>ENST00000432519</t>
  </si>
  <si>
    <t>ENST00000449415</t>
  </si>
  <si>
    <t>ENST00000451036</t>
  </si>
  <si>
    <t>ENST00000453536</t>
  </si>
  <si>
    <t>ENST00000470458</t>
  </si>
  <si>
    <t>Q14728</t>
  </si>
  <si>
    <t>ENST00000329687</t>
  </si>
  <si>
    <t>ENST00000355443</t>
  </si>
  <si>
    <t>ENST00000503596</t>
  </si>
  <si>
    <t>ENST00000507272</t>
  </si>
  <si>
    <t>ENST00000507555</t>
  </si>
  <si>
    <t>ENST00000508276</t>
  </si>
  <si>
    <t>ENST00000509676</t>
  </si>
  <si>
    <t>ENST00000512781</t>
  </si>
  <si>
    <t>ENST00000514031</t>
  </si>
  <si>
    <t>ENST00000514800</t>
  </si>
  <si>
    <t>Q14739</t>
  </si>
  <si>
    <t>ENST00000272163</t>
  </si>
  <si>
    <t>ENST00000421383</t>
  </si>
  <si>
    <t>ENST00000424022</t>
  </si>
  <si>
    <t>ENST00000441022</t>
  </si>
  <si>
    <t>ENST00000487054</t>
  </si>
  <si>
    <t>ENST00000488632</t>
  </si>
  <si>
    <t>Q14761</t>
  </si>
  <si>
    <t>ENST00000326294</t>
  </si>
  <si>
    <t>Q14764</t>
  </si>
  <si>
    <t>ENST00000357402</t>
  </si>
  <si>
    <t>ENST00000395353</t>
  </si>
  <si>
    <t>ENST00000563096</t>
  </si>
  <si>
    <t>ENST00000563915</t>
  </si>
  <si>
    <t>ENST00000566066</t>
  </si>
  <si>
    <t>ENST00000566252</t>
  </si>
  <si>
    <t>ENST00000566554</t>
  </si>
  <si>
    <t>ENST00000566859</t>
  </si>
  <si>
    <t>ENST00000568068</t>
  </si>
  <si>
    <t>ENST00000569612</t>
  </si>
  <si>
    <t>ENST00000570061</t>
  </si>
  <si>
    <t>ENST00000570234</t>
  </si>
  <si>
    <t>Q14765</t>
  </si>
  <si>
    <t>ENST00000358470</t>
  </si>
  <si>
    <t>ENST00000392320</t>
  </si>
  <si>
    <t>ENST00000409995</t>
  </si>
  <si>
    <t>ENST00000463951</t>
  </si>
  <si>
    <t>ENST00000470708</t>
  </si>
  <si>
    <t>ENST00000495326</t>
  </si>
  <si>
    <t>ENST00000495849</t>
  </si>
  <si>
    <t>Q14766</t>
  </si>
  <si>
    <t>ENST00000404816</t>
  </si>
  <si>
    <t>Q14790</t>
  </si>
  <si>
    <t>ENST00000264274</t>
  </si>
  <si>
    <t>ENST00000323492</t>
  </si>
  <si>
    <t>ENST00000339403</t>
  </si>
  <si>
    <t>ENST00000358485</t>
  </si>
  <si>
    <t>ENST00000392263</t>
  </si>
  <si>
    <t>ENST00000392266</t>
  </si>
  <si>
    <t>ENST00000413726</t>
  </si>
  <si>
    <t>ENST00000429881</t>
  </si>
  <si>
    <t>ENST00000432109</t>
  </si>
  <si>
    <t>ENST00000440732</t>
  </si>
  <si>
    <t>ENST00000471383</t>
  </si>
  <si>
    <t>ENST00000490412</t>
  </si>
  <si>
    <t>ENST00000490682</t>
  </si>
  <si>
    <t>Q147X3</t>
  </si>
  <si>
    <t>ENST00000555166</t>
  </si>
  <si>
    <t>ENST00000556492</t>
  </si>
  <si>
    <t>Q14839</t>
  </si>
  <si>
    <t>ENST00000357008</t>
  </si>
  <si>
    <t>ENST00000430771</t>
  </si>
  <si>
    <t>ENST00000535717</t>
  </si>
  <si>
    <t>ENST00000535810</t>
  </si>
  <si>
    <t>ENST00000536301</t>
  </si>
  <si>
    <t>ENST00000536999</t>
  </si>
  <si>
    <t>ENST00000537634</t>
  </si>
  <si>
    <t>ENST00000540960</t>
  </si>
  <si>
    <t>ENST00000542717</t>
  </si>
  <si>
    <t>ENST00000544040</t>
  </si>
  <si>
    <t>ENST00000545083</t>
  </si>
  <si>
    <t>ENST00000545584</t>
  </si>
  <si>
    <t>ENST00000545942</t>
  </si>
  <si>
    <t>Q14847</t>
  </si>
  <si>
    <t>ENST00000318008</t>
  </si>
  <si>
    <t>ENST00000443937</t>
  </si>
  <si>
    <t>ENST00000579123</t>
  </si>
  <si>
    <t>ENST00000581485</t>
  </si>
  <si>
    <t>ENST00000584106</t>
  </si>
  <si>
    <t>Q14872</t>
  </si>
  <si>
    <t>ENST00000373036</t>
  </si>
  <si>
    <t>Q14919</t>
  </si>
  <si>
    <t>ENST00000312515</t>
  </si>
  <si>
    <t>ENST00000376991</t>
  </si>
  <si>
    <t>ENST00000525190</t>
  </si>
  <si>
    <t>ENST00000525501</t>
  </si>
  <si>
    <t>ENST00000530791</t>
  </si>
  <si>
    <t>ENST00000531121</t>
  </si>
  <si>
    <t>ENST00000532933</t>
  </si>
  <si>
    <t>ENST00000534333</t>
  </si>
  <si>
    <t>Q14974</t>
  </si>
  <si>
    <t>ENST00000290158</t>
  </si>
  <si>
    <t>ENST00000535458</t>
  </si>
  <si>
    <t>ENST00000540627</t>
  </si>
  <si>
    <t>ENST00000577875</t>
  </si>
  <si>
    <t>ENST00000578718</t>
  </si>
  <si>
    <t>ENST00000579901</t>
  </si>
  <si>
    <t>ENST00000580019</t>
  </si>
  <si>
    <t>ENST00000580158</t>
  </si>
  <si>
    <t>ENST00000580573</t>
  </si>
  <si>
    <t>Q14980</t>
  </si>
  <si>
    <t>ENST00000358965</t>
  </si>
  <si>
    <t>ENST00000368959</t>
  </si>
  <si>
    <t>ENST00000393695</t>
  </si>
  <si>
    <t>ENST00000534971</t>
  </si>
  <si>
    <t>ENST00000534987</t>
  </si>
  <si>
    <t>ENST00000535087</t>
  </si>
  <si>
    <t>ENST00000535838</t>
  </si>
  <si>
    <t>ENST00000535947</t>
  </si>
  <si>
    <t>ENST00000536119</t>
  </si>
  <si>
    <t>ENST00000537217</t>
  </si>
  <si>
    <t>ENST00000537905</t>
  </si>
  <si>
    <t>ENST00000540588</t>
  </si>
  <si>
    <t>ENST00000540626</t>
  </si>
  <si>
    <t>ENST00000540843</t>
  </si>
  <si>
    <t>ENST00000541262</t>
  </si>
  <si>
    <t>ENST00000541584</t>
  </si>
  <si>
    <t>ENST00000541719</t>
  </si>
  <si>
    <t>ENST00000542977</t>
  </si>
  <si>
    <t>ENST00000543009</t>
  </si>
  <si>
    <t>ENST00000543450</t>
  </si>
  <si>
    <t>ENST00000543937</t>
  </si>
  <si>
    <t>ENST00000544129</t>
  </si>
  <si>
    <t>ENST00000546036</t>
  </si>
  <si>
    <t>Q14997</t>
  </si>
  <si>
    <t>ENST00000404125</t>
  </si>
  <si>
    <t>ENST00000461810</t>
  </si>
  <si>
    <t>ENST00000475694</t>
  </si>
  <si>
    <t>ENST00000476586</t>
  </si>
  <si>
    <t>ENST00000488687</t>
  </si>
  <si>
    <t>Q14CW9</t>
  </si>
  <si>
    <t>ENST00000389384</t>
  </si>
  <si>
    <t>ENST00000454077</t>
  </si>
  <si>
    <t>ENST00000586688</t>
  </si>
  <si>
    <t>ENST00000587022</t>
  </si>
  <si>
    <t>ENST00000587097</t>
  </si>
  <si>
    <t>ENST00000589607</t>
  </si>
  <si>
    <t>ENST00000589805</t>
  </si>
  <si>
    <t>ENST00000590169</t>
  </si>
  <si>
    <t>ENST00000590537</t>
  </si>
  <si>
    <t>ENST00000591295</t>
  </si>
  <si>
    <t>ENST00000591807</t>
  </si>
  <si>
    <t>Q15003</t>
  </si>
  <si>
    <t>ENST00000455200</t>
  </si>
  <si>
    <t>Q15004</t>
  </si>
  <si>
    <t>ENST00000300035</t>
  </si>
  <si>
    <t>ENST00000558043</t>
  </si>
  <si>
    <t>Q15005</t>
  </si>
  <si>
    <t>ENST00000263672</t>
  </si>
  <si>
    <t>ENST00000526361</t>
  </si>
  <si>
    <t>ENST00000526883</t>
  </si>
  <si>
    <t>ENST00000527225</t>
  </si>
  <si>
    <t>ENST00000527290</t>
  </si>
  <si>
    <t>ENST00000530257</t>
  </si>
  <si>
    <t>ENST00000532972</t>
  </si>
  <si>
    <t>Q15006</t>
  </si>
  <si>
    <t>ENST00000220853</t>
  </si>
  <si>
    <t>ENST00000517593</t>
  </si>
  <si>
    <t>ENST00000517784</t>
  </si>
  <si>
    <t>ENST00000519450</t>
  </si>
  <si>
    <t>ENST00000524143</t>
  </si>
  <si>
    <t>Q15007</t>
  </si>
  <si>
    <t>ENST00000337387</t>
  </si>
  <si>
    <t>ENST00000358372</t>
  </si>
  <si>
    <t>ENST00000462110</t>
  </si>
  <si>
    <t>ENST00000494513</t>
  </si>
  <si>
    <t>Q15008</t>
  </si>
  <si>
    <t>ENST00000295901</t>
  </si>
  <si>
    <t>ENST00000463139</t>
  </si>
  <si>
    <t>ENST00000467853</t>
  </si>
  <si>
    <t>ENST00000475036</t>
  </si>
  <si>
    <t>ENST00000476464</t>
  </si>
  <si>
    <t>ENST00000478185</t>
  </si>
  <si>
    <t>ENST00000480205</t>
  </si>
  <si>
    <t>ENST00000492933</t>
  </si>
  <si>
    <t>ENST00000497315</t>
  </si>
  <si>
    <t>Q15013</t>
  </si>
  <si>
    <t>ENST00000372171</t>
  </si>
  <si>
    <t>ENST00000508232</t>
  </si>
  <si>
    <t>Q15014</t>
  </si>
  <si>
    <t>ENST00000360458</t>
  </si>
  <si>
    <t>ENST00000418819</t>
  </si>
  <si>
    <t>ENST00000422154</t>
  </si>
  <si>
    <t>ENST00000422355</t>
  </si>
  <si>
    <t>ENST00000423833</t>
  </si>
  <si>
    <t>ENST00000433176</t>
  </si>
  <si>
    <t>ENST00000434230</t>
  </si>
  <si>
    <t>ENST00000441076</t>
  </si>
  <si>
    <t>ENST00000442614</t>
  </si>
  <si>
    <t>ENST00000451301</t>
  </si>
  <si>
    <t>ENST00000467755</t>
  </si>
  <si>
    <t>ENST00000474653</t>
  </si>
  <si>
    <t>ENST00000488331</t>
  </si>
  <si>
    <t>ENST00000492116</t>
  </si>
  <si>
    <t>ENST00000498064</t>
  </si>
  <si>
    <t>Q15018</t>
  </si>
  <si>
    <t>ENST00000298492</t>
  </si>
  <si>
    <t>Q15019</t>
  </si>
  <si>
    <t>ENST00000366210</t>
  </si>
  <si>
    <t>ENST00000391971</t>
  </si>
  <si>
    <t>ENST00000391973</t>
  </si>
  <si>
    <t>ENST00000401990</t>
  </si>
  <si>
    <t>ENST00000402092</t>
  </si>
  <si>
    <t>ENST00000407017</t>
  </si>
  <si>
    <t>ENST00000407971</t>
  </si>
  <si>
    <t>ENST00000421717</t>
  </si>
  <si>
    <t>ENST00000425899</t>
  </si>
  <si>
    <t>ENST00000428282</t>
  </si>
  <si>
    <t>ENST00000429791</t>
  </si>
  <si>
    <t>ENST00000434955</t>
  </si>
  <si>
    <t>ENST00000436795</t>
  </si>
  <si>
    <t>ENST00000443492</t>
  </si>
  <si>
    <t>ENST00000449239</t>
  </si>
  <si>
    <t>ENST00000451310</t>
  </si>
  <si>
    <t>ENST00000457335</t>
  </si>
  <si>
    <t>ENST00000457874</t>
  </si>
  <si>
    <t>ENST00000461048</t>
  </si>
  <si>
    <t>ENST00000462147</t>
  </si>
  <si>
    <t>ENST00000466211</t>
  </si>
  <si>
    <t>ENST00000467971</t>
  </si>
  <si>
    <t>ENST00000469175</t>
  </si>
  <si>
    <t>ENST00000469434</t>
  </si>
  <si>
    <t>ENST00000473479</t>
  </si>
  <si>
    <t>ENST00000475474</t>
  </si>
  <si>
    <t>ENST00000476841</t>
  </si>
  <si>
    <t>ENST00000482304</t>
  </si>
  <si>
    <t>ENST00000484648</t>
  </si>
  <si>
    <t>ENST00000484740</t>
  </si>
  <si>
    <t>ENST00000492978</t>
  </si>
  <si>
    <t>ENST00000494824</t>
  </si>
  <si>
    <t>ENST00000495463</t>
  </si>
  <si>
    <t>Q15020</t>
  </si>
  <si>
    <t>ENST00000228284</t>
  </si>
  <si>
    <t>ENST00000431469</t>
  </si>
  <si>
    <t>ENST00000546611</t>
  </si>
  <si>
    <t>ENST00000546728</t>
  </si>
  <si>
    <t>ENST00000546808</t>
  </si>
  <si>
    <t>ENST00000546815</t>
  </si>
  <si>
    <t>ENST00000547397</t>
  </si>
  <si>
    <t>ENST00000547528</t>
  </si>
  <si>
    <t>ENST00000548077</t>
  </si>
  <si>
    <t>ENST00000548119</t>
  </si>
  <si>
    <t>ENST00000548582</t>
  </si>
  <si>
    <t>ENST00000550322</t>
  </si>
  <si>
    <t>ENST00000551416</t>
  </si>
  <si>
    <t>ENST00000552221</t>
  </si>
  <si>
    <t>Q15021</t>
  </si>
  <si>
    <t>ENST00000315579</t>
  </si>
  <si>
    <t>ENST00000535804</t>
  </si>
  <si>
    <t>ENST00000536090</t>
  </si>
  <si>
    <t>ENST00000538600</t>
  </si>
  <si>
    <t>ENST00000539885</t>
  </si>
  <si>
    <t>ENST00000541399</t>
  </si>
  <si>
    <t>ENST00000542492</t>
  </si>
  <si>
    <t>ENST00000545732</t>
  </si>
  <si>
    <t>Q15022</t>
  </si>
  <si>
    <t>ENST00000322652</t>
  </si>
  <si>
    <t>ENST00000494429</t>
  </si>
  <si>
    <t>ENST00000578106</t>
  </si>
  <si>
    <t>ENST00000580398</t>
  </si>
  <si>
    <t>Q15024</t>
  </si>
  <si>
    <t>ENST00000265564</t>
  </si>
  <si>
    <t>ENST00000459856</t>
  </si>
  <si>
    <t>ENST00000461361</t>
  </si>
  <si>
    <t>ENST00000467846</t>
  </si>
  <si>
    <t>ENST00000468667</t>
  </si>
  <si>
    <t>ENST00000486727</t>
  </si>
  <si>
    <t>ENST00000491476</t>
  </si>
  <si>
    <t>ENST00000498168</t>
  </si>
  <si>
    <t>Q15027</t>
  </si>
  <si>
    <t>ENST00000158762</t>
  </si>
  <si>
    <t>ENST00000570439</t>
  </si>
  <si>
    <t>ENST00000570457</t>
  </si>
  <si>
    <t>ENST00000571220</t>
  </si>
  <si>
    <t>ENST00000573893</t>
  </si>
  <si>
    <t>ENST00000574499</t>
  </si>
  <si>
    <t>ENST00000575415</t>
  </si>
  <si>
    <t>ENST00000575425</t>
  </si>
  <si>
    <t>ENST00000576594</t>
  </si>
  <si>
    <t>ENST00000576628</t>
  </si>
  <si>
    <t>Q15029</t>
  </si>
  <si>
    <t>ENST00000426333</t>
  </si>
  <si>
    <t>ENST00000585794</t>
  </si>
  <si>
    <t>ENST00000586276</t>
  </si>
  <si>
    <t>ENST00000586654</t>
  </si>
  <si>
    <t>ENST00000586875</t>
  </si>
  <si>
    <t>ENST00000587914</t>
  </si>
  <si>
    <t>ENST00000587957</t>
  </si>
  <si>
    <t>ENST00000588340</t>
  </si>
  <si>
    <t>ENST00000589475</t>
  </si>
  <si>
    <t>ENST00000589769</t>
  </si>
  <si>
    <t>ENST00000589825</t>
  </si>
  <si>
    <t>ENST00000590105</t>
  </si>
  <si>
    <t>ENST00000590367</t>
  </si>
  <si>
    <t>ENST00000590977</t>
  </si>
  <si>
    <t>ENST00000591382</t>
  </si>
  <si>
    <t>ENST00000591856</t>
  </si>
  <si>
    <t>ENST00000593200</t>
  </si>
  <si>
    <t>Q15031</t>
  </si>
  <si>
    <t>ENST00000265537</t>
  </si>
  <si>
    <t>ENST00000415258</t>
  </si>
  <si>
    <t>ENST00000467936</t>
  </si>
  <si>
    <t>ENST00000474585</t>
  </si>
  <si>
    <t>ENST00000485461</t>
  </si>
  <si>
    <t>Q15042</t>
  </si>
  <si>
    <t>ENST00000264158</t>
  </si>
  <si>
    <t>ENST00000425393</t>
  </si>
  <si>
    <t>ENST00000442034</t>
  </si>
  <si>
    <t>ENST00000489858</t>
  </si>
  <si>
    <t>ENST00000497080</t>
  </si>
  <si>
    <t>ENST00000539493</t>
  </si>
  <si>
    <t>Q15046</t>
  </si>
  <si>
    <t>ENST00000302445</t>
  </si>
  <si>
    <t>ENST00000319410</t>
  </si>
  <si>
    <t>ENST00000562875</t>
  </si>
  <si>
    <t>ENST00000564578</t>
  </si>
  <si>
    <t>ENST00000565738</t>
  </si>
  <si>
    <t>ENST00000566249</t>
  </si>
  <si>
    <t>ENST00000566560</t>
  </si>
  <si>
    <t>ENST00000566772</t>
  </si>
  <si>
    <t>ENST00000568378</t>
  </si>
  <si>
    <t>ENST00000568682</t>
  </si>
  <si>
    <t>ENST00000569298</t>
  </si>
  <si>
    <t>ENST00000570215</t>
  </si>
  <si>
    <t>Q15048</t>
  </si>
  <si>
    <t>ENST00000292524</t>
  </si>
  <si>
    <t>ENST00000527730</t>
  </si>
  <si>
    <t>ENST00000528528</t>
  </si>
  <si>
    <t>ENST00000529022</t>
  </si>
  <si>
    <t>ENST00000529995</t>
  </si>
  <si>
    <t>ENST00000530854</t>
  </si>
  <si>
    <t>ENST00000531310</t>
  </si>
  <si>
    <t>Q15050</t>
  </si>
  <si>
    <t>ENST00000320270</t>
  </si>
  <si>
    <t>Q15051</t>
  </si>
  <si>
    <t>ENST00000310864</t>
  </si>
  <si>
    <t>ENST00000349820</t>
  </si>
  <si>
    <t>ENST00000393650</t>
  </si>
  <si>
    <t>ENST00000460108</t>
  </si>
  <si>
    <t>ENST00000471726</t>
  </si>
  <si>
    <t>ENST00000498104</t>
  </si>
  <si>
    <t>Q15052</t>
  </si>
  <si>
    <t>ENST00000250617</t>
  </si>
  <si>
    <t>ENST00000370620</t>
  </si>
  <si>
    <t>Q15054</t>
  </si>
  <si>
    <t>ENST00000263681</t>
  </si>
  <si>
    <t>ENST00000524752</t>
  </si>
  <si>
    <t>ENST00000530163</t>
  </si>
  <si>
    <t>ENST00000531615</t>
  </si>
  <si>
    <t>ENST00000532784</t>
  </si>
  <si>
    <t>Q15057</t>
  </si>
  <si>
    <t>ENST00000326793</t>
  </si>
  <si>
    <t>ENST00000466876</t>
  </si>
  <si>
    <t>ENST00000471593</t>
  </si>
  <si>
    <t>ENST00000472860</t>
  </si>
  <si>
    <t>ENST00000475905</t>
  </si>
  <si>
    <t>ENST00000480906</t>
  </si>
  <si>
    <t>ENST00000481463</t>
  </si>
  <si>
    <t>ENST00000484296</t>
  </si>
  <si>
    <t>Q15059</t>
  </si>
  <si>
    <t>ENST00000303407</t>
  </si>
  <si>
    <t>ENST00000371834</t>
  </si>
  <si>
    <t>ENST00000494743</t>
  </si>
  <si>
    <t>Q15061</t>
  </si>
  <si>
    <t>ENST00000296126</t>
  </si>
  <si>
    <t>ENST00000407426</t>
  </si>
  <si>
    <t>ENST00000434238</t>
  </si>
  <si>
    <t>ENST00000440983</t>
  </si>
  <si>
    <t>ENST00000446643</t>
  </si>
  <si>
    <t>ENST00000466067</t>
  </si>
  <si>
    <t>Q15072</t>
  </si>
  <si>
    <t>ENST00000443387</t>
  </si>
  <si>
    <t>ENST00000456324</t>
  </si>
  <si>
    <t>ENST00000587285</t>
  </si>
  <si>
    <t>ENST00000591063</t>
  </si>
  <si>
    <t>Q15075</t>
  </si>
  <si>
    <t>ENST00000322349</t>
  </si>
  <si>
    <t>ENST00000549790</t>
  </si>
  <si>
    <t>Q15080</t>
  </si>
  <si>
    <t>ENST00000248899</t>
  </si>
  <si>
    <t>ENST00000397147</t>
  </si>
  <si>
    <t>Q15102</t>
  </si>
  <si>
    <t>ENST00000262890</t>
  </si>
  <si>
    <t>ENST00000538771</t>
  </si>
  <si>
    <t>ENST00000594989</t>
  </si>
  <si>
    <t>ENST00000595530</t>
  </si>
  <si>
    <t>ENST00000596265</t>
  </si>
  <si>
    <t>ENST00000597333</t>
  </si>
  <si>
    <t>ENST00000601865</t>
  </si>
  <si>
    <t>Q15111</t>
  </si>
  <si>
    <t>ENST00000428675</t>
  </si>
  <si>
    <t>ENST00000435320</t>
  </si>
  <si>
    <t>ENST00000437704</t>
  </si>
  <si>
    <t>Q15118</t>
  </si>
  <si>
    <t>ENST00000282077</t>
  </si>
  <si>
    <t>ENST00000392571</t>
  </si>
  <si>
    <t>ENST00000410055</t>
  </si>
  <si>
    <t>ENST00000431718</t>
  </si>
  <si>
    <t>ENST00000466437</t>
  </si>
  <si>
    <t>Q15120</t>
  </si>
  <si>
    <t>ENST00000379162</t>
  </si>
  <si>
    <t>ENST00000441463</t>
  </si>
  <si>
    <t>ENST00000493226</t>
  </si>
  <si>
    <t>Q15121</t>
  </si>
  <si>
    <t>ENST00000360472</t>
  </si>
  <si>
    <t>ENST00000368076</t>
  </si>
  <si>
    <t>ENST00000368077</t>
  </si>
  <si>
    <t>ENST00000488858</t>
  </si>
  <si>
    <t>Q15125</t>
  </si>
  <si>
    <t>ENST00000276096</t>
  </si>
  <si>
    <t>ENST00000466461</t>
  </si>
  <si>
    <t>ENST00000495186</t>
  </si>
  <si>
    <t>ENST00000498425</t>
  </si>
  <si>
    <t>Q15126</t>
  </si>
  <si>
    <t>ENST00000368467</t>
  </si>
  <si>
    <t>Q15131</t>
  </si>
  <si>
    <t>ENST00000353379</t>
  </si>
  <si>
    <t>ENST00000378277</t>
  </si>
  <si>
    <t>ENST00000472018</t>
  </si>
  <si>
    <t>ENST00000502547</t>
  </si>
  <si>
    <t>ENST00000505473</t>
  </si>
  <si>
    <t>ENST00000505733</t>
  </si>
  <si>
    <t>ENST00000507205</t>
  </si>
  <si>
    <t>ENST00000510811</t>
  </si>
  <si>
    <t>ENST00000511415</t>
  </si>
  <si>
    <t>ENST00000512912</t>
  </si>
  <si>
    <t>ENST00000561477</t>
  </si>
  <si>
    <t>ENST00000564192</t>
  </si>
  <si>
    <t>ENST00000565470</t>
  </si>
  <si>
    <t>ENST00000567932</t>
  </si>
  <si>
    <t>ENST00000568456</t>
  </si>
  <si>
    <t>Q15154</t>
  </si>
  <si>
    <t>ENST00000325083</t>
  </si>
  <si>
    <t>ENST00000327578</t>
  </si>
  <si>
    <t>ENST00000517545</t>
  </si>
  <si>
    <t>ENST00000517836</t>
  </si>
  <si>
    <t>ENST00000518537</t>
  </si>
  <si>
    <t>ENST00000518762</t>
  </si>
  <si>
    <t>ENST00000518877</t>
  </si>
  <si>
    <t>ENST00000518985</t>
  </si>
  <si>
    <t>ENST00000519253</t>
  </si>
  <si>
    <t>ENST00000519802</t>
  </si>
  <si>
    <t>ENST00000521338</t>
  </si>
  <si>
    <t>ENST00000522777</t>
  </si>
  <si>
    <t>ENST00000522998</t>
  </si>
  <si>
    <t>ENST00000523055</t>
  </si>
  <si>
    <t>ENST00000523540</t>
  </si>
  <si>
    <t>ENST00000523896</t>
  </si>
  <si>
    <t>ENST00000524203</t>
  </si>
  <si>
    <t>ENST00000524226</t>
  </si>
  <si>
    <t>ENST00000524356</t>
  </si>
  <si>
    <t>Q15155</t>
  </si>
  <si>
    <t>ENST00000287667</t>
  </si>
  <si>
    <t>ENST00000566823</t>
  </si>
  <si>
    <t>ENST00000566917</t>
  </si>
  <si>
    <t>Q15172</t>
  </si>
  <si>
    <t>ENST00000261461</t>
  </si>
  <si>
    <t>ENST00000479259</t>
  </si>
  <si>
    <t>ENST00000498129</t>
  </si>
  <si>
    <t>Q15181</t>
  </si>
  <si>
    <t>ENST00000373230</t>
  </si>
  <si>
    <t>ENST00000373232</t>
  </si>
  <si>
    <t>ENST00000460755</t>
  </si>
  <si>
    <t>ENST00000495346</t>
  </si>
  <si>
    <t>ENST00000610026</t>
  </si>
  <si>
    <t>Q15208</t>
  </si>
  <si>
    <t>ENST00000229812</t>
  </si>
  <si>
    <t>Q15233</t>
  </si>
  <si>
    <t>ENST00000276079</t>
  </si>
  <si>
    <t>ENST00000373841</t>
  </si>
  <si>
    <t>ENST00000373856</t>
  </si>
  <si>
    <t>ENST00000418921</t>
  </si>
  <si>
    <t>ENST00000420903</t>
  </si>
  <si>
    <t>ENST00000450092</t>
  </si>
  <si>
    <t>ENST00000471419</t>
  </si>
  <si>
    <t>ENST00000486613</t>
  </si>
  <si>
    <t>ENST00000490044</t>
  </si>
  <si>
    <t>ENST00000535149</t>
  </si>
  <si>
    <t>Q15257</t>
  </si>
  <si>
    <t>ENST00000337738</t>
  </si>
  <si>
    <t>ENST00000348141</t>
  </si>
  <si>
    <t>ENST00000355007</t>
  </si>
  <si>
    <t>ENST00000393370</t>
  </si>
  <si>
    <t>ENST00000411917</t>
  </si>
  <si>
    <t>ENST00000414510</t>
  </si>
  <si>
    <t>ENST00000419582</t>
  </si>
  <si>
    <t>ENST00000423100</t>
  </si>
  <si>
    <t>ENST00000434095</t>
  </si>
  <si>
    <t>ENST00000435305</t>
  </si>
  <si>
    <t>ENST00000436883</t>
  </si>
  <si>
    <t>ENST00000445241</t>
  </si>
  <si>
    <t>ENST00000455240</t>
  </si>
  <si>
    <t>Q15269</t>
  </si>
  <si>
    <t>ENST00000291576</t>
  </si>
  <si>
    <t>ENST00000471490</t>
  </si>
  <si>
    <t>ENST00000476948</t>
  </si>
  <si>
    <t>ENST00000486126</t>
  </si>
  <si>
    <t>ENST00000494310</t>
  </si>
  <si>
    <t>Q15276</t>
  </si>
  <si>
    <t>ENST00000341923</t>
  </si>
  <si>
    <t>ENST00000570487</t>
  </si>
  <si>
    <t>ENST00000572250</t>
  </si>
  <si>
    <t>ENST00000574568</t>
  </si>
  <si>
    <t>ENST00000575475</t>
  </si>
  <si>
    <t>Q15286</t>
  </si>
  <si>
    <t>ENST00000229340</t>
  </si>
  <si>
    <t>ENST00000534951</t>
  </si>
  <si>
    <t>ENST00000540803</t>
  </si>
  <si>
    <t>ENST00000544304</t>
  </si>
  <si>
    <t>Q15287</t>
  </si>
  <si>
    <t>ENST00000320225</t>
  </si>
  <si>
    <t>ENST00000397086</t>
  </si>
  <si>
    <t>ENST00000561718</t>
  </si>
  <si>
    <t>ENST00000562205</t>
  </si>
  <si>
    <t>ENST00000563857</t>
  </si>
  <si>
    <t>ENST00000564311</t>
  </si>
  <si>
    <t>ENST00000564601</t>
  </si>
  <si>
    <t>ENST00000564764</t>
  </si>
  <si>
    <t>ENST00000565243</t>
  </si>
  <si>
    <t>ENST00000565589</t>
  </si>
  <si>
    <t>ENST00000565678</t>
  </si>
  <si>
    <t>ENST00000565870</t>
  </si>
  <si>
    <t>ENST00000566397</t>
  </si>
  <si>
    <t>ENST00000566458</t>
  </si>
  <si>
    <t>ENST00000566783</t>
  </si>
  <si>
    <t>ENST00000567147</t>
  </si>
  <si>
    <t>ENST00000568631</t>
  </si>
  <si>
    <t>ENST00000569598</t>
  </si>
  <si>
    <t>ENST00000570051</t>
  </si>
  <si>
    <t>Q15293</t>
  </si>
  <si>
    <t>ENST00000054950</t>
  </si>
  <si>
    <t>ENST00000527337</t>
  </si>
  <si>
    <t>ENST00000531345</t>
  </si>
  <si>
    <t>ENST00000532474</t>
  </si>
  <si>
    <t>ENST00000532721</t>
  </si>
  <si>
    <t>ENST00000533898</t>
  </si>
  <si>
    <t>Q15311</t>
  </si>
  <si>
    <t>ENST00000383432</t>
  </si>
  <si>
    <t>ENST00000458039</t>
  </si>
  <si>
    <t>ENST00000585015</t>
  </si>
  <si>
    <t>Q15334</t>
  </si>
  <si>
    <t>ENST00000316843</t>
  </si>
  <si>
    <t>ENST00000479155</t>
  </si>
  <si>
    <t>Q15361</t>
  </si>
  <si>
    <t>ENST00000334270</t>
  </si>
  <si>
    <t>ENST00000461970</t>
  </si>
  <si>
    <t>Q15363</t>
  </si>
  <si>
    <t>ENST00000262225</t>
  </si>
  <si>
    <t>ENST00000438031</t>
  </si>
  <si>
    <t>ENST00000509052</t>
  </si>
  <si>
    <t>ENST00000543425</t>
  </si>
  <si>
    <t>ENST00000544188</t>
  </si>
  <si>
    <t>Q15365</t>
  </si>
  <si>
    <t>ENST00000303577</t>
  </si>
  <si>
    <t>Q15369</t>
  </si>
  <si>
    <t>ENST00000284811</t>
  </si>
  <si>
    <t>ENST00000518127</t>
  </si>
  <si>
    <t>ENST00000519082</t>
  </si>
  <si>
    <t>ENST00000519487</t>
  </si>
  <si>
    <t>ENST00000520210</t>
  </si>
  <si>
    <t>ENST00000520242</t>
  </si>
  <si>
    <t>ENST00000522337</t>
  </si>
  <si>
    <t>ENST00000523815</t>
  </si>
  <si>
    <t>ENST00000602840</t>
  </si>
  <si>
    <t>Q15370</t>
  </si>
  <si>
    <t>ENST00000262306</t>
  </si>
  <si>
    <t>ENST00000409477</t>
  </si>
  <si>
    <t>ENST00000409906</t>
  </si>
  <si>
    <t>ENST00000494946</t>
  </si>
  <si>
    <t>ENST00000572954</t>
  </si>
  <si>
    <t>Q15382</t>
  </si>
  <si>
    <t>ENST00000262187</t>
  </si>
  <si>
    <t>ENST00000470072</t>
  </si>
  <si>
    <t>ENST00000470370</t>
  </si>
  <si>
    <t>ENST00000478470</t>
  </si>
  <si>
    <t>ENST00000482053</t>
  </si>
  <si>
    <t>ENST00000496004</t>
  </si>
  <si>
    <t>Q15386</t>
  </si>
  <si>
    <t>ENST00000348165</t>
  </si>
  <si>
    <t>ENST00000389103</t>
  </si>
  <si>
    <t>ENST00000469336</t>
  </si>
  <si>
    <t>ENST00000470408</t>
  </si>
  <si>
    <t>ENST00000474153</t>
  </si>
  <si>
    <t>ENST00000494532</t>
  </si>
  <si>
    <t>ENST00000497368</t>
  </si>
  <si>
    <t>Q15388</t>
  </si>
  <si>
    <t>ENST00000366607</t>
  </si>
  <si>
    <t>ENST00000467767</t>
  </si>
  <si>
    <t>ENST00000473132</t>
  </si>
  <si>
    <t>Q15393</t>
  </si>
  <si>
    <t>ENST00000302516</t>
  </si>
  <si>
    <t>ENST00000562722</t>
  </si>
  <si>
    <t>ENST00000563739</t>
  </si>
  <si>
    <t>ENST00000564899</t>
  </si>
  <si>
    <t>ENST00000565990</t>
  </si>
  <si>
    <t>ENST00000566095</t>
  </si>
  <si>
    <t>ENST00000567250</t>
  </si>
  <si>
    <t>ENST00000567635</t>
  </si>
  <si>
    <t>ENST00000568291</t>
  </si>
  <si>
    <t>ENST00000568539</t>
  </si>
  <si>
    <t>ENST00000572365</t>
  </si>
  <si>
    <t>ENST00000577085</t>
  </si>
  <si>
    <t>Q15397</t>
  </si>
  <si>
    <t>ENST00000382032</t>
  </si>
  <si>
    <t>ENST00000397885</t>
  </si>
  <si>
    <t>ENST00000469168</t>
  </si>
  <si>
    <t>Q15399</t>
  </si>
  <si>
    <t>ENST00000308979</t>
  </si>
  <si>
    <t>ENST00000510552</t>
  </si>
  <si>
    <t>Q15404</t>
  </si>
  <si>
    <t>ENST00000345264</t>
  </si>
  <si>
    <t>ENST00000377911</t>
  </si>
  <si>
    <t>ENST00000377921</t>
  </si>
  <si>
    <t>ENST00000464074</t>
  </si>
  <si>
    <t>ENST00000602389</t>
  </si>
  <si>
    <t>Q15424</t>
  </si>
  <si>
    <t>ENST00000292123</t>
  </si>
  <si>
    <t>ENST00000454510</t>
  </si>
  <si>
    <t>ENST00000586281</t>
  </si>
  <si>
    <t>ENST00000586934</t>
  </si>
  <si>
    <t>ENST00000588852</t>
  </si>
  <si>
    <t>ENST00000589863</t>
  </si>
  <si>
    <t>ENST00000591666</t>
  </si>
  <si>
    <t>ENST00000591991</t>
  </si>
  <si>
    <t>ENST00000592224</t>
  </si>
  <si>
    <t>ENST00000592396</t>
  </si>
  <si>
    <t>ENST00000592555</t>
  </si>
  <si>
    <t>Q15427</t>
  </si>
  <si>
    <t>ENST00000271628</t>
  </si>
  <si>
    <t>ENST00000457312</t>
  </si>
  <si>
    <t>Q15428</t>
  </si>
  <si>
    <t>ENST00000221494</t>
  </si>
  <si>
    <t>ENST00000587637</t>
  </si>
  <si>
    <t>ENST00000589118</t>
  </si>
  <si>
    <t>ENST00000590034</t>
  </si>
  <si>
    <t>ENST00000592314</t>
  </si>
  <si>
    <t>Q15435</t>
  </si>
  <si>
    <t>ENST00000234038</t>
  </si>
  <si>
    <t>ENST00000272983</t>
  </si>
  <si>
    <t>ENST00000401987</t>
  </si>
  <si>
    <t>ENST00000402734</t>
  </si>
  <si>
    <t>ENST00000404405</t>
  </si>
  <si>
    <t>ENST00000406106</t>
  </si>
  <si>
    <t>ENST00000423280</t>
  </si>
  <si>
    <t>ENST00000427172</t>
  </si>
  <si>
    <t>ENST00000438799</t>
  </si>
  <si>
    <t>ENST00000439916</t>
  </si>
  <si>
    <t>ENST00000450367</t>
  </si>
  <si>
    <t>ENST00000467159</t>
  </si>
  <si>
    <t>ENST00000479821</t>
  </si>
  <si>
    <t>ENST00000491715</t>
  </si>
  <si>
    <t>ENST00000493374</t>
  </si>
  <si>
    <t>ENST00000498170</t>
  </si>
  <si>
    <t>Q15436</t>
  </si>
  <si>
    <t>ENST00000307712</t>
  </si>
  <si>
    <t>ENST00000537403</t>
  </si>
  <si>
    <t>ENST00000548032</t>
  </si>
  <si>
    <t>ENST00000553925</t>
  </si>
  <si>
    <t>ENST00000554615</t>
  </si>
  <si>
    <t>ENST00000555363</t>
  </si>
  <si>
    <t>ENST00000555682</t>
  </si>
  <si>
    <t>Q15437</t>
  </si>
  <si>
    <t>ENST00000262544</t>
  </si>
  <si>
    <t>ENST00000336714</t>
  </si>
  <si>
    <t>ENST00000377465</t>
  </si>
  <si>
    <t>ENST00000377475</t>
  </si>
  <si>
    <t>ENST00000422877</t>
  </si>
  <si>
    <t>ENST00000450074</t>
  </si>
  <si>
    <t>ENST00000474619</t>
  </si>
  <si>
    <t>ENST00000494645</t>
  </si>
  <si>
    <t>Q15459</t>
  </si>
  <si>
    <t>ENST00000215793</t>
  </si>
  <si>
    <t>ENST00000411423</t>
  </si>
  <si>
    <t>ENST00000444440</t>
  </si>
  <si>
    <t>ENST00000463818</t>
  </si>
  <si>
    <t>ENST00000471037</t>
  </si>
  <si>
    <t>ENST00000471342</t>
  </si>
  <si>
    <t>ENST00000485618</t>
  </si>
  <si>
    <t>ENST00000496189</t>
  </si>
  <si>
    <t>ENST00000498259</t>
  </si>
  <si>
    <t>Q15477</t>
  </si>
  <si>
    <t>ENST00000375394</t>
  </si>
  <si>
    <t>ENST00000461073</t>
  </si>
  <si>
    <t>ENST00000465703</t>
  </si>
  <si>
    <t>ENST00000466290</t>
  </si>
  <si>
    <t>ENST00000483553</t>
  </si>
  <si>
    <t>ENST00000484835</t>
  </si>
  <si>
    <t>ENST00000485349</t>
  </si>
  <si>
    <t>ENST00000488648</t>
  </si>
  <si>
    <t>ENST00000491994</t>
  </si>
  <si>
    <t>ENST00000492900</t>
  </si>
  <si>
    <t>ENST00000494058</t>
  </si>
  <si>
    <t>Q15527</t>
  </si>
  <si>
    <t>ENST00000371964</t>
  </si>
  <si>
    <t>ENST00000486887</t>
  </si>
  <si>
    <t>ENST00000495524</t>
  </si>
  <si>
    <t>Q15542</t>
  </si>
  <si>
    <t>ENST00000369839</t>
  </si>
  <si>
    <t>Q15543</t>
  </si>
  <si>
    <t>ENST00000338366</t>
  </si>
  <si>
    <t>ENST00000461096</t>
  </si>
  <si>
    <t>Q15545</t>
  </si>
  <si>
    <t>ENST00000313368</t>
  </si>
  <si>
    <t>Q15554</t>
  </si>
  <si>
    <t>ENST00000254942</t>
  </si>
  <si>
    <t>ENST00000564982</t>
  </si>
  <si>
    <t>ENST00000566257</t>
  </si>
  <si>
    <t>ENST00000566750</t>
  </si>
  <si>
    <t>ENST00000567130</t>
  </si>
  <si>
    <t>ENST00000567296</t>
  </si>
  <si>
    <t>ENST00000569542</t>
  </si>
  <si>
    <t>ENST00000569584</t>
  </si>
  <si>
    <t>ENST00000569611</t>
  </si>
  <si>
    <t>Q15596</t>
  </si>
  <si>
    <t>ENST00000452400</t>
  </si>
  <si>
    <t>ENST00000518287</t>
  </si>
  <si>
    <t>ENST00000518363</t>
  </si>
  <si>
    <t>ENST00000520416</t>
  </si>
  <si>
    <t>ENST00000521239</t>
  </si>
  <si>
    <t>ENST00000522054</t>
  </si>
  <si>
    <t>Q15628</t>
  </si>
  <si>
    <t>ENST00000345057</t>
  </si>
  <si>
    <t>ENST00000486556</t>
  </si>
  <si>
    <t>ENST00000563348</t>
  </si>
  <si>
    <t>ENST00000566104</t>
  </si>
  <si>
    <t>ENST00000566247</t>
  </si>
  <si>
    <t>Q15631</t>
  </si>
  <si>
    <t>ENST00000389682</t>
  </si>
  <si>
    <t>ENST00000409193</t>
  </si>
  <si>
    <t>ENST00000467324</t>
  </si>
  <si>
    <t>ENST00000483698</t>
  </si>
  <si>
    <t>ENST00000495112</t>
  </si>
  <si>
    <t>ENST00000498545</t>
  </si>
  <si>
    <t>ENST00000536142</t>
  </si>
  <si>
    <t>Q15643</t>
  </si>
  <si>
    <t>ENST00000267622</t>
  </si>
  <si>
    <t>ENST00000555105</t>
  </si>
  <si>
    <t>Q15645</t>
  </si>
  <si>
    <t>ENST00000166345</t>
  </si>
  <si>
    <t>Q15646</t>
  </si>
  <si>
    <t>ENST00000257570</t>
  </si>
  <si>
    <t>ENST00000339275</t>
  </si>
  <si>
    <t>ENST00000543677</t>
  </si>
  <si>
    <t>Q15648</t>
  </si>
  <si>
    <t>ENST00000300651</t>
  </si>
  <si>
    <t>ENST00000577831</t>
  </si>
  <si>
    <t>ENST00000581334</t>
  </si>
  <si>
    <t>ENST00000584308</t>
  </si>
  <si>
    <t>Q15650</t>
  </si>
  <si>
    <t>ENST00000261884</t>
  </si>
  <si>
    <t>ENST00000557834</t>
  </si>
  <si>
    <t>ENST00000558162</t>
  </si>
  <si>
    <t>ENST00000559777</t>
  </si>
  <si>
    <t>ENST00000559833</t>
  </si>
  <si>
    <t>ENST00000560475</t>
  </si>
  <si>
    <t>ENST00000560567</t>
  </si>
  <si>
    <t>ENST00000560920</t>
  </si>
  <si>
    <t>Q15651</t>
  </si>
  <si>
    <t>ENST00000275036</t>
  </si>
  <si>
    <t>ENST00000344726</t>
  </si>
  <si>
    <t>Q15654</t>
  </si>
  <si>
    <t>ENST00000200457</t>
  </si>
  <si>
    <t>ENST00000463125</t>
  </si>
  <si>
    <t>ENST00000476870</t>
  </si>
  <si>
    <t>Q15669</t>
  </si>
  <si>
    <t>ENST00000381799</t>
  </si>
  <si>
    <t>ENST00000503941</t>
  </si>
  <si>
    <t>ENST00000504638</t>
  </si>
  <si>
    <t>ENST00000505618</t>
  </si>
  <si>
    <t>ENST00000507851</t>
  </si>
  <si>
    <t>ENST00000508513</t>
  </si>
  <si>
    <t>ENST00000511121</t>
  </si>
  <si>
    <t>ENST00000513894</t>
  </si>
  <si>
    <t>ENST00000514143</t>
  </si>
  <si>
    <t>ENST00000514839</t>
  </si>
  <si>
    <t>ENST00000515503</t>
  </si>
  <si>
    <t>ENST00000515702</t>
  </si>
  <si>
    <t>ENST00000515718</t>
  </si>
  <si>
    <t>Q15691</t>
  </si>
  <si>
    <t>ENST00000375571</t>
  </si>
  <si>
    <t>Q15696</t>
  </si>
  <si>
    <t>ENST00000307771</t>
  </si>
  <si>
    <t>ENST00000380308</t>
  </si>
  <si>
    <t>ENST00000468028</t>
  </si>
  <si>
    <t>Q15697</t>
  </si>
  <si>
    <t>ENST00000268655</t>
  </si>
  <si>
    <t>ENST00000344823</t>
  </si>
  <si>
    <t>ENST00000571936</t>
  </si>
  <si>
    <t>ENST00000572544</t>
  </si>
  <si>
    <t>ENST00000575752</t>
  </si>
  <si>
    <t>Q15714</t>
  </si>
  <si>
    <t>ENST00000261489</t>
  </si>
  <si>
    <t>ENST00000437455</t>
  </si>
  <si>
    <t>ENST00000458659</t>
  </si>
  <si>
    <t>ENST00000460842</t>
  </si>
  <si>
    <t>ENST00000486464</t>
  </si>
  <si>
    <t>ENST00000487881</t>
  </si>
  <si>
    <t>ENST00000496838</t>
  </si>
  <si>
    <t>Q15717</t>
  </si>
  <si>
    <t>ENST00000407627</t>
  </si>
  <si>
    <t>ENST00000593807</t>
  </si>
  <si>
    <t>ENST00000595499</t>
  </si>
  <si>
    <t>Q15722</t>
  </si>
  <si>
    <t>ENST00000345363</t>
  </si>
  <si>
    <t>ENST00000396782</t>
  </si>
  <si>
    <t>ENST00000396789</t>
  </si>
  <si>
    <t>Q15738</t>
  </si>
  <si>
    <t>ENST00000370274</t>
  </si>
  <si>
    <t>ENST00000432467</t>
  </si>
  <si>
    <t>ENST00000440023</t>
  </si>
  <si>
    <t>Q15742</t>
  </si>
  <si>
    <t>ENST00000300131</t>
  </si>
  <si>
    <t>ENST00000342556</t>
  </si>
  <si>
    <t>ENST00000554839</t>
  </si>
  <si>
    <t>Q15744</t>
  </si>
  <si>
    <t>ENST00000206513</t>
  </si>
  <si>
    <t>Q15750</t>
  </si>
  <si>
    <t>ENST00000216160</t>
  </si>
  <si>
    <t>ENST00000461775</t>
  </si>
  <si>
    <t>ENST00000473491</t>
  </si>
  <si>
    <t>ENST00000488859</t>
  </si>
  <si>
    <t>ENST00000490819</t>
  </si>
  <si>
    <t>Q15751</t>
  </si>
  <si>
    <t>ENST00000443617</t>
  </si>
  <si>
    <t>ENST00000558324</t>
  </si>
  <si>
    <t>ENST00000558532</t>
  </si>
  <si>
    <t>ENST00000559715</t>
  </si>
  <si>
    <t>ENST00000559886</t>
  </si>
  <si>
    <t>ENST00000559996</t>
  </si>
  <si>
    <t>ENST00000560519</t>
  </si>
  <si>
    <t>ENST00000560897</t>
  </si>
  <si>
    <t>ENST00000560983</t>
  </si>
  <si>
    <t>ENST00000561348</t>
  </si>
  <si>
    <t>ENST00000561436</t>
  </si>
  <si>
    <t>Q15758</t>
  </si>
  <si>
    <t>ENST00000542575</t>
  </si>
  <si>
    <t>ENST00000594991</t>
  </si>
  <si>
    <t>Q15762</t>
  </si>
  <si>
    <t>ENST00000280200</t>
  </si>
  <si>
    <t>ENST00000578928</t>
  </si>
  <si>
    <t>ENST00000580335</t>
  </si>
  <si>
    <t>ENST00000581982</t>
  </si>
  <si>
    <t>ENST00000582621</t>
  </si>
  <si>
    <t>ENST00000583955</t>
  </si>
  <si>
    <t>Q15773</t>
  </si>
  <si>
    <t>ENST00000203630</t>
  </si>
  <si>
    <t>ENST00000435120</t>
  </si>
  <si>
    <t>ENST00000536207</t>
  </si>
  <si>
    <t>ENST00000536249</t>
  </si>
  <si>
    <t>ENST00000537126</t>
  </si>
  <si>
    <t>ENST00000541305</t>
  </si>
  <si>
    <t>ENST00000541346</t>
  </si>
  <si>
    <t>ENST00000564181</t>
  </si>
  <si>
    <t>Q15776</t>
  </si>
  <si>
    <t>ENST00000330236</t>
  </si>
  <si>
    <t>ENST00000606198</t>
  </si>
  <si>
    <t>Q15785</t>
  </si>
  <si>
    <t>ENST00000372813</t>
  </si>
  <si>
    <t>Q15813</t>
  </si>
  <si>
    <t>ENST00000366601</t>
  </si>
  <si>
    <t>ENST00000406207</t>
  </si>
  <si>
    <t>ENST00000465463</t>
  </si>
  <si>
    <t>ENST00000482230</t>
  </si>
  <si>
    <t>Q15814</t>
  </si>
  <si>
    <t>ENST00000372876</t>
  </si>
  <si>
    <t>Q15819</t>
  </si>
  <si>
    <t>ENST00000517630</t>
  </si>
  <si>
    <t>ENST00000518360</t>
  </si>
  <si>
    <t>ENST00000520595</t>
  </si>
  <si>
    <t>ENST00000520809</t>
  </si>
  <si>
    <t>ENST00000521346</t>
  </si>
  <si>
    <t>ENST00000521628</t>
  </si>
  <si>
    <t>ENST00000523111</t>
  </si>
  <si>
    <t>Q15834</t>
  </si>
  <si>
    <t>ENST00000312579</t>
  </si>
  <si>
    <t>Q15843</t>
  </si>
  <si>
    <t>ENST00000250495</t>
  </si>
  <si>
    <t>ENST00000396828</t>
  </si>
  <si>
    <t>ENST00000524927</t>
  </si>
  <si>
    <t>ENST00000527046</t>
  </si>
  <si>
    <t>ENST00000531430</t>
  </si>
  <si>
    <t>ENST00000533242</t>
  </si>
  <si>
    <t>ENST00000560427</t>
  </si>
  <si>
    <t>Q15904</t>
  </si>
  <si>
    <t>ENST00000369762</t>
  </si>
  <si>
    <t>ENST00000422890</t>
  </si>
  <si>
    <t>ENST00000455205</t>
  </si>
  <si>
    <t>ENST00000484908</t>
  </si>
  <si>
    <t>ENST00000491569</t>
  </si>
  <si>
    <t>Q15906</t>
  </si>
  <si>
    <t>ENST00000354473</t>
  </si>
  <si>
    <t>ENST00000368892</t>
  </si>
  <si>
    <t>ENST00000471423</t>
  </si>
  <si>
    <t>ENST00000491094</t>
  </si>
  <si>
    <t>Q15942</t>
  </si>
  <si>
    <t>ENST00000322764</t>
  </si>
  <si>
    <t>ENST00000354434</t>
  </si>
  <si>
    <t>ENST00000392910</t>
  </si>
  <si>
    <t>ENST00000446634</t>
  </si>
  <si>
    <t>ENST00000457235</t>
  </si>
  <si>
    <t>ENST00000468083</t>
  </si>
  <si>
    <t>ENST00000497119</t>
  </si>
  <si>
    <t>Q16186</t>
  </si>
  <si>
    <t>ENST00000253003</t>
  </si>
  <si>
    <t>ENST00000462554</t>
  </si>
  <si>
    <t>ENST00000465805</t>
  </si>
  <si>
    <t>Q16204</t>
  </si>
  <si>
    <t>ENST00000263102</t>
  </si>
  <si>
    <t>ENST00000491922</t>
  </si>
  <si>
    <t>ENST00000518638</t>
  </si>
  <si>
    <t>Q16254</t>
  </si>
  <si>
    <t>ENST00000379378</t>
  </si>
  <si>
    <t>ENST00000561904</t>
  </si>
  <si>
    <t>ENST00000563238</t>
  </si>
  <si>
    <t>ENST00000564718</t>
  </si>
  <si>
    <t>ENST00000565849</t>
  </si>
  <si>
    <t>ENST00000566368</t>
  </si>
  <si>
    <t>ENST00000567007</t>
  </si>
  <si>
    <t>ENST00000567228</t>
  </si>
  <si>
    <t>ENST00000568485</t>
  </si>
  <si>
    <t>ENST00000568693</t>
  </si>
  <si>
    <t>ENST00000568839</t>
  </si>
  <si>
    <t>ENST00000569573</t>
  </si>
  <si>
    <t>Q16520</t>
  </si>
  <si>
    <t>ENST00000286639</t>
  </si>
  <si>
    <t>Q16531</t>
  </si>
  <si>
    <t>ENST00000301764</t>
  </si>
  <si>
    <t>ENST00000414411</t>
  </si>
  <si>
    <t>ENST00000451943</t>
  </si>
  <si>
    <t>ENST00000535147</t>
  </si>
  <si>
    <t>ENST00000535174</t>
  </si>
  <si>
    <t>ENST00000535283</t>
  </si>
  <si>
    <t>ENST00000535967</t>
  </si>
  <si>
    <t>ENST00000537120</t>
  </si>
  <si>
    <t>ENST00000537877</t>
  </si>
  <si>
    <t>ENST00000538129</t>
  </si>
  <si>
    <t>ENST00000538280</t>
  </si>
  <si>
    <t>ENST00000538470</t>
  </si>
  <si>
    <t>ENST00000539332</t>
  </si>
  <si>
    <t>ENST00000539426</t>
  </si>
  <si>
    <t>ENST00000539712</t>
  </si>
  <si>
    <t>ENST00000539739</t>
  </si>
  <si>
    <t>ENST00000540166</t>
  </si>
  <si>
    <t>ENST00000540784</t>
  </si>
  <si>
    <t>ENST00000541513</t>
  </si>
  <si>
    <t>ENST00000543627</t>
  </si>
  <si>
    <t>ENST00000545894</t>
  </si>
  <si>
    <t>Q16539</t>
  </si>
  <si>
    <t>ENST00000229794</t>
  </si>
  <si>
    <t>ENST00000229795</t>
  </si>
  <si>
    <t>ENST00000474429</t>
  </si>
  <si>
    <t>ENST00000490379</t>
  </si>
  <si>
    <t>ENST00000491957</t>
  </si>
  <si>
    <t>ENST00000496250</t>
  </si>
  <si>
    <t>Q16540</t>
  </si>
  <si>
    <t>ENST00000381514</t>
  </si>
  <si>
    <t>ENST00000381519</t>
  </si>
  <si>
    <t>ENST00000397294</t>
  </si>
  <si>
    <t>ENST00000397298</t>
  </si>
  <si>
    <t>ENST00000429295</t>
  </si>
  <si>
    <t>ENST00000466346</t>
  </si>
  <si>
    <t>ENST00000484918</t>
  </si>
  <si>
    <t>ENST00000486931</t>
  </si>
  <si>
    <t>Q16543</t>
  </si>
  <si>
    <t>ENST00000222005</t>
  </si>
  <si>
    <t>ENST00000588498</t>
  </si>
  <si>
    <t>ENST00000588869</t>
  </si>
  <si>
    <t>ENST00000589331</t>
  </si>
  <si>
    <t>ENST00000589625</t>
  </si>
  <si>
    <t>ENST00000589755</t>
  </si>
  <si>
    <t>ENST00000590632</t>
  </si>
  <si>
    <t>ENST00000591248</t>
  </si>
  <si>
    <t>ENST00000593124</t>
  </si>
  <si>
    <t>Q16566</t>
  </si>
  <si>
    <t>ENST00000282356</t>
  </si>
  <si>
    <t>ENST00000504090</t>
  </si>
  <si>
    <t>ENST00000504544</t>
  </si>
  <si>
    <t>ENST00000505763</t>
  </si>
  <si>
    <t>ENST00000509408</t>
  </si>
  <si>
    <t>ENST00000509645</t>
  </si>
  <si>
    <t>ENST00000515231</t>
  </si>
  <si>
    <t>Q16576</t>
  </si>
  <si>
    <t>ENST00000330735</t>
  </si>
  <si>
    <t>ENST00000380084</t>
  </si>
  <si>
    <t>ENST00000380087</t>
  </si>
  <si>
    <t>ENST00000404022</t>
  </si>
  <si>
    <t>ENST00000425696</t>
  </si>
  <si>
    <t>ENST00000444437</t>
  </si>
  <si>
    <t>ENST00000465244</t>
  </si>
  <si>
    <t>ENST00000481586</t>
  </si>
  <si>
    <t>ENST00000486166</t>
  </si>
  <si>
    <t>Q16594</t>
  </si>
  <si>
    <t>ENST00000217893</t>
  </si>
  <si>
    <t>ENST00000328663</t>
  </si>
  <si>
    <t>ENST00000380818</t>
  </si>
  <si>
    <t>ENST00000380822</t>
  </si>
  <si>
    <t>ENST00000502819</t>
  </si>
  <si>
    <t>ENST00000503245</t>
  </si>
  <si>
    <t>ENST00000504109</t>
  </si>
  <si>
    <t>ENST00000506736</t>
  </si>
  <si>
    <t>ENST00000508954</t>
  </si>
  <si>
    <t>ENST00000509462</t>
  </si>
  <si>
    <t>ENST00000512152</t>
  </si>
  <si>
    <t>ENST00000512561</t>
  </si>
  <si>
    <t>Q16595</t>
  </si>
  <si>
    <t>ENST00000377270</t>
  </si>
  <si>
    <t>ENST00000396364</t>
  </si>
  <si>
    <t>ENST00000396366</t>
  </si>
  <si>
    <t>Q16626</t>
  </si>
  <si>
    <t>ENST00000244711</t>
  </si>
  <si>
    <t>Q16630</t>
  </si>
  <si>
    <t>ENST00000266679</t>
  </si>
  <si>
    <t>ENST00000435070</t>
  </si>
  <si>
    <t>ENST00000547486</t>
  </si>
  <si>
    <t>Q16643</t>
  </si>
  <si>
    <t>ENST00000292385</t>
  </si>
  <si>
    <t>ENST00000309007</t>
  </si>
  <si>
    <t>ENST00000467054</t>
  </si>
  <si>
    <t>ENST00000471767</t>
  </si>
  <si>
    <t>ENST00000505550</t>
  </si>
  <si>
    <t>ENST00000512501</t>
  </si>
  <si>
    <t>Q16644</t>
  </si>
  <si>
    <t>ENST00000357955</t>
  </si>
  <si>
    <t>ENST00000430409</t>
  </si>
  <si>
    <t>ENST00000446044</t>
  </si>
  <si>
    <t>ENST00000451680</t>
  </si>
  <si>
    <t>ENST00000457064</t>
  </si>
  <si>
    <t>ENST00000497283</t>
  </si>
  <si>
    <t>Q16649</t>
  </si>
  <si>
    <t>ENST00000297689</t>
  </si>
  <si>
    <t>Q16656</t>
  </si>
  <si>
    <t>ENST00000223190</t>
  </si>
  <si>
    <t>ENST00000311967</t>
  </si>
  <si>
    <t>ENST00000353868</t>
  </si>
  <si>
    <t>ENST00000393230</t>
  </si>
  <si>
    <t>ENST00000393232</t>
  </si>
  <si>
    <t>ENST00000454688</t>
  </si>
  <si>
    <t>ENST00000477428</t>
  </si>
  <si>
    <t>Q16658</t>
  </si>
  <si>
    <t>ENST00000382361</t>
  </si>
  <si>
    <t>ENST00000473330</t>
  </si>
  <si>
    <t>Q16666</t>
  </si>
  <si>
    <t>ENST00000295809</t>
  </si>
  <si>
    <t>ENST00000340979</t>
  </si>
  <si>
    <t>ENST00000368131</t>
  </si>
  <si>
    <t>ENST00000368132</t>
  </si>
  <si>
    <t>ENST00000447473</t>
  </si>
  <si>
    <t>ENST00000448393</t>
  </si>
  <si>
    <t>ENST00000474473</t>
  </si>
  <si>
    <t>ENST00000483916</t>
  </si>
  <si>
    <t>ENST00000493884</t>
  </si>
  <si>
    <t>ENST00000562225</t>
  </si>
  <si>
    <t>ENST00000567661</t>
  </si>
  <si>
    <t>Q16706</t>
  </si>
  <si>
    <t>ENST00000261483</t>
  </si>
  <si>
    <t>ENST00000503970</t>
  </si>
  <si>
    <t>ENST00000505313</t>
  </si>
  <si>
    <t>ENST00000508043</t>
  </si>
  <si>
    <t>ENST00000513921</t>
  </si>
  <si>
    <t>Q16718</t>
  </si>
  <si>
    <t>ENST00000355749</t>
  </si>
  <si>
    <t>ENST00000378795</t>
  </si>
  <si>
    <t>ENST00000459880</t>
  </si>
  <si>
    <t>ENST00000466896</t>
  </si>
  <si>
    <t>ENST00000467117</t>
  </si>
  <si>
    <t>ENST00000470123</t>
  </si>
  <si>
    <t>ENST00000471770</t>
  </si>
  <si>
    <t>ENST00000490618</t>
  </si>
  <si>
    <t>ENST00000491033</t>
  </si>
  <si>
    <t>ENST00000492549</t>
  </si>
  <si>
    <t>Q16719</t>
  </si>
  <si>
    <t>ENST00000264170</t>
  </si>
  <si>
    <t>ENST00000409512</t>
  </si>
  <si>
    <t>ENST00000410015</t>
  </si>
  <si>
    <t>ENST00000460143</t>
  </si>
  <si>
    <t>Q16740</t>
  </si>
  <si>
    <t>ENST00000245816</t>
  </si>
  <si>
    <t>ENST00000594780</t>
  </si>
  <si>
    <t>ENST00000596070</t>
  </si>
  <si>
    <t>ENST00000596149</t>
  </si>
  <si>
    <t>ENST00000596605</t>
  </si>
  <si>
    <t>Q16762</t>
  </si>
  <si>
    <t>ENST00000403892</t>
  </si>
  <si>
    <t>Q16763</t>
  </si>
  <si>
    <t>ENST00000264552</t>
  </si>
  <si>
    <t>ENST00000587845</t>
  </si>
  <si>
    <t>ENST00000592570</t>
  </si>
  <si>
    <t>Q16795</t>
  </si>
  <si>
    <t>ENST00000266544</t>
  </si>
  <si>
    <t>ENST00000396655</t>
  </si>
  <si>
    <t>ENST00000535726</t>
  </si>
  <si>
    <t>ENST00000539573</t>
  </si>
  <si>
    <t>ENST00000540688</t>
  </si>
  <si>
    <t>ENST00000544675</t>
  </si>
  <si>
    <t>ENST00000544679</t>
  </si>
  <si>
    <t>Q16798</t>
  </si>
  <si>
    <t>ENST00000530520</t>
  </si>
  <si>
    <t>Q16799</t>
  </si>
  <si>
    <t>ENST00000267484</t>
  </si>
  <si>
    <t>Q16822</t>
  </si>
  <si>
    <t>ENST00000216780</t>
  </si>
  <si>
    <t>ENST00000396973</t>
  </si>
  <si>
    <t>ENST00000545054</t>
  </si>
  <si>
    <t>ENST00000557969</t>
  </si>
  <si>
    <t>ENST00000558096</t>
  </si>
  <si>
    <t>ENST00000558674</t>
  </si>
  <si>
    <t>ENST00000559250</t>
  </si>
  <si>
    <t>ENST00000559503</t>
  </si>
  <si>
    <t>ENST00000559584</t>
  </si>
  <si>
    <t>ENST00000560106</t>
  </si>
  <si>
    <t>ENST00000561050</t>
  </si>
  <si>
    <t>Q16831</t>
  </si>
  <si>
    <t>ENST00000331803</t>
  </si>
  <si>
    <t>ENST00000395560</t>
  </si>
  <si>
    <t>ENST00000395564</t>
  </si>
  <si>
    <t>ENST00000416681</t>
  </si>
  <si>
    <t>ENST00000417464</t>
  </si>
  <si>
    <t>ENST00000421046</t>
  </si>
  <si>
    <t>ENST00000436673</t>
  </si>
  <si>
    <t>ENST00000444999</t>
  </si>
  <si>
    <t>ENST00000482015</t>
  </si>
  <si>
    <t>ENST00000495446</t>
  </si>
  <si>
    <t>Q16836</t>
  </si>
  <si>
    <t>ENST00000309522</t>
  </si>
  <si>
    <t>ENST00000403312</t>
  </si>
  <si>
    <t>ENST00000507260</t>
  </si>
  <si>
    <t>ENST00000514776</t>
  </si>
  <si>
    <t>ENST00000515462</t>
  </si>
  <si>
    <t>Q16854</t>
  </si>
  <si>
    <t>ENST00000264093</t>
  </si>
  <si>
    <t>ENST00000348222</t>
  </si>
  <si>
    <t>ENST00000418996</t>
  </si>
  <si>
    <t>ENST00000462551</t>
  </si>
  <si>
    <t>ENST00000462685</t>
  </si>
  <si>
    <t>ENST00000493055</t>
  </si>
  <si>
    <t>Q16864</t>
  </si>
  <si>
    <t>ENST00000249289</t>
  </si>
  <si>
    <t>ENST00000492758</t>
  </si>
  <si>
    <t>Q17RN3</t>
  </si>
  <si>
    <t>ENST00000252530</t>
  </si>
  <si>
    <t>ENST00000343358</t>
  </si>
  <si>
    <t>ENST00000585954</t>
  </si>
  <si>
    <t>ENST00000586372</t>
  </si>
  <si>
    <t>ENST00000588348</t>
  </si>
  <si>
    <t>ENST00000589027</t>
  </si>
  <si>
    <t>ENST00000589029</t>
  </si>
  <si>
    <t>ENST00000589408</t>
  </si>
  <si>
    <t>ENST00000592992</t>
  </si>
  <si>
    <t>Q17RS7</t>
  </si>
  <si>
    <t>ENST00000381254</t>
  </si>
  <si>
    <t>ENST00000528873</t>
  </si>
  <si>
    <t>ENST00000534451</t>
  </si>
  <si>
    <t>ENST00000534669</t>
  </si>
  <si>
    <t>Q1ED39</t>
  </si>
  <si>
    <t>ENST00000219837</t>
  </si>
  <si>
    <t>ENST00000564480</t>
  </si>
  <si>
    <t>ENST00000565844</t>
  </si>
  <si>
    <t>ENST00000567367</t>
  </si>
  <si>
    <t>ENST00000568230</t>
  </si>
  <si>
    <t>Q1KMD3</t>
  </si>
  <si>
    <t>ENST00000301785</t>
  </si>
  <si>
    <t>ENST00000540127</t>
  </si>
  <si>
    <t>Q29RF7</t>
  </si>
  <si>
    <t>ENST00000303538</t>
  </si>
  <si>
    <t>ENST00000503396</t>
  </si>
  <si>
    <t>ENST00000503696</t>
  </si>
  <si>
    <t>ENST00000503867</t>
  </si>
  <si>
    <t>ENST00000506262</t>
  </si>
  <si>
    <t>ENST00000507766</t>
  </si>
  <si>
    <t>ENST00000508625</t>
  </si>
  <si>
    <t>ENST00000512643</t>
  </si>
  <si>
    <t>Q2KHT3</t>
  </si>
  <si>
    <t>ENST00000261657</t>
  </si>
  <si>
    <t>ENST00000409552</t>
  </si>
  <si>
    <t>ENST00000409790</t>
  </si>
  <si>
    <t>ENST00000459723</t>
  </si>
  <si>
    <t>ENST00000463896</t>
  </si>
  <si>
    <t>ENST00000487189</t>
  </si>
  <si>
    <t>Q2M1Z3</t>
  </si>
  <si>
    <t>ENST00000264245</t>
  </si>
  <si>
    <t>Q2M2I8</t>
  </si>
  <si>
    <t>ENST00000406297</t>
  </si>
  <si>
    <t>ENST00000409085</t>
  </si>
  <si>
    <t>ENST00000470281</t>
  </si>
  <si>
    <t>ENST00000471775</t>
  </si>
  <si>
    <t>ENST00000489327</t>
  </si>
  <si>
    <t>ENST00000492192</t>
  </si>
  <si>
    <t>ENST00000495239</t>
  </si>
  <si>
    <t>ENST00000495836</t>
  </si>
  <si>
    <t>ENST00000606389</t>
  </si>
  <si>
    <t>Q2M385</t>
  </si>
  <si>
    <t>ENST00000361050</t>
  </si>
  <si>
    <t>Q2M389</t>
  </si>
  <si>
    <t>ENST00000311317</t>
  </si>
  <si>
    <t>ENST00000332180</t>
  </si>
  <si>
    <t>ENST00000547171</t>
  </si>
  <si>
    <t>ENST00000547404</t>
  </si>
  <si>
    <t>ENST00000548534</t>
  </si>
  <si>
    <t>ENST00000550036</t>
  </si>
  <si>
    <t>ENST00000550053</t>
  </si>
  <si>
    <t>ENST00000550613</t>
  </si>
  <si>
    <t>ENST00000550786</t>
  </si>
  <si>
    <t>ENST00000551224</t>
  </si>
  <si>
    <t>ENST00000552203</t>
  </si>
  <si>
    <t>Q2NKX8</t>
  </si>
  <si>
    <t>ENST00000373657</t>
  </si>
  <si>
    <t>Q2NL82</t>
  </si>
  <si>
    <t>ENST00000301364</t>
  </si>
  <si>
    <t>ENST00000571806</t>
  </si>
  <si>
    <t>ENST00000575049</t>
  </si>
  <si>
    <t>ENST00000576112</t>
  </si>
  <si>
    <t>ENST00000576202</t>
  </si>
  <si>
    <t>Q2NL98</t>
  </si>
  <si>
    <t>ENST00000339485</t>
  </si>
  <si>
    <t>Q2TAA2</t>
  </si>
  <si>
    <t>ENST00000351760</t>
  </si>
  <si>
    <t>ENST00000470914</t>
  </si>
  <si>
    <t>ENST00000481688</t>
  </si>
  <si>
    <t>ENST00000484826</t>
  </si>
  <si>
    <t>ENST00000487850</t>
  </si>
  <si>
    <t>ENST00000489468</t>
  </si>
  <si>
    <t>ENST00000490621</t>
  </si>
  <si>
    <t>ENST00000495050</t>
  </si>
  <si>
    <t>ENST00000495494</t>
  </si>
  <si>
    <t>ENST00000496603</t>
  </si>
  <si>
    <t>ENST00000497473</t>
  </si>
  <si>
    <t>Q2TAA5</t>
  </si>
  <si>
    <t>ENST00000519151</t>
  </si>
  <si>
    <t>ENST00000521508</t>
  </si>
  <si>
    <t>ENST00000523764</t>
  </si>
  <si>
    <t>Q2TAL8</t>
  </si>
  <si>
    <t>ENST00000357496</t>
  </si>
  <si>
    <t>ENST00000395443</t>
  </si>
  <si>
    <t>ENST00000424300</t>
  </si>
  <si>
    <t>ENST00000430979</t>
  </si>
  <si>
    <t>ENST00000437939</t>
  </si>
  <si>
    <t>ENST00000469910</t>
  </si>
  <si>
    <t>ENST00000477021</t>
  </si>
  <si>
    <t>ENST00000489642</t>
  </si>
  <si>
    <t>ENST00000498392</t>
  </si>
  <si>
    <t>Q2TAY7</t>
  </si>
  <si>
    <t>ENST00000397149</t>
  </si>
  <si>
    <t>Q2TAZ0</t>
  </si>
  <si>
    <t>ENST00000421419</t>
  </si>
  <si>
    <t>ENST00000461701</t>
  </si>
  <si>
    <t>ENST00000472525</t>
  </si>
  <si>
    <t>Q2TB10</t>
  </si>
  <si>
    <t>ENST00000265827</t>
  </si>
  <si>
    <t>ENST00000393313</t>
  </si>
  <si>
    <t>ENST00000434602</t>
  </si>
  <si>
    <t>ENST00000436992</t>
  </si>
  <si>
    <t>Q2TBE0</t>
  </si>
  <si>
    <t>ENST00000282251</t>
  </si>
  <si>
    <t>ENST00000431778</t>
  </si>
  <si>
    <t>ENST00000462890</t>
  </si>
  <si>
    <t>Q2VPB7</t>
  </si>
  <si>
    <t>ENST00000532090</t>
  </si>
  <si>
    <t>Q2YD98</t>
  </si>
  <si>
    <t>ENST00000503548</t>
  </si>
  <si>
    <t>ENST00000505716</t>
  </si>
  <si>
    <t>ENST00000507531</t>
  </si>
  <si>
    <t>ENST00000511216</t>
  </si>
  <si>
    <t>ENST00000511563</t>
  </si>
  <si>
    <t>ENST00000512728</t>
  </si>
  <si>
    <t>Q30167</t>
  </si>
  <si>
    <t>ENST00000360004</t>
  </si>
  <si>
    <t>Q32M88</t>
  </si>
  <si>
    <t>ENST00000397660</t>
  </si>
  <si>
    <t>ENST00000409479</t>
  </si>
  <si>
    <t>ENST00000409548</t>
  </si>
  <si>
    <t>ENST00000409655</t>
  </si>
  <si>
    <t>ENST00000474221</t>
  </si>
  <si>
    <t>ENST00000476372</t>
  </si>
  <si>
    <t>ENST00000482937</t>
  </si>
  <si>
    <t>ENST00000529087</t>
  </si>
  <si>
    <t>Q32NB8</t>
  </si>
  <si>
    <t>ENST00000262764</t>
  </si>
  <si>
    <t>ENST00000586019</t>
  </si>
  <si>
    <t>ENST00000586355</t>
  </si>
  <si>
    <t>ENST00000586880</t>
  </si>
  <si>
    <t>ENST00000587356</t>
  </si>
  <si>
    <t>ENST00000588281</t>
  </si>
  <si>
    <t>ENST00000589425</t>
  </si>
  <si>
    <t>ENST00000589426</t>
  </si>
  <si>
    <t>ENST00000589689</t>
  </si>
  <si>
    <t>ENST00000591996</t>
  </si>
  <si>
    <t>ENST00000592043</t>
  </si>
  <si>
    <t>Q32NC0</t>
  </si>
  <si>
    <t>ENST00000269194</t>
  </si>
  <si>
    <t>ENST00000333234</t>
  </si>
  <si>
    <t>ENST00000587719</t>
  </si>
  <si>
    <t>ENST00000587873</t>
  </si>
  <si>
    <t>ENST00000592875</t>
  </si>
  <si>
    <t>Q32P41</t>
  </si>
  <si>
    <t>ENST00000261249</t>
  </si>
  <si>
    <t>ENST00000553903</t>
  </si>
  <si>
    <t>ENST00000555420</t>
  </si>
  <si>
    <t>Q32P44</t>
  </si>
  <si>
    <t>ENST00000278845</t>
  </si>
  <si>
    <t>ENST00000394773</t>
  </si>
  <si>
    <t>ENST00000394776</t>
  </si>
  <si>
    <t>ENST00000439994</t>
  </si>
  <si>
    <t>ENST00000460939</t>
  </si>
  <si>
    <t>ENST00000462626</t>
  </si>
  <si>
    <t>ENST00000483199</t>
  </si>
  <si>
    <t>ENST00000494176</t>
  </si>
  <si>
    <t>ENST00000494448</t>
  </si>
  <si>
    <t>ENST00000524518</t>
  </si>
  <si>
    <t>ENST00000526116</t>
  </si>
  <si>
    <t>ENST00000529309</t>
  </si>
  <si>
    <t>ENST00000531557</t>
  </si>
  <si>
    <t>ENST00000533165</t>
  </si>
  <si>
    <t>Q32P51</t>
  </si>
  <si>
    <t>ENST00000357495</t>
  </si>
  <si>
    <t>Q3B726</t>
  </si>
  <si>
    <t>ENST00000222567</t>
  </si>
  <si>
    <t>ENST00000462263</t>
  </si>
  <si>
    <t>Q3KQU3</t>
  </si>
  <si>
    <t>ENST00000316156</t>
  </si>
  <si>
    <t>ENST00000373148</t>
  </si>
  <si>
    <t>ENST00000373150</t>
  </si>
  <si>
    <t>ENST00000373151</t>
  </si>
  <si>
    <t>ENST00000462118</t>
  </si>
  <si>
    <t>ENST00000474796</t>
  </si>
  <si>
    <t>ENST00000487114</t>
  </si>
  <si>
    <t>ENST00000487131</t>
  </si>
  <si>
    <t>ENST00000527764</t>
  </si>
  <si>
    <t>ENST00000530975</t>
  </si>
  <si>
    <t>ENST00000532131</t>
  </si>
  <si>
    <t>Q3KQV9</t>
  </si>
  <si>
    <t>ENST00000360271</t>
  </si>
  <si>
    <t>ENST00000409858</t>
  </si>
  <si>
    <t>ENST00000474787</t>
  </si>
  <si>
    <t>Q3LXA3</t>
  </si>
  <si>
    <t>ENST00000394900</t>
  </si>
  <si>
    <t>ENST00000524440</t>
  </si>
  <si>
    <t>ENST00000524953</t>
  </si>
  <si>
    <t>ENST00000524968</t>
  </si>
  <si>
    <t>ENST00000525366</t>
  </si>
  <si>
    <t>ENST00000528061</t>
  </si>
  <si>
    <t>ENST00000529092</t>
  </si>
  <si>
    <t>ENST00000529121</t>
  </si>
  <si>
    <t>ENST00000529479</t>
  </si>
  <si>
    <t>ENST00000530329</t>
  </si>
  <si>
    <t>ENST00000532173</t>
  </si>
  <si>
    <t>ENST00000533853</t>
  </si>
  <si>
    <t>ENST00000534084</t>
  </si>
  <si>
    <t>ENST00000534134</t>
  </si>
  <si>
    <t>ENST00000534370</t>
  </si>
  <si>
    <t>Q3MHD2</t>
  </si>
  <si>
    <t>ENST00000293406</t>
  </si>
  <si>
    <t>ENST00000585388</t>
  </si>
  <si>
    <t>ENST00000590563</t>
  </si>
  <si>
    <t>ENST00000591247</t>
  </si>
  <si>
    <t>Q3MII6</t>
  </si>
  <si>
    <t>ENST00000376771</t>
  </si>
  <si>
    <t>ENST00000418627</t>
  </si>
  <si>
    <t>ENST00000476141</t>
  </si>
  <si>
    <t>ENST00000481090</t>
  </si>
  <si>
    <t>Q3MIT2</t>
  </si>
  <si>
    <t>ENST00000398658</t>
  </si>
  <si>
    <t>ENST00000407787</t>
  </si>
  <si>
    <t>ENST00000602599</t>
  </si>
  <si>
    <t>Q3SXM5</t>
  </si>
  <si>
    <t>ENST00000219439</t>
  </si>
  <si>
    <t>ENST00000565275</t>
  </si>
  <si>
    <t>ENST00000567294</t>
  </si>
  <si>
    <t>ENST00000568857</t>
  </si>
  <si>
    <t>Q3YEC7</t>
  </si>
  <si>
    <t>ENST00000311502</t>
  </si>
  <si>
    <t>ENST00000371663</t>
  </si>
  <si>
    <t>ENST00000371671</t>
  </si>
  <si>
    <t>ENST00000425121</t>
  </si>
  <si>
    <t>ENST00000432842</t>
  </si>
  <si>
    <t>ENST00000435930</t>
  </si>
  <si>
    <t>ENST00000436380</t>
  </si>
  <si>
    <t>ENST00000461992</t>
  </si>
  <si>
    <t>ENST00000466096</t>
  </si>
  <si>
    <t>Q3ZAQ7</t>
  </si>
  <si>
    <t>ENST00000330374</t>
  </si>
  <si>
    <t>ENST00000477649</t>
  </si>
  <si>
    <t>Q3ZCQ8</t>
  </si>
  <si>
    <t>ENST00000314349</t>
  </si>
  <si>
    <t>ENST00000544017</t>
  </si>
  <si>
    <t>ENST00000594583</t>
  </si>
  <si>
    <t>ENST00000595286</t>
  </si>
  <si>
    <t>ENST00000595527</t>
  </si>
  <si>
    <t>ENST00000595961</t>
  </si>
  <si>
    <t>ENST00000596239</t>
  </si>
  <si>
    <t>ENST00000597552</t>
  </si>
  <si>
    <t>ENST00000597782</t>
  </si>
  <si>
    <t>ENST00000598125</t>
  </si>
  <si>
    <t>ENST00000601358</t>
  </si>
  <si>
    <t>ENST00000602265</t>
  </si>
  <si>
    <t>ENST00000607714</t>
  </si>
  <si>
    <t>Q3ZCW2</t>
  </si>
  <si>
    <t>ENST00000238875</t>
  </si>
  <si>
    <t>Q460N5</t>
  </si>
  <si>
    <t>ENST00000460683</t>
  </si>
  <si>
    <t>ENST00000474629</t>
  </si>
  <si>
    <t>ENST00000474669</t>
  </si>
  <si>
    <t>ENST00000483611</t>
  </si>
  <si>
    <t>Q499Z4</t>
  </si>
  <si>
    <t>ENST00000306562</t>
  </si>
  <si>
    <t>ENST00000505503</t>
  </si>
  <si>
    <t>ENST00000510904</t>
  </si>
  <si>
    <t>Q49A26</t>
  </si>
  <si>
    <t>ENST00000321919</t>
  </si>
  <si>
    <t>ENST00000436648</t>
  </si>
  <si>
    <t>ENST00000586095</t>
  </si>
  <si>
    <t>ENST00000587297</t>
  </si>
  <si>
    <t>ENST00000587875</t>
  </si>
  <si>
    <t>ENST00000587936</t>
  </si>
  <si>
    <t>ENST00000588297</t>
  </si>
  <si>
    <t>ENST00000588732</t>
  </si>
  <si>
    <t>ENST00000589389</t>
  </si>
  <si>
    <t>ENST00000591159</t>
  </si>
  <si>
    <t>ENST00000591451</t>
  </si>
  <si>
    <t>ENST00000591846</t>
  </si>
  <si>
    <t>Q49AR2</t>
  </si>
  <si>
    <t>ENST00000325366</t>
  </si>
  <si>
    <t>ENST00000504464</t>
  </si>
  <si>
    <t>ENST00000507818</t>
  </si>
  <si>
    <t>ENST00000510530</t>
  </si>
  <si>
    <t>ENST00000510659</t>
  </si>
  <si>
    <t>ENST00000513967</t>
  </si>
  <si>
    <t>ENST00000515409</t>
  </si>
  <si>
    <t>Q49B96</t>
  </si>
  <si>
    <t>ENST00000344111</t>
  </si>
  <si>
    <t>ENST00000466146</t>
  </si>
  <si>
    <t>ENST00000466853</t>
  </si>
  <si>
    <t>Q4G0F5</t>
  </si>
  <si>
    <t>ENST00000281187</t>
  </si>
  <si>
    <t>ENST00000525918</t>
  </si>
  <si>
    <t>ENST00000527586</t>
  </si>
  <si>
    <t>ENST00000530402</t>
  </si>
  <si>
    <t>ENST00000531741</t>
  </si>
  <si>
    <t>ENST00000532160</t>
  </si>
  <si>
    <t>Q4G0I0</t>
  </si>
  <si>
    <t>ENST00000442039</t>
  </si>
  <si>
    <t>ENST00000563974</t>
  </si>
  <si>
    <t>Q4G0J3</t>
  </si>
  <si>
    <t>ENST00000324052</t>
  </si>
  <si>
    <t>ENST00000344442</t>
  </si>
  <si>
    <t>ENST00000503316</t>
  </si>
  <si>
    <t>ENST00000503898</t>
  </si>
  <si>
    <t>ENST00000505034</t>
  </si>
  <si>
    <t>ENST00000505216</t>
  </si>
  <si>
    <t>ENST00000507443</t>
  </si>
  <si>
    <t>ENST00000509061</t>
  </si>
  <si>
    <t>ENST00000509622</t>
  </si>
  <si>
    <t>ENST00000511529</t>
  </si>
  <si>
    <t>ENST00000512361</t>
  </si>
  <si>
    <t>ENST00000512589</t>
  </si>
  <si>
    <t>ENST00000513553</t>
  </si>
  <si>
    <t>Q4G0N4</t>
  </si>
  <si>
    <t>ENST00000381937</t>
  </si>
  <si>
    <t>ENST00000397338</t>
  </si>
  <si>
    <t>ENST00000404560</t>
  </si>
  <si>
    <t>ENST00000506945</t>
  </si>
  <si>
    <t>Q4G0X4</t>
  </si>
  <si>
    <t>ENST00000340067</t>
  </si>
  <si>
    <t>ENST00000525447</t>
  </si>
  <si>
    <t>Q4G176</t>
  </si>
  <si>
    <t>ENST00000317447</t>
  </si>
  <si>
    <t>ENST00000378345</t>
  </si>
  <si>
    <t>ENST00000393145</t>
  </si>
  <si>
    <t>ENST00000406948</t>
  </si>
  <si>
    <t>ENST00000535176</t>
  </si>
  <si>
    <t>ENST00000537116</t>
  </si>
  <si>
    <t>ENST00000537155</t>
  </si>
  <si>
    <t>ENST00000540697</t>
  </si>
  <si>
    <t>ENST00000543676</t>
  </si>
  <si>
    <t>ENST00000544543</t>
  </si>
  <si>
    <t>ENST00000562204</t>
  </si>
  <si>
    <t>Q4KMP7</t>
  </si>
  <si>
    <t>ENST00000409939</t>
  </si>
  <si>
    <t>ENST00000464644</t>
  </si>
  <si>
    <t>ENST00000475650</t>
  </si>
  <si>
    <t>ENST00000475872</t>
  </si>
  <si>
    <t>ENST00000478158</t>
  </si>
  <si>
    <t>ENST00000490703</t>
  </si>
  <si>
    <t>ENST00000566671</t>
  </si>
  <si>
    <t>Q4LDG9</t>
  </si>
  <si>
    <t>ENST00000553645</t>
  </si>
  <si>
    <t>ENST00000555631</t>
  </si>
  <si>
    <t>Q4V328</t>
  </si>
  <si>
    <t>ENST00000473581</t>
  </si>
  <si>
    <t>ENST00000474512</t>
  </si>
  <si>
    <t>ENST00000480041</t>
  </si>
  <si>
    <t>ENST00000488361</t>
  </si>
  <si>
    <t>ENST00000495258</t>
  </si>
  <si>
    <t>Q4VC31</t>
  </si>
  <si>
    <t>ENST00000291458</t>
  </si>
  <si>
    <t>ENST00000460810</t>
  </si>
  <si>
    <t>ENST00000466854</t>
  </si>
  <si>
    <t>ENST00000479414</t>
  </si>
  <si>
    <t>ENST00000479899</t>
  </si>
  <si>
    <t>ENST00000497726</t>
  </si>
  <si>
    <t>ENST00000498466</t>
  </si>
  <si>
    <t>Q4VX76</t>
  </si>
  <si>
    <t>ENST00000297239</t>
  </si>
  <si>
    <t>ENST00000360448</t>
  </si>
  <si>
    <t>ENST00000367081</t>
  </si>
  <si>
    <t>ENST00000469735</t>
  </si>
  <si>
    <t>Q52LR7</t>
  </si>
  <si>
    <t>ENST00000258484</t>
  </si>
  <si>
    <t>ENST00000409654</t>
  </si>
  <si>
    <t>ENST00000449013</t>
  </si>
  <si>
    <t>ENST00000491099</t>
  </si>
  <si>
    <t>Q53EP0</t>
  </si>
  <si>
    <t>ENST00000336824</t>
  </si>
  <si>
    <t>ENST00000415807</t>
  </si>
  <si>
    <t>ENST00000421757</t>
  </si>
  <si>
    <t>ENST00000469491</t>
  </si>
  <si>
    <t>ENST00000483344</t>
  </si>
  <si>
    <t>ENST00000490832</t>
  </si>
  <si>
    <t>ENST00000494000</t>
  </si>
  <si>
    <t>Q53ET0</t>
  </si>
  <si>
    <t>ENST00000303569</t>
  </si>
  <si>
    <t>ENST00000368633</t>
  </si>
  <si>
    <t>ENST00000476883</t>
  </si>
  <si>
    <t>ENST00000487235</t>
  </si>
  <si>
    <t>ENST00000492073</t>
  </si>
  <si>
    <t>ENST00000493909</t>
  </si>
  <si>
    <t>ENST00000524997</t>
  </si>
  <si>
    <t>Q53EZ4</t>
  </si>
  <si>
    <t>ENST00000371485</t>
  </si>
  <si>
    <t>Q53F19</t>
  </si>
  <si>
    <t>ENST00000389005</t>
  </si>
  <si>
    <t>ENST00000572988</t>
  </si>
  <si>
    <t>ENST00000574379</t>
  </si>
  <si>
    <t>ENST00000574911</t>
  </si>
  <si>
    <t>ENST00000575815</t>
  </si>
  <si>
    <t>ENST00000576523</t>
  </si>
  <si>
    <t>ENST00000577169</t>
  </si>
  <si>
    <t>Q53FT3</t>
  </si>
  <si>
    <t>ENST00000278483</t>
  </si>
  <si>
    <t>ENST00000528004</t>
  </si>
  <si>
    <t>ENST00000529405</t>
  </si>
  <si>
    <t>ENST00000530208</t>
  </si>
  <si>
    <t>ENST00000532270</t>
  </si>
  <si>
    <t>ENST00000533986</t>
  </si>
  <si>
    <t>Q53FV1</t>
  </si>
  <si>
    <t>ENST00000243045</t>
  </si>
  <si>
    <t>ENST00000546645</t>
  </si>
  <si>
    <t>ENST00000548974</t>
  </si>
  <si>
    <t>ENST00000550836</t>
  </si>
  <si>
    <t>Q53G44</t>
  </si>
  <si>
    <t>ENST00000370751</t>
  </si>
  <si>
    <t>ENST00000450498</t>
  </si>
  <si>
    <t>ENST00000459784</t>
  </si>
  <si>
    <t>ENST00000474002</t>
  </si>
  <si>
    <t>ENST00000476876</t>
  </si>
  <si>
    <t>ENST00000486882</t>
  </si>
  <si>
    <t>ENST00000494910</t>
  </si>
  <si>
    <t>Q53GL7</t>
  </si>
  <si>
    <t>ENST00000313028</t>
  </si>
  <si>
    <t>ENST00000524918</t>
  </si>
  <si>
    <t>ENST00000525773</t>
  </si>
  <si>
    <t>ENST00000526007</t>
  </si>
  <si>
    <t>ENST00000526985</t>
  </si>
  <si>
    <t>ENST00000527262</t>
  </si>
  <si>
    <t>ENST00000528580</t>
  </si>
  <si>
    <t>ENST00000528963</t>
  </si>
  <si>
    <t>ENST00000529842</t>
  </si>
  <si>
    <t>Q53GQ0</t>
  </si>
  <si>
    <t>ENST00000278353</t>
  </si>
  <si>
    <t>ENST00000395700</t>
  </si>
  <si>
    <t>ENST00000525736</t>
  </si>
  <si>
    <t>ENST00000527433</t>
  </si>
  <si>
    <t>ENST00000529261</t>
  </si>
  <si>
    <t>ENST00000532178</t>
  </si>
  <si>
    <t>ENST00000533090</t>
  </si>
  <si>
    <t>ENST00000534053</t>
  </si>
  <si>
    <t>Q53GS7</t>
  </si>
  <si>
    <t>ENST00000309971</t>
  </si>
  <si>
    <t>ENST00000372770</t>
  </si>
  <si>
    <t>ENST00000494417</t>
  </si>
  <si>
    <t>Q53GS9</t>
  </si>
  <si>
    <t>ENST00000323701</t>
  </si>
  <si>
    <t>ENST00000409025</t>
  </si>
  <si>
    <t>ENST00000409470</t>
  </si>
  <si>
    <t>ENST00000409766</t>
  </si>
  <si>
    <t>ENST00000455732</t>
  </si>
  <si>
    <t>ENST00000458268</t>
  </si>
  <si>
    <t>ENST00000459775</t>
  </si>
  <si>
    <t>ENST00000465514</t>
  </si>
  <si>
    <t>ENST00000490193</t>
  </si>
  <si>
    <t>ENST00000491659</t>
  </si>
  <si>
    <t>ENST00000493829</t>
  </si>
  <si>
    <t>ENST00000496047</t>
  </si>
  <si>
    <t>Q53GT1</t>
  </si>
  <si>
    <t>ENST00000328879</t>
  </si>
  <si>
    <t>ENST00000431430</t>
  </si>
  <si>
    <t>ENST00000443285</t>
  </si>
  <si>
    <t>ENST00000458248</t>
  </si>
  <si>
    <t>ENST00000479601</t>
  </si>
  <si>
    <t>ENST00000487090</t>
  </si>
  <si>
    <t>ENST00000490556</t>
  </si>
  <si>
    <t>Q53H12</t>
  </si>
  <si>
    <t>ENST00000355413</t>
  </si>
  <si>
    <t>ENST00000465241</t>
  </si>
  <si>
    <t>ENST00000494053</t>
  </si>
  <si>
    <t>ENST00000495028</t>
  </si>
  <si>
    <t>ENST00000496273</t>
  </si>
  <si>
    <t>ENST00000496784</t>
  </si>
  <si>
    <t>Q53H82</t>
  </si>
  <si>
    <t>ENST00000276590</t>
  </si>
  <si>
    <t>ENST00000517601</t>
  </si>
  <si>
    <t>ENST00000522447</t>
  </si>
  <si>
    <t>ENST00000522558</t>
  </si>
  <si>
    <t>Q53HC5</t>
  </si>
  <si>
    <t>ENST00000300976</t>
  </si>
  <si>
    <t>ENST00000595182</t>
  </si>
  <si>
    <t>Q53HC9</t>
  </si>
  <si>
    <t>ENST00000382125</t>
  </si>
  <si>
    <t>ENST00000398659</t>
  </si>
  <si>
    <t>ENST00000435721</t>
  </si>
  <si>
    <t>ENST00000443925</t>
  </si>
  <si>
    <t>ENST00000470625</t>
  </si>
  <si>
    <t>ENST00000478754</t>
  </si>
  <si>
    <t>ENST00000482570</t>
  </si>
  <si>
    <t>ENST00000496433</t>
  </si>
  <si>
    <t>Q53HL2</t>
  </si>
  <si>
    <t>ENST00000373055</t>
  </si>
  <si>
    <t>Q53QV2</t>
  </si>
  <si>
    <t>ENST00000395323</t>
  </si>
  <si>
    <t>ENST00000401506</t>
  </si>
  <si>
    <t>ENST00000406087</t>
  </si>
  <si>
    <t>ENST00000407930</t>
  </si>
  <si>
    <t>ENST00000412933</t>
  </si>
  <si>
    <t>ENST00000467242</t>
  </si>
  <si>
    <t>ENST00000484150</t>
  </si>
  <si>
    <t>Q53QZ3</t>
  </si>
  <si>
    <t>ENST00000295095</t>
  </si>
  <si>
    <t>ENST00000409869</t>
  </si>
  <si>
    <t>ENST00000469117</t>
  </si>
  <si>
    <t>ENST00000473426</t>
  </si>
  <si>
    <t>ENST00000548242</t>
  </si>
  <si>
    <t>ENST00000548800</t>
  </si>
  <si>
    <t>ENST00000548929</t>
  </si>
  <si>
    <t>ENST00000549436</t>
  </si>
  <si>
    <t>ENST00000552289</t>
  </si>
  <si>
    <t>ENST00000552641</t>
  </si>
  <si>
    <t>Q53R41</t>
  </si>
  <si>
    <t>ENST00000417376</t>
  </si>
  <si>
    <t>ENST00000438035</t>
  </si>
  <si>
    <t>ENST00000445210</t>
  </si>
  <si>
    <t>ENST00000453153</t>
  </si>
  <si>
    <t>ENST00000453929</t>
  </si>
  <si>
    <t>ENST00000487293</t>
  </si>
  <si>
    <t>ENST00000488516</t>
  </si>
  <si>
    <t>ENST00000488951</t>
  </si>
  <si>
    <t>Q53RE8</t>
  </si>
  <si>
    <t>ENST00000393537</t>
  </si>
  <si>
    <t>ENST00000443120</t>
  </si>
  <si>
    <t>Q53S33</t>
  </si>
  <si>
    <t>ENST00000295326</t>
  </si>
  <si>
    <t>ENST00000327428</t>
  </si>
  <si>
    <t>ENST00000477685</t>
  </si>
  <si>
    <t>ENST00000484655</t>
  </si>
  <si>
    <t>Q53T59</t>
  </si>
  <si>
    <t>ENST00000304031</t>
  </si>
  <si>
    <t>ENST00000402541</t>
  </si>
  <si>
    <t>ENST00000406618</t>
  </si>
  <si>
    <t>ENST00000415264</t>
  </si>
  <si>
    <t>ENST00000445102</t>
  </si>
  <si>
    <t>ENST00000458740</t>
  </si>
  <si>
    <t>Q53TQ3</t>
  </si>
  <si>
    <t>ENST00000403263</t>
  </si>
  <si>
    <t>ENST00000414320</t>
  </si>
  <si>
    <t>Q562E7</t>
  </si>
  <si>
    <t>ENST00000409644</t>
  </si>
  <si>
    <t>ENST00000418841</t>
  </si>
  <si>
    <t>ENST00000419248</t>
  </si>
  <si>
    <t>ENST00000464528</t>
  </si>
  <si>
    <t>ENST00000479966</t>
  </si>
  <si>
    <t>ENST00000492901</t>
  </si>
  <si>
    <t>ENST00000495411</t>
  </si>
  <si>
    <t>Q567U6</t>
  </si>
  <si>
    <t>ENST00000376300</t>
  </si>
  <si>
    <t>ENST00000460781</t>
  </si>
  <si>
    <t>ENST00000466171</t>
  </si>
  <si>
    <t>ENST00000470650</t>
  </si>
  <si>
    <t>ENST00000474006</t>
  </si>
  <si>
    <t>ENST00000474546</t>
  </si>
  <si>
    <t>ENST00000488908</t>
  </si>
  <si>
    <t>Q56P03</t>
  </si>
  <si>
    <t>ENST00000250454</t>
  </si>
  <si>
    <t>ENST00000554792</t>
  </si>
  <si>
    <t>ENST00000555683</t>
  </si>
  <si>
    <t>ENST00000555705</t>
  </si>
  <si>
    <t>Q56VL3</t>
  </si>
  <si>
    <t>ENST00000273860</t>
  </si>
  <si>
    <t>ENST00000381464</t>
  </si>
  <si>
    <t>ENST00000506226</t>
  </si>
  <si>
    <t>ENST00000508069</t>
  </si>
  <si>
    <t>ENST00000508632</t>
  </si>
  <si>
    <t>ENST00000512087</t>
  </si>
  <si>
    <t>ENST00000514155</t>
  </si>
  <si>
    <t>ENST00000514576</t>
  </si>
  <si>
    <t>Q58A45</t>
  </si>
  <si>
    <t>ENST00000380958</t>
  </si>
  <si>
    <t>ENST00000399613</t>
  </si>
  <si>
    <t>ENST00000503791</t>
  </si>
  <si>
    <t>Q5BJD5</t>
  </si>
  <si>
    <t>ENST00000299596</t>
  </si>
  <si>
    <t>ENST00000524543</t>
  </si>
  <si>
    <t>ENST00000528080</t>
  </si>
  <si>
    <t>ENST00000533723</t>
  </si>
  <si>
    <t>ENST00000533867</t>
  </si>
  <si>
    <t>Q5BJF2</t>
  </si>
  <si>
    <t>ENST00000226230</t>
  </si>
  <si>
    <t>ENST00000582113</t>
  </si>
  <si>
    <t>Q5BKU9</t>
  </si>
  <si>
    <t>ENST00000374741</t>
  </si>
  <si>
    <t>ENST00000571092</t>
  </si>
  <si>
    <t>ENST00000571503</t>
  </si>
  <si>
    <t>ENST00000573786</t>
  </si>
  <si>
    <t>ENST00000575963</t>
  </si>
  <si>
    <t>ENST00000575992</t>
  </si>
  <si>
    <t>Q5BKZ1</t>
  </si>
  <si>
    <t>ENST00000340281</t>
  </si>
  <si>
    <t>ENST00000370447</t>
  </si>
  <si>
    <t>ENST00000394583</t>
  </si>
  <si>
    <t>Q5C9Z4</t>
  </si>
  <si>
    <t>ENST00000275820</t>
  </si>
  <si>
    <t>ENST00000460332</t>
  </si>
  <si>
    <t>ENST00000469271</t>
  </si>
  <si>
    <t>ENST00000472491</t>
  </si>
  <si>
    <t>ENST00000475176</t>
  </si>
  <si>
    <t>ENST00000485661</t>
  </si>
  <si>
    <t>ENST00000486131</t>
  </si>
  <si>
    <t>Q5D1E8</t>
  </si>
  <si>
    <t>ENST00000373087</t>
  </si>
  <si>
    <t>ENST00000471012</t>
  </si>
  <si>
    <t>ENST00000472312</t>
  </si>
  <si>
    <t>Q5EBM0</t>
  </si>
  <si>
    <t>ENST00000256722</t>
  </si>
  <si>
    <t>ENST00000404168</t>
  </si>
  <si>
    <t>ENST00000458098</t>
  </si>
  <si>
    <t>ENST00000470479</t>
  </si>
  <si>
    <t>ENST00000478738</t>
  </si>
  <si>
    <t>Q5F1R6</t>
  </si>
  <si>
    <t>ENST00000342382</t>
  </si>
  <si>
    <t>ENST00000382021</t>
  </si>
  <si>
    <t>ENST00000506762</t>
  </si>
  <si>
    <t>ENST00000509626</t>
  </si>
  <si>
    <t>ENST00000512136</t>
  </si>
  <si>
    <t>ENST00000514237</t>
  </si>
  <si>
    <t>Q5H9U9</t>
  </si>
  <si>
    <t>ENST00000503190</t>
  </si>
  <si>
    <t>ENST00000505863</t>
  </si>
  <si>
    <t>ENST00000505890</t>
  </si>
  <si>
    <t>ENST00000510590</t>
  </si>
  <si>
    <t>ENST00000511577</t>
  </si>
  <si>
    <t>ENST00000512371</t>
  </si>
  <si>
    <t>ENST00000513103</t>
  </si>
  <si>
    <t>ENST00000513901</t>
  </si>
  <si>
    <t>ENST00000514580</t>
  </si>
  <si>
    <t>ENST00000514748</t>
  </si>
  <si>
    <t>ENST00000515088</t>
  </si>
  <si>
    <t>Q5HYI8</t>
  </si>
  <si>
    <t>ENST00000273375</t>
  </si>
  <si>
    <t>ENST00000473654</t>
  </si>
  <si>
    <t>ENST00000483733</t>
  </si>
  <si>
    <t>ENST00000491398</t>
  </si>
  <si>
    <t>Q5HYJ3</t>
  </si>
  <si>
    <t>ENST00000358780</t>
  </si>
  <si>
    <t>ENST00000398187</t>
  </si>
  <si>
    <t>ENST00000535919</t>
  </si>
  <si>
    <t>ENST00000536839</t>
  </si>
  <si>
    <t>ENST00000537749</t>
  </si>
  <si>
    <t>ENST00000538047</t>
  </si>
  <si>
    <t>ENST00000540054</t>
  </si>
  <si>
    <t>ENST00000541418</t>
  </si>
  <si>
    <t>ENST00000545654</t>
  </si>
  <si>
    <t>ENST00000545813</t>
  </si>
  <si>
    <t>Q5HYK3</t>
  </si>
  <si>
    <t>ENST00000288532</t>
  </si>
  <si>
    <t>ENST00000546838</t>
  </si>
  <si>
    <t>ENST00000547448</t>
  </si>
  <si>
    <t>ENST00000547736</t>
  </si>
  <si>
    <t>ENST00000552443</t>
  </si>
  <si>
    <t>Q5HYW2</t>
  </si>
  <si>
    <t>ENST00000373677</t>
  </si>
  <si>
    <t>Q5I7T1</t>
  </si>
  <si>
    <t>ENST00000308742</t>
  </si>
  <si>
    <t>ENST00000551464</t>
  </si>
  <si>
    <t>ENST00000553138</t>
  </si>
  <si>
    <t>Q5JPB2</t>
  </si>
  <si>
    <t>ENST00000371030</t>
  </si>
  <si>
    <t>Q5JPH6</t>
  </si>
  <si>
    <t>ENST00000449606</t>
  </si>
  <si>
    <t>ENST00000562402</t>
  </si>
  <si>
    <t>ENST00000563232</t>
  </si>
  <si>
    <t>ENST00000563459</t>
  </si>
  <si>
    <t>ENST00000564461</t>
  </si>
  <si>
    <t>ENST00000564501</t>
  </si>
  <si>
    <t>ENST00000564668</t>
  </si>
  <si>
    <t>ENST00000564759</t>
  </si>
  <si>
    <t>ENST00000564987</t>
  </si>
  <si>
    <t>ENST00000565344</t>
  </si>
  <si>
    <t>Q5JPI9</t>
  </si>
  <si>
    <t>ENST00000368836</t>
  </si>
  <si>
    <t>ENST00000464099</t>
  </si>
  <si>
    <t>ENST00000466270</t>
  </si>
  <si>
    <t>ENST00000468738</t>
  </si>
  <si>
    <t>ENST00000495711</t>
  </si>
  <si>
    <t>ENST00000498770</t>
  </si>
  <si>
    <t>Q5JRA6</t>
  </si>
  <si>
    <t>ENST00000340535</t>
  </si>
  <si>
    <t>ENST00000344922</t>
  </si>
  <si>
    <t>ENST00000450260</t>
  </si>
  <si>
    <t>ENST00000467190</t>
  </si>
  <si>
    <t>ENST00000470521</t>
  </si>
  <si>
    <t>ENST00000476400</t>
  </si>
  <si>
    <t>ENST00000477519</t>
  </si>
  <si>
    <t>Q5JRX3</t>
  </si>
  <si>
    <t>ENST00000224949</t>
  </si>
  <si>
    <t>ENST00000380989</t>
  </si>
  <si>
    <t>ENST00000380994</t>
  </si>
  <si>
    <t>ENST00000424714</t>
  </si>
  <si>
    <t>ENST00000430362</t>
  </si>
  <si>
    <t>ENST00000455371</t>
  </si>
  <si>
    <t>ENST00000464395</t>
  </si>
  <si>
    <t>ENST00000488065</t>
  </si>
  <si>
    <t>ENST00000490510</t>
  </si>
  <si>
    <t>Q5JS54</t>
  </si>
  <si>
    <t>ENST00000324987</t>
  </si>
  <si>
    <t>ENST00000380305</t>
  </si>
  <si>
    <t>ENST00000419065</t>
  </si>
  <si>
    <t>ENST00000438998</t>
  </si>
  <si>
    <t>ENST00000451246</t>
  </si>
  <si>
    <t>ENST00000454610</t>
  </si>
  <si>
    <t>ENST00000473000</t>
  </si>
  <si>
    <t>Q5JSL3</t>
  </si>
  <si>
    <t>ENST00000276202</t>
  </si>
  <si>
    <t>ENST00000276204</t>
  </si>
  <si>
    <t>Q5JSP0</t>
  </si>
  <si>
    <t>ENST00000337352</t>
  </si>
  <si>
    <t>ENST00000375482</t>
  </si>
  <si>
    <t>ENST00000416701</t>
  </si>
  <si>
    <t>ENST00000467786</t>
  </si>
  <si>
    <t>ENST00000468206</t>
  </si>
  <si>
    <t>ENST00000488407</t>
  </si>
  <si>
    <t>ENST00000494553</t>
  </si>
  <si>
    <t>Q5JSZ5</t>
  </si>
  <si>
    <t>ENST00000357304</t>
  </si>
  <si>
    <t>ENST00000405995</t>
  </si>
  <si>
    <t>ENST00000451855</t>
  </si>
  <si>
    <t>ENST00000456307</t>
  </si>
  <si>
    <t>ENST00000458550</t>
  </si>
  <si>
    <t>ENST00000465931</t>
  </si>
  <si>
    <t>ENST00000489593</t>
  </si>
  <si>
    <t>Q5JTH9</t>
  </si>
  <si>
    <t>ENST00000370992</t>
  </si>
  <si>
    <t>ENST00000439965</t>
  </si>
  <si>
    <t>ENST00000465394</t>
  </si>
  <si>
    <t>ENST00000479317</t>
  </si>
  <si>
    <t>ENST00000479481</t>
  </si>
  <si>
    <t>ENST00000487612</t>
  </si>
  <si>
    <t>ENST00000491313</t>
  </si>
  <si>
    <t>ENST00000536831</t>
  </si>
  <si>
    <t>Q5JTV8</t>
  </si>
  <si>
    <t>ENST00000271583</t>
  </si>
  <si>
    <t>ENST00000435319</t>
  </si>
  <si>
    <t>ENST00000474875</t>
  </si>
  <si>
    <t>ENST00000524653</t>
  </si>
  <si>
    <t>ENST00000527391</t>
  </si>
  <si>
    <t>ENST00000528443</t>
  </si>
  <si>
    <t>ENST00000531726</t>
  </si>
  <si>
    <t>ENST00000606911</t>
  </si>
  <si>
    <t>Q5JTW2</t>
  </si>
  <si>
    <t>ENST00000277082</t>
  </si>
  <si>
    <t>ENST00000376597</t>
  </si>
  <si>
    <t>ENST00000376598</t>
  </si>
  <si>
    <t>ENST00000415759</t>
  </si>
  <si>
    <t>ENST00000424347</t>
  </si>
  <si>
    <t>ENST00000447629</t>
  </si>
  <si>
    <t>ENST00000487108</t>
  </si>
  <si>
    <t>ENST00000498582</t>
  </si>
  <si>
    <t>ENST00000536374</t>
  </si>
  <si>
    <t>Q5JTZ9</t>
  </si>
  <si>
    <t>ENST00000244571</t>
  </si>
  <si>
    <t>ENST00000491573</t>
  </si>
  <si>
    <t>Q5JU69</t>
  </si>
  <si>
    <t>ENST00000336067</t>
  </si>
  <si>
    <t>ENST00000373281</t>
  </si>
  <si>
    <t>ENST00000373284</t>
  </si>
  <si>
    <t>ENST00000463256</t>
  </si>
  <si>
    <t>ENST00000463577</t>
  </si>
  <si>
    <t>ENST00000472723</t>
  </si>
  <si>
    <t>ENST00000493439</t>
  </si>
  <si>
    <t>ENST00000494135</t>
  </si>
  <si>
    <t>ENST00000496460</t>
  </si>
  <si>
    <t>Q5JUQ0</t>
  </si>
  <si>
    <t>ENST00000247295</t>
  </si>
  <si>
    <t>ENST00000372269</t>
  </si>
  <si>
    <t>ENST00000372271</t>
  </si>
  <si>
    <t>Q5JUR7</t>
  </si>
  <si>
    <t>ENST00000376019</t>
  </si>
  <si>
    <t>ENST00000376021</t>
  </si>
  <si>
    <t>ENST00000376022</t>
  </si>
  <si>
    <t>ENST00000376027</t>
  </si>
  <si>
    <t>ENST00000376029</t>
  </si>
  <si>
    <t>ENST00000376032</t>
  </si>
  <si>
    <t>ENST00000487260</t>
  </si>
  <si>
    <t>Q5JVS0</t>
  </si>
  <si>
    <t>ENST00000375249</t>
  </si>
  <si>
    <t>ENST00000375251</t>
  </si>
  <si>
    <t>ENST00000466976</t>
  </si>
  <si>
    <t>Q5K651</t>
  </si>
  <si>
    <t>ENST00000379958</t>
  </si>
  <si>
    <t>Q5NDL2</t>
  </si>
  <si>
    <t>ENST00000383701</t>
  </si>
  <si>
    <t>ENST00000424374</t>
  </si>
  <si>
    <t>ENST00000480846</t>
  </si>
  <si>
    <t>ENST00000496647</t>
  </si>
  <si>
    <t>ENST00000540764</t>
  </si>
  <si>
    <t>Q5QJ74</t>
  </si>
  <si>
    <t>ENST00000284259</t>
  </si>
  <si>
    <t>ENST00000422003</t>
  </si>
  <si>
    <t>ENST00000524726</t>
  </si>
  <si>
    <t>ENST00000528512</t>
  </si>
  <si>
    <t>ENST00000530362</t>
  </si>
  <si>
    <t>ENST00000531148</t>
  </si>
  <si>
    <t>ENST00000533169</t>
  </si>
  <si>
    <t>ENST00000533712</t>
  </si>
  <si>
    <t>Q5QJE6</t>
  </si>
  <si>
    <t>ENST00000436063</t>
  </si>
  <si>
    <t>ENST00000460191</t>
  </si>
  <si>
    <t>ENST00000462746</t>
  </si>
  <si>
    <t>ENST00000496535</t>
  </si>
  <si>
    <t>ENST00000496672</t>
  </si>
  <si>
    <t>ENST00000528680</t>
  </si>
  <si>
    <t>Q5QP82</t>
  </si>
  <si>
    <t>ENST00000242323</t>
  </si>
  <si>
    <t>ENST00000377724</t>
  </si>
  <si>
    <t>ENST00000461549</t>
  </si>
  <si>
    <t>ENST00000483167</t>
  </si>
  <si>
    <t>Q5R3I4</t>
  </si>
  <si>
    <t>ENST00000381031</t>
  </si>
  <si>
    <t>ENST00000417709</t>
  </si>
  <si>
    <t>ENST00000422713</t>
  </si>
  <si>
    <t>ENST00000451998</t>
  </si>
  <si>
    <t>ENST00000475467</t>
  </si>
  <si>
    <t>Q5RI15</t>
  </si>
  <si>
    <t>ENST00000366528</t>
  </si>
  <si>
    <t>ENST00000391839</t>
  </si>
  <si>
    <t>ENST00000411948</t>
  </si>
  <si>
    <t>ENST00000464757</t>
  </si>
  <si>
    <t>ENST00000498262</t>
  </si>
  <si>
    <t>Q5RKV6</t>
  </si>
  <si>
    <t>ENST00000435634</t>
  </si>
  <si>
    <t>Q5S007</t>
  </si>
  <si>
    <t>ENST00000298910</t>
  </si>
  <si>
    <t>Q5SNT2</t>
  </si>
  <si>
    <t>ENST00000340305</t>
  </si>
  <si>
    <t>ENST00000340381</t>
  </si>
  <si>
    <t>ENST00000508400</t>
  </si>
  <si>
    <t>ENST00000510900</t>
  </si>
  <si>
    <t>Q5SRE5</t>
  </si>
  <si>
    <t>ENST00000372577</t>
  </si>
  <si>
    <t>ENST00000464729</t>
  </si>
  <si>
    <t>ENST00000465344</t>
  </si>
  <si>
    <t>ENST00000467044</t>
  </si>
  <si>
    <t>ENST00000477069</t>
  </si>
  <si>
    <t>ENST00000485158</t>
  </si>
  <si>
    <t>ENST00000487952</t>
  </si>
  <si>
    <t>ENST00000491502</t>
  </si>
  <si>
    <t>ENST00000495726</t>
  </si>
  <si>
    <t>ENST00000550219</t>
  </si>
  <si>
    <t>Q5SSJ5</t>
  </si>
  <si>
    <t>ENST00000312239</t>
  </si>
  <si>
    <t>ENST00000375000</t>
  </si>
  <si>
    <t>ENST00000375003</t>
  </si>
  <si>
    <t>ENST00000419948</t>
  </si>
  <si>
    <t>ENST00000424732</t>
  </si>
  <si>
    <t>ENST00000437575</t>
  </si>
  <si>
    <t>ENST00000438032</t>
  </si>
  <si>
    <t>ENST00000443615</t>
  </si>
  <si>
    <t>ENST00000487117</t>
  </si>
  <si>
    <t>ENST00000488722</t>
  </si>
  <si>
    <t>ENST00000491748</t>
  </si>
  <si>
    <t>Q5SW79</t>
  </si>
  <si>
    <t>ENST00000336415</t>
  </si>
  <si>
    <t>ENST00000366542</t>
  </si>
  <si>
    <t>ENST00000366543</t>
  </si>
  <si>
    <t>ENST00000366544</t>
  </si>
  <si>
    <t>ENST00000413359</t>
  </si>
  <si>
    <t>ENST00000439296</t>
  </si>
  <si>
    <t>ENST00000461671</t>
  </si>
  <si>
    <t>ENST00000468254</t>
  </si>
  <si>
    <t>ENST00000468697</t>
  </si>
  <si>
    <t>ENST00000469646</t>
  </si>
  <si>
    <t>ENST00000476661</t>
  </si>
  <si>
    <t>ENST00000481987</t>
  </si>
  <si>
    <t>ENST00000521911</t>
  </si>
  <si>
    <t>ENST00000522191</t>
  </si>
  <si>
    <t>ENST00000522522</t>
  </si>
  <si>
    <t>ENST00000522895</t>
  </si>
  <si>
    <t>ENST00000522995</t>
  </si>
  <si>
    <t>ENST00000523581</t>
  </si>
  <si>
    <t>Q5SW96</t>
  </si>
  <si>
    <t>ENST00000374338</t>
  </si>
  <si>
    <t>ENST00000462394</t>
  </si>
  <si>
    <t>ENST00000470950</t>
  </si>
  <si>
    <t>ENST00000474283</t>
  </si>
  <si>
    <t>ENST00000484476</t>
  </si>
  <si>
    <t>ENST00000485476</t>
  </si>
  <si>
    <t>ENST00000488127</t>
  </si>
  <si>
    <t>Q5SXM2</t>
  </si>
  <si>
    <t>ENST00000298532</t>
  </si>
  <si>
    <t>Q5SXM8</t>
  </si>
  <si>
    <t>ENST00000371738</t>
  </si>
  <si>
    <t>ENST00000371739</t>
  </si>
  <si>
    <t>Q5SY16</t>
  </si>
  <si>
    <t>ENST00000377705</t>
  </si>
  <si>
    <t>ENST00000460777</t>
  </si>
  <si>
    <t>ENST00000462798</t>
  </si>
  <si>
    <t>ENST00000464383</t>
  </si>
  <si>
    <t>Q5SZL2</t>
  </si>
  <si>
    <t>ENST00000368488</t>
  </si>
  <si>
    <t>ENST00000368491</t>
  </si>
  <si>
    <t>ENST00000392500</t>
  </si>
  <si>
    <t>ENST00000419517</t>
  </si>
  <si>
    <t>ENST00000434604</t>
  </si>
  <si>
    <t>ENST00000483035</t>
  </si>
  <si>
    <t>ENST00000489276</t>
  </si>
  <si>
    <t>Q5T160</t>
  </si>
  <si>
    <t>ENST00000369536</t>
  </si>
  <si>
    <t>ENST00000451155</t>
  </si>
  <si>
    <t>ENST00000493269</t>
  </si>
  <si>
    <t>ENST00000497828</t>
  </si>
  <si>
    <t>Q5T1C6</t>
  </si>
  <si>
    <t>ENST00000368814</t>
  </si>
  <si>
    <t>ENST00000471464</t>
  </si>
  <si>
    <t>ENST00000477437</t>
  </si>
  <si>
    <t>ENST00000483207</t>
  </si>
  <si>
    <t>ENST00000489410</t>
  </si>
  <si>
    <t>Q5T1M5</t>
  </si>
  <si>
    <t>ENST00000238256</t>
  </si>
  <si>
    <t>ENST00000414250</t>
  </si>
  <si>
    <t>ENST00000446284</t>
  </si>
  <si>
    <t>ENST00000462889</t>
  </si>
  <si>
    <t>ENST00000489645</t>
  </si>
  <si>
    <t>ENST00000493847</t>
  </si>
  <si>
    <t>Q5T200</t>
  </si>
  <si>
    <t>ENST00000242848</t>
  </si>
  <si>
    <t>ENST00000282007</t>
  </si>
  <si>
    <t>ENST00000428921</t>
  </si>
  <si>
    <t>ENST00000464597</t>
  </si>
  <si>
    <t>ENST00000470308</t>
  </si>
  <si>
    <t>Q5T280</t>
  </si>
  <si>
    <t>ENST00000361256</t>
  </si>
  <si>
    <t>ENST00000466556</t>
  </si>
  <si>
    <t>ENST00000467396</t>
  </si>
  <si>
    <t>ENST00000467582</t>
  </si>
  <si>
    <t>ENST00000480366</t>
  </si>
  <si>
    <t>Q5T2T1</t>
  </si>
  <si>
    <t>ENST00000337532</t>
  </si>
  <si>
    <t>ENST00000474682</t>
  </si>
  <si>
    <t>ENST00000496637</t>
  </si>
  <si>
    <t>Q5T3I0</t>
  </si>
  <si>
    <t>ENST00000368232</t>
  </si>
  <si>
    <t>ENST00000415314</t>
  </si>
  <si>
    <t>ENST00000473910</t>
  </si>
  <si>
    <t>ENST00000474904</t>
  </si>
  <si>
    <t>ENST00000494414</t>
  </si>
  <si>
    <t>ENST00000498641</t>
  </si>
  <si>
    <t>ENST00000498756</t>
  </si>
  <si>
    <t>ENST00000506832</t>
  </si>
  <si>
    <t>ENST00000525375</t>
  </si>
  <si>
    <t>ENST00000527691</t>
  </si>
  <si>
    <t>ENST00000529520</t>
  </si>
  <si>
    <t>ENST00000531129</t>
  </si>
  <si>
    <t>ENST00000531900</t>
  </si>
  <si>
    <t>Q5T3J3</t>
  </si>
  <si>
    <t>ENST00000369763</t>
  </si>
  <si>
    <t>ENST00000485275</t>
  </si>
  <si>
    <t>ENST00000494675</t>
  </si>
  <si>
    <t>Q5T440</t>
  </si>
  <si>
    <t>ENST00000366711</t>
  </si>
  <si>
    <t>ENST00000484749</t>
  </si>
  <si>
    <t>Q5T447</t>
  </si>
  <si>
    <t>ENST00000372168</t>
  </si>
  <si>
    <t>ENST00000372172</t>
  </si>
  <si>
    <t>ENST00000466423</t>
  </si>
  <si>
    <t>ENST00000484564</t>
  </si>
  <si>
    <t>ENST00000486132</t>
  </si>
  <si>
    <t>ENST00000486296</t>
  </si>
  <si>
    <t>ENST00000487488</t>
  </si>
  <si>
    <t>Q5T5X7</t>
  </si>
  <si>
    <t>ENST00000369042</t>
  </si>
  <si>
    <t>Q5T653</t>
  </si>
  <si>
    <t>ENST00000230413</t>
  </si>
  <si>
    <t>ENST00000388752</t>
  </si>
  <si>
    <t>ENST00000468957</t>
  </si>
  <si>
    <t>ENST00000470667</t>
  </si>
  <si>
    <t>ENST00000480286</t>
  </si>
  <si>
    <t>ENST00000485654</t>
  </si>
  <si>
    <t>ENST00000487429</t>
  </si>
  <si>
    <t>ENST00000489623</t>
  </si>
  <si>
    <t>ENST00000491898</t>
  </si>
  <si>
    <t>Q5T6F2</t>
  </si>
  <si>
    <t>ENST00000379225</t>
  </si>
  <si>
    <t>ENST00000379235</t>
  </si>
  <si>
    <t>ENST00000379238</t>
  </si>
  <si>
    <t>ENST00000459988</t>
  </si>
  <si>
    <t>ENST00000474372</t>
  </si>
  <si>
    <t>ENST00000480885</t>
  </si>
  <si>
    <t>ENST00000488443</t>
  </si>
  <si>
    <t>Q5T6J7</t>
  </si>
  <si>
    <t>ENST00000376419</t>
  </si>
  <si>
    <t>ENST00000405990</t>
  </si>
  <si>
    <t>ENST00000454393</t>
  </si>
  <si>
    <t>ENST00000530832</t>
  </si>
  <si>
    <t>ENST00000533522</t>
  </si>
  <si>
    <t>Q5T6V5</t>
  </si>
  <si>
    <t>ENST00000376344</t>
  </si>
  <si>
    <t>Q5T9A4</t>
  </si>
  <si>
    <t>ENST00000308647</t>
  </si>
  <si>
    <t>ENST00000378736</t>
  </si>
  <si>
    <t>ENST00000472194</t>
  </si>
  <si>
    <t>ENST00000474481</t>
  </si>
  <si>
    <t>ENST00000485748</t>
  </si>
  <si>
    <t>Q5T9C2</t>
  </si>
  <si>
    <t>ENST00000373084</t>
  </si>
  <si>
    <t>ENST00000373095</t>
  </si>
  <si>
    <t>ENST00000465821</t>
  </si>
  <si>
    <t>ENST00000479828</t>
  </si>
  <si>
    <t>ENST00000493175</t>
  </si>
  <si>
    <t>ENST00000494606</t>
  </si>
  <si>
    <t>Q5TA50</t>
  </si>
  <si>
    <t>ENST00000343938</t>
  </si>
  <si>
    <t>ENST00000464957</t>
  </si>
  <si>
    <t>ENST00000488011</t>
  </si>
  <si>
    <t>Q5TAQ9</t>
  </si>
  <si>
    <t>ENST00000326837</t>
  </si>
  <si>
    <t>ENST00000368073</t>
  </si>
  <si>
    <t>ENST00000368074</t>
  </si>
  <si>
    <t>ENST00000407642</t>
  </si>
  <si>
    <t>ENST00000419626</t>
  </si>
  <si>
    <t>ENST00000447377</t>
  </si>
  <si>
    <t>ENST00000461888</t>
  </si>
  <si>
    <t>ENST00000466253</t>
  </si>
  <si>
    <t>ENST00000473382</t>
  </si>
  <si>
    <t>ENST00000476033</t>
  </si>
  <si>
    <t>ENST00000477163</t>
  </si>
  <si>
    <t>ENST00000481831</t>
  </si>
  <si>
    <t>ENST00000490368</t>
  </si>
  <si>
    <t>ENST00000495887</t>
  </si>
  <si>
    <t>ENST00000497354</t>
  </si>
  <si>
    <t>ENST00000610139</t>
  </si>
  <si>
    <t>Q5TAX3</t>
  </si>
  <si>
    <t>ENST00000257177</t>
  </si>
  <si>
    <t>ENST00000355809</t>
  </si>
  <si>
    <t>ENST00000371541</t>
  </si>
  <si>
    <t>ENST00000371544</t>
  </si>
  <si>
    <t>ENST00000466440</t>
  </si>
  <si>
    <t>ENST00000469810</t>
  </si>
  <si>
    <t>ENST00000470212</t>
  </si>
  <si>
    <t>ENST00000470626</t>
  </si>
  <si>
    <t>ENST00000471623</t>
  </si>
  <si>
    <t>ENST00000473856</t>
  </si>
  <si>
    <t>ENST00000474453</t>
  </si>
  <si>
    <t>ENST00000481133</t>
  </si>
  <si>
    <t>ENST00000481528</t>
  </si>
  <si>
    <t>ENST00000494469</t>
  </si>
  <si>
    <t>ENST00000497120</t>
  </si>
  <si>
    <t>ENST00000524582</t>
  </si>
  <si>
    <t>ENST00000527941</t>
  </si>
  <si>
    <t>ENST00000528642</t>
  </si>
  <si>
    <t>ENST00000531722</t>
  </si>
  <si>
    <t>Q5TBB1</t>
  </si>
  <si>
    <t>ENST00000336617</t>
  </si>
  <si>
    <t>ENST00000422660</t>
  </si>
  <si>
    <t>ENST00000495244</t>
  </si>
  <si>
    <t>Q5TDH0</t>
  </si>
  <si>
    <t>ENST00000480945</t>
  </si>
  <si>
    <t>ENST00000483899</t>
  </si>
  <si>
    <t>ENST00000486680</t>
  </si>
  <si>
    <t>ENST00000546927</t>
  </si>
  <si>
    <t>ENST00000548451</t>
  </si>
  <si>
    <t>Q5TEJ8</t>
  </si>
  <si>
    <t>ENST00000328928</t>
  </si>
  <si>
    <t>ENST00000373921</t>
  </si>
  <si>
    <t>ENST00000373927</t>
  </si>
  <si>
    <t>ENST00000492877</t>
  </si>
  <si>
    <t>Q5TFE4</t>
  </si>
  <si>
    <t>ENST00000319550</t>
  </si>
  <si>
    <t>ENST00000417846</t>
  </si>
  <si>
    <t>ENST00000419791</t>
  </si>
  <si>
    <t>ENST00000460749</t>
  </si>
  <si>
    <t>Q5TGY3</t>
  </si>
  <si>
    <t>ENST00000247087</t>
  </si>
  <si>
    <t>ENST00000374011</t>
  </si>
  <si>
    <t>ENST00000487743</t>
  </si>
  <si>
    <t>ENST00000490295</t>
  </si>
  <si>
    <t>Q5THK1</t>
  </si>
  <si>
    <t>ENST00000327423</t>
  </si>
  <si>
    <t>ENST00000412743</t>
  </si>
  <si>
    <t>ENST00000432485</t>
  </si>
  <si>
    <t>ENST00000461722</t>
  </si>
  <si>
    <t>ENST00000492705</t>
  </si>
  <si>
    <t>Q5TZA2</t>
  </si>
  <si>
    <t>ENST00000375541</t>
  </si>
  <si>
    <t>ENST00000465021</t>
  </si>
  <si>
    <t>ENST00000465291</t>
  </si>
  <si>
    <t>ENST00000466256</t>
  </si>
  <si>
    <t>ENST00000477773</t>
  </si>
  <si>
    <t>ENST00000494191</t>
  </si>
  <si>
    <t>ENST00000497654</t>
  </si>
  <si>
    <t>Q5U3C3</t>
  </si>
  <si>
    <t>ENST00000372072</t>
  </si>
  <si>
    <t>ENST00000461715</t>
  </si>
  <si>
    <t>ENST00000464177</t>
  </si>
  <si>
    <t>ENST00000497754</t>
  </si>
  <si>
    <t>Q5U5Q3</t>
  </si>
  <si>
    <t>ENST00000406189</t>
  </si>
  <si>
    <t>ENST00000592416</t>
  </si>
  <si>
    <t>Q5U5X0</t>
  </si>
  <si>
    <t>ENST00000379380</t>
  </si>
  <si>
    <t>ENST00000507584</t>
  </si>
  <si>
    <t>Q5VSL9</t>
  </si>
  <si>
    <t>ENST00000369795</t>
  </si>
  <si>
    <t>ENST00000461054</t>
  </si>
  <si>
    <t>ENST00000473429</t>
  </si>
  <si>
    <t>ENST00000485775</t>
  </si>
  <si>
    <t>ENST00000489059</t>
  </si>
  <si>
    <t>ENST00000535003</t>
  </si>
  <si>
    <t>ENST00000539541</t>
  </si>
  <si>
    <t>ENST00000540970</t>
  </si>
  <si>
    <t>Q5VT06</t>
  </si>
  <si>
    <t>ENST00000357434</t>
  </si>
  <si>
    <t>ENST00000367607</t>
  </si>
  <si>
    <t>ENST00000417046</t>
  </si>
  <si>
    <t>ENST00000418229</t>
  </si>
  <si>
    <t>ENST00000437245</t>
  </si>
  <si>
    <t>ENST00000490047</t>
  </si>
  <si>
    <t>ENST00000491495</t>
  </si>
  <si>
    <t>Q5VTL8</t>
  </si>
  <si>
    <t>ENST00000370021</t>
  </si>
  <si>
    <t>ENST00000370025</t>
  </si>
  <si>
    <t>ENST00000485810</t>
  </si>
  <si>
    <t>Q5VTR2</t>
  </si>
  <si>
    <t>ENST00000374819</t>
  </si>
  <si>
    <t>ENST00000389120</t>
  </si>
  <si>
    <t>ENST00000478072</t>
  </si>
  <si>
    <t>ENST00000481046</t>
  </si>
  <si>
    <t>Q5VUA4</t>
  </si>
  <si>
    <t>ENST00000361428</t>
  </si>
  <si>
    <t>ENST00000605935</t>
  </si>
  <si>
    <t>Q5VUM1</t>
  </si>
  <si>
    <t>ENST00000370474</t>
  </si>
  <si>
    <t>ENST00000468640</t>
  </si>
  <si>
    <t>Q5VV17</t>
  </si>
  <si>
    <t>ENST00000376495</t>
  </si>
  <si>
    <t>Q5VV42</t>
  </si>
  <si>
    <t>ENST00000274695</t>
  </si>
  <si>
    <t>ENST00000378610</t>
  </si>
  <si>
    <t>ENST00000476517</t>
  </si>
  <si>
    <t>Q5VVJ2</t>
  </si>
  <si>
    <t>ENST00000401044</t>
  </si>
  <si>
    <t>ENST00000472487</t>
  </si>
  <si>
    <t>ENST00000481973</t>
  </si>
  <si>
    <t>ENST00000483003</t>
  </si>
  <si>
    <t>ENST00000489282</t>
  </si>
  <si>
    <t>ENST00000493821</t>
  </si>
  <si>
    <t>Q5VW32</t>
  </si>
  <si>
    <t>ENST00000340934</t>
  </si>
  <si>
    <t>ENST00000426638</t>
  </si>
  <si>
    <t>ENST00000469236</t>
  </si>
  <si>
    <t>ENST00000496267</t>
  </si>
  <si>
    <t>ENST00000537020</t>
  </si>
  <si>
    <t>Q5VW36</t>
  </si>
  <si>
    <t>ENST00000338382</t>
  </si>
  <si>
    <t>ENST00000380249</t>
  </si>
  <si>
    <t>ENST00000603844</t>
  </si>
  <si>
    <t>ENST00000604828</t>
  </si>
  <si>
    <t>ENST00000605086</t>
  </si>
  <si>
    <t>Q5VWG9</t>
  </si>
  <si>
    <t>ENST00000344293</t>
  </si>
  <si>
    <t>Q5VWJ9</t>
  </si>
  <si>
    <t>ENST00000374232</t>
  </si>
  <si>
    <t>ENST00000604751</t>
  </si>
  <si>
    <t>Q5VWN6</t>
  </si>
  <si>
    <t>ENST00000328090</t>
  </si>
  <si>
    <t>ENST00000380270</t>
  </si>
  <si>
    <t>ENST00000459693</t>
  </si>
  <si>
    <t>ENST00000473789</t>
  </si>
  <si>
    <t>ENST00000477043</t>
  </si>
  <si>
    <t>ENST00000480839</t>
  </si>
  <si>
    <t>ENST00000487196</t>
  </si>
  <si>
    <t>ENST00000496681</t>
  </si>
  <si>
    <t>ENST00000527124</t>
  </si>
  <si>
    <t>ENST00000532080</t>
  </si>
  <si>
    <t>Q5VWQ0</t>
  </si>
  <si>
    <t>ENST00000261441</t>
  </si>
  <si>
    <t>ENST00000476412</t>
  </si>
  <si>
    <t>Q5VWZ2</t>
  </si>
  <si>
    <t>ENST00000366927</t>
  </si>
  <si>
    <t>ENST00000366928</t>
  </si>
  <si>
    <t>ENST00000460522</t>
  </si>
  <si>
    <t>ENST00000469590</t>
  </si>
  <si>
    <t>ENST00000475724</t>
  </si>
  <si>
    <t>ENST00000481007</t>
  </si>
  <si>
    <t>ENST00000483635</t>
  </si>
  <si>
    <t>ENST00000496776</t>
  </si>
  <si>
    <t>Q5VYK3</t>
  </si>
  <si>
    <t>ENST00000259335</t>
  </si>
  <si>
    <t>ENST00000338205</t>
  </si>
  <si>
    <t>ENST00000465499</t>
  </si>
  <si>
    <t>ENST00000602447</t>
  </si>
  <si>
    <t>Q5VZ89</t>
  </si>
  <si>
    <t>ENST00000361024</t>
  </si>
  <si>
    <t>ENST00000380424</t>
  </si>
  <si>
    <t>ENST00000380427</t>
  </si>
  <si>
    <t>ENST00000380437</t>
  </si>
  <si>
    <t>ENST00000434457</t>
  </si>
  <si>
    <t>ENST00000602442</t>
  </si>
  <si>
    <t>ENST00000602708</t>
  </si>
  <si>
    <t>ENST00000602925</t>
  </si>
  <si>
    <t>Q5VZE5</t>
  </si>
  <si>
    <t>ENST00000361671</t>
  </si>
  <si>
    <t>ENST00000416045</t>
  </si>
  <si>
    <t>Q5VZK9</t>
  </si>
  <si>
    <t>ENST00000329474</t>
  </si>
  <si>
    <t>ENST00000497227</t>
  </si>
  <si>
    <t>Q5W0B1</t>
  </si>
  <si>
    <t>ENST00000282003</t>
  </si>
  <si>
    <t>Q5XKP0</t>
  </si>
  <si>
    <t>ENST00000309324</t>
  </si>
  <si>
    <t>ENST00000585605</t>
  </si>
  <si>
    <t>ENST00000587589</t>
  </si>
  <si>
    <t>ENST00000587950</t>
  </si>
  <si>
    <t>ENST00000590075</t>
  </si>
  <si>
    <t>ENST00000590389</t>
  </si>
  <si>
    <t>Q5XPI4</t>
  </si>
  <si>
    <t>ENST00000327697</t>
  </si>
  <si>
    <t>ENST00000433785</t>
  </si>
  <si>
    <t>ENST00000443204</t>
  </si>
  <si>
    <t>ENST00000444689</t>
  </si>
  <si>
    <t>ENST00000454491</t>
  </si>
  <si>
    <t>ENST00000469978</t>
  </si>
  <si>
    <t>ENST00000486102</t>
  </si>
  <si>
    <t>ENST00000487805</t>
  </si>
  <si>
    <t>ENST00000494005</t>
  </si>
  <si>
    <t>ENST00000497099</t>
  </si>
  <si>
    <t>ENST00000498376</t>
  </si>
  <si>
    <t>Q63HN8</t>
  </si>
  <si>
    <t>ENST00000319921</t>
  </si>
  <si>
    <t>ENST00000411702</t>
  </si>
  <si>
    <t>ENST00000427003</t>
  </si>
  <si>
    <t>ENST00000508628</t>
  </si>
  <si>
    <t>ENST00000558116</t>
  </si>
  <si>
    <t>ENST00000558488</t>
  </si>
  <si>
    <t>ENST00000559070</t>
  </si>
  <si>
    <t>ENST00000559603</t>
  </si>
  <si>
    <t>ENST00000559864</t>
  </si>
  <si>
    <t>ENST00000560083</t>
  </si>
  <si>
    <t>ENST00000560694</t>
  </si>
  <si>
    <t>ENST00000570776</t>
  </si>
  <si>
    <t>ENST00000571908</t>
  </si>
  <si>
    <t>ENST00000572622</t>
  </si>
  <si>
    <t>ENST00000573038</t>
  </si>
  <si>
    <t>ENST00000573548</t>
  </si>
  <si>
    <t>ENST00000573919</t>
  </si>
  <si>
    <t>ENST00000574060</t>
  </si>
  <si>
    <t>ENST00000574909</t>
  </si>
  <si>
    <t>ENST00000582970</t>
  </si>
  <si>
    <t>Q641Q2</t>
  </si>
  <si>
    <t>ENST00000282633</t>
  </si>
  <si>
    <t>ENST00000314664</t>
  </si>
  <si>
    <t>ENST00000351071</t>
  </si>
  <si>
    <t>ENST00000434114</t>
  </si>
  <si>
    <t>ENST00000454806</t>
  </si>
  <si>
    <t>ENST00000476514</t>
  </si>
  <si>
    <t>ENST00000492914</t>
  </si>
  <si>
    <t>Q643R3</t>
  </si>
  <si>
    <t>ENST00000314891</t>
  </si>
  <si>
    <t>ENST00000562404</t>
  </si>
  <si>
    <t>ENST00000562431</t>
  </si>
  <si>
    <t>ENST00000563240</t>
  </si>
  <si>
    <t>ENST00000563748</t>
  </si>
  <si>
    <t>ENST00000566581</t>
  </si>
  <si>
    <t>ENST00000567507</t>
  </si>
  <si>
    <t>ENST00000569804</t>
  </si>
  <si>
    <t>Q64LD2</t>
  </si>
  <si>
    <t>ENST00000402312</t>
  </si>
  <si>
    <t>ENST00000554998</t>
  </si>
  <si>
    <t>ENST00000555201</t>
  </si>
  <si>
    <t>Q658Y4</t>
  </si>
  <si>
    <t>ENST00000334705</t>
  </si>
  <si>
    <t>ENST00000518333</t>
  </si>
  <si>
    <t>ENST00000518976</t>
  </si>
  <si>
    <t>ENST00000519721</t>
  </si>
  <si>
    <t>ENST00000520246</t>
  </si>
  <si>
    <t>ENST00000521166</t>
  </si>
  <si>
    <t>ENST00000521704</t>
  </si>
  <si>
    <t>Q659A1</t>
  </si>
  <si>
    <t>ENST00000261520</t>
  </si>
  <si>
    <t>ENST00000558121</t>
  </si>
  <si>
    <t>ENST00000558181</t>
  </si>
  <si>
    <t>ENST00000558451</t>
  </si>
  <si>
    <t>ENST00000558512</t>
  </si>
  <si>
    <t>ENST00000558654</t>
  </si>
  <si>
    <t>ENST00000560520</t>
  </si>
  <si>
    <t>ENST00000561087</t>
  </si>
  <si>
    <t>ENST00000561114</t>
  </si>
  <si>
    <t>ENST00000561124</t>
  </si>
  <si>
    <t>ENST00000561144</t>
  </si>
  <si>
    <t>ENST00000561328</t>
  </si>
  <si>
    <t>ENST00000561446</t>
  </si>
  <si>
    <t>Q66GS9</t>
  </si>
  <si>
    <t>ENST00000257287</t>
  </si>
  <si>
    <t>ENST00000422247</t>
  </si>
  <si>
    <t>ENST00000506202</t>
  </si>
  <si>
    <t>ENST00000506809</t>
  </si>
  <si>
    <t>ENST00000515081</t>
  </si>
  <si>
    <t>Q66K64</t>
  </si>
  <si>
    <t>ENST00000254337</t>
  </si>
  <si>
    <t>ENST00000585468</t>
  </si>
  <si>
    <t>ENST00000587307</t>
  </si>
  <si>
    <t>ENST00000588523</t>
  </si>
  <si>
    <t>ENST00000591385</t>
  </si>
  <si>
    <t>ENST00000591802</t>
  </si>
  <si>
    <t>Q66K89</t>
  </si>
  <si>
    <t>ENST00000301727</t>
  </si>
  <si>
    <t>ENST00000562589</t>
  </si>
  <si>
    <t>ENST00000563643</t>
  </si>
  <si>
    <t>ENST00000564930</t>
  </si>
  <si>
    <t>ENST00000565413</t>
  </si>
  <si>
    <t>ENST00000567111</t>
  </si>
  <si>
    <t>ENST00000569796</t>
  </si>
  <si>
    <t>Q66LE6</t>
  </si>
  <si>
    <t>ENST00000455566</t>
  </si>
  <si>
    <t>ENST00000472664</t>
  </si>
  <si>
    <t>ENST00000482010</t>
  </si>
  <si>
    <t>ENST00000490777</t>
  </si>
  <si>
    <t>ENST00000517472</t>
  </si>
  <si>
    <t>Q66PJ3</t>
  </si>
  <si>
    <t>ENST00000315580</t>
  </si>
  <si>
    <t>ENST00000357866</t>
  </si>
  <si>
    <t>ENST00000392435</t>
  </si>
  <si>
    <t>ENST00000412505</t>
  </si>
  <si>
    <t>ENST00000439686</t>
  </si>
  <si>
    <t>ENST00000442210</t>
  </si>
  <si>
    <t>ENST00000453766</t>
  </si>
  <si>
    <t>ENST00000454885</t>
  </si>
  <si>
    <t>ENST00000456762</t>
  </si>
  <si>
    <t>ENST00000536502</t>
  </si>
  <si>
    <t>ENST00000539576</t>
  </si>
  <si>
    <t>ENST00000539770</t>
  </si>
  <si>
    <t>ENST00000540382</t>
  </si>
  <si>
    <t>ENST00000540708</t>
  </si>
  <si>
    <t>ENST00000542099</t>
  </si>
  <si>
    <t>ENST00000543566</t>
  </si>
  <si>
    <t>Q687X5</t>
  </si>
  <si>
    <t>ENST00000380079</t>
  </si>
  <si>
    <t>Q68CP9</t>
  </si>
  <si>
    <t>ENST00000334344</t>
  </si>
  <si>
    <t>ENST00000422737</t>
  </si>
  <si>
    <t>ENST00000426776</t>
  </si>
  <si>
    <t>ENST00000427628</t>
  </si>
  <si>
    <t>ENST00000477947</t>
  </si>
  <si>
    <t>ENST00000480128</t>
  </si>
  <si>
    <t>Q68CQ4</t>
  </si>
  <si>
    <t>ENST00000457820</t>
  </si>
  <si>
    <t>ENST00000491415</t>
  </si>
  <si>
    <t>Q68CZ6</t>
  </si>
  <si>
    <t>ENST00000243706</t>
  </si>
  <si>
    <t>ENST00000443786</t>
  </si>
  <si>
    <t>ENST00000502440</t>
  </si>
  <si>
    <t>ENST00000506763</t>
  </si>
  <si>
    <t>Q68D10</t>
  </si>
  <si>
    <t>ENST00000336349</t>
  </si>
  <si>
    <t>ENST00000536336</t>
  </si>
  <si>
    <t>ENST00000543776</t>
  </si>
  <si>
    <t>Q68DH5</t>
  </si>
  <si>
    <t>ENST00000296603</t>
  </si>
  <si>
    <t>ENST00000503535</t>
  </si>
  <si>
    <t>ENST00000505524</t>
  </si>
  <si>
    <t>Q68DK7</t>
  </si>
  <si>
    <t>ENST00000339569</t>
  </si>
  <si>
    <t>ENST00000398532</t>
  </si>
  <si>
    <t>ENST00000577454</t>
  </si>
  <si>
    <t>ENST00000578648</t>
  </si>
  <si>
    <t>ENST00000578826</t>
  </si>
  <si>
    <t>ENST00000580086</t>
  </si>
  <si>
    <t>ENST00000581246</t>
  </si>
  <si>
    <t>ENST00000582920</t>
  </si>
  <si>
    <t>ENST00000583127</t>
  </si>
  <si>
    <t>Q69YH5</t>
  </si>
  <si>
    <t>ENST00000330560</t>
  </si>
  <si>
    <t>Q69YI7</t>
  </si>
  <si>
    <t>ENST00000373078</t>
  </si>
  <si>
    <t>ENST00000470245</t>
  </si>
  <si>
    <t>ENST00000488519</t>
  </si>
  <si>
    <t>Q69YN2</t>
  </si>
  <si>
    <t>ENST00000354105</t>
  </si>
  <si>
    <t>ENST00000370379</t>
  </si>
  <si>
    <t>ENST00000466408</t>
  </si>
  <si>
    <t>ENST00000466955</t>
  </si>
  <si>
    <t>ENST00000468709</t>
  </si>
  <si>
    <t>ENST00000473842</t>
  </si>
  <si>
    <t>ENST00000478047</t>
  </si>
  <si>
    <t>ENST00000482452</t>
  </si>
  <si>
    <t>Q69YN4</t>
  </si>
  <si>
    <t>ENST00000297591</t>
  </si>
  <si>
    <t>ENST00000421249</t>
  </si>
  <si>
    <t>ENST00000517624</t>
  </si>
  <si>
    <t>ENST00000519001</t>
  </si>
  <si>
    <t>ENST00000521080</t>
  </si>
  <si>
    <t>ENST00000522196</t>
  </si>
  <si>
    <t>ENST00000523405</t>
  </si>
  <si>
    <t>Q6AI08</t>
  </si>
  <si>
    <t>ENST00000184956</t>
  </si>
  <si>
    <t>ENST00000587003</t>
  </si>
  <si>
    <t>ENST00000590587</t>
  </si>
  <si>
    <t>ENST00000591074</t>
  </si>
  <si>
    <t>ENST00000593228</t>
  </si>
  <si>
    <t>Q6AI12</t>
  </si>
  <si>
    <t>ENST00000285243</t>
  </si>
  <si>
    <t>ENST00000507114</t>
  </si>
  <si>
    <t>ENST00000513072</t>
  </si>
  <si>
    <t>Q6AI39</t>
  </si>
  <si>
    <t>ENST00000314073</t>
  </si>
  <si>
    <t>Q6BDS2</t>
  </si>
  <si>
    <t>ENST00000192788</t>
  </si>
  <si>
    <t>ENST00000452449</t>
  </si>
  <si>
    <t>Q6DD87</t>
  </si>
  <si>
    <t>ENST00000586787</t>
  </si>
  <si>
    <t>ENST00000587279</t>
  </si>
  <si>
    <t>Q6DD88</t>
  </si>
  <si>
    <t>ENST00000398868</t>
  </si>
  <si>
    <t>ENST00000535789</t>
  </si>
  <si>
    <t>ENST00000538786</t>
  </si>
  <si>
    <t>Q6DKI1</t>
  </si>
  <si>
    <t>ENST00000304734</t>
  </si>
  <si>
    <t>ENST00000397415</t>
  </si>
  <si>
    <t>ENST00000459829</t>
  </si>
  <si>
    <t>ENST00000462348</t>
  </si>
  <si>
    <t>ENST00000483998</t>
  </si>
  <si>
    <t>ENST00000487619</t>
  </si>
  <si>
    <t>ENST00000492836</t>
  </si>
  <si>
    <t>ENST00000493763</t>
  </si>
  <si>
    <t>ENST00000497417</t>
  </si>
  <si>
    <t>ENST00000602561</t>
  </si>
  <si>
    <t>Q6DKK2</t>
  </si>
  <si>
    <t>ENST00000261647</t>
  </si>
  <si>
    <t>ENST00000465567</t>
  </si>
  <si>
    <t>ENST00000466729</t>
  </si>
  <si>
    <t>ENST00000470649</t>
  </si>
  <si>
    <t>ENST00000475723</t>
  </si>
  <si>
    <t>ENST00000481107</t>
  </si>
  <si>
    <t>ENST00000497842</t>
  </si>
  <si>
    <t>ENST00000578103</t>
  </si>
  <si>
    <t>ENST00000583704</t>
  </si>
  <si>
    <t>Q6F5E8</t>
  </si>
  <si>
    <t>ENST00000334583</t>
  </si>
  <si>
    <t>ENST00000545661</t>
  </si>
  <si>
    <t>ENST00000602321</t>
  </si>
  <si>
    <t>ENST00000602368</t>
  </si>
  <si>
    <t>ENST00000602467</t>
  </si>
  <si>
    <t>ENST00000602562</t>
  </si>
  <si>
    <t>ENST00000602563</t>
  </si>
  <si>
    <t>ENST00000602633</t>
  </si>
  <si>
    <t>ENST00000602705</t>
  </si>
  <si>
    <t>ENST00000602742</t>
  </si>
  <si>
    <t>ENST00000602924</t>
  </si>
  <si>
    <t>ENST00000602931</t>
  </si>
  <si>
    <t>Q6GMV2</t>
  </si>
  <si>
    <t>ENST00000258100</t>
  </si>
  <si>
    <t>ENST00000389501</t>
  </si>
  <si>
    <t>ENST00000413491</t>
  </si>
  <si>
    <t>ENST00000477038</t>
  </si>
  <si>
    <t>ENST00000486518</t>
  </si>
  <si>
    <t>ENST00000491204</t>
  </si>
  <si>
    <t>Q6GMV3</t>
  </si>
  <si>
    <t>ENST00000328379</t>
  </si>
  <si>
    <t>ENST00000487316</t>
  </si>
  <si>
    <t>Q6GYQ0</t>
  </si>
  <si>
    <t>ENST00000307138</t>
  </si>
  <si>
    <t>ENST00000389698</t>
  </si>
  <si>
    <t>ENST00000553917</t>
  </si>
  <si>
    <t>ENST00000554355</t>
  </si>
  <si>
    <t>ENST00000554652</t>
  </si>
  <si>
    <t>ENST00000554704</t>
  </si>
  <si>
    <t>ENST00000555828</t>
  </si>
  <si>
    <t>ENST00000556192</t>
  </si>
  <si>
    <t>ENST00000556839</t>
  </si>
  <si>
    <t>ENST00000557069</t>
  </si>
  <si>
    <t>ENST00000557104</t>
  </si>
  <si>
    <t>ENST00000557638</t>
  </si>
  <si>
    <t>Q6I9Y2</t>
  </si>
  <si>
    <t>ENST00000295899</t>
  </si>
  <si>
    <t>ENST00000469153</t>
  </si>
  <si>
    <t>ENST00000469584</t>
  </si>
  <si>
    <t>ENST00000487570</t>
  </si>
  <si>
    <t>ENST00000498422</t>
  </si>
  <si>
    <t>Q6IA17</t>
  </si>
  <si>
    <t>ENST00000332725</t>
  </si>
  <si>
    <t>ENST00000397632</t>
  </si>
  <si>
    <t>ENST00000431843</t>
  </si>
  <si>
    <t>ENST00000525070</t>
  </si>
  <si>
    <t>ENST00000525299</t>
  </si>
  <si>
    <t>ENST00000526395</t>
  </si>
  <si>
    <t>ENST00000526788</t>
  </si>
  <si>
    <t>ENST00000527136</t>
  </si>
  <si>
    <t>ENST00000527295</t>
  </si>
  <si>
    <t>ENST00000527987</t>
  </si>
  <si>
    <t>ENST00000528058</t>
  </si>
  <si>
    <t>ENST00000528116</t>
  </si>
  <si>
    <t>ENST00000528209</t>
  </si>
  <si>
    <t>ENST00000528536</t>
  </si>
  <si>
    <t>ENST00000528698</t>
  </si>
  <si>
    <t>ENST00000528845</t>
  </si>
  <si>
    <t>ENST00000529486</t>
  </si>
  <si>
    <t>ENST00000530683</t>
  </si>
  <si>
    <t>ENST00000531205</t>
  </si>
  <si>
    <t>ENST00000534145</t>
  </si>
  <si>
    <t>Q6IA69</t>
  </si>
  <si>
    <t>ENST00000319023</t>
  </si>
  <si>
    <t>ENST00000524450</t>
  </si>
  <si>
    <t>ENST00000524949</t>
  </si>
  <si>
    <t>ENST00000525200</t>
  </si>
  <si>
    <t>ENST00000525245</t>
  </si>
  <si>
    <t>ENST00000527227</t>
  </si>
  <si>
    <t>ENST00000527538</t>
  </si>
  <si>
    <t>ENST00000527852</t>
  </si>
  <si>
    <t>ENST00000528509</t>
  </si>
  <si>
    <t>ENST00000530055</t>
  </si>
  <si>
    <t>ENST00000530534</t>
  </si>
  <si>
    <t>ENST00000530831</t>
  </si>
  <si>
    <t>ENST00000531236</t>
  </si>
  <si>
    <t>ENST00000533612</t>
  </si>
  <si>
    <t>ENST00000534634</t>
  </si>
  <si>
    <t>Q6IAA8</t>
  </si>
  <si>
    <t>ENST00000278671</t>
  </si>
  <si>
    <t>ENST00000535107</t>
  </si>
  <si>
    <t>ENST00000538404</t>
  </si>
  <si>
    <t>ENST00000539797</t>
  </si>
  <si>
    <t>ENST00000541403</t>
  </si>
  <si>
    <t>ENST00000544594</t>
  </si>
  <si>
    <t>ENST00000545249</t>
  </si>
  <si>
    <t>Q6IAN0</t>
  </si>
  <si>
    <t>ENST00000346603</t>
  </si>
  <si>
    <t>ENST00000395511</t>
  </si>
  <si>
    <t>ENST00000578426</t>
  </si>
  <si>
    <t>ENST00000579099</t>
  </si>
  <si>
    <t>ENST00000581020</t>
  </si>
  <si>
    <t>ENST00000581463</t>
  </si>
  <si>
    <t>Q6IBS0</t>
  </si>
  <si>
    <t>ENST00000305533</t>
  </si>
  <si>
    <t>ENST00000472755</t>
  </si>
  <si>
    <t>Q6IC98</t>
  </si>
  <si>
    <t>ENST00000361034</t>
  </si>
  <si>
    <t>ENST00000408031</t>
  </si>
  <si>
    <t>ENST00000431155</t>
  </si>
  <si>
    <t>Q6ICB0</t>
  </si>
  <si>
    <t>ENST00000263256</t>
  </si>
  <si>
    <t>ENST00000463886</t>
  </si>
  <si>
    <t>ENST00000482612</t>
  </si>
  <si>
    <t>Q6IEG0</t>
  </si>
  <si>
    <t>ENST00000342415</t>
  </si>
  <si>
    <t>ENST00000496946</t>
  </si>
  <si>
    <t>Q6IN85</t>
  </si>
  <si>
    <t>ENST00000554308</t>
  </si>
  <si>
    <t>ENST00000554390</t>
  </si>
  <si>
    <t>ENST00000554511</t>
  </si>
  <si>
    <t>ENST00000554574</t>
  </si>
  <si>
    <t>ENST00000554684</t>
  </si>
  <si>
    <t>ENST00000554943</t>
  </si>
  <si>
    <t>ENST00000555029</t>
  </si>
  <si>
    <t>ENST00000555462</t>
  </si>
  <si>
    <t>ENST00000555718</t>
  </si>
  <si>
    <t>ENST00000557382</t>
  </si>
  <si>
    <t>Q6IQ22</t>
  </si>
  <si>
    <t>ENST00000329286</t>
  </si>
  <si>
    <t>ENST00000580987</t>
  </si>
  <si>
    <t>Q6IQ32</t>
  </si>
  <si>
    <t>ENST00000262198</t>
  </si>
  <si>
    <t>ENST00000560561</t>
  </si>
  <si>
    <t>ENST00000560752</t>
  </si>
  <si>
    <t>Q6JBY9</t>
  </si>
  <si>
    <t>ENST00000367854</t>
  </si>
  <si>
    <t>ENST00000472038</t>
  </si>
  <si>
    <t>ENST00000537350</t>
  </si>
  <si>
    <t>Q6MZP7</t>
  </si>
  <si>
    <t>ENST00000340417</t>
  </si>
  <si>
    <t>ENST00000442461</t>
  </si>
  <si>
    <t>ENST00000505397</t>
  </si>
  <si>
    <t>ENST00000506560</t>
  </si>
  <si>
    <t>ENST00000510557</t>
  </si>
  <si>
    <t>Q6N069</t>
  </si>
  <si>
    <t>ENST00000379406</t>
  </si>
  <si>
    <t>ENST00000403412</t>
  </si>
  <si>
    <t>ENST00000463114</t>
  </si>
  <si>
    <t>ENST00000464857</t>
  </si>
  <si>
    <t>ENST00000469708</t>
  </si>
  <si>
    <t>ENST00000476980</t>
  </si>
  <si>
    <t>ENST00000477452</t>
  </si>
  <si>
    <t>ENST00000497143</t>
  </si>
  <si>
    <t>ENST00000497727</t>
  </si>
  <si>
    <t>Q6N075</t>
  </si>
  <si>
    <t>ENST00000329548</t>
  </si>
  <si>
    <t>ENST00000552097</t>
  </si>
  <si>
    <t>Q6NSJ2</t>
  </si>
  <si>
    <t>ENST00000594808</t>
  </si>
  <si>
    <t>ENST00000595498</t>
  </si>
  <si>
    <t>ENST00000596141</t>
  </si>
  <si>
    <t>ENST00000596902</t>
  </si>
  <si>
    <t>ENST00000598849</t>
  </si>
  <si>
    <t>ENST00000599242</t>
  </si>
  <si>
    <t>ENST00000601646</t>
  </si>
  <si>
    <t>Q6NUK1</t>
  </si>
  <si>
    <t>ENST00000565488</t>
  </si>
  <si>
    <t>ENST00000569674</t>
  </si>
  <si>
    <t>Q6NUM9</t>
  </si>
  <si>
    <t>ENST00000295802</t>
  </si>
  <si>
    <t>ENST00000409984</t>
  </si>
  <si>
    <t>ENST00000429806</t>
  </si>
  <si>
    <t>ENST00000482694</t>
  </si>
  <si>
    <t>ENST00000490291</t>
  </si>
  <si>
    <t>Q6NUN9</t>
  </si>
  <si>
    <t>ENST00000340622</t>
  </si>
  <si>
    <t>ENST00000458143</t>
  </si>
  <si>
    <t>ENST00000461958</t>
  </si>
  <si>
    <t>ENST00000471735</t>
  </si>
  <si>
    <t>Q6NUQ1</t>
  </si>
  <si>
    <t>ENST00000257700</t>
  </si>
  <si>
    <t>ENST00000467392</t>
  </si>
  <si>
    <t>ENST00000474123</t>
  </si>
  <si>
    <t>ENST00000477285</t>
  </si>
  <si>
    <t>ENST00000493258</t>
  </si>
  <si>
    <t>Q6NVY1</t>
  </si>
  <si>
    <t>ENST00000359678</t>
  </si>
  <si>
    <t>ENST00000392332</t>
  </si>
  <si>
    <t>ENST00000416732</t>
  </si>
  <si>
    <t>ENST00000489147</t>
  </si>
  <si>
    <t>ENST00000489269</t>
  </si>
  <si>
    <t>Q6NW29</t>
  </si>
  <si>
    <t>ENST00000326397</t>
  </si>
  <si>
    <t>ENST00000506467</t>
  </si>
  <si>
    <t>ENST00000510702</t>
  </si>
  <si>
    <t>Q6NXR4</t>
  </si>
  <si>
    <t>ENST00000360742</t>
  </si>
  <si>
    <t>ENST00000431156</t>
  </si>
  <si>
    <t>ENST00000520636</t>
  </si>
  <si>
    <t>ENST00000523305</t>
  </si>
  <si>
    <t>Q6NYC8</t>
  </si>
  <si>
    <t>ENST00000274853</t>
  </si>
  <si>
    <t>ENST00000399199</t>
  </si>
  <si>
    <t>ENST00000467662</t>
  </si>
  <si>
    <t>Q6NZY4</t>
  </si>
  <si>
    <t>ENST00000536663</t>
  </si>
  <si>
    <t>ENST00000538116</t>
  </si>
  <si>
    <t>ENST00000538493</t>
  </si>
  <si>
    <t>ENST00000540586</t>
  </si>
  <si>
    <t>ENST00000542892</t>
  </si>
  <si>
    <t>ENST00000543897</t>
  </si>
  <si>
    <t>ENST00000544054</t>
  </si>
  <si>
    <t>ENST00000546149</t>
  </si>
  <si>
    <t>Q6P158</t>
  </si>
  <si>
    <t>ENST00000457308</t>
  </si>
  <si>
    <t>ENST00000474104</t>
  </si>
  <si>
    <t>ENST00000477981</t>
  </si>
  <si>
    <t>ENST00000497514</t>
  </si>
  <si>
    <t>Q6P1J9</t>
  </si>
  <si>
    <t>ENST00000367435</t>
  </si>
  <si>
    <t>ENST00000482484</t>
  </si>
  <si>
    <t>Q6P1K2</t>
  </si>
  <si>
    <t>ENST00000368273</t>
  </si>
  <si>
    <t>ENST00000368277</t>
  </si>
  <si>
    <t>ENST00000368279</t>
  </si>
  <si>
    <t>ENST00000466489</t>
  </si>
  <si>
    <t>ENST00000497069</t>
  </si>
  <si>
    <t>ENST00000606952</t>
  </si>
  <si>
    <t>Q6P1K8</t>
  </si>
  <si>
    <t>ENST00000274400</t>
  </si>
  <si>
    <t>ENST00000330280</t>
  </si>
  <si>
    <t>ENST00000380729</t>
  </si>
  <si>
    <t>ENST00000425596</t>
  </si>
  <si>
    <t>ENST00000502599</t>
  </si>
  <si>
    <t>ENST00000502619</t>
  </si>
  <si>
    <t>ENST00000503604</t>
  </si>
  <si>
    <t>ENST00000506129</t>
  </si>
  <si>
    <t>ENST00000507595</t>
  </si>
  <si>
    <t>ENST00000508325</t>
  </si>
  <si>
    <t>ENST00000508592</t>
  </si>
  <si>
    <t>ENST00000510979</t>
  </si>
  <si>
    <t>ENST00000511629</t>
  </si>
  <si>
    <t>ENST00000512736</t>
  </si>
  <si>
    <t>ENST00000513959</t>
  </si>
  <si>
    <t>ENST00000514069</t>
  </si>
  <si>
    <t>ENST00000518275</t>
  </si>
  <si>
    <t>ENST00000519783</t>
  </si>
  <si>
    <t>ENST00000521858</t>
  </si>
  <si>
    <t>ENST00000521942</t>
  </si>
  <si>
    <t>ENST00000522654</t>
  </si>
  <si>
    <t>ENST00000523003</t>
  </si>
  <si>
    <t>ENST00000523693</t>
  </si>
  <si>
    <t>Q6P1L5</t>
  </si>
  <si>
    <t>ENST00000392238</t>
  </si>
  <si>
    <t>ENST00000481658</t>
  </si>
  <si>
    <t>Q6P1L8</t>
  </si>
  <si>
    <t>ENST00000372014</t>
  </si>
  <si>
    <t>Q6P1M0</t>
  </si>
  <si>
    <t>ENST00000300456</t>
  </si>
  <si>
    <t>ENST00000372870</t>
  </si>
  <si>
    <t>Q6P1N9</t>
  </si>
  <si>
    <t>ENST00000276692</t>
  </si>
  <si>
    <t>ENST00000518485</t>
  </si>
  <si>
    <t>ENST00000519232</t>
  </si>
  <si>
    <t>ENST00000519776</t>
  </si>
  <si>
    <t>ENST00000520321</t>
  </si>
  <si>
    <t>ENST00000520938</t>
  </si>
  <si>
    <t>ENST00000521973</t>
  </si>
  <si>
    <t>ENST00000522280</t>
  </si>
  <si>
    <t>ENST00000522310</t>
  </si>
  <si>
    <t>ENST00000522810</t>
  </si>
  <si>
    <t>ENST00000522927</t>
  </si>
  <si>
    <t>ENST00000523152</t>
  </si>
  <si>
    <t>ENST00000523214</t>
  </si>
  <si>
    <t>ENST00000523631</t>
  </si>
  <si>
    <t>ENST00000605953</t>
  </si>
  <si>
    <t>Q6P1Q9</t>
  </si>
  <si>
    <t>ENST00000262432</t>
  </si>
  <si>
    <t>ENST00000473488</t>
  </si>
  <si>
    <t>ENST00000480046</t>
  </si>
  <si>
    <t>ENST00000481392</t>
  </si>
  <si>
    <t>ENST00000482555</t>
  </si>
  <si>
    <t>Q6P1R4</t>
  </si>
  <si>
    <t>ENST00000306796</t>
  </si>
  <si>
    <t>ENST00000354321</t>
  </si>
  <si>
    <t>ENST00000538833</t>
  </si>
  <si>
    <t>ENST00000542088</t>
  </si>
  <si>
    <t>ENST00000577574</t>
  </si>
  <si>
    <t>ENST00000577907</t>
  </si>
  <si>
    <t>ENST00000578176</t>
  </si>
  <si>
    <t>ENST00000578264</t>
  </si>
  <si>
    <t>ENST00000578428</t>
  </si>
  <si>
    <t>ENST00000578846</t>
  </si>
  <si>
    <t>ENST00000578907</t>
  </si>
  <si>
    <t>ENST00000579854</t>
  </si>
  <si>
    <t>ENST00000580731</t>
  </si>
  <si>
    <t>ENST00000582529</t>
  </si>
  <si>
    <t>ENST00000584871</t>
  </si>
  <si>
    <t>Q6P1X5</t>
  </si>
  <si>
    <t>ENST00000378164</t>
  </si>
  <si>
    <t>ENST00000521007</t>
  </si>
  <si>
    <t>ENST00000523078</t>
  </si>
  <si>
    <t>ENST00000523098</t>
  </si>
  <si>
    <t>ENST00000523734</t>
  </si>
  <si>
    <t>ENST00000523904</t>
  </si>
  <si>
    <t>ENST00000526969</t>
  </si>
  <si>
    <t>Q6P2C8</t>
  </si>
  <si>
    <t>ENST00000292035</t>
  </si>
  <si>
    <t>ENST00000474263</t>
  </si>
  <si>
    <t>Q6P2E9</t>
  </si>
  <si>
    <t>ENST00000358933</t>
  </si>
  <si>
    <t>ENST00000536072</t>
  </si>
  <si>
    <t>ENST00000572031</t>
  </si>
  <si>
    <t>ENST00000572221</t>
  </si>
  <si>
    <t>ENST00000572724</t>
  </si>
  <si>
    <t>ENST00000573985</t>
  </si>
  <si>
    <t>ENST00000573992</t>
  </si>
  <si>
    <t>ENST00000574770</t>
  </si>
  <si>
    <t>ENST00000575033</t>
  </si>
  <si>
    <t>ENST00000575507</t>
  </si>
  <si>
    <t>ENST00000575514</t>
  </si>
  <si>
    <t>ENST00000576972</t>
  </si>
  <si>
    <t>ENST00000577028</t>
  </si>
  <si>
    <t>Q6P2P2</t>
  </si>
  <si>
    <t>ENST00000322396</t>
  </si>
  <si>
    <t>ENST00000510269</t>
  </si>
  <si>
    <t>ENST00000511687</t>
  </si>
  <si>
    <t>ENST00000514886</t>
  </si>
  <si>
    <t>Q6P2Q9</t>
  </si>
  <si>
    <t>ENST00000304992</t>
  </si>
  <si>
    <t>ENST00000571346</t>
  </si>
  <si>
    <t>ENST00000572445</t>
  </si>
  <si>
    <t>ENST00000572621</t>
  </si>
  <si>
    <t>ENST00000572723</t>
  </si>
  <si>
    <t>ENST00000573681</t>
  </si>
  <si>
    <t>ENST00000573716</t>
  </si>
  <si>
    <t>ENST00000573725</t>
  </si>
  <si>
    <t>ENST00000574217</t>
  </si>
  <si>
    <t>ENST00000574728</t>
  </si>
  <si>
    <t>ENST00000575116</t>
  </si>
  <si>
    <t>ENST00000576407</t>
  </si>
  <si>
    <t>ENST00000576585</t>
  </si>
  <si>
    <t>ENST00000576958</t>
  </si>
  <si>
    <t>ENST00000577001</t>
  </si>
  <si>
    <t>Q6P3W7</t>
  </si>
  <si>
    <t>ENST00000360820</t>
  </si>
  <si>
    <t>ENST00000547202</t>
  </si>
  <si>
    <t>ENST00000547735</t>
  </si>
  <si>
    <t>ENST00000549486</t>
  </si>
  <si>
    <t>ENST00000549687</t>
  </si>
  <si>
    <t>ENST00000550067</t>
  </si>
  <si>
    <t>ENST00000550251</t>
  </si>
  <si>
    <t>ENST00000553148</t>
  </si>
  <si>
    <t>Q6P3X3</t>
  </si>
  <si>
    <t>ENST00000317907</t>
  </si>
  <si>
    <t>ENST00000428527</t>
  </si>
  <si>
    <t>ENST00000433416</t>
  </si>
  <si>
    <t>Q6P444</t>
  </si>
  <si>
    <t>ENST00000527338</t>
  </si>
  <si>
    <t>ENST00000532958</t>
  </si>
  <si>
    <t>Q6P4A7</t>
  </si>
  <si>
    <t>ENST00000355697</t>
  </si>
  <si>
    <t>ENST00000369131</t>
  </si>
  <si>
    <t>ENST00000461438</t>
  </si>
  <si>
    <t>ENST00000490417</t>
  </si>
  <si>
    <t>Q6P4A8</t>
  </si>
  <si>
    <t>ENST00000240617</t>
  </si>
  <si>
    <t>Q6P4I2</t>
  </si>
  <si>
    <t>ENST00000398528</t>
  </si>
  <si>
    <t>ENST00000434634</t>
  </si>
  <si>
    <t>ENST00000558019</t>
  </si>
  <si>
    <t>ENST00000558487</t>
  </si>
  <si>
    <t>ENST00000558521</t>
  </si>
  <si>
    <t>ENST00000558608</t>
  </si>
  <si>
    <t>ENST00000559015</t>
  </si>
  <si>
    <t>ENST00000559126</t>
  </si>
  <si>
    <t>ENST00000559224</t>
  </si>
  <si>
    <t>ENST00000559452</t>
  </si>
  <si>
    <t>ENST00000559994</t>
  </si>
  <si>
    <t>ENST00000560088</t>
  </si>
  <si>
    <t>ENST00000560252</t>
  </si>
  <si>
    <t>ENST00000560835</t>
  </si>
  <si>
    <t>ENST00000560966</t>
  </si>
  <si>
    <t>ENST00000561329</t>
  </si>
  <si>
    <t>ENST00000561434</t>
  </si>
  <si>
    <t>Q6P4Q7</t>
  </si>
  <si>
    <t>ENST00000377075</t>
  </si>
  <si>
    <t>Q6P582</t>
  </si>
  <si>
    <t>ENST00000309451</t>
  </si>
  <si>
    <t>ENST00000410036</t>
  </si>
  <si>
    <t>ENST00000445782</t>
  </si>
  <si>
    <t>ENST00000488586</t>
  </si>
  <si>
    <t>ENST00000491265</t>
  </si>
  <si>
    <t>Q6P587</t>
  </si>
  <si>
    <t>ENST00000382666</t>
  </si>
  <si>
    <t>ENST00000427358</t>
  </si>
  <si>
    <t>Q6P589</t>
  </si>
  <si>
    <t>ENST00000368910</t>
  </si>
  <si>
    <t>Q6P5R6</t>
  </si>
  <si>
    <t>ENST00000295830</t>
  </si>
  <si>
    <t>ENST00000463836</t>
  </si>
  <si>
    <t>ENST00000466674</t>
  </si>
  <si>
    <t>ENST00000475836</t>
  </si>
  <si>
    <t>ENST00000478578</t>
  </si>
  <si>
    <t>ENST00000494771</t>
  </si>
  <si>
    <t>Q6P6C2</t>
  </si>
  <si>
    <t>ENST00000399138</t>
  </si>
  <si>
    <t>ENST00000490106</t>
  </si>
  <si>
    <t>ENST00000541285</t>
  </si>
  <si>
    <t>Q6P9B6</t>
  </si>
  <si>
    <t>ENST00000343629</t>
  </si>
  <si>
    <t>ENST00000561807</t>
  </si>
  <si>
    <t>ENST00000565079</t>
  </si>
  <si>
    <t>ENST00000565701</t>
  </si>
  <si>
    <t>ENST00000567321</t>
  </si>
  <si>
    <t>Q6P9B9</t>
  </si>
  <si>
    <t>ENST00000330574</t>
  </si>
  <si>
    <t>Q6P9H5</t>
  </si>
  <si>
    <t>ENST00000328902</t>
  </si>
  <si>
    <t>ENST00000493969</t>
  </si>
  <si>
    <t>Q6PCB5</t>
  </si>
  <si>
    <t>ENST00000334955</t>
  </si>
  <si>
    <t>ENST00000441514</t>
  </si>
  <si>
    <t>ENST00000462800</t>
  </si>
  <si>
    <t>ENST00000468035</t>
  </si>
  <si>
    <t>Q6PCB7</t>
  </si>
  <si>
    <t>ENST00000252595</t>
  </si>
  <si>
    <t>ENST00000593701</t>
  </si>
  <si>
    <t>ENST00000594962</t>
  </si>
  <si>
    <t>ENST00000599380</t>
  </si>
  <si>
    <t>ENST00000600297</t>
  </si>
  <si>
    <t>Q6PCD5</t>
  </si>
  <si>
    <t>ENST00000361070</t>
  </si>
  <si>
    <t>ENST00000571750</t>
  </si>
  <si>
    <t>ENST00000571776</t>
  </si>
  <si>
    <t>ENST00000572610</t>
  </si>
  <si>
    <t>ENST00000572840</t>
  </si>
  <si>
    <t>ENST00000575154</t>
  </si>
  <si>
    <t>ENST00000575281</t>
  </si>
  <si>
    <t>ENST00000575397</t>
  </si>
  <si>
    <t>ENST00000576652</t>
  </si>
  <si>
    <t>Q6PCE3</t>
  </si>
  <si>
    <t>ENST00000298198</t>
  </si>
  <si>
    <t>Q6PD62</t>
  </si>
  <si>
    <t>ENST00000361367</t>
  </si>
  <si>
    <t>ENST00000524523</t>
  </si>
  <si>
    <t>ENST00000526874</t>
  </si>
  <si>
    <t>ENST00000529355</t>
  </si>
  <si>
    <t>ENST00000529898</t>
  </si>
  <si>
    <t>Q6PD74</t>
  </si>
  <si>
    <t>ENST00000261880</t>
  </si>
  <si>
    <t>ENST00000538028</t>
  </si>
  <si>
    <t>ENST00000558725</t>
  </si>
  <si>
    <t>ENST00000560362</t>
  </si>
  <si>
    <t>ENST00000561452</t>
  </si>
  <si>
    <t>Q6PGP7</t>
  </si>
  <si>
    <t>ENST00000358746</t>
  </si>
  <si>
    <t>ENST00000502768</t>
  </si>
  <si>
    <t>ENST00000503279</t>
  </si>
  <si>
    <t>ENST00000506007</t>
  </si>
  <si>
    <t>ENST00000507805</t>
  </si>
  <si>
    <t>ENST00000508181</t>
  </si>
  <si>
    <t>ENST00000510228</t>
  </si>
  <si>
    <t>ENST00000512026</t>
  </si>
  <si>
    <t>ENST00000515176</t>
  </si>
  <si>
    <t>ENST00000515207</t>
  </si>
  <si>
    <t>Q6PI47</t>
  </si>
  <si>
    <t>ENST00000359878</t>
  </si>
  <si>
    <t>ENST00000409157</t>
  </si>
  <si>
    <t>ENST00000447556</t>
  </si>
  <si>
    <t>ENST00000478816</t>
  </si>
  <si>
    <t>Q6PI48</t>
  </si>
  <si>
    <t>ENST00000361951</t>
  </si>
  <si>
    <t>ENST00000460076</t>
  </si>
  <si>
    <t>ENST00000471476</t>
  </si>
  <si>
    <t>Q6PI98</t>
  </si>
  <si>
    <t>ENST00000283410</t>
  </si>
  <si>
    <t>ENST00000334598</t>
  </si>
  <si>
    <t>ENST00000441607</t>
  </si>
  <si>
    <t>ENST00000585971</t>
  </si>
  <si>
    <t>ENST00000586489</t>
  </si>
  <si>
    <t>ENST00000589053</t>
  </si>
  <si>
    <t>ENST00000589273</t>
  </si>
  <si>
    <t>ENST00000590757</t>
  </si>
  <si>
    <t>ENST00000591139</t>
  </si>
  <si>
    <t>ENST00000592173</t>
  </si>
  <si>
    <t>Q6PID6</t>
  </si>
  <si>
    <t>ENST00000337702</t>
  </si>
  <si>
    <t>ENST00000511730</t>
  </si>
  <si>
    <t>Q6PII3</t>
  </si>
  <si>
    <t>ENST00000383794</t>
  </si>
  <si>
    <t>ENST00000463438</t>
  </si>
  <si>
    <t>ENST00000465759</t>
  </si>
  <si>
    <t>ENST00000476763</t>
  </si>
  <si>
    <t>Q6PIJ6</t>
  </si>
  <si>
    <t>ENST00000296701</t>
  </si>
  <si>
    <t>ENST00000340253</t>
  </si>
  <si>
    <t>ENST00000394370</t>
  </si>
  <si>
    <t>ENST00000502571</t>
  </si>
  <si>
    <t>ENST00000502629</t>
  </si>
  <si>
    <t>ENST00000504447</t>
  </si>
  <si>
    <t>ENST00000504971</t>
  </si>
  <si>
    <t>ENST00000505399</t>
  </si>
  <si>
    <t>ENST00000508176</t>
  </si>
  <si>
    <t>ENST00000508326</t>
  </si>
  <si>
    <t>ENST00000508485</t>
  </si>
  <si>
    <t>ENST00000509273</t>
  </si>
  <si>
    <t>ENST00000509411</t>
  </si>
  <si>
    <t>ENST00000509699</t>
  </si>
  <si>
    <t>ENST00000513826</t>
  </si>
  <si>
    <t>ENST00000514832</t>
  </si>
  <si>
    <t>Q6PIU2</t>
  </si>
  <si>
    <t>ENST00000470419</t>
  </si>
  <si>
    <t>ENST00000475381</t>
  </si>
  <si>
    <t>Q6PIZ9</t>
  </si>
  <si>
    <t>ENST00000295756</t>
  </si>
  <si>
    <t>ENST00000478830</t>
  </si>
  <si>
    <t>ENST00000493604</t>
  </si>
  <si>
    <t>Q6PJ69</t>
  </si>
  <si>
    <t>ENST00000269383</t>
  </si>
  <si>
    <t>ENST00000540812</t>
  </si>
  <si>
    <t>ENST00000543309</t>
  </si>
  <si>
    <t>ENST00000591668</t>
  </si>
  <si>
    <t>ENST00000592642</t>
  </si>
  <si>
    <t>Q6PJG2</t>
  </si>
  <si>
    <t>ENST00000286523</t>
  </si>
  <si>
    <t>ENST00000394071</t>
  </si>
  <si>
    <t>ENST00000423556</t>
  </si>
  <si>
    <t>ENST00000435371</t>
  </si>
  <si>
    <t>ENST00000451078</t>
  </si>
  <si>
    <t>ENST00000462716</t>
  </si>
  <si>
    <t>ENST00000476562</t>
  </si>
  <si>
    <t>ENST00000478847</t>
  </si>
  <si>
    <t>ENST00000483269</t>
  </si>
  <si>
    <t>Q6PJG6</t>
  </si>
  <si>
    <t>ENST00000340611</t>
  </si>
  <si>
    <t>ENST00000421712</t>
  </si>
  <si>
    <t>ENST00000467558</t>
  </si>
  <si>
    <t>ENST00000469750</t>
  </si>
  <si>
    <t>ENST00000473879</t>
  </si>
  <si>
    <t>ENST00000493232</t>
  </si>
  <si>
    <t>Q6PJI9</t>
  </si>
  <si>
    <t>ENST00000262144</t>
  </si>
  <si>
    <t>ENST00000536050</t>
  </si>
  <si>
    <t>ENST00000561717</t>
  </si>
  <si>
    <t>ENST00000562371</t>
  </si>
  <si>
    <t>ENST00000562539</t>
  </si>
  <si>
    <t>ENST00000562854</t>
  </si>
  <si>
    <t>ENST00000563381</t>
  </si>
  <si>
    <t>ENST00000563797</t>
  </si>
  <si>
    <t>ENST00000564859</t>
  </si>
  <si>
    <t>ENST00000566924</t>
  </si>
  <si>
    <t>ENST00000567018</t>
  </si>
  <si>
    <t>ENST00000568323</t>
  </si>
  <si>
    <t>ENST00000569183</t>
  </si>
  <si>
    <t>ENST00000569421</t>
  </si>
  <si>
    <t>ENST00000569788</t>
  </si>
  <si>
    <t>ENST00000569968</t>
  </si>
  <si>
    <t>ENST00000570070</t>
  </si>
  <si>
    <t>Q6PK04</t>
  </si>
  <si>
    <t>ENST00000329214</t>
  </si>
  <si>
    <t>ENST00000571916</t>
  </si>
  <si>
    <t>ENST00000572531</t>
  </si>
  <si>
    <t>ENST00000574107</t>
  </si>
  <si>
    <t>Q6PK18</t>
  </si>
  <si>
    <t>ENST00000313056</t>
  </si>
  <si>
    <t>ENST00000329197</t>
  </si>
  <si>
    <t>ENST00000577495</t>
  </si>
  <si>
    <t>ENST00000577606</t>
  </si>
  <si>
    <t>ENST00000578287</t>
  </si>
  <si>
    <t>ENST00000578586</t>
  </si>
  <si>
    <t>ENST00000579407</t>
  </si>
  <si>
    <t>ENST00000580445</t>
  </si>
  <si>
    <t>Q6PKG0</t>
  </si>
  <si>
    <t>ENST00000517616</t>
  </si>
  <si>
    <t>ENST00000518297</t>
  </si>
  <si>
    <t>ENST00000518595</t>
  </si>
  <si>
    <t>ENST00000518677</t>
  </si>
  <si>
    <t>ENST00000518742</t>
  </si>
  <si>
    <t>ENST00000519194</t>
  </si>
  <si>
    <t>ENST00000519931</t>
  </si>
  <si>
    <t>ENST00000521577</t>
  </si>
  <si>
    <t>ENST00000522272</t>
  </si>
  <si>
    <t>ENST00000523163</t>
  </si>
  <si>
    <t>ENST00000524187</t>
  </si>
  <si>
    <t>ENST00000524248</t>
  </si>
  <si>
    <t>Q6PL18</t>
  </si>
  <si>
    <t>ENST00000287394</t>
  </si>
  <si>
    <t>ENST00000521496</t>
  </si>
  <si>
    <t>ENST00000521903</t>
  </si>
  <si>
    <t>ENST00000530065</t>
  </si>
  <si>
    <t>ENST00000550993</t>
  </si>
  <si>
    <t>Q6PL24</t>
  </si>
  <si>
    <t>ENST00000216468</t>
  </si>
  <si>
    <t>Q6PML9</t>
  </si>
  <si>
    <t>ENST00000264451</t>
  </si>
  <si>
    <t>ENST00000505523</t>
  </si>
  <si>
    <t>ENST00000509683</t>
  </si>
  <si>
    <t>ENST00000510460</t>
  </si>
  <si>
    <t>Q6QNY0</t>
  </si>
  <si>
    <t>ENST00000433642</t>
  </si>
  <si>
    <t>ENST00000587722</t>
  </si>
  <si>
    <t>Q6QNY1</t>
  </si>
  <si>
    <t>ENST00000361832</t>
  </si>
  <si>
    <t>ENST00000370372</t>
  </si>
  <si>
    <t>ENST00000441611</t>
  </si>
  <si>
    <t>ENST00000579542</t>
  </si>
  <si>
    <t>Q6R327</t>
  </si>
  <si>
    <t>ENST00000296782</t>
  </si>
  <si>
    <t>ENST00000357387</t>
  </si>
  <si>
    <t>ENST00000503698</t>
  </si>
  <si>
    <t>ENST00000505927</t>
  </si>
  <si>
    <t>ENST00000510711</t>
  </si>
  <si>
    <t>ENST00000511516</t>
  </si>
  <si>
    <t>ENST00000513566</t>
  </si>
  <si>
    <t>ENST00000514735</t>
  </si>
  <si>
    <t>ENST00000515846</t>
  </si>
  <si>
    <t>Q6RFH5</t>
  </si>
  <si>
    <t>ENST00000278856</t>
  </si>
  <si>
    <t>ENST00000311713</t>
  </si>
  <si>
    <t>ENST00000453708</t>
  </si>
  <si>
    <t>ENST00000525239</t>
  </si>
  <si>
    <t>ENST00000525752</t>
  </si>
  <si>
    <t>ENST00000529106</t>
  </si>
  <si>
    <t>ENST00000536401</t>
  </si>
  <si>
    <t>ENST00000538150</t>
  </si>
  <si>
    <t>ENST00000538277</t>
  </si>
  <si>
    <t>ENST00000540620</t>
  </si>
  <si>
    <t>ENST00000541930</t>
  </si>
  <si>
    <t>ENST00000542347</t>
  </si>
  <si>
    <t>ENST00000543688</t>
  </si>
  <si>
    <t>ENST00000544831</t>
  </si>
  <si>
    <t>ENST00000544953</t>
  </si>
  <si>
    <t>Q6SZW1</t>
  </si>
  <si>
    <t>ENST00000577870</t>
  </si>
  <si>
    <t>ENST00000578128</t>
  </si>
  <si>
    <t>ENST00000579593</t>
  </si>
  <si>
    <t>ENST00000580711</t>
  </si>
  <si>
    <t>ENST00000582323</t>
  </si>
  <si>
    <t>Q6UB35</t>
  </si>
  <si>
    <t>ENST00000367307</t>
  </si>
  <si>
    <t>ENST00000367308</t>
  </si>
  <si>
    <t>ENST00000367321</t>
  </si>
  <si>
    <t>Q6UB99</t>
  </si>
  <si>
    <t>ENST00000301030</t>
  </si>
  <si>
    <t>ENST00000330736</t>
  </si>
  <si>
    <t>ENST00000378330</t>
  </si>
  <si>
    <t>ENST00000378332</t>
  </si>
  <si>
    <t>ENST00000562194</t>
  </si>
  <si>
    <t>ENST00000562275</t>
  </si>
  <si>
    <t>ENST00000564553</t>
  </si>
  <si>
    <t>ENST00000566858</t>
  </si>
  <si>
    <t>ENST00000566973</t>
  </si>
  <si>
    <t>ENST00000567699</t>
  </si>
  <si>
    <t>ENST00000568100</t>
  </si>
  <si>
    <t>ENST00000568512</t>
  </si>
  <si>
    <t>Q6UN15</t>
  </si>
  <si>
    <t>ENST00000306932</t>
  </si>
  <si>
    <t>ENST00000337488</t>
  </si>
  <si>
    <t>ENST00000358575</t>
  </si>
  <si>
    <t>ENST00000504094</t>
  </si>
  <si>
    <t>ENST00000505125</t>
  </si>
  <si>
    <t>ENST00000507206</t>
  </si>
  <si>
    <t>ENST00000507922</t>
  </si>
  <si>
    <t>ENST00000511055</t>
  </si>
  <si>
    <t>ENST00000511376</t>
  </si>
  <si>
    <t>ENST00000513008</t>
  </si>
  <si>
    <t>ENST00000513975</t>
  </si>
  <si>
    <t>Q6UW02</t>
  </si>
  <si>
    <t>ENST00000356079</t>
  </si>
  <si>
    <t>ENST00000428265</t>
  </si>
  <si>
    <t>ENST00000431118</t>
  </si>
  <si>
    <t>ENST00000443941</t>
  </si>
  <si>
    <t>ENST00000449301</t>
  </si>
  <si>
    <t>ENST00000461371</t>
  </si>
  <si>
    <t>ENST00000463131</t>
  </si>
  <si>
    <t>ENST00000489360</t>
  </si>
  <si>
    <t>Q6UW68</t>
  </si>
  <si>
    <t>ENST00000354882</t>
  </si>
  <si>
    <t>ENST00000447337</t>
  </si>
  <si>
    <t>ENST00000585722</t>
  </si>
  <si>
    <t>ENST00000586590</t>
  </si>
  <si>
    <t>ENST00000586956</t>
  </si>
  <si>
    <t>ENST00000588321</t>
  </si>
  <si>
    <t>ENST00000588560</t>
  </si>
  <si>
    <t>ENST00000589555</t>
  </si>
  <si>
    <t>ENST00000590788</t>
  </si>
  <si>
    <t>ENST00000591677</t>
  </si>
  <si>
    <t>ENST00000593256</t>
  </si>
  <si>
    <t>Q6UWB1</t>
  </si>
  <si>
    <t>ENST00000263379</t>
  </si>
  <si>
    <t>Q6UWD8</t>
  </si>
  <si>
    <t>ENST00000329410</t>
  </si>
  <si>
    <t>Q6UWZ7</t>
  </si>
  <si>
    <t>ENST00000321945</t>
  </si>
  <si>
    <t>ENST00000475656</t>
  </si>
  <si>
    <t>ENST00000503217</t>
  </si>
  <si>
    <t>ENST00000504777</t>
  </si>
  <si>
    <t>ENST00000511801</t>
  </si>
  <si>
    <t>ENST00000515303</t>
  </si>
  <si>
    <t>Q6UX04</t>
  </si>
  <si>
    <t>ENST00000381070</t>
  </si>
  <si>
    <t>ENST00000506168</t>
  </si>
  <si>
    <t>ENST00000508024</t>
  </si>
  <si>
    <t>Q6UX07</t>
  </si>
  <si>
    <t>ENST00000378895</t>
  </si>
  <si>
    <t>ENST00000394901</t>
  </si>
  <si>
    <t>ENST00000581759</t>
  </si>
  <si>
    <t>Q6UX98</t>
  </si>
  <si>
    <t>ENST00000310442</t>
  </si>
  <si>
    <t>ENST00000526986</t>
  </si>
  <si>
    <t>ENST00000534073</t>
  </si>
  <si>
    <t>Q6UXN9</t>
  </si>
  <si>
    <t>ENST00000296490</t>
  </si>
  <si>
    <t>ENST00000463624</t>
  </si>
  <si>
    <t>ENST00000469000</t>
  </si>
  <si>
    <t>ENST00000487402</t>
  </si>
  <si>
    <t>Q6UXV4</t>
  </si>
  <si>
    <t>ENST00000373173</t>
  </si>
  <si>
    <t>Q6VY07</t>
  </si>
  <si>
    <t>ENST00000320580</t>
  </si>
  <si>
    <t>ENST00000524784</t>
  </si>
  <si>
    <t>ENST00000525798</t>
  </si>
  <si>
    <t>ENST00000527224</t>
  </si>
  <si>
    <t>ENST00000527380</t>
  </si>
  <si>
    <t>ENST00000528935</t>
  </si>
  <si>
    <t>ENST00000529677</t>
  </si>
  <si>
    <t>ENST00000529757</t>
  </si>
  <si>
    <t>ENST00000529795</t>
  </si>
  <si>
    <t>ENST00000531298</t>
  </si>
  <si>
    <t>ENST00000531597</t>
  </si>
  <si>
    <t>ENST00000533811</t>
  </si>
  <si>
    <t>ENST00000534273</t>
  </si>
  <si>
    <t>Q6WCQ1</t>
  </si>
  <si>
    <t>ENST00000313485</t>
  </si>
  <si>
    <t>ENST00000341712</t>
  </si>
  <si>
    <t>ENST00000395806</t>
  </si>
  <si>
    <t>ENST00000395807</t>
  </si>
  <si>
    <t>ENST00000395811</t>
  </si>
  <si>
    <t>ENST00000414263</t>
  </si>
  <si>
    <t>ENST00000429184</t>
  </si>
  <si>
    <t>ENST00000462033</t>
  </si>
  <si>
    <t>ENST00000578548</t>
  </si>
  <si>
    <t>ENST00000579361</t>
  </si>
  <si>
    <t>ENST00000581955</t>
  </si>
  <si>
    <t>ENST00000584067</t>
  </si>
  <si>
    <t>Q6WKZ4</t>
  </si>
  <si>
    <t>ENST00000287263</t>
  </si>
  <si>
    <t>ENST00000330843</t>
  </si>
  <si>
    <t>ENST00000522774</t>
  </si>
  <si>
    <t>ENST00000523182</t>
  </si>
  <si>
    <t>ENST00000524118</t>
  </si>
  <si>
    <t>Q6XQN6</t>
  </si>
  <si>
    <t>ENST00000340490</t>
  </si>
  <si>
    <t>ENST00000435154</t>
  </si>
  <si>
    <t>ENST00000449291</t>
  </si>
  <si>
    <t>ENST00000462059</t>
  </si>
  <si>
    <t>ENST00000464332</t>
  </si>
  <si>
    <t>ENST00000480946</t>
  </si>
  <si>
    <t>ENST00000488096</t>
  </si>
  <si>
    <t>ENST00000491904</t>
  </si>
  <si>
    <t>ENST00000498076</t>
  </si>
  <si>
    <t>ENST00000525583</t>
  </si>
  <si>
    <t>ENST00000529179</t>
  </si>
  <si>
    <t>Q6Y1H2</t>
  </si>
  <si>
    <t>ENST00000383657</t>
  </si>
  <si>
    <t>ENST00000480081</t>
  </si>
  <si>
    <t>ENST00000493515</t>
  </si>
  <si>
    <t>Q6YN16</t>
  </si>
  <si>
    <t>ENST00000398805</t>
  </si>
  <si>
    <t>ENST00000480881</t>
  </si>
  <si>
    <t>Q6ZMG9</t>
  </si>
  <si>
    <t>ENST00000305747</t>
  </si>
  <si>
    <t>Q6ZMI0</t>
  </si>
  <si>
    <t>ENST00000294952</t>
  </si>
  <si>
    <t>ENST00000416913</t>
  </si>
  <si>
    <t>ENST00000421486</t>
  </si>
  <si>
    <t>ENST00000431614</t>
  </si>
  <si>
    <t>ENST00000455978</t>
  </si>
  <si>
    <t>ENST00000460299</t>
  </si>
  <si>
    <t>ENST00000476199</t>
  </si>
  <si>
    <t>Q6ZN55</t>
  </si>
  <si>
    <t>ENST00000359044</t>
  </si>
  <si>
    <t>ENST00000600245</t>
  </si>
  <si>
    <t>Q6ZNB6</t>
  </si>
  <si>
    <t>ENST00000381538</t>
  </si>
  <si>
    <t>ENST00000502448</t>
  </si>
  <si>
    <t>ENST00000507131</t>
  </si>
  <si>
    <t>ENST00000511452</t>
  </si>
  <si>
    <t>Q6ZNE5</t>
  </si>
  <si>
    <t>ENST00000247178</t>
  </si>
  <si>
    <t>ENST00000558189</t>
  </si>
  <si>
    <t>Q6ZNW5</t>
  </si>
  <si>
    <t>ENST00000329600</t>
  </si>
  <si>
    <t>ENST00000558017</t>
  </si>
  <si>
    <t>ENST00000558291</t>
  </si>
  <si>
    <t>ENST00000559204</t>
  </si>
  <si>
    <t>ENST00000561433</t>
  </si>
  <si>
    <t>Q6ZPD9</t>
  </si>
  <si>
    <t>ENST00000342179</t>
  </si>
  <si>
    <t>ENST00000392250</t>
  </si>
  <si>
    <t>ENST00000585597</t>
  </si>
  <si>
    <t>ENST00000586427</t>
  </si>
  <si>
    <t>ENST00000587077</t>
  </si>
  <si>
    <t>ENST00000588648</t>
  </si>
  <si>
    <t>ENST00000592142</t>
  </si>
  <si>
    <t>ENST00000608291</t>
  </si>
  <si>
    <t>Q6ZRP7</t>
  </si>
  <si>
    <t>ENST00000358701</t>
  </si>
  <si>
    <t>Q6ZS11</t>
  </si>
  <si>
    <t>ENST00000589111</t>
  </si>
  <si>
    <t>ENST00000591812</t>
  </si>
  <si>
    <t>ENST00000593424</t>
  </si>
  <si>
    <t>ENST00000593809</t>
  </si>
  <si>
    <t>ENST00000596961</t>
  </si>
  <si>
    <t>ENST00000598048</t>
  </si>
  <si>
    <t>ENST00000598904</t>
  </si>
  <si>
    <t>ENST00000599911</t>
  </si>
  <si>
    <t>ENST00000602238</t>
  </si>
  <si>
    <t>Q6ZSJ8</t>
  </si>
  <si>
    <t>ENST00000373042</t>
  </si>
  <si>
    <t>ENST00000373043</t>
  </si>
  <si>
    <t>ENST00000468084</t>
  </si>
  <si>
    <t>Q6ZSS7</t>
  </si>
  <si>
    <t>ENST00000281416</t>
  </si>
  <si>
    <t>ENST00000392328</t>
  </si>
  <si>
    <t>ENST00000432036</t>
  </si>
  <si>
    <t>ENST00000434582</t>
  </si>
  <si>
    <t>ENST00000486123</t>
  </si>
  <si>
    <t>Q6ZSZ5</t>
  </si>
  <si>
    <t>ENST00000359920</t>
  </si>
  <si>
    <t>ENST00000593531</t>
  </si>
  <si>
    <t>ENST00000595600</t>
  </si>
  <si>
    <t>Q6ZT12</t>
  </si>
  <si>
    <t>ENST00000272793</t>
  </si>
  <si>
    <t>ENST00000392632</t>
  </si>
  <si>
    <t>ENST00000430321</t>
  </si>
  <si>
    <t>ENST00000444475</t>
  </si>
  <si>
    <t>ENST00000474426</t>
  </si>
  <si>
    <t>ENST00000477461</t>
  </si>
  <si>
    <t>ENST00000484596</t>
  </si>
  <si>
    <t>ENST00000487689</t>
  </si>
  <si>
    <t>Q6ZTN6</t>
  </si>
  <si>
    <t>ENST00000308440</t>
  </si>
  <si>
    <t>ENST00000447274</t>
  </si>
  <si>
    <t>ENST00000504186</t>
  </si>
  <si>
    <t>ENST00000506119</t>
  </si>
  <si>
    <t>ENST00000506531</t>
  </si>
  <si>
    <t>ENST00000507915</t>
  </si>
  <si>
    <t>ENST00000508417</t>
  </si>
  <si>
    <t>ENST00000508422</t>
  </si>
  <si>
    <t>ENST00000511455</t>
  </si>
  <si>
    <t>ENST00000512231</t>
  </si>
  <si>
    <t>ENST00000513460</t>
  </si>
  <si>
    <t>ENST00000513750</t>
  </si>
  <si>
    <t>ENST00000514166</t>
  </si>
  <si>
    <t>ENST00000514779</t>
  </si>
  <si>
    <t>ENST00000515828</t>
  </si>
  <si>
    <t>Q6ZU80</t>
  </si>
  <si>
    <t>ENST00000553717</t>
  </si>
  <si>
    <t>ENST00000554502</t>
  </si>
  <si>
    <t>ENST00000554728</t>
  </si>
  <si>
    <t>ENST00000554827</t>
  </si>
  <si>
    <t>ENST00000555265</t>
  </si>
  <si>
    <t>ENST00000557377</t>
  </si>
  <si>
    <t>Q6ZUM4</t>
  </si>
  <si>
    <t>ENST00000428638</t>
  </si>
  <si>
    <t>ENST00000524404</t>
  </si>
  <si>
    <t>ENST00000526484</t>
  </si>
  <si>
    <t>ENST00000527678</t>
  </si>
  <si>
    <t>ENST00000528273</t>
  </si>
  <si>
    <t>ENST00000528677</t>
  </si>
  <si>
    <t>ENST00000529357</t>
  </si>
  <si>
    <t>ENST00000531735</t>
  </si>
  <si>
    <t>ENST00000532038</t>
  </si>
  <si>
    <t>ENST00000532667</t>
  </si>
  <si>
    <t>ENST00000532891</t>
  </si>
  <si>
    <t>ENST00000579357</t>
  </si>
  <si>
    <t>ENST00000581638</t>
  </si>
  <si>
    <t>ENST00000581991</t>
  </si>
  <si>
    <t>ENST00000582826</t>
  </si>
  <si>
    <t>ENST00000590026</t>
  </si>
  <si>
    <t>Q6ZVF9</t>
  </si>
  <si>
    <t>ENST00000333209</t>
  </si>
  <si>
    <t>ENST00000609438</t>
  </si>
  <si>
    <t>Q6ZW13</t>
  </si>
  <si>
    <t>ENST00000445068</t>
  </si>
  <si>
    <t>ENST00000459925</t>
  </si>
  <si>
    <t>Q6ZW49</t>
  </si>
  <si>
    <t>ENST00000397192</t>
  </si>
  <si>
    <t>ENST00000404141</t>
  </si>
  <si>
    <t>ENST00000457196</t>
  </si>
  <si>
    <t>ENST00000464717</t>
  </si>
  <si>
    <t>ENST00000473219</t>
  </si>
  <si>
    <t>ENST00000475066</t>
  </si>
  <si>
    <t>ENST00000485730</t>
  </si>
  <si>
    <t>Q702N8</t>
  </si>
  <si>
    <t>ENST00000340369</t>
  </si>
  <si>
    <t>Q70CQ2</t>
  </si>
  <si>
    <t>ENST00000398571</t>
  </si>
  <si>
    <t>ENST00000411912</t>
  </si>
  <si>
    <t>ENST00000453734</t>
  </si>
  <si>
    <t>ENST00000463046</t>
  </si>
  <si>
    <t>ENST00000472689</t>
  </si>
  <si>
    <t>ENST00000476716</t>
  </si>
  <si>
    <t>ENST00000482250</t>
  </si>
  <si>
    <t>ENST00000483672</t>
  </si>
  <si>
    <t>ENST00000484179</t>
  </si>
  <si>
    <t>ENST00000487547</t>
  </si>
  <si>
    <t>ENST00000490527</t>
  </si>
  <si>
    <t>ENST00000490552</t>
  </si>
  <si>
    <t>ENST00000492604</t>
  </si>
  <si>
    <t>ENST00000492882</t>
  </si>
  <si>
    <t>ENST00000494867</t>
  </si>
  <si>
    <t>ENST00000498268</t>
  </si>
  <si>
    <t>Q70IA6</t>
  </si>
  <si>
    <t>ENST00000329957</t>
  </si>
  <si>
    <t>ENST00000526462</t>
  </si>
  <si>
    <t>ENST00000526698</t>
  </si>
  <si>
    <t>ENST00000529380</t>
  </si>
  <si>
    <t>ENST00000529897</t>
  </si>
  <si>
    <t>ENST00000531976</t>
  </si>
  <si>
    <t>Q70J99</t>
  </si>
  <si>
    <t>ENST00000207549</t>
  </si>
  <si>
    <t>ENST00000587495</t>
  </si>
  <si>
    <t>ENST00000587504</t>
  </si>
  <si>
    <t>ENST00000588774</t>
  </si>
  <si>
    <t>ENST00000589670</t>
  </si>
  <si>
    <t>ENST00000590762</t>
  </si>
  <si>
    <t>ENST00000590856</t>
  </si>
  <si>
    <t>ENST00000591563</t>
  </si>
  <si>
    <t>ENST00000591616</t>
  </si>
  <si>
    <t>Q712K3</t>
  </si>
  <si>
    <t>ENST00000263228</t>
  </si>
  <si>
    <t>Q71DI3</t>
  </si>
  <si>
    <t>ENST00000331491</t>
  </si>
  <si>
    <t>ENST00000369158</t>
  </si>
  <si>
    <t>ENST00000403683</t>
  </si>
  <si>
    <t>Q71F23</t>
  </si>
  <si>
    <t>ENST00000281453</t>
  </si>
  <si>
    <t>ENST00000502461</t>
  </si>
  <si>
    <t>ENST00000506535</t>
  </si>
  <si>
    <t>ENST00000508095</t>
  </si>
  <si>
    <t>ENST00000510146</t>
  </si>
  <si>
    <t>Q71F56</t>
  </si>
  <si>
    <t>ENST00000281928</t>
  </si>
  <si>
    <t>ENST00000548694</t>
  </si>
  <si>
    <t>ENST00000548784</t>
  </si>
  <si>
    <t>ENST00000549755</t>
  </si>
  <si>
    <t>ENST00000549786</t>
  </si>
  <si>
    <t>ENST00000552340</t>
  </si>
  <si>
    <t>ENST00000552447</t>
  </si>
  <si>
    <t>Q71UI9</t>
  </si>
  <si>
    <t>ENST00000222690</t>
  </si>
  <si>
    <t>ENST00000308153</t>
  </si>
  <si>
    <t>ENST00000349299</t>
  </si>
  <si>
    <t>ENST00000350771</t>
  </si>
  <si>
    <t>ENST00000381124</t>
  </si>
  <si>
    <t>ENST00000437072</t>
  </si>
  <si>
    <t>ENST00000446531</t>
  </si>
  <si>
    <t>ENST00000521529</t>
  </si>
  <si>
    <t>Q75N03</t>
  </si>
  <si>
    <t>ENST00000222597</t>
  </si>
  <si>
    <t>ENST00000420796</t>
  </si>
  <si>
    <t>ENST00000432748</t>
  </si>
  <si>
    <t>ENST00000440859</t>
  </si>
  <si>
    <t>ENST00000479443</t>
  </si>
  <si>
    <t>ENST00000487517</t>
  </si>
  <si>
    <t>ENST00000493361</t>
  </si>
  <si>
    <t>Q75QN2</t>
  </si>
  <si>
    <t>ENST00000343161</t>
  </si>
  <si>
    <t>ENST00000517918</t>
  </si>
  <si>
    <t>ENST00000519736</t>
  </si>
  <si>
    <t>ENST00000520315</t>
  </si>
  <si>
    <t>ENST00000520526</t>
  </si>
  <si>
    <t>ENST00000520845</t>
  </si>
  <si>
    <t>ENST00000520853</t>
  </si>
  <si>
    <t>ENST00000521155</t>
  </si>
  <si>
    <t>ENST00000522261</t>
  </si>
  <si>
    <t>ENST00000523321</t>
  </si>
  <si>
    <t>ENST00000523352</t>
  </si>
  <si>
    <t>ENST00000523731</t>
  </si>
  <si>
    <t>ENST00000523998</t>
  </si>
  <si>
    <t>ENST00000524333</t>
  </si>
  <si>
    <t>Q76I76</t>
  </si>
  <si>
    <t>ENST00000269033</t>
  </si>
  <si>
    <t>ENST00000324677</t>
  </si>
  <si>
    <t>ENST00000394848</t>
  </si>
  <si>
    <t>ENST00000540801</t>
  </si>
  <si>
    <t>ENST00000577483</t>
  </si>
  <si>
    <t>ENST00000578411</t>
  </si>
  <si>
    <t>ENST00000579040</t>
  </si>
  <si>
    <t>ENST00000579954</t>
  </si>
  <si>
    <t>ENST00000582084</t>
  </si>
  <si>
    <t>ENST00000590153</t>
  </si>
  <si>
    <t>Q76L83</t>
  </si>
  <si>
    <t>ENST00000435504</t>
  </si>
  <si>
    <t>Q7KZ85</t>
  </si>
  <si>
    <t>ENST00000314616</t>
  </si>
  <si>
    <t>ENST00000347486</t>
  </si>
  <si>
    <t>ENST00000577713</t>
  </si>
  <si>
    <t>ENST00000577939</t>
  </si>
  <si>
    <t>ENST00000580471</t>
  </si>
  <si>
    <t>ENST00000581510</t>
  </si>
  <si>
    <t>ENST00000581908</t>
  </si>
  <si>
    <t>ENST00000583340</t>
  </si>
  <si>
    <t>ENST00000583972</t>
  </si>
  <si>
    <t>ENST00000584285</t>
  </si>
  <si>
    <t>ENST00000584312</t>
  </si>
  <si>
    <t>ENST00000585230</t>
  </si>
  <si>
    <t>Q7KZF4</t>
  </si>
  <si>
    <t>ENST00000354725</t>
  </si>
  <si>
    <t>ENST00000463020</t>
  </si>
  <si>
    <t>ENST00000467238</t>
  </si>
  <si>
    <t>ENST00000470463</t>
  </si>
  <si>
    <t>ENST00000470723</t>
  </si>
  <si>
    <t>ENST00000485871</t>
  </si>
  <si>
    <t>ENST00000486037</t>
  </si>
  <si>
    <t>ENST00000489417</t>
  </si>
  <si>
    <t>ENST00000492840</t>
  </si>
  <si>
    <t>Q7L014</t>
  </si>
  <si>
    <t>ENST00000354283</t>
  </si>
  <si>
    <t>ENST00000452510</t>
  </si>
  <si>
    <t>ENST00000503946</t>
  </si>
  <si>
    <t>ENST00000505592</t>
  </si>
  <si>
    <t>ENST00000506332</t>
  </si>
  <si>
    <t>ENST00000507392</t>
  </si>
  <si>
    <t>ENST00000509178</t>
  </si>
  <si>
    <t>ENST00000509255</t>
  </si>
  <si>
    <t>ENST00000513987</t>
  </si>
  <si>
    <t>Q7L099</t>
  </si>
  <si>
    <t>ENST00000226328</t>
  </si>
  <si>
    <t>ENST00000381006</t>
  </si>
  <si>
    <t>ENST00000417478</t>
  </si>
  <si>
    <t>ENST00000503025</t>
  </si>
  <si>
    <t>ENST00000504805</t>
  </si>
  <si>
    <t>ENST00000512103</t>
  </si>
  <si>
    <t>ENST00000512331</t>
  </si>
  <si>
    <t>ENST00000515442</t>
  </si>
  <si>
    <t>ENST00000515479</t>
  </si>
  <si>
    <t>Q7L0Y3</t>
  </si>
  <si>
    <t>ENST00000309922</t>
  </si>
  <si>
    <t>Q7L1Q6</t>
  </si>
  <si>
    <t>ENST00000359893</t>
  </si>
  <si>
    <t>ENST00000409600</t>
  </si>
  <si>
    <t>ENST00000410110</t>
  </si>
  <si>
    <t>ENST00000447069</t>
  </si>
  <si>
    <t>ENST00000450637</t>
  </si>
  <si>
    <t>ENST00000452206</t>
  </si>
  <si>
    <t>ENST00000452790</t>
  </si>
  <si>
    <t>ENST00000460660</t>
  </si>
  <si>
    <t>ENST00000463310</t>
  </si>
  <si>
    <t>ENST00000464483</t>
  </si>
  <si>
    <t>ENST00000491576</t>
  </si>
  <si>
    <t>Q7L1T6</t>
  </si>
  <si>
    <t>ENST00000369681</t>
  </si>
  <si>
    <t>Q7L1V2</t>
  </si>
  <si>
    <t>ENST00000248248</t>
  </si>
  <si>
    <t>ENST00000563612</t>
  </si>
  <si>
    <t>ENST00000564006</t>
  </si>
  <si>
    <t>ENST00000566455</t>
  </si>
  <si>
    <t>ENST00000566963</t>
  </si>
  <si>
    <t>Q7L1W4</t>
  </si>
  <si>
    <t>ENST00000337338</t>
  </si>
  <si>
    <t>ENST00000441269</t>
  </si>
  <si>
    <t>ENST00000525774</t>
  </si>
  <si>
    <t>ENST00000527156</t>
  </si>
  <si>
    <t>Q7L211</t>
  </si>
  <si>
    <t>ENST00000375898</t>
  </si>
  <si>
    <t>Q7L266</t>
  </si>
  <si>
    <t>ENST00000415229</t>
  </si>
  <si>
    <t>ENST00000525496</t>
  </si>
  <si>
    <t>ENST00000525708</t>
  </si>
  <si>
    <t>ENST00000534571</t>
  </si>
  <si>
    <t>Q7L273</t>
  </si>
  <si>
    <t>ENST00000221200</t>
  </si>
  <si>
    <t>ENST00000517914</t>
  </si>
  <si>
    <t>ENST00000518067</t>
  </si>
  <si>
    <t>ENST00000518997</t>
  </si>
  <si>
    <t>ENST00000519665</t>
  </si>
  <si>
    <t>ENST00000520405</t>
  </si>
  <si>
    <t>ENST00000521458</t>
  </si>
  <si>
    <t>ENST00000524217</t>
  </si>
  <si>
    <t>Q7L2H7</t>
  </si>
  <si>
    <t>ENST00000323213</t>
  </si>
  <si>
    <t>ENST00000524711</t>
  </si>
  <si>
    <t>ENST00000524896</t>
  </si>
  <si>
    <t>ENST00000525054</t>
  </si>
  <si>
    <t>ENST00000525782</t>
  </si>
  <si>
    <t>ENST00000526267</t>
  </si>
  <si>
    <t>ENST00000530026</t>
  </si>
  <si>
    <t>ENST00000531120</t>
  </si>
  <si>
    <t>ENST00000531186</t>
  </si>
  <si>
    <t>ENST00000531921</t>
  </si>
  <si>
    <t>ENST00000532054</t>
  </si>
  <si>
    <t>ENST00000532444</t>
  </si>
  <si>
    <t>Q7L2J0</t>
  </si>
  <si>
    <t>ENST00000310512</t>
  </si>
  <si>
    <t>ENST00000414441</t>
  </si>
  <si>
    <t>ENST00000479201</t>
  </si>
  <si>
    <t>ENST00000497759</t>
  </si>
  <si>
    <t>Q7L311</t>
  </si>
  <si>
    <t>ENST00000328766</t>
  </si>
  <si>
    <t>ENST00000330154</t>
  </si>
  <si>
    <t>ENST00000356824</t>
  </si>
  <si>
    <t>ENST00000413506</t>
  </si>
  <si>
    <t>ENST00000433318</t>
  </si>
  <si>
    <t>ENST00000467416</t>
  </si>
  <si>
    <t>ENST00000475854</t>
  </si>
  <si>
    <t>ENST00000488982</t>
  </si>
  <si>
    <t>Q7L3B6</t>
  </si>
  <si>
    <t>ENST00000381854</t>
  </si>
  <si>
    <t>ENST00000479095</t>
  </si>
  <si>
    <t>Q7L3S4</t>
  </si>
  <si>
    <t>ENST00000319296</t>
  </si>
  <si>
    <t>ENST00000434417</t>
  </si>
  <si>
    <t>ENST00000566625</t>
  </si>
  <si>
    <t>Q7L4I2</t>
  </si>
  <si>
    <t>ENST00000331738</t>
  </si>
  <si>
    <t>ENST00000344591</t>
  </si>
  <si>
    <t>ENST00000392442</t>
  </si>
  <si>
    <t>ENST00000433877</t>
  </si>
  <si>
    <t>ENST00000524399</t>
  </si>
  <si>
    <t>ENST00000525332</t>
  </si>
  <si>
    <t>ENST00000525335</t>
  </si>
  <si>
    <t>ENST00000525387</t>
  </si>
  <si>
    <t>ENST00000525570</t>
  </si>
  <si>
    <t>ENST00000527173</t>
  </si>
  <si>
    <t>ENST00000528263</t>
  </si>
  <si>
    <t>ENST00000531389</t>
  </si>
  <si>
    <t>ENST00000531639</t>
  </si>
  <si>
    <t>ENST00000532695</t>
  </si>
  <si>
    <t>Q7L4P6</t>
  </si>
  <si>
    <t>ENST00000371833</t>
  </si>
  <si>
    <t>ENST00000463562</t>
  </si>
  <si>
    <t>ENST00000489956</t>
  </si>
  <si>
    <t>Q7L523</t>
  </si>
  <si>
    <t>ENST00000380527</t>
  </si>
  <si>
    <t>Q7L576</t>
  </si>
  <si>
    <t>ENST00000557890</t>
  </si>
  <si>
    <t>ENST00000561263</t>
  </si>
  <si>
    <t>Q7L591</t>
  </si>
  <si>
    <t>ENST00000312943</t>
  </si>
  <si>
    <t>ENST00000357198</t>
  </si>
  <si>
    <t>ENST00000500323</t>
  </si>
  <si>
    <t>ENST00000502380</t>
  </si>
  <si>
    <t>ENST00000509310</t>
  </si>
  <si>
    <t>ENST00000510389</t>
  </si>
  <si>
    <t>Q7L592</t>
  </si>
  <si>
    <t>ENST00000002125</t>
  </si>
  <si>
    <t>ENST00000336237</t>
  </si>
  <si>
    <t>ENST00000431821</t>
  </si>
  <si>
    <t>ENST00000455230</t>
  </si>
  <si>
    <t>ENST00000474154</t>
  </si>
  <si>
    <t>ENST00000474257</t>
  </si>
  <si>
    <t>ENST00000483999</t>
  </si>
  <si>
    <t>Q7L5D6</t>
  </si>
  <si>
    <t>ENST00000265857</t>
  </si>
  <si>
    <t>ENST00000407192</t>
  </si>
  <si>
    <t>ENST00000412734</t>
  </si>
  <si>
    <t>ENST00000426056</t>
  </si>
  <si>
    <t>ENST00000464468</t>
  </si>
  <si>
    <t>ENST00000483469</t>
  </si>
  <si>
    <t>Q7L5N1</t>
  </si>
  <si>
    <t>ENST00000303904</t>
  </si>
  <si>
    <t>ENST00000426712</t>
  </si>
  <si>
    <t>ENST00000465027</t>
  </si>
  <si>
    <t>ENST00000468499</t>
  </si>
  <si>
    <t>ENST00000472107</t>
  </si>
  <si>
    <t>ENST00000474823</t>
  </si>
  <si>
    <t>ENST00000483891</t>
  </si>
  <si>
    <t>ENST00000496358</t>
  </si>
  <si>
    <t>Q7L5N7</t>
  </si>
  <si>
    <t>ENST00000262134</t>
  </si>
  <si>
    <t>ENST00000562299</t>
  </si>
  <si>
    <t>ENST00000563095</t>
  </si>
  <si>
    <t>ENST00000564084</t>
  </si>
  <si>
    <t>ENST00000566375</t>
  </si>
  <si>
    <t>ENST00000566911</t>
  </si>
  <si>
    <t>ENST00000566915</t>
  </si>
  <si>
    <t>Q7L5Y1</t>
  </si>
  <si>
    <t>ENST00000251101</t>
  </si>
  <si>
    <t>ENST00000340116</t>
  </si>
  <si>
    <t>ENST00000383578</t>
  </si>
  <si>
    <t>ENST00000577334</t>
  </si>
  <si>
    <t>ENST00000578647</t>
  </si>
  <si>
    <t>ENST00000578651</t>
  </si>
  <si>
    <t>ENST00000579053</t>
  </si>
  <si>
    <t>ENST00000580982</t>
  </si>
  <si>
    <t>ENST00000581332</t>
  </si>
  <si>
    <t>ENST00000581906</t>
  </si>
  <si>
    <t>ENST00000581928</t>
  </si>
  <si>
    <t>ENST00000582745</t>
  </si>
  <si>
    <t>ENST00000583973</t>
  </si>
  <si>
    <t>ENST00000584259</t>
  </si>
  <si>
    <t>ENST00000584646</t>
  </si>
  <si>
    <t>ENST00000584706</t>
  </si>
  <si>
    <t>ENST00000585004</t>
  </si>
  <si>
    <t>ENST00000585128</t>
  </si>
  <si>
    <t>Q7L5Y9</t>
  </si>
  <si>
    <t>ENST00000264750</t>
  </si>
  <si>
    <t>ENST00000303400</t>
  </si>
  <si>
    <t>ENST00000503162</t>
  </si>
  <si>
    <t>ENST00000503653</t>
  </si>
  <si>
    <t>ENST00000505177</t>
  </si>
  <si>
    <t>ENST00000505839</t>
  </si>
  <si>
    <t>ENST00000506530</t>
  </si>
  <si>
    <t>ENST00000508634</t>
  </si>
  <si>
    <t>ENST00000509531</t>
  </si>
  <si>
    <t>ENST00000510794</t>
  </si>
  <si>
    <t>ENST00000510862</t>
  </si>
  <si>
    <t>ENST00000512289</t>
  </si>
  <si>
    <t>ENST00000512308</t>
  </si>
  <si>
    <t>ENST00000513301</t>
  </si>
  <si>
    <t>ENST00000515766</t>
  </si>
  <si>
    <t>Q7L775</t>
  </si>
  <si>
    <t>ENST00000322716</t>
  </si>
  <si>
    <t>Q7L7X3</t>
  </si>
  <si>
    <t>ENST00000261716</t>
  </si>
  <si>
    <t>ENST00000577583</t>
  </si>
  <si>
    <t>ENST00000578653</t>
  </si>
  <si>
    <t>ENST00000587277</t>
  </si>
  <si>
    <t>Q7L8L6</t>
  </si>
  <si>
    <t>ENST00000380266</t>
  </si>
  <si>
    <t>Q7L8W6</t>
  </si>
  <si>
    <t>ENST00000256538</t>
  </si>
  <si>
    <t>ENST00000440392</t>
  </si>
  <si>
    <t>ENST00000559585</t>
  </si>
  <si>
    <t>ENST00000560526</t>
  </si>
  <si>
    <t>Q7LBC6</t>
  </si>
  <si>
    <t>ENST00000314358</t>
  </si>
  <si>
    <t>ENST00000504095</t>
  </si>
  <si>
    <t>ENST00000505756</t>
  </si>
  <si>
    <t>ENST00000508386</t>
  </si>
  <si>
    <t>ENST00000509468</t>
  </si>
  <si>
    <t>ENST00000512928</t>
  </si>
  <si>
    <t>Q7LBR1</t>
  </si>
  <si>
    <t>ENST00000526991</t>
  </si>
  <si>
    <t>ENST00000588284</t>
  </si>
  <si>
    <t>Q7LG56</t>
  </si>
  <si>
    <t>ENST00000251810</t>
  </si>
  <si>
    <t>ENST00000395910</t>
  </si>
  <si>
    <t>ENST00000517517</t>
  </si>
  <si>
    <t>ENST00000519125</t>
  </si>
  <si>
    <t>ENST00000522368</t>
  </si>
  <si>
    <t>ENST00000523957</t>
  </si>
  <si>
    <t>Q7RTP6</t>
  </si>
  <si>
    <t>ENST00000252134</t>
  </si>
  <si>
    <t>ENST00000441493</t>
  </si>
  <si>
    <t>ENST00000495076</t>
  </si>
  <si>
    <t>ENST00000578905</t>
  </si>
  <si>
    <t>Q7RTS9</t>
  </si>
  <si>
    <t>ENST00000269445</t>
  </si>
  <si>
    <t>ENST00000418472</t>
  </si>
  <si>
    <t>ENST00000577481</t>
  </si>
  <si>
    <t>ENST00000577734</t>
  </si>
  <si>
    <t>ENST00000578396</t>
  </si>
  <si>
    <t>ENST00000581409</t>
  </si>
  <si>
    <t>ENST00000582095</t>
  </si>
  <si>
    <t>ENST00000583225</t>
  </si>
  <si>
    <t>ENST00000583270</t>
  </si>
  <si>
    <t>ENST00000584977</t>
  </si>
  <si>
    <t>Q7RTV0</t>
  </si>
  <si>
    <t>ENST00000216252</t>
  </si>
  <si>
    <t>ENST00000459687</t>
  </si>
  <si>
    <t>ENST00000491254</t>
  </si>
  <si>
    <t>Q7Z2K6</t>
  </si>
  <si>
    <t>ENST00000214893</t>
  </si>
  <si>
    <t>ENST00000339450</t>
  </si>
  <si>
    <t>ENST00000462592</t>
  </si>
  <si>
    <t>ENST00000475005</t>
  </si>
  <si>
    <t>ENST00000489219</t>
  </si>
  <si>
    <t>Q7Z2T5</t>
  </si>
  <si>
    <t>ENST00000367506</t>
  </si>
  <si>
    <t>ENST00000458395</t>
  </si>
  <si>
    <t>ENST00000465827</t>
  </si>
  <si>
    <t>Q7Z2W4</t>
  </si>
  <si>
    <t>ENST00000242351</t>
  </si>
  <si>
    <t>ENST00000460845</t>
  </si>
  <si>
    <t>ENST00000464606</t>
  </si>
  <si>
    <t>ENST00000471652</t>
  </si>
  <si>
    <t>Q7Z2W9</t>
  </si>
  <si>
    <t>ENST00000362034</t>
  </si>
  <si>
    <t>ENST00000450904</t>
  </si>
  <si>
    <t>ENST00000536637</t>
  </si>
  <si>
    <t>ENST00000541265</t>
  </si>
  <si>
    <t>ENST00000541279</t>
  </si>
  <si>
    <t>ENST00000544567</t>
  </si>
  <si>
    <t>ENST00000565125</t>
  </si>
  <si>
    <t>ENST00000567045</t>
  </si>
  <si>
    <t>Q7Z333</t>
  </si>
  <si>
    <t>ENST00000224140</t>
  </si>
  <si>
    <t>ENST00000436441</t>
  </si>
  <si>
    <t>ENST00000464133</t>
  </si>
  <si>
    <t>ENST00000474172</t>
  </si>
  <si>
    <t>ENST00000477049</t>
  </si>
  <si>
    <t>Q7Z392</t>
  </si>
  <si>
    <t>ENST00000334690</t>
  </si>
  <si>
    <t>ENST00000504526</t>
  </si>
  <si>
    <t>ENST00000506426</t>
  </si>
  <si>
    <t>ENST00000509857</t>
  </si>
  <si>
    <t>ENST00000511409</t>
  </si>
  <si>
    <t>ENST00000511955</t>
  </si>
  <si>
    <t>ENST00000512476</t>
  </si>
  <si>
    <t>ENST00000513600</t>
  </si>
  <si>
    <t>Q7Z3B3</t>
  </si>
  <si>
    <t>ENST00000262419</t>
  </si>
  <si>
    <t>ENST00000432791</t>
  </si>
  <si>
    <t>ENST00000572218</t>
  </si>
  <si>
    <t>ENST00000572679</t>
  </si>
  <si>
    <t>ENST00000572904</t>
  </si>
  <si>
    <t>ENST00000573286</t>
  </si>
  <si>
    <t>ENST00000573682</t>
  </si>
  <si>
    <t>ENST00000574590</t>
  </si>
  <si>
    <t>ENST00000574655</t>
  </si>
  <si>
    <t>ENST00000574963</t>
  </si>
  <si>
    <t>ENST00000575318</t>
  </si>
  <si>
    <t>ENST00000576137</t>
  </si>
  <si>
    <t>ENST00000576248</t>
  </si>
  <si>
    <t>ENST00000576739</t>
  </si>
  <si>
    <t>ENST00000576870</t>
  </si>
  <si>
    <t>ENST00000577114</t>
  </si>
  <si>
    <t>Q7Z3E2</t>
  </si>
  <si>
    <t>ENST00000369285</t>
  </si>
  <si>
    <t>ENST00000369286</t>
  </si>
  <si>
    <t>ENST00000369287</t>
  </si>
  <si>
    <t>ENST00000490661</t>
  </si>
  <si>
    <t>Q7Z3J2</t>
  </si>
  <si>
    <t>ENST00000251143</t>
  </si>
  <si>
    <t>ENST00000438132</t>
  </si>
  <si>
    <t>ENST00000513947</t>
  </si>
  <si>
    <t>ENST00000535164</t>
  </si>
  <si>
    <t>ENST00000539322</t>
  </si>
  <si>
    <t>ENST00000539705</t>
  </si>
  <si>
    <t>ENST00000540240</t>
  </si>
  <si>
    <t>ENST00000541153</t>
  </si>
  <si>
    <t>ENST00000542263</t>
  </si>
  <si>
    <t>ENST00000543152</t>
  </si>
  <si>
    <t>ENST00000543460</t>
  </si>
  <si>
    <t>ENST00000544670</t>
  </si>
  <si>
    <t>ENST00000546175</t>
  </si>
  <si>
    <t>ENST00000563649</t>
  </si>
  <si>
    <t>ENST00000566850</t>
  </si>
  <si>
    <t>Q7Z403</t>
  </si>
  <si>
    <t>ENST00000392467</t>
  </si>
  <si>
    <t>ENST00000585849</t>
  </si>
  <si>
    <t>ENST00000586126</t>
  </si>
  <si>
    <t>ENST00000586271</t>
  </si>
  <si>
    <t>ENST00000587480</t>
  </si>
  <si>
    <t>ENST00000588087</t>
  </si>
  <si>
    <t>ENST00000589271</t>
  </si>
  <si>
    <t>ENST00000589553</t>
  </si>
  <si>
    <t>ENST00000589933</t>
  </si>
  <si>
    <t>ENST00000590162</t>
  </si>
  <si>
    <t>ENST00000590494</t>
  </si>
  <si>
    <t>ENST00000590602</t>
  </si>
  <si>
    <t>ENST00000591436</t>
  </si>
  <si>
    <t>ENST00000591594</t>
  </si>
  <si>
    <t>ENST00000591756</t>
  </si>
  <si>
    <t>ENST00000592063</t>
  </si>
  <si>
    <t>ENST00000592076</t>
  </si>
  <si>
    <t>ENST00000593044</t>
  </si>
  <si>
    <t>Q7Z417</t>
  </si>
  <si>
    <t>ENST00000225388</t>
  </si>
  <si>
    <t>Q7Z434</t>
  </si>
  <si>
    <t>ENST00000416600</t>
  </si>
  <si>
    <t>ENST00000428216</t>
  </si>
  <si>
    <t>Q7Z478</t>
  </si>
  <si>
    <t>ENST00000251636</t>
  </si>
  <si>
    <t>ENST00000504778</t>
  </si>
  <si>
    <t>ENST00000513447</t>
  </si>
  <si>
    <t>Q7Z4G1</t>
  </si>
  <si>
    <t>ENST00000355801</t>
  </si>
  <si>
    <t>ENST00000377612</t>
  </si>
  <si>
    <t>ENST00000377615</t>
  </si>
  <si>
    <t>ENST00000377619</t>
  </si>
  <si>
    <t>ENST00000406936</t>
  </si>
  <si>
    <t>ENST00000464050</t>
  </si>
  <si>
    <t>ENST00000471682</t>
  </si>
  <si>
    <t>ENST00000477377</t>
  </si>
  <si>
    <t>ENST00000483290</t>
  </si>
  <si>
    <t>ENST00000486516</t>
  </si>
  <si>
    <t>ENST00000497707</t>
  </si>
  <si>
    <t>Q7Z4H3</t>
  </si>
  <si>
    <t>ENST00000318787</t>
  </si>
  <si>
    <t>ENST00000398153</t>
  </si>
  <si>
    <t>ENST00000608284</t>
  </si>
  <si>
    <t>ENST00000608295</t>
  </si>
  <si>
    <t>ENST00000608461</t>
  </si>
  <si>
    <t>ENST00000608532</t>
  </si>
  <si>
    <t>ENST00000609021</t>
  </si>
  <si>
    <t>ENST00000609574</t>
  </si>
  <si>
    <t>Q7Z4H7</t>
  </si>
  <si>
    <t>ENST00000380496</t>
  </si>
  <si>
    <t>ENST00000380502</t>
  </si>
  <si>
    <t>ENST00000415524</t>
  </si>
  <si>
    <t>Q7Z4H8</t>
  </si>
  <si>
    <t>ENST00000323468</t>
  </si>
  <si>
    <t>ENST00000434945</t>
  </si>
  <si>
    <t>ENST00000530318</t>
  </si>
  <si>
    <t>Q7Z4Q2</t>
  </si>
  <si>
    <t>ENST00000299192</t>
  </si>
  <si>
    <t>ENST00000561525</t>
  </si>
  <si>
    <t>ENST00000569324</t>
  </si>
  <si>
    <t>Q7Z4W1</t>
  </si>
  <si>
    <t>ENST00000306869</t>
  </si>
  <si>
    <t>ENST00000577286</t>
  </si>
  <si>
    <t>ENST00000577532</t>
  </si>
  <si>
    <t>ENST00000577712</t>
  </si>
  <si>
    <t>ENST00000578273</t>
  </si>
  <si>
    <t>ENST00000578885</t>
  </si>
  <si>
    <t>ENST00000579004</t>
  </si>
  <si>
    <t>ENST00000579155</t>
  </si>
  <si>
    <t>ENST00000579334</t>
  </si>
  <si>
    <t>ENST00000579842</t>
  </si>
  <si>
    <t>ENST00000580320</t>
  </si>
  <si>
    <t>ENST00000580750</t>
  </si>
  <si>
    <t>ENST00000581584</t>
  </si>
  <si>
    <t>ENST00000582074</t>
  </si>
  <si>
    <t>ENST00000582613</t>
  </si>
  <si>
    <t>ENST00000582900</t>
  </si>
  <si>
    <t>ENST00000585085</t>
  </si>
  <si>
    <t>ENST00000585164</t>
  </si>
  <si>
    <t>Q7Z569</t>
  </si>
  <si>
    <t>ENST00000327551</t>
  </si>
  <si>
    <t>ENST00000419234</t>
  </si>
  <si>
    <t>ENST00000547043</t>
  </si>
  <si>
    <t>Q7Z591</t>
  </si>
  <si>
    <t>ENST00000223791</t>
  </si>
  <si>
    <t>ENST00000307564</t>
  </si>
  <si>
    <t>ENST00000312033</t>
  </si>
  <si>
    <t>ENST00000374075</t>
  </si>
  <si>
    <t>ENST00000374079</t>
  </si>
  <si>
    <t>ENST00000374088</t>
  </si>
  <si>
    <t>ENST00000490767</t>
  </si>
  <si>
    <t>ENST00000491133</t>
  </si>
  <si>
    <t>ENST00000492875</t>
  </si>
  <si>
    <t>Q7Z5K2</t>
  </si>
  <si>
    <t>ENST00000263070</t>
  </si>
  <si>
    <t>ENST00000298767</t>
  </si>
  <si>
    <t>ENST00000372075</t>
  </si>
  <si>
    <t>ENST00000484070</t>
  </si>
  <si>
    <t>ENST00000489996</t>
  </si>
  <si>
    <t>ENST00000495124</t>
  </si>
  <si>
    <t>Q7Z5R6</t>
  </si>
  <si>
    <t>ENST00000356785</t>
  </si>
  <si>
    <t>ENST00000376236</t>
  </si>
  <si>
    <t>ENST00000493857</t>
  </si>
  <si>
    <t>Q7Z614</t>
  </si>
  <si>
    <t>ENST00000300590</t>
  </si>
  <si>
    <t>ENST00000330943</t>
  </si>
  <si>
    <t>ENST00000568993</t>
  </si>
  <si>
    <t>Q7Z6I6</t>
  </si>
  <si>
    <t>ENST00000368013</t>
  </si>
  <si>
    <t>ENST00000368015</t>
  </si>
  <si>
    <t>ENST00000368018</t>
  </si>
  <si>
    <t>ENST00000461003</t>
  </si>
  <si>
    <t>ENST00000471492</t>
  </si>
  <si>
    <t>ENST00000490279</t>
  </si>
  <si>
    <t>Q7Z6I8</t>
  </si>
  <si>
    <t>ENST00000394976</t>
  </si>
  <si>
    <t>ENST00000435259</t>
  </si>
  <si>
    <t>ENST00000504727</t>
  </si>
  <si>
    <t>ENST00000507390</t>
  </si>
  <si>
    <t>ENST00000508791</t>
  </si>
  <si>
    <t>Q7Z6J4</t>
  </si>
  <si>
    <t>ENST00000274963</t>
  </si>
  <si>
    <t>ENST00000487920</t>
  </si>
  <si>
    <t>ENST00000489356</t>
  </si>
  <si>
    <t>ENST00000493635</t>
  </si>
  <si>
    <t>Q7Z6J9</t>
  </si>
  <si>
    <t>ENST00000333213</t>
  </si>
  <si>
    <t>ENST00000545228</t>
  </si>
  <si>
    <t>ENST00000577197</t>
  </si>
  <si>
    <t>ENST00000579449</t>
  </si>
  <si>
    <t>ENST00000580013</t>
  </si>
  <si>
    <t>ENST00000583173</t>
  </si>
  <si>
    <t>ENST00000583454</t>
  </si>
  <si>
    <t>ENST00000583634</t>
  </si>
  <si>
    <t>ENST00000583818</t>
  </si>
  <si>
    <t>Q7Z6L1</t>
  </si>
  <si>
    <t>ENST00000420697</t>
  </si>
  <si>
    <t>ENST00000423128</t>
  </si>
  <si>
    <t>ENST00000447648</t>
  </si>
  <si>
    <t>ENST00000463402</t>
  </si>
  <si>
    <t>ENST00000463648</t>
  </si>
  <si>
    <t>ENST00000474915</t>
  </si>
  <si>
    <t>ENST00000479975</t>
  </si>
  <si>
    <t>ENST00000483740</t>
  </si>
  <si>
    <t>ENST00000485716</t>
  </si>
  <si>
    <t>ENST00000488667</t>
  </si>
  <si>
    <t>ENST00000490842</t>
  </si>
  <si>
    <t>Q7Z6M1</t>
  </si>
  <si>
    <t>ENST00000259460</t>
  </si>
  <si>
    <t>ENST00000373538</t>
  </si>
  <si>
    <t>ENST00000373544</t>
  </si>
  <si>
    <t>ENST00000394125</t>
  </si>
  <si>
    <t>Q7Z6M4</t>
  </si>
  <si>
    <t>ENST00000391980</t>
  </si>
  <si>
    <t>ENST00000401626</t>
  </si>
  <si>
    <t>ENST00000406593</t>
  </si>
  <si>
    <t>ENST00000407095</t>
  </si>
  <si>
    <t>ENST00000414146</t>
  </si>
  <si>
    <t>ENST00000424798</t>
  </si>
  <si>
    <t>ENST00000449133</t>
  </si>
  <si>
    <t>ENST00000455202</t>
  </si>
  <si>
    <t>ENST00000460915</t>
  </si>
  <si>
    <t>ENST00000464344</t>
  </si>
  <si>
    <t>ENST00000475860</t>
  </si>
  <si>
    <t>ENST00000476564</t>
  </si>
  <si>
    <t>ENST00000479205</t>
  </si>
  <si>
    <t>ENST00000480298</t>
  </si>
  <si>
    <t>ENST00000493169</t>
  </si>
  <si>
    <t>ENST00000496878</t>
  </si>
  <si>
    <t>Q7Z6P3</t>
  </si>
  <si>
    <t>ENST00000229824</t>
  </si>
  <si>
    <t>Q7Z6V5</t>
  </si>
  <si>
    <t>ENST00000237283</t>
  </si>
  <si>
    <t>ENST00000606514</t>
  </si>
  <si>
    <t>Q7Z739</t>
  </si>
  <si>
    <t>ENST00000518373</t>
  </si>
  <si>
    <t>ENST00000519428</t>
  </si>
  <si>
    <t>ENST00000522282</t>
  </si>
  <si>
    <t>ENST00000539294</t>
  </si>
  <si>
    <t>Q7Z7A3</t>
  </si>
  <si>
    <t>ENST00000421832</t>
  </si>
  <si>
    <t>Q7Z7A4</t>
  </si>
  <si>
    <t>ENST00000356151</t>
  </si>
  <si>
    <t>ENST00000459676</t>
  </si>
  <si>
    <t>ENST00000479134</t>
  </si>
  <si>
    <t>ENST00000479241</t>
  </si>
  <si>
    <t>ENST00000484288</t>
  </si>
  <si>
    <t>ENST00000495557</t>
  </si>
  <si>
    <t>Q7Z7C8</t>
  </si>
  <si>
    <t>ENST00000372977</t>
  </si>
  <si>
    <t>ENST00000372978</t>
  </si>
  <si>
    <t>ENST00000372982</t>
  </si>
  <si>
    <t>ENST00000472818</t>
  </si>
  <si>
    <t>ENST00000482432</t>
  </si>
  <si>
    <t>ENST00000482926</t>
  </si>
  <si>
    <t>ENST00000486070</t>
  </si>
  <si>
    <t>ENST00000494547</t>
  </si>
  <si>
    <t>Q7Z7E8</t>
  </si>
  <si>
    <t>ENST00000292211</t>
  </si>
  <si>
    <t>ENST00000474181</t>
  </si>
  <si>
    <t>ENST00000476612</t>
  </si>
  <si>
    <t>ENST00000483639</t>
  </si>
  <si>
    <t>ENST00000491572</t>
  </si>
  <si>
    <t>Q7Z7F7</t>
  </si>
  <si>
    <t>ENST00000295008</t>
  </si>
  <si>
    <t>ENST00000336300</t>
  </si>
  <si>
    <t>ENST00000336520</t>
  </si>
  <si>
    <t>ENST00000348259</t>
  </si>
  <si>
    <t>ENST00000366733</t>
  </si>
  <si>
    <t>ENST00000366734</t>
  </si>
  <si>
    <t>ENST00000366735</t>
  </si>
  <si>
    <t>ENST00000366739</t>
  </si>
  <si>
    <t>ENST00000366740</t>
  </si>
  <si>
    <t>ENST00000366741</t>
  </si>
  <si>
    <t>ENST00000366742</t>
  </si>
  <si>
    <t>ENST00000366746</t>
  </si>
  <si>
    <t>ENST00000391867</t>
  </si>
  <si>
    <t>ENST00000411464</t>
  </si>
  <si>
    <t>ENST00000457264</t>
  </si>
  <si>
    <t>ENST00000465268</t>
  </si>
  <si>
    <t>ENST00000473066</t>
  </si>
  <si>
    <t>ENST00000475832</t>
  </si>
  <si>
    <t>ENST00000476267</t>
  </si>
  <si>
    <t>ENST00000483159</t>
  </si>
  <si>
    <t>ENST00000495434</t>
  </si>
  <si>
    <t>ENST00000495899</t>
  </si>
  <si>
    <t>Q7Z7H5</t>
  </si>
  <si>
    <t>ENST00000289577</t>
  </si>
  <si>
    <t>ENST00000457408</t>
  </si>
  <si>
    <t>ENST00000477639</t>
  </si>
  <si>
    <t>ENST00000481238</t>
  </si>
  <si>
    <t>Q7Z7H8</t>
  </si>
  <si>
    <t>ENST00000290208</t>
  </si>
  <si>
    <t>ENST00000351111</t>
  </si>
  <si>
    <t>ENST00000414011</t>
  </si>
  <si>
    <t>ENST00000421763</t>
  </si>
  <si>
    <t>ENST00000466016</t>
  </si>
  <si>
    <t>ENST00000480901</t>
  </si>
  <si>
    <t>Q7Z7L1</t>
  </si>
  <si>
    <t>ENST00000308377</t>
  </si>
  <si>
    <t>ENST00000430814</t>
  </si>
  <si>
    <t>ENST00000441608</t>
  </si>
  <si>
    <t>ENST00000498396</t>
  </si>
  <si>
    <t>ENST00000586099</t>
  </si>
  <si>
    <t>ENST00000589562</t>
  </si>
  <si>
    <t>ENST00000589811</t>
  </si>
  <si>
    <t>Q86SF2</t>
  </si>
  <si>
    <t>ENST00000265000</t>
  </si>
  <si>
    <t>ENST00000503213</t>
  </si>
  <si>
    <t>ENST00000505308</t>
  </si>
  <si>
    <t>ENST00000506317</t>
  </si>
  <si>
    <t>ENST00000512285</t>
  </si>
  <si>
    <t>ENST00000515862</t>
  </si>
  <si>
    <t>Q86SX6</t>
  </si>
  <si>
    <t>ENST00000331334</t>
  </si>
  <si>
    <t>ENST00000553672</t>
  </si>
  <si>
    <t>ENST00000557731</t>
  </si>
  <si>
    <t>Q86SZ2</t>
  </si>
  <si>
    <t>ENST00000330149</t>
  </si>
  <si>
    <t>ENST00000347691</t>
  </si>
  <si>
    <t>ENST00000469361</t>
  </si>
  <si>
    <t>ENST00000555269</t>
  </si>
  <si>
    <t>ENST00000556765</t>
  </si>
  <si>
    <t>Q86T03</t>
  </si>
  <si>
    <t>ENST00000250489</t>
  </si>
  <si>
    <t>ENST00000398020</t>
  </si>
  <si>
    <t>ENST00000553460</t>
  </si>
  <si>
    <t>ENST00000553602</t>
  </si>
  <si>
    <t>ENST00000554028</t>
  </si>
  <si>
    <t>ENST00000556093</t>
  </si>
  <si>
    <t>ENST00000557041</t>
  </si>
  <si>
    <t>Q86T24</t>
  </si>
  <si>
    <t>ENST00000326624</t>
  </si>
  <si>
    <t>ENST00000557385</t>
  </si>
  <si>
    <t>Q86TI2</t>
  </si>
  <si>
    <t>ENST00000262960</t>
  </si>
  <si>
    <t>ENST00000593973</t>
  </si>
  <si>
    <t>ENST00000594671</t>
  </si>
  <si>
    <t>ENST00000597024</t>
  </si>
  <si>
    <t>ENST00000597145</t>
  </si>
  <si>
    <t>ENST00000597253</t>
  </si>
  <si>
    <t>ENST00000597726</t>
  </si>
  <si>
    <t>ENST00000597849</t>
  </si>
  <si>
    <t>ENST00000598360</t>
  </si>
  <si>
    <t>ENST00000599163</t>
  </si>
  <si>
    <t>ENST00000599248</t>
  </si>
  <si>
    <t>ENST00000599998</t>
  </si>
  <si>
    <t>ENST00000600497</t>
  </si>
  <si>
    <t>ENST00000600556</t>
  </si>
  <si>
    <t>ENST00000601130</t>
  </si>
  <si>
    <t>ENST00000601173</t>
  </si>
  <si>
    <t>ENST00000601764</t>
  </si>
  <si>
    <t>ENST00000602161</t>
  </si>
  <si>
    <t>Q86TJ2</t>
  </si>
  <si>
    <t>ENST00000310074</t>
  </si>
  <si>
    <t>ENST00000515646</t>
  </si>
  <si>
    <t>Q86TU7</t>
  </si>
  <si>
    <t>ENST00000329331</t>
  </si>
  <si>
    <t>ENST00000331768</t>
  </si>
  <si>
    <t>ENST00000357563</t>
  </si>
  <si>
    <t>ENST00000436070</t>
  </si>
  <si>
    <t>ENST00000446066</t>
  </si>
  <si>
    <t>ENST00000453764</t>
  </si>
  <si>
    <t>ENST00000489770</t>
  </si>
  <si>
    <t>Q86TX2</t>
  </si>
  <si>
    <t>ENST00000311148</t>
  </si>
  <si>
    <t>Q86U28</t>
  </si>
  <si>
    <t>ENST00000555139</t>
  </si>
  <si>
    <t>ENST00000556816</t>
  </si>
  <si>
    <t>Q86U38</t>
  </si>
  <si>
    <t>ENST00000267425</t>
  </si>
  <si>
    <t>ENST00000557362</t>
  </si>
  <si>
    <t>Q86U42</t>
  </si>
  <si>
    <t>ENST00000216727</t>
  </si>
  <si>
    <t>ENST00000397276</t>
  </si>
  <si>
    <t>ENST00000553960</t>
  </si>
  <si>
    <t>ENST00000554062</t>
  </si>
  <si>
    <t>ENST00000555295</t>
  </si>
  <si>
    <t>ENST00000556809</t>
  </si>
  <si>
    <t>ENST00000556821</t>
  </si>
  <si>
    <t>ENST00000557702</t>
  </si>
  <si>
    <t>Q86U44</t>
  </si>
  <si>
    <t>ENST00000298717</t>
  </si>
  <si>
    <t>ENST00000367606</t>
  </si>
  <si>
    <t>ENST00000396522</t>
  </si>
  <si>
    <t>ENST00000536201</t>
  </si>
  <si>
    <t>ENST00000537163</t>
  </si>
  <si>
    <t>ENST00000539760</t>
  </si>
  <si>
    <t>ENST00000542054</t>
  </si>
  <si>
    <t>ENST00000543235</t>
  </si>
  <si>
    <t>ENST00000544500</t>
  </si>
  <si>
    <t>ENST00000545319</t>
  </si>
  <si>
    <t>ENST00000545788</t>
  </si>
  <si>
    <t>Q86U90</t>
  </si>
  <si>
    <t>ENST00000373044</t>
  </si>
  <si>
    <t>Q86UA1</t>
  </si>
  <si>
    <t>ENST00000355765</t>
  </si>
  <si>
    <t>ENST00000424478</t>
  </si>
  <si>
    <t>ENST00000477626</t>
  </si>
  <si>
    <t>ENST00000554081</t>
  </si>
  <si>
    <t>ENST00000554439</t>
  </si>
  <si>
    <t>ENST00000554785</t>
  </si>
  <si>
    <t>ENST00000556353</t>
  </si>
  <si>
    <t>ENST00000556782</t>
  </si>
  <si>
    <t>ENST00000557477</t>
  </si>
  <si>
    <t>Q86UD5</t>
  </si>
  <si>
    <t>ENST00000362026</t>
  </si>
  <si>
    <t>ENST00000394785</t>
  </si>
  <si>
    <t>ENST00000503103</t>
  </si>
  <si>
    <t>ENST00000505838</t>
  </si>
  <si>
    <t>ENST00000510976</t>
  </si>
  <si>
    <t>ENST00000515424</t>
  </si>
  <si>
    <t>Q86UE4</t>
  </si>
  <si>
    <t>ENST00000336273</t>
  </si>
  <si>
    <t>ENST00000519934</t>
  </si>
  <si>
    <t>ENST00000521933</t>
  </si>
  <si>
    <t>ENST00000522104</t>
  </si>
  <si>
    <t>ENST00000522313</t>
  </si>
  <si>
    <t>Q86UL3</t>
  </si>
  <si>
    <t>ENST00000396987</t>
  </si>
  <si>
    <t>ENST00000518628</t>
  </si>
  <si>
    <t>ENST00000519921</t>
  </si>
  <si>
    <t>ENST00000520223</t>
  </si>
  <si>
    <t>ENST00000521349</t>
  </si>
  <si>
    <t>ENST00000521806</t>
  </si>
  <si>
    <t>ENST00000523906</t>
  </si>
  <si>
    <t>Q86UP2</t>
  </si>
  <si>
    <t>ENST00000334975</t>
  </si>
  <si>
    <t>ENST00000395308</t>
  </si>
  <si>
    <t>ENST00000395309</t>
  </si>
  <si>
    <t>ENST00000395311</t>
  </si>
  <si>
    <t>ENST00000395314</t>
  </si>
  <si>
    <t>ENST00000413890</t>
  </si>
  <si>
    <t>ENST00000438792</t>
  </si>
  <si>
    <t>ENST00000459737</t>
  </si>
  <si>
    <t>ENST00000553360</t>
  </si>
  <si>
    <t>ENST00000553624</t>
  </si>
  <si>
    <t>ENST00000554294</t>
  </si>
  <si>
    <t>ENST00000554306</t>
  </si>
  <si>
    <t>ENST00000554567</t>
  </si>
  <si>
    <t>ENST00000554570</t>
  </si>
  <si>
    <t>ENST00000554831</t>
  </si>
  <si>
    <t>ENST00000555164</t>
  </si>
  <si>
    <t>ENST00000555172</t>
  </si>
  <si>
    <t>ENST00000555498</t>
  </si>
  <si>
    <t>ENST00000555506</t>
  </si>
  <si>
    <t>ENST00000555573</t>
  </si>
  <si>
    <t>ENST00000556631</t>
  </si>
  <si>
    <t>Q86US8</t>
  </si>
  <si>
    <t>ENST00000263073</t>
  </si>
  <si>
    <t>ENST00000354901</t>
  </si>
  <si>
    <t>ENST00000536871</t>
  </si>
  <si>
    <t>ENST00000570668</t>
  </si>
  <si>
    <t>ENST00000570874</t>
  </si>
  <si>
    <t>ENST00000572205</t>
  </si>
  <si>
    <t>ENST00000573153</t>
  </si>
  <si>
    <t>ENST00000573166</t>
  </si>
  <si>
    <t>ENST00000573827</t>
  </si>
  <si>
    <t>ENST00000574501</t>
  </si>
  <si>
    <t>ENST00000575338</t>
  </si>
  <si>
    <t>Q86UT6</t>
  </si>
  <si>
    <t>ENST00000409109</t>
  </si>
  <si>
    <t>ENST00000409991</t>
  </si>
  <si>
    <t>ENST00000469103</t>
  </si>
  <si>
    <t>ENST00000474751</t>
  </si>
  <si>
    <t>ENST00000481860</t>
  </si>
  <si>
    <t>ENST00000524562</t>
  </si>
  <si>
    <t>Q86UT8</t>
  </si>
  <si>
    <t>ENST00000334418</t>
  </si>
  <si>
    <t>ENST00000524670</t>
  </si>
  <si>
    <t>ENST00000526463</t>
  </si>
  <si>
    <t>ENST00000527356</t>
  </si>
  <si>
    <t>ENST00000528088</t>
  </si>
  <si>
    <t>ENST00000532132</t>
  </si>
  <si>
    <t>ENST00000533787</t>
  </si>
  <si>
    <t>ENST00000534656</t>
  </si>
  <si>
    <t>ENST00000580556</t>
  </si>
  <si>
    <t>ENST00000583842</t>
  </si>
  <si>
    <t>Q86UV5</t>
  </si>
  <si>
    <t>ENST00000308271</t>
  </si>
  <si>
    <t>ENST00000374730</t>
  </si>
  <si>
    <t>ENST00000374732</t>
  </si>
  <si>
    <t>ENST00000400301</t>
  </si>
  <si>
    <t>ENST00000421625</t>
  </si>
  <si>
    <t>ENST00000464577</t>
  </si>
  <si>
    <t>ENST00000471752</t>
  </si>
  <si>
    <t>ENST00000479177</t>
  </si>
  <si>
    <t>ENST00000489108</t>
  </si>
  <si>
    <t>ENST00000529637</t>
  </si>
  <si>
    <t>Q86UX6</t>
  </si>
  <si>
    <t>ENST00000298630</t>
  </si>
  <si>
    <t>ENST00000368619</t>
  </si>
  <si>
    <t>ENST00000368620</t>
  </si>
  <si>
    <t>ENST00000456004</t>
  </si>
  <si>
    <t>ENST00000462160</t>
  </si>
  <si>
    <t>Q86V21</t>
  </si>
  <si>
    <t>ENST00000316519</t>
  </si>
  <si>
    <t>ENST00000316543</t>
  </si>
  <si>
    <t>ENST00000441247</t>
  </si>
  <si>
    <t>ENST00000536118</t>
  </si>
  <si>
    <t>ENST00000538851</t>
  </si>
  <si>
    <t>ENST00000539251</t>
  </si>
  <si>
    <t>ENST00000543665</t>
  </si>
  <si>
    <t>ENST00000545511</t>
  </si>
  <si>
    <t>Q86V48</t>
  </si>
  <si>
    <t>ENST00000302291</t>
  </si>
  <si>
    <t>ENST00000471849</t>
  </si>
  <si>
    <t>Q86V81</t>
  </si>
  <si>
    <t>ENST00000504015</t>
  </si>
  <si>
    <t>ENST00000505490</t>
  </si>
  <si>
    <t>ENST00000511412</t>
  </si>
  <si>
    <t>ENST00000512673</t>
  </si>
  <si>
    <t>Q86V85</t>
  </si>
  <si>
    <t>ENST00000376958</t>
  </si>
  <si>
    <t>Q86V86</t>
  </si>
  <si>
    <t>ENST00000360612</t>
  </si>
  <si>
    <t>ENST00000467480</t>
  </si>
  <si>
    <t>Q86V88</t>
  </si>
  <si>
    <t>ENST00000288087</t>
  </si>
  <si>
    <t>ENST00000396833</t>
  </si>
  <si>
    <t>ENST00000466422</t>
  </si>
  <si>
    <t>ENST00000525696</t>
  </si>
  <si>
    <t>ENST00000528849</t>
  </si>
  <si>
    <t>ENST00000530222</t>
  </si>
  <si>
    <t>ENST00000531553</t>
  </si>
  <si>
    <t>ENST00000532557</t>
  </si>
  <si>
    <t>ENST00000532742</t>
  </si>
  <si>
    <t>Q86VD7</t>
  </si>
  <si>
    <t>ENST00000318596</t>
  </si>
  <si>
    <t>ENST00000594070</t>
  </si>
  <si>
    <t>ENST00000596819</t>
  </si>
  <si>
    <t>ENST00000600251</t>
  </si>
  <si>
    <t>Q86VM9</t>
  </si>
  <si>
    <t>ENST00000301011</t>
  </si>
  <si>
    <t>ENST00000452588</t>
  </si>
  <si>
    <t>ENST00000563382</t>
  </si>
  <si>
    <t>ENST00000566317</t>
  </si>
  <si>
    <t>ENST00000566496</t>
  </si>
  <si>
    <t>ENST00000566660</t>
  </si>
  <si>
    <t>ENST00000567085</t>
  </si>
  <si>
    <t>ENST00000568072</t>
  </si>
  <si>
    <t>ENST00000569435</t>
  </si>
  <si>
    <t>Q86VN1</t>
  </si>
  <si>
    <t>ENST00000378060</t>
  </si>
  <si>
    <t>ENST00000462289</t>
  </si>
  <si>
    <t>ENST00000475375</t>
  </si>
  <si>
    <t>ENST00000480923</t>
  </si>
  <si>
    <t>ENST00000492650</t>
  </si>
  <si>
    <t>ENST00000497149</t>
  </si>
  <si>
    <t>Q86VP6</t>
  </si>
  <si>
    <t>ENST00000535146</t>
  </si>
  <si>
    <t>ENST00000539109</t>
  </si>
  <si>
    <t>ENST00000539434</t>
  </si>
  <si>
    <t>ENST00000540319</t>
  </si>
  <si>
    <t>ENST00000540525</t>
  </si>
  <si>
    <t>ENST00000541058</t>
  </si>
  <si>
    <t>ENST00000544619</t>
  </si>
  <si>
    <t>ENST00000545606</t>
  </si>
  <si>
    <t>Q86VQ1</t>
  </si>
  <si>
    <t>ENST00000223145</t>
  </si>
  <si>
    <t>ENST00000430798</t>
  </si>
  <si>
    <t>ENST00000460897</t>
  </si>
  <si>
    <t>ENST00000482540</t>
  </si>
  <si>
    <t>ENST00000489405</t>
  </si>
  <si>
    <t>ENST00000491947</t>
  </si>
  <si>
    <t>ENST00000492797</t>
  </si>
  <si>
    <t>Q86VR2</t>
  </si>
  <si>
    <t>ENST00000309428</t>
  </si>
  <si>
    <t>ENST00000586796</t>
  </si>
  <si>
    <t>ENST00000586870</t>
  </si>
  <si>
    <t>ENST00000589007</t>
  </si>
  <si>
    <t>ENST00000589797</t>
  </si>
  <si>
    <t>ENST00000590035</t>
  </si>
  <si>
    <t>Q86VS8</t>
  </si>
  <si>
    <t>ENST00000307602</t>
  </si>
  <si>
    <t>ENST00000524839</t>
  </si>
  <si>
    <t>ENST00000527306</t>
  </si>
  <si>
    <t>ENST00000533539</t>
  </si>
  <si>
    <t>Q86VU5</t>
  </si>
  <si>
    <t>ENST00000372538</t>
  </si>
  <si>
    <t>ENST00000460899</t>
  </si>
  <si>
    <t>ENST00000470947</t>
  </si>
  <si>
    <t>ENST00000490521</t>
  </si>
  <si>
    <t>ENST00000491270</t>
  </si>
  <si>
    <t>Q86W50</t>
  </si>
  <si>
    <t>ENST00000263092</t>
  </si>
  <si>
    <t>ENST00000381977</t>
  </si>
  <si>
    <t>ENST00000571298</t>
  </si>
  <si>
    <t>ENST00000574623</t>
  </si>
  <si>
    <t>ENST00000574752</t>
  </si>
  <si>
    <t>ENST00000577148</t>
  </si>
  <si>
    <t>Q86WB0</t>
  </si>
  <si>
    <t>ENST00000358303</t>
  </si>
  <si>
    <t>ENST00000470651</t>
  </si>
  <si>
    <t>ENST00000471022</t>
  </si>
  <si>
    <t>ENST00000477578</t>
  </si>
  <si>
    <t>ENST00000480193</t>
  </si>
  <si>
    <t>ENST00000481503</t>
  </si>
  <si>
    <t>ENST00000483827</t>
  </si>
  <si>
    <t>ENST00000484432</t>
  </si>
  <si>
    <t>Q86WH2</t>
  </si>
  <si>
    <t>ENST00000283172</t>
  </si>
  <si>
    <t>ENST00000542104</t>
  </si>
  <si>
    <t>Q86WN1</t>
  </si>
  <si>
    <t>ENST00000435817</t>
  </si>
  <si>
    <t>ENST00000518160</t>
  </si>
  <si>
    <t>ENST00000518499</t>
  </si>
  <si>
    <t>ENST00000519800</t>
  </si>
  <si>
    <t>ENST00000520747</t>
  </si>
  <si>
    <t>ENST00000522126</t>
  </si>
  <si>
    <t>ENST00000522386</t>
  </si>
  <si>
    <t>ENST00000522763</t>
  </si>
  <si>
    <t>ENST00000523856</t>
  </si>
  <si>
    <t>Q86WP2</t>
  </si>
  <si>
    <t>ENST00000264779</t>
  </si>
  <si>
    <t>ENST00000309096</t>
  </si>
  <si>
    <t>ENST00000424459</t>
  </si>
  <si>
    <t>ENST00000506184</t>
  </si>
  <si>
    <t>ENST00000511209</t>
  </si>
  <si>
    <t>ENST00000513524</t>
  </si>
  <si>
    <t>ENST00000513732</t>
  </si>
  <si>
    <t>ENST00000514387</t>
  </si>
  <si>
    <t>ENST00000515484</t>
  </si>
  <si>
    <t>Q86WQ0</t>
  </si>
  <si>
    <t>ENST00000331552</t>
  </si>
  <si>
    <t>ENST00000420605</t>
  </si>
  <si>
    <t>ENST00000537399</t>
  </si>
  <si>
    <t>ENST00000538165</t>
  </si>
  <si>
    <t>ENST00000539678</t>
  </si>
  <si>
    <t>ENST00000539693</t>
  </si>
  <si>
    <t>ENST00000544883</t>
  </si>
  <si>
    <t>Q86WR0</t>
  </si>
  <si>
    <t>ENST00000356537</t>
  </si>
  <si>
    <t>ENST00000517979</t>
  </si>
  <si>
    <t>ENST00000519299</t>
  </si>
  <si>
    <t>ENST00000519509</t>
  </si>
  <si>
    <t>ENST00000519843</t>
  </si>
  <si>
    <t>ENST00000520202</t>
  </si>
  <si>
    <t>ENST00000520486</t>
  </si>
  <si>
    <t>ENST00000521220</t>
  </si>
  <si>
    <t>ENST00000524084</t>
  </si>
  <si>
    <t>Q86WR7</t>
  </si>
  <si>
    <t>ENST00000277570</t>
  </si>
  <si>
    <t>ENST00000379200</t>
  </si>
  <si>
    <t>ENST00000474155</t>
  </si>
  <si>
    <t>Q86WV6</t>
  </si>
  <si>
    <t>ENST00000330794</t>
  </si>
  <si>
    <t>ENST00000502825</t>
  </si>
  <si>
    <t>ENST00000503287</t>
  </si>
  <si>
    <t>ENST00000503838</t>
  </si>
  <si>
    <t>ENST00000507297</t>
  </si>
  <si>
    <t>ENST00000509573</t>
  </si>
  <si>
    <t>ENST00000510817</t>
  </si>
  <si>
    <t>ENST00000511850</t>
  </si>
  <si>
    <t>ENST00000511886</t>
  </si>
  <si>
    <t>ENST00000514119</t>
  </si>
  <si>
    <t>ENST00000514542</t>
  </si>
  <si>
    <t>ENST00000515507</t>
  </si>
  <si>
    <t>Q86WW8</t>
  </si>
  <si>
    <t>ENST00000328709</t>
  </si>
  <si>
    <t>ENST00000409997</t>
  </si>
  <si>
    <t>ENST00000466848</t>
  </si>
  <si>
    <t>ENST00000480666</t>
  </si>
  <si>
    <t>ENST00000483527</t>
  </si>
  <si>
    <t>Q86WX3</t>
  </si>
  <si>
    <t>ENST00000334678</t>
  </si>
  <si>
    <t>ENST00000420879</t>
  </si>
  <si>
    <t>ENST00000459956</t>
  </si>
  <si>
    <t>ENST00000472291</t>
  </si>
  <si>
    <t>ENST00000488602</t>
  </si>
  <si>
    <t>ENST00000491966</t>
  </si>
  <si>
    <t>Q86X53</t>
  </si>
  <si>
    <t>ENST00000262109</t>
  </si>
  <si>
    <t>ENST00000518895</t>
  </si>
  <si>
    <t>ENST00000522893</t>
  </si>
  <si>
    <t>ENST00000523053</t>
  </si>
  <si>
    <t>ENST00000523415</t>
  </si>
  <si>
    <t>ENST00000523709</t>
  </si>
  <si>
    <t>ENST00000524138</t>
  </si>
  <si>
    <t>Q86XI2</t>
  </si>
  <si>
    <t>ENST00000409339</t>
  </si>
  <si>
    <t>ENST00000467785</t>
  </si>
  <si>
    <t>ENST00000491792</t>
  </si>
  <si>
    <t>Q86XL3</t>
  </si>
  <si>
    <t>ENST00000357997</t>
  </si>
  <si>
    <t>ENST00000439231</t>
  </si>
  <si>
    <t>ENST00000505031</t>
  </si>
  <si>
    <t>ENST00000535036</t>
  </si>
  <si>
    <t>ENST00000538591</t>
  </si>
  <si>
    <t>ENST00000538766</t>
  </si>
  <si>
    <t>ENST00000539605</t>
  </si>
  <si>
    <t>ENST00000542282</t>
  </si>
  <si>
    <t>ENST00000542374</t>
  </si>
  <si>
    <t>ENST00000545623</t>
  </si>
  <si>
    <t>Q86XP3</t>
  </si>
  <si>
    <t>ENST00000359353</t>
  </si>
  <si>
    <t>ENST00000389924</t>
  </si>
  <si>
    <t>ENST00000577940</t>
  </si>
  <si>
    <t>ENST00000577978</t>
  </si>
  <si>
    <t>ENST00000578137</t>
  </si>
  <si>
    <t>ENST00000578593</t>
  </si>
  <si>
    <t>ENST00000578681</t>
  </si>
  <si>
    <t>ENST00000579511</t>
  </si>
  <si>
    <t>ENST00000579539</t>
  </si>
  <si>
    <t>ENST00000581477</t>
  </si>
  <si>
    <t>ENST00000581767</t>
  </si>
  <si>
    <t>ENST00000582985</t>
  </si>
  <si>
    <t>ENST00000584010</t>
  </si>
  <si>
    <t>ENST00000584261</t>
  </si>
  <si>
    <t>ENST00000584951</t>
  </si>
  <si>
    <t>Q86XZ4</t>
  </si>
  <si>
    <t>ENST00000547865</t>
  </si>
  <si>
    <t>ENST00000548727</t>
  </si>
  <si>
    <t>ENST00000549375</t>
  </si>
  <si>
    <t>ENST00000549412</t>
  </si>
  <si>
    <t>ENST00000553127</t>
  </si>
  <si>
    <t>Q86Y37</t>
  </si>
  <si>
    <t>ENST00000369151</t>
  </si>
  <si>
    <t>ENST00000477583</t>
  </si>
  <si>
    <t>ENST00000481360</t>
  </si>
  <si>
    <t>ENST00000489169</t>
  </si>
  <si>
    <t>ENST00000490610</t>
  </si>
  <si>
    <t>ENST00000493518</t>
  </si>
  <si>
    <t>ENST00000544392</t>
  </si>
  <si>
    <t>Q86Y39</t>
  </si>
  <si>
    <t>ENST00000308961</t>
  </si>
  <si>
    <t>ENST00000418389</t>
  </si>
  <si>
    <t>ENST00000591160</t>
  </si>
  <si>
    <t>ENST00000591341</t>
  </si>
  <si>
    <t>ENST00000592634</t>
  </si>
  <si>
    <t>ENST00000593233</t>
  </si>
  <si>
    <t>Q86Y56</t>
  </si>
  <si>
    <t>ENST00000297440</t>
  </si>
  <si>
    <t>ENST00000403952</t>
  </si>
  <si>
    <t>ENST00000461576</t>
  </si>
  <si>
    <t>ENST00000486546</t>
  </si>
  <si>
    <t>ENST00000491496</t>
  </si>
  <si>
    <t>Q86Y79</t>
  </si>
  <si>
    <t>ENST00000335223</t>
  </si>
  <si>
    <t>ENST00000416214</t>
  </si>
  <si>
    <t>ENST00000419060</t>
  </si>
  <si>
    <t>ENST00000543175</t>
  </si>
  <si>
    <t>Q86Y82</t>
  </si>
  <si>
    <t>ENST00000373943</t>
  </si>
  <si>
    <t>ENST00000440806</t>
  </si>
  <si>
    <t>ENST00000468761</t>
  </si>
  <si>
    <t>ENST00000481874</t>
  </si>
  <si>
    <t>Q86YS6</t>
  </si>
  <si>
    <t>ENST00000315150</t>
  </si>
  <si>
    <t>ENST00000393304</t>
  </si>
  <si>
    <t>ENST00000393305</t>
  </si>
  <si>
    <t>ENST00000476465</t>
  </si>
  <si>
    <t>Q86YT6</t>
  </si>
  <si>
    <t>ENST00000261537</t>
  </si>
  <si>
    <t>ENST00000578260</t>
  </si>
  <si>
    <t>ENST00000578646</t>
  </si>
  <si>
    <t>Q86YV0</t>
  </si>
  <si>
    <t>ENST00000343625</t>
  </si>
  <si>
    <t>ENST00000595098</t>
  </si>
  <si>
    <t>ENST00000602101</t>
  </si>
  <si>
    <t>ENST00000608577</t>
  </si>
  <si>
    <t>ENST00000609274</t>
  </si>
  <si>
    <t>Q86YV9</t>
  </si>
  <si>
    <t>ENST00000299238</t>
  </si>
  <si>
    <t>Q86YW5</t>
  </si>
  <si>
    <t>ENST00000373127</t>
  </si>
  <si>
    <t>Q8IU68</t>
  </si>
  <si>
    <t>ENST00000318430</t>
  </si>
  <si>
    <t>ENST00000589691</t>
  </si>
  <si>
    <t>ENST00000590184</t>
  </si>
  <si>
    <t>ENST00000590426</t>
  </si>
  <si>
    <t>ENST00000590799</t>
  </si>
  <si>
    <t>ENST00000591003</t>
  </si>
  <si>
    <t>ENST00000591144</t>
  </si>
  <si>
    <t>ENST00000591983</t>
  </si>
  <si>
    <t>ENST00000592399</t>
  </si>
  <si>
    <t>Q8IU81</t>
  </si>
  <si>
    <t>ENST00000302165</t>
  </si>
  <si>
    <t>Q8IUC6</t>
  </si>
  <si>
    <t>ENST00000248244</t>
  </si>
  <si>
    <t>Q8IUD2</t>
  </si>
  <si>
    <t>ENST00000360905</t>
  </si>
  <si>
    <t>ENST00000397203</t>
  </si>
  <si>
    <t>ENST00000536573</t>
  </si>
  <si>
    <t>ENST00000539007</t>
  </si>
  <si>
    <t>ENST00000539802</t>
  </si>
  <si>
    <t>ENST00000541503</t>
  </si>
  <si>
    <t>ENST00000543086</t>
  </si>
  <si>
    <t>ENST00000543151</t>
  </si>
  <si>
    <t>ENST00000587595</t>
  </si>
  <si>
    <t>ENST00000589028</t>
  </si>
  <si>
    <t>Q8IUF1</t>
  </si>
  <si>
    <t>ENST00000259199</t>
  </si>
  <si>
    <t>ENST00000314367</t>
  </si>
  <si>
    <t>ENST00000356521</t>
  </si>
  <si>
    <t>ENST00000358604</t>
  </si>
  <si>
    <t>ENST00000360171</t>
  </si>
  <si>
    <t>ENST00000377342</t>
  </si>
  <si>
    <t>ENST00000377344</t>
  </si>
  <si>
    <t>ENST00000377349</t>
  </si>
  <si>
    <t>ENST00000377391</t>
  </si>
  <si>
    <t>ENST00000377400</t>
  </si>
  <si>
    <t>ENST00000377447</t>
  </si>
  <si>
    <t>ENST00000382389</t>
  </si>
  <si>
    <t>ENST00000382393</t>
  </si>
  <si>
    <t>ENST00000382436</t>
  </si>
  <si>
    <t>ENST00000382447</t>
  </si>
  <si>
    <t>ENST00000416503</t>
  </si>
  <si>
    <t>ENST00000433343</t>
  </si>
  <si>
    <t>ENST00000456188</t>
  </si>
  <si>
    <t>ENST00000456520</t>
  </si>
  <si>
    <t>ENST00000457288</t>
  </si>
  <si>
    <t>ENST00000462513</t>
  </si>
  <si>
    <t>ENST00000463627</t>
  </si>
  <si>
    <t>ENST00000464198</t>
  </si>
  <si>
    <t>ENST00000465014</t>
  </si>
  <si>
    <t>ENST00000467791</t>
  </si>
  <si>
    <t>ENST00000468417</t>
  </si>
  <si>
    <t>ENST00000469687</t>
  </si>
  <si>
    <t>ENST00000475411</t>
  </si>
  <si>
    <t>ENST00000475990</t>
  </si>
  <si>
    <t>ENST00000478048</t>
  </si>
  <si>
    <t>ENST00000479583</t>
  </si>
  <si>
    <t>ENST00000483817</t>
  </si>
  <si>
    <t>ENST00000486387</t>
  </si>
  <si>
    <t>ENST00000487575</t>
  </si>
  <si>
    <t>ENST00000489272</t>
  </si>
  <si>
    <t>ENST00000490294</t>
  </si>
  <si>
    <t>ENST00000490323</t>
  </si>
  <si>
    <t>ENST00000490446</t>
  </si>
  <si>
    <t>ENST00000492566</t>
  </si>
  <si>
    <t>ENST00000494538</t>
  </si>
  <si>
    <t>ENST00000495302</t>
  </si>
  <si>
    <t>Q8IUH4</t>
  </si>
  <si>
    <t>ENST00000446113</t>
  </si>
  <si>
    <t>ENST00000524744</t>
  </si>
  <si>
    <t>ENST00000525490</t>
  </si>
  <si>
    <t>ENST00000530100</t>
  </si>
  <si>
    <t>Q8IUH5</t>
  </si>
  <si>
    <t>ENST00000426126</t>
  </si>
  <si>
    <t>ENST00000546778</t>
  </si>
  <si>
    <t>ENST00000547673</t>
  </si>
  <si>
    <t>ENST00000550163</t>
  </si>
  <si>
    <t>ENST00000550244</t>
  </si>
  <si>
    <t>ENST00000550789</t>
  </si>
  <si>
    <t>ENST00000552453</t>
  </si>
  <si>
    <t>ENST00000552693</t>
  </si>
  <si>
    <t>Q8IUI8</t>
  </si>
  <si>
    <t>ENST00000324238</t>
  </si>
  <si>
    <t>ENST00000577725</t>
  </si>
  <si>
    <t>ENST00000583805</t>
  </si>
  <si>
    <t>ENST00000585268</t>
  </si>
  <si>
    <t>Q8IUR6</t>
  </si>
  <si>
    <t>ENST00000296953</t>
  </si>
  <si>
    <t>ENST00000517882</t>
  </si>
  <si>
    <t>ENST00000520420</t>
  </si>
  <si>
    <t>ENST00000520464</t>
  </si>
  <si>
    <t>ENST00000522692</t>
  </si>
  <si>
    <t>ENST00000523161</t>
  </si>
  <si>
    <t>Q8IUW3</t>
  </si>
  <si>
    <t>ENST00000289805</t>
  </si>
  <si>
    <t>ENST00000569918</t>
  </si>
  <si>
    <t>Q8IUZ5</t>
  </si>
  <si>
    <t>ENST00000308158</t>
  </si>
  <si>
    <t>ENST00000323594</t>
  </si>
  <si>
    <t>ENST00000393488</t>
  </si>
  <si>
    <t>ENST00000476170</t>
  </si>
  <si>
    <t>ENST00000476487</t>
  </si>
  <si>
    <t>ENST00000481436</t>
  </si>
  <si>
    <t>ENST00000481811</t>
  </si>
  <si>
    <t>ENST00000489262</t>
  </si>
  <si>
    <t>ENST00000493197</t>
  </si>
  <si>
    <t>ENST00000494126</t>
  </si>
  <si>
    <t>ENST00000506001</t>
  </si>
  <si>
    <t>ENST00000506045</t>
  </si>
  <si>
    <t>ENST00000510991</t>
  </si>
  <si>
    <t>ENST00000511716</t>
  </si>
  <si>
    <t>ENST00000514424</t>
  </si>
  <si>
    <t>Q8IV04</t>
  </si>
  <si>
    <t>ENST00000312390</t>
  </si>
  <si>
    <t>ENST00000524662</t>
  </si>
  <si>
    <t>ENST00000526387</t>
  </si>
  <si>
    <t>ENST00000526474</t>
  </si>
  <si>
    <t>ENST00000529132</t>
  </si>
  <si>
    <t>ENST00000530967</t>
  </si>
  <si>
    <t>ENST00000533745</t>
  </si>
  <si>
    <t>ENST00000542590</t>
  </si>
  <si>
    <t>Q8IV08</t>
  </si>
  <si>
    <t>ENST00000356508</t>
  </si>
  <si>
    <t>ENST00000359274</t>
  </si>
  <si>
    <t>ENST00000409281</t>
  </si>
  <si>
    <t>ENST00000409735</t>
  </si>
  <si>
    <t>ENST00000464586</t>
  </si>
  <si>
    <t>ENST00000475983</t>
  </si>
  <si>
    <t>ENST00000480030</t>
  </si>
  <si>
    <t>ENST00000485448</t>
  </si>
  <si>
    <t>ENST00000488311</t>
  </si>
  <si>
    <t>ENST00000493006</t>
  </si>
  <si>
    <t>ENST00000594085</t>
  </si>
  <si>
    <t>ENST00000594908</t>
  </si>
  <si>
    <t>ENST00000598962</t>
  </si>
  <si>
    <t>ENST00000599353</t>
  </si>
  <si>
    <t>ENST00000599685</t>
  </si>
  <si>
    <t>ENST00000602131</t>
  </si>
  <si>
    <t>Q8IV38</t>
  </si>
  <si>
    <t>ENST00000306999</t>
  </si>
  <si>
    <t>Q8IV48</t>
  </si>
  <si>
    <t>ENST00000250263</t>
  </si>
  <si>
    <t>ENST00000520332</t>
  </si>
  <si>
    <t>ENST00000520684</t>
  </si>
  <si>
    <t>ENST00000521844</t>
  </si>
  <si>
    <t>Q8IV50</t>
  </si>
  <si>
    <t>ENST00000267838</t>
  </si>
  <si>
    <t>ENST00000454181</t>
  </si>
  <si>
    <t>ENST00000558126</t>
  </si>
  <si>
    <t>Q8IVD9</t>
  </si>
  <si>
    <t>ENST00000338427</t>
  </si>
  <si>
    <t>ENST00000355451</t>
  </si>
  <si>
    <t>ENST00000460110</t>
  </si>
  <si>
    <t>ENST00000464812</t>
  </si>
  <si>
    <t>ENST00000475952</t>
  </si>
  <si>
    <t>ENST00000493613</t>
  </si>
  <si>
    <t>Q8IVG5</t>
  </si>
  <si>
    <t>ENST00000318238</t>
  </si>
  <si>
    <t>ENST00000411955</t>
  </si>
  <si>
    <t>ENST00000446033</t>
  </si>
  <si>
    <t>Q8IVH4</t>
  </si>
  <si>
    <t>ENST00000281317</t>
  </si>
  <si>
    <t>ENST00000503730</t>
  </si>
  <si>
    <t>ENST00000506919</t>
  </si>
  <si>
    <t>Q8IVM0</t>
  </si>
  <si>
    <t>ENST00000392455</t>
  </si>
  <si>
    <t>ENST00000392456</t>
  </si>
  <si>
    <t>ENST00000460064</t>
  </si>
  <si>
    <t>Q8IVS2</t>
  </si>
  <si>
    <t>ENST00000290429</t>
  </si>
  <si>
    <t>ENST00000327555</t>
  </si>
  <si>
    <t>ENST00000464244</t>
  </si>
  <si>
    <t>ENST00000608052</t>
  </si>
  <si>
    <t>Q8IVT5</t>
  </si>
  <si>
    <t>ENST00000398982</t>
  </si>
  <si>
    <t>ENST00000398985</t>
  </si>
  <si>
    <t>ENST00000398988</t>
  </si>
  <si>
    <t>ENST00000577823</t>
  </si>
  <si>
    <t>ENST00000578981</t>
  </si>
  <si>
    <t>ENST00000579399</t>
  </si>
  <si>
    <t>ENST00000579961</t>
  </si>
  <si>
    <t>ENST00000580163</t>
  </si>
  <si>
    <t>ENST00000580430</t>
  </si>
  <si>
    <t>ENST00000580822</t>
  </si>
  <si>
    <t>ENST00000582410</t>
  </si>
  <si>
    <t>ENST00000583370</t>
  </si>
  <si>
    <t>ENST00000583525</t>
  </si>
  <si>
    <t>ENST00000583998</t>
  </si>
  <si>
    <t>Q8IW19</t>
  </si>
  <si>
    <t>ENST00000303795</t>
  </si>
  <si>
    <t>ENST00000471727</t>
  </si>
  <si>
    <t>Q8IW35</t>
  </si>
  <si>
    <t>ENST00000341893</t>
  </si>
  <si>
    <t>ENST00000462076</t>
  </si>
  <si>
    <t>Q8IW45</t>
  </si>
  <si>
    <t>ENST00000309957</t>
  </si>
  <si>
    <t>ENST00000424185</t>
  </si>
  <si>
    <t>ENST00000470164</t>
  </si>
  <si>
    <t>Q8IWA0</t>
  </si>
  <si>
    <t>ENST00000314761</t>
  </si>
  <si>
    <t>ENST00000427960</t>
  </si>
  <si>
    <t>ENST00000436347</t>
  </si>
  <si>
    <t>ENST00000472286</t>
  </si>
  <si>
    <t>ENST00000475596</t>
  </si>
  <si>
    <t>ENST00000498365</t>
  </si>
  <si>
    <t>Q8IWB1</t>
  </si>
  <si>
    <t>ENST00000278071</t>
  </si>
  <si>
    <t>ENST00000337478</t>
  </si>
  <si>
    <t>Q8IWB7</t>
  </si>
  <si>
    <t>ENST00000233055</t>
  </si>
  <si>
    <t>ENST00000462702</t>
  </si>
  <si>
    <t>ENST00000483061</t>
  </si>
  <si>
    <t>ENST00000491453</t>
  </si>
  <si>
    <t>ENST00000493001</t>
  </si>
  <si>
    <t>Q8IWB9</t>
  </si>
  <si>
    <t>ENST00000258991</t>
  </si>
  <si>
    <t>ENST00000577489</t>
  </si>
  <si>
    <t>ENST00000583501</t>
  </si>
  <si>
    <t>ENST00000584379</t>
  </si>
  <si>
    <t>ENST00000584498</t>
  </si>
  <si>
    <t>Q8IWD4</t>
  </si>
  <si>
    <t>ENST00000249064</t>
  </si>
  <si>
    <t>ENST00000453543</t>
  </si>
  <si>
    <t>Q8IWE4</t>
  </si>
  <si>
    <t>ENST00000324344</t>
  </si>
  <si>
    <t>Q8IWE5</t>
  </si>
  <si>
    <t>ENST00000375793</t>
  </si>
  <si>
    <t>ENST00000375799</t>
  </si>
  <si>
    <t>ENST00000462455</t>
  </si>
  <si>
    <t>ENST00000477849</t>
  </si>
  <si>
    <t>Q8IWJ2</t>
  </si>
  <si>
    <t>ENST00000309863</t>
  </si>
  <si>
    <t>ENST00000409821</t>
  </si>
  <si>
    <t>ENST00000462897</t>
  </si>
  <si>
    <t>ENST00000467566</t>
  </si>
  <si>
    <t>ENST00000480863</t>
  </si>
  <si>
    <t>ENST00000481729</t>
  </si>
  <si>
    <t>ENST00000482325</t>
  </si>
  <si>
    <t>ENST00000485546</t>
  </si>
  <si>
    <t>ENST00000492785</t>
  </si>
  <si>
    <t>Q8IWL3</t>
  </si>
  <si>
    <t>ENST00000216027</t>
  </si>
  <si>
    <t>ENST00000398941</t>
  </si>
  <si>
    <t>ENST00000420442</t>
  </si>
  <si>
    <t>ENST00000450178</t>
  </si>
  <si>
    <t>ENST00000483861</t>
  </si>
  <si>
    <t>ENST00000485599</t>
  </si>
  <si>
    <t>ENST00000495977</t>
  </si>
  <si>
    <t>Q8IWR0</t>
  </si>
  <si>
    <t>ENST00000355758</t>
  </si>
  <si>
    <t>ENST00000396516</t>
  </si>
  <si>
    <t>ENST00000570862</t>
  </si>
  <si>
    <t>ENST00000570918</t>
  </si>
  <si>
    <t>ENST00000571405</t>
  </si>
  <si>
    <t>ENST00000571676</t>
  </si>
  <si>
    <t>ENST00000572870</t>
  </si>
  <si>
    <t>ENST00000572938</t>
  </si>
  <si>
    <t>ENST00000574995</t>
  </si>
  <si>
    <t>ENST00000575984</t>
  </si>
  <si>
    <t>ENST00000576018</t>
  </si>
  <si>
    <t>ENST00000576247</t>
  </si>
  <si>
    <t>Q8IWT0</t>
  </si>
  <si>
    <t>ENST00000373501</t>
  </si>
  <si>
    <t>ENST00000373506</t>
  </si>
  <si>
    <t>ENST00000436661</t>
  </si>
  <si>
    <t>ENST00000466361</t>
  </si>
  <si>
    <t>ENST00000467652</t>
  </si>
  <si>
    <t>ENST00000468695</t>
  </si>
  <si>
    <t>ENST00000473294</t>
  </si>
  <si>
    <t>ENST00000473383</t>
  </si>
  <si>
    <t>ENST00000476493</t>
  </si>
  <si>
    <t>ENST00000479075</t>
  </si>
  <si>
    <t>ENST00000483138</t>
  </si>
  <si>
    <t>ENST00000492007</t>
  </si>
  <si>
    <t>ENST00000498691</t>
  </si>
  <si>
    <t>Q8IWT6</t>
  </si>
  <si>
    <t>ENST00000259324</t>
  </si>
  <si>
    <t>ENST00000372600</t>
  </si>
  <si>
    <t>Q8IWU2</t>
  </si>
  <si>
    <t>ENST00000297293</t>
  </si>
  <si>
    <t>Q8IWV7</t>
  </si>
  <si>
    <t>ENST00000290650</t>
  </si>
  <si>
    <t>ENST00000546274</t>
  </si>
  <si>
    <t>ENST00000562173</t>
  </si>
  <si>
    <t>ENST00000564540</t>
  </si>
  <si>
    <t>ENST00000566493</t>
  </si>
  <si>
    <t>ENST00000569066</t>
  </si>
  <si>
    <t>ENST00000569243</t>
  </si>
  <si>
    <t>ENST00000569971</t>
  </si>
  <si>
    <t>Q8IWW6</t>
  </si>
  <si>
    <t>ENST00000311380</t>
  </si>
  <si>
    <t>ENST00000344936</t>
  </si>
  <si>
    <t>ENST00000375245</t>
  </si>
  <si>
    <t>ENST00000375250</t>
  </si>
  <si>
    <t>ENST00000396144</t>
  </si>
  <si>
    <t>ENST00000454919</t>
  </si>
  <si>
    <t>ENST00000493008</t>
  </si>
  <si>
    <t>ENST00000497103</t>
  </si>
  <si>
    <t>Q8IWX8</t>
  </si>
  <si>
    <t>ENST00000198939</t>
  </si>
  <si>
    <t>ENST00000544299</t>
  </si>
  <si>
    <t>ENST00000546361</t>
  </si>
  <si>
    <t>ENST00000546538</t>
  </si>
  <si>
    <t>ENST00000551747</t>
  </si>
  <si>
    <t>ENST00000597261</t>
  </si>
  <si>
    <t>ENST00000600432</t>
  </si>
  <si>
    <t>Q8IWZ8</t>
  </si>
  <si>
    <t>ENST00000247001</t>
  </si>
  <si>
    <t>ENST00000535070</t>
  </si>
  <si>
    <t>ENST00000586387</t>
  </si>
  <si>
    <t>ENST00000587716</t>
  </si>
  <si>
    <t>ENST00000588580</t>
  </si>
  <si>
    <t>ENST00000589144</t>
  </si>
  <si>
    <t>ENST00000591007</t>
  </si>
  <si>
    <t>ENST00000592188</t>
  </si>
  <si>
    <t>ENST00000606725</t>
  </si>
  <si>
    <t>Q8IX01</t>
  </si>
  <si>
    <t>ENST00000337018</t>
  </si>
  <si>
    <t>ENST00000452918</t>
  </si>
  <si>
    <t>ENST00000593795</t>
  </si>
  <si>
    <t>ENST00000594773</t>
  </si>
  <si>
    <t>ENST00000597095</t>
  </si>
  <si>
    <t>ENST00000597280</t>
  </si>
  <si>
    <t>ENST00000598863</t>
  </si>
  <si>
    <t>ENST00000600239</t>
  </si>
  <si>
    <t>ENST00000601879</t>
  </si>
  <si>
    <t>Q8IX07</t>
  </si>
  <si>
    <t>ENST00000319555</t>
  </si>
  <si>
    <t>ENST00000562417</t>
  </si>
  <si>
    <t>ENST00000562437</t>
  </si>
  <si>
    <t>ENST00000563351</t>
  </si>
  <si>
    <t>Q8IXI1</t>
  </si>
  <si>
    <t>ENST00000315082</t>
  </si>
  <si>
    <t>ENST00000561711</t>
  </si>
  <si>
    <t>ENST00000561929</t>
  </si>
  <si>
    <t>ENST00000561983</t>
  </si>
  <si>
    <t>ENST00000562333</t>
  </si>
  <si>
    <t>ENST00000562598</t>
  </si>
  <si>
    <t>ENST00000562708</t>
  </si>
  <si>
    <t>ENST00000562957</t>
  </si>
  <si>
    <t>ENST00000563134</t>
  </si>
  <si>
    <t>ENST00000563776</t>
  </si>
  <si>
    <t>ENST00000564659</t>
  </si>
  <si>
    <t>ENST00000565004</t>
  </si>
  <si>
    <t>ENST00000566214</t>
  </si>
  <si>
    <t>ENST00000566965</t>
  </si>
  <si>
    <t>ENST00000567017</t>
  </si>
  <si>
    <t>ENST00000567589</t>
  </si>
  <si>
    <t>ENST00000568636</t>
  </si>
  <si>
    <t>ENST00000568950</t>
  </si>
  <si>
    <t>ENST00000569358</t>
  </si>
  <si>
    <t>ENST00000569675</t>
  </si>
  <si>
    <t>ENST00000569706</t>
  </si>
  <si>
    <t>ENST00000569943</t>
  </si>
  <si>
    <t>ENST00000570092</t>
  </si>
  <si>
    <t>ENST00000570280</t>
  </si>
  <si>
    <t>ENST00000602564</t>
  </si>
  <si>
    <t>Q8IXJ6</t>
  </si>
  <si>
    <t>ENST00000249396</t>
  </si>
  <si>
    <t>ENST00000358931</t>
  </si>
  <si>
    <t>ENST00000381766</t>
  </si>
  <si>
    <t>ENST00000392081</t>
  </si>
  <si>
    <t>ENST00000423526</t>
  </si>
  <si>
    <t>ENST00000462654</t>
  </si>
  <si>
    <t>ENST00000476771</t>
  </si>
  <si>
    <t>ENST00000479290</t>
  </si>
  <si>
    <t>ENST00000481381</t>
  </si>
  <si>
    <t>ENST00000491960</t>
  </si>
  <si>
    <t>ENST00000496069</t>
  </si>
  <si>
    <t>Q8IXM2</t>
  </si>
  <si>
    <t>ENST00000439424</t>
  </si>
  <si>
    <t>ENST00000546495</t>
  </si>
  <si>
    <t>ENST00000546760</t>
  </si>
  <si>
    <t>ENST00000547747</t>
  </si>
  <si>
    <t>ENST00000549857</t>
  </si>
  <si>
    <t>ENST00000550038</t>
  </si>
  <si>
    <t>ENST00000552402</t>
  </si>
  <si>
    <t>ENST00000552775</t>
  </si>
  <si>
    <t>Q8IXM3</t>
  </si>
  <si>
    <t>ENST00000371443</t>
  </si>
  <si>
    <t>Q8IXM6</t>
  </si>
  <si>
    <t>ENST00000376421</t>
  </si>
  <si>
    <t>ENST00000474864</t>
  </si>
  <si>
    <t>Q8IXQ3</t>
  </si>
  <si>
    <t>ENST00000376854</t>
  </si>
  <si>
    <t>Q8IXQ4</t>
  </si>
  <si>
    <t>ENST00000379151</t>
  </si>
  <si>
    <t>ENST00000473119</t>
  </si>
  <si>
    <t>ENST00000479068</t>
  </si>
  <si>
    <t>ENST00000497558</t>
  </si>
  <si>
    <t>Q8IXT5</t>
  </si>
  <si>
    <t>ENST00000399300</t>
  </si>
  <si>
    <t>ENST00000519109</t>
  </si>
  <si>
    <t>ENST00000520560</t>
  </si>
  <si>
    <t>ENST00000520961</t>
  </si>
  <si>
    <t>ENST00000521947</t>
  </si>
  <si>
    <t>Q8IXZ2</t>
  </si>
  <si>
    <t>ENST00000262577</t>
  </si>
  <si>
    <t>ENST00000528401</t>
  </si>
  <si>
    <t>Q8IY18</t>
  </si>
  <si>
    <t>ENST00000361138</t>
  </si>
  <si>
    <t>ENST00000471372</t>
  </si>
  <si>
    <t>Q8IY21</t>
  </si>
  <si>
    <t>ENST00000393743</t>
  </si>
  <si>
    <t>ENST00000505393</t>
  </si>
  <si>
    <t>ENST00000507815</t>
  </si>
  <si>
    <t>ENST00000511317</t>
  </si>
  <si>
    <t>Q8IY37</t>
  </si>
  <si>
    <t>ENST00000308736</t>
  </si>
  <si>
    <t>ENST00000507267</t>
  </si>
  <si>
    <t>ENST00000539298</t>
  </si>
  <si>
    <t>ENST00000542400</t>
  </si>
  <si>
    <t>ENST00000543962</t>
  </si>
  <si>
    <t>ENST00000544745</t>
  </si>
  <si>
    <t>Q8IY57</t>
  </si>
  <si>
    <t>ENST00000327791</t>
  </si>
  <si>
    <t>ENST00000380790</t>
  </si>
  <si>
    <t>ENST00000534854</t>
  </si>
  <si>
    <t>ENST00000541702</t>
  </si>
  <si>
    <t>ENST00000546726</t>
  </si>
  <si>
    <t>ENST00000546782</t>
  </si>
  <si>
    <t>ENST00000546972</t>
  </si>
  <si>
    <t>ENST00000547254</t>
  </si>
  <si>
    <t>ENST00000547351</t>
  </si>
  <si>
    <t>ENST00000547622</t>
  </si>
  <si>
    <t>ENST00000548917</t>
  </si>
  <si>
    <t>ENST00000550315</t>
  </si>
  <si>
    <t>ENST00000551528</t>
  </si>
  <si>
    <t>ENST00000552109</t>
  </si>
  <si>
    <t>ENST00000555248</t>
  </si>
  <si>
    <t>Q8IY81</t>
  </si>
  <si>
    <t>ENST00000427159</t>
  </si>
  <si>
    <t>ENST00000577263</t>
  </si>
  <si>
    <t>ENST00000579831</t>
  </si>
  <si>
    <t>ENST00000580129</t>
  </si>
  <si>
    <t>ENST00000580272</t>
  </si>
  <si>
    <t>ENST00000580290</t>
  </si>
  <si>
    <t>ENST00000580376</t>
  </si>
  <si>
    <t>ENST00000582476</t>
  </si>
  <si>
    <t>ENST00000583202</t>
  </si>
  <si>
    <t>ENST00000583901</t>
  </si>
  <si>
    <t>ENST00000584193</t>
  </si>
  <si>
    <t>ENST00000585145</t>
  </si>
  <si>
    <t>Q8IYB1</t>
  </si>
  <si>
    <t>ENST00000392452</t>
  </si>
  <si>
    <t>Q8IYB7</t>
  </si>
  <si>
    <t>ENST00000273009</t>
  </si>
  <si>
    <t>ENST00000325385</t>
  </si>
  <si>
    <t>ENST00000390005</t>
  </si>
  <si>
    <t>ENST00000409307</t>
  </si>
  <si>
    <t>ENST00000409401</t>
  </si>
  <si>
    <t>ENST00000417808</t>
  </si>
  <si>
    <t>ENST00000424049</t>
  </si>
  <si>
    <t>ENST00000429283</t>
  </si>
  <si>
    <t>ENST00000433430</t>
  </si>
  <si>
    <t>ENST00000434477</t>
  </si>
  <si>
    <t>ENST00000445090</t>
  </si>
  <si>
    <t>ENST00000464554</t>
  </si>
  <si>
    <t>Q8IYB8</t>
  </si>
  <si>
    <t>ENST00000359655</t>
  </si>
  <si>
    <t>ENST00000422378</t>
  </si>
  <si>
    <t>ENST00000471069</t>
  </si>
  <si>
    <t>ENST00000483572</t>
  </si>
  <si>
    <t>ENST00000486661</t>
  </si>
  <si>
    <t>ENST00000497254</t>
  </si>
  <si>
    <t>Q8IYD1</t>
  </si>
  <si>
    <t>ENST00000340438</t>
  </si>
  <si>
    <t>Q8IYI6</t>
  </si>
  <si>
    <t>ENST00000366645</t>
  </si>
  <si>
    <t>Q8IYJ3</t>
  </si>
  <si>
    <t>ENST00000318074</t>
  </si>
  <si>
    <t>ENST00000475199</t>
  </si>
  <si>
    <t>ENST00000483926</t>
  </si>
  <si>
    <t>ENST00000485269</t>
  </si>
  <si>
    <t>ENST00000490170</t>
  </si>
  <si>
    <t>ENST00000496001</t>
  </si>
  <si>
    <t>ENST00000543823</t>
  </si>
  <si>
    <t>Q8IYL2</t>
  </si>
  <si>
    <t>ENST00000389737</t>
  </si>
  <si>
    <t>ENST00000511366</t>
  </si>
  <si>
    <t>ENST00000528167</t>
  </si>
  <si>
    <t>ENST00000532937</t>
  </si>
  <si>
    <t>Q8IYL3</t>
  </si>
  <si>
    <t>ENST00000361605</t>
  </si>
  <si>
    <t>ENST00000474140</t>
  </si>
  <si>
    <t>ENST00000486765</t>
  </si>
  <si>
    <t>Q8IYM9</t>
  </si>
  <si>
    <t>ENST00000379965</t>
  </si>
  <si>
    <t>ENST00000429063</t>
  </si>
  <si>
    <t>ENST00000444844</t>
  </si>
  <si>
    <t>ENST00000450670</t>
  </si>
  <si>
    <t>ENST00000454828</t>
  </si>
  <si>
    <t>ENST00000460454</t>
  </si>
  <si>
    <t>ENST00000480395</t>
  </si>
  <si>
    <t>ENST00000493494</t>
  </si>
  <si>
    <t>Q8IYQ7</t>
  </si>
  <si>
    <t>ENST00000376356</t>
  </si>
  <si>
    <t>ENST00000524413</t>
  </si>
  <si>
    <t>Q8IYR2</t>
  </si>
  <si>
    <t>ENST00000305513</t>
  </si>
  <si>
    <t>ENST00000476292</t>
  </si>
  <si>
    <t>ENST00000491788</t>
  </si>
  <si>
    <t>ENST00000573937</t>
  </si>
  <si>
    <t>Q8IYS1</t>
  </si>
  <si>
    <t>ENST00000275072</t>
  </si>
  <si>
    <t>Q8IYS2</t>
  </si>
  <si>
    <t>ENST00000376572</t>
  </si>
  <si>
    <t>ENST00000376576</t>
  </si>
  <si>
    <t>Q8IYT2</t>
  </si>
  <si>
    <t>ENST00000338099</t>
  </si>
  <si>
    <t>ENST00000434935</t>
  </si>
  <si>
    <t>ENST00000564183</t>
  </si>
  <si>
    <t>ENST00000564690</t>
  </si>
  <si>
    <t>Q8IZ07</t>
  </si>
  <si>
    <t>ENST00000261739</t>
  </si>
  <si>
    <t>ENST00000546476</t>
  </si>
  <si>
    <t>ENST00000547639</t>
  </si>
  <si>
    <t>ENST00000549826</t>
  </si>
  <si>
    <t>ENST00000550404</t>
  </si>
  <si>
    <t>ENST00000553025</t>
  </si>
  <si>
    <t>ENST00000553246</t>
  </si>
  <si>
    <t>ENST00000553251</t>
  </si>
  <si>
    <t>Q8IZ69</t>
  </si>
  <si>
    <t>ENST00000252136</t>
  </si>
  <si>
    <t>ENST00000403707</t>
  </si>
  <si>
    <t>ENST00000459644</t>
  </si>
  <si>
    <t>ENST00000464535</t>
  </si>
  <si>
    <t>ENST00000468917</t>
  </si>
  <si>
    <t>ENST00000471040</t>
  </si>
  <si>
    <t>ENST00000480339</t>
  </si>
  <si>
    <t>ENST00000480460</t>
  </si>
  <si>
    <t>ENST00000487378</t>
  </si>
  <si>
    <t>ENST00000487668</t>
  </si>
  <si>
    <t>ENST00000488335</t>
  </si>
  <si>
    <t>ENST00000494820</t>
  </si>
  <si>
    <t>Q8IZ73</t>
  </si>
  <si>
    <t>ENST00000315616</t>
  </si>
  <si>
    <t>Q8IZ81</t>
  </si>
  <si>
    <t>ENST00000323570</t>
  </si>
  <si>
    <t>ENST00000502290</t>
  </si>
  <si>
    <t>ENST00000502397</t>
  </si>
  <si>
    <t>ENST00000503541</t>
  </si>
  <si>
    <t>ENST00000507667</t>
  </si>
  <si>
    <t>ENST00000511887</t>
  </si>
  <si>
    <t>ENST00000512057</t>
  </si>
  <si>
    <t>Q8IZ83</t>
  </si>
  <si>
    <t>ENST00000293350</t>
  </si>
  <si>
    <t>ENST00000455361</t>
  </si>
  <si>
    <t>ENST00000593417</t>
  </si>
  <si>
    <t>ENST00000594549</t>
  </si>
  <si>
    <t>ENST00000599652</t>
  </si>
  <si>
    <t>Q8IZC7</t>
  </si>
  <si>
    <t>ENST00000318110</t>
  </si>
  <si>
    <t>ENST00000415440</t>
  </si>
  <si>
    <t>ENST00000415784</t>
  </si>
  <si>
    <t>ENST00000444249</t>
  </si>
  <si>
    <t>ENST00000541458</t>
  </si>
  <si>
    <t>ENST00000586745</t>
  </si>
  <si>
    <t>ENST00000592502</t>
  </si>
  <si>
    <t>Q8IZD4</t>
  </si>
  <si>
    <t>ENST00000280665</t>
  </si>
  <si>
    <t>ENST00000535873</t>
  </si>
  <si>
    <t>ENST00000540622</t>
  </si>
  <si>
    <t>ENST00000541700</t>
  </si>
  <si>
    <t>ENST00000543381</t>
  </si>
  <si>
    <t>Q8IZL2</t>
  </si>
  <si>
    <t>ENST00000524717</t>
  </si>
  <si>
    <t>Q8IZL8</t>
  </si>
  <si>
    <t>ENST00000301396</t>
  </si>
  <si>
    <t>ENST00000570571</t>
  </si>
  <si>
    <t>ENST00000570823</t>
  </si>
  <si>
    <t>ENST00000571170</t>
  </si>
  <si>
    <t>ENST00000571347</t>
  </si>
  <si>
    <t>ENST00000572293</t>
  </si>
  <si>
    <t>ENST00000573242</t>
  </si>
  <si>
    <t>ENST00000573506</t>
  </si>
  <si>
    <t>ENST00000573523</t>
  </si>
  <si>
    <t>ENST00000574876</t>
  </si>
  <si>
    <t>ENST00000575329</t>
  </si>
  <si>
    <t>ENST00000575534</t>
  </si>
  <si>
    <t>Q8IZQ5</t>
  </si>
  <si>
    <t>ENST00000388857</t>
  </si>
  <si>
    <t>ENST00000528798</t>
  </si>
  <si>
    <t>ENST00000533321</t>
  </si>
  <si>
    <t>ENST00000534355</t>
  </si>
  <si>
    <t>ENST00000534386</t>
  </si>
  <si>
    <t>Q8N0T1</t>
  </si>
  <si>
    <t>ENST00000518786</t>
  </si>
  <si>
    <t>ENST00000521286</t>
  </si>
  <si>
    <t>ENST00000523245</t>
  </si>
  <si>
    <t>ENST00000523281</t>
  </si>
  <si>
    <t>Q8N0U8</t>
  </si>
  <si>
    <t>ENST00000360768</t>
  </si>
  <si>
    <t>Q8N0W3</t>
  </si>
  <si>
    <t>ENST00000288078</t>
  </si>
  <si>
    <t>ENST00000464499</t>
  </si>
  <si>
    <t>ENST00000485034</t>
  </si>
  <si>
    <t>ENST00000498702</t>
  </si>
  <si>
    <t>ENST00000571487</t>
  </si>
  <si>
    <t>ENST00000571514</t>
  </si>
  <si>
    <t>ENST00000573832</t>
  </si>
  <si>
    <t>ENST00000576107</t>
  </si>
  <si>
    <t>Q8N0X4</t>
  </si>
  <si>
    <t>ENST00000339105</t>
  </si>
  <si>
    <t>ENST00000376354</t>
  </si>
  <si>
    <t>ENST00000376355</t>
  </si>
  <si>
    <t>ENST00000416504</t>
  </si>
  <si>
    <t>ENST00000443887</t>
  </si>
  <si>
    <t>Q8N0X7</t>
  </si>
  <si>
    <t>ENST00000438666</t>
  </si>
  <si>
    <t>ENST00000451493</t>
  </si>
  <si>
    <t>ENST00000460126</t>
  </si>
  <si>
    <t>ENST00000475603</t>
  </si>
  <si>
    <t>ENST00000482146</t>
  </si>
  <si>
    <t>ENST00000491805</t>
  </si>
  <si>
    <t>ENST00000494062</t>
  </si>
  <si>
    <t>ENST00000494703</t>
  </si>
  <si>
    <t>ENST00000495510</t>
  </si>
  <si>
    <t>Q8N0Z3</t>
  </si>
  <si>
    <t>ENST00000295872</t>
  </si>
  <si>
    <t>ENST00000460832</t>
  </si>
  <si>
    <t>ENST00000480527</t>
  </si>
  <si>
    <t>ENST00000496105</t>
  </si>
  <si>
    <t>Q8N0Z6</t>
  </si>
  <si>
    <t>ENST00000258821</t>
  </si>
  <si>
    <t>ENST00000553828</t>
  </si>
  <si>
    <t>ENST00000554157</t>
  </si>
  <si>
    <t>ENST00000556592</t>
  </si>
  <si>
    <t>ENST00000557379</t>
  </si>
  <si>
    <t>Q8N0Z8</t>
  </si>
  <si>
    <t>ENST00000379031</t>
  </si>
  <si>
    <t>ENST00000463758</t>
  </si>
  <si>
    <t>ENST00000467712</t>
  </si>
  <si>
    <t>ENST00000470520</t>
  </si>
  <si>
    <t>Q8N122</t>
  </si>
  <si>
    <t>ENST00000306801</t>
  </si>
  <si>
    <t>ENST00000570891</t>
  </si>
  <si>
    <t>ENST00000572733</t>
  </si>
  <si>
    <t>ENST00000573163</t>
  </si>
  <si>
    <t>ENST00000573837</t>
  </si>
  <si>
    <t>ENST00000574767</t>
  </si>
  <si>
    <t>ENST00000575542</t>
  </si>
  <si>
    <t>ENST00000576366</t>
  </si>
  <si>
    <t>Q8N128</t>
  </si>
  <si>
    <t>ENST00000280987</t>
  </si>
  <si>
    <t>ENST00000382406</t>
  </si>
  <si>
    <t>ENST00000396472</t>
  </si>
  <si>
    <t>ENST00000553852</t>
  </si>
  <si>
    <t>ENST00000553901</t>
  </si>
  <si>
    <t>ENST00000553955</t>
  </si>
  <si>
    <t>ENST00000554052</t>
  </si>
  <si>
    <t>ENST00000554794</t>
  </si>
  <si>
    <t>ENST00000555260</t>
  </si>
  <si>
    <t>ENST00000556858</t>
  </si>
  <si>
    <t>Q8N129</t>
  </si>
  <si>
    <t>ENST00000262932</t>
  </si>
  <si>
    <t>ENST00000470153</t>
  </si>
  <si>
    <t>ENST00000480692</t>
  </si>
  <si>
    <t>ENST00000483756</t>
  </si>
  <si>
    <t>Q8N137</t>
  </si>
  <si>
    <t>ENST00000563694</t>
  </si>
  <si>
    <t>ENST00000565740</t>
  </si>
  <si>
    <t>ENST00000571632</t>
  </si>
  <si>
    <t>ENST00000573862</t>
  </si>
  <si>
    <t>ENST00000574430</t>
  </si>
  <si>
    <t>ENST00000576536</t>
  </si>
  <si>
    <t>ENST00000576587</t>
  </si>
  <si>
    <t>ENST00000576723</t>
  </si>
  <si>
    <t>Q8N163</t>
  </si>
  <si>
    <t>ENST00000308511</t>
  </si>
  <si>
    <t>ENST00000389279</t>
  </si>
  <si>
    <t>ENST00000518989</t>
  </si>
  <si>
    <t>ENST00000520536</t>
  </si>
  <si>
    <t>ENST00000520738</t>
  </si>
  <si>
    <t>ENST00000520861</t>
  </si>
  <si>
    <t>ENST00000521020</t>
  </si>
  <si>
    <t>ENST00000521301</t>
  </si>
  <si>
    <t>ENST00000521436</t>
  </si>
  <si>
    <t>ENST00000521837</t>
  </si>
  <si>
    <t>ENST00000522599</t>
  </si>
  <si>
    <t>ENST00000523349</t>
  </si>
  <si>
    <t>ENST00000523801</t>
  </si>
  <si>
    <t>Q8N183</t>
  </si>
  <si>
    <t>ENST00000296597</t>
  </si>
  <si>
    <t>ENST00000502658</t>
  </si>
  <si>
    <t>ENST00000511107</t>
  </si>
  <si>
    <t>ENST00000512623</t>
  </si>
  <si>
    <t>Q8N1B4</t>
  </si>
  <si>
    <t>ENST00000445902</t>
  </si>
  <si>
    <t>ENST00000461743</t>
  </si>
  <si>
    <t>ENST00000463486</t>
  </si>
  <si>
    <t>ENST00000464425</t>
  </si>
  <si>
    <t>ENST00000478934</t>
  </si>
  <si>
    <t>ENST00000482399</t>
  </si>
  <si>
    <t>ENST00000493379</t>
  </si>
  <si>
    <t>ENST00000493674</t>
  </si>
  <si>
    <t>ENST00000495755</t>
  </si>
  <si>
    <t>ENST00000495981</t>
  </si>
  <si>
    <t>Q8N1F7</t>
  </si>
  <si>
    <t>ENST00000308159</t>
  </si>
  <si>
    <t>ENST00000562496</t>
  </si>
  <si>
    <t>ENST00000563405</t>
  </si>
  <si>
    <t>ENST00000563437</t>
  </si>
  <si>
    <t>ENST00000563465</t>
  </si>
  <si>
    <t>ENST00000563486</t>
  </si>
  <si>
    <t>ENST00000564278</t>
  </si>
  <si>
    <t>ENST00000566315</t>
  </si>
  <si>
    <t>ENST00000566678</t>
  </si>
  <si>
    <t>ENST00000569595</t>
  </si>
  <si>
    <t>ENST00000569842</t>
  </si>
  <si>
    <t>Q8N1F8</t>
  </si>
  <si>
    <t>ENST00000295641</t>
  </si>
  <si>
    <t>ENST00000413891</t>
  </si>
  <si>
    <t>ENST00000447191</t>
  </si>
  <si>
    <t>ENST00000456857</t>
  </si>
  <si>
    <t>ENST00000456909</t>
  </si>
  <si>
    <t>ENST00000465230</t>
  </si>
  <si>
    <t>ENST00000466648</t>
  </si>
  <si>
    <t>ENST00000473899</t>
  </si>
  <si>
    <t>ENST00000475396</t>
  </si>
  <si>
    <t>ENST00000475843</t>
  </si>
  <si>
    <t>ENST00000483319</t>
  </si>
  <si>
    <t>ENST00000494777</t>
  </si>
  <si>
    <t>ENST00000495941</t>
  </si>
  <si>
    <t>Q8N1G0</t>
  </si>
  <si>
    <t>ENST00000336715</t>
  </si>
  <si>
    <t>ENST00000443959</t>
  </si>
  <si>
    <t>ENST00000459919</t>
  </si>
  <si>
    <t>Q8N1G1</t>
  </si>
  <si>
    <t>ENST00000170168</t>
  </si>
  <si>
    <t>ENST00000586291</t>
  </si>
  <si>
    <t>ENST00000586343</t>
  </si>
  <si>
    <t>ENST00000587404</t>
  </si>
  <si>
    <t>ENST00000587524</t>
  </si>
  <si>
    <t>ENST00000588743</t>
  </si>
  <si>
    <t>ENST00000590936</t>
  </si>
  <si>
    <t>Q8N1G2</t>
  </si>
  <si>
    <t>ENST00000373451</t>
  </si>
  <si>
    <t>ENST00000457419</t>
  </si>
  <si>
    <t>ENST00000475364</t>
  </si>
  <si>
    <t>ENST00000493656</t>
  </si>
  <si>
    <t>Q8N1G4</t>
  </si>
  <si>
    <t>ENST00000378251</t>
  </si>
  <si>
    <t>ENST00000462356</t>
  </si>
  <si>
    <t>ENST00000479239</t>
  </si>
  <si>
    <t>Q8N201</t>
  </si>
  <si>
    <t>ENST00000404767</t>
  </si>
  <si>
    <t>ENST00000468115</t>
  </si>
  <si>
    <t>ENST00000479671</t>
  </si>
  <si>
    <t>ENST00000482994</t>
  </si>
  <si>
    <t>ENST00000483196</t>
  </si>
  <si>
    <t>ENST00000493531</t>
  </si>
  <si>
    <t>ENST00000496988</t>
  </si>
  <si>
    <t>Q8N239</t>
  </si>
  <si>
    <t>ENST00000379499</t>
  </si>
  <si>
    <t>Q8N2K0</t>
  </si>
  <si>
    <t>ENST00000339157</t>
  </si>
  <si>
    <t>ENST00000376542</t>
  </si>
  <si>
    <t>ENST00000461204</t>
  </si>
  <si>
    <t>ENST00000481556</t>
  </si>
  <si>
    <t>ENST00000576316</t>
  </si>
  <si>
    <t>Q8N2M8</t>
  </si>
  <si>
    <t>ENST00000221455</t>
  </si>
  <si>
    <t>ENST00000391952</t>
  </si>
  <si>
    <t>ENST00000391953</t>
  </si>
  <si>
    <t>ENST00000544944</t>
  </si>
  <si>
    <t>ENST00000585432</t>
  </si>
  <si>
    <t>ENST00000585615</t>
  </si>
  <si>
    <t>ENST00000587112</t>
  </si>
  <si>
    <t>ENST00000587472</t>
  </si>
  <si>
    <t>ENST00000588016</t>
  </si>
  <si>
    <t>ENST00000588070</t>
  </si>
  <si>
    <t>ENST00000588247</t>
  </si>
  <si>
    <t>ENST00000591904</t>
  </si>
  <si>
    <t>ENST00000592056</t>
  </si>
  <si>
    <t>ENST00000592876</t>
  </si>
  <si>
    <t>Q8N2U0</t>
  </si>
  <si>
    <t>ENST00000302422</t>
  </si>
  <si>
    <t>ENST00000575427</t>
  </si>
  <si>
    <t>ENST00000576017</t>
  </si>
  <si>
    <t>Q8N2U9</t>
  </si>
  <si>
    <t>ENST00000357575</t>
  </si>
  <si>
    <t>ENST00000397778</t>
  </si>
  <si>
    <t>ENST00000466449</t>
  </si>
  <si>
    <t>ENST00000474967</t>
  </si>
  <si>
    <t>ENST00000478144</t>
  </si>
  <si>
    <t>ENST00000589000</t>
  </si>
  <si>
    <t>ENST00000589452</t>
  </si>
  <si>
    <t>ENST00000590381</t>
  </si>
  <si>
    <t>ENST00000590895</t>
  </si>
  <si>
    <t>ENST00000591964</t>
  </si>
  <si>
    <t>Q8N2W9</t>
  </si>
  <si>
    <t>ENST00000262971</t>
  </si>
  <si>
    <t>ENST00000600566</t>
  </si>
  <si>
    <t>ENST00000601439</t>
  </si>
  <si>
    <t>Q8N302</t>
  </si>
  <si>
    <t>ENST00000312916</t>
  </si>
  <si>
    <t>ENST00000506806</t>
  </si>
  <si>
    <t>Q8N335</t>
  </si>
  <si>
    <t>ENST00000282541</t>
  </si>
  <si>
    <t>ENST00000425459</t>
  </si>
  <si>
    <t>ENST00000474846</t>
  </si>
  <si>
    <t>ENST00000496151</t>
  </si>
  <si>
    <t>Q8N357</t>
  </si>
  <si>
    <t>ENST00000344420</t>
  </si>
  <si>
    <t>ENST00000414029</t>
  </si>
  <si>
    <t>ENST00000429494</t>
  </si>
  <si>
    <t>Q8N370</t>
  </si>
  <si>
    <t>ENST00000301335</t>
  </si>
  <si>
    <t>ENST00000382147</t>
  </si>
  <si>
    <t>ENST00000571650</t>
  </si>
  <si>
    <t>ENST00000574743</t>
  </si>
  <si>
    <t>ENST00000575944</t>
  </si>
  <si>
    <t>ENST00000576537</t>
  </si>
  <si>
    <t>ENST00000576769</t>
  </si>
  <si>
    <t>Q8N371</t>
  </si>
  <si>
    <t>ENST00000286096</t>
  </si>
  <si>
    <t>ENST00000562269</t>
  </si>
  <si>
    <t>ENST00000563571</t>
  </si>
  <si>
    <t>ENST00000564961</t>
  </si>
  <si>
    <t>ENST00000567366</t>
  </si>
  <si>
    <t>ENST00000568792</t>
  </si>
  <si>
    <t>ENST00000569592</t>
  </si>
  <si>
    <t>Q8N392</t>
  </si>
  <si>
    <t>ENST00000368149</t>
  </si>
  <si>
    <t>Q8N3C0</t>
  </si>
  <si>
    <t>ENST00000369143</t>
  </si>
  <si>
    <t>ENST00000369162</t>
  </si>
  <si>
    <t>ENST00000468245</t>
  </si>
  <si>
    <t>ENST00000518006</t>
  </si>
  <si>
    <t>ENST00000522650</t>
  </si>
  <si>
    <t>Q8N3D4</t>
  </si>
  <si>
    <t>ENST00000309295</t>
  </si>
  <si>
    <t>ENST00000526990</t>
  </si>
  <si>
    <t>ENST00000527214</t>
  </si>
  <si>
    <t>ENST00000529056</t>
  </si>
  <si>
    <t>ENST00000529099</t>
  </si>
  <si>
    <t>ENST00000531106</t>
  </si>
  <si>
    <t>ENST00000533364</t>
  </si>
  <si>
    <t>ENST00000533465</t>
  </si>
  <si>
    <t>Q8N3F8</t>
  </si>
  <si>
    <t>ENST00000215957</t>
  </si>
  <si>
    <t>ENST00000402631</t>
  </si>
  <si>
    <t>ENST00000424008</t>
  </si>
  <si>
    <t>ENST00000454685</t>
  </si>
  <si>
    <t>ENST00000489812</t>
  </si>
  <si>
    <t>Q8N3J5</t>
  </si>
  <si>
    <t>ENST00000505022</t>
  </si>
  <si>
    <t>ENST00000508256</t>
  </si>
  <si>
    <t>ENST00000509340</t>
  </si>
  <si>
    <t>ENST00000511506</t>
  </si>
  <si>
    <t>ENST00000513546</t>
  </si>
  <si>
    <t>ENST00000514204</t>
  </si>
  <si>
    <t>ENST00000608933</t>
  </si>
  <si>
    <t>Q8N3X1</t>
  </si>
  <si>
    <t>ENST00000263773</t>
  </si>
  <si>
    <t>ENST00000526109</t>
  </si>
  <si>
    <t>ENST00000527894</t>
  </si>
  <si>
    <t>ENST00000528388</t>
  </si>
  <si>
    <t>ENST00000529156</t>
  </si>
  <si>
    <t>ENST00000530207</t>
  </si>
  <si>
    <t>ENST00000533707</t>
  </si>
  <si>
    <t>ENST00000534003</t>
  </si>
  <si>
    <t>ENST00000540172</t>
  </si>
  <si>
    <t>ENST00000544590</t>
  </si>
  <si>
    <t>Q8N3Z6</t>
  </si>
  <si>
    <t>ENST00000322831</t>
  </si>
  <si>
    <t>ENST00000336755</t>
  </si>
  <si>
    <t>ENST00000461038</t>
  </si>
  <si>
    <t>Q8N442</t>
  </si>
  <si>
    <t>ENST00000281543</t>
  </si>
  <si>
    <t>ENST00000506793</t>
  </si>
  <si>
    <t>ENST00000511493</t>
  </si>
  <si>
    <t>ENST00000513775</t>
  </si>
  <si>
    <t>Q8N465</t>
  </si>
  <si>
    <t>ENST00000321264</t>
  </si>
  <si>
    <t>ENST00000417686</t>
  </si>
  <si>
    <t>ENST00000432449</t>
  </si>
  <si>
    <t>ENST00000436747</t>
  </si>
  <si>
    <t>ENST00000468064</t>
  </si>
  <si>
    <t>ENST00000470343</t>
  </si>
  <si>
    <t>ENST00000473126</t>
  </si>
  <si>
    <t>ENST00000496252</t>
  </si>
  <si>
    <t>Q8N488</t>
  </si>
  <si>
    <t>ENST00000477973</t>
  </si>
  <si>
    <t>Q8N490</t>
  </si>
  <si>
    <t>ENST00000248451</t>
  </si>
  <si>
    <t>ENST00000469689</t>
  </si>
  <si>
    <t>ENST00000472650</t>
  </si>
  <si>
    <t>ENST00000483797</t>
  </si>
  <si>
    <t>ENST00000494954</t>
  </si>
  <si>
    <t>Q8N4H5</t>
  </si>
  <si>
    <t>ENST00000321301</t>
  </si>
  <si>
    <t>ENST00000377773</t>
  </si>
  <si>
    <t>ENST00000401811</t>
  </si>
  <si>
    <t>ENST00000544379</t>
  </si>
  <si>
    <t>Q8N4J0</t>
  </si>
  <si>
    <t>ENST00000376830</t>
  </si>
  <si>
    <t>ENST00000376834</t>
  </si>
  <si>
    <t>ENST00000451153</t>
  </si>
  <si>
    <t>Q8N4L2</t>
  </si>
  <si>
    <t>ENST00000285419</t>
  </si>
  <si>
    <t>ENST00000518869</t>
  </si>
  <si>
    <t>ENST00000520014</t>
  </si>
  <si>
    <t>Q8N4N3</t>
  </si>
  <si>
    <t>ENST00000564159</t>
  </si>
  <si>
    <t>ENST00000564996</t>
  </si>
  <si>
    <t>ENST00000565743</t>
  </si>
  <si>
    <t>ENST00000567410</t>
  </si>
  <si>
    <t>Q8N4P3</t>
  </si>
  <si>
    <t>ENST00000330334</t>
  </si>
  <si>
    <t>ENST00000394272</t>
  </si>
  <si>
    <t>ENST00000494993</t>
  </si>
  <si>
    <t>ENST00000559834</t>
  </si>
  <si>
    <t>ENST00000559898</t>
  </si>
  <si>
    <t>Q8N4Q0</t>
  </si>
  <si>
    <t>ENST00000322342</t>
  </si>
  <si>
    <t>ENST00000581620</t>
  </si>
  <si>
    <t>ENST00000582437</t>
  </si>
  <si>
    <t>Q8N4Q1</t>
  </si>
  <si>
    <t>ENST00000295767</t>
  </si>
  <si>
    <t>ENST00000396914</t>
  </si>
  <si>
    <t>Q8N4S0</t>
  </si>
  <si>
    <t>ENST00000278520</t>
  </si>
  <si>
    <t>ENST00000423339</t>
  </si>
  <si>
    <t>ENST00000524836</t>
  </si>
  <si>
    <t>ENST00000525786</t>
  </si>
  <si>
    <t>ENST00000530106</t>
  </si>
  <si>
    <t>ENST00000530203</t>
  </si>
  <si>
    <t>ENST00000538597</t>
  </si>
  <si>
    <t>ENST00000545264</t>
  </si>
  <si>
    <t>Q8N4T8</t>
  </si>
  <si>
    <t>ENST00000306193</t>
  </si>
  <si>
    <t>ENST00000504480</t>
  </si>
  <si>
    <t>ENST00000504561</t>
  </si>
  <si>
    <t>ENST00000510042</t>
  </si>
  <si>
    <t>Q8N4V1</t>
  </si>
  <si>
    <t>ENST00000305963</t>
  </si>
  <si>
    <t>Q8N511</t>
  </si>
  <si>
    <t>ENST00000292114</t>
  </si>
  <si>
    <t>ENST00000483505</t>
  </si>
  <si>
    <t>ENST00000555264</t>
  </si>
  <si>
    <t>ENST00000580868</t>
  </si>
  <si>
    <t>ENST00000581386</t>
  </si>
  <si>
    <t>ENST00000585027</t>
  </si>
  <si>
    <t>Q8N543</t>
  </si>
  <si>
    <t>ENST00000336111</t>
  </si>
  <si>
    <t>ENST00000561646</t>
  </si>
  <si>
    <t>ENST00000563733</t>
  </si>
  <si>
    <t>ENST00000565209</t>
  </si>
  <si>
    <t>ENST00000566157</t>
  </si>
  <si>
    <t>ENST00000569645</t>
  </si>
  <si>
    <t>Q8N554</t>
  </si>
  <si>
    <t>ENST00000289816</t>
  </si>
  <si>
    <t>ENST00000443381</t>
  </si>
  <si>
    <t>ENST00000561536</t>
  </si>
  <si>
    <t>ENST00000562530</t>
  </si>
  <si>
    <t>ENST00000563541</t>
  </si>
  <si>
    <t>ENST00000563983</t>
  </si>
  <si>
    <t>ENST00000564004</t>
  </si>
  <si>
    <t>ENST00000568064</t>
  </si>
  <si>
    <t>ENST00000568295</t>
  </si>
  <si>
    <t>ENST00000569426</t>
  </si>
  <si>
    <t>ENST00000569582</t>
  </si>
  <si>
    <t>ENST00000569901</t>
  </si>
  <si>
    <t>Q8N556</t>
  </si>
  <si>
    <t>ENST00000358461</t>
  </si>
  <si>
    <t>ENST00000360265</t>
  </si>
  <si>
    <t>ENST00000420658</t>
  </si>
  <si>
    <t>ENST00000505447</t>
  </si>
  <si>
    <t>Q8N567</t>
  </si>
  <si>
    <t>ENST00000254037</t>
  </si>
  <si>
    <t>ENST00000380199</t>
  </si>
  <si>
    <t>ENST00000407610</t>
  </si>
  <si>
    <t>ENST00000504502</t>
  </si>
  <si>
    <t>ENST00000505860</t>
  </si>
  <si>
    <t>ENST00000506458</t>
  </si>
  <si>
    <t>ENST00000507402</t>
  </si>
  <si>
    <t>ENST00000510227</t>
  </si>
  <si>
    <t>Q8N584</t>
  </si>
  <si>
    <t>ENST00000304621</t>
  </si>
  <si>
    <t>ENST00000317571</t>
  </si>
  <si>
    <t>ENST00000540918</t>
  </si>
  <si>
    <t>ENST00000577185</t>
  </si>
  <si>
    <t>ENST00000578150</t>
  </si>
  <si>
    <t>ENST00000581394</t>
  </si>
  <si>
    <t>ENST00000584095</t>
  </si>
  <si>
    <t>ENST00000584250</t>
  </si>
  <si>
    <t>ENST00000584424</t>
  </si>
  <si>
    <t>Q8N5C6</t>
  </si>
  <si>
    <t>ENST00000263736</t>
  </si>
  <si>
    <t>ENST00000475073</t>
  </si>
  <si>
    <t>ENST00000490133</t>
  </si>
  <si>
    <t>ENST00000493649</t>
  </si>
  <si>
    <t>Q8N5F7</t>
  </si>
  <si>
    <t>ENST00000371410</t>
  </si>
  <si>
    <t>ENST00000477789</t>
  </si>
  <si>
    <t>ENST00000482407</t>
  </si>
  <si>
    <t>Q8N5G0</t>
  </si>
  <si>
    <t>ENST00000506197</t>
  </si>
  <si>
    <t>ENST00000514384</t>
  </si>
  <si>
    <t>ENST00000515764</t>
  </si>
  <si>
    <t>ENST00000522137</t>
  </si>
  <si>
    <t>Q8N5G2</t>
  </si>
  <si>
    <t>ENST00000374343</t>
  </si>
  <si>
    <t>ENST00000399766</t>
  </si>
  <si>
    <t>Q8N5H7</t>
  </si>
  <si>
    <t>ENST00000314830</t>
  </si>
  <si>
    <t>ENST00000373276</t>
  </si>
  <si>
    <t>ENST00000373277</t>
  </si>
  <si>
    <t>ENST00000484160</t>
  </si>
  <si>
    <t>Q8N5I2</t>
  </si>
  <si>
    <t>ENST00000371421</t>
  </si>
  <si>
    <t>ENST00000431925</t>
  </si>
  <si>
    <t>ENST00000461627</t>
  </si>
  <si>
    <t>ENST00000466367</t>
  </si>
  <si>
    <t>ENST00000468983</t>
  </si>
  <si>
    <t>ENST00000475658</t>
  </si>
  <si>
    <t>ENST00000491911</t>
  </si>
  <si>
    <t>ENST00000495220</t>
  </si>
  <si>
    <t>Q8N5I9</t>
  </si>
  <si>
    <t>ENST00000552951</t>
  </si>
  <si>
    <t>Q8N5K1</t>
  </si>
  <si>
    <t>ENST00000273986</t>
  </si>
  <si>
    <t>ENST00000574446</t>
  </si>
  <si>
    <t>Q8N5M1</t>
  </si>
  <si>
    <t>ENST00000462733</t>
  </si>
  <si>
    <t>ENST00000465337</t>
  </si>
  <si>
    <t>ENST00000467560</t>
  </si>
  <si>
    <t>ENST00000469327</t>
  </si>
  <si>
    <t>ENST00000474627</t>
  </si>
  <si>
    <t>ENST00000488753</t>
  </si>
  <si>
    <t>ENST00000496852</t>
  </si>
  <si>
    <t>ENST00000497871</t>
  </si>
  <si>
    <t>ENST00000577586</t>
  </si>
  <si>
    <t>ENST00000584205</t>
  </si>
  <si>
    <t>Q8N5M4</t>
  </si>
  <si>
    <t>ENST00000294161</t>
  </si>
  <si>
    <t>ENST00000316461</t>
  </si>
  <si>
    <t>ENST00000532276</t>
  </si>
  <si>
    <t>ENST00000532583</t>
  </si>
  <si>
    <t>ENST00000601045</t>
  </si>
  <si>
    <t>Q8N5M9</t>
  </si>
  <si>
    <t>ENST00000307768</t>
  </si>
  <si>
    <t>ENST00000489724</t>
  </si>
  <si>
    <t>Q8N5N7</t>
  </si>
  <si>
    <t>ENST00000374865</t>
  </si>
  <si>
    <t>Q8N5P1</t>
  </si>
  <si>
    <t>ENST00000409573</t>
  </si>
  <si>
    <t>ENST00000466259</t>
  </si>
  <si>
    <t>ENST00000474234</t>
  </si>
  <si>
    <t>ENST00000476902</t>
  </si>
  <si>
    <t>ENST00000495264</t>
  </si>
  <si>
    <t>Q8N5U6</t>
  </si>
  <si>
    <t>ENST00000325954</t>
  </si>
  <si>
    <t>ENST00000366112</t>
  </si>
  <si>
    <t>ENST00000413266</t>
  </si>
  <si>
    <t>ENST00000535395</t>
  </si>
  <si>
    <t>ENST00000535417</t>
  </si>
  <si>
    <t>ENST00000535470</t>
  </si>
  <si>
    <t>ENST00000536869</t>
  </si>
  <si>
    <t>ENST00000537376</t>
  </si>
  <si>
    <t>ENST00000537740</t>
  </si>
  <si>
    <t>ENST00000538254</t>
  </si>
  <si>
    <t>ENST00000538796</t>
  </si>
  <si>
    <t>ENST00000540046</t>
  </si>
  <si>
    <t>ENST00000542438</t>
  </si>
  <si>
    <t>ENST00000542701</t>
  </si>
  <si>
    <t>ENST00000543757</t>
  </si>
  <si>
    <t>ENST00000544124</t>
  </si>
  <si>
    <t>ENST00000544805</t>
  </si>
  <si>
    <t>ENST00000546262</t>
  </si>
  <si>
    <t>ENST00000551139</t>
  </si>
  <si>
    <t>Q8N5W9</t>
  </si>
  <si>
    <t>ENST00000329099</t>
  </si>
  <si>
    <t>Q8N5X7</t>
  </si>
  <si>
    <t>ENST00000425534</t>
  </si>
  <si>
    <t>ENST00000468147</t>
  </si>
  <si>
    <t>Q8N5Y8</t>
  </si>
  <si>
    <t>ENST00000261888</t>
  </si>
  <si>
    <t>ENST00000558873</t>
  </si>
  <si>
    <t>ENST00000559805</t>
  </si>
  <si>
    <t>Q8N612</t>
  </si>
  <si>
    <t>ENST00000265978</t>
  </si>
  <si>
    <t>ENST00000449352</t>
  </si>
  <si>
    <t>ENST00000524416</t>
  </si>
  <si>
    <t>ENST00000529360</t>
  </si>
  <si>
    <t>ENST00000532797</t>
  </si>
  <si>
    <t>Q8N653</t>
  </si>
  <si>
    <t>ENST00000215739</t>
  </si>
  <si>
    <t>ENST00000414985</t>
  </si>
  <si>
    <t>ENST00000415817</t>
  </si>
  <si>
    <t>ENST00000439171</t>
  </si>
  <si>
    <t>ENST00000461510</t>
  </si>
  <si>
    <t>ENST00000463909</t>
  </si>
  <si>
    <t>ENST00000464807</t>
  </si>
  <si>
    <t>ENST00000491432</t>
  </si>
  <si>
    <t>ENST00000492480</t>
  </si>
  <si>
    <t>ENST00000493460</t>
  </si>
  <si>
    <t>ENST00000495142</t>
  </si>
  <si>
    <t>ENST00000497716</t>
  </si>
  <si>
    <t>ENST00000498649</t>
  </si>
  <si>
    <t>Q8N680</t>
  </si>
  <si>
    <t>ENST00000325144</t>
  </si>
  <si>
    <t>Q8N684</t>
  </si>
  <si>
    <t>ENST00000340437</t>
  </si>
  <si>
    <t>ENST00000394888</t>
  </si>
  <si>
    <t>ENST00000413232</t>
  </si>
  <si>
    <t>ENST00000439958</t>
  </si>
  <si>
    <t>ENST00000448745</t>
  </si>
  <si>
    <t>ENST00000463244</t>
  </si>
  <si>
    <t>ENST00000474684</t>
  </si>
  <si>
    <t>ENST00000494016</t>
  </si>
  <si>
    <t>ENST00000535222</t>
  </si>
  <si>
    <t>ENST00000536145</t>
  </si>
  <si>
    <t>ENST00000536548</t>
  </si>
  <si>
    <t>ENST00000537162</t>
  </si>
  <si>
    <t>ENST00000537641</t>
  </si>
  <si>
    <t>ENST00000539952</t>
  </si>
  <si>
    <t>ENST00000541963</t>
  </si>
  <si>
    <t>ENST00000544585</t>
  </si>
  <si>
    <t>ENST00000544669</t>
  </si>
  <si>
    <t>Q8N697</t>
  </si>
  <si>
    <t>ENST00000266771</t>
  </si>
  <si>
    <t>ENST00000366292</t>
  </si>
  <si>
    <t>ENST00000376740</t>
  </si>
  <si>
    <t>ENST00000376744</t>
  </si>
  <si>
    <t>ENST00000535272</t>
  </si>
  <si>
    <t>ENST00000544112</t>
  </si>
  <si>
    <t>ENST00000545031</t>
  </si>
  <si>
    <t>Q8N6G5</t>
  </si>
  <si>
    <t>ENST00000374466</t>
  </si>
  <si>
    <t>Q8N6H7</t>
  </si>
  <si>
    <t>ENST00000426335</t>
  </si>
  <si>
    <t>ENST00000524586</t>
  </si>
  <si>
    <t>ENST00000524727</t>
  </si>
  <si>
    <t>ENST00000524782</t>
  </si>
  <si>
    <t>ENST00000525314</t>
  </si>
  <si>
    <t>ENST00000525398</t>
  </si>
  <si>
    <t>ENST00000525635</t>
  </si>
  <si>
    <t>ENST00000526185</t>
  </si>
  <si>
    <t>ENST00000526948</t>
  </si>
  <si>
    <t>ENST00000527097</t>
  </si>
  <si>
    <t>ENST00000527776</t>
  </si>
  <si>
    <t>ENST00000528072</t>
  </si>
  <si>
    <t>ENST00000528444</t>
  </si>
  <si>
    <t>ENST00000528708</t>
  </si>
  <si>
    <t>ENST00000529439</t>
  </si>
  <si>
    <t>ENST00000530794</t>
  </si>
  <si>
    <t>ENST00000531750</t>
  </si>
  <si>
    <t>ENST00000532438</t>
  </si>
  <si>
    <t>ENST00000533243</t>
  </si>
  <si>
    <t>ENST00000533939</t>
  </si>
  <si>
    <t>Q8N6M0</t>
  </si>
  <si>
    <t>ENST00000285420</t>
  </si>
  <si>
    <t>ENST00000522894</t>
  </si>
  <si>
    <t>ENST00000524027</t>
  </si>
  <si>
    <t>Q8N6N3</t>
  </si>
  <si>
    <t>ENST00000294661</t>
  </si>
  <si>
    <t>ENST00000471115</t>
  </si>
  <si>
    <t>Q8N6R0</t>
  </si>
  <si>
    <t>ENST00000361735</t>
  </si>
  <si>
    <t>ENST00000362019</t>
  </si>
  <si>
    <t>ENST00000367737</t>
  </si>
  <si>
    <t>ENST00000466643</t>
  </si>
  <si>
    <t>ENST00000476386</t>
  </si>
  <si>
    <t>ENST00000478330</t>
  </si>
  <si>
    <t>ENST00000485629</t>
  </si>
  <si>
    <t>Q8N6S5</t>
  </si>
  <si>
    <t>ENST00000326446</t>
  </si>
  <si>
    <t>ENST00000425034</t>
  </si>
  <si>
    <t>ENST00000455875</t>
  </si>
  <si>
    <t>ENST00000463690</t>
  </si>
  <si>
    <t>ENST00000495469</t>
  </si>
  <si>
    <t>Q8N6T3</t>
  </si>
  <si>
    <t>ENST00000353546</t>
  </si>
  <si>
    <t>ENST00000370283</t>
  </si>
  <si>
    <t>ENST00000395285</t>
  </si>
  <si>
    <t>ENST00000468975</t>
  </si>
  <si>
    <t>ENST00000518601</t>
  </si>
  <si>
    <t>ENST00000518618</t>
  </si>
  <si>
    <t>ENST00000518691</t>
  </si>
  <si>
    <t>ENST00000518794</t>
  </si>
  <si>
    <t>ENST00000519531</t>
  </si>
  <si>
    <t>ENST00000520022</t>
  </si>
  <si>
    <t>ENST00000520485</t>
  </si>
  <si>
    <t>ENST00000522403</t>
  </si>
  <si>
    <t>ENST00000523114</t>
  </si>
  <si>
    <t>ENST00000524192</t>
  </si>
  <si>
    <t>Q8N720</t>
  </si>
  <si>
    <t>ENST00000252713</t>
  </si>
  <si>
    <t>ENST00000320583</t>
  </si>
  <si>
    <t>ENST00000357864</t>
  </si>
  <si>
    <t>ENST00000394163</t>
  </si>
  <si>
    <t>ENST00000412636</t>
  </si>
  <si>
    <t>ENST00000416144</t>
  </si>
  <si>
    <t>ENST00000419215</t>
  </si>
  <si>
    <t>ENST00000422164</t>
  </si>
  <si>
    <t>ENST00000422647</t>
  </si>
  <si>
    <t>ENST00000423973</t>
  </si>
  <si>
    <t>ENST00000424881</t>
  </si>
  <si>
    <t>ENST00000425063</t>
  </si>
  <si>
    <t>ENST00000427931</t>
  </si>
  <si>
    <t>ENST00000440391</t>
  </si>
  <si>
    <t>ENST00000449244</t>
  </si>
  <si>
    <t>ENST00000454654</t>
  </si>
  <si>
    <t>ENST00000467680</t>
  </si>
  <si>
    <t>ENST00000489320</t>
  </si>
  <si>
    <t>ENST00000493277</t>
  </si>
  <si>
    <t>ENST00000494357</t>
  </si>
  <si>
    <t>Q8N7H5</t>
  </si>
  <si>
    <t>ENST00000221265</t>
  </si>
  <si>
    <t>ENST00000416728</t>
  </si>
  <si>
    <t>ENST00000595564</t>
  </si>
  <si>
    <t>ENST00000595797</t>
  </si>
  <si>
    <t>ENST00000597365</t>
  </si>
  <si>
    <t>ENST00000598127</t>
  </si>
  <si>
    <t>Q8N806</t>
  </si>
  <si>
    <t>ENST00000013070</t>
  </si>
  <si>
    <t>ENST00000554232</t>
  </si>
  <si>
    <t>Q8N8A2</t>
  </si>
  <si>
    <t>ENST00000282272</t>
  </si>
  <si>
    <t>ENST00000328737</t>
  </si>
  <si>
    <t>ENST00000409153</t>
  </si>
  <si>
    <t>ENST00000409919</t>
  </si>
  <si>
    <t>ENST00000424317</t>
  </si>
  <si>
    <t>ENST00000448801</t>
  </si>
  <si>
    <t>ENST00000463879</t>
  </si>
  <si>
    <t>ENST00000473081</t>
  </si>
  <si>
    <t>ENST00000477852</t>
  </si>
  <si>
    <t>ENST00000486006</t>
  </si>
  <si>
    <t>ENST00000493808</t>
  </si>
  <si>
    <t>Q8N8A6</t>
  </si>
  <si>
    <t>ENST00000329073</t>
  </si>
  <si>
    <t>ENST00000397333</t>
  </si>
  <si>
    <t>ENST00000462829</t>
  </si>
  <si>
    <t>ENST00000541489</t>
  </si>
  <si>
    <t>ENST00000545991</t>
  </si>
  <si>
    <t>ENST00000546058</t>
  </si>
  <si>
    <t>Q8N8D1</t>
  </si>
  <si>
    <t>ENST00000204549</t>
  </si>
  <si>
    <t>ENST00000559051</t>
  </si>
  <si>
    <t>ENST00000560313</t>
  </si>
  <si>
    <t>Q8N8J7</t>
  </si>
  <si>
    <t>ENST00000309733</t>
  </si>
  <si>
    <t>Q8N8N7</t>
  </si>
  <si>
    <t>ENST00000267568</t>
  </si>
  <si>
    <t>ENST00000555228</t>
  </si>
  <si>
    <t>ENST00000555661</t>
  </si>
  <si>
    <t>ENST00000555976</t>
  </si>
  <si>
    <t>ENST00000556219</t>
  </si>
  <si>
    <t>Q8N8Q8</t>
  </si>
  <si>
    <t>ENST00000295890</t>
  </si>
  <si>
    <t>ENST00000507544</t>
  </si>
  <si>
    <t>ENST00000510031</t>
  </si>
  <si>
    <t>Q8N8R5</t>
  </si>
  <si>
    <t>ENST00000319974</t>
  </si>
  <si>
    <t>Q8N8R7</t>
  </si>
  <si>
    <t>ENST00000282032</t>
  </si>
  <si>
    <t>ENST00000530909</t>
  </si>
  <si>
    <t>ENST00000532047</t>
  </si>
  <si>
    <t>ENST00000533457</t>
  </si>
  <si>
    <t>Q8N8U2</t>
  </si>
  <si>
    <t>ENST00000570137</t>
  </si>
  <si>
    <t>Q8N8V2</t>
  </si>
  <si>
    <t>ENST00000294671</t>
  </si>
  <si>
    <t>Q8N8Y5</t>
  </si>
  <si>
    <t>ENST00000330701</t>
  </si>
  <si>
    <t>ENST00000517702</t>
  </si>
  <si>
    <t>ENST00000520584</t>
  </si>
  <si>
    <t>ENST00000522233</t>
  </si>
  <si>
    <t>Q8N954</t>
  </si>
  <si>
    <t>ENST00000281932</t>
  </si>
  <si>
    <t>ENST00000409774</t>
  </si>
  <si>
    <t>ENST00000473067</t>
  </si>
  <si>
    <t>Q8N9F7</t>
  </si>
  <si>
    <t>ENST00000284116</t>
  </si>
  <si>
    <t>ENST00000581140</t>
  </si>
  <si>
    <t>ENST00000583543</t>
  </si>
  <si>
    <t>Q8N9M5</t>
  </si>
  <si>
    <t>ENST00000323206</t>
  </si>
  <si>
    <t>ENST00000396568</t>
  </si>
  <si>
    <t>Q8N9N7</t>
  </si>
  <si>
    <t>ENST00000323443</t>
  </si>
  <si>
    <t>ENST00000397130</t>
  </si>
  <si>
    <t>ENST00000562868</t>
  </si>
  <si>
    <t>ENST00000569830</t>
  </si>
  <si>
    <t>Q8N9N8</t>
  </si>
  <si>
    <t>ENST00000312234</t>
  </si>
  <si>
    <t>ENST00000526449</t>
  </si>
  <si>
    <t>ENST00000526451</t>
  </si>
  <si>
    <t>ENST00000527051</t>
  </si>
  <si>
    <t>ENST00000527249</t>
  </si>
  <si>
    <t>ENST00000529964</t>
  </si>
  <si>
    <t>ENST00000529973</t>
  </si>
  <si>
    <t>ENST00000532707</t>
  </si>
  <si>
    <t>ENST00000533544</t>
  </si>
  <si>
    <t>Q8N9Q2</t>
  </si>
  <si>
    <t>ENST00000495198</t>
  </si>
  <si>
    <t>ENST00000506252</t>
  </si>
  <si>
    <t>ENST00000510616</t>
  </si>
  <si>
    <t>ENST00000513458</t>
  </si>
  <si>
    <t>Q8N9R8</t>
  </si>
  <si>
    <t>ENST00000336505</t>
  </si>
  <si>
    <t>ENST00000467917</t>
  </si>
  <si>
    <t>ENST00000468569</t>
  </si>
  <si>
    <t>ENST00000487795</t>
  </si>
  <si>
    <t>Q8N9T8</t>
  </si>
  <si>
    <t>ENST00000312962</t>
  </si>
  <si>
    <t>ENST00000432197</t>
  </si>
  <si>
    <t>ENST00000478863</t>
  </si>
  <si>
    <t>ENST00000536689</t>
  </si>
  <si>
    <t>ENST00000536714</t>
  </si>
  <si>
    <t>ENST00000537363</t>
  </si>
  <si>
    <t>ENST00000537433</t>
  </si>
  <si>
    <t>ENST00000539027</t>
  </si>
  <si>
    <t>ENST00000543842</t>
  </si>
  <si>
    <t>ENST00000544397</t>
  </si>
  <si>
    <t>ENST00000546063</t>
  </si>
  <si>
    <t>Q8NAF0</t>
  </si>
  <si>
    <t>ENST00000325421</t>
  </si>
  <si>
    <t>Q8NAT1</t>
  </si>
  <si>
    <t>ENST00000344697</t>
  </si>
  <si>
    <t>ENST00000441964</t>
  </si>
  <si>
    <t>Q8NAV1</t>
  </si>
  <si>
    <t>ENST00000257181</t>
  </si>
  <si>
    <t>ENST00000487160</t>
  </si>
  <si>
    <t>Q8NB14</t>
  </si>
  <si>
    <t>ENST00000307017</t>
  </si>
  <si>
    <t>ENST00000510377</t>
  </si>
  <si>
    <t>ENST00000511739</t>
  </si>
  <si>
    <t>Q8NB16</t>
  </si>
  <si>
    <t>ENST00000306247</t>
  </si>
  <si>
    <t>ENST00000308807</t>
  </si>
  <si>
    <t>ENST00000570846</t>
  </si>
  <si>
    <t>ENST00000571303</t>
  </si>
  <si>
    <t>ENST00000573267</t>
  </si>
  <si>
    <t>ENST00000575695</t>
  </si>
  <si>
    <t>Q8NB37</t>
  </si>
  <si>
    <t>ENST00000319863</t>
  </si>
  <si>
    <t>ENST00000465313</t>
  </si>
  <si>
    <t>ENST00000524550</t>
  </si>
  <si>
    <t>ENST00000526325</t>
  </si>
  <si>
    <t>ENST00000528602</t>
  </si>
  <si>
    <t>ENST00000529362</t>
  </si>
  <si>
    <t>ENST00000530209</t>
  </si>
  <si>
    <t>ENST00000532320</t>
  </si>
  <si>
    <t>ENST00000533960</t>
  </si>
  <si>
    <t>Q8NB46</t>
  </si>
  <si>
    <t>ENST00000267116</t>
  </si>
  <si>
    <t>ENST00000548081</t>
  </si>
  <si>
    <t>Q8NB50</t>
  </si>
  <si>
    <t>ENST00000502412</t>
  </si>
  <si>
    <t>ENST00000504225</t>
  </si>
  <si>
    <t>ENST00000506377</t>
  </si>
  <si>
    <t>ENST00000507843</t>
  </si>
  <si>
    <t>ENST00000509066</t>
  </si>
  <si>
    <t>ENST00000512132</t>
  </si>
  <si>
    <t>Q8NB90</t>
  </si>
  <si>
    <t>ENST00000274008</t>
  </si>
  <si>
    <t>ENST00000422835</t>
  </si>
  <si>
    <t>Q8NBA8</t>
  </si>
  <si>
    <t>ENST00000304058</t>
  </si>
  <si>
    <t>ENST00000510708</t>
  </si>
  <si>
    <t>Q8NBF2</t>
  </si>
  <si>
    <t>ENST00000369301</t>
  </si>
  <si>
    <t>ENST00000468890</t>
  </si>
  <si>
    <t>Q8NBF6</t>
  </si>
  <si>
    <t>ENST00000318709</t>
  </si>
  <si>
    <t>ENST00000409301</t>
  </si>
  <si>
    <t>ENST00000459629</t>
  </si>
  <si>
    <t>ENST00000467779</t>
  </si>
  <si>
    <t>ENST00000470500</t>
  </si>
  <si>
    <t>Q8NBI5</t>
  </si>
  <si>
    <t>ENST00000395123</t>
  </si>
  <si>
    <t>ENST00000395124</t>
  </si>
  <si>
    <t>ENST00000524863</t>
  </si>
  <si>
    <t>ENST00000528098</t>
  </si>
  <si>
    <t>ENST00000529113</t>
  </si>
  <si>
    <t>ENST00000529554</t>
  </si>
  <si>
    <t>ENST00000530005</t>
  </si>
  <si>
    <t>ENST00000533051</t>
  </si>
  <si>
    <t>Q8NBJ5</t>
  </si>
  <si>
    <t>ENST00000252599</t>
  </si>
  <si>
    <t>ENST00000593832</t>
  </si>
  <si>
    <t>ENST00000597075</t>
  </si>
  <si>
    <t>ENST00000601354</t>
  </si>
  <si>
    <t>Q8NBJ7</t>
  </si>
  <si>
    <t>ENST00000275607</t>
  </si>
  <si>
    <t>ENST00000342190</t>
  </si>
  <si>
    <t>ENST00000395435</t>
  </si>
  <si>
    <t>ENST00000395436</t>
  </si>
  <si>
    <t>ENST00000413756</t>
  </si>
  <si>
    <t>ENST00000413952</t>
  </si>
  <si>
    <t>ENST00000423763</t>
  </si>
  <si>
    <t>ENST00000434526</t>
  </si>
  <si>
    <t>ENST00000436782</t>
  </si>
  <si>
    <t>ENST00000437307</t>
  </si>
  <si>
    <t>ENST00000438133</t>
  </si>
  <si>
    <t>ENST00000447501</t>
  </si>
  <si>
    <t>ENST00000451338</t>
  </si>
  <si>
    <t>ENST00000452216</t>
  </si>
  <si>
    <t>ENST00000461912</t>
  </si>
  <si>
    <t>ENST00000483327</t>
  </si>
  <si>
    <t>ENST00000498777</t>
  </si>
  <si>
    <t>ENST00000529457</t>
  </si>
  <si>
    <t>Q8NBL1</t>
  </si>
  <si>
    <t>ENST00000295588</t>
  </si>
  <si>
    <t>ENST00000390401</t>
  </si>
  <si>
    <t>ENST00000473648</t>
  </si>
  <si>
    <t>ENST00000481043</t>
  </si>
  <si>
    <t>ENST00000497447</t>
  </si>
  <si>
    <t>Q8NBM4</t>
  </si>
  <si>
    <t>ENST00000376440</t>
  </si>
  <si>
    <t>ENST00000403766</t>
  </si>
  <si>
    <t>ENST00000468067</t>
  </si>
  <si>
    <t>ENST00000473091</t>
  </si>
  <si>
    <t>ENST00000473194</t>
  </si>
  <si>
    <t>ENST00000474510</t>
  </si>
  <si>
    <t>ENST00000480738</t>
  </si>
  <si>
    <t>Q8NBM8</t>
  </si>
  <si>
    <t>ENST00000274569</t>
  </si>
  <si>
    <t>ENST00000503240</t>
  </si>
  <si>
    <t>ENST00000507621</t>
  </si>
  <si>
    <t>ENST00000510990</t>
  </si>
  <si>
    <t>ENST00000514349</t>
  </si>
  <si>
    <t>Q8NBN3</t>
  </si>
  <si>
    <t>ENST00000307216</t>
  </si>
  <si>
    <t>ENST00000389834</t>
  </si>
  <si>
    <t>ENST00000448392</t>
  </si>
  <si>
    <t>ENST00000562946</t>
  </si>
  <si>
    <t>ENST00000564329</t>
  </si>
  <si>
    <t>ENST00000566014</t>
  </si>
  <si>
    <t>ENST00000568067</t>
  </si>
  <si>
    <t>ENST00000569075</t>
  </si>
  <si>
    <t>Q8NBN7</t>
  </si>
  <si>
    <t>ENST00000291892</t>
  </si>
  <si>
    <t>ENST00000415061</t>
  </si>
  <si>
    <t>ENST00000589605</t>
  </si>
  <si>
    <t>Q8NBQ5</t>
  </si>
  <si>
    <t>ENST00000358290</t>
  </si>
  <si>
    <t>ENST00000512344</t>
  </si>
  <si>
    <t>ENST00000513854</t>
  </si>
  <si>
    <t>Q8NBS9</t>
  </si>
  <si>
    <t>ENST00000379757</t>
  </si>
  <si>
    <t>ENST00000460138</t>
  </si>
  <si>
    <t>ENST00000469459</t>
  </si>
  <si>
    <t>ENST00000475802</t>
  </si>
  <si>
    <t>Q8NBU5</t>
  </si>
  <si>
    <t>ENST00000308448</t>
  </si>
  <si>
    <t>ENST00000328142</t>
  </si>
  <si>
    <t>Q8NBX0</t>
  </si>
  <si>
    <t>ENST00000366510</t>
  </si>
  <si>
    <t>Q8NBZ0</t>
  </si>
  <si>
    <t>ENST00000304516</t>
  </si>
  <si>
    <t>ENST00000380503</t>
  </si>
  <si>
    <t>ENST00000562291</t>
  </si>
  <si>
    <t>ENST00000562441</t>
  </si>
  <si>
    <t>ENST00000563040</t>
  </si>
  <si>
    <t>ENST00000563197</t>
  </si>
  <si>
    <t>ENST00000567065</t>
  </si>
  <si>
    <t>ENST00000567254</t>
  </si>
  <si>
    <t>ENST00000567705</t>
  </si>
  <si>
    <t>ENST00000568043</t>
  </si>
  <si>
    <t>ENST00000569957</t>
  </si>
  <si>
    <t>Q8NBZ7</t>
  </si>
  <si>
    <t>ENST00000283148</t>
  </si>
  <si>
    <t>ENST00000409032</t>
  </si>
  <si>
    <t>ENST00000409501</t>
  </si>
  <si>
    <t>ENST00000416298</t>
  </si>
  <si>
    <t>ENST00000444193</t>
  </si>
  <si>
    <t>ENST00000470053</t>
  </si>
  <si>
    <t>ENST00000473338</t>
  </si>
  <si>
    <t>ENST00000479621</t>
  </si>
  <si>
    <t>ENST00000483426</t>
  </si>
  <si>
    <t>ENST00000497604</t>
  </si>
  <si>
    <t>Q8NC42</t>
  </si>
  <si>
    <t>ENST00000295317</t>
  </si>
  <si>
    <t>ENST00000424632</t>
  </si>
  <si>
    <t>ENST00000463726</t>
  </si>
  <si>
    <t>ENST00000478404</t>
  </si>
  <si>
    <t>ENST00000485752</t>
  </si>
  <si>
    <t>ENST00000490553</t>
  </si>
  <si>
    <t>Q8NC44</t>
  </si>
  <si>
    <t>ENST00000273048</t>
  </si>
  <si>
    <t>ENST00000420189</t>
  </si>
  <si>
    <t>ENST00000430297</t>
  </si>
  <si>
    <t>ENST00000430747</t>
  </si>
  <si>
    <t>ENST00000452022</t>
  </si>
  <si>
    <t>ENST00000458520</t>
  </si>
  <si>
    <t>ENST00000465672</t>
  </si>
  <si>
    <t>ENST00000481925</t>
  </si>
  <si>
    <t>Q8NC56</t>
  </si>
  <si>
    <t>ENST00000293760</t>
  </si>
  <si>
    <t>ENST00000421671</t>
  </si>
  <si>
    <t>ENST00000504692</t>
  </si>
  <si>
    <t>ENST00000508327</t>
  </si>
  <si>
    <t>ENST00000510598</t>
  </si>
  <si>
    <t>ENST00000511171</t>
  </si>
  <si>
    <t>ENST00000513832</t>
  </si>
  <si>
    <t>ENST00000514636</t>
  </si>
  <si>
    <t>Q8NC60</t>
  </si>
  <si>
    <t>ENST00000264230</t>
  </si>
  <si>
    <t>Q8NCC3</t>
  </si>
  <si>
    <t>ENST00000219345</t>
  </si>
  <si>
    <t>ENST00000562449</t>
  </si>
  <si>
    <t>ENST00000562966</t>
  </si>
  <si>
    <t>ENST00000564827</t>
  </si>
  <si>
    <t>ENST00000565460</t>
  </si>
  <si>
    <t>ENST00000566188</t>
  </si>
  <si>
    <t>ENST00000568599</t>
  </si>
  <si>
    <t>Q8NCF5</t>
  </si>
  <si>
    <t>ENST00000320805</t>
  </si>
  <si>
    <t>ENST00000565752</t>
  </si>
  <si>
    <t>ENST00000565919</t>
  </si>
  <si>
    <t>ENST00000568148</t>
  </si>
  <si>
    <t>ENST00000568998</t>
  </si>
  <si>
    <t>Q8NCJ5</t>
  </si>
  <si>
    <t>ENST00000301463</t>
  </si>
  <si>
    <t>ENST00000547257</t>
  </si>
  <si>
    <t>ENST00000550252</t>
  </si>
  <si>
    <t>ENST00000550564</t>
  </si>
  <si>
    <t>Q8NCN4</t>
  </si>
  <si>
    <t>ENST00000299563</t>
  </si>
  <si>
    <t>Q8NCN5</t>
  </si>
  <si>
    <t>ENST00000288050</t>
  </si>
  <si>
    <t>ENST00000561920</t>
  </si>
  <si>
    <t>ENST00000564563</t>
  </si>
  <si>
    <t>ENST00000565186</t>
  </si>
  <si>
    <t>ENST00000567896</t>
  </si>
  <si>
    <t>Q8NCW5</t>
  </si>
  <si>
    <t>ENST00000368233</t>
  </si>
  <si>
    <t>ENST00000368235</t>
  </si>
  <si>
    <t>ENST00000467374</t>
  </si>
  <si>
    <t>ENST00000488840</t>
  </si>
  <si>
    <t>Q8ND04</t>
  </si>
  <si>
    <t>ENST00000300917</t>
  </si>
  <si>
    <t>ENST00000578922</t>
  </si>
  <si>
    <t>Q8ND24</t>
  </si>
  <si>
    <t>ENST00000300650</t>
  </si>
  <si>
    <t>ENST00000529869</t>
  </si>
  <si>
    <t>ENST00000530849</t>
  </si>
  <si>
    <t>ENST00000531452</t>
  </si>
  <si>
    <t>ENST00000534428</t>
  </si>
  <si>
    <t>ENST00000534709</t>
  </si>
  <si>
    <t>Q8ND30</t>
  </si>
  <si>
    <t>ENST00000299492</t>
  </si>
  <si>
    <t>ENST00000528929</t>
  </si>
  <si>
    <t>ENST00000529664</t>
  </si>
  <si>
    <t>ENST00000530189</t>
  </si>
  <si>
    <t>ENST00000532112</t>
  </si>
  <si>
    <t>ENST00000532172</t>
  </si>
  <si>
    <t>ENST00000532381</t>
  </si>
  <si>
    <t>ENST00000532416</t>
  </si>
  <si>
    <t>Q8ND71</t>
  </si>
  <si>
    <t>ENST00000307271</t>
  </si>
  <si>
    <t>Q8ND82</t>
  </si>
  <si>
    <t>ENST00000370978</t>
  </si>
  <si>
    <t>Q8NDA8</t>
  </si>
  <si>
    <t>ENST00000326134</t>
  </si>
  <si>
    <t>ENST00000423230</t>
  </si>
  <si>
    <t>ENST00000525287</t>
  </si>
  <si>
    <t>ENST00000527071</t>
  </si>
  <si>
    <t>ENST00000527552</t>
  </si>
  <si>
    <t>ENST00000528664</t>
  </si>
  <si>
    <t>ENST00000528919</t>
  </si>
  <si>
    <t>ENST00000532255</t>
  </si>
  <si>
    <t>ENST00000534508</t>
  </si>
  <si>
    <t>ENST00000544576</t>
  </si>
  <si>
    <t>Q8NDC0</t>
  </si>
  <si>
    <t>ENST00000395468</t>
  </si>
  <si>
    <t>ENST00000553976</t>
  </si>
  <si>
    <t>ENST00000554364</t>
  </si>
  <si>
    <t>ENST00000556515</t>
  </si>
  <si>
    <t>Q8NDX1</t>
  </si>
  <si>
    <t>ENST00000245796</t>
  </si>
  <si>
    <t>ENST00000418251</t>
  </si>
  <si>
    <t>ENST00000441564</t>
  </si>
  <si>
    <t>ENST00000460725</t>
  </si>
  <si>
    <t>ENST00000464559</t>
  </si>
  <si>
    <t>ENST00000465592</t>
  </si>
  <si>
    <t>ENST00000465917</t>
  </si>
  <si>
    <t>ENST00000485525</t>
  </si>
  <si>
    <t>ENST00000487574</t>
  </si>
  <si>
    <t>ENST00000493329</t>
  </si>
  <si>
    <t>Q8NDX6</t>
  </si>
  <si>
    <t>ENST00000416904</t>
  </si>
  <si>
    <t>ENST00000549739</t>
  </si>
  <si>
    <t>ENST00000551514</t>
  </si>
  <si>
    <t>ENST00000552593</t>
  </si>
  <si>
    <t>Q8NDZ4</t>
  </si>
  <si>
    <t>ENST00000315691</t>
  </si>
  <si>
    <t>ENST00000483808</t>
  </si>
  <si>
    <t>Q8NE71</t>
  </si>
  <si>
    <t>ENST00000326195</t>
  </si>
  <si>
    <t>ENST00000376545</t>
  </si>
  <si>
    <t>ENST00000441867</t>
  </si>
  <si>
    <t>ENST00000468958</t>
  </si>
  <si>
    <t>ENST00000475993</t>
  </si>
  <si>
    <t>ENST00000479542</t>
  </si>
  <si>
    <t>ENST00000542772</t>
  </si>
  <si>
    <t>Q8NEB9</t>
  </si>
  <si>
    <t>ENST00000262039</t>
  </si>
  <si>
    <t>ENST00000398870</t>
  </si>
  <si>
    <t>ENST00000586545</t>
  </si>
  <si>
    <t>ENST00000587261</t>
  </si>
  <si>
    <t>ENST00000587328</t>
  </si>
  <si>
    <t>ENST00000588156</t>
  </si>
  <si>
    <t>ENST00000588631</t>
  </si>
  <si>
    <t>ENST00000589056</t>
  </si>
  <si>
    <t>ENST00000589550</t>
  </si>
  <si>
    <t>ENST00000591011</t>
  </si>
  <si>
    <t>ENST00000593098</t>
  </si>
  <si>
    <t>ENST00000597477</t>
  </si>
  <si>
    <t>Q8NEC7</t>
  </si>
  <si>
    <t>ENST00000484843</t>
  </si>
  <si>
    <t>ENST00000503409</t>
  </si>
  <si>
    <t>ENST00000512828</t>
  </si>
  <si>
    <t>ENST00000515279</t>
  </si>
  <si>
    <t>Q8NEF9</t>
  </si>
  <si>
    <t>ENST00000339397</t>
  </si>
  <si>
    <t>ENST00000504881</t>
  </si>
  <si>
    <t>Q8NEL9</t>
  </si>
  <si>
    <t>ENST00000323669</t>
  </si>
  <si>
    <t>ENST00000357758</t>
  </si>
  <si>
    <t>ENST00000395606</t>
  </si>
  <si>
    <t>ENST00000553406</t>
  </si>
  <si>
    <t>ENST00000555400</t>
  </si>
  <si>
    <t>ENST00000555621</t>
  </si>
  <si>
    <t>ENST00000556027</t>
  </si>
  <si>
    <t>ENST00000557445</t>
  </si>
  <si>
    <t>Q8NEM2</t>
  </si>
  <si>
    <t>ENST00000303383</t>
  </si>
  <si>
    <t>Q8NEU8</t>
  </si>
  <si>
    <t>ENST00000258530</t>
  </si>
  <si>
    <t>ENST00000539978</t>
  </si>
  <si>
    <t>ENST00000546731</t>
  </si>
  <si>
    <t>ENST00000546768</t>
  </si>
  <si>
    <t>ENST00000547790</t>
  </si>
  <si>
    <t>ENST00000548425</t>
  </si>
  <si>
    <t>ENST00000549056</t>
  </si>
  <si>
    <t>ENST00000549573</t>
  </si>
  <si>
    <t>ENST00000549974</t>
  </si>
  <si>
    <t>ENST00000550648</t>
  </si>
  <si>
    <t>ENST00000551662</t>
  </si>
  <si>
    <t>ENST00000552945</t>
  </si>
  <si>
    <t>ENST00000553097</t>
  </si>
  <si>
    <t>Q8NEW0</t>
  </si>
  <si>
    <t>ENST00000357650</t>
  </si>
  <si>
    <t>ENST00000370111</t>
  </si>
  <si>
    <t>ENST00000370112</t>
  </si>
  <si>
    <t>Q8NEZ2</t>
  </si>
  <si>
    <t>ENST00000324849</t>
  </si>
  <si>
    <t>ENST00000425020</t>
  </si>
  <si>
    <t>ENST00000519381</t>
  </si>
  <si>
    <t>ENST00000520140</t>
  </si>
  <si>
    <t>ENST00000521162</t>
  </si>
  <si>
    <t>ENST00000521976</t>
  </si>
  <si>
    <t>Q8NEZ4</t>
  </si>
  <si>
    <t>ENST00000355193</t>
  </si>
  <si>
    <t>ENST00000360104</t>
  </si>
  <si>
    <t>ENST00000424877</t>
  </si>
  <si>
    <t>ENST00000452749</t>
  </si>
  <si>
    <t>ENST00000473186</t>
  </si>
  <si>
    <t>ENST00000485241</t>
  </si>
  <si>
    <t>ENST00000489110</t>
  </si>
  <si>
    <t>ENST00000490130</t>
  </si>
  <si>
    <t>ENST00000558084</t>
  </si>
  <si>
    <t>Q8NEZ5</t>
  </si>
  <si>
    <t>ENST00000308275</t>
  </si>
  <si>
    <t>ENST00000453211</t>
  </si>
  <si>
    <t>ENST00000565131</t>
  </si>
  <si>
    <t>ENST00000569022</t>
  </si>
  <si>
    <t>ENST00000569749</t>
  </si>
  <si>
    <t>Q8NF37</t>
  </si>
  <si>
    <t>ENST00000283415</t>
  </si>
  <si>
    <t>ENST00000503252</t>
  </si>
  <si>
    <t>ENST00000507282</t>
  </si>
  <si>
    <t>ENST00000513757</t>
  </si>
  <si>
    <t>Q8NF99</t>
  </si>
  <si>
    <t>ENST00000261333</t>
  </si>
  <si>
    <t>ENST00000330501</t>
  </si>
  <si>
    <t>ENST00000355632</t>
  </si>
  <si>
    <t>ENST00000585800</t>
  </si>
  <si>
    <t>ENST00000589420</t>
  </si>
  <si>
    <t>ENST00000589630</t>
  </si>
  <si>
    <t>ENST00000591206</t>
  </si>
  <si>
    <t>ENST00000591505</t>
  </si>
  <si>
    <t>ENST00000592264</t>
  </si>
  <si>
    <t>Q8NFC6</t>
  </si>
  <si>
    <t>ENST00000040738</t>
  </si>
  <si>
    <t>ENST00000482713</t>
  </si>
  <si>
    <t>ENST00000505343</t>
  </si>
  <si>
    <t>ENST00000507943</t>
  </si>
  <si>
    <t>ENST00000509897</t>
  </si>
  <si>
    <t>ENST00000511119</t>
  </si>
  <si>
    <t>Q8NFD5</t>
  </si>
  <si>
    <t>ENST00000319584</t>
  </si>
  <si>
    <t>ENST00000346085</t>
  </si>
  <si>
    <t>ENST00000350026</t>
  </si>
  <si>
    <t>ENST00000400790</t>
  </si>
  <si>
    <t>ENST00000452544</t>
  </si>
  <si>
    <t>ENST00000478761</t>
  </si>
  <si>
    <t>ENST00000493658</t>
  </si>
  <si>
    <t>ENST00000494260</t>
  </si>
  <si>
    <t>Q8NFG4</t>
  </si>
  <si>
    <t>ENST00000285071</t>
  </si>
  <si>
    <t>ENST00000389168</t>
  </si>
  <si>
    <t>ENST00000389169</t>
  </si>
  <si>
    <t>ENST00000389171</t>
  </si>
  <si>
    <t>ENST00000466317</t>
  </si>
  <si>
    <t>ENST00000473853</t>
  </si>
  <si>
    <t>ENST00000480316</t>
  </si>
  <si>
    <t>ENST00000577591</t>
  </si>
  <si>
    <t>Q8NFH3</t>
  </si>
  <si>
    <t>ENST00000340413</t>
  </si>
  <si>
    <t>ENST00000367402</t>
  </si>
  <si>
    <t>ENST00000403890</t>
  </si>
  <si>
    <t>ENST00000543637</t>
  </si>
  <si>
    <t>Q8NFH4</t>
  </si>
  <si>
    <t>ENST00000251074</t>
  </si>
  <si>
    <t>ENST00000543021</t>
  </si>
  <si>
    <t>ENST00000546385</t>
  </si>
  <si>
    <t>ENST00000547269</t>
  </si>
  <si>
    <t>ENST00000551200</t>
  </si>
  <si>
    <t>ENST00000552283</t>
  </si>
  <si>
    <t>Q8NFI3</t>
  </si>
  <si>
    <t>ENST00000300682</t>
  </si>
  <si>
    <t>ENST00000311595</t>
  </si>
  <si>
    <t>ENST00000577783</t>
  </si>
  <si>
    <t>ENST00000578419</t>
  </si>
  <si>
    <t>ENST00000579016</t>
  </si>
  <si>
    <t>ENST00000579809</t>
  </si>
  <si>
    <t>ENST00000583041</t>
  </si>
  <si>
    <t>ENST00000583646</t>
  </si>
  <si>
    <t>ENST00000584568</t>
  </si>
  <si>
    <t>ENST00000585160</t>
  </si>
  <si>
    <t>Q8NFQ8</t>
  </si>
  <si>
    <t>ENST00000367612</t>
  </si>
  <si>
    <t>ENST00000474318</t>
  </si>
  <si>
    <t>ENST00000482587</t>
  </si>
  <si>
    <t>ENST00000483123</t>
  </si>
  <si>
    <t>ENST00000495650</t>
  </si>
  <si>
    <t>ENST00000609928</t>
  </si>
  <si>
    <t>Q8NFV4</t>
  </si>
  <si>
    <t>ENST00000222800</t>
  </si>
  <si>
    <t>ENST00000458339</t>
  </si>
  <si>
    <t>ENST00000462381</t>
  </si>
  <si>
    <t>ENST00000468998</t>
  </si>
  <si>
    <t>ENST00000480445</t>
  </si>
  <si>
    <t>ENST00000486114</t>
  </si>
  <si>
    <t>ENST00000497897</t>
  </si>
  <si>
    <t>Q8NFW8</t>
  </si>
  <si>
    <t>ENST00000229329</t>
  </si>
  <si>
    <t>ENST00000534981</t>
  </si>
  <si>
    <t>ENST00000537658</t>
  </si>
  <si>
    <t>ENST00000538498</t>
  </si>
  <si>
    <t>Q8NFY9</t>
  </si>
  <si>
    <t>ENST00000417314</t>
  </si>
  <si>
    <t>ENST00000460576</t>
  </si>
  <si>
    <t>ENST00000460784</t>
  </si>
  <si>
    <t>ENST00000484414</t>
  </si>
  <si>
    <t>Q8NFZ5</t>
  </si>
  <si>
    <t>ENST00000315423</t>
  </si>
  <si>
    <t>ENST00000502256</t>
  </si>
  <si>
    <t>ENST00000503235</t>
  </si>
  <si>
    <t>ENST00000505186</t>
  </si>
  <si>
    <t>ENST00000510267</t>
  </si>
  <si>
    <t>ENST00000511352</t>
  </si>
  <si>
    <t>Q8NG08</t>
  </si>
  <si>
    <t>ENST00000247815</t>
  </si>
  <si>
    <t>ENST00000440906</t>
  </si>
  <si>
    <t>ENST00000536862</t>
  </si>
  <si>
    <t>ENST00000542394</t>
  </si>
  <si>
    <t>ENST00000545134</t>
  </si>
  <si>
    <t>ENST00000545455</t>
  </si>
  <si>
    <t>Q8NHG7</t>
  </si>
  <si>
    <t>ENST00000354193</t>
  </si>
  <si>
    <t>ENST00000525670</t>
  </si>
  <si>
    <t>ENST00000530199</t>
  </si>
  <si>
    <t>Q8NHG8</t>
  </si>
  <si>
    <t>ENST00000323037</t>
  </si>
  <si>
    <t>Q8NHH9</t>
  </si>
  <si>
    <t>ENST00000378954</t>
  </si>
  <si>
    <t>ENST00000406122</t>
  </si>
  <si>
    <t>ENST00000416222</t>
  </si>
  <si>
    <t>ENST00000419554</t>
  </si>
  <si>
    <t>ENST00000449130</t>
  </si>
  <si>
    <t>ENST00000451483</t>
  </si>
  <si>
    <t>ENST00000472097</t>
  </si>
  <si>
    <t>ENST00000474535</t>
  </si>
  <si>
    <t>ENST00000477642</t>
  </si>
  <si>
    <t>ENST00000489896</t>
  </si>
  <si>
    <t>Q8NHL6</t>
  </si>
  <si>
    <t>ENST00000396331</t>
  </si>
  <si>
    <t>ENST00000427581</t>
  </si>
  <si>
    <t>ENST00000462628</t>
  </si>
  <si>
    <t>ENST00000473412</t>
  </si>
  <si>
    <t>ENST00000480257</t>
  </si>
  <si>
    <t>ENST00000480375</t>
  </si>
  <si>
    <t>ENST00000487425</t>
  </si>
  <si>
    <t>Q8NHP6</t>
  </si>
  <si>
    <t>ENST00000380492</t>
  </si>
  <si>
    <t>ENST00000461777</t>
  </si>
  <si>
    <t>ENST00000497603</t>
  </si>
  <si>
    <t>Q8NHP8</t>
  </si>
  <si>
    <t>ENST00000280800</t>
  </si>
  <si>
    <t>Q8NHQ9</t>
  </si>
  <si>
    <t>ENST00000238146</t>
  </si>
  <si>
    <t>ENST00000354291</t>
  </si>
  <si>
    <t>ENST00000421670</t>
  </si>
  <si>
    <t>ENST00000536079</t>
  </si>
  <si>
    <t>ENST00000539934</t>
  </si>
  <si>
    <t>ENST00000540763</t>
  </si>
  <si>
    <t>ENST00000541259</t>
  </si>
  <si>
    <t>ENST00000542286</t>
  </si>
  <si>
    <t>ENST00000543016</t>
  </si>
  <si>
    <t>ENST00000544429</t>
  </si>
  <si>
    <t>ENST00000544738</t>
  </si>
  <si>
    <t>ENST00000545042</t>
  </si>
  <si>
    <t>Q8NHS3</t>
  </si>
  <si>
    <t>ENST00000504126</t>
  </si>
  <si>
    <t>ENST00000505284</t>
  </si>
  <si>
    <t>ENST00000508441</t>
  </si>
  <si>
    <t>ENST00000513559</t>
  </si>
  <si>
    <t>ENST00000515130</t>
  </si>
  <si>
    <t>Q8NHU6</t>
  </si>
  <si>
    <t>ENST00000355295</t>
  </si>
  <si>
    <t>ENST00000492428</t>
  </si>
  <si>
    <t>Q8NHV1</t>
  </si>
  <si>
    <t>ENST00000313543</t>
  </si>
  <si>
    <t>Q8NHV4</t>
  </si>
  <si>
    <t>ENST00000266742</t>
  </si>
  <si>
    <t>ENST00000411739</t>
  </si>
  <si>
    <t>ENST00000429527</t>
  </si>
  <si>
    <t>ENST00000457368</t>
  </si>
  <si>
    <t>ENST00000554226</t>
  </si>
  <si>
    <t>ENST00000557400</t>
  </si>
  <si>
    <t>ENST00000557454</t>
  </si>
  <si>
    <t>ENST00000557644</t>
  </si>
  <si>
    <t>Q8NHY2</t>
  </si>
  <si>
    <t>ENST00000308769</t>
  </si>
  <si>
    <t>ENST00000367666</t>
  </si>
  <si>
    <t>ENST00000367667</t>
  </si>
  <si>
    <t>ENST00000367669</t>
  </si>
  <si>
    <t>ENST00000459744</t>
  </si>
  <si>
    <t>ENST00000461830</t>
  </si>
  <si>
    <t>ENST00000482305</t>
  </si>
  <si>
    <t>Q8NHZ8</t>
  </si>
  <si>
    <t>ENST00000374206</t>
  </si>
  <si>
    <t>ENST00000490408</t>
  </si>
  <si>
    <t>Q8NI27</t>
  </si>
  <si>
    <t>ENST00000245838</t>
  </si>
  <si>
    <t>ENST00000438358</t>
  </si>
  <si>
    <t>ENST00000441692</t>
  </si>
  <si>
    <t>ENST00000448128</t>
  </si>
  <si>
    <t>ENST00000459945</t>
  </si>
  <si>
    <t>ENST00000464161</t>
  </si>
  <si>
    <t>ENST00000464604</t>
  </si>
  <si>
    <t>ENST00000464982</t>
  </si>
  <si>
    <t>ENST00000464992</t>
  </si>
  <si>
    <t>ENST00000496830</t>
  </si>
  <si>
    <t>ENST00000497887</t>
  </si>
  <si>
    <t>Q8NI36</t>
  </si>
  <si>
    <t>ENST00000504122</t>
  </si>
  <si>
    <t>ENST00000505303</t>
  </si>
  <si>
    <t>ENST00000506538</t>
  </si>
  <si>
    <t>ENST00000513710</t>
  </si>
  <si>
    <t>ENST00000515784</t>
  </si>
  <si>
    <t>Q8NI37</t>
  </si>
  <si>
    <t>ENST00000354300</t>
  </si>
  <si>
    <t>ENST00000548721</t>
  </si>
  <si>
    <t>Q8TA86</t>
  </si>
  <si>
    <t>ENST00000297157</t>
  </si>
  <si>
    <t>ENST00000448915</t>
  </si>
  <si>
    <t>ENST00000474370</t>
  </si>
  <si>
    <t>ENST00000492391</t>
  </si>
  <si>
    <t>Q8TAD4</t>
  </si>
  <si>
    <t>ENST00000380860</t>
  </si>
  <si>
    <t>ENST00000396591</t>
  </si>
  <si>
    <t>ENST00000502979</t>
  </si>
  <si>
    <t>ENST00000504103</t>
  </si>
  <si>
    <t>ENST00000507354</t>
  </si>
  <si>
    <t>ENST00000511158</t>
  </si>
  <si>
    <t>ENST00000512367</t>
  </si>
  <si>
    <t>ENST00000513937</t>
  </si>
  <si>
    <t>Q8TAD7</t>
  </si>
  <si>
    <t>ENST00000443585</t>
  </si>
  <si>
    <t>ENST00000546866</t>
  </si>
  <si>
    <t>ENST00000548458</t>
  </si>
  <si>
    <t>Q8TAD8</t>
  </si>
  <si>
    <t>ENST00000296215</t>
  </si>
  <si>
    <t>ENST00000468040</t>
  </si>
  <si>
    <t>ENST00000493916</t>
  </si>
  <si>
    <t>Q8TAE8</t>
  </si>
  <si>
    <t>ENST00000316939</t>
  </si>
  <si>
    <t>Q8TAF3</t>
  </si>
  <si>
    <t>ENST00000302313</t>
  </si>
  <si>
    <t>ENST00000420940</t>
  </si>
  <si>
    <t>ENST00000423296</t>
  </si>
  <si>
    <t>ENST00000433841</t>
  </si>
  <si>
    <t>ENST00000463198</t>
  </si>
  <si>
    <t>ENST00000466405</t>
  </si>
  <si>
    <t>ENST00000477197</t>
  </si>
  <si>
    <t>ENST00000489838</t>
  </si>
  <si>
    <t>Q8TAG9</t>
  </si>
  <si>
    <t>ENST00000260762</t>
  </si>
  <si>
    <t>ENST00000371543</t>
  </si>
  <si>
    <t>ENST00000458552</t>
  </si>
  <si>
    <t>ENST00000495132</t>
  </si>
  <si>
    <t>ENST00000497262</t>
  </si>
  <si>
    <t>Q8TAK5</t>
  </si>
  <si>
    <t>ENST00000368916</t>
  </si>
  <si>
    <t>ENST00000368918</t>
  </si>
  <si>
    <t>ENST00000462520</t>
  </si>
  <si>
    <t>ENST00000467551</t>
  </si>
  <si>
    <t>ENST00000486076</t>
  </si>
  <si>
    <t>ENST00000489549</t>
  </si>
  <si>
    <t>Q8TAP8</t>
  </si>
  <si>
    <t>ENST00000292330</t>
  </si>
  <si>
    <t>ENST00000470295</t>
  </si>
  <si>
    <t>ENST00000476185</t>
  </si>
  <si>
    <t>ENST00000487452</t>
  </si>
  <si>
    <t>ENST00000491407</t>
  </si>
  <si>
    <t>Q8TAP9</t>
  </si>
  <si>
    <t>ENST00000306984</t>
  </si>
  <si>
    <t>Q8TAQ2</t>
  </si>
  <si>
    <t>ENST00000267064</t>
  </si>
  <si>
    <t>ENST00000547356</t>
  </si>
  <si>
    <t>ENST00000548130</t>
  </si>
  <si>
    <t>ENST00000549209</t>
  </si>
  <si>
    <t>ENST00000549757</t>
  </si>
  <si>
    <t>ENST00000550150</t>
  </si>
  <si>
    <t>ENST00000550164</t>
  </si>
  <si>
    <t>ENST00000550859</t>
  </si>
  <si>
    <t>ENST00000552566</t>
  </si>
  <si>
    <t>ENST00000552627</t>
  </si>
  <si>
    <t>ENST00000552931</t>
  </si>
  <si>
    <t>Q8TAT6</t>
  </si>
  <si>
    <t>ENST00000331134</t>
  </si>
  <si>
    <t>ENST00000374747</t>
  </si>
  <si>
    <t>ENST00000570300</t>
  </si>
  <si>
    <t>ENST00000571714</t>
  </si>
  <si>
    <t>ENST00000572351</t>
  </si>
  <si>
    <t>ENST00000573212</t>
  </si>
  <si>
    <t>ENST00000573328</t>
  </si>
  <si>
    <t>ENST00000573519</t>
  </si>
  <si>
    <t>ENST00000574964</t>
  </si>
  <si>
    <t>ENST00000576713</t>
  </si>
  <si>
    <t>Q8TAV0</t>
  </si>
  <si>
    <t>ENST00000373949</t>
  </si>
  <si>
    <t>ENST00000373954</t>
  </si>
  <si>
    <t>ENST00000530324</t>
  </si>
  <si>
    <t>Q8TB03</t>
  </si>
  <si>
    <t>ENST00000327877</t>
  </si>
  <si>
    <t>ENST00000378421</t>
  </si>
  <si>
    <t>ENST00000378426</t>
  </si>
  <si>
    <t>Q8TB24</t>
  </si>
  <si>
    <t>ENST00000216487</t>
  </si>
  <si>
    <t>ENST00000554888</t>
  </si>
  <si>
    <t>ENST00000555589</t>
  </si>
  <si>
    <t>ENST00000555891</t>
  </si>
  <si>
    <t>ENST00000556385</t>
  </si>
  <si>
    <t>ENST00000556418</t>
  </si>
  <si>
    <t>ENST00000557762</t>
  </si>
  <si>
    <t>Q8TB36</t>
  </si>
  <si>
    <t>ENST00000220822</t>
  </si>
  <si>
    <t>ENST00000522568</t>
  </si>
  <si>
    <t>Q8TBA6</t>
  </si>
  <si>
    <t>ENST00000163416</t>
  </si>
  <si>
    <t>ENST00000554700</t>
  </si>
  <si>
    <t>ENST00000555793</t>
  </si>
  <si>
    <t>Q8TBC3</t>
  </si>
  <si>
    <t>ENST00000291842</t>
  </si>
  <si>
    <t>ENST00000594973</t>
  </si>
  <si>
    <t>ENST00000595523</t>
  </si>
  <si>
    <t>ENST00000595803</t>
  </si>
  <si>
    <t>ENST00000595874</t>
  </si>
  <si>
    <t>ENST00000595945</t>
  </si>
  <si>
    <t>ENST00000597325</t>
  </si>
  <si>
    <t>ENST00000597396</t>
  </si>
  <si>
    <t>ENST00000597649</t>
  </si>
  <si>
    <t>ENST00000598201</t>
  </si>
  <si>
    <t>ENST00000598907</t>
  </si>
  <si>
    <t>ENST00000599575</t>
  </si>
  <si>
    <t>ENST00000599716</t>
  </si>
  <si>
    <t>ENST00000599833</t>
  </si>
  <si>
    <t>ENST00000600552</t>
  </si>
  <si>
    <t>ENST00000600791</t>
  </si>
  <si>
    <t>ENST00000602239</t>
  </si>
  <si>
    <t>Q8TBC4</t>
  </si>
  <si>
    <t>ENST00000349511</t>
  </si>
  <si>
    <t>ENST00000361055</t>
  </si>
  <si>
    <t>ENST00000461522</t>
  </si>
  <si>
    <t>ENST00000464605</t>
  </si>
  <si>
    <t>ENST00000465108</t>
  </si>
  <si>
    <t>ENST00000466763</t>
  </si>
  <si>
    <t>ENST00000485424</t>
  </si>
  <si>
    <t>ENST00000493957</t>
  </si>
  <si>
    <t>Q8TBC5</t>
  </si>
  <si>
    <t>ENST00000240727</t>
  </si>
  <si>
    <t>ENST00000433686</t>
  </si>
  <si>
    <t>ENST00000594191</t>
  </si>
  <si>
    <t>ENST00000595784</t>
  </si>
  <si>
    <t>ENST00000596372</t>
  </si>
  <si>
    <t>ENST00000598497</t>
  </si>
  <si>
    <t>ENST00000600318</t>
  </si>
  <si>
    <t>ENST00000600845</t>
  </si>
  <si>
    <t>ENST00000600897</t>
  </si>
  <si>
    <t>ENST00000601063</t>
  </si>
  <si>
    <t>ENST00000601144</t>
  </si>
  <si>
    <t>Q8TBF2</t>
  </si>
  <si>
    <t>ENST00000378425</t>
  </si>
  <si>
    <t>ENST00000378427</t>
  </si>
  <si>
    <t>ENST00000419916</t>
  </si>
  <si>
    <t>ENST00000444521</t>
  </si>
  <si>
    <t>ENST00000465233</t>
  </si>
  <si>
    <t>ENST00000474659</t>
  </si>
  <si>
    <t>ENST00000476686</t>
  </si>
  <si>
    <t>ENST00000477045</t>
  </si>
  <si>
    <t>ENST00000481683</t>
  </si>
  <si>
    <t>ENST00000484099</t>
  </si>
  <si>
    <t>ENST00000493183</t>
  </si>
  <si>
    <t>Q8TBM8</t>
  </si>
  <si>
    <t>ENST00000334223</t>
  </si>
  <si>
    <t>ENST00000398991</t>
  </si>
  <si>
    <t>ENST00000420137</t>
  </si>
  <si>
    <t>ENST00000426476</t>
  </si>
  <si>
    <t>ENST00000442697</t>
  </si>
  <si>
    <t>ENST00000455208</t>
  </si>
  <si>
    <t>ENST00000469942</t>
  </si>
  <si>
    <t>ENST00000471101</t>
  </si>
  <si>
    <t>ENST00000471738</t>
  </si>
  <si>
    <t>ENST00000474664</t>
  </si>
  <si>
    <t>Q8TBP6</t>
  </si>
  <si>
    <t>ENST00000341119</t>
  </si>
  <si>
    <t>ENST00000429674</t>
  </si>
  <si>
    <t>ENST00000444363</t>
  </si>
  <si>
    <t>ENST00000446236</t>
  </si>
  <si>
    <t>ENST00000470328</t>
  </si>
  <si>
    <t>ENST00000483810</t>
  </si>
  <si>
    <t>ENST00000491499</t>
  </si>
  <si>
    <t>ENST00000496348</t>
  </si>
  <si>
    <t>Q8TBX8</t>
  </si>
  <si>
    <t>ENST00000354947</t>
  </si>
  <si>
    <t>ENST00000540759</t>
  </si>
  <si>
    <t>ENST00000548264</t>
  </si>
  <si>
    <t>ENST00000550095</t>
  </si>
  <si>
    <t>Q8TBZ6</t>
  </si>
  <si>
    <t>ENST00000273962</t>
  </si>
  <si>
    <t>ENST00000394876</t>
  </si>
  <si>
    <t>ENST00000394877</t>
  </si>
  <si>
    <t>ENST00000507394</t>
  </si>
  <si>
    <t>ENST00000515831</t>
  </si>
  <si>
    <t>Q8TC05</t>
  </si>
  <si>
    <t>ENST00000303145</t>
  </si>
  <si>
    <t>ENST00000393543</t>
  </si>
  <si>
    <t>ENST00000411698</t>
  </si>
  <si>
    <t>ENST00000430606</t>
  </si>
  <si>
    <t>ENST00000536997</t>
  </si>
  <si>
    <t>ENST00000538454</t>
  </si>
  <si>
    <t>ENST00000541087</t>
  </si>
  <si>
    <t>ENST00000545964</t>
  </si>
  <si>
    <t>Q8TC12</t>
  </si>
  <si>
    <t>ENST00000381346</t>
  </si>
  <si>
    <t>ENST00000553578</t>
  </si>
  <si>
    <t>ENST00000553816</t>
  </si>
  <si>
    <t>ENST00000556692</t>
  </si>
  <si>
    <t>ENST00000557331</t>
  </si>
  <si>
    <t>ENST00000557726</t>
  </si>
  <si>
    <t>Q8TC44</t>
  </si>
  <si>
    <t>ENST00000313546</t>
  </si>
  <si>
    <t>ENST00000393179</t>
  </si>
  <si>
    <t>ENST00000539190</t>
  </si>
  <si>
    <t>ENST00000546830</t>
  </si>
  <si>
    <t>ENST00000547496</t>
  </si>
  <si>
    <t>ENST00000549035</t>
  </si>
  <si>
    <t>ENST00000549591</t>
  </si>
  <si>
    <t>ENST00000551819</t>
  </si>
  <si>
    <t>Q8TCB0</t>
  </si>
  <si>
    <t>ENST00000370747</t>
  </si>
  <si>
    <t>ENST00000438486</t>
  </si>
  <si>
    <t>ENST00000467790</t>
  </si>
  <si>
    <t>ENST00000470323</t>
  </si>
  <si>
    <t>ENST00000476911</t>
  </si>
  <si>
    <t>ENST00000495254</t>
  </si>
  <si>
    <t>Q8TCD1</t>
  </si>
  <si>
    <t>ENST00000318240</t>
  </si>
  <si>
    <t>ENST00000579820</t>
  </si>
  <si>
    <t>ENST00000582392</t>
  </si>
  <si>
    <t>Q8TCD5</t>
  </si>
  <si>
    <t>ENST00000245552</t>
  </si>
  <si>
    <t>ENST00000577523</t>
  </si>
  <si>
    <t>ENST00000578095</t>
  </si>
  <si>
    <t>ENST00000578337</t>
  </si>
  <si>
    <t>ENST00000579023</t>
  </si>
  <si>
    <t>ENST00000579082</t>
  </si>
  <si>
    <t>ENST00000582160</t>
  </si>
  <si>
    <t>ENST00000582170</t>
  </si>
  <si>
    <t>ENST00000582744</t>
  </si>
  <si>
    <t>ENST00000583655</t>
  </si>
  <si>
    <t>ENST00000584352</t>
  </si>
  <si>
    <t>Q8TCG1</t>
  </si>
  <si>
    <t>ENST00000295746</t>
  </si>
  <si>
    <t>ENST00000461666</t>
  </si>
  <si>
    <t>ENST00000487834</t>
  </si>
  <si>
    <t>ENST00000491772</t>
  </si>
  <si>
    <t>Q8TCG2</t>
  </si>
  <si>
    <t>ENST00000264864</t>
  </si>
  <si>
    <t>Q8TCJ2</t>
  </si>
  <si>
    <t>ENST00000295770</t>
  </si>
  <si>
    <t>ENST00000423527</t>
  </si>
  <si>
    <t>ENST00000453168</t>
  </si>
  <si>
    <t>ENST00000462235</t>
  </si>
  <si>
    <t>ENST00000463044</t>
  </si>
  <si>
    <t>ENST00000488151</t>
  </si>
  <si>
    <t>Q8TCS8</t>
  </si>
  <si>
    <t>ENST00000260604</t>
  </si>
  <si>
    <t>ENST00000447944</t>
  </si>
  <si>
    <t>ENST00000481066</t>
  </si>
  <si>
    <t>Q8TCU6</t>
  </si>
  <si>
    <t>ENST00000371941</t>
  </si>
  <si>
    <t>ENST00000482556</t>
  </si>
  <si>
    <t>ENST00000496915</t>
  </si>
  <si>
    <t>Q8TCY9</t>
  </si>
  <si>
    <t>ENST00000336086</t>
  </si>
  <si>
    <t>ENST00000402306</t>
  </si>
  <si>
    <t>ENST00000426198</t>
  </si>
  <si>
    <t>ENST00000443736</t>
  </si>
  <si>
    <t>ENST00000446958</t>
  </si>
  <si>
    <t>ENST00000453200</t>
  </si>
  <si>
    <t>ENST00000467410</t>
  </si>
  <si>
    <t>ENST00000474376</t>
  </si>
  <si>
    <t>ENST00000478747</t>
  </si>
  <si>
    <t>ENST00000497914</t>
  </si>
  <si>
    <t>Q8TD16</t>
  </si>
  <si>
    <t>ENST00000356884</t>
  </si>
  <si>
    <t>ENST00000375512</t>
  </si>
  <si>
    <t>Q8TD17</t>
  </si>
  <si>
    <t>ENST00000475153</t>
  </si>
  <si>
    <t>Q8TD19</t>
  </si>
  <si>
    <t>ENST00000238616</t>
  </si>
  <si>
    <t>ENST00000555405</t>
  </si>
  <si>
    <t>ENST00000555537</t>
  </si>
  <si>
    <t>ENST00000555763</t>
  </si>
  <si>
    <t>ENST00000555961</t>
  </si>
  <si>
    <t>ENST00000556170</t>
  </si>
  <si>
    <t>ENST00000557026</t>
  </si>
  <si>
    <t>Q8TD26</t>
  </si>
  <si>
    <t>ENST00000309279</t>
  </si>
  <si>
    <t>ENST00000373222</t>
  </si>
  <si>
    <t>ENST00000373233</t>
  </si>
  <si>
    <t>ENST00000470470</t>
  </si>
  <si>
    <t>ENST00000476641</t>
  </si>
  <si>
    <t>ENST00000480022</t>
  </si>
  <si>
    <t>Q8TD55</t>
  </si>
  <si>
    <t>ENST00000323544</t>
  </si>
  <si>
    <t>Q8TDB6</t>
  </si>
  <si>
    <t>ENST00000296161</t>
  </si>
  <si>
    <t>Q8TDD1</t>
  </si>
  <si>
    <t>ENST00000306014</t>
  </si>
  <si>
    <t>ENST00000314045</t>
  </si>
  <si>
    <t>ENST00000546869</t>
  </si>
  <si>
    <t>ENST00000548786</t>
  </si>
  <si>
    <t>ENST00000549271</t>
  </si>
  <si>
    <t>ENST00000550016</t>
  </si>
  <si>
    <t>ENST00000551344</t>
  </si>
  <si>
    <t>ENST00000551912</t>
  </si>
  <si>
    <t>Q8TDH9</t>
  </si>
  <si>
    <t>ENST00000244777</t>
  </si>
  <si>
    <t>ENST00000397457</t>
  </si>
  <si>
    <t>ENST00000475998</t>
  </si>
  <si>
    <t>ENST00000543936</t>
  </si>
  <si>
    <t>Q8TDJ6</t>
  </si>
  <si>
    <t>ENST00000251076</t>
  </si>
  <si>
    <t>ENST00000543779</t>
  </si>
  <si>
    <t>ENST00000558124</t>
  </si>
  <si>
    <t>ENST00000559062</t>
  </si>
  <si>
    <t>ENST00000559769</t>
  </si>
  <si>
    <t>ENST00000559868</t>
  </si>
  <si>
    <t>ENST00000560211</t>
  </si>
  <si>
    <t>ENST00000560891</t>
  </si>
  <si>
    <t>ENST00000561079</t>
  </si>
  <si>
    <t>Q8TDN6</t>
  </si>
  <si>
    <t>ENST00000336767</t>
  </si>
  <si>
    <t>ENST00000510834</t>
  </si>
  <si>
    <t>ENST00000510960</t>
  </si>
  <si>
    <t>ENST00000515798</t>
  </si>
  <si>
    <t>Q8TDP1</t>
  </si>
  <si>
    <t>ENST00000308418</t>
  </si>
  <si>
    <t>ENST00000527610</t>
  </si>
  <si>
    <t>ENST00000528220</t>
  </si>
  <si>
    <t>ENST00000530192</t>
  </si>
  <si>
    <t>ENST00000531596</t>
  </si>
  <si>
    <t>ENST00000534482</t>
  </si>
  <si>
    <t>Q8TDQ0</t>
  </si>
  <si>
    <t>ENST00000307851</t>
  </si>
  <si>
    <t>ENST00000521665</t>
  </si>
  <si>
    <t>ENST00000522593</t>
  </si>
  <si>
    <t>ENST00000522902</t>
  </si>
  <si>
    <t>Q8TDQ7</t>
  </si>
  <si>
    <t>ENST00000295448</t>
  </si>
  <si>
    <t>ENST00000507534</t>
  </si>
  <si>
    <t>ENST00000507917</t>
  </si>
  <si>
    <t>ENST00000509756</t>
  </si>
  <si>
    <t>ENST00000511187</t>
  </si>
  <si>
    <t>Q8TDW0</t>
  </si>
  <si>
    <t>ENST00000370454</t>
  </si>
  <si>
    <t>ENST00000416805</t>
  </si>
  <si>
    <t>ENST00000479252</t>
  </si>
  <si>
    <t>ENST00000482063</t>
  </si>
  <si>
    <t>Q8TDX7</t>
  </si>
  <si>
    <t>ENST00000367385</t>
  </si>
  <si>
    <t>ENST00000391974</t>
  </si>
  <si>
    <t>ENST00000442588</t>
  </si>
  <si>
    <t>ENST00000493790</t>
  </si>
  <si>
    <t>Q8TDZ2</t>
  </si>
  <si>
    <t>ENST00000358577</t>
  </si>
  <si>
    <t>ENST00000358807</t>
  </si>
  <si>
    <t>ENST00000431946</t>
  </si>
  <si>
    <t>ENST00000456101</t>
  </si>
  <si>
    <t>ENST00000465904</t>
  </si>
  <si>
    <t>ENST00000483856</t>
  </si>
  <si>
    <t>Q8TEA1</t>
  </si>
  <si>
    <t>ENST00000377304</t>
  </si>
  <si>
    <t>ENST00000414939</t>
  </si>
  <si>
    <t>ENST00000444660</t>
  </si>
  <si>
    <t>ENST00000493816</t>
  </si>
  <si>
    <t>ENST00000606425</t>
  </si>
  <si>
    <t>ENST00000607346</t>
  </si>
  <si>
    <t>Q8TEA8</t>
  </si>
  <si>
    <t>ENST00000377452</t>
  </si>
  <si>
    <t>ENST00000494921</t>
  </si>
  <si>
    <t>Q8TED0</t>
  </si>
  <si>
    <t>ENST00000296792</t>
  </si>
  <si>
    <t>ENST00000508686</t>
  </si>
  <si>
    <t>ENST00000510478</t>
  </si>
  <si>
    <t>ENST00000512550</t>
  </si>
  <si>
    <t>Q8TEH3</t>
  </si>
  <si>
    <t>ENST00000373618</t>
  </si>
  <si>
    <t>ENST00000373620</t>
  </si>
  <si>
    <t>ENST00000373624</t>
  </si>
  <si>
    <t>ENST00000394215</t>
  </si>
  <si>
    <t>ENST00000462245</t>
  </si>
  <si>
    <t>ENST00000473039</t>
  </si>
  <si>
    <t>ENST00000474676</t>
  </si>
  <si>
    <t>ENST00000475421</t>
  </si>
  <si>
    <t>ENST00000475615</t>
  </si>
  <si>
    <t>ENST00000497135</t>
  </si>
  <si>
    <t>Q8TEM1</t>
  </si>
  <si>
    <t>ENST00000254508</t>
  </si>
  <si>
    <t>ENST00000479519</t>
  </si>
  <si>
    <t>ENST00000485755</t>
  </si>
  <si>
    <t>Q8TEQ6</t>
  </si>
  <si>
    <t>ENST00000285873</t>
  </si>
  <si>
    <t>ENST00000522075</t>
  </si>
  <si>
    <t>ENST00000523355</t>
  </si>
  <si>
    <t>Q8TEQ8</t>
  </si>
  <si>
    <t>ENST00000298004</t>
  </si>
  <si>
    <t>ENST00000361778</t>
  </si>
  <si>
    <t>ENST00000465745</t>
  </si>
  <si>
    <t>ENST00000474436</t>
  </si>
  <si>
    <t>ENST00000491687</t>
  </si>
  <si>
    <t>Q8TEU7</t>
  </si>
  <si>
    <t>ENST00000504039</t>
  </si>
  <si>
    <t>ENST00000504919</t>
  </si>
  <si>
    <t>ENST00000509018</t>
  </si>
  <si>
    <t>ENST00000510071</t>
  </si>
  <si>
    <t>ENST00000512052</t>
  </si>
  <si>
    <t>ENST00000512611</t>
  </si>
  <si>
    <t>ENST00000514179</t>
  </si>
  <si>
    <t>Q8TEV9</t>
  </si>
  <si>
    <t>ENST00000406438</t>
  </si>
  <si>
    <t>Q8TEX9</t>
  </si>
  <si>
    <t>ENST00000354464</t>
  </si>
  <si>
    <t>ENST00000557996</t>
  </si>
  <si>
    <t>ENST00000558193</t>
  </si>
  <si>
    <t>ENST00000558233</t>
  </si>
  <si>
    <t>ENST00000558718</t>
  </si>
  <si>
    <t>ENST00000559253</t>
  </si>
  <si>
    <t>ENST00000559588</t>
  </si>
  <si>
    <t>ENST00000559635</t>
  </si>
  <si>
    <t>ENST00000560155</t>
  </si>
  <si>
    <t>ENST00000560222</t>
  </si>
  <si>
    <t>ENST00000560315</t>
  </si>
  <si>
    <t>ENST00000560798</t>
  </si>
  <si>
    <t>ENST00000560935</t>
  </si>
  <si>
    <t>ENST00000561090</t>
  </si>
  <si>
    <t>ENST00000561199</t>
  </si>
  <si>
    <t>ENST00000561379</t>
  </si>
  <si>
    <t>ENST00000561462</t>
  </si>
  <si>
    <t>Q8TF01</t>
  </si>
  <si>
    <t>ENST00000369239</t>
  </si>
  <si>
    <t>ENST00000438806</t>
  </si>
  <si>
    <t>ENST00000460600</t>
  </si>
  <si>
    <t>ENST00000463021</t>
  </si>
  <si>
    <t>ENST00000466057</t>
  </si>
  <si>
    <t>ENST00000476159</t>
  </si>
  <si>
    <t>ENST00000478777</t>
  </si>
  <si>
    <t>ENST00000481229</t>
  </si>
  <si>
    <t>Q8TF42</t>
  </si>
  <si>
    <t>ENST00000284273</t>
  </si>
  <si>
    <t>ENST00000526493</t>
  </si>
  <si>
    <t>ENST00000529998</t>
  </si>
  <si>
    <t>ENST00000530578</t>
  </si>
  <si>
    <t>ENST00000533451</t>
  </si>
  <si>
    <t>Q8TF47</t>
  </si>
  <si>
    <t>ENST00000398253</t>
  </si>
  <si>
    <t>ENST00000563169</t>
  </si>
  <si>
    <t>ENST00000564323</t>
  </si>
  <si>
    <t>ENST00000564558</t>
  </si>
  <si>
    <t>ENST00000566573</t>
  </si>
  <si>
    <t>ENST00000569323</t>
  </si>
  <si>
    <t>ENST00000570495</t>
  </si>
  <si>
    <t>ENST00000571720</t>
  </si>
  <si>
    <t>ENST00000573113</t>
  </si>
  <si>
    <t>ENST00000573161</t>
  </si>
  <si>
    <t>ENST00000573685</t>
  </si>
  <si>
    <t>ENST00000576305</t>
  </si>
  <si>
    <t>ENST00000576805</t>
  </si>
  <si>
    <t>Q8TF50</t>
  </si>
  <si>
    <t>ENST00000301215</t>
  </si>
  <si>
    <t>Q8TF61</t>
  </si>
  <si>
    <t>ENST00000519873</t>
  </si>
  <si>
    <t>ENST00000520186</t>
  </si>
  <si>
    <t>Q8TF64</t>
  </si>
  <si>
    <t>ENST00000322315</t>
  </si>
  <si>
    <t>Q8TF65</t>
  </si>
  <si>
    <t>ENST00000370759</t>
  </si>
  <si>
    <t>Q8TF74</t>
  </si>
  <si>
    <t>ENST00000323571</t>
  </si>
  <si>
    <t>ENST00000578304</t>
  </si>
  <si>
    <t>ENST00000578623</t>
  </si>
  <si>
    <t>ENST00000582781</t>
  </si>
  <si>
    <t>ENST00000584296</t>
  </si>
  <si>
    <t>ENST00000585043</t>
  </si>
  <si>
    <t>Q8WTS6</t>
  </si>
  <si>
    <t>ENST00000274031</t>
  </si>
  <si>
    <t>ENST00000404104</t>
  </si>
  <si>
    <t>ENST00000506866</t>
  </si>
  <si>
    <t>ENST00000515101</t>
  </si>
  <si>
    <t>Q8WTT2</t>
  </si>
  <si>
    <t>ENST00000371361</t>
  </si>
  <si>
    <t>ENST00000461562</t>
  </si>
  <si>
    <t>ENST00000463649</t>
  </si>
  <si>
    <t>Q8WTW3</t>
  </si>
  <si>
    <t>ENST00000299886</t>
  </si>
  <si>
    <t>ENST00000438720</t>
  </si>
  <si>
    <t>ENST00000577238</t>
  </si>
  <si>
    <t>ENST00000577844</t>
  </si>
  <si>
    <t>ENST00000580271</t>
  </si>
  <si>
    <t>ENST00000582587</t>
  </si>
  <si>
    <t>ENST00000582672</t>
  </si>
  <si>
    <t>Q8WTW4</t>
  </si>
  <si>
    <t>ENST00000232501</t>
  </si>
  <si>
    <t>ENST00000418825</t>
  </si>
  <si>
    <t>ENST00000433381</t>
  </si>
  <si>
    <t>ENST00000451194</t>
  </si>
  <si>
    <t>ENST00000461020</t>
  </si>
  <si>
    <t>ENST00000467294</t>
  </si>
  <si>
    <t>ENST00000469839</t>
  </si>
  <si>
    <t>ENST00000476064</t>
  </si>
  <si>
    <t>ENST00000480296</t>
  </si>
  <si>
    <t>ENST00000487632</t>
  </si>
  <si>
    <t>ENST00000492805</t>
  </si>
  <si>
    <t>ENST00000493465</t>
  </si>
  <si>
    <t>Q8WTX7</t>
  </si>
  <si>
    <t>ENST00000407689</t>
  </si>
  <si>
    <t>ENST00000425691</t>
  </si>
  <si>
    <t>ENST00000463795</t>
  </si>
  <si>
    <t>ENST00000492159</t>
  </si>
  <si>
    <t>ENST00000497605</t>
  </si>
  <si>
    <t>Q8WU10</t>
  </si>
  <si>
    <t>ENST00000240651</t>
  </si>
  <si>
    <t>ENST00000375266</t>
  </si>
  <si>
    <t>ENST00000536851</t>
  </si>
  <si>
    <t>ENST00000538072</t>
  </si>
  <si>
    <t>ENST00000538582</t>
  </si>
  <si>
    <t>ENST00000538615</t>
  </si>
  <si>
    <t>ENST00000543476</t>
  </si>
  <si>
    <t>ENST00000544187</t>
  </si>
  <si>
    <t>ENST00000544970</t>
  </si>
  <si>
    <t>Q8WU39</t>
  </si>
  <si>
    <t>ENST00000302125</t>
  </si>
  <si>
    <t>ENST00000503120</t>
  </si>
  <si>
    <t>ENST00000503481</t>
  </si>
  <si>
    <t>ENST00000511979</t>
  </si>
  <si>
    <t>Q8WU67</t>
  </si>
  <si>
    <t>ENST00000289119</t>
  </si>
  <si>
    <t>ENST00000577564</t>
  </si>
  <si>
    <t>ENST00000577928</t>
  </si>
  <si>
    <t>ENST00000578270</t>
  </si>
  <si>
    <t>ENST00000579875</t>
  </si>
  <si>
    <t>ENST00000579982</t>
  </si>
  <si>
    <t>ENST00000580477</t>
  </si>
  <si>
    <t>ENST00000580981</t>
  </si>
  <si>
    <t>ENST00000584464</t>
  </si>
  <si>
    <t>Q8WU79</t>
  </si>
  <si>
    <t>ENST00000372708</t>
  </si>
  <si>
    <t>ENST00000372718</t>
  </si>
  <si>
    <t>ENST00000487871</t>
  </si>
  <si>
    <t>Q8WU90</t>
  </si>
  <si>
    <t>ENST00000337859</t>
  </si>
  <si>
    <t>ENST00000437396</t>
  </si>
  <si>
    <t>ENST00000445547</t>
  </si>
  <si>
    <t>ENST00000498757</t>
  </si>
  <si>
    <t>Q8WUA2</t>
  </si>
  <si>
    <t>ENST00000253329</t>
  </si>
  <si>
    <t>ENST00000340881</t>
  </si>
  <si>
    <t>Q8WUA4</t>
  </si>
  <si>
    <t>ENST00000264720</t>
  </si>
  <si>
    <t>ENST00000359541</t>
  </si>
  <si>
    <t>ENST00000423998</t>
  </si>
  <si>
    <t>ENST00000431028</t>
  </si>
  <si>
    <t>ENST00000454704</t>
  </si>
  <si>
    <t>ENST00000457098</t>
  </si>
  <si>
    <t>ENST00000470115</t>
  </si>
  <si>
    <t>ENST00000480989</t>
  </si>
  <si>
    <t>ENST00000484680</t>
  </si>
  <si>
    <t>ENST00000493511</t>
  </si>
  <si>
    <t>ENST00000495298</t>
  </si>
  <si>
    <t>Q8WUD1</t>
  </si>
  <si>
    <t>ENST00000397762</t>
  </si>
  <si>
    <t>ENST00000461909</t>
  </si>
  <si>
    <t>ENST00000475857</t>
  </si>
  <si>
    <t>ENST00000485996</t>
  </si>
  <si>
    <t>Q8WUD4</t>
  </si>
  <si>
    <t>ENST00000292314</t>
  </si>
  <si>
    <t>ENST00000425441</t>
  </si>
  <si>
    <t>ENST00000460035</t>
  </si>
  <si>
    <t>ENST00000488069</t>
  </si>
  <si>
    <t>ENST00000492819</t>
  </si>
  <si>
    <t>ENST00000494655</t>
  </si>
  <si>
    <t>ENST00000603885</t>
  </si>
  <si>
    <t>ENST00000604164</t>
  </si>
  <si>
    <t>ENST00000604367</t>
  </si>
  <si>
    <t>ENST00000605358</t>
  </si>
  <si>
    <t>ENST00000605875</t>
  </si>
  <si>
    <t>Q8WUF5</t>
  </si>
  <si>
    <t>ENST00000418234</t>
  </si>
  <si>
    <t>ENST00000585905</t>
  </si>
  <si>
    <t>ENST00000587270</t>
  </si>
  <si>
    <t>ENST00000589858</t>
  </si>
  <si>
    <t>Q8WUH1</t>
  </si>
  <si>
    <t>ENST00000359118</t>
  </si>
  <si>
    <t>ENST00000547625</t>
  </si>
  <si>
    <t>ENST00000548752</t>
  </si>
  <si>
    <t>ENST00000549115</t>
  </si>
  <si>
    <t>ENST00000551093</t>
  </si>
  <si>
    <t>ENST00000551947</t>
  </si>
  <si>
    <t>ENST00000552002</t>
  </si>
  <si>
    <t>ENST00000556089</t>
  </si>
  <si>
    <t>ENST00000607599</t>
  </si>
  <si>
    <t>Q8WUH2</t>
  </si>
  <si>
    <t>ENST00000258449</t>
  </si>
  <si>
    <t>ENST00000393359</t>
  </si>
  <si>
    <t>Q8WUH6</t>
  </si>
  <si>
    <t>ENST00000280756</t>
  </si>
  <si>
    <t>ENST00000547081</t>
  </si>
  <si>
    <t>ENST00000548125</t>
  </si>
  <si>
    <t>ENST00000548806</t>
  </si>
  <si>
    <t>ENST00000550344</t>
  </si>
  <si>
    <t>ENST00000551237</t>
  </si>
  <si>
    <t>ENST00000551489</t>
  </si>
  <si>
    <t>ENST00000551813</t>
  </si>
  <si>
    <t>Q8WUK0</t>
  </si>
  <si>
    <t>ENST00000326656</t>
  </si>
  <si>
    <t>ENST00000326674</t>
  </si>
  <si>
    <t>ENST00000426530</t>
  </si>
  <si>
    <t>ENST00000527079</t>
  </si>
  <si>
    <t>ENST00000534775</t>
  </si>
  <si>
    <t>Q8WUM0</t>
  </si>
  <si>
    <t>ENST00000261396</t>
  </si>
  <si>
    <t>ENST00000366678</t>
  </si>
  <si>
    <t>ENST00000485119</t>
  </si>
  <si>
    <t>ENST00000490352</t>
  </si>
  <si>
    <t>Q8WUM4</t>
  </si>
  <si>
    <t>ENST00000307296</t>
  </si>
  <si>
    <t>ENST00000413073</t>
  </si>
  <si>
    <t>ENST00000430877</t>
  </si>
  <si>
    <t>ENST00000435909</t>
  </si>
  <si>
    <t>ENST00000457054</t>
  </si>
  <si>
    <t>ENST00000465122</t>
  </si>
  <si>
    <t>ENST00000473593</t>
  </si>
  <si>
    <t>ENST00000477798</t>
  </si>
  <si>
    <t>ENST00000484478</t>
  </si>
  <si>
    <t>ENST00000487821</t>
  </si>
  <si>
    <t>ENST00000489869</t>
  </si>
  <si>
    <t>ENST00000494810</t>
  </si>
  <si>
    <t>ENST00000495235</t>
  </si>
  <si>
    <t>ENST00000498147</t>
  </si>
  <si>
    <t>Q8WUQ7</t>
  </si>
  <si>
    <t>ENST00000248420</t>
  </si>
  <si>
    <t>ENST00000429344</t>
  </si>
  <si>
    <t>ENST00000587175</t>
  </si>
  <si>
    <t>ENST00000588749</t>
  </si>
  <si>
    <t>ENST00000589321</t>
  </si>
  <si>
    <t>ENST00000591978</t>
  </si>
  <si>
    <t>ENST00000592721</t>
  </si>
  <si>
    <t>Q8WUR7</t>
  </si>
  <si>
    <t>ENST00000304177</t>
  </si>
  <si>
    <t>ENST00000451195</t>
  </si>
  <si>
    <t>ENST00000505341</t>
  </si>
  <si>
    <t>ENST00000506912</t>
  </si>
  <si>
    <t>ENST00000508990</t>
  </si>
  <si>
    <t>ENST00000510873</t>
  </si>
  <si>
    <t>ENST00000512638</t>
  </si>
  <si>
    <t>ENST00000514272</t>
  </si>
  <si>
    <t>ENST00000538348</t>
  </si>
  <si>
    <t>ENST00000563387</t>
  </si>
  <si>
    <t>ENST00000565725</t>
  </si>
  <si>
    <t>Q8WUU5</t>
  </si>
  <si>
    <t>ENST00000287957</t>
  </si>
  <si>
    <t>ENST00000465247</t>
  </si>
  <si>
    <t>ENST00000493878</t>
  </si>
  <si>
    <t>Q8WUW1</t>
  </si>
  <si>
    <t>ENST00000530758</t>
  </si>
  <si>
    <t>Q8WUX9</t>
  </si>
  <si>
    <t>ENST00000313219</t>
  </si>
  <si>
    <t>ENST00000397677</t>
  </si>
  <si>
    <t>ENST00000517325</t>
  </si>
  <si>
    <t>ENST00000519529</t>
  </si>
  <si>
    <t>ENST00000521656</t>
  </si>
  <si>
    <t>ENST00000523091</t>
  </si>
  <si>
    <t>Q8WUY1</t>
  </si>
  <si>
    <t>ENST00000336138</t>
  </si>
  <si>
    <t>ENST00000518798</t>
  </si>
  <si>
    <t>Q8WUY8</t>
  </si>
  <si>
    <t>ENST00000205194</t>
  </si>
  <si>
    <t>ENST00000591590</t>
  </si>
  <si>
    <t>Q8WUZ0</t>
  </si>
  <si>
    <t>ENST00000215115</t>
  </si>
  <si>
    <t>ENST00000380317</t>
  </si>
  <si>
    <t>ENST00000572628</t>
  </si>
  <si>
    <t>Q8WV22</t>
  </si>
  <si>
    <t>ENST00000361439</t>
  </si>
  <si>
    <t>ENST00000561960</t>
  </si>
  <si>
    <t>ENST00000562039</t>
  </si>
  <si>
    <t>ENST00000563273</t>
  </si>
  <si>
    <t>ENST00000563512</t>
  </si>
  <si>
    <t>ENST00000565070</t>
  </si>
  <si>
    <t>ENST00000565384</t>
  </si>
  <si>
    <t>ENST00000565626</t>
  </si>
  <si>
    <t>ENST00000566087</t>
  </si>
  <si>
    <t>ENST00000567710</t>
  </si>
  <si>
    <t>ENST00000569236</t>
  </si>
  <si>
    <t>Q8WV44</t>
  </si>
  <si>
    <t>ENST00000315073</t>
  </si>
  <si>
    <t>ENST00000351937</t>
  </si>
  <si>
    <t>ENST00000503114</t>
  </si>
  <si>
    <t>ENST00000508930</t>
  </si>
  <si>
    <t>ENST00000515223</t>
  </si>
  <si>
    <t>ENST00000515834</t>
  </si>
  <si>
    <t>Q8WV92</t>
  </si>
  <si>
    <t>ENST00000289359</t>
  </si>
  <si>
    <t>ENST00000409107</t>
  </si>
  <si>
    <t>ENST00000413710</t>
  </si>
  <si>
    <t>ENST00000422537</t>
  </si>
  <si>
    <t>ENST00000464685</t>
  </si>
  <si>
    <t>ENST00000466880</t>
  </si>
  <si>
    <t>ENST00000483721</t>
  </si>
  <si>
    <t>ENST00000487588</t>
  </si>
  <si>
    <t>Q8WV93</t>
  </si>
  <si>
    <t>ENST00000368977</t>
  </si>
  <si>
    <t>ENST00000486863</t>
  </si>
  <si>
    <t>Q8WVB6</t>
  </si>
  <si>
    <t>ENST00000262315</t>
  </si>
  <si>
    <t>ENST00000317063</t>
  </si>
  <si>
    <t>ENST00000464728</t>
  </si>
  <si>
    <t>ENST00000471202</t>
  </si>
  <si>
    <t>ENST00000484349</t>
  </si>
  <si>
    <t>ENST00000493715</t>
  </si>
  <si>
    <t>ENST00000498439</t>
  </si>
  <si>
    <t>ENST00000567620</t>
  </si>
  <si>
    <t>Q8WVC0</t>
  </si>
  <si>
    <t>ENST00000299601</t>
  </si>
  <si>
    <t>ENST00000558949</t>
  </si>
  <si>
    <t>Q8WVC6</t>
  </si>
  <si>
    <t>ENST00000310604</t>
  </si>
  <si>
    <t>ENST00000342350</t>
  </si>
  <si>
    <t>ENST00000452796</t>
  </si>
  <si>
    <t>ENST00000588295</t>
  </si>
  <si>
    <t>ENST00000588499</t>
  </si>
  <si>
    <t>ENST00000593094</t>
  </si>
  <si>
    <t>Q8WVD3</t>
  </si>
  <si>
    <t>ENST00000257190</t>
  </si>
  <si>
    <t>ENST00000261593</t>
  </si>
  <si>
    <t>ENST00000577999</t>
  </si>
  <si>
    <t>ENST00000578107</t>
  </si>
  <si>
    <t>ENST00000578914</t>
  </si>
  <si>
    <t>ENST00000580499</t>
  </si>
  <si>
    <t>ENST00000583733</t>
  </si>
  <si>
    <t>Q8WVJ2</t>
  </si>
  <si>
    <t>ENST00000302764</t>
  </si>
  <si>
    <t>ENST00000519395</t>
  </si>
  <si>
    <t>ENST00000521797</t>
  </si>
  <si>
    <t>Q8WVK2</t>
  </si>
  <si>
    <t>ENST00000244227</t>
  </si>
  <si>
    <t>ENST00000409116</t>
  </si>
  <si>
    <t>ENST00000450162</t>
  </si>
  <si>
    <t>ENST00000487029</t>
  </si>
  <si>
    <t>ENST00000488986</t>
  </si>
  <si>
    <t>Q8WVK7</t>
  </si>
  <si>
    <t>ENST00000330137</t>
  </si>
  <si>
    <t>ENST00000437036</t>
  </si>
  <si>
    <t>ENST00000578105</t>
  </si>
  <si>
    <t>ENST00000580541</t>
  </si>
  <si>
    <t>ENST00000581068</t>
  </si>
  <si>
    <t>ENST00000583380</t>
  </si>
  <si>
    <t>ENST00000583927</t>
  </si>
  <si>
    <t>ENST00000583976</t>
  </si>
  <si>
    <t>Q8WVM0</t>
  </si>
  <si>
    <t>ENST00000367166</t>
  </si>
  <si>
    <t>ENST00000466349</t>
  </si>
  <si>
    <t>ENST00000475849</t>
  </si>
  <si>
    <t>ENST00000480390</t>
  </si>
  <si>
    <t>ENST00000489874</t>
  </si>
  <si>
    <t>ENST00000495806</t>
  </si>
  <si>
    <t>Q8WVM7</t>
  </si>
  <si>
    <t>ENST00000236698</t>
  </si>
  <si>
    <t>ENST00000383202</t>
  </si>
  <si>
    <t>ENST00000462818</t>
  </si>
  <si>
    <t>ENST00000465961</t>
  </si>
  <si>
    <t>ENST00000480733</t>
  </si>
  <si>
    <t>Q8WVM8</t>
  </si>
  <si>
    <t>ENST00000458591</t>
  </si>
  <si>
    <t>ENST00000469043</t>
  </si>
  <si>
    <t>ENST00000544052</t>
  </si>
  <si>
    <t>ENST00000553278</t>
  </si>
  <si>
    <t>ENST00000553280</t>
  </si>
  <si>
    <t>ENST00000554437</t>
  </si>
  <si>
    <t>ENST00000554486</t>
  </si>
  <si>
    <t>ENST00000555259</t>
  </si>
  <si>
    <t>ENST00000555550</t>
  </si>
  <si>
    <t>ENST00000555953</t>
  </si>
  <si>
    <t>ENST00000556256</t>
  </si>
  <si>
    <t>ENST00000556413</t>
  </si>
  <si>
    <t>ENST00000556486</t>
  </si>
  <si>
    <t>ENST00000556534</t>
  </si>
  <si>
    <t>ENST00000557076</t>
  </si>
  <si>
    <t>Q8WVR3</t>
  </si>
  <si>
    <t>ENST00000316937</t>
  </si>
  <si>
    <t>ENST00000394035</t>
  </si>
  <si>
    <t>ENST00000419037</t>
  </si>
  <si>
    <t>ENST00000419841</t>
  </si>
  <si>
    <t>ENST00000448720</t>
  </si>
  <si>
    <t>ENST00000456769</t>
  </si>
  <si>
    <t>ENST00000457641</t>
  </si>
  <si>
    <t>ENST00000470260</t>
  </si>
  <si>
    <t>ENST00000472061</t>
  </si>
  <si>
    <t>ENST00000498638</t>
  </si>
  <si>
    <t>Q8WVT3</t>
  </si>
  <si>
    <t>ENST00000324266</t>
  </si>
  <si>
    <t>ENST00000382110</t>
  </si>
  <si>
    <t>ENST00000415624</t>
  </si>
  <si>
    <t>ENST00000417243</t>
  </si>
  <si>
    <t>ENST00000433382</t>
  </si>
  <si>
    <t>ENST00000437733</t>
  </si>
  <si>
    <t>ENST00000441099</t>
  </si>
  <si>
    <t>ENST00000452495</t>
  </si>
  <si>
    <t>ENST00000461577</t>
  </si>
  <si>
    <t>ENST00000469147</t>
  </si>
  <si>
    <t>ENST00000469400</t>
  </si>
  <si>
    <t>ENST00000473348</t>
  </si>
  <si>
    <t>ENST00000479897</t>
  </si>
  <si>
    <t>ENST00000479955</t>
  </si>
  <si>
    <t>ENST00000482645</t>
  </si>
  <si>
    <t>ENST00000489032</t>
  </si>
  <si>
    <t>ENST00000493792</t>
  </si>
  <si>
    <t>ENST00000497597</t>
  </si>
  <si>
    <t>Q8WVX9</t>
  </si>
  <si>
    <t>ENST00000354817</t>
  </si>
  <si>
    <t>ENST00000524933</t>
  </si>
  <si>
    <t>ENST00000532502</t>
  </si>
  <si>
    <t>ENST00000532701</t>
  </si>
  <si>
    <t>ENST00000532769</t>
  </si>
  <si>
    <t>Q8WVY7</t>
  </si>
  <si>
    <t>ENST00000296786</t>
  </si>
  <si>
    <t>ENST00000519276</t>
  </si>
  <si>
    <t>ENST00000521738</t>
  </si>
  <si>
    <t>Q8WW12</t>
  </si>
  <si>
    <t>ENST00000265260</t>
  </si>
  <si>
    <t>ENST00000460231</t>
  </si>
  <si>
    <t>ENST00000465366</t>
  </si>
  <si>
    <t>ENST00000469941</t>
  </si>
  <si>
    <t>ENST00000470490</t>
  </si>
  <si>
    <t>ENST00000486406</t>
  </si>
  <si>
    <t>ENST00000498274</t>
  </si>
  <si>
    <t>Q8WW22</t>
  </si>
  <si>
    <t>ENST00000343789</t>
  </si>
  <si>
    <t>ENST00000394852</t>
  </si>
  <si>
    <t>ENST00000394855</t>
  </si>
  <si>
    <t>ENST00000446172</t>
  </si>
  <si>
    <t>ENST00000480425</t>
  </si>
  <si>
    <t>ENST00000485075</t>
  </si>
  <si>
    <t>ENST00000489435</t>
  </si>
  <si>
    <t>ENST00000493321</t>
  </si>
  <si>
    <t>Q8WW33</t>
  </si>
  <si>
    <t>ENST00000305879</t>
  </si>
  <si>
    <t>ENST00000546575</t>
  </si>
  <si>
    <t>ENST00000546739</t>
  </si>
  <si>
    <t>ENST00000546931</t>
  </si>
  <si>
    <t>Q8WW59</t>
  </si>
  <si>
    <t>ENST00000338146</t>
  </si>
  <si>
    <t>Q8WWC4</t>
  </si>
  <si>
    <t>ENST00000392290</t>
  </si>
  <si>
    <t>ENST00000469156</t>
  </si>
  <si>
    <t>Q8WWH5</t>
  </si>
  <si>
    <t>ENST00000298746</t>
  </si>
  <si>
    <t>ENST00000485065</t>
  </si>
  <si>
    <t>Q8WWM7</t>
  </si>
  <si>
    <t>ENST00000325215</t>
  </si>
  <si>
    <t>ENST00000336783</t>
  </si>
  <si>
    <t>ENST00000340394</t>
  </si>
  <si>
    <t>ENST00000382686</t>
  </si>
  <si>
    <t>ENST00000561539</t>
  </si>
  <si>
    <t>ENST00000561732</t>
  </si>
  <si>
    <t>ENST00000562583</t>
  </si>
  <si>
    <t>ENST00000562686</t>
  </si>
  <si>
    <t>ENST00000562867</t>
  </si>
  <si>
    <t>ENST00000563314</t>
  </si>
  <si>
    <t>ENST00000564035</t>
  </si>
  <si>
    <t>ENST00000564162</t>
  </si>
  <si>
    <t>ENST00000564284</t>
  </si>
  <si>
    <t>ENST00000564304</t>
  </si>
  <si>
    <t>ENST00000564656</t>
  </si>
  <si>
    <t>ENST00000565971</t>
  </si>
  <si>
    <t>ENST00000566007</t>
  </si>
  <si>
    <t>ENST00000566080</t>
  </si>
  <si>
    <t>ENST00000566946</t>
  </si>
  <si>
    <t>ENST00000567024</t>
  </si>
  <si>
    <t>ENST00000568266</t>
  </si>
  <si>
    <t>ENST00000569318</t>
  </si>
  <si>
    <t>ENST00000570200</t>
  </si>
  <si>
    <t>ENST00000570284</t>
  </si>
  <si>
    <t>Q8WWN9</t>
  </si>
  <si>
    <t>ENST00000484827</t>
  </si>
  <si>
    <t>ENST00000517438</t>
  </si>
  <si>
    <t>ENST00000518162</t>
  </si>
  <si>
    <t>ENST00000519190</t>
  </si>
  <si>
    <t>ENST00000519344</t>
  </si>
  <si>
    <t>ENST00000522590</t>
  </si>
  <si>
    <t>Q8WWP7</t>
  </si>
  <si>
    <t>ENST00000307194</t>
  </si>
  <si>
    <t>ENST00000464461</t>
  </si>
  <si>
    <t>Q8WWQ0</t>
  </si>
  <si>
    <t>ENST00000275034</t>
  </si>
  <si>
    <t>ENST00000479165</t>
  </si>
  <si>
    <t>Q8WWV3</t>
  </si>
  <si>
    <t>ENST00000369063</t>
  </si>
  <si>
    <t>ENST00000498091</t>
  </si>
  <si>
    <t>ENST00000539449</t>
  </si>
  <si>
    <t>Q8WWX9</t>
  </si>
  <si>
    <t>ENST00000400299</t>
  </si>
  <si>
    <t>ENST00000465447</t>
  </si>
  <si>
    <t>ENST00000469262</t>
  </si>
  <si>
    <t>ENST00000490967</t>
  </si>
  <si>
    <t>ENST00000491958</t>
  </si>
  <si>
    <t>ENST00000495533</t>
  </si>
  <si>
    <t>Q8WWY3</t>
  </si>
  <si>
    <t>ENST00000321030</t>
  </si>
  <si>
    <t>ENST00000445124</t>
  </si>
  <si>
    <t>ENST00000466404</t>
  </si>
  <si>
    <t>ENST00000467851</t>
  </si>
  <si>
    <t>ENST00000498612</t>
  </si>
  <si>
    <t>Q8WX92</t>
  </si>
  <si>
    <t>ENST00000343053</t>
  </si>
  <si>
    <t>Q8WX93</t>
  </si>
  <si>
    <t>ENST00000511682</t>
  </si>
  <si>
    <t>Q8WX94</t>
  </si>
  <si>
    <t>ENST00000588756</t>
  </si>
  <si>
    <t>Q8WXD5</t>
  </si>
  <si>
    <t>ENST00000281950</t>
  </si>
  <si>
    <t>ENST00000409566</t>
  </si>
  <si>
    <t>Q8WXF1</t>
  </si>
  <si>
    <t>ENST00000338910</t>
  </si>
  <si>
    <t>ENST00000427943</t>
  </si>
  <si>
    <t>ENST00000471658</t>
  </si>
  <si>
    <t>ENST00000492741</t>
  </si>
  <si>
    <t>ENST00000497722</t>
  </si>
  <si>
    <t>Q8WXG1</t>
  </si>
  <si>
    <t>ENST00000382040</t>
  </si>
  <si>
    <t>ENST00000474872</t>
  </si>
  <si>
    <t>ENST00000489749</t>
  </si>
  <si>
    <t>Q8WXH0</t>
  </si>
  <si>
    <t>ENST00000344113</t>
  </si>
  <si>
    <t>ENST00000358025</t>
  </si>
  <si>
    <t>ENST00000441438</t>
  </si>
  <si>
    <t>ENST00000458046</t>
  </si>
  <si>
    <t>ENST00000553308</t>
  </si>
  <si>
    <t>ENST00000553455</t>
  </si>
  <si>
    <t>ENST00000553806</t>
  </si>
  <si>
    <t>ENST00000554584</t>
  </si>
  <si>
    <t>ENST00000554805</t>
  </si>
  <si>
    <t>ENST00000554928</t>
  </si>
  <si>
    <t>ENST00000554997</t>
  </si>
  <si>
    <t>ENST00000555002</t>
  </si>
  <si>
    <t>ENST00000557024</t>
  </si>
  <si>
    <t>ENST00000557060</t>
  </si>
  <si>
    <t>ENST00000557084</t>
  </si>
  <si>
    <t>ENST00000557307</t>
  </si>
  <si>
    <t>Q8WXI9</t>
  </si>
  <si>
    <t>ENST00000368655</t>
  </si>
  <si>
    <t>Q8WXW3</t>
  </si>
  <si>
    <t>ENST00000326291</t>
  </si>
  <si>
    <t>ENST00000489797</t>
  </si>
  <si>
    <t>ENST00000492803</t>
  </si>
  <si>
    <t>Q8WXX5</t>
  </si>
  <si>
    <t>ENST00000372950</t>
  </si>
  <si>
    <t>Q8WY22</t>
  </si>
  <si>
    <t>ENST00000341446</t>
  </si>
  <si>
    <t>Q8WY91</t>
  </si>
  <si>
    <t>ENST00000321679</t>
  </si>
  <si>
    <t>ENST00000402136</t>
  </si>
  <si>
    <t>ENST00000402545</t>
  </si>
  <si>
    <t>ENST00000407315</t>
  </si>
  <si>
    <t>Q8WYA6</t>
  </si>
  <si>
    <t>ENST00000361383</t>
  </si>
  <si>
    <t>ENST00000373469</t>
  </si>
  <si>
    <t>ENST00000373473</t>
  </si>
  <si>
    <t>ENST00000447935</t>
  </si>
  <si>
    <t>ENST00000472237</t>
  </si>
  <si>
    <t>ENST00000473857</t>
  </si>
  <si>
    <t>Q8WYJ6</t>
  </si>
  <si>
    <t>ENST00000321367</t>
  </si>
  <si>
    <t>ENST00000562152</t>
  </si>
  <si>
    <t>ENST00000563743</t>
  </si>
  <si>
    <t>ENST00000563957</t>
  </si>
  <si>
    <t>ENST00000566517</t>
  </si>
  <si>
    <t>ENST00000567783</t>
  </si>
  <si>
    <t>ENST00000568577</t>
  </si>
  <si>
    <t>ENST00000570039</t>
  </si>
  <si>
    <t>ENST00000572252</t>
  </si>
  <si>
    <t>ENST00000573615</t>
  </si>
  <si>
    <t>Q8WYL5</t>
  </si>
  <si>
    <t>ENST00000326495</t>
  </si>
  <si>
    <t>ENST00000546433</t>
  </si>
  <si>
    <t>ENST00000547381</t>
  </si>
  <si>
    <t>ENST00000547862</t>
  </si>
  <si>
    <t>ENST00000551165</t>
  </si>
  <si>
    <t>Q8WYP5</t>
  </si>
  <si>
    <t>ENST00000366508</t>
  </si>
  <si>
    <t>ENST00000470300</t>
  </si>
  <si>
    <t>ENST00000477526</t>
  </si>
  <si>
    <t>ENST00000478568</t>
  </si>
  <si>
    <t>ENST00000483900</t>
  </si>
  <si>
    <t>ENST00000498601</t>
  </si>
  <si>
    <t>Q8WYR1</t>
  </si>
  <si>
    <t>ENST00000269300</t>
  </si>
  <si>
    <t>ENST00000447110</t>
  </si>
  <si>
    <t>ENST00000577214</t>
  </si>
  <si>
    <t>ENST00000578457</t>
  </si>
  <si>
    <t>ENST00000578515</t>
  </si>
  <si>
    <t>ENST00000581552</t>
  </si>
  <si>
    <t>ENST00000581895</t>
  </si>
  <si>
    <t>ENST00000583039</t>
  </si>
  <si>
    <t>ENST00000583222</t>
  </si>
  <si>
    <t>ENST00000583810</t>
  </si>
  <si>
    <t>ENST00000584456</t>
  </si>
  <si>
    <t>ENST00000584803</t>
  </si>
  <si>
    <t>ENST00000585260</t>
  </si>
  <si>
    <t>Q8WZ60</t>
  </si>
  <si>
    <t>ENST00000341319</t>
  </si>
  <si>
    <t>ENST00000468734</t>
  </si>
  <si>
    <t>ENST00000487643</t>
  </si>
  <si>
    <t>ENST00000489245</t>
  </si>
  <si>
    <t>Q8WZ64</t>
  </si>
  <si>
    <t>ENST00000303965</t>
  </si>
  <si>
    <t>ENST00000503225</t>
  </si>
  <si>
    <t>ENST00000505837</t>
  </si>
  <si>
    <t>ENST00000506189</t>
  </si>
  <si>
    <t>ENST00000508066</t>
  </si>
  <si>
    <t>ENST00000511416</t>
  </si>
  <si>
    <t>ENST00000512804</t>
  </si>
  <si>
    <t>ENST00000513032</t>
  </si>
  <si>
    <t>Q8WZ82</t>
  </si>
  <si>
    <t>ENST00000572195</t>
  </si>
  <si>
    <t>Q8WZA0</t>
  </si>
  <si>
    <t>ENST00000377213</t>
  </si>
  <si>
    <t>ENST00000377223</t>
  </si>
  <si>
    <t>ENST00000400903</t>
  </si>
  <si>
    <t>ENST00000471853</t>
  </si>
  <si>
    <t>ENST00000488540</t>
  </si>
  <si>
    <t>Q8WZA9</t>
  </si>
  <si>
    <t>ENST00000422989</t>
  </si>
  <si>
    <t>ENST00000596409</t>
  </si>
  <si>
    <t>ENST00000598324</t>
  </si>
  <si>
    <t>ENST00000601520</t>
  </si>
  <si>
    <t>ENST00000602269</t>
  </si>
  <si>
    <t>Q92466</t>
  </si>
  <si>
    <t>ENST00000256996</t>
  </si>
  <si>
    <t>ENST00000378601</t>
  </si>
  <si>
    <t>ENST00000378603</t>
  </si>
  <si>
    <t>Q92478</t>
  </si>
  <si>
    <t>ENST00000228438</t>
  </si>
  <si>
    <t>ENST00000538152</t>
  </si>
  <si>
    <t>ENST00000539028</t>
  </si>
  <si>
    <t>Q92499</t>
  </si>
  <si>
    <t>ENST00000233084</t>
  </si>
  <si>
    <t>ENST00000434671</t>
  </si>
  <si>
    <t>ENST00000459706</t>
  </si>
  <si>
    <t>ENST00000470674</t>
  </si>
  <si>
    <t>ENST00000478695</t>
  </si>
  <si>
    <t>Q92504</t>
  </si>
  <si>
    <t>ENST00000374675</t>
  </si>
  <si>
    <t>ENST00000374677</t>
  </si>
  <si>
    <t>ENST00000444757</t>
  </si>
  <si>
    <t>ENST00000463972</t>
  </si>
  <si>
    <t>Q92506</t>
  </si>
  <si>
    <t>ENST00000374662</t>
  </si>
  <si>
    <t>ENST00000469186</t>
  </si>
  <si>
    <t>Q92508</t>
  </si>
  <si>
    <t>ENST00000301015</t>
  </si>
  <si>
    <t>ENST00000327397</t>
  </si>
  <si>
    <t>ENST00000419505</t>
  </si>
  <si>
    <t>ENST00000472168</t>
  </si>
  <si>
    <t>ENST00000474606</t>
  </si>
  <si>
    <t>ENST00000475586</t>
  </si>
  <si>
    <t>ENST00000484567</t>
  </si>
  <si>
    <t>ENST00000490756</t>
  </si>
  <si>
    <t>ENST00000491917</t>
  </si>
  <si>
    <t>ENST00000495568</t>
  </si>
  <si>
    <t>ENST00000497793</t>
  </si>
  <si>
    <t>ENST00000521877</t>
  </si>
  <si>
    <t>ENST00000566414</t>
  </si>
  <si>
    <t>Q92520</t>
  </si>
  <si>
    <t>ENST00000359943</t>
  </si>
  <si>
    <t>ENST00000412653</t>
  </si>
  <si>
    <t>ENST00000426156</t>
  </si>
  <si>
    <t>ENST00000474082</t>
  </si>
  <si>
    <t>ENST00000497622</t>
  </si>
  <si>
    <t>Q92522</t>
  </si>
  <si>
    <t>ENST00000333762</t>
  </si>
  <si>
    <t>Q92530</t>
  </si>
  <si>
    <t>ENST00000246015</t>
  </si>
  <si>
    <t>ENST00000335877</t>
  </si>
  <si>
    <t>ENST00000478004</t>
  </si>
  <si>
    <t>ENST00000484891</t>
  </si>
  <si>
    <t>Q92541</t>
  </si>
  <si>
    <t>ENST00000389629</t>
  </si>
  <si>
    <t>ENST00000462276</t>
  </si>
  <si>
    <t>ENST00000473214</t>
  </si>
  <si>
    <t>ENST00000558117</t>
  </si>
  <si>
    <t>ENST00000560447</t>
  </si>
  <si>
    <t>Q92544</t>
  </si>
  <si>
    <t>ENST00000398022</t>
  </si>
  <si>
    <t>ENST00000417389</t>
  </si>
  <si>
    <t>ENST00000442842</t>
  </si>
  <si>
    <t>ENST00000479591</t>
  </si>
  <si>
    <t>ENST00000495749</t>
  </si>
  <si>
    <t>Q92545</t>
  </si>
  <si>
    <t>ENST00000186436</t>
  </si>
  <si>
    <t>ENST00000409721</t>
  </si>
  <si>
    <t>ENST00000465767</t>
  </si>
  <si>
    <t>ENST00000469447</t>
  </si>
  <si>
    <t>ENST00000480724</t>
  </si>
  <si>
    <t>ENST00000485245</t>
  </si>
  <si>
    <t>ENST00000489507</t>
  </si>
  <si>
    <t>Q92547</t>
  </si>
  <si>
    <t>ENST00000260810</t>
  </si>
  <si>
    <t>ENST00000505804</t>
  </si>
  <si>
    <t>ENST00000506779</t>
  </si>
  <si>
    <t>ENST00000508524</t>
  </si>
  <si>
    <t>ENST00000509162</t>
  </si>
  <si>
    <t>ENST00000513818</t>
  </si>
  <si>
    <t>ENST00000572787</t>
  </si>
  <si>
    <t>Q92551</t>
  </si>
  <si>
    <t>ENST00000321599</t>
  </si>
  <si>
    <t>ENST00000395238</t>
  </si>
  <si>
    <t>ENST00000460540</t>
  </si>
  <si>
    <t>ENST00000468463</t>
  </si>
  <si>
    <t>ENST00000495798</t>
  </si>
  <si>
    <t>ENST00000498149</t>
  </si>
  <si>
    <t>Q92552</t>
  </si>
  <si>
    <t>ENST00000261413</t>
  </si>
  <si>
    <t>ENST00000457646</t>
  </si>
  <si>
    <t>ENST00000515226</t>
  </si>
  <si>
    <t>ENST00000515404</t>
  </si>
  <si>
    <t>ENST00000520285</t>
  </si>
  <si>
    <t>ENST00000522095</t>
  </si>
  <si>
    <t>ENST00000522404</t>
  </si>
  <si>
    <t>ENST00000522562</t>
  </si>
  <si>
    <t>ENST00000522585</t>
  </si>
  <si>
    <t>Q92556</t>
  </si>
  <si>
    <t>ENST00000310758</t>
  </si>
  <si>
    <t>ENST00000424212</t>
  </si>
  <si>
    <t>ENST00000442504</t>
  </si>
  <si>
    <t>ENST00000448602</t>
  </si>
  <si>
    <t>ENST00000463390</t>
  </si>
  <si>
    <t>ENST00000464262</t>
  </si>
  <si>
    <t>ENST00000479447</t>
  </si>
  <si>
    <t>ENST00000487336</t>
  </si>
  <si>
    <t>ENST00000497024</t>
  </si>
  <si>
    <t>Q92560</t>
  </si>
  <si>
    <t>ENST00000296288</t>
  </si>
  <si>
    <t>ENST00000460680</t>
  </si>
  <si>
    <t>ENST00000466093</t>
  </si>
  <si>
    <t>ENST00000469613</t>
  </si>
  <si>
    <t>ENST00000470173</t>
  </si>
  <si>
    <t>ENST00000471532</t>
  </si>
  <si>
    <t>ENST00000478368</t>
  </si>
  <si>
    <t>ENST00000490804</t>
  </si>
  <si>
    <t>ENST00000490917</t>
  </si>
  <si>
    <t>Q92562</t>
  </si>
  <si>
    <t>ENST00000230124</t>
  </si>
  <si>
    <t>ENST00000368941</t>
  </si>
  <si>
    <t>ENST00000419951</t>
  </si>
  <si>
    <t>Q92563</t>
  </si>
  <si>
    <t>ENST00000373109</t>
  </si>
  <si>
    <t>ENST00000412663</t>
  </si>
  <si>
    <t>ENST00000460053</t>
  </si>
  <si>
    <t>ENST00000463279</t>
  </si>
  <si>
    <t>ENST00000469121</t>
  </si>
  <si>
    <t>ENST00000495888</t>
  </si>
  <si>
    <t>ENST00000536168</t>
  </si>
  <si>
    <t>Q92570</t>
  </si>
  <si>
    <t>ENST00000330847</t>
  </si>
  <si>
    <t>ENST00000338488</t>
  </si>
  <si>
    <t>ENST00000395097</t>
  </si>
  <si>
    <t>Q92572</t>
  </si>
  <si>
    <t>ENST00000316788</t>
  </si>
  <si>
    <t>ENST00000395548</t>
  </si>
  <si>
    <t>ENST00000505423</t>
  </si>
  <si>
    <t>ENST00000506430</t>
  </si>
  <si>
    <t>ENST00000507436</t>
  </si>
  <si>
    <t>ENST00000514118</t>
  </si>
  <si>
    <t>ENST00000515066</t>
  </si>
  <si>
    <t>Q92575</t>
  </si>
  <si>
    <t>ENST00000272638</t>
  </si>
  <si>
    <t>ENST00000415164</t>
  </si>
  <si>
    <t>ENST00000416538</t>
  </si>
  <si>
    <t>ENST00000426921</t>
  </si>
  <si>
    <t>ENST00000470687</t>
  </si>
  <si>
    <t>ENST00000471246</t>
  </si>
  <si>
    <t>ENST00000490163</t>
  </si>
  <si>
    <t>Q92585</t>
  </si>
  <si>
    <t>ENST00000292599</t>
  </si>
  <si>
    <t>ENST00000503050</t>
  </si>
  <si>
    <t>ENST00000507385</t>
  </si>
  <si>
    <t>ENST00000511027</t>
  </si>
  <si>
    <t>Q92597</t>
  </si>
  <si>
    <t>ENST00000323851</t>
  </si>
  <si>
    <t>ENST00000414097</t>
  </si>
  <si>
    <t>ENST00000517745</t>
  </si>
  <si>
    <t>ENST00000518066</t>
  </si>
  <si>
    <t>ENST00000518094</t>
  </si>
  <si>
    <t>ENST00000518176</t>
  </si>
  <si>
    <t>ENST00000519278</t>
  </si>
  <si>
    <t>ENST00000521026</t>
  </si>
  <si>
    <t>ENST00000521414</t>
  </si>
  <si>
    <t>ENST00000521544</t>
  </si>
  <si>
    <t>ENST00000521664</t>
  </si>
  <si>
    <t>ENST00000522665</t>
  </si>
  <si>
    <t>ENST00000523642</t>
  </si>
  <si>
    <t>ENST00000523892</t>
  </si>
  <si>
    <t>ENST00000523931</t>
  </si>
  <si>
    <t>Q92598</t>
  </si>
  <si>
    <t>ENST00000320027</t>
  </si>
  <si>
    <t>ENST00000380405</t>
  </si>
  <si>
    <t>ENST00000445273</t>
  </si>
  <si>
    <t>ENST00000469538</t>
  </si>
  <si>
    <t>Q92600</t>
  </si>
  <si>
    <t>ENST00000273064</t>
  </si>
  <si>
    <t>ENST00000295701</t>
  </si>
  <si>
    <t>ENST00000418808</t>
  </si>
  <si>
    <t>ENST00000432877</t>
  </si>
  <si>
    <t>ENST00000473626</t>
  </si>
  <si>
    <t>Q92604</t>
  </si>
  <si>
    <t>ENST00000366997</t>
  </si>
  <si>
    <t>ENST00000488600</t>
  </si>
  <si>
    <t>ENST00000498690</t>
  </si>
  <si>
    <t>Q92608</t>
  </si>
  <si>
    <t>ENST00000256935</t>
  </si>
  <si>
    <t>ENST00000433448</t>
  </si>
  <si>
    <t>ENST00000518056</t>
  </si>
  <si>
    <t>ENST00000519223</t>
  </si>
  <si>
    <t>ENST00000519628</t>
  </si>
  <si>
    <t>ENST00000519868</t>
  </si>
  <si>
    <t>ENST00000520181</t>
  </si>
  <si>
    <t>ENST00000520450</t>
  </si>
  <si>
    <t>ENST00000520836</t>
  </si>
  <si>
    <t>ENST00000520908</t>
  </si>
  <si>
    <t>ENST00000523351</t>
  </si>
  <si>
    <t>Q92609</t>
  </si>
  <si>
    <t>ENST00000434420</t>
  </si>
  <si>
    <t>ENST00000465884</t>
  </si>
  <si>
    <t>ENST00000473612</t>
  </si>
  <si>
    <t>ENST00000481396</t>
  </si>
  <si>
    <t>Q92610</t>
  </si>
  <si>
    <t>ENST00000299927</t>
  </si>
  <si>
    <t>ENST00000559607</t>
  </si>
  <si>
    <t>ENST00000560079</t>
  </si>
  <si>
    <t>Q92615</t>
  </si>
  <si>
    <t>ENST00000316157</t>
  </si>
  <si>
    <t>ENST00000412411</t>
  </si>
  <si>
    <t>ENST00000448368</t>
  </si>
  <si>
    <t>ENST00000469487</t>
  </si>
  <si>
    <t>ENST00000476529</t>
  </si>
  <si>
    <t>ENST00000481118</t>
  </si>
  <si>
    <t>ENST00000608970</t>
  </si>
  <si>
    <t>ENST00000609318</t>
  </si>
  <si>
    <t>Q92616</t>
  </si>
  <si>
    <t>ENST00000300648</t>
  </si>
  <si>
    <t>ENST00000547263</t>
  </si>
  <si>
    <t>ENST00000547369</t>
  </si>
  <si>
    <t>ENST00000548132</t>
  </si>
  <si>
    <t>ENST00000548821</t>
  </si>
  <si>
    <t>ENST00000549815</t>
  </si>
  <si>
    <t>ENST00000550471</t>
  </si>
  <si>
    <t>ENST00000551549</t>
  </si>
  <si>
    <t>ENST00000551920</t>
  </si>
  <si>
    <t>Q92618</t>
  </si>
  <si>
    <t>ENST00000443185</t>
  </si>
  <si>
    <t>ENST00000532857</t>
  </si>
  <si>
    <t>ENST00000543743</t>
  </si>
  <si>
    <t>Q92619</t>
  </si>
  <si>
    <t>ENST00000313093</t>
  </si>
  <si>
    <t>ENST00000586033</t>
  </si>
  <si>
    <t>ENST00000586378</t>
  </si>
  <si>
    <t>ENST00000586866</t>
  </si>
  <si>
    <t>ENST00000586937</t>
  </si>
  <si>
    <t>ENST00000587602</t>
  </si>
  <si>
    <t>ENST00000590214</t>
  </si>
  <si>
    <t>ENST00000590577</t>
  </si>
  <si>
    <t>ENST00000591169</t>
  </si>
  <si>
    <t>ENST00000592297</t>
  </si>
  <si>
    <t>ENST00000592335</t>
  </si>
  <si>
    <t>Q92620</t>
  </si>
  <si>
    <t>ENST00000268482</t>
  </si>
  <si>
    <t>ENST00000562774</t>
  </si>
  <si>
    <t>ENST00000563650</t>
  </si>
  <si>
    <t>ENST00000564307</t>
  </si>
  <si>
    <t>ENST00000564622</t>
  </si>
  <si>
    <t>ENST00000566329</t>
  </si>
  <si>
    <t>ENST00000566489</t>
  </si>
  <si>
    <t>ENST00000566794</t>
  </si>
  <si>
    <t>ENST00000567142</t>
  </si>
  <si>
    <t>ENST00000567552</t>
  </si>
  <si>
    <t>ENST00000569935</t>
  </si>
  <si>
    <t>ENST00000569952</t>
  </si>
  <si>
    <t>Q92621</t>
  </si>
  <si>
    <t>ENST00000285968</t>
  </si>
  <si>
    <t>ENST00000461255</t>
  </si>
  <si>
    <t>ENST00000462316</t>
  </si>
  <si>
    <t>ENST00000472132</t>
  </si>
  <si>
    <t>ENST00000477620</t>
  </si>
  <si>
    <t>ENST00000490439</t>
  </si>
  <si>
    <t>ENST00000491089</t>
  </si>
  <si>
    <t>ENST00000607647</t>
  </si>
  <si>
    <t>Q92623</t>
  </si>
  <si>
    <t>ENST00000256367</t>
  </si>
  <si>
    <t>Q92625</t>
  </si>
  <si>
    <t>ENST00000360359</t>
  </si>
  <si>
    <t>ENST00000470698</t>
  </si>
  <si>
    <t>Q92636</t>
  </si>
  <si>
    <t>ENST00000038176</t>
  </si>
  <si>
    <t>ENST00000427130</t>
  </si>
  <si>
    <t>ENST00000517612</t>
  </si>
  <si>
    <t>ENST00000518159</t>
  </si>
  <si>
    <t>ENST00000518229</t>
  </si>
  <si>
    <t>ENST00000519166</t>
  </si>
  <si>
    <t>ENST00000519174</t>
  </si>
  <si>
    <t>ENST00000519227</t>
  </si>
  <si>
    <t>ENST00000519858</t>
  </si>
  <si>
    <t>ENST00000519871</t>
  </si>
  <si>
    <t>ENST00000521712</t>
  </si>
  <si>
    <t>ENST00000521972</t>
  </si>
  <si>
    <t>ENST00000522645</t>
  </si>
  <si>
    <t>ENST00000523106</t>
  </si>
  <si>
    <t>ENST00000523177</t>
  </si>
  <si>
    <t>ENST00000523982</t>
  </si>
  <si>
    <t>ENST00000524148</t>
  </si>
  <si>
    <t>Q92643</t>
  </si>
  <si>
    <t>ENST00000359130</t>
  </si>
  <si>
    <t>ENST00000370812</t>
  </si>
  <si>
    <t>Q92664</t>
  </si>
  <si>
    <t>ENST00000381140</t>
  </si>
  <si>
    <t>ENST00000419181</t>
  </si>
  <si>
    <t>ENST00000435781</t>
  </si>
  <si>
    <t>ENST00000438571</t>
  </si>
  <si>
    <t>ENST00000466776</t>
  </si>
  <si>
    <t>ENST00000470606</t>
  </si>
  <si>
    <t>ENST00000482655</t>
  </si>
  <si>
    <t>ENST00000493903</t>
  </si>
  <si>
    <t>Q92665</t>
  </si>
  <si>
    <t>ENST00000323563</t>
  </si>
  <si>
    <t>ENST00000461675</t>
  </si>
  <si>
    <t>ENST00000498078</t>
  </si>
  <si>
    <t>Q92667</t>
  </si>
  <si>
    <t>ENST00000337714</t>
  </si>
  <si>
    <t>ENST00000575032</t>
  </si>
  <si>
    <t>Q92673</t>
  </si>
  <si>
    <t>ENST00000260197</t>
  </si>
  <si>
    <t>ENST00000524633</t>
  </si>
  <si>
    <t>ENST00000524873</t>
  </si>
  <si>
    <t>ENST00000527649</t>
  </si>
  <si>
    <t>ENST00000528339</t>
  </si>
  <si>
    <t>ENST00000529445</t>
  </si>
  <si>
    <t>ENST00000530365</t>
  </si>
  <si>
    <t>ENST00000534754</t>
  </si>
  <si>
    <t>Q92685</t>
  </si>
  <si>
    <t>ENST00000397676</t>
  </si>
  <si>
    <t>ENST00000411922</t>
  </si>
  <si>
    <t>ENST00000414845</t>
  </si>
  <si>
    <t>ENST00000423996</t>
  </si>
  <si>
    <t>ENST00000455059</t>
  </si>
  <si>
    <t>ENST00000461415</t>
  </si>
  <si>
    <t>ENST00000462735</t>
  </si>
  <si>
    <t>ENST00000477959</t>
  </si>
  <si>
    <t>ENST00000482048</t>
  </si>
  <si>
    <t>ENST00000485912</t>
  </si>
  <si>
    <t>ENST00000488976</t>
  </si>
  <si>
    <t>Q92688</t>
  </si>
  <si>
    <t>ENST00000339399</t>
  </si>
  <si>
    <t>ENST00000473205</t>
  </si>
  <si>
    <t>ENST00000486769</t>
  </si>
  <si>
    <t>Q92696</t>
  </si>
  <si>
    <t>ENST00000216840</t>
  </si>
  <si>
    <t>ENST00000399409</t>
  </si>
  <si>
    <t>ENST00000543002</t>
  </si>
  <si>
    <t>ENST00000558534</t>
  </si>
  <si>
    <t>ENST00000558649</t>
  </si>
  <si>
    <t>ENST00000558936</t>
  </si>
  <si>
    <t>ENST00000559551</t>
  </si>
  <si>
    <t>ENST00000559586</t>
  </si>
  <si>
    <t>ENST00000559850</t>
  </si>
  <si>
    <t>ENST00000559974</t>
  </si>
  <si>
    <t>ENST00000560163</t>
  </si>
  <si>
    <t>ENST00000560207</t>
  </si>
  <si>
    <t>ENST00000560521</t>
  </si>
  <si>
    <t>ENST00000560777</t>
  </si>
  <si>
    <t>ENST00000560871</t>
  </si>
  <si>
    <t>ENST00000560998</t>
  </si>
  <si>
    <t>ENST00000561055</t>
  </si>
  <si>
    <t>Q92733</t>
  </si>
  <si>
    <t>ENST00000271526</t>
  </si>
  <si>
    <t>ENST00000454659</t>
  </si>
  <si>
    <t>ENST00000459707</t>
  </si>
  <si>
    <t>ENST00000469071</t>
  </si>
  <si>
    <t>ENST00000526188</t>
  </si>
  <si>
    <t>Q92747</t>
  </si>
  <si>
    <t>ENST00000262942</t>
  </si>
  <si>
    <t>ENST00000441989</t>
  </si>
  <si>
    <t>ENST00000471960</t>
  </si>
  <si>
    <t>ENST00000477240</t>
  </si>
  <si>
    <t>Q92750</t>
  </si>
  <si>
    <t>ENST00000269142</t>
  </si>
  <si>
    <t>ENST00000400466</t>
  </si>
  <si>
    <t>ENST00000418698</t>
  </si>
  <si>
    <t>Q92759</t>
  </si>
  <si>
    <t>ENST00000259895</t>
  </si>
  <si>
    <t>ENST00000475845</t>
  </si>
  <si>
    <t>ENST00000483318</t>
  </si>
  <si>
    <t>ENST00000487746</t>
  </si>
  <si>
    <t>Q92766</t>
  </si>
  <si>
    <t>ENST00000349384</t>
  </si>
  <si>
    <t>ENST00000379938</t>
  </si>
  <si>
    <t>ENST00000467782</t>
  </si>
  <si>
    <t>ENST00000471433</t>
  </si>
  <si>
    <t>ENST00000475946</t>
  </si>
  <si>
    <t>Q92769</t>
  </si>
  <si>
    <t>ENST00000368632</t>
  </si>
  <si>
    <t>ENST00000425835</t>
  </si>
  <si>
    <t>ENST00000518756</t>
  </si>
  <si>
    <t>ENST00000519065</t>
  </si>
  <si>
    <t>ENST00000520746</t>
  </si>
  <si>
    <t>ENST00000521163</t>
  </si>
  <si>
    <t>ENST00000521233</t>
  </si>
  <si>
    <t>ENST00000523334</t>
  </si>
  <si>
    <t>Q92785</t>
  </si>
  <si>
    <t>ENST00000252268</t>
  </si>
  <si>
    <t>ENST00000444314</t>
  </si>
  <si>
    <t>ENST00000524666</t>
  </si>
  <si>
    <t>ENST00000528416</t>
  </si>
  <si>
    <t>ENST00000530973</t>
  </si>
  <si>
    <t>ENST00000530993</t>
  </si>
  <si>
    <t>ENST00000532052</t>
  </si>
  <si>
    <t>ENST00000532102</t>
  </si>
  <si>
    <t>ENST00000532264</t>
  </si>
  <si>
    <t>ENST00000532492</t>
  </si>
  <si>
    <t>Q92793</t>
  </si>
  <si>
    <t>ENST00000262367</t>
  </si>
  <si>
    <t>ENST00000382070</t>
  </si>
  <si>
    <t>ENST00000571763</t>
  </si>
  <si>
    <t>ENST00000571826</t>
  </si>
  <si>
    <t>ENST00000572134</t>
  </si>
  <si>
    <t>ENST00000572569</t>
  </si>
  <si>
    <t>ENST00000573517</t>
  </si>
  <si>
    <t>ENST00000573672</t>
  </si>
  <si>
    <t>ENST00000574740</t>
  </si>
  <si>
    <t>ENST00000575237</t>
  </si>
  <si>
    <t>ENST00000576720</t>
  </si>
  <si>
    <t>Q92794</t>
  </si>
  <si>
    <t>ENST00000265713</t>
  </si>
  <si>
    <t>ENST00000396930</t>
  </si>
  <si>
    <t>ENST00000406337</t>
  </si>
  <si>
    <t>ENST00000418721</t>
  </si>
  <si>
    <t>ENST00000426524</t>
  </si>
  <si>
    <t>ENST00000463961</t>
  </si>
  <si>
    <t>ENST00000470574</t>
  </si>
  <si>
    <t>ENST00000485568</t>
  </si>
  <si>
    <t>Q92797</t>
  </si>
  <si>
    <t>ENST00000245934</t>
  </si>
  <si>
    <t>ENST00000593504</t>
  </si>
  <si>
    <t>ENST00000593959</t>
  </si>
  <si>
    <t>ENST00000594293</t>
  </si>
  <si>
    <t>ENST00000596824</t>
  </si>
  <si>
    <t>ENST00000598155</t>
  </si>
  <si>
    <t>ENST00000598329</t>
  </si>
  <si>
    <t>ENST00000598364</t>
  </si>
  <si>
    <t>ENST00000598896</t>
  </si>
  <si>
    <t>ENST00000599460</t>
  </si>
  <si>
    <t>ENST00000599814</t>
  </si>
  <si>
    <t>ENST00000600237</t>
  </si>
  <si>
    <t>ENST00000601582</t>
  </si>
  <si>
    <t>ENST00000602061</t>
  </si>
  <si>
    <t>Q92802</t>
  </si>
  <si>
    <t>ENST00000267068</t>
  </si>
  <si>
    <t>ENST00000357505</t>
  </si>
  <si>
    <t>ENST00000380121</t>
  </si>
  <si>
    <t>ENST00000399396</t>
  </si>
  <si>
    <t>ENST00000473025</t>
  </si>
  <si>
    <t>ENST00000483088</t>
  </si>
  <si>
    <t>ENST00000503814</t>
  </si>
  <si>
    <t>ENST00000505213</t>
  </si>
  <si>
    <t>ENST00000512755</t>
  </si>
  <si>
    <t>Q92805</t>
  </si>
  <si>
    <t>ENST00000373551</t>
  </si>
  <si>
    <t>ENST00000373555</t>
  </si>
  <si>
    <t>ENST00000605438</t>
  </si>
  <si>
    <t>Q92820</t>
  </si>
  <si>
    <t>ENST00000260118</t>
  </si>
  <si>
    <t>ENST00000518966</t>
  </si>
  <si>
    <t>ENST00000520609</t>
  </si>
  <si>
    <t>ENST00000522852</t>
  </si>
  <si>
    <t>ENST00000523788</t>
  </si>
  <si>
    <t>Q92828</t>
  </si>
  <si>
    <t>ENST00000375077</t>
  </si>
  <si>
    <t>Q92830</t>
  </si>
  <si>
    <t>ENST00000225916</t>
  </si>
  <si>
    <t>ENST00000465682</t>
  </si>
  <si>
    <t>ENST00000586972</t>
  </si>
  <si>
    <t>ENST00000588759</t>
  </si>
  <si>
    <t>ENST00000592310</t>
  </si>
  <si>
    <t>Q92831</t>
  </si>
  <si>
    <t>ENST00000263754</t>
  </si>
  <si>
    <t>ENST00000468111</t>
  </si>
  <si>
    <t>ENST00000468400</t>
  </si>
  <si>
    <t>Q92841</t>
  </si>
  <si>
    <t>ENST00000216019</t>
  </si>
  <si>
    <t>ENST00000396821</t>
  </si>
  <si>
    <t>ENST00000403230</t>
  </si>
  <si>
    <t>ENST00000431312</t>
  </si>
  <si>
    <t>ENST00000467279</t>
  </si>
  <si>
    <t>ENST00000475004</t>
  </si>
  <si>
    <t>ENST00000477112</t>
  </si>
  <si>
    <t>ENST00000479734</t>
  </si>
  <si>
    <t>ENST00000497196</t>
  </si>
  <si>
    <t>Q92844</t>
  </si>
  <si>
    <t>ENST00000259075</t>
  </si>
  <si>
    <t>ENST00000392749</t>
  </si>
  <si>
    <t>ENST00000402568</t>
  </si>
  <si>
    <t>ENST00000403609</t>
  </si>
  <si>
    <t>ENST00000406287</t>
  </si>
  <si>
    <t>ENST00000429217</t>
  </si>
  <si>
    <t>ENST00000432002</t>
  </si>
  <si>
    <t>ENST00000437623</t>
  </si>
  <si>
    <t>ENST00000440506</t>
  </si>
  <si>
    <t>ENST00000441987</t>
  </si>
  <si>
    <t>ENST00000456358</t>
  </si>
  <si>
    <t>ENST00000461338</t>
  </si>
  <si>
    <t>ENST00000463502</t>
  </si>
  <si>
    <t>ENST00000468831</t>
  </si>
  <si>
    <t>ENST00000470324</t>
  </si>
  <si>
    <t>ENST00000477952</t>
  </si>
  <si>
    <t>ENST00000483622</t>
  </si>
  <si>
    <t>ENST00000489393</t>
  </si>
  <si>
    <t>ENST00000494976</t>
  </si>
  <si>
    <t>Q92851</t>
  </si>
  <si>
    <t>ENST00000272879</t>
  </si>
  <si>
    <t>ENST00000286186</t>
  </si>
  <si>
    <t>ENST00000346817</t>
  </si>
  <si>
    <t>ENST00000360132</t>
  </si>
  <si>
    <t>ENST00000374650</t>
  </si>
  <si>
    <t>ENST00000460140</t>
  </si>
  <si>
    <t>ENST00000471191</t>
  </si>
  <si>
    <t>ENST00000484926</t>
  </si>
  <si>
    <t>ENST00000485408</t>
  </si>
  <si>
    <t>ENST00000492363</t>
  </si>
  <si>
    <t>Q92854</t>
  </si>
  <si>
    <t>ENST00000339861</t>
  </si>
  <si>
    <t>ENST00000356444</t>
  </si>
  <si>
    <t>ENST00000420101</t>
  </si>
  <si>
    <t>ENST00000422704</t>
  </si>
  <si>
    <t>ENST00000429836</t>
  </si>
  <si>
    <t>ENST00000433650</t>
  </si>
  <si>
    <t>ENST00000438547</t>
  </si>
  <si>
    <t>ENST00000450295</t>
  </si>
  <si>
    <t>ENST00000455551</t>
  </si>
  <si>
    <t>ENST00000464051</t>
  </si>
  <si>
    <t>ENST00000469653</t>
  </si>
  <si>
    <t>ENST00000474258</t>
  </si>
  <si>
    <t>ENST00000475255</t>
  </si>
  <si>
    <t>ENST00000486935</t>
  </si>
  <si>
    <t>ENST00000492386</t>
  </si>
  <si>
    <t>ENST00000537934</t>
  </si>
  <si>
    <t>ENST00000540475</t>
  </si>
  <si>
    <t>ENST00000544513</t>
  </si>
  <si>
    <t>Q92871</t>
  </si>
  <si>
    <t>ENST00000216259</t>
  </si>
  <si>
    <t>ENST00000414636</t>
  </si>
  <si>
    <t>ENST00000463617</t>
  </si>
  <si>
    <t>ENST00000466645</t>
  </si>
  <si>
    <t>ENST00000472620</t>
  </si>
  <si>
    <t>ENST00000478337</t>
  </si>
  <si>
    <t>ENST00000482178</t>
  </si>
  <si>
    <t>ENST00000485648</t>
  </si>
  <si>
    <t>ENST00000493389</t>
  </si>
  <si>
    <t>Q92878</t>
  </si>
  <si>
    <t>ENST00000378823</t>
  </si>
  <si>
    <t>ENST00000434288</t>
  </si>
  <si>
    <t>ENST00000455677</t>
  </si>
  <si>
    <t>ENST00000487596</t>
  </si>
  <si>
    <t>ENST00000496204</t>
  </si>
  <si>
    <t>Q92882</t>
  </si>
  <si>
    <t>ENST00000346234</t>
  </si>
  <si>
    <t>Q92889</t>
  </si>
  <si>
    <t>ENST00000311895</t>
  </si>
  <si>
    <t>ENST00000462862</t>
  </si>
  <si>
    <t>ENST00000573018</t>
  </si>
  <si>
    <t>ENST00000574194</t>
  </si>
  <si>
    <t>ENST00000574781</t>
  </si>
  <si>
    <t>ENST00000575156</t>
  </si>
  <si>
    <t>ENST00000576348</t>
  </si>
  <si>
    <t>Q92890</t>
  </si>
  <si>
    <t>ENST00000263202</t>
  </si>
  <si>
    <t>ENST00000399523</t>
  </si>
  <si>
    <t>ENST00000447868</t>
  </si>
  <si>
    <t>ENST00000459854</t>
  </si>
  <si>
    <t>ENST00000466373</t>
  </si>
  <si>
    <t>ENST00000474226</t>
  </si>
  <si>
    <t>ENST00000489406</t>
  </si>
  <si>
    <t>Q92896</t>
  </si>
  <si>
    <t>ENST00000205061</t>
  </si>
  <si>
    <t>ENST00000422840</t>
  </si>
  <si>
    <t>ENST00000561481</t>
  </si>
  <si>
    <t>ENST00000561942</t>
  </si>
  <si>
    <t>ENST00000562090</t>
  </si>
  <si>
    <t>ENST00000563432</t>
  </si>
  <si>
    <t>ENST00000563646</t>
  </si>
  <si>
    <t>ENST00000566601</t>
  </si>
  <si>
    <t>ENST00000567911</t>
  </si>
  <si>
    <t>Q92905</t>
  </si>
  <si>
    <t>ENST00000357849</t>
  </si>
  <si>
    <t>ENST00000517406</t>
  </si>
  <si>
    <t>ENST00000517736</t>
  </si>
  <si>
    <t>ENST00000521386</t>
  </si>
  <si>
    <t>ENST00000521509</t>
  </si>
  <si>
    <t>ENST00000523086</t>
  </si>
  <si>
    <t>ENST00000523890</t>
  </si>
  <si>
    <t>Q92917</t>
  </si>
  <si>
    <t>ENST00000156109</t>
  </si>
  <si>
    <t>Q92922</t>
  </si>
  <si>
    <t>ENST00000254480</t>
  </si>
  <si>
    <t>ENST00000462198</t>
  </si>
  <si>
    <t>ENST00000483847</t>
  </si>
  <si>
    <t>ENST00000485737</t>
  </si>
  <si>
    <t>Q92930</t>
  </si>
  <si>
    <t>ENST00000321437</t>
  </si>
  <si>
    <t>ENST00000558990</t>
  </si>
  <si>
    <t>ENST00000559006</t>
  </si>
  <si>
    <t>ENST00000559927</t>
  </si>
  <si>
    <t>Q92945</t>
  </si>
  <si>
    <t>ENST00000398148</t>
  </si>
  <si>
    <t>ENST00000594496</t>
  </si>
  <si>
    <t>ENST00000594745</t>
  </si>
  <si>
    <t>ENST00000595112</t>
  </si>
  <si>
    <t>ENST00000595223</t>
  </si>
  <si>
    <t>ENST00000595258</t>
  </si>
  <si>
    <t>ENST00000597656</t>
  </si>
  <si>
    <t>ENST00000597704</t>
  </si>
  <si>
    <t>ENST00000599395</t>
  </si>
  <si>
    <t>ENST00000599642</t>
  </si>
  <si>
    <t>ENST00000600480</t>
  </si>
  <si>
    <t>Q92947</t>
  </si>
  <si>
    <t>ENST00000222214</t>
  </si>
  <si>
    <t>ENST00000585420</t>
  </si>
  <si>
    <t>ENST00000585760</t>
  </si>
  <si>
    <t>ENST00000587832</t>
  </si>
  <si>
    <t>ENST00000589039</t>
  </si>
  <si>
    <t>ENST00000590472</t>
  </si>
  <si>
    <t>ENST00000590530</t>
  </si>
  <si>
    <t>ENST00000590627</t>
  </si>
  <si>
    <t>ENST00000591043</t>
  </si>
  <si>
    <t>ENST00000591050</t>
  </si>
  <si>
    <t>ENST00000591470</t>
  </si>
  <si>
    <t>Q92963</t>
  </si>
  <si>
    <t>ENST00000368322</t>
  </si>
  <si>
    <t>ENST00000368323</t>
  </si>
  <si>
    <t>ENST00000461050</t>
  </si>
  <si>
    <t>ENST00000462687</t>
  </si>
  <si>
    <t>ENST00000539040</t>
  </si>
  <si>
    <t>ENST00000609492</t>
  </si>
  <si>
    <t>Q92966</t>
  </si>
  <si>
    <t>ENST00000380799</t>
  </si>
  <si>
    <t>ENST00000380821</t>
  </si>
  <si>
    <t>ENST00000461041</t>
  </si>
  <si>
    <t>ENST00000467062</t>
  </si>
  <si>
    <t>ENST00000490969</t>
  </si>
  <si>
    <t>Q92968</t>
  </si>
  <si>
    <t>ENST00000295030</t>
  </si>
  <si>
    <t>ENST00000401576</t>
  </si>
  <si>
    <t>ENST00000414712</t>
  </si>
  <si>
    <t>ENST00000444100</t>
  </si>
  <si>
    <t>Q92979</t>
  </si>
  <si>
    <t>ENST00000539196</t>
  </si>
  <si>
    <t>Q92990</t>
  </si>
  <si>
    <t>ENST00000370360</t>
  </si>
  <si>
    <t>ENST00000471465</t>
  </si>
  <si>
    <t>ENST00000487911</t>
  </si>
  <si>
    <t>ENST00000495852</t>
  </si>
  <si>
    <t>Q93009</t>
  </si>
  <si>
    <t>ENST00000344836</t>
  </si>
  <si>
    <t>ENST00000381886</t>
  </si>
  <si>
    <t>ENST00000542333</t>
  </si>
  <si>
    <t>ENST00000562051</t>
  </si>
  <si>
    <t>ENST00000562615</t>
  </si>
  <si>
    <t>ENST00000563961</t>
  </si>
  <si>
    <t>ENST00000565883</t>
  </si>
  <si>
    <t>ENST00000566131</t>
  </si>
  <si>
    <t>ENST00000567113</t>
  </si>
  <si>
    <t>ENST00000567329</t>
  </si>
  <si>
    <t>ENST00000569448</t>
  </si>
  <si>
    <t>ENST00000570256</t>
  </si>
  <si>
    <t>Q93015</t>
  </si>
  <si>
    <t>ENST00000354862</t>
  </si>
  <si>
    <t>ENST00000443094</t>
  </si>
  <si>
    <t>ENST00000443842</t>
  </si>
  <si>
    <t>ENST00000450489</t>
  </si>
  <si>
    <t>Q93033</t>
  </si>
  <si>
    <t>ENST00000256652</t>
  </si>
  <si>
    <t>ENST00000460180</t>
  </si>
  <si>
    <t>Q93034</t>
  </si>
  <si>
    <t>ENST00000393094</t>
  </si>
  <si>
    <t>ENST00000526303</t>
  </si>
  <si>
    <t>ENST00000531427</t>
  </si>
  <si>
    <t>ENST00000531843</t>
  </si>
  <si>
    <t>ENST00000532782</t>
  </si>
  <si>
    <t>Q93052</t>
  </si>
  <si>
    <t>ENST00000415906</t>
  </si>
  <si>
    <t>ENST00000448637</t>
  </si>
  <si>
    <t>Q93075</t>
  </si>
  <si>
    <t>ENST00000287652</t>
  </si>
  <si>
    <t>ENST00000426850</t>
  </si>
  <si>
    <t>ENST00000448281</t>
  </si>
  <si>
    <t>ENST00000496355</t>
  </si>
  <si>
    <t>Q969E4</t>
  </si>
  <si>
    <t>ENST00000243286</t>
  </si>
  <si>
    <t>ENST00000372627</t>
  </si>
  <si>
    <t>ENST00000372628</t>
  </si>
  <si>
    <t>ENST00000477014</t>
  </si>
  <si>
    <t>Q969G6</t>
  </si>
  <si>
    <t>ENST00000376736</t>
  </si>
  <si>
    <t>ENST00000479197</t>
  </si>
  <si>
    <t>Q969H8</t>
  </si>
  <si>
    <t>ENST00000262947</t>
  </si>
  <si>
    <t>ENST00000596031</t>
  </si>
  <si>
    <t>ENST00000599630</t>
  </si>
  <si>
    <t>Q969J2</t>
  </si>
  <si>
    <t>ENST00000377294</t>
  </si>
  <si>
    <t>Q969J3</t>
  </si>
  <si>
    <t>ENST00000314565</t>
  </si>
  <si>
    <t>ENST00000542728</t>
  </si>
  <si>
    <t>ENST00000543990</t>
  </si>
  <si>
    <t>Q969K3</t>
  </si>
  <si>
    <t>ENST00000361234</t>
  </si>
  <si>
    <t>ENST00000392464</t>
  </si>
  <si>
    <t>ENST00000392465</t>
  </si>
  <si>
    <t>ENST00000553407</t>
  </si>
  <si>
    <t>ENST00000554484</t>
  </si>
  <si>
    <t>ENST00000554606</t>
  </si>
  <si>
    <t>ENST00000556562</t>
  </si>
  <si>
    <t>ENST00000557402</t>
  </si>
  <si>
    <t>Q969M1</t>
  </si>
  <si>
    <t>ENST00000367987</t>
  </si>
  <si>
    <t>ENST00000367988</t>
  </si>
  <si>
    <t>ENST00000468803</t>
  </si>
  <si>
    <t>ENST00000475793</t>
  </si>
  <si>
    <t>ENST00000545897</t>
  </si>
  <si>
    <t>Q969M3</t>
  </si>
  <si>
    <t>ENST00000274496</t>
  </si>
  <si>
    <t>ENST00000448443</t>
  </si>
  <si>
    <t>ENST00000519064</t>
  </si>
  <si>
    <t>ENST00000522203</t>
  </si>
  <si>
    <t>Q969Q0</t>
  </si>
  <si>
    <t>ENST00000298289</t>
  </si>
  <si>
    <t>Q969Q5</t>
  </si>
  <si>
    <t>ENST00000303251</t>
  </si>
  <si>
    <t>ENST00000303270</t>
  </si>
  <si>
    <t>ENST00000393611</t>
  </si>
  <si>
    <t>ENST00000471466</t>
  </si>
  <si>
    <t>ENST00000478234</t>
  </si>
  <si>
    <t>ENST00000495458</t>
  </si>
  <si>
    <t>ENST00000512758</t>
  </si>
  <si>
    <t>Q969R8</t>
  </si>
  <si>
    <t>ENST00000228799</t>
  </si>
  <si>
    <t>ENST00000537183</t>
  </si>
  <si>
    <t>ENST00000537710</t>
  </si>
  <si>
    <t>ENST00000537851</t>
  </si>
  <si>
    <t>ENST00000538822</t>
  </si>
  <si>
    <t>ENST00000540300</t>
  </si>
  <si>
    <t>ENST00000540662</t>
  </si>
  <si>
    <t>ENST00000541659</t>
  </si>
  <si>
    <t>ENST00000543029</t>
  </si>
  <si>
    <t>ENST00000545509</t>
  </si>
  <si>
    <t>ENST00000552005</t>
  </si>
  <si>
    <t>Q969S3</t>
  </si>
  <si>
    <t>ENST00000308683</t>
  </si>
  <si>
    <t>Q969T9</t>
  </si>
  <si>
    <t>ENST00000254806</t>
  </si>
  <si>
    <t>ENST00000433525</t>
  </si>
  <si>
    <t>ENST00000585462</t>
  </si>
  <si>
    <t>ENST00000587642</t>
  </si>
  <si>
    <t>ENST00000588373</t>
  </si>
  <si>
    <t>ENST00000589236</t>
  </si>
  <si>
    <t>ENST00000589241</t>
  </si>
  <si>
    <t>ENST00000589834</t>
  </si>
  <si>
    <t>ENST00000590450</t>
  </si>
  <si>
    <t>ENST00000591399</t>
  </si>
  <si>
    <t>ENST00000591831</t>
  </si>
  <si>
    <t>ENST00000592802</t>
  </si>
  <si>
    <t>Q969V6</t>
  </si>
  <si>
    <t>ENST00000355630</t>
  </si>
  <si>
    <t>ENST00000402042</t>
  </si>
  <si>
    <t>ENST00000402630</t>
  </si>
  <si>
    <t>ENST00000407029</t>
  </si>
  <si>
    <t>ENST00000422851</t>
  </si>
  <si>
    <t>ENST00000463769</t>
  </si>
  <si>
    <t>ENST00000466278</t>
  </si>
  <si>
    <t>ENST00000477468</t>
  </si>
  <si>
    <t>Q969X0</t>
  </si>
  <si>
    <t>ENST00000280571</t>
  </si>
  <si>
    <t>Q969X1</t>
  </si>
  <si>
    <t>ENST00000258412</t>
  </si>
  <si>
    <t>ENST00000396809</t>
  </si>
  <si>
    <t>ENST00000418569</t>
  </si>
  <si>
    <t>ENST00000420341</t>
  </si>
  <si>
    <t>ENST00000425694</t>
  </si>
  <si>
    <t>ENST00000429501</t>
  </si>
  <si>
    <t>ENST00000439306</t>
  </si>
  <si>
    <t>ENST00000440422</t>
  </si>
  <si>
    <t>ENST00000444881</t>
  </si>
  <si>
    <t>ENST00000445635</t>
  </si>
  <si>
    <t>ENST00000453281</t>
  </si>
  <si>
    <t>ENST00000453776</t>
  </si>
  <si>
    <t>ENST00000465082</t>
  </si>
  <si>
    <t>ENST00000466012</t>
  </si>
  <si>
    <t>ENST00000476429</t>
  </si>
  <si>
    <t>ENST00000495113</t>
  </si>
  <si>
    <t>Q969X6</t>
  </si>
  <si>
    <t>ENST00000314423</t>
  </si>
  <si>
    <t>ENST00000352319</t>
  </si>
  <si>
    <t>ENST00000562237</t>
  </si>
  <si>
    <t>ENST00000563094</t>
  </si>
  <si>
    <t>ENST00000564408</t>
  </si>
  <si>
    <t>ENST00000566227</t>
  </si>
  <si>
    <t>ENST00000567235</t>
  </si>
  <si>
    <t>ENST00000567500</t>
  </si>
  <si>
    <t>ENST00000569014</t>
  </si>
  <si>
    <t>ENST00000569800</t>
  </si>
  <si>
    <t>Q969Z0</t>
  </si>
  <si>
    <t>ENST00000258770</t>
  </si>
  <si>
    <t>ENST00000361278</t>
  </si>
  <si>
    <t>ENST00000395655</t>
  </si>
  <si>
    <t>ENST00000471142</t>
  </si>
  <si>
    <t>ENST00000477328</t>
  </si>
  <si>
    <t>ENST00000478116</t>
  </si>
  <si>
    <t>ENST00000482285</t>
  </si>
  <si>
    <t>ENST00000482482</t>
  </si>
  <si>
    <t>ENST00000484326</t>
  </si>
  <si>
    <t>ENST00000488222</t>
  </si>
  <si>
    <t>ENST00000494076</t>
  </si>
  <si>
    <t>ENST00000495078</t>
  </si>
  <si>
    <t>ENST00000495973</t>
  </si>
  <si>
    <t>Q96A19</t>
  </si>
  <si>
    <t>ENST00000258214</t>
  </si>
  <si>
    <t>ENST00000569068</t>
  </si>
  <si>
    <t>Q96A26</t>
  </si>
  <si>
    <t>ENST00000232125</t>
  </si>
  <si>
    <t>ENST00000469967</t>
  </si>
  <si>
    <t>ENST00000477892</t>
  </si>
  <si>
    <t>Q96A33</t>
  </si>
  <si>
    <t>ENST00000225726</t>
  </si>
  <si>
    <t>ENST00000403162</t>
  </si>
  <si>
    <t>ENST00000582252</t>
  </si>
  <si>
    <t>ENST00000582331</t>
  </si>
  <si>
    <t>ENST00000584112</t>
  </si>
  <si>
    <t>Q96A35</t>
  </si>
  <si>
    <t>ENST00000361531</t>
  </si>
  <si>
    <t>ENST00000368211</t>
  </si>
  <si>
    <t>ENST00000412846</t>
  </si>
  <si>
    <t>ENST00000420938</t>
  </si>
  <si>
    <t>ENST00000434558</t>
  </si>
  <si>
    <t>ENST00000478899</t>
  </si>
  <si>
    <t>Q96A46</t>
  </si>
  <si>
    <t>ENST00000370495</t>
  </si>
  <si>
    <t>ENST00000479722</t>
  </si>
  <si>
    <t>Q96A49</t>
  </si>
  <si>
    <t>ENST00000380155</t>
  </si>
  <si>
    <t>ENST00000495743</t>
  </si>
  <si>
    <t>Q96A65</t>
  </si>
  <si>
    <t>ENST00000253861</t>
  </si>
  <si>
    <t>ENST00000393161</t>
  </si>
  <si>
    <t>ENST00000462055</t>
  </si>
  <si>
    <t>ENST00000478265</t>
  </si>
  <si>
    <t>ENST00000480337</t>
  </si>
  <si>
    <t>ENST00000480840</t>
  </si>
  <si>
    <t>ENST00000481074</t>
  </si>
  <si>
    <t>ENST00000484397</t>
  </si>
  <si>
    <t>ENST00000486013</t>
  </si>
  <si>
    <t>ENST00000492326</t>
  </si>
  <si>
    <t>ENST00000498024</t>
  </si>
  <si>
    <t>Q96A73</t>
  </si>
  <si>
    <t>ENST00000298569</t>
  </si>
  <si>
    <t>ENST00000393725</t>
  </si>
  <si>
    <t>ENST00000393728</t>
  </si>
  <si>
    <t>ENST00000503082</t>
  </si>
  <si>
    <t>ENST00000504688</t>
  </si>
  <si>
    <t>ENST00000506613</t>
  </si>
  <si>
    <t>ENST00000506668</t>
  </si>
  <si>
    <t>ENST00000506983</t>
  </si>
  <si>
    <t>ENST00000508023</t>
  </si>
  <si>
    <t>ENST00000510164</t>
  </si>
  <si>
    <t>ENST00000533553</t>
  </si>
  <si>
    <t>Q96AA3</t>
  </si>
  <si>
    <t>ENST00000296292</t>
  </si>
  <si>
    <t>ENST00000471158</t>
  </si>
  <si>
    <t>Q96AB3</t>
  </si>
  <si>
    <t>ENST00000085068</t>
  </si>
  <si>
    <t>ENST00000425675</t>
  </si>
  <si>
    <t>ENST00000438389</t>
  </si>
  <si>
    <t>ENST00000589108</t>
  </si>
  <si>
    <t>ENST00000590921</t>
  </si>
  <si>
    <t>ENST00000591718</t>
  </si>
  <si>
    <t>Q96AB6</t>
  </si>
  <si>
    <t>ENST00000287706</t>
  </si>
  <si>
    <t>ENST00000563940</t>
  </si>
  <si>
    <t>ENST00000565187</t>
  </si>
  <si>
    <t>ENST00000566542</t>
  </si>
  <si>
    <t>ENST00000567030</t>
  </si>
  <si>
    <t>ENST00000567420</t>
  </si>
  <si>
    <t>ENST00000568320</t>
  </si>
  <si>
    <t>ENST00000568738</t>
  </si>
  <si>
    <t>ENST00000570292</t>
  </si>
  <si>
    <t>Q96AE4</t>
  </si>
  <si>
    <t>ENST00000294623</t>
  </si>
  <si>
    <t>ENST00000370767</t>
  </si>
  <si>
    <t>ENST00000370768</t>
  </si>
  <si>
    <t>ENST00000421641</t>
  </si>
  <si>
    <t>ENST00000470287</t>
  </si>
  <si>
    <t>ENST00000480673</t>
  </si>
  <si>
    <t>ENST00000483894</t>
  </si>
  <si>
    <t>ENST00000487684</t>
  </si>
  <si>
    <t>ENST00000488814</t>
  </si>
  <si>
    <t>ENST00000489495</t>
  </si>
  <si>
    <t>ENST00000492724</t>
  </si>
  <si>
    <t>Q96AG3</t>
  </si>
  <si>
    <t>ENST00000355943</t>
  </si>
  <si>
    <t>ENST00000447245</t>
  </si>
  <si>
    <t>ENST00000502462</t>
  </si>
  <si>
    <t>ENST00000504098</t>
  </si>
  <si>
    <t>ENST00000509432</t>
  </si>
  <si>
    <t>ENST00000513706</t>
  </si>
  <si>
    <t>Q96AG4</t>
  </si>
  <si>
    <t>ENST00000225972</t>
  </si>
  <si>
    <t>ENST00000503118</t>
  </si>
  <si>
    <t>ENST00000576448</t>
  </si>
  <si>
    <t>Q96AN5</t>
  </si>
  <si>
    <t>ENST00000293261</t>
  </si>
  <si>
    <t>ENST00000435956</t>
  </si>
  <si>
    <t>ENST00000593914</t>
  </si>
  <si>
    <t>ENST00000595720</t>
  </si>
  <si>
    <t>ENST00000600816</t>
  </si>
  <si>
    <t>ENST00000601522</t>
  </si>
  <si>
    <t>Q96AQ8</t>
  </si>
  <si>
    <t>ENST00000379170</t>
  </si>
  <si>
    <t>Q96AT1</t>
  </si>
  <si>
    <t>ENST00000296121</t>
  </si>
  <si>
    <t>Q96AX1</t>
  </si>
  <si>
    <t>ENST00000267199</t>
  </si>
  <si>
    <t>ENST00000451053</t>
  </si>
  <si>
    <t>ENST00000536212</t>
  </si>
  <si>
    <t>ENST00000540669</t>
  </si>
  <si>
    <t>ENST00000541169</t>
  </si>
  <si>
    <t>ENST00000542310</t>
  </si>
  <si>
    <t>ENST00000542790</t>
  </si>
  <si>
    <t>ENST00000543633</t>
  </si>
  <si>
    <t>ENST00000544349</t>
  </si>
  <si>
    <t>Q96AZ6</t>
  </si>
  <si>
    <t>ENST00000306072</t>
  </si>
  <si>
    <t>ENST00000379224</t>
  </si>
  <si>
    <t>ENST00000546338</t>
  </si>
  <si>
    <t>ENST00000557824</t>
  </si>
  <si>
    <t>ENST00000558942</t>
  </si>
  <si>
    <t>ENST00000558992</t>
  </si>
  <si>
    <t>ENST00000559876</t>
  </si>
  <si>
    <t>ENST00000560573</t>
  </si>
  <si>
    <t>ENST00000560741</t>
  </si>
  <si>
    <t>Q96B02</t>
  </si>
  <si>
    <t>ENST00000419880</t>
  </si>
  <si>
    <t>ENST00000422906</t>
  </si>
  <si>
    <t>ENST00000517608</t>
  </si>
  <si>
    <t>ENST00000523278</t>
  </si>
  <si>
    <t>ENST00000602593</t>
  </si>
  <si>
    <t>Q96B26</t>
  </si>
  <si>
    <t>ENST00000239893</t>
  </si>
  <si>
    <t>ENST00000389704</t>
  </si>
  <si>
    <t>ENST00000470423</t>
  </si>
  <si>
    <t>ENST00000474661</t>
  </si>
  <si>
    <t>ENST00000481013</t>
  </si>
  <si>
    <t>ENST00000488108</t>
  </si>
  <si>
    <t>ENST00000488779</t>
  </si>
  <si>
    <t>ENST00000490537</t>
  </si>
  <si>
    <t>ENST00000495092</t>
  </si>
  <si>
    <t>Q96B36</t>
  </si>
  <si>
    <t>ENST00000391831</t>
  </si>
  <si>
    <t>ENST00000391832</t>
  </si>
  <si>
    <t>ENST00000391833</t>
  </si>
  <si>
    <t>ENST00000391834</t>
  </si>
  <si>
    <t>ENST00000391835</t>
  </si>
  <si>
    <t>Q96B45</t>
  </si>
  <si>
    <t>ENST00000339834</t>
  </si>
  <si>
    <t>ENST00000369883</t>
  </si>
  <si>
    <t>ENST00000478833</t>
  </si>
  <si>
    <t>Q96B49</t>
  </si>
  <si>
    <t>ENST00000398881</t>
  </si>
  <si>
    <t>ENST00000398884</t>
  </si>
  <si>
    <t>Q96B54</t>
  </si>
  <si>
    <t>ENST00000300811</t>
  </si>
  <si>
    <t>ENST00000595304</t>
  </si>
  <si>
    <t>ENST00000598676</t>
  </si>
  <si>
    <t>Q96BH1</t>
  </si>
  <si>
    <t>ENST00000295704</t>
  </si>
  <si>
    <t>ENST00000423170</t>
  </si>
  <si>
    <t>ENST00000463188</t>
  </si>
  <si>
    <t>ENST00000473034</t>
  </si>
  <si>
    <t>ENST00000474339</t>
  </si>
  <si>
    <t>Q96BJ3</t>
  </si>
  <si>
    <t>ENST00000340020</t>
  </si>
  <si>
    <t>ENST00000474863</t>
  </si>
  <si>
    <t>Q96BK5</t>
  </si>
  <si>
    <t>ENST00000314787</t>
  </si>
  <si>
    <t>ENST00000517607</t>
  </si>
  <si>
    <t>ENST00000519088</t>
  </si>
  <si>
    <t>ENST00000520018</t>
  </si>
  <si>
    <t>ENST00000523559</t>
  </si>
  <si>
    <t>ENST00000524026</t>
  </si>
  <si>
    <t>ENST00000524061</t>
  </si>
  <si>
    <t>ENST00000524114</t>
  </si>
  <si>
    <t>Q96BM9</t>
  </si>
  <si>
    <t>ENST00000272217</t>
  </si>
  <si>
    <t>ENST00000486225</t>
  </si>
  <si>
    <t>ENST00000491358</t>
  </si>
  <si>
    <t>Q96BN2</t>
  </si>
  <si>
    <t>ENST00000367874</t>
  </si>
  <si>
    <t>ENST00000467021</t>
  </si>
  <si>
    <t>Q96BN8</t>
  </si>
  <si>
    <t>ENST00000284274</t>
  </si>
  <si>
    <t>ENST00000503023</t>
  </si>
  <si>
    <t>ENST00000507335</t>
  </si>
  <si>
    <t>ENST00000508678</t>
  </si>
  <si>
    <t>Q96BP2</t>
  </si>
  <si>
    <t>ENST00000372833</t>
  </si>
  <si>
    <t>ENST00000372837</t>
  </si>
  <si>
    <t>Q96BP3</t>
  </si>
  <si>
    <t>ENST00000261308</t>
  </si>
  <si>
    <t>ENST00000502703</t>
  </si>
  <si>
    <t>ENST00000503435</t>
  </si>
  <si>
    <t>ENST00000507608</t>
  </si>
  <si>
    <t>ENST00000508982</t>
  </si>
  <si>
    <t>ENST00000511334</t>
  </si>
  <si>
    <t>ENST00000513773</t>
  </si>
  <si>
    <t>ENST00000514172</t>
  </si>
  <si>
    <t>ENST00000515151</t>
  </si>
  <si>
    <t>ENST00000535264</t>
  </si>
  <si>
    <t>Q96BQ5</t>
  </si>
  <si>
    <t>ENST00000296824</t>
  </si>
  <si>
    <t>ENST00000441693</t>
  </si>
  <si>
    <t>Q96BR5</t>
  </si>
  <si>
    <t>ENST00000371538</t>
  </si>
  <si>
    <t>Q96BT7</t>
  </si>
  <si>
    <t>ENST00000260318</t>
  </si>
  <si>
    <t>ENST00000393100</t>
  </si>
  <si>
    <t>ENST00000417449</t>
  </si>
  <si>
    <t>ENST00000428149</t>
  </si>
  <si>
    <t>ENST00000429370</t>
  </si>
  <si>
    <t>ENST00000530933</t>
  </si>
  <si>
    <t>Q96BX8</t>
  </si>
  <si>
    <t>ENST00000357066</t>
  </si>
  <si>
    <t>ENST00000586676</t>
  </si>
  <si>
    <t>ENST00000591638</t>
  </si>
  <si>
    <t>ENST00000592280</t>
  </si>
  <si>
    <t>Q96BY6</t>
  </si>
  <si>
    <t>ENST00000258390</t>
  </si>
  <si>
    <t>ENST00000409592</t>
  </si>
  <si>
    <t>ENST00000422684</t>
  </si>
  <si>
    <t>ENST00000435582</t>
  </si>
  <si>
    <t>ENST00000472652</t>
  </si>
  <si>
    <t>ENST00000474102</t>
  </si>
  <si>
    <t>ENST00000489831</t>
  </si>
  <si>
    <t>ENST00000492251</t>
  </si>
  <si>
    <t>ENST00000492369</t>
  </si>
  <si>
    <t>ENST00000543715</t>
  </si>
  <si>
    <t>Q96BY7</t>
  </si>
  <si>
    <t>ENST00000261834</t>
  </si>
  <si>
    <t>ENST00000359933</t>
  </si>
  <si>
    <t>ENST00000473234</t>
  </si>
  <si>
    <t>ENST00000553643</t>
  </si>
  <si>
    <t>ENST00000554151</t>
  </si>
  <si>
    <t>ENST00000555263</t>
  </si>
  <si>
    <t>Q96BY9</t>
  </si>
  <si>
    <t>ENST00000256255</t>
  </si>
  <si>
    <t>ENST00000517569</t>
  </si>
  <si>
    <t>ENST00000518174</t>
  </si>
  <si>
    <t>ENST00000518296</t>
  </si>
  <si>
    <t>ENST00000518340</t>
  </si>
  <si>
    <t>ENST00000520303</t>
  </si>
  <si>
    <t>ENST00000521083</t>
  </si>
  <si>
    <t>ENST00000521265</t>
  </si>
  <si>
    <t>ENST00000521934</t>
  </si>
  <si>
    <t>ENST00000522055</t>
  </si>
  <si>
    <t>ENST00000522794</t>
  </si>
  <si>
    <t>ENST00000523127</t>
  </si>
  <si>
    <t>ENST00000545648</t>
  </si>
  <si>
    <t>Q96BZ9</t>
  </si>
  <si>
    <t>ENST00000354200</t>
  </si>
  <si>
    <t>ENST00000461188</t>
  </si>
  <si>
    <t>ENST00000461304</t>
  </si>
  <si>
    <t>ENST00000494633</t>
  </si>
  <si>
    <t>Q96C01</t>
  </si>
  <si>
    <t>ENST00000037869</t>
  </si>
  <si>
    <t>ENST00000430566</t>
  </si>
  <si>
    <t>ENST00000438759</t>
  </si>
  <si>
    <t>ENST00000450256</t>
  </si>
  <si>
    <t>ENST00000460307</t>
  </si>
  <si>
    <t>ENST00000498665</t>
  </si>
  <si>
    <t>Q96C10</t>
  </si>
  <si>
    <t>ENST00000251642</t>
  </si>
  <si>
    <t>ENST00000413196</t>
  </si>
  <si>
    <t>ENST00000589979</t>
  </si>
  <si>
    <t>ENST00000590637</t>
  </si>
  <si>
    <t>ENST00000592024</t>
  </si>
  <si>
    <t>Q96C19</t>
  </si>
  <si>
    <t>ENST00000375980</t>
  </si>
  <si>
    <t>ENST00000445566</t>
  </si>
  <si>
    <t>Q96C23</t>
  </si>
  <si>
    <t>ENST00000272252</t>
  </si>
  <si>
    <t>ENST00000444351</t>
  </si>
  <si>
    <t>Q96C36</t>
  </si>
  <si>
    <t>ENST00000343818</t>
  </si>
  <si>
    <t>ENST00000446534</t>
  </si>
  <si>
    <t>ENST00000466127</t>
  </si>
  <si>
    <t>ENST00000467298</t>
  </si>
  <si>
    <t>ENST00000472798</t>
  </si>
  <si>
    <t>ENST00000478402</t>
  </si>
  <si>
    <t>ENST00000489681</t>
  </si>
  <si>
    <t>Q96C57</t>
  </si>
  <si>
    <t>ENST00000288757</t>
  </si>
  <si>
    <t>ENST00000445832</t>
  </si>
  <si>
    <t>ENST00000502891</t>
  </si>
  <si>
    <t>ENST00000508193</t>
  </si>
  <si>
    <t>ENST00000535367</t>
  </si>
  <si>
    <t>ENST00000537817</t>
  </si>
  <si>
    <t>ENST00000538296</t>
  </si>
  <si>
    <t>ENST00000546272</t>
  </si>
  <si>
    <t>Q96C86</t>
  </si>
  <si>
    <t>ENST00000263579</t>
  </si>
  <si>
    <t>ENST00000529149</t>
  </si>
  <si>
    <t>ENST00000530860</t>
  </si>
  <si>
    <t>Q96C90</t>
  </si>
  <si>
    <t>ENST00000309318</t>
  </si>
  <si>
    <t>ENST00000542235</t>
  </si>
  <si>
    <t>Q96CB8</t>
  </si>
  <si>
    <t>ENST00000340139</t>
  </si>
  <si>
    <t>ENST00000394735</t>
  </si>
  <si>
    <t>ENST00000416543</t>
  </si>
  <si>
    <t>ENST00000420368</t>
  </si>
  <si>
    <t>ENST00000451321</t>
  </si>
  <si>
    <t>ENST00000493425</t>
  </si>
  <si>
    <t>ENST00000510876</t>
  </si>
  <si>
    <t>Q96CD0</t>
  </si>
  <si>
    <t>ENST00000258200</t>
  </si>
  <si>
    <t>ENST00000518148</t>
  </si>
  <si>
    <t>ENST00000518603</t>
  </si>
  <si>
    <t>ENST00000519378</t>
  </si>
  <si>
    <t>ENST00000519917</t>
  </si>
  <si>
    <t>ENST00000521920</t>
  </si>
  <si>
    <t>ENST00000523893</t>
  </si>
  <si>
    <t>Q96CD2</t>
  </si>
  <si>
    <t>ENST00000342932</t>
  </si>
  <si>
    <t>ENST00000562095</t>
  </si>
  <si>
    <t>ENST00000562192</t>
  </si>
  <si>
    <t>ENST00000563393</t>
  </si>
  <si>
    <t>ENST00000564953</t>
  </si>
  <si>
    <t>ENST00000568207</t>
  </si>
  <si>
    <t>ENST00000569562</t>
  </si>
  <si>
    <t>Q96CN4</t>
  </si>
  <si>
    <t>ENST00000270530</t>
  </si>
  <si>
    <t>ENST00000597440</t>
  </si>
  <si>
    <t>ENST00000601984</t>
  </si>
  <si>
    <t>Q96CN5</t>
  </si>
  <si>
    <t>ENST00000306688</t>
  </si>
  <si>
    <t>ENST00000581227</t>
  </si>
  <si>
    <t>ENST00000582083</t>
  </si>
  <si>
    <t>ENST00000583302</t>
  </si>
  <si>
    <t>ENST00000583383</t>
  </si>
  <si>
    <t>Q96CN7</t>
  </si>
  <si>
    <t>ENST00000173527</t>
  </si>
  <si>
    <t>Q96CN9</t>
  </si>
  <si>
    <t>ENST00000321407</t>
  </si>
  <si>
    <t>Q96CP2</t>
  </si>
  <si>
    <t>ENST00000396958</t>
  </si>
  <si>
    <t>ENST00000572006</t>
  </si>
  <si>
    <t>ENST00000572786</t>
  </si>
  <si>
    <t>ENST00000573965</t>
  </si>
  <si>
    <t>Q96CS2</t>
  </si>
  <si>
    <t>ENST00000282058</t>
  </si>
  <si>
    <t>ENST00000586060</t>
  </si>
  <si>
    <t>ENST00000588704</t>
  </si>
  <si>
    <t>ENST00000589554</t>
  </si>
  <si>
    <t>ENST00000591098</t>
  </si>
  <si>
    <t>ENST00000591715</t>
  </si>
  <si>
    <t>ENST00000595199</t>
  </si>
  <si>
    <t>Q96CS3</t>
  </si>
  <si>
    <t>ENST00000261942</t>
  </si>
  <si>
    <t>ENST00000504983</t>
  </si>
  <si>
    <t>ENST00000510446</t>
  </si>
  <si>
    <t>ENST00000513627</t>
  </si>
  <si>
    <t>Q96CT7</t>
  </si>
  <si>
    <t>ENST00000445755</t>
  </si>
  <si>
    <t>ENST00000596123</t>
  </si>
  <si>
    <t>ENST00000597436</t>
  </si>
  <si>
    <t>ENST00000602080</t>
  </si>
  <si>
    <t>Q96CV9</t>
  </si>
  <si>
    <t>ENST00000378747</t>
  </si>
  <si>
    <t>ENST00000378748</t>
  </si>
  <si>
    <t>ENST00000378752</t>
  </si>
  <si>
    <t>ENST00000378757</t>
  </si>
  <si>
    <t>ENST00000424614</t>
  </si>
  <si>
    <t>ENST00000430081</t>
  </si>
  <si>
    <t>ENST00000482140</t>
  </si>
  <si>
    <t>ENST00000486862</t>
  </si>
  <si>
    <t>ENST00000487935</t>
  </si>
  <si>
    <t>Q96CW5</t>
  </si>
  <si>
    <t>ENST00000261965</t>
  </si>
  <si>
    <t>ENST00000375669</t>
  </si>
  <si>
    <t>ENST00000462580</t>
  </si>
  <si>
    <t>ENST00000464139</t>
  </si>
  <si>
    <t>ENST00000469302</t>
  </si>
  <si>
    <t>Q96CW6</t>
  </si>
  <si>
    <t>ENST00000263997</t>
  </si>
  <si>
    <t>ENST00000561590</t>
  </si>
  <si>
    <t>ENST00000561933</t>
  </si>
  <si>
    <t>ENST00000568315</t>
  </si>
  <si>
    <t>ENST00000568538</t>
  </si>
  <si>
    <t>Q96CX2</t>
  </si>
  <si>
    <t>ENST00000377474</t>
  </si>
  <si>
    <t>Q96CX3</t>
  </si>
  <si>
    <t>ENST00000396048</t>
  </si>
  <si>
    <t>ENST00000486486</t>
  </si>
  <si>
    <t>ENST00000491543</t>
  </si>
  <si>
    <t>Q96CX6</t>
  </si>
  <si>
    <t>ENST00000295628</t>
  </si>
  <si>
    <t>Q96D05</t>
  </si>
  <si>
    <t>ENST00000373279</t>
  </si>
  <si>
    <t>ENST00000491890</t>
  </si>
  <si>
    <t>Q96D15</t>
  </si>
  <si>
    <t>ENST00000270645</t>
  </si>
  <si>
    <t>ENST00000597801</t>
  </si>
  <si>
    <t>Q96D46</t>
  </si>
  <si>
    <t>ENST00000351193</t>
  </si>
  <si>
    <t>ENST00000460469</t>
  </si>
  <si>
    <t>ENST00000463518</t>
  </si>
  <si>
    <t>ENST00000472947</t>
  </si>
  <si>
    <t>ENST00000473909</t>
  </si>
  <si>
    <t>ENST00000478160</t>
  </si>
  <si>
    <t>ENST00000493066</t>
  </si>
  <si>
    <t>Q96D71</t>
  </si>
  <si>
    <t>ENST00000258062</t>
  </si>
  <si>
    <t>ENST00000367663</t>
  </si>
  <si>
    <t>ENST00000409812</t>
  </si>
  <si>
    <t>ENST00000414243</t>
  </si>
  <si>
    <t>ENST00000431346</t>
  </si>
  <si>
    <t>ENST00000450536</t>
  </si>
  <si>
    <t>ENST00000478483</t>
  </si>
  <si>
    <t>ENST00000483468</t>
  </si>
  <si>
    <t>ENST00000484164</t>
  </si>
  <si>
    <t>ENST00000492787</t>
  </si>
  <si>
    <t>ENST00000526022</t>
  </si>
  <si>
    <t>ENST00000526244</t>
  </si>
  <si>
    <t>ENST00000529423</t>
  </si>
  <si>
    <t>ENST00000529597</t>
  </si>
  <si>
    <t>ENST00000530370</t>
  </si>
  <si>
    <t>Q96D96</t>
  </si>
  <si>
    <t>ENST00000242607</t>
  </si>
  <si>
    <t>ENST00000546425</t>
  </si>
  <si>
    <t>ENST00000549442</t>
  </si>
  <si>
    <t>Q96DA2</t>
  </si>
  <si>
    <t>ENST00000369454</t>
  </si>
  <si>
    <t>Q96DB5</t>
  </si>
  <si>
    <t>ENST00000406452</t>
  </si>
  <si>
    <t>ENST00000430676</t>
  </si>
  <si>
    <t>ENST00000517404</t>
  </si>
  <si>
    <t>ENST00000517710</t>
  </si>
  <si>
    <t>ENST00000517821</t>
  </si>
  <si>
    <t>ENST00000518390</t>
  </si>
  <si>
    <t>ENST00000518772</t>
  </si>
  <si>
    <t>ENST00000519145</t>
  </si>
  <si>
    <t>ENST00000519639</t>
  </si>
  <si>
    <t>ENST00000519789</t>
  </si>
  <si>
    <t>ENST00000519966</t>
  </si>
  <si>
    <t>ENST00000520719</t>
  </si>
  <si>
    <t>ENST00000521045</t>
  </si>
  <si>
    <t>ENST00000522804</t>
  </si>
  <si>
    <t>ENST00000522942</t>
  </si>
  <si>
    <t>ENST00000523370</t>
  </si>
  <si>
    <t>Q96DC7</t>
  </si>
  <si>
    <t>ENST00000252100</t>
  </si>
  <si>
    <t>ENST00000394669</t>
  </si>
  <si>
    <t>ENST00000394671</t>
  </si>
  <si>
    <t>ENST00000505086</t>
  </si>
  <si>
    <t>ENST00000509217</t>
  </si>
  <si>
    <t>ENST00000509269</t>
  </si>
  <si>
    <t>ENST00000509605</t>
  </si>
  <si>
    <t>ENST00000510336</t>
  </si>
  <si>
    <t>ENST00000511410</t>
  </si>
  <si>
    <t>ENST00000514449</t>
  </si>
  <si>
    <t>ENST00000515653</t>
  </si>
  <si>
    <t>Q96DE5</t>
  </si>
  <si>
    <t>ENST00000299381</t>
  </si>
  <si>
    <t>ENST00000470481</t>
  </si>
  <si>
    <t>ENST00000478193</t>
  </si>
  <si>
    <t>Q96DF8</t>
  </si>
  <si>
    <t>ENST00000252137</t>
  </si>
  <si>
    <t>ENST00000434568</t>
  </si>
  <si>
    <t>ENST00000469466</t>
  </si>
  <si>
    <t>ENST00000472073</t>
  </si>
  <si>
    <t>Q96DH6</t>
  </si>
  <si>
    <t>ENST00000284073</t>
  </si>
  <si>
    <t>ENST00000322684</t>
  </si>
  <si>
    <t>ENST00000577241</t>
  </si>
  <si>
    <t>ENST00000579466</t>
  </si>
  <si>
    <t>ENST00000579483</t>
  </si>
  <si>
    <t>ENST00000579531</t>
  </si>
  <si>
    <t>ENST00000581523</t>
  </si>
  <si>
    <t>ENST00000583705</t>
  </si>
  <si>
    <t>ENST00000583821</t>
  </si>
  <si>
    <t>ENST00000584476</t>
  </si>
  <si>
    <t>Q96DI7</t>
  </si>
  <si>
    <t>ENST00000263694</t>
  </si>
  <si>
    <t>ENST00000373720</t>
  </si>
  <si>
    <t>ENST00000463988</t>
  </si>
  <si>
    <t>ENST00000474025</t>
  </si>
  <si>
    <t>ENST00000486941</t>
  </si>
  <si>
    <t>ENST00000489853</t>
  </si>
  <si>
    <t>ENST00000491106</t>
  </si>
  <si>
    <t>Q96DM3</t>
  </si>
  <si>
    <t>ENST00000587153</t>
  </si>
  <si>
    <t>ENST00000589215</t>
  </si>
  <si>
    <t>ENST00000589409</t>
  </si>
  <si>
    <t>ENST00000590387</t>
  </si>
  <si>
    <t>ENST00000592682</t>
  </si>
  <si>
    <t>ENST00000593081</t>
  </si>
  <si>
    <t>Q96DT6</t>
  </si>
  <si>
    <t>ENST00000317868</t>
  </si>
  <si>
    <t>ENST00000371120</t>
  </si>
  <si>
    <t>ENST00000443289</t>
  </si>
  <si>
    <t>Q96DU7</t>
  </si>
  <si>
    <t>ENST00000263370</t>
  </si>
  <si>
    <t>ENST00000597003</t>
  </si>
  <si>
    <t>Q96DV4</t>
  </si>
  <si>
    <t>ENST00000309352</t>
  </si>
  <si>
    <t>ENST00000461602</t>
  </si>
  <si>
    <t>ENST00000464758</t>
  </si>
  <si>
    <t>ENST00000471434</t>
  </si>
  <si>
    <t>ENST00000474548</t>
  </si>
  <si>
    <t>ENST00000477371</t>
  </si>
  <si>
    <t>ENST00000477736</t>
  </si>
  <si>
    <t>ENST00000480203</t>
  </si>
  <si>
    <t>ENST00000483393</t>
  </si>
  <si>
    <t>ENST00000486101</t>
  </si>
  <si>
    <t>ENST00000493104</t>
  </si>
  <si>
    <t>ENST00000493383</t>
  </si>
  <si>
    <t>ENST00000588620</t>
  </si>
  <si>
    <t>Q96DX7</t>
  </si>
  <si>
    <t>ENST00000299413</t>
  </si>
  <si>
    <t>Q96E14</t>
  </si>
  <si>
    <t>ENST00000312499</t>
  </si>
  <si>
    <t>ENST00000572992</t>
  </si>
  <si>
    <t>Q96E29</t>
  </si>
  <si>
    <t>ENST00000287025</t>
  </si>
  <si>
    <t>ENST00000522822</t>
  </si>
  <si>
    <t>ENST00000523821</t>
  </si>
  <si>
    <t>ENST00000524341</t>
  </si>
  <si>
    <t>Q96E39</t>
  </si>
  <si>
    <t>ENST00000321792</t>
  </si>
  <si>
    <t>ENST00000399794</t>
  </si>
  <si>
    <t>ENST00000413769</t>
  </si>
  <si>
    <t>Q96EB1</t>
  </si>
  <si>
    <t>ENST00000350638</t>
  </si>
  <si>
    <t>Q96EB6</t>
  </si>
  <si>
    <t>ENST00000212015</t>
  </si>
  <si>
    <t>ENST00000403579</t>
  </si>
  <si>
    <t>ENST00000406900</t>
  </si>
  <si>
    <t>Q96EC8</t>
  </si>
  <si>
    <t>ENST00000374643</t>
  </si>
  <si>
    <t>ENST00000462683</t>
  </si>
  <si>
    <t>ENST00000462972</t>
  </si>
  <si>
    <t>ENST00000470730</t>
  </si>
  <si>
    <t>ENST00000496576</t>
  </si>
  <si>
    <t>Q96EE3</t>
  </si>
  <si>
    <t>ENST00000262124</t>
  </si>
  <si>
    <t>ENST00000399892</t>
  </si>
  <si>
    <t>ENST00000585730</t>
  </si>
  <si>
    <t>ENST00000587761</t>
  </si>
  <si>
    <t>ENST00000588251</t>
  </si>
  <si>
    <t>ENST00000590032</t>
  </si>
  <si>
    <t>ENST00000590843</t>
  </si>
  <si>
    <t>ENST00000592170</t>
  </si>
  <si>
    <t>ENST00000592582</t>
  </si>
  <si>
    <t>Q96EI5</t>
  </si>
  <si>
    <t>ENST00000425011</t>
  </si>
  <si>
    <t>ENST00000434216</t>
  </si>
  <si>
    <t>ENST00000468024</t>
  </si>
  <si>
    <t>ENST00000469586</t>
  </si>
  <si>
    <t>ENST00000472484</t>
  </si>
  <si>
    <t>ENST00000481555</t>
  </si>
  <si>
    <t>ENST00000494801</t>
  </si>
  <si>
    <t>Q96EK4</t>
  </si>
  <si>
    <t>ENST00000303596</t>
  </si>
  <si>
    <t>Q96EK5</t>
  </si>
  <si>
    <t>ENST00000361983</t>
  </si>
  <si>
    <t>ENST00000481912</t>
  </si>
  <si>
    <t>Q96EK6</t>
  </si>
  <si>
    <t>ENST00000216410</t>
  </si>
  <si>
    <t>ENST00000553987</t>
  </si>
  <si>
    <t>ENST00000557604</t>
  </si>
  <si>
    <t>Q96EK7</t>
  </si>
  <si>
    <t>ENST00000476287</t>
  </si>
  <si>
    <t>ENST00000496635</t>
  </si>
  <si>
    <t>Q96EK9</t>
  </si>
  <si>
    <t>ENST00000371614</t>
  </si>
  <si>
    <t>Q96EL2</t>
  </si>
  <si>
    <t>ENST00000317534</t>
  </si>
  <si>
    <t>ENST00000414932</t>
  </si>
  <si>
    <t>ENST00000418740</t>
  </si>
  <si>
    <t>ENST00000467084</t>
  </si>
  <si>
    <t>ENST00000483330</t>
  </si>
  <si>
    <t>Q96EL3</t>
  </si>
  <si>
    <t>ENST00000258105</t>
  </si>
  <si>
    <t>ENST00000409710</t>
  </si>
  <si>
    <t>ENST00000467349</t>
  </si>
  <si>
    <t>ENST00000468875</t>
  </si>
  <si>
    <t>Q96EP0</t>
  </si>
  <si>
    <t>ENST00000324103</t>
  </si>
  <si>
    <t>ENST00000483895</t>
  </si>
  <si>
    <t>ENST00000557878</t>
  </si>
  <si>
    <t>ENST00000558452</t>
  </si>
  <si>
    <t>ENST00000558907</t>
  </si>
  <si>
    <t>ENST00000559071</t>
  </si>
  <si>
    <t>ENST00000559438</t>
  </si>
  <si>
    <t>ENST00000559449</t>
  </si>
  <si>
    <t>ENST00000559491</t>
  </si>
  <si>
    <t>ENST00000559583</t>
  </si>
  <si>
    <t>ENST00000560342</t>
  </si>
  <si>
    <t>ENST00000560631</t>
  </si>
  <si>
    <t>ENST00000560754</t>
  </si>
  <si>
    <t>ENST00000560787</t>
  </si>
  <si>
    <t>Q96EP5</t>
  </si>
  <si>
    <t>ENST00000233078</t>
  </si>
  <si>
    <t>ENST00000336761</t>
  </si>
  <si>
    <t>ENST00000585485</t>
  </si>
  <si>
    <t>ENST00000586579</t>
  </si>
  <si>
    <t>ENST00000587079</t>
  </si>
  <si>
    <t>ENST00000587833</t>
  </si>
  <si>
    <t>ENST00000589484</t>
  </si>
  <si>
    <t>ENST00000589874</t>
  </si>
  <si>
    <t>ENST00000590419</t>
  </si>
  <si>
    <t>ENST00000592522</t>
  </si>
  <si>
    <t>Q96EQ0</t>
  </si>
  <si>
    <t>ENST00000381007</t>
  </si>
  <si>
    <t>Q96ER3</t>
  </si>
  <si>
    <t>ENST00000300013</t>
  </si>
  <si>
    <t>ENST00000524803</t>
  </si>
  <si>
    <t>ENST00000528002</t>
  </si>
  <si>
    <t>ENST00000530237</t>
  </si>
  <si>
    <t>ENST00000530736</t>
  </si>
  <si>
    <t>ENST00000531216</t>
  </si>
  <si>
    <t>ENST00000531751</t>
  </si>
  <si>
    <t>ENST00000533851</t>
  </si>
  <si>
    <t>Q96ER9</t>
  </si>
  <si>
    <t>ENST00000395694</t>
  </si>
  <si>
    <t>ENST00000412398</t>
  </si>
  <si>
    <t>ENST00000438370</t>
  </si>
  <si>
    <t>ENST00000442740</t>
  </si>
  <si>
    <t>ENST00000446140</t>
  </si>
  <si>
    <t>ENST00000447018</t>
  </si>
  <si>
    <t>Q96ES7</t>
  </si>
  <si>
    <t>ENST00000317058</t>
  </si>
  <si>
    <t>ENST00000564023</t>
  </si>
  <si>
    <t>ENST00000564682</t>
  </si>
  <si>
    <t>ENST00000565945</t>
  </si>
  <si>
    <t>ENST00000567447</t>
  </si>
  <si>
    <t>ENST00000567564</t>
  </si>
  <si>
    <t>ENST00000569581</t>
  </si>
  <si>
    <t>Q96EV2</t>
  </si>
  <si>
    <t>ENST00000287912</t>
  </si>
  <si>
    <t>ENST00000307403</t>
  </si>
  <si>
    <t>ENST00000392759</t>
  </si>
  <si>
    <t>ENST00000392761</t>
  </si>
  <si>
    <t>ENST00000401878</t>
  </si>
  <si>
    <t>ENST00000440108</t>
  </si>
  <si>
    <t>ENST00000486747</t>
  </si>
  <si>
    <t>Q96EV8</t>
  </si>
  <si>
    <t>ENST00000338950</t>
  </si>
  <si>
    <t>ENST00000344537</t>
  </si>
  <si>
    <t>ENST00000506844</t>
  </si>
  <si>
    <t>ENST00000510395</t>
  </si>
  <si>
    <t>ENST00000511762</t>
  </si>
  <si>
    <t>ENST00000513680</t>
  </si>
  <si>
    <t>ENST00000514651</t>
  </si>
  <si>
    <t>Q96EW2</t>
  </si>
  <si>
    <t>ENST00000306103</t>
  </si>
  <si>
    <t>ENST00000465044</t>
  </si>
  <si>
    <t>ENST00000467643</t>
  </si>
  <si>
    <t>ENST00000471534</t>
  </si>
  <si>
    <t>Q96EX1</t>
  </si>
  <si>
    <t>ENST00000417239</t>
  </si>
  <si>
    <t>ENST00000423898</t>
  </si>
  <si>
    <t>ENST00000446026</t>
  </si>
  <si>
    <t>ENST00000456842</t>
  </si>
  <si>
    <t>ENST00000521580</t>
  </si>
  <si>
    <t>Q96EY1</t>
  </si>
  <si>
    <t>ENST00000262375</t>
  </si>
  <si>
    <t>ENST00000355296</t>
  </si>
  <si>
    <t>ENST00000570857</t>
  </si>
  <si>
    <t>ENST00000572009</t>
  </si>
  <si>
    <t>ENST00000572139</t>
  </si>
  <si>
    <t>ENST00000572974</t>
  </si>
  <si>
    <t>ENST00000573120</t>
  </si>
  <si>
    <t>ENST00000574393</t>
  </si>
  <si>
    <t>ENST00000575106</t>
  </si>
  <si>
    <t>ENST00000576180</t>
  </si>
  <si>
    <t>ENST00000577083</t>
  </si>
  <si>
    <t>Q96EY4</t>
  </si>
  <si>
    <t>ENST00000358572</t>
  </si>
  <si>
    <t>ENST00000503148</t>
  </si>
  <si>
    <t>ENST00000506214</t>
  </si>
  <si>
    <t>ENST00000508268</t>
  </si>
  <si>
    <t>ENST00000508652</t>
  </si>
  <si>
    <t>ENST00000509657</t>
  </si>
  <si>
    <t>ENST00000511562</t>
  </si>
  <si>
    <t>ENST00000513272</t>
  </si>
  <si>
    <t>Q96EY7</t>
  </si>
  <si>
    <t>ENST00000254630</t>
  </si>
  <si>
    <t>ENST00000409783</t>
  </si>
  <si>
    <t>ENST00000418628</t>
  </si>
  <si>
    <t>ENST00000464541</t>
  </si>
  <si>
    <t>ENST00000465560</t>
  </si>
  <si>
    <t>ENST00000467273</t>
  </si>
  <si>
    <t>ENST00000469585</t>
  </si>
  <si>
    <t>ENST00000472044</t>
  </si>
  <si>
    <t>ENST00000473829</t>
  </si>
  <si>
    <t>ENST00000476215</t>
  </si>
  <si>
    <t>ENST00000477520</t>
  </si>
  <si>
    <t>ENST00000480102</t>
  </si>
  <si>
    <t>ENST00000483925</t>
  </si>
  <si>
    <t>ENST00000484203</t>
  </si>
  <si>
    <t>ENST00000487043</t>
  </si>
  <si>
    <t>ENST00000488801</t>
  </si>
  <si>
    <t>ENST00000493430</t>
  </si>
  <si>
    <t>ENST00000494323</t>
  </si>
  <si>
    <t>Q96EY8</t>
  </si>
  <si>
    <t>ENST00000536760</t>
  </si>
  <si>
    <t>ENST00000537236</t>
  </si>
  <si>
    <t>ENST00000537496</t>
  </si>
  <si>
    <t>ENST00000541763</t>
  </si>
  <si>
    <t>ENST00000542390</t>
  </si>
  <si>
    <t>ENST00000544051</t>
  </si>
  <si>
    <t>ENST00000545712</t>
  </si>
  <si>
    <t>Q96F15</t>
  </si>
  <si>
    <t>ENST00000358647</t>
  </si>
  <si>
    <t>ENST00000476324</t>
  </si>
  <si>
    <t>ENST00000493304</t>
  </si>
  <si>
    <t>Q96F24</t>
  </si>
  <si>
    <t>ENST00000277746</t>
  </si>
  <si>
    <t>Q96F63</t>
  </si>
  <si>
    <t>ENST00000269967</t>
  </si>
  <si>
    <t>ENST00000596882</t>
  </si>
  <si>
    <t>ENST00000600918</t>
  </si>
  <si>
    <t>Q96F86</t>
  </si>
  <si>
    <t>ENST00000315127</t>
  </si>
  <si>
    <t>ENST00000562174</t>
  </si>
  <si>
    <t>ENST00000563009</t>
  </si>
  <si>
    <t>ENST00000566243</t>
  </si>
  <si>
    <t>ENST00000568176</t>
  </si>
  <si>
    <t>ENST00000569007</t>
  </si>
  <si>
    <t>ENST00000569606</t>
  </si>
  <si>
    <t>Q96FF9</t>
  </si>
  <si>
    <t>ENST00000275517</t>
  </si>
  <si>
    <t>ENST00000404147</t>
  </si>
  <si>
    <t>ENST00000462902</t>
  </si>
  <si>
    <t>ENST00000479032</t>
  </si>
  <si>
    <t>Q96FH0</t>
  </si>
  <si>
    <t>ENST00000354191</t>
  </si>
  <si>
    <t>ENST00000462498</t>
  </si>
  <si>
    <t>ENST00000462790</t>
  </si>
  <si>
    <t>ENST00000477565</t>
  </si>
  <si>
    <t>ENST00000488252</t>
  </si>
  <si>
    <t>ENST00000585679</t>
  </si>
  <si>
    <t>ENST00000591398</t>
  </si>
  <si>
    <t>ENST00000591566</t>
  </si>
  <si>
    <t>ENST00000602276</t>
  </si>
  <si>
    <t>ENST00000602438</t>
  </si>
  <si>
    <t>ENST00000602804</t>
  </si>
  <si>
    <t>Q96FJ0</t>
  </si>
  <si>
    <t>ENST00000371922</t>
  </si>
  <si>
    <t>ENST00000371924</t>
  </si>
  <si>
    <t>ENST00000371926</t>
  </si>
  <si>
    <t>ENST00000371927</t>
  </si>
  <si>
    <t>ENST00000468698</t>
  </si>
  <si>
    <t>Q96FJ2</t>
  </si>
  <si>
    <t>ENST00000579991</t>
  </si>
  <si>
    <t>Q96FK6</t>
  </si>
  <si>
    <t>ENST00000267522</t>
  </si>
  <si>
    <t>Q96FN9</t>
  </si>
  <si>
    <t>ENST00000310850</t>
  </si>
  <si>
    <t>ENST00000549850</t>
  </si>
  <si>
    <t>Q96FS4</t>
  </si>
  <si>
    <t>ENST00000394224</t>
  </si>
  <si>
    <t>ENST00000394227</t>
  </si>
  <si>
    <t>ENST00000527525</t>
  </si>
  <si>
    <t>ENST00000528699</t>
  </si>
  <si>
    <t>ENST00000529725</t>
  </si>
  <si>
    <t>ENST00000530226</t>
  </si>
  <si>
    <t>ENST00000531339</t>
  </si>
  <si>
    <t>ENST00000534313</t>
  </si>
  <si>
    <t>ENST00000534406</t>
  </si>
  <si>
    <t>Q96FV2</t>
  </si>
  <si>
    <t>ENST00000290216</t>
  </si>
  <si>
    <t>ENST00000407215</t>
  </si>
  <si>
    <t>ENST00000580428</t>
  </si>
  <si>
    <t>ENST00000581546</t>
  </si>
  <si>
    <t>ENST00000581645</t>
  </si>
  <si>
    <t>ENST00000582459</t>
  </si>
  <si>
    <t>ENST00000582656</t>
  </si>
  <si>
    <t>ENST00000584123</t>
  </si>
  <si>
    <t>ENST00000584567</t>
  </si>
  <si>
    <t>Q96FV9</t>
  </si>
  <si>
    <t>ENST00000261600</t>
  </si>
  <si>
    <t>ENST00000577429</t>
  </si>
  <si>
    <t>ENST00000577552</t>
  </si>
  <si>
    <t>ENST00000578224</t>
  </si>
  <si>
    <t>ENST00000578529</t>
  </si>
  <si>
    <t>ENST00000579232</t>
  </si>
  <si>
    <t>ENST00000579891</t>
  </si>
  <si>
    <t>ENST00000580038</t>
  </si>
  <si>
    <t>ENST00000580544</t>
  </si>
  <si>
    <t>ENST00000580870</t>
  </si>
  <si>
    <t>ENST00000581116</t>
  </si>
  <si>
    <t>ENST00000581269</t>
  </si>
  <si>
    <t>ENST00000581576</t>
  </si>
  <si>
    <t>ENST00000583228</t>
  </si>
  <si>
    <t>ENST00000584470</t>
  </si>
  <si>
    <t>ENST00000584642</t>
  </si>
  <si>
    <t>ENST00000585307</t>
  </si>
  <si>
    <t>Q96FW1</t>
  </si>
  <si>
    <t>ENST00000301453</t>
  </si>
  <si>
    <t>ENST00000447683</t>
  </si>
  <si>
    <t>ENST00000535140</t>
  </si>
  <si>
    <t>ENST00000535715</t>
  </si>
  <si>
    <t>ENST00000536943</t>
  </si>
  <si>
    <t>ENST00000538426</t>
  </si>
  <si>
    <t>ENST00000543004</t>
  </si>
  <si>
    <t>Q96FX7</t>
  </si>
  <si>
    <t>ENST00000299202</t>
  </si>
  <si>
    <t>ENST00000389749</t>
  </si>
  <si>
    <t>Q96FZ2</t>
  </si>
  <si>
    <t>ENST00000383463</t>
  </si>
  <si>
    <t>ENST00000389735</t>
  </si>
  <si>
    <t>ENST00000417226</t>
  </si>
  <si>
    <t>ENST00000502878</t>
  </si>
  <si>
    <t>ENST00000509042</t>
  </si>
  <si>
    <t>ENST00000509551</t>
  </si>
  <si>
    <t>ENST00000510314</t>
  </si>
  <si>
    <t>ENST00000511665</t>
  </si>
  <si>
    <t>Q96FZ7</t>
  </si>
  <si>
    <t>ENST00000325167</t>
  </si>
  <si>
    <t>ENST00000571457</t>
  </si>
  <si>
    <t>ENST00000572778</t>
  </si>
  <si>
    <t>Q96G03</t>
  </si>
  <si>
    <t>ENST00000381967</t>
  </si>
  <si>
    <t>ENST00000515668</t>
  </si>
  <si>
    <t>Q96G21</t>
  </si>
  <si>
    <t>ENST00000259239</t>
  </si>
  <si>
    <t>ENST00000409649</t>
  </si>
  <si>
    <t>ENST00000428740</t>
  </si>
  <si>
    <t>ENST00000456713</t>
  </si>
  <si>
    <t>ENST00000460766</t>
  </si>
  <si>
    <t>ENST00000462357</t>
  </si>
  <si>
    <t>ENST00000462392</t>
  </si>
  <si>
    <t>ENST00000464432</t>
  </si>
  <si>
    <t>ENST00000470672</t>
  </si>
  <si>
    <t>ENST00000473689</t>
  </si>
  <si>
    <t>ENST00000475074</t>
  </si>
  <si>
    <t>ENST00000477375</t>
  </si>
  <si>
    <t>ENST00000490895</t>
  </si>
  <si>
    <t>ENST00000495606</t>
  </si>
  <si>
    <t>Q96G23</t>
  </si>
  <si>
    <t>ENST00000271688</t>
  </si>
  <si>
    <t>ENST00000361419</t>
  </si>
  <si>
    <t>ENST00000368949</t>
  </si>
  <si>
    <t>ENST00000368954</t>
  </si>
  <si>
    <t>ENST00000421609</t>
  </si>
  <si>
    <t>ENST00000460664</t>
  </si>
  <si>
    <t>ENST00000482825</t>
  </si>
  <si>
    <t>ENST00000558062</t>
  </si>
  <si>
    <t>ENST00000559020</t>
  </si>
  <si>
    <t>ENST00000560793</t>
  </si>
  <si>
    <t>ENST00000561294</t>
  </si>
  <si>
    <t>Q96G28</t>
  </si>
  <si>
    <t>ENST00000339012</t>
  </si>
  <si>
    <t>ENST00000349456</t>
  </si>
  <si>
    <t>ENST00000403007</t>
  </si>
  <si>
    <t>ENST00000406691</t>
  </si>
  <si>
    <t>ENST00000481791</t>
  </si>
  <si>
    <t>Q96G46</t>
  </si>
  <si>
    <t>ENST00000309061</t>
  </si>
  <si>
    <t>ENST00000589854</t>
  </si>
  <si>
    <t>ENST00000590087</t>
  </si>
  <si>
    <t>ENST00000590343</t>
  </si>
  <si>
    <t>ENST00000591560</t>
  </si>
  <si>
    <t>ENST00000592468</t>
  </si>
  <si>
    <t>ENST00000592491</t>
  </si>
  <si>
    <t>ENST00000592673</t>
  </si>
  <si>
    <t>ENST00000593229</t>
  </si>
  <si>
    <t>Q96GA3</t>
  </si>
  <si>
    <t>ENST00000367576</t>
  </si>
  <si>
    <t>Q96GC5</t>
  </si>
  <si>
    <t>ENST00000310614</t>
  </si>
  <si>
    <t>ENST00000314282</t>
  </si>
  <si>
    <t>ENST00000398483</t>
  </si>
  <si>
    <t>ENST00000497094</t>
  </si>
  <si>
    <t>ENST00000535277</t>
  </si>
  <si>
    <t>ENST00000540162</t>
  </si>
  <si>
    <t>ENST00000543058</t>
  </si>
  <si>
    <t>ENST00000543374</t>
  </si>
  <si>
    <t>ENST00000544140</t>
  </si>
  <si>
    <t>ENST00000544819</t>
  </si>
  <si>
    <t>Q96GD0</t>
  </si>
  <si>
    <t>ENST00000215904</t>
  </si>
  <si>
    <t>ENST00000403251</t>
  </si>
  <si>
    <t>Q96GD4</t>
  </si>
  <si>
    <t>ENST00000316199</t>
  </si>
  <si>
    <t>Q96GG9</t>
  </si>
  <si>
    <t>ENST00000292782</t>
  </si>
  <si>
    <t>ENST00000492563</t>
  </si>
  <si>
    <t>Q96GK7</t>
  </si>
  <si>
    <t>ENST00000233379</t>
  </si>
  <si>
    <t>ENST00000445649</t>
  </si>
  <si>
    <t>ENST00000447036</t>
  </si>
  <si>
    <t>ENST00000463940</t>
  </si>
  <si>
    <t>ENST00000470100</t>
  </si>
  <si>
    <t>Q96GM8</t>
  </si>
  <si>
    <t>ENST00000372090</t>
  </si>
  <si>
    <t>ENST00000460057</t>
  </si>
  <si>
    <t>ENST00000471337</t>
  </si>
  <si>
    <t>ENST00000477731</t>
  </si>
  <si>
    <t>ENST00000495703</t>
  </si>
  <si>
    <t>Q96GQ5</t>
  </si>
  <si>
    <t>ENST00000327237</t>
  </si>
  <si>
    <t>ENST00000430477</t>
  </si>
  <si>
    <t>ENST00000541442</t>
  </si>
  <si>
    <t>ENST00000564807</t>
  </si>
  <si>
    <t>ENST00000565128</t>
  </si>
  <si>
    <t>ENST00000566148</t>
  </si>
  <si>
    <t>ENST00000567578</t>
  </si>
  <si>
    <t>ENST00000567673</t>
  </si>
  <si>
    <t>ENST00000568491</t>
  </si>
  <si>
    <t>ENST00000570164</t>
  </si>
  <si>
    <t>Q96GQ7</t>
  </si>
  <si>
    <t>ENST00000371764</t>
  </si>
  <si>
    <t>ENST00000471144</t>
  </si>
  <si>
    <t>ENST00000484427</t>
  </si>
  <si>
    <t>ENST00000493252</t>
  </si>
  <si>
    <t>Q96GS4</t>
  </si>
  <si>
    <t>ENST00000389017</t>
  </si>
  <si>
    <t>Q96GS6</t>
  </si>
  <si>
    <t>ENST00000292577</t>
  </si>
  <si>
    <t>ENST00000588598</t>
  </si>
  <si>
    <t>ENST00000590661</t>
  </si>
  <si>
    <t>ENST00000591351</t>
  </si>
  <si>
    <t>ENST00000592757</t>
  </si>
  <si>
    <t>Q96GW9</t>
  </si>
  <si>
    <t>ENST00000282276</t>
  </si>
  <si>
    <t>Q96GX2</t>
  </si>
  <si>
    <t>ENST00000519948</t>
  </si>
  <si>
    <t>Q96GX9</t>
  </si>
  <si>
    <t>ENST00000395787</t>
  </si>
  <si>
    <t>ENST00000527830</t>
  </si>
  <si>
    <t>Q96GY0</t>
  </si>
  <si>
    <t>ENST00000263849</t>
  </si>
  <si>
    <t>ENST00000519307</t>
  </si>
  <si>
    <t>ENST00000521873</t>
  </si>
  <si>
    <t>Q96H78</t>
  </si>
  <si>
    <t>ENST00000359511</t>
  </si>
  <si>
    <t>ENST00000423538</t>
  </si>
  <si>
    <t>ENST00000468973</t>
  </si>
  <si>
    <t>ENST00000469537</t>
  </si>
  <si>
    <t>ENST00000482737</t>
  </si>
  <si>
    <t>Q96HC4</t>
  </si>
  <si>
    <t>ENST00000317968</t>
  </si>
  <si>
    <t>ENST00000359265</t>
  </si>
  <si>
    <t>ENST00000380176</t>
  </si>
  <si>
    <t>ENST00000380180</t>
  </si>
  <si>
    <t>ENST00000504489</t>
  </si>
  <si>
    <t>ENST00000509333</t>
  </si>
  <si>
    <t>ENST00000511767</t>
  </si>
  <si>
    <t>ENST00000512274</t>
  </si>
  <si>
    <t>ENST00000514743</t>
  </si>
  <si>
    <t>Q96HD1</t>
  </si>
  <si>
    <t>ENST00000326434</t>
  </si>
  <si>
    <t>ENST00000383811</t>
  </si>
  <si>
    <t>ENST00000397170</t>
  </si>
  <si>
    <t>ENST00000414117</t>
  </si>
  <si>
    <t>ENST00000435417</t>
  </si>
  <si>
    <t>ENST00000452070</t>
  </si>
  <si>
    <t>ENST00000465716</t>
  </si>
  <si>
    <t>ENST00000467713</t>
  </si>
  <si>
    <t>ENST00000482691</t>
  </si>
  <si>
    <t>ENST00000489674</t>
  </si>
  <si>
    <t>ENST00000491527</t>
  </si>
  <si>
    <t>Q96HE7</t>
  </si>
  <si>
    <t>ENST00000395686</t>
  </si>
  <si>
    <t>ENST00000553714</t>
  </si>
  <si>
    <t>ENST00000554019</t>
  </si>
  <si>
    <t>ENST00000555069</t>
  </si>
  <si>
    <t>ENST00000556039</t>
  </si>
  <si>
    <t>ENST00000556358</t>
  </si>
  <si>
    <t>ENST00000556769</t>
  </si>
  <si>
    <t>ENST00000557178</t>
  </si>
  <si>
    <t>Q96HM7</t>
  </si>
  <si>
    <t>ENST00000432328</t>
  </si>
  <si>
    <t>ENST00000546455</t>
  </si>
  <si>
    <t>ENST00000548348</t>
  </si>
  <si>
    <t>ENST00000549500</t>
  </si>
  <si>
    <t>ENST00000549630</t>
  </si>
  <si>
    <t>ENST00000551777</t>
  </si>
  <si>
    <t>Q96HQ2</t>
  </si>
  <si>
    <t>ENST00000395009</t>
  </si>
  <si>
    <t>ENST00000458198</t>
  </si>
  <si>
    <t>Q96HR3</t>
  </si>
  <si>
    <t>ENST00000297347</t>
  </si>
  <si>
    <t>ENST00000519391</t>
  </si>
  <si>
    <t>ENST00000519879</t>
  </si>
  <si>
    <t>ENST00000522839</t>
  </si>
  <si>
    <t>Q96HS1</t>
  </si>
  <si>
    <t>ENST00000317555</t>
  </si>
  <si>
    <t>ENST00000454808</t>
  </si>
  <si>
    <t>ENST00000498926</t>
  </si>
  <si>
    <t>Q96HV5</t>
  </si>
  <si>
    <t>ENST00000296254</t>
  </si>
  <si>
    <t>ENST00000382227</t>
  </si>
  <si>
    <t>ENST00000421852</t>
  </si>
  <si>
    <t>ENST00000467061</t>
  </si>
  <si>
    <t>ENST00000467520</t>
  </si>
  <si>
    <t>ENST00000475480</t>
  </si>
  <si>
    <t>Q96HW7</t>
  </si>
  <si>
    <t>ENST00000433818</t>
  </si>
  <si>
    <t>ENST00000524766</t>
  </si>
  <si>
    <t>ENST00000525931</t>
  </si>
  <si>
    <t>ENST00000527522</t>
  </si>
  <si>
    <t>ENST00000529807</t>
  </si>
  <si>
    <t>ENST00000531059</t>
  </si>
  <si>
    <t>ENST00000533180</t>
  </si>
  <si>
    <t>ENST00000534064</t>
  </si>
  <si>
    <t>ENST00000534408</t>
  </si>
  <si>
    <t>ENST00000535943</t>
  </si>
  <si>
    <t>Q96HY6</t>
  </si>
  <si>
    <t>ENST00000354488</t>
  </si>
  <si>
    <t>ENST00000380201</t>
  </si>
  <si>
    <t>ENST00000470203</t>
  </si>
  <si>
    <t>ENST00000496781</t>
  </si>
  <si>
    <t>Q96HY7</t>
  </si>
  <si>
    <t>ENST00000263035</t>
  </si>
  <si>
    <t>ENST00000415935</t>
  </si>
  <si>
    <t>ENST00000479283</t>
  </si>
  <si>
    <t>Q96I15</t>
  </si>
  <si>
    <t>ENST00000254663</t>
  </si>
  <si>
    <t>ENST00000409736</t>
  </si>
  <si>
    <t>ENST00000416757</t>
  </si>
  <si>
    <t>ENST00000433750</t>
  </si>
  <si>
    <t>ENST00000443532</t>
  </si>
  <si>
    <t>ENST00000450965</t>
  </si>
  <si>
    <t>ENST00000463433</t>
  </si>
  <si>
    <t>ENST00000480357</t>
  </si>
  <si>
    <t>ENST00000482031</t>
  </si>
  <si>
    <t>ENST00000487197</t>
  </si>
  <si>
    <t>ENST00000497256</t>
  </si>
  <si>
    <t>ENST00000497951</t>
  </si>
  <si>
    <t>Q96I24</t>
  </si>
  <si>
    <t>ENST00000319725</t>
  </si>
  <si>
    <t>ENST00000465949</t>
  </si>
  <si>
    <t>ENST00000467100</t>
  </si>
  <si>
    <t>ENST00000487406</t>
  </si>
  <si>
    <t>ENST00000492199</t>
  </si>
  <si>
    <t>Q96I25</t>
  </si>
  <si>
    <t>ENST00000379888</t>
  </si>
  <si>
    <t>ENST00000418631</t>
  </si>
  <si>
    <t>ENST00000446108</t>
  </si>
  <si>
    <t>ENST00000465906</t>
  </si>
  <si>
    <t>ENST00000467080</t>
  </si>
  <si>
    <t>ENST00000467214</t>
  </si>
  <si>
    <t>ENST00000476706</t>
  </si>
  <si>
    <t>ENST00000481147</t>
  </si>
  <si>
    <t>ENST00000496762</t>
  </si>
  <si>
    <t>Q96I59</t>
  </si>
  <si>
    <t>ENST00000281038</t>
  </si>
  <si>
    <t>ENST00000525345</t>
  </si>
  <si>
    <t>ENST00000526709</t>
  </si>
  <si>
    <t>ENST00000528850</t>
  </si>
  <si>
    <t>ENST00000529771</t>
  </si>
  <si>
    <t>Q96I99</t>
  </si>
  <si>
    <t>ENST00000307227</t>
  </si>
  <si>
    <t>ENST00000492795</t>
  </si>
  <si>
    <t>Q96IG2</t>
  </si>
  <si>
    <t>ENST00000264658</t>
  </si>
  <si>
    <t>ENST00000394294</t>
  </si>
  <si>
    <t>ENST00000577399</t>
  </si>
  <si>
    <t>ENST00000581781</t>
  </si>
  <si>
    <t>Q96II8</t>
  </si>
  <si>
    <t>ENST00000334859</t>
  </si>
  <si>
    <t>ENST00000414675</t>
  </si>
  <si>
    <t>ENST00000425562</t>
  </si>
  <si>
    <t>ENST00000433298</t>
  </si>
  <si>
    <t>ENST00000438796</t>
  </si>
  <si>
    <t>ENST00000461674</t>
  </si>
  <si>
    <t>ENST00000466054</t>
  </si>
  <si>
    <t>ENST00000466845</t>
  </si>
  <si>
    <t>ENST00000471667</t>
  </si>
  <si>
    <t>ENST00000476664</t>
  </si>
  <si>
    <t>ENST00000481048</t>
  </si>
  <si>
    <t>ENST00000483442</t>
  </si>
  <si>
    <t>ENST00000494069</t>
  </si>
  <si>
    <t>Q96IJ6</t>
  </si>
  <si>
    <t>ENST00000313597</t>
  </si>
  <si>
    <t>ENST00000358215</t>
  </si>
  <si>
    <t>ENST00000373908</t>
  </si>
  <si>
    <t>ENST00000373917</t>
  </si>
  <si>
    <t>ENST00000443704</t>
  </si>
  <si>
    <t>ENST00000455657</t>
  </si>
  <si>
    <t>ENST00000480034</t>
  </si>
  <si>
    <t>ENST00000480506</t>
  </si>
  <si>
    <t>ENST00000481170</t>
  </si>
  <si>
    <t>ENST00000496536</t>
  </si>
  <si>
    <t>Q96IK1</t>
  </si>
  <si>
    <t>ENST00000285908</t>
  </si>
  <si>
    <t>ENST00000311086</t>
  </si>
  <si>
    <t>ENST00000462674</t>
  </si>
  <si>
    <t>ENST00000471339</t>
  </si>
  <si>
    <t>ENST00000477985</t>
  </si>
  <si>
    <t>ENST00000480951</t>
  </si>
  <si>
    <t>ENST00000518658</t>
  </si>
  <si>
    <t>Q96IR7</t>
  </si>
  <si>
    <t>ENST00000334815</t>
  </si>
  <si>
    <t>Q96IU4</t>
  </si>
  <si>
    <t>ENST00000315877</t>
  </si>
  <si>
    <t>ENST00000361143</t>
  </si>
  <si>
    <t>ENST00000395008</t>
  </si>
  <si>
    <t>ENST00000461108</t>
  </si>
  <si>
    <t>ENST00000473912</t>
  </si>
  <si>
    <t>ENST00000483233</t>
  </si>
  <si>
    <t>ENST00000487005</t>
  </si>
  <si>
    <t>ENST00000525795</t>
  </si>
  <si>
    <t>Q96IW7</t>
  </si>
  <si>
    <t>ENST00000309934</t>
  </si>
  <si>
    <t>ENST00000473494</t>
  </si>
  <si>
    <t>ENST00000477063</t>
  </si>
  <si>
    <t>ENST00000492595</t>
  </si>
  <si>
    <t>Q96IX5</t>
  </si>
  <si>
    <t>ENST00000309579</t>
  </si>
  <si>
    <t>ENST00000337003</t>
  </si>
  <si>
    <t>ENST00000369811</t>
  </si>
  <si>
    <t>ENST00000369815</t>
  </si>
  <si>
    <t>Q96IY1</t>
  </si>
  <si>
    <t>ENST00000366976</t>
  </si>
  <si>
    <t>ENST00000366977</t>
  </si>
  <si>
    <t>ENST00000366978</t>
  </si>
  <si>
    <t>ENST00000473995</t>
  </si>
  <si>
    <t>ENST00000487995</t>
  </si>
  <si>
    <t>Q96IZ6</t>
  </si>
  <si>
    <t>ENST00000311506</t>
  </si>
  <si>
    <t>ENST00000333483</t>
  </si>
  <si>
    <t>ENST00000582027</t>
  </si>
  <si>
    <t>Q96IZ7</t>
  </si>
  <si>
    <t>ENST00000295930</t>
  </si>
  <si>
    <t>ENST00000471911</t>
  </si>
  <si>
    <t>ENST00000471994</t>
  </si>
  <si>
    <t>ENST00000480119</t>
  </si>
  <si>
    <t>ENST00000482822</t>
  </si>
  <si>
    <t>ENST00000496268</t>
  </si>
  <si>
    <t>Q96JB2</t>
  </si>
  <si>
    <t>ENST00000349995</t>
  </si>
  <si>
    <t>ENST00000465942</t>
  </si>
  <si>
    <t>ENST00000476702</t>
  </si>
  <si>
    <t>ENST00000486940</t>
  </si>
  <si>
    <t>Q96JB5</t>
  </si>
  <si>
    <t>ENST00000338399</t>
  </si>
  <si>
    <t>ENST00000577442</t>
  </si>
  <si>
    <t>ENST00000577802</t>
  </si>
  <si>
    <t>ENST00000578018</t>
  </si>
  <si>
    <t>ENST00000578134</t>
  </si>
  <si>
    <t>ENST00000578525</t>
  </si>
  <si>
    <t>ENST00000578663</t>
  </si>
  <si>
    <t>ENST00000578733</t>
  </si>
  <si>
    <t>ENST00000578996</t>
  </si>
  <si>
    <t>ENST00000579780</t>
  </si>
  <si>
    <t>ENST00000579853</t>
  </si>
  <si>
    <t>ENST00000580287</t>
  </si>
  <si>
    <t>ENST00000581160</t>
  </si>
  <si>
    <t>ENST00000581662</t>
  </si>
  <si>
    <t>ENST00000581708</t>
  </si>
  <si>
    <t>ENST00000582114</t>
  </si>
  <si>
    <t>ENST00000582482</t>
  </si>
  <si>
    <t>ENST00000583352</t>
  </si>
  <si>
    <t>ENST00000583697</t>
  </si>
  <si>
    <t>ENST00000584042</t>
  </si>
  <si>
    <t>ENST00000584063</t>
  </si>
  <si>
    <t>ENST00000584525</t>
  </si>
  <si>
    <t>ENST00000585163</t>
  </si>
  <si>
    <t>Q96JG6</t>
  </si>
  <si>
    <t>ENST00000251739</t>
  </si>
  <si>
    <t>ENST00000305866</t>
  </si>
  <si>
    <t>ENST00000438395</t>
  </si>
  <si>
    <t>ENST00000443443</t>
  </si>
  <si>
    <t>ENST00000458707</t>
  </si>
  <si>
    <t>ENST00000467326</t>
  </si>
  <si>
    <t>ENST00000471188</t>
  </si>
  <si>
    <t>ENST00000476413</t>
  </si>
  <si>
    <t>ENST00000480943</t>
  </si>
  <si>
    <t>ENST00000484954</t>
  </si>
  <si>
    <t>ENST00000485140</t>
  </si>
  <si>
    <t>ENST00000485994</t>
  </si>
  <si>
    <t>ENST00000495039</t>
  </si>
  <si>
    <t>ENST00000544910</t>
  </si>
  <si>
    <t>Q96JH7</t>
  </si>
  <si>
    <t>ENST00000310421</t>
  </si>
  <si>
    <t>Q96JI7</t>
  </si>
  <si>
    <t>ENST00000261866</t>
  </si>
  <si>
    <t>ENST00000557866</t>
  </si>
  <si>
    <t>ENST00000558080</t>
  </si>
  <si>
    <t>ENST00000558093</t>
  </si>
  <si>
    <t>ENST00000558138</t>
  </si>
  <si>
    <t>ENST00000558253</t>
  </si>
  <si>
    <t>ENST00000558319</t>
  </si>
  <si>
    <t>ENST00000558561</t>
  </si>
  <si>
    <t>ENST00000558988</t>
  </si>
  <si>
    <t>ENST00000558989</t>
  </si>
  <si>
    <t>ENST00000559193</t>
  </si>
  <si>
    <t>ENST00000559347</t>
  </si>
  <si>
    <t>ENST00000559754</t>
  </si>
  <si>
    <t>ENST00000559933</t>
  </si>
  <si>
    <t>ENST00000560299</t>
  </si>
  <si>
    <t>ENST00000560435</t>
  </si>
  <si>
    <t>ENST00000561268</t>
  </si>
  <si>
    <t>ENST00000561391</t>
  </si>
  <si>
    <t>Q96JJ3</t>
  </si>
  <si>
    <t>ENST00000290246</t>
  </si>
  <si>
    <t>ENST00000372176</t>
  </si>
  <si>
    <t>ENST00000396391</t>
  </si>
  <si>
    <t>ENST00000425546</t>
  </si>
  <si>
    <t>ENST00000450812</t>
  </si>
  <si>
    <t>ENST00000460474</t>
  </si>
  <si>
    <t>ENST00000462491</t>
  </si>
  <si>
    <t>ENST00000462593</t>
  </si>
  <si>
    <t>ENST00000467800</t>
  </si>
  <si>
    <t>ENST00000469801</t>
  </si>
  <si>
    <t>ENST00000480042</t>
  </si>
  <si>
    <t>ENST00000481852</t>
  </si>
  <si>
    <t>ENST00000488853</t>
  </si>
  <si>
    <t>ENST00000497412</t>
  </si>
  <si>
    <t>Q96JJ7</t>
  </si>
  <si>
    <t>ENST00000299608</t>
  </si>
  <si>
    <t>ENST00000443099</t>
  </si>
  <si>
    <t>ENST00000562706</t>
  </si>
  <si>
    <t>ENST00000564631</t>
  </si>
  <si>
    <t>ENST00000565918</t>
  </si>
  <si>
    <t>ENST00000566135</t>
  </si>
  <si>
    <t>ENST00000566887</t>
  </si>
  <si>
    <t>ENST00000569982</t>
  </si>
  <si>
    <t>ENST00000578765</t>
  </si>
  <si>
    <t>ENST00000578816</t>
  </si>
  <si>
    <t>ENST00000580785</t>
  </si>
  <si>
    <t>Q96JM3</t>
  </si>
  <si>
    <t>ENST00000361283</t>
  </si>
  <si>
    <t>ENST00000463003</t>
  </si>
  <si>
    <t>ENST00000478022</t>
  </si>
  <si>
    <t>Q96K17</t>
  </si>
  <si>
    <t>ENST00000313334</t>
  </si>
  <si>
    <t>ENST00000472944</t>
  </si>
  <si>
    <t>ENST00000477828</t>
  </si>
  <si>
    <t>ENST00000484036</t>
  </si>
  <si>
    <t>ENST00000489308</t>
  </si>
  <si>
    <t>ENST00000524414</t>
  </si>
  <si>
    <t>ENST00000526132</t>
  </si>
  <si>
    <t>Q96K58</t>
  </si>
  <si>
    <t>ENST00000300849</t>
  </si>
  <si>
    <t>ENST00000535577</t>
  </si>
  <si>
    <t>ENST00000538906</t>
  </si>
  <si>
    <t>Q96K80</t>
  </si>
  <si>
    <t>ENST00000257940</t>
  </si>
  <si>
    <t>ENST00000549973</t>
  </si>
  <si>
    <t>ENST00000551880</t>
  </si>
  <si>
    <t>Q96KB5</t>
  </si>
  <si>
    <t>ENST00000301905</t>
  </si>
  <si>
    <t>Q96KC8</t>
  </si>
  <si>
    <t>ENST00000376946</t>
  </si>
  <si>
    <t>ENST00000376980</t>
  </si>
  <si>
    <t>ENST00000476103</t>
  </si>
  <si>
    <t>Q96KM6</t>
  </si>
  <si>
    <t>ENST00000217130</t>
  </si>
  <si>
    <t>ENST00000369888</t>
  </si>
  <si>
    <t>Q96KP1</t>
  </si>
  <si>
    <t>ENST00000230449</t>
  </si>
  <si>
    <t>ENST00000475028</t>
  </si>
  <si>
    <t>Q96KP4</t>
  </si>
  <si>
    <t>ENST00000324262</t>
  </si>
  <si>
    <t>ENST00000577355</t>
  </si>
  <si>
    <t>ENST00000577409</t>
  </si>
  <si>
    <t>ENST00000579847</t>
  </si>
  <si>
    <t>ENST00000580229</t>
  </si>
  <si>
    <t>ENST00000581513</t>
  </si>
  <si>
    <t>ENST00000581600</t>
  </si>
  <si>
    <t>ENST00000581912</t>
  </si>
  <si>
    <t>ENST00000582666</t>
  </si>
  <si>
    <t>ENST00000583216</t>
  </si>
  <si>
    <t>ENST00000583399</t>
  </si>
  <si>
    <t>ENST00000583695</t>
  </si>
  <si>
    <t>ENST00000583785</t>
  </si>
  <si>
    <t>ENST00000583938</t>
  </si>
  <si>
    <t>ENST00000584581</t>
  </si>
  <si>
    <t>ENST00000584768</t>
  </si>
  <si>
    <t>ENST00000585263</t>
  </si>
  <si>
    <t>Q96KR1</t>
  </si>
  <si>
    <t>ENST00000265069</t>
  </si>
  <si>
    <t>ENST00000502988</t>
  </si>
  <si>
    <t>ENST00000505204</t>
  </si>
  <si>
    <t>ENST00000505366</t>
  </si>
  <si>
    <t>ENST00000507465</t>
  </si>
  <si>
    <t>ENST00000510369</t>
  </si>
  <si>
    <t>ENST00000514356</t>
  </si>
  <si>
    <t>Q96KR6</t>
  </si>
  <si>
    <t>ENST00000371384</t>
  </si>
  <si>
    <t>ENST00000437418</t>
  </si>
  <si>
    <t>Q96LA8</t>
  </si>
  <si>
    <t>ENST00000370078</t>
  </si>
  <si>
    <t>Q96LB3</t>
  </si>
  <si>
    <t>ENST00000380062</t>
  </si>
  <si>
    <t>ENST00000429045</t>
  </si>
  <si>
    <t>ENST00000482986</t>
  </si>
  <si>
    <t>ENST00000494236</t>
  </si>
  <si>
    <t>Q96LI5</t>
  </si>
  <si>
    <t>ENST00000504123</t>
  </si>
  <si>
    <t>ENST00000504804</t>
  </si>
  <si>
    <t>ENST00000505983</t>
  </si>
  <si>
    <t>ENST00000506166</t>
  </si>
  <si>
    <t>ENST00000508371</t>
  </si>
  <si>
    <t>ENST00000512485</t>
  </si>
  <si>
    <t>ENST00000515506</t>
  </si>
  <si>
    <t>Q96LJ7</t>
  </si>
  <si>
    <t>ENST00000288111</t>
  </si>
  <si>
    <t>ENST00000558114</t>
  </si>
  <si>
    <t>ENST00000559084</t>
  </si>
  <si>
    <t>ENST00000560991</t>
  </si>
  <si>
    <t>ENST00000561137</t>
  </si>
  <si>
    <t>ENST00000561273</t>
  </si>
  <si>
    <t>ENST00000561281</t>
  </si>
  <si>
    <t>Q96LL9</t>
  </si>
  <si>
    <t>ENST00000395176</t>
  </si>
  <si>
    <t>Q96LT7</t>
  </si>
  <si>
    <t>ENST00000380003</t>
  </si>
  <si>
    <t>ENST00000488117</t>
  </si>
  <si>
    <t>Q96LX8</t>
  </si>
  <si>
    <t>ENST00000301744</t>
  </si>
  <si>
    <t>Q96M27</t>
  </si>
  <si>
    <t>ENST00000296666</t>
  </si>
  <si>
    <t>ENST00000442138</t>
  </si>
  <si>
    <t>ENST00000512871</t>
  </si>
  <si>
    <t>ENST00000513427</t>
  </si>
  <si>
    <t>Q96M96</t>
  </si>
  <si>
    <t>ENST00000427716</t>
  </si>
  <si>
    <t>Q96MD2</t>
  </si>
  <si>
    <t>ENST00000311915</t>
  </si>
  <si>
    <t>ENST00000398055</t>
  </si>
  <si>
    <t>ENST00000540673</t>
  </si>
  <si>
    <t>ENST00000544871</t>
  </si>
  <si>
    <t>Q96MF7</t>
  </si>
  <si>
    <t>ENST00000287437</t>
  </si>
  <si>
    <t>ENST00000517532</t>
  </si>
  <si>
    <t>ENST00000518013</t>
  </si>
  <si>
    <t>ENST00000519010</t>
  </si>
  <si>
    <t>ENST00000519712</t>
  </si>
  <si>
    <t>ENST00000520866</t>
  </si>
  <si>
    <t>ENST00000521460</t>
  </si>
  <si>
    <t>ENST00000522563</t>
  </si>
  <si>
    <t>ENST00000523549</t>
  </si>
  <si>
    <t>ENST00000523741</t>
  </si>
  <si>
    <t>ENST00000523824</t>
  </si>
  <si>
    <t>Q96MG7</t>
  </si>
  <si>
    <t>ENST00000332303</t>
  </si>
  <si>
    <t>Q96MU7</t>
  </si>
  <si>
    <t>ENST00000344157</t>
  </si>
  <si>
    <t>ENST00000355665</t>
  </si>
  <si>
    <t>ENST00000505251</t>
  </si>
  <si>
    <t>ENST00000506175</t>
  </si>
  <si>
    <t>ENST00000507529</t>
  </si>
  <si>
    <t>ENST00000579690</t>
  </si>
  <si>
    <t>Q96MW1</t>
  </si>
  <si>
    <t>ENST00000315286</t>
  </si>
  <si>
    <t>ENST00000457422</t>
  </si>
  <si>
    <t>ENST00000588210</t>
  </si>
  <si>
    <t>ENST00000588687</t>
  </si>
  <si>
    <t>ENST00000592333</t>
  </si>
  <si>
    <t>Q96MW5</t>
  </si>
  <si>
    <t>ENST00000306875</t>
  </si>
  <si>
    <t>ENST00000562081</t>
  </si>
  <si>
    <t>ENST00000567493</t>
  </si>
  <si>
    <t>Q96MX3</t>
  </si>
  <si>
    <t>ENST00000320159</t>
  </si>
  <si>
    <t>ENST00000524644</t>
  </si>
  <si>
    <t>Q96MX6</t>
  </si>
  <si>
    <t>ENST00000295121</t>
  </si>
  <si>
    <t>ENST00000406245</t>
  </si>
  <si>
    <t>ENST00000409164</t>
  </si>
  <si>
    <t>ENST00000457114</t>
  </si>
  <si>
    <t>ENST00000468984</t>
  </si>
  <si>
    <t>Q96N66</t>
  </si>
  <si>
    <t>ENST00000245615</t>
  </si>
  <si>
    <t>ENST00000391754</t>
  </si>
  <si>
    <t>ENST00000431666</t>
  </si>
  <si>
    <t>ENST00000437868</t>
  </si>
  <si>
    <t>ENST00000464098</t>
  </si>
  <si>
    <t>ENST00000491216</t>
  </si>
  <si>
    <t>ENST00000494142</t>
  </si>
  <si>
    <t>ENST00000495279</t>
  </si>
  <si>
    <t>Q96NB2</t>
  </si>
  <si>
    <t>ENST00000369893</t>
  </si>
  <si>
    <t>ENST00000459894</t>
  </si>
  <si>
    <t>ENST00000602287</t>
  </si>
  <si>
    <t>ENST00000602544</t>
  </si>
  <si>
    <t>ENST00000602831</t>
  </si>
  <si>
    <t>ENST00000602868</t>
  </si>
  <si>
    <t>Q96NB3</t>
  </si>
  <si>
    <t>ENST00000361952</t>
  </si>
  <si>
    <t>ENST00000578339</t>
  </si>
  <si>
    <t>Q96NC0</t>
  </si>
  <si>
    <t>ENST00000274712</t>
  </si>
  <si>
    <t>ENST00000506644</t>
  </si>
  <si>
    <t>ENST00000519913</t>
  </si>
  <si>
    <t>Q96ND0</t>
  </si>
  <si>
    <t>ENST00000402563</t>
  </si>
  <si>
    <t>ENST00000588475</t>
  </si>
  <si>
    <t>ENST00000589346</t>
  </si>
  <si>
    <t>ENST00000591269</t>
  </si>
  <si>
    <t>ENST00000592976</t>
  </si>
  <si>
    <t>Q96NL6</t>
  </si>
  <si>
    <t>ENST00000281142</t>
  </si>
  <si>
    <t>ENST00000503565</t>
  </si>
  <si>
    <t>ENST00000506233</t>
  </si>
  <si>
    <t>ENST00000506368</t>
  </si>
  <si>
    <t>ENST00000511426</t>
  </si>
  <si>
    <t>Q96NL8</t>
  </si>
  <si>
    <t>ENST00000286688</t>
  </si>
  <si>
    <t>Q96NT0</t>
  </si>
  <si>
    <t>ENST00000259229</t>
  </si>
  <si>
    <t>ENST00000409127</t>
  </si>
  <si>
    <t>ENST00000442217</t>
  </si>
  <si>
    <t>ENST00000465315</t>
  </si>
  <si>
    <t>Q96NW4</t>
  </si>
  <si>
    <t>ENST00000306065</t>
  </si>
  <si>
    <t>ENST00000587352</t>
  </si>
  <si>
    <t>ENST00000587667</t>
  </si>
  <si>
    <t>ENST00000588700</t>
  </si>
  <si>
    <t>ENST00000593232</t>
  </si>
  <si>
    <t>Q96P16</t>
  </si>
  <si>
    <t>ENST00000357384</t>
  </si>
  <si>
    <t>ENST00000399022</t>
  </si>
  <si>
    <t>ENST00000585953</t>
  </si>
  <si>
    <t>ENST00000587563</t>
  </si>
  <si>
    <t>ENST00000588737</t>
  </si>
  <si>
    <t>ENST00000589050</t>
  </si>
  <si>
    <t>ENST00000590898</t>
  </si>
  <si>
    <t>ENST00000591994</t>
  </si>
  <si>
    <t>ENST00000592674</t>
  </si>
  <si>
    <t>Q96P47</t>
  </si>
  <si>
    <t>ENST00000335367</t>
  </si>
  <si>
    <t>ENST00000397238</t>
  </si>
  <si>
    <t>ENST00000461065</t>
  </si>
  <si>
    <t>ENST00000463179</t>
  </si>
  <si>
    <t>ENST00000463381</t>
  </si>
  <si>
    <t>ENST00000467250</t>
  </si>
  <si>
    <t>ENST00000468796</t>
  </si>
  <si>
    <t>ENST00000469901</t>
  </si>
  <si>
    <t>ENST00000473140</t>
  </si>
  <si>
    <t>ENST00000473312</t>
  </si>
  <si>
    <t>ENST00000473633</t>
  </si>
  <si>
    <t>ENST00000475145</t>
  </si>
  <si>
    <t>ENST00000478320</t>
  </si>
  <si>
    <t>ENST00000480106</t>
  </si>
  <si>
    <t>ENST00000483971</t>
  </si>
  <si>
    <t>ENST00000485904</t>
  </si>
  <si>
    <t>ENST00000486946</t>
  </si>
  <si>
    <t>ENST00000490839</t>
  </si>
  <si>
    <t>ENST00000492234</t>
  </si>
  <si>
    <t>ENST00000494808</t>
  </si>
  <si>
    <t>ENST00000498559</t>
  </si>
  <si>
    <t>Q96P53</t>
  </si>
  <si>
    <t>ENST00000298125</t>
  </si>
  <si>
    <t>ENST00000460145</t>
  </si>
  <si>
    <t>Q96P70</t>
  </si>
  <si>
    <t>ENST00000361565</t>
  </si>
  <si>
    <t>ENST00000464348</t>
  </si>
  <si>
    <t>ENST00000479374</t>
  </si>
  <si>
    <t>Q96PE7</t>
  </si>
  <si>
    <t>ENST00000244217</t>
  </si>
  <si>
    <t>ENST00000413592</t>
  </si>
  <si>
    <t>ENST00000462609</t>
  </si>
  <si>
    <t>ENST00000486135</t>
  </si>
  <si>
    <t>ENST00000494660</t>
  </si>
  <si>
    <t>Q96PK6</t>
  </si>
  <si>
    <t>ENST00000310137</t>
  </si>
  <si>
    <t>ENST00000393979</t>
  </si>
  <si>
    <t>ENST00000409372</t>
  </si>
  <si>
    <t>ENST00000460762</t>
  </si>
  <si>
    <t>Q96PP8</t>
  </si>
  <si>
    <t>ENST00000370459</t>
  </si>
  <si>
    <t>ENST00000443807</t>
  </si>
  <si>
    <t>ENST00000471171</t>
  </si>
  <si>
    <t>ENST00000481145</t>
  </si>
  <si>
    <t>Q96PP9</t>
  </si>
  <si>
    <t>ENST00000355754</t>
  </si>
  <si>
    <t>ENST00000471938</t>
  </si>
  <si>
    <t>Q96PU4</t>
  </si>
  <si>
    <t>ENST00000276893</t>
  </si>
  <si>
    <t>ENST00000381373</t>
  </si>
  <si>
    <t>ENST00000450508</t>
  </si>
  <si>
    <t>ENST00000468435</t>
  </si>
  <si>
    <t>ENST00000477183</t>
  </si>
  <si>
    <t>ENST00000479000</t>
  </si>
  <si>
    <t>ENST00000481243</t>
  </si>
  <si>
    <t>ENST00000484159</t>
  </si>
  <si>
    <t>ENST00000492853</t>
  </si>
  <si>
    <t>Q96PV6</t>
  </si>
  <si>
    <t>ENST00000326764</t>
  </si>
  <si>
    <t>ENST00000436479</t>
  </si>
  <si>
    <t>ENST00000439657</t>
  </si>
  <si>
    <t>ENST00000462541</t>
  </si>
  <si>
    <t>Q96PZ0</t>
  </si>
  <si>
    <t>ENST00000356362</t>
  </si>
  <si>
    <t>ENST00000469408</t>
  </si>
  <si>
    <t>ENST00000478208</t>
  </si>
  <si>
    <t>ENST00000487277</t>
  </si>
  <si>
    <t>Q96PZ2</t>
  </si>
  <si>
    <t>ENST00000361723</t>
  </si>
  <si>
    <t>ENST00000420244</t>
  </si>
  <si>
    <t>ENST00000528737</t>
  </si>
  <si>
    <t>ENST00000529358</t>
  </si>
  <si>
    <t>ENST00000529985</t>
  </si>
  <si>
    <t>ENST00000531147</t>
  </si>
  <si>
    <t>ENST00000531676</t>
  </si>
  <si>
    <t>ENST00000532790</t>
  </si>
  <si>
    <t>ENST00000533703</t>
  </si>
  <si>
    <t>Q96Q15</t>
  </si>
  <si>
    <t>ENST00000330588</t>
  </si>
  <si>
    <t>ENST00000446231</t>
  </si>
  <si>
    <t>ENST00000532700</t>
  </si>
  <si>
    <t>ENST00000561940</t>
  </si>
  <si>
    <t>ENST00000561947</t>
  </si>
  <si>
    <t>ENST00000562668</t>
  </si>
  <si>
    <t>ENST00000563235</t>
  </si>
  <si>
    <t>ENST00000563448</t>
  </si>
  <si>
    <t>ENST00000565224</t>
  </si>
  <si>
    <t>ENST00000565324</t>
  </si>
  <si>
    <t>ENST00000566328</t>
  </si>
  <si>
    <t>ENST00000567737</t>
  </si>
  <si>
    <t>ENST00000568239</t>
  </si>
  <si>
    <t>ENST00000569764</t>
  </si>
  <si>
    <t>Q96Q83</t>
  </si>
  <si>
    <t>ENST00000302708</t>
  </si>
  <si>
    <t>ENST00000524742</t>
  </si>
  <si>
    <t>ENST00000527029</t>
  </si>
  <si>
    <t>ENST00000529366</t>
  </si>
  <si>
    <t>ENST00000529434</t>
  </si>
  <si>
    <t>ENST00000530754</t>
  </si>
  <si>
    <t>ENST00000532129</t>
  </si>
  <si>
    <t>ENST00000532410</t>
  </si>
  <si>
    <t>ENST00000532962</t>
  </si>
  <si>
    <t>ENST00000534171</t>
  </si>
  <si>
    <t>Q96QC0</t>
  </si>
  <si>
    <t>ENST00000376511</t>
  </si>
  <si>
    <t>ENST00000461593</t>
  </si>
  <si>
    <t>ENST00000468181</t>
  </si>
  <si>
    <t>ENST00000473954</t>
  </si>
  <si>
    <t>ENST00000476704</t>
  </si>
  <si>
    <t>ENST00000484449</t>
  </si>
  <si>
    <t>ENST00000496955</t>
  </si>
  <si>
    <t>Q96QD8</t>
  </si>
  <si>
    <t>ENST00000256689</t>
  </si>
  <si>
    <t>ENST00000546520</t>
  </si>
  <si>
    <t>ENST00000547252</t>
  </si>
  <si>
    <t>ENST00000548111</t>
  </si>
  <si>
    <t>ENST00000548236</t>
  </si>
  <si>
    <t>ENST00000548785</t>
  </si>
  <si>
    <t>ENST00000548870</t>
  </si>
  <si>
    <t>ENST00000549258</t>
  </si>
  <si>
    <t>ENST00000551374</t>
  </si>
  <si>
    <t>ENST00000552414</t>
  </si>
  <si>
    <t>ENST00000552703</t>
  </si>
  <si>
    <t>ENST00000553252</t>
  </si>
  <si>
    <t>Q96QK1</t>
  </si>
  <si>
    <t>ENST00000299138</t>
  </si>
  <si>
    <t>ENST00000561713</t>
  </si>
  <si>
    <t>ENST00000562420</t>
  </si>
  <si>
    <t>ENST00000563884</t>
  </si>
  <si>
    <t>ENST00000563984</t>
  </si>
  <si>
    <t>ENST00000565228</t>
  </si>
  <si>
    <t>ENST00000568191</t>
  </si>
  <si>
    <t>ENST00000568784</t>
  </si>
  <si>
    <t>ENST00000569950</t>
  </si>
  <si>
    <t>Q96QP1</t>
  </si>
  <si>
    <t>ENST00000458497</t>
  </si>
  <si>
    <t>ENST00000502366</t>
  </si>
  <si>
    <t>ENST00000504488</t>
  </si>
  <si>
    <t>ENST00000505176</t>
  </si>
  <si>
    <t>ENST00000505912</t>
  </si>
  <si>
    <t>ENST00000509209</t>
  </si>
  <si>
    <t>ENST00000509688</t>
  </si>
  <si>
    <t>ENST00000512847</t>
  </si>
  <si>
    <t>ENST00000515106</t>
  </si>
  <si>
    <t>Q96QR8</t>
  </si>
  <si>
    <t>ENST00000395699</t>
  </si>
  <si>
    <t>Q96QT6</t>
  </si>
  <si>
    <t>ENST00000268756</t>
  </si>
  <si>
    <t>ENST00000332830</t>
  </si>
  <si>
    <t>ENST00000378879</t>
  </si>
  <si>
    <t>ENST00000483934</t>
  </si>
  <si>
    <t>ENST00000577226</t>
  </si>
  <si>
    <t>ENST00000578900</t>
  </si>
  <si>
    <t>ENST00000579563</t>
  </si>
  <si>
    <t>ENST00000582655</t>
  </si>
  <si>
    <t>ENST00000582853</t>
  </si>
  <si>
    <t>ENST00000583747</t>
  </si>
  <si>
    <t>ENST00000584236</t>
  </si>
  <si>
    <t>Q96R06</t>
  </si>
  <si>
    <t>ENST00000321765</t>
  </si>
  <si>
    <t>ENST00000577259</t>
  </si>
  <si>
    <t>ENST00000578230</t>
  </si>
  <si>
    <t>ENST00000578479</t>
  </si>
  <si>
    <t>ENST00000580377</t>
  </si>
  <si>
    <t>ENST00000580406</t>
  </si>
  <si>
    <t>ENST00000580676</t>
  </si>
  <si>
    <t>ENST00000580682</t>
  </si>
  <si>
    <t>ENST00000581133</t>
  </si>
  <si>
    <t>ENST00000582175</t>
  </si>
  <si>
    <t>Q96RE7</t>
  </si>
  <si>
    <t>ENST00000292431</t>
  </si>
  <si>
    <t>ENST00000586171</t>
  </si>
  <si>
    <t>Q96RG2</t>
  </si>
  <si>
    <t>ENST00000234040</t>
  </si>
  <si>
    <t>ENST00000358649</t>
  </si>
  <si>
    <t>ENST00000403638</t>
  </si>
  <si>
    <t>ENST00000405260</t>
  </si>
  <si>
    <t>ENST00000472072</t>
  </si>
  <si>
    <t>ENST00000475666</t>
  </si>
  <si>
    <t>ENST00000485940</t>
  </si>
  <si>
    <t>ENST00000489256</t>
  </si>
  <si>
    <t>ENST00000493544</t>
  </si>
  <si>
    <t>Q96RK0</t>
  </si>
  <si>
    <t>ENST00000160740</t>
  </si>
  <si>
    <t>ENST00000571033</t>
  </si>
  <si>
    <t>ENST00000572681</t>
  </si>
  <si>
    <t>ENST00000573349</t>
  </si>
  <si>
    <t>ENST00000575287</t>
  </si>
  <si>
    <t>ENST00000575354</t>
  </si>
  <si>
    <t>ENST00000576505</t>
  </si>
  <si>
    <t>Q96RL1</t>
  </si>
  <si>
    <t>ENST00000417486</t>
  </si>
  <si>
    <t>ENST00000503273</t>
  </si>
  <si>
    <t>ENST00000505229</t>
  </si>
  <si>
    <t>ENST00000505879</t>
  </si>
  <si>
    <t>ENST00000510376</t>
  </si>
  <si>
    <t>ENST00000511320</t>
  </si>
  <si>
    <t>Q96RP9</t>
  </si>
  <si>
    <t>ENST00000264263</t>
  </si>
  <si>
    <t>ENST00000312756</t>
  </si>
  <si>
    <t>ENST00000464732</t>
  </si>
  <si>
    <t>ENST00000472383</t>
  </si>
  <si>
    <t>ENST00000477721</t>
  </si>
  <si>
    <t>ENST00000478251</t>
  </si>
  <si>
    <t>ENST00000478254</t>
  </si>
  <si>
    <t>ENST00000478576</t>
  </si>
  <si>
    <t>ENST00000481468</t>
  </si>
  <si>
    <t>ENST00000486715</t>
  </si>
  <si>
    <t>Q96RQ1</t>
  </si>
  <si>
    <t>ENST00000360150</t>
  </si>
  <si>
    <t>ENST00000546509</t>
  </si>
  <si>
    <t>ENST00000548098</t>
  </si>
  <si>
    <t>ENST00000548441</t>
  </si>
  <si>
    <t>ENST00000548909</t>
  </si>
  <si>
    <t>ENST00000552132</t>
  </si>
  <si>
    <t>ENST00000552155</t>
  </si>
  <si>
    <t>Q96RQ3</t>
  </si>
  <si>
    <t>ENST00000265594</t>
  </si>
  <si>
    <t>ENST00000464601</t>
  </si>
  <si>
    <t>ENST00000473955</t>
  </si>
  <si>
    <t>ENST00000497959</t>
  </si>
  <si>
    <t>Q96RQ9</t>
  </si>
  <si>
    <t>ENST00000391826</t>
  </si>
  <si>
    <t>ENST00000596022</t>
  </si>
  <si>
    <t>Q96RS0</t>
  </si>
  <si>
    <t>ENST00000260129</t>
  </si>
  <si>
    <t>ENST00000519494</t>
  </si>
  <si>
    <t>ENST00000523948</t>
  </si>
  <si>
    <t>Q96RS6</t>
  </si>
  <si>
    <t>ENST00000239690</t>
  </si>
  <si>
    <t>Q96RY5</t>
  </si>
  <si>
    <t>ENST00000397412</t>
  </si>
  <si>
    <t>ENST00000415022</t>
  </si>
  <si>
    <t>ENST00000466562</t>
  </si>
  <si>
    <t>ENST00000467286</t>
  </si>
  <si>
    <t>ENST00000468839</t>
  </si>
  <si>
    <t>ENST00000498594</t>
  </si>
  <si>
    <t>Q96S06</t>
  </si>
  <si>
    <t>ENST00000262301</t>
  </si>
  <si>
    <t>ENST00000545827</t>
  </si>
  <si>
    <t>ENST00000565198</t>
  </si>
  <si>
    <t>ENST00000565276</t>
  </si>
  <si>
    <t>ENST00000568268</t>
  </si>
  <si>
    <t>ENST00000568964</t>
  </si>
  <si>
    <t>ENST00000569516</t>
  </si>
  <si>
    <t>ENST00000570168</t>
  </si>
  <si>
    <t>Q96S19</t>
  </si>
  <si>
    <t>ENST00000301686</t>
  </si>
  <si>
    <t>ENST00000338401</t>
  </si>
  <si>
    <t>ENST00000397664</t>
  </si>
  <si>
    <t>ENST00000397665</t>
  </si>
  <si>
    <t>ENST00000397666</t>
  </si>
  <si>
    <t>ENST00000448973</t>
  </si>
  <si>
    <t>ENST00000456420</t>
  </si>
  <si>
    <t>ENST00000564039</t>
  </si>
  <si>
    <t>ENST00000565163</t>
  </si>
  <si>
    <t>ENST00000565799</t>
  </si>
  <si>
    <t>ENST00000568077</t>
  </si>
  <si>
    <t>ENST00000568773</t>
  </si>
  <si>
    <t>ENST00000568830</t>
  </si>
  <si>
    <t>Q96S44</t>
  </si>
  <si>
    <t>ENST00000372102</t>
  </si>
  <si>
    <t>ENST00000372114</t>
  </si>
  <si>
    <t>Q96S52</t>
  </si>
  <si>
    <t>ENST00000268758</t>
  </si>
  <si>
    <t>ENST00000308360</t>
  </si>
  <si>
    <t>ENST00000395346</t>
  </si>
  <si>
    <t>ENST00000484580</t>
  </si>
  <si>
    <t>ENST00000487231</t>
  </si>
  <si>
    <t>ENST00000492429</t>
  </si>
  <si>
    <t>ENST00000577594</t>
  </si>
  <si>
    <t>ENST00000577620</t>
  </si>
  <si>
    <t>ENST00000582615</t>
  </si>
  <si>
    <t>ENST00000582721</t>
  </si>
  <si>
    <t>ENST00000584080</t>
  </si>
  <si>
    <t>Q96S59</t>
  </si>
  <si>
    <t>ENST00000011619</t>
  </si>
  <si>
    <t>ENST00000469916</t>
  </si>
  <si>
    <t>Q96S66</t>
  </si>
  <si>
    <t>ENST00000356970</t>
  </si>
  <si>
    <t>Q96S82</t>
  </si>
  <si>
    <t>ENST00000361351</t>
  </si>
  <si>
    <t>ENST00000395081</t>
  </si>
  <si>
    <t>ENST00000564488</t>
  </si>
  <si>
    <t>ENST00000565130</t>
  </si>
  <si>
    <t>ENST00000565335</t>
  </si>
  <si>
    <t>ENST00000565494</t>
  </si>
  <si>
    <t>ENST00000567435</t>
  </si>
  <si>
    <t>Q96S94</t>
  </si>
  <si>
    <t>ENST00000400809</t>
  </si>
  <si>
    <t>ENST00000408918</t>
  </si>
  <si>
    <t>ENST00000418865</t>
  </si>
  <si>
    <t>ENST00000425598</t>
  </si>
  <si>
    <t>ENST00000463260</t>
  </si>
  <si>
    <t>ENST00000469113</t>
  </si>
  <si>
    <t>ENST00000473872</t>
  </si>
  <si>
    <t>ENST00000480479</t>
  </si>
  <si>
    <t>ENST00000480646</t>
  </si>
  <si>
    <t>ENST00000481223</t>
  </si>
  <si>
    <t>ENST00000482365</t>
  </si>
  <si>
    <t>ENST00000482621</t>
  </si>
  <si>
    <t>ENST00000488340</t>
  </si>
  <si>
    <t>ENST00000492998</t>
  </si>
  <si>
    <t>ENST00000496007</t>
  </si>
  <si>
    <t>ENST00000497013</t>
  </si>
  <si>
    <t>ENST00000505849</t>
  </si>
  <si>
    <t>Q96S97</t>
  </si>
  <si>
    <t>ENST00000336967</t>
  </si>
  <si>
    <t>ENST00000391768</t>
  </si>
  <si>
    <t>ENST00000391769</t>
  </si>
  <si>
    <t>ENST00000391770</t>
  </si>
  <si>
    <t>ENST00000391771</t>
  </si>
  <si>
    <t>ENST00000421337</t>
  </si>
  <si>
    <t>ENST00000448420</t>
  </si>
  <si>
    <t>Q96S99</t>
  </si>
  <si>
    <t>ENST00000436066</t>
  </si>
  <si>
    <t>ENST00000586888</t>
  </si>
  <si>
    <t>ENST00000592810</t>
  </si>
  <si>
    <t>Q96SB3</t>
  </si>
  <si>
    <t>ENST00000513579</t>
  </si>
  <si>
    <t>Q96SB4</t>
  </si>
  <si>
    <t>ENST00000346162</t>
  </si>
  <si>
    <t>ENST00000373822</t>
  </si>
  <si>
    <t>ENST00000373825</t>
  </si>
  <si>
    <t>ENST00000423325</t>
  </si>
  <si>
    <t>ENST00000502969</t>
  </si>
  <si>
    <t>ENST00000505885</t>
  </si>
  <si>
    <t>ENST00000507292</t>
  </si>
  <si>
    <t>ENST00000507909</t>
  </si>
  <si>
    <t>ENST00000508473</t>
  </si>
  <si>
    <t>ENST00000513367</t>
  </si>
  <si>
    <t>Q96SB8</t>
  </si>
  <si>
    <t>ENST00000351948</t>
  </si>
  <si>
    <t>ENST00000430591</t>
  </si>
  <si>
    <t>ENST00000448223</t>
  </si>
  <si>
    <t>ENST00000481708</t>
  </si>
  <si>
    <t>Q96SI9</t>
  </si>
  <si>
    <t>ENST00000447404</t>
  </si>
  <si>
    <t>ENST00000471564</t>
  </si>
  <si>
    <t>ENST00000478973</t>
  </si>
  <si>
    <t>ENST00000492885</t>
  </si>
  <si>
    <t>ENST00000496533</t>
  </si>
  <si>
    <t>Q96SJ8</t>
  </si>
  <si>
    <t>ENST00000519051</t>
  </si>
  <si>
    <t>ENST00000520245</t>
  </si>
  <si>
    <t>ENST00000520278</t>
  </si>
  <si>
    <t>Q96SK2</t>
  </si>
  <si>
    <t>ENST00000397622</t>
  </si>
  <si>
    <t>ENST00000467599</t>
  </si>
  <si>
    <t>ENST00000473456</t>
  </si>
  <si>
    <t>ENST00000479804</t>
  </si>
  <si>
    <t>Q96SL4</t>
  </si>
  <si>
    <t>ENST00000361314</t>
  </si>
  <si>
    <t>ENST00000459779</t>
  </si>
  <si>
    <t>Q96SL8</t>
  </si>
  <si>
    <t>ENST00000221665</t>
  </si>
  <si>
    <t>ENST00000587414</t>
  </si>
  <si>
    <t>ENST00000587678</t>
  </si>
  <si>
    <t>ENST00000590714</t>
  </si>
  <si>
    <t>ENST00000592585</t>
  </si>
  <si>
    <t>Q96ST3</t>
  </si>
  <si>
    <t>ENST00000360439</t>
  </si>
  <si>
    <t>ENST00000394947</t>
  </si>
  <si>
    <t>ENST00000394949</t>
  </si>
  <si>
    <t>ENST00000564778</t>
  </si>
  <si>
    <t>ENST00000565264</t>
  </si>
  <si>
    <t>ENST00000566640</t>
  </si>
  <si>
    <t>ENST00000567289</t>
  </si>
  <si>
    <t>ENST00000568919</t>
  </si>
  <si>
    <t>ENST00000570021</t>
  </si>
  <si>
    <t>ENST00000570124</t>
  </si>
  <si>
    <t>Q96SZ5</t>
  </si>
  <si>
    <t>ENST00000373783</t>
  </si>
  <si>
    <t>Q96T21</t>
  </si>
  <si>
    <t>ENST00000339901</t>
  </si>
  <si>
    <t>ENST00000375807</t>
  </si>
  <si>
    <t>ENST00000425851</t>
  </si>
  <si>
    <t>ENST00000440898</t>
  </si>
  <si>
    <t>ENST00000470305</t>
  </si>
  <si>
    <t>ENST00000496597</t>
  </si>
  <si>
    <t>ENST00000534113</t>
  </si>
  <si>
    <t>Q96T49</t>
  </si>
  <si>
    <t>ENST00000299824</t>
  </si>
  <si>
    <t>ENST00000468265</t>
  </si>
  <si>
    <t>Q96T51</t>
  </si>
  <si>
    <t>ENST00000319449</t>
  </si>
  <si>
    <t>ENST00000393448</t>
  </si>
  <si>
    <t>ENST00000437570</t>
  </si>
  <si>
    <t>ENST00000502434</t>
  </si>
  <si>
    <t>ENST00000502531</t>
  </si>
  <si>
    <t>ENST00000503583</t>
  </si>
  <si>
    <t>ENST00000507569</t>
  </si>
  <si>
    <t>ENST00000508609</t>
  </si>
  <si>
    <t>ENST00000508797</t>
  </si>
  <si>
    <t>ENST00000509797</t>
  </si>
  <si>
    <t>ENST00000514238</t>
  </si>
  <si>
    <t>Q96T58</t>
  </si>
  <si>
    <t>ENST00000375759</t>
  </si>
  <si>
    <t>ENST00000438066</t>
  </si>
  <si>
    <t>ENST00000442985</t>
  </si>
  <si>
    <t>ENST00000471538</t>
  </si>
  <si>
    <t>ENST00000487496</t>
  </si>
  <si>
    <t>Q96T60</t>
  </si>
  <si>
    <t>ENST00000322344</t>
  </si>
  <si>
    <t>ENST00000593706</t>
  </si>
  <si>
    <t>ENST00000593946</t>
  </si>
  <si>
    <t>ENST00000594661</t>
  </si>
  <si>
    <t>ENST00000595081</t>
  </si>
  <si>
    <t>ENST00000595792</t>
  </si>
  <si>
    <t>ENST00000596014</t>
  </si>
  <si>
    <t>ENST00000596726</t>
  </si>
  <si>
    <t>ENST00000597965</t>
  </si>
  <si>
    <t>ENST00000598020</t>
  </si>
  <si>
    <t>ENST00000599454</t>
  </si>
  <si>
    <t>ENST00000599543</t>
  </si>
  <si>
    <t>ENST00000600910</t>
  </si>
  <si>
    <t>ENST00000601816</t>
  </si>
  <si>
    <t>Q96T76</t>
  </si>
  <si>
    <t>ENST00000327238</t>
  </si>
  <si>
    <t>ENST00000355839</t>
  </si>
  <si>
    <t>ENST00000415383</t>
  </si>
  <si>
    <t>ENST00000422685</t>
  </si>
  <si>
    <t>ENST00000434392</t>
  </si>
  <si>
    <t>ENST00000438925</t>
  </si>
  <si>
    <t>ENST00000441194</t>
  </si>
  <si>
    <t>ENST00000444411</t>
  </si>
  <si>
    <t>ENST00000448660</t>
  </si>
  <si>
    <t>ENST00000477575</t>
  </si>
  <si>
    <t>ENST00000478452</t>
  </si>
  <si>
    <t>ENST00000480108</t>
  </si>
  <si>
    <t>ENST00000485400</t>
  </si>
  <si>
    <t>ENST00000495415</t>
  </si>
  <si>
    <t>Q96TC7</t>
  </si>
  <si>
    <t>ENST00000260385</t>
  </si>
  <si>
    <t>ENST00000338376</t>
  </si>
  <si>
    <t>ENST00000557831</t>
  </si>
  <si>
    <t>ENST00000558364</t>
  </si>
  <si>
    <t>ENST00000560460</t>
  </si>
  <si>
    <t>ENST00000560588</t>
  </si>
  <si>
    <t>ENST00000560779</t>
  </si>
  <si>
    <t>ENST00000560905</t>
  </si>
  <si>
    <t>Q99081</t>
  </si>
  <si>
    <t>ENST00000267811</t>
  </si>
  <si>
    <t>ENST00000333725</t>
  </si>
  <si>
    <t>ENST00000438423</t>
  </si>
  <si>
    <t>ENST00000537840</t>
  </si>
  <si>
    <t>ENST00000557947</t>
  </si>
  <si>
    <t>ENST00000558210</t>
  </si>
  <si>
    <t>ENST00000560191</t>
  </si>
  <si>
    <t>ENST00000560887</t>
  </si>
  <si>
    <t>ENST00000560948</t>
  </si>
  <si>
    <t>ENST00000561152</t>
  </si>
  <si>
    <t>ENST00000561449</t>
  </si>
  <si>
    <t>ENST00000569880</t>
  </si>
  <si>
    <t>Q99417</t>
  </si>
  <si>
    <t>ENST00000397572</t>
  </si>
  <si>
    <t>ENST00000494695</t>
  </si>
  <si>
    <t>ENST00000495043</t>
  </si>
  <si>
    <t>Q99426</t>
  </si>
  <si>
    <t>ENST00000221855</t>
  </si>
  <si>
    <t>ENST00000392178</t>
  </si>
  <si>
    <t>ENST00000468156</t>
  </si>
  <si>
    <t>ENST00000481742</t>
  </si>
  <si>
    <t>ENST00000585746</t>
  </si>
  <si>
    <t>ENST00000585910</t>
  </si>
  <si>
    <t>ENST00000588385</t>
  </si>
  <si>
    <t>ENST00000589308</t>
  </si>
  <si>
    <t>ENST00000589624</t>
  </si>
  <si>
    <t>ENST00000589996</t>
  </si>
  <si>
    <t>ENST00000591296</t>
  </si>
  <si>
    <t>Q99436</t>
  </si>
  <si>
    <t>ENST00000259457</t>
  </si>
  <si>
    <t>ENST00000441097</t>
  </si>
  <si>
    <t>ENST00000466951</t>
  </si>
  <si>
    <t>ENST00000474081</t>
  </si>
  <si>
    <t>ENST00000478817</t>
  </si>
  <si>
    <t>ENST00000498485</t>
  </si>
  <si>
    <t>Q99439</t>
  </si>
  <si>
    <t>ENST00000263097</t>
  </si>
  <si>
    <t>ENST00000348419</t>
  </si>
  <si>
    <t>ENST00000562015</t>
  </si>
  <si>
    <t>ENST00000562075</t>
  </si>
  <si>
    <t>ENST00000562958</t>
  </si>
  <si>
    <t>ENST00000564572</t>
  </si>
  <si>
    <t>ENST00000566695</t>
  </si>
  <si>
    <t>ENST00000569352</t>
  </si>
  <si>
    <t>ENST00000606983</t>
  </si>
  <si>
    <t>ENST00000607102</t>
  </si>
  <si>
    <t>Q99442</t>
  </si>
  <si>
    <t>ENST00000337002</t>
  </si>
  <si>
    <t>ENST00000460513</t>
  </si>
  <si>
    <t>ENST00000461933</t>
  </si>
  <si>
    <t>ENST00000469515</t>
  </si>
  <si>
    <t>ENST00000469890</t>
  </si>
  <si>
    <t>ENST00000470355</t>
  </si>
  <si>
    <t>ENST00000480708</t>
  </si>
  <si>
    <t>ENST00000481435</t>
  </si>
  <si>
    <t>ENST00000487736</t>
  </si>
  <si>
    <t>ENST00000497277</t>
  </si>
  <si>
    <t>Q99447</t>
  </si>
  <si>
    <t>ENST00000538721</t>
  </si>
  <si>
    <t>ENST00000538936</t>
  </si>
  <si>
    <t>ENST00000570388</t>
  </si>
  <si>
    <t>ENST00000571105</t>
  </si>
  <si>
    <t>ENST00000571581</t>
  </si>
  <si>
    <t>ENST00000571944</t>
  </si>
  <si>
    <t>ENST00000572924</t>
  </si>
  <si>
    <t>ENST00000574155</t>
  </si>
  <si>
    <t>ENST00000574343</t>
  </si>
  <si>
    <t>ENST00000576343</t>
  </si>
  <si>
    <t>Q99459</t>
  </si>
  <si>
    <t>ENST00000371477</t>
  </si>
  <si>
    <t>Q99460</t>
  </si>
  <si>
    <t>ENST00000308696</t>
  </si>
  <si>
    <t>ENST00000373635</t>
  </si>
  <si>
    <t>ENST00000409643</t>
  </si>
  <si>
    <t>ENST00000444007</t>
  </si>
  <si>
    <t>ENST00000447633</t>
  </si>
  <si>
    <t>ENST00000467792</t>
  </si>
  <si>
    <t>ENST00000477120</t>
  </si>
  <si>
    <t>ENST00000481003</t>
  </si>
  <si>
    <t>ENST00000491229</t>
  </si>
  <si>
    <t>Q99467</t>
  </si>
  <si>
    <t>ENST00000256447</t>
  </si>
  <si>
    <t>Q99470</t>
  </si>
  <si>
    <t>ENST00000247020</t>
  </si>
  <si>
    <t>ENST00000585428</t>
  </si>
  <si>
    <t>ENST00000587338</t>
  </si>
  <si>
    <t>ENST00000587629</t>
  </si>
  <si>
    <t>ENST00000587788</t>
  </si>
  <si>
    <t>ENST00000588472</t>
  </si>
  <si>
    <t>ENST00000589788</t>
  </si>
  <si>
    <t>ENST00000591903</t>
  </si>
  <si>
    <t>ENST00000592250</t>
  </si>
  <si>
    <t>Q99471</t>
  </si>
  <si>
    <t>ENST00000243040</t>
  </si>
  <si>
    <t>ENST00000334478</t>
  </si>
  <si>
    <t>ENST00000351500</t>
  </si>
  <si>
    <t>ENST00000547130</t>
  </si>
  <si>
    <t>ENST00000547228</t>
  </si>
  <si>
    <t>ENST00000548984</t>
  </si>
  <si>
    <t>ENST00000549759</t>
  </si>
  <si>
    <t>ENST00000550069</t>
  </si>
  <si>
    <t>ENST00000550513</t>
  </si>
  <si>
    <t>ENST00000550846</t>
  </si>
  <si>
    <t>ENST00000550880</t>
  </si>
  <si>
    <t>ENST00000551018</t>
  </si>
  <si>
    <t>ENST00000551223</t>
  </si>
  <si>
    <t>ENST00000552341</t>
  </si>
  <si>
    <t>ENST00000552548</t>
  </si>
  <si>
    <t>ENST00000552742</t>
  </si>
  <si>
    <t>ENST00000553171</t>
  </si>
  <si>
    <t>Q99487</t>
  </si>
  <si>
    <t>ENST00000374282</t>
  </si>
  <si>
    <t>ENST00000374284</t>
  </si>
  <si>
    <t>ENST00000476611</t>
  </si>
  <si>
    <t>ENST00000493892</t>
  </si>
  <si>
    <t>Q99496</t>
  </si>
  <si>
    <t>ENST00000367509</t>
  </si>
  <si>
    <t>ENST00000367510</t>
  </si>
  <si>
    <t>ENST00000498201</t>
  </si>
  <si>
    <t>Q99497</t>
  </si>
  <si>
    <t>ENST00000338639</t>
  </si>
  <si>
    <t>ENST00000377491</t>
  </si>
  <si>
    <t>ENST00000377493</t>
  </si>
  <si>
    <t>ENST00000460192</t>
  </si>
  <si>
    <t>ENST00000465354</t>
  </si>
  <si>
    <t>ENST00000469225</t>
  </si>
  <si>
    <t>ENST00000493678</t>
  </si>
  <si>
    <t>ENST00000497113</t>
  </si>
  <si>
    <t>Q99519</t>
  </si>
  <si>
    <t>ENST00000375631</t>
  </si>
  <si>
    <t>ENST00000480384</t>
  </si>
  <si>
    <t>ENST00000491768</t>
  </si>
  <si>
    <t>ENST00000495807</t>
  </si>
  <si>
    <t>Q99523</t>
  </si>
  <si>
    <t>ENST00000256637</t>
  </si>
  <si>
    <t>ENST00000483508</t>
  </si>
  <si>
    <t>Q99536</t>
  </si>
  <si>
    <t>ENST00000355653</t>
  </si>
  <si>
    <t>ENST00000420567</t>
  </si>
  <si>
    <t>ENST00000587147</t>
  </si>
  <si>
    <t>ENST00000589828</t>
  </si>
  <si>
    <t>ENST00000590924</t>
  </si>
  <si>
    <t>Q99541</t>
  </si>
  <si>
    <t>ENST00000276914</t>
  </si>
  <si>
    <t>ENST00000380464</t>
  </si>
  <si>
    <t>ENST00000464326</t>
  </si>
  <si>
    <t>ENST00000472715</t>
  </si>
  <si>
    <t>ENST00000475923</t>
  </si>
  <si>
    <t>Q99543</t>
  </si>
  <si>
    <t>ENST00000249270</t>
  </si>
  <si>
    <t>ENST00000379257</t>
  </si>
  <si>
    <t>ENST00000379263</t>
  </si>
  <si>
    <t>ENST00000412522</t>
  </si>
  <si>
    <t>ENST00000454277</t>
  </si>
  <si>
    <t>ENST00000475065</t>
  </si>
  <si>
    <t>ENST00000475090</t>
  </si>
  <si>
    <t>ENST00000483637</t>
  </si>
  <si>
    <t>ENST00000492497</t>
  </si>
  <si>
    <t>Q99547</t>
  </si>
  <si>
    <t>ENST00000258169</t>
  </si>
  <si>
    <t>ENST00000566748</t>
  </si>
  <si>
    <t>ENST00000567729</t>
  </si>
  <si>
    <t>ENST00000568016</t>
  </si>
  <si>
    <t>ENST00000569021</t>
  </si>
  <si>
    <t>ENST00000569599</t>
  </si>
  <si>
    <t>Q99549</t>
  </si>
  <si>
    <t>ENST00000361479</t>
  </si>
  <si>
    <t>ENST00000414242</t>
  </si>
  <si>
    <t>ENST00000449056</t>
  </si>
  <si>
    <t>ENST00000467481</t>
  </si>
  <si>
    <t>ENST00000496525</t>
  </si>
  <si>
    <t>Q99567</t>
  </si>
  <si>
    <t>ENST00000225696</t>
  </si>
  <si>
    <t>ENST00000570937</t>
  </si>
  <si>
    <t>ENST00000572019</t>
  </si>
  <si>
    <t>ENST00000572809</t>
  </si>
  <si>
    <t>ENST00000573584</t>
  </si>
  <si>
    <t>ENST00000574087</t>
  </si>
  <si>
    <t>ENST00000574855</t>
  </si>
  <si>
    <t>ENST00000574867</t>
  </si>
  <si>
    <t>ENST00000575976</t>
  </si>
  <si>
    <t>ENST00000576708</t>
  </si>
  <si>
    <t>ENST00000576862</t>
  </si>
  <si>
    <t>Q99570</t>
  </si>
  <si>
    <t>ENST00000356763</t>
  </si>
  <si>
    <t>ENST00000511760</t>
  </si>
  <si>
    <t>ENST00000512362</t>
  </si>
  <si>
    <t>ENST00000512677</t>
  </si>
  <si>
    <t>Q99575</t>
  </si>
  <si>
    <t>ENST00000401707</t>
  </si>
  <si>
    <t>ENST00000517435</t>
  </si>
  <si>
    <t>Q99583</t>
  </si>
  <si>
    <t>ENST00000174618</t>
  </si>
  <si>
    <t>ENST00000571232</t>
  </si>
  <si>
    <t>ENST00000572892</t>
  </si>
  <si>
    <t>ENST00000573384</t>
  </si>
  <si>
    <t>ENST00000575402</t>
  </si>
  <si>
    <t>Q99590</t>
  </si>
  <si>
    <t>ENST00000266589</t>
  </si>
  <si>
    <t>ENST00000369367</t>
  </si>
  <si>
    <t>ENST00000395453</t>
  </si>
  <si>
    <t>ENST00000395454</t>
  </si>
  <si>
    <t>ENST00000465950</t>
  </si>
  <si>
    <t>ENST00000474828</t>
  </si>
  <si>
    <t>ENST00000546534</t>
  </si>
  <si>
    <t>ENST00000547654</t>
  </si>
  <si>
    <t>ENST00000547950</t>
  </si>
  <si>
    <t>ENST00000549162</t>
  </si>
  <si>
    <t>ENST00000550629</t>
  </si>
  <si>
    <t>ENST00000550893</t>
  </si>
  <si>
    <t>ENST00000551391</t>
  </si>
  <si>
    <t>Q99598</t>
  </si>
  <si>
    <t>ENST00000366639</t>
  </si>
  <si>
    <t>ENST00000413309</t>
  </si>
  <si>
    <t>ENST00000475168</t>
  </si>
  <si>
    <t>ENST00000476913</t>
  </si>
  <si>
    <t>Q99611</t>
  </si>
  <si>
    <t>ENST00000478753</t>
  </si>
  <si>
    <t>Q99614</t>
  </si>
  <si>
    <t>ENST00000231238</t>
  </si>
  <si>
    <t>ENST00000522073</t>
  </si>
  <si>
    <t>ENST00000522793</t>
  </si>
  <si>
    <t>Q99615</t>
  </si>
  <si>
    <t>ENST00000426588</t>
  </si>
  <si>
    <t>ENST00000457167</t>
  </si>
  <si>
    <t>ENST00000585693</t>
  </si>
  <si>
    <t>ENST00000585866</t>
  </si>
  <si>
    <t>ENST00000586240</t>
  </si>
  <si>
    <t>ENST00000586335</t>
  </si>
  <si>
    <t>ENST00000587380</t>
  </si>
  <si>
    <t>ENST00000587727</t>
  </si>
  <si>
    <t>ENST00000588814</t>
  </si>
  <si>
    <t>ENST00000589576</t>
  </si>
  <si>
    <t>ENST00000589810</t>
  </si>
  <si>
    <t>ENST00000590197</t>
  </si>
  <si>
    <t>ENST00000590348</t>
  </si>
  <si>
    <t>ENST00000590847</t>
  </si>
  <si>
    <t>Q99618</t>
  </si>
  <si>
    <t>ENST00000538862</t>
  </si>
  <si>
    <t>ENST00000604599</t>
  </si>
  <si>
    <t>Q99622</t>
  </si>
  <si>
    <t>ENST00000229281</t>
  </si>
  <si>
    <t>ENST00000537087</t>
  </si>
  <si>
    <t>ENST00000540506</t>
  </si>
  <si>
    <t>ENST00000544681</t>
  </si>
  <si>
    <t>Q99623</t>
  </si>
  <si>
    <t>ENST00000399433</t>
  </si>
  <si>
    <t>ENST00000440277</t>
  </si>
  <si>
    <t>ENST00000535923</t>
  </si>
  <si>
    <t>ENST00000536316</t>
  </si>
  <si>
    <t>ENST00000537646</t>
  </si>
  <si>
    <t>ENST00000542294</t>
  </si>
  <si>
    <t>ENST00000543465</t>
  </si>
  <si>
    <t>ENST00000544134</t>
  </si>
  <si>
    <t>ENST00000544888</t>
  </si>
  <si>
    <t>ENST00000545167</t>
  </si>
  <si>
    <t>ENST00000545555</t>
  </si>
  <si>
    <t>ENST00000546217</t>
  </si>
  <si>
    <t>Q99633</t>
  </si>
  <si>
    <t>ENST00000320054</t>
  </si>
  <si>
    <t>ENST00000378572</t>
  </si>
  <si>
    <t>Q99638</t>
  </si>
  <si>
    <t>ENST00000307980</t>
  </si>
  <si>
    <t>ENST00000529100</t>
  </si>
  <si>
    <t>ENST00000530934</t>
  </si>
  <si>
    <t>ENST00000535644</t>
  </si>
  <si>
    <t>ENST00000538013</t>
  </si>
  <si>
    <t>ENST00000541132</t>
  </si>
  <si>
    <t>ENST00000542139</t>
  </si>
  <si>
    <t>ENST00000543808</t>
  </si>
  <si>
    <t>Q99653</t>
  </si>
  <si>
    <t>ENST00000334660</t>
  </si>
  <si>
    <t>ENST00000558351</t>
  </si>
  <si>
    <t>ENST00000560784</t>
  </si>
  <si>
    <t>ENST00000560965</t>
  </si>
  <si>
    <t>Q99661</t>
  </si>
  <si>
    <t>ENST00000372217</t>
  </si>
  <si>
    <t>ENST00000472235</t>
  </si>
  <si>
    <t>Q99676</t>
  </si>
  <si>
    <t>ENST00000211936</t>
  </si>
  <si>
    <t>Q99683</t>
  </si>
  <si>
    <t>ENST00000359015</t>
  </si>
  <si>
    <t>Q99684</t>
  </si>
  <si>
    <t>ENST00000370332</t>
  </si>
  <si>
    <t>ENST00000427103</t>
  </si>
  <si>
    <t>Q99698</t>
  </si>
  <si>
    <t>ENST00000389793</t>
  </si>
  <si>
    <t>ENST00000389794</t>
  </si>
  <si>
    <t>ENST00000461526</t>
  </si>
  <si>
    <t>ENST00000462376</t>
  </si>
  <si>
    <t>ENST00000465349</t>
  </si>
  <si>
    <t>ENST00000468626</t>
  </si>
  <si>
    <t>ENST00000473037</t>
  </si>
  <si>
    <t>ENST00000475277</t>
  </si>
  <si>
    <t>ENST00000492844</t>
  </si>
  <si>
    <t>Q99704</t>
  </si>
  <si>
    <t>ENST00000233668</t>
  </si>
  <si>
    <t>ENST00000340004</t>
  </si>
  <si>
    <t>ENST00000464613</t>
  </si>
  <si>
    <t>ENST00000474924</t>
  </si>
  <si>
    <t>ENST00000480318</t>
  </si>
  <si>
    <t>ENST00000482206</t>
  </si>
  <si>
    <t>Q99707</t>
  </si>
  <si>
    <t>ENST00000366577</t>
  </si>
  <si>
    <t>ENST00000470570</t>
  </si>
  <si>
    <t>ENST00000535889</t>
  </si>
  <si>
    <t>Q99714</t>
  </si>
  <si>
    <t>ENST00000168216</t>
  </si>
  <si>
    <t>ENST00000375298</t>
  </si>
  <si>
    <t>ENST00000375304</t>
  </si>
  <si>
    <t>ENST00000477706</t>
  </si>
  <si>
    <t>ENST00000495986</t>
  </si>
  <si>
    <t>Q99717</t>
  </si>
  <si>
    <t>ENST00000507245</t>
  </si>
  <si>
    <t>ENST00000507637</t>
  </si>
  <si>
    <t>ENST00000545279</t>
  </si>
  <si>
    <t>Q99747</t>
  </si>
  <si>
    <t>ENST00000322897</t>
  </si>
  <si>
    <t>ENST00000580483</t>
  </si>
  <si>
    <t>ENST00000580746</t>
  </si>
  <si>
    <t>ENST00000582472</t>
  </si>
  <si>
    <t>ENST00000582978</t>
  </si>
  <si>
    <t>ENST00000583367</t>
  </si>
  <si>
    <t>Q99759</t>
  </si>
  <si>
    <t>ENST00000361357</t>
  </si>
  <si>
    <t>ENST00000361733</t>
  </si>
  <si>
    <t>ENST00000577395</t>
  </si>
  <si>
    <t>ENST00000577784</t>
  </si>
  <si>
    <t>ENST00000577839</t>
  </si>
  <si>
    <t>ENST00000578622</t>
  </si>
  <si>
    <t>ENST00000579585</t>
  </si>
  <si>
    <t>ENST00000581732</t>
  </si>
  <si>
    <t>ENST00000584573</t>
  </si>
  <si>
    <t>Q99766</t>
  </si>
  <si>
    <t>ENST00000245448</t>
  </si>
  <si>
    <t>ENST00000426751</t>
  </si>
  <si>
    <t>ENST00000553774</t>
  </si>
  <si>
    <t>ENST00000554438</t>
  </si>
  <si>
    <t>ENST00000554951</t>
  </si>
  <si>
    <t>ENST00000555939</t>
  </si>
  <si>
    <t>ENST00000556962</t>
  </si>
  <si>
    <t>ENST00000557421</t>
  </si>
  <si>
    <t>Q99795</t>
  </si>
  <si>
    <t>ENST00000367868</t>
  </si>
  <si>
    <t>Q99797</t>
  </si>
  <si>
    <t>ENST00000382172</t>
  </si>
  <si>
    <t>ENST00000464194</t>
  </si>
  <si>
    <t>ENST00000469167</t>
  </si>
  <si>
    <t>Q99798</t>
  </si>
  <si>
    <t>ENST00000216254</t>
  </si>
  <si>
    <t>ENST00000466237</t>
  </si>
  <si>
    <t>ENST00000478010</t>
  </si>
  <si>
    <t>ENST00000481310</t>
  </si>
  <si>
    <t>ENST00000482208</t>
  </si>
  <si>
    <t>Q99805</t>
  </si>
  <si>
    <t>ENST00000376387</t>
  </si>
  <si>
    <t>ENST00000466555</t>
  </si>
  <si>
    <t>Q99807</t>
  </si>
  <si>
    <t>ENST00000321998</t>
  </si>
  <si>
    <t>ENST00000544894</t>
  </si>
  <si>
    <t>ENST00000561858</t>
  </si>
  <si>
    <t>ENST00000564746</t>
  </si>
  <si>
    <t>ENST00000566049</t>
  </si>
  <si>
    <t>ENST00000566110</t>
  </si>
  <si>
    <t>ENST00000567314</t>
  </si>
  <si>
    <t>ENST00000569127</t>
  </si>
  <si>
    <t>ENST00000569312</t>
  </si>
  <si>
    <t>Q99808</t>
  </si>
  <si>
    <t>ENST00000472176</t>
  </si>
  <si>
    <t>Q99816</t>
  </si>
  <si>
    <t>ENST00000251968</t>
  </si>
  <si>
    <t>ENST00000438874</t>
  </si>
  <si>
    <t>ENST00000535077</t>
  </si>
  <si>
    <t>ENST00000540555</t>
  </si>
  <si>
    <t>ENST00000543054</t>
  </si>
  <si>
    <t>ENST00000543087</t>
  </si>
  <si>
    <t>ENST00000544804</t>
  </si>
  <si>
    <t>ENST00000545247</t>
  </si>
  <si>
    <t>ENST00000580814</t>
  </si>
  <si>
    <t>ENST00000584526</t>
  </si>
  <si>
    <t>Q99828</t>
  </si>
  <si>
    <t>ENST00000328649</t>
  </si>
  <si>
    <t>Q99829</t>
  </si>
  <si>
    <t>ENST00000317677</t>
  </si>
  <si>
    <t>ENST00000352393</t>
  </si>
  <si>
    <t>ENST00000397442</t>
  </si>
  <si>
    <t>ENST00000397443</t>
  </si>
  <si>
    <t>ENST00000397445</t>
  </si>
  <si>
    <t>ENST00000412056</t>
  </si>
  <si>
    <t>ENST00000414664</t>
  </si>
  <si>
    <t>ENST00000414711</t>
  </si>
  <si>
    <t>ENST00000416778</t>
  </si>
  <si>
    <t>ENST00000420363</t>
  </si>
  <si>
    <t>ENST00000430570</t>
  </si>
  <si>
    <t>ENST00000435747</t>
  </si>
  <si>
    <t>ENST00000437340</t>
  </si>
  <si>
    <t>ENST00000439806</t>
  </si>
  <si>
    <t>ENST00000458038</t>
  </si>
  <si>
    <t>ENST00000475146</t>
  </si>
  <si>
    <t>ENST00000483359</t>
  </si>
  <si>
    <t>ENST00000483495</t>
  </si>
  <si>
    <t>ENST00000486021</t>
  </si>
  <si>
    <t>ENST00000498056</t>
  </si>
  <si>
    <t>Q99832</t>
  </si>
  <si>
    <t>ENST00000258091</t>
  </si>
  <si>
    <t>ENST00000398422</t>
  </si>
  <si>
    <t>ENST00000399032</t>
  </si>
  <si>
    <t>ENST00000409924</t>
  </si>
  <si>
    <t>ENST00000461290</t>
  </si>
  <si>
    <t>ENST00000464397</t>
  </si>
  <si>
    <t>ENST00000473197</t>
  </si>
  <si>
    <t>ENST00000473786</t>
  </si>
  <si>
    <t>ENST00000480489</t>
  </si>
  <si>
    <t>ENST00000488856</t>
  </si>
  <si>
    <t>ENST00000492253</t>
  </si>
  <si>
    <t>ENST00000539919</t>
  </si>
  <si>
    <t>ENST00000540468</t>
  </si>
  <si>
    <t>Q99848</t>
  </si>
  <si>
    <t>ENST00000236051</t>
  </si>
  <si>
    <t>ENST00000431635</t>
  </si>
  <si>
    <t>ENST00000463906</t>
  </si>
  <si>
    <t>ENST00000472982</t>
  </si>
  <si>
    <t>ENST00000483082</t>
  </si>
  <si>
    <t>Q99856</t>
  </si>
  <si>
    <t>ENST00000263620</t>
  </si>
  <si>
    <t>ENST00000585895</t>
  </si>
  <si>
    <t>ENST00000590749</t>
  </si>
  <si>
    <t>Q99942</t>
  </si>
  <si>
    <t>ENST00000375094</t>
  </si>
  <si>
    <t>ENST00000487940</t>
  </si>
  <si>
    <t>Q99943</t>
  </si>
  <si>
    <t>ENST00000375107</t>
  </si>
  <si>
    <t>ENST00000490711</t>
  </si>
  <si>
    <t>Q99961</t>
  </si>
  <si>
    <t>ENST00000269886</t>
  </si>
  <si>
    <t>ENST00000593591</t>
  </si>
  <si>
    <t>ENST00000598219</t>
  </si>
  <si>
    <t>ENST00000598230</t>
  </si>
  <si>
    <t>ENST00000598564</t>
  </si>
  <si>
    <t>Q99986</t>
  </si>
  <si>
    <t>ENST00000216639</t>
  </si>
  <si>
    <t>ENST00000553683</t>
  </si>
  <si>
    <t>ENST00000555351</t>
  </si>
  <si>
    <t>ENST00000555402</t>
  </si>
  <si>
    <t>ENST00000557352</t>
  </si>
  <si>
    <t>Q9BPW8</t>
  </si>
  <si>
    <t>ENST00000216121</t>
  </si>
  <si>
    <t>ENST00000415100</t>
  </si>
  <si>
    <t>ENST00000455496</t>
  </si>
  <si>
    <t>ENST00000494966</t>
  </si>
  <si>
    <t>ENST00000496944</t>
  </si>
  <si>
    <t>Q9BPX3</t>
  </si>
  <si>
    <t>ENST00000251496</t>
  </si>
  <si>
    <t>Q9BPX5</t>
  </si>
  <si>
    <t>ENST00000259477</t>
  </si>
  <si>
    <t>ENST00000353214</t>
  </si>
  <si>
    <t>ENST00000465124</t>
  </si>
  <si>
    <t>Q9BPX7</t>
  </si>
  <si>
    <t>ENST00000350427</t>
  </si>
  <si>
    <t>ENST00000431882</t>
  </si>
  <si>
    <t>ENST00000432637</t>
  </si>
  <si>
    <t>ENST00000438029</t>
  </si>
  <si>
    <t>Q9BPY3</t>
  </si>
  <si>
    <t>ENST00000527247</t>
  </si>
  <si>
    <t>ENST00000528985</t>
  </si>
  <si>
    <t>ENST00000531935</t>
  </si>
  <si>
    <t>ENST00000533050</t>
  </si>
  <si>
    <t>Q9BPY8</t>
  </si>
  <si>
    <t>ENST00000317745</t>
  </si>
  <si>
    <t>ENST00000381255</t>
  </si>
  <si>
    <t>ENST00000503639</t>
  </si>
  <si>
    <t>ENST00000503864</t>
  </si>
  <si>
    <t>ENST00000506661</t>
  </si>
  <si>
    <t>ENST00000508121</t>
  </si>
  <si>
    <t>ENST00000553379</t>
  </si>
  <si>
    <t>ENST00000554144</t>
  </si>
  <si>
    <t>ENST00000555760</t>
  </si>
  <si>
    <t>ENST00000556614</t>
  </si>
  <si>
    <t>Q9BQ04</t>
  </si>
  <si>
    <t>ENST00000310046</t>
  </si>
  <si>
    <t>ENST00000524637</t>
  </si>
  <si>
    <t>ENST00000525754</t>
  </si>
  <si>
    <t>ENST00000528106</t>
  </si>
  <si>
    <t>ENST00000529195</t>
  </si>
  <si>
    <t>ENST00000531036</t>
  </si>
  <si>
    <t>ENST00000531969</t>
  </si>
  <si>
    <t>ENST00000534198</t>
  </si>
  <si>
    <t>Q9BQ24</t>
  </si>
  <si>
    <t>ENST00000216602</t>
  </si>
  <si>
    <t>ENST00000311141</t>
  </si>
  <si>
    <t>ENST00000553724</t>
  </si>
  <si>
    <t>ENST00000554255</t>
  </si>
  <si>
    <t>ENST00000554630</t>
  </si>
  <si>
    <t>ENST00000554757</t>
  </si>
  <si>
    <t>ENST00000555501</t>
  </si>
  <si>
    <t>ENST00000556795</t>
  </si>
  <si>
    <t>ENST00000602552</t>
  </si>
  <si>
    <t>Q9BQ39</t>
  </si>
  <si>
    <t>ENST00000373585</t>
  </si>
  <si>
    <t>ENST00000460470</t>
  </si>
  <si>
    <t>ENST00000471475</t>
  </si>
  <si>
    <t>ENST00000483593</t>
  </si>
  <si>
    <t>Q9BQ48</t>
  </si>
  <si>
    <t>ENST00000252602</t>
  </si>
  <si>
    <t>ENST00000595444</t>
  </si>
  <si>
    <t>Q9BQ49</t>
  </si>
  <si>
    <t>ENST00000358726</t>
  </si>
  <si>
    <t>ENST00000461364</t>
  </si>
  <si>
    <t>ENST00000461488</t>
  </si>
  <si>
    <t>ENST00000463051</t>
  </si>
  <si>
    <t>ENST00000465250</t>
  </si>
  <si>
    <t>ENST00000481671</t>
  </si>
  <si>
    <t>ENST00000487416</t>
  </si>
  <si>
    <t>ENST00000487803</t>
  </si>
  <si>
    <t>ENST00000593404</t>
  </si>
  <si>
    <t>ENST00000593409</t>
  </si>
  <si>
    <t>ENST00000594507</t>
  </si>
  <si>
    <t>ENST00000594662</t>
  </si>
  <si>
    <t>ENST00000597711</t>
  </si>
  <si>
    <t>ENST00000597781</t>
  </si>
  <si>
    <t>ENST00000599310</t>
  </si>
  <si>
    <t>ENST00000600740</t>
  </si>
  <si>
    <t>ENST00000602194</t>
  </si>
  <si>
    <t>Q9BQ52</t>
  </si>
  <si>
    <t>ENST00000338034</t>
  </si>
  <si>
    <t>ENST00000426905</t>
  </si>
  <si>
    <t>ENST00000465825</t>
  </si>
  <si>
    <t>ENST00000476042</t>
  </si>
  <si>
    <t>ENST00000480891</t>
  </si>
  <si>
    <t>ENST00000484122</t>
  </si>
  <si>
    <t>ENST00000487229</t>
  </si>
  <si>
    <t>ENST00000491478</t>
  </si>
  <si>
    <t>ENST00000492559</t>
  </si>
  <si>
    <t>ENST00000578104</t>
  </si>
  <si>
    <t>ENST00000578991</t>
  </si>
  <si>
    <t>Q9BQ61</t>
  </si>
  <si>
    <t>ENST00000242784</t>
  </si>
  <si>
    <t>ENST00000589590</t>
  </si>
  <si>
    <t>Q9BQ67</t>
  </si>
  <si>
    <t>ENST00000253237</t>
  </si>
  <si>
    <t>ENST00000599949</t>
  </si>
  <si>
    <t>Q9BQ69</t>
  </si>
  <si>
    <t>ENST00000255681</t>
  </si>
  <si>
    <t>ENST00000538595</t>
  </si>
  <si>
    <t>ENST00000542105</t>
  </si>
  <si>
    <t>ENST00000545464</t>
  </si>
  <si>
    <t>Q9BQ70</t>
  </si>
  <si>
    <t>ENST00000263346</t>
  </si>
  <si>
    <t>ENST00000263347</t>
  </si>
  <si>
    <t>ENST00000561585</t>
  </si>
  <si>
    <t>ENST00000561958</t>
  </si>
  <si>
    <t>ENST00000562184</t>
  </si>
  <si>
    <t>ENST00000562256</t>
  </si>
  <si>
    <t>ENST00000563032</t>
  </si>
  <si>
    <t>ENST00000563406</t>
  </si>
  <si>
    <t>ENST00000563484</t>
  </si>
  <si>
    <t>ENST00000563636</t>
  </si>
  <si>
    <t>ENST00000564652</t>
  </si>
  <si>
    <t>ENST00000565196</t>
  </si>
  <si>
    <t>ENST00000565404</t>
  </si>
  <si>
    <t>ENST00000565860</t>
  </si>
  <si>
    <t>ENST00000566158</t>
  </si>
  <si>
    <t>ENST00000566751</t>
  </si>
  <si>
    <t>ENST00000567171</t>
  </si>
  <si>
    <t>ENST00000568409</t>
  </si>
  <si>
    <t>ENST00000568870</t>
  </si>
  <si>
    <t>ENST00000570116</t>
  </si>
  <si>
    <t>Q9BQ95</t>
  </si>
  <si>
    <t>ENST00000252440</t>
  </si>
  <si>
    <t>ENST00000270517</t>
  </si>
  <si>
    <t>ENST00000417981</t>
  </si>
  <si>
    <t>ENST00000585318</t>
  </si>
  <si>
    <t>ENST00000585898</t>
  </si>
  <si>
    <t>ENST00000588998</t>
  </si>
  <si>
    <t>ENST00000590480</t>
  </si>
  <si>
    <t>ENST00000591104</t>
  </si>
  <si>
    <t>ENST00000592312</t>
  </si>
  <si>
    <t>ENST00000592571</t>
  </si>
  <si>
    <t>ENST00000593231</t>
  </si>
  <si>
    <t>Q9BQA1</t>
  </si>
  <si>
    <t>ENST00000235090</t>
  </si>
  <si>
    <t>ENST00000449340</t>
  </si>
  <si>
    <t>ENST00000459665</t>
  </si>
  <si>
    <t>ENST00000497278</t>
  </si>
  <si>
    <t>Q9BQB6</t>
  </si>
  <si>
    <t>ENST00000354895</t>
  </si>
  <si>
    <t>ENST00000394971</t>
  </si>
  <si>
    <t>ENST00000394975</t>
  </si>
  <si>
    <t>ENST00000472468</t>
  </si>
  <si>
    <t>Q9BQC3</t>
  </si>
  <si>
    <t>ENST00000255108</t>
  </si>
  <si>
    <t>ENST00000396758</t>
  </si>
  <si>
    <t>ENST00000471934</t>
  </si>
  <si>
    <t>ENST00000476260</t>
  </si>
  <si>
    <t>ENST00000477294</t>
  </si>
  <si>
    <t>ENST00000492306</t>
  </si>
  <si>
    <t>ENST00000495421</t>
  </si>
  <si>
    <t>ENST00000527567</t>
  </si>
  <si>
    <t>ENST00000530988</t>
  </si>
  <si>
    <t>ENST00000534655</t>
  </si>
  <si>
    <t>ENST00000534786</t>
  </si>
  <si>
    <t>Q9BQC6</t>
  </si>
  <si>
    <t>ENST00000309594</t>
  </si>
  <si>
    <t>Q9BQE3</t>
  </si>
  <si>
    <t>ENST00000301072</t>
  </si>
  <si>
    <t>ENST00000541364</t>
  </si>
  <si>
    <t>ENST00000548470</t>
  </si>
  <si>
    <t>ENST00000549183</t>
  </si>
  <si>
    <t>ENST00000549554</t>
  </si>
  <si>
    <t>Q9BQE4</t>
  </si>
  <si>
    <t>ENST00000398226</t>
  </si>
  <si>
    <t>ENST00000526043</t>
  </si>
  <si>
    <t>ENST00000526049</t>
  </si>
  <si>
    <t>ENST00000527833</t>
  </si>
  <si>
    <t>ENST00000529968</t>
  </si>
  <si>
    <t>ENST00000534014</t>
  </si>
  <si>
    <t>Q9BQE5</t>
  </si>
  <si>
    <t>ENST00000358502</t>
  </si>
  <si>
    <t>ENST00000454728</t>
  </si>
  <si>
    <t>ENST00000476579</t>
  </si>
  <si>
    <t>ENST00000489186</t>
  </si>
  <si>
    <t>Q9BQF6</t>
  </si>
  <si>
    <t>ENST00000314261</t>
  </si>
  <si>
    <t>ENST00000348610</t>
  </si>
  <si>
    <t>ENST00000394085</t>
  </si>
  <si>
    <t>ENST00000394091</t>
  </si>
  <si>
    <t>ENST00000394094</t>
  </si>
  <si>
    <t>ENST00000394095</t>
  </si>
  <si>
    <t>ENST00000460107</t>
  </si>
  <si>
    <t>Q9BQG0</t>
  </si>
  <si>
    <t>ENST00000254718</t>
  </si>
  <si>
    <t>ENST00000381556</t>
  </si>
  <si>
    <t>ENST00000570986</t>
  </si>
  <si>
    <t>ENST00000571354</t>
  </si>
  <si>
    <t>ENST00000571368</t>
  </si>
  <si>
    <t>ENST00000573116</t>
  </si>
  <si>
    <t>ENST00000573175</t>
  </si>
  <si>
    <t>ENST00000574167</t>
  </si>
  <si>
    <t>ENST00000574547</t>
  </si>
  <si>
    <t>ENST00000574934</t>
  </si>
  <si>
    <t>ENST00000575662</t>
  </si>
  <si>
    <t>Q9BQG2</t>
  </si>
  <si>
    <t>ENST00000230792</t>
  </si>
  <si>
    <t>ENST00000508889</t>
  </si>
  <si>
    <t>ENST00000515407</t>
  </si>
  <si>
    <t>Q9BQP7</t>
  </si>
  <si>
    <t>ENST00000377710</t>
  </si>
  <si>
    <t>ENST00000467391</t>
  </si>
  <si>
    <t>Q9BQS8</t>
  </si>
  <si>
    <t>ENST00000296137</t>
  </si>
  <si>
    <t>ENST00000433878</t>
  </si>
  <si>
    <t>ENST00000438446</t>
  </si>
  <si>
    <t>ENST00000471739</t>
  </si>
  <si>
    <t>Q9BR61</t>
  </si>
  <si>
    <t>ENST00000367595</t>
  </si>
  <si>
    <t>ENST00000440959</t>
  </si>
  <si>
    <t>ENST00000475338</t>
  </si>
  <si>
    <t>Q9BR76</t>
  </si>
  <si>
    <t>ENST00000341356</t>
  </si>
  <si>
    <t>ENST00000453768</t>
  </si>
  <si>
    <t>ENST00000539724</t>
  </si>
  <si>
    <t>ENST00000539970</t>
  </si>
  <si>
    <t>Q9BRA2</t>
  </si>
  <si>
    <t>ENST00000250101</t>
  </si>
  <si>
    <t>ENST00000570330</t>
  </si>
  <si>
    <t>ENST00000571029</t>
  </si>
  <si>
    <t>ENST00000571957</t>
  </si>
  <si>
    <t>ENST00000574429</t>
  </si>
  <si>
    <t>ENST00000574734</t>
  </si>
  <si>
    <t>ENST00000576020</t>
  </si>
  <si>
    <t>Q9BRD0</t>
  </si>
  <si>
    <t>ENST00000260210</t>
  </si>
  <si>
    <t>Q9BRF8</t>
  </si>
  <si>
    <t>ENST00000381774</t>
  </si>
  <si>
    <t>ENST00000539677</t>
  </si>
  <si>
    <t>Q9BRG1</t>
  </si>
  <si>
    <t>ENST00000253794</t>
  </si>
  <si>
    <t>ENST00000589219</t>
  </si>
  <si>
    <t>ENST00000590339</t>
  </si>
  <si>
    <t>ENST00000591584</t>
  </si>
  <si>
    <t>Q9BRJ6</t>
  </si>
  <si>
    <t>ENST00000357429</t>
  </si>
  <si>
    <t>ENST00000397098</t>
  </si>
  <si>
    <t>ENST00000412051</t>
  </si>
  <si>
    <t>ENST00000465681</t>
  </si>
  <si>
    <t>ENST00000491163</t>
  </si>
  <si>
    <t>Q9BRJ7</t>
  </si>
  <si>
    <t>ENST00000304301</t>
  </si>
  <si>
    <t>ENST00000405142</t>
  </si>
  <si>
    <t>ENST00000586536</t>
  </si>
  <si>
    <t>Q9BRP1</t>
  </si>
  <si>
    <t>ENST00000246535</t>
  </si>
  <si>
    <t>ENST00000585821</t>
  </si>
  <si>
    <t>ENST00000587385</t>
  </si>
  <si>
    <t>ENST00000589589</t>
  </si>
  <si>
    <t>Q9BRP4</t>
  </si>
  <si>
    <t>ENST00000310571</t>
  </si>
  <si>
    <t>ENST00000381783</t>
  </si>
  <si>
    <t>ENST00000535604</t>
  </si>
  <si>
    <t>ENST00000536582</t>
  </si>
  <si>
    <t>ENST00000544552</t>
  </si>
  <si>
    <t>ENST00000546039</t>
  </si>
  <si>
    <t>Q9BRQ0</t>
  </si>
  <si>
    <t>ENST00000368457</t>
  </si>
  <si>
    <t>Q9BRQ6</t>
  </si>
  <si>
    <t>ENST00000290913</t>
  </si>
  <si>
    <t>ENST00000503119</t>
  </si>
  <si>
    <t>ENST00000504973</t>
  </si>
  <si>
    <t>ENST00000508789</t>
  </si>
  <si>
    <t>ENST00000510044</t>
  </si>
  <si>
    <t>ENST00000514908</t>
  </si>
  <si>
    <t>ENST00000515867</t>
  </si>
  <si>
    <t>Q9BRR8</t>
  </si>
  <si>
    <t>ENST00000170564</t>
  </si>
  <si>
    <t>ENST00000590062</t>
  </si>
  <si>
    <t>ENST00000592165</t>
  </si>
  <si>
    <t>ENST00000592262</t>
  </si>
  <si>
    <t>Q9BRS2</t>
  </si>
  <si>
    <t>ENST00000264874</t>
  </si>
  <si>
    <t>ENST00000379834</t>
  </si>
  <si>
    <t>ENST00000475351</t>
  </si>
  <si>
    <t>ENST00000484626</t>
  </si>
  <si>
    <t>ENST00000493691</t>
  </si>
  <si>
    <t>Q9BRT2</t>
  </si>
  <si>
    <t>ENST00000606961</t>
  </si>
  <si>
    <t>ENST00000607484</t>
  </si>
  <si>
    <t>Q9BRT3</t>
  </si>
  <si>
    <t>ENST00000394231</t>
  </si>
  <si>
    <t>ENST00000469568</t>
  </si>
  <si>
    <t>ENST00000474210</t>
  </si>
  <si>
    <t>ENST00000498164</t>
  </si>
  <si>
    <t>ENST00000577810</t>
  </si>
  <si>
    <t>ENST00000582963</t>
  </si>
  <si>
    <t>Q9BRT9</t>
  </si>
  <si>
    <t>ENST00000276533</t>
  </si>
  <si>
    <t>ENST00000518430</t>
  </si>
  <si>
    <t>ENST00000518671</t>
  </si>
  <si>
    <t>ENST00000520631</t>
  </si>
  <si>
    <t>ENST00000520710</t>
  </si>
  <si>
    <t>ENST00000520736</t>
  </si>
  <si>
    <t>ENST00000522642</t>
  </si>
  <si>
    <t>ENST00000523277</t>
  </si>
  <si>
    <t>Q9BRU9</t>
  </si>
  <si>
    <t>ENST00000309822</t>
  </si>
  <si>
    <t>ENST00000517820</t>
  </si>
  <si>
    <t>ENST00000519443</t>
  </si>
  <si>
    <t>ENST00000521071</t>
  </si>
  <si>
    <t>ENST00000521974</t>
  </si>
  <si>
    <t>Q9BRV8</t>
  </si>
  <si>
    <t>ENST00000060969</t>
  </si>
  <si>
    <t>ENST00000369524</t>
  </si>
  <si>
    <t>ENST00000369528</t>
  </si>
  <si>
    <t>ENST00000462123</t>
  </si>
  <si>
    <t>ENST00000466657</t>
  </si>
  <si>
    <t>ENST00000471969</t>
  </si>
  <si>
    <t>ENST00000474562</t>
  </si>
  <si>
    <t>ENST00000475335</t>
  </si>
  <si>
    <t>ENST00000506320</t>
  </si>
  <si>
    <t>ENST00000510745</t>
  </si>
  <si>
    <t>Q9BRX2</t>
  </si>
  <si>
    <t>ENST00000274311</t>
  </si>
  <si>
    <t>Q9BRX5</t>
  </si>
  <si>
    <t>ENST00000318129</t>
  </si>
  <si>
    <t>ENST00000328514</t>
  </si>
  <si>
    <t>ENST00000564814</t>
  </si>
  <si>
    <t>ENST00000567143</t>
  </si>
  <si>
    <t>Q9BRX9</t>
  </si>
  <si>
    <t>ENST00000418543</t>
  </si>
  <si>
    <t>ENST00000546754</t>
  </si>
  <si>
    <t>ENST00000547255</t>
  </si>
  <si>
    <t>ENST00000547481</t>
  </si>
  <si>
    <t>ENST00000547797</t>
  </si>
  <si>
    <t>ENST00000550939</t>
  </si>
  <si>
    <t>ENST00000551329</t>
  </si>
  <si>
    <t>ENST00000552700</t>
  </si>
  <si>
    <t>ENST00000553179</t>
  </si>
  <si>
    <t>Q9BRZ2</t>
  </si>
  <si>
    <t>ENST00000306085</t>
  </si>
  <si>
    <t>ENST00000412507</t>
  </si>
  <si>
    <t>ENST00000467847</t>
  </si>
  <si>
    <t>Q9BS26</t>
  </si>
  <si>
    <t>ENST00000262455</t>
  </si>
  <si>
    <t>Q9BS40</t>
  </si>
  <si>
    <t>ENST00000264265</t>
  </si>
  <si>
    <t>Q9BSA9</t>
  </si>
  <si>
    <t>ENST00000264771</t>
  </si>
  <si>
    <t>ENST00000438836</t>
  </si>
  <si>
    <t>ENST00000452360</t>
  </si>
  <si>
    <t>ENST00000502513</t>
  </si>
  <si>
    <t>ENST00000504505</t>
  </si>
  <si>
    <t>ENST00000505734</t>
  </si>
  <si>
    <t>ENST00000506669</t>
  </si>
  <si>
    <t>ENST00000507319</t>
  </si>
  <si>
    <t>ENST00000508204</t>
  </si>
  <si>
    <t>ENST00000513952</t>
  </si>
  <si>
    <t>ENST00000515740</t>
  </si>
  <si>
    <t>ENST00000515876</t>
  </si>
  <si>
    <t>Q9BSB4</t>
  </si>
  <si>
    <t>ENST00000336854</t>
  </si>
  <si>
    <t>ENST00000547409</t>
  </si>
  <si>
    <t>ENST00000550604</t>
  </si>
  <si>
    <t>ENST00000552544</t>
  </si>
  <si>
    <t>ENST00000552947</t>
  </si>
  <si>
    <t>ENST00000553049</t>
  </si>
  <si>
    <t>Q9BSC4</t>
  </si>
  <si>
    <t>ENST00000345985</t>
  </si>
  <si>
    <t>ENST00000381685</t>
  </si>
  <si>
    <t>ENST00000431319</t>
  </si>
  <si>
    <t>ENST00000473087</t>
  </si>
  <si>
    <t>Q9BSD7</t>
  </si>
  <si>
    <t>ENST00000366627</t>
  </si>
  <si>
    <t>ENST00000366628</t>
  </si>
  <si>
    <t>ENST00000490098</t>
  </si>
  <si>
    <t>ENST00000490807</t>
  </si>
  <si>
    <t>ENST00000494689</t>
  </si>
  <si>
    <t>Q9BSE5</t>
  </si>
  <si>
    <t>ENST00000375826</t>
  </si>
  <si>
    <t>Q9BSF4</t>
  </si>
  <si>
    <t>ENST00000270502</t>
  </si>
  <si>
    <t>ENST00000588807</t>
  </si>
  <si>
    <t>ENST00000593162</t>
  </si>
  <si>
    <t>Q9BSH4</t>
  </si>
  <si>
    <t>ENST00000258975</t>
  </si>
  <si>
    <t>ENST00000581120</t>
  </si>
  <si>
    <t>Q9BSH5</t>
  </si>
  <si>
    <t>ENST00000238379</t>
  </si>
  <si>
    <t>ENST00000374180</t>
  </si>
  <si>
    <t>ENST00000485934</t>
  </si>
  <si>
    <t>Q9BSJ2</t>
  </si>
  <si>
    <t>ENST00000252936</t>
  </si>
  <si>
    <t>ENST00000368562</t>
  </si>
  <si>
    <t>ENST00000368563</t>
  </si>
  <si>
    <t>ENST00000470829</t>
  </si>
  <si>
    <t>ENST00000477923</t>
  </si>
  <si>
    <t>ENST00000480198</t>
  </si>
  <si>
    <t>ENST00000482278</t>
  </si>
  <si>
    <t>ENST00000487796</t>
  </si>
  <si>
    <t>Q9BSL1</t>
  </si>
  <si>
    <t>ENST00000371756</t>
  </si>
  <si>
    <t>ENST00000465873</t>
  </si>
  <si>
    <t>ENST00000471163</t>
  </si>
  <si>
    <t>ENST00000478485</t>
  </si>
  <si>
    <t>ENST00000486258</t>
  </si>
  <si>
    <t>Q9BSQ5</t>
  </si>
  <si>
    <t>ENST00000258781</t>
  </si>
  <si>
    <t>ENST00000381112</t>
  </si>
  <si>
    <t>ENST00000470837</t>
  </si>
  <si>
    <t>ENST00000472223</t>
  </si>
  <si>
    <t>ENST00000474617</t>
  </si>
  <si>
    <t>ENST00000476594</t>
  </si>
  <si>
    <t>ENST00000477605</t>
  </si>
  <si>
    <t>ENST00000480382</t>
  </si>
  <si>
    <t>ENST00000480658</t>
  </si>
  <si>
    <t>ENST00000481194</t>
  </si>
  <si>
    <t>ENST00000482714</t>
  </si>
  <si>
    <t>ENST00000488727</t>
  </si>
  <si>
    <t>ENST00000492883</t>
  </si>
  <si>
    <t>ENST00000541586</t>
  </si>
  <si>
    <t>ENST00000544363</t>
  </si>
  <si>
    <t>Q9BSU1</t>
  </si>
  <si>
    <t>ENST00000219139</t>
  </si>
  <si>
    <t>ENST00000563853</t>
  </si>
  <si>
    <t>ENST00000565900</t>
  </si>
  <si>
    <t>ENST00000567162</t>
  </si>
  <si>
    <t>ENST00000569277</t>
  </si>
  <si>
    <t>ENST00000569600</t>
  </si>
  <si>
    <t>ENST00000569626</t>
  </si>
  <si>
    <t>ENST00000569683</t>
  </si>
  <si>
    <t>Q9BSV6</t>
  </si>
  <si>
    <t>ENST00000302937</t>
  </si>
  <si>
    <t>ENST00000396383</t>
  </si>
  <si>
    <t>ENST00000396388</t>
  </si>
  <si>
    <t>ENST00000429671</t>
  </si>
  <si>
    <t>ENST00000455798</t>
  </si>
  <si>
    <t>ENST00000456872</t>
  </si>
  <si>
    <t>ENST00000496583</t>
  </si>
  <si>
    <t>Q9BSY4</t>
  </si>
  <si>
    <t>ENST00000324913</t>
  </si>
  <si>
    <t>ENST00000409719</t>
  </si>
  <si>
    <t>ENST00000454841</t>
  </si>
  <si>
    <t>ENST00000489052</t>
  </si>
  <si>
    <t>Q9BT09</t>
  </si>
  <si>
    <t>ENST00000372836</t>
  </si>
  <si>
    <t>ENST00000394142</t>
  </si>
  <si>
    <t>Q9BT17</t>
  </si>
  <si>
    <t>ENST00000317502</t>
  </si>
  <si>
    <t>ENST00000432508</t>
  </si>
  <si>
    <t>ENST00000460848</t>
  </si>
  <si>
    <t>ENST00000473735</t>
  </si>
  <si>
    <t>ENST00000477902</t>
  </si>
  <si>
    <t>ENST00000492266</t>
  </si>
  <si>
    <t>ENST00000495014</t>
  </si>
  <si>
    <t>ENST00000498790</t>
  </si>
  <si>
    <t>Q9BT23</t>
  </si>
  <si>
    <t>ENST00000259006</t>
  </si>
  <si>
    <t>ENST00000578061</t>
  </si>
  <si>
    <t>ENST00000578067</t>
  </si>
  <si>
    <t>ENST00000578297</t>
  </si>
  <si>
    <t>ENST00000578402</t>
  </si>
  <si>
    <t>ENST00000578993</t>
  </si>
  <si>
    <t>ENST00000579329</t>
  </si>
  <si>
    <t>ENST00000579814</t>
  </si>
  <si>
    <t>ENST00000580222</t>
  </si>
  <si>
    <t>ENST00000582055</t>
  </si>
  <si>
    <t>ENST00000583211</t>
  </si>
  <si>
    <t>ENST00000584645</t>
  </si>
  <si>
    <t>Q9BT30</t>
  </si>
  <si>
    <t>ENST00000245812</t>
  </si>
  <si>
    <t>Q9BT67</t>
  </si>
  <si>
    <t>ENST00000253814</t>
  </si>
  <si>
    <t>ENST00000503388</t>
  </si>
  <si>
    <t>ENST00000505614</t>
  </si>
  <si>
    <t>ENST00000509436</t>
  </si>
  <si>
    <t>Q9BT78</t>
  </si>
  <si>
    <t>ENST00000264389</t>
  </si>
  <si>
    <t>ENST00000503682</t>
  </si>
  <si>
    <t>ENST00000504274</t>
  </si>
  <si>
    <t>ENST00000510801</t>
  </si>
  <si>
    <t>ENST00000511653</t>
  </si>
  <si>
    <t>ENST00000511891</t>
  </si>
  <si>
    <t>Q9BT92</t>
  </si>
  <si>
    <t>ENST00000405876</t>
  </si>
  <si>
    <t>ENST00000536408</t>
  </si>
  <si>
    <t>ENST00000537218</t>
  </si>
  <si>
    <t>ENST00000537880</t>
  </si>
  <si>
    <t>ENST00000549524</t>
  </si>
  <si>
    <t>ENST00000549550</t>
  </si>
  <si>
    <t>ENST00000551627</t>
  </si>
  <si>
    <t>Q9BTA9</t>
  </si>
  <si>
    <t>ENST00000345541</t>
  </si>
  <si>
    <t>ENST00000347934</t>
  </si>
  <si>
    <t>ENST00000354911</t>
  </si>
  <si>
    <t>ENST00000375646</t>
  </si>
  <si>
    <t>ENST00000375664</t>
  </si>
  <si>
    <t>ENST00000414108</t>
  </si>
  <si>
    <t>ENST00000420266</t>
  </si>
  <si>
    <t>ENST00000424454</t>
  </si>
  <si>
    <t>ENST00000428935</t>
  </si>
  <si>
    <t>ENST00000439676</t>
  </si>
  <si>
    <t>ENST00000442148</t>
  </si>
  <si>
    <t>ENST00000448193</t>
  </si>
  <si>
    <t>ENST00000472862</t>
  </si>
  <si>
    <t>ENST00000476046</t>
  </si>
  <si>
    <t>ENST00000480474</t>
  </si>
  <si>
    <t>ENST00000495268</t>
  </si>
  <si>
    <t>ENST00000526722</t>
  </si>
  <si>
    <t>ENST00000528491</t>
  </si>
  <si>
    <t>ENST00000530865</t>
  </si>
  <si>
    <t>ENST00000532233</t>
  </si>
  <si>
    <t>Q9BTC0</t>
  </si>
  <si>
    <t>ENST00000266070</t>
  </si>
  <si>
    <t>ENST00000354665</t>
  </si>
  <si>
    <t>ENST00000370368</t>
  </si>
  <si>
    <t>ENST00000370371</t>
  </si>
  <si>
    <t>ENST00000395340</t>
  </si>
  <si>
    <t>ENST00000395343</t>
  </si>
  <si>
    <t>Q9BTE6</t>
  </si>
  <si>
    <t>ENST00000416949</t>
  </si>
  <si>
    <t>ENST00000427569</t>
  </si>
  <si>
    <t>ENST00000430739</t>
  </si>
  <si>
    <t>ENST00000436545</t>
  </si>
  <si>
    <t>ENST00000441280</t>
  </si>
  <si>
    <t>ENST00000478040</t>
  </si>
  <si>
    <t>ENST00000483535</t>
  </si>
  <si>
    <t>ENST00000483774</t>
  </si>
  <si>
    <t>ENST00000486493</t>
  </si>
  <si>
    <t>ENST00000486664</t>
  </si>
  <si>
    <t>ENST00000491665</t>
  </si>
  <si>
    <t>ENST00000492036</t>
  </si>
  <si>
    <t>ENST00000587023</t>
  </si>
  <si>
    <t>ENST00000591096</t>
  </si>
  <si>
    <t>ENST00000592136</t>
  </si>
  <si>
    <t>ENST00000593123</t>
  </si>
  <si>
    <t>Q9BTE7</t>
  </si>
  <si>
    <t>ENST00000260247</t>
  </si>
  <si>
    <t>ENST00000525420</t>
  </si>
  <si>
    <t>ENST00000527260</t>
  </si>
  <si>
    <t>ENST00000527576</t>
  </si>
  <si>
    <t>ENST00000527779</t>
  </si>
  <si>
    <t>ENST00000529076</t>
  </si>
  <si>
    <t>ENST00000529281</t>
  </si>
  <si>
    <t>ENST00000529294</t>
  </si>
  <si>
    <t>ENST00000531571</t>
  </si>
  <si>
    <t>Q9BTK6</t>
  </si>
  <si>
    <t>ENST00000320330</t>
  </si>
  <si>
    <t>Q9BTL3</t>
  </si>
  <si>
    <t>ENST00000304191</t>
  </si>
  <si>
    <t>Q9BTT4</t>
  </si>
  <si>
    <t>ENST00000255764</t>
  </si>
  <si>
    <t>ENST00000503112</t>
  </si>
  <si>
    <t>Q9BTU6</t>
  </si>
  <si>
    <t>ENST00000370631</t>
  </si>
  <si>
    <t>Q9BTV4</t>
  </si>
  <si>
    <t>ENST00000306077</t>
  </si>
  <si>
    <t>ENST00000432444</t>
  </si>
  <si>
    <t>Q9BTV5</t>
  </si>
  <si>
    <t>ENST00000221856</t>
  </si>
  <si>
    <t>ENST00000598179</t>
  </si>
  <si>
    <t>Q9BTW9</t>
  </si>
  <si>
    <t>ENST00000355528</t>
  </si>
  <si>
    <t>ENST00000539345</t>
  </si>
  <si>
    <t>ENST00000570679</t>
  </si>
  <si>
    <t>ENST00000571316</t>
  </si>
  <si>
    <t>ENST00000572389</t>
  </si>
  <si>
    <t>ENST00000572794</t>
  </si>
  <si>
    <t>ENST00000572984</t>
  </si>
  <si>
    <t>ENST00000573364</t>
  </si>
  <si>
    <t>ENST00000574422</t>
  </si>
  <si>
    <t>ENST00000574818</t>
  </si>
  <si>
    <t>ENST00000574886</t>
  </si>
  <si>
    <t>ENST00000575132</t>
  </si>
  <si>
    <t>ENST00000576432</t>
  </si>
  <si>
    <t>ENST00000576677</t>
  </si>
  <si>
    <t>ENST00000576691</t>
  </si>
  <si>
    <t>ENST00000576760</t>
  </si>
  <si>
    <t>Q9BTY7</t>
  </si>
  <si>
    <t>ENST00000347708</t>
  </si>
  <si>
    <t>ENST00000525101</t>
  </si>
  <si>
    <t>ENST00000530074</t>
  </si>
  <si>
    <t>ENST00000530409</t>
  </si>
  <si>
    <t>ENST00000534255</t>
  </si>
  <si>
    <t>Q9BTZ2</t>
  </si>
  <si>
    <t>ENST00000313250</t>
  </si>
  <si>
    <t>ENST00000397074</t>
  </si>
  <si>
    <t>ENST00000397075</t>
  </si>
  <si>
    <t>ENST00000543741</t>
  </si>
  <si>
    <t>ENST00000558581</t>
  </si>
  <si>
    <t>ENST00000559632</t>
  </si>
  <si>
    <t>Q9BU02</t>
  </si>
  <si>
    <t>ENST00000288014</t>
  </si>
  <si>
    <t>ENST00000404535</t>
  </si>
  <si>
    <t>ENST00000554970</t>
  </si>
  <si>
    <t>ENST00000555446</t>
  </si>
  <si>
    <t>ENST00000556545</t>
  </si>
  <si>
    <t>Q9BU61</t>
  </si>
  <si>
    <t>ENST00000326925</t>
  </si>
  <si>
    <t>ENST00000451378</t>
  </si>
  <si>
    <t>ENST00000480392</t>
  </si>
  <si>
    <t>ENST00000496152</t>
  </si>
  <si>
    <t>Q9BU76</t>
  </si>
  <si>
    <t>ENST00000272139</t>
  </si>
  <si>
    <t>ENST00000465199</t>
  </si>
  <si>
    <t>ENST00000469781</t>
  </si>
  <si>
    <t>ENST00000472617</t>
  </si>
  <si>
    <t>ENST00000485896</t>
  </si>
  <si>
    <t>ENST00000491293</t>
  </si>
  <si>
    <t>ENST00000492757</t>
  </si>
  <si>
    <t>Q9BU89</t>
  </si>
  <si>
    <t>ENST00000250937</t>
  </si>
  <si>
    <t>ENST00000427575</t>
  </si>
  <si>
    <t>ENST00000586906</t>
  </si>
  <si>
    <t>ENST00000587122</t>
  </si>
  <si>
    <t>ENST00000592858</t>
  </si>
  <si>
    <t>Q9BUB7</t>
  </si>
  <si>
    <t>ENST00000312184</t>
  </si>
  <si>
    <t>ENST00000416961</t>
  </si>
  <si>
    <t>ENST00000517439</t>
  </si>
  <si>
    <t>ENST00000517614</t>
  </si>
  <si>
    <t>ENST00000519551</t>
  </si>
  <si>
    <t>Q9BUE0</t>
  </si>
  <si>
    <t>ENST00000373842</t>
  </si>
  <si>
    <t>ENST00000474683</t>
  </si>
  <si>
    <t>ENST00000475655</t>
  </si>
  <si>
    <t>ENST00000479574</t>
  </si>
  <si>
    <t>Q9BUE6</t>
  </si>
  <si>
    <t>ENST00000375991</t>
  </si>
  <si>
    <t>Q9BUF5</t>
  </si>
  <si>
    <t>ENST00000317702</t>
  </si>
  <si>
    <t>ENST00000417736</t>
  </si>
  <si>
    <t>ENST00000587204</t>
  </si>
  <si>
    <t>ENST00000591909</t>
  </si>
  <si>
    <t>Q9BUH6</t>
  </si>
  <si>
    <t>ENST00000371620</t>
  </si>
  <si>
    <t>ENST00000463765</t>
  </si>
  <si>
    <t>ENST00000481187</t>
  </si>
  <si>
    <t>ENST00000483807</t>
  </si>
  <si>
    <t>ENST00000493968</t>
  </si>
  <si>
    <t>ENST00000498095</t>
  </si>
  <si>
    <t>Q9BUI4</t>
  </si>
  <si>
    <t>ENST00000334163</t>
  </si>
  <si>
    <t>ENST00000466003</t>
  </si>
  <si>
    <t>ENST00000471254</t>
  </si>
  <si>
    <t>ENST00000479819</t>
  </si>
  <si>
    <t>ENST00000489436</t>
  </si>
  <si>
    <t>Q9BUL8</t>
  </si>
  <si>
    <t>ENST00000392750</t>
  </si>
  <si>
    <t>ENST00000461494</t>
  </si>
  <si>
    <t>ENST00000462725</t>
  </si>
  <si>
    <t>ENST00000462830</t>
  </si>
  <si>
    <t>ENST00000473645</t>
  </si>
  <si>
    <t>ENST00000475915</t>
  </si>
  <si>
    <t>ENST00000481136</t>
  </si>
  <si>
    <t>ENST00000483451</t>
  </si>
  <si>
    <t>ENST00000487947</t>
  </si>
  <si>
    <t>ENST00000492396</t>
  </si>
  <si>
    <t>ENST00000494502</t>
  </si>
  <si>
    <t>ENST00000497056</t>
  </si>
  <si>
    <t>Q9BUL9</t>
  </si>
  <si>
    <t>ENST00000322177</t>
  </si>
  <si>
    <t>Q9BUM1</t>
  </si>
  <si>
    <t>ENST00000269097</t>
  </si>
  <si>
    <t>ENST00000585361</t>
  </si>
  <si>
    <t>ENST00000585962</t>
  </si>
  <si>
    <t>ENST00000588558</t>
  </si>
  <si>
    <t>ENST00000590253</t>
  </si>
  <si>
    <t>ENST00000590639</t>
  </si>
  <si>
    <t>ENST00000593115</t>
  </si>
  <si>
    <t>Q9BUP0</t>
  </si>
  <si>
    <t>ENST00000264059</t>
  </si>
  <si>
    <t>ENST00000410095</t>
  </si>
  <si>
    <t>Q9BUQ8</t>
  </si>
  <si>
    <t>ENST00000308025</t>
  </si>
  <si>
    <t>ENST00000547135</t>
  </si>
  <si>
    <t>ENST00000547165</t>
  </si>
  <si>
    <t>ENST00000547290</t>
  </si>
  <si>
    <t>ENST00000549795</t>
  </si>
  <si>
    <t>ENST00000551098</t>
  </si>
  <si>
    <t>ENST00000551189</t>
  </si>
  <si>
    <t>ENST00000551331</t>
  </si>
  <si>
    <t>ENST00000552069</t>
  </si>
  <si>
    <t>ENST00000552369</t>
  </si>
  <si>
    <t>ENST00000552802</t>
  </si>
  <si>
    <t>ENST00000553065</t>
  </si>
  <si>
    <t>Q9BUR4</t>
  </si>
  <si>
    <t>ENST00000316024</t>
  </si>
  <si>
    <t>ENST00000396463</t>
  </si>
  <si>
    <t>ENST00000467699</t>
  </si>
  <si>
    <t>ENST00000471973</t>
  </si>
  <si>
    <t>ENST00000498114</t>
  </si>
  <si>
    <t>ENST00000498311</t>
  </si>
  <si>
    <t>Q9BUR5</t>
  </si>
  <si>
    <t>ENST00000379226</t>
  </si>
  <si>
    <t>ENST00000439528</t>
  </si>
  <si>
    <t>ENST00000476598</t>
  </si>
  <si>
    <t>Q9BUT1</t>
  </si>
  <si>
    <t>ENST00000296424</t>
  </si>
  <si>
    <t>ENST00000464039</t>
  </si>
  <si>
    <t>ENST00000492366</t>
  </si>
  <si>
    <t>ENST00000504285</t>
  </si>
  <si>
    <t>ENST00000506521</t>
  </si>
  <si>
    <t>ENST00000509245</t>
  </si>
  <si>
    <t>ENST00000513518</t>
  </si>
  <si>
    <t>Q9BUT9</t>
  </si>
  <si>
    <t>ENST00000307650</t>
  </si>
  <si>
    <t>ENST00000491999</t>
  </si>
  <si>
    <t>ENST00000575894</t>
  </si>
  <si>
    <t>Q9BUZ4</t>
  </si>
  <si>
    <t>ENST00000262395</t>
  </si>
  <si>
    <t>ENST00000262396</t>
  </si>
  <si>
    <t>ENST00000394925</t>
  </si>
  <si>
    <t>ENST00000422344</t>
  </si>
  <si>
    <t>ENST00000461195</t>
  </si>
  <si>
    <t>ENST00000469529</t>
  </si>
  <si>
    <t>ENST00000478021</t>
  </si>
  <si>
    <t>ENST00000498540</t>
  </si>
  <si>
    <t>ENST00000578917</t>
  </si>
  <si>
    <t>ENST00000584944</t>
  </si>
  <si>
    <t>ENST00000586813</t>
  </si>
  <si>
    <t>Q9BV19</t>
  </si>
  <si>
    <t>ENST00000372525</t>
  </si>
  <si>
    <t>ENST00000464081</t>
  </si>
  <si>
    <t>ENST00000468913</t>
  </si>
  <si>
    <t>ENST00000494155</t>
  </si>
  <si>
    <t>Q9BV20</t>
  </si>
  <si>
    <t>ENST00000040663</t>
  </si>
  <si>
    <t>ENST00000588526</t>
  </si>
  <si>
    <t>ENST00000589290</t>
  </si>
  <si>
    <t>ENST00000591688</t>
  </si>
  <si>
    <t>ENST00000593245</t>
  </si>
  <si>
    <t>Q9BV38</t>
  </si>
  <si>
    <t>ENST00000251289</t>
  </si>
  <si>
    <t>ENST00000585809</t>
  </si>
  <si>
    <t>ENST00000586317</t>
  </si>
  <si>
    <t>ENST00000587001</t>
  </si>
  <si>
    <t>ENST00000590354</t>
  </si>
  <si>
    <t>ENST00000591155</t>
  </si>
  <si>
    <t>ENST00000591276</t>
  </si>
  <si>
    <t>Q9BV40</t>
  </si>
  <si>
    <t>ENST00000263864</t>
  </si>
  <si>
    <t>ENST00000409760</t>
  </si>
  <si>
    <t>ENST00000432071</t>
  </si>
  <si>
    <t>Q9BV44</t>
  </si>
  <si>
    <t>ENST00000345094</t>
  </si>
  <si>
    <t>ENST00000416603</t>
  </si>
  <si>
    <t>ENST00000417036</t>
  </si>
  <si>
    <t>ENST00000441127</t>
  </si>
  <si>
    <t>ENST00000452837</t>
  </si>
  <si>
    <t>ENST00000461636</t>
  </si>
  <si>
    <t>ENST00000464045</t>
  </si>
  <si>
    <t>ENST00000484006</t>
  </si>
  <si>
    <t>ENST00000515662</t>
  </si>
  <si>
    <t>Q9BV57</t>
  </si>
  <si>
    <t>ENST00000327435</t>
  </si>
  <si>
    <t>ENST00000382093</t>
  </si>
  <si>
    <t>Q9BV79</t>
  </si>
  <si>
    <t>ENST00000263702</t>
  </si>
  <si>
    <t>ENST00000373791</t>
  </si>
  <si>
    <t>ENST00000453185</t>
  </si>
  <si>
    <t>ENST00000463052</t>
  </si>
  <si>
    <t>ENST00000463412</t>
  </si>
  <si>
    <t>ENST00000464511</t>
  </si>
  <si>
    <t>ENST00000464915</t>
  </si>
  <si>
    <t>ENST00000473030</t>
  </si>
  <si>
    <t>ENST00000475773</t>
  </si>
  <si>
    <t>ENST00000475861</t>
  </si>
  <si>
    <t>ENST00000478505</t>
  </si>
  <si>
    <t>ENST00000482610</t>
  </si>
  <si>
    <t>ENST00000483435</t>
  </si>
  <si>
    <t>ENST00000484012</t>
  </si>
  <si>
    <t>ENST00000489248</t>
  </si>
  <si>
    <t>ENST00000490529</t>
  </si>
  <si>
    <t>ENST00000493928</t>
  </si>
  <si>
    <t>Q9BV81</t>
  </si>
  <si>
    <t>ENST00000248378</t>
  </si>
  <si>
    <t>ENST00000397133</t>
  </si>
  <si>
    <t>Q9BV86</t>
  </si>
  <si>
    <t>ENST00000372480</t>
  </si>
  <si>
    <t>ENST00000372481</t>
  </si>
  <si>
    <t>ENST00000372483</t>
  </si>
  <si>
    <t>ENST00000481189</t>
  </si>
  <si>
    <t>ENST00000482347</t>
  </si>
  <si>
    <t>ENST00000486391</t>
  </si>
  <si>
    <t>Q9BVA0</t>
  </si>
  <si>
    <t>ENST00000379661</t>
  </si>
  <si>
    <t>ENST00000562542</t>
  </si>
  <si>
    <t>ENST00000563127</t>
  </si>
  <si>
    <t>ENST00000563462</t>
  </si>
  <si>
    <t>ENST00000566611</t>
  </si>
  <si>
    <t>ENST00000569018</t>
  </si>
  <si>
    <t>ENST00000569627</t>
  </si>
  <si>
    <t>Q9BVC3</t>
  </si>
  <si>
    <t>ENST00000313655</t>
  </si>
  <si>
    <t>ENST00000521795</t>
  </si>
  <si>
    <t>Q9BVC4</t>
  </si>
  <si>
    <t>ENST00000301724</t>
  </si>
  <si>
    <t>ENST00000382450</t>
  </si>
  <si>
    <t>ENST00000397124</t>
  </si>
  <si>
    <t>ENST00000561651</t>
  </si>
  <si>
    <t>ENST00000562239</t>
  </si>
  <si>
    <t>ENST00000562352</t>
  </si>
  <si>
    <t>ENST00000562392</t>
  </si>
  <si>
    <t>ENST00000562479</t>
  </si>
  <si>
    <t>ENST00000562844</t>
  </si>
  <si>
    <t>ENST00000563067</t>
  </si>
  <si>
    <t>ENST00000563107</t>
  </si>
  <si>
    <t>ENST00000564088</t>
  </si>
  <si>
    <t>ENST00000564294</t>
  </si>
  <si>
    <t>ENST00000564679</t>
  </si>
  <si>
    <t>ENST00000565250</t>
  </si>
  <si>
    <t>ENST00000565269</t>
  </si>
  <si>
    <t>ENST00000565330</t>
  </si>
  <si>
    <t>ENST00000565687</t>
  </si>
  <si>
    <t>ENST00000565717</t>
  </si>
  <si>
    <t>ENST00000566653</t>
  </si>
  <si>
    <t>ENST00000566835</t>
  </si>
  <si>
    <t>ENST00000567928</t>
  </si>
  <si>
    <t>ENST00000568194</t>
  </si>
  <si>
    <t>ENST00000568542</t>
  </si>
  <si>
    <t>ENST00000569417</t>
  </si>
  <si>
    <t>ENST00000569848</t>
  </si>
  <si>
    <t>Q9BVC6</t>
  </si>
  <si>
    <t>ENST00000227525</t>
  </si>
  <si>
    <t>ENST00000536171</t>
  </si>
  <si>
    <t>Q9BVG4</t>
  </si>
  <si>
    <t>ENST00000373357</t>
  </si>
  <si>
    <t>ENST00000373358</t>
  </si>
  <si>
    <t>Q9BVG9</t>
  </si>
  <si>
    <t>ENST00000308020</t>
  </si>
  <si>
    <t>ENST00000525059</t>
  </si>
  <si>
    <t>ENST00000525727</t>
  </si>
  <si>
    <t>ENST00000526878</t>
  </si>
  <si>
    <t>ENST00000527325</t>
  </si>
  <si>
    <t>ENST00000528617</t>
  </si>
  <si>
    <t>ENST00000530029</t>
  </si>
  <si>
    <t>ENST00000530087</t>
  </si>
  <si>
    <t>ENST00000531411</t>
  </si>
  <si>
    <t>ENST00000532614</t>
  </si>
  <si>
    <t>Q9BVI0</t>
  </si>
  <si>
    <t>ENST00000339089</t>
  </si>
  <si>
    <t>ENST00000374000</t>
  </si>
  <si>
    <t>ENST00000374012</t>
  </si>
  <si>
    <t>ENST00000461405</t>
  </si>
  <si>
    <t>ENST00000473943</t>
  </si>
  <si>
    <t>ENST00000485604</t>
  </si>
  <si>
    <t>Q9BVI4</t>
  </si>
  <si>
    <t>ENST00000330579</t>
  </si>
  <si>
    <t>ENST00000538784</t>
  </si>
  <si>
    <t>ENST00000541954</t>
  </si>
  <si>
    <t>Q9BVJ7</t>
  </si>
  <si>
    <t>ENST00000368107</t>
  </si>
  <si>
    <t>ENST00000368108</t>
  </si>
  <si>
    <t>ENST00000368109</t>
  </si>
  <si>
    <t>Q9BVK6</t>
  </si>
  <si>
    <t>ENST00000332598</t>
  </si>
  <si>
    <t>ENST00000505521</t>
  </si>
  <si>
    <t>ENST00000507578</t>
  </si>
  <si>
    <t>ENST00000507723</t>
  </si>
  <si>
    <t>ENST00000510499</t>
  </si>
  <si>
    <t>ENST00000513799</t>
  </si>
  <si>
    <t>Q9BVL4</t>
  </si>
  <si>
    <t>ENST00000380903</t>
  </si>
  <si>
    <t>ENST00000492092</t>
  </si>
  <si>
    <t>Q9BVM4</t>
  </si>
  <si>
    <t>ENST00000471912</t>
  </si>
  <si>
    <t>Q9BVQ7</t>
  </si>
  <si>
    <t>ENST00000305560</t>
  </si>
  <si>
    <t>ENST00000525552</t>
  </si>
  <si>
    <t>ENST00000531970</t>
  </si>
  <si>
    <t>ENST00000533199</t>
  </si>
  <si>
    <t>ENST00000559860</t>
  </si>
  <si>
    <t>Q9BVS4</t>
  </si>
  <si>
    <t>ENST00000283109</t>
  </si>
  <si>
    <t>ENST00000508447</t>
  </si>
  <si>
    <t>ENST00000508991</t>
  </si>
  <si>
    <t>ENST00000510384</t>
  </si>
  <si>
    <t>ENST00000511012</t>
  </si>
  <si>
    <t>ENST00000511293</t>
  </si>
  <si>
    <t>ENST00000511920</t>
  </si>
  <si>
    <t>Q9BVS5</t>
  </si>
  <si>
    <t>ENST00000306108</t>
  </si>
  <si>
    <t>ENST00000419999</t>
  </si>
  <si>
    <t>ENST00000439947</t>
  </si>
  <si>
    <t>ENST00000484060</t>
  </si>
  <si>
    <t>ENST00000490390</t>
  </si>
  <si>
    <t>Q9BVT8</t>
  </si>
  <si>
    <t>ENST00000297533</t>
  </si>
  <si>
    <t>ENST00000392818</t>
  </si>
  <si>
    <t>ENST00000462940</t>
  </si>
  <si>
    <t>ENST00000482202</t>
  </si>
  <si>
    <t>ENST00000488752</t>
  </si>
  <si>
    <t>Q9BVV7</t>
  </si>
  <si>
    <t>ENST00000169551</t>
  </si>
  <si>
    <t>ENST00000577952</t>
  </si>
  <si>
    <t>ENST00000579071</t>
  </si>
  <si>
    <t>ENST00000580087</t>
  </si>
  <si>
    <t>ENST00000581467</t>
  </si>
  <si>
    <t>ENST00000584925</t>
  </si>
  <si>
    <t>Q9BVW5</t>
  </si>
  <si>
    <t>ENST00000261881</t>
  </si>
  <si>
    <t>ENST00000561773</t>
  </si>
  <si>
    <t>Q9BW19</t>
  </si>
  <si>
    <t>ENST00000428849</t>
  </si>
  <si>
    <t>ENST00000494554</t>
  </si>
  <si>
    <t>Q9BW60</t>
  </si>
  <si>
    <t>ENST00000372458</t>
  </si>
  <si>
    <t>ENST00000464204</t>
  </si>
  <si>
    <t>ENST00000468865</t>
  </si>
  <si>
    <t>ENST00000470769</t>
  </si>
  <si>
    <t>ENST00000470968</t>
  </si>
  <si>
    <t>ENST00000478481</t>
  </si>
  <si>
    <t>ENST00000482302</t>
  </si>
  <si>
    <t>ENST00000487209</t>
  </si>
  <si>
    <t>ENST00000496932</t>
  </si>
  <si>
    <t>ENST00000497050</t>
  </si>
  <si>
    <t>ENST00000497569</t>
  </si>
  <si>
    <t>Q9BW61</t>
  </si>
  <si>
    <t>ENST00000359866</t>
  </si>
  <si>
    <t>ENST00000594501</t>
  </si>
  <si>
    <t>ENST00000596925</t>
  </si>
  <si>
    <t>Q9BW66</t>
  </si>
  <si>
    <t>ENST00000216756</t>
  </si>
  <si>
    <t>ENST00000541568</t>
  </si>
  <si>
    <t>ENST00000558523</t>
  </si>
  <si>
    <t>ENST00000559504</t>
  </si>
  <si>
    <t>ENST00000559514</t>
  </si>
  <si>
    <t>ENST00000560326</t>
  </si>
  <si>
    <t>Q9BW71</t>
  </si>
  <si>
    <t>ENST00000279392</t>
  </si>
  <si>
    <t>ENST00000563053</t>
  </si>
  <si>
    <t>ENST00000563680</t>
  </si>
  <si>
    <t>ENST00000564026</t>
  </si>
  <si>
    <t>ENST00000565996</t>
  </si>
  <si>
    <t>ENST00000568880</t>
  </si>
  <si>
    <t>Q9BW83</t>
  </si>
  <si>
    <t>ENST00000433985</t>
  </si>
  <si>
    <t>ENST00000440696</t>
  </si>
  <si>
    <t>ENST00000465023</t>
  </si>
  <si>
    <t>ENST00000471809</t>
  </si>
  <si>
    <t>ENST00000476548</t>
  </si>
  <si>
    <t>ENST00000495555</t>
  </si>
  <si>
    <t>Q9BW85</t>
  </si>
  <si>
    <t>ENST00000262962</t>
  </si>
  <si>
    <t>Q9BW92</t>
  </si>
  <si>
    <t>ENST00000369053</t>
  </si>
  <si>
    <t>ENST00000369064</t>
  </si>
  <si>
    <t>ENST00000460794</t>
  </si>
  <si>
    <t>ENST00000462578</t>
  </si>
  <si>
    <t>ENST00000463555</t>
  </si>
  <si>
    <t>ENST00000466989</t>
  </si>
  <si>
    <t>ENST00000479372</t>
  </si>
  <si>
    <t>ENST00000480070</t>
  </si>
  <si>
    <t>ENST00000483046</t>
  </si>
  <si>
    <t>ENST00000606933</t>
  </si>
  <si>
    <t>Q9BWD1</t>
  </si>
  <si>
    <t>ENST00000367048</t>
  </si>
  <si>
    <t>ENST00000472052</t>
  </si>
  <si>
    <t>Q9BWE0</t>
  </si>
  <si>
    <t>ENST00000397281</t>
  </si>
  <si>
    <t>ENST00000425389</t>
  </si>
  <si>
    <t>ENST00000444957</t>
  </si>
  <si>
    <t>ENST00000466559</t>
  </si>
  <si>
    <t>ENST00000467980</t>
  </si>
  <si>
    <t>ENST00000469309</t>
  </si>
  <si>
    <t>ENST00000473391</t>
  </si>
  <si>
    <t>ENST00000486714</t>
  </si>
  <si>
    <t>ENST00000487455</t>
  </si>
  <si>
    <t>ENST00000489432</t>
  </si>
  <si>
    <t>ENST00000495535</t>
  </si>
  <si>
    <t>ENST00000518462</t>
  </si>
  <si>
    <t>ENST00000519397</t>
  </si>
  <si>
    <t>ENST00000522266</t>
  </si>
  <si>
    <t>Q9BWH2</t>
  </si>
  <si>
    <t>ENST00000369498</t>
  </si>
  <si>
    <t>ENST00000456179</t>
  </si>
  <si>
    <t>ENST00000471528</t>
  </si>
  <si>
    <t>ENST00000484175</t>
  </si>
  <si>
    <t>ENST00000485289</t>
  </si>
  <si>
    <t>ENST00000492303</t>
  </si>
  <si>
    <t>Q9BWJ5</t>
  </si>
  <si>
    <t>ENST00000367569</t>
  </si>
  <si>
    <t>Q9BWM7</t>
  </si>
  <si>
    <t>ENST00000224807</t>
  </si>
  <si>
    <t>ENST00000393459</t>
  </si>
  <si>
    <t>ENST00000465383</t>
  </si>
  <si>
    <t>ENST00000466982</t>
  </si>
  <si>
    <t>ENST00000470252</t>
  </si>
  <si>
    <t>ENST00000489434</t>
  </si>
  <si>
    <t>Q9BWN1</t>
  </si>
  <si>
    <t>ENST00000300835</t>
  </si>
  <si>
    <t>ENST00000542965</t>
  </si>
  <si>
    <t>ENST00000563211</t>
  </si>
  <si>
    <t>ENST00000563399</t>
  </si>
  <si>
    <t>ENST00000564946</t>
  </si>
  <si>
    <t>ENST00000565977</t>
  </si>
  <si>
    <t>ENST00000567322</t>
  </si>
  <si>
    <t>ENST00000567989</t>
  </si>
  <si>
    <t>ENST00000568754</t>
  </si>
  <si>
    <t>ENST00000571654</t>
  </si>
  <si>
    <t>Q9BWU0</t>
  </si>
  <si>
    <t>ENST00000326019</t>
  </si>
  <si>
    <t>ENST00000492196</t>
  </si>
  <si>
    <t>Q9BX40</t>
  </si>
  <si>
    <t>ENST00000279068</t>
  </si>
  <si>
    <t>ENST00000279069</t>
  </si>
  <si>
    <t>ENST00000370915</t>
  </si>
  <si>
    <t>ENST00000400318</t>
  </si>
  <si>
    <t>Q9BX59</t>
  </si>
  <si>
    <t>ENST00000266556</t>
  </si>
  <si>
    <t>ENST00000539384</t>
  </si>
  <si>
    <t>ENST00000542160</t>
  </si>
  <si>
    <t>ENST00000543567</t>
  </si>
  <si>
    <t>ENST00000544289</t>
  </si>
  <si>
    <t>ENST00000544826</t>
  </si>
  <si>
    <t>Q9BX68</t>
  </si>
  <si>
    <t>ENST00000259667</t>
  </si>
  <si>
    <t>ENST00000461169</t>
  </si>
  <si>
    <t>ENST00000474848</t>
  </si>
  <si>
    <t>ENST00000474908</t>
  </si>
  <si>
    <t>ENST00000490578</t>
  </si>
  <si>
    <t>Q9BX70</t>
  </si>
  <si>
    <t>ENST00000255608</t>
  </si>
  <si>
    <t>ENST00000587225</t>
  </si>
  <si>
    <t>ENST00000587742</t>
  </si>
  <si>
    <t>ENST00000589200</t>
  </si>
  <si>
    <t>ENST00000589685</t>
  </si>
  <si>
    <t>ENST00000592082</t>
  </si>
  <si>
    <t>ENST00000592895</t>
  </si>
  <si>
    <t>Q9BX95</t>
  </si>
  <si>
    <t>ENST00000247225</t>
  </si>
  <si>
    <t>Q9BXB4</t>
  </si>
  <si>
    <t>ENST00000296220</t>
  </si>
  <si>
    <t>Q9BXF6</t>
  </si>
  <si>
    <t>ENST00000258098</t>
  </si>
  <si>
    <t>ENST00000486777</t>
  </si>
  <si>
    <t>ENST00000493523</t>
  </si>
  <si>
    <t>Q9BXH1</t>
  </si>
  <si>
    <t>ENST00000439096</t>
  </si>
  <si>
    <t>ENST00000598636</t>
  </si>
  <si>
    <t>ENST00000601438</t>
  </si>
  <si>
    <t>Q9BXI6</t>
  </si>
  <si>
    <t>ENST00000215790</t>
  </si>
  <si>
    <t>ENST00000393906</t>
  </si>
  <si>
    <t>ENST00000403477</t>
  </si>
  <si>
    <t>ENST00000433426</t>
  </si>
  <si>
    <t>ENST00000437122</t>
  </si>
  <si>
    <t>ENST00000462073</t>
  </si>
  <si>
    <t>ENST00000466666</t>
  </si>
  <si>
    <t>ENST00000467596</t>
  </si>
  <si>
    <t>ENST00000490449</t>
  </si>
  <si>
    <t>Q9BXJ9</t>
  </si>
  <si>
    <t>ENST00000296543</t>
  </si>
  <si>
    <t>ENST00000398947</t>
  </si>
  <si>
    <t>ENST00000468029</t>
  </si>
  <si>
    <t>ENST00000480277</t>
  </si>
  <si>
    <t>ENST00000482087</t>
  </si>
  <si>
    <t>ENST00000485905</t>
  </si>
  <si>
    <t>ENST00000496716</t>
  </si>
  <si>
    <t>ENST00000515576</t>
  </si>
  <si>
    <t>Q9BXK1</t>
  </si>
  <si>
    <t>ENST00000250916</t>
  </si>
  <si>
    <t>ENST00000541015</t>
  </si>
  <si>
    <t>Q9BXK5</t>
  </si>
  <si>
    <t>ENST00000317582</t>
  </si>
  <si>
    <t>ENST00000337612</t>
  </si>
  <si>
    <t>ENST00000355028</t>
  </si>
  <si>
    <t>ENST00000399781</t>
  </si>
  <si>
    <t>ENST00000399782</t>
  </si>
  <si>
    <t>ENST00000418951</t>
  </si>
  <si>
    <t>ENST00000464649</t>
  </si>
  <si>
    <t>ENST00000479296</t>
  </si>
  <si>
    <t>ENST00000485631</t>
  </si>
  <si>
    <t>ENST00000493680</t>
  </si>
  <si>
    <t>ENST00000498133</t>
  </si>
  <si>
    <t>ENST00000538149</t>
  </si>
  <si>
    <t>Q9BXL5</t>
  </si>
  <si>
    <t>ENST00000259456</t>
  </si>
  <si>
    <t>Q9BXL7</t>
  </si>
  <si>
    <t>ENST00000355508</t>
  </si>
  <si>
    <t>ENST00000356408</t>
  </si>
  <si>
    <t>ENST00000396946</t>
  </si>
  <si>
    <t>ENST00000480332</t>
  </si>
  <si>
    <t>Q9BXR0</t>
  </si>
  <si>
    <t>ENST00000250237</t>
  </si>
  <si>
    <t>ENST00000421333</t>
  </si>
  <si>
    <t>ENST00000585885</t>
  </si>
  <si>
    <t>ENST00000587500</t>
  </si>
  <si>
    <t>ENST00000587599</t>
  </si>
  <si>
    <t>ENST00000587861</t>
  </si>
  <si>
    <t>ENST00000589488</t>
  </si>
  <si>
    <t>ENST00000590705</t>
  </si>
  <si>
    <t>ENST00000591643</t>
  </si>
  <si>
    <t>ENST00000592376</t>
  </si>
  <si>
    <t>ENST00000592531</t>
  </si>
  <si>
    <t>Q9BXS5</t>
  </si>
  <si>
    <t>ENST00000291439</t>
  </si>
  <si>
    <t>ENST00000429941</t>
  </si>
  <si>
    <t>ENST00000444449</t>
  </si>
  <si>
    <t>ENST00000586461</t>
  </si>
  <si>
    <t>ENST00000586957</t>
  </si>
  <si>
    <t>ENST00000589782</t>
  </si>
  <si>
    <t>ENST00000589822</t>
  </si>
  <si>
    <t>ENST00000589991</t>
  </si>
  <si>
    <t>ENST00000590756</t>
  </si>
  <si>
    <t>ENST00000590945</t>
  </si>
  <si>
    <t>ENST00000591966</t>
  </si>
  <si>
    <t>ENST00000592703</t>
  </si>
  <si>
    <t>Q9BXV9</t>
  </si>
  <si>
    <t>ENST00000306954</t>
  </si>
  <si>
    <t>Q9BXW9</t>
  </si>
  <si>
    <t>ENST00000287647</t>
  </si>
  <si>
    <t>ENST00000383807</t>
  </si>
  <si>
    <t>ENST00000419585</t>
  </si>
  <si>
    <t>ENST00000431693</t>
  </si>
  <si>
    <t>ENST00000464934</t>
  </si>
  <si>
    <t>ENST00000470757</t>
  </si>
  <si>
    <t>ENST00000480909</t>
  </si>
  <si>
    <t>ENST00000483276</t>
  </si>
  <si>
    <t>Q9BXY0</t>
  </si>
  <si>
    <t>ENST00000360128</t>
  </si>
  <si>
    <t>ENST00000517567</t>
  </si>
  <si>
    <t>ENST00000518389</t>
  </si>
  <si>
    <t>ENST00000520763</t>
  </si>
  <si>
    <t>Q9BY32</t>
  </si>
  <si>
    <t>ENST00000380113</t>
  </si>
  <si>
    <t>ENST00000399838</t>
  </si>
  <si>
    <t>ENST00000460550</t>
  </si>
  <si>
    <t>ENST00000461029</t>
  </si>
  <si>
    <t>ENST00000472295</t>
  </si>
  <si>
    <t>ENST00000483354</t>
  </si>
  <si>
    <t>ENST00000609835</t>
  </si>
  <si>
    <t>Q9BY42</t>
  </si>
  <si>
    <t>ENST00000023939</t>
  </si>
  <si>
    <t>ENST00000357348</t>
  </si>
  <si>
    <t>ENST00000395881</t>
  </si>
  <si>
    <t>ENST00000449062</t>
  </si>
  <si>
    <t>ENST00000477485</t>
  </si>
  <si>
    <t>ENST00000477573</t>
  </si>
  <si>
    <t>ENST00000484084</t>
  </si>
  <si>
    <t>ENST00000487211</t>
  </si>
  <si>
    <t>Q9BY43</t>
  </si>
  <si>
    <t>ENST00000347519</t>
  </si>
  <si>
    <t>ENST00000524955</t>
  </si>
  <si>
    <t>ENST00000527154</t>
  </si>
  <si>
    <t>ENST00000533011</t>
  </si>
  <si>
    <t>ENST00000533523</t>
  </si>
  <si>
    <t>ENST00000534106</t>
  </si>
  <si>
    <t>ENST00000552620</t>
  </si>
  <si>
    <t>ENST00000609024</t>
  </si>
  <si>
    <t>Q9BY44</t>
  </si>
  <si>
    <t>ENST00000460851</t>
  </si>
  <si>
    <t>ENST00000462221</t>
  </si>
  <si>
    <t>ENST00000463863</t>
  </si>
  <si>
    <t>ENST00000465535</t>
  </si>
  <si>
    <t>ENST00000469331</t>
  </si>
  <si>
    <t>ENST00000472926</t>
  </si>
  <si>
    <t>ENST00000473499</t>
  </si>
  <si>
    <t>ENST00000474505</t>
  </si>
  <si>
    <t>ENST00000477551</t>
  </si>
  <si>
    <t>ENST00000482093</t>
  </si>
  <si>
    <t>ENST00000482471</t>
  </si>
  <si>
    <t>ENST00000487799</t>
  </si>
  <si>
    <t>Q9BY49</t>
  </si>
  <si>
    <t>ENST00000265322</t>
  </si>
  <si>
    <t>ENST00000442122</t>
  </si>
  <si>
    <t>ENST00000461330</t>
  </si>
  <si>
    <t>ENST00000464722</t>
  </si>
  <si>
    <t>ENST00000464737</t>
  </si>
  <si>
    <t>ENST00000474093</t>
  </si>
  <si>
    <t>Q9BY50</t>
  </si>
  <si>
    <t>ENST00000299714</t>
  </si>
  <si>
    <t>ENST00000509791</t>
  </si>
  <si>
    <t>ENST00000585864</t>
  </si>
  <si>
    <t>ENST00000587834</t>
  </si>
  <si>
    <t>ENST00000588875</t>
  </si>
  <si>
    <t>ENST00000591406</t>
  </si>
  <si>
    <t>ENST00000592774</t>
  </si>
  <si>
    <t>Q9BY77</t>
  </si>
  <si>
    <t>ENST00000252115</t>
  </si>
  <si>
    <t>ENST00000348657</t>
  </si>
  <si>
    <t>ENST00000451060</t>
  </si>
  <si>
    <t>ENST00000454057</t>
  </si>
  <si>
    <t>ENST00000463133</t>
  </si>
  <si>
    <t>ENST00000491021</t>
  </si>
  <si>
    <t>Q9BYB4</t>
  </si>
  <si>
    <t>ENST00000329517</t>
  </si>
  <si>
    <t>ENST00000403325</t>
  </si>
  <si>
    <t>ENST00000481086</t>
  </si>
  <si>
    <t>Q9BYC5</t>
  </si>
  <si>
    <t>ENST00000360689</t>
  </si>
  <si>
    <t>ENST00000554667</t>
  </si>
  <si>
    <t>ENST00000556292</t>
  </si>
  <si>
    <t>Q9BYC8</t>
  </si>
  <si>
    <t>ENST00000223324</t>
  </si>
  <si>
    <t>ENST00000413995</t>
  </si>
  <si>
    <t>ENST00000432845</t>
  </si>
  <si>
    <t>Q9BYC9</t>
  </si>
  <si>
    <t>ENST00000344843</t>
  </si>
  <si>
    <t>ENST00000477686</t>
  </si>
  <si>
    <t>ENST00000482352</t>
  </si>
  <si>
    <t>ENST00000487659</t>
  </si>
  <si>
    <t>ENST00000492508</t>
  </si>
  <si>
    <t>ENST00000493287</t>
  </si>
  <si>
    <t>Q9BYD1</t>
  </si>
  <si>
    <t>ENST00000306185</t>
  </si>
  <si>
    <t>ENST00000518696</t>
  </si>
  <si>
    <t>ENST00000518918</t>
  </si>
  <si>
    <t>ENST00000520677</t>
  </si>
  <si>
    <t>ENST00000522717</t>
  </si>
  <si>
    <t>Q9BYD2</t>
  </si>
  <si>
    <t>ENST00000368829</t>
  </si>
  <si>
    <t>ENST00000368830</t>
  </si>
  <si>
    <t>ENST00000461182</t>
  </si>
  <si>
    <t>ENST00000462783</t>
  </si>
  <si>
    <t>ENST00000467306</t>
  </si>
  <si>
    <t>ENST00000468006</t>
  </si>
  <si>
    <t>ENST00000478926</t>
  </si>
  <si>
    <t>ENST00000495867</t>
  </si>
  <si>
    <t>Q9BYD6</t>
  </si>
  <si>
    <t>ENST00000315567</t>
  </si>
  <si>
    <t>ENST00000502384</t>
  </si>
  <si>
    <t>ENST00000504901</t>
  </si>
  <si>
    <t>ENST00000506674</t>
  </si>
  <si>
    <t>Q9BYE7</t>
  </si>
  <si>
    <t>ENST00000369847</t>
  </si>
  <si>
    <t>ENST00000492755</t>
  </si>
  <si>
    <t>Q9BYG3</t>
  </si>
  <si>
    <t>ENST00000285814</t>
  </si>
  <si>
    <t>ENST00000447132</t>
  </si>
  <si>
    <t>ENST00000451734</t>
  </si>
  <si>
    <t>ENST00000477693</t>
  </si>
  <si>
    <t>ENST00000481978</t>
  </si>
  <si>
    <t>ENST00000498570</t>
  </si>
  <si>
    <t>Q9BYG5</t>
  </si>
  <si>
    <t>ENST00000371610</t>
  </si>
  <si>
    <t>Q9BYJ9</t>
  </si>
  <si>
    <t>ENST00000370334</t>
  </si>
  <si>
    <t>ENST00000370339</t>
  </si>
  <si>
    <t>Q9BYK8</t>
  </si>
  <si>
    <t>ENST00000370082</t>
  </si>
  <si>
    <t>ENST00000427522</t>
  </si>
  <si>
    <t>ENST00000454223</t>
  </si>
  <si>
    <t>ENST00000467148</t>
  </si>
  <si>
    <t>ENST00000478861</t>
  </si>
  <si>
    <t>ENST00000479540</t>
  </si>
  <si>
    <t>Q9BYM8</t>
  </si>
  <si>
    <t>ENST00000353660</t>
  </si>
  <si>
    <t>ENST00000356286</t>
  </si>
  <si>
    <t>ENST00000382181</t>
  </si>
  <si>
    <t>ENST00000382214</t>
  </si>
  <si>
    <t>ENST00000400245</t>
  </si>
  <si>
    <t>ENST00000400247</t>
  </si>
  <si>
    <t>ENST00000415942</t>
  </si>
  <si>
    <t>ENST00000441733</t>
  </si>
  <si>
    <t>ENST00000468272</t>
  </si>
  <si>
    <t>ENST00000475269</t>
  </si>
  <si>
    <t>Q9BYN0</t>
  </si>
  <si>
    <t>ENST00000381962</t>
  </si>
  <si>
    <t>Q9BYN8</t>
  </si>
  <si>
    <t>ENST00000380325</t>
  </si>
  <si>
    <t>Q9BYT8</t>
  </si>
  <si>
    <t>ENST00000380985</t>
  </si>
  <si>
    <t>ENST00000506539</t>
  </si>
  <si>
    <t>ENST00000506677</t>
  </si>
  <si>
    <t>ENST00000506799</t>
  </si>
  <si>
    <t>Q9BYV8</t>
  </si>
  <si>
    <t>ENST00000223208</t>
  </si>
  <si>
    <t>ENST00000480206</t>
  </si>
  <si>
    <t>ENST00000485736</t>
  </si>
  <si>
    <t>ENST00000489512</t>
  </si>
  <si>
    <t>ENST00000495702</t>
  </si>
  <si>
    <t>ENST00000498527</t>
  </si>
  <si>
    <t>ENST00000603513</t>
  </si>
  <si>
    <t>Q9BYV9</t>
  </si>
  <si>
    <t>ENST00000257749</t>
  </si>
  <si>
    <t>ENST00000343122</t>
  </si>
  <si>
    <t>ENST00000406998</t>
  </si>
  <si>
    <t>ENST00000453877</t>
  </si>
  <si>
    <t>ENST00000470301</t>
  </si>
  <si>
    <t>ENST00000472023</t>
  </si>
  <si>
    <t>ENST00000481150</t>
  </si>
  <si>
    <t>ENST00000493201</t>
  </si>
  <si>
    <t>ENST00000494747</t>
  </si>
  <si>
    <t>ENST00000537989</t>
  </si>
  <si>
    <t>Q9BYW2</t>
  </si>
  <si>
    <t>ENST00000330022</t>
  </si>
  <si>
    <t>ENST00000409792</t>
  </si>
  <si>
    <t>ENST00000479832</t>
  </si>
  <si>
    <t>ENST00000484689</t>
  </si>
  <si>
    <t>ENST00000492397</t>
  </si>
  <si>
    <t>Q9BYX4</t>
  </si>
  <si>
    <t>ENST00000263642</t>
  </si>
  <si>
    <t>ENST00000421365</t>
  </si>
  <si>
    <t>ENST00000464129</t>
  </si>
  <si>
    <t>Q9BZD4</t>
  </si>
  <si>
    <t>ENST00000271452</t>
  </si>
  <si>
    <t>ENST00000487578</t>
  </si>
  <si>
    <t>ENST00000527120</t>
  </si>
  <si>
    <t>ENST00000531529</t>
  </si>
  <si>
    <t>Q9BZE1</t>
  </si>
  <si>
    <t>ENST00000360840</t>
  </si>
  <si>
    <t>ENST00000398219</t>
  </si>
  <si>
    <t>ENST00000487096</t>
  </si>
  <si>
    <t>ENST00000490670</t>
  </si>
  <si>
    <t>ENST00000605337</t>
  </si>
  <si>
    <t>Q9BZE2</t>
  </si>
  <si>
    <t>ENST00000227474</t>
  </si>
  <si>
    <t>ENST00000530811</t>
  </si>
  <si>
    <t>ENST00000534158</t>
  </si>
  <si>
    <t>Q9BZE4</t>
  </si>
  <si>
    <t>ENST00000360803</t>
  </si>
  <si>
    <t>ENST00000483839</t>
  </si>
  <si>
    <t>ENST00000491261</t>
  </si>
  <si>
    <t>ENST00000491635</t>
  </si>
  <si>
    <t>Q9BZE9</t>
  </si>
  <si>
    <t>ENST00000306729</t>
  </si>
  <si>
    <t>ENST00000306739</t>
  </si>
  <si>
    <t>ENST00000344865</t>
  </si>
  <si>
    <t>ENST00000577733</t>
  </si>
  <si>
    <t>ENST00000578236</t>
  </si>
  <si>
    <t>ENST00000578361</t>
  </si>
  <si>
    <t>ENST00000580534</t>
  </si>
  <si>
    <t>ENST00000581608</t>
  </si>
  <si>
    <t>ENST00000581647</t>
  </si>
  <si>
    <t>ENST00000583142</t>
  </si>
  <si>
    <t>ENST00000583503</t>
  </si>
  <si>
    <t>ENST00000583693</t>
  </si>
  <si>
    <t>ENST00000583744</t>
  </si>
  <si>
    <t>ENST00000584454</t>
  </si>
  <si>
    <t>ENST00000585274</t>
  </si>
  <si>
    <t>Q9BZF1</t>
  </si>
  <si>
    <t>ENST00000261183</t>
  </si>
  <si>
    <t>ENST00000393249</t>
  </si>
  <si>
    <t>ENST00000393250</t>
  </si>
  <si>
    <t>ENST00000547540</t>
  </si>
  <si>
    <t>ENST00000547544</t>
  </si>
  <si>
    <t>ENST00000548485</t>
  </si>
  <si>
    <t>ENST00000548535</t>
  </si>
  <si>
    <t>ENST00000549570</t>
  </si>
  <si>
    <t>ENST00000550865</t>
  </si>
  <si>
    <t>ENST00000551927</t>
  </si>
  <si>
    <t>ENST00000552178</t>
  </si>
  <si>
    <t>ENST00000552586</t>
  </si>
  <si>
    <t>ENST00000553139</t>
  </si>
  <si>
    <t>Q9BZH6</t>
  </si>
  <si>
    <t>ENST00000263461</t>
  </si>
  <si>
    <t>ENST00000462529</t>
  </si>
  <si>
    <t>ENST00000470052</t>
  </si>
  <si>
    <t>ENST00000478567</t>
  </si>
  <si>
    <t>ENST00000497136</t>
  </si>
  <si>
    <t>ENST00000603658</t>
  </si>
  <si>
    <t>ENST00000604509</t>
  </si>
  <si>
    <t>ENST00000604585</t>
  </si>
  <si>
    <t>ENST00000604714</t>
  </si>
  <si>
    <t>ENST00000605202</t>
  </si>
  <si>
    <t>ENST00000605320</t>
  </si>
  <si>
    <t>ENST00000605376</t>
  </si>
  <si>
    <t>ENST00000605659</t>
  </si>
  <si>
    <t>Q9BZK7</t>
  </si>
  <si>
    <t>ENST00000352800</t>
  </si>
  <si>
    <t>ENST00000422066</t>
  </si>
  <si>
    <t>ENST00000422442</t>
  </si>
  <si>
    <t>ENST00000424913</t>
  </si>
  <si>
    <t>ENST00000427349</t>
  </si>
  <si>
    <t>ENST00000430069</t>
  </si>
  <si>
    <t>ENST00000431421</t>
  </si>
  <si>
    <t>ENST00000431674</t>
  </si>
  <si>
    <t>ENST00000457928</t>
  </si>
  <si>
    <t>ENST00000474363</t>
  </si>
  <si>
    <t>ENST00000491623</t>
  </si>
  <si>
    <t>Q9BZL1</t>
  </si>
  <si>
    <t>ENST00000358666</t>
  </si>
  <si>
    <t>ENST00000586895</t>
  </si>
  <si>
    <t>ENST00000588141</t>
  </si>
  <si>
    <t>ENST00000588595</t>
  </si>
  <si>
    <t>ENST00000589372</t>
  </si>
  <si>
    <t>ENST00000589960</t>
  </si>
  <si>
    <t>ENST00000593087</t>
  </si>
  <si>
    <t>Q9BZL6</t>
  </si>
  <si>
    <t>ENST00000291281</t>
  </si>
  <si>
    <t>ENST00000433867</t>
  </si>
  <si>
    <t>ENST00000593363</t>
  </si>
  <si>
    <t>ENST00000593492</t>
  </si>
  <si>
    <t>ENST00000595132</t>
  </si>
  <si>
    <t>ENST00000595515</t>
  </si>
  <si>
    <t>ENST00000597088</t>
  </si>
  <si>
    <t>ENST00000597589</t>
  </si>
  <si>
    <t>ENST00000597641</t>
  </si>
  <si>
    <t>ENST00000599464</t>
  </si>
  <si>
    <t>ENST00000600194</t>
  </si>
  <si>
    <t>ENST00000601806</t>
  </si>
  <si>
    <t>ENST00000602155</t>
  </si>
  <si>
    <t>Q9BZQ8</t>
  </si>
  <si>
    <t>ENST00000367511</t>
  </si>
  <si>
    <t>Q9BZV1</t>
  </si>
  <si>
    <t>ENST00000301281</t>
  </si>
  <si>
    <t>ENST00000587009</t>
  </si>
  <si>
    <t>ENST00000587324</t>
  </si>
  <si>
    <t>ENST00000588238</t>
  </si>
  <si>
    <t>ENST00000590466</t>
  </si>
  <si>
    <t>ENST00000592358</t>
  </si>
  <si>
    <t>ENST00000593024</t>
  </si>
  <si>
    <t>Q9BZX2</t>
  </si>
  <si>
    <t>ENST00000367879</t>
  </si>
  <si>
    <t>ENST00000470820</t>
  </si>
  <si>
    <t>ENST00000479872</t>
  </si>
  <si>
    <t>Q9C005</t>
  </si>
  <si>
    <t>ENST00000295066</t>
  </si>
  <si>
    <t>ENST00000342166</t>
  </si>
  <si>
    <t>ENST00000414013</t>
  </si>
  <si>
    <t>ENST00000422413</t>
  </si>
  <si>
    <t>ENST00000430665</t>
  </si>
  <si>
    <t>ENST00000452582</t>
  </si>
  <si>
    <t>Q9C073</t>
  </si>
  <si>
    <t>ENST00000240364</t>
  </si>
  <si>
    <t>ENST00000503573</t>
  </si>
  <si>
    <t>ENST00000509347</t>
  </si>
  <si>
    <t>ENST00000514841</t>
  </si>
  <si>
    <t>Q9C086</t>
  </si>
  <si>
    <t>ENST00000233331</t>
  </si>
  <si>
    <t>ENST00000409493</t>
  </si>
  <si>
    <t>ENST00000455562</t>
  </si>
  <si>
    <t>ENST00000471577</t>
  </si>
  <si>
    <t>ENST00000494986</t>
  </si>
  <si>
    <t>Q9C0B0</t>
  </si>
  <si>
    <t>ENST00000586217</t>
  </si>
  <si>
    <t>ENST00000586527</t>
  </si>
  <si>
    <t>ENST00000587501</t>
  </si>
  <si>
    <t>ENST00000589666</t>
  </si>
  <si>
    <t>ENST00000589790</t>
  </si>
  <si>
    <t>ENST00000592074</t>
  </si>
  <si>
    <t>Q9C0B1</t>
  </si>
  <si>
    <t>ENST00000471389</t>
  </si>
  <si>
    <t>ENST00000570395</t>
  </si>
  <si>
    <t>Q9C0B7</t>
  </si>
  <si>
    <t>ENST00000261778</t>
  </si>
  <si>
    <t>ENST00000561566</t>
  </si>
  <si>
    <t>ENST00000562491</t>
  </si>
  <si>
    <t>ENST00000564180</t>
  </si>
  <si>
    <t>ENST00000568361</t>
  </si>
  <si>
    <t>Q9C0C2</t>
  </si>
  <si>
    <t>ENST00000358252</t>
  </si>
  <si>
    <t>ENST00000427750</t>
  </si>
  <si>
    <t>ENST00000528882</t>
  </si>
  <si>
    <t>ENST00000532273</t>
  </si>
  <si>
    <t>ENST00000532437</t>
  </si>
  <si>
    <t>Q9C0C9</t>
  </si>
  <si>
    <t>ENST00000319380</t>
  </si>
  <si>
    <t>ENST00000586409</t>
  </si>
  <si>
    <t>ENST00000587127</t>
  </si>
  <si>
    <t>ENST00000587581</t>
  </si>
  <si>
    <t>ENST00000590658</t>
  </si>
  <si>
    <t>Q9C0D2</t>
  </si>
  <si>
    <t>ENST00000325212</t>
  </si>
  <si>
    <t>ENST00000529185</t>
  </si>
  <si>
    <t>ENST00000530425</t>
  </si>
  <si>
    <t>ENST00000531404</t>
  </si>
  <si>
    <t>ENST00000531622</t>
  </si>
  <si>
    <t>ENST00000531877</t>
  </si>
  <si>
    <t>Q9C0D3</t>
  </si>
  <si>
    <t>ENST00000294353</t>
  </si>
  <si>
    <t>Q9C0E2</t>
  </si>
  <si>
    <t>ENST00000465018</t>
  </si>
  <si>
    <t>ENST00000490513</t>
  </si>
  <si>
    <t>Q9C0G0</t>
  </si>
  <si>
    <t>ENST00000299687</t>
  </si>
  <si>
    <t>ENST00000577538</t>
  </si>
  <si>
    <t>ENST00000579200</t>
  </si>
  <si>
    <t>ENST00000582337</t>
  </si>
  <si>
    <t>Q9C0J8</t>
  </si>
  <si>
    <t>ENST00000322313</t>
  </si>
  <si>
    <t>ENST00000393006</t>
  </si>
  <si>
    <t>ENST00000408998</t>
  </si>
  <si>
    <t>ENST00000409658</t>
  </si>
  <si>
    <t>ENST00000436787</t>
  </si>
  <si>
    <t>Q9GZL7</t>
  </si>
  <si>
    <t>ENST00000261015</t>
  </si>
  <si>
    <t>ENST00000463824</t>
  </si>
  <si>
    <t>ENST00000464820</t>
  </si>
  <si>
    <t>ENST00000467777</t>
  </si>
  <si>
    <t>ENST00000475611</t>
  </si>
  <si>
    <t>ENST00000477727</t>
  </si>
  <si>
    <t>ENST00000478869</t>
  </si>
  <si>
    <t>Q9GZN1</t>
  </si>
  <si>
    <t>ENST00000188312</t>
  </si>
  <si>
    <t>ENST00000546902</t>
  </si>
  <si>
    <t>ENST00000547458</t>
  </si>
  <si>
    <t>ENST00000548180</t>
  </si>
  <si>
    <t>ENST00000549977</t>
  </si>
  <si>
    <t>ENST00000551440</t>
  </si>
  <si>
    <t>ENST00000551517</t>
  </si>
  <si>
    <t>ENST00000551617</t>
  </si>
  <si>
    <t>ENST00000552376</t>
  </si>
  <si>
    <t>Q9GZN8</t>
  </si>
  <si>
    <t>ENST00000217195</t>
  </si>
  <si>
    <t>ENST00000379772</t>
  </si>
  <si>
    <t>ENST00000399672</t>
  </si>
  <si>
    <t>ENST00000399683</t>
  </si>
  <si>
    <t>Q9GZP4</t>
  </si>
  <si>
    <t>ENST00000246151</t>
  </si>
  <si>
    <t>ENST00000374524</t>
  </si>
  <si>
    <t>ENST00000415372</t>
  </si>
  <si>
    <t>Q9GZP9</t>
  </si>
  <si>
    <t>ENST00000158771</t>
  </si>
  <si>
    <t>ENST00000570848</t>
  </si>
  <si>
    <t>ENST00000571476</t>
  </si>
  <si>
    <t>ENST00000571971</t>
  </si>
  <si>
    <t>ENST00000572834</t>
  </si>
  <si>
    <t>ENST00000573547</t>
  </si>
  <si>
    <t>ENST00000573637</t>
  </si>
  <si>
    <t>ENST00000574952</t>
  </si>
  <si>
    <t>ENST00000575209</t>
  </si>
  <si>
    <t>ENST00000575605</t>
  </si>
  <si>
    <t>Q9GZQ3</t>
  </si>
  <si>
    <t>ENST00000305103</t>
  </si>
  <si>
    <t>ENST00000402718</t>
  </si>
  <si>
    <t>ENST00000450361</t>
  </si>
  <si>
    <t>ENST00000529143</t>
  </si>
  <si>
    <t>ENST00000530332</t>
  </si>
  <si>
    <t>ENST00000533270</t>
  </si>
  <si>
    <t>ENST00000543949</t>
  </si>
  <si>
    <t>Q9GZQ8</t>
  </si>
  <si>
    <t>ENST00000268607</t>
  </si>
  <si>
    <t>ENST00000562778</t>
  </si>
  <si>
    <t>ENST00000564638</t>
  </si>
  <si>
    <t>ENST00000564844</t>
  </si>
  <si>
    <t>ENST00000565788</t>
  </si>
  <si>
    <t>ENST00000570189</t>
  </si>
  <si>
    <t>Q9GZR1</t>
  </si>
  <si>
    <t>ENST00000327284</t>
  </si>
  <si>
    <t>ENST00000370010</t>
  </si>
  <si>
    <t>ENST00000424947</t>
  </si>
  <si>
    <t>ENST00000436928</t>
  </si>
  <si>
    <t>ENST00000447266</t>
  </si>
  <si>
    <t>ENST00000474906</t>
  </si>
  <si>
    <t>ENST00000476060</t>
  </si>
  <si>
    <t>ENST00000485497</t>
  </si>
  <si>
    <t>ENST00000487548</t>
  </si>
  <si>
    <t>ENST00000493959</t>
  </si>
  <si>
    <t>ENST00000503501</t>
  </si>
  <si>
    <t>Q9GZR2</t>
  </si>
  <si>
    <t>ENST00000371935</t>
  </si>
  <si>
    <t>ENST00000371942</t>
  </si>
  <si>
    <t>ENST00000445916</t>
  </si>
  <si>
    <t>ENST00000454825</t>
  </si>
  <si>
    <t>ENST00000478037</t>
  </si>
  <si>
    <t>Q9GZR7</t>
  </si>
  <si>
    <t>ENST00000330836</t>
  </si>
  <si>
    <t>ENST00000553400</t>
  </si>
  <si>
    <t>ENST00000553451</t>
  </si>
  <si>
    <t>ENST00000555054</t>
  </si>
  <si>
    <t>ENST00000555324</t>
  </si>
  <si>
    <t>ENST00000555762</t>
  </si>
  <si>
    <t>ENST00000556635</t>
  </si>
  <si>
    <t>Q9GZS3</t>
  </si>
  <si>
    <t>ENST00000267973</t>
  </si>
  <si>
    <t>ENST00000558311</t>
  </si>
  <si>
    <t>ENST00000558412</t>
  </si>
  <si>
    <t>ENST00000558459</t>
  </si>
  <si>
    <t>ENST00000559332</t>
  </si>
  <si>
    <t>ENST00000559700</t>
  </si>
  <si>
    <t>ENST00000559848</t>
  </si>
  <si>
    <t>ENST00000559940</t>
  </si>
  <si>
    <t>ENST00000560063</t>
  </si>
  <si>
    <t>ENST00000560569</t>
  </si>
  <si>
    <t>ENST00000560610</t>
  </si>
  <si>
    <t>ENST00000560807</t>
  </si>
  <si>
    <t>ENST00000560946</t>
  </si>
  <si>
    <t>ENST00000561347</t>
  </si>
  <si>
    <t>Q9GZT9</t>
  </si>
  <si>
    <t>ENST00000366641</t>
  </si>
  <si>
    <t>Q9GZU8</t>
  </si>
  <si>
    <t>ENST00000309137</t>
  </si>
  <si>
    <t>ENST00000389447</t>
  </si>
  <si>
    <t>ENST00000562324</t>
  </si>
  <si>
    <t>ENST00000562400</t>
  </si>
  <si>
    <t>ENST00000564108</t>
  </si>
  <si>
    <t>ENST00000564424</t>
  </si>
  <si>
    <t>ENST00000565353</t>
  </si>
  <si>
    <t>ENST00000565458</t>
  </si>
  <si>
    <t>ENST00000565956</t>
  </si>
  <si>
    <t>ENST00000566403</t>
  </si>
  <si>
    <t>ENST00000567439</t>
  </si>
  <si>
    <t>ENST00000569266</t>
  </si>
  <si>
    <t>Q9GZX9</t>
  </si>
  <si>
    <t>ENST00000262120</t>
  </si>
  <si>
    <t>ENST00000581641</t>
  </si>
  <si>
    <t>ENST00000583147</t>
  </si>
  <si>
    <t>Q9GZY4</t>
  </si>
  <si>
    <t>ENST00000223336</t>
  </si>
  <si>
    <t>ENST00000310564</t>
  </si>
  <si>
    <t>ENST00000395879</t>
  </si>
  <si>
    <t>ENST00000415798</t>
  </si>
  <si>
    <t>ENST00000418140</t>
  </si>
  <si>
    <t>ENST00000420441</t>
  </si>
  <si>
    <t>ENST00000431651</t>
  </si>
  <si>
    <t>ENST00000438444</t>
  </si>
  <si>
    <t>ENST00000448704</t>
  </si>
  <si>
    <t>ENST00000451651</t>
  </si>
  <si>
    <t>ENST00000457939</t>
  </si>
  <si>
    <t>ENST00000459713</t>
  </si>
  <si>
    <t>ENST00000470156</t>
  </si>
  <si>
    <t>ENST00000488813</t>
  </si>
  <si>
    <t>ENST00000490251</t>
  </si>
  <si>
    <t>Q9GZZ1</t>
  </si>
  <si>
    <t>ENST00000240922</t>
  </si>
  <si>
    <t>ENST00000467022</t>
  </si>
  <si>
    <t>ENST00000481432</t>
  </si>
  <si>
    <t>ENST00000493454</t>
  </si>
  <si>
    <t>ENST00000493900</t>
  </si>
  <si>
    <t>ENST00000497525</t>
  </si>
  <si>
    <t>Q9GZZ9</t>
  </si>
  <si>
    <t>ENST00000356232</t>
  </si>
  <si>
    <t>ENST00000464101</t>
  </si>
  <si>
    <t>ENST00000469158</t>
  </si>
  <si>
    <t>ENST00000489361</t>
  </si>
  <si>
    <t>ENST00000494112</t>
  </si>
  <si>
    <t>ENST00000494238</t>
  </si>
  <si>
    <t>ENST00000505777</t>
  </si>
  <si>
    <t>Q9H000</t>
  </si>
  <si>
    <t>ENST00000170447</t>
  </si>
  <si>
    <t>ENST00000411987</t>
  </si>
  <si>
    <t>Q9H008</t>
  </si>
  <si>
    <t>ENST00000368839</t>
  </si>
  <si>
    <t>ENST00000368842</t>
  </si>
  <si>
    <t>ENST00000392757</t>
  </si>
  <si>
    <t>ENST00000481452</t>
  </si>
  <si>
    <t>ENST00000482963</t>
  </si>
  <si>
    <t>Q9H061</t>
  </si>
  <si>
    <t>ENST00000304511</t>
  </si>
  <si>
    <t>ENST00000525353</t>
  </si>
  <si>
    <t>ENST00000528105</t>
  </si>
  <si>
    <t>ENST00000528531</t>
  </si>
  <si>
    <t>ENST00000531366</t>
  </si>
  <si>
    <t>Q9H063</t>
  </si>
  <si>
    <t>ENST00000322428</t>
  </si>
  <si>
    <t>ENST00000527058</t>
  </si>
  <si>
    <t>ENST00000527572</t>
  </si>
  <si>
    <t>ENST00000532522</t>
  </si>
  <si>
    <t>ENST00000534585</t>
  </si>
  <si>
    <t>ENST00000534811</t>
  </si>
  <si>
    <t>Q9H081</t>
  </si>
  <si>
    <t>ENST00000381165</t>
  </si>
  <si>
    <t>ENST00000573759</t>
  </si>
  <si>
    <t>ENST00000574186</t>
  </si>
  <si>
    <t>ENST00000576570</t>
  </si>
  <si>
    <t>ENST00000576988</t>
  </si>
  <si>
    <t>Q9H082</t>
  </si>
  <si>
    <t>ENST00000305626</t>
  </si>
  <si>
    <t>ENST00000507271</t>
  </si>
  <si>
    <t>Q9H089</t>
  </si>
  <si>
    <t>ENST00000265245</t>
  </si>
  <si>
    <t>ENST00000427461</t>
  </si>
  <si>
    <t>ENST00000437613</t>
  </si>
  <si>
    <t>ENST00000460584</t>
  </si>
  <si>
    <t>ENST00000461343</t>
  </si>
  <si>
    <t>ENST00000466391</t>
  </si>
  <si>
    <t>ENST00000475763</t>
  </si>
  <si>
    <t>Q9H098</t>
  </si>
  <si>
    <t>ENST00000181796</t>
  </si>
  <si>
    <t>ENST00000378458</t>
  </si>
  <si>
    <t>ENST00000378462</t>
  </si>
  <si>
    <t>ENST00000378465</t>
  </si>
  <si>
    <t>ENST00000378467</t>
  </si>
  <si>
    <t>ENST00000378470</t>
  </si>
  <si>
    <t>ENST00000452706</t>
  </si>
  <si>
    <t>ENST00000464952</t>
  </si>
  <si>
    <t>ENST00000468492</t>
  </si>
  <si>
    <t>ENST00000468747</t>
  </si>
  <si>
    <t>ENST00000471815</t>
  </si>
  <si>
    <t>ENST00000472095</t>
  </si>
  <si>
    <t>ENST00000474143</t>
  </si>
  <si>
    <t>ENST00000475858</t>
  </si>
  <si>
    <t>ENST00000478076</t>
  </si>
  <si>
    <t>ENST00000479731</t>
  </si>
  <si>
    <t>ENST00000481209</t>
  </si>
  <si>
    <t>ENST00000482277</t>
  </si>
  <si>
    <t>ENST00000488576</t>
  </si>
  <si>
    <t>ENST00000489100</t>
  </si>
  <si>
    <t>ENST00000491458</t>
  </si>
  <si>
    <t>ENST00000492700</t>
  </si>
  <si>
    <t>ENST00000494865</t>
  </si>
  <si>
    <t>ENST00000496330</t>
  </si>
  <si>
    <t>Q9H0A0</t>
  </si>
  <si>
    <t>ENST00000257829</t>
  </si>
  <si>
    <t>ENST00000527971</t>
  </si>
  <si>
    <t>ENST00000530017</t>
  </si>
  <si>
    <t>ENST00000532503</t>
  </si>
  <si>
    <t>ENST00000532555</t>
  </si>
  <si>
    <t>ENST00000534509</t>
  </si>
  <si>
    <t>Q9H0B6</t>
  </si>
  <si>
    <t>ENST00000316924</t>
  </si>
  <si>
    <t>ENST00000394065</t>
  </si>
  <si>
    <t>ENST00000394067</t>
  </si>
  <si>
    <t>ENST00000417856</t>
  </si>
  <si>
    <t>ENST00000440228</t>
  </si>
  <si>
    <t>ENST00000475757</t>
  </si>
  <si>
    <t>ENST00000483152</t>
  </si>
  <si>
    <t>ENST00000526758</t>
  </si>
  <si>
    <t>ENST00000534023</t>
  </si>
  <si>
    <t>Q9H0C8</t>
  </si>
  <si>
    <t>ENST00000254654</t>
  </si>
  <si>
    <t>ENST00000450411</t>
  </si>
  <si>
    <t>ENST00000457149</t>
  </si>
  <si>
    <t>ENST00000463129</t>
  </si>
  <si>
    <t>ENST00000465131</t>
  </si>
  <si>
    <t>ENST00000466468</t>
  </si>
  <si>
    <t>ENST00000467133</t>
  </si>
  <si>
    <t>ENST00000479400</t>
  </si>
  <si>
    <t>ENST00000498727</t>
  </si>
  <si>
    <t>Q9H0D6</t>
  </si>
  <si>
    <t>ENST00000377191</t>
  </si>
  <si>
    <t>Q9H0E2</t>
  </si>
  <si>
    <t>ENST00000263646</t>
  </si>
  <si>
    <t>ENST00000317204</t>
  </si>
  <si>
    <t>ENST00000527085</t>
  </si>
  <si>
    <t>ENST00000527746</t>
  </si>
  <si>
    <t>ENST00000527886</t>
  </si>
  <si>
    <t>ENST00000527938</t>
  </si>
  <si>
    <t>ENST00000530506</t>
  </si>
  <si>
    <t>ENST00000530541</t>
  </si>
  <si>
    <t>ENST00000530821</t>
  </si>
  <si>
    <t>ENST00000532551</t>
  </si>
  <si>
    <t>Q9H0F6</t>
  </si>
  <si>
    <t>ENST00000359551</t>
  </si>
  <si>
    <t>ENST00000398712</t>
  </si>
  <si>
    <t>ENST00000525275</t>
  </si>
  <si>
    <t>ENST00000530216</t>
  </si>
  <si>
    <t>ENST00000531375</t>
  </si>
  <si>
    <t>ENST00000532536</t>
  </si>
  <si>
    <t>ENST00000533948</t>
  </si>
  <si>
    <t>ENST00000534435</t>
  </si>
  <si>
    <t>Q9H0G5</t>
  </si>
  <si>
    <t>ENST00000247026</t>
  </si>
  <si>
    <t>ENST00000394826</t>
  </si>
  <si>
    <t>ENST00000467446</t>
  </si>
  <si>
    <t>ENST00000475652</t>
  </si>
  <si>
    <t>ENST00000479218</t>
  </si>
  <si>
    <t>ENST00000540900</t>
  </si>
  <si>
    <t>ENST00000580103</t>
  </si>
  <si>
    <t>ENST00000581048</t>
  </si>
  <si>
    <t>ENST00000583301</t>
  </si>
  <si>
    <t>ENST00000584317</t>
  </si>
  <si>
    <t>ENST00000584423</t>
  </si>
  <si>
    <t>ENST00000588614</t>
  </si>
  <si>
    <t>ENST00000589608</t>
  </si>
  <si>
    <t>Q9H0H0</t>
  </si>
  <si>
    <t>ENST00000251334</t>
  </si>
  <si>
    <t>ENST00000444766</t>
  </si>
  <si>
    <t>ENST00000578805</t>
  </si>
  <si>
    <t>ENST00000583076</t>
  </si>
  <si>
    <t>ENST00000583822</t>
  </si>
  <si>
    <t>ENST00000584967</t>
  </si>
  <si>
    <t>Q9H0H5</t>
  </si>
  <si>
    <t>ENST00000312377</t>
  </si>
  <si>
    <t>ENST00000548158</t>
  </si>
  <si>
    <t>ENST00000551016</t>
  </si>
  <si>
    <t>Q9H0J9</t>
  </si>
  <si>
    <t>ENST00000263549</t>
  </si>
  <si>
    <t>ENST00000466597</t>
  </si>
  <si>
    <t>ENST00000467638</t>
  </si>
  <si>
    <t>ENST00000470515</t>
  </si>
  <si>
    <t>ENST00000473341</t>
  </si>
  <si>
    <t>ENST00000488726</t>
  </si>
  <si>
    <t>ENST00000489383</t>
  </si>
  <si>
    <t>ENST00000493262</t>
  </si>
  <si>
    <t>ENST00000496624</t>
  </si>
  <si>
    <t>Q9H0K6</t>
  </si>
  <si>
    <t>ENST00000344862</t>
  </si>
  <si>
    <t>ENST00000416848</t>
  </si>
  <si>
    <t>ENST00000551923</t>
  </si>
  <si>
    <t>ENST00000553166</t>
  </si>
  <si>
    <t>Q9H0L4</t>
  </si>
  <si>
    <t>ENST00000331173</t>
  </si>
  <si>
    <t>Q9H0N5</t>
  </si>
  <si>
    <t>ENST00000254908</t>
  </si>
  <si>
    <t>ENST00000504352</t>
  </si>
  <si>
    <t>ENST00000512783</t>
  </si>
  <si>
    <t>Q9H0Q0</t>
  </si>
  <si>
    <t>ENST00000381323</t>
  </si>
  <si>
    <t>ENST00000469507</t>
  </si>
  <si>
    <t>Q9H0R1</t>
  </si>
  <si>
    <t>ENST00000261558</t>
  </si>
  <si>
    <t>ENST00000431972</t>
  </si>
  <si>
    <t>ENST00000554213</t>
  </si>
  <si>
    <t>ENST00000554863</t>
  </si>
  <si>
    <t>ENST00000554931</t>
  </si>
  <si>
    <t>ENST00000555448</t>
  </si>
  <si>
    <t>ENST00000556723</t>
  </si>
  <si>
    <t>ENST00000556995</t>
  </si>
  <si>
    <t>Q9H0R3</t>
  </si>
  <si>
    <t>ENST00000374076</t>
  </si>
  <si>
    <t>ENST00000464720</t>
  </si>
  <si>
    <t>ENST00000464813</t>
  </si>
  <si>
    <t>ENST00000470223</t>
  </si>
  <si>
    <t>ENST00000471456</t>
  </si>
  <si>
    <t>ENST00000478104</t>
  </si>
  <si>
    <t>ENST00000486082</t>
  </si>
  <si>
    <t>ENST00000608611</t>
  </si>
  <si>
    <t>Q9H0R4</t>
  </si>
  <si>
    <t>ENST00000300605</t>
  </si>
  <si>
    <t>ENST00000588183</t>
  </si>
  <si>
    <t>ENST00000588861</t>
  </si>
  <si>
    <t>ENST00000588940</t>
  </si>
  <si>
    <t>ENST00000590481</t>
  </si>
  <si>
    <t>ENST00000590815</t>
  </si>
  <si>
    <t>ENST00000591671</t>
  </si>
  <si>
    <t>Q9H0R6</t>
  </si>
  <si>
    <t>ENST00000369044</t>
  </si>
  <si>
    <t>ENST00000369046</t>
  </si>
  <si>
    <t>Q9H0S4</t>
  </si>
  <si>
    <t>ENST00000352940</t>
  </si>
  <si>
    <t>ENST00000358007</t>
  </si>
  <si>
    <t>ENST00000392155</t>
  </si>
  <si>
    <t>ENST00000426619</t>
  </si>
  <si>
    <t>ENST00000535722</t>
  </si>
  <si>
    <t>ENST00000541537</t>
  </si>
  <si>
    <t>ENST00000544032</t>
  </si>
  <si>
    <t>ENST00000544497</t>
  </si>
  <si>
    <t>ENST00000545038</t>
  </si>
  <si>
    <t>Q9H0U3</t>
  </si>
  <si>
    <t>ENST00000358075</t>
  </si>
  <si>
    <t>ENST00000373336</t>
  </si>
  <si>
    <t>ENST00000476168</t>
  </si>
  <si>
    <t>Q9H0U4</t>
  </si>
  <si>
    <t>Q9H0U6</t>
  </si>
  <si>
    <t>ENST00000367034</t>
  </si>
  <si>
    <t>ENST00000476826</t>
  </si>
  <si>
    <t>ENST00000479638</t>
  </si>
  <si>
    <t>ENST00000480842</t>
  </si>
  <si>
    <t>Q9H0U9</t>
  </si>
  <si>
    <t>ENST00000368608</t>
  </si>
  <si>
    <t>Q9H0V9</t>
  </si>
  <si>
    <t>ENST00000264963</t>
  </si>
  <si>
    <t>ENST00000434524</t>
  </si>
  <si>
    <t>ENST00000474494</t>
  </si>
  <si>
    <t>ENST00000480869</t>
  </si>
  <si>
    <t>Q9H0W8</t>
  </si>
  <si>
    <t>ENST00000270066</t>
  </si>
  <si>
    <t>ENST00000594081</t>
  </si>
  <si>
    <t>ENST00000595700</t>
  </si>
  <si>
    <t>ENST00000597598</t>
  </si>
  <si>
    <t>ENST00000598860</t>
  </si>
  <si>
    <t>ENST00000598886</t>
  </si>
  <si>
    <t>ENST00000600097</t>
  </si>
  <si>
    <t>ENST00000601170</t>
  </si>
  <si>
    <t>Q9H116</t>
  </si>
  <si>
    <t>ENST00000338121</t>
  </si>
  <si>
    <t>ENST00000377051</t>
  </si>
  <si>
    <t>ENST00000461789</t>
  </si>
  <si>
    <t>ENST00000477239</t>
  </si>
  <si>
    <t>Q9H147</t>
  </si>
  <si>
    <t>ENST00000372622</t>
  </si>
  <si>
    <t>ENST00000415790</t>
  </si>
  <si>
    <t>ENST00000449078</t>
  </si>
  <si>
    <t>ENST00000456939</t>
  </si>
  <si>
    <t>ENST00000467701</t>
  </si>
  <si>
    <t>Q9H1A4</t>
  </si>
  <si>
    <t>ENST00000341068</t>
  </si>
  <si>
    <t>ENST00000427997</t>
  </si>
  <si>
    <t>ENST00000462785</t>
  </si>
  <si>
    <t>ENST00000464695</t>
  </si>
  <si>
    <t>ENST00000467878</t>
  </si>
  <si>
    <t>ENST00000482177</t>
  </si>
  <si>
    <t>ENST00000485325</t>
  </si>
  <si>
    <t>ENST00000489177</t>
  </si>
  <si>
    <t>Q9H1B7</t>
  </si>
  <si>
    <t>ENST00000238647</t>
  </si>
  <si>
    <t>Q9H1D9</t>
  </si>
  <si>
    <t>ENST00000377603</t>
  </si>
  <si>
    <t>ENST00000461589</t>
  </si>
  <si>
    <t>ENST00000462997</t>
  </si>
  <si>
    <t>ENST00000475192</t>
  </si>
  <si>
    <t>ENST00000489753</t>
  </si>
  <si>
    <t>Q9H1E3</t>
  </si>
  <si>
    <t>ENST00000367142</t>
  </si>
  <si>
    <t>ENST00000464938</t>
  </si>
  <si>
    <t>Q9H1E5</t>
  </si>
  <si>
    <t>ENST00000246024</t>
  </si>
  <si>
    <t>ENST00000527925</t>
  </si>
  <si>
    <t>Q9H1I8</t>
  </si>
  <si>
    <t>ENST00000307790</t>
  </si>
  <si>
    <t>ENST00000397771</t>
  </si>
  <si>
    <t>ENST00000411532</t>
  </si>
  <si>
    <t>ENST00000412689</t>
  </si>
  <si>
    <t>ENST00000431535</t>
  </si>
  <si>
    <t>ENST00000454854</t>
  </si>
  <si>
    <t>ENST00000458594</t>
  </si>
  <si>
    <t>ENST00000460313</t>
  </si>
  <si>
    <t>ENST00000462454</t>
  </si>
  <si>
    <t>ENST00000463203</t>
  </si>
  <si>
    <t>ENST00000465667</t>
  </si>
  <si>
    <t>ENST00000472433</t>
  </si>
  <si>
    <t>ENST00000477074</t>
  </si>
  <si>
    <t>ENST00000478812</t>
  </si>
  <si>
    <t>ENST00000483380</t>
  </si>
  <si>
    <t>ENST00000487486</t>
  </si>
  <si>
    <t>ENST00000495967</t>
  </si>
  <si>
    <t>ENST00000542393</t>
  </si>
  <si>
    <t>Q9H1J1</t>
  </si>
  <si>
    <t>ENST00000351487</t>
  </si>
  <si>
    <t>ENST00000375299</t>
  </si>
  <si>
    <t>ENST00000474056</t>
  </si>
  <si>
    <t>ENST00000475218</t>
  </si>
  <si>
    <t>ENST00000479712</t>
  </si>
  <si>
    <t>ENST00000480362</t>
  </si>
  <si>
    <t>ENST00000481131</t>
  </si>
  <si>
    <t>ENST00000492270</t>
  </si>
  <si>
    <t>ENST00000493727</t>
  </si>
  <si>
    <t>Q9H1K0</t>
  </si>
  <si>
    <t>ENST00000253699</t>
  </si>
  <si>
    <t>ENST00000441057</t>
  </si>
  <si>
    <t>ENST00000449050</t>
  </si>
  <si>
    <t>ENST00000463214</t>
  </si>
  <si>
    <t>ENST00000476527</t>
  </si>
  <si>
    <t>ENST00000483098</t>
  </si>
  <si>
    <t>ENST00000507357</t>
  </si>
  <si>
    <t>Q9H1K1</t>
  </si>
  <si>
    <t>ENST00000311893</t>
  </si>
  <si>
    <t>ENST00000392807</t>
  </si>
  <si>
    <t>ENST00000431221</t>
  </si>
  <si>
    <t>ENST00000535405</t>
  </si>
  <si>
    <t>ENST00000535729</t>
  </si>
  <si>
    <t>ENST00000539580</t>
  </si>
  <si>
    <t>ENST00000539593</t>
  </si>
  <si>
    <t>ENST00000544493</t>
  </si>
  <si>
    <t>ENST00000545932</t>
  </si>
  <si>
    <t>ENST00000547005</t>
  </si>
  <si>
    <t>ENST00000552072</t>
  </si>
  <si>
    <t>Q9H1K6</t>
  </si>
  <si>
    <t>ENST00000267984</t>
  </si>
  <si>
    <t>Q9H1Y0</t>
  </si>
  <si>
    <t>ENST00000369070</t>
  </si>
  <si>
    <t>ENST00000369076</t>
  </si>
  <si>
    <t>ENST00000475645</t>
  </si>
  <si>
    <t>ENST00000476518</t>
  </si>
  <si>
    <t>Q9H204</t>
  </si>
  <si>
    <t>ENST00000237380</t>
  </si>
  <si>
    <t>ENST00000503945</t>
  </si>
  <si>
    <t>ENST00000506409</t>
  </si>
  <si>
    <t>Q9H223</t>
  </si>
  <si>
    <t>ENST00000220325</t>
  </si>
  <si>
    <t>ENST00000569223</t>
  </si>
  <si>
    <t>Q9H267</t>
  </si>
  <si>
    <t>ENST00000333371</t>
  </si>
  <si>
    <t>ENST00000554660</t>
  </si>
  <si>
    <t>ENST00000556096</t>
  </si>
  <si>
    <t>ENST00000557358</t>
  </si>
  <si>
    <t>Q9H269</t>
  </si>
  <si>
    <t>ENST00000380443</t>
  </si>
  <si>
    <t>ENST00000380445</t>
  </si>
  <si>
    <t>ENST00000417508</t>
  </si>
  <si>
    <t>ENST00000466415</t>
  </si>
  <si>
    <t>ENST00000487461</t>
  </si>
  <si>
    <t>Q9H270</t>
  </si>
  <si>
    <t>ENST00000524454</t>
  </si>
  <si>
    <t>ENST00000526829</t>
  </si>
  <si>
    <t>ENST00000529545</t>
  </si>
  <si>
    <t>ENST00000530809</t>
  </si>
  <si>
    <t>ENST00000534551</t>
  </si>
  <si>
    <t>Q9H299</t>
  </si>
  <si>
    <t>ENST00000270792</t>
  </si>
  <si>
    <t>ENST00000319041</t>
  </si>
  <si>
    <t>Q9H2C0</t>
  </si>
  <si>
    <t>ENST00000568107</t>
  </si>
  <si>
    <t>Q9H2C2</t>
  </si>
  <si>
    <t>ENST00000310256</t>
  </si>
  <si>
    <t>ENST00000435927</t>
  </si>
  <si>
    <t>ENST00000450711</t>
  </si>
  <si>
    <t>ENST00000459891</t>
  </si>
  <si>
    <t>ENST00000480519</t>
  </si>
  <si>
    <t>Q9H2D1</t>
  </si>
  <si>
    <t>ENST00000297578</t>
  </si>
  <si>
    <t>ENST00000521645</t>
  </si>
  <si>
    <t>ENST00000523701</t>
  </si>
  <si>
    <t>Q9H2G4</t>
  </si>
  <si>
    <t>ENST00000375442</t>
  </si>
  <si>
    <t>ENST00000463525</t>
  </si>
  <si>
    <t>ENST00000553557</t>
  </si>
  <si>
    <t>ENST00000556808</t>
  </si>
  <si>
    <t>ENST00000579390</t>
  </si>
  <si>
    <t>Q9H2H8</t>
  </si>
  <si>
    <t>ENST00000286175</t>
  </si>
  <si>
    <t>ENST00000392283</t>
  </si>
  <si>
    <t>ENST00000409361</t>
  </si>
  <si>
    <t>ENST00000409449</t>
  </si>
  <si>
    <t>ENST00000415562</t>
  </si>
  <si>
    <t>ENST00000443398</t>
  </si>
  <si>
    <t>ENST00000457063</t>
  </si>
  <si>
    <t>ENST00000463866</t>
  </si>
  <si>
    <t>ENST00000465823</t>
  </si>
  <si>
    <t>ENST00000470442</t>
  </si>
  <si>
    <t>ENST00000487879</t>
  </si>
  <si>
    <t>ENST00000497263</t>
  </si>
  <si>
    <t>ENST00000497501</t>
  </si>
  <si>
    <t>Q9H2H9</t>
  </si>
  <si>
    <t>ENST00000398637</t>
  </si>
  <si>
    <t>ENST00000439706</t>
  </si>
  <si>
    <t>ENST00000546519</t>
  </si>
  <si>
    <t>ENST00000546893</t>
  </si>
  <si>
    <t>ENST00000548979</t>
  </si>
  <si>
    <t>ENST00000549049</t>
  </si>
  <si>
    <t>ENST00000551506</t>
  </si>
  <si>
    <t>Q9H2J4</t>
  </si>
  <si>
    <t>ENST00000264254</t>
  </si>
  <si>
    <t>ENST00000416255</t>
  </si>
  <si>
    <t>ENST00000450127</t>
  </si>
  <si>
    <t>Q9H2K0</t>
  </si>
  <si>
    <t>ENST00000381120</t>
  </si>
  <si>
    <t>ENST00000405591</t>
  </si>
  <si>
    <t>ENST00000460973</t>
  </si>
  <si>
    <t>ENST00000461838</t>
  </si>
  <si>
    <t>ENST00000464753</t>
  </si>
  <si>
    <t>ENST00000471771</t>
  </si>
  <si>
    <t>ENST00000483903</t>
  </si>
  <si>
    <t>ENST00000484342</t>
  </si>
  <si>
    <t>ENST00000485650</t>
  </si>
  <si>
    <t>ENST00000493719</t>
  </si>
  <si>
    <t>Q9H2K2</t>
  </si>
  <si>
    <t>ENST00000371627</t>
  </si>
  <si>
    <t>Q9H2K8</t>
  </si>
  <si>
    <t>ENST00000392533</t>
  </si>
  <si>
    <t>ENST00000419821</t>
  </si>
  <si>
    <t>ENST00000536584</t>
  </si>
  <si>
    <t>ENST00000536979</t>
  </si>
  <si>
    <t>ENST00000537569</t>
  </si>
  <si>
    <t>ENST00000537952</t>
  </si>
  <si>
    <t>ENST00000541786</t>
  </si>
  <si>
    <t>ENST00000541878</t>
  </si>
  <si>
    <t>ENST00000542692</t>
  </si>
  <si>
    <t>ENST00000542902</t>
  </si>
  <si>
    <t>Q9H2M9</t>
  </si>
  <si>
    <t>ENST00000237724</t>
  </si>
  <si>
    <t>ENST00000358951</t>
  </si>
  <si>
    <t>ENST00000462353</t>
  </si>
  <si>
    <t>ENST00000474966</t>
  </si>
  <si>
    <t>ENST00000478976</t>
  </si>
  <si>
    <t>ENST00000491005</t>
  </si>
  <si>
    <t>ENST00000491305</t>
  </si>
  <si>
    <t>Q9H2P0</t>
  </si>
  <si>
    <t>ENST00000349014</t>
  </si>
  <si>
    <t>ENST00000371602</t>
  </si>
  <si>
    <t>ENST00000396029</t>
  </si>
  <si>
    <t>ENST00000396032</t>
  </si>
  <si>
    <t>ENST00000534467</t>
  </si>
  <si>
    <t>Q9H2U2</t>
  </si>
  <si>
    <t>ENST00000341695</t>
  </si>
  <si>
    <t>ENST00000348706</t>
  </si>
  <si>
    <t>ENST00000351450</t>
  </si>
  <si>
    <t>ENST00000499847</t>
  </si>
  <si>
    <t>ENST00000502596</t>
  </si>
  <si>
    <t>ENST00000502610</t>
  </si>
  <si>
    <t>ENST00000502833</t>
  </si>
  <si>
    <t>ENST00000505713</t>
  </si>
  <si>
    <t>ENST00000506815</t>
  </si>
  <si>
    <t>ENST00000509031</t>
  </si>
  <si>
    <t>ENST00000509426</t>
  </si>
  <si>
    <t>ENST00000513605</t>
  </si>
  <si>
    <t>ENST00000514209</t>
  </si>
  <si>
    <t>Q9H2W6</t>
  </si>
  <si>
    <t>ENST00000312475</t>
  </si>
  <si>
    <t>ENST00000558531</t>
  </si>
  <si>
    <t>ENST00000558660</t>
  </si>
  <si>
    <t>ENST00000560703</t>
  </si>
  <si>
    <t>Q9H2Y7</t>
  </si>
  <si>
    <t>ENST00000263805</t>
  </si>
  <si>
    <t>ENST00000564754</t>
  </si>
  <si>
    <t>ENST00000565380</t>
  </si>
  <si>
    <t>ENST00000565500</t>
  </si>
  <si>
    <t>ENST00000567772</t>
  </si>
  <si>
    <t>ENST00000568906</t>
  </si>
  <si>
    <t>Q9H300</t>
  </si>
  <si>
    <t>ENST00000311101</t>
  </si>
  <si>
    <t>ENST00000317096</t>
  </si>
  <si>
    <t>ENST00000417784</t>
  </si>
  <si>
    <t>ENST00000418450</t>
  </si>
  <si>
    <t>ENST00000421484</t>
  </si>
  <si>
    <t>ENST00000435888</t>
  </si>
  <si>
    <t>ENST00000450375</t>
  </si>
  <si>
    <t>ENST00000469056</t>
  </si>
  <si>
    <t>ENST00000488202</t>
  </si>
  <si>
    <t>Q9H307</t>
  </si>
  <si>
    <t>ENST00000216832</t>
  </si>
  <si>
    <t>ENST00000553331</t>
  </si>
  <si>
    <t>ENST00000554117</t>
  </si>
  <si>
    <t>ENST00000554902</t>
  </si>
  <si>
    <t>ENST00000556530</t>
  </si>
  <si>
    <t>Q9H3G5</t>
  </si>
  <si>
    <t>ENST00000409850</t>
  </si>
  <si>
    <t>Q9H3H3</t>
  </si>
  <si>
    <t>ENST00000438576</t>
  </si>
  <si>
    <t>ENST00000449692</t>
  </si>
  <si>
    <t>ENST00000530188</t>
  </si>
  <si>
    <t>Q9H3K2</t>
  </si>
  <si>
    <t>ENST00000372134</t>
  </si>
  <si>
    <t>Q9H3K6</t>
  </si>
  <si>
    <t>ENST00000305321</t>
  </si>
  <si>
    <t>ENST00000565525</t>
  </si>
  <si>
    <t>ENST00000567436</t>
  </si>
  <si>
    <t>ENST00000569282</t>
  </si>
  <si>
    <t>Q9H3L0</t>
  </si>
  <si>
    <t>ENST00000303319</t>
  </si>
  <si>
    <t>ENST00000422782</t>
  </si>
  <si>
    <t>ENST00000428879</t>
  </si>
  <si>
    <t>ENST00000460311</t>
  </si>
  <si>
    <t>Q9H3M7</t>
  </si>
  <si>
    <t>ENST00000425134</t>
  </si>
  <si>
    <t>ENST00000486597</t>
  </si>
  <si>
    <t>ENST00000488537</t>
  </si>
  <si>
    <t>Q9H3N1</t>
  </si>
  <si>
    <t>ENST00000457354</t>
  </si>
  <si>
    <t>ENST00000555574</t>
  </si>
  <si>
    <t>ENST00000556683</t>
  </si>
  <si>
    <t>Q9H3P2</t>
  </si>
  <si>
    <t>ENST00000382882</t>
  </si>
  <si>
    <t>ENST00000411638</t>
  </si>
  <si>
    <t>ENST00000416258</t>
  </si>
  <si>
    <t>ENST00000431323</t>
  </si>
  <si>
    <t>ENST00000453740</t>
  </si>
  <si>
    <t>ENST00000458616</t>
  </si>
  <si>
    <t>ENST00000463820</t>
  </si>
  <si>
    <t>ENST00000467661</t>
  </si>
  <si>
    <t>ENST00000484545</t>
  </si>
  <si>
    <t>ENST00000488452</t>
  </si>
  <si>
    <t>Q9H3P7</t>
  </si>
  <si>
    <t>ENST00000366812</t>
  </si>
  <si>
    <t>ENST00000464927</t>
  </si>
  <si>
    <t>Q9H3S4</t>
  </si>
  <si>
    <t>ENST00000360057</t>
  </si>
  <si>
    <t>ENST00000378099</t>
  </si>
  <si>
    <t>ENST00000482940</t>
  </si>
  <si>
    <t>ENST00000538212</t>
  </si>
  <si>
    <t>ENST00000548460</t>
  </si>
  <si>
    <t>ENST00000548831</t>
  </si>
  <si>
    <t>Q9H3S7</t>
  </si>
  <si>
    <t>ENST00000265562</t>
  </si>
  <si>
    <t>ENST00000456221</t>
  </si>
  <si>
    <t>ENST00000462998</t>
  </si>
  <si>
    <t>ENST00000477276</t>
  </si>
  <si>
    <t>ENST00000495653</t>
  </si>
  <si>
    <t>Q9H3Y8</t>
  </si>
  <si>
    <t>ENST00000370177</t>
  </si>
  <si>
    <t>ENST00000370179</t>
  </si>
  <si>
    <t>ENST00000464438</t>
  </si>
  <si>
    <t>ENST00000473620</t>
  </si>
  <si>
    <t>Q9H3Z4</t>
  </si>
  <si>
    <t>ENST00000360864</t>
  </si>
  <si>
    <t>ENST00000470551</t>
  </si>
  <si>
    <t>Q9H400</t>
  </si>
  <si>
    <t>ENST00000309546</t>
  </si>
  <si>
    <t>ENST00000444951</t>
  </si>
  <si>
    <t>ENST00000465591</t>
  </si>
  <si>
    <t>ENST00000480139</t>
  </si>
  <si>
    <t>ENST00000487026</t>
  </si>
  <si>
    <t>ENST00000493265</t>
  </si>
  <si>
    <t>Q9H410</t>
  </si>
  <si>
    <t>ENST00000373750</t>
  </si>
  <si>
    <t>ENST00000426836</t>
  </si>
  <si>
    <t>ENST00000447406</t>
  </si>
  <si>
    <t>ENST00000480153</t>
  </si>
  <si>
    <t>Q9H425</t>
  </si>
  <si>
    <t>ENST00000366663</t>
  </si>
  <si>
    <t>ENST00000519360</t>
  </si>
  <si>
    <t>Q9H444</t>
  </si>
  <si>
    <t>ENST00000217402</t>
  </si>
  <si>
    <t>Q9H467</t>
  </si>
  <si>
    <t>ENST00000369937</t>
  </si>
  <si>
    <t>ENST00000465409</t>
  </si>
  <si>
    <t>ENST00000477994</t>
  </si>
  <si>
    <t>Q9H469</t>
  </si>
  <si>
    <t>ENST00000224862</t>
  </si>
  <si>
    <t>ENST00000369956</t>
  </si>
  <si>
    <t>Q9H479</t>
  </si>
  <si>
    <t>ENST00000300784</t>
  </si>
  <si>
    <t>ENST00000570734</t>
  </si>
  <si>
    <t>ENST00000573841</t>
  </si>
  <si>
    <t>ENST00000574496</t>
  </si>
  <si>
    <t>Q9H488</t>
  </si>
  <si>
    <t>ENST00000375730</t>
  </si>
  <si>
    <t>ENST00000375749</t>
  </si>
  <si>
    <t>ENST00000465791</t>
  </si>
  <si>
    <t>ENST00000486717</t>
  </si>
  <si>
    <t>Q9H497</t>
  </si>
  <si>
    <t>ENST00000367627</t>
  </si>
  <si>
    <t>ENST00000447595</t>
  </si>
  <si>
    <t>ENST00000472001</t>
  </si>
  <si>
    <t>ENST00000483887</t>
  </si>
  <si>
    <t>ENST00000495145</t>
  </si>
  <si>
    <t>Q9H4A4</t>
  </si>
  <si>
    <t>ENST00000295640</t>
  </si>
  <si>
    <t>ENST00000464707</t>
  </si>
  <si>
    <t>ENST00000471105</t>
  </si>
  <si>
    <t>ENST00000479531</t>
  </si>
  <si>
    <t>Q9H4A5</t>
  </si>
  <si>
    <t>ENST00000271732</t>
  </si>
  <si>
    <t>ENST00000427665</t>
  </si>
  <si>
    <t>ENST00000479757</t>
  </si>
  <si>
    <t>Q9H4A6</t>
  </si>
  <si>
    <t>ENST00000265070</t>
  </si>
  <si>
    <t>ENST00000503610</t>
  </si>
  <si>
    <t>ENST00000512668</t>
  </si>
  <si>
    <t>Q9H4B0</t>
  </si>
  <si>
    <t>ENST00000264151</t>
  </si>
  <si>
    <t>ENST00000518114</t>
  </si>
  <si>
    <t>ENST00000519810</t>
  </si>
  <si>
    <t>ENST00000521630</t>
  </si>
  <si>
    <t>ENST00000522700</t>
  </si>
  <si>
    <t>ENST00000524043</t>
  </si>
  <si>
    <t>Q9H4B7</t>
  </si>
  <si>
    <t>ENST00000217133</t>
  </si>
  <si>
    <t>Q9H4E7</t>
  </si>
  <si>
    <t>ENST00000316637</t>
  </si>
  <si>
    <t>ENST00000444278</t>
  </si>
  <si>
    <t>ENST00000468102</t>
  </si>
  <si>
    <t>Q9H4G4</t>
  </si>
  <si>
    <t>ENST00000377959</t>
  </si>
  <si>
    <t>ENST00000377960</t>
  </si>
  <si>
    <t>ENST00000396613</t>
  </si>
  <si>
    <t>Q9H4I2</t>
  </si>
  <si>
    <t>ENST00000309060</t>
  </si>
  <si>
    <t>ENST00000421422</t>
  </si>
  <si>
    <t>Q9H4I3</t>
  </si>
  <si>
    <t>ENST00000303434</t>
  </si>
  <si>
    <t>ENST00000380909</t>
  </si>
  <si>
    <t>ENST00000395827</t>
  </si>
  <si>
    <t>ENST00000395829</t>
  </si>
  <si>
    <t>ENST00000463233</t>
  </si>
  <si>
    <t>ENST00000472677</t>
  </si>
  <si>
    <t>Q9H4L4</t>
  </si>
  <si>
    <t>ENST00000321337</t>
  </si>
  <si>
    <t>ENST00000580231</t>
  </si>
  <si>
    <t>ENST00000580997</t>
  </si>
  <si>
    <t>ENST00000581010</t>
  </si>
  <si>
    <t>ENST00000582789</t>
  </si>
  <si>
    <t>ENST00000583277</t>
  </si>
  <si>
    <t>Q9H4M9</t>
  </si>
  <si>
    <t>ENST00000320631</t>
  </si>
  <si>
    <t>ENST00000359393</t>
  </si>
  <si>
    <t>ENST00000466015</t>
  </si>
  <si>
    <t>ENST00000484846</t>
  </si>
  <si>
    <t>ENST00000488711</t>
  </si>
  <si>
    <t>ENST00000498472</t>
  </si>
  <si>
    <t>Q9H4Z3</t>
  </si>
  <si>
    <t>ENST00000372409</t>
  </si>
  <si>
    <t>ENST00000479348</t>
  </si>
  <si>
    <t>Q9H553</t>
  </si>
  <si>
    <t>ENST00000238477</t>
  </si>
  <si>
    <t>ENST00000319033</t>
  </si>
  <si>
    <t>ENST00000476832</t>
  </si>
  <si>
    <t>Q9H583</t>
  </si>
  <si>
    <t>ENST00000366579</t>
  </si>
  <si>
    <t>ENST00000366581</t>
  </si>
  <si>
    <t>ENST00000366582</t>
  </si>
  <si>
    <t>ENST00000483073</t>
  </si>
  <si>
    <t>ENST00000490339</t>
  </si>
  <si>
    <t>Q9H5N1</t>
  </si>
  <si>
    <t>ENST00000358201</t>
  </si>
  <si>
    <t>ENST00000561803</t>
  </si>
  <si>
    <t>ENST00000562590</t>
  </si>
  <si>
    <t>ENST00000563577</t>
  </si>
  <si>
    <t>ENST00000564473</t>
  </si>
  <si>
    <t>ENST00000564579</t>
  </si>
  <si>
    <t>ENST00000568703</t>
  </si>
  <si>
    <t>ENST00000570030</t>
  </si>
  <si>
    <t>Q9H5Q4</t>
  </si>
  <si>
    <t>ENST00000366514</t>
  </si>
  <si>
    <t>Q9H5V9</t>
  </si>
  <si>
    <t>ENST00000320339</t>
  </si>
  <si>
    <t>ENST00000469448</t>
  </si>
  <si>
    <t>Q9H5X1</t>
  </si>
  <si>
    <t>ENST00000300030</t>
  </si>
  <si>
    <t>ENST00000380290</t>
  </si>
  <si>
    <t>ENST00000557835</t>
  </si>
  <si>
    <t>ENST00000558779</t>
  </si>
  <si>
    <t>ENST00000559950</t>
  </si>
  <si>
    <t>Q9H5Z1</t>
  </si>
  <si>
    <t>ENST00000252011</t>
  </si>
  <si>
    <t>ENST00000449559</t>
  </si>
  <si>
    <t>ENST00000482619</t>
  </si>
  <si>
    <t>ENST00000484417</t>
  </si>
  <si>
    <t>ENST00000493450</t>
  </si>
  <si>
    <t>Q9H665</t>
  </si>
  <si>
    <t>ENST00000246532</t>
  </si>
  <si>
    <t>ENST00000586140</t>
  </si>
  <si>
    <t>ENST00000587101</t>
  </si>
  <si>
    <t>ENST00000588018</t>
  </si>
  <si>
    <t>ENST00000588992</t>
  </si>
  <si>
    <t>ENST00000589175</t>
  </si>
  <si>
    <t>ENST00000591277</t>
  </si>
  <si>
    <t>ENST00000592537</t>
  </si>
  <si>
    <t>ENST00000592889</t>
  </si>
  <si>
    <t>Q9H668</t>
  </si>
  <si>
    <t>ENST00000224950</t>
  </si>
  <si>
    <t>ENST00000369764</t>
  </si>
  <si>
    <t>ENST00000466828</t>
  </si>
  <si>
    <t>ENST00000472951</t>
  </si>
  <si>
    <t>Q9H6D7</t>
  </si>
  <si>
    <t>ENST00000206474</t>
  </si>
  <si>
    <t>ENST00000342454</t>
  </si>
  <si>
    <t>ENST00000490506</t>
  </si>
  <si>
    <t>ENST00000541587</t>
  </si>
  <si>
    <t>ENST00000553420</t>
  </si>
  <si>
    <t>ENST00000554063</t>
  </si>
  <si>
    <t>ENST00000554349</t>
  </si>
  <si>
    <t>ENST00000554373</t>
  </si>
  <si>
    <t>ENST00000554406</t>
  </si>
  <si>
    <t>ENST00000554516</t>
  </si>
  <si>
    <t>ENST00000554651</t>
  </si>
  <si>
    <t>ENST00000555040</t>
  </si>
  <si>
    <t>ENST00000555367</t>
  </si>
  <si>
    <t>ENST00000555986</t>
  </si>
  <si>
    <t>ENST00000556421</t>
  </si>
  <si>
    <t>Q9H6E4</t>
  </si>
  <si>
    <t>ENST00000255784</t>
  </si>
  <si>
    <t>ENST00000402061</t>
  </si>
  <si>
    <t>Q9H6E5</t>
  </si>
  <si>
    <t>ENST00000308436</t>
  </si>
  <si>
    <t>ENST00000463241</t>
  </si>
  <si>
    <t>ENST00000469480</t>
  </si>
  <si>
    <t>ENST00000476907</t>
  </si>
  <si>
    <t>ENST00000494385</t>
  </si>
  <si>
    <t>Q9H6F5</t>
  </si>
  <si>
    <t>ENST00000227520</t>
  </si>
  <si>
    <t>ENST00000545580</t>
  </si>
  <si>
    <t>Q9H6H4</t>
  </si>
  <si>
    <t>ENST00000306306</t>
  </si>
  <si>
    <t>ENST00000334530</t>
  </si>
  <si>
    <t>ENST00000518664</t>
  </si>
  <si>
    <t>ENST00000519074</t>
  </si>
  <si>
    <t>ENST00000521744</t>
  </si>
  <si>
    <t>ENST00000523293</t>
  </si>
  <si>
    <t>Q9H6K4</t>
  </si>
  <si>
    <t>ENST00000263275</t>
  </si>
  <si>
    <t>ENST00000323060</t>
  </si>
  <si>
    <t>Q9H6R0</t>
  </si>
  <si>
    <t>ENST00000225296</t>
  </si>
  <si>
    <t>ENST00000572490</t>
  </si>
  <si>
    <t>ENST00000574023</t>
  </si>
  <si>
    <t>ENST00000575153</t>
  </si>
  <si>
    <t>Q9H6R7</t>
  </si>
  <si>
    <t>ENST00000295148</t>
  </si>
  <si>
    <t>ENST00000406895</t>
  </si>
  <si>
    <t>Q9H6S0</t>
  </si>
  <si>
    <t>ENST00000161863</t>
  </si>
  <si>
    <t>ENST00000503857</t>
  </si>
  <si>
    <t>ENST00000506333</t>
  </si>
  <si>
    <t>ENST00000507567</t>
  </si>
  <si>
    <t>ENST00000512600</t>
  </si>
  <si>
    <t>ENST00000514720</t>
  </si>
  <si>
    <t>ENST00000515883</t>
  </si>
  <si>
    <t>Q9H6S1</t>
  </si>
  <si>
    <t>ENST00000334100</t>
  </si>
  <si>
    <t>ENST00000414162</t>
  </si>
  <si>
    <t>ENST00000415852</t>
  </si>
  <si>
    <t>ENST00000420543</t>
  </si>
  <si>
    <t>ENST00000462936</t>
  </si>
  <si>
    <t>ENST00000463512</t>
  </si>
  <si>
    <t>ENST00000470234</t>
  </si>
  <si>
    <t>ENST00000476174</t>
  </si>
  <si>
    <t>ENST00000479665</t>
  </si>
  <si>
    <t>ENST00000488978</t>
  </si>
  <si>
    <t>ENST00000492044</t>
  </si>
  <si>
    <t>Q9H6T3</t>
  </si>
  <si>
    <t>ENST00000005386</t>
  </si>
  <si>
    <t>ENST00000380650</t>
  </si>
  <si>
    <t>ENST00000547706</t>
  </si>
  <si>
    <t>ENST00000548211</t>
  </si>
  <si>
    <t>ENST00000548296</t>
  </si>
  <si>
    <t>ENST00000551293</t>
  </si>
  <si>
    <t>Q9H6U8</t>
  </si>
  <si>
    <t>ENST00000398006</t>
  </si>
  <si>
    <t>ENST00000524671</t>
  </si>
  <si>
    <t>ENST00000527212</t>
  </si>
  <si>
    <t>ENST00000527714</t>
  </si>
  <si>
    <t>ENST00000530723</t>
  </si>
  <si>
    <t>ENST00000531154</t>
  </si>
  <si>
    <t>ENST00000532425</t>
  </si>
  <si>
    <t>Q9H6V9</t>
  </si>
  <si>
    <t>ENST00000237822</t>
  </si>
  <si>
    <t>ENST00000381090</t>
  </si>
  <si>
    <t>ENST00000403006</t>
  </si>
  <si>
    <t>ENST00000412261</t>
  </si>
  <si>
    <t>ENST00000541941</t>
  </si>
  <si>
    <t>Q9H6W3</t>
  </si>
  <si>
    <t>ENST00000304061</t>
  </si>
  <si>
    <t>Q9H6Y2</t>
  </si>
  <si>
    <t>ENST00000358337</t>
  </si>
  <si>
    <t>ENST00000504897</t>
  </si>
  <si>
    <t>ENST00000506393</t>
  </si>
  <si>
    <t>ENST00000511232</t>
  </si>
  <si>
    <t>ENST00000520764</t>
  </si>
  <si>
    <t>Q9H6Y7</t>
  </si>
  <si>
    <t>ENST00000262482</t>
  </si>
  <si>
    <t>ENST00000570328</t>
  </si>
  <si>
    <t>ENST00000570492</t>
  </si>
  <si>
    <t>ENST00000571365</t>
  </si>
  <si>
    <t>ENST00000571816</t>
  </si>
  <si>
    <t>ENST00000572382</t>
  </si>
  <si>
    <t>ENST00000572554</t>
  </si>
  <si>
    <t>ENST00000574548</t>
  </si>
  <si>
    <t>ENST00000575111</t>
  </si>
  <si>
    <t>ENST00000575400</t>
  </si>
  <si>
    <t>ENST00000575524</t>
  </si>
  <si>
    <t>ENST00000576229</t>
  </si>
  <si>
    <t>ENST00000576452</t>
  </si>
  <si>
    <t>Q9H6Z4</t>
  </si>
  <si>
    <t>ENST00000034275</t>
  </si>
  <si>
    <t>ENST00000340578</t>
  </si>
  <si>
    <t>ENST00000439268</t>
  </si>
  <si>
    <t>ENST00000586117</t>
  </si>
  <si>
    <t>ENST00000586344</t>
  </si>
  <si>
    <t>ENST00000587159</t>
  </si>
  <si>
    <t>ENST00000587263</t>
  </si>
  <si>
    <t>ENST00000587411</t>
  </si>
  <si>
    <t>ENST00000587463</t>
  </si>
  <si>
    <t>ENST00000587799</t>
  </si>
  <si>
    <t>ENST00000587956</t>
  </si>
  <si>
    <t>ENST00000588010</t>
  </si>
  <si>
    <t>ENST00000591092</t>
  </si>
  <si>
    <t>ENST00000591881</t>
  </si>
  <si>
    <t>ENST00000592133</t>
  </si>
  <si>
    <t>ENST00000592197</t>
  </si>
  <si>
    <t>ENST00000592266</t>
  </si>
  <si>
    <t>ENST00000592621</t>
  </si>
  <si>
    <t>ENST00000592771</t>
  </si>
  <si>
    <t>ENST00000593025</t>
  </si>
  <si>
    <t>Q9H707</t>
  </si>
  <si>
    <t>ENST00000391701</t>
  </si>
  <si>
    <t>ENST00000594473</t>
  </si>
  <si>
    <t>ENST00000596248</t>
  </si>
  <si>
    <t>ENST00000600397</t>
  </si>
  <si>
    <t>Q9H773</t>
  </si>
  <si>
    <t>ENST00000319285</t>
  </si>
  <si>
    <t>ENST00000568434</t>
  </si>
  <si>
    <t>ENST00000568973</t>
  </si>
  <si>
    <t>Q9H792</t>
  </si>
  <si>
    <t>ENST00000312493</t>
  </si>
  <si>
    <t>ENST00000558305</t>
  </si>
  <si>
    <t>ENST00000560854</t>
  </si>
  <si>
    <t>ENST00000569692</t>
  </si>
  <si>
    <t>Q9H7B2</t>
  </si>
  <si>
    <t>ENST00000441448</t>
  </si>
  <si>
    <t>ENST00000607388</t>
  </si>
  <si>
    <t>Q9H7B4</t>
  </si>
  <si>
    <t>ENST00000366516</t>
  </si>
  <si>
    <t>ENST00000391836</t>
  </si>
  <si>
    <t>ENST00000403792</t>
  </si>
  <si>
    <t>ENST00000462422</t>
  </si>
  <si>
    <t>ENST00000470863</t>
  </si>
  <si>
    <t>ENST00000488153</t>
  </si>
  <si>
    <t>ENST00000490107</t>
  </si>
  <si>
    <t>ENST00000492487</t>
  </si>
  <si>
    <t>Q9H7C9</t>
  </si>
  <si>
    <t>ENST00000393427</t>
  </si>
  <si>
    <t>ENST00000526164</t>
  </si>
  <si>
    <t>ENST00000526415</t>
  </si>
  <si>
    <t>ENST00000527134</t>
  </si>
  <si>
    <t>ENST00000531855</t>
  </si>
  <si>
    <t>ENST00000533193</t>
  </si>
  <si>
    <t>Q9H7D0</t>
  </si>
  <si>
    <t>ENST00000276440</t>
  </si>
  <si>
    <t>ENST00000521405</t>
  </si>
  <si>
    <t>Q9H7E9</t>
  </si>
  <si>
    <t>ENST00000331434</t>
  </si>
  <si>
    <t>ENST00000524395</t>
  </si>
  <si>
    <t>ENST00000529593</t>
  </si>
  <si>
    <t>ENST00000530455</t>
  </si>
  <si>
    <t>ENST00000534350</t>
  </si>
  <si>
    <t>Q9H7F0</t>
  </si>
  <si>
    <t>ENST00000429136</t>
  </si>
  <si>
    <t>ENST00000439040</t>
  </si>
  <si>
    <t>ENST00000457986</t>
  </si>
  <si>
    <t>ENST00000461660</t>
  </si>
  <si>
    <t>ENST00000484023</t>
  </si>
  <si>
    <t>ENST00000485194</t>
  </si>
  <si>
    <t>ENST00000492983</t>
  </si>
  <si>
    <t>ENST00000497567</t>
  </si>
  <si>
    <t>Q9H7J1</t>
  </si>
  <si>
    <t>ENST00000452015</t>
  </si>
  <si>
    <t>ENST00000558058</t>
  </si>
  <si>
    <t>ENST00000559314</t>
  </si>
  <si>
    <t>ENST00000561178</t>
  </si>
  <si>
    <t>ENST00000561426</t>
  </si>
  <si>
    <t>ENST00000561437</t>
  </si>
  <si>
    <t>Q9H7L9</t>
  </si>
  <si>
    <t>ENST00000360286</t>
  </si>
  <si>
    <t>ENST00000541280</t>
  </si>
  <si>
    <t>ENST00000541591</t>
  </si>
  <si>
    <t>ENST00000543473</t>
  </si>
  <si>
    <t>Q9H7M9</t>
  </si>
  <si>
    <t>ENST00000394957</t>
  </si>
  <si>
    <t>ENST00000470317</t>
  </si>
  <si>
    <t>ENST00000481568</t>
  </si>
  <si>
    <t>Q9H7N4</t>
  </si>
  <si>
    <t>ENST00000360565</t>
  </si>
  <si>
    <t>ENST00000595242</t>
  </si>
  <si>
    <t>ENST00000598359</t>
  </si>
  <si>
    <t>ENST00000601038</t>
  </si>
  <si>
    <t>Q9H7X3</t>
  </si>
  <si>
    <t>ENST00000330143</t>
  </si>
  <si>
    <t>ENST00000518575</t>
  </si>
  <si>
    <t>ENST00000520333</t>
  </si>
  <si>
    <t>ENST00000521537</t>
  </si>
  <si>
    <t>ENST00000523891</t>
  </si>
  <si>
    <t>Q9H7Z3</t>
  </si>
  <si>
    <t>ENST00000354366</t>
  </si>
  <si>
    <t>ENST00000554464</t>
  </si>
  <si>
    <t>ENST00000555903</t>
  </si>
  <si>
    <t>ENST00000556189</t>
  </si>
  <si>
    <t>ENST00000557106</t>
  </si>
  <si>
    <t>ENST00000557732</t>
  </si>
  <si>
    <t>Q9H7Z6</t>
  </si>
  <si>
    <t>ENST00000219797</t>
  </si>
  <si>
    <t>ENST00000448516</t>
  </si>
  <si>
    <t>ENST00000537402</t>
  </si>
  <si>
    <t>ENST00000538768</t>
  </si>
  <si>
    <t>ENST00000539683</t>
  </si>
  <si>
    <t>ENST00000543774</t>
  </si>
  <si>
    <t>ENST00000573144</t>
  </si>
  <si>
    <t>Q9H7Z7</t>
  </si>
  <si>
    <t>ENST00000338961</t>
  </si>
  <si>
    <t>ENST00000449878</t>
  </si>
  <si>
    <t>ENST00000474124</t>
  </si>
  <si>
    <t>ENST00000476655</t>
  </si>
  <si>
    <t>ENST00000483625</t>
  </si>
  <si>
    <t>ENST00000485510</t>
  </si>
  <si>
    <t>ENST00000493205</t>
  </si>
  <si>
    <t>ENST00000496594</t>
  </si>
  <si>
    <t>Q9H813</t>
  </si>
  <si>
    <t>ENST00000261455</t>
  </si>
  <si>
    <t>ENST00000478166</t>
  </si>
  <si>
    <t>Q9H814</t>
  </si>
  <si>
    <t>ENST00000297540</t>
  </si>
  <si>
    <t>ENST00000505674</t>
  </si>
  <si>
    <t>ENST00000511371</t>
  </si>
  <si>
    <t>ENST00000513813</t>
  </si>
  <si>
    <t>Q9H832</t>
  </si>
  <si>
    <t>ENST00000360943</t>
  </si>
  <si>
    <t>ENST00000504684</t>
  </si>
  <si>
    <t>ENST00000506271</t>
  </si>
  <si>
    <t>ENST00000506498</t>
  </si>
  <si>
    <t>ENST00000511373</t>
  </si>
  <si>
    <t>ENST00000513342</t>
  </si>
  <si>
    <t>ENST00000514948</t>
  </si>
  <si>
    <t>Q9H840</t>
  </si>
  <si>
    <t>ENST00000270257</t>
  </si>
  <si>
    <t>ENST00000391951</t>
  </si>
  <si>
    <t>ENST00000591607</t>
  </si>
  <si>
    <t>ENST00000591747</t>
  </si>
  <si>
    <t>ENST00000592351</t>
  </si>
  <si>
    <t>Q9H845</t>
  </si>
  <si>
    <t>ENST00000308982</t>
  </si>
  <si>
    <t>ENST00000505602</t>
  </si>
  <si>
    <t>ENST00000508971</t>
  </si>
  <si>
    <t>ENST00000511227</t>
  </si>
  <si>
    <t>ENST00000511325</t>
  </si>
  <si>
    <t>ENST00000511526</t>
  </si>
  <si>
    <t>ENST00000512801</t>
  </si>
  <si>
    <t>ENST00000514336</t>
  </si>
  <si>
    <t>ENST00000514643</t>
  </si>
  <si>
    <t>Q9H875</t>
  </si>
  <si>
    <t>ENST00000397912</t>
  </si>
  <si>
    <t>ENST00000462601</t>
  </si>
  <si>
    <t>ENST00000468316</t>
  </si>
  <si>
    <t>ENST00000469763</t>
  </si>
  <si>
    <t>ENST00000477886</t>
  </si>
  <si>
    <t>ENST00000482465</t>
  </si>
  <si>
    <t>ENST00000482549</t>
  </si>
  <si>
    <t>ENST00000496391</t>
  </si>
  <si>
    <t>Q9H8G2</t>
  </si>
  <si>
    <t>ENST00000333916</t>
  </si>
  <si>
    <t>ENST00000483493</t>
  </si>
  <si>
    <t>ENST00000517946</t>
  </si>
  <si>
    <t>Q9H8H0</t>
  </si>
  <si>
    <t>ENST00000253247</t>
  </si>
  <si>
    <t>ENST00000577687</t>
  </si>
  <si>
    <t>ENST00000580914</t>
  </si>
  <si>
    <t>ENST00000581966</t>
  </si>
  <si>
    <t>ENST00000583021</t>
  </si>
  <si>
    <t>ENST00000583108</t>
  </si>
  <si>
    <t>ENST00000584032</t>
  </si>
  <si>
    <t>ENST00000584942</t>
  </si>
  <si>
    <t>Q9H8H2</t>
  </si>
  <si>
    <t>ENST00000372153</t>
  </si>
  <si>
    <t>ENST00000372155</t>
  </si>
  <si>
    <t>ENST00000372159</t>
  </si>
  <si>
    <t>ENST00000480876</t>
  </si>
  <si>
    <t>ENST00000482620</t>
  </si>
  <si>
    <t>Q9H8H3</t>
  </si>
  <si>
    <t>ENST00000548553</t>
  </si>
  <si>
    <t>Q9H8M2</t>
  </si>
  <si>
    <t>ENST00000467963</t>
  </si>
  <si>
    <t>ENST00000475706</t>
  </si>
  <si>
    <t>ENST00000483234</t>
  </si>
  <si>
    <t>ENST00000489093</t>
  </si>
  <si>
    <t>ENST00000489816</t>
  </si>
  <si>
    <t>ENST00000490814</t>
  </si>
  <si>
    <t>ENST00000493082</t>
  </si>
  <si>
    <t>ENST00000494422</t>
  </si>
  <si>
    <t>ENST00000495265</t>
  </si>
  <si>
    <t>ENST00000495794</t>
  </si>
  <si>
    <t>ENST00000497410</t>
  </si>
  <si>
    <t>ENST00000518251</t>
  </si>
  <si>
    <t>ENST00000519112</t>
  </si>
  <si>
    <t>ENST00000523139</t>
  </si>
  <si>
    <t>Q9H8S9</t>
  </si>
  <si>
    <t>ENST00000396049</t>
  </si>
  <si>
    <t>ENST00000463975</t>
  </si>
  <si>
    <t>ENST00000488006</t>
  </si>
  <si>
    <t>ENST00000494600</t>
  </si>
  <si>
    <t>ENST00000495286</t>
  </si>
  <si>
    <t>ENST00000497054</t>
  </si>
  <si>
    <t>Q9H8T0</t>
  </si>
  <si>
    <t>ENST00000394657</t>
  </si>
  <si>
    <t>ENST00000561799</t>
  </si>
  <si>
    <t>ENST00000563108</t>
  </si>
  <si>
    <t>ENST00000565431</t>
  </si>
  <si>
    <t>ENST00000566045</t>
  </si>
  <si>
    <t>ENST00000568022</t>
  </si>
  <si>
    <t>ENST00000568596</t>
  </si>
  <si>
    <t>ENST00000570004</t>
  </si>
  <si>
    <t>ENST00000571523</t>
  </si>
  <si>
    <t>Q9H8W4</t>
  </si>
  <si>
    <t>ENST00000315367</t>
  </si>
  <si>
    <t>Q9H8Y5</t>
  </si>
  <si>
    <t>ENST00000323348</t>
  </si>
  <si>
    <t>ENST00000409849</t>
  </si>
  <si>
    <t>ENST00000416565</t>
  </si>
  <si>
    <t>ENST00000435521</t>
  </si>
  <si>
    <t>ENST00000436226</t>
  </si>
  <si>
    <t>ENST00000447157</t>
  </si>
  <si>
    <t>ENST00000460966</t>
  </si>
  <si>
    <t>ENST00000463792</t>
  </si>
  <si>
    <t>ENST00000464763</t>
  </si>
  <si>
    <t>ENST00000465550</t>
  </si>
  <si>
    <t>ENST00000467884</t>
  </si>
  <si>
    <t>ENST00000468387</t>
  </si>
  <si>
    <t>ENST00000475202</t>
  </si>
  <si>
    <t>ENST00000477479</t>
  </si>
  <si>
    <t>ENST00000483188</t>
  </si>
  <si>
    <t>ENST00000489580</t>
  </si>
  <si>
    <t>ENST00000490526</t>
  </si>
  <si>
    <t>ENST00000491181</t>
  </si>
  <si>
    <t>ENST00000493563</t>
  </si>
  <si>
    <t>ENST00000494886</t>
  </si>
  <si>
    <t>ENST00000496346</t>
  </si>
  <si>
    <t>Q9H8Y8</t>
  </si>
  <si>
    <t>ENST00000234160</t>
  </si>
  <si>
    <t>ENST00000444801</t>
  </si>
  <si>
    <t>ENST00000454751</t>
  </si>
  <si>
    <t>ENST00000486498</t>
  </si>
  <si>
    <t>ENST00000488928</t>
  </si>
  <si>
    <t>ENST00000493692</t>
  </si>
  <si>
    <t>ENST00000497674</t>
  </si>
  <si>
    <t>ENST00000497928</t>
  </si>
  <si>
    <t>Q9H900</t>
  </si>
  <si>
    <t>ENST00000307897</t>
  </si>
  <si>
    <t>ENST00000561583</t>
  </si>
  <si>
    <t>ENST00000562645</t>
  </si>
  <si>
    <t>ENST00000564179</t>
  </si>
  <si>
    <t>ENST00000569489</t>
  </si>
  <si>
    <t>Q9H910</t>
  </si>
  <si>
    <t>ENST00000248098</t>
  </si>
  <si>
    <t>ENST00000561516</t>
  </si>
  <si>
    <t>ENST00000562684</t>
  </si>
  <si>
    <t>ENST00000565851</t>
  </si>
  <si>
    <t>ENST00000566691</t>
  </si>
  <si>
    <t>ENST00000566925</t>
  </si>
  <si>
    <t>ENST00000567717</t>
  </si>
  <si>
    <t>ENST00000569765</t>
  </si>
  <si>
    <t>Q9H930</t>
  </si>
  <si>
    <t>ENST00000243810</t>
  </si>
  <si>
    <t>ENST00000396563</t>
  </si>
  <si>
    <t>ENST00000415673</t>
  </si>
  <si>
    <t>ENST00000444636</t>
  </si>
  <si>
    <t>ENST00000458341</t>
  </si>
  <si>
    <t>ENST00000462156</t>
  </si>
  <si>
    <t>ENST00000466656</t>
  </si>
  <si>
    <t>ENST00000483728</t>
  </si>
  <si>
    <t>ENST00000496870</t>
  </si>
  <si>
    <t>ENST00000497212</t>
  </si>
  <si>
    <t>Q9H936</t>
  </si>
  <si>
    <t>ENST00000320230</t>
  </si>
  <si>
    <t>ENST00000524891</t>
  </si>
  <si>
    <t>ENST00000527127</t>
  </si>
  <si>
    <t>ENST00000529351</t>
  </si>
  <si>
    <t>ENST00000531514</t>
  </si>
  <si>
    <t>ENST00000531534</t>
  </si>
  <si>
    <t>ENST00000532361</t>
  </si>
  <si>
    <t>ENST00000532459</t>
  </si>
  <si>
    <t>ENST00000533385</t>
  </si>
  <si>
    <t>Q9H939</t>
  </si>
  <si>
    <t>ENST00000409746</t>
  </si>
  <si>
    <t>ENST00000587042</t>
  </si>
  <si>
    <t>ENST00000591729</t>
  </si>
  <si>
    <t>ENST00000593086</t>
  </si>
  <si>
    <t>Q9H944</t>
  </si>
  <si>
    <t>ENST00000265350</t>
  </si>
  <si>
    <t>ENST00000409060</t>
  </si>
  <si>
    <t>ENST00000409312</t>
  </si>
  <si>
    <t>ENST00000434077</t>
  </si>
  <si>
    <t>Q9H967</t>
  </si>
  <si>
    <t>ENST00000263795</t>
  </si>
  <si>
    <t>Q9H981</t>
  </si>
  <si>
    <t>ENST00000335754</t>
  </si>
  <si>
    <t>ENST00000486794</t>
  </si>
  <si>
    <t>ENST00000488802</t>
  </si>
  <si>
    <t>ENST00000495993</t>
  </si>
  <si>
    <t>ENST00000498740</t>
  </si>
  <si>
    <t>Q9H993</t>
  </si>
  <si>
    <t>ENST00000367294</t>
  </si>
  <si>
    <t>ENST00000483931</t>
  </si>
  <si>
    <t>Q9H999</t>
  </si>
  <si>
    <t>ENST00000239231</t>
  </si>
  <si>
    <t>ENST00000520504</t>
  </si>
  <si>
    <t>ENST00000522176</t>
  </si>
  <si>
    <t>Q9H9A6</t>
  </si>
  <si>
    <t>ENST00000370952</t>
  </si>
  <si>
    <t>Q9H9B1</t>
  </si>
  <si>
    <t>ENST00000371394</t>
  </si>
  <si>
    <t>ENST00000460843</t>
  </si>
  <si>
    <t>ENST00000462484</t>
  </si>
  <si>
    <t>ENST00000462942</t>
  </si>
  <si>
    <t>ENST00000465566</t>
  </si>
  <si>
    <t>ENST00000472849</t>
  </si>
  <si>
    <t>ENST00000475564</t>
  </si>
  <si>
    <t>ENST00000475704</t>
  </si>
  <si>
    <t>ENST00000478940</t>
  </si>
  <si>
    <t>ENST00000482340</t>
  </si>
  <si>
    <t>ENST00000483653</t>
  </si>
  <si>
    <t>ENST00000486164</t>
  </si>
  <si>
    <t>ENST00000488242</t>
  </si>
  <si>
    <t>ENST00000493484</t>
  </si>
  <si>
    <t>ENST00000494249</t>
  </si>
  <si>
    <t>ENST00000495657</t>
  </si>
  <si>
    <t>Q9H9B4</t>
  </si>
  <si>
    <t>ENST00000321442</t>
  </si>
  <si>
    <t>ENST00000421887</t>
  </si>
  <si>
    <t>ENST00000502393</t>
  </si>
  <si>
    <t>ENST00000502865</t>
  </si>
  <si>
    <t>ENST00000507395</t>
  </si>
  <si>
    <t>ENST00000507823</t>
  </si>
  <si>
    <t>ENST00000508290</t>
  </si>
  <si>
    <t>ENST00000513725</t>
  </si>
  <si>
    <t>ENST00000515736</t>
  </si>
  <si>
    <t>ENST00000515791</t>
  </si>
  <si>
    <t>Q9H9C1</t>
  </si>
  <si>
    <t>ENST00000343765</t>
  </si>
  <si>
    <t>ENST00000553576</t>
  </si>
  <si>
    <t>ENST00000553691</t>
  </si>
  <si>
    <t>ENST00000553888</t>
  </si>
  <si>
    <t>ENST00000555854</t>
  </si>
  <si>
    <t>ENST00000557658</t>
  </si>
  <si>
    <t>Q9H9D4</t>
  </si>
  <si>
    <t>ENST00000311764</t>
  </si>
  <si>
    <t>ENST00000526410</t>
  </si>
  <si>
    <t>ENST00000527008</t>
  </si>
  <si>
    <t>ENST00000531866</t>
  </si>
  <si>
    <t>ENST00000534481</t>
  </si>
  <si>
    <t>Q9H9E3</t>
  </si>
  <si>
    <t>ENST00000323786</t>
  </si>
  <si>
    <t>ENST00000530314</t>
  </si>
  <si>
    <t>ENST00000562200</t>
  </si>
  <si>
    <t>ENST00000564315</t>
  </si>
  <si>
    <t>ENST00000564415</t>
  </si>
  <si>
    <t>ENST00000567244</t>
  </si>
  <si>
    <t>Q9H9F9</t>
  </si>
  <si>
    <t>ENST00000243903</t>
  </si>
  <si>
    <t>Q9H9G7</t>
  </si>
  <si>
    <t>ENST00000324350</t>
  </si>
  <si>
    <t>ENST00000373191</t>
  </si>
  <si>
    <t>ENST00000397828</t>
  </si>
  <si>
    <t>ENST00000471099</t>
  </si>
  <si>
    <t>ENST00000491443</t>
  </si>
  <si>
    <t>Q9H9H4</t>
  </si>
  <si>
    <t>ENST00000267202</t>
  </si>
  <si>
    <t>ENST00000371248</t>
  </si>
  <si>
    <t>ENST00000543590</t>
  </si>
  <si>
    <t>Q9H9J2</t>
  </si>
  <si>
    <t>ENST00000258383</t>
  </si>
  <si>
    <t>Q9H9L3</t>
  </si>
  <si>
    <t>ENST00000313146</t>
  </si>
  <si>
    <t>ENST00000368219</t>
  </si>
  <si>
    <t>ENST00000469074</t>
  </si>
  <si>
    <t>ENST00000470713</t>
  </si>
  <si>
    <t>ENST00000472824</t>
  </si>
  <si>
    <t>ENST00000496538</t>
  </si>
  <si>
    <t>Q9H9Q2</t>
  </si>
  <si>
    <t>ENST00000350033</t>
  </si>
  <si>
    <t>ENST00000373608</t>
  </si>
  <si>
    <t>ENST00000410017</t>
  </si>
  <si>
    <t>ENST00000410024</t>
  </si>
  <si>
    <t>ENST00000413197</t>
  </si>
  <si>
    <t>ENST00000436564</t>
  </si>
  <si>
    <t>ENST00000449784</t>
  </si>
  <si>
    <t>ENST00000461350</t>
  </si>
  <si>
    <t>ENST00000466901</t>
  </si>
  <si>
    <t>ENST00000474042</t>
  </si>
  <si>
    <t>ENST00000479430</t>
  </si>
  <si>
    <t>ENST00000488111</t>
  </si>
  <si>
    <t>ENST00000492423</t>
  </si>
  <si>
    <t>Q9H9Q4</t>
  </si>
  <si>
    <t>ENST00000356853</t>
  </si>
  <si>
    <t>ENST00000409720</t>
  </si>
  <si>
    <t>ENST00000426304</t>
  </si>
  <si>
    <t>ENST00000450447</t>
  </si>
  <si>
    <t>ENST00000481764</t>
  </si>
  <si>
    <t>Q9H9S5</t>
  </si>
  <si>
    <t>ENST00000318584</t>
  </si>
  <si>
    <t>ENST00000391909</t>
  </si>
  <si>
    <t>ENST00000593800</t>
  </si>
  <si>
    <t>ENST00000593877</t>
  </si>
  <si>
    <t>ENST00000593995</t>
  </si>
  <si>
    <t>ENST00000595570</t>
  </si>
  <si>
    <t>ENST00000595868</t>
  </si>
  <si>
    <t>ENST00000597339</t>
  </si>
  <si>
    <t>ENST00000600005</t>
  </si>
  <si>
    <t>ENST00000600629</t>
  </si>
  <si>
    <t>ENST00000600646</t>
  </si>
  <si>
    <t>ENST00000600681</t>
  </si>
  <si>
    <t>ENST00000600872</t>
  </si>
  <si>
    <t>ENST00000601299</t>
  </si>
  <si>
    <t>ENST00000602250</t>
  </si>
  <si>
    <t>Q9H9Y2</t>
  </si>
  <si>
    <t>ENST00000370654</t>
  </si>
  <si>
    <t>ENST00000370656</t>
  </si>
  <si>
    <t>Q9H9Y4</t>
  </si>
  <si>
    <t>ENST00000374133</t>
  </si>
  <si>
    <t>ENST00000374135</t>
  </si>
  <si>
    <t>ENST00000461282</t>
  </si>
  <si>
    <t>ENST00000477418</t>
  </si>
  <si>
    <t>Q9H9Y6</t>
  </si>
  <si>
    <t>ENST00000263331</t>
  </si>
  <si>
    <t>ENST00000333990</t>
  </si>
  <si>
    <t>ENST00000409894</t>
  </si>
  <si>
    <t>ENST00000468475</t>
  </si>
  <si>
    <t>ENST00000475318</t>
  </si>
  <si>
    <t>ENST00000484574</t>
  </si>
  <si>
    <t>ENST00000496238</t>
  </si>
  <si>
    <t>ENST00000498054</t>
  </si>
  <si>
    <t>Q9HA64</t>
  </si>
  <si>
    <t>ENST00000269373</t>
  </si>
  <si>
    <t>ENST00000571482</t>
  </si>
  <si>
    <t>ENST00000574206</t>
  </si>
  <si>
    <t>ENST00000574356</t>
  </si>
  <si>
    <t>ENST00000576363</t>
  </si>
  <si>
    <t>Q9HA77</t>
  </si>
  <si>
    <t>ENST00000257347</t>
  </si>
  <si>
    <t>ENST00000375781</t>
  </si>
  <si>
    <t>ENST00000480437</t>
  </si>
  <si>
    <t>ENST00000481787</t>
  </si>
  <si>
    <t>ENST00000487253</t>
  </si>
  <si>
    <t>ENST00000535398</t>
  </si>
  <si>
    <t>ENST00000537386</t>
  </si>
  <si>
    <t>ENST00000537404</t>
  </si>
  <si>
    <t>ENST00000537743</t>
  </si>
  <si>
    <t>ENST00000539269</t>
  </si>
  <si>
    <t>ENST00000539405</t>
  </si>
  <si>
    <t>ENST00000540006</t>
  </si>
  <si>
    <t>ENST00000540215</t>
  </si>
  <si>
    <t>ENST00000540785</t>
  </si>
  <si>
    <t>ENST00000541239</t>
  </si>
  <si>
    <t>ENST00000542709</t>
  </si>
  <si>
    <t>ENST00000542774</t>
  </si>
  <si>
    <t>ENST00000543487</t>
  </si>
  <si>
    <t>Q9HAB8</t>
  </si>
  <si>
    <t>ENST00000372560</t>
  </si>
  <si>
    <t>ENST00000372561</t>
  </si>
  <si>
    <t>ENST00000372562</t>
  </si>
  <si>
    <t>ENST00000469615</t>
  </si>
  <si>
    <t>ENST00000471420</t>
  </si>
  <si>
    <t>ENST00000472013</t>
  </si>
  <si>
    <t>ENST00000482168</t>
  </si>
  <si>
    <t>Q9HAH7</t>
  </si>
  <si>
    <t>ENST00000287468</t>
  </si>
  <si>
    <t>ENST00000356166</t>
  </si>
  <si>
    <t>ENST00000468966</t>
  </si>
  <si>
    <t>ENST00000482749</t>
  </si>
  <si>
    <t>ENST00000484152</t>
  </si>
  <si>
    <t>ENST00000494101</t>
  </si>
  <si>
    <t>ENST00000498588</t>
  </si>
  <si>
    <t>ENST00000570170</t>
  </si>
  <si>
    <t>Q9HAN9</t>
  </si>
  <si>
    <t>ENST00000377205</t>
  </si>
  <si>
    <t>ENST00000403197</t>
  </si>
  <si>
    <t>ENST00000492735</t>
  </si>
  <si>
    <t>Q9HAS0</t>
  </si>
  <si>
    <t>ENST00000225805</t>
  </si>
  <si>
    <t>ENST00000577809</t>
  </si>
  <si>
    <t>ENST00000578215</t>
  </si>
  <si>
    <t>ENST00000580294</t>
  </si>
  <si>
    <t>ENST00000580485</t>
  </si>
  <si>
    <t>ENST00000580558</t>
  </si>
  <si>
    <t>ENST00000582073</t>
  </si>
  <si>
    <t>ENST00000583334</t>
  </si>
  <si>
    <t>Q9HAU5</t>
  </si>
  <si>
    <t>ENST00000356352</t>
  </si>
  <si>
    <t>ENST00000357604</t>
  </si>
  <si>
    <t>ENST00000397053</t>
  </si>
  <si>
    <t>ENST00000460569</t>
  </si>
  <si>
    <t>Q9HAV0</t>
  </si>
  <si>
    <t>ENST00000232564</t>
  </si>
  <si>
    <t>Q9HAV4</t>
  </si>
  <si>
    <t>ENST00000265351</t>
  </si>
  <si>
    <t>ENST00000450462</t>
  </si>
  <si>
    <t>ENST00000455285</t>
  </si>
  <si>
    <t>ENST00000455854</t>
  </si>
  <si>
    <t>ENST00000488195</t>
  </si>
  <si>
    <t>ENST00000513451</t>
  </si>
  <si>
    <t>Q9HAV7</t>
  </si>
  <si>
    <t>ENST00000264954</t>
  </si>
  <si>
    <t>ENST00000504920</t>
  </si>
  <si>
    <t>ENST00000509696</t>
  </si>
  <si>
    <t>Q9HB07</t>
  </si>
  <si>
    <t>ENST00000267103</t>
  </si>
  <si>
    <t>ENST00000547490</t>
  </si>
  <si>
    <t>ENST00000548632</t>
  </si>
  <si>
    <t>ENST00000548845</t>
  </si>
  <si>
    <t>ENST00000549177</t>
  </si>
  <si>
    <t>ENST00000549488</t>
  </si>
  <si>
    <t>ENST00000550199</t>
  </si>
  <si>
    <t>ENST00000551131</t>
  </si>
  <si>
    <t>ENST00000551670</t>
  </si>
  <si>
    <t>Q9HB19</t>
  </si>
  <si>
    <t>ENST00000518070</t>
  </si>
  <si>
    <t>ENST00000519640</t>
  </si>
  <si>
    <t>Q9HB21</t>
  </si>
  <si>
    <t>ENST00000368988</t>
  </si>
  <si>
    <t>ENST00000368990</t>
  </si>
  <si>
    <t>ENST00000392799</t>
  </si>
  <si>
    <t>ENST00000433307</t>
  </si>
  <si>
    <t>ENST00000481451</t>
  </si>
  <si>
    <t>ENST00000494222</t>
  </si>
  <si>
    <t>Q9HB40</t>
  </si>
  <si>
    <t>ENST00000262288</t>
  </si>
  <si>
    <t>ENST00000570479</t>
  </si>
  <si>
    <t>ENST00000570480</t>
  </si>
  <si>
    <t>ENST00000570505</t>
  </si>
  <si>
    <t>ENST00000570589</t>
  </si>
  <si>
    <t>ENST00000573789</t>
  </si>
  <si>
    <t>ENST00000576154</t>
  </si>
  <si>
    <t>Q9HB58</t>
  </si>
  <si>
    <t>ENST00000258381</t>
  </si>
  <si>
    <t>ENST00000258382</t>
  </si>
  <si>
    <t>ENST00000358662</t>
  </si>
  <si>
    <t>ENST00000392048</t>
  </si>
  <si>
    <t>ENST00000409815</t>
  </si>
  <si>
    <t>ENST00000416610</t>
  </si>
  <si>
    <t>ENST00000462232</t>
  </si>
  <si>
    <t>ENST00000463022</t>
  </si>
  <si>
    <t>ENST00000477068</t>
  </si>
  <si>
    <t>ENST00000480916</t>
  </si>
  <si>
    <t>ENST00000483067</t>
  </si>
  <si>
    <t>ENST00000489597</t>
  </si>
  <si>
    <t>ENST00000490880</t>
  </si>
  <si>
    <t>ENST00000540870</t>
  </si>
  <si>
    <t>Q9HB71</t>
  </si>
  <si>
    <t>ENST00000367679</t>
  </si>
  <si>
    <t>ENST00000405362</t>
  </si>
  <si>
    <t>ENST00000406752</t>
  </si>
  <si>
    <t>ENST00000461977</t>
  </si>
  <si>
    <t>ENST00000469173</t>
  </si>
  <si>
    <t>ENST00000473925</t>
  </si>
  <si>
    <t>ENST00000483307</t>
  </si>
  <si>
    <t>Q9HB90</t>
  </si>
  <si>
    <t>ENST00000373001</t>
  </si>
  <si>
    <t>ENST00000474456</t>
  </si>
  <si>
    <t>ENST00000496778</t>
  </si>
  <si>
    <t>Q9HBH0</t>
  </si>
  <si>
    <t>ENST00000267205</t>
  </si>
  <si>
    <t>ENST00000535560</t>
  </si>
  <si>
    <t>ENST00000537171</t>
  </si>
  <si>
    <t>ENST00000537265</t>
  </si>
  <si>
    <t>ENST00000541657</t>
  </si>
  <si>
    <t>ENST00000545544</t>
  </si>
  <si>
    <t>ENST00000546227</t>
  </si>
  <si>
    <t>Q9HBH1</t>
  </si>
  <si>
    <t>ENST00000288022</t>
  </si>
  <si>
    <t>Q9HBH5</t>
  </si>
  <si>
    <t>ENST00000381249</t>
  </si>
  <si>
    <t>ENST00000468071</t>
  </si>
  <si>
    <t>Q9HBL7</t>
  </si>
  <si>
    <t>ENST00000223864</t>
  </si>
  <si>
    <t>ENST00000472145</t>
  </si>
  <si>
    <t>Q9HBL8</t>
  </si>
  <si>
    <t>ENST00000283429</t>
  </si>
  <si>
    <t>ENST00000404295</t>
  </si>
  <si>
    <t>ENST00000571291</t>
  </si>
  <si>
    <t>ENST00000571448</t>
  </si>
  <si>
    <t>ENST00000572232</t>
  </si>
  <si>
    <t>ENST00000572391</t>
  </si>
  <si>
    <t>ENST00000573520</t>
  </si>
  <si>
    <t>ENST00000573533</t>
  </si>
  <si>
    <t>ENST00000574425</t>
  </si>
  <si>
    <t>ENST00000574733</t>
  </si>
  <si>
    <t>ENST00000575002</t>
  </si>
  <si>
    <t>ENST00000575557</t>
  </si>
  <si>
    <t>ENST00000575995</t>
  </si>
  <si>
    <t>ENST00000576176</t>
  </si>
  <si>
    <t>ENST00000576935</t>
  </si>
  <si>
    <t>Q9HBM0</t>
  </si>
  <si>
    <t>ENST00000356859</t>
  </si>
  <si>
    <t>ENST00000436874</t>
  </si>
  <si>
    <t>ENST00000546398</t>
  </si>
  <si>
    <t>ENST00000546557</t>
  </si>
  <si>
    <t>ENST00000546951</t>
  </si>
  <si>
    <t>ENST00000547997</t>
  </si>
  <si>
    <t>ENST00000548245</t>
  </si>
  <si>
    <t>ENST00000548371</t>
  </si>
  <si>
    <t>ENST00000548822</t>
  </si>
  <si>
    <t>ENST00000549192</t>
  </si>
  <si>
    <t>ENST00000550803</t>
  </si>
  <si>
    <t>ENST00000551039</t>
  </si>
  <si>
    <t>ENST00000551472</t>
  </si>
  <si>
    <t>ENST00000551746</t>
  </si>
  <si>
    <t>ENST00000551792</t>
  </si>
  <si>
    <t>ENST00000551902</t>
  </si>
  <si>
    <t>ENST00000552031</t>
  </si>
  <si>
    <t>ENST00000552306</t>
  </si>
  <si>
    <t>ENST00000552626</t>
  </si>
  <si>
    <t>ENST00000552660</t>
  </si>
  <si>
    <t>ENST00000552827</t>
  </si>
  <si>
    <t>Q9HBM6</t>
  </si>
  <si>
    <t>ENST00000341864</t>
  </si>
  <si>
    <t>Q9HBR0</t>
  </si>
  <si>
    <t>ENST00000288439</t>
  </si>
  <si>
    <t>ENST00000374759</t>
  </si>
  <si>
    <t>ENST00000540233</t>
  </si>
  <si>
    <t>ENST00000540966</t>
  </si>
  <si>
    <t>ENST00000542075</t>
  </si>
  <si>
    <t>ENST00000543204</t>
  </si>
  <si>
    <t>ENST00000546352</t>
  </si>
  <si>
    <t>ENST00000573058</t>
  </si>
  <si>
    <t>Q9HBU6</t>
  </si>
  <si>
    <t>ENST00000266517</t>
  </si>
  <si>
    <t>ENST00000335148</t>
  </si>
  <si>
    <t>ENST00000539974</t>
  </si>
  <si>
    <t>ENST00000544191</t>
  </si>
  <si>
    <t>ENST00000545979</t>
  </si>
  <si>
    <t>Q9HC16</t>
  </si>
  <si>
    <t>ENST00000407997</t>
  </si>
  <si>
    <t>ENST00000452957</t>
  </si>
  <si>
    <t>ENST00000463934</t>
  </si>
  <si>
    <t>ENST00000480000</t>
  </si>
  <si>
    <t>ENST00000481958</t>
  </si>
  <si>
    <t>ENST00000494150</t>
  </si>
  <si>
    <t>Q9HC35</t>
  </si>
  <si>
    <t>ENST00000318522</t>
  </si>
  <si>
    <t>ENST00000401738</t>
  </si>
  <si>
    <t>ENST00000402711</t>
  </si>
  <si>
    <t>ENST00000406175</t>
  </si>
  <si>
    <t>ENST00000409040</t>
  </si>
  <si>
    <t>ENST00000472632</t>
  </si>
  <si>
    <t>ENST00000480320</t>
  </si>
  <si>
    <t>ENST00000482660</t>
  </si>
  <si>
    <t>Q9HC36</t>
  </si>
  <si>
    <t>ENST00000304478</t>
  </si>
  <si>
    <t>ENST00000571157</t>
  </si>
  <si>
    <t>ENST00000574509</t>
  </si>
  <si>
    <t>ENST00000574916</t>
  </si>
  <si>
    <t>Q9HC52</t>
  </si>
  <si>
    <t>ENST00000269385</t>
  </si>
  <si>
    <t>Q9HCC0</t>
  </si>
  <si>
    <t>ENST00000340941</t>
  </si>
  <si>
    <t>ENST00000505435</t>
  </si>
  <si>
    <t>ENST00000505787</t>
  </si>
  <si>
    <t>ENST00000507169</t>
  </si>
  <si>
    <t>ENST00000509358</t>
  </si>
  <si>
    <t>ENST00000510895</t>
  </si>
  <si>
    <t>Q9HCD5</t>
  </si>
  <si>
    <t>ENST00000290231</t>
  </si>
  <si>
    <t>ENST00000372291</t>
  </si>
  <si>
    <t>Q9HCE1</t>
  </si>
  <si>
    <t>ENST00000357443</t>
  </si>
  <si>
    <t>ENST00000369644</t>
  </si>
  <si>
    <t>ENST00000369645</t>
  </si>
  <si>
    <t>ENST00000413052</t>
  </si>
  <si>
    <t>ENST00000465579</t>
  </si>
  <si>
    <t>ENST00000468624</t>
  </si>
  <si>
    <t>ENST00000479858</t>
  </si>
  <si>
    <t>ENST00000482545</t>
  </si>
  <si>
    <t>ENST00000488160</t>
  </si>
  <si>
    <t>ENST00000490413</t>
  </si>
  <si>
    <t>ENST00000494319</t>
  </si>
  <si>
    <t>ENST00000495374</t>
  </si>
  <si>
    <t>ENST00000496577</t>
  </si>
  <si>
    <t>Q9HCE5</t>
  </si>
  <si>
    <t>ENST00000388822</t>
  </si>
  <si>
    <t>ENST00000502564</t>
  </si>
  <si>
    <t>ENST00000506780</t>
  </si>
  <si>
    <t>Q9HCG8</t>
  </si>
  <si>
    <t>ENST00000404136</t>
  </si>
  <si>
    <t>Q9HCI7</t>
  </si>
  <si>
    <t>ENST00000309993</t>
  </si>
  <si>
    <t>ENST00000473093</t>
  </si>
  <si>
    <t>ENST00000481989</t>
  </si>
  <si>
    <t>ENST00000491050</t>
  </si>
  <si>
    <t>Q9HCJ0</t>
  </si>
  <si>
    <t>ENST00000301624</t>
  </si>
  <si>
    <t>ENST00000335749</t>
  </si>
  <si>
    <t>ENST00000587990</t>
  </si>
  <si>
    <t>ENST00000588847</t>
  </si>
  <si>
    <t>ENST00000591851</t>
  </si>
  <si>
    <t>ENST00000592251</t>
  </si>
  <si>
    <t>ENST00000592566</t>
  </si>
  <si>
    <t>Q9HCK8</t>
  </si>
  <si>
    <t>ENST00000399982</t>
  </si>
  <si>
    <t>ENST00000430710</t>
  </si>
  <si>
    <t>ENST00000553283</t>
  </si>
  <si>
    <t>ENST00000553651</t>
  </si>
  <si>
    <t>ENST00000553870</t>
  </si>
  <si>
    <t>ENST00000554384</t>
  </si>
  <si>
    <t>ENST00000555301</t>
  </si>
  <si>
    <t>ENST00000555935</t>
  </si>
  <si>
    <t>ENST00000556833</t>
  </si>
  <si>
    <t>ENST00000557329</t>
  </si>
  <si>
    <t>ENST00000557364</t>
  </si>
  <si>
    <t>ENST00000557727</t>
  </si>
  <si>
    <t>Q9HCM1</t>
  </si>
  <si>
    <t>ENST00000312561</t>
  </si>
  <si>
    <t>ENST00000535596</t>
  </si>
  <si>
    <t>ENST00000535606</t>
  </si>
  <si>
    <t>ENST00000541981</t>
  </si>
  <si>
    <t>ENST00000543763</t>
  </si>
  <si>
    <t>Q9HCN4</t>
  </si>
  <si>
    <t>ENST00000264718</t>
  </si>
  <si>
    <t>ENST00000436280</t>
  </si>
  <si>
    <t>ENST00000461249</t>
  </si>
  <si>
    <t>ENST00000478484</t>
  </si>
  <si>
    <t>ENST00000610189</t>
  </si>
  <si>
    <t>Q9HCN8</t>
  </si>
  <si>
    <t>ENST00000248958</t>
  </si>
  <si>
    <t>ENST00000466935</t>
  </si>
  <si>
    <t>Q9HCS7</t>
  </si>
  <si>
    <t>ENST00000358368</t>
  </si>
  <si>
    <t>ENST00000595288</t>
  </si>
  <si>
    <t>ENST00000596134</t>
  </si>
  <si>
    <t>ENST00000600230</t>
  </si>
  <si>
    <t>Q9HCU5</t>
  </si>
  <si>
    <t>ENST00000260643</t>
  </si>
  <si>
    <t>ENST00000406567</t>
  </si>
  <si>
    <t>ENST00000430533</t>
  </si>
  <si>
    <t>ENST00000441451</t>
  </si>
  <si>
    <t>ENST00000468045</t>
  </si>
  <si>
    <t>ENST00000474802</t>
  </si>
  <si>
    <t>Q9HCU9</t>
  </si>
  <si>
    <t>ENST00000359957</t>
  </si>
  <si>
    <t>ENST00000425825</t>
  </si>
  <si>
    <t>ENST00000524699</t>
  </si>
  <si>
    <t>ENST00000525127</t>
  </si>
  <si>
    <t>ENST00000527375</t>
  </si>
  <si>
    <t>ENST00000529544</t>
  </si>
  <si>
    <t>ENST00000530238</t>
  </si>
  <si>
    <t>ENST00000530756</t>
  </si>
  <si>
    <t>ENST00000534617</t>
  </si>
  <si>
    <t>Q9HD15</t>
  </si>
  <si>
    <t>ENST00000336283</t>
  </si>
  <si>
    <t>ENST00000520427</t>
  </si>
  <si>
    <t>ENST00000523259</t>
  </si>
  <si>
    <t>ENST00000602775</t>
  </si>
  <si>
    <t>ENST00000602875</t>
  </si>
  <si>
    <t>Q9HD20</t>
  </si>
  <si>
    <t>ENST00000291503</t>
  </si>
  <si>
    <t>ENST00000357324</t>
  </si>
  <si>
    <t>ENST00000455627</t>
  </si>
  <si>
    <t>ENST00000467160</t>
  </si>
  <si>
    <t>ENST00000469641</t>
  </si>
  <si>
    <t>ENST00000471063</t>
  </si>
  <si>
    <t>ENST00000473243</t>
  </si>
  <si>
    <t>ENST00000474955</t>
  </si>
  <si>
    <t>ENST00000487364</t>
  </si>
  <si>
    <t>ENST00000491221</t>
  </si>
  <si>
    <t>ENST00000492774</t>
  </si>
  <si>
    <t>ENST00000496082</t>
  </si>
  <si>
    <t>ENST00000497156</t>
  </si>
  <si>
    <t>ENST00000497556</t>
  </si>
  <si>
    <t>ENST00000497762</t>
  </si>
  <si>
    <t>Q9HD40</t>
  </si>
  <si>
    <t>ENST00000382103</t>
  </si>
  <si>
    <t>ENST00000505513</t>
  </si>
  <si>
    <t>ENST00000513285</t>
  </si>
  <si>
    <t>ENST00000515272</t>
  </si>
  <si>
    <t>Q9HD42</t>
  </si>
  <si>
    <t>ENST00000397901</t>
  </si>
  <si>
    <t>ENST00000535997</t>
  </si>
  <si>
    <t>ENST00000547614</t>
  </si>
  <si>
    <t>ENST00000547687</t>
  </si>
  <si>
    <t>ENST00000548650</t>
  </si>
  <si>
    <t>ENST00000549139</t>
  </si>
  <si>
    <t>ENST00000549328</t>
  </si>
  <si>
    <t>ENST00000550102</t>
  </si>
  <si>
    <t>ENST00000550872</t>
  </si>
  <si>
    <t>ENST00000551981</t>
  </si>
  <si>
    <t>Q9HD45</t>
  </si>
  <si>
    <t>ENST00000371142</t>
  </si>
  <si>
    <t>ENST00000443638</t>
  </si>
  <si>
    <t>ENST00000475401</t>
  </si>
  <si>
    <t>ENST00000485093</t>
  </si>
  <si>
    <t>ENST00000490192</t>
  </si>
  <si>
    <t>Q9HD89</t>
  </si>
  <si>
    <t>ENST00000221515</t>
  </si>
  <si>
    <t>Q9HDC9</t>
  </si>
  <si>
    <t>ENST00000217456</t>
  </si>
  <si>
    <t>ENST00000451442</t>
  </si>
  <si>
    <t>Q9NNW5</t>
  </si>
  <si>
    <t>ENST00000395474</t>
  </si>
  <si>
    <t>ENST00000429900</t>
  </si>
  <si>
    <t>ENST00000452875</t>
  </si>
  <si>
    <t>ENST00000471162</t>
  </si>
  <si>
    <t>ENST00000489684</t>
  </si>
  <si>
    <t>ENST00000491365</t>
  </si>
  <si>
    <t>ENST00000492780</t>
  </si>
  <si>
    <t>ENST00000498023</t>
  </si>
  <si>
    <t>ENST00000608424</t>
  </si>
  <si>
    <t>Q9NP50</t>
  </si>
  <si>
    <t>ENST00000337682</t>
  </si>
  <si>
    <t>ENST00000448582</t>
  </si>
  <si>
    <t>ENST00000454658</t>
  </si>
  <si>
    <t>ENST00000536836</t>
  </si>
  <si>
    <t>ENST00000543615</t>
  </si>
  <si>
    <t>ENST00000544921</t>
  </si>
  <si>
    <t>Q9NP61</t>
  </si>
  <si>
    <t>ENST00000263245</t>
  </si>
  <si>
    <t>ENST00000435208</t>
  </si>
  <si>
    <t>ENST00000453516</t>
  </si>
  <si>
    <t>ENST00000493606</t>
  </si>
  <si>
    <t>Q9NP66</t>
  </si>
  <si>
    <t>ENST00000336216</t>
  </si>
  <si>
    <t>ENST00000381714</t>
  </si>
  <si>
    <t>ENST00000558288</t>
  </si>
  <si>
    <t>ENST00000558845</t>
  </si>
  <si>
    <t>ENST00000559728</t>
  </si>
  <si>
    <t>ENST00000560498</t>
  </si>
  <si>
    <t>ENST00000560986</t>
  </si>
  <si>
    <t>Q9NP72</t>
  </si>
  <si>
    <t>ENST00000356940</t>
  </si>
  <si>
    <t>ENST00000484281</t>
  </si>
  <si>
    <t>ENST00000490236</t>
  </si>
  <si>
    <t>ENST00000535776</t>
  </si>
  <si>
    <t>Q9NP77</t>
  </si>
  <si>
    <t>ENST00000291386</t>
  </si>
  <si>
    <t>ENST00000359060</t>
  </si>
  <si>
    <t>ENST00000378725</t>
  </si>
  <si>
    <t>ENST00000378726</t>
  </si>
  <si>
    <t>Q9NP79</t>
  </si>
  <si>
    <t>ENST00000367630</t>
  </si>
  <si>
    <t>ENST00000491881</t>
  </si>
  <si>
    <t>Q9NP81</t>
  </si>
  <si>
    <t>ENST00000221431</t>
  </si>
  <si>
    <t>ENST00000430193</t>
  </si>
  <si>
    <t>ENST00000594171</t>
  </si>
  <si>
    <t>ENST00000594259</t>
  </si>
  <si>
    <t>ENST00000597490</t>
  </si>
  <si>
    <t>ENST00000598563</t>
  </si>
  <si>
    <t>ENST00000598598</t>
  </si>
  <si>
    <t>ENST00000600448</t>
  </si>
  <si>
    <t>ENST00000602034</t>
  </si>
  <si>
    <t>Q9NP87</t>
  </si>
  <si>
    <t>ENST00000242248</t>
  </si>
  <si>
    <t>ENST00000335195</t>
  </si>
  <si>
    <t>ENST00000395831</t>
  </si>
  <si>
    <t>ENST00000430942</t>
  </si>
  <si>
    <t>ENST00000434229</t>
  </si>
  <si>
    <t>ENST00000435068</t>
  </si>
  <si>
    <t>ENST00000458246</t>
  </si>
  <si>
    <t>ENST00000467607</t>
  </si>
  <si>
    <t>ENST00000483644</t>
  </si>
  <si>
    <t>ENST00000492312</t>
  </si>
  <si>
    <t>ENST00000492605</t>
  </si>
  <si>
    <t>ENST00000492971</t>
  </si>
  <si>
    <t>ENST00000497300</t>
  </si>
  <si>
    <t>Q9NP92</t>
  </si>
  <si>
    <t>ENST00000230914</t>
  </si>
  <si>
    <t>ENST00000507110</t>
  </si>
  <si>
    <t>ENST00000508129</t>
  </si>
  <si>
    <t>ENST00000515647</t>
  </si>
  <si>
    <t>Q9NP97</t>
  </si>
  <si>
    <t>ENST00000300469</t>
  </si>
  <si>
    <t>ENST00000357156</t>
  </si>
  <si>
    <t>ENST00000374846</t>
  </si>
  <si>
    <t>ENST00000480759</t>
  </si>
  <si>
    <t>Q9NPA0</t>
  </si>
  <si>
    <t>ENST00000256545</t>
  </si>
  <si>
    <t>ENST00000527822</t>
  </si>
  <si>
    <t>ENST00000532113</t>
  </si>
  <si>
    <t>Q9NPB8</t>
  </si>
  <si>
    <t>ENST00000379019</t>
  </si>
  <si>
    <t>ENST00000418646</t>
  </si>
  <si>
    <t>ENST00000462080</t>
  </si>
  <si>
    <t>ENST00000473797</t>
  </si>
  <si>
    <t>ENST00000481038</t>
  </si>
  <si>
    <t>ENST00000481690</t>
  </si>
  <si>
    <t>Q9NPD3</t>
  </si>
  <si>
    <t>ENST00000316052</t>
  </si>
  <si>
    <t>ENST00000527954</t>
  </si>
  <si>
    <t>Q9NPD8</t>
  </si>
  <si>
    <t>ENST00000367274</t>
  </si>
  <si>
    <t>ENST00000487227</t>
  </si>
  <si>
    <t>Q9NPE2</t>
  </si>
  <si>
    <t>ENST00000331497</t>
  </si>
  <si>
    <t>ENST00000379095</t>
  </si>
  <si>
    <t>ENST00000411845</t>
  </si>
  <si>
    <t>Q9NPE3</t>
  </si>
  <si>
    <t>ENST00000328848</t>
  </si>
  <si>
    <t>Q9NPF0</t>
  </si>
  <si>
    <t>ENST00000301458</t>
  </si>
  <si>
    <t>ENST00000537716</t>
  </si>
  <si>
    <t>ENST00000596002</t>
  </si>
  <si>
    <t>ENST00000598299</t>
  </si>
  <si>
    <t>ENST00000599573</t>
  </si>
  <si>
    <t>Q9NPF4</t>
  </si>
  <si>
    <t>ENST00000206542</t>
  </si>
  <si>
    <t>ENST00000553292</t>
  </si>
  <si>
    <t>ENST00000553640</t>
  </si>
  <si>
    <t>ENST00000554249</t>
  </si>
  <si>
    <t>ENST00000554699</t>
  </si>
  <si>
    <t>ENST00000554915</t>
  </si>
  <si>
    <t>ENST00000555223</t>
  </si>
  <si>
    <t>ENST00000555656</t>
  </si>
  <si>
    <t>ENST00000555785</t>
  </si>
  <si>
    <t>ENST00000556124</t>
  </si>
  <si>
    <t>ENST00000556252</t>
  </si>
  <si>
    <t>ENST00000556439</t>
  </si>
  <si>
    <t>Q9NPF5</t>
  </si>
  <si>
    <t>ENST00000315913</t>
  </si>
  <si>
    <t>ENST00000361745</t>
  </si>
  <si>
    <t>ENST00000372289</t>
  </si>
  <si>
    <t>ENST00000437511</t>
  </si>
  <si>
    <t>ENST00000446292</t>
  </si>
  <si>
    <t>ENST00000463950</t>
  </si>
  <si>
    <t>ENST00000475794</t>
  </si>
  <si>
    <t>ENST00000488433</t>
  </si>
  <si>
    <t>ENST00000494092</t>
  </si>
  <si>
    <t>Q9NPI1</t>
  </si>
  <si>
    <t>ENST00000394688</t>
  </si>
  <si>
    <t>ENST00000394689</t>
  </si>
  <si>
    <t>ENST00000401491</t>
  </si>
  <si>
    <t>ENST00000567826</t>
  </si>
  <si>
    <t>Q9NPJ3</t>
  </si>
  <si>
    <t>ENST00000230048</t>
  </si>
  <si>
    <t>ENST00000537591</t>
  </si>
  <si>
    <t>Q9NPJ6</t>
  </si>
  <si>
    <t>ENST00000258648</t>
  </si>
  <si>
    <t>ENST00000378586</t>
  </si>
  <si>
    <t>ENST00000417167</t>
  </si>
  <si>
    <t>ENST00000495013</t>
  </si>
  <si>
    <t>Q9NPL8</t>
  </si>
  <si>
    <t>ENST00000264244</t>
  </si>
  <si>
    <t>ENST00000466984</t>
  </si>
  <si>
    <t>ENST00000486418</t>
  </si>
  <si>
    <t>ENST00000492164</t>
  </si>
  <si>
    <t>ENST00000493694</t>
  </si>
  <si>
    <t>ENST00000494664</t>
  </si>
  <si>
    <t>Q9NPP4</t>
  </si>
  <si>
    <t>ENST00000360906</t>
  </si>
  <si>
    <t>Q9NPR9</t>
  </si>
  <si>
    <t>ENST00000264080</t>
  </si>
  <si>
    <t>ENST00000430424</t>
  </si>
  <si>
    <t>ENST00000537722</t>
  </si>
  <si>
    <t>ENST00000595108</t>
  </si>
  <si>
    <t>ENST00000595620</t>
  </si>
  <si>
    <t>ENST00000597043</t>
  </si>
  <si>
    <t>ENST00000597706</t>
  </si>
  <si>
    <t>ENST00000598626</t>
  </si>
  <si>
    <t>ENST00000600773</t>
  </si>
  <si>
    <t>ENST00000601402</t>
  </si>
  <si>
    <t>Q9NPY3</t>
  </si>
  <si>
    <t>ENST00000246006</t>
  </si>
  <si>
    <t>Q9NQ29</t>
  </si>
  <si>
    <t>ENST00000293872</t>
  </si>
  <si>
    <t>ENST00000337351</t>
  </si>
  <si>
    <t>ENST00000397780</t>
  </si>
  <si>
    <t>ENST00000397783</t>
  </si>
  <si>
    <t>ENST00000418978</t>
  </si>
  <si>
    <t>ENST00000419516</t>
  </si>
  <si>
    <t>ENST00000426094</t>
  </si>
  <si>
    <t>ENST00000429378</t>
  </si>
  <si>
    <t>ENST00000443357</t>
  </si>
  <si>
    <t>ENST00000464711</t>
  </si>
  <si>
    <t>ENST00000468732</t>
  </si>
  <si>
    <t>ENST00000469109</t>
  </si>
  <si>
    <t>ENST00000490762</t>
  </si>
  <si>
    <t>ENST00000495349</t>
  </si>
  <si>
    <t>Q9NQ50</t>
  </si>
  <si>
    <t>ENST00000333130</t>
  </si>
  <si>
    <t>ENST00000443660</t>
  </si>
  <si>
    <t>ENST00000471259</t>
  </si>
  <si>
    <t>Q9NQ88</t>
  </si>
  <si>
    <t>ENST00000179259</t>
  </si>
  <si>
    <t>ENST00000539671</t>
  </si>
  <si>
    <t>Q9NQ92</t>
  </si>
  <si>
    <t>ENST00000302362</t>
  </si>
  <si>
    <t>ENST00000378634</t>
  </si>
  <si>
    <t>Q9NQE9</t>
  </si>
  <si>
    <t>ENST00000229633</t>
  </si>
  <si>
    <t>Q9NQG5</t>
  </si>
  <si>
    <t>ENST00000373433</t>
  </si>
  <si>
    <t>ENST00000471511</t>
  </si>
  <si>
    <t>ENST00000484683</t>
  </si>
  <si>
    <t>ENST00000495457</t>
  </si>
  <si>
    <t>Q9NQG6</t>
  </si>
  <si>
    <t>ENST00000325301</t>
  </si>
  <si>
    <t>ENST00000404569</t>
  </si>
  <si>
    <t>ENST00000428069</t>
  </si>
  <si>
    <t>ENST00000433117</t>
  </si>
  <si>
    <t>ENST00000434364</t>
  </si>
  <si>
    <t>ENST00000478342</t>
  </si>
  <si>
    <t>ENST00000494219</t>
  </si>
  <si>
    <t>Q9NQP4</t>
  </si>
  <si>
    <t>ENST00000371419</t>
  </si>
  <si>
    <t>ENST00000487129</t>
  </si>
  <si>
    <t>Q9NQR4</t>
  </si>
  <si>
    <t>ENST00000394140</t>
  </si>
  <si>
    <t>ENST00000460317</t>
  </si>
  <si>
    <t>ENST00000465368</t>
  </si>
  <si>
    <t>ENST00000478856</t>
  </si>
  <si>
    <t>ENST00000480073</t>
  </si>
  <si>
    <t>ENST00000497785</t>
  </si>
  <si>
    <t>Q9NQS1</t>
  </si>
  <si>
    <t>ENST00000306730</t>
  </si>
  <si>
    <t>Q9NQT4</t>
  </si>
  <si>
    <t>ENST00000221233</t>
  </si>
  <si>
    <t>ENST00000593523</t>
  </si>
  <si>
    <t>ENST00000593771</t>
  </si>
  <si>
    <t>ENST00000596905</t>
  </si>
  <si>
    <t>Q9NQT8</t>
  </si>
  <si>
    <t>ENST00000521515</t>
  </si>
  <si>
    <t>ENST00000523130</t>
  </si>
  <si>
    <t>ENST00000524189</t>
  </si>
  <si>
    <t>Q9NQX3</t>
  </si>
  <si>
    <t>ENST00000478722</t>
  </si>
  <si>
    <t>ENST00000543237</t>
  </si>
  <si>
    <t>ENST00000555503</t>
  </si>
  <si>
    <t>ENST00000556501</t>
  </si>
  <si>
    <t>ENST00000557678</t>
  </si>
  <si>
    <t>Q9NQZ2</t>
  </si>
  <si>
    <t>ENST00000254803</t>
  </si>
  <si>
    <t>Q9NQZ5</t>
  </si>
  <si>
    <t>ENST00000337288</t>
  </si>
  <si>
    <t>ENST00000443962</t>
  </si>
  <si>
    <t>ENST00000479456</t>
  </si>
  <si>
    <t>ENST00000488084</t>
  </si>
  <si>
    <t>ENST00000495687</t>
  </si>
  <si>
    <t>Q9NR09</t>
  </si>
  <si>
    <t>ENST00000421745</t>
  </si>
  <si>
    <t>ENST00000444173</t>
  </si>
  <si>
    <t>ENST00000461788</t>
  </si>
  <si>
    <t>ENST00000462504</t>
  </si>
  <si>
    <t>ENST00000465130</t>
  </si>
  <si>
    <t>ENST00000466527</t>
  </si>
  <si>
    <t>ENST00000470250</t>
  </si>
  <si>
    <t>ENST00000471232</t>
  </si>
  <si>
    <t>ENST00000483194</t>
  </si>
  <si>
    <t>ENST00000496555</t>
  </si>
  <si>
    <t>ENST00000497023</t>
  </si>
  <si>
    <t>Q9NR12</t>
  </si>
  <si>
    <t>ENST00000355572</t>
  </si>
  <si>
    <t>ENST00000355841</t>
  </si>
  <si>
    <t>ENST00000393551</t>
  </si>
  <si>
    <t>ENST00000463411</t>
  </si>
  <si>
    <t>ENST00000486828</t>
  </si>
  <si>
    <t>ENST00000503346</t>
  </si>
  <si>
    <t>ENST00000504318</t>
  </si>
  <si>
    <t>ENST00000504380</t>
  </si>
  <si>
    <t>ENST00000505746</t>
  </si>
  <si>
    <t>ENST00000506537</t>
  </si>
  <si>
    <t>Q9NR19</t>
  </si>
  <si>
    <t>ENST00000360596</t>
  </si>
  <si>
    <t>ENST00000467019</t>
  </si>
  <si>
    <t>ENST00000468550</t>
  </si>
  <si>
    <t>ENST00000470315</t>
  </si>
  <si>
    <t>ENST00000473172</t>
  </si>
  <si>
    <t>ENST00000476922</t>
  </si>
  <si>
    <t>ENST00000480978</t>
  </si>
  <si>
    <t>ENST00000490046</t>
  </si>
  <si>
    <t>ENST00000490464</t>
  </si>
  <si>
    <t>ENST00000491533</t>
  </si>
  <si>
    <t>ENST00000493250</t>
  </si>
  <si>
    <t>ENST00000494727</t>
  </si>
  <si>
    <t>Q9NR30</t>
  </si>
  <si>
    <t>ENST00000354185</t>
  </si>
  <si>
    <t>Q9NR31</t>
  </si>
  <si>
    <t>ENST00000373236</t>
  </si>
  <si>
    <t>ENST00000373238</t>
  </si>
  <si>
    <t>ENST00000373241</t>
  </si>
  <si>
    <t>ENST00000373242</t>
  </si>
  <si>
    <t>ENST00000452767</t>
  </si>
  <si>
    <t>ENST00000477464</t>
  </si>
  <si>
    <t>Q9NR33</t>
  </si>
  <si>
    <t>ENST00000233699</t>
  </si>
  <si>
    <t>ENST00000459636</t>
  </si>
  <si>
    <t>ENST00000465242</t>
  </si>
  <si>
    <t>ENST00000473023</t>
  </si>
  <si>
    <t>ENST00000483063</t>
  </si>
  <si>
    <t>ENST00000485527</t>
  </si>
  <si>
    <t>Q9NR34</t>
  </si>
  <si>
    <t>ENST00000263979</t>
  </si>
  <si>
    <t>ENST00000374332</t>
  </si>
  <si>
    <t>ENST00000473891</t>
  </si>
  <si>
    <t>ENST00000475314</t>
  </si>
  <si>
    <t>ENST00000487493</t>
  </si>
  <si>
    <t>ENST00000496532</t>
  </si>
  <si>
    <t>Q9NR45</t>
  </si>
  <si>
    <t>ENST00000210444</t>
  </si>
  <si>
    <t>ENST00000415280</t>
  </si>
  <si>
    <t>ENST00000427646</t>
  </si>
  <si>
    <t>ENST00000461452</t>
  </si>
  <si>
    <t>ENST00000480925</t>
  </si>
  <si>
    <t>ENST00000495319</t>
  </si>
  <si>
    <t>Q9NR46</t>
  </si>
  <si>
    <t>ENST00000372554</t>
  </si>
  <si>
    <t>ENST00000372559</t>
  </si>
  <si>
    <t>ENST00000372564</t>
  </si>
  <si>
    <t>ENST00000416230</t>
  </si>
  <si>
    <t>ENST00000455407</t>
  </si>
  <si>
    <t>ENST00000461811</t>
  </si>
  <si>
    <t>ENST00000477165</t>
  </si>
  <si>
    <t>ENST00000479237</t>
  </si>
  <si>
    <t>ENST00000483980</t>
  </si>
  <si>
    <t>Q9NR50</t>
  </si>
  <si>
    <t>ENST00000360403</t>
  </si>
  <si>
    <t>ENST00000372183</t>
  </si>
  <si>
    <t>ENST00000439363</t>
  </si>
  <si>
    <t>ENST00000477953</t>
  </si>
  <si>
    <t>ENST00000480675</t>
  </si>
  <si>
    <t>ENST00000486491</t>
  </si>
  <si>
    <t>Q9NR55</t>
  </si>
  <si>
    <t>ENST00000243440</t>
  </si>
  <si>
    <t>ENST00000471382</t>
  </si>
  <si>
    <t>ENST00000478275</t>
  </si>
  <si>
    <t>Q9NR56</t>
  </si>
  <si>
    <t>ENST00000282486</t>
  </si>
  <si>
    <t>ENST00000282488</t>
  </si>
  <si>
    <t>ENST00000324196</t>
  </si>
  <si>
    <t>ENST00000324210</t>
  </si>
  <si>
    <t>ENST00000355460</t>
  </si>
  <si>
    <t>ENST00000357472</t>
  </si>
  <si>
    <t>ENST00000460591</t>
  </si>
  <si>
    <t>ENST00000461436</t>
  </si>
  <si>
    <t>ENST00000463374</t>
  </si>
  <si>
    <t>ENST00000464596</t>
  </si>
  <si>
    <t>ENST00000465907</t>
  </si>
  <si>
    <t>ENST00000485910</t>
  </si>
  <si>
    <t>ENST00000493459</t>
  </si>
  <si>
    <t>ENST00000495875</t>
  </si>
  <si>
    <t>ENST00000497971</t>
  </si>
  <si>
    <t>ENST00000498502</t>
  </si>
  <si>
    <t>ENST00000545754</t>
  </si>
  <si>
    <t>Q9NR97</t>
  </si>
  <si>
    <t>ENST00000218032</t>
  </si>
  <si>
    <t>Q9NRA2</t>
  </si>
  <si>
    <t>ENST00000355773</t>
  </si>
  <si>
    <t>ENST00000481996</t>
  </si>
  <si>
    <t>Q9NRA8</t>
  </si>
  <si>
    <t>ENST00000330125</t>
  </si>
  <si>
    <t>ENST00000344710</t>
  </si>
  <si>
    <t>ENST00000397518</t>
  </si>
  <si>
    <t>ENST00000397520</t>
  </si>
  <si>
    <t>ENST00000397525</t>
  </si>
  <si>
    <t>ENST00000445424</t>
  </si>
  <si>
    <t>ENST00000475437</t>
  </si>
  <si>
    <t>ENST00000487671</t>
  </si>
  <si>
    <t>ENST00000495101</t>
  </si>
  <si>
    <t>Q9NRD1</t>
  </si>
  <si>
    <t>ENST00000376753</t>
  </si>
  <si>
    <t>ENST00000474239</t>
  </si>
  <si>
    <t>Q9NRF8</t>
  </si>
  <si>
    <t>ENST00000359276</t>
  </si>
  <si>
    <t>ENST00000443824</t>
  </si>
  <si>
    <t>ENST00000483053</t>
  </si>
  <si>
    <t>Q9NRF9</t>
  </si>
  <si>
    <t>ENST00000374169</t>
  </si>
  <si>
    <t>ENST00000374171</t>
  </si>
  <si>
    <t>ENST00000475080</t>
  </si>
  <si>
    <t>ENST00000479871</t>
  </si>
  <si>
    <t>Q9NRG0</t>
  </si>
  <si>
    <t>ENST00000220913</t>
  </si>
  <si>
    <t>ENST00000518971</t>
  </si>
  <si>
    <t>ENST00000519533</t>
  </si>
  <si>
    <t>ENST00000519618</t>
  </si>
  <si>
    <t>ENST00000523569</t>
  </si>
  <si>
    <t>Q9NRG4</t>
  </si>
  <si>
    <t>ENST00000366957</t>
  </si>
  <si>
    <t>ENST00000460580</t>
  </si>
  <si>
    <t>ENST00000471645</t>
  </si>
  <si>
    <t>ENST00000484459</t>
  </si>
  <si>
    <t>ENST00000491455</t>
  </si>
  <si>
    <t>Q9NRG9</t>
  </si>
  <si>
    <t>ENST00000209873</t>
  </si>
  <si>
    <t>ENST00000394384</t>
  </si>
  <si>
    <t>ENST00000546393</t>
  </si>
  <si>
    <t>ENST00000546562</t>
  </si>
  <si>
    <t>ENST00000546572</t>
  </si>
  <si>
    <t>ENST00000547238</t>
  </si>
  <si>
    <t>ENST00000547520</t>
  </si>
  <si>
    <t>ENST00000547757</t>
  </si>
  <si>
    <t>ENST00000548880</t>
  </si>
  <si>
    <t>ENST00000549450</t>
  </si>
  <si>
    <t>ENST00000549983</t>
  </si>
  <si>
    <t>ENST00000550033</t>
  </si>
  <si>
    <t>ENST00000550286</t>
  </si>
  <si>
    <t>ENST00000552161</t>
  </si>
  <si>
    <t>ENST00000552876</t>
  </si>
  <si>
    <t>Q9NRH2</t>
  </si>
  <si>
    <t>ENST00000296088</t>
  </si>
  <si>
    <t>ENST00000429705</t>
  </si>
  <si>
    <t>ENST00000454177</t>
  </si>
  <si>
    <t>ENST00000462810</t>
  </si>
  <si>
    <t>ENST00000481892</t>
  </si>
  <si>
    <t>ENST00000484791</t>
  </si>
  <si>
    <t>Q9NRK6</t>
  </si>
  <si>
    <t>ENST00000344517</t>
  </si>
  <si>
    <t>ENST00000486755</t>
  </si>
  <si>
    <t>ENST00000498158</t>
  </si>
  <si>
    <t>Q9NRL2</t>
  </si>
  <si>
    <t>ENST00000358716</t>
  </si>
  <si>
    <t>ENST00000360310</t>
  </si>
  <si>
    <t>ENST00000382422</t>
  </si>
  <si>
    <t>ENST00000553385</t>
  </si>
  <si>
    <t>ENST00000553573</t>
  </si>
  <si>
    <t>ENST00000553853</t>
  </si>
  <si>
    <t>ENST00000554391</t>
  </si>
  <si>
    <t>ENST00000555273</t>
  </si>
  <si>
    <t>ENST00000555331</t>
  </si>
  <si>
    <t>ENST00000556314</t>
  </si>
  <si>
    <t>ENST00000557739</t>
  </si>
  <si>
    <t>Q9NRL3</t>
  </si>
  <si>
    <t>ENST00000263280</t>
  </si>
  <si>
    <t>ENST00000391910</t>
  </si>
  <si>
    <t>ENST00000435164</t>
  </si>
  <si>
    <t>ENST00000594581</t>
  </si>
  <si>
    <t>ENST00000594704</t>
  </si>
  <si>
    <t>ENST00000594847</t>
  </si>
  <si>
    <t>ENST00000595357</t>
  </si>
  <si>
    <t>ENST00000596016</t>
  </si>
  <si>
    <t>ENST00000597021</t>
  </si>
  <si>
    <t>ENST00000598074</t>
  </si>
  <si>
    <t>ENST00000599231</t>
  </si>
  <si>
    <t>ENST00000600358</t>
  </si>
  <si>
    <t>ENST00000600615</t>
  </si>
  <si>
    <t>ENST00000601631</t>
  </si>
  <si>
    <t>ENST00000601869</t>
  </si>
  <si>
    <t>Q9NRN7</t>
  </si>
  <si>
    <t>ENST00000278618</t>
  </si>
  <si>
    <t>ENST00000525660</t>
  </si>
  <si>
    <t>ENST00000534152</t>
  </si>
  <si>
    <t>Q9NRP2</t>
  </si>
  <si>
    <t>ENST00000219400</t>
  </si>
  <si>
    <t>ENST00000486645</t>
  </si>
  <si>
    <t>ENST00000561614</t>
  </si>
  <si>
    <t>ENST00000562713</t>
  </si>
  <si>
    <t>ENST00000563779</t>
  </si>
  <si>
    <t>ENST00000564174</t>
  </si>
  <si>
    <t>ENST00000564249</t>
  </si>
  <si>
    <t>ENST00000565108</t>
  </si>
  <si>
    <t>ENST00000565514</t>
  </si>
  <si>
    <t>ENST00000565613</t>
  </si>
  <si>
    <t>ENST00000566047</t>
  </si>
  <si>
    <t>ENST00000566231</t>
  </si>
  <si>
    <t>ENST00000566918</t>
  </si>
  <si>
    <t>ENST00000567593</t>
  </si>
  <si>
    <t>ENST00000569187</t>
  </si>
  <si>
    <t>ENST00000569666</t>
  </si>
  <si>
    <t>ENST00000570086</t>
  </si>
  <si>
    <t>ENST00000570195</t>
  </si>
  <si>
    <t>Q9NRP4</t>
  </si>
  <si>
    <t>ENST00000360382</t>
  </si>
  <si>
    <t>ENST00000432641</t>
  </si>
  <si>
    <t>ENST00000479853</t>
  </si>
  <si>
    <t>ENST00000489852</t>
  </si>
  <si>
    <t>Q9NRR5</t>
  </si>
  <si>
    <t>ENST00000368309</t>
  </si>
  <si>
    <t>ENST00000459954</t>
  </si>
  <si>
    <t>Q9NRV9</t>
  </si>
  <si>
    <t>ENST00000014930</t>
  </si>
  <si>
    <t>ENST00000536942</t>
  </si>
  <si>
    <t>Q9NRW3</t>
  </si>
  <si>
    <t>ENST00000361441</t>
  </si>
  <si>
    <t>ENST00000428892</t>
  </si>
  <si>
    <t>Q9NRW7</t>
  </si>
  <si>
    <t>ENST00000369130</t>
  </si>
  <si>
    <t>ENST00000460366</t>
  </si>
  <si>
    <t>ENST00000472756</t>
  </si>
  <si>
    <t>ENST00000477558</t>
  </si>
  <si>
    <t>ENST00000478999</t>
  </si>
  <si>
    <t>ENST00000497638</t>
  </si>
  <si>
    <t>Q9NRX1</t>
  </si>
  <si>
    <t>ENST00000263657</t>
  </si>
  <si>
    <t>ENST00000430742</t>
  </si>
  <si>
    <t>ENST00000488728</t>
  </si>
  <si>
    <t>Q9NRX2</t>
  </si>
  <si>
    <t>ENST00000288937</t>
  </si>
  <si>
    <t>ENST00000529958</t>
  </si>
  <si>
    <t>ENST00000532203</t>
  </si>
  <si>
    <t>Q9NRX4</t>
  </si>
  <si>
    <t>ENST00000247665</t>
  </si>
  <si>
    <t>ENST00000371661</t>
  </si>
  <si>
    <t>ENST00000463215</t>
  </si>
  <si>
    <t>ENST00000492540</t>
  </si>
  <si>
    <t>ENST00000497413</t>
  </si>
  <si>
    <t>Q9NRX5</t>
  </si>
  <si>
    <t>ENST00000339697</t>
  </si>
  <si>
    <t>Q9NRY2</t>
  </si>
  <si>
    <t>ENST00000374234</t>
  </si>
  <si>
    <t>ENST00000374236</t>
  </si>
  <si>
    <t>ENST00000374242</t>
  </si>
  <si>
    <t>ENST00000476599</t>
  </si>
  <si>
    <t>ENST00000481146</t>
  </si>
  <si>
    <t>ENST00000497712</t>
  </si>
  <si>
    <t>Q9NRY4</t>
  </si>
  <si>
    <t>ENST00000404338</t>
  </si>
  <si>
    <t>ENST00000598548</t>
  </si>
  <si>
    <t>ENST00000599284</t>
  </si>
  <si>
    <t>Q9NRY5</t>
  </si>
  <si>
    <t>ENST00000351797</t>
  </si>
  <si>
    <t>ENST00000517605</t>
  </si>
  <si>
    <t>ENST00000518735</t>
  </si>
  <si>
    <t>ENST00000518900</t>
  </si>
  <si>
    <t>ENST00000518914</t>
  </si>
  <si>
    <t>ENST00000518946</t>
  </si>
  <si>
    <t>ENST00000519808</t>
  </si>
  <si>
    <t>ENST00000522634</t>
  </si>
  <si>
    <t>ENST00000522858</t>
  </si>
  <si>
    <t>ENST00000524246</t>
  </si>
  <si>
    <t>Q9NRY6</t>
  </si>
  <si>
    <t>ENST00000324822</t>
  </si>
  <si>
    <t>ENST00000571078</t>
  </si>
  <si>
    <t>ENST00000571541</t>
  </si>
  <si>
    <t>ENST00000571802</t>
  </si>
  <si>
    <t>ENST00000573070</t>
  </si>
  <si>
    <t>ENST00000573774</t>
  </si>
  <si>
    <t>ENST00000574401</t>
  </si>
  <si>
    <t>ENST00000575434</t>
  </si>
  <si>
    <t>ENST00000575543</t>
  </si>
  <si>
    <t>ENST00000576201</t>
  </si>
  <si>
    <t>ENST00000576362</t>
  </si>
  <si>
    <t>Q9NS00</t>
  </si>
  <si>
    <t>ENST00000223122</t>
  </si>
  <si>
    <t>ENST00000402468</t>
  </si>
  <si>
    <t>ENST00000419721</t>
  </si>
  <si>
    <t>ENST00000436587</t>
  </si>
  <si>
    <t>ENST00000467716</t>
  </si>
  <si>
    <t>ENST00000476068</t>
  </si>
  <si>
    <t>Q9NS69</t>
  </si>
  <si>
    <t>ENST00000216034</t>
  </si>
  <si>
    <t>ENST00000492561</t>
  </si>
  <si>
    <t>Q9NS86</t>
  </si>
  <si>
    <t>ENST00000254770</t>
  </si>
  <si>
    <t>ENST00000466041</t>
  </si>
  <si>
    <t>ENST00000486376</t>
  </si>
  <si>
    <t>Q9NS87</t>
  </si>
  <si>
    <t>ENST00000326047</t>
  </si>
  <si>
    <t>Q9NS91</t>
  </si>
  <si>
    <t>ENST00000264926</t>
  </si>
  <si>
    <t>ENST00000429790</t>
  </si>
  <si>
    <t>ENST00000469793</t>
  </si>
  <si>
    <t>ENST00000473069</t>
  </si>
  <si>
    <t>Q9NSD9</t>
  </si>
  <si>
    <t>ENST00000281828</t>
  </si>
  <si>
    <t>Q9NSE2</t>
  </si>
  <si>
    <t>ENST00000348721</t>
  </si>
  <si>
    <t>ENST00000491847</t>
  </si>
  <si>
    <t>Q9NSE4</t>
  </si>
  <si>
    <t>ENST00000366922</t>
  </si>
  <si>
    <t>ENST00000467924</t>
  </si>
  <si>
    <t>ENST00000488777</t>
  </si>
  <si>
    <t>ENST00000490891</t>
  </si>
  <si>
    <t>Q9NSI8</t>
  </si>
  <si>
    <t>ENST00000400564</t>
  </si>
  <si>
    <t>ENST00000400566</t>
  </si>
  <si>
    <t>ENST00000463807</t>
  </si>
  <si>
    <t>ENST00000493640</t>
  </si>
  <si>
    <t>Q9NSK0</t>
  </si>
  <si>
    <t>ENST00000347162</t>
  </si>
  <si>
    <t>ENST00000458460</t>
  </si>
  <si>
    <t>ENST00000463063</t>
  </si>
  <si>
    <t>ENST00000463168</t>
  </si>
  <si>
    <t>ENST00000467906</t>
  </si>
  <si>
    <t>ENST00000468114</t>
  </si>
  <si>
    <t>ENST00000469987</t>
  </si>
  <si>
    <t>ENST00000472172</t>
  </si>
  <si>
    <t>ENST00000481499</t>
  </si>
  <si>
    <t>ENST00000481888</t>
  </si>
  <si>
    <t>ENST00000486439</t>
  </si>
  <si>
    <t>Q9NSY1</t>
  </si>
  <si>
    <t>ENST00000335016</t>
  </si>
  <si>
    <t>ENST00000389010</t>
  </si>
  <si>
    <t>ENST00000502613</t>
  </si>
  <si>
    <t>ENST00000502871</t>
  </si>
  <si>
    <t>ENST00000505725</t>
  </si>
  <si>
    <t>ENST00000507670</t>
  </si>
  <si>
    <t>ENST00000515075</t>
  </si>
  <si>
    <t>Q9NTJ3</t>
  </si>
  <si>
    <t>ENST00000344722</t>
  </si>
  <si>
    <t>ENST00000357388</t>
  </si>
  <si>
    <t>ENST00000462668</t>
  </si>
  <si>
    <t>ENST00000462787</t>
  </si>
  <si>
    <t>ENST00000465563</t>
  </si>
  <si>
    <t>ENST00000467263</t>
  </si>
  <si>
    <t>ENST00000468653</t>
  </si>
  <si>
    <t>ENST00000484799</t>
  </si>
  <si>
    <t>ENST00000486711</t>
  </si>
  <si>
    <t>ENST00000487747</t>
  </si>
  <si>
    <t>ENST00000488017</t>
  </si>
  <si>
    <t>ENST00000493695</t>
  </si>
  <si>
    <t>ENST00000497203</t>
  </si>
  <si>
    <t>Q9NTJ5</t>
  </si>
  <si>
    <t>ENST00000389061</t>
  </si>
  <si>
    <t>ENST00000418611</t>
  </si>
  <si>
    <t>ENST00000433336</t>
  </si>
  <si>
    <t>ENST00000438671</t>
  </si>
  <si>
    <t>ENST00000441228</t>
  </si>
  <si>
    <t>ENST00000445499</t>
  </si>
  <si>
    <t>ENST00000455997</t>
  </si>
  <si>
    <t>ENST00000463237</t>
  </si>
  <si>
    <t>ENST00000463347</t>
  </si>
  <si>
    <t>ENST00000463659</t>
  </si>
  <si>
    <t>ENST00000464102</t>
  </si>
  <si>
    <t>ENST00000464524</t>
  </si>
  <si>
    <t>ENST00000471207</t>
  </si>
  <si>
    <t>ENST00000485311</t>
  </si>
  <si>
    <t>Q9NTK5</t>
  </si>
  <si>
    <t>ENST00000284719</t>
  </si>
  <si>
    <t>ENST00000344357</t>
  </si>
  <si>
    <t>ENST00000462000</t>
  </si>
  <si>
    <t>ENST00000497760</t>
  </si>
  <si>
    <t>Q9NTM9</t>
  </si>
  <si>
    <t>ENST00000370472</t>
  </si>
  <si>
    <t>ENST00000370476</t>
  </si>
  <si>
    <t>ENST00000471520</t>
  </si>
  <si>
    <t>Q9NTN3</t>
  </si>
  <si>
    <t>ENST00000235345</t>
  </si>
  <si>
    <t>Q9NTZ6</t>
  </si>
  <si>
    <t>ENST00000374104</t>
  </si>
  <si>
    <t>ENST00000374114</t>
  </si>
  <si>
    <t>ENST00000424458</t>
  </si>
  <si>
    <t>ENST00000431148</t>
  </si>
  <si>
    <t>ENST00000435161</t>
  </si>
  <si>
    <t>Q9NU19</t>
  </si>
  <si>
    <t>ENST00000373491</t>
  </si>
  <si>
    <t>Q9NU22</t>
  </si>
  <si>
    <t>ENST00000369393</t>
  </si>
  <si>
    <t>ENST00000468568</t>
  </si>
  <si>
    <t>Q9NU23</t>
  </si>
  <si>
    <t>ENST00000412237</t>
  </si>
  <si>
    <t>ENST00000517396</t>
  </si>
  <si>
    <t>ENST00000520318</t>
  </si>
  <si>
    <t>ENST00000521961</t>
  </si>
  <si>
    <t>ENST00000523075</t>
  </si>
  <si>
    <t>ENST00000523377</t>
  </si>
  <si>
    <t>ENST00000523793</t>
  </si>
  <si>
    <t>ENST00000524153</t>
  </si>
  <si>
    <t>Q9NUA8</t>
  </si>
  <si>
    <t>ENST00000375647</t>
  </si>
  <si>
    <t>ENST00000404138</t>
  </si>
  <si>
    <t>Q9NUE0</t>
  </si>
  <si>
    <t>ENST00000374142</t>
  </si>
  <si>
    <t>ENST00000478902</t>
  </si>
  <si>
    <t>Q9NUG6</t>
  </si>
  <si>
    <t>ENST00000202017</t>
  </si>
  <si>
    <t>Q9NUJ1</t>
  </si>
  <si>
    <t>ENST00000273359</t>
  </si>
  <si>
    <t>ENST00000493784</t>
  </si>
  <si>
    <t>ENST00000494817</t>
  </si>
  <si>
    <t>ENST00000497293</t>
  </si>
  <si>
    <t>Q9NUJ3</t>
  </si>
  <si>
    <t>ENST00000334274</t>
  </si>
  <si>
    <t>ENST00000527661</t>
  </si>
  <si>
    <t>ENST00000528107</t>
  </si>
  <si>
    <t>ENST00000532687</t>
  </si>
  <si>
    <t>Q9NUL5</t>
  </si>
  <si>
    <t>ENST00000253110</t>
  </si>
  <si>
    <t>ENST00000397881</t>
  </si>
  <si>
    <t>ENST00000585919</t>
  </si>
  <si>
    <t>ENST00000586730</t>
  </si>
  <si>
    <t>ENST00000586889</t>
  </si>
  <si>
    <t>ENST00000587609</t>
  </si>
  <si>
    <t>ENST00000587710</t>
  </si>
  <si>
    <t>ENST00000590378</t>
  </si>
  <si>
    <t>ENST00000591813</t>
  </si>
  <si>
    <t>ENST00000592551</t>
  </si>
  <si>
    <t>ENST00000593131</t>
  </si>
  <si>
    <t>Q9NUL7</t>
  </si>
  <si>
    <t>ENST00000332395</t>
  </si>
  <si>
    <t>Q9NUM4</t>
  </si>
  <si>
    <t>ENST00000396667</t>
  </si>
  <si>
    <t>ENST00000396668</t>
  </si>
  <si>
    <t>ENST00000420833</t>
  </si>
  <si>
    <t>ENST00000444443</t>
  </si>
  <si>
    <t>ENST00000462754</t>
  </si>
  <si>
    <t>ENST00000492762</t>
  </si>
  <si>
    <t>Q9NUP1</t>
  </si>
  <si>
    <t>ENST00000320776</t>
  </si>
  <si>
    <t>Q9NUP7</t>
  </si>
  <si>
    <t>ENST00000370139</t>
  </si>
  <si>
    <t>ENST00000370141</t>
  </si>
  <si>
    <t>ENST00000370143</t>
  </si>
  <si>
    <t>ENST00000482437</t>
  </si>
  <si>
    <t>ENST00000493651</t>
  </si>
  <si>
    <t>Q9NUP9</t>
  </si>
  <si>
    <t>ENST00000278193</t>
  </si>
  <si>
    <t>Q9NUQ2</t>
  </si>
  <si>
    <t>ENST00000285518</t>
  </si>
  <si>
    <t>ENST00000523234</t>
  </si>
  <si>
    <t>ENST00000533648</t>
  </si>
  <si>
    <t>Q9NUQ3</t>
  </si>
  <si>
    <t>ENST00000380122</t>
  </si>
  <si>
    <t>ENST00000485153</t>
  </si>
  <si>
    <t>Q9NUQ7</t>
  </si>
  <si>
    <t>ENST00000264689</t>
  </si>
  <si>
    <t>ENST00000502282</t>
  </si>
  <si>
    <t>ENST00000509180</t>
  </si>
  <si>
    <t>ENST00000510206</t>
  </si>
  <si>
    <t>ENST00000510755</t>
  </si>
  <si>
    <t>ENST00000514247</t>
  </si>
  <si>
    <t>Q9NUQ9</t>
  </si>
  <si>
    <t>ENST00000401979</t>
  </si>
  <si>
    <t>ENST00000517654</t>
  </si>
  <si>
    <t>ENST00000517801</t>
  </si>
  <si>
    <t>ENST00000518167</t>
  </si>
  <si>
    <t>ENST00000518283</t>
  </si>
  <si>
    <t>ENST00000518285</t>
  </si>
  <si>
    <t>ENST00000518344</t>
  </si>
  <si>
    <t>ENST00000518879</t>
  </si>
  <si>
    <t>ENST00000519020</t>
  </si>
  <si>
    <t>ENST00000519070</t>
  </si>
  <si>
    <t>ENST00000519110</t>
  </si>
  <si>
    <t>ENST00000519142</t>
  </si>
  <si>
    <t>ENST00000519540</t>
  </si>
  <si>
    <t>ENST00000519824</t>
  </si>
  <si>
    <t>ENST00000520204</t>
  </si>
  <si>
    <t>ENST00000520254</t>
  </si>
  <si>
    <t>ENST00000520887</t>
  </si>
  <si>
    <t>ENST00000521223</t>
  </si>
  <si>
    <t>ENST00000522361</t>
  </si>
  <si>
    <t>ENST00000522702</t>
  </si>
  <si>
    <t>ENST00000522746</t>
  </si>
  <si>
    <t>ENST00000522941</t>
  </si>
  <si>
    <t>ENST00000523288</t>
  </si>
  <si>
    <t>ENST00000523509</t>
  </si>
  <si>
    <t>ENST00000523514</t>
  </si>
  <si>
    <t>ENST00000523993</t>
  </si>
  <si>
    <t>Q9NUS5</t>
  </si>
  <si>
    <t>ENST00000246041</t>
  </si>
  <si>
    <t>ENST00000379567</t>
  </si>
  <si>
    <t>ENST00000379573</t>
  </si>
  <si>
    <t>ENST00000455742</t>
  </si>
  <si>
    <t>Q9NUU6</t>
  </si>
  <si>
    <t>ENST00000274217</t>
  </si>
  <si>
    <t>ENST00000506258</t>
  </si>
  <si>
    <t>ENST00000513825</t>
  </si>
  <si>
    <t>Q9NUU7</t>
  </si>
  <si>
    <t>ENST00000302243</t>
  </si>
  <si>
    <t>ENST00000443119</t>
  </si>
  <si>
    <t>ENST00000562140</t>
  </si>
  <si>
    <t>ENST00000562509</t>
  </si>
  <si>
    <t>ENST00000565195</t>
  </si>
  <si>
    <t>ENST00000566167</t>
  </si>
  <si>
    <t>ENST00000566574</t>
  </si>
  <si>
    <t>ENST00000567012</t>
  </si>
  <si>
    <t>ENST00000568779</t>
  </si>
  <si>
    <t>ENST00000569319</t>
  </si>
  <si>
    <t>ENST00000569771</t>
  </si>
  <si>
    <t>Q9NUV9</t>
  </si>
  <si>
    <t>ENST00000255945</t>
  </si>
  <si>
    <t>ENST00000461940</t>
  </si>
  <si>
    <t>Q9NUW8</t>
  </si>
  <si>
    <t>ENST00000335725</t>
  </si>
  <si>
    <t>ENST00000393452</t>
  </si>
  <si>
    <t>ENST00000393454</t>
  </si>
  <si>
    <t>ENST00000545686</t>
  </si>
  <si>
    <t>ENST00000553527</t>
  </si>
  <si>
    <t>ENST00000553569</t>
  </si>
  <si>
    <t>ENST00000553989</t>
  </si>
  <si>
    <t>ENST00000554180</t>
  </si>
  <si>
    <t>ENST00000554976</t>
  </si>
  <si>
    <t>ENST00000555880</t>
  </si>
  <si>
    <t>ENST00000556063</t>
  </si>
  <si>
    <t>ENST00000556498</t>
  </si>
  <si>
    <t>ENST00000556867</t>
  </si>
  <si>
    <t>ENST00000557782</t>
  </si>
  <si>
    <t>Q9NV06</t>
  </si>
  <si>
    <t>ENST00000297579</t>
  </si>
  <si>
    <t>ENST00000518554</t>
  </si>
  <si>
    <t>ENST00000519682</t>
  </si>
  <si>
    <t>ENST00000521716</t>
  </si>
  <si>
    <t>ENST00000521971</t>
  </si>
  <si>
    <t>ENST00000521999</t>
  </si>
  <si>
    <t>Q9NV31</t>
  </si>
  <si>
    <t>ENST00000314852</t>
  </si>
  <si>
    <t>ENST00000565349</t>
  </si>
  <si>
    <t>Q9NV35</t>
  </si>
  <si>
    <t>ENST00000258662</t>
  </si>
  <si>
    <t>Q9NV56</t>
  </si>
  <si>
    <t>ENST00000370487</t>
  </si>
  <si>
    <t>Q9NV88</t>
  </si>
  <si>
    <t>ENST00000416984</t>
  </si>
  <si>
    <t>ENST00000517383</t>
  </si>
  <si>
    <t>ENST00000519578</t>
  </si>
  <si>
    <t>ENST00000520005</t>
  </si>
  <si>
    <t>ENST00000520184</t>
  </si>
  <si>
    <t>ENST00000520316</t>
  </si>
  <si>
    <t>ENST00000520831</t>
  </si>
  <si>
    <t>ENST00000520983</t>
  </si>
  <si>
    <t>ENST00000521022</t>
  </si>
  <si>
    <t>ENST00000522074</t>
  </si>
  <si>
    <t>ENST00000523076</t>
  </si>
  <si>
    <t>ENST00000523303</t>
  </si>
  <si>
    <t>ENST00000523436</t>
  </si>
  <si>
    <t>Q9NV96</t>
  </si>
  <si>
    <t>ENST00000230461</t>
  </si>
  <si>
    <t>ENST00000370050</t>
  </si>
  <si>
    <t>ENST00000475111</t>
  </si>
  <si>
    <t>Q9NVA2</t>
  </si>
  <si>
    <t>ENST00000264893</t>
  </si>
  <si>
    <t>ENST00000502584</t>
  </si>
  <si>
    <t>ENST00000505788</t>
  </si>
  <si>
    <t>ENST00000506047</t>
  </si>
  <si>
    <t>ENST00000510515</t>
  </si>
  <si>
    <t>ENST00000510641</t>
  </si>
  <si>
    <t>ENST00000513697</t>
  </si>
  <si>
    <t>Q9NVA4</t>
  </si>
  <si>
    <t>ENST00000296582</t>
  </si>
  <si>
    <t>ENST00000506826</t>
  </si>
  <si>
    <t>ENST00000508208</t>
  </si>
  <si>
    <t>Q9NVC6</t>
  </si>
  <si>
    <t>ENST00000251871</t>
  </si>
  <si>
    <t>ENST00000507258</t>
  </si>
  <si>
    <t>ENST00000525026</t>
  </si>
  <si>
    <t>ENST00000525613</t>
  </si>
  <si>
    <t>ENST00000529626</t>
  </si>
  <si>
    <t>ENST00000530819</t>
  </si>
  <si>
    <t>ENST00000531920</t>
  </si>
  <si>
    <t>ENST00000533133</t>
  </si>
  <si>
    <t>Q9NVE7</t>
  </si>
  <si>
    <t>ENST00000378466</t>
  </si>
  <si>
    <t>ENST00000468002</t>
  </si>
  <si>
    <t>ENST00000471361</t>
  </si>
  <si>
    <t>ENST00000486396</t>
  </si>
  <si>
    <t>ENST00000487804</t>
  </si>
  <si>
    <t>ENST00000491212</t>
  </si>
  <si>
    <t>ENST00000502512</t>
  </si>
  <si>
    <t>ENST00000502770</t>
  </si>
  <si>
    <t>ENST00000505228</t>
  </si>
  <si>
    <t>ENST00000514922</t>
  </si>
  <si>
    <t>ENST00000515423</t>
  </si>
  <si>
    <t>Q9NVF7</t>
  </si>
  <si>
    <t>ENST00000366862</t>
  </si>
  <si>
    <t>ENST00000424254</t>
  </si>
  <si>
    <t>ENST00000483773</t>
  </si>
  <si>
    <t>ENST00000519894</t>
  </si>
  <si>
    <t>Q9NVG8</t>
  </si>
  <si>
    <t>ENST00000372648</t>
  </si>
  <si>
    <t>ENST00000475097</t>
  </si>
  <si>
    <t>Q9NVH0</t>
  </si>
  <si>
    <t>ENST00000409014</t>
  </si>
  <si>
    <t>ENST00000409018</t>
  </si>
  <si>
    <t>ENST00000409949</t>
  </si>
  <si>
    <t>ENST00000465286</t>
  </si>
  <si>
    <t>Q9NVH1</t>
  </si>
  <si>
    <t>ENST00000294401</t>
  </si>
  <si>
    <t>ENST00000377577</t>
  </si>
  <si>
    <t>ENST00000460594</t>
  </si>
  <si>
    <t>ENST00000465508</t>
  </si>
  <si>
    <t>ENST00000465911</t>
  </si>
  <si>
    <t>ENST00000485073</t>
  </si>
  <si>
    <t>Q9NVH6</t>
  </si>
  <si>
    <t>ENST00000334398</t>
  </si>
  <si>
    <t>ENST00000369439</t>
  </si>
  <si>
    <t>ENST00000461075</t>
  </si>
  <si>
    <t>ENST00000487422</t>
  </si>
  <si>
    <t>Q9NVI1</t>
  </si>
  <si>
    <t>ENST00000300027</t>
  </si>
  <si>
    <t>ENST00000310775</t>
  </si>
  <si>
    <t>ENST00000447611</t>
  </si>
  <si>
    <t>ENST00000563250</t>
  </si>
  <si>
    <t>ENST00000564350</t>
  </si>
  <si>
    <t>ENST00000564636</t>
  </si>
  <si>
    <t>ENST00000566615</t>
  </si>
  <si>
    <t>ENST00000566895</t>
  </si>
  <si>
    <t>ENST00000567891</t>
  </si>
  <si>
    <t>ENST00000567996</t>
  </si>
  <si>
    <t>ENST00000568670</t>
  </si>
  <si>
    <t>ENST00000570110</t>
  </si>
  <si>
    <t>ENST00000570225</t>
  </si>
  <si>
    <t>Q9NVJ2</t>
  </si>
  <si>
    <t>ENST00000256496</t>
  </si>
  <si>
    <t>ENST00000429403</t>
  </si>
  <si>
    <t>ENST00000444332</t>
  </si>
  <si>
    <t>ENST00000468010</t>
  </si>
  <si>
    <t>ENST00000476343</t>
  </si>
  <si>
    <t>Q9NVM6</t>
  </si>
  <si>
    <t>ENST00000220496</t>
  </si>
  <si>
    <t>ENST00000558727</t>
  </si>
  <si>
    <t>ENST00000558769</t>
  </si>
  <si>
    <t>ENST00000559238</t>
  </si>
  <si>
    <t>ENST00000559310</t>
  </si>
  <si>
    <t>ENST00000560065</t>
  </si>
  <si>
    <t>ENST00000560301</t>
  </si>
  <si>
    <t>ENST00000560645</t>
  </si>
  <si>
    <t>ENST00000561018</t>
  </si>
  <si>
    <t>ENST00000561110</t>
  </si>
  <si>
    <t>Q9NVM9</t>
  </si>
  <si>
    <t>ENST00000261191</t>
  </si>
  <si>
    <t>ENST00000536232</t>
  </si>
  <si>
    <t>ENST00000538016</t>
  </si>
  <si>
    <t>ENST00000538155</t>
  </si>
  <si>
    <t>ENST00000538748</t>
  </si>
  <si>
    <t>ENST00000544548</t>
  </si>
  <si>
    <t>Q9NVN8</t>
  </si>
  <si>
    <t>ENST00000336470</t>
  </si>
  <si>
    <t>ENST00000360845</t>
  </si>
  <si>
    <t>Q9NVP1</t>
  </si>
  <si>
    <t>ENST00000263239</t>
  </si>
  <si>
    <t>ENST00000415038</t>
  </si>
  <si>
    <t>ENST00000461443</t>
  </si>
  <si>
    <t>ENST00000474694</t>
  </si>
  <si>
    <t>ENST00000476149</t>
  </si>
  <si>
    <t>ENST00000489933</t>
  </si>
  <si>
    <t>Q9NVQ4</t>
  </si>
  <si>
    <t>ENST00000360570</t>
  </si>
  <si>
    <t>ENST00000393034</t>
  </si>
  <si>
    <t>ENST00000393035</t>
  </si>
  <si>
    <t>ENST00000464912</t>
  </si>
  <si>
    <t>ENST00000470889</t>
  </si>
  <si>
    <t>ENST00000491175</t>
  </si>
  <si>
    <t>Q9NVR0</t>
  </si>
  <si>
    <t>ENST00000319121</t>
  </si>
  <si>
    <t>Q9NVR2</t>
  </si>
  <si>
    <t>ENST00000397977</t>
  </si>
  <si>
    <t>ENST00000517546</t>
  </si>
  <si>
    <t>ENST00000518424</t>
  </si>
  <si>
    <t>ENST00000519493</t>
  </si>
  <si>
    <t>ENST00000520827</t>
  </si>
  <si>
    <t>ENST00000520985</t>
  </si>
  <si>
    <t>ENST00000521008</t>
  </si>
  <si>
    <t>ENST00000522081</t>
  </si>
  <si>
    <t>ENST00000522114</t>
  </si>
  <si>
    <t>ENST00000522806</t>
  </si>
  <si>
    <t>ENST00000523143</t>
  </si>
  <si>
    <t>ENST00000523846</t>
  </si>
  <si>
    <t>ENST00000523869</t>
  </si>
  <si>
    <t>ENST00000607660</t>
  </si>
  <si>
    <t>Q9NVR5</t>
  </si>
  <si>
    <t>ENST00000298292</t>
  </si>
  <si>
    <t>ENST00000406043</t>
  </si>
  <si>
    <t>Q9NVS2</t>
  </si>
  <si>
    <t>ENST00000372116</t>
  </si>
  <si>
    <t>ENST00000372133</t>
  </si>
  <si>
    <t>ENST00000427312</t>
  </si>
  <si>
    <t>Q9NVT9</t>
  </si>
  <si>
    <t>ENST00000276569</t>
  </si>
  <si>
    <t>ENST00000518908</t>
  </si>
  <si>
    <t>Q9NVU7</t>
  </si>
  <si>
    <t>ENST00000356260</t>
  </si>
  <si>
    <t>ENST00000395710</t>
  </si>
  <si>
    <t>ENST00000504975</t>
  </si>
  <si>
    <t>ENST00000507396</t>
  </si>
  <si>
    <t>ENST00000513089</t>
  </si>
  <si>
    <t>ENST00000514710</t>
  </si>
  <si>
    <t>ENST00000515836</t>
  </si>
  <si>
    <t>Q9NVV0</t>
  </si>
  <si>
    <t>ENST00000374692</t>
  </si>
  <si>
    <t>ENST00000434214</t>
  </si>
  <si>
    <t>ENST00000435034</t>
  </si>
  <si>
    <t>ENST00000451560</t>
  </si>
  <si>
    <t>Q9NVV4</t>
  </si>
  <si>
    <t>ENST00000263063</t>
  </si>
  <si>
    <t>ENST00000417581</t>
  </si>
  <si>
    <t>ENST00000421701</t>
  </si>
  <si>
    <t>Q9NVV9</t>
  </si>
  <si>
    <t>ENST00000254250</t>
  </si>
  <si>
    <t>ENST00000345117</t>
  </si>
  <si>
    <t>ENST00000532093</t>
  </si>
  <si>
    <t>Q9NVW2</t>
  </si>
  <si>
    <t>ENST00000332687</t>
  </si>
  <si>
    <t>ENST00000349225</t>
  </si>
  <si>
    <t>Q9NVX2</t>
  </si>
  <si>
    <t>ENST00000442241</t>
  </si>
  <si>
    <t>ENST00000586869</t>
  </si>
  <si>
    <t>ENST00000588019</t>
  </si>
  <si>
    <t>ENST00000588642</t>
  </si>
  <si>
    <t>ENST00000589367</t>
  </si>
  <si>
    <t>ENST00000593176</t>
  </si>
  <si>
    <t>Q9NVX7</t>
  </si>
  <si>
    <t>ENST00000395288</t>
  </si>
  <si>
    <t>ENST00000430070</t>
  </si>
  <si>
    <t>ENST00000525720</t>
  </si>
  <si>
    <t>ENST00000526005</t>
  </si>
  <si>
    <t>ENST00000529499</t>
  </si>
  <si>
    <t>ENST00000529946</t>
  </si>
  <si>
    <t>ENST00000533290</t>
  </si>
  <si>
    <t>Q9NVZ3</t>
  </si>
  <si>
    <t>ENST00000337132</t>
  </si>
  <si>
    <t>ENST00000443980</t>
  </si>
  <si>
    <t>ENST00000459640</t>
  </si>
  <si>
    <t>ENST00000486390</t>
  </si>
  <si>
    <t>ENST00000492095</t>
  </si>
  <si>
    <t>ENST00000496239</t>
  </si>
  <si>
    <t>ENST00000504551</t>
  </si>
  <si>
    <t>ENST00000509727</t>
  </si>
  <si>
    <t>Q9NW13</t>
  </si>
  <si>
    <t>ENST00000223073</t>
  </si>
  <si>
    <t>ENST00000415472</t>
  </si>
  <si>
    <t>ENST00000481788</t>
  </si>
  <si>
    <t>ENST00000487602</t>
  </si>
  <si>
    <t>ENST00000488249</t>
  </si>
  <si>
    <t>ENST00000495327</t>
  </si>
  <si>
    <t>Q9NW64</t>
  </si>
  <si>
    <t>ENST00000199814</t>
  </si>
  <si>
    <t>ENST00000520132</t>
  </si>
  <si>
    <t>ENST00000521248</t>
  </si>
  <si>
    <t>ENST00000521464</t>
  </si>
  <si>
    <t>ENST00000521594</t>
  </si>
  <si>
    <t>ENST00000522469</t>
  </si>
  <si>
    <t>Q9NW81</t>
  </si>
  <si>
    <t>ENST00000221943</t>
  </si>
  <si>
    <t>ENST00000438807</t>
  </si>
  <si>
    <t>ENST00000589970</t>
  </si>
  <si>
    <t>ENST00000592922</t>
  </si>
  <si>
    <t>ENST00000595407</t>
  </si>
  <si>
    <t>ENST00000595425</t>
  </si>
  <si>
    <t>ENST00000597608</t>
  </si>
  <si>
    <t>Q9NW82</t>
  </si>
  <si>
    <t>ENST00000265107</t>
  </si>
  <si>
    <t>ENST00000505799</t>
  </si>
  <si>
    <t>ENST00000507136</t>
  </si>
  <si>
    <t>ENST00000508730</t>
  </si>
  <si>
    <t>ENST00000511906</t>
  </si>
  <si>
    <t>Q9NWB6</t>
  </si>
  <si>
    <t>ENST00000400198</t>
  </si>
  <si>
    <t>ENST00000472226</t>
  </si>
  <si>
    <t>Q9NWH9</t>
  </si>
  <si>
    <t>ENST00000380516</t>
  </si>
  <si>
    <t>ENST00000432750</t>
  </si>
  <si>
    <t>ENST00000473359</t>
  </si>
  <si>
    <t>ENST00000474342</t>
  </si>
  <si>
    <t>ENST00000480144</t>
  </si>
  <si>
    <t>ENST00000484498</t>
  </si>
  <si>
    <t>ENST00000492526</t>
  </si>
  <si>
    <t>ENST00000493062</t>
  </si>
  <si>
    <t>ENST00000497088</t>
  </si>
  <si>
    <t>ENST00000557950</t>
  </si>
  <si>
    <t>ENST00000558052</t>
  </si>
  <si>
    <t>ENST00000558486</t>
  </si>
  <si>
    <t>ENST00000558734</t>
  </si>
  <si>
    <t>ENST00000558756</t>
  </si>
  <si>
    <t>ENST00000559261</t>
  </si>
  <si>
    <t>ENST00000559305</t>
  </si>
  <si>
    <t>ENST00000559880</t>
  </si>
  <si>
    <t>ENST00000560012</t>
  </si>
  <si>
    <t>ENST00000560494</t>
  </si>
  <si>
    <t>ENST00000560532</t>
  </si>
  <si>
    <t>ENST00000560695</t>
  </si>
  <si>
    <t>Q9NWQ8</t>
  </si>
  <si>
    <t>ENST00000220597</t>
  </si>
  <si>
    <t>ENST00000519326</t>
  </si>
  <si>
    <t>ENST00000522811</t>
  </si>
  <si>
    <t>ENST00000523463</t>
  </si>
  <si>
    <t>Q9NWR8</t>
  </si>
  <si>
    <t>ENST00000394650</t>
  </si>
  <si>
    <t>ENST00000452915</t>
  </si>
  <si>
    <t>ENST00000472310</t>
  </si>
  <si>
    <t>ENST00000494604</t>
  </si>
  <si>
    <t>ENST00000515114</t>
  </si>
  <si>
    <t>Q9NWS0</t>
  </si>
  <si>
    <t>ENST00000262265</t>
  </si>
  <si>
    <t>ENST00000593629</t>
  </si>
  <si>
    <t>ENST00000593900</t>
  </si>
  <si>
    <t>ENST00000595074</t>
  </si>
  <si>
    <t>ENST00000595516</t>
  </si>
  <si>
    <t>ENST00000595550</t>
  </si>
  <si>
    <t>ENST00000595633</t>
  </si>
  <si>
    <t>ENST00000596651</t>
  </si>
  <si>
    <t>ENST00000596895</t>
  </si>
  <si>
    <t>ENST00000596916</t>
  </si>
  <si>
    <t>ENST00000597415</t>
  </si>
  <si>
    <t>ENST00000597577</t>
  </si>
  <si>
    <t>ENST00000598175</t>
  </si>
  <si>
    <t>ENST00000598889</t>
  </si>
  <si>
    <t>ENST00000599791</t>
  </si>
  <si>
    <t>ENST00000600875</t>
  </si>
  <si>
    <t>ENST00000601053</t>
  </si>
  <si>
    <t>ENST00000602076</t>
  </si>
  <si>
    <t>Q9NWS8</t>
  </si>
  <si>
    <t>ENST00000367303</t>
  </si>
  <si>
    <t>ENST00000491268</t>
  </si>
  <si>
    <t>Q9NWT1</t>
  </si>
  <si>
    <t>ENST00000379568</t>
  </si>
  <si>
    <t>Q9NWT6</t>
  </si>
  <si>
    <t>ENST00000299163</t>
  </si>
  <si>
    <t>ENST00000478787</t>
  </si>
  <si>
    <t>ENST00000528044</t>
  </si>
  <si>
    <t>Q9NWU1</t>
  </si>
  <si>
    <t>ENST00000280701</t>
  </si>
  <si>
    <t>ENST00000448177</t>
  </si>
  <si>
    <t>ENST00000464688</t>
  </si>
  <si>
    <t>Q9NWU2</t>
  </si>
  <si>
    <t>ENST00000266069</t>
  </si>
  <si>
    <t>Q9NWU5</t>
  </si>
  <si>
    <t>ENST00000265229</t>
  </si>
  <si>
    <t>ENST00000439747</t>
  </si>
  <si>
    <t>ENST00000518364</t>
  </si>
  <si>
    <t>ENST00000519059</t>
  </si>
  <si>
    <t>ENST00000520040</t>
  </si>
  <si>
    <t>ENST00000522038</t>
  </si>
  <si>
    <t>ENST00000523037</t>
  </si>
  <si>
    <t>Q9NWV4</t>
  </si>
  <si>
    <t>ENST00000294360</t>
  </si>
  <si>
    <t>ENST00000470385</t>
  </si>
  <si>
    <t>ENST00000474227</t>
  </si>
  <si>
    <t>ENST00000478839</t>
  </si>
  <si>
    <t>ENST00000483739</t>
  </si>
  <si>
    <t>ENST00000489755</t>
  </si>
  <si>
    <t>ENST00000602807</t>
  </si>
  <si>
    <t>Q9NWV8</t>
  </si>
  <si>
    <t>ENST00000359435</t>
  </si>
  <si>
    <t>ENST00000447614</t>
  </si>
  <si>
    <t>ENST00000448635</t>
  </si>
  <si>
    <t>ENST00000594247</t>
  </si>
  <si>
    <t>ENST00000595393</t>
  </si>
  <si>
    <t>ENST00000595632</t>
  </si>
  <si>
    <t>ENST00000596335</t>
  </si>
  <si>
    <t>ENST00000598188</t>
  </si>
  <si>
    <t>ENST00000598382</t>
  </si>
  <si>
    <t>ENST00000598567</t>
  </si>
  <si>
    <t>ENST00000599474</t>
  </si>
  <si>
    <t>ENST00000601043</t>
  </si>
  <si>
    <t>ENST00000601232</t>
  </si>
  <si>
    <t>ENST00000602066</t>
  </si>
  <si>
    <t>Q9NWW5</t>
  </si>
  <si>
    <t>ENST00000563917</t>
  </si>
  <si>
    <t>ENST00000569336</t>
  </si>
  <si>
    <t>Q9NWX6</t>
  </si>
  <si>
    <t>ENST00000231198</t>
  </si>
  <si>
    <t>ENST00000521655</t>
  </si>
  <si>
    <t>ENST00000523575</t>
  </si>
  <si>
    <t>Q9NWY4</t>
  </si>
  <si>
    <t>ENST00000393381</t>
  </si>
  <si>
    <t>ENST00000506125</t>
  </si>
  <si>
    <t>ENST00000515204</t>
  </si>
  <si>
    <t>Q9NWZ3</t>
  </si>
  <si>
    <t>ENST00000431837</t>
  </si>
  <si>
    <t>ENST00000448290</t>
  </si>
  <si>
    <t>ENST00000547101</t>
  </si>
  <si>
    <t>ENST00000547521</t>
  </si>
  <si>
    <t>ENST00000547928</t>
  </si>
  <si>
    <t>ENST00000550386</t>
  </si>
  <si>
    <t>ENST00000550615</t>
  </si>
  <si>
    <t>ENST00000550616</t>
  </si>
  <si>
    <t>ENST00000551736</t>
  </si>
  <si>
    <t>ENST00000552309</t>
  </si>
  <si>
    <t>Q9NWZ8</t>
  </si>
  <si>
    <t>ENST00000332885</t>
  </si>
  <si>
    <t>ENST00000380523</t>
  </si>
  <si>
    <t>ENST00000398355</t>
  </si>
  <si>
    <t>ENST00000460203</t>
  </si>
  <si>
    <t>ENST00000477386</t>
  </si>
  <si>
    <t>Q9NX00</t>
  </si>
  <si>
    <t>ENST00000253047</t>
  </si>
  <si>
    <t>Q9NX01</t>
  </si>
  <si>
    <t>ENST00000268483</t>
  </si>
  <si>
    <t>ENST00000426362</t>
  </si>
  <si>
    <t>Q9NX05</t>
  </si>
  <si>
    <t>ENST00000375180</t>
  </si>
  <si>
    <t>ENST00000477084</t>
  </si>
  <si>
    <t>ENST00000497680</t>
  </si>
  <si>
    <t>Q9NX08</t>
  </si>
  <si>
    <t>ENST00000381571</t>
  </si>
  <si>
    <t>ENST00000509220</t>
  </si>
  <si>
    <t>Q9NX09</t>
  </si>
  <si>
    <t>ENST00000307365</t>
  </si>
  <si>
    <t>ENST00000471240</t>
  </si>
  <si>
    <t>ENST00000473155</t>
  </si>
  <si>
    <t>Q9NX14</t>
  </si>
  <si>
    <t>ENST00000276062</t>
  </si>
  <si>
    <t>ENST00000377811</t>
  </si>
  <si>
    <t>Q9NX18</t>
  </si>
  <si>
    <t>ENST00000301761</t>
  </si>
  <si>
    <t>ENST00000359614</t>
  </si>
  <si>
    <t>ENST00000534878</t>
  </si>
  <si>
    <t>ENST00000536250</t>
  </si>
  <si>
    <t>ENST00000537782</t>
  </si>
  <si>
    <t>ENST00000542074</t>
  </si>
  <si>
    <t>ENST00000542794</t>
  </si>
  <si>
    <t>ENST00000543265</t>
  </si>
  <si>
    <t>Q9NX20</t>
  </si>
  <si>
    <t>ENST00000300151</t>
  </si>
  <si>
    <t>ENST00000525470</t>
  </si>
  <si>
    <t>ENST00000531802</t>
  </si>
  <si>
    <t>ENST00000534340</t>
  </si>
  <si>
    <t>Q9NX24</t>
  </si>
  <si>
    <t>ENST00000274606</t>
  </si>
  <si>
    <t>ENST00000314397</t>
  </si>
  <si>
    <t>ENST00000502263</t>
  </si>
  <si>
    <t>ENST00000510363</t>
  </si>
  <si>
    <t>ENST00000511078</t>
  </si>
  <si>
    <t>Q9NX40</t>
  </si>
  <si>
    <t>ENST00000264312</t>
  </si>
  <si>
    <t>ENST00000381473</t>
  </si>
  <si>
    <t>ENST00000425583</t>
  </si>
  <si>
    <t>ENST00000444354</t>
  </si>
  <si>
    <t>ENST00000502972</t>
  </si>
  <si>
    <t>ENST00000506801</t>
  </si>
  <si>
    <t>ENST00000507210</t>
  </si>
  <si>
    <t>ENST00000507546</t>
  </si>
  <si>
    <t>ENST00000508293</t>
  </si>
  <si>
    <t>ENST00000508996</t>
  </si>
  <si>
    <t>ENST00000509122</t>
  </si>
  <si>
    <t>ENST00000509164</t>
  </si>
  <si>
    <t>ENST00000509246</t>
  </si>
  <si>
    <t>ENST00000509963</t>
  </si>
  <si>
    <t>ENST00000510824</t>
  </si>
  <si>
    <t>ENST00000511102</t>
  </si>
  <si>
    <t>ENST00000511662</t>
  </si>
  <si>
    <t>ENST00000513391</t>
  </si>
  <si>
    <t>ENST00000513641</t>
  </si>
  <si>
    <t>ENST00000514981</t>
  </si>
  <si>
    <t>Q9NX46</t>
  </si>
  <si>
    <t>ENST00000373178</t>
  </si>
  <si>
    <t>Q9NX55</t>
  </si>
  <si>
    <t>ENST00000249786</t>
  </si>
  <si>
    <t>ENST00000339624</t>
  </si>
  <si>
    <t>ENST00000381359</t>
  </si>
  <si>
    <t>ENST00000402131</t>
  </si>
  <si>
    <t>ENST00000403425</t>
  </si>
  <si>
    <t>ENST00000406925</t>
  </si>
  <si>
    <t>ENST00000409614</t>
  </si>
  <si>
    <t>ENST00000409960</t>
  </si>
  <si>
    <t>ENST00000442995</t>
  </si>
  <si>
    <t>ENST00000445816</t>
  </si>
  <si>
    <t>ENST00000448830</t>
  </si>
  <si>
    <t>ENST00000458412</t>
  </si>
  <si>
    <t>ENST00000474290</t>
  </si>
  <si>
    <t>ENST00000475927</t>
  </si>
  <si>
    <t>ENST00000486144</t>
  </si>
  <si>
    <t>ENST00000497142</t>
  </si>
  <si>
    <t>ENST00000498605</t>
  </si>
  <si>
    <t>Q9NX58</t>
  </si>
  <si>
    <t>ENST00000343470</t>
  </si>
  <si>
    <t>ENST00000502917</t>
  </si>
  <si>
    <t>ENST00000513174</t>
  </si>
  <si>
    <t>Q9NX62</t>
  </si>
  <si>
    <t>ENST00000262644</t>
  </si>
  <si>
    <t>ENST00000520392</t>
  </si>
  <si>
    <t>Q9NX63</t>
  </si>
  <si>
    <t>ENST00000262570</t>
  </si>
  <si>
    <t>ENST00000423635</t>
  </si>
  <si>
    <t>ENST00000448878</t>
  </si>
  <si>
    <t>ENST00000457942</t>
  </si>
  <si>
    <t>ENST00000466644</t>
  </si>
  <si>
    <t>ENST00000481152</t>
  </si>
  <si>
    <t>Q9NX70</t>
  </si>
  <si>
    <t>ENST00000315588</t>
  </si>
  <si>
    <t>ENST00000596297</t>
  </si>
  <si>
    <t>ENST00000599213</t>
  </si>
  <si>
    <t>ENST00000599417</t>
  </si>
  <si>
    <t>ENST00000600973</t>
  </si>
  <si>
    <t>Q9NX74</t>
  </si>
  <si>
    <t>ENST00000358896</t>
  </si>
  <si>
    <t>ENST00000562246</t>
  </si>
  <si>
    <t>ENST00000564781</t>
  </si>
  <si>
    <t>ENST00000564975</t>
  </si>
  <si>
    <t>ENST00000565263</t>
  </si>
  <si>
    <t>ENST00000565980</t>
  </si>
  <si>
    <t>ENST00000567100</t>
  </si>
  <si>
    <t>Q9NX76</t>
  </si>
  <si>
    <t>ENST00000205636</t>
  </si>
  <si>
    <t>ENST00000478886</t>
  </si>
  <si>
    <t>ENST00000495177</t>
  </si>
  <si>
    <t>Q9NXA8</t>
  </si>
  <si>
    <t>ENST00000379250</t>
  </si>
  <si>
    <t>ENST00000379262</t>
  </si>
  <si>
    <t>ENST00000397350</t>
  </si>
  <si>
    <t>ENST00000606117</t>
  </si>
  <si>
    <t>ENST00000606427</t>
  </si>
  <si>
    <t>Q9NXC5</t>
  </si>
  <si>
    <t>ENST00000340080</t>
  </si>
  <si>
    <t>ENST00000405785</t>
  </si>
  <si>
    <t>ENST00000433056</t>
  </si>
  <si>
    <t>ENST00000433635</t>
  </si>
  <si>
    <t>ENST00000445169</t>
  </si>
  <si>
    <t>ENST00000456533</t>
  </si>
  <si>
    <t>ENST00000461907</t>
  </si>
  <si>
    <t>ENST00000479694</t>
  </si>
  <si>
    <t>ENST00000493227</t>
  </si>
  <si>
    <t>Q9NXD2</t>
  </si>
  <si>
    <t>ENST00000435680</t>
  </si>
  <si>
    <t>ENST00000564787</t>
  </si>
  <si>
    <t>ENST00000565728</t>
  </si>
  <si>
    <t>ENST00000566338</t>
  </si>
  <si>
    <t>ENST00000567567</t>
  </si>
  <si>
    <t>ENST00000568604</t>
  </si>
  <si>
    <t>ENST00000568611</t>
  </si>
  <si>
    <t>Q9NXG2</t>
  </si>
  <si>
    <t>ENST00000381337</t>
  </si>
  <si>
    <t>ENST00000396083</t>
  </si>
  <si>
    <t>ENST00000569768</t>
  </si>
  <si>
    <t>ENST00000570231</t>
  </si>
  <si>
    <t>Q9NXH8</t>
  </si>
  <si>
    <t>ENST00000357503</t>
  </si>
  <si>
    <t>Q9NXR5</t>
  </si>
  <si>
    <t>ENST00000267339</t>
  </si>
  <si>
    <t>ENST00000310847</t>
  </si>
  <si>
    <t>ENST00000460846</t>
  </si>
  <si>
    <t>ENST00000475809</t>
  </si>
  <si>
    <t>ENST00000485844</t>
  </si>
  <si>
    <t>ENST00000489973</t>
  </si>
  <si>
    <t>ENST00000494859</t>
  </si>
  <si>
    <t>ENST00000603993</t>
  </si>
  <si>
    <t>Q9NXR8</t>
  </si>
  <si>
    <t>ENST00000315870</t>
  </si>
  <si>
    <t>ENST00000339121</t>
  </si>
  <si>
    <t>ENST00000427726</t>
  </si>
  <si>
    <t>ENST00000431467</t>
  </si>
  <si>
    <t>ENST00000445699</t>
  </si>
  <si>
    <t>ENST00000497502</t>
  </si>
  <si>
    <t>Q9NXU5</t>
  </si>
  <si>
    <t>ENST00000502271</t>
  </si>
  <si>
    <t>ENST00000504924</t>
  </si>
  <si>
    <t>ENST00000505383</t>
  </si>
  <si>
    <t>ENST00000505630</t>
  </si>
  <si>
    <t>Q9NXV2</t>
  </si>
  <si>
    <t>ENST00000301738</t>
  </si>
  <si>
    <t>ENST00000570005</t>
  </si>
  <si>
    <t>Q9NXV6</t>
  </si>
  <si>
    <t>ENST00000302350</t>
  </si>
  <si>
    <t>ENST00000504169</t>
  </si>
  <si>
    <t>ENST00000506835</t>
  </si>
  <si>
    <t>ENST00000510928</t>
  </si>
  <si>
    <t>Q9NXW2</t>
  </si>
  <si>
    <t>ENST00000338820</t>
  </si>
  <si>
    <t>ENST00000394903</t>
  </si>
  <si>
    <t>ENST00000444643</t>
  </si>
  <si>
    <t>ENST00000461919</t>
  </si>
  <si>
    <t>ENST00000463786</t>
  </si>
  <si>
    <t>ENST00000473051</t>
  </si>
  <si>
    <t>Q9NXW9</t>
  </si>
  <si>
    <t>ENST00000292566</t>
  </si>
  <si>
    <t>ENST00000490528</t>
  </si>
  <si>
    <t>ENST00000498283</t>
  </si>
  <si>
    <t>Q9NXX6</t>
  </si>
  <si>
    <t>ENST00000369017</t>
  </si>
  <si>
    <t>ENST00000369023</t>
  </si>
  <si>
    <t>ENST00000459911</t>
  </si>
  <si>
    <t>ENST00000468209</t>
  </si>
  <si>
    <t>ENST00000472431</t>
  </si>
  <si>
    <t>ENST00000477289</t>
  </si>
  <si>
    <t>ENST00000481320</t>
  </si>
  <si>
    <t>ENST00000483541</t>
  </si>
  <si>
    <t>ENST00000489266</t>
  </si>
  <si>
    <t>Q9NY12</t>
  </si>
  <si>
    <t>ENST00000226796</t>
  </si>
  <si>
    <t>ENST00000394631</t>
  </si>
  <si>
    <t>ENST00000503671</t>
  </si>
  <si>
    <t>ENST00000506840</t>
  </si>
  <si>
    <t>Q9NY27</t>
  </si>
  <si>
    <t>ENST00000356692</t>
  </si>
  <si>
    <t>ENST00000460360</t>
  </si>
  <si>
    <t>ENST00000470976</t>
  </si>
  <si>
    <t>ENST00000482242</t>
  </si>
  <si>
    <t>ENST00000488810</t>
  </si>
  <si>
    <t>Q9NY93</t>
  </si>
  <si>
    <t>ENST00000258772</t>
  </si>
  <si>
    <t>ENST00000415758</t>
  </si>
  <si>
    <t>ENST00000421223</t>
  </si>
  <si>
    <t>ENST00000433257</t>
  </si>
  <si>
    <t>ENST00000446987</t>
  </si>
  <si>
    <t>ENST00000448192</t>
  </si>
  <si>
    <t>ENST00000473924</t>
  </si>
  <si>
    <t>ENST00000479440</t>
  </si>
  <si>
    <t>ENST00000479602</t>
  </si>
  <si>
    <t>ENST00000485367</t>
  </si>
  <si>
    <t>Q9NYB0</t>
  </si>
  <si>
    <t>ENST00000300086</t>
  </si>
  <si>
    <t>ENST00000564671</t>
  </si>
  <si>
    <t>ENST00000569234</t>
  </si>
  <si>
    <t>Q9NYH9</t>
  </si>
  <si>
    <t>ENST00000261708</t>
  </si>
  <si>
    <t>ENST00000477128</t>
  </si>
  <si>
    <t>ENST00000477860</t>
  </si>
  <si>
    <t>ENST00000484661</t>
  </si>
  <si>
    <t>ENST00000490218</t>
  </si>
  <si>
    <t>ENST00000579459</t>
  </si>
  <si>
    <t>ENST00000579878</t>
  </si>
  <si>
    <t>ENST00000581012</t>
  </si>
  <si>
    <t>ENST00000583408</t>
  </si>
  <si>
    <t>Q9NYJ1</t>
  </si>
  <si>
    <t>ENST00000355693</t>
  </si>
  <si>
    <t>ENST00000537289</t>
  </si>
  <si>
    <t>ENST00000537581</t>
  </si>
  <si>
    <t>ENST00000541455</t>
  </si>
  <si>
    <t>ENST00000544575</t>
  </si>
  <si>
    <t>ENST00000545127</t>
  </si>
  <si>
    <t>Q9NYJ8</t>
  </si>
  <si>
    <t>ENST00000367456</t>
  </si>
  <si>
    <t>ENST00000470466</t>
  </si>
  <si>
    <t>ENST00000484505</t>
  </si>
  <si>
    <t>ENST00000538427</t>
  </si>
  <si>
    <t>ENST00000606202</t>
  </si>
  <si>
    <t>Q9NYK5</t>
  </si>
  <si>
    <t>ENST00000307301</t>
  </si>
  <si>
    <t>ENST00000352957</t>
  </si>
  <si>
    <t>Q9NYL2</t>
  </si>
  <si>
    <t>ENST00000338983</t>
  </si>
  <si>
    <t>ENST00000375213</t>
  </si>
  <si>
    <t>ENST00000476618</t>
  </si>
  <si>
    <t>Q9NYL9</t>
  </si>
  <si>
    <t>ENST00000308580</t>
  </si>
  <si>
    <t>ENST00000558300</t>
  </si>
  <si>
    <t>ENST00000558455</t>
  </si>
  <si>
    <t>ENST00000558666</t>
  </si>
  <si>
    <t>ENST00000558714</t>
  </si>
  <si>
    <t>ENST00000560549</t>
  </si>
  <si>
    <t>ENST00000561136</t>
  </si>
  <si>
    <t>ENST00000561408</t>
  </si>
  <si>
    <t>ENST00000561438</t>
  </si>
  <si>
    <t>Q9NYM9</t>
  </si>
  <si>
    <t>ENST00000325147</t>
  </si>
  <si>
    <t>ENST00000382762</t>
  </si>
  <si>
    <t>ENST00000410108</t>
  </si>
  <si>
    <t>ENST00000479463</t>
  </si>
  <si>
    <t>ENST00000486280</t>
  </si>
  <si>
    <t>Q9NYP9</t>
  </si>
  <si>
    <t>ENST00000290130</t>
  </si>
  <si>
    <t>ENST00000486363</t>
  </si>
  <si>
    <t>Q9NYV6</t>
  </si>
  <si>
    <t>ENST00000198767</t>
  </si>
  <si>
    <t>ENST00000327307</t>
  </si>
  <si>
    <t>ENST00000429751</t>
  </si>
  <si>
    <t>ENST00000561685</t>
  </si>
  <si>
    <t>ENST00000564131</t>
  </si>
  <si>
    <t>Q9NYW8</t>
  </si>
  <si>
    <t>ENST00000353796</t>
  </si>
  <si>
    <t>ENST00000396912</t>
  </si>
  <si>
    <t>ENST00000476992</t>
  </si>
  <si>
    <t>Q9NYZ3</t>
  </si>
  <si>
    <t>ENST00000454366</t>
  </si>
  <si>
    <t>Q9NZ01</t>
  </si>
  <si>
    <t>ENST00000215567</t>
  </si>
  <si>
    <t>ENST00000593637</t>
  </si>
  <si>
    <t>ENST00000593775</t>
  </si>
  <si>
    <t>ENST00000594545</t>
  </si>
  <si>
    <t>ENST00000594807</t>
  </si>
  <si>
    <t>ENST00000594958</t>
  </si>
  <si>
    <t>ENST00000596073</t>
  </si>
  <si>
    <t>ENST00000596164</t>
  </si>
  <si>
    <t>ENST00000596953</t>
  </si>
  <si>
    <t>ENST00000597607</t>
  </si>
  <si>
    <t>ENST00000598298</t>
  </si>
  <si>
    <t>ENST00000598333</t>
  </si>
  <si>
    <t>ENST00000598408</t>
  </si>
  <si>
    <t>ENST00000598987</t>
  </si>
  <si>
    <t>ENST00000599101</t>
  </si>
  <si>
    <t>ENST00000599646</t>
  </si>
  <si>
    <t>ENST00000600076</t>
  </si>
  <si>
    <t>ENST00000600083</t>
  </si>
  <si>
    <t>ENST00000600395</t>
  </si>
  <si>
    <t>ENST00000601187</t>
  </si>
  <si>
    <t>ENST00000601350</t>
  </si>
  <si>
    <t>ENST00000601652</t>
  </si>
  <si>
    <t>Q9NZ32</t>
  </si>
  <si>
    <t>ENST00000254286</t>
  </si>
  <si>
    <t>ENST00000545307</t>
  </si>
  <si>
    <t>ENST00000554402</t>
  </si>
  <si>
    <t>ENST00000554790</t>
  </si>
  <si>
    <t>ENST00000555965</t>
  </si>
  <si>
    <t>ENST00000556312</t>
  </si>
  <si>
    <t>ENST00000556449</t>
  </si>
  <si>
    <t>ENST00000556694</t>
  </si>
  <si>
    <t>ENST00000557583</t>
  </si>
  <si>
    <t>ENST00000557711</t>
  </si>
  <si>
    <t>Q9NZ43</t>
  </si>
  <si>
    <t>ENST00000263897</t>
  </si>
  <si>
    <t>ENST00000445667</t>
  </si>
  <si>
    <t>ENST00000593597</t>
  </si>
  <si>
    <t>ENST00000594399</t>
  </si>
  <si>
    <t>ENST00000594724</t>
  </si>
  <si>
    <t>ENST00000595101</t>
  </si>
  <si>
    <t>ENST00000600970</t>
  </si>
  <si>
    <t>ENST00000601592</t>
  </si>
  <si>
    <t>ENST00000601662</t>
  </si>
  <si>
    <t>Q9NZ45</t>
  </si>
  <si>
    <t>ENST00000333926</t>
  </si>
  <si>
    <t>ENST00000464703</t>
  </si>
  <si>
    <t>ENST00000488388</t>
  </si>
  <si>
    <t>Q9NZ63</t>
  </si>
  <si>
    <t>ENST00000372447</t>
  </si>
  <si>
    <t>ENST00000461762</t>
  </si>
  <si>
    <t>ENST00000480023</t>
  </si>
  <si>
    <t>ENST00000492991</t>
  </si>
  <si>
    <t>ENST00000495934</t>
  </si>
  <si>
    <t>Q9NZB2</t>
  </si>
  <si>
    <t>ENST00000277165</t>
  </si>
  <si>
    <t>ENST00000375389</t>
  </si>
  <si>
    <t>ENST00000427765</t>
  </si>
  <si>
    <t>ENST00000446420</t>
  </si>
  <si>
    <t>ENST00000475933</t>
  </si>
  <si>
    <t>Q9NZC3</t>
  </si>
  <si>
    <t>ENST00000353258</t>
  </si>
  <si>
    <t>ENST00000563645</t>
  </si>
  <si>
    <t>ENST00000564172</t>
  </si>
  <si>
    <t>ENST00000569899</t>
  </si>
  <si>
    <t>Q9NZC9</t>
  </si>
  <si>
    <t>ENST00000357276</t>
  </si>
  <si>
    <t>ENST00000392128</t>
  </si>
  <si>
    <t>ENST00000430374</t>
  </si>
  <si>
    <t>ENST00000445153</t>
  </si>
  <si>
    <t>ENST00000486983</t>
  </si>
  <si>
    <t>ENST00000496037</t>
  </si>
  <si>
    <t>Q9NZD2</t>
  </si>
  <si>
    <t>ENST00000318348</t>
  </si>
  <si>
    <t>ENST00000537066</t>
  </si>
  <si>
    <t>ENST00000544393</t>
  </si>
  <si>
    <t>Q9NZI7</t>
  </si>
  <si>
    <t>ENST00000283628</t>
  </si>
  <si>
    <t>ENST00000283629</t>
  </si>
  <si>
    <t>ENST00000411650</t>
  </si>
  <si>
    <t>ENST00000447368</t>
  </si>
  <si>
    <t>ENST00000464787</t>
  </si>
  <si>
    <t>ENST00000466441</t>
  </si>
  <si>
    <t>ENST00000467613</t>
  </si>
  <si>
    <t>ENST00000481761</t>
  </si>
  <si>
    <t>ENST00000486388</t>
  </si>
  <si>
    <t>ENST00000490112</t>
  </si>
  <si>
    <t>ENST00000492136</t>
  </si>
  <si>
    <t>Q9NZJ0</t>
  </si>
  <si>
    <t>ENST00000366991</t>
  </si>
  <si>
    <t>Q9NZJ4</t>
  </si>
  <si>
    <t>ENST00000476776</t>
  </si>
  <si>
    <t>Q9NZJ6</t>
  </si>
  <si>
    <t>ENST00000254759</t>
  </si>
  <si>
    <t>ENST00000369240</t>
  </si>
  <si>
    <t>ENST00000369242</t>
  </si>
  <si>
    <t>ENST00000479163</t>
  </si>
  <si>
    <t>Q9NZJ9</t>
  </si>
  <si>
    <t>ENST00000337179</t>
  </si>
  <si>
    <t>ENST00000415493</t>
  </si>
  <si>
    <t>ENST00000547014</t>
  </si>
  <si>
    <t>ENST00000548662</t>
  </si>
  <si>
    <t>ENST00000549992</t>
  </si>
  <si>
    <t>ENST00000550056</t>
  </si>
  <si>
    <t>Q9NZK5</t>
  </si>
  <si>
    <t>ENST00000262607</t>
  </si>
  <si>
    <t>ENST00000399837</t>
  </si>
  <si>
    <t>ENST00000469063</t>
  </si>
  <si>
    <t>ENST00000480276</t>
  </si>
  <si>
    <t>Q9NZL4</t>
  </si>
  <si>
    <t>ENST00000255631</t>
  </si>
  <si>
    <t>ENST00000433386</t>
  </si>
  <si>
    <t>ENST00000587551</t>
  </si>
  <si>
    <t>ENST00000587922</t>
  </si>
  <si>
    <t>ENST00000593263</t>
  </si>
  <si>
    <t>Q9NZL9</t>
  </si>
  <si>
    <t>ENST00000280969</t>
  </si>
  <si>
    <t>ENST00000321757</t>
  </si>
  <si>
    <t>ENST00000518095</t>
  </si>
  <si>
    <t>ENST00000519719</t>
  </si>
  <si>
    <t>ENST00000520449</t>
  </si>
  <si>
    <t>ENST00000521838</t>
  </si>
  <si>
    <t>ENST00000523606</t>
  </si>
  <si>
    <t>Q9NZM5</t>
  </si>
  <si>
    <t>ENST00000246802</t>
  </si>
  <si>
    <t>ENST00000594525</t>
  </si>
  <si>
    <t>ENST00000597985</t>
  </si>
  <si>
    <t>ENST00000598285</t>
  </si>
  <si>
    <t>ENST00000599253</t>
  </si>
  <si>
    <t>ENST00000600266</t>
  </si>
  <si>
    <t>ENST00000600410</t>
  </si>
  <si>
    <t>Q9NZN3</t>
  </si>
  <si>
    <t>ENST00000322054</t>
  </si>
  <si>
    <t>ENST00000541626</t>
  </si>
  <si>
    <t>Q9NZQ7</t>
  </si>
  <si>
    <t>ENST00000381573</t>
  </si>
  <si>
    <t>ENST00000381577</t>
  </si>
  <si>
    <t>ENST00000474218</t>
  </si>
  <si>
    <t>ENST00000492923</t>
  </si>
  <si>
    <t>ENST00000498261</t>
  </si>
  <si>
    <t>Q9NZR1</t>
  </si>
  <si>
    <t>ENST00000249700</t>
  </si>
  <si>
    <t>ENST00000560576</t>
  </si>
  <si>
    <t>ENST00000561300</t>
  </si>
  <si>
    <t>Q9NZW5</t>
  </si>
  <si>
    <t>ENST00000222644</t>
  </si>
  <si>
    <t>ENST00000432190</t>
  </si>
  <si>
    <t>ENST00000472674</t>
  </si>
  <si>
    <t>Q9P013</t>
  </si>
  <si>
    <t>ENST00000279839</t>
  </si>
  <si>
    <t>ENST00000539856</t>
  </si>
  <si>
    <t>ENST00000542165</t>
  </si>
  <si>
    <t>ENST00000542907</t>
  </si>
  <si>
    <t>Q9P015</t>
  </si>
  <si>
    <t>ENST00000260102</t>
  </si>
  <si>
    <t>ENST00000519831</t>
  </si>
  <si>
    <t>ENST00000522521</t>
  </si>
  <si>
    <t>Q9P016</t>
  </si>
  <si>
    <t>ENST00000341541</t>
  </si>
  <si>
    <t>ENST00000352327</t>
  </si>
  <si>
    <t>ENST00000392594</t>
  </si>
  <si>
    <t>ENST00000392595</t>
  </si>
  <si>
    <t>ENST00000525677</t>
  </si>
  <si>
    <t>ENST00000531135</t>
  </si>
  <si>
    <t>ENST00000533781</t>
  </si>
  <si>
    <t>ENST00000533975</t>
  </si>
  <si>
    <t>Q9P021</t>
  </si>
  <si>
    <t>ENST00000238892</t>
  </si>
  <si>
    <t>Q9P031</t>
  </si>
  <si>
    <t>ENST00000256151</t>
  </si>
  <si>
    <t>ENST00000547758</t>
  </si>
  <si>
    <t>ENST00000548126</t>
  </si>
  <si>
    <t>ENST00000550589</t>
  </si>
  <si>
    <t>ENST00000552412</t>
  </si>
  <si>
    <t>ENST00000552606</t>
  </si>
  <si>
    <t>Q9P032</t>
  </si>
  <si>
    <t>ENST00000316149</t>
  </si>
  <si>
    <t>ENST00000478382</t>
  </si>
  <si>
    <t>ENST00000489477</t>
  </si>
  <si>
    <t>Q9P035</t>
  </si>
  <si>
    <t>ENST00000261875</t>
  </si>
  <si>
    <t>ENST00000442729</t>
  </si>
  <si>
    <t>ENST00000561763</t>
  </si>
  <si>
    <t>ENST00000562832</t>
  </si>
  <si>
    <t>ENST00000562901</t>
  </si>
  <si>
    <t>ENST00000566239</t>
  </si>
  <si>
    <t>ENST00000568793</t>
  </si>
  <si>
    <t>Q9P086</t>
  </si>
  <si>
    <t>ENST00000293777</t>
  </si>
  <si>
    <t>ENST00000573708</t>
  </si>
  <si>
    <t>ENST00000575284</t>
  </si>
  <si>
    <t>Q9P0I2</t>
  </si>
  <si>
    <t>ENST00000245046</t>
  </si>
  <si>
    <t>ENST00000429759</t>
  </si>
  <si>
    <t>ENST00000487465</t>
  </si>
  <si>
    <t>ENST00000497557</t>
  </si>
  <si>
    <t>Q9P0J0</t>
  </si>
  <si>
    <t>ENST00000428459</t>
  </si>
  <si>
    <t>ENST00000502506</t>
  </si>
  <si>
    <t>ENST00000507754</t>
  </si>
  <si>
    <t>ENST00000511180</t>
  </si>
  <si>
    <t>ENST00000511584</t>
  </si>
  <si>
    <t>ENST00000606722</t>
  </si>
  <si>
    <t>Q9P0J1</t>
  </si>
  <si>
    <t>ENST00000297598</t>
  </si>
  <si>
    <t>ENST00000396200</t>
  </si>
  <si>
    <t>ENST00000517764</t>
  </si>
  <si>
    <t>ENST00000518827</t>
  </si>
  <si>
    <t>ENST00000520728</t>
  </si>
  <si>
    <t>ENST00000521144</t>
  </si>
  <si>
    <t>Q9P0L0</t>
  </si>
  <si>
    <t>ENST00000340541</t>
  </si>
  <si>
    <t>ENST00000400000</t>
  </si>
  <si>
    <t>ENST00000577539</t>
  </si>
  <si>
    <t>ENST00000577901</t>
  </si>
  <si>
    <t>ENST00000583475</t>
  </si>
  <si>
    <t>ENST00000583879</t>
  </si>
  <si>
    <t>Q9P0M2</t>
  </si>
  <si>
    <t>ENST00000342266</t>
  </si>
  <si>
    <t>ENST00000431975</t>
  </si>
  <si>
    <t>ENST00000537868</t>
  </si>
  <si>
    <t>Q9P0M9</t>
  </si>
  <si>
    <t>ENST00000225969</t>
  </si>
  <si>
    <t>ENST00000442592</t>
  </si>
  <si>
    <t>ENST00000507088</t>
  </si>
  <si>
    <t>ENST00000508200</t>
  </si>
  <si>
    <t>ENST00000511860</t>
  </si>
  <si>
    <t>ENST00000514928</t>
  </si>
  <si>
    <t>Q9P0P0</t>
  </si>
  <si>
    <t>ENST00000306368</t>
  </si>
  <si>
    <t>ENST00000414390</t>
  </si>
  <si>
    <t>ENST00000441634</t>
  </si>
  <si>
    <t>ENST00000443647</t>
  </si>
  <si>
    <t>ENST00000456023</t>
  </si>
  <si>
    <t>ENST00000461845</t>
  </si>
  <si>
    <t>Q9P0P8</t>
  </si>
  <si>
    <t>ENST00000311381</t>
  </si>
  <si>
    <t>ENST00000489790</t>
  </si>
  <si>
    <t>Q9P0R6</t>
  </si>
  <si>
    <t>ENST00000438650</t>
  </si>
  <si>
    <t>ENST00000553699</t>
  </si>
  <si>
    <t>ENST00000554182</t>
  </si>
  <si>
    <t>ENST00000555088</t>
  </si>
  <si>
    <t>ENST00000555181</t>
  </si>
  <si>
    <t>ENST00000556095</t>
  </si>
  <si>
    <t>Q9P0S2</t>
  </si>
  <si>
    <t>ENST00000389912</t>
  </si>
  <si>
    <t>ENST00000554366</t>
  </si>
  <si>
    <t>ENST00000557612</t>
  </si>
  <si>
    <t>Q9P0U4</t>
  </si>
  <si>
    <t>ENST00000285106</t>
  </si>
  <si>
    <t>ENST00000412036</t>
  </si>
  <si>
    <t>ENST00000586144</t>
  </si>
  <si>
    <t>ENST00000586365</t>
  </si>
  <si>
    <t>ENST00000586502</t>
  </si>
  <si>
    <t>ENST00000586568</t>
  </si>
  <si>
    <t>ENST00000586837</t>
  </si>
  <si>
    <t>ENST00000587170</t>
  </si>
  <si>
    <t>ENST00000587342</t>
  </si>
  <si>
    <t>ENST00000587396</t>
  </si>
  <si>
    <t>ENST00000589548</t>
  </si>
  <si>
    <t>ENST00000589940</t>
  </si>
  <si>
    <t>ENST00000590234</t>
  </si>
  <si>
    <t>ENST00000590901</t>
  </si>
  <si>
    <t>ENST00000591190</t>
  </si>
  <si>
    <t>ENST00000592078</t>
  </si>
  <si>
    <t>Q9P107</t>
  </si>
  <si>
    <t>ENST00000203556</t>
  </si>
  <si>
    <t>ENST00000586269</t>
  </si>
  <si>
    <t>ENST00000587205</t>
  </si>
  <si>
    <t>ENST00000587238</t>
  </si>
  <si>
    <t>ENST00000587713</t>
  </si>
  <si>
    <t>ENST00000588171</t>
  </si>
  <si>
    <t>ENST00000591047</t>
  </si>
  <si>
    <t>ENST00000593186</t>
  </si>
  <si>
    <t>Q9P1F3</t>
  </si>
  <si>
    <t>ENST00000367660</t>
  </si>
  <si>
    <t>ENST00000461027</t>
  </si>
  <si>
    <t>Q9P1T7</t>
  </si>
  <si>
    <t>ENST00000393486</t>
  </si>
  <si>
    <t>ENST00000423503</t>
  </si>
  <si>
    <t>ENST00000427207</t>
  </si>
  <si>
    <t>ENST00000431629</t>
  </si>
  <si>
    <t>ENST00000448022</t>
  </si>
  <si>
    <t>Q9P1U0</t>
  </si>
  <si>
    <t>ENST00000332435</t>
  </si>
  <si>
    <t>ENST00000359374</t>
  </si>
  <si>
    <t>ENST00000376782</t>
  </si>
  <si>
    <t>ENST00000463141</t>
  </si>
  <si>
    <t>ENST00000471008</t>
  </si>
  <si>
    <t>Q9P1Z0</t>
  </si>
  <si>
    <t>ENST00000311403</t>
  </si>
  <si>
    <t>ENST00000380599</t>
  </si>
  <si>
    <t>Q9P219</t>
  </si>
  <si>
    <t>ENST00000331194</t>
  </si>
  <si>
    <t>ENST00000334448</t>
  </si>
  <si>
    <t>ENST00000389856</t>
  </si>
  <si>
    <t>ENST00000389857</t>
  </si>
  <si>
    <t>ENST00000553403</t>
  </si>
  <si>
    <t>ENST00000553437</t>
  </si>
  <si>
    <t>ENST00000554051</t>
  </si>
  <si>
    <t>ENST00000554165</t>
  </si>
  <si>
    <t>ENST00000554872</t>
  </si>
  <si>
    <t>ENST00000555995</t>
  </si>
  <si>
    <t>ENST00000556726</t>
  </si>
  <si>
    <t>ENST00000556767</t>
  </si>
  <si>
    <t>ENST00000557455</t>
  </si>
  <si>
    <t>ENST00000557507</t>
  </si>
  <si>
    <t>Q9P253</t>
  </si>
  <si>
    <t>ENST00000220509</t>
  </si>
  <si>
    <t>ENST00000558474</t>
  </si>
  <si>
    <t>ENST00000558855</t>
  </si>
  <si>
    <t>Q9P258</t>
  </si>
  <si>
    <t>ENST00000375433</t>
  </si>
  <si>
    <t>ENST00000375436</t>
  </si>
  <si>
    <t>Q9P260</t>
  </si>
  <si>
    <t>ENST00000256858</t>
  </si>
  <si>
    <t>ENST00000398130</t>
  </si>
  <si>
    <t>ENST00000586920</t>
  </si>
  <si>
    <t>ENST00000587198</t>
  </si>
  <si>
    <t>ENST00000587714</t>
  </si>
  <si>
    <t>ENST00000587764</t>
  </si>
  <si>
    <t>ENST00000588446</t>
  </si>
  <si>
    <t>ENST00000590713</t>
  </si>
  <si>
    <t>ENST00000591227</t>
  </si>
  <si>
    <t>ENST00000592479</t>
  </si>
  <si>
    <t>ENST00000593217</t>
  </si>
  <si>
    <t>Q9P265</t>
  </si>
  <si>
    <t>ENST00000301180</t>
  </si>
  <si>
    <t>ENST00000549620</t>
  </si>
  <si>
    <t>ENST00000552328</t>
  </si>
  <si>
    <t>Q9P270</t>
  </si>
  <si>
    <t>ENST00000264313</t>
  </si>
  <si>
    <t>ENST00000505131</t>
  </si>
  <si>
    <t>ENST00000506375</t>
  </si>
  <si>
    <t>ENST00000510595</t>
  </si>
  <si>
    <t>ENST00000512093</t>
  </si>
  <si>
    <t>Q9P275</t>
  </si>
  <si>
    <t>ENST00000449938</t>
  </si>
  <si>
    <t>ENST00000586066</t>
  </si>
  <si>
    <t>ENST00000586896</t>
  </si>
  <si>
    <t>ENST00000587010</t>
  </si>
  <si>
    <t>ENST00000587379</t>
  </si>
  <si>
    <t>ENST00000587783</t>
  </si>
  <si>
    <t>ENST00000588086</t>
  </si>
  <si>
    <t>ENST00000588130</t>
  </si>
  <si>
    <t>ENST00000589225</t>
  </si>
  <si>
    <t>ENST00000589254</t>
  </si>
  <si>
    <t>ENST00000589424</t>
  </si>
  <si>
    <t>ENST00000590312</t>
  </si>
  <si>
    <t>ENST00000590546</t>
  </si>
  <si>
    <t>ENST00000591942</t>
  </si>
  <si>
    <t>ENST00000592231</t>
  </si>
  <si>
    <t>ENST00000592275</t>
  </si>
  <si>
    <t>ENST00000592907</t>
  </si>
  <si>
    <t>Q9P287</t>
  </si>
  <si>
    <t>ENST00000278100</t>
  </si>
  <si>
    <t>ENST00000299130</t>
  </si>
  <si>
    <t>ENST00000368759</t>
  </si>
  <si>
    <t>ENST00000463330</t>
  </si>
  <si>
    <t>ENST00000478798</t>
  </si>
  <si>
    <t>Q9P289</t>
  </si>
  <si>
    <t>ENST00000354719</t>
  </si>
  <si>
    <t>ENST00000394334</t>
  </si>
  <si>
    <t>ENST00000394335</t>
  </si>
  <si>
    <t>ENST00000481105</t>
  </si>
  <si>
    <t>ENST00000496850</t>
  </si>
  <si>
    <t>Q9P2B2</t>
  </si>
  <si>
    <t>ENST00000393203</t>
  </si>
  <si>
    <t>Q9P2B7</t>
  </si>
  <si>
    <t>ENST00000296775</t>
  </si>
  <si>
    <t>ENST00000458385</t>
  </si>
  <si>
    <t>ENST00000514798</t>
  </si>
  <si>
    <t>Q9P2D0</t>
  </si>
  <si>
    <t>ENST00000306270</t>
  </si>
  <si>
    <t>ENST00000369751</t>
  </si>
  <si>
    <t>ENST00000445419</t>
  </si>
  <si>
    <t>ENST00000471036</t>
  </si>
  <si>
    <t>ENST00000505222</t>
  </si>
  <si>
    <t>ENST00000508381</t>
  </si>
  <si>
    <t>ENST00000510291</t>
  </si>
  <si>
    <t>Q9P2D1</t>
  </si>
  <si>
    <t>ENST00000423902</t>
  </si>
  <si>
    <t>ENST00000524602</t>
  </si>
  <si>
    <t>ENST00000525508</t>
  </si>
  <si>
    <t>ENST00000527900</t>
  </si>
  <si>
    <t>ENST00000528280</t>
  </si>
  <si>
    <t>ENST00000531695</t>
  </si>
  <si>
    <t>ENST00000532149</t>
  </si>
  <si>
    <t>Q9P2D3</t>
  </si>
  <si>
    <t>ENST00000233099</t>
  </si>
  <si>
    <t>ENST00000467978</t>
  </si>
  <si>
    <t>ENST00000471051</t>
  </si>
  <si>
    <t>ENST00000478810</t>
  </si>
  <si>
    <t>Q9P2E3</t>
  </si>
  <si>
    <t>ENST00000371752</t>
  </si>
  <si>
    <t>ENST00000371754</t>
  </si>
  <si>
    <t>ENST00000396105</t>
  </si>
  <si>
    <t>ENST00000455070</t>
  </si>
  <si>
    <t>ENST00000469991</t>
  </si>
  <si>
    <t>Q9P2E5</t>
  </si>
  <si>
    <t>ENST00000035307</t>
  </si>
  <si>
    <t>ENST00000465601</t>
  </si>
  <si>
    <t>ENST00000495645</t>
  </si>
  <si>
    <t>Q9P2E9</t>
  </si>
  <si>
    <t>ENST00000246043</t>
  </si>
  <si>
    <t>ENST00000377813</t>
  </si>
  <si>
    <t>ENST00000398782</t>
  </si>
  <si>
    <t>ENST00000468428</t>
  </si>
  <si>
    <t>ENST00000470422</t>
  </si>
  <si>
    <t>Q9P2F9</t>
  </si>
  <si>
    <t>ENST00000299237</t>
  </si>
  <si>
    <t>Q9P2G1</t>
  </si>
  <si>
    <t>ENST00000265742</t>
  </si>
  <si>
    <t>ENST00000413588</t>
  </si>
  <si>
    <t>ENST00000465883</t>
  </si>
  <si>
    <t>ENST00000486698</t>
  </si>
  <si>
    <t>Q9P2I0</t>
  </si>
  <si>
    <t>ENST00000298875</t>
  </si>
  <si>
    <t>ENST00000553427</t>
  </si>
  <si>
    <t>ENST00000554290</t>
  </si>
  <si>
    <t>ENST00000556622</t>
  </si>
  <si>
    <t>Q9P2J5</t>
  </si>
  <si>
    <t>ENST00000394434</t>
  </si>
  <si>
    <t>ENST00000503654</t>
  </si>
  <si>
    <t>ENST00000504611</t>
  </si>
  <si>
    <t>ENST00000506231</t>
  </si>
  <si>
    <t>ENST00000506436</t>
  </si>
  <si>
    <t>ENST00000507095</t>
  </si>
  <si>
    <t>ENST00000508667</t>
  </si>
  <si>
    <t>ENST00000508709</t>
  </si>
  <si>
    <t>ENST00000511505</t>
  </si>
  <si>
    <t>Q9P2K3</t>
  </si>
  <si>
    <t>ENST00000367005</t>
  </si>
  <si>
    <t>ENST00000367006</t>
  </si>
  <si>
    <t>ENST00000419091</t>
  </si>
  <si>
    <t>ENST00000452621</t>
  </si>
  <si>
    <t>ENST00000472734</t>
  </si>
  <si>
    <t>ENST00000485186</t>
  </si>
  <si>
    <t>ENST00000486666</t>
  </si>
  <si>
    <t>ENST00000526255</t>
  </si>
  <si>
    <t>ENST00000528066</t>
  </si>
  <si>
    <t>ENST00000528408</t>
  </si>
  <si>
    <t>ENST00000528926</t>
  </si>
  <si>
    <t>ENST00000529572</t>
  </si>
  <si>
    <t>ENST00000529763</t>
  </si>
  <si>
    <t>Q9P2N5</t>
  </si>
  <si>
    <t>ENST00000265271</t>
  </si>
  <si>
    <t>ENST00000506502</t>
  </si>
  <si>
    <t>ENST00000508019</t>
  </si>
  <si>
    <t>Q9P2R3</t>
  </si>
  <si>
    <t>ENST00000341657</t>
  </si>
  <si>
    <t>ENST00000570934</t>
  </si>
  <si>
    <t>ENST00000571547</t>
  </si>
  <si>
    <t>ENST00000572564</t>
  </si>
  <si>
    <t>ENST00000573250</t>
  </si>
  <si>
    <t>ENST00000574367</t>
  </si>
  <si>
    <t>ENST00000575509</t>
  </si>
  <si>
    <t>ENST00000575955</t>
  </si>
  <si>
    <t>Q9P2R6</t>
  </si>
  <si>
    <t>ENST00000337907</t>
  </si>
  <si>
    <t>ENST00000377464</t>
  </si>
  <si>
    <t>ENST00000400908</t>
  </si>
  <si>
    <t>ENST00000460659</t>
  </si>
  <si>
    <t>ENST00000464367</t>
  </si>
  <si>
    <t>ENST00000464972</t>
  </si>
  <si>
    <t>ENST00000465125</t>
  </si>
  <si>
    <t>ENST00000476556</t>
  </si>
  <si>
    <t>ENST00000480342</t>
  </si>
  <si>
    <t>ENST00000492766</t>
  </si>
  <si>
    <t>ENST00000514428</t>
  </si>
  <si>
    <t>Q9P2S5</t>
  </si>
  <si>
    <t>ENST00000270708</t>
  </si>
  <si>
    <t>ENST00000378322</t>
  </si>
  <si>
    <t>ENST00000424367</t>
  </si>
  <si>
    <t>ENST00000469643</t>
  </si>
  <si>
    <t>ENST00000471223</t>
  </si>
  <si>
    <t>ENST00000479331</t>
  </si>
  <si>
    <t>ENST00000494884</t>
  </si>
  <si>
    <t>ENST00000497940</t>
  </si>
  <si>
    <t>Q9P2T1</t>
  </si>
  <si>
    <t>ENST00000355299</t>
  </si>
  <si>
    <t>ENST00000399440</t>
  </si>
  <si>
    <t>ENST00000420554</t>
  </si>
  <si>
    <t>ENST00000557854</t>
  </si>
  <si>
    <t>ENST00000558007</t>
  </si>
  <si>
    <t>ENST00000558279</t>
  </si>
  <si>
    <t>ENST00000558483</t>
  </si>
  <si>
    <t>ENST00000558701</t>
  </si>
  <si>
    <t>ENST00000558760</t>
  </si>
  <si>
    <t>ENST00000558788</t>
  </si>
  <si>
    <t>ENST00000559102</t>
  </si>
  <si>
    <t>ENST00000559104</t>
  </si>
  <si>
    <t>ENST00000559287</t>
  </si>
  <si>
    <t>ENST00000559479</t>
  </si>
  <si>
    <t>ENST00000559606</t>
  </si>
  <si>
    <t>ENST00000559801</t>
  </si>
  <si>
    <t>ENST00000559836</t>
  </si>
  <si>
    <t>ENST00000559910</t>
  </si>
  <si>
    <t>ENST00000559943</t>
  </si>
  <si>
    <t>ENST00000560139</t>
  </si>
  <si>
    <t>ENST00000560517</t>
  </si>
  <si>
    <t>ENST00000561038</t>
  </si>
  <si>
    <t>ENST00000561130</t>
  </si>
  <si>
    <t>Q9P2W1</t>
  </si>
  <si>
    <t>ENST00000253789</t>
  </si>
  <si>
    <t>ENST00000393795</t>
  </si>
  <si>
    <t>ENST00000586337</t>
  </si>
  <si>
    <t>ENST00000587209</t>
  </si>
  <si>
    <t>ENST00000587268</t>
  </si>
  <si>
    <t>ENST00000589505</t>
  </si>
  <si>
    <t>Q9P2W9</t>
  </si>
  <si>
    <t>ENST00000306200</t>
  </si>
  <si>
    <t>ENST00000502267</t>
  </si>
  <si>
    <t>ENST00000503692</t>
  </si>
  <si>
    <t>ENST00000503861</t>
  </si>
  <si>
    <t>ENST00000505286</t>
  </si>
  <si>
    <t>ENST00000510296</t>
  </si>
  <si>
    <t>ENST00000512195</t>
  </si>
  <si>
    <t>ENST00000512780</t>
  </si>
  <si>
    <t>ENST00000515687</t>
  </si>
  <si>
    <t>Q9P2X3</t>
  </si>
  <si>
    <t>ENST00000284202</t>
  </si>
  <si>
    <t>ENST00000578221</t>
  </si>
  <si>
    <t>ENST00000580706</t>
  </si>
  <si>
    <t>Q9P2Y5</t>
  </si>
  <si>
    <t>ENST00000356136</t>
  </si>
  <si>
    <t>ENST00000525183</t>
  </si>
  <si>
    <t>ENST00000530501</t>
  </si>
  <si>
    <t>ENST00000531818</t>
  </si>
  <si>
    <t>Q9TNN7</t>
  </si>
  <si>
    <t>Q9UBB4</t>
  </si>
  <si>
    <t>ENST00000252934</t>
  </si>
  <si>
    <t>ENST00000451241</t>
  </si>
  <si>
    <t>ENST00000483549</t>
  </si>
  <si>
    <t>Q9UBB5</t>
  </si>
  <si>
    <t>ENST00000256429</t>
  </si>
  <si>
    <t>ENST00000578272</t>
  </si>
  <si>
    <t>ENST00000579025</t>
  </si>
  <si>
    <t>Q9UBB9</t>
  </si>
  <si>
    <t>ENST00000405938</t>
  </si>
  <si>
    <t>ENST00000407431</t>
  </si>
  <si>
    <t>ENST00000407690</t>
  </si>
  <si>
    <t>ENST00000440258</t>
  </si>
  <si>
    <t>ENST00000450493</t>
  </si>
  <si>
    <t>ENST00000464449</t>
  </si>
  <si>
    <t>ENST00000479489</t>
  </si>
  <si>
    <t>ENST00000481357</t>
  </si>
  <si>
    <t>ENST00000492137</t>
  </si>
  <si>
    <t>ENST00000493698</t>
  </si>
  <si>
    <t>Q9UBD5</t>
  </si>
  <si>
    <t>ENST00000257789</t>
  </si>
  <si>
    <t>ENST00000392844</t>
  </si>
  <si>
    <t>ENST00000468486</t>
  </si>
  <si>
    <t>ENST00000478028</t>
  </si>
  <si>
    <t>Q9UBE0</t>
  </si>
  <si>
    <t>ENST00000270225</t>
  </si>
  <si>
    <t>ENST00000392776</t>
  </si>
  <si>
    <t>ENST00000413379</t>
  </si>
  <si>
    <t>ENST00000414294</t>
  </si>
  <si>
    <t>ENST00000594526</t>
  </si>
  <si>
    <t>ENST00000596995</t>
  </si>
  <si>
    <t>ENST00000597808</t>
  </si>
  <si>
    <t>Q9UBF2</t>
  </si>
  <si>
    <t>ENST00000330992</t>
  </si>
  <si>
    <t>ENST00000425248</t>
  </si>
  <si>
    <t>Q9UBF6</t>
  </si>
  <si>
    <t>ENST00000273480</t>
  </si>
  <si>
    <t>ENST00000393000</t>
  </si>
  <si>
    <t>ENST00000477012</t>
  </si>
  <si>
    <t>ENST00000480908</t>
  </si>
  <si>
    <t>ENST00000486377</t>
  </si>
  <si>
    <t>ENST00000498828</t>
  </si>
  <si>
    <t>Q9UBI1</t>
  </si>
  <si>
    <t>ENST00000376836</t>
  </si>
  <si>
    <t>ENST00000463688</t>
  </si>
  <si>
    <t>ENST00000468179</t>
  </si>
  <si>
    <t>ENST00000468469</t>
  </si>
  <si>
    <t>ENST00000470045</t>
  </si>
  <si>
    <t>ENST00000471350</t>
  </si>
  <si>
    <t>ENST00000472610</t>
  </si>
  <si>
    <t>ENST00000472673</t>
  </si>
  <si>
    <t>ENST00000479958</t>
  </si>
  <si>
    <t>ENST00000496071</t>
  </si>
  <si>
    <t>ENST00000602574</t>
  </si>
  <si>
    <t>Q9UBI9</t>
  </si>
  <si>
    <t>ENST00000367658</t>
  </si>
  <si>
    <t>Q9UBJ2</t>
  </si>
  <si>
    <t>ENST00000308666</t>
  </si>
  <si>
    <t>Q9UBK9</t>
  </si>
  <si>
    <t>ENST00000333119</t>
  </si>
  <si>
    <t>ENST00000335890</t>
  </si>
  <si>
    <t>ENST00000376964</t>
  </si>
  <si>
    <t>ENST00000460840</t>
  </si>
  <si>
    <t>ENST00000485641</t>
  </si>
  <si>
    <t>Q9UBM7</t>
  </si>
  <si>
    <t>ENST00000355527</t>
  </si>
  <si>
    <t>ENST00000407721</t>
  </si>
  <si>
    <t>ENST00000525137</t>
  </si>
  <si>
    <t>ENST00000525346</t>
  </si>
  <si>
    <t>ENST00000526780</t>
  </si>
  <si>
    <t>ENST00000529990</t>
  </si>
  <si>
    <t>ENST00000534701</t>
  </si>
  <si>
    <t>Q9UBN7</t>
  </si>
  <si>
    <t>ENST00000334136</t>
  </si>
  <si>
    <t>ENST00000426196</t>
  </si>
  <si>
    <t>ENST00000430858</t>
  </si>
  <si>
    <t>ENST00000440653</t>
  </si>
  <si>
    <t>ENST00000441703</t>
  </si>
  <si>
    <t>ENST00000443563</t>
  </si>
  <si>
    <t>ENST00000461608</t>
  </si>
  <si>
    <t>ENST00000462730</t>
  </si>
  <si>
    <t>ENST00000465269</t>
  </si>
  <si>
    <t>ENST00000465457</t>
  </si>
  <si>
    <t>ENST00000468949</t>
  </si>
  <si>
    <t>ENST00000470942</t>
  </si>
  <si>
    <t>ENST00000477528</t>
  </si>
  <si>
    <t>ENST00000478095</t>
  </si>
  <si>
    <t>ENST00000481929</t>
  </si>
  <si>
    <t>ENST00000483506</t>
  </si>
  <si>
    <t>ENST00000485102</t>
  </si>
  <si>
    <t>ENST00000486227</t>
  </si>
  <si>
    <t>ENST00000488543</t>
  </si>
  <si>
    <t>ENST00000488905</t>
  </si>
  <si>
    <t>ENST00000489053</t>
  </si>
  <si>
    <t>ENST00000493923</t>
  </si>
  <si>
    <t>ENST00000495515</t>
  </si>
  <si>
    <t>Q9UBP6</t>
  </si>
  <si>
    <t>ENST00000257848</t>
  </si>
  <si>
    <t>ENST00000324871</t>
  </si>
  <si>
    <t>ENST00000549773</t>
  </si>
  <si>
    <t>Q9UBQ0</t>
  </si>
  <si>
    <t>ENST00000360579</t>
  </si>
  <si>
    <t>ENST00000548259</t>
  </si>
  <si>
    <t>ENST00000548539</t>
  </si>
  <si>
    <t>ENST00000549578</t>
  </si>
  <si>
    <t>ENST00000549970</t>
  </si>
  <si>
    <t>ENST00000550267</t>
  </si>
  <si>
    <t>Q9UBQ5</t>
  </si>
  <si>
    <t>ENST00000248342</t>
  </si>
  <si>
    <t>ENST00000538434</t>
  </si>
  <si>
    <t>ENST00000545173</t>
  </si>
  <si>
    <t>ENST00000586513</t>
  </si>
  <si>
    <t>ENST00000586932</t>
  </si>
  <si>
    <t>ENST00000588299</t>
  </si>
  <si>
    <t>ENST00000588422</t>
  </si>
  <si>
    <t>ENST00000590134</t>
  </si>
  <si>
    <t>ENST00000591409</t>
  </si>
  <si>
    <t>ENST00000592558</t>
  </si>
  <si>
    <t>ENST00000593062</t>
  </si>
  <si>
    <t>ENST00000593149</t>
  </si>
  <si>
    <t>Q9UBQ7</t>
  </si>
  <si>
    <t>ENST00000318158</t>
  </si>
  <si>
    <t>ENST00000377824</t>
  </si>
  <si>
    <t>ENST00000460882</t>
  </si>
  <si>
    <t>ENST00000480596</t>
  </si>
  <si>
    <t>ENST00000482603</t>
  </si>
  <si>
    <t>ENST00000487399</t>
  </si>
  <si>
    <t>ENST00000491488</t>
  </si>
  <si>
    <t>ENST00000493368</t>
  </si>
  <si>
    <t>ENST00000497693</t>
  </si>
  <si>
    <t>ENST00000512404</t>
  </si>
  <si>
    <t>ENST00000607784</t>
  </si>
  <si>
    <t>Q9UBR2</t>
  </si>
  <si>
    <t>ENST00000217131</t>
  </si>
  <si>
    <t>ENST00000472025</t>
  </si>
  <si>
    <t>ENST00000488395</t>
  </si>
  <si>
    <t>ENST00000503833</t>
  </si>
  <si>
    <t>Q9UBS0</t>
  </si>
  <si>
    <t>ENST00000312629</t>
  </si>
  <si>
    <t>ENST00000524814</t>
  </si>
  <si>
    <t>ENST00000524934</t>
  </si>
  <si>
    <t>ENST00000525088</t>
  </si>
  <si>
    <t>ENST00000525726</t>
  </si>
  <si>
    <t>ENST00000526268</t>
  </si>
  <si>
    <t>ENST00000528964</t>
  </si>
  <si>
    <t>ENST00000530623</t>
  </si>
  <si>
    <t>ENST00000531765</t>
  </si>
  <si>
    <t>ENST00000556575</t>
  </si>
  <si>
    <t>Q9UBS4</t>
  </si>
  <si>
    <t>ENST00000265028</t>
  </si>
  <si>
    <t>ENST00000439351</t>
  </si>
  <si>
    <t>ENST00000464877</t>
  </si>
  <si>
    <t>ENST00000495390</t>
  </si>
  <si>
    <t>ENST00000538831</t>
  </si>
  <si>
    <t>Q9UBS8</t>
  </si>
  <si>
    <t>ENST00000347642</t>
  </si>
  <si>
    <t>ENST00000394514</t>
  </si>
  <si>
    <t>ENST00000394519</t>
  </si>
  <si>
    <t>ENST00000394520</t>
  </si>
  <si>
    <t>ENST00000502341</t>
  </si>
  <si>
    <t>ENST00000506938</t>
  </si>
  <si>
    <t>ENST00000507163</t>
  </si>
  <si>
    <t>ENST00000512565</t>
  </si>
  <si>
    <t>ENST00000514620</t>
  </si>
  <si>
    <t>ENST00000515613</t>
  </si>
  <si>
    <t>Q9UBT2</t>
  </si>
  <si>
    <t>ENST00000246548</t>
  </si>
  <si>
    <t>ENST00000439527</t>
  </si>
  <si>
    <t>ENST00000586313</t>
  </si>
  <si>
    <t>ENST00000590048</t>
  </si>
  <si>
    <t>ENST00000591016</t>
  </si>
  <si>
    <t>ENST00000592672</t>
  </si>
  <si>
    <t>ENST00000592791</t>
  </si>
  <si>
    <t>ENST00000592841</t>
  </si>
  <si>
    <t>ENST00000607361</t>
  </si>
  <si>
    <t>Q9UBU9</t>
  </si>
  <si>
    <t>ENST00000294172</t>
  </si>
  <si>
    <t>ENST00000526163</t>
  </si>
  <si>
    <t>ENST00000527064</t>
  </si>
  <si>
    <t>ENST00000527497</t>
  </si>
  <si>
    <t>ENST00000527902</t>
  </si>
  <si>
    <t>ENST00000531474</t>
  </si>
  <si>
    <t>ENST00000531579</t>
  </si>
  <si>
    <t>ENST00000531709</t>
  </si>
  <si>
    <t>ENST00000531872</t>
  </si>
  <si>
    <t>ENST00000532297</t>
  </si>
  <si>
    <t>ENST00000533048</t>
  </si>
  <si>
    <t>ENST00000533440</t>
  </si>
  <si>
    <t>ENST00000533499</t>
  </si>
  <si>
    <t>Q9UBV2</t>
  </si>
  <si>
    <t>ENST00000336735</t>
  </si>
  <si>
    <t>ENST00000554293</t>
  </si>
  <si>
    <t>ENST00000554744</t>
  </si>
  <si>
    <t>ENST00000555824</t>
  </si>
  <si>
    <t>ENST00000555923</t>
  </si>
  <si>
    <t>ENST00000557372</t>
  </si>
  <si>
    <t>Q9UBV8</t>
  </si>
  <si>
    <t>ENST00000373703</t>
  </si>
  <si>
    <t>ENST00000461006</t>
  </si>
  <si>
    <t>ENST00000478502</t>
  </si>
  <si>
    <t>ENST00000492061</t>
  </si>
  <si>
    <t>Q9UBW5</t>
  </si>
  <si>
    <t>ENST00000603260</t>
  </si>
  <si>
    <t>ENST00000605039</t>
  </si>
  <si>
    <t>ENST00000605423</t>
  </si>
  <si>
    <t>ENST00000605819</t>
  </si>
  <si>
    <t>Q9UBW7</t>
  </si>
  <si>
    <t>ENST00000382870</t>
  </si>
  <si>
    <t>ENST00000382871</t>
  </si>
  <si>
    <t>ENST00000382881</t>
  </si>
  <si>
    <t>ENST00000490152</t>
  </si>
  <si>
    <t>ENST00000490422</t>
  </si>
  <si>
    <t>ENST00000494061</t>
  </si>
  <si>
    <t>Q9UBW8</t>
  </si>
  <si>
    <t>ENST00000229251</t>
  </si>
  <si>
    <t>ENST00000455113</t>
  </si>
  <si>
    <t>ENST00000534947</t>
  </si>
  <si>
    <t>ENST00000536872</t>
  </si>
  <si>
    <t>ENST00000538753</t>
  </si>
  <si>
    <t>ENST00000539735</t>
  </si>
  <si>
    <t>ENST00000540408</t>
  </si>
  <si>
    <t>ENST00000541866</t>
  </si>
  <si>
    <t>ENST00000542630</t>
  </si>
  <si>
    <t>ENST00000543155</t>
  </si>
  <si>
    <t>ENST00000543170</t>
  </si>
  <si>
    <t>ENST00000544316</t>
  </si>
  <si>
    <t>ENST00000546229</t>
  </si>
  <si>
    <t>Q9UBX3</t>
  </si>
  <si>
    <t>ENST00000331531</t>
  </si>
  <si>
    <t>ENST00000350690</t>
  </si>
  <si>
    <t>ENST00000574129</t>
  </si>
  <si>
    <t>Q9UDR5</t>
  </si>
  <si>
    <t>ENST00000358954</t>
  </si>
  <si>
    <t>ENST00000393376</t>
  </si>
  <si>
    <t>ENST00000417368</t>
  </si>
  <si>
    <t>ENST00000460376</t>
  </si>
  <si>
    <t>ENST00000473553</t>
  </si>
  <si>
    <t>Q9UDW1</t>
  </si>
  <si>
    <t>ENST00000330029</t>
  </si>
  <si>
    <t>ENST00000401406</t>
  </si>
  <si>
    <t>Q9UDX5</t>
  </si>
  <si>
    <t>ENST00000266263</t>
  </si>
  <si>
    <t>ENST00000355143</t>
  </si>
  <si>
    <t>ENST00000407550</t>
  </si>
  <si>
    <t>ENST00000412752</t>
  </si>
  <si>
    <t>Q9UEE9</t>
  </si>
  <si>
    <t>ENST00000283882</t>
  </si>
  <si>
    <t>ENST00000562602</t>
  </si>
  <si>
    <t>ENST00000564286</t>
  </si>
  <si>
    <t>ENST00000564793</t>
  </si>
  <si>
    <t>ENST00000565646</t>
  </si>
  <si>
    <t>ENST00000566254</t>
  </si>
  <si>
    <t>ENST00000566901</t>
  </si>
  <si>
    <t>ENST00000569341</t>
  </si>
  <si>
    <t>ENST00000570103</t>
  </si>
  <si>
    <t>ENST00000570279</t>
  </si>
  <si>
    <t>Q9UEG4</t>
  </si>
  <si>
    <t>ENST00000262525</t>
  </si>
  <si>
    <t>Q9UEU0</t>
  </si>
  <si>
    <t>ENST00000216456</t>
  </si>
  <si>
    <t>ENST00000553619</t>
  </si>
  <si>
    <t>ENST00000554636</t>
  </si>
  <si>
    <t>ENST00000554659</t>
  </si>
  <si>
    <t>ENST00000555543</t>
  </si>
  <si>
    <t>Q9UF56</t>
  </si>
  <si>
    <t>ENST00000359660</t>
  </si>
  <si>
    <t>ENST00000481160</t>
  </si>
  <si>
    <t>ENST00000496714</t>
  </si>
  <si>
    <t>ENST00000518486</t>
  </si>
  <si>
    <t>ENST00000542267</t>
  </si>
  <si>
    <t>Q9UFC0</t>
  </si>
  <si>
    <t>ENST00000292616</t>
  </si>
  <si>
    <t>ENST00000463739</t>
  </si>
  <si>
    <t>ENST00000473880</t>
  </si>
  <si>
    <t>ENST00000485417</t>
  </si>
  <si>
    <t>ENST00000485808</t>
  </si>
  <si>
    <t>Q9UFG5</t>
  </si>
  <si>
    <t>ENST00000436106</t>
  </si>
  <si>
    <t>ENST00000586564</t>
  </si>
  <si>
    <t>ENST00000588427</t>
  </si>
  <si>
    <t>ENST00000588849</t>
  </si>
  <si>
    <t>ENST00000589421</t>
  </si>
  <si>
    <t>ENST00000592486</t>
  </si>
  <si>
    <t>ENST00000592605</t>
  </si>
  <si>
    <t>ENST00000592872</t>
  </si>
  <si>
    <t>Q9UFN0</t>
  </si>
  <si>
    <t>ENST00000374767</t>
  </si>
  <si>
    <t>ENST00000471001</t>
  </si>
  <si>
    <t>Q9UFW8</t>
  </si>
  <si>
    <t>ENST00000309534</t>
  </si>
  <si>
    <t>ENST00000398392</t>
  </si>
  <si>
    <t>ENST00000462901</t>
  </si>
  <si>
    <t>ENST00000474441</t>
  </si>
  <si>
    <t>ENST00000482016</t>
  </si>
  <si>
    <t>Q9UG22</t>
  </si>
  <si>
    <t>ENST00000223293</t>
  </si>
  <si>
    <t>ENST00000474605</t>
  </si>
  <si>
    <t>ENST00000487388</t>
  </si>
  <si>
    <t>Q9UG63</t>
  </si>
  <si>
    <t>ENST00000222388</t>
  </si>
  <si>
    <t>ENST00000287844</t>
  </si>
  <si>
    <t>ENST00000468073</t>
  </si>
  <si>
    <t>ENST00000473874</t>
  </si>
  <si>
    <t>Q9UGI8</t>
  </si>
  <si>
    <t>ENST00000358204</t>
  </si>
  <si>
    <t>ENST00000393484</t>
  </si>
  <si>
    <t>ENST00000455989</t>
  </si>
  <si>
    <t>ENST00000461440</t>
  </si>
  <si>
    <t>ENST00000463746</t>
  </si>
  <si>
    <t>ENST00000494384</t>
  </si>
  <si>
    <t>ENST00000496871</t>
  </si>
  <si>
    <t>ENST00000496912</t>
  </si>
  <si>
    <t>Q9UGJ0</t>
  </si>
  <si>
    <t>ENST00000287878</t>
  </si>
  <si>
    <t>ENST00000418337</t>
  </si>
  <si>
    <t>ENST00000474383</t>
  </si>
  <si>
    <t>ENST00000476632</t>
  </si>
  <si>
    <t>ENST00000479461</t>
  </si>
  <si>
    <t>ENST00000481434</t>
  </si>
  <si>
    <t>ENST00000483775</t>
  </si>
  <si>
    <t>ENST00000485183</t>
  </si>
  <si>
    <t>ENST00000488258</t>
  </si>
  <si>
    <t>ENST00000491938</t>
  </si>
  <si>
    <t>Q9UGK8</t>
  </si>
  <si>
    <t>ENST00000265965</t>
  </si>
  <si>
    <t>ENST00000525168</t>
  </si>
  <si>
    <t>ENST00000527494</t>
  </si>
  <si>
    <t>ENST00000528200</t>
  </si>
  <si>
    <t>ENST00000529728</t>
  </si>
  <si>
    <t>ENST00000530951</t>
  </si>
  <si>
    <t>ENST00000532265</t>
  </si>
  <si>
    <t>ENST00000532389</t>
  </si>
  <si>
    <t>ENST00000532546</t>
  </si>
  <si>
    <t>ENST00000533241</t>
  </si>
  <si>
    <t>Q9UGM6</t>
  </si>
  <si>
    <t>ENST00000235521</t>
  </si>
  <si>
    <t>ENST00000369426</t>
  </si>
  <si>
    <t>ENST00000495746</t>
  </si>
  <si>
    <t>ENST00000497761</t>
  </si>
  <si>
    <t>Q9UGP4</t>
  </si>
  <si>
    <t>ENST00000273317</t>
  </si>
  <si>
    <t>ENST00000440097</t>
  </si>
  <si>
    <t>ENST00000474665</t>
  </si>
  <si>
    <t>Q9UGP8</t>
  </si>
  <si>
    <t>ENST00000369002</t>
  </si>
  <si>
    <t>ENST00000446496</t>
  </si>
  <si>
    <t>ENST00000459782</t>
  </si>
  <si>
    <t>ENST00000465210</t>
  </si>
  <si>
    <t>ENST00000466419</t>
  </si>
  <si>
    <t>ENST00000473746</t>
  </si>
  <si>
    <t>ENST00000484803</t>
  </si>
  <si>
    <t>ENST00000489455</t>
  </si>
  <si>
    <t>Q9UGU0</t>
  </si>
  <si>
    <t>ENST00000335626</t>
  </si>
  <si>
    <t>ENST00000359486</t>
  </si>
  <si>
    <t>ENST00000404876</t>
  </si>
  <si>
    <t>Q9UGU5</t>
  </si>
  <si>
    <t>ENST00000216106</t>
  </si>
  <si>
    <t>ENST00000418170</t>
  </si>
  <si>
    <t>ENST00000455359</t>
  </si>
  <si>
    <t>ENST00000464480</t>
  </si>
  <si>
    <t>ENST00000466438</t>
  </si>
  <si>
    <t>ENST00000498212</t>
  </si>
  <si>
    <t>ENST00000498325</t>
  </si>
  <si>
    <t>Q9UGY1</t>
  </si>
  <si>
    <t>ENST00000359114</t>
  </si>
  <si>
    <t>ENST00000438329</t>
  </si>
  <si>
    <t>ENST00000468597</t>
  </si>
  <si>
    <t>ENST00000474032</t>
  </si>
  <si>
    <t>ENST00000484650</t>
  </si>
  <si>
    <t>Q9UH62</t>
  </si>
  <si>
    <t>ENST00000341189</t>
  </si>
  <si>
    <t>ENST00000467808</t>
  </si>
  <si>
    <t>ENST00000471229</t>
  </si>
  <si>
    <t>ENST00000477980</t>
  </si>
  <si>
    <t>ENST00000491568</t>
  </si>
  <si>
    <t>ENST00000537169</t>
  </si>
  <si>
    <t>Q9UH65</t>
  </si>
  <si>
    <t>ENST00000318950</t>
  </si>
  <si>
    <t>ENST00000447399</t>
  </si>
  <si>
    <t>ENST00000524817</t>
  </si>
  <si>
    <t>Q9UH99</t>
  </si>
  <si>
    <t>ENST00000405018</t>
  </si>
  <si>
    <t>ENST00000405510</t>
  </si>
  <si>
    <t>ENST00000430185</t>
  </si>
  <si>
    <t>ENST00000439339</t>
  </si>
  <si>
    <t>ENST00000452294</t>
  </si>
  <si>
    <t>ENST00000455125</t>
  </si>
  <si>
    <t>ENST00000456894</t>
  </si>
  <si>
    <t>ENST00000464202</t>
  </si>
  <si>
    <t>ENST00000469086</t>
  </si>
  <si>
    <t>ENST00000470642</t>
  </si>
  <si>
    <t>ENST00000477262</t>
  </si>
  <si>
    <t>ENST00000480307</t>
  </si>
  <si>
    <t>ENST00000494273</t>
  </si>
  <si>
    <t>Q9UHA3</t>
  </si>
  <si>
    <t>ENST00000260443</t>
  </si>
  <si>
    <t>ENST00000562895</t>
  </si>
  <si>
    <t>ENST00000562993</t>
  </si>
  <si>
    <t>ENST00000564344</t>
  </si>
  <si>
    <t>ENST00000565854</t>
  </si>
  <si>
    <t>Q9UHB7</t>
  </si>
  <si>
    <t>ENST00000265343</t>
  </si>
  <si>
    <t>ENST00000378595</t>
  </si>
  <si>
    <t>ENST00000421773</t>
  </si>
  <si>
    <t>ENST00000465484</t>
  </si>
  <si>
    <t>ENST00000477369</t>
  </si>
  <si>
    <t>ENST00000491831</t>
  </si>
  <si>
    <t>Q9UHB9</t>
  </si>
  <si>
    <t>ENST00000307877</t>
  </si>
  <si>
    <t>ENST00000542536</t>
  </si>
  <si>
    <t>ENST00000585539</t>
  </si>
  <si>
    <t>ENST00000586859</t>
  </si>
  <si>
    <t>ENST00000587864</t>
  </si>
  <si>
    <t>ENST00000588643</t>
  </si>
  <si>
    <t>ENST00000588736</t>
  </si>
  <si>
    <t>ENST00000590833</t>
  </si>
  <si>
    <t>Q9UHD2</t>
  </si>
  <si>
    <t>ENST00000331710</t>
  </si>
  <si>
    <t>ENST00000536906</t>
  </si>
  <si>
    <t>ENST00000541805</t>
  </si>
  <si>
    <t>ENST00000545025</t>
  </si>
  <si>
    <t>ENST00000545392</t>
  </si>
  <si>
    <t>Q9UHD9</t>
  </si>
  <si>
    <t>ENST00000338222</t>
  </si>
  <si>
    <t>Q9UHF7</t>
  </si>
  <si>
    <t>ENST00000395715</t>
  </si>
  <si>
    <t>Q9UHG3</t>
  </si>
  <si>
    <t>ENST00000433351</t>
  </si>
  <si>
    <t>ENST00000480949</t>
  </si>
  <si>
    <t>Q9UHI6</t>
  </si>
  <si>
    <t>ENST00000369702</t>
  </si>
  <si>
    <t>ENST00000475700</t>
  </si>
  <si>
    <t>ENST00000534200</t>
  </si>
  <si>
    <t>Q9UHJ6</t>
  </si>
  <si>
    <t>ENST00000225519</t>
  </si>
  <si>
    <t>Q9UHL4</t>
  </si>
  <si>
    <t>ENST00000371579</t>
  </si>
  <si>
    <t>ENST00000460830</t>
  </si>
  <si>
    <t>ENST00000470766</t>
  </si>
  <si>
    <t>ENST00000472306</t>
  </si>
  <si>
    <t>ENST00000473532</t>
  </si>
  <si>
    <t>ENST00000478597</t>
  </si>
  <si>
    <t>ENST00000482088</t>
  </si>
  <si>
    <t>ENST00000483783</t>
  </si>
  <si>
    <t>ENST00000485456</t>
  </si>
  <si>
    <t>ENST00000491807</t>
  </si>
  <si>
    <t>ENST00000497375</t>
  </si>
  <si>
    <t>Q9UHP3</t>
  </si>
  <si>
    <t>ENST00000285679</t>
  </si>
  <si>
    <t>ENST00000285681</t>
  </si>
  <si>
    <t>ENST00000400183</t>
  </si>
  <si>
    <t>ENST00000464435</t>
  </si>
  <si>
    <t>ENST00000478932</t>
  </si>
  <si>
    <t>Q9UHQ4</t>
  </si>
  <si>
    <t>ENST00000005259</t>
  </si>
  <si>
    <t>ENST00000379119</t>
  </si>
  <si>
    <t>ENST00000436699</t>
  </si>
  <si>
    <t>ENST00000442065</t>
  </si>
  <si>
    <t>ENST00000445771</t>
  </si>
  <si>
    <t>ENST00000466094</t>
  </si>
  <si>
    <t>ENST00000473124</t>
  </si>
  <si>
    <t>ENST00000486326</t>
  </si>
  <si>
    <t>ENST00000490060</t>
  </si>
  <si>
    <t>ENST00000491150</t>
  </si>
  <si>
    <t>ENST00000494086</t>
  </si>
  <si>
    <t>Q9UHQ9</t>
  </si>
  <si>
    <t>ENST00000367249</t>
  </si>
  <si>
    <t>ENST00000446185</t>
  </si>
  <si>
    <t>ENST00000473599</t>
  </si>
  <si>
    <t>ENST00000478009</t>
  </si>
  <si>
    <t>ENST00000482572</t>
  </si>
  <si>
    <t>ENST00000483915</t>
  </si>
  <si>
    <t>ENST00000497655</t>
  </si>
  <si>
    <t>Q9UHR6</t>
  </si>
  <si>
    <t>ENST00000310597</t>
  </si>
  <si>
    <t>Q9UHV7</t>
  </si>
  <si>
    <t>ENST00000397786</t>
  </si>
  <si>
    <t>ENST00000578132</t>
  </si>
  <si>
    <t>ENST00000581994</t>
  </si>
  <si>
    <t>ENST00000582786</t>
  </si>
  <si>
    <t>ENST00000583958</t>
  </si>
  <si>
    <t>Q9UHV9</t>
  </si>
  <si>
    <t>ENST00000368010</t>
  </si>
  <si>
    <t>ENST00000468311</t>
  </si>
  <si>
    <t>Q9UHW5</t>
  </si>
  <si>
    <t>ENST00000228827</t>
  </si>
  <si>
    <t>ENST00000537466</t>
  </si>
  <si>
    <t>ENST00000543199</t>
  </si>
  <si>
    <t>ENST00000547323</t>
  </si>
  <si>
    <t>ENST00000550974</t>
  </si>
  <si>
    <t>Q9UHY1</t>
  </si>
  <si>
    <t>ENST00000233557</t>
  </si>
  <si>
    <t>ENST00000356442</t>
  </si>
  <si>
    <t>ENST00000379852</t>
  </si>
  <si>
    <t>ENST00000379863</t>
  </si>
  <si>
    <t>ENST00000460499</t>
  </si>
  <si>
    <t>ENST00000486701</t>
  </si>
  <si>
    <t>ENST00000493768</t>
  </si>
  <si>
    <t>Q9UHY7</t>
  </si>
  <si>
    <t>ENST00000273920</t>
  </si>
  <si>
    <t>ENST00000505846</t>
  </si>
  <si>
    <t>ENST00000509635</t>
  </si>
  <si>
    <t>Q9UI09</t>
  </si>
  <si>
    <t>ENST00000327772</t>
  </si>
  <si>
    <t>ENST00000538372</t>
  </si>
  <si>
    <t>ENST00000546788</t>
  </si>
  <si>
    <t>ENST00000547986</t>
  </si>
  <si>
    <t>ENST00000550187</t>
  </si>
  <si>
    <t>ENST00000551991</t>
  </si>
  <si>
    <t>ENST00000552205</t>
  </si>
  <si>
    <t>Q9UI10</t>
  </si>
  <si>
    <t>ENST00000347454</t>
  </si>
  <si>
    <t>ENST00000405940</t>
  </si>
  <si>
    <t>ENST00000418146</t>
  </si>
  <si>
    <t>ENST00000445933</t>
  </si>
  <si>
    <t>ENST00000451130</t>
  </si>
  <si>
    <t>ENST00000462749</t>
  </si>
  <si>
    <t>ENST00000475582</t>
  </si>
  <si>
    <t>ENST00000478311</t>
  </si>
  <si>
    <t>ENST00000493344</t>
  </si>
  <si>
    <t>Q9UI14</t>
  </si>
  <si>
    <t>ENST00000222008</t>
  </si>
  <si>
    <t>ENST00000595226</t>
  </si>
  <si>
    <t>ENST00000596171</t>
  </si>
  <si>
    <t>ENST00000598057</t>
  </si>
  <si>
    <t>ENST00000599219</t>
  </si>
  <si>
    <t>ENST00000601476</t>
  </si>
  <si>
    <t>ENST00000601891</t>
  </si>
  <si>
    <t>Q9UI26</t>
  </si>
  <si>
    <t>ENST00000325324</t>
  </si>
  <si>
    <t>ENST00000409534</t>
  </si>
  <si>
    <t>ENST00000413749</t>
  </si>
  <si>
    <t>ENST00000424533</t>
  </si>
  <si>
    <t>ENST00000502862</t>
  </si>
  <si>
    <t>ENST00000506905</t>
  </si>
  <si>
    <t>ENST00000511713</t>
  </si>
  <si>
    <t>ENST00000514647</t>
  </si>
  <si>
    <t>Q9UIA0</t>
  </si>
  <si>
    <t>ENST00000248901</t>
  </si>
  <si>
    <t>ENST00000402997</t>
  </si>
  <si>
    <t>ENST00000405206</t>
  </si>
  <si>
    <t>ENST00000439667</t>
  </si>
  <si>
    <t>ENST00000446506</t>
  </si>
  <si>
    <t>ENST00000462927</t>
  </si>
  <si>
    <t>ENST00000467664</t>
  </si>
  <si>
    <t>ENST00000469886</t>
  </si>
  <si>
    <t>ENST00000480510</t>
  </si>
  <si>
    <t>Q9UIA9</t>
  </si>
  <si>
    <t>ENST00000252512</t>
  </si>
  <si>
    <t>ENST00000517551</t>
  </si>
  <si>
    <t>ENST00000518808</t>
  </si>
  <si>
    <t>ENST00000519769</t>
  </si>
  <si>
    <t>ENST00000521303</t>
  </si>
  <si>
    <t>ENST00000522015</t>
  </si>
  <si>
    <t>Q9UIC8</t>
  </si>
  <si>
    <t>ENST00000380962</t>
  </si>
  <si>
    <t>ENST00000380966</t>
  </si>
  <si>
    <t>ENST00000399069</t>
  </si>
  <si>
    <t>ENST00000564011</t>
  </si>
  <si>
    <t>ENST00000570981</t>
  </si>
  <si>
    <t>ENST00000572761</t>
  </si>
  <si>
    <t>ENST00000573435</t>
  </si>
  <si>
    <t>ENST00000574450</t>
  </si>
  <si>
    <t>ENST00000575396</t>
  </si>
  <si>
    <t>ENST00000576382</t>
  </si>
  <si>
    <t>ENST00000576625</t>
  </si>
  <si>
    <t>ENST00000577157</t>
  </si>
  <si>
    <t>Q9UID3</t>
  </si>
  <si>
    <t>ENST00000279281</t>
  </si>
  <si>
    <t>ENST00000526578</t>
  </si>
  <si>
    <t>ENST00000526856</t>
  </si>
  <si>
    <t>ENST00000527646</t>
  </si>
  <si>
    <t>ENST00000528050</t>
  </si>
  <si>
    <t>ENST00000529180</t>
  </si>
  <si>
    <t>ENST00000530773</t>
  </si>
  <si>
    <t>ENST00000531146</t>
  </si>
  <si>
    <t>ENST00000533487</t>
  </si>
  <si>
    <t>ENST00000533656</t>
  </si>
  <si>
    <t>ENST00000533827</t>
  </si>
  <si>
    <t>ENST00000534124</t>
  </si>
  <si>
    <t>ENST00000534591</t>
  </si>
  <si>
    <t>Q9UID6</t>
  </si>
  <si>
    <t>ENST00000326361</t>
  </si>
  <si>
    <t>ENST00000466264</t>
  </si>
  <si>
    <t>ENST00000466663</t>
  </si>
  <si>
    <t>ENST00000481587</t>
  </si>
  <si>
    <t>ENST00000483460</t>
  </si>
  <si>
    <t>ENST00000484866</t>
  </si>
  <si>
    <t>ENST00000491818</t>
  </si>
  <si>
    <t>ENST00000494234</t>
  </si>
  <si>
    <t>ENST00000496856</t>
  </si>
  <si>
    <t>Q9UII2</t>
  </si>
  <si>
    <t>ENST00000335514</t>
  </si>
  <si>
    <t>ENST00000465645</t>
  </si>
  <si>
    <t>ENST00000468425</t>
  </si>
  <si>
    <t>ENST00000497986</t>
  </si>
  <si>
    <t>Q9UII4</t>
  </si>
  <si>
    <t>ENST00000264350</t>
  </si>
  <si>
    <t>ENST00000510223</t>
  </si>
  <si>
    <t>Q9UIJ5</t>
  </si>
  <si>
    <t>ENST00000262096</t>
  </si>
  <si>
    <t>ENST00000517334</t>
  </si>
  <si>
    <t>Q9UIJ7</t>
  </si>
  <si>
    <t>ENST00000359883</t>
  </si>
  <si>
    <t>ENST00000381809</t>
  </si>
  <si>
    <t>Q9UIL8</t>
  </si>
  <si>
    <t>ENST00000378319</t>
  </si>
  <si>
    <t>ENST00000426879</t>
  </si>
  <si>
    <t>ENST00000460489</t>
  </si>
  <si>
    <t>ENST00000467763</t>
  </si>
  <si>
    <t>ENST00000476953</t>
  </si>
  <si>
    <t>ENST00000481509</t>
  </si>
  <si>
    <t>ENST00000482487</t>
  </si>
  <si>
    <t>ENST00000486276</t>
  </si>
  <si>
    <t>ENST00000488605</t>
  </si>
  <si>
    <t>ENST00000488958</t>
  </si>
  <si>
    <t>ENST00000495157</t>
  </si>
  <si>
    <t>ENST00000496612</t>
  </si>
  <si>
    <t>ENST00000496623</t>
  </si>
  <si>
    <t>Q9UIM3</t>
  </si>
  <si>
    <t>ENST00000375156</t>
  </si>
  <si>
    <t>Q9UIQ6</t>
  </si>
  <si>
    <t>ENST00000231368</t>
  </si>
  <si>
    <t>ENST00000395784</t>
  </si>
  <si>
    <t>ENST00000473914</t>
  </si>
  <si>
    <t>ENST00000474122</t>
  </si>
  <si>
    <t>Q9UJ70</t>
  </si>
  <si>
    <t>ENST00000244204</t>
  </si>
  <si>
    <t>ENST00000418807</t>
  </si>
  <si>
    <t>ENST00000455662</t>
  </si>
  <si>
    <t>ENST00000465105</t>
  </si>
  <si>
    <t>ENST00000468601</t>
  </si>
  <si>
    <t>ENST00000472519</t>
  </si>
  <si>
    <t>ENST00000475709</t>
  </si>
  <si>
    <t>ENST00000478659</t>
  </si>
  <si>
    <t>ENST00000479854</t>
  </si>
  <si>
    <t>ENST00000480411</t>
  </si>
  <si>
    <t>ENST00000489309</t>
  </si>
  <si>
    <t>ENST00000490998</t>
  </si>
  <si>
    <t>ENST00000497690</t>
  </si>
  <si>
    <t>ENST00000498022</t>
  </si>
  <si>
    <t>ENST00000524537</t>
  </si>
  <si>
    <t>ENST00000524736</t>
  </si>
  <si>
    <t>ENST00000529236</t>
  </si>
  <si>
    <t>ENST00000531934</t>
  </si>
  <si>
    <t>Q9UJA5</t>
  </si>
  <si>
    <t>ENST00000203001</t>
  </si>
  <si>
    <t>ENST00000453074</t>
  </si>
  <si>
    <t>ENST00000466974</t>
  </si>
  <si>
    <t>ENST00000473131</t>
  </si>
  <si>
    <t>ENST00000493972</t>
  </si>
  <si>
    <t>Q9UJC3</t>
  </si>
  <si>
    <t>ENST00000371208</t>
  </si>
  <si>
    <t>ENST00000466803</t>
  </si>
  <si>
    <t>ENST00000474695</t>
  </si>
  <si>
    <t>ENST00000491135</t>
  </si>
  <si>
    <t>Q9UJJ9</t>
  </si>
  <si>
    <t>ENST00000204679</t>
  </si>
  <si>
    <t>ENST00000526820</t>
  </si>
  <si>
    <t>ENST00000527076</t>
  </si>
  <si>
    <t>ENST00000527137</t>
  </si>
  <si>
    <t>ENST00000527168</t>
  </si>
  <si>
    <t>ENST00000527876</t>
  </si>
  <si>
    <t>ENST00000529110</t>
  </si>
  <si>
    <t>ENST00000529957</t>
  </si>
  <si>
    <t>ENST00000534197</t>
  </si>
  <si>
    <t>Q9UJK0</t>
  </si>
  <si>
    <t>ENST00000007390</t>
  </si>
  <si>
    <t>ENST00000566296</t>
  </si>
  <si>
    <t>Q9UJS0</t>
  </si>
  <si>
    <t>ENST00000265631</t>
  </si>
  <si>
    <t>ENST00000416240</t>
  </si>
  <si>
    <t>ENST00000472162</t>
  </si>
  <si>
    <t>ENST00000490072</t>
  </si>
  <si>
    <t>ENST00000492869</t>
  </si>
  <si>
    <t>ENST00000494085</t>
  </si>
  <si>
    <t>Q9UJT0</t>
  </si>
  <si>
    <t>ENST00000368657</t>
  </si>
  <si>
    <t>ENST00000368662</t>
  </si>
  <si>
    <t>ENST00000441191</t>
  </si>
  <si>
    <t>ENST00000603621</t>
  </si>
  <si>
    <t>ENST00000603651</t>
  </si>
  <si>
    <t>ENST00000603722</t>
  </si>
  <si>
    <t>ENST00000604689</t>
  </si>
  <si>
    <t>ENST00000604743</t>
  </si>
  <si>
    <t>ENST00000604814</t>
  </si>
  <si>
    <t>ENST00000604967</t>
  </si>
  <si>
    <t>Q9UJV9</t>
  </si>
  <si>
    <t>ENST00000330503</t>
  </si>
  <si>
    <t>ENST00000503078</t>
  </si>
  <si>
    <t>ENST00000504781</t>
  </si>
  <si>
    <t>ENST00000504807</t>
  </si>
  <si>
    <t>ENST00000505081</t>
  </si>
  <si>
    <t>ENST00000507900</t>
  </si>
  <si>
    <t>ENST00000507955</t>
  </si>
  <si>
    <t>ENST00000508279</t>
  </si>
  <si>
    <t>ENST00000509576</t>
  </si>
  <si>
    <t>ENST00000510171</t>
  </si>
  <si>
    <t>ENST00000512027</t>
  </si>
  <si>
    <t>ENST00000512334</t>
  </si>
  <si>
    <t>ENST00000512431</t>
  </si>
  <si>
    <t>ENST00000513562</t>
  </si>
  <si>
    <t>ENST00000515562</t>
  </si>
  <si>
    <t>Q9UJW0</t>
  </si>
  <si>
    <t>ENST00000447998</t>
  </si>
  <si>
    <t>ENST00000518909</t>
  </si>
  <si>
    <t>ENST00000519313</t>
  </si>
  <si>
    <t>ENST00000519552</t>
  </si>
  <si>
    <t>ENST00000520195</t>
  </si>
  <si>
    <t>ENST00000521448</t>
  </si>
  <si>
    <t>ENST00000522625</t>
  </si>
  <si>
    <t>Q9UJX2</t>
  </si>
  <si>
    <t>ENST00000394884</t>
  </si>
  <si>
    <t>ENST00000394886</t>
  </si>
  <si>
    <t>ENST00000464806</t>
  </si>
  <si>
    <t>ENST00000471692</t>
  </si>
  <si>
    <t>ENST00000475021</t>
  </si>
  <si>
    <t>ENST00000482948</t>
  </si>
  <si>
    <t>Q9UJX4</t>
  </si>
  <si>
    <t>ENST00000261819</t>
  </si>
  <si>
    <t>ENST00000366333</t>
  </si>
  <si>
    <t>ENST00000422342</t>
  </si>
  <si>
    <t>ENST00000441917</t>
  </si>
  <si>
    <t>ENST00000534976</t>
  </si>
  <si>
    <t>ENST00000535472</t>
  </si>
  <si>
    <t>ENST00000535482</t>
  </si>
  <si>
    <t>ENST00000535641</t>
  </si>
  <si>
    <t>ENST00000538223</t>
  </si>
  <si>
    <t>ENST00000538334</t>
  </si>
  <si>
    <t>ENST00000539079</t>
  </si>
  <si>
    <t>ENST00000539612</t>
  </si>
  <si>
    <t>ENST00000541652</t>
  </si>
  <si>
    <t>ENST00000541887</t>
  </si>
  <si>
    <t>ENST00000544314</t>
  </si>
  <si>
    <t>ENST00000544442</t>
  </si>
  <si>
    <t>ENST00000545218</t>
  </si>
  <si>
    <t>ENST00000545801</t>
  </si>
  <si>
    <t>Q9UJX6</t>
  </si>
  <si>
    <t>ENST00000323927</t>
  </si>
  <si>
    <t>ENST00000471131</t>
  </si>
  <si>
    <t>ENST00000483432</t>
  </si>
  <si>
    <t>ENST00000487917</t>
  </si>
  <si>
    <t>ENST00000495611</t>
  </si>
  <si>
    <t>Q9UJY4</t>
  </si>
  <si>
    <t>ENST00000309859</t>
  </si>
  <si>
    <t>ENST00000562117</t>
  </si>
  <si>
    <t>ENST00000563494</t>
  </si>
  <si>
    <t>ENST00000566547</t>
  </si>
  <si>
    <t>ENST00000566685</t>
  </si>
  <si>
    <t>ENST00000567201</t>
  </si>
  <si>
    <t>ENST00000567468</t>
  </si>
  <si>
    <t>ENST00000568799</t>
  </si>
  <si>
    <t>ENST00000568922</t>
  </si>
  <si>
    <t>ENST00000569182</t>
  </si>
  <si>
    <t>ENST00000569189</t>
  </si>
  <si>
    <t>ENST00000569300</t>
  </si>
  <si>
    <t>ENST00000570111</t>
  </si>
  <si>
    <t>Q9UJZ1</t>
  </si>
  <si>
    <t>ENST00000356493</t>
  </si>
  <si>
    <t>ENST00000452248</t>
  </si>
  <si>
    <t>ENST00000487490</t>
  </si>
  <si>
    <t>ENST00000488050</t>
  </si>
  <si>
    <t>Q9UK22</t>
  </si>
  <si>
    <t>ENST00000354287</t>
  </si>
  <si>
    <t>ENST00000471501</t>
  </si>
  <si>
    <t>Q9UK41</t>
  </si>
  <si>
    <t>ENST00000292510</t>
  </si>
  <si>
    <t>ENST00000377348</t>
  </si>
  <si>
    <t>ENST00000524521</t>
  </si>
  <si>
    <t>ENST00000526054</t>
  </si>
  <si>
    <t>ENST00000526204</t>
  </si>
  <si>
    <t>ENST00000526734</t>
  </si>
  <si>
    <t>ENST00000526977</t>
  </si>
  <si>
    <t>ENST00000527797</t>
  </si>
  <si>
    <t>ENST00000528142</t>
  </si>
  <si>
    <t>ENST00000529182</t>
  </si>
  <si>
    <t>ENST00000530790</t>
  </si>
  <si>
    <t>ENST00000530836</t>
  </si>
  <si>
    <t>ENST00000530983</t>
  </si>
  <si>
    <t>ENST00000531032</t>
  </si>
  <si>
    <t>ENST00000531924</t>
  </si>
  <si>
    <t>ENST00000533806</t>
  </si>
  <si>
    <t>Q9UK45</t>
  </si>
  <si>
    <t>ENST00000252622</t>
  </si>
  <si>
    <t>ENST00000585395</t>
  </si>
  <si>
    <t>ENST00000585409</t>
  </si>
  <si>
    <t>ENST00000587502</t>
  </si>
  <si>
    <t>ENST00000589532</t>
  </si>
  <si>
    <t>ENST00000591515</t>
  </si>
  <si>
    <t>Q9UK59</t>
  </si>
  <si>
    <t>ENST00000260803</t>
  </si>
  <si>
    <t>ENST00000460271</t>
  </si>
  <si>
    <t>Q9UK61</t>
  </si>
  <si>
    <t>ENST00000355628</t>
  </si>
  <si>
    <t>ENST00000431842</t>
  </si>
  <si>
    <t>ENST00000459993</t>
  </si>
  <si>
    <t>ENST00000461863</t>
  </si>
  <si>
    <t>ENST00000477406</t>
  </si>
  <si>
    <t>ENST00000478052</t>
  </si>
  <si>
    <t>ENST00000485156</t>
  </si>
  <si>
    <t>ENST00000487036</t>
  </si>
  <si>
    <t>ENST00000493960</t>
  </si>
  <si>
    <t>Q9UK76</t>
  </si>
  <si>
    <t>ENST00000409753</t>
  </si>
  <si>
    <t>ENST00000465454</t>
  </si>
  <si>
    <t>ENST00000481094</t>
  </si>
  <si>
    <t>ENST00000581874</t>
  </si>
  <si>
    <t>Q9UKA4</t>
  </si>
  <si>
    <t>ENST00000025301</t>
  </si>
  <si>
    <t>Q9UKD1</t>
  </si>
  <si>
    <t>ENST00000266068</t>
  </si>
  <si>
    <t>ENST00000370069</t>
  </si>
  <si>
    <t>ENST00000370077</t>
  </si>
  <si>
    <t>Q9UKD2</t>
  </si>
  <si>
    <t>ENST00000330263</t>
  </si>
  <si>
    <t>ENST00000479559</t>
  </si>
  <si>
    <t>ENST00000493700</t>
  </si>
  <si>
    <t>Q9UKF6</t>
  </si>
  <si>
    <t>ENST00000238112</t>
  </si>
  <si>
    <t>ENST00000475482</t>
  </si>
  <si>
    <t>ENST00000489403</t>
  </si>
  <si>
    <t>ENST00000489629</t>
  </si>
  <si>
    <t>Q9UKF7</t>
  </si>
  <si>
    <t>ENST00000578527</t>
  </si>
  <si>
    <t>ENST00000580974</t>
  </si>
  <si>
    <t>ENST00000581322</t>
  </si>
  <si>
    <t>ENST00000581923</t>
  </si>
  <si>
    <t>ENST00000584471</t>
  </si>
  <si>
    <t>ENST00000584554</t>
  </si>
  <si>
    <t>Q9UKG1</t>
  </si>
  <si>
    <t>ENST00000288266</t>
  </si>
  <si>
    <t>ENST00000464446</t>
  </si>
  <si>
    <t>ENST00000468342</t>
  </si>
  <si>
    <t>ENST00000482800</t>
  </si>
  <si>
    <t>ENST00000488530</t>
  </si>
  <si>
    <t>ENST00000492501</t>
  </si>
  <si>
    <t>Q9UKJ3</t>
  </si>
  <si>
    <t>ENST00000335500</t>
  </si>
  <si>
    <t>ENST00000587228</t>
  </si>
  <si>
    <t>ENST00000588554</t>
  </si>
  <si>
    <t>ENST00000591680</t>
  </si>
  <si>
    <t>ENST00000592154</t>
  </si>
  <si>
    <t>Q9UKK3</t>
  </si>
  <si>
    <t>ENST00000381989</t>
  </si>
  <si>
    <t>ENST00000480576</t>
  </si>
  <si>
    <t>ENST00000484989</t>
  </si>
  <si>
    <t>Q9UKK6</t>
  </si>
  <si>
    <t>ENST00000254998</t>
  </si>
  <si>
    <t>Q9UKK9</t>
  </si>
  <si>
    <t>ENST00000378927</t>
  </si>
  <si>
    <t>ENST00000378937</t>
  </si>
  <si>
    <t>ENST00000378940</t>
  </si>
  <si>
    <t>ENST00000378952</t>
  </si>
  <si>
    <t>ENST00000444732</t>
  </si>
  <si>
    <t>ENST00000476462</t>
  </si>
  <si>
    <t>ENST00000491614</t>
  </si>
  <si>
    <t>ENST00000498825</t>
  </si>
  <si>
    <t>ENST00000537776</t>
  </si>
  <si>
    <t>Q9UKL0</t>
  </si>
  <si>
    <t>ENST00000262241</t>
  </si>
  <si>
    <t>ENST00000558495</t>
  </si>
  <si>
    <t>ENST00000559597</t>
  </si>
  <si>
    <t>Q9UKL3</t>
  </si>
  <si>
    <t>ENST00000419040</t>
  </si>
  <si>
    <t>ENST00000547893</t>
  </si>
  <si>
    <t>ENST00000551025</t>
  </si>
  <si>
    <t>Q9UKM7</t>
  </si>
  <si>
    <t>ENST00000371587</t>
  </si>
  <si>
    <t>ENST00000371589</t>
  </si>
  <si>
    <t>ENST00000475449</t>
  </si>
  <si>
    <t>ENST00000480100</t>
  </si>
  <si>
    <t>ENST00000535028</t>
  </si>
  <si>
    <t>ENST00000535144</t>
  </si>
  <si>
    <t>ENST00000536268</t>
  </si>
  <si>
    <t>ENST00000536349</t>
  </si>
  <si>
    <t>ENST00000544448</t>
  </si>
  <si>
    <t>ENST00000545096</t>
  </si>
  <si>
    <t>Q9UKN8</t>
  </si>
  <si>
    <t>ENST00000372146</t>
  </si>
  <si>
    <t>Q9UKR5</t>
  </si>
  <si>
    <t>ENST00000256319</t>
  </si>
  <si>
    <t>Q9UKT7</t>
  </si>
  <si>
    <t>ENST00000355619</t>
  </si>
  <si>
    <t>ENST00000417323</t>
  </si>
  <si>
    <t>ENST00000470210</t>
  </si>
  <si>
    <t>ENST00000477982</t>
  </si>
  <si>
    <t>ENST00000485797</t>
  </si>
  <si>
    <t>Q9UKT9</t>
  </si>
  <si>
    <t>ENST00000293068</t>
  </si>
  <si>
    <t>ENST00000346872</t>
  </si>
  <si>
    <t>ENST00000351680</t>
  </si>
  <si>
    <t>ENST00000439016</t>
  </si>
  <si>
    <t>ENST00000583368</t>
  </si>
  <si>
    <t>Q9UKU7</t>
  </si>
  <si>
    <t>ENST00000281182</t>
  </si>
  <si>
    <t>ENST00000524502</t>
  </si>
  <si>
    <t>ENST00000524739</t>
  </si>
  <si>
    <t>ENST00000525961</t>
  </si>
  <si>
    <t>ENST00000527082</t>
  </si>
  <si>
    <t>ENST00000527665</t>
  </si>
  <si>
    <t>ENST00000527713</t>
  </si>
  <si>
    <t>ENST00000528325</t>
  </si>
  <si>
    <t>ENST00000530533</t>
  </si>
  <si>
    <t>ENST00000531338</t>
  </si>
  <si>
    <t>Q9UKV3</t>
  </si>
  <si>
    <t>ENST00000262710</t>
  </si>
  <si>
    <t>ENST00000338631</t>
  </si>
  <si>
    <t>ENST00000357481</t>
  </si>
  <si>
    <t>ENST00000397341</t>
  </si>
  <si>
    <t>ENST00000457657</t>
  </si>
  <si>
    <t>ENST00000473758</t>
  </si>
  <si>
    <t>ENST00000553721</t>
  </si>
  <si>
    <t>ENST00000553790</t>
  </si>
  <si>
    <t>ENST00000554680</t>
  </si>
  <si>
    <t>ENST00000554708</t>
  </si>
  <si>
    <t>ENST00000554979</t>
  </si>
  <si>
    <t>ENST00000555053</t>
  </si>
  <si>
    <t>ENST00000555352</t>
  </si>
  <si>
    <t>ENST00000555395</t>
  </si>
  <si>
    <t>ENST00000555478</t>
  </si>
  <si>
    <t>ENST00000555566</t>
  </si>
  <si>
    <t>ENST00000555807</t>
  </si>
  <si>
    <t>ENST00000556052</t>
  </si>
  <si>
    <t>ENST00000557039</t>
  </si>
  <si>
    <t>ENST00000557432</t>
  </si>
  <si>
    <t>ENST00000557515</t>
  </si>
  <si>
    <t>ENST00000605057</t>
  </si>
  <si>
    <t>Q9UKV5</t>
  </si>
  <si>
    <t>ENST00000290649</t>
  </si>
  <si>
    <t>ENST00000492830</t>
  </si>
  <si>
    <t>ENST00000563285</t>
  </si>
  <si>
    <t>ENST00000566334</t>
  </si>
  <si>
    <t>ENST00000566757</t>
  </si>
  <si>
    <t>ENST00000568325</t>
  </si>
  <si>
    <t>ENST00000568762</t>
  </si>
  <si>
    <t>Q9UKV8</t>
  </si>
  <si>
    <t>ENST00000220592</t>
  </si>
  <si>
    <t>ENST00000517293</t>
  </si>
  <si>
    <t>ENST00000519347</t>
  </si>
  <si>
    <t>ENST00000519980</t>
  </si>
  <si>
    <t>ENST00000520412</t>
  </si>
  <si>
    <t>ENST00000520628</t>
  </si>
  <si>
    <t>ENST00000521325</t>
  </si>
  <si>
    <t>ENST00000523609</t>
  </si>
  <si>
    <t>Q9UKX7</t>
  </si>
  <si>
    <t>ENST00000347635</t>
  </si>
  <si>
    <t>ENST00000396096</t>
  </si>
  <si>
    <t>ENST00000417702</t>
  </si>
  <si>
    <t>ENST00000419387</t>
  </si>
  <si>
    <t>ENST00000422489</t>
  </si>
  <si>
    <t>ENST00000424634</t>
  </si>
  <si>
    <t>ENST00000430547</t>
  </si>
  <si>
    <t>ENST00000432340</t>
  </si>
  <si>
    <t>ENST00000434760</t>
  </si>
  <si>
    <t>ENST00000445721</t>
  </si>
  <si>
    <t>ENST00000461437</t>
  </si>
  <si>
    <t>ENST00000469163</t>
  </si>
  <si>
    <t>ENST00000484186</t>
  </si>
  <si>
    <t>ENST00000491860</t>
  </si>
  <si>
    <t>ENST00000493456</t>
  </si>
  <si>
    <t>ENST00000497960</t>
  </si>
  <si>
    <t>Q9UKY7</t>
  </si>
  <si>
    <t>ENST00000264993</t>
  </si>
  <si>
    <t>ENST00000420115</t>
  </si>
  <si>
    <t>ENST00000431519</t>
  </si>
  <si>
    <t>ENST00000503932</t>
  </si>
  <si>
    <t>ENST00000504867</t>
  </si>
  <si>
    <t>ENST00000507408</t>
  </si>
  <si>
    <t>ENST00000511392</t>
  </si>
  <si>
    <t>Q9UKZ1</t>
  </si>
  <si>
    <t>ENST00000289382</t>
  </si>
  <si>
    <t>ENST00000420107</t>
  </si>
  <si>
    <t>ENST00000462489</t>
  </si>
  <si>
    <t>Q9UL15</t>
  </si>
  <si>
    <t>ENST00000299204</t>
  </si>
  <si>
    <t>ENST00000337322</t>
  </si>
  <si>
    <t>ENST00000445922</t>
  </si>
  <si>
    <t>ENST00000557666</t>
  </si>
  <si>
    <t>Q9UL17</t>
  </si>
  <si>
    <t>ENST00000177694</t>
  </si>
  <si>
    <t>ENST00000581328</t>
  </si>
  <si>
    <t>Q9UL18</t>
  </si>
  <si>
    <t>ENST00000373204</t>
  </si>
  <si>
    <t>Q9UL25</t>
  </si>
  <si>
    <t>ENST00000261263</t>
  </si>
  <si>
    <t>ENST00000358546</t>
  </si>
  <si>
    <t>ENST00000547246</t>
  </si>
  <si>
    <t>ENST00000552686</t>
  </si>
  <si>
    <t>Q9UL26</t>
  </si>
  <si>
    <t>ENST00000244040</t>
  </si>
  <si>
    <t>ENST00000488949</t>
  </si>
  <si>
    <t>Q9UL40</t>
  </si>
  <si>
    <t>ENST00000358149</t>
  </si>
  <si>
    <t>ENST00000503039</t>
  </si>
  <si>
    <t>ENST00000504600</t>
  </si>
  <si>
    <t>ENST00000510933</t>
  </si>
  <si>
    <t>ENST00000511834</t>
  </si>
  <si>
    <t>ENST00000513587</t>
  </si>
  <si>
    <t>Q9UL45</t>
  </si>
  <si>
    <t>ENST00000220531</t>
  </si>
  <si>
    <t>ENST00000563160</t>
  </si>
  <si>
    <t>ENST00000564310</t>
  </si>
  <si>
    <t>ENST00000565323</t>
  </si>
  <si>
    <t>ENST00000565409</t>
  </si>
  <si>
    <t>ENST00000566184</t>
  </si>
  <si>
    <t>ENST00000566753</t>
  </si>
  <si>
    <t>ENST00000567461</t>
  </si>
  <si>
    <t>ENST00000567523</t>
  </si>
  <si>
    <t>ENST00000567740</t>
  </si>
  <si>
    <t>ENST00000568597</t>
  </si>
  <si>
    <t>ENST00000568816</t>
  </si>
  <si>
    <t>ENST00000569076</t>
  </si>
  <si>
    <t>Q9UL46</t>
  </si>
  <si>
    <t>ENST00000216802</t>
  </si>
  <si>
    <t>ENST00000471700</t>
  </si>
  <si>
    <t>ENST00000558273</t>
  </si>
  <si>
    <t>ENST00000558931</t>
  </si>
  <si>
    <t>ENST00000559005</t>
  </si>
  <si>
    <t>ENST00000559042</t>
  </si>
  <si>
    <t>ENST00000559056</t>
  </si>
  <si>
    <t>ENST00000559359</t>
  </si>
  <si>
    <t>ENST00000559453</t>
  </si>
  <si>
    <t>ENST00000559493</t>
  </si>
  <si>
    <t>ENST00000560370</t>
  </si>
  <si>
    <t>ENST00000560410</t>
  </si>
  <si>
    <t>ENST00000560592</t>
  </si>
  <si>
    <t>ENST00000560788</t>
  </si>
  <si>
    <t>Q9UL63</t>
  </si>
  <si>
    <t>ENST00000352689</t>
  </si>
  <si>
    <t>ENST00000458153</t>
  </si>
  <si>
    <t>ENST00000468830</t>
  </si>
  <si>
    <t>ENST00000494785</t>
  </si>
  <si>
    <t>ENST00000496815</t>
  </si>
  <si>
    <t>ENST00000497746</t>
  </si>
  <si>
    <t>Q9ULA0</t>
  </si>
  <si>
    <t>ENST00000273075</t>
  </si>
  <si>
    <t>ENST00000373963</t>
  </si>
  <si>
    <t>ENST00000373966</t>
  </si>
  <si>
    <t>ENST00000460963</t>
  </si>
  <si>
    <t>ENST00000462779</t>
  </si>
  <si>
    <t>ENST00000488051</t>
  </si>
  <si>
    <t>ENST00000488881</t>
  </si>
  <si>
    <t>ENST00000490371</t>
  </si>
  <si>
    <t>ENST00000519698</t>
  </si>
  <si>
    <t>ENST00000520694</t>
  </si>
  <si>
    <t>ENST00000521459</t>
  </si>
  <si>
    <t>ENST00000522421</t>
  </si>
  <si>
    <t>ENST00000523527</t>
  </si>
  <si>
    <t>Q9ULC3</t>
  </si>
  <si>
    <t>ENST00000317483</t>
  </si>
  <si>
    <t>Q9ULC4</t>
  </si>
  <si>
    <t>ENST00000371315</t>
  </si>
  <si>
    <t>ENST00000371317</t>
  </si>
  <si>
    <t>ENST00000424799</t>
  </si>
  <si>
    <t>ENST00000484481</t>
  </si>
  <si>
    <t>ENST00000487133</t>
  </si>
  <si>
    <t>Q9ULC5</t>
  </si>
  <si>
    <t>ENST00000354273</t>
  </si>
  <si>
    <t>ENST00000356116</t>
  </si>
  <si>
    <t>ENST00000393081</t>
  </si>
  <si>
    <t>ENST00000433418</t>
  </si>
  <si>
    <t>ENST00000467340</t>
  </si>
  <si>
    <t>ENST00000479936</t>
  </si>
  <si>
    <t>ENST00000496328</t>
  </si>
  <si>
    <t>Q9ULD4</t>
  </si>
  <si>
    <t>ENST00000357641</t>
  </si>
  <si>
    <t>ENST00000441123</t>
  </si>
  <si>
    <t>ENST00000441730</t>
  </si>
  <si>
    <t>ENST00000527657</t>
  </si>
  <si>
    <t>ENST00000532538</t>
  </si>
  <si>
    <t>Q9ULG1</t>
  </si>
  <si>
    <t>ENST00000361937</t>
  </si>
  <si>
    <t>ENST00000558270</t>
  </si>
  <si>
    <t>ENST00000559995</t>
  </si>
  <si>
    <t>ENST00000560689</t>
  </si>
  <si>
    <t>ENST00000560799</t>
  </si>
  <si>
    <t>ENST00000561172</t>
  </si>
  <si>
    <t>Q9ULH1</t>
  </si>
  <si>
    <t>ENST00000357668</t>
  </si>
  <si>
    <t>ENST00000519169</t>
  </si>
  <si>
    <t>ENST00000519483</t>
  </si>
  <si>
    <t>ENST00000520189</t>
  </si>
  <si>
    <t>ENST00000520625</t>
  </si>
  <si>
    <t>ENST00000521057</t>
  </si>
  <si>
    <t>ENST00000524018</t>
  </si>
  <si>
    <t>ENST00000524124</t>
  </si>
  <si>
    <t>Q9ULJ3</t>
  </si>
  <si>
    <t>ENST00000310826</t>
  </si>
  <si>
    <t>ENST00000398505</t>
  </si>
  <si>
    <t>ENST00000398511</t>
  </si>
  <si>
    <t>Q9ULM3</t>
  </si>
  <si>
    <t>ENST00000305135</t>
  </si>
  <si>
    <t>ENST00000432781</t>
  </si>
  <si>
    <t>ENST00000468850</t>
  </si>
  <si>
    <t>ENST00000472593</t>
  </si>
  <si>
    <t>ENST00000481343</t>
  </si>
  <si>
    <t>ENST00000497765</t>
  </si>
  <si>
    <t>Q9ULR0</t>
  </si>
  <si>
    <t>ENST00000273541</t>
  </si>
  <si>
    <t>ENST00000393292</t>
  </si>
  <si>
    <t>ENST00000393295</t>
  </si>
  <si>
    <t>ENST00000471306</t>
  </si>
  <si>
    <t>ENST00000485703</t>
  </si>
  <si>
    <t>ENST00000496163</t>
  </si>
  <si>
    <t>Q9ULT0</t>
  </si>
  <si>
    <t>ENST00000319190</t>
  </si>
  <si>
    <t>ENST00000409245</t>
  </si>
  <si>
    <t>ENST00000409825</t>
  </si>
  <si>
    <t>ENST00000441914</t>
  </si>
  <si>
    <t>ENST00000461601</t>
  </si>
  <si>
    <t>ENST00000484061</t>
  </si>
  <si>
    <t>ENST00000491786</t>
  </si>
  <si>
    <t>Q9ULT8</t>
  </si>
  <si>
    <t>ENST00000399332</t>
  </si>
  <si>
    <t>ENST00000553616</t>
  </si>
  <si>
    <t>ENST00000553700</t>
  </si>
  <si>
    <t>ENST00000553957</t>
  </si>
  <si>
    <t>ENST00000554027</t>
  </si>
  <si>
    <t>ENST00000554471</t>
  </si>
  <si>
    <t>ENST00000554850</t>
  </si>
  <si>
    <t>ENST00000554882</t>
  </si>
  <si>
    <t>ENST00000555311</t>
  </si>
  <si>
    <t>ENST00000555843</t>
  </si>
  <si>
    <t>ENST00000556004</t>
  </si>
  <si>
    <t>ENST00000556224</t>
  </si>
  <si>
    <t>ENST00000556281</t>
  </si>
  <si>
    <t>ENST00000556474</t>
  </si>
  <si>
    <t>ENST00000557321</t>
  </si>
  <si>
    <t>ENST00000557369</t>
  </si>
  <si>
    <t>ENST00000557695</t>
  </si>
  <si>
    <t>Q9ULV4</t>
  </si>
  <si>
    <t>ENST00000261401</t>
  </si>
  <si>
    <t>ENST00000547361</t>
  </si>
  <si>
    <t>ENST00000549387</t>
  </si>
  <si>
    <t>ENST00000550032</t>
  </si>
  <si>
    <t>ENST00000551059</t>
  </si>
  <si>
    <t>ENST00000552030</t>
  </si>
  <si>
    <t>Q9ULW3</t>
  </si>
  <si>
    <t>ENST00000274849</t>
  </si>
  <si>
    <t>Q9ULX3</t>
  </si>
  <si>
    <t>ENST00000268802</t>
  </si>
  <si>
    <t>ENST00000561677</t>
  </si>
  <si>
    <t>ENST00000563055</t>
  </si>
  <si>
    <t>ENST00000564620</t>
  </si>
  <si>
    <t>ENST00000569871</t>
  </si>
  <si>
    <t>Q9ULX6</t>
  </si>
  <si>
    <t>ENST00000397410</t>
  </si>
  <si>
    <t>ENST00000593845</t>
  </si>
  <si>
    <t>ENST00000594594</t>
  </si>
  <si>
    <t>ENST00000594893</t>
  </si>
  <si>
    <t>ENST00000595087</t>
  </si>
  <si>
    <t>ENST00000595136</t>
  </si>
  <si>
    <t>ENST00000595465</t>
  </si>
  <si>
    <t>ENST00000595879</t>
  </si>
  <si>
    <t>ENST00000596213</t>
  </si>
  <si>
    <t>ENST00000596750</t>
  </si>
  <si>
    <t>ENST00000597994</t>
  </si>
  <si>
    <t>ENST00000598292</t>
  </si>
  <si>
    <t>ENST00000599137</t>
  </si>
  <si>
    <t>ENST00000599488</t>
  </si>
  <si>
    <t>ENST00000600065</t>
  </si>
  <si>
    <t>ENST00000601147</t>
  </si>
  <si>
    <t>ENST00000609519</t>
  </si>
  <si>
    <t>Q9ULZ2</t>
  </si>
  <si>
    <t>ENST00000265404</t>
  </si>
  <si>
    <t>ENST00000396225</t>
  </si>
  <si>
    <t>Q9UM07</t>
  </si>
  <si>
    <t>ENST00000375448</t>
  </si>
  <si>
    <t>Q9UM13</t>
  </si>
  <si>
    <t>ENST00000309439</t>
  </si>
  <si>
    <t>ENST00000502562</t>
  </si>
  <si>
    <t>ENST00000502651</t>
  </si>
  <si>
    <t>ENST00000504721</t>
  </si>
  <si>
    <t>ENST00000507134</t>
  </si>
  <si>
    <t>ENST00000507656</t>
  </si>
  <si>
    <t>ENST00000508087</t>
  </si>
  <si>
    <t>ENST00000510270</t>
  </si>
  <si>
    <t>ENST00000511466</t>
  </si>
  <si>
    <t>ENST00000513054</t>
  </si>
  <si>
    <t>ENST00000514704</t>
  </si>
  <si>
    <t>Q9UM82</t>
  </si>
  <si>
    <t>ENST00000289431</t>
  </si>
  <si>
    <t>ENST00000422556</t>
  </si>
  <si>
    <t>Q9UMN6</t>
  </si>
  <si>
    <t>ENST00000585476</t>
  </si>
  <si>
    <t>ENST00000586308</t>
  </si>
  <si>
    <t>ENST00000592092</t>
  </si>
  <si>
    <t>Q9UMS4</t>
  </si>
  <si>
    <t>ENST00000227524</t>
  </si>
  <si>
    <t>ENST00000535326</t>
  </si>
  <si>
    <t>ENST00000539180</t>
  </si>
  <si>
    <t>ENST00000539960</t>
  </si>
  <si>
    <t>ENST00000546152</t>
  </si>
  <si>
    <t>Q9UMX0</t>
  </si>
  <si>
    <t>ENST00000257468</t>
  </si>
  <si>
    <t>ENST00000376395</t>
  </si>
  <si>
    <t>ENST00000526134</t>
  </si>
  <si>
    <t>ENST00000527373</t>
  </si>
  <si>
    <t>ENST00000529923</t>
  </si>
  <si>
    <t>ENST00000533705</t>
  </si>
  <si>
    <t>Q9UMX5</t>
  </si>
  <si>
    <t>ENST00000366988</t>
  </si>
  <si>
    <t>ENST00000472389</t>
  </si>
  <si>
    <t>ENST00000473900</t>
  </si>
  <si>
    <t>ENST00000479589</t>
  </si>
  <si>
    <t>Q9UMY1</t>
  </si>
  <si>
    <t>ENST00000420088</t>
  </si>
  <si>
    <t>ENST00000451315</t>
  </si>
  <si>
    <t>ENST00000474485</t>
  </si>
  <si>
    <t>Q9UN19</t>
  </si>
  <si>
    <t>ENST00000296414</t>
  </si>
  <si>
    <t>ENST00000507994</t>
  </si>
  <si>
    <t>ENST00000512369</t>
  </si>
  <si>
    <t>ENST00000514301</t>
  </si>
  <si>
    <t>Q9UN37</t>
  </si>
  <si>
    <t>ENST00000254950</t>
  </si>
  <si>
    <t>ENST00000562754</t>
  </si>
  <si>
    <t>ENST00000566354</t>
  </si>
  <si>
    <t>Q9UNE7</t>
  </si>
  <si>
    <t>ENST00000219548</t>
  </si>
  <si>
    <t>ENST00000563505</t>
  </si>
  <si>
    <t>ENST00000564316</t>
  </si>
  <si>
    <t>ENST00000564370</t>
  </si>
  <si>
    <t>ENST00000565677</t>
  </si>
  <si>
    <t>ENST00000565813</t>
  </si>
  <si>
    <t>ENST00000566181</t>
  </si>
  <si>
    <t>ENST00000566408</t>
  </si>
  <si>
    <t>ENST00000567173</t>
  </si>
  <si>
    <t>ENST00000567790</t>
  </si>
  <si>
    <t>ENST00000569248</t>
  </si>
  <si>
    <t>Q9UNF1</t>
  </si>
  <si>
    <t>ENST00000218439</t>
  </si>
  <si>
    <t>ENST00000347546</t>
  </si>
  <si>
    <t>ENST00000375053</t>
  </si>
  <si>
    <t>ENST00000375058</t>
  </si>
  <si>
    <t>ENST00000375060</t>
  </si>
  <si>
    <t>ENST00000375068</t>
  </si>
  <si>
    <t>ENST00000463787</t>
  </si>
  <si>
    <t>ENST00000485483</t>
  </si>
  <si>
    <t>ENST00000487463</t>
  </si>
  <si>
    <t>ENST00000487482</t>
  </si>
  <si>
    <t>ENST00000497484</t>
  </si>
  <si>
    <t>Q9UNH7</t>
  </si>
  <si>
    <t>ENST00000362031</t>
  </si>
  <si>
    <t>ENST00000396526</t>
  </si>
  <si>
    <t>ENST00000555416</t>
  </si>
  <si>
    <t>ENST00000555541</t>
  </si>
  <si>
    <t>ENST00000556303</t>
  </si>
  <si>
    <t>ENST00000557265</t>
  </si>
  <si>
    <t>ENST00000557341</t>
  </si>
  <si>
    <t>Q9UNI6</t>
  </si>
  <si>
    <t>ENST00000367943</t>
  </si>
  <si>
    <t>ENST00000463365</t>
  </si>
  <si>
    <t>ENST00000464004</t>
  </si>
  <si>
    <t>Q9UNK0</t>
  </si>
  <si>
    <t>ENST00000306357</t>
  </si>
  <si>
    <t>ENST00000570583</t>
  </si>
  <si>
    <t>ENST00000573077</t>
  </si>
  <si>
    <t>ENST00000574382</t>
  </si>
  <si>
    <t>ENST00000574431</t>
  </si>
  <si>
    <t>ENST00000574775</t>
  </si>
  <si>
    <t>Q9UNL2</t>
  </si>
  <si>
    <t>ENST00000265044</t>
  </si>
  <si>
    <t>ENST00000464138</t>
  </si>
  <si>
    <t>ENST00000467733</t>
  </si>
  <si>
    <t>ENST00000467789</t>
  </si>
  <si>
    <t>ENST00000478842</t>
  </si>
  <si>
    <t>ENST00000498205</t>
  </si>
  <si>
    <t>Q9UNM6</t>
  </si>
  <si>
    <t>ENST00000352303</t>
  </si>
  <si>
    <t>ENST00000382671</t>
  </si>
  <si>
    <t>ENST00000431206</t>
  </si>
  <si>
    <t>ENST00000525665</t>
  </si>
  <si>
    <t>ENST00000526783</t>
  </si>
  <si>
    <t>ENST00000527047</t>
  </si>
  <si>
    <t>ENST00000527982</t>
  </si>
  <si>
    <t>ENST00000529679</t>
  </si>
  <si>
    <t>ENST00000532097</t>
  </si>
  <si>
    <t>ENST00000533717</t>
  </si>
  <si>
    <t>ENST00000534590</t>
  </si>
  <si>
    <t>Q9UNN5</t>
  </si>
  <si>
    <t>ENST00000396153</t>
  </si>
  <si>
    <t>ENST00000472808</t>
  </si>
  <si>
    <t>ENST00000487898</t>
  </si>
  <si>
    <t>ENST00000494400</t>
  </si>
  <si>
    <t>Q9UNP9</t>
  </si>
  <si>
    <t>ENST00000324379</t>
  </si>
  <si>
    <t>ENST00000356511</t>
  </si>
  <si>
    <t>ENST00000372830</t>
  </si>
  <si>
    <t>ENST00000456578</t>
  </si>
  <si>
    <t>ENST00000467741</t>
  </si>
  <si>
    <t>ENST00000470213</t>
  </si>
  <si>
    <t>ENST00000474804</t>
  </si>
  <si>
    <t>ENST00000475350</t>
  </si>
  <si>
    <t>ENST00000482751</t>
  </si>
  <si>
    <t>ENST00000485507</t>
  </si>
  <si>
    <t>ENST00000495526</t>
  </si>
  <si>
    <t>ENST00000497370</t>
  </si>
  <si>
    <t>Q9UNQ2</t>
  </si>
  <si>
    <t>ENST00000199320</t>
  </si>
  <si>
    <t>ENST00000509182</t>
  </si>
  <si>
    <t>ENST00000514605</t>
  </si>
  <si>
    <t>ENST00000514911</t>
  </si>
  <si>
    <t>Q9UNS2</t>
  </si>
  <si>
    <t>ENST00000268717</t>
  </si>
  <si>
    <t>ENST00000417352</t>
  </si>
  <si>
    <t>ENST00000439936</t>
  </si>
  <si>
    <t>ENST00000462236</t>
  </si>
  <si>
    <t>ENST00000463097</t>
  </si>
  <si>
    <t>ENST00000471414</t>
  </si>
  <si>
    <t>ENST00000477299</t>
  </si>
  <si>
    <t>ENST00000486032</t>
  </si>
  <si>
    <t>ENST00000486810</t>
  </si>
  <si>
    <t>ENST00000492672</t>
  </si>
  <si>
    <t>ENST00000495640</t>
  </si>
  <si>
    <t>ENST00000539941</t>
  </si>
  <si>
    <t>ENST00000577210</t>
  </si>
  <si>
    <t>ENST00000577246</t>
  </si>
  <si>
    <t>ENST00000578317</t>
  </si>
  <si>
    <t>ENST00000583160</t>
  </si>
  <si>
    <t>ENST00000584216</t>
  </si>
  <si>
    <t>Q9UNX3</t>
  </si>
  <si>
    <t>ENST00000265100</t>
  </si>
  <si>
    <t>ENST00000519156</t>
  </si>
  <si>
    <t>ENST00000519239</t>
  </si>
  <si>
    <t>ENST00000519522</t>
  </si>
  <si>
    <t>Q9UNX4</t>
  </si>
  <si>
    <t>ENST00000349139</t>
  </si>
  <si>
    <t>ENST00000369441</t>
  </si>
  <si>
    <t>ENST00000471680</t>
  </si>
  <si>
    <t>Q9UNY4</t>
  </si>
  <si>
    <t>ENST00000369466</t>
  </si>
  <si>
    <t>ENST00000427271</t>
  </si>
  <si>
    <t>ENST00000469638</t>
  </si>
  <si>
    <t>ENST00000480701</t>
  </si>
  <si>
    <t>Q9UNZ2</t>
  </si>
  <si>
    <t>ENST00000216879</t>
  </si>
  <si>
    <t>ENST00000353088</t>
  </si>
  <si>
    <t>ENST00000381653</t>
  </si>
  <si>
    <t>ENST00000461211</t>
  </si>
  <si>
    <t>ENST00000470376</t>
  </si>
  <si>
    <t>ENST00000476071</t>
  </si>
  <si>
    <t>ENST00000478168</t>
  </si>
  <si>
    <t>ENST00000487086</t>
  </si>
  <si>
    <t>ENST00000555359</t>
  </si>
  <si>
    <t>ENST00000555568</t>
  </si>
  <si>
    <t>ENST00000555944</t>
  </si>
  <si>
    <t>Q9UNZ5</t>
  </si>
  <si>
    <t>ENST00000221576</t>
  </si>
  <si>
    <t>ENST00000588234</t>
  </si>
  <si>
    <t>ENST00000588841</t>
  </si>
  <si>
    <t>ENST00000588858</t>
  </si>
  <si>
    <t>ENST00000593274</t>
  </si>
  <si>
    <t>Q9UP83</t>
  </si>
  <si>
    <t>ENST00000297135</t>
  </si>
  <si>
    <t>ENST00000347053</t>
  </si>
  <si>
    <t>ENST00000393603</t>
  </si>
  <si>
    <t>ENST00000462342</t>
  </si>
  <si>
    <t>ENST00000469503</t>
  </si>
  <si>
    <t>ENST00000605888</t>
  </si>
  <si>
    <t>Q9UPN6</t>
  </si>
  <si>
    <t>ENST00000367178</t>
  </si>
  <si>
    <t>ENST00000464628</t>
  </si>
  <si>
    <t>ENST00000479234</t>
  </si>
  <si>
    <t>Q9UPN7</t>
  </si>
  <si>
    <t>ENST00000412770</t>
  </si>
  <si>
    <t>ENST00000586690</t>
  </si>
  <si>
    <t>ENST00000587283</t>
  </si>
  <si>
    <t>ENST00000587457</t>
  </si>
  <si>
    <t>ENST00000589343</t>
  </si>
  <si>
    <t>ENST00000591323</t>
  </si>
  <si>
    <t>ENST00000591602</t>
  </si>
  <si>
    <t>ENST00000592242</t>
  </si>
  <si>
    <t>Q9UPN9</t>
  </si>
  <si>
    <t>ENST00000358465</t>
  </si>
  <si>
    <t>ENST00000369543</t>
  </si>
  <si>
    <t>ENST00000448034</t>
  </si>
  <si>
    <t>ENST00000450349</t>
  </si>
  <si>
    <t>ENST00000476908</t>
  </si>
  <si>
    <t>ENST00000478032</t>
  </si>
  <si>
    <t>Q9UPR0</t>
  </si>
  <si>
    <t>ENST00000419842</t>
  </si>
  <si>
    <t>Q9UPR3</t>
  </si>
  <si>
    <t>ENST00000361813</t>
  </si>
  <si>
    <t>ENST00000468993</t>
  </si>
  <si>
    <t>ENST00000473643</t>
  </si>
  <si>
    <t>ENST00000476954</t>
  </si>
  <si>
    <t>ENST00000489907</t>
  </si>
  <si>
    <t>Q9UPT8</t>
  </si>
  <si>
    <t>ENST00000253048</t>
  </si>
  <si>
    <t>ENST00000594019</t>
  </si>
  <si>
    <t>ENST00000595341</t>
  </si>
  <si>
    <t>ENST00000597069</t>
  </si>
  <si>
    <t>ENST00000601973</t>
  </si>
  <si>
    <t>Q9UPU5</t>
  </si>
  <si>
    <t>ENST00000294383</t>
  </si>
  <si>
    <t>ENST00000472566</t>
  </si>
  <si>
    <t>ENST00000480962</t>
  </si>
  <si>
    <t>ENST00000482197</t>
  </si>
  <si>
    <t>ENST00000484447</t>
  </si>
  <si>
    <t>ENST00000512504</t>
  </si>
  <si>
    <t>Q9UPY3</t>
  </si>
  <si>
    <t>ENST00000343455</t>
  </si>
  <si>
    <t>ENST00000393063</t>
  </si>
  <si>
    <t>ENST00000526495</t>
  </si>
  <si>
    <t>ENST00000527416</t>
  </si>
  <si>
    <t>ENST00000527554</t>
  </si>
  <si>
    <t>ENST00000529206</t>
  </si>
  <si>
    <t>ENST00000531162</t>
  </si>
  <si>
    <t>ENST00000532458</t>
  </si>
  <si>
    <t>ENST00000532939</t>
  </si>
  <si>
    <t>ENST00000554367</t>
  </si>
  <si>
    <t>ENST00000556045</t>
  </si>
  <si>
    <t>ENST00000556681</t>
  </si>
  <si>
    <t>Q9UQ35</t>
  </si>
  <si>
    <t>ENST00000301740</t>
  </si>
  <si>
    <t>ENST00000570655</t>
  </si>
  <si>
    <t>ENST00000570705</t>
  </si>
  <si>
    <t>ENST00000570971</t>
  </si>
  <si>
    <t>ENST00000571372</t>
  </si>
  <si>
    <t>ENST00000571378</t>
  </si>
  <si>
    <t>ENST00000572278</t>
  </si>
  <si>
    <t>ENST00000572721</t>
  </si>
  <si>
    <t>ENST00000572883</t>
  </si>
  <si>
    <t>ENST00000572952</t>
  </si>
  <si>
    <t>ENST00000573311</t>
  </si>
  <si>
    <t>ENST00000573451</t>
  </si>
  <si>
    <t>ENST00000573498</t>
  </si>
  <si>
    <t>ENST00000573583</t>
  </si>
  <si>
    <t>ENST00000574331</t>
  </si>
  <si>
    <t>ENST00000574340</t>
  </si>
  <si>
    <t>ENST00000574593</t>
  </si>
  <si>
    <t>ENST00000574866</t>
  </si>
  <si>
    <t>ENST00000575009</t>
  </si>
  <si>
    <t>ENST00000575701</t>
  </si>
  <si>
    <t>ENST00000575870</t>
  </si>
  <si>
    <t>ENST00000576076</t>
  </si>
  <si>
    <t>ENST00000576674</t>
  </si>
  <si>
    <t>ENST00000576878</t>
  </si>
  <si>
    <t>ENST00000576894</t>
  </si>
  <si>
    <t>ENST00000576924</t>
  </si>
  <si>
    <t>Q9UQ80</t>
  </si>
  <si>
    <t>ENST00000303305</t>
  </si>
  <si>
    <t>ENST00000550166</t>
  </si>
  <si>
    <t>ENST00000551061</t>
  </si>
  <si>
    <t>ENST00000552266</t>
  </si>
  <si>
    <t>ENST00000552528</t>
  </si>
  <si>
    <t>ENST00000552766</t>
  </si>
  <si>
    <t>ENST00000553057</t>
  </si>
  <si>
    <t>Q9UQ90</t>
  </si>
  <si>
    <t>ENST00000268704</t>
  </si>
  <si>
    <t>ENST00000341316</t>
  </si>
  <si>
    <t>ENST00000561702</t>
  </si>
  <si>
    <t>ENST00000561945</t>
  </si>
  <si>
    <t>ENST00000562775</t>
  </si>
  <si>
    <t>ENST00000563218</t>
  </si>
  <si>
    <t>ENST00000563783</t>
  </si>
  <si>
    <t>ENST00000564047</t>
  </si>
  <si>
    <t>ENST00000564409</t>
  </si>
  <si>
    <t>ENST00000565370</t>
  </si>
  <si>
    <t>ENST00000565891</t>
  </si>
  <si>
    <t>ENST00000566682</t>
  </si>
  <si>
    <t>ENST00000567138</t>
  </si>
  <si>
    <t>ENST00000568151</t>
  </si>
  <si>
    <t>ENST00000568205</t>
  </si>
  <si>
    <t>ENST00000568509</t>
  </si>
  <si>
    <t>ENST00000569363</t>
  </si>
  <si>
    <t>ENST00000569720</t>
  </si>
  <si>
    <t>ENST00000569820</t>
  </si>
  <si>
    <t>Q9UQE7</t>
  </si>
  <si>
    <t>ENST00000361804</t>
  </si>
  <si>
    <t>Q9UQN3</t>
  </si>
  <si>
    <t>ENST00000263780</t>
  </si>
  <si>
    <t>ENST00000466696</t>
  </si>
  <si>
    <t>ENST00000471660</t>
  </si>
  <si>
    <t>Q9UQR0</t>
  </si>
  <si>
    <t>ENST00000251900</t>
  </si>
  <si>
    <t>ENST00000420857</t>
  </si>
  <si>
    <t>Q9UQR1</t>
  </si>
  <si>
    <t>ENST00000360647</t>
  </si>
  <si>
    <t>ENST00000484491</t>
  </si>
  <si>
    <t>ENST00000485866</t>
  </si>
  <si>
    <t>Q9Y217</t>
  </si>
  <si>
    <t>ENST00000381801</t>
  </si>
  <si>
    <t>ENST00000482345</t>
  </si>
  <si>
    <t>Q9Y223</t>
  </si>
  <si>
    <t>ENST00000377902</t>
  </si>
  <si>
    <t>ENST00000539208</t>
  </si>
  <si>
    <t>Q9Y224</t>
  </si>
  <si>
    <t>ENST00000261700</t>
  </si>
  <si>
    <t>ENST00000553362</t>
  </si>
  <si>
    <t>ENST00000553479</t>
  </si>
  <si>
    <t>ENST00000553707</t>
  </si>
  <si>
    <t>ENST00000555319</t>
  </si>
  <si>
    <t>ENST00000556760</t>
  </si>
  <si>
    <t>ENST00000557553</t>
  </si>
  <si>
    <t>Q9Y228</t>
  </si>
  <si>
    <t>ENST00000367023</t>
  </si>
  <si>
    <t>ENST00000367025</t>
  </si>
  <si>
    <t>ENST00000367026</t>
  </si>
  <si>
    <t>ENST00000400959</t>
  </si>
  <si>
    <t>ENST00000460314</t>
  </si>
  <si>
    <t>ENST00000467830</t>
  </si>
  <si>
    <t>ENST00000471368</t>
  </si>
  <si>
    <t>ENST00000474496</t>
  </si>
  <si>
    <t>ENST00000476050</t>
  </si>
  <si>
    <t>ENST00000477431</t>
  </si>
  <si>
    <t>ENST00000487271</t>
  </si>
  <si>
    <t>ENST00000488702</t>
  </si>
  <si>
    <t>Q9Y230</t>
  </si>
  <si>
    <t>ENST00000594017</t>
  </si>
  <si>
    <t>ENST00000594338</t>
  </si>
  <si>
    <t>ENST00000595002</t>
  </si>
  <si>
    <t>ENST00000595090</t>
  </si>
  <si>
    <t>ENST00000595811</t>
  </si>
  <si>
    <t>ENST00000596247</t>
  </si>
  <si>
    <t>Q9Y237</t>
  </si>
  <si>
    <t>ENST00000218432</t>
  </si>
  <si>
    <t>ENST00000373662</t>
  </si>
  <si>
    <t>ENST00000373669</t>
  </si>
  <si>
    <t>ENST00000446576</t>
  </si>
  <si>
    <t>Q9Y259</t>
  </si>
  <si>
    <t>ENST00000406938</t>
  </si>
  <si>
    <t>ENST00000464225</t>
  </si>
  <si>
    <t>ENST00000465842</t>
  </si>
  <si>
    <t>ENST00000468532</t>
  </si>
  <si>
    <t>ENST00000476289</t>
  </si>
  <si>
    <t>ENST00000479003</t>
  </si>
  <si>
    <t>ENST00000481673</t>
  </si>
  <si>
    <t>ENST00000489453</t>
  </si>
  <si>
    <t>ENST00000492582</t>
  </si>
  <si>
    <t>Q9Y262</t>
  </si>
  <si>
    <t>ENST00000406934</t>
  </si>
  <si>
    <t>ENST00000412331</t>
  </si>
  <si>
    <t>ENST00000414316</t>
  </si>
  <si>
    <t>ENST00000436452</t>
  </si>
  <si>
    <t>ENST00000439997</t>
  </si>
  <si>
    <t>ENST00000450376</t>
  </si>
  <si>
    <t>ENST00000460638</t>
  </si>
  <si>
    <t>ENST00000464790</t>
  </si>
  <si>
    <t>ENST00000476955</t>
  </si>
  <si>
    <t>ENST00000477256</t>
  </si>
  <si>
    <t>ENST00000482600</t>
  </si>
  <si>
    <t>Q9Y263</t>
  </si>
  <si>
    <t>ENST00000397292</t>
  </si>
  <si>
    <t>ENST00000487173</t>
  </si>
  <si>
    <t>ENST00000520641</t>
  </si>
  <si>
    <t>ENST00000520884</t>
  </si>
  <si>
    <t>ENST00000521968</t>
  </si>
  <si>
    <t>ENST00000523212</t>
  </si>
  <si>
    <t>Q9Y265</t>
  </si>
  <si>
    <t>ENST00000322623</t>
  </si>
  <si>
    <t>ENST00000464873</t>
  </si>
  <si>
    <t>ENST00000478892</t>
  </si>
  <si>
    <t>ENST00000582176</t>
  </si>
  <si>
    <t>ENST00000585057</t>
  </si>
  <si>
    <t>Q9Y266</t>
  </si>
  <si>
    <t>ENST00000321265</t>
  </si>
  <si>
    <t>ENST00000435827</t>
  </si>
  <si>
    <t>ENST00000452707</t>
  </si>
  <si>
    <t>ENST00000484772</t>
  </si>
  <si>
    <t>Q9Y276</t>
  </si>
  <si>
    <t>ENST00000359273</t>
  </si>
  <si>
    <t>ENST00000412366</t>
  </si>
  <si>
    <t>ENST00000423377</t>
  </si>
  <si>
    <t>ENST00000426649</t>
  </si>
  <si>
    <t>ENST00000431802</t>
  </si>
  <si>
    <t>ENST00000439945</t>
  </si>
  <si>
    <t>ENST00000460579</t>
  </si>
  <si>
    <t>ENST00000471576</t>
  </si>
  <si>
    <t>ENST00000477422</t>
  </si>
  <si>
    <t>ENST00000490188</t>
  </si>
  <si>
    <t>ENST00000493376</t>
  </si>
  <si>
    <t>Q9Y277</t>
  </si>
  <si>
    <t>ENST00000022615</t>
  </si>
  <si>
    <t>ENST00000518563</t>
  </si>
  <si>
    <t>ENST00000519072</t>
  </si>
  <si>
    <t>ENST00000520115</t>
  </si>
  <si>
    <t>ENST00000521348</t>
  </si>
  <si>
    <t>ENST00000522069</t>
  </si>
  <si>
    <t>ENST00000522178</t>
  </si>
  <si>
    <t>ENST00000522572</t>
  </si>
  <si>
    <t>ENST00000524291</t>
  </si>
  <si>
    <t>Q9Y282</t>
  </si>
  <si>
    <t>ENST00000279052</t>
  </si>
  <si>
    <t>ENST00000348547</t>
  </si>
  <si>
    <t>ENST00000357394</t>
  </si>
  <si>
    <t>ENST00000411577</t>
  </si>
  <si>
    <t>ENST00000413587</t>
  </si>
  <si>
    <t>ENST00000438317</t>
  </si>
  <si>
    <t>ENST00000442139</t>
  </si>
  <si>
    <t>ENST00000447986</t>
  </si>
  <si>
    <t>ENST00000451605</t>
  </si>
  <si>
    <t>ENST00000461043</t>
  </si>
  <si>
    <t>ENST00000465298</t>
  </si>
  <si>
    <t>ENST00000475211</t>
  </si>
  <si>
    <t>ENST00000482338</t>
  </si>
  <si>
    <t>ENST00000486268</t>
  </si>
  <si>
    <t>ENST00000488384</t>
  </si>
  <si>
    <t>ENST00000488935</t>
  </si>
  <si>
    <t>ENST00000489071</t>
  </si>
  <si>
    <t>ENST00000496172</t>
  </si>
  <si>
    <t>Q9Y285</t>
  </si>
  <si>
    <t>ENST00000314606</t>
  </si>
  <si>
    <t>ENST00000586280</t>
  </si>
  <si>
    <t>ENST00000587981</t>
  </si>
  <si>
    <t>ENST00000588025</t>
  </si>
  <si>
    <t>ENST00000588965</t>
  </si>
  <si>
    <t>ENST00000592662</t>
  </si>
  <si>
    <t>Q9Y291</t>
  </si>
  <si>
    <t>ENST00000324787</t>
  </si>
  <si>
    <t>ENST00000393008</t>
  </si>
  <si>
    <t>ENST00000467334</t>
  </si>
  <si>
    <t>ENST00000472343</t>
  </si>
  <si>
    <t>ENST00000484502</t>
  </si>
  <si>
    <t>ENST00000485202</t>
  </si>
  <si>
    <t>ENST00000496641</t>
  </si>
  <si>
    <t>ENST00000496958</t>
  </si>
  <si>
    <t>Q9Y294</t>
  </si>
  <si>
    <t>ENST00000229595</t>
  </si>
  <si>
    <t>ENST00000511766</t>
  </si>
  <si>
    <t>Q9Y295</t>
  </si>
  <si>
    <t>ENST00000331457</t>
  </si>
  <si>
    <t>ENST00000416465</t>
  </si>
  <si>
    <t>ENST00000433341</t>
  </si>
  <si>
    <t>ENST00000469673</t>
  </si>
  <si>
    <t>Q9Y2B0</t>
  </si>
  <si>
    <t>ENST00000273308</t>
  </si>
  <si>
    <t>ENST00000546388</t>
  </si>
  <si>
    <t>ENST00000546466</t>
  </si>
  <si>
    <t>ENST00000546937</t>
  </si>
  <si>
    <t>ENST00000547570</t>
  </si>
  <si>
    <t>ENST00000548013</t>
  </si>
  <si>
    <t>ENST00000551276</t>
  </si>
  <si>
    <t>ENST00000551475</t>
  </si>
  <si>
    <t>ENST00000553164</t>
  </si>
  <si>
    <t>Q9Y2C4</t>
  </si>
  <si>
    <t>ENST00000287675</t>
  </si>
  <si>
    <t>ENST00000412107</t>
  </si>
  <si>
    <t>ENST00000422077</t>
  </si>
  <si>
    <t>ENST00000438992</t>
  </si>
  <si>
    <t>ENST00000443942</t>
  </si>
  <si>
    <t>ENST00000453767</t>
  </si>
  <si>
    <t>ENST00000474071</t>
  </si>
  <si>
    <t>ENST00000483749</t>
  </si>
  <si>
    <t>ENST00000489813</t>
  </si>
  <si>
    <t>Q9Y2D0</t>
  </si>
  <si>
    <t>ENST00000318636</t>
  </si>
  <si>
    <t>ENST00000380319</t>
  </si>
  <si>
    <t>ENST00000478341</t>
  </si>
  <si>
    <t>ENST00000478923</t>
  </si>
  <si>
    <t>ENST00000479740</t>
  </si>
  <si>
    <t>ENST00000496188</t>
  </si>
  <si>
    <t>Q9Y2D9</t>
  </si>
  <si>
    <t>ENST00000430262</t>
  </si>
  <si>
    <t>Q9Y2F5</t>
  </si>
  <si>
    <t>ENST00000296564</t>
  </si>
  <si>
    <t>ENST00000505464</t>
  </si>
  <si>
    <t>Q9Y2G3</t>
  </si>
  <si>
    <t>ENST00000323116</t>
  </si>
  <si>
    <t>ENST00000466758</t>
  </si>
  <si>
    <t>ENST00000490303</t>
  </si>
  <si>
    <t>ENST00000491699</t>
  </si>
  <si>
    <t>ENST00000493826</t>
  </si>
  <si>
    <t>Q9Y2H1</t>
  </si>
  <si>
    <t>ENST00000389032</t>
  </si>
  <si>
    <t>ENST00000407753</t>
  </si>
  <si>
    <t>ENST00000434385</t>
  </si>
  <si>
    <t>ENST00000539863</t>
  </si>
  <si>
    <t>ENST00000543992</t>
  </si>
  <si>
    <t>ENST00000545470</t>
  </si>
  <si>
    <t>ENST00000546286</t>
  </si>
  <si>
    <t>Q9Y2H2</t>
  </si>
  <si>
    <t>ENST00000361976</t>
  </si>
  <si>
    <t>ENST00000369080</t>
  </si>
  <si>
    <t>ENST00000369081</t>
  </si>
  <si>
    <t>Q9Y2I1</t>
  </si>
  <si>
    <t>ENST00000345716</t>
  </si>
  <si>
    <t>ENST00000420808</t>
  </si>
  <si>
    <t>ENST00000460759</t>
  </si>
  <si>
    <t>ENST00000464280</t>
  </si>
  <si>
    <t>ENST00000467594</t>
  </si>
  <si>
    <t>ENST00000474188</t>
  </si>
  <si>
    <t>ENST00000481211</t>
  </si>
  <si>
    <t>ENST00000485765</t>
  </si>
  <si>
    <t>ENST00000488157</t>
  </si>
  <si>
    <t>ENST00000488243</t>
  </si>
  <si>
    <t>ENST00000488380</t>
  </si>
  <si>
    <t>ENST00000489895</t>
  </si>
  <si>
    <t>Q9Y2I7</t>
  </si>
  <si>
    <t>ENST00000264380</t>
  </si>
  <si>
    <t>ENST00000392202</t>
  </si>
  <si>
    <t>ENST00000407449</t>
  </si>
  <si>
    <t>ENST00000422495</t>
  </si>
  <si>
    <t>ENST00000443896</t>
  </si>
  <si>
    <t>ENST00000452564</t>
  </si>
  <si>
    <t>ENST00000474721</t>
  </si>
  <si>
    <t>ENST00000477200</t>
  </si>
  <si>
    <t>Q9Y2I8</t>
  </si>
  <si>
    <t>ENST00000263150</t>
  </si>
  <si>
    <t>ENST00000358220</t>
  </si>
  <si>
    <t>ENST00000381329</t>
  </si>
  <si>
    <t>ENST00000482165</t>
  </si>
  <si>
    <t>Q9Y2J8</t>
  </si>
  <si>
    <t>ENST00000375486</t>
  </si>
  <si>
    <t>Q9Y2K5</t>
  </si>
  <si>
    <t>ENST00000347140</t>
  </si>
  <si>
    <t>ENST00000393811</t>
  </si>
  <si>
    <t>ENST00000402412</t>
  </si>
  <si>
    <t>ENST00000448732</t>
  </si>
  <si>
    <t>ENST00000546843</t>
  </si>
  <si>
    <t>ENST00000547019</t>
  </si>
  <si>
    <t>ENST00000547262</t>
  </si>
  <si>
    <t>ENST00000548161</t>
  </si>
  <si>
    <t>ENST00000551465</t>
  </si>
  <si>
    <t>ENST00000552428</t>
  </si>
  <si>
    <t>Q9Y2K6</t>
  </si>
  <si>
    <t>ENST00000315480</t>
  </si>
  <si>
    <t>ENST00000358355</t>
  </si>
  <si>
    <t>ENST00000372429</t>
  </si>
  <si>
    <t>ENST00000472108</t>
  </si>
  <si>
    <t>ENST00000491053</t>
  </si>
  <si>
    <t>ENST00000491731</t>
  </si>
  <si>
    <t>ENST00000494971</t>
  </si>
  <si>
    <t>ENST00000496927</t>
  </si>
  <si>
    <t>Q9Y2K7</t>
  </si>
  <si>
    <t>ENST00000308783</t>
  </si>
  <si>
    <t>ENST00000398645</t>
  </si>
  <si>
    <t>ENST00000517637</t>
  </si>
  <si>
    <t>ENST00000524657</t>
  </si>
  <si>
    <t>ENST00000525041</t>
  </si>
  <si>
    <t>ENST00000525379</t>
  </si>
  <si>
    <t>ENST00000526258</t>
  </si>
  <si>
    <t>ENST00000527157</t>
  </si>
  <si>
    <t>ENST00000528380</t>
  </si>
  <si>
    <t>ENST00000529006</t>
  </si>
  <si>
    <t>ENST00000529124</t>
  </si>
  <si>
    <t>ENST00000530342</t>
  </si>
  <si>
    <t>ENST00000532436</t>
  </si>
  <si>
    <t>ENST00000534486</t>
  </si>
  <si>
    <t>Q9Y2L1</t>
  </si>
  <si>
    <t>ENST00000377767</t>
  </si>
  <si>
    <t>ENST00000377780</t>
  </si>
  <si>
    <t>ENST00000475871</t>
  </si>
  <si>
    <t>ENST00000490646</t>
  </si>
  <si>
    <t>ENST00000545453</t>
  </si>
  <si>
    <t>Q9Y2L5</t>
  </si>
  <si>
    <t>ENST00000283351</t>
  </si>
  <si>
    <t>ENST00000577474</t>
  </si>
  <si>
    <t>ENST00000578252</t>
  </si>
  <si>
    <t>ENST00000578886</t>
  </si>
  <si>
    <t>ENST00000581057</t>
  </si>
  <si>
    <t>ENST00000582509</t>
  </si>
  <si>
    <t>ENST00000582513</t>
  </si>
  <si>
    <t>ENST00000584604</t>
  </si>
  <si>
    <t>Q9Y2P8</t>
  </si>
  <si>
    <t>ENST00000381730</t>
  </si>
  <si>
    <t>ENST00000381732</t>
  </si>
  <si>
    <t>ENST00000381750</t>
  </si>
  <si>
    <t>ENST00000442869</t>
  </si>
  <si>
    <t>ENST00000448872</t>
  </si>
  <si>
    <t>Q9Y2Q3</t>
  </si>
  <si>
    <t>ENST00000358406</t>
  </si>
  <si>
    <t>ENST00000409500</t>
  </si>
  <si>
    <t>ENST00000443571</t>
  </si>
  <si>
    <t>ENST00000473649</t>
  </si>
  <si>
    <t>ENST00000479303</t>
  </si>
  <si>
    <t>ENST00000489654</t>
  </si>
  <si>
    <t>ENST00000494735</t>
  </si>
  <si>
    <t>Q9Y2Q5</t>
  </si>
  <si>
    <t>ENST00000368302</t>
  </si>
  <si>
    <t>ENST00000368304</t>
  </si>
  <si>
    <t>ENST00000368305</t>
  </si>
  <si>
    <t>ENST00000463371</t>
  </si>
  <si>
    <t>ENST00000487106</t>
  </si>
  <si>
    <t>ENST00000489664</t>
  </si>
  <si>
    <t>Q9Y2Q9</t>
  </si>
  <si>
    <t>ENST00000276585</t>
  </si>
  <si>
    <t>ENST00000518271</t>
  </si>
  <si>
    <t>ENST00000518371</t>
  </si>
  <si>
    <t>ENST00000519120</t>
  </si>
  <si>
    <t>ENST00000519386</t>
  </si>
  <si>
    <t>ENST00000521434</t>
  </si>
  <si>
    <t>ENST00000521605</t>
  </si>
  <si>
    <t>ENST00000522987</t>
  </si>
  <si>
    <t>Q9Y2R0</t>
  </si>
  <si>
    <t>ENST00000328434</t>
  </si>
  <si>
    <t>Q9Y2R5</t>
  </si>
  <si>
    <t>ENST00000285298</t>
  </si>
  <si>
    <t>ENST00000443449</t>
  </si>
  <si>
    <t>Q9Y2R9</t>
  </si>
  <si>
    <t>ENST00000245539</t>
  </si>
  <si>
    <t>ENST00000577767</t>
  </si>
  <si>
    <t>ENST00000579002</t>
  </si>
  <si>
    <t>ENST00000579761</t>
  </si>
  <si>
    <t>ENST00000581993</t>
  </si>
  <si>
    <t>ENST00000584678</t>
  </si>
  <si>
    <t>Q9Y2S0</t>
  </si>
  <si>
    <t>ENST00000302979</t>
  </si>
  <si>
    <t>ENST00000399696</t>
  </si>
  <si>
    <t>ENST00000399697</t>
  </si>
  <si>
    <t>ENST00000465887</t>
  </si>
  <si>
    <t>ENST00000472179</t>
  </si>
  <si>
    <t>ENST00000489647</t>
  </si>
  <si>
    <t>Q9Y2S2</t>
  </si>
  <si>
    <t>ENST00000298248</t>
  </si>
  <si>
    <t>ENST00000480748</t>
  </si>
  <si>
    <t>Q9Y2S6</t>
  </si>
  <si>
    <t>ENST00000438607</t>
  </si>
  <si>
    <t>ENST00000477624</t>
  </si>
  <si>
    <t>ENST00000479126</t>
  </si>
  <si>
    <t>Q9Y2S7</t>
  </si>
  <si>
    <t>ENST00000540200</t>
  </si>
  <si>
    <t>Q9Y2T2</t>
  </si>
  <si>
    <t>ENST00000355264</t>
  </si>
  <si>
    <t>ENST00000372745</t>
  </si>
  <si>
    <t>ENST00000480373</t>
  </si>
  <si>
    <t>Q9Y2U5</t>
  </si>
  <si>
    <t>ENST00000344908</t>
  </si>
  <si>
    <t>ENST00000409179</t>
  </si>
  <si>
    <t>Q9Y2U8</t>
  </si>
  <si>
    <t>ENST00000308330</t>
  </si>
  <si>
    <t>ENST00000539442</t>
  </si>
  <si>
    <t>ENST00000542032</t>
  </si>
  <si>
    <t>ENST00000544506</t>
  </si>
  <si>
    <t>ENST00000545026</t>
  </si>
  <si>
    <t>Q9Y2V2</t>
  </si>
  <si>
    <t>ENST00000311052</t>
  </si>
  <si>
    <t>ENST00000396593</t>
  </si>
  <si>
    <t>ENST00000562586</t>
  </si>
  <si>
    <t>ENST00000562843</t>
  </si>
  <si>
    <t>ENST00000563815</t>
  </si>
  <si>
    <t>ENST00000567626</t>
  </si>
  <si>
    <t>Q9Y2V7</t>
  </si>
  <si>
    <t>ENST00000416691</t>
  </si>
  <si>
    <t>ENST00000455146</t>
  </si>
  <si>
    <t>ENST00000460701</t>
  </si>
  <si>
    <t>ENST00000465775</t>
  </si>
  <si>
    <t>ENST00000537156</t>
  </si>
  <si>
    <t>Q9Y2W1</t>
  </si>
  <si>
    <t>ENST00000354618</t>
  </si>
  <si>
    <t>ENST00000466743</t>
  </si>
  <si>
    <t>ENST00000469141</t>
  </si>
  <si>
    <t>ENST00000478853</t>
  </si>
  <si>
    <t>Q9Y2W2</t>
  </si>
  <si>
    <t>ENST00000261167</t>
  </si>
  <si>
    <t>ENST00000535328</t>
  </si>
  <si>
    <t>ENST00000543316</t>
  </si>
  <si>
    <t>ENST00000544764</t>
  </si>
  <si>
    <t>Q9Y2W6</t>
  </si>
  <si>
    <t>ENST00000368822</t>
  </si>
  <si>
    <t>ENST00000368824</t>
  </si>
  <si>
    <t>ENST00000368825</t>
  </si>
  <si>
    <t>ENST00000368827</t>
  </si>
  <si>
    <t>ENST00000458431</t>
  </si>
  <si>
    <t>ENST00000463553</t>
  </si>
  <si>
    <t>ENST00000484421</t>
  </si>
  <si>
    <t>ENST00000486986</t>
  </si>
  <si>
    <t>ENST00000494725</t>
  </si>
  <si>
    <t>ENST00000525790</t>
  </si>
  <si>
    <t>Q9Y2X3</t>
  </si>
  <si>
    <t>ENST00000264279</t>
  </si>
  <si>
    <t>ENST00000426814</t>
  </si>
  <si>
    <t>ENST00000433543</t>
  </si>
  <si>
    <t>ENST00000472050</t>
  </si>
  <si>
    <t>ENST00000478508</t>
  </si>
  <si>
    <t>ENST00000478941</t>
  </si>
  <si>
    <t>ENST00000488403</t>
  </si>
  <si>
    <t>ENST00000492688</t>
  </si>
  <si>
    <t>ENST00000492740</t>
  </si>
  <si>
    <t>Q9Y2X7</t>
  </si>
  <si>
    <t>ENST00000225394</t>
  </si>
  <si>
    <t>ENST00000394869</t>
  </si>
  <si>
    <t>ENST00000473217</t>
  </si>
  <si>
    <t>ENST00000491377</t>
  </si>
  <si>
    <t>ENST00000577466</t>
  </si>
  <si>
    <t>ENST00000578266</t>
  </si>
  <si>
    <t>ENST00000579536</t>
  </si>
  <si>
    <t>ENST00000579937</t>
  </si>
  <si>
    <t>ENST00000581925</t>
  </si>
  <si>
    <t>ENST00000586574</t>
  </si>
  <si>
    <t>Q9Y2Y4</t>
  </si>
  <si>
    <t>ENST00000451726</t>
  </si>
  <si>
    <t>Q9Y2Y9</t>
  </si>
  <si>
    <t>ENST00000307145</t>
  </si>
  <si>
    <t>ENST00000500533</t>
  </si>
  <si>
    <t>ENST00000558673</t>
  </si>
  <si>
    <t>ENST00000558844</t>
  </si>
  <si>
    <t>ENST00000558921</t>
  </si>
  <si>
    <t>Q9Y2Z0</t>
  </si>
  <si>
    <t>ENST00000310528</t>
  </si>
  <si>
    <t>ENST00000343788</t>
  </si>
  <si>
    <t>ENST00000483074</t>
  </si>
  <si>
    <t>ENST00000609175</t>
  </si>
  <si>
    <t>Q9Y2Z4</t>
  </si>
  <si>
    <t>ENST00000324868</t>
  </si>
  <si>
    <t>Q9Y312</t>
  </si>
  <si>
    <t>ENST00000320849</t>
  </si>
  <si>
    <t>ENST00000373932</t>
  </si>
  <si>
    <t>ENST00000397286</t>
  </si>
  <si>
    <t>Q9Y314</t>
  </si>
  <si>
    <t>ENST00000339093</t>
  </si>
  <si>
    <t>ENST00000593345</t>
  </si>
  <si>
    <t>ENST00000594932</t>
  </si>
  <si>
    <t>ENST00000596358</t>
  </si>
  <si>
    <t>ENST00000596477</t>
  </si>
  <si>
    <t>ENST00000598544</t>
  </si>
  <si>
    <t>ENST00000598550</t>
  </si>
  <si>
    <t>ENST00000598820</t>
  </si>
  <si>
    <t>ENST00000598839</t>
  </si>
  <si>
    <t>ENST00000599425</t>
  </si>
  <si>
    <t>ENST00000601107</t>
  </si>
  <si>
    <t>ENST00000601340</t>
  </si>
  <si>
    <t>Q9Y315</t>
  </si>
  <si>
    <t>ENST00000428559</t>
  </si>
  <si>
    <t>ENST00000528821</t>
  </si>
  <si>
    <t>ENST00000530274</t>
  </si>
  <si>
    <t>Q9Y316</t>
  </si>
  <si>
    <t>ENST00000295065</t>
  </si>
  <si>
    <t>ENST00000404530</t>
  </si>
  <si>
    <t>ENST00000407893</t>
  </si>
  <si>
    <t>ENST00000413686</t>
  </si>
  <si>
    <t>ENST00000426310</t>
  </si>
  <si>
    <t>ENST00000490459</t>
  </si>
  <si>
    <t>Q9Y324</t>
  </si>
  <si>
    <t>ENST00000341162</t>
  </si>
  <si>
    <t>ENST00000534938</t>
  </si>
  <si>
    <t>ENST00000553673</t>
  </si>
  <si>
    <t>ENST00000554064</t>
  </si>
  <si>
    <t>ENST00000554590</t>
  </si>
  <si>
    <t>ENST00000554973</t>
  </si>
  <si>
    <t>ENST00000556814</t>
  </si>
  <si>
    <t>Q9Y333</t>
  </si>
  <si>
    <t>ENST00000375661</t>
  </si>
  <si>
    <t>ENST00000470086</t>
  </si>
  <si>
    <t>ENST00000475835</t>
  </si>
  <si>
    <t>ENST00000491421</t>
  </si>
  <si>
    <t>Q9Y336</t>
  </si>
  <si>
    <t>ENST00000250360</t>
  </si>
  <si>
    <t>ENST00000440804</t>
  </si>
  <si>
    <t>Q9Y365</t>
  </si>
  <si>
    <t>ENST00000334805</t>
  </si>
  <si>
    <t>ENST00000400925</t>
  </si>
  <si>
    <t>ENST00000535075</t>
  </si>
  <si>
    <t>ENST00000535267</t>
  </si>
  <si>
    <t>ENST00000537947</t>
  </si>
  <si>
    <t>ENST00000538009</t>
  </si>
  <si>
    <t>ENST00000538437</t>
  </si>
  <si>
    <t>ENST00000543089</t>
  </si>
  <si>
    <t>ENST00000545082</t>
  </si>
  <si>
    <t>Q9Y371</t>
  </si>
  <si>
    <t>ENST00000370558</t>
  </si>
  <si>
    <t>ENST00000535010</t>
  </si>
  <si>
    <t>ENST00000602603</t>
  </si>
  <si>
    <t>Q9Y375</t>
  </si>
  <si>
    <t>ENST00000260361</t>
  </si>
  <si>
    <t>ENST00000558719</t>
  </si>
  <si>
    <t>ENST00000559127</t>
  </si>
  <si>
    <t>ENST00000560978</t>
  </si>
  <si>
    <t>Q9Y376</t>
  </si>
  <si>
    <t>ENST00000258418</t>
  </si>
  <si>
    <t>ENST00000409788</t>
  </si>
  <si>
    <t>ENST00000478152</t>
  </si>
  <si>
    <t>ENST00000493540</t>
  </si>
  <si>
    <t>Q9Y385</t>
  </si>
  <si>
    <t>ENST00000435041</t>
  </si>
  <si>
    <t>Q9Y388</t>
  </si>
  <si>
    <t>ENST00000305536</t>
  </si>
  <si>
    <t>ENST00000370947</t>
  </si>
  <si>
    <t>ENST00000469953</t>
  </si>
  <si>
    <t>ENST00000487274</t>
  </si>
  <si>
    <t>Q9Y399</t>
  </si>
  <si>
    <t>ENST00000241600</t>
  </si>
  <si>
    <t>ENST00000453385</t>
  </si>
  <si>
    <t>ENST00000462948</t>
  </si>
  <si>
    <t>ENST00000472852</t>
  </si>
  <si>
    <t>ENST00000472946</t>
  </si>
  <si>
    <t>ENST00000485333</t>
  </si>
  <si>
    <t>ENST00000488610</t>
  </si>
  <si>
    <t>Q9Y3A2</t>
  </si>
  <si>
    <t>ENST00000373014</t>
  </si>
  <si>
    <t>ENST00000483182</t>
  </si>
  <si>
    <t>ENST00000486563</t>
  </si>
  <si>
    <t>ENST00000488453</t>
  </si>
  <si>
    <t>Q9Y3A4</t>
  </si>
  <si>
    <t>ENST00000323013</t>
  </si>
  <si>
    <t>ENST00000416699</t>
  </si>
  <si>
    <t>ENST00000483303</t>
  </si>
  <si>
    <t>Q9Y3A5</t>
  </si>
  <si>
    <t>ENST00000246868</t>
  </si>
  <si>
    <t>ENST00000463579</t>
  </si>
  <si>
    <t>ENST00000490953</t>
  </si>
  <si>
    <t>Q9Y3A6</t>
  </si>
  <si>
    <t>ENST00000370280</t>
  </si>
  <si>
    <t>ENST00000370282</t>
  </si>
  <si>
    <t>ENST00000370290</t>
  </si>
  <si>
    <t>ENST00000479918</t>
  </si>
  <si>
    <t>ENST00000483033</t>
  </si>
  <si>
    <t>Q9Y3B2</t>
  </si>
  <si>
    <t>ENST00000370885</t>
  </si>
  <si>
    <t>ENST00000370902</t>
  </si>
  <si>
    <t>ENST00000471049</t>
  </si>
  <si>
    <t>ENST00000472345</t>
  </si>
  <si>
    <t>ENST00000476234</t>
  </si>
  <si>
    <t>ENST00000489158</t>
  </si>
  <si>
    <t>Q9Y3B3</t>
  </si>
  <si>
    <t>ENST00000456936</t>
  </si>
  <si>
    <t>Q9Y3B4</t>
  </si>
  <si>
    <t>ENST00000233468</t>
  </si>
  <si>
    <t>ENST00000478050</t>
  </si>
  <si>
    <t>Q9Y3B7</t>
  </si>
  <si>
    <t>ENST00000310999</t>
  </si>
  <si>
    <t>ENST00000329819</t>
  </si>
  <si>
    <t>ENST00000430466</t>
  </si>
  <si>
    <t>ENST00000524576</t>
  </si>
  <si>
    <t>ENST00000528272</t>
  </si>
  <si>
    <t>ENST00000534488</t>
  </si>
  <si>
    <t>Q9Y3B9</t>
  </si>
  <si>
    <t>ENST00000366932</t>
  </si>
  <si>
    <t>ENST00000491428</t>
  </si>
  <si>
    <t>Q9Y3C1</t>
  </si>
  <si>
    <t>ENST00000502577</t>
  </si>
  <si>
    <t>ENST00000502663</t>
  </si>
  <si>
    <t>ENST00000503849</t>
  </si>
  <si>
    <t>ENST00000504821</t>
  </si>
  <si>
    <t>ENST00000509257</t>
  </si>
  <si>
    <t>ENST00000510608</t>
  </si>
  <si>
    <t>Q9Y3C5</t>
  </si>
  <si>
    <t>ENST00000242719</t>
  </si>
  <si>
    <t>ENST00000486691</t>
  </si>
  <si>
    <t>Q9Y3C6</t>
  </si>
  <si>
    <t>ENST00000373699</t>
  </si>
  <si>
    <t>ENST00000483552</t>
  </si>
  <si>
    <t>Q9Y3C8</t>
  </si>
  <si>
    <t>ENST00000368003</t>
  </si>
  <si>
    <t>ENST00000463735</t>
  </si>
  <si>
    <t>ENST00000473766</t>
  </si>
  <si>
    <t>ENST00000482672</t>
  </si>
  <si>
    <t>ENST00000483191</t>
  </si>
  <si>
    <t>Q9Y3D0</t>
  </si>
  <si>
    <t>ENST00000422424</t>
  </si>
  <si>
    <t>ENST00000562362</t>
  </si>
  <si>
    <t>ENST00000563490</t>
  </si>
  <si>
    <t>ENST00000567511</t>
  </si>
  <si>
    <t>ENST00000569299</t>
  </si>
  <si>
    <t>Q9Y3D2</t>
  </si>
  <si>
    <t>ENST00000376510</t>
  </si>
  <si>
    <t>ENST00000468633</t>
  </si>
  <si>
    <t>ENST00000472663</t>
  </si>
  <si>
    <t>Q9Y3D3</t>
  </si>
  <si>
    <t>ENST00000372940</t>
  </si>
  <si>
    <t>ENST00000372945</t>
  </si>
  <si>
    <t>ENST00000471251</t>
  </si>
  <si>
    <t>ENST00000479005</t>
  </si>
  <si>
    <t>Q9Y3D6</t>
  </si>
  <si>
    <t>ENST00000223136</t>
  </si>
  <si>
    <t>ENST00000435848</t>
  </si>
  <si>
    <t>ENST00000442303</t>
  </si>
  <si>
    <t>ENST00000449367</t>
  </si>
  <si>
    <t>ENST00000463406</t>
  </si>
  <si>
    <t>ENST00000473527</t>
  </si>
  <si>
    <t>ENST00000474120</t>
  </si>
  <si>
    <t>ENST00000480497</t>
  </si>
  <si>
    <t>ENST00000482199</t>
  </si>
  <si>
    <t>Q9Y3D9</t>
  </si>
  <si>
    <t>ENST00000313608</t>
  </si>
  <si>
    <t>ENST00000578444</t>
  </si>
  <si>
    <t>ENST00000579380</t>
  </si>
  <si>
    <t>ENST00000579768</t>
  </si>
  <si>
    <t>Q9Y3E0</t>
  </si>
  <si>
    <t>ENST00000229314</t>
  </si>
  <si>
    <t>ENST00000535593</t>
  </si>
  <si>
    <t>ENST00000539025</t>
  </si>
  <si>
    <t>ENST00000540141</t>
  </si>
  <si>
    <t>ENST00000542194</t>
  </si>
  <si>
    <t>ENST00000545093</t>
  </si>
  <si>
    <t>ENST00000545113</t>
  </si>
  <si>
    <t>Q9Y3E1</t>
  </si>
  <si>
    <t>ENST00000299633</t>
  </si>
  <si>
    <t>ENST00000568129</t>
  </si>
  <si>
    <t>Q9Y3E2</t>
  </si>
  <si>
    <t>ENST00000369150</t>
  </si>
  <si>
    <t>ENST00000369152</t>
  </si>
  <si>
    <t>ENST00000369153</t>
  </si>
  <si>
    <t>Q9Y3E5</t>
  </si>
  <si>
    <t>ENST00000393038</t>
  </si>
  <si>
    <t>ENST00000409433</t>
  </si>
  <si>
    <t>ENST00000470557</t>
  </si>
  <si>
    <t>Q9Y3E7</t>
  </si>
  <si>
    <t>ENST00000263856</t>
  </si>
  <si>
    <t>ENST00000409225</t>
  </si>
  <si>
    <t>ENST00000409727</t>
  </si>
  <si>
    <t>ENST00000409810</t>
  </si>
  <si>
    <t>ENST00000466032</t>
  </si>
  <si>
    <t>ENST00000485465</t>
  </si>
  <si>
    <t>ENST00000494623</t>
  </si>
  <si>
    <t>Q9Y3F4</t>
  </si>
  <si>
    <t>ENST00000025399</t>
  </si>
  <si>
    <t>ENST00000419869</t>
  </si>
  <si>
    <t>ENST00000536737</t>
  </si>
  <si>
    <t>ENST00000538718</t>
  </si>
  <si>
    <t>ENST00000539887</t>
  </si>
  <si>
    <t>ENST00000541731</t>
  </si>
  <si>
    <t>Q9Y3I0</t>
  </si>
  <si>
    <t>ENST00000216038</t>
  </si>
  <si>
    <t>ENST00000463455</t>
  </si>
  <si>
    <t>ENST00000487704</t>
  </si>
  <si>
    <t>ENST00000498434</t>
  </si>
  <si>
    <t>Q9Y3I1</t>
  </si>
  <si>
    <t>ENST00000266087</t>
  </si>
  <si>
    <t>ENST00000397426</t>
  </si>
  <si>
    <t>ENST00000420700</t>
  </si>
  <si>
    <t>ENST00000425028</t>
  </si>
  <si>
    <t>ENST00000444207</t>
  </si>
  <si>
    <t>ENST00000452138</t>
  </si>
  <si>
    <t>ENST00000465418</t>
  </si>
  <si>
    <t>ENST00000484607</t>
  </si>
  <si>
    <t>ENST00000492535</t>
  </si>
  <si>
    <t>Q9Y3L3</t>
  </si>
  <si>
    <t>ENST00000357436</t>
  </si>
  <si>
    <t>ENST00000417536</t>
  </si>
  <si>
    <t>ENST00000451997</t>
  </si>
  <si>
    <t>ENST00000459646</t>
  </si>
  <si>
    <t>ENST00000466097</t>
  </si>
  <si>
    <t>ENST00000469947</t>
  </si>
  <si>
    <t>ENST00000471650</t>
  </si>
  <si>
    <t>Q9Y3L5</t>
  </si>
  <si>
    <t>ENST00000342983</t>
  </si>
  <si>
    <t>ENST00000370874</t>
  </si>
  <si>
    <t>ENST00000490400</t>
  </si>
  <si>
    <t>Q9Y3P8</t>
  </si>
  <si>
    <t>ENST00000259608</t>
  </si>
  <si>
    <t>ENST00000474403</t>
  </si>
  <si>
    <t>ENST00000486859</t>
  </si>
  <si>
    <t>Q9Y3P9</t>
  </si>
  <si>
    <t>ENST00000317419</t>
  </si>
  <si>
    <t>ENST00000373647</t>
  </si>
  <si>
    <t>ENST00000402311</t>
  </si>
  <si>
    <t>ENST00000456584</t>
  </si>
  <si>
    <t>ENST00000474707</t>
  </si>
  <si>
    <t>ENST00000480054</t>
  </si>
  <si>
    <t>ENST00000485090</t>
  </si>
  <si>
    <t>Q9Y3Q3</t>
  </si>
  <si>
    <t>ENST00000299705</t>
  </si>
  <si>
    <t>ENST00000424155</t>
  </si>
  <si>
    <t>ENST00000543455</t>
  </si>
  <si>
    <t>ENST00000558562</t>
  </si>
  <si>
    <t>Q9Y3Q8</t>
  </si>
  <si>
    <t>ENST00000300181</t>
  </si>
  <si>
    <t>ENST00000393991</t>
  </si>
  <si>
    <t>ENST00000423266</t>
  </si>
  <si>
    <t>ENST00000456330</t>
  </si>
  <si>
    <t>ENST00000493217</t>
  </si>
  <si>
    <t>Q9Y3S2</t>
  </si>
  <si>
    <t>ENST00000262990</t>
  </si>
  <si>
    <t>ENST00000503649</t>
  </si>
  <si>
    <t>ENST00000507532</t>
  </si>
  <si>
    <t>ENST00000512738</t>
  </si>
  <si>
    <t>ENST00000512809</t>
  </si>
  <si>
    <t>ENST00000514826</t>
  </si>
  <si>
    <t>Q9Y3T9</t>
  </si>
  <si>
    <t>ENST00000327044</t>
  </si>
  <si>
    <t>ENST00000469563</t>
  </si>
  <si>
    <t>ENST00000477976</t>
  </si>
  <si>
    <t>ENST00000483767</t>
  </si>
  <si>
    <t>ENST00000487214</t>
  </si>
  <si>
    <t>ENST00000496938</t>
  </si>
  <si>
    <t>Q9Y3U8</t>
  </si>
  <si>
    <t>ENST00000347512</t>
  </si>
  <si>
    <t>ENST00000394580</t>
  </si>
  <si>
    <t>ENST00000579446</t>
  </si>
  <si>
    <t>ENST00000579649</t>
  </si>
  <si>
    <t>ENST00000582463</t>
  </si>
  <si>
    <t>ENST00000590786</t>
  </si>
  <si>
    <t>Q9Y3X0</t>
  </si>
  <si>
    <t>ENST00000221922</t>
  </si>
  <si>
    <t>ENST00000596938</t>
  </si>
  <si>
    <t>ENST00000599398</t>
  </si>
  <si>
    <t>ENST00000600117</t>
  </si>
  <si>
    <t>Q9Y3Z3</t>
  </si>
  <si>
    <t>ENST00000262878</t>
  </si>
  <si>
    <t>ENST00000465985</t>
  </si>
  <si>
    <t>Q9Y421</t>
  </si>
  <si>
    <t>ENST00000263384</t>
  </si>
  <si>
    <t>ENST00000585831</t>
  </si>
  <si>
    <t>ENST00000587351</t>
  </si>
  <si>
    <t>ENST00000588367</t>
  </si>
  <si>
    <t>ENST00000589852</t>
  </si>
  <si>
    <t>Q9Y450</t>
  </si>
  <si>
    <t>ENST00000314674</t>
  </si>
  <si>
    <t>ENST00000367820</t>
  </si>
  <si>
    <t>ENST00000367822</t>
  </si>
  <si>
    <t>ENST00000367826</t>
  </si>
  <si>
    <t>ENST00000367837</t>
  </si>
  <si>
    <t>ENST00000525067</t>
  </si>
  <si>
    <t>ENST00000527005</t>
  </si>
  <si>
    <t>ENST00000527578</t>
  </si>
  <si>
    <t>ENST00000529169</t>
  </si>
  <si>
    <t>Q9Y478</t>
  </si>
  <si>
    <t>ENST00000229328</t>
  </si>
  <si>
    <t>ENST00000537057</t>
  </si>
  <si>
    <t>ENST00000537400</t>
  </si>
  <si>
    <t>ENST00000540121</t>
  </si>
  <si>
    <t>ENST00000541640</t>
  </si>
  <si>
    <t>ENST00000542698</t>
  </si>
  <si>
    <t>ENST00000545223</t>
  </si>
  <si>
    <t>ENST00000545870</t>
  </si>
  <si>
    <t>Q9Y484</t>
  </si>
  <si>
    <t>ENST00000322995</t>
  </si>
  <si>
    <t>ENST00000367375</t>
  </si>
  <si>
    <t>ENST00000376357</t>
  </si>
  <si>
    <t>ENST00000376368</t>
  </si>
  <si>
    <t>ENST00000376372</t>
  </si>
  <si>
    <t>ENST00000419567</t>
  </si>
  <si>
    <t>ENST00000460501</t>
  </si>
  <si>
    <t>ENST00000465382</t>
  </si>
  <si>
    <t>ENST00000465806</t>
  </si>
  <si>
    <t>ENST00000472654</t>
  </si>
  <si>
    <t>ENST00000475880</t>
  </si>
  <si>
    <t>ENST00000475977</t>
  </si>
  <si>
    <t>ENST00000476728</t>
  </si>
  <si>
    <t>ENST00000480412</t>
  </si>
  <si>
    <t>ENST00000485908</t>
  </si>
  <si>
    <t>ENST00000496803</t>
  </si>
  <si>
    <t>Q9Y485</t>
  </si>
  <si>
    <t>ENST00000311085</t>
  </si>
  <si>
    <t>ENST00000502516</t>
  </si>
  <si>
    <t>ENST00000503802</t>
  </si>
  <si>
    <t>ENST00000504031</t>
  </si>
  <si>
    <t>ENST00000504497</t>
  </si>
  <si>
    <t>ENST00000505312</t>
  </si>
  <si>
    <t>ENST00000507552</t>
  </si>
  <si>
    <t>ENST00000509902</t>
  </si>
  <si>
    <t>ENST00000510924</t>
  </si>
  <si>
    <t>ENST00000512281</t>
  </si>
  <si>
    <t>ENST00000514595</t>
  </si>
  <si>
    <t>ENST00000515335</t>
  </si>
  <si>
    <t>ENST00000539542</t>
  </si>
  <si>
    <t>Q9Y487</t>
  </si>
  <si>
    <t>ENST00000330342</t>
  </si>
  <si>
    <t>ENST00000504192</t>
  </si>
  <si>
    <t>ENST00000534943</t>
  </si>
  <si>
    <t>ENST00000536426</t>
  </si>
  <si>
    <t>ENST00000540368</t>
  </si>
  <si>
    <t>ENST00000543687</t>
  </si>
  <si>
    <t>ENST00000544833</t>
  </si>
  <si>
    <t>ENST00000545059</t>
  </si>
  <si>
    <t>Q9Y490</t>
  </si>
  <si>
    <t>ENST00000314888</t>
  </si>
  <si>
    <t>ENST00000378192</t>
  </si>
  <si>
    <t>ENST00000464379</t>
  </si>
  <si>
    <t>ENST00000465002</t>
  </si>
  <si>
    <t>ENST00000466916</t>
  </si>
  <si>
    <t>ENST00000486788</t>
  </si>
  <si>
    <t>ENST00000489255</t>
  </si>
  <si>
    <t>ENST00000495712</t>
  </si>
  <si>
    <t>Q9Y496</t>
  </si>
  <si>
    <t>ENST00000378735</t>
  </si>
  <si>
    <t>ENST00000378746</t>
  </si>
  <si>
    <t>ENST00000487055</t>
  </si>
  <si>
    <t>ENST00000488471</t>
  </si>
  <si>
    <t>Q9Y4B4</t>
  </si>
  <si>
    <t>ENST00000409535</t>
  </si>
  <si>
    <t>ENST00000461680</t>
  </si>
  <si>
    <t>ENST00000462377</t>
  </si>
  <si>
    <t>ENST00000602430</t>
  </si>
  <si>
    <t>Q9Y4C1</t>
  </si>
  <si>
    <t>ENST00000312912</t>
  </si>
  <si>
    <t>ENST00000427678</t>
  </si>
  <si>
    <t>ENST00000441719</t>
  </si>
  <si>
    <t>ENST00000463013</t>
  </si>
  <si>
    <t>ENST00000466058</t>
  </si>
  <si>
    <t>ENST00000470160</t>
  </si>
  <si>
    <t>ENST00000483866</t>
  </si>
  <si>
    <t>ENST00000488971</t>
  </si>
  <si>
    <t>ENST00000491383</t>
  </si>
  <si>
    <t>ENST00000498528</t>
  </si>
  <si>
    <t>Q9Y4C8</t>
  </si>
  <si>
    <t>ENST00000261741</t>
  </si>
  <si>
    <t>ENST00000392561</t>
  </si>
  <si>
    <t>ENST00000545145</t>
  </si>
  <si>
    <t>ENST00000552384</t>
  </si>
  <si>
    <t>ENST00000552386</t>
  </si>
  <si>
    <t>Q9Y4F9</t>
  </si>
  <si>
    <t>ENST00000259698</t>
  </si>
  <si>
    <t>ENST00000463828</t>
  </si>
  <si>
    <t>ENST00000473070</t>
  </si>
  <si>
    <t>ENST00000510784</t>
  </si>
  <si>
    <t>ENST00000538035</t>
  </si>
  <si>
    <t>ENST00000540914</t>
  </si>
  <si>
    <t>Q9Y4G6</t>
  </si>
  <si>
    <t>ENST00000561311</t>
  </si>
  <si>
    <t>Q9Y4H2</t>
  </si>
  <si>
    <t>ENST00000375856</t>
  </si>
  <si>
    <t>Q9Y4H4</t>
  </si>
  <si>
    <t>ENST00000375040</t>
  </si>
  <si>
    <t>ENST00000472768</t>
  </si>
  <si>
    <t>ENST00000487761</t>
  </si>
  <si>
    <t>Q9Y4K1</t>
  </si>
  <si>
    <t>ENST00000369066</t>
  </si>
  <si>
    <t>ENST00000487681</t>
  </si>
  <si>
    <t>Q9Y4K3</t>
  </si>
  <si>
    <t>ENST00000526995</t>
  </si>
  <si>
    <t>ENST00000529150</t>
  </si>
  <si>
    <t>Q9Y4K4</t>
  </si>
  <si>
    <t>ENST00000554066</t>
  </si>
  <si>
    <t>ENST00000554273</t>
  </si>
  <si>
    <t>ENST00000554990</t>
  </si>
  <si>
    <t>ENST00000557124</t>
  </si>
  <si>
    <t>ENST00000557210</t>
  </si>
  <si>
    <t>ENST00000557390</t>
  </si>
  <si>
    <t>Q9Y4L1</t>
  </si>
  <si>
    <t>ENST00000526354</t>
  </si>
  <si>
    <t>ENST00000526656</t>
  </si>
  <si>
    <t>ENST00000527038</t>
  </si>
  <si>
    <t>ENST00000527738</t>
  </si>
  <si>
    <t>ENST00000529174</t>
  </si>
  <si>
    <t>ENST00000530467</t>
  </si>
  <si>
    <t>ENST00000530473</t>
  </si>
  <si>
    <t>ENST00000531682</t>
  </si>
  <si>
    <t>ENST00000531694</t>
  </si>
  <si>
    <t>ENST00000531968</t>
  </si>
  <si>
    <t>ENST00000532421</t>
  </si>
  <si>
    <t>ENST00000533381</t>
  </si>
  <si>
    <t>Q9Y4P3</t>
  </si>
  <si>
    <t>ENST00000305632</t>
  </si>
  <si>
    <t>ENST00000435792</t>
  </si>
  <si>
    <t>ENST00000450285</t>
  </si>
  <si>
    <t>ENST00000452475</t>
  </si>
  <si>
    <t>ENST00000459913</t>
  </si>
  <si>
    <t>ENST00000469518</t>
  </si>
  <si>
    <t>ENST00000488915</t>
  </si>
  <si>
    <t>ENST00000495885</t>
  </si>
  <si>
    <t>ENST00000496056</t>
  </si>
  <si>
    <t>Q9Y4R8</t>
  </si>
  <si>
    <t>ENST00000262319</t>
  </si>
  <si>
    <t>ENST00000563676</t>
  </si>
  <si>
    <t>ENST00000564507</t>
  </si>
  <si>
    <t>ENST00000567423</t>
  </si>
  <si>
    <t>ENST00000567427</t>
  </si>
  <si>
    <t>ENST00000568240</t>
  </si>
  <si>
    <t>ENST00000569744</t>
  </si>
  <si>
    <t>Q9Y4W6</t>
  </si>
  <si>
    <t>ENST00000269143</t>
  </si>
  <si>
    <t>ENST00000588893</t>
  </si>
  <si>
    <t>ENST00000591848</t>
  </si>
  <si>
    <t>Q9Y4X4</t>
  </si>
  <si>
    <t>ENST00000377666</t>
  </si>
  <si>
    <t>ENST00000377669</t>
  </si>
  <si>
    <t>ENST00000472022</t>
  </si>
  <si>
    <t>Q9Y4X5</t>
  </si>
  <si>
    <t>ENST00000379887</t>
  </si>
  <si>
    <t>ENST00000561770</t>
  </si>
  <si>
    <t>ENST00000561987</t>
  </si>
  <si>
    <t>ENST00000562891</t>
  </si>
  <si>
    <t>ENST00000563310</t>
  </si>
  <si>
    <t>ENST00000565950</t>
  </si>
  <si>
    <t>ENST00000566063</t>
  </si>
  <si>
    <t>ENST00000567762</t>
  </si>
  <si>
    <t>ENST00000570085</t>
  </si>
  <si>
    <t>Q9Y4Z0</t>
  </si>
  <si>
    <t>ENST00000252816</t>
  </si>
  <si>
    <t>ENST00000593564</t>
  </si>
  <si>
    <t>ENST00000593829</t>
  </si>
  <si>
    <t>ENST00000594828</t>
  </si>
  <si>
    <t>ENST00000597776</t>
  </si>
  <si>
    <t>ENST00000600289</t>
  </si>
  <si>
    <t>Q9Y508</t>
  </si>
  <si>
    <t>ENST00000244061</t>
  </si>
  <si>
    <t>Q9Y512</t>
  </si>
  <si>
    <t>ENST00000350028</t>
  </si>
  <si>
    <t>ENST00000474323</t>
  </si>
  <si>
    <t>ENST00000493621</t>
  </si>
  <si>
    <t>ENST00000494795</t>
  </si>
  <si>
    <t>Q9Y530</t>
  </si>
  <si>
    <t>ENST00000373154</t>
  </si>
  <si>
    <t>ENST00000424266</t>
  </si>
  <si>
    <t>ENST00000463088</t>
  </si>
  <si>
    <t>ENST00000464633</t>
  </si>
  <si>
    <t>ENST00000465893</t>
  </si>
  <si>
    <t>ENST00000467234</t>
  </si>
  <si>
    <t>ENST00000468811</t>
  </si>
  <si>
    <t>ENST00000469104</t>
  </si>
  <si>
    <t>ENST00000471367</t>
  </si>
  <si>
    <t>ENST00000479950</t>
  </si>
  <si>
    <t>ENST00000482515</t>
  </si>
  <si>
    <t>ENST00000482853</t>
  </si>
  <si>
    <t>ENST00000488238</t>
  </si>
  <si>
    <t>Q9Y546</t>
  </si>
  <si>
    <t>ENST00000319223</t>
  </si>
  <si>
    <t>ENST00000371370</t>
  </si>
  <si>
    <t>ENST00000444987</t>
  </si>
  <si>
    <t>ENST00000477905</t>
  </si>
  <si>
    <t>Q9Y547</t>
  </si>
  <si>
    <t>ENST00000194214</t>
  </si>
  <si>
    <t>ENST00000371376</t>
  </si>
  <si>
    <t>ENST00000371377</t>
  </si>
  <si>
    <t>ENST00000371378</t>
  </si>
  <si>
    <t>ENST00000488884</t>
  </si>
  <si>
    <t>ENST00000489675</t>
  </si>
  <si>
    <t>Q9Y570</t>
  </si>
  <si>
    <t>ENST00000328257</t>
  </si>
  <si>
    <t>ENST00000535205</t>
  </si>
  <si>
    <t>ENST00000538501</t>
  </si>
  <si>
    <t>ENST00000539021</t>
  </si>
  <si>
    <t>ENST00000541340</t>
  </si>
  <si>
    <t>ENST00000543525</t>
  </si>
  <si>
    <t>Q9Y572</t>
  </si>
  <si>
    <t>ENST00000216274</t>
  </si>
  <si>
    <t>ENST00000554569</t>
  </si>
  <si>
    <t>ENST00000554756</t>
  </si>
  <si>
    <t>ENST00000557253</t>
  </si>
  <si>
    <t>ENST00000557624</t>
  </si>
  <si>
    <t>ENST00000557662</t>
  </si>
  <si>
    <t>Q9Y576</t>
  </si>
  <si>
    <t>ENST00000264607</t>
  </si>
  <si>
    <t>ENST00000409297</t>
  </si>
  <si>
    <t>ENST00000469885</t>
  </si>
  <si>
    <t>ENST00000491653</t>
  </si>
  <si>
    <t>Q9Y580</t>
  </si>
  <si>
    <t>ENST00000375490</t>
  </si>
  <si>
    <t>ENST00000538134</t>
  </si>
  <si>
    <t>ENST00000540163</t>
  </si>
  <si>
    <t>ENST00000541475</t>
  </si>
  <si>
    <t>ENST00000544313</t>
  </si>
  <si>
    <t>ENST00000544582</t>
  </si>
  <si>
    <t>ENST00000545678</t>
  </si>
  <si>
    <t>Q9Y5A9</t>
  </si>
  <si>
    <t>ENST00000373812</t>
  </si>
  <si>
    <t>ENST00000468863</t>
  </si>
  <si>
    <t>ENST00000478283</t>
  </si>
  <si>
    <t>ENST00000496288</t>
  </si>
  <si>
    <t>ENST00000542507</t>
  </si>
  <si>
    <t>Q9Y5B0</t>
  </si>
  <si>
    <t>ENST00000075430</t>
  </si>
  <si>
    <t>ENST00000299543</t>
  </si>
  <si>
    <t>ENST00000585951</t>
  </si>
  <si>
    <t>ENST00000590599</t>
  </si>
  <si>
    <t>ENST00000591598</t>
  </si>
  <si>
    <t>Q9Y5B6</t>
  </si>
  <si>
    <t>ENST00000290178</t>
  </si>
  <si>
    <t>ENST00000331923</t>
  </si>
  <si>
    <t>ENST00000421049</t>
  </si>
  <si>
    <t>ENST00000443785</t>
  </si>
  <si>
    <t>ENST00000445049</t>
  </si>
  <si>
    <t>ENST00000464256</t>
  </si>
  <si>
    <t>ENST00000466846</t>
  </si>
  <si>
    <t>ENST00000497873</t>
  </si>
  <si>
    <t>Q9Y5B9</t>
  </si>
  <si>
    <t>ENST00000216297</t>
  </si>
  <si>
    <t>ENST00000552829</t>
  </si>
  <si>
    <t>ENST00000555752</t>
  </si>
  <si>
    <t>ENST00000555943</t>
  </si>
  <si>
    <t>ENST00000556217</t>
  </si>
  <si>
    <t>ENST00000556309</t>
  </si>
  <si>
    <t>ENST00000557394</t>
  </si>
  <si>
    <t>ENST00000557652</t>
  </si>
  <si>
    <t>Q9Y5J1</t>
  </si>
  <si>
    <t>ENST00000225298</t>
  </si>
  <si>
    <t>ENST00000508506</t>
  </si>
  <si>
    <t>ENST00000579261</t>
  </si>
  <si>
    <t>ENST00000582150</t>
  </si>
  <si>
    <t>ENST00000582832</t>
  </si>
  <si>
    <t>ENST00000583205</t>
  </si>
  <si>
    <t>ENST00000583725</t>
  </si>
  <si>
    <t>Q9Y5J6</t>
  </si>
  <si>
    <t>ENST00000254616</t>
  </si>
  <si>
    <t>ENST00000528908</t>
  </si>
  <si>
    <t>ENST00000530751</t>
  </si>
  <si>
    <t>ENST00000531462</t>
  </si>
  <si>
    <t>ENST00000533379</t>
  </si>
  <si>
    <t>Q9Y5J7</t>
  </si>
  <si>
    <t>ENST00000216463</t>
  </si>
  <si>
    <t>ENST00000395159</t>
  </si>
  <si>
    <t>ENST00000555061</t>
  </si>
  <si>
    <t>ENST00000555097</t>
  </si>
  <si>
    <t>ENST00000555404</t>
  </si>
  <si>
    <t>ENST00000556007</t>
  </si>
  <si>
    <t>ENST00000556367</t>
  </si>
  <si>
    <t>Q9Y5J9</t>
  </si>
  <si>
    <t>ENST00000504148</t>
  </si>
  <si>
    <t>ENST00000507614</t>
  </si>
  <si>
    <t>ENST00000509359</t>
  </si>
  <si>
    <t>ENST00000541231</t>
  </si>
  <si>
    <t>Q9Y5K6</t>
  </si>
  <si>
    <t>ENST00000359314</t>
  </si>
  <si>
    <t>ENST00000463175</t>
  </si>
  <si>
    <t>ENST00000477159</t>
  </si>
  <si>
    <t>ENST00000479857</t>
  </si>
  <si>
    <t>ENST00000486693</t>
  </si>
  <si>
    <t>Q9Y5K8</t>
  </si>
  <si>
    <t>ENST00000216442</t>
  </si>
  <si>
    <t>ENST00000553408</t>
  </si>
  <si>
    <t>ENST00000553687</t>
  </si>
  <si>
    <t>ENST00000553974</t>
  </si>
  <si>
    <t>ENST00000555335</t>
  </si>
  <si>
    <t>ENST00000557244</t>
  </si>
  <si>
    <t>Q9Y5L0</t>
  </si>
  <si>
    <t>ENST00000265388</t>
  </si>
  <si>
    <t>ENST00000482320</t>
  </si>
  <si>
    <t>Q9Y5L4</t>
  </si>
  <si>
    <t>ENST00000215570</t>
  </si>
  <si>
    <t>ENST00000591871</t>
  </si>
  <si>
    <t>Q9Y5M8</t>
  </si>
  <si>
    <t>ENST00000466636</t>
  </si>
  <si>
    <t>ENST00000481356</t>
  </si>
  <si>
    <t>ENST00000484684</t>
  </si>
  <si>
    <t>ENST00000494297</t>
  </si>
  <si>
    <t>Q9Y5N6</t>
  </si>
  <si>
    <t>ENST00000219097</t>
  </si>
  <si>
    <t>ENST00000563306</t>
  </si>
  <si>
    <t>ENST00000566860</t>
  </si>
  <si>
    <t>ENST00000567000</t>
  </si>
  <si>
    <t>ENST00000569239</t>
  </si>
  <si>
    <t>ENST00000575571</t>
  </si>
  <si>
    <t>Q9Y5P6</t>
  </si>
  <si>
    <t>ENST00000308375</t>
  </si>
  <si>
    <t>ENST00000308388</t>
  </si>
  <si>
    <t>ENST00000480687</t>
  </si>
  <si>
    <t>ENST00000481959</t>
  </si>
  <si>
    <t>ENST00000495627</t>
  </si>
  <si>
    <t>Q9Y5Q8</t>
  </si>
  <si>
    <t>ENST00000342018</t>
  </si>
  <si>
    <t>ENST00000372097</t>
  </si>
  <si>
    <t>ENST00000372108</t>
  </si>
  <si>
    <t>ENST00000435745</t>
  </si>
  <si>
    <t>ENST00000440319</t>
  </si>
  <si>
    <t>ENST00000485692</t>
  </si>
  <si>
    <t>ENST00000489842</t>
  </si>
  <si>
    <t>Q9Y5Q9</t>
  </si>
  <si>
    <t>ENST00000263956</t>
  </si>
  <si>
    <t>ENST00000409364</t>
  </si>
  <si>
    <t>ENST00000435252</t>
  </si>
  <si>
    <t>ENST00000448087</t>
  </si>
  <si>
    <t>ENST00000448539</t>
  </si>
  <si>
    <t>ENST00000466862</t>
  </si>
  <si>
    <t>ENST00000481098</t>
  </si>
  <si>
    <t>Q9Y5R8</t>
  </si>
  <si>
    <t>ENST00000303731</t>
  </si>
  <si>
    <t>ENST00000571739</t>
  </si>
  <si>
    <t>ENST00000572656</t>
  </si>
  <si>
    <t>ENST00000573989</t>
  </si>
  <si>
    <t>ENST00000575639</t>
  </si>
  <si>
    <t>Q9Y5S1</t>
  </si>
  <si>
    <t>ENST00000338560</t>
  </si>
  <si>
    <t>ENST00000475513</t>
  </si>
  <si>
    <t>ENST00000493434</t>
  </si>
  <si>
    <t>ENST00000580788</t>
  </si>
  <si>
    <t>ENST00000581560</t>
  </si>
  <si>
    <t>Q9Y5S2</t>
  </si>
  <si>
    <t>ENST00000361246</t>
  </si>
  <si>
    <t>ENST00000558321</t>
  </si>
  <si>
    <t>ENST00000559245</t>
  </si>
  <si>
    <t>ENST00000559790</t>
  </si>
  <si>
    <t>ENST00000560492</t>
  </si>
  <si>
    <t>ENST00000561271</t>
  </si>
  <si>
    <t>Q9Y5S9</t>
  </si>
  <si>
    <t>ENST00000369307</t>
  </si>
  <si>
    <t>ENST00000484825</t>
  </si>
  <si>
    <t>ENST00000498663</t>
  </si>
  <si>
    <t>Q9Y5T4</t>
  </si>
  <si>
    <t>ENST00000379221</t>
  </si>
  <si>
    <t>ENST00000474320</t>
  </si>
  <si>
    <t>Q9Y5U4</t>
  </si>
  <si>
    <t>ENST00000245787</t>
  </si>
  <si>
    <t>ENST00000411929</t>
  </si>
  <si>
    <t>ENST00000479999</t>
  </si>
  <si>
    <t>ENST00000485520</t>
  </si>
  <si>
    <t>ENST00000488995</t>
  </si>
  <si>
    <t>Q9Y5V0</t>
  </si>
  <si>
    <t>ENST00000311212</t>
  </si>
  <si>
    <t>ENST00000517844</t>
  </si>
  <si>
    <t>ENST00000518071</t>
  </si>
  <si>
    <t>ENST00000519103</t>
  </si>
  <si>
    <t>ENST00000519744</t>
  </si>
  <si>
    <t>ENST00000519882</t>
  </si>
  <si>
    <t>ENST00000519916</t>
  </si>
  <si>
    <t>ENST00000520347</t>
  </si>
  <si>
    <t>ENST00000520454</t>
  </si>
  <si>
    <t>ENST00000520498</t>
  </si>
  <si>
    <t>ENST00000520984</t>
  </si>
  <si>
    <t>ENST00000521272</t>
  </si>
  <si>
    <t>ENST00000523146</t>
  </si>
  <si>
    <t>ENST00000523922</t>
  </si>
  <si>
    <t>Q9Y5V3</t>
  </si>
  <si>
    <t>ENST00000326587</t>
  </si>
  <si>
    <t>ENST00000375772</t>
  </si>
  <si>
    <t>ENST00000473931</t>
  </si>
  <si>
    <t>ENST00000494718</t>
  </si>
  <si>
    <t>Q9Y5W3</t>
  </si>
  <si>
    <t>ENST00000248071</t>
  </si>
  <si>
    <t>Q9Y5X1</t>
  </si>
  <si>
    <t>ENST00000392185</t>
  </si>
  <si>
    <t>Q9Y5X2</t>
  </si>
  <si>
    <t>ENST00000222990</t>
  </si>
  <si>
    <t>ENST00000447136</t>
  </si>
  <si>
    <t>ENST00000479689</t>
  </si>
  <si>
    <t>ENST00000480807</t>
  </si>
  <si>
    <t>ENST00000494722</t>
  </si>
  <si>
    <t>Q9Y5X3</t>
  </si>
  <si>
    <t>ENST00000377759</t>
  </si>
  <si>
    <t>ENST00000377768</t>
  </si>
  <si>
    <t>ENST00000431277</t>
  </si>
  <si>
    <t>ENST00000463050</t>
  </si>
  <si>
    <t>ENST00000469704</t>
  </si>
  <si>
    <t>ENST00000474883</t>
  </si>
  <si>
    <t>ENST00000483485</t>
  </si>
  <si>
    <t>ENST00000484809</t>
  </si>
  <si>
    <t>ENST00000486039</t>
  </si>
  <si>
    <t>ENST00000490175</t>
  </si>
  <si>
    <t>ENST00000494401</t>
  </si>
  <si>
    <t>ENST00000606557</t>
  </si>
  <si>
    <t>ENST00000606570</t>
  </si>
  <si>
    <t>ENST00000606602</t>
  </si>
  <si>
    <t>Q9Y5Y0</t>
  </si>
  <si>
    <t>ENST00000366971</t>
  </si>
  <si>
    <t>ENST00000474693</t>
  </si>
  <si>
    <t>ENST00000579295</t>
  </si>
  <si>
    <t>Q9Y5Y2</t>
  </si>
  <si>
    <t>ENST00000262302</t>
  </si>
  <si>
    <t>ENST00000563821</t>
  </si>
  <si>
    <t>ENST00000565134</t>
  </si>
  <si>
    <t>ENST00000565603</t>
  </si>
  <si>
    <t>ENST00000566090</t>
  </si>
  <si>
    <t>ENST00000567700</t>
  </si>
  <si>
    <t>ENST00000568834</t>
  </si>
  <si>
    <t>Q9Y5Y5</t>
  </si>
  <si>
    <t>ENST00000241041</t>
  </si>
  <si>
    <t>ENST00000378750</t>
  </si>
  <si>
    <t>ENST00000523721</t>
  </si>
  <si>
    <t>ENST00000525192</t>
  </si>
  <si>
    <t>ENST00000525229</t>
  </si>
  <si>
    <t>ENST00000527371</t>
  </si>
  <si>
    <t>ENST00000528674</t>
  </si>
  <si>
    <t>ENST00000529030</t>
  </si>
  <si>
    <t>ENST00000532554</t>
  </si>
  <si>
    <t>ENST00000532681</t>
  </si>
  <si>
    <t>Q9Y5Z4</t>
  </si>
  <si>
    <t>ENST00000367697</t>
  </si>
  <si>
    <t>ENST00000453452</t>
  </si>
  <si>
    <t>ENST00000607197</t>
  </si>
  <si>
    <t>Q9Y5Z7</t>
  </si>
  <si>
    <t>ENST00000229330</t>
  </si>
  <si>
    <t>ENST00000547194</t>
  </si>
  <si>
    <t>ENST00000550335</t>
  </si>
  <si>
    <t>ENST00000552343</t>
  </si>
  <si>
    <t>Q9Y605</t>
  </si>
  <si>
    <t>ENST00000320912</t>
  </si>
  <si>
    <t>ENST00000382581</t>
  </si>
  <si>
    <t>ENST00000507420</t>
  </si>
  <si>
    <t>ENST00000512914</t>
  </si>
  <si>
    <t>Q9Y613</t>
  </si>
  <si>
    <t>ENST00000258201</t>
  </si>
  <si>
    <t>ENST00000562266</t>
  </si>
  <si>
    <t>ENST00000566006</t>
  </si>
  <si>
    <t>ENST00000567561</t>
  </si>
  <si>
    <t>ENST00000567752</t>
  </si>
  <si>
    <t>ENST00000568595</t>
  </si>
  <si>
    <t>ENST00000569085</t>
  </si>
  <si>
    <t>ENST00000569888</t>
  </si>
  <si>
    <t>Q9Y617</t>
  </si>
  <si>
    <t>ENST00000347159</t>
  </si>
  <si>
    <t>ENST00000376588</t>
  </si>
  <si>
    <t>Q9Y619</t>
  </si>
  <si>
    <t>ENST00000338625</t>
  </si>
  <si>
    <t>ENST00000478827</t>
  </si>
  <si>
    <t>Q9Y624</t>
  </si>
  <si>
    <t>ENST00000335772</t>
  </si>
  <si>
    <t>ENST00000368026</t>
  </si>
  <si>
    <t>ENST00000472573</t>
  </si>
  <si>
    <t>Q9Y646</t>
  </si>
  <si>
    <t>ENST00000220763</t>
  </si>
  <si>
    <t>ENST00000529551</t>
  </si>
  <si>
    <t>Q9Y657</t>
  </si>
  <si>
    <t>ENST00000375859</t>
  </si>
  <si>
    <t>ENST00000485565</t>
  </si>
  <si>
    <t>ENST00000485804</t>
  </si>
  <si>
    <t>Q9Y666</t>
  </si>
  <si>
    <t>ENST00000504576</t>
  </si>
  <si>
    <t>ENST00000513223</t>
  </si>
  <si>
    <t>ENST00000514994</t>
  </si>
  <si>
    <t>Q9Y672</t>
  </si>
  <si>
    <t>ENST00000371108</t>
  </si>
  <si>
    <t>ENST00000462390</t>
  </si>
  <si>
    <t>ENST00000465969</t>
  </si>
  <si>
    <t>ENST00000487136</t>
  </si>
  <si>
    <t>ENST00000494765</t>
  </si>
  <si>
    <t>ENST00000603108</t>
  </si>
  <si>
    <t>Q9Y673</t>
  </si>
  <si>
    <t>ENST00000239891</t>
  </si>
  <si>
    <t>ENST00000443765</t>
  </si>
  <si>
    <t>ENST00000460230</t>
  </si>
  <si>
    <t>ENST00000486410</t>
  </si>
  <si>
    <t>ENST00000496689</t>
  </si>
  <si>
    <t>Q9Y676</t>
  </si>
  <si>
    <t>ENST00000259873</t>
  </si>
  <si>
    <t>ENST00000472229</t>
  </si>
  <si>
    <t>ENST00000492316</t>
  </si>
  <si>
    <t>Q9Y678</t>
  </si>
  <si>
    <t>ENST00000314797</t>
  </si>
  <si>
    <t>ENST00000504350</t>
  </si>
  <si>
    <t>ENST00000504547</t>
  </si>
  <si>
    <t>ENST00000509208</t>
  </si>
  <si>
    <t>ENST00000509889</t>
  </si>
  <si>
    <t>ENST00000512034</t>
  </si>
  <si>
    <t>ENST00000513965</t>
  </si>
  <si>
    <t>ENST00000514478</t>
  </si>
  <si>
    <t>ENST00000515725</t>
  </si>
  <si>
    <t>Q9Y696</t>
  </si>
  <si>
    <t>ENST00000374379</t>
  </si>
  <si>
    <t>ENST00000489758</t>
  </si>
  <si>
    <t>Q9Y6A4</t>
  </si>
  <si>
    <t>ENST00000262498</t>
  </si>
  <si>
    <t>ENST00000562443</t>
  </si>
  <si>
    <t>ENST00000562622</t>
  </si>
  <si>
    <t>ENST00000564150</t>
  </si>
  <si>
    <t>ENST00000567092</t>
  </si>
  <si>
    <t>ENST00000567660</t>
  </si>
  <si>
    <t>Q9Y6A5</t>
  </si>
  <si>
    <t>ENST00000313288</t>
  </si>
  <si>
    <t>ENST00000404054</t>
  </si>
  <si>
    <t>ENST00000466077</t>
  </si>
  <si>
    <t>ENST00000467746</t>
  </si>
  <si>
    <t>ENST00000470136</t>
  </si>
  <si>
    <t>ENST00000470808</t>
  </si>
  <si>
    <t>ENST00000484264</t>
  </si>
  <si>
    <t>ENST00000484651</t>
  </si>
  <si>
    <t>ENST00000485989</t>
  </si>
  <si>
    <t>Q9Y6A9</t>
  </si>
  <si>
    <t>ENST00000233025</t>
  </si>
  <si>
    <t>ENST00000423431</t>
  </si>
  <si>
    <t>ENST00000448693</t>
  </si>
  <si>
    <t>ENST00000474945</t>
  </si>
  <si>
    <t>ENST00000602728</t>
  </si>
  <si>
    <t>Q9Y6B6</t>
  </si>
  <si>
    <t>ENST00000402673</t>
  </si>
  <si>
    <t>ENST00000439578</t>
  </si>
  <si>
    <t>ENST00000502286</t>
  </si>
  <si>
    <t>ENST00000504242</t>
  </si>
  <si>
    <t>ENST00000507419</t>
  </si>
  <si>
    <t>ENST00000508363</t>
  </si>
  <si>
    <t>Q9Y6B7</t>
  </si>
  <si>
    <t>ENST00000256658</t>
  </si>
  <si>
    <t>ENST00000369569</t>
  </si>
  <si>
    <t>ENST00000369571</t>
  </si>
  <si>
    <t>ENST00000460653</t>
  </si>
  <si>
    <t>ENST00000462591</t>
  </si>
  <si>
    <t>ENST00000472122</t>
  </si>
  <si>
    <t>ENST00000479801</t>
  </si>
  <si>
    <t>ENST00000489092</t>
  </si>
  <si>
    <t>Q9Y6C2</t>
  </si>
  <si>
    <t>ENST00000380320</t>
  </si>
  <si>
    <t>Q9Y6C9</t>
  </si>
  <si>
    <t>ENST00000302503</t>
  </si>
  <si>
    <t>ENST00000530428</t>
  </si>
  <si>
    <t>ENST00000533571</t>
  </si>
  <si>
    <t>ENST00000534074</t>
  </si>
  <si>
    <t>ENST00000539759</t>
  </si>
  <si>
    <t>Q9Y6D0</t>
  </si>
  <si>
    <t>ENST00000485414</t>
  </si>
  <si>
    <t>ENST00000487571</t>
  </si>
  <si>
    <t>ENST00000488746</t>
  </si>
  <si>
    <t>ENST00000495461</t>
  </si>
  <si>
    <t>ENST00000541726</t>
  </si>
  <si>
    <t>Q9Y6D5</t>
  </si>
  <si>
    <t>ENST00000371917</t>
  </si>
  <si>
    <t>ENST00000493140</t>
  </si>
  <si>
    <t>Q9Y6D6</t>
  </si>
  <si>
    <t>ENST00000262215</t>
  </si>
  <si>
    <t>ENST00000517955</t>
  </si>
  <si>
    <t>ENST00000518230</t>
  </si>
  <si>
    <t>ENST00000518290</t>
  </si>
  <si>
    <t>ENST00000518789</t>
  </si>
  <si>
    <t>ENST00000519436</t>
  </si>
  <si>
    <t>ENST00000520381</t>
  </si>
  <si>
    <t>Q9Y6D9</t>
  </si>
  <si>
    <t>ENST00000429625</t>
  </si>
  <si>
    <t>ENST00000437877</t>
  </si>
  <si>
    <t>ENST00000438959</t>
  </si>
  <si>
    <t>ENST00000455998</t>
  </si>
  <si>
    <t>ENST00000459731</t>
  </si>
  <si>
    <t>ENST00000477172</t>
  </si>
  <si>
    <t>Q9Y6E2</t>
  </si>
  <si>
    <t>ENST00000258761</t>
  </si>
  <si>
    <t>ENST00000407633</t>
  </si>
  <si>
    <t>ENST00000415365</t>
  </si>
  <si>
    <t>ENST00000433922</t>
  </si>
  <si>
    <t>ENST00000436868</t>
  </si>
  <si>
    <t>ENST00000437745</t>
  </si>
  <si>
    <t>ENST00000438834</t>
  </si>
  <si>
    <t>ENST00000452975</t>
  </si>
  <si>
    <t>ENST00000480517</t>
  </si>
  <si>
    <t>Q9Y6G3</t>
  </si>
  <si>
    <t>ENST00000358678</t>
  </si>
  <si>
    <t>ENST00000547098</t>
  </si>
  <si>
    <t>ENST00000548545</t>
  </si>
  <si>
    <t>ENST00000549561</t>
  </si>
  <si>
    <t>ENST00000549982</t>
  </si>
  <si>
    <t>ENST00000551396</t>
  </si>
  <si>
    <t>ENST00000552217</t>
  </si>
  <si>
    <t>ENST00000552938</t>
  </si>
  <si>
    <t>Q9Y6G9</t>
  </si>
  <si>
    <t>ENST00000273130</t>
  </si>
  <si>
    <t>ENST00000472985</t>
  </si>
  <si>
    <t>ENST00000474077</t>
  </si>
  <si>
    <t>ENST00000475193</t>
  </si>
  <si>
    <t>ENST00000481915</t>
  </si>
  <si>
    <t>Q9Y6H1</t>
  </si>
  <si>
    <t>ENST00000395422</t>
  </si>
  <si>
    <t>ENST00000473095</t>
  </si>
  <si>
    <t>Q9Y6I3</t>
  </si>
  <si>
    <t>ENST00000085079</t>
  </si>
  <si>
    <t>ENST00000270460</t>
  </si>
  <si>
    <t>ENST00000411543</t>
  </si>
  <si>
    <t>ENST00000586194</t>
  </si>
  <si>
    <t>ENST00000587937</t>
  </si>
  <si>
    <t>Q9Y6I4</t>
  </si>
  <si>
    <t>ENST00000380324</t>
  </si>
  <si>
    <t>ENST00000538686</t>
  </si>
  <si>
    <t>ENST00000540797</t>
  </si>
  <si>
    <t>ENST00000557884</t>
  </si>
  <si>
    <t>ENST00000558157</t>
  </si>
  <si>
    <t>ENST00000558218</t>
  </si>
  <si>
    <t>ENST00000558285</t>
  </si>
  <si>
    <t>ENST00000558925</t>
  </si>
  <si>
    <t>ENST00000559192</t>
  </si>
  <si>
    <t>ENST00000559276</t>
  </si>
  <si>
    <t>ENST00000559711</t>
  </si>
  <si>
    <t>ENST00000559718</t>
  </si>
  <si>
    <t>ENST00000561381</t>
  </si>
  <si>
    <t>ENST00000561442</t>
  </si>
  <si>
    <t>Q9Y6I9</t>
  </si>
  <si>
    <t>ENST00000341333</t>
  </si>
  <si>
    <t>ENST00000412249</t>
  </si>
  <si>
    <t>ENST00000415259</t>
  </si>
  <si>
    <t>ENST00000425781</t>
  </si>
  <si>
    <t>ENST00000444233</t>
  </si>
  <si>
    <t>ENST00000457573</t>
  </si>
  <si>
    <t>ENST00000457927</t>
  </si>
  <si>
    <t>ENST00000463857</t>
  </si>
  <si>
    <t>ENST00000483429</t>
  </si>
  <si>
    <t>ENST00000489026</t>
  </si>
  <si>
    <t>Q9Y6J9</t>
  </si>
  <si>
    <t>ENST00000294168</t>
  </si>
  <si>
    <t>ENST00000524976</t>
  </si>
  <si>
    <t>ENST00000526261</t>
  </si>
  <si>
    <t>ENST00000531265</t>
  </si>
  <si>
    <t>ENST00000532915</t>
  </si>
  <si>
    <t>ENST00000533823</t>
  </si>
  <si>
    <t>Q9Y6K1</t>
  </si>
  <si>
    <t>ENST00000321117</t>
  </si>
  <si>
    <t>ENST00000380746</t>
  </si>
  <si>
    <t>ENST00000380756</t>
  </si>
  <si>
    <t>ENST00000402667</t>
  </si>
  <si>
    <t>ENST00000406659</t>
  </si>
  <si>
    <t>ENST00000466601</t>
  </si>
  <si>
    <t>ENST00000470983</t>
  </si>
  <si>
    <t>ENST00000474807</t>
  </si>
  <si>
    <t>ENST00000474887</t>
  </si>
  <si>
    <t>ENST00000482935</t>
  </si>
  <si>
    <t>ENST00000484184</t>
  </si>
  <si>
    <t>ENST00000491288</t>
  </si>
  <si>
    <t>ENST00000496570</t>
  </si>
  <si>
    <t>Q9Y6K5</t>
  </si>
  <si>
    <t>ENST00000228928</t>
  </si>
  <si>
    <t>ENST00000546800</t>
  </si>
  <si>
    <t>ENST00000548514</t>
  </si>
  <si>
    <t>ENST00000549918</t>
  </si>
  <si>
    <t>ENST00000551007</t>
  </si>
  <si>
    <t>Q9Y6K9</t>
  </si>
  <si>
    <t>ENST00000492469</t>
  </si>
  <si>
    <t>Q9Y6M9</t>
  </si>
  <si>
    <t>ENST00000276689</t>
  </si>
  <si>
    <t>ENST00000517367</t>
  </si>
  <si>
    <t>ENST00000518008</t>
  </si>
  <si>
    <t>ENST00000518657</t>
  </si>
  <si>
    <t>ENST00000524241</t>
  </si>
  <si>
    <t>Q9Y6N1</t>
  </si>
  <si>
    <t>ENST00000299335</t>
  </si>
  <si>
    <t>ENST00000571584</t>
  </si>
  <si>
    <t>ENST00000572088</t>
  </si>
  <si>
    <t>ENST00000572558</t>
  </si>
  <si>
    <t>ENST00000574989</t>
  </si>
  <si>
    <t>ENST00000576084</t>
  </si>
  <si>
    <t>ENST00000576370</t>
  </si>
  <si>
    <t>Q9Y6N5</t>
  </si>
  <si>
    <t>ENST00000260324</t>
  </si>
  <si>
    <t>ENST00000561735</t>
  </si>
  <si>
    <t>ENST00000565997</t>
  </si>
  <si>
    <t>ENST00000566934</t>
  </si>
  <si>
    <t>Q9Y6R9</t>
  </si>
  <si>
    <t>ENST00000594672</t>
  </si>
  <si>
    <t>ENST00000595358</t>
  </si>
  <si>
    <t>ENST00000596161</t>
  </si>
  <si>
    <t>ENST00000596687</t>
  </si>
  <si>
    <t>ENST00000599044</t>
  </si>
  <si>
    <t>Q9Y6V7</t>
  </si>
  <si>
    <t>ENST00000247003</t>
  </si>
  <si>
    <t>ENST00000593361</t>
  </si>
  <si>
    <t>ENST00000596502</t>
  </si>
  <si>
    <t>ENST00000598277</t>
  </si>
  <si>
    <t>ENST00000598972</t>
  </si>
  <si>
    <t>ENST00000599373</t>
  </si>
  <si>
    <t>ENST00000599981</t>
  </si>
  <si>
    <t>ENST00000601803</t>
  </si>
  <si>
    <t>ENST00000602113</t>
  </si>
  <si>
    <t>Q9Y6W3</t>
  </si>
  <si>
    <t>ENST00000253693</t>
  </si>
  <si>
    <t>ENST00000415565</t>
  </si>
  <si>
    <t>ENST00000457023</t>
  </si>
  <si>
    <t>ENST00000463417</t>
  </si>
  <si>
    <t>ENST00000472400</t>
  </si>
  <si>
    <t>Q9Y6X3</t>
  </si>
  <si>
    <t>ENST00000262815</t>
  </si>
  <si>
    <t>ENST00000262816</t>
  </si>
  <si>
    <t>ENST00000587362</t>
  </si>
  <si>
    <t>ENST00000587638</t>
  </si>
  <si>
    <t>ENST00000587709</t>
  </si>
  <si>
    <t>ENST00000587938</t>
  </si>
  <si>
    <t>ENST00000589637</t>
  </si>
  <si>
    <t>ENST00000589947</t>
  </si>
  <si>
    <t>ENST00000590837</t>
  </si>
  <si>
    <t>ENST00000590882</t>
  </si>
  <si>
    <t>ENST00000592069</t>
  </si>
  <si>
    <t>ENST00000609122</t>
  </si>
  <si>
    <t>Q9Y6X4</t>
  </si>
  <si>
    <t>ENST00000510609</t>
  </si>
  <si>
    <t>ENST00000514200</t>
  </si>
  <si>
    <t>Q9Y6X5</t>
  </si>
  <si>
    <t>ENST00000321037</t>
  </si>
  <si>
    <t>Q9Y6X8</t>
  </si>
  <si>
    <t>ENST00000314393</t>
  </si>
  <si>
    <t>ENST00000534247</t>
  </si>
  <si>
    <t>Q9Y6X9</t>
  </si>
  <si>
    <t>ENST00000215862</t>
  </si>
  <si>
    <t>ENST00000397641</t>
  </si>
  <si>
    <t>ENST00000429468</t>
  </si>
  <si>
    <t>ENST00000445980</t>
  </si>
  <si>
    <t>ENST00000476152</t>
  </si>
  <si>
    <t>Q9Y6Y0</t>
  </si>
  <si>
    <t>ENST00000367498</t>
  </si>
  <si>
    <t>ENST00000422754</t>
  </si>
  <si>
    <t>ENST00000459929</t>
  </si>
  <si>
    <t>ENST00000468217</t>
  </si>
  <si>
    <t>ENST00000475046</t>
  </si>
  <si>
    <t>ENST00000480769</t>
  </si>
  <si>
    <t>ENST00000491112</t>
  </si>
  <si>
    <t>ENST00000494880</t>
  </si>
  <si>
    <t>Q9Y6Y8</t>
  </si>
  <si>
    <t>ENST00000369075</t>
  </si>
  <si>
    <t>ENST00000442952</t>
  </si>
  <si>
    <t>ENST00000462222</t>
  </si>
  <si>
    <t>ENST00000470478</t>
  </si>
  <si>
    <t>ENST00000475542</t>
  </si>
  <si>
    <t>ENST00000483890</t>
  </si>
  <si>
    <t>gene_corr</t>
  </si>
  <si>
    <t>ENSG00000000419</t>
  </si>
  <si>
    <t>ENSG00000000457</t>
  </si>
  <si>
    <t>ENST00000367771</t>
  </si>
  <si>
    <t>ENST00000470238</t>
  </si>
  <si>
    <t>ENSG00000001084</t>
  </si>
  <si>
    <t>ENSG00000001167</t>
  </si>
  <si>
    <t>ENST00000341376</t>
  </si>
  <si>
    <t>ENST00000353205</t>
  </si>
  <si>
    <t>ENSG00000001497</t>
  </si>
  <si>
    <t>ENST00000374807</t>
  </si>
  <si>
    <t>ENST00000374811</t>
  </si>
  <si>
    <t>ENST00000484069</t>
  </si>
  <si>
    <t>ENSG00000001629</t>
  </si>
  <si>
    <t>ENSG00000001630</t>
  </si>
  <si>
    <t>ENST00000003100</t>
  </si>
  <si>
    <t>ENST00000450723</t>
  </si>
  <si>
    <t>ENST00000482924</t>
  </si>
  <si>
    <t>ENSG00000001631</t>
  </si>
  <si>
    <t>ENSG00000002330</t>
  </si>
  <si>
    <t>ENST00000394532</t>
  </si>
  <si>
    <t>ENST00000493798</t>
  </si>
  <si>
    <t>ENSG00000002549</t>
  </si>
  <si>
    <t>ENST00000226299</t>
  </si>
  <si>
    <t>ENST00000508497</t>
  </si>
  <si>
    <t>ENST00000512397</t>
  </si>
  <si>
    <t>ENST00000606142</t>
  </si>
  <si>
    <t>ENST00000503467</t>
  </si>
  <si>
    <t>ENSG00000002586</t>
  </si>
  <si>
    <t>ENST00000381192</t>
  </si>
  <si>
    <t>ENST00000497752</t>
  </si>
  <si>
    <t>ENSG00000002822</t>
  </si>
  <si>
    <t>ENSG00000002834</t>
  </si>
  <si>
    <t>ENSG00000003056</t>
  </si>
  <si>
    <t>ENSG00000003400</t>
  </si>
  <si>
    <t>ENSG00000003509</t>
  </si>
  <si>
    <t>ENSG00000003756</t>
  </si>
  <si>
    <t>ENSG00000004059</t>
  </si>
  <si>
    <t>ENSG00000004455</t>
  </si>
  <si>
    <t>ENST00000373449</t>
  </si>
  <si>
    <t>ENST00000354858</t>
  </si>
  <si>
    <t>ENST00000469238</t>
  </si>
  <si>
    <t>ENST00000551979</t>
  </si>
  <si>
    <t>ENSG00000004468</t>
  </si>
  <si>
    <t>ENSG00000004478</t>
  </si>
  <si>
    <t>ENSG00000004487</t>
  </si>
  <si>
    <t>ENSG00000004534</t>
  </si>
  <si>
    <t>ENSG00000004700</t>
  </si>
  <si>
    <t>ENSG00000004766</t>
  </si>
  <si>
    <t>ENSG00000004779</t>
  </si>
  <si>
    <t>ENSG00000004864</t>
  </si>
  <si>
    <t>ENSG00000004897</t>
  </si>
  <si>
    <t>ENSG00000004961</t>
  </si>
  <si>
    <t>ENSG00000004975</t>
  </si>
  <si>
    <t>ENSG00000005007</t>
  </si>
  <si>
    <t>ENST00000262803</t>
  </si>
  <si>
    <t>ENST00000599848</t>
  </si>
  <si>
    <t>ENST00000601689</t>
  </si>
  <si>
    <t>ENST00000594243</t>
  </si>
  <si>
    <t>ENST00000596842</t>
  </si>
  <si>
    <t>ENST00000600689</t>
  </si>
  <si>
    <t>ENSG00000005022</t>
  </si>
  <si>
    <t>ENSG00000005059</t>
  </si>
  <si>
    <t>ENSG00000005100</t>
  </si>
  <si>
    <t>ENSG00000005156</t>
  </si>
  <si>
    <t>ENST00000378526</t>
  </si>
  <si>
    <t>ENST00000590181</t>
  </si>
  <si>
    <t>ENST00000586435</t>
  </si>
  <si>
    <t>ENST00000590630</t>
  </si>
  <si>
    <t>ENST00000586058</t>
  </si>
  <si>
    <t>ENST00000588713</t>
  </si>
  <si>
    <t>ENST00000593099</t>
  </si>
  <si>
    <t>ENST00000586119</t>
  </si>
  <si>
    <t>ENSG00000005175</t>
  </si>
  <si>
    <t>ENSG00000005187</t>
  </si>
  <si>
    <t>ENST00000289416</t>
  </si>
  <si>
    <t>ENST00000567006</t>
  </si>
  <si>
    <t>ENSG00000005194</t>
  </si>
  <si>
    <t>ENST00000394391</t>
  </si>
  <si>
    <t>ENST00000564885</t>
  </si>
  <si>
    <t>ENST00000569246</t>
  </si>
  <si>
    <t>ENST00000566284</t>
  </si>
  <si>
    <t>ENSG00000005302</t>
  </si>
  <si>
    <t>ENST00000312196</t>
  </si>
  <si>
    <t>ENST00000337339</t>
  </si>
  <si>
    <t>ENST00000380693</t>
  </si>
  <si>
    <t>ENST00000478462</t>
  </si>
  <si>
    <t>ENST00000482871</t>
  </si>
  <si>
    <t>ENST00000473806</t>
  </si>
  <si>
    <t>ENST00000494268</t>
  </si>
  <si>
    <t>ENST00000467141</t>
  </si>
  <si>
    <t>ENST00000473380</t>
  </si>
  <si>
    <t>ENSG00000005339</t>
  </si>
  <si>
    <t>ENSG00000005448</t>
  </si>
  <si>
    <t>ENST00000348227</t>
  </si>
  <si>
    <t>ENST00000482880</t>
  </si>
  <si>
    <t>ENST00000482605</t>
  </si>
  <si>
    <t>ENSG00000005483</t>
  </si>
  <si>
    <t>ENST00000311117</t>
  </si>
  <si>
    <t>ENST00000495267</t>
  </si>
  <si>
    <t>ENST00000476671</t>
  </si>
  <si>
    <t>ENST00000485619</t>
  </si>
  <si>
    <t>ENST00000468607</t>
  </si>
  <si>
    <t>ENST00000496191</t>
  </si>
  <si>
    <t>ENST00000479838</t>
  </si>
  <si>
    <t>ENSG00000005700</t>
  </si>
  <si>
    <t>ENSG00000005801</t>
  </si>
  <si>
    <t>ENST00000354599</t>
  </si>
  <si>
    <t>ENST00000429541</t>
  </si>
  <si>
    <t>ENST00000529789</t>
  </si>
  <si>
    <t>ENST00000525313</t>
  </si>
  <si>
    <t>ENST00000330692</t>
  </si>
  <si>
    <t>ENST00000343338</t>
  </si>
  <si>
    <t>ENSG00000005810</t>
  </si>
  <si>
    <t>ENST00000544440</t>
  </si>
  <si>
    <t>ENST00000429715</t>
  </si>
  <si>
    <t>ENST00000498073</t>
  </si>
  <si>
    <t>ENST00000466564</t>
  </si>
  <si>
    <t>ENST00000486679</t>
  </si>
  <si>
    <t>ENSG00000005812</t>
  </si>
  <si>
    <t>ENSG00000005844</t>
  </si>
  <si>
    <t>ENSG00000005882</t>
  </si>
  <si>
    <t>ENST00000503176</t>
  </si>
  <si>
    <t>ENST00000508960</t>
  </si>
  <si>
    <t>ENST00000505897</t>
  </si>
  <si>
    <t>ENST00000515040</t>
  </si>
  <si>
    <t>ENST00000506242</t>
  </si>
  <si>
    <t>ENST00000503076</t>
  </si>
  <si>
    <t>ENST00000512204</t>
  </si>
  <si>
    <t>ENST00000506647</t>
  </si>
  <si>
    <t>ENSG00000005889</t>
  </si>
  <si>
    <t>ENST00000428571</t>
  </si>
  <si>
    <t>ENST00000379188</t>
  </si>
  <si>
    <t>ENSG00000005893</t>
  </si>
  <si>
    <t>ENST00000434600</t>
  </si>
  <si>
    <t>ENST00000200639</t>
  </si>
  <si>
    <t>ENST00000371335</t>
  </si>
  <si>
    <t>ENSG00000006007</t>
  </si>
  <si>
    <t>ENSG00000006194</t>
  </si>
  <si>
    <t>ENST00000219069</t>
  </si>
  <si>
    <t>ENST00000573578</t>
  </si>
  <si>
    <t>ENST00000575823</t>
  </si>
  <si>
    <t>ENSG00000006459</t>
  </si>
  <si>
    <t>ENST00000397560</t>
  </si>
  <si>
    <t>ENST00000478996</t>
  </si>
  <si>
    <t>ENSG00000006530</t>
  </si>
  <si>
    <t>ENSG00000006625</t>
  </si>
  <si>
    <t>ENSG00000006715</t>
  </si>
  <si>
    <t>ENST00000310301</t>
  </si>
  <si>
    <t>ENST00000490924</t>
  </si>
  <si>
    <t>ENST00000482217</t>
  </si>
  <si>
    <t>ENST00000462429</t>
  </si>
  <si>
    <t>ENSG00000006744</t>
  </si>
  <si>
    <t>ENSG00000007080</t>
  </si>
  <si>
    <t>ENSG00000007168</t>
  </si>
  <si>
    <t>ENSG00000007255</t>
  </si>
  <si>
    <t>ENST00000006275</t>
  </si>
  <si>
    <t>ENST00000585934</t>
  </si>
  <si>
    <t>ENST00000587818</t>
  </si>
  <si>
    <t>ENSG00000007545</t>
  </si>
  <si>
    <t>ENSG00000007923</t>
  </si>
  <si>
    <t>ENST00000426784</t>
  </si>
  <si>
    <t>ENSG00000008018</t>
  </si>
  <si>
    <t>ENSG00000008130</t>
  </si>
  <si>
    <t>ENST00000341426</t>
  </si>
  <si>
    <t>ENST00000480499</t>
  </si>
  <si>
    <t>ENST00000497747</t>
  </si>
  <si>
    <t>ENST00000477235</t>
  </si>
  <si>
    <t>ENST00000497615</t>
  </si>
  <si>
    <t>ENST00000492845</t>
  </si>
  <si>
    <t>ENST00000460602</t>
  </si>
  <si>
    <t>ENST00000464373</t>
  </si>
  <si>
    <t>ENSG00000008294</t>
  </si>
  <si>
    <t>ENSG00000008382</t>
  </si>
  <si>
    <t>ENST00000599840</t>
  </si>
  <si>
    <t>ENST00000601877</t>
  </si>
  <si>
    <t>ENSG00000008405</t>
  </si>
  <si>
    <t>ENST00000008527</t>
  </si>
  <si>
    <t>ENST00000549356</t>
  </si>
  <si>
    <t>ENST00000546722</t>
  </si>
  <si>
    <t>ENSG00000008838</t>
  </si>
  <si>
    <t>ENST00000394126</t>
  </si>
  <si>
    <t>ENST00000394128</t>
  </si>
  <si>
    <t>ENST00000579364</t>
  </si>
  <si>
    <t>ENST00000492176</t>
  </si>
  <si>
    <t>ENST00000580720</t>
  </si>
  <si>
    <t>ENST00000580921</t>
  </si>
  <si>
    <t>ENST00000584782</t>
  </si>
  <si>
    <t>ENST00000495586</t>
  </si>
  <si>
    <t>ENST00000584077</t>
  </si>
  <si>
    <t>ENST00000577488</t>
  </si>
  <si>
    <t>ENST00000581054</t>
  </si>
  <si>
    <t>ENSG00000008869</t>
  </si>
  <si>
    <t>ENSG00000008952</t>
  </si>
  <si>
    <t>ENSG00000008988</t>
  </si>
  <si>
    <t>ENSG00000009307</t>
  </si>
  <si>
    <t>ENSG00000009335</t>
  </si>
  <si>
    <t>ENSG00000009780</t>
  </si>
  <si>
    <t>ENSG00000009790</t>
  </si>
  <si>
    <t>ENSG00000009844</t>
  </si>
  <si>
    <t>ENSG00000009954</t>
  </si>
  <si>
    <t>ENST00000339594</t>
  </si>
  <si>
    <t>ENST00000404251</t>
  </si>
  <si>
    <t>ENST00000466844</t>
  </si>
  <si>
    <t>ENSG00000010017</t>
  </si>
  <si>
    <t>ENSG00000010165</t>
  </si>
  <si>
    <t>ENSG00000010244</t>
  </si>
  <si>
    <t>ENST00000394670</t>
  </si>
  <si>
    <t>ENST00000321233</t>
  </si>
  <si>
    <t>ENST00000394673</t>
  </si>
  <si>
    <t>ENST00000579634</t>
  </si>
  <si>
    <t>ENST00000577324</t>
  </si>
  <si>
    <t>ENST00000579416</t>
  </si>
  <si>
    <t>ENST00000582705</t>
  </si>
  <si>
    <t>ENST00000584696</t>
  </si>
  <si>
    <t>ENST00000579810</t>
  </si>
  <si>
    <t>ENSG00000010256</t>
  </si>
  <si>
    <t>ENSG00000010278</t>
  </si>
  <si>
    <t>ENSG00000010292</t>
  </si>
  <si>
    <t>ENSG00000010322</t>
  </si>
  <si>
    <t>ENSG00000010404</t>
  </si>
  <si>
    <t>ENST00000340855</t>
  </si>
  <si>
    <t>ENST00000466323</t>
  </si>
  <si>
    <t>ENST00000370441</t>
  </si>
  <si>
    <t>ENST00000464251</t>
  </si>
  <si>
    <t>ENST00000428056</t>
  </si>
  <si>
    <t>ENSG00000010539</t>
  </si>
  <si>
    <t>ENST00000414144</t>
  </si>
  <si>
    <t>ENST00000431561</t>
  </si>
  <si>
    <t>ENST00000575285</t>
  </si>
  <si>
    <t>ENST00000575630</t>
  </si>
  <si>
    <t>ENSG00000010610</t>
  </si>
  <si>
    <t>ENSG00000011007</t>
  </si>
  <si>
    <t>ENSG00000011009</t>
  </si>
  <si>
    <t>ENSG00000011052</t>
  </si>
  <si>
    <t>ENST00000393193</t>
  </si>
  <si>
    <t>ENST00000376392</t>
  </si>
  <si>
    <t>ENST00000512737</t>
  </si>
  <si>
    <t>ENST00000503064</t>
  </si>
  <si>
    <t>ENST00000393183</t>
  </si>
  <si>
    <t>ENST00000485076</t>
  </si>
  <si>
    <t>ENST00000393190</t>
  </si>
  <si>
    <t>ENST00000570801</t>
  </si>
  <si>
    <t>ENST00000573262</t>
  </si>
  <si>
    <t>ENSG00000011132</t>
  </si>
  <si>
    <t>ENST00000590064</t>
  </si>
  <si>
    <t>ENST00000316757</t>
  </si>
  <si>
    <t>ENST00000591678</t>
  </si>
  <si>
    <t>ENST00000586991</t>
  </si>
  <si>
    <t>ENST00000592826</t>
  </si>
  <si>
    <t>ENST00000590238</t>
  </si>
  <si>
    <t>ENST00000589934</t>
  </si>
  <si>
    <t>ENSG00000011243</t>
  </si>
  <si>
    <t>ENSG00000011260</t>
  </si>
  <si>
    <t>ENSG00000011275</t>
  </si>
  <si>
    <t>ENST00000425013</t>
  </si>
  <si>
    <t>ENST00000389902</t>
  </si>
  <si>
    <t>ENSG00000011295</t>
  </si>
  <si>
    <t>ENSG00000011304</t>
  </si>
  <si>
    <t>ENSG00000011454</t>
  </si>
  <si>
    <t>ENSG00000011485</t>
  </si>
  <si>
    <t>ENSG00000012061</t>
  </si>
  <si>
    <t>ENSG00000012817</t>
  </si>
  <si>
    <t>ENST00000317961</t>
  </si>
  <si>
    <t>ENST00000478891</t>
  </si>
  <si>
    <t>ENSG00000012983</t>
  </si>
  <si>
    <t>ENSG00000013275</t>
  </si>
  <si>
    <t>ENSG00000013288</t>
  </si>
  <si>
    <t>ENST00000285599</t>
  </si>
  <si>
    <t>ENST00000505907</t>
  </si>
  <si>
    <t>ENSG00000013364</t>
  </si>
  <si>
    <t>ENSG00000013374</t>
  </si>
  <si>
    <t>ENST00000413040</t>
  </si>
  <si>
    <t>ENST00000568733</t>
  </si>
  <si>
    <t>ENST00000483358</t>
  </si>
  <si>
    <t>ENST00000493588</t>
  </si>
  <si>
    <t>ENST00000480907</t>
  </si>
  <si>
    <t>ENST00000497987</t>
  </si>
  <si>
    <t>ENST00000480714</t>
  </si>
  <si>
    <t>ENSG00000013375</t>
  </si>
  <si>
    <t>ENSG00000013441</t>
  </si>
  <si>
    <t>ENSG00000013561</t>
  </si>
  <si>
    <t>ENSG00000013573</t>
  </si>
  <si>
    <t>ENST00000536580</t>
  </si>
  <si>
    <t>ENST00000543511</t>
  </si>
  <si>
    <t>ENST00000539699</t>
  </si>
  <si>
    <t>ENST00000538740</t>
  </si>
  <si>
    <t>ENST00000542777</t>
  </si>
  <si>
    <t>ENST00000537136</t>
  </si>
  <si>
    <t>ENST00000435753</t>
  </si>
  <si>
    <t>ENST00000535158</t>
  </si>
  <si>
    <t>ENST00000542242</t>
  </si>
  <si>
    <t>ENSG00000013583</t>
  </si>
  <si>
    <t>ENSG00000013725</t>
  </si>
  <si>
    <t>ENST00000313421</t>
  </si>
  <si>
    <t>ENST00000545320</t>
  </si>
  <si>
    <t>ENST00000433107</t>
  </si>
  <si>
    <t>ENST00000452451</t>
  </si>
  <si>
    <t>ENST00000352009</t>
  </si>
  <si>
    <t>ENST00000538288</t>
  </si>
  <si>
    <t>ENST00000541964</t>
  </si>
  <si>
    <t>ENST00000538611</t>
  </si>
  <si>
    <t>ENST00000419282</t>
  </si>
  <si>
    <t>ENST00000505761</t>
  </si>
  <si>
    <t>ENSG00000013810</t>
  </si>
  <si>
    <t>ENSG00000014138</t>
  </si>
  <si>
    <t>ENSG00000014216</t>
  </si>
  <si>
    <t>ENSG00000014641</t>
  </si>
  <si>
    <t>ENSG00000014824</t>
  </si>
  <si>
    <t>ENSG00000014919</t>
  </si>
  <si>
    <t>ENST00000370483</t>
  </si>
  <si>
    <t>ENST00000016171</t>
  </si>
  <si>
    <t>ENST00000497381</t>
  </si>
  <si>
    <t>ENSG00000015153</t>
  </si>
  <si>
    <t>ENSG00000015171</t>
  </si>
  <si>
    <t>ENST00000381591</t>
  </si>
  <si>
    <t>ENST00000558098</t>
  </si>
  <si>
    <t>ENST00000488275</t>
  </si>
  <si>
    <t>ENST00000381607</t>
  </si>
  <si>
    <t>ENSG00000015285</t>
  </si>
  <si>
    <t>ENSG00000015475</t>
  </si>
  <si>
    <t>ENSG00000015532</t>
  </si>
  <si>
    <t>ENST00000017003</t>
  </si>
  <si>
    <t>ENST00000574840</t>
  </si>
  <si>
    <t>ENST00000571021</t>
  </si>
  <si>
    <t>ENSG00000015676</t>
  </si>
  <si>
    <t>ENST00000497978</t>
  </si>
  <si>
    <t>ENSG00000017260</t>
  </si>
  <si>
    <t>ENST00000428331</t>
  </si>
  <si>
    <t>ENST00000359644</t>
  </si>
  <si>
    <t>ENST00000504612</t>
  </si>
  <si>
    <t>ENST00000513636</t>
  </si>
  <si>
    <t>ENST00000514654</t>
  </si>
  <si>
    <t>ENST00000510774</t>
  </si>
  <si>
    <t>ENSG00000018510</t>
  </si>
  <si>
    <t>ENSG00000019582</t>
  </si>
  <si>
    <t>ENST00000377795</t>
  </si>
  <si>
    <t>ENST00000353334</t>
  </si>
  <si>
    <t>ENST00000518797</t>
  </si>
  <si>
    <t>ENST00000524315</t>
  </si>
  <si>
    <t>ENST00000009530</t>
  </si>
  <si>
    <t>ENST00000517752</t>
  </si>
  <si>
    <t>ENST00000522153</t>
  </si>
  <si>
    <t>ENSG00000020129</t>
  </si>
  <si>
    <t>ENST00000356090</t>
  </si>
  <si>
    <t>ENST00000373243</t>
  </si>
  <si>
    <t>ENST00000459931</t>
  </si>
  <si>
    <t>ENSG00000020256</t>
  </si>
  <si>
    <t>ENST00000361387</t>
  </si>
  <si>
    <t>ENST00000216923</t>
  </si>
  <si>
    <t>ENSG00000020426</t>
  </si>
  <si>
    <t>ENST00000261245</t>
  </si>
  <si>
    <t>ENST00000556764</t>
  </si>
  <si>
    <t>ENST00000554641</t>
  </si>
  <si>
    <t>ENSG00000020633</t>
  </si>
  <si>
    <t>ENSG00000020922</t>
  </si>
  <si>
    <t>ENSG00000021300</t>
  </si>
  <si>
    <t>ENST00000227214</t>
  </si>
  <si>
    <t>ENST00000538227</t>
  </si>
  <si>
    <t>ENST00000541760</t>
  </si>
  <si>
    <t>ENST00000535129</t>
  </si>
  <si>
    <t>ENST00000426191</t>
  </si>
  <si>
    <t>ENST00000540157</t>
  </si>
  <si>
    <t>ENST00000545106</t>
  </si>
  <si>
    <t>ENSG00000021776</t>
  </si>
  <si>
    <t>ENSG00000022267</t>
  </si>
  <si>
    <t>ENST00000370690</t>
  </si>
  <si>
    <t>ENST00000543669</t>
  </si>
  <si>
    <t>ENST00000449474</t>
  </si>
  <si>
    <t>ENSG00000022277</t>
  </si>
  <si>
    <t>ENSG00000022840</t>
  </si>
  <si>
    <t>ENST00000543675</t>
  </si>
  <si>
    <t>ENSG00000023228</t>
  </si>
  <si>
    <t>ENST00000233190</t>
  </si>
  <si>
    <t>ENST00000498520</t>
  </si>
  <si>
    <t>ENSG00000023330</t>
  </si>
  <si>
    <t>ENST00000469224</t>
  </si>
  <si>
    <t>ENST00000484952</t>
  </si>
  <si>
    <t>ENST00000459884</t>
  </si>
  <si>
    <t>ENSG00000023445</t>
  </si>
  <si>
    <t>ENSG00000023697</t>
  </si>
  <si>
    <t>ENSG00000023734</t>
  </si>
  <si>
    <t>ENSG00000023892</t>
  </si>
  <si>
    <t>ENSG00000023902</t>
  </si>
  <si>
    <t>ENST00000369124</t>
  </si>
  <si>
    <t>ENST00000479194</t>
  </si>
  <si>
    <t>ENST00000492304</t>
  </si>
  <si>
    <t>ENST00000477309</t>
  </si>
  <si>
    <t>ENST00000485470</t>
  </si>
  <si>
    <t>ENSG00000024048</t>
  </si>
  <si>
    <t>ENST00000372899</t>
  </si>
  <si>
    <t>ENST00000372901</t>
  </si>
  <si>
    <t>ENSG00000025770</t>
  </si>
  <si>
    <t>ENST00000420993</t>
  </si>
  <si>
    <t>ENST00000395698</t>
  </si>
  <si>
    <t>ENST00000395701</t>
  </si>
  <si>
    <t>ENST00000299821</t>
  </si>
  <si>
    <t>ENST00000522048</t>
  </si>
  <si>
    <t>ENSG00000026025</t>
  </si>
  <si>
    <t>ENSG00000026297</t>
  </si>
  <si>
    <t>ENSG00000026508</t>
  </si>
  <si>
    <t>ENST00000263398</t>
  </si>
  <si>
    <t>ENST00000526025</t>
  </si>
  <si>
    <t>ENST00000526669</t>
  </si>
  <si>
    <t>ENST00000434472</t>
  </si>
  <si>
    <t>ENST00000442151</t>
  </si>
  <si>
    <t>ENST00000525211</t>
  </si>
  <si>
    <t>ENST00000279452</t>
  </si>
  <si>
    <t>ENST00000531118</t>
  </si>
  <si>
    <t>ENST00000534296</t>
  </si>
  <si>
    <t>ENST00000525688</t>
  </si>
  <si>
    <t>ENST00000525241</t>
  </si>
  <si>
    <t>ENST00000528922</t>
  </si>
  <si>
    <t>ENST00000532339</t>
  </si>
  <si>
    <t>ENST00000527326</t>
  </si>
  <si>
    <t>ENST00000531141</t>
  </si>
  <si>
    <t>ENSG00000026950</t>
  </si>
  <si>
    <t>ENSG00000027001</t>
  </si>
  <si>
    <t>ENSG00000027075</t>
  </si>
  <si>
    <t>ENSG00000027869</t>
  </si>
  <si>
    <t>ENST00000368198</t>
  </si>
  <si>
    <t>ENST00000368199</t>
  </si>
  <si>
    <t>ENST00000468744</t>
  </si>
  <si>
    <t>ENST00000486350</t>
  </si>
  <si>
    <t>ENST00000495306</t>
  </si>
  <si>
    <t>ENSG00000028277</t>
  </si>
  <si>
    <t>ENST00000389341</t>
  </si>
  <si>
    <t>ENST00000529952</t>
  </si>
  <si>
    <t>ENST00000598842</t>
  </si>
  <si>
    <t>ENST00000528894</t>
  </si>
  <si>
    <t>ENST00000530982</t>
  </si>
  <si>
    <t>ENST00000558596</t>
  </si>
  <si>
    <t>ENSG00000028528</t>
  </si>
  <si>
    <t>ENSG00000028839</t>
  </si>
  <si>
    <t>ENST00000367871</t>
  </si>
  <si>
    <t>ENST00000237264</t>
  </si>
  <si>
    <t>ENSG00000029639</t>
  </si>
  <si>
    <t>ENSG00000029725</t>
  </si>
  <si>
    <t>ENSG00000030066</t>
  </si>
  <si>
    <t>ENSG00000030582</t>
  </si>
  <si>
    <t>ENSG00000031698</t>
  </si>
  <si>
    <t>ENSG00000031823</t>
  </si>
  <si>
    <t>ENSG00000032389</t>
  </si>
  <si>
    <t>ENSG00000032444</t>
  </si>
  <si>
    <t>ENST00000545201</t>
  </si>
  <si>
    <t>ENST00000602191</t>
  </si>
  <si>
    <t>ENST00000598462</t>
  </si>
  <si>
    <t>ENST00000599311</t>
  </si>
  <si>
    <t>ENST00000595176</t>
  </si>
  <si>
    <t>ENST00000595889</t>
  </si>
  <si>
    <t>ENST00000599951</t>
  </si>
  <si>
    <t>ENST00000595352</t>
  </si>
  <si>
    <t>ENST00000597202</t>
  </si>
  <si>
    <t>ENSG00000033030</t>
  </si>
  <si>
    <t>ENSG00000033050</t>
  </si>
  <si>
    <t>ENSG00000033178</t>
  </si>
  <si>
    <t>ENSG00000033800</t>
  </si>
  <si>
    <t>ENSG00000034152</t>
  </si>
  <si>
    <t>ENSG00000034533</t>
  </si>
  <si>
    <t>ENST00000514044</t>
  </si>
  <si>
    <t>ENST00000264992</t>
  </si>
  <si>
    <t>ENSG00000034693</t>
  </si>
  <si>
    <t>ENSG00000034713</t>
  </si>
  <si>
    <t>ENSG00000035141</t>
  </si>
  <si>
    <t>ENSG00000035681</t>
  </si>
  <si>
    <t>ENSG00000035687</t>
  </si>
  <si>
    <t>ENSG00000035928</t>
  </si>
  <si>
    <t>ENST00000349703</t>
  </si>
  <si>
    <t>ENST00000381897</t>
  </si>
  <si>
    <t>ENST00000514572</t>
  </si>
  <si>
    <t>ENST00000505077</t>
  </si>
  <si>
    <t>ENST00000512726</t>
  </si>
  <si>
    <t>ENSG00000036054</t>
  </si>
  <si>
    <t>ENST00000344949</t>
  </si>
  <si>
    <t>ENST00000394144</t>
  </si>
  <si>
    <t>ENST00000484231</t>
  </si>
  <si>
    <t>ENST00000496167</t>
  </si>
  <si>
    <t>ENST00000471273</t>
  </si>
  <si>
    <t>ENSG00000036257</t>
  </si>
  <si>
    <t>ENST00000264414</t>
  </si>
  <si>
    <t>ENST00000497715</t>
  </si>
  <si>
    <t>ENST00000487558</t>
  </si>
  <si>
    <t>ENST00000481135</t>
  </si>
  <si>
    <t>ENST00000484081</t>
  </si>
  <si>
    <t>ENST00000344951</t>
  </si>
  <si>
    <t>ENSG00000036549</t>
  </si>
  <si>
    <t>ENST00000481346</t>
  </si>
  <si>
    <t>ENST00000463166</t>
  </si>
  <si>
    <t>ENST00000469944</t>
  </si>
  <si>
    <t>ENSG00000037474</t>
  </si>
  <si>
    <t>ENSG00000037637</t>
  </si>
  <si>
    <t>ENST00000375592</t>
  </si>
  <si>
    <t>ENST00000456164</t>
  </si>
  <si>
    <t>ENST00000478089</t>
  </si>
  <si>
    <t>ENSG00000037897</t>
  </si>
  <si>
    <t>ENSG00000038002</t>
  </si>
  <si>
    <t>ENST00000264595</t>
  </si>
  <si>
    <t>ENST00000511231</t>
  </si>
  <si>
    <t>ENSG00000038219</t>
  </si>
  <si>
    <t>ENSG00000038274</t>
  </si>
  <si>
    <t>ENSG00000038358</t>
  </si>
  <si>
    <t>ENSG00000038532</t>
  </si>
  <si>
    <t>ENSG00000039123</t>
  </si>
  <si>
    <t>ENSG00000039523</t>
  </si>
  <si>
    <t>ENST00000564616</t>
  </si>
  <si>
    <t>ENST00000565190</t>
  </si>
  <si>
    <t>ENST00000565679</t>
  </si>
  <si>
    <t>ENSG00000039650</t>
  </si>
  <si>
    <t>ENSG00000040275</t>
  </si>
  <si>
    <t>ENST00000265295</t>
  </si>
  <si>
    <t>ENST00000503209</t>
  </si>
  <si>
    <t>ENST00000508837</t>
  </si>
  <si>
    <t>ENSG00000040341</t>
  </si>
  <si>
    <t>ENST00000524300</t>
  </si>
  <si>
    <t>ENST00000523533</t>
  </si>
  <si>
    <t>ENST00000355780</t>
  </si>
  <si>
    <t>ENST00000519961</t>
  </si>
  <si>
    <t>ENST00000524104</t>
  </si>
  <si>
    <t>ENST00000524113</t>
  </si>
  <si>
    <t>ENSG00000040633</t>
  </si>
  <si>
    <t>ENST00000320316</t>
  </si>
  <si>
    <t>ENST00000571362</t>
  </si>
  <si>
    <t>ENST00000570753</t>
  </si>
  <si>
    <t>ENSG00000041357</t>
  </si>
  <si>
    <t>ENSG00000041802</t>
  </si>
  <si>
    <t>ENSG00000042088</t>
  </si>
  <si>
    <t>ENSG00000042429</t>
  </si>
  <si>
    <t>ENSG00000042445</t>
  </si>
  <si>
    <t>ENST00000438611</t>
  </si>
  <si>
    <t>ENSG00000042753</t>
  </si>
  <si>
    <t>ENSG00000043143</t>
  </si>
  <si>
    <t>ENST00000361895</t>
  </si>
  <si>
    <t>ENST00000470876</t>
  </si>
  <si>
    <t>ENSG00000043462</t>
  </si>
  <si>
    <t>ENSG00000043514</t>
  </si>
  <si>
    <t>ENST00000316891</t>
  </si>
  <si>
    <t>ENST00000467774</t>
  </si>
  <si>
    <t>ENST00000462243</t>
  </si>
  <si>
    <t>ENSG00000044115</t>
  </si>
  <si>
    <t>ENSG00000044446</t>
  </si>
  <si>
    <t>ENSG00000047188</t>
  </si>
  <si>
    <t>ENSG00000047249</t>
  </si>
  <si>
    <t>ENST00000518072</t>
  </si>
  <si>
    <t>ENST00000359530</t>
  </si>
  <si>
    <t>ENST00000521707</t>
  </si>
  <si>
    <t>ENST00000521377</t>
  </si>
  <si>
    <t>ENST00000521335</t>
  </si>
  <si>
    <t>ENSG00000047315</t>
  </si>
  <si>
    <t>ENSG00000047365</t>
  </si>
  <si>
    <t>ENSG00000047410</t>
  </si>
  <si>
    <t>ENSG00000047579</t>
  </si>
  <si>
    <t>ENSG00000047621</t>
  </si>
  <si>
    <t>ENST00000261250</t>
  </si>
  <si>
    <t>ENST00000535887</t>
  </si>
  <si>
    <t>ENST00000535030</t>
  </si>
  <si>
    <t>ENSG00000047849</t>
  </si>
  <si>
    <t>ENSG00000047932</t>
  </si>
  <si>
    <t>ENST00000368498</t>
  </si>
  <si>
    <t>ENST00000052569</t>
  </si>
  <si>
    <t>ENST00000535237</t>
  </si>
  <si>
    <t>ENSG00000048162</t>
  </si>
  <si>
    <t>ENSG00000048392</t>
  </si>
  <si>
    <t>ENSG00000048405</t>
  </si>
  <si>
    <t>ENSG00000048707</t>
  </si>
  <si>
    <t>ENST00000476169</t>
  </si>
  <si>
    <t>ENST00000487188</t>
  </si>
  <si>
    <t>ENST00000473099</t>
  </si>
  <si>
    <t>ENSG00000048740</t>
  </si>
  <si>
    <t>ENST00000608830</t>
  </si>
  <si>
    <t>ENST00000609870</t>
  </si>
  <si>
    <t>ENSG00000048828</t>
  </si>
  <si>
    <t>ENSG00000048991</t>
  </si>
  <si>
    <t>ENST00000463230</t>
  </si>
  <si>
    <t>ENST00000409478</t>
  </si>
  <si>
    <t>ENST00000264160</t>
  </si>
  <si>
    <t>ENST00000456040</t>
  </si>
  <si>
    <t>ENST00000425804</t>
  </si>
  <si>
    <t>ENST00000487294</t>
  </si>
  <si>
    <t>ENST00000483065</t>
  </si>
  <si>
    <t>ENSG00000049167</t>
  </si>
  <si>
    <t>ENSG00000049449</t>
  </si>
  <si>
    <t>ENSG00000049618</t>
  </si>
  <si>
    <t>ENSG00000049860</t>
  </si>
  <si>
    <t>ENSG00000050405</t>
  </si>
  <si>
    <t>ENST00000547825</t>
  </si>
  <si>
    <t>ENST00000552823</t>
  </si>
  <si>
    <t>ENST00000552783</t>
  </si>
  <si>
    <t>ENST00000549064</t>
  </si>
  <si>
    <t>ENST00000552045</t>
  </si>
  <si>
    <t>ENST00000551486</t>
  </si>
  <si>
    <t>ENSG00000050426</t>
  </si>
  <si>
    <t>ENST00000547318</t>
  </si>
  <si>
    <t>ENST00000262055</t>
  </si>
  <si>
    <t>ENST00000549340</t>
  </si>
  <si>
    <t>ENST00000548390</t>
  </si>
  <si>
    <t>ENST00000546992</t>
  </si>
  <si>
    <t>ENST00000550715</t>
  </si>
  <si>
    <t>ENST00000547877</t>
  </si>
  <si>
    <t>ENST00000550100</t>
  </si>
  <si>
    <t>ENST00000380135</t>
  </si>
  <si>
    <t>ENST00000552645</t>
  </si>
  <si>
    <t>ENST00000552433</t>
  </si>
  <si>
    <t>ENST00000546814</t>
  </si>
  <si>
    <t>ENSG00000050748</t>
  </si>
  <si>
    <t>ENST00000452135</t>
  </si>
  <si>
    <t>ENST00000393360</t>
  </si>
  <si>
    <t>ENST00000520212</t>
  </si>
  <si>
    <t>ENST00000425491</t>
  </si>
  <si>
    <t>ENST00000397072</t>
  </si>
  <si>
    <t>ENSG00000051009</t>
  </si>
  <si>
    <t>ENSG00000051108</t>
  </si>
  <si>
    <t>ENST00000439977</t>
  </si>
  <si>
    <t>ENST00000562914</t>
  </si>
  <si>
    <t>ENST00000568676</t>
  </si>
  <si>
    <t>ENST00000569569</t>
  </si>
  <si>
    <t>ENST00000300302</t>
  </si>
  <si>
    <t>ENST00000566550</t>
  </si>
  <si>
    <t>ENST00000563781</t>
  </si>
  <si>
    <t>ENST00000564678</t>
  </si>
  <si>
    <t>ENST00000567944</t>
  </si>
  <si>
    <t>ENST00000568814</t>
  </si>
  <si>
    <t>ENSG00000051382</t>
  </si>
  <si>
    <t>ENSG00000051596</t>
  </si>
  <si>
    <t>ENST00000265097</t>
  </si>
  <si>
    <t>ENST00000513482</t>
  </si>
  <si>
    <t>ENST00000513118</t>
  </si>
  <si>
    <t>ENSG00000052723</t>
  </si>
  <si>
    <t>ENSG00000052749</t>
  </si>
  <si>
    <t>ENSG00000053254</t>
  </si>
  <si>
    <t>ENST00000345097</t>
  </si>
  <si>
    <t>ENST00000557258</t>
  </si>
  <si>
    <t>ENST00000553840</t>
  </si>
  <si>
    <t>ENST00000555855</t>
  </si>
  <si>
    <t>ENST00000261302</t>
  </si>
  <si>
    <t>ENSG00000053371</t>
  </si>
  <si>
    <t>ENSG00000053372</t>
  </si>
  <si>
    <t>ENSG00000053770</t>
  </si>
  <si>
    <t>ENSG00000053900</t>
  </si>
  <si>
    <t>ENST00000315368</t>
  </si>
  <si>
    <t>ENST00000505991</t>
  </si>
  <si>
    <t>ENST00000507809</t>
  </si>
  <si>
    <t>ENST00000507925</t>
  </si>
  <si>
    <t>ENST00000503805</t>
  </si>
  <si>
    <t>ENST00000505842</t>
  </si>
  <si>
    <t>ENST00000515848</t>
  </si>
  <si>
    <t>ENST00000506973</t>
  </si>
  <si>
    <t>ENSG00000054116</t>
  </si>
  <si>
    <t>ENSG00000054118</t>
  </si>
  <si>
    <t>ENSG00000054148</t>
  </si>
  <si>
    <t>ENSG00000054219</t>
  </si>
  <si>
    <t>ENSG00000054523</t>
  </si>
  <si>
    <t>ENST00000377093</t>
  </si>
  <si>
    <t>ENST00000497835</t>
  </si>
  <si>
    <t>ENST00000470616</t>
  </si>
  <si>
    <t>ENSG00000054654</t>
  </si>
  <si>
    <t>ENSG00000054965</t>
  </si>
  <si>
    <t>ENST00000356467</t>
  </si>
  <si>
    <t>ENST00000432223</t>
  </si>
  <si>
    <t>ENSG00000054983</t>
  </si>
  <si>
    <t>ENSG00000055044</t>
  </si>
  <si>
    <t>ENSG00000055070</t>
  </si>
  <si>
    <t>ENST00000401088</t>
  </si>
  <si>
    <t>ENST00000471507</t>
  </si>
  <si>
    <t>ENST00000401089</t>
  </si>
  <si>
    <t>ENST00000492354</t>
  </si>
  <si>
    <t>ENSG00000055147</t>
  </si>
  <si>
    <t>ENSG00000055163</t>
  </si>
  <si>
    <t>ENST00000518511</t>
  </si>
  <si>
    <t>ENST00000520942</t>
  </si>
  <si>
    <t>ENST00000520960</t>
  </si>
  <si>
    <t>ENST00000518555</t>
  </si>
  <si>
    <t>ENST00000520424</t>
  </si>
  <si>
    <t>ENST00000522892</t>
  </si>
  <si>
    <t>ENST00000523383</t>
  </si>
  <si>
    <t>ENST00000524058</t>
  </si>
  <si>
    <t>ENST00000519663</t>
  </si>
  <si>
    <t>ENSG00000055208</t>
  </si>
  <si>
    <t>ENSG00000055332</t>
  </si>
  <si>
    <t>ENSG00000055483</t>
  </si>
  <si>
    <t>ENST00000312010</t>
  </si>
  <si>
    <t>ENSG00000055609</t>
  </si>
  <si>
    <t>ENSG00000055917</t>
  </si>
  <si>
    <t>ENST00000338086</t>
  </si>
  <si>
    <t>ENST00000440577</t>
  </si>
  <si>
    <t>ENST00000403432</t>
  </si>
  <si>
    <t>ENST00000319801</t>
  </si>
  <si>
    <t>ENST00000361078</t>
  </si>
  <si>
    <t>ENSG00000056050</t>
  </si>
  <si>
    <t>ENSG00000056097</t>
  </si>
  <si>
    <t>ENSG00000056586</t>
  </si>
  <si>
    <t>ENST00000373670</t>
  </si>
  <si>
    <t>ENST00000454740</t>
  </si>
  <si>
    <t>ENST00000495727</t>
  </si>
  <si>
    <t>ENST00000423239</t>
  </si>
  <si>
    <t>ENST00000335387</t>
  </si>
  <si>
    <t>ENST00000471874</t>
  </si>
  <si>
    <t>ENST00000357244</t>
  </si>
  <si>
    <t>ENSG00000056972</t>
  </si>
  <si>
    <t>ENST00000368761</t>
  </si>
  <si>
    <t>ENST00000528599</t>
  </si>
  <si>
    <t>ENSG00000057608</t>
  </si>
  <si>
    <t>ENSG00000057663</t>
  </si>
  <si>
    <t>ENSG00000057757</t>
  </si>
  <si>
    <t>ENSG00000057935</t>
  </si>
  <si>
    <t>ENST00000407270</t>
  </si>
  <si>
    <t>ENST00000406911</t>
  </si>
  <si>
    <t>ENST00000405094</t>
  </si>
  <si>
    <t>ENST00000490611</t>
  </si>
  <si>
    <t>ENST00000482875</t>
  </si>
  <si>
    <t>ENST00000478602</t>
  </si>
  <si>
    <t>ENSG00000058063</t>
  </si>
  <si>
    <t>ENSG00000058262</t>
  </si>
  <si>
    <t>ENSG00000058272</t>
  </si>
  <si>
    <t>ENST00000450142</t>
  </si>
  <si>
    <t>ENST00000547253</t>
  </si>
  <si>
    <t>ENST00000550351</t>
  </si>
  <si>
    <t>ENST00000548908</t>
  </si>
  <si>
    <t>ENST00000552892</t>
  </si>
  <si>
    <t>ENST00000550369</t>
  </si>
  <si>
    <t>ENST00000551781</t>
  </si>
  <si>
    <t>ENST00000547330</t>
  </si>
  <si>
    <t>ENST00000550007</t>
  </si>
  <si>
    <t>ENST00000547131</t>
  </si>
  <si>
    <t>ENST00000550001</t>
  </si>
  <si>
    <t>ENST00000551191</t>
  </si>
  <si>
    <t>ENSG00000058600</t>
  </si>
  <si>
    <t>ENST00000299853</t>
  </si>
  <si>
    <t>ENST00000564061</t>
  </si>
  <si>
    <t>ENST00000563766</t>
  </si>
  <si>
    <t>ENST00000567022</t>
  </si>
  <si>
    <t>ENST00000569757</t>
  </si>
  <si>
    <t>ENST00000569787</t>
  </si>
  <si>
    <t>ENST00000563282</t>
  </si>
  <si>
    <t>ENST00000565117</t>
  </si>
  <si>
    <t>ENSG00000058668</t>
  </si>
  <si>
    <t>ENST00000357681</t>
  </si>
  <si>
    <t>ENST00000466407</t>
  </si>
  <si>
    <t>ENSG00000058729</t>
  </si>
  <si>
    <t>ENSG00000059378</t>
  </si>
  <si>
    <t>ENSG00000059573</t>
  </si>
  <si>
    <t>ENST00000371224</t>
  </si>
  <si>
    <t>ENST00000371221</t>
  </si>
  <si>
    <t>ENST00000485428</t>
  </si>
  <si>
    <t>ENSG00000059691</t>
  </si>
  <si>
    <t>ENSG00000059758</t>
  </si>
  <si>
    <t>ENST00000261211</t>
  </si>
  <si>
    <t>ENST00000543119</t>
  </si>
  <si>
    <t>ENST00000548422</t>
  </si>
  <si>
    <t>ENST00000549899</t>
  </si>
  <si>
    <t>ENST00000551484</t>
  </si>
  <si>
    <t>ENSG00000059804</t>
  </si>
  <si>
    <t>ENST00000479059</t>
  </si>
  <si>
    <t>ENSG00000060138</t>
  </si>
  <si>
    <t>ENSG00000060237</t>
  </si>
  <si>
    <t>ENST00000535572</t>
  </si>
  <si>
    <t>ENST00000315939</t>
  </si>
  <si>
    <t>ENST00000447667</t>
  </si>
  <si>
    <t>ENST00000540360</t>
  </si>
  <si>
    <t>ENST00000544965</t>
  </si>
  <si>
    <t>ENST00000545285</t>
  </si>
  <si>
    <t>ENST00000574564</t>
  </si>
  <si>
    <t>ENST00000542543</t>
  </si>
  <si>
    <t>ENST00000545055</t>
  </si>
  <si>
    <t>ENST00000542424</t>
  </si>
  <si>
    <t>ENST00000537603</t>
  </si>
  <si>
    <t>ENST00000540885</t>
  </si>
  <si>
    <t>ENSG00000060491</t>
  </si>
  <si>
    <t>ENST00000290291</t>
  </si>
  <si>
    <t>ENST00000370461</t>
  </si>
  <si>
    <t>ENST00000450048</t>
  </si>
  <si>
    <t>ENSG00000060688</t>
  </si>
  <si>
    <t>ENSG00000060971</t>
  </si>
  <si>
    <t>ENSG00000061273</t>
  </si>
  <si>
    <t>ENST00000080059</t>
  </si>
  <si>
    <t>ENST00000354334</t>
  </si>
  <si>
    <t>ENST00000459625</t>
  </si>
  <si>
    <t>ENST00000471235</t>
  </si>
  <si>
    <t>ENST00000491464</t>
  </si>
  <si>
    <t>ENST00000463732</t>
  </si>
  <si>
    <t>ENST00000430670</t>
  </si>
  <si>
    <t>ENST00000417107</t>
  </si>
  <si>
    <t>ENSG00000061936</t>
  </si>
  <si>
    <t>ENSG00000061938</t>
  </si>
  <si>
    <t>ENSG00000062194</t>
  </si>
  <si>
    <t>ENSG00000062485</t>
  </si>
  <si>
    <t>ENSG00000062582</t>
  </si>
  <si>
    <t>ENSG00000062598</t>
  </si>
  <si>
    <t>ENSG00000062650</t>
  </si>
  <si>
    <t>ENSG00000062716</t>
  </si>
  <si>
    <t>ENST00000262291</t>
  </si>
  <si>
    <t>ENST00000588131</t>
  </si>
  <si>
    <t>ENST00000592106</t>
  </si>
  <si>
    <t>ENST00000592790</t>
  </si>
  <si>
    <t>ENST00000587470</t>
  </si>
  <si>
    <t>ENSG00000063046</t>
  </si>
  <si>
    <t>ENSG00000063169</t>
  </si>
  <si>
    <t>ENST00000594866</t>
  </si>
  <si>
    <t>ENST00000602258</t>
  </si>
  <si>
    <t>ENSG00000063177</t>
  </si>
  <si>
    <t>ENSG00000063244</t>
  </si>
  <si>
    <t>ENST00000450554</t>
  </si>
  <si>
    <t>ENST00000308924</t>
  </si>
  <si>
    <t>ENST00000588850</t>
  </si>
  <si>
    <t>ENST00000592867</t>
  </si>
  <si>
    <t>ENST00000590551</t>
  </si>
  <si>
    <t>ENST00000587275</t>
  </si>
  <si>
    <t>ENSG00000063322</t>
  </si>
  <si>
    <t>ENSG00000063438</t>
  </si>
  <si>
    <t>ENST00000316418</t>
  </si>
  <si>
    <t>ENST00000507048</t>
  </si>
  <si>
    <t>ENSG00000063601</t>
  </si>
  <si>
    <t>ENSG00000063854</t>
  </si>
  <si>
    <t>ENST00000565097</t>
  </si>
  <si>
    <t>ENST00000564518</t>
  </si>
  <si>
    <t>ENST00000567190</t>
  </si>
  <si>
    <t>ENST00000569700</t>
  </si>
  <si>
    <t>ENST00000569339</t>
  </si>
  <si>
    <t>ENST00000397356</t>
  </si>
  <si>
    <t>ENSG00000063978</t>
  </si>
  <si>
    <t>ENST00000314289</t>
  </si>
  <si>
    <t>ENST00000509258</t>
  </si>
  <si>
    <t>ENST00000504782</t>
  </si>
  <si>
    <t>ENST00000507784</t>
  </si>
  <si>
    <t>ENST00000541204</t>
  </si>
  <si>
    <t>ENSG00000064012</t>
  </si>
  <si>
    <t>ENSG00000064102</t>
  </si>
  <si>
    <t>ENSG00000064313</t>
  </si>
  <si>
    <t>ENSG00000064419</t>
  </si>
  <si>
    <t>ENST00000471166</t>
  </si>
  <si>
    <t>ENSG00000064489</t>
  </si>
  <si>
    <t>ENSG00000064490</t>
  </si>
  <si>
    <t>ENST00000407360</t>
  </si>
  <si>
    <t>ENST00000543157</t>
  </si>
  <si>
    <t>ENST00000541873</t>
  </si>
  <si>
    <t>ENST00000545522</t>
  </si>
  <si>
    <t>ENST00000543118</t>
  </si>
  <si>
    <t>ENSG00000064601</t>
  </si>
  <si>
    <t>ENST00000372484</t>
  </si>
  <si>
    <t>ENST00000607841</t>
  </si>
  <si>
    <t>ENST00000372459</t>
  </si>
  <si>
    <t>ENST00000485627</t>
  </si>
  <si>
    <t>ENST00000606782</t>
  </si>
  <si>
    <t>ENST00000493522</t>
  </si>
  <si>
    <t>ENST00000480961</t>
  </si>
  <si>
    <t>ENST00000484855</t>
  </si>
  <si>
    <t>ENST00000607187</t>
  </si>
  <si>
    <t>ENSG00000064651</t>
  </si>
  <si>
    <t>ENST00000262461</t>
  </si>
  <si>
    <t>ENST00000504416</t>
  </si>
  <si>
    <t>ENST00000509616</t>
  </si>
  <si>
    <t>ENST00000502849</t>
  </si>
  <si>
    <t>ENSG00000064666</t>
  </si>
  <si>
    <t>ENSG00000064703</t>
  </si>
  <si>
    <t>ENST00000524894</t>
  </si>
  <si>
    <t>ENSG00000064932</t>
  </si>
  <si>
    <t>ENST00000361757</t>
  </si>
  <si>
    <t>ENST00000586109</t>
  </si>
  <si>
    <t>ENST00000592222</t>
  </si>
  <si>
    <t>ENST00000590446</t>
  </si>
  <si>
    <t>ENSG00000064933</t>
  </si>
  <si>
    <t>ENST00000441310</t>
  </si>
  <si>
    <t>ENST00000409985</t>
  </si>
  <si>
    <t>ENST00000420421</t>
  </si>
  <si>
    <t>ENSG00000064961</t>
  </si>
  <si>
    <t>ENST00000488973</t>
  </si>
  <si>
    <t>ENST00000486028</t>
  </si>
  <si>
    <t>ENST00000487894</t>
  </si>
  <si>
    <t>ENST00000464304</t>
  </si>
  <si>
    <t>ENST00000461099</t>
  </si>
  <si>
    <t>ENSG00000065000</t>
  </si>
  <si>
    <t>ENSG00000065029</t>
  </si>
  <si>
    <t>ENST00000491400</t>
  </si>
  <si>
    <t>ENST00000229405</t>
  </si>
  <si>
    <t>ENST00000469195</t>
  </si>
  <si>
    <t>ENST00000486891</t>
  </si>
  <si>
    <t>ENST00000484932</t>
  </si>
  <si>
    <t>ENST00000479226</t>
  </si>
  <si>
    <t>ENST00000498555</t>
  </si>
  <si>
    <t>ENSG00000065057</t>
  </si>
  <si>
    <t>ENST00000219066</t>
  </si>
  <si>
    <t>ENST00000562120</t>
  </si>
  <si>
    <t>ENSG00000065060</t>
  </si>
  <si>
    <t>ENSG00000065150</t>
  </si>
  <si>
    <t>ENSG00000065154</t>
  </si>
  <si>
    <t>ENSG00000065183</t>
  </si>
  <si>
    <t>ENSG00000065243</t>
  </si>
  <si>
    <t>ENST00000316005</t>
  </si>
  <si>
    <t>ENST00000370521</t>
  </si>
  <si>
    <t>ENST00000495119</t>
  </si>
  <si>
    <t>ENSG00000065268</t>
  </si>
  <si>
    <t>ENSG00000065357</t>
  </si>
  <si>
    <t>ENST00000550957</t>
  </si>
  <si>
    <t>ENSG00000065413</t>
  </si>
  <si>
    <t>ENSG00000065427</t>
  </si>
  <si>
    <t>ENSG00000065457</t>
  </si>
  <si>
    <t>ENST00000568478</t>
  </si>
  <si>
    <t>ENST00000564657</t>
  </si>
  <si>
    <t>ENSG00000065485</t>
  </si>
  <si>
    <t>ENSG00000065518</t>
  </si>
  <si>
    <t>ENSG00000065526</t>
  </si>
  <si>
    <t>ENSG00000065548</t>
  </si>
  <si>
    <t>ENSG00000065559</t>
  </si>
  <si>
    <t>ENSG00000065613</t>
  </si>
  <si>
    <t>ENST00000335753</t>
  </si>
  <si>
    <t>ENST00000369755</t>
  </si>
  <si>
    <t>ENST00000474260</t>
  </si>
  <si>
    <t>ENSG00000065802</t>
  </si>
  <si>
    <t>ENSG00000065809</t>
  </si>
  <si>
    <t>ENSG00000065882</t>
  </si>
  <si>
    <t>ENST00000261439</t>
  </si>
  <si>
    <t>ENST00000402522</t>
  </si>
  <si>
    <t>ENST00000491553</t>
  </si>
  <si>
    <t>ENST00000475531</t>
  </si>
  <si>
    <t>ENST00000492180</t>
  </si>
  <si>
    <t>ENSG00000065911</t>
  </si>
  <si>
    <t>ENST00000470592</t>
  </si>
  <si>
    <t>ENSG00000065970</t>
  </si>
  <si>
    <t>ENST00000162391</t>
  </si>
  <si>
    <t>ENST00000428177</t>
  </si>
  <si>
    <t>ENSG00000065978</t>
  </si>
  <si>
    <t>ENSG00000066084</t>
  </si>
  <si>
    <t>ENSG00000066117</t>
  </si>
  <si>
    <t>ENST00000394963</t>
  </si>
  <si>
    <t>ENST00000381513</t>
  </si>
  <si>
    <t>ENST00000551966</t>
  </si>
  <si>
    <t>ENST00000547247</t>
  </si>
  <si>
    <t>ENST00000547637</t>
  </si>
  <si>
    <t>ENST00000550280</t>
  </si>
  <si>
    <t>ENST00000551352</t>
  </si>
  <si>
    <t>ENSG00000066135</t>
  </si>
  <si>
    <t>ENST00000372396</t>
  </si>
  <si>
    <t>ENST00000472265</t>
  </si>
  <si>
    <t>ENST00000481296</t>
  </si>
  <si>
    <t>ENSG00000066136</t>
  </si>
  <si>
    <t>ENST00000467203</t>
  </si>
  <si>
    <t>ENST00000424419</t>
  </si>
  <si>
    <t>ENST00000447388</t>
  </si>
  <si>
    <t>ENST00000425457</t>
  </si>
  <si>
    <t>ENST00000308733</t>
  </si>
  <si>
    <t>ENST00000525349</t>
  </si>
  <si>
    <t>ENST00000488635</t>
  </si>
  <si>
    <t>ENSG00000066294</t>
  </si>
  <si>
    <t>ENST00000368054</t>
  </si>
  <si>
    <t>ENST00000466767</t>
  </si>
  <si>
    <t>ENST00000360056</t>
  </si>
  <si>
    <t>ENST00000368047</t>
  </si>
  <si>
    <t>ENSG00000066422</t>
  </si>
  <si>
    <t>ENSG00000066427</t>
  </si>
  <si>
    <t>ENST00000558190</t>
  </si>
  <si>
    <t>ENST00000359366</t>
  </si>
  <si>
    <t>ENST00000532032</t>
  </si>
  <si>
    <t>ENST00000507965</t>
  </si>
  <si>
    <t>ENST00000454964</t>
  </si>
  <si>
    <t>ENST00000393287</t>
  </si>
  <si>
    <t>ENSG00000066455</t>
  </si>
  <si>
    <t>ENSG00000066651</t>
  </si>
  <si>
    <t>ENST00000453993</t>
  </si>
  <si>
    <t>ENST00000334379</t>
  </si>
  <si>
    <t>ENSG00000066654</t>
  </si>
  <si>
    <t>ENSG00000066739</t>
  </si>
  <si>
    <t>ENSG00000066777</t>
  </si>
  <si>
    <t>ENSG00000066855</t>
  </si>
  <si>
    <t>ENST00000262146</t>
  </si>
  <si>
    <t>ENST00000518352</t>
  </si>
  <si>
    <t>ENST00000520398</t>
  </si>
  <si>
    <t>ENSG00000066926</t>
  </si>
  <si>
    <t>ENSG00000066933</t>
  </si>
  <si>
    <t>ENST00000564699</t>
  </si>
  <si>
    <t>ENST00000563071</t>
  </si>
  <si>
    <t>ENST00000563542</t>
  </si>
  <si>
    <t>ENST00000568781</t>
  </si>
  <si>
    <t>ENST00000565528</t>
  </si>
  <si>
    <t>ENST00000563925</t>
  </si>
  <si>
    <t>ENST00000567560</t>
  </si>
  <si>
    <t>ENSG00000067048</t>
  </si>
  <si>
    <t>ENSG00000067057</t>
  </si>
  <si>
    <t>ENSG00000067064</t>
  </si>
  <si>
    <t>ENSG00000067066</t>
  </si>
  <si>
    <t>ENST00000264052</t>
  </si>
  <si>
    <t>ENST00000409341</t>
  </si>
  <si>
    <t>ENST00000409112</t>
  </si>
  <si>
    <t>ENST00000340126</t>
  </si>
  <si>
    <t>ENST00000470940</t>
  </si>
  <si>
    <t>ENST00000466710</t>
  </si>
  <si>
    <t>ENST00000413284</t>
  </si>
  <si>
    <t>ENST00000452345</t>
  </si>
  <si>
    <t>ENST00000462751</t>
  </si>
  <si>
    <t>ENST00000494508</t>
  </si>
  <si>
    <t>ENST00000459786</t>
  </si>
  <si>
    <t>ENST00000494901</t>
  </si>
  <si>
    <t>ENST00000488180</t>
  </si>
  <si>
    <t>ENSG00000067225</t>
  </si>
  <si>
    <t>ENST00000567118</t>
  </si>
  <si>
    <t>ENST00000569857</t>
  </si>
  <si>
    <t>ENSG00000067334</t>
  </si>
  <si>
    <t>ENSG00000067369</t>
  </si>
  <si>
    <t>ENSG00000067560</t>
  </si>
  <si>
    <t>ENSG00000067596</t>
  </si>
  <si>
    <t>ENSG00000067606</t>
  </si>
  <si>
    <t>ENST00000378567</t>
  </si>
  <si>
    <t>ENST00000505322</t>
  </si>
  <si>
    <t>ENSG00000067646</t>
  </si>
  <si>
    <t>ENST00000383052</t>
  </si>
  <si>
    <t>ENST00000443793</t>
  </si>
  <si>
    <t>ENST00000478783</t>
  </si>
  <si>
    <t>ENST00000155093</t>
  </si>
  <si>
    <t>ENSG00000067829</t>
  </si>
  <si>
    <t>ENSG00000067900</t>
  </si>
  <si>
    <t>ENSG00000067955</t>
  </si>
  <si>
    <t>ENSG00000067992</t>
  </si>
  <si>
    <t>ENSG00000068024</t>
  </si>
  <si>
    <t>ENSG00000068028</t>
  </si>
  <si>
    <t>ENST00000327761</t>
  </si>
  <si>
    <t>ENST00000478619</t>
  </si>
  <si>
    <t>ENSG00000068079</t>
  </si>
  <si>
    <t>ENSG00000068120</t>
  </si>
  <si>
    <t>ENSG00000068305</t>
  </si>
  <si>
    <t>ENST00000354410</t>
  </si>
  <si>
    <t>ENST00000559036</t>
  </si>
  <si>
    <t>ENST00000558983</t>
  </si>
  <si>
    <t>ENST00000561125</t>
  </si>
  <si>
    <t>ENSG00000068308</t>
  </si>
  <si>
    <t>ENST00000455452</t>
  </si>
  <si>
    <t>ENST00000156084</t>
  </si>
  <si>
    <t>ENST00000376488</t>
  </si>
  <si>
    <t>ENST00000396743</t>
  </si>
  <si>
    <t>ENSG00000068323</t>
  </si>
  <si>
    <t>ENSG00000068354</t>
  </si>
  <si>
    <t>ENSG00000068366</t>
  </si>
  <si>
    <t>ENST00000505075</t>
  </si>
  <si>
    <t>ENST00000348502</t>
  </si>
  <si>
    <t>ENST00000504383</t>
  </si>
  <si>
    <t>ENSG00000068400</t>
  </si>
  <si>
    <t>ENSG00000068438</t>
  </si>
  <si>
    <t>ENST00000019019</t>
  </si>
  <si>
    <t>ENST00000348411</t>
  </si>
  <si>
    <t>ENST00000487353</t>
  </si>
  <si>
    <t>ENST00000496365</t>
  </si>
  <si>
    <t>ENST00000466371</t>
  </si>
  <si>
    <t>ENST00000467954</t>
  </si>
  <si>
    <t>ENSG00000068654</t>
  </si>
  <si>
    <t>ENSG00000068724</t>
  </si>
  <si>
    <t>ENSG00000068831</t>
  </si>
  <si>
    <t>ENST00000377494</t>
  </si>
  <si>
    <t>ENST00000488071</t>
  </si>
  <si>
    <t>ENST00000497441</t>
  </si>
  <si>
    <t>ENST00000465852</t>
  </si>
  <si>
    <t>ENST00000394430</t>
  </si>
  <si>
    <t>ENSG00000068878</t>
  </si>
  <si>
    <t>ENST00000478731</t>
  </si>
  <si>
    <t>ENSG00000068903</t>
  </si>
  <si>
    <t>ENSG00000068912</t>
  </si>
  <si>
    <t>ENST00000185150</t>
  </si>
  <si>
    <t>ENST00000378239</t>
  </si>
  <si>
    <t>ENSG00000069248</t>
  </si>
  <si>
    <t>ENSG00000069329</t>
  </si>
  <si>
    <t>ENSG00000069345</t>
  </si>
  <si>
    <t>ENSG00000069424</t>
  </si>
  <si>
    <t>ENSG00000069493</t>
  </si>
  <si>
    <t>ENST00000487752</t>
  </si>
  <si>
    <t>ENST00000261340</t>
  </si>
  <si>
    <t>ENST00000290855</t>
  </si>
  <si>
    <t>ENST00000492359</t>
  </si>
  <si>
    <t>ENST00000479877</t>
  </si>
  <si>
    <t>ENST00000545918</t>
  </si>
  <si>
    <t>ENST00000543300</t>
  </si>
  <si>
    <t>ENST00000261339</t>
  </si>
  <si>
    <t>ENST00000476198</t>
  </si>
  <si>
    <t>ENST00000430909</t>
  </si>
  <si>
    <t>ENST00000544322</t>
  </si>
  <si>
    <t>ENST00000460309</t>
  </si>
  <si>
    <t>ENSG00000069849</t>
  </si>
  <si>
    <t>ENSG00000069869</t>
  </si>
  <si>
    <t>ENST00000508342</t>
  </si>
  <si>
    <t>ENST00000435532</t>
  </si>
  <si>
    <t>ENSG00000069974</t>
  </si>
  <si>
    <t>ENSG00000069998</t>
  </si>
  <si>
    <t>ENST00000336737</t>
  </si>
  <si>
    <t>ENST00000477157</t>
  </si>
  <si>
    <t>ENST00000480451</t>
  </si>
  <si>
    <t>ENSG00000070010</t>
  </si>
  <si>
    <t>ENSG00000070190</t>
  </si>
  <si>
    <t>ENSG00000070366</t>
  </si>
  <si>
    <t>ENSG00000070367</t>
  </si>
  <si>
    <t>ENSG00000070423</t>
  </si>
  <si>
    <t>ENST00000292363</t>
  </si>
  <si>
    <t>ENST00000590885</t>
  </si>
  <si>
    <t>ENST00000586749</t>
  </si>
  <si>
    <t>ENST00000591394</t>
  </si>
  <si>
    <t>ENST00000592626</t>
  </si>
  <si>
    <t>ENSG00000070444</t>
  </si>
  <si>
    <t>ENSG00000070476</t>
  </si>
  <si>
    <t>ENST00000514463</t>
  </si>
  <si>
    <t>ENST00000336332</t>
  </si>
  <si>
    <t>ENSG00000070501</t>
  </si>
  <si>
    <t>ENSG00000070610</t>
  </si>
  <si>
    <t>ENST00000378088</t>
  </si>
  <si>
    <t>ENST00000467252</t>
  </si>
  <si>
    <t>ENST00000486797</t>
  </si>
  <si>
    <t>ENST00000488292</t>
  </si>
  <si>
    <t>ENST00000485259</t>
  </si>
  <si>
    <t>ENST00000489025</t>
  </si>
  <si>
    <t>ENSG00000070669</t>
  </si>
  <si>
    <t>ENST00000394308</t>
  </si>
  <si>
    <t>ENST00000487714</t>
  </si>
  <si>
    <t>ENST00000462436</t>
  </si>
  <si>
    <t>ENST00000495255</t>
  </si>
  <si>
    <t>ENST00000448127</t>
  </si>
  <si>
    <t>ENSG00000070718</t>
  </si>
  <si>
    <t>ENSG00000070756</t>
  </si>
  <si>
    <t>ENSG00000070761</t>
  </si>
  <si>
    <t>ENSG00000070770</t>
  </si>
  <si>
    <t>ENSG00000070785</t>
  </si>
  <si>
    <t>ENSG00000070831</t>
  </si>
  <si>
    <t>ENST00000344548</t>
  </si>
  <si>
    <t>ENST00000315554</t>
  </si>
  <si>
    <t>ENST00000411827</t>
  </si>
  <si>
    <t>ENST00000400259</t>
  </si>
  <si>
    <t>ENSG00000070882</t>
  </si>
  <si>
    <t>ENST00000313367</t>
  </si>
  <si>
    <t>ENST00000459987</t>
  </si>
  <si>
    <t>ENST00000461835</t>
  </si>
  <si>
    <t>ENSG00000070950</t>
  </si>
  <si>
    <t>ENSG00000070961</t>
  </si>
  <si>
    <t>ENST00000428670</t>
  </si>
  <si>
    <t>ENST00000393164</t>
  </si>
  <si>
    <t>ENST00000552275</t>
  </si>
  <si>
    <t>ENST00000551009</t>
  </si>
  <si>
    <t>ENST00000549727</t>
  </si>
  <si>
    <t>ENST00000549585</t>
  </si>
  <si>
    <t>ENST00000551310</t>
  </si>
  <si>
    <t>ENST00000261173</t>
  </si>
  <si>
    <t>ENSG00000071051</t>
  </si>
  <si>
    <t>ENSG00000071073</t>
  </si>
  <si>
    <t>ENST00000264968</t>
  </si>
  <si>
    <t>ENST00000460768</t>
  </si>
  <si>
    <t>ENST00000495056</t>
  </si>
  <si>
    <t>ENST00000393487</t>
  </si>
  <si>
    <t>ENSG00000071082</t>
  </si>
  <si>
    <t>ENSG00000071127</t>
  </si>
  <si>
    <t>ENSG00000071243</t>
  </si>
  <si>
    <t>ENSG00000071462</t>
  </si>
  <si>
    <t>ENSG00000071537</t>
  </si>
  <si>
    <t>ENSG00000071553</t>
  </si>
  <si>
    <t>ENSG00000071564</t>
  </si>
  <si>
    <t>ENSG00000071626</t>
  </si>
  <si>
    <t>ENSG00000071655</t>
  </si>
  <si>
    <t>ENST00000156825</t>
  </si>
  <si>
    <t>ENST00000592012</t>
  </si>
  <si>
    <t>ENST00000590550</t>
  </si>
  <si>
    <t>ENST00000434436</t>
  </si>
  <si>
    <t>ENST00000589064</t>
  </si>
  <si>
    <t>ENST00000590830</t>
  </si>
  <si>
    <t>ENST00000589901</t>
  </si>
  <si>
    <t>ENSG00000071794</t>
  </si>
  <si>
    <t>ENSG00000071859</t>
  </si>
  <si>
    <t>ENSG00000071889</t>
  </si>
  <si>
    <t>ENST00000447601</t>
  </si>
  <si>
    <t>ENST00000434658</t>
  </si>
  <si>
    <t>ENST00000475657</t>
  </si>
  <si>
    <t>ENSG00000071894</t>
  </si>
  <si>
    <t>ENSG00000071994</t>
  </si>
  <si>
    <t>ENST00000541970</t>
  </si>
  <si>
    <t>ENST00000543284</t>
  </si>
  <si>
    <t>ENST00000545869</t>
  </si>
  <si>
    <t>ENST00000542896</t>
  </si>
  <si>
    <t>ENST00000544866</t>
  </si>
  <si>
    <t>ENST00000453163</t>
  </si>
  <si>
    <t>ENST00000544336</t>
  </si>
  <si>
    <t>ENST00000544755</t>
  </si>
  <si>
    <t>ENSG00000072042</t>
  </si>
  <si>
    <t>ENSG00000072062</t>
  </si>
  <si>
    <t>ENSG00000072110</t>
  </si>
  <si>
    <t>ENSG00000072121</t>
  </si>
  <si>
    <t>ENST00000554523</t>
  </si>
  <si>
    <t>ENST00000557306</t>
  </si>
  <si>
    <t>ENST00000554783</t>
  </si>
  <si>
    <t>ENST00000555452</t>
  </si>
  <si>
    <t>ENST00000557204</t>
  </si>
  <si>
    <t>ENST00000553399</t>
  </si>
  <si>
    <t>ENSG00000072210</t>
  </si>
  <si>
    <t>ENST00000472059</t>
  </si>
  <si>
    <t>ENSG00000072274</t>
  </si>
  <si>
    <t>ENSG00000072501</t>
  </si>
  <si>
    <t>ENSG00000072506</t>
  </si>
  <si>
    <t>ENSG00000072518</t>
  </si>
  <si>
    <t>ENST00000508192</t>
  </si>
  <si>
    <t>ENST00000502399</t>
  </si>
  <si>
    <t>ENST00000408948</t>
  </si>
  <si>
    <t>ENST00000535116</t>
  </si>
  <si>
    <t>ENST00000377810</t>
  </si>
  <si>
    <t>ENSG00000072609</t>
  </si>
  <si>
    <t>ENST00000536843</t>
  </si>
  <si>
    <t>ENST00000545046</t>
  </si>
  <si>
    <t>ENST00000544268</t>
  </si>
  <si>
    <t>ENST00000535897</t>
  </si>
  <si>
    <t>ENST00000540963</t>
  </si>
  <si>
    <t>ENST00000537551</t>
  </si>
  <si>
    <t>ENSG00000072736</t>
  </si>
  <si>
    <t>ENSG00000072756</t>
  </si>
  <si>
    <t>ENST00000465998</t>
  </si>
  <si>
    <t>ENST00000469632</t>
  </si>
  <si>
    <t>ENST00000482311</t>
  </si>
  <si>
    <t>ENSG00000072778</t>
  </si>
  <si>
    <t>ENSG00000072786</t>
  </si>
  <si>
    <t>ENSG00000072803</t>
  </si>
  <si>
    <t>ENST00000296933</t>
  </si>
  <si>
    <t>ENST00000393802</t>
  </si>
  <si>
    <t>ENST00000523843</t>
  </si>
  <si>
    <t>ENSG00000072818</t>
  </si>
  <si>
    <t>ENSG00000072958</t>
  </si>
  <si>
    <t>ENSG00000073050</t>
  </si>
  <si>
    <t>ENSG00000073111</t>
  </si>
  <si>
    <t>ENSG00000073578</t>
  </si>
  <si>
    <t>ENSG00000073584</t>
  </si>
  <si>
    <t>ENST00000348513</t>
  </si>
  <si>
    <t>ENST00000469334</t>
  </si>
  <si>
    <t>ENST00000377808</t>
  </si>
  <si>
    <t>ENST00000447024</t>
  </si>
  <si>
    <t>ENST00000493660</t>
  </si>
  <si>
    <t>ENST00000578995</t>
  </si>
  <si>
    <t>ENST00000583294</t>
  </si>
  <si>
    <t>ENST00000474246</t>
  </si>
  <si>
    <t>ENSG00000073605</t>
  </si>
  <si>
    <t>ENST00000479136</t>
  </si>
  <si>
    <t>ENST00000486560</t>
  </si>
  <si>
    <t>ENST00000519429</t>
  </si>
  <si>
    <t>ENST00000464556</t>
  </si>
  <si>
    <t>ENSG00000073614</t>
  </si>
  <si>
    <t>ENST00000399788</t>
  </si>
  <si>
    <t>ENST00000540838</t>
  </si>
  <si>
    <t>ENST00000540156</t>
  </si>
  <si>
    <t>ENST00000535269</t>
  </si>
  <si>
    <t>ENST00000541335</t>
  </si>
  <si>
    <t>ENST00000540168</t>
  </si>
  <si>
    <t>ENST00000544777</t>
  </si>
  <si>
    <t>ENST00000382815</t>
  </si>
  <si>
    <t>ENSG00000073849</t>
  </si>
  <si>
    <t>ENSG00000073921</t>
  </si>
  <si>
    <t>ENST00000526033</t>
  </si>
  <si>
    <t>ENST00000526548</t>
  </si>
  <si>
    <t>ENST00000393346</t>
  </si>
  <si>
    <t>ENST00000532603</t>
  </si>
  <si>
    <t>ENST00000356360</t>
  </si>
  <si>
    <t>ENST00000529016</t>
  </si>
  <si>
    <t>ENST00000530542</t>
  </si>
  <si>
    <t>ENST00000534375</t>
  </si>
  <si>
    <t>ENST00000533350</t>
  </si>
  <si>
    <t>ENST00000531771</t>
  </si>
  <si>
    <t>ENSG00000074071</t>
  </si>
  <si>
    <t>ENSG00000074201</t>
  </si>
  <si>
    <t>ENSG00000074266</t>
  </si>
  <si>
    <t>ENST00000263360</t>
  </si>
  <si>
    <t>ENST00000327320</t>
  </si>
  <si>
    <t>ENST00000351625</t>
  </si>
  <si>
    <t>ENST00000525244</t>
  </si>
  <si>
    <t>ENST00000533228</t>
  </si>
  <si>
    <t>ENST00000534564</t>
  </si>
  <si>
    <t>ENST00000524673</t>
  </si>
  <si>
    <t>ENST00000527888</t>
  </si>
  <si>
    <t>ENST00000528250</t>
  </si>
  <si>
    <t>ENSG00000074319</t>
  </si>
  <si>
    <t>ENSG00000074370</t>
  </si>
  <si>
    <t>ENST00000397041</t>
  </si>
  <si>
    <t>ENST00000570773</t>
  </si>
  <si>
    <t>ENST00000397043</t>
  </si>
  <si>
    <t>ENST00000571245</t>
  </si>
  <si>
    <t>ENST00000576957</t>
  </si>
  <si>
    <t>ENST00000572176</t>
  </si>
  <si>
    <t>ENST00000572694</t>
  </si>
  <si>
    <t>ENST00000574202</t>
  </si>
  <si>
    <t>ENSG00000074603</t>
  </si>
  <si>
    <t>ENST00000341861</t>
  </si>
  <si>
    <t>ENST00000300141</t>
  </si>
  <si>
    <t>ENST00000560597</t>
  </si>
  <si>
    <t>ENST00000558529</t>
  </si>
  <si>
    <t>ENSG00000074695</t>
  </si>
  <si>
    <t>ENSG00000074696</t>
  </si>
  <si>
    <t>ENSG00000074706</t>
  </si>
  <si>
    <t>ENSG00000074755</t>
  </si>
  <si>
    <t>ENSG00000074800</t>
  </si>
  <si>
    <t>ENSG00000074842</t>
  </si>
  <si>
    <t>ENSG00000074935</t>
  </si>
  <si>
    <t>ENSG00000074966</t>
  </si>
  <si>
    <t>ENST00000264316</t>
  </si>
  <si>
    <t>ENST00000507351</t>
  </si>
  <si>
    <t>ENST00000509681</t>
  </si>
  <si>
    <t>ENST00000510457</t>
  </si>
  <si>
    <t>ENST00000506073</t>
  </si>
  <si>
    <t>ENSG00000075089</t>
  </si>
  <si>
    <t>ENSG00000075142</t>
  </si>
  <si>
    <t>ENST00000265729</t>
  </si>
  <si>
    <t>ENST00000472930</t>
  </si>
  <si>
    <t>ENST00000431660</t>
  </si>
  <si>
    <t>ENST00000486860</t>
  </si>
  <si>
    <t>ENST00000488015</t>
  </si>
  <si>
    <t>ENSG00000075188</t>
  </si>
  <si>
    <t>ENSG00000075239</t>
  </si>
  <si>
    <t>ENSG00000075292</t>
  </si>
  <si>
    <t>ENST00000437658</t>
  </si>
  <si>
    <t>ENST00000486494</t>
  </si>
  <si>
    <t>ENST00000487638</t>
  </si>
  <si>
    <t>ENST00000409407</t>
  </si>
  <si>
    <t>ENST00000483421</t>
  </si>
  <si>
    <t>ENST00000492262</t>
  </si>
  <si>
    <t>ENST00000472758</t>
  </si>
  <si>
    <t>ENST00000488126</t>
  </si>
  <si>
    <t>ENST00000460310</t>
  </si>
  <si>
    <t>ENSG00000075303</t>
  </si>
  <si>
    <t>ENSG00000075336</t>
  </si>
  <si>
    <t>ENSG00000075340</t>
  </si>
  <si>
    <t>ENSG00000075413</t>
  </si>
  <si>
    <t>ENST00000303622</t>
  </si>
  <si>
    <t>ENST00000216288</t>
  </si>
  <si>
    <t>ENST00000553942</t>
  </si>
  <si>
    <t>ENST00000558223</t>
  </si>
  <si>
    <t>ENST00000558611</t>
  </si>
  <si>
    <t>ENST00000559274</t>
  </si>
  <si>
    <t>ENST00000561314</t>
  </si>
  <si>
    <t>ENST00000556463</t>
  </si>
  <si>
    <t>ENST00000555235</t>
  </si>
  <si>
    <t>ENSG00000075415</t>
  </si>
  <si>
    <t>ENST00000401722</t>
  </si>
  <si>
    <t>ENST00000188376</t>
  </si>
  <si>
    <t>ENST00000546766</t>
  </si>
  <si>
    <t>ENST00000552981</t>
  </si>
  <si>
    <t>ENST00000551265</t>
  </si>
  <si>
    <t>ENST00000547534</t>
  </si>
  <si>
    <t>ENST00000551123</t>
  </si>
  <si>
    <t>ENST00000547908</t>
  </si>
  <si>
    <t>ENST00000547444</t>
  </si>
  <si>
    <t>ENST00000548480</t>
  </si>
  <si>
    <t>ENST00000547869</t>
  </si>
  <si>
    <t>ENST00000228318</t>
  </si>
  <si>
    <t>ENSG00000075539</t>
  </si>
  <si>
    <t>ENSG00000075568</t>
  </si>
  <si>
    <t>ENSG00000075711</t>
  </si>
  <si>
    <t>ENST00000450955</t>
  </si>
  <si>
    <t>ENST00000475394</t>
  </si>
  <si>
    <t>ENST00000470629</t>
  </si>
  <si>
    <t>ENST00000493937</t>
  </si>
  <si>
    <t>ENST00000477312</t>
  </si>
  <si>
    <t>ENST00000456699</t>
  </si>
  <si>
    <t>ENST00000392380</t>
  </si>
  <si>
    <t>ENST00000486877</t>
  </si>
  <si>
    <t>ENST00000412364</t>
  </si>
  <si>
    <t>ENSG00000075785</t>
  </si>
  <si>
    <t>ENSG00000075856</t>
  </si>
  <si>
    <t>ENSG00000075884</t>
  </si>
  <si>
    <t>ENST00000549060</t>
  </si>
  <si>
    <t>ENSG00000075914</t>
  </si>
  <si>
    <t>ENSG00000075945</t>
  </si>
  <si>
    <t>ENST00000361580</t>
  </si>
  <si>
    <t>ENST00000474292</t>
  </si>
  <si>
    <t>ENSG00000076003</t>
  </si>
  <si>
    <t>ENSG00000076043</t>
  </si>
  <si>
    <t>ENST00000265881</t>
  </si>
  <si>
    <t>ENST00000544010</t>
  </si>
  <si>
    <t>ENST00000544196</t>
  </si>
  <si>
    <t>ENST00000539333</t>
  </si>
  <si>
    <t>ENST00000543243</t>
  </si>
  <si>
    <t>ENST00000538791</t>
  </si>
  <si>
    <t>ENST00000540492</t>
  </si>
  <si>
    <t>ENST00000544507</t>
  </si>
  <si>
    <t>ENSG00000076108</t>
  </si>
  <si>
    <t>ENST00000549884</t>
  </si>
  <si>
    <t>ENST00000553222</t>
  </si>
  <si>
    <t>ENST00000551759</t>
  </si>
  <si>
    <t>ENST00000548578</t>
  </si>
  <si>
    <t>ENST00000549327</t>
  </si>
  <si>
    <t>ENST00000547647</t>
  </si>
  <si>
    <t>ENSG00000076201</t>
  </si>
  <si>
    <t>ENSG00000076242</t>
  </si>
  <si>
    <t>ENSG00000076513</t>
  </si>
  <si>
    <t>ENSG00000076554</t>
  </si>
  <si>
    <t>ENST00000379096</t>
  </si>
  <si>
    <t>ENST00000523193</t>
  </si>
  <si>
    <t>ENST00000523319</t>
  </si>
  <si>
    <t>ENST00000521618</t>
  </si>
  <si>
    <t>ENST00000524194</t>
  </si>
  <si>
    <t>ENST00000518500</t>
  </si>
  <si>
    <t>ENSG00000076604</t>
  </si>
  <si>
    <t>ENSG00000076641</t>
  </si>
  <si>
    <t>ENSG00000076662</t>
  </si>
  <si>
    <t>ENSG00000076685</t>
  </si>
  <si>
    <t>ENSG00000076924</t>
  </si>
  <si>
    <t>ENSG00000076928</t>
  </si>
  <si>
    <t>ENST00000354532</t>
  </si>
  <si>
    <t>ENST00000600387</t>
  </si>
  <si>
    <t>ENST00000600274</t>
  </si>
  <si>
    <t>ENST00000337665</t>
  </si>
  <si>
    <t>ENST00000594258</t>
  </si>
  <si>
    <t>ENST00000595723</t>
  </si>
  <si>
    <t>ENST00000598587</t>
  </si>
  <si>
    <t>ENST00000598444</t>
  </si>
  <si>
    <t>ENST00000593609</t>
  </si>
  <si>
    <t>ENSG00000076944</t>
  </si>
  <si>
    <t>ENST00000597467</t>
  </si>
  <si>
    <t>ENST00000595181</t>
  </si>
  <si>
    <t>ENST00000441779</t>
  </si>
  <si>
    <t>ENST00000599905</t>
  </si>
  <si>
    <t>ENST00000221283</t>
  </si>
  <si>
    <t>ENST00000599648</t>
  </si>
  <si>
    <t>ENST00000594221</t>
  </si>
  <si>
    <t>ENST00000595861</t>
  </si>
  <si>
    <t>ENST00000593854</t>
  </si>
  <si>
    <t>ENST00000595800</t>
  </si>
  <si>
    <t>ENST00000599558</t>
  </si>
  <si>
    <t>ENST00000602355</t>
  </si>
  <si>
    <t>ENST00000599278</t>
  </si>
  <si>
    <t>ENSG00000076984</t>
  </si>
  <si>
    <t>ENST00000475022</t>
  </si>
  <si>
    <t>ENSG00000077044</t>
  </si>
  <si>
    <t>ENST00000264057</t>
  </si>
  <si>
    <t>ENST00000409813</t>
  </si>
  <si>
    <t>ENST00000490764</t>
  </si>
  <si>
    <t>ENST00000474488</t>
  </si>
  <si>
    <t>ENST00000465569</t>
  </si>
  <si>
    <t>ENST00000471764</t>
  </si>
  <si>
    <t>ENST00000495901</t>
  </si>
  <si>
    <t>ENSG00000077097</t>
  </si>
  <si>
    <t>ENST00000435706</t>
  </si>
  <si>
    <t>ENST00000470132</t>
  </si>
  <si>
    <t>ENST00000491510</t>
  </si>
  <si>
    <t>ENST00000264331</t>
  </si>
  <si>
    <t>ENSG00000077147</t>
  </si>
  <si>
    <t>ENSG00000077150</t>
  </si>
  <si>
    <t>ENST00000336486</t>
  </si>
  <si>
    <t>ENSG00000077232</t>
  </si>
  <si>
    <t>ENST00000264065</t>
  </si>
  <si>
    <t>ENST00000494462</t>
  </si>
  <si>
    <t>ENST00000459930</t>
  </si>
  <si>
    <t>ENSG00000077235</t>
  </si>
  <si>
    <t>ENST00000561623</t>
  </si>
  <si>
    <t>ENST00000564747</t>
  </si>
  <si>
    <t>ENST00000356183</t>
  </si>
  <si>
    <t>ENST00000569394</t>
  </si>
  <si>
    <t>ENST00000566779</t>
  </si>
  <si>
    <t>ENSG00000077254</t>
  </si>
  <si>
    <t>ENST00000370794</t>
  </si>
  <si>
    <t>ENST00000370793</t>
  </si>
  <si>
    <t>ENST00000533928</t>
  </si>
  <si>
    <t>ENST00000477949</t>
  </si>
  <si>
    <t>ENST00000370792</t>
  </si>
  <si>
    <t>ENST00000472462</t>
  </si>
  <si>
    <t>ENST00000498328</t>
  </si>
  <si>
    <t>ENST00000461986</t>
  </si>
  <si>
    <t>ENST00000531637</t>
  </si>
  <si>
    <t>ENST00000462192</t>
  </si>
  <si>
    <t>ENST00000357428</t>
  </si>
  <si>
    <t>ENSG00000077312</t>
  </si>
  <si>
    <t>ENSG00000077348</t>
  </si>
  <si>
    <t>ENSG00000077380</t>
  </si>
  <si>
    <t>ENST00000340296</t>
  </si>
  <si>
    <t>ENST00000471482</t>
  </si>
  <si>
    <t>ENST00000508530</t>
  </si>
  <si>
    <t>ENST00000409197</t>
  </si>
  <si>
    <t>ENST00000470286</t>
  </si>
  <si>
    <t>ENST00000479806</t>
  </si>
  <si>
    <t>ENSG00000077420</t>
  </si>
  <si>
    <t>ENSG00000077454</t>
  </si>
  <si>
    <t>ENSG00000077458</t>
  </si>
  <si>
    <t>ENSG00000077463</t>
  </si>
  <si>
    <t>ENST00000337491</t>
  </si>
  <si>
    <t>ENST00000596298</t>
  </si>
  <si>
    <t>ENST00000599394</t>
  </si>
  <si>
    <t>ENST00000594341</t>
  </si>
  <si>
    <t>ENSG00000077514</t>
  </si>
  <si>
    <t>ENSG00000077549</t>
  </si>
  <si>
    <t>ENST00000264203</t>
  </si>
  <si>
    <t>ENST00000375144</t>
  </si>
  <si>
    <t>ENST00000375142</t>
  </si>
  <si>
    <t>ENST00000482808</t>
  </si>
  <si>
    <t>ENSG00000077684</t>
  </si>
  <si>
    <t>ENST00000511647</t>
  </si>
  <si>
    <t>ENST00000226319</t>
  </si>
  <si>
    <t>ENSG00000077721</t>
  </si>
  <si>
    <t>ENST00000371558</t>
  </si>
  <si>
    <t>ENST00000346330</t>
  </si>
  <si>
    <t>ENST00000469205</t>
  </si>
  <si>
    <t>ENST00000371569</t>
  </si>
  <si>
    <t>ENSG00000078043</t>
  </si>
  <si>
    <t>ENST00000585916</t>
  </si>
  <si>
    <t>ENST00000545673</t>
  </si>
  <si>
    <t>ENST00000592212</t>
  </si>
  <si>
    <t>ENST00000591865</t>
  </si>
  <si>
    <t>ENST00000589819</t>
  </si>
  <si>
    <t>ENSG00000078061</t>
  </si>
  <si>
    <t>ENSG00000078070</t>
  </si>
  <si>
    <t>ENSG00000078140</t>
  </si>
  <si>
    <t>ENSG00000078142</t>
  </si>
  <si>
    <t>ENSG00000078269</t>
  </si>
  <si>
    <t>ENSG00000078304</t>
  </si>
  <si>
    <t>ENST00000556260</t>
  </si>
  <si>
    <t>ENST00000328724</t>
  </si>
  <si>
    <t>ENST00000553890</t>
  </si>
  <si>
    <t>ENST00000553554</t>
  </si>
  <si>
    <t>ENST00000350249</t>
  </si>
  <si>
    <t>ENST00000557621</t>
  </si>
  <si>
    <t>ENST00000556946</t>
  </si>
  <si>
    <t>ENST00000553730</t>
  </si>
  <si>
    <t>ENST00000445439</t>
  </si>
  <si>
    <t>ENST00000334743</t>
  </si>
  <si>
    <t>ENST00000557095</t>
  </si>
  <si>
    <t>ENST00000607042</t>
  </si>
  <si>
    <t>ENST00000557534</t>
  </si>
  <si>
    <t>ENST00000556805</t>
  </si>
  <si>
    <t>ENST00000554147</t>
  </si>
  <si>
    <t>ENSG00000078369</t>
  </si>
  <si>
    <t>ENST00000378609</t>
  </si>
  <si>
    <t>ENST00000461893</t>
  </si>
  <si>
    <t>ENST00000607589</t>
  </si>
  <si>
    <t>ENST00000472614</t>
  </si>
  <si>
    <t>ENSG00000078403</t>
  </si>
  <si>
    <t>ENSG00000078618</t>
  </si>
  <si>
    <t>ENSG00000078668</t>
  </si>
  <si>
    <t>ENSG00000078687</t>
  </si>
  <si>
    <t>ENSG00000078747</t>
  </si>
  <si>
    <t>ENST00000374864</t>
  </si>
  <si>
    <t>ENST00000479215</t>
  </si>
  <si>
    <t>ENSG00000078808</t>
  </si>
  <si>
    <t>ENST00000360001</t>
  </si>
  <si>
    <t>ENST00000494748</t>
  </si>
  <si>
    <t>ENST00000478938</t>
  </si>
  <si>
    <t>ENSG00000078902</t>
  </si>
  <si>
    <t>ENSG00000079134</t>
  </si>
  <si>
    <t>ENSG00000079246</t>
  </si>
  <si>
    <t>ENSG00000079277</t>
  </si>
  <si>
    <t>ENST00000532897</t>
  </si>
  <si>
    <t>ENST00000530528</t>
  </si>
  <si>
    <t>ENST00000524417</t>
  </si>
  <si>
    <t>ENST00000484301</t>
  </si>
  <si>
    <t>ENST00000486716</t>
  </si>
  <si>
    <t>ENST00000465783</t>
  </si>
  <si>
    <t>ENST00000468852</t>
  </si>
  <si>
    <t>ENST00000341183</t>
  </si>
  <si>
    <t>ENSG00000079332</t>
  </si>
  <si>
    <t>ENST00000373239</t>
  </si>
  <si>
    <t>ENSG00000079335</t>
  </si>
  <si>
    <t>ENST00000361544</t>
  </si>
  <si>
    <t>ENST00000370124</t>
  </si>
  <si>
    <t>ENST00000336454</t>
  </si>
  <si>
    <t>ENST00000469387</t>
  </si>
  <si>
    <t>ENSG00000079387</t>
  </si>
  <si>
    <t>ENST00000549518</t>
  </si>
  <si>
    <t>ENST00000551358</t>
  </si>
  <si>
    <t>ENST00000547181</t>
  </si>
  <si>
    <t>ENST00000549882</t>
  </si>
  <si>
    <t>ENSG00000079432</t>
  </si>
  <si>
    <t>ENST00000571942</t>
  </si>
  <si>
    <t>ENSG00000079435</t>
  </si>
  <si>
    <t>ENST00000600224</t>
  </si>
  <si>
    <t>ENST00000599783</t>
  </si>
  <si>
    <t>ENSG00000079459</t>
  </si>
  <si>
    <t>ENSG00000079462</t>
  </si>
  <si>
    <t>ENSG00000079616</t>
  </si>
  <si>
    <t>ENST00000160827</t>
  </si>
  <si>
    <t>ENST00000563666</t>
  </si>
  <si>
    <t>ENST00000565736</t>
  </si>
  <si>
    <t>ENSG00000079739</t>
  </si>
  <si>
    <t>ENSG00000079785</t>
  </si>
  <si>
    <t>ENSG00000079805</t>
  </si>
  <si>
    <t>ENST00000585892</t>
  </si>
  <si>
    <t>ENST00000359692</t>
  </si>
  <si>
    <t>ENST00000389253</t>
  </si>
  <si>
    <t>ENST00000355667</t>
  </si>
  <si>
    <t>ENST00000408974</t>
  </si>
  <si>
    <t>ENST00000588976</t>
  </si>
  <si>
    <t>ENST00000591701</t>
  </si>
  <si>
    <t>ENST00000586130</t>
  </si>
  <si>
    <t>ENST00000593220</t>
  </si>
  <si>
    <t>ENST00000587329</t>
  </si>
  <si>
    <t>ENST00000590806</t>
  </si>
  <si>
    <t>ENST00000590787</t>
  </si>
  <si>
    <t>ENST00000593203</t>
  </si>
  <si>
    <t>ENST00000589106</t>
  </si>
  <si>
    <t>ENSG00000079819</t>
  </si>
  <si>
    <t>ENST00000452150</t>
  </si>
  <si>
    <t>ENST00000526782</t>
  </si>
  <si>
    <t>ENST00000368126</t>
  </si>
  <si>
    <t>ENSG00000079950</t>
  </si>
  <si>
    <t>ENST00000367941</t>
  </si>
  <si>
    <t>ENST00000367937</t>
  </si>
  <si>
    <t>ENST00000475879</t>
  </si>
  <si>
    <t>ENSG00000079999</t>
  </si>
  <si>
    <t>ENSG00000080345</t>
  </si>
  <si>
    <t>ENST00000444746</t>
  </si>
  <si>
    <t>ENST00000453091</t>
  </si>
  <si>
    <t>ENST00000243326</t>
  </si>
  <si>
    <t>ENST00000430328</t>
  </si>
  <si>
    <t>ENSG00000080371</t>
  </si>
  <si>
    <t>ENSG00000080561</t>
  </si>
  <si>
    <t>ENST00000262843</t>
  </si>
  <si>
    <t>ENST00000443968</t>
  </si>
  <si>
    <t>ENST00000474517</t>
  </si>
  <si>
    <t>ENSG00000080608</t>
  </si>
  <si>
    <t>ENSG00000080802</t>
  </si>
  <si>
    <t>ENST00000451834</t>
  </si>
  <si>
    <t>ENST00000423368</t>
  </si>
  <si>
    <t>ENST00000361528</t>
  </si>
  <si>
    <t>ENST00000414802</t>
  </si>
  <si>
    <t>ENST00000428680</t>
  </si>
  <si>
    <t>ENST00000541284</t>
  </si>
  <si>
    <t>ENST00000315544</t>
  </si>
  <si>
    <t>ENSG00000080819</t>
  </si>
  <si>
    <t>ENSG00000080824</t>
  </si>
  <si>
    <t>ENSG00000080845</t>
  </si>
  <si>
    <t>ENST00000475894</t>
  </si>
  <si>
    <t>ENST00000340491</t>
  </si>
  <si>
    <t>ENSG00000081154</t>
  </si>
  <si>
    <t>ENSG00000081181</t>
  </si>
  <si>
    <t>ENST00000261783</t>
  </si>
  <si>
    <t>ENST00000557319</t>
  </si>
  <si>
    <t>ENSG00000081237</t>
  </si>
  <si>
    <t>ENSG00000081307</t>
  </si>
  <si>
    <t>ENST00000468227</t>
  </si>
  <si>
    <t>ENST00000264991</t>
  </si>
  <si>
    <t>ENSG00000081320</t>
  </si>
  <si>
    <t>ENSG00000081692</t>
  </si>
  <si>
    <t>ENST00000485807</t>
  </si>
  <si>
    <t>ENST00000366758</t>
  </si>
  <si>
    <t>ENST00000480590</t>
  </si>
  <si>
    <t>ENST00000465251</t>
  </si>
  <si>
    <t>ENSG00000081721</t>
  </si>
  <si>
    <t>ENSG00000081760</t>
  </si>
  <si>
    <t>ENSG00000081870</t>
  </si>
  <si>
    <t>ENSG00000082068</t>
  </si>
  <si>
    <t>ENSG00000082153</t>
  </si>
  <si>
    <t>ENSG00000082212</t>
  </si>
  <si>
    <t>ENSG00000082213</t>
  </si>
  <si>
    <t>ENSG00000082258</t>
  </si>
  <si>
    <t>ENST00000295238</t>
  </si>
  <si>
    <t>ENST00000264157</t>
  </si>
  <si>
    <t>ENST00000475094</t>
  </si>
  <si>
    <t>ENST00000464932</t>
  </si>
  <si>
    <t>ENST00000452521</t>
  </si>
  <si>
    <t>ENST00000438691</t>
  </si>
  <si>
    <t>ENSG00000082512</t>
  </si>
  <si>
    <t>ENSG00000082515</t>
  </si>
  <si>
    <t>ENSG00000082516</t>
  </si>
  <si>
    <t>ENSG00000082701</t>
  </si>
  <si>
    <t>ENSG00000082898</t>
  </si>
  <si>
    <t>ENSG00000082996</t>
  </si>
  <si>
    <t>ENSG00000083168</t>
  </si>
  <si>
    <t>ENSG00000083223</t>
  </si>
  <si>
    <t>ENST00000277141</t>
  </si>
  <si>
    <t>ENST00000375963</t>
  </si>
  <si>
    <t>ENST00000375948</t>
  </si>
  <si>
    <t>ENST00000375947</t>
  </si>
  <si>
    <t>ENSG00000083312</t>
  </si>
  <si>
    <t>ENST00000337273</t>
  </si>
  <si>
    <t>ENST00000513944</t>
  </si>
  <si>
    <t>ENST00000506351</t>
  </si>
  <si>
    <t>ENST00000511754</t>
  </si>
  <si>
    <t>ENST00000605210</t>
  </si>
  <si>
    <t>ENST00000503084</t>
  </si>
  <si>
    <t>ENSG00000083520</t>
  </si>
  <si>
    <t>ENSG00000083544</t>
  </si>
  <si>
    <t>ENST00000463109</t>
  </si>
  <si>
    <t>ENST00000471710</t>
  </si>
  <si>
    <t>ENST00000535286</t>
  </si>
  <si>
    <t>ENSG00000083642</t>
  </si>
  <si>
    <t>ENST00000315596</t>
  </si>
  <si>
    <t>ENST00000482955</t>
  </si>
  <si>
    <t>ENST00000498550</t>
  </si>
  <si>
    <t>ENST00000493653</t>
  </si>
  <si>
    <t>ENST00000466078</t>
  </si>
  <si>
    <t>ENST00000481616</t>
  </si>
  <si>
    <t>ENST00000447833</t>
  </si>
  <si>
    <t>ENST00000474274</t>
  </si>
  <si>
    <t>ENSG00000083720</t>
  </si>
  <si>
    <t>ENSG00000083750</t>
  </si>
  <si>
    <t>ENST00000498762</t>
  </si>
  <si>
    <t>ENST00000474757</t>
  </si>
  <si>
    <t>ENSG00000083799</t>
  </si>
  <si>
    <t>ENST00000569681</t>
  </si>
  <si>
    <t>ENST00000569418</t>
  </si>
  <si>
    <t>ENST00000569891</t>
  </si>
  <si>
    <t>ENST00000564634</t>
  </si>
  <si>
    <t>ENST00000398568</t>
  </si>
  <si>
    <t>ENST00000427738</t>
  </si>
  <si>
    <t>ENST00000563629</t>
  </si>
  <si>
    <t>ENST00000563976</t>
  </si>
  <si>
    <t>ENST00000562884</t>
  </si>
  <si>
    <t>ENST00000568744</t>
  </si>
  <si>
    <t>ENSG00000083838</t>
  </si>
  <si>
    <t>ENST00000594468</t>
  </si>
  <si>
    <t>ENST00000594369</t>
  </si>
  <si>
    <t>ENSG00000083844</t>
  </si>
  <si>
    <t>ENST00000263095</t>
  </si>
  <si>
    <t>ENST00000600531</t>
  </si>
  <si>
    <t>ENST00000599653</t>
  </si>
  <si>
    <t>ENSG00000083845</t>
  </si>
  <si>
    <t>ENSG00000083937</t>
  </si>
  <si>
    <t>ENSG00000084070</t>
  </si>
  <si>
    <t>ENSG00000084072</t>
  </si>
  <si>
    <t>ENSG00000084073</t>
  </si>
  <si>
    <t>ENSG00000084090</t>
  </si>
  <si>
    <t>ENSG00000084112</t>
  </si>
  <si>
    <t>ENSG00000084207</t>
  </si>
  <si>
    <t>ENSG00000084234</t>
  </si>
  <si>
    <t>ENST00000533532</t>
  </si>
  <si>
    <t>ENST00000528499</t>
  </si>
  <si>
    <t>ENST00000263574</t>
  </si>
  <si>
    <t>ENST00000338167</t>
  </si>
  <si>
    <t>ENST00000525215</t>
  </si>
  <si>
    <t>ENST00000533860</t>
  </si>
  <si>
    <t>ENST00000530493</t>
  </si>
  <si>
    <t>ENST00000525604</t>
  </si>
  <si>
    <t>ENSG00000084463</t>
  </si>
  <si>
    <t>ENSG00000084623</t>
  </si>
  <si>
    <t>ENSG00000084652</t>
  </si>
  <si>
    <t>ENSG00000084676</t>
  </si>
  <si>
    <t>ENST00000483904</t>
  </si>
  <si>
    <t>ENST00000486198</t>
  </si>
  <si>
    <t>ENST00000493773</t>
  </si>
  <si>
    <t>ENST00000288599</t>
  </si>
  <si>
    <t>ENST00000348332</t>
  </si>
  <si>
    <t>ENSG00000084754</t>
  </si>
  <si>
    <t>ENSG00000084774</t>
  </si>
  <si>
    <t>ENSG00000085063</t>
  </si>
  <si>
    <t>ENSG00000085231</t>
  </si>
  <si>
    <t>ENSG00000085274</t>
  </si>
  <si>
    <t>ENST00000349841</t>
  </si>
  <si>
    <t>ENST00000544106</t>
  </si>
  <si>
    <t>ENSG00000085377</t>
  </si>
  <si>
    <t>ENSG00000085382</t>
  </si>
  <si>
    <t>ENST00000369127</t>
  </si>
  <si>
    <t>ENST00000518228</t>
  </si>
  <si>
    <t>ENSG00000085415</t>
  </si>
  <si>
    <t>ENSG00000085449</t>
  </si>
  <si>
    <t>ENSG00000085491</t>
  </si>
  <si>
    <t>ENSG00000085511</t>
  </si>
  <si>
    <t>ENST00000366919</t>
  </si>
  <si>
    <t>ENST00000348824</t>
  </si>
  <si>
    <t>ENST00000542851</t>
  </si>
  <si>
    <t>ENST00000540205</t>
  </si>
  <si>
    <t>ENST00000543421</t>
  </si>
  <si>
    <t>ENST00000544733</t>
  </si>
  <si>
    <t>ENST00000536852</t>
  </si>
  <si>
    <t>ENSG00000085662</t>
  </si>
  <si>
    <t>ENSG00000085719</t>
  </si>
  <si>
    <t>ENSG00000085760</t>
  </si>
  <si>
    <t>ENSG00000085788</t>
  </si>
  <si>
    <t>ENSG00000085832</t>
  </si>
  <si>
    <t>ENSG00000085872</t>
  </si>
  <si>
    <t>ENSG00000085978</t>
  </si>
  <si>
    <t>ENST00000392017</t>
  </si>
  <si>
    <t>ENST00000479942</t>
  </si>
  <si>
    <t>ENST00000485623</t>
  </si>
  <si>
    <t>ENST00000474148</t>
  </si>
  <si>
    <t>ENST00000392020</t>
  </si>
  <si>
    <t>ENST00000492298</t>
  </si>
  <si>
    <t>ENST00000472242</t>
  </si>
  <si>
    <t>ENSG00000085982</t>
  </si>
  <si>
    <t>ENST00000409945</t>
  </si>
  <si>
    <t>ENST00000483216</t>
  </si>
  <si>
    <t>ENST00000452724</t>
  </si>
  <si>
    <t>ENSG00000085998</t>
  </si>
  <si>
    <t>ENST00000371984</t>
  </si>
  <si>
    <t>ENST00000480972</t>
  </si>
  <si>
    <t>ENST00000485714</t>
  </si>
  <si>
    <t>ENST00000463030</t>
  </si>
  <si>
    <t>ENST00000477114</t>
  </si>
  <si>
    <t>ENSG00000086061</t>
  </si>
  <si>
    <t>ENSG00000086065</t>
  </si>
  <si>
    <t>ENST00000223500</t>
  </si>
  <si>
    <t>ENST00000487080</t>
  </si>
  <si>
    <t>ENST00000419016</t>
  </si>
  <si>
    <t>ENSG00000086102</t>
  </si>
  <si>
    <t>ENSG00000086189</t>
  </si>
  <si>
    <t>ENST00000506390</t>
  </si>
  <si>
    <t>ENSG00000086200</t>
  </si>
  <si>
    <t>ENSG00000086232</t>
  </si>
  <si>
    <t>ENST00000199389</t>
  </si>
  <si>
    <t>ENST00000490523</t>
  </si>
  <si>
    <t>ENST00000470168</t>
  </si>
  <si>
    <t>ENST00000463213</t>
  </si>
  <si>
    <t>ENST00000461493</t>
  </si>
  <si>
    <t>ENSG00000086475</t>
  </si>
  <si>
    <t>ENST00000327347</t>
  </si>
  <si>
    <t>ENST00000494329</t>
  </si>
  <si>
    <t>ENSG00000086504</t>
  </si>
  <si>
    <t>ENSG00000086589</t>
  </si>
  <si>
    <t>ENSG00000086598</t>
  </si>
  <si>
    <t>ENSG00000086666</t>
  </si>
  <si>
    <t>ENST00000261749</t>
  </si>
  <si>
    <t>ENST00000561060</t>
  </si>
  <si>
    <t>ENST00000558494</t>
  </si>
  <si>
    <t>ENST00000558688</t>
  </si>
  <si>
    <t>ENST00000561017</t>
  </si>
  <si>
    <t>ENST00000557983</t>
  </si>
  <si>
    <t>ENSG00000087053</t>
  </si>
  <si>
    <t>ENST00000346299</t>
  </si>
  <si>
    <t>ENST00000409459</t>
  </si>
  <si>
    <t>ENST00000352297</t>
  </si>
  <si>
    <t>ENSG00000087087</t>
  </si>
  <si>
    <t>ENST00000460194</t>
  </si>
  <si>
    <t>ENST00000466432</t>
  </si>
  <si>
    <t>ENST00000487311</t>
  </si>
  <si>
    <t>ENST00000469602</t>
  </si>
  <si>
    <t>ENST00000477529</t>
  </si>
  <si>
    <t>ENSG00000087088</t>
  </si>
  <si>
    <t>ENST00000502487</t>
  </si>
  <si>
    <t>ENST00000345358</t>
  </si>
  <si>
    <t>ENST00000513545</t>
  </si>
  <si>
    <t>ENST00000293288</t>
  </si>
  <si>
    <t>ENST00000503726</t>
  </si>
  <si>
    <t>ENST00000513217</t>
  </si>
  <si>
    <t>ENSG00000087111</t>
  </si>
  <si>
    <t>ENSG00000087152</t>
  </si>
  <si>
    <t>ENSG00000087157</t>
  </si>
  <si>
    <t>ENSG00000087191</t>
  </si>
  <si>
    <t>ENSG00000087206</t>
  </si>
  <si>
    <t>ENSG00000087263</t>
  </si>
  <si>
    <t>ENSG00000087266</t>
  </si>
  <si>
    <t>ENSG00000087274</t>
  </si>
  <si>
    <t>ENST00000508684</t>
  </si>
  <si>
    <t>ENST00000509039</t>
  </si>
  <si>
    <t>ENST00000540541</t>
  </si>
  <si>
    <t>ENST00000503169</t>
  </si>
  <si>
    <t>ENST00000398129</t>
  </si>
  <si>
    <t>ENST00000534870</t>
  </si>
  <si>
    <t>ENST00000514940</t>
  </si>
  <si>
    <t>ENST00000536078</t>
  </si>
  <si>
    <t>ENST00000541051</t>
  </si>
  <si>
    <t>ENST00000513762</t>
  </si>
  <si>
    <t>ENST00000539149</t>
  </si>
  <si>
    <t>ENST00000503062</t>
  </si>
  <si>
    <t>ENST00000264758</t>
  </si>
  <si>
    <t>ENST00000398125</t>
  </si>
  <si>
    <t>ENST00000446856</t>
  </si>
  <si>
    <t>ENSG00000087302</t>
  </si>
  <si>
    <t>ENSG00000087365</t>
  </si>
  <si>
    <t>ENSG00000087470</t>
  </si>
  <si>
    <t>ENST00000452533</t>
  </si>
  <si>
    <t>ENST00000551076</t>
  </si>
  <si>
    <t>ENST00000547719</t>
  </si>
  <si>
    <t>ENST00000547548</t>
  </si>
  <si>
    <t>ENST00000550093</t>
  </si>
  <si>
    <t>ENST00000547078</t>
  </si>
  <si>
    <t>ENST00000548151</t>
  </si>
  <si>
    <t>ENST00000552743</t>
  </si>
  <si>
    <t>ENST00000549157</t>
  </si>
  <si>
    <t>ENST00000547640</t>
  </si>
  <si>
    <t>ENSG00000087502</t>
  </si>
  <si>
    <t>ENSG00000088179</t>
  </si>
  <si>
    <t>ENST00000263708</t>
  </si>
  <si>
    <t>ENST00000488896</t>
  </si>
  <si>
    <t>ENST00000431283</t>
  </si>
  <si>
    <t>ENST00000469511</t>
  </si>
  <si>
    <t>ENSG00000088205</t>
  </si>
  <si>
    <t>ENSG00000088247</t>
  </si>
  <si>
    <t>ENSG00000088387</t>
  </si>
  <si>
    <t>ENST00000419908</t>
  </si>
  <si>
    <t>ENST00000451563</t>
  </si>
  <si>
    <t>ENST00000450257</t>
  </si>
  <si>
    <t>ENST00000427887</t>
  </si>
  <si>
    <t>ENST00000473165</t>
  </si>
  <si>
    <t>ENST00000339416</t>
  </si>
  <si>
    <t>ENSG00000088448</t>
  </si>
  <si>
    <t>ENSG00000088451</t>
  </si>
  <si>
    <t>ENST00000261296</t>
  </si>
  <si>
    <t>ENST00000470480</t>
  </si>
  <si>
    <t>ENSG00000088682</t>
  </si>
  <si>
    <t>ENST00000568790</t>
  </si>
  <si>
    <t>ENSG00000088808</t>
  </si>
  <si>
    <t>ENST00000202556</t>
  </si>
  <si>
    <t>ENST00000555825</t>
  </si>
  <si>
    <t>ENST00000556334</t>
  </si>
  <si>
    <t>ENST00000554432</t>
  </si>
  <si>
    <t>ENST00000557744</t>
  </si>
  <si>
    <t>ENSG00000088832</t>
  </si>
  <si>
    <t>ENSG00000088833</t>
  </si>
  <si>
    <t>ENSG00000088986</t>
  </si>
  <si>
    <t>ENSG00000089006</t>
  </si>
  <si>
    <t>ENSG00000089009</t>
  </si>
  <si>
    <t>ENSG00000089053</t>
  </si>
  <si>
    <t>ENSG00000089094</t>
  </si>
  <si>
    <t>ENST00000538503</t>
  </si>
  <si>
    <t>ENST00000536036</t>
  </si>
  <si>
    <t>ENST00000545022</t>
  </si>
  <si>
    <t>ENSG00000089154</t>
  </si>
  <si>
    <t>ENSG00000089157</t>
  </si>
  <si>
    <t>ENST00000392514</t>
  </si>
  <si>
    <t>ENST00000551217</t>
  </si>
  <si>
    <t>ENST00000551150</t>
  </si>
  <si>
    <t>ENST00000552292</t>
  </si>
  <si>
    <t>ENST00000313104</t>
  </si>
  <si>
    <t>ENST00000546989</t>
  </si>
  <si>
    <t>ENST00000552461</t>
  </si>
  <si>
    <t>ENST00000549098</t>
  </si>
  <si>
    <t>ENST00000551258</t>
  </si>
  <si>
    <t>ENST00000550856</t>
  </si>
  <si>
    <t>ENST00000548568</t>
  </si>
  <si>
    <t>ENST00000546564</t>
  </si>
  <si>
    <t>ENST00000552902</t>
  </si>
  <si>
    <t>ENST00000548495</t>
  </si>
  <si>
    <t>ENST00000548551</t>
  </si>
  <si>
    <t>ENST00000549242</t>
  </si>
  <si>
    <t>ENST00000551783</t>
  </si>
  <si>
    <t>ENST00000551336</t>
  </si>
  <si>
    <t>ENST00000228306</t>
  </si>
  <si>
    <t>ENSG00000089195</t>
  </si>
  <si>
    <t>ENSG00000089234</t>
  </si>
  <si>
    <t>ENSG00000089248</t>
  </si>
  <si>
    <t>ENSG00000089335</t>
  </si>
  <si>
    <t>ENST00000505365</t>
  </si>
  <si>
    <t>ENST00000509196</t>
  </si>
  <si>
    <t>ENSG00000089351</t>
  </si>
  <si>
    <t>ENST00000424536</t>
  </si>
  <si>
    <t>ENST00000599476</t>
  </si>
  <si>
    <t>ENST00000598580</t>
  </si>
  <si>
    <t>ENST00000595596</t>
  </si>
  <si>
    <t>ENST00000598362</t>
  </si>
  <si>
    <t>ENST00000598118</t>
  </si>
  <si>
    <t>ENST00000603907</t>
  </si>
  <si>
    <t>ENSG00000089597</t>
  </si>
  <si>
    <t>ENST00000346178</t>
  </si>
  <si>
    <t>ENST00000356638</t>
  </si>
  <si>
    <t>ENST00000528503</t>
  </si>
  <si>
    <t>ENST00000531563</t>
  </si>
  <si>
    <t>ENST00000526732</t>
  </si>
  <si>
    <t>ENST00000524437</t>
  </si>
  <si>
    <t>ENSG00000089639</t>
  </si>
  <si>
    <t>ENSG00000089693</t>
  </si>
  <si>
    <t>ENSG00000089818</t>
  </si>
  <si>
    <t>ENST00000339754</t>
  </si>
  <si>
    <t>ENST00000546181</t>
  </si>
  <si>
    <t>ENST00000542095</t>
  </si>
  <si>
    <t>ENST00000544891</t>
  </si>
  <si>
    <t>ENST00000537796</t>
  </si>
  <si>
    <t>ENSG00000089820</t>
  </si>
  <si>
    <t>ENSG00000089876</t>
  </si>
  <si>
    <t>ENST00000368721</t>
  </si>
  <si>
    <t>ENST00000284690</t>
  </si>
  <si>
    <t>ENSG00000089902</t>
  </si>
  <si>
    <t>ENSG00000090013</t>
  </si>
  <si>
    <t>ENSG00000090054</t>
  </si>
  <si>
    <t>ENSG00000090060</t>
  </si>
  <si>
    <t>ENST00000553461</t>
  </si>
  <si>
    <t>ENSG00000090061</t>
  </si>
  <si>
    <t>ENSG00000090104</t>
  </si>
  <si>
    <t>ENST00000367459</t>
  </si>
  <si>
    <t>ENST00000462589</t>
  </si>
  <si>
    <t>ENST00000583155</t>
  </si>
  <si>
    <t>ENST00000469578</t>
  </si>
  <si>
    <t>ENST00000498352</t>
  </si>
  <si>
    <t>ENSG00000090263</t>
  </si>
  <si>
    <t>ENSG00000090273</t>
  </si>
  <si>
    <t>ENSG00000090316</t>
  </si>
  <si>
    <t>ENSG00000090339</t>
  </si>
  <si>
    <t>ENSG00000090372</t>
  </si>
  <si>
    <t>ENSG00000090447</t>
  </si>
  <si>
    <t>ENSG00000090470</t>
  </si>
  <si>
    <t>ENSG00000090487</t>
  </si>
  <si>
    <t>ENST00000204566</t>
  </si>
  <si>
    <t>ENST00000559199</t>
  </si>
  <si>
    <t>ENSG00000090520</t>
  </si>
  <si>
    <t>ENSG00000090615</t>
  </si>
  <si>
    <t>ENSG00000090686</t>
  </si>
  <si>
    <t>ENSG00000090861</t>
  </si>
  <si>
    <t>ENSG00000090863</t>
  </si>
  <si>
    <t>ENSG00000090905</t>
  </si>
  <si>
    <t>ENST00000450465</t>
  </si>
  <si>
    <t>ENST00000568903</t>
  </si>
  <si>
    <t>ENST00000567232</t>
  </si>
  <si>
    <t>ENST00000561726</t>
  </si>
  <si>
    <t>ENST00000568806</t>
  </si>
  <si>
    <t>ENST00000462400</t>
  </si>
  <si>
    <t>ENST00000563201</t>
  </si>
  <si>
    <t>ENST00000569634</t>
  </si>
  <si>
    <t>ENST00000464539</t>
  </si>
  <si>
    <t>ENSG00000090924</t>
  </si>
  <si>
    <t>ENST00000478523</t>
  </si>
  <si>
    <t>ENST00000594307</t>
  </si>
  <si>
    <t>ENST00000474449</t>
  </si>
  <si>
    <t>ENSG00000090989</t>
  </si>
  <si>
    <t>ENST00000381295</t>
  </si>
  <si>
    <t>ENST00000346134</t>
  </si>
  <si>
    <t>ENST00000349598</t>
  </si>
  <si>
    <t>ENST00000505501</t>
  </si>
  <si>
    <t>ENST00000511971</t>
  </si>
  <si>
    <t>ENST00000509302</t>
  </si>
  <si>
    <t>ENST00000504321</t>
  </si>
  <si>
    <t>ENST00000506936</t>
  </si>
  <si>
    <t>ENSG00000091009</t>
  </si>
  <si>
    <t>ENSG00000091039</t>
  </si>
  <si>
    <t>ENSG00000091127</t>
  </si>
  <si>
    <t>ENSG00000091140</t>
  </si>
  <si>
    <t>ENSG00000091157</t>
  </si>
  <si>
    <t>ENST00000357574</t>
  </si>
  <si>
    <t>ENST00000585754</t>
  </si>
  <si>
    <t>ENST00000591524</t>
  </si>
  <si>
    <t>ENSG00000091164</t>
  </si>
  <si>
    <t>ENSG00000091317</t>
  </si>
  <si>
    <t>ENSG00000091409</t>
  </si>
  <si>
    <t>ENST00000264107</t>
  </si>
  <si>
    <t>ENST00000497107</t>
  </si>
  <si>
    <t>ENST00000469534</t>
  </si>
  <si>
    <t>ENST00000470259</t>
  </si>
  <si>
    <t>ENST00000475302</t>
  </si>
  <si>
    <t>ENSG00000091483</t>
  </si>
  <si>
    <t>ENST00000366560</t>
  </si>
  <si>
    <t>ENST00000497042</t>
  </si>
  <si>
    <t>ENSG00000091527</t>
  </si>
  <si>
    <t>ENSG00000091542</t>
  </si>
  <si>
    <t>ENSG00000091592</t>
  </si>
  <si>
    <t>ENST00000574512</t>
  </si>
  <si>
    <t>ENST00000571451</t>
  </si>
  <si>
    <t>ENST00000572272</t>
  </si>
  <si>
    <t>ENST00000345221</t>
  </si>
  <si>
    <t>ENSG00000091640</t>
  </si>
  <si>
    <t>ENSG00000091732</t>
  </si>
  <si>
    <t>ENSG00000092010</t>
  </si>
  <si>
    <t>ENST00000206451</t>
  </si>
  <si>
    <t>ENST00000561059</t>
  </si>
  <si>
    <t>ENST00000561142</t>
  </si>
  <si>
    <t>ENST00000382708</t>
  </si>
  <si>
    <t>ENST00000561435</t>
  </si>
  <si>
    <t>ENST00000470718</t>
  </si>
  <si>
    <t>ENST00000560420</t>
  </si>
  <si>
    <t>ENSG00000092020</t>
  </si>
  <si>
    <t>ENST00000261475</t>
  </si>
  <si>
    <t>ENST00000557217</t>
  </si>
  <si>
    <t>ENST00000555644</t>
  </si>
  <si>
    <t>ENST00000556254</t>
  </si>
  <si>
    <t>ENSG00000092036</t>
  </si>
  <si>
    <t>ENSG00000092094</t>
  </si>
  <si>
    <t>ENSG00000092098</t>
  </si>
  <si>
    <t>ENSG00000092108</t>
  </si>
  <si>
    <t>ENSG00000092148</t>
  </si>
  <si>
    <t>ENSG00000092199</t>
  </si>
  <si>
    <t>ENST00000336053</t>
  </si>
  <si>
    <t>ENST00000554969</t>
  </si>
  <si>
    <t>ENST00000556142</t>
  </si>
  <si>
    <t>ENST00000554455</t>
  </si>
  <si>
    <t>ENST00000430246</t>
  </si>
  <si>
    <t>ENST00000553753</t>
  </si>
  <si>
    <t>ENST00000555914</t>
  </si>
  <si>
    <t>ENST00000555309</t>
  </si>
  <si>
    <t>ENST00000557442</t>
  </si>
  <si>
    <t>ENST00000556513</t>
  </si>
  <si>
    <t>ENST00000553444</t>
  </si>
  <si>
    <t>ENST00000557201</t>
  </si>
  <si>
    <t>ENST00000553300</t>
  </si>
  <si>
    <t>ENST00000556897</t>
  </si>
  <si>
    <t>ENST00000554539</t>
  </si>
  <si>
    <t>ENST00000554383</t>
  </si>
  <si>
    <t>ENST00000555585</t>
  </si>
  <si>
    <t>ENST00000554417</t>
  </si>
  <si>
    <t>ENST00000555215</t>
  </si>
  <si>
    <t>ENST00000555137</t>
  </si>
  <si>
    <t>ENST00000556226</t>
  </si>
  <si>
    <t>ENST00000553614</t>
  </si>
  <si>
    <t>ENST00000555127</t>
  </si>
  <si>
    <t>ENST00000449098</t>
  </si>
  <si>
    <t>ENSG00000092201</t>
  </si>
  <si>
    <t>ENSG00000092203</t>
  </si>
  <si>
    <t>ENST00000487242</t>
  </si>
  <si>
    <t>ENST00000473176</t>
  </si>
  <si>
    <t>ENST00000463119</t>
  </si>
  <si>
    <t>ENSG00000092208</t>
  </si>
  <si>
    <t>ENST00000308317</t>
  </si>
  <si>
    <t>ENST00000525430</t>
  </si>
  <si>
    <t>ENST00000524980</t>
  </si>
  <si>
    <t>ENST00000529365</t>
  </si>
  <si>
    <t>ENSG00000092330</t>
  </si>
  <si>
    <t>ENST00000560019</t>
  </si>
  <si>
    <t>ENST00000399423</t>
  </si>
  <si>
    <t>ENST00000267415</t>
  </si>
  <si>
    <t>ENST00000559549</t>
  </si>
  <si>
    <t>ENST00000559147</t>
  </si>
  <si>
    <t>ENST00000557830</t>
  </si>
  <si>
    <t>ENSG00000092531</t>
  </si>
  <si>
    <t>ENSG00000092621</t>
  </si>
  <si>
    <t>ENSG00000092820</t>
  </si>
  <si>
    <t>ENSG00000092841</t>
  </si>
  <si>
    <t>ENST00000550697</t>
  </si>
  <si>
    <t>ENST00000548580</t>
  </si>
  <si>
    <t>ENST00000550184</t>
  </si>
  <si>
    <t>ENST00000348108</t>
  </si>
  <si>
    <t>ENST00000549017</t>
  </si>
  <si>
    <t>ENST00000547703</t>
  </si>
  <si>
    <t>ENST00000549566</t>
  </si>
  <si>
    <t>ENST00000536128</t>
  </si>
  <si>
    <t>ENST00000547649</t>
  </si>
  <si>
    <t>ENST00000548725</t>
  </si>
  <si>
    <t>ENST00000551589</t>
  </si>
  <si>
    <t>ENST00000546630</t>
  </si>
  <si>
    <t>ENST00000549392</t>
  </si>
  <si>
    <t>ENST00000548400</t>
  </si>
  <si>
    <t>ENST00000548293</t>
  </si>
  <si>
    <t>ENST00000551954</t>
  </si>
  <si>
    <t>ENSG00000092929</t>
  </si>
  <si>
    <t>ENSG00000093000</t>
  </si>
  <si>
    <t>ENSG00000093010</t>
  </si>
  <si>
    <t>ENST00000361682</t>
  </si>
  <si>
    <t>ENST00000403184</t>
  </si>
  <si>
    <t>ENST00000403710</t>
  </si>
  <si>
    <t>ENST00000467943</t>
  </si>
  <si>
    <t>ENST00000207636</t>
  </si>
  <si>
    <t>ENST00000449653</t>
  </si>
  <si>
    <t>ENST00000428707</t>
  </si>
  <si>
    <t>ENSG00000093144</t>
  </si>
  <si>
    <t>ENST00000454859</t>
  </si>
  <si>
    <t>ENST00000368291</t>
  </si>
  <si>
    <t>ENST00000475319</t>
  </si>
  <si>
    <t>ENST00000474240</t>
  </si>
  <si>
    <t>ENST00000368287</t>
  </si>
  <si>
    <t>ENSG00000093167</t>
  </si>
  <si>
    <t>ENST00000354379</t>
  </si>
  <si>
    <t>ENST00000460646</t>
  </si>
  <si>
    <t>ENST00000421276</t>
  </si>
  <si>
    <t>ENST00000496479</t>
  </si>
  <si>
    <t>ENST00000490597</t>
  </si>
  <si>
    <t>ENST00000496825</t>
  </si>
  <si>
    <t>ENST00000483306</t>
  </si>
  <si>
    <t>ENSG00000094631</t>
  </si>
  <si>
    <t>ENSG00000094880</t>
  </si>
  <si>
    <t>ENSG00000094914</t>
  </si>
  <si>
    <t>ENSG00000094916</t>
  </si>
  <si>
    <t>ENSG00000095059</t>
  </si>
  <si>
    <t>ENSG00000095066</t>
  </si>
  <si>
    <t>ENST00000264827</t>
  </si>
  <si>
    <t>ENST00000589915</t>
  </si>
  <si>
    <t>ENST00000592259</t>
  </si>
  <si>
    <t>ENST00000588052</t>
  </si>
  <si>
    <t>ENSG00000095139</t>
  </si>
  <si>
    <t>ENSG00000095261</t>
  </si>
  <si>
    <t>ENST00000210313</t>
  </si>
  <si>
    <t>ENST00000373903</t>
  </si>
  <si>
    <t>ENST00000471789</t>
  </si>
  <si>
    <t>ENSG00000095319</t>
  </si>
  <si>
    <t>ENSG00000095370</t>
  </si>
  <si>
    <t>ENSG00000095380</t>
  </si>
  <si>
    <t>ENSG00000095485</t>
  </si>
  <si>
    <t>ENSG00000095564</t>
  </si>
  <si>
    <t>ENSG00000095574</t>
  </si>
  <si>
    <t>ENST00000368886</t>
  </si>
  <si>
    <t>ENST00000479103</t>
  </si>
  <si>
    <t>ENSG00000095787</t>
  </si>
  <si>
    <t>ENSG00000095794</t>
  </si>
  <si>
    <t>ENST00000496626</t>
  </si>
  <si>
    <t>ENST00000489388</t>
  </si>
  <si>
    <t>ENST00000374726</t>
  </si>
  <si>
    <t>ENST00000461968</t>
  </si>
  <si>
    <t>ENST00000482633</t>
  </si>
  <si>
    <t>ENST00000469949</t>
  </si>
  <si>
    <t>ENST00000487763</t>
  </si>
  <si>
    <t>ENST00000488328</t>
  </si>
  <si>
    <t>ENST00000356917</t>
  </si>
  <si>
    <t>ENST00000488741</t>
  </si>
  <si>
    <t>ENST00000474931</t>
  </si>
  <si>
    <t>ENST00000344351</t>
  </si>
  <si>
    <t>ENST00000490511</t>
  </si>
  <si>
    <t>ENST00000374728</t>
  </si>
  <si>
    <t>ENSG00000095906</t>
  </si>
  <si>
    <t>ENST00000564227</t>
  </si>
  <si>
    <t>ENSG00000095951</t>
  </si>
  <si>
    <t>ENST00000491710</t>
  </si>
  <si>
    <t>ENST00000484210</t>
  </si>
  <si>
    <t>ENSG00000096060</t>
  </si>
  <si>
    <t>ENSG00000096063</t>
  </si>
  <si>
    <t>ENSG00000096171</t>
  </si>
  <si>
    <t>ENSG00000096384</t>
  </si>
  <si>
    <t>ENSG00000096717</t>
  </si>
  <si>
    <t>ENSG00000096872</t>
  </si>
  <si>
    <t>ENSG00000097033</t>
  </si>
  <si>
    <t>ENSG00000099204</t>
  </si>
  <si>
    <t>ENST00000369253</t>
  </si>
  <si>
    <t>ENST00000485570</t>
  </si>
  <si>
    <t>ENST00000466400</t>
  </si>
  <si>
    <t>ENST00000369252</t>
  </si>
  <si>
    <t>ENST00000369266</t>
  </si>
  <si>
    <t>ENSG00000099331</t>
  </si>
  <si>
    <t>ENSG00000099341</t>
  </si>
  <si>
    <t>ENSG00000099622</t>
  </si>
  <si>
    <t>ENSG00000099624</t>
  </si>
  <si>
    <t>ENSG00000099783</t>
  </si>
  <si>
    <t>ENST00000348943</t>
  </si>
  <si>
    <t>ENST00000597813</t>
  </si>
  <si>
    <t>ENST00000325495</t>
  </si>
  <si>
    <t>ENST00000600092</t>
  </si>
  <si>
    <t>ENST00000600806</t>
  </si>
  <si>
    <t>ENST00000593293</t>
  </si>
  <si>
    <t>ENST00000597270</t>
  </si>
  <si>
    <t>ENST00000598603</t>
  </si>
  <si>
    <t>ENST00000598999</t>
  </si>
  <si>
    <t>ENST00000602219</t>
  </si>
  <si>
    <t>ENSG00000099797</t>
  </si>
  <si>
    <t>ENSG00000099804</t>
  </si>
  <si>
    <t>ENSG00000099810</t>
  </si>
  <si>
    <t>ENSG00000099817</t>
  </si>
  <si>
    <t>ENSG00000099821</t>
  </si>
  <si>
    <t>ENST00000589961</t>
  </si>
  <si>
    <t>ENSG00000099875</t>
  </si>
  <si>
    <t>ENST00000591142</t>
  </si>
  <si>
    <t>ENST00000591601</t>
  </si>
  <si>
    <t>ENST00000587416</t>
  </si>
  <si>
    <t>ENST00000588014</t>
  </si>
  <si>
    <t>ENST00000591588</t>
  </si>
  <si>
    <t>ENST00000585667</t>
  </si>
  <si>
    <t>ENST00000586620</t>
  </si>
  <si>
    <t>ENST00000250896</t>
  </si>
  <si>
    <t>ENSG00000099899</t>
  </si>
  <si>
    <t>ENSG00000099901</t>
  </si>
  <si>
    <t>ENSG00000099910</t>
  </si>
  <si>
    <t>ENSG00000099917</t>
  </si>
  <si>
    <t>ENST00000486656</t>
  </si>
  <si>
    <t>ENST00000414658</t>
  </si>
  <si>
    <t>ENST00000292733</t>
  </si>
  <si>
    <t>ENST00000263205</t>
  </si>
  <si>
    <t>ENST00000487550</t>
  </si>
  <si>
    <t>ENST00000476767</t>
  </si>
  <si>
    <t>ENST00000492381</t>
  </si>
  <si>
    <t>ENST00000489651</t>
  </si>
  <si>
    <t>ENST00000473244</t>
  </si>
  <si>
    <t>ENST00000493216</t>
  </si>
  <si>
    <t>ENST00000476187</t>
  </si>
  <si>
    <t>ENST00000436496</t>
  </si>
  <si>
    <t>ENSG00000099940</t>
  </si>
  <si>
    <t>ENSG00000099949</t>
  </si>
  <si>
    <t>ENSG00000099968</t>
  </si>
  <si>
    <t>ENSG00000099977</t>
  </si>
  <si>
    <t>ENST00000398344</t>
  </si>
  <si>
    <t>ENST00000444947</t>
  </si>
  <si>
    <t>ENST00000215770</t>
  </si>
  <si>
    <t>ENSG00000099991</t>
  </si>
  <si>
    <t>ENST00000474981</t>
  </si>
  <si>
    <t>ENST00000484593</t>
  </si>
  <si>
    <t>ENST00000496016</t>
  </si>
  <si>
    <t>ENST00000459824</t>
  </si>
  <si>
    <t>ENSG00000099992</t>
  </si>
  <si>
    <t>ENSG00000099995</t>
  </si>
  <si>
    <t>ENSG00000100003</t>
  </si>
  <si>
    <t>ENSG00000100023</t>
  </si>
  <si>
    <t>ENSG00000100028</t>
  </si>
  <si>
    <t>ENST00000215829</t>
  </si>
  <si>
    <t>ENST00000468770</t>
  </si>
  <si>
    <t>ENSG00000100030</t>
  </si>
  <si>
    <t>ENSG00000100034</t>
  </si>
  <si>
    <t>ENST00000263212</t>
  </si>
  <si>
    <t>ENST00000397495</t>
  </si>
  <si>
    <t>ENSG00000100038</t>
  </si>
  <si>
    <t>ENSG00000100055</t>
  </si>
  <si>
    <t>ENSG00000100056</t>
  </si>
  <si>
    <t>ENSG00000100075</t>
  </si>
  <si>
    <t>ENST00000468824</t>
  </si>
  <si>
    <t>ENSG00000100083</t>
  </si>
  <si>
    <t>ENST00000343632</t>
  </si>
  <si>
    <t>ENST00000489772</t>
  </si>
  <si>
    <t>ENST00000423024</t>
  </si>
  <si>
    <t>ENST00000491295</t>
  </si>
  <si>
    <t>ENST00000481613</t>
  </si>
  <si>
    <t>ENST00000475445</t>
  </si>
  <si>
    <t>ENST00000463672</t>
  </si>
  <si>
    <t>ENST00000460957</t>
  </si>
  <si>
    <t>ENSG00000100092</t>
  </si>
  <si>
    <t>ENSG00000100097</t>
  </si>
  <si>
    <t>ENSG00000100099</t>
  </si>
  <si>
    <t>ENST00000398145</t>
  </si>
  <si>
    <t>ENST00000402105</t>
  </si>
  <si>
    <t>ENST00000336873</t>
  </si>
  <si>
    <t>ENST00000466781</t>
  </si>
  <si>
    <t>ENST00000485842</t>
  </si>
  <si>
    <t>ENST00000481910</t>
  </si>
  <si>
    <t>ENSG00000100100</t>
  </si>
  <si>
    <t>ENST00000215912</t>
  </si>
  <si>
    <t>ENST00000480654</t>
  </si>
  <si>
    <t>ENST00000493034</t>
  </si>
  <si>
    <t>ENST00000402249</t>
  </si>
  <si>
    <t>ENST00000441972</t>
  </si>
  <si>
    <t>ENSG00000100106</t>
  </si>
  <si>
    <t>ENST00000406386</t>
  </si>
  <si>
    <t>ENST00000407319</t>
  </si>
  <si>
    <t>ENST00000403663</t>
  </si>
  <si>
    <t>ENST00000331103</t>
  </si>
  <si>
    <t>ENSG00000100109</t>
  </si>
  <si>
    <t>ENSG00000100124</t>
  </si>
  <si>
    <t>ENST00000215941</t>
  </si>
  <si>
    <t>ENST00000498417</t>
  </si>
  <si>
    <t>ENST00000609706</t>
  </si>
  <si>
    <t>ENSG00000100129</t>
  </si>
  <si>
    <t>ENSG00000100138</t>
  </si>
  <si>
    <t>ENSG00000100150</t>
  </si>
  <si>
    <t>ENST00000458532</t>
  </si>
  <si>
    <t>ENST00000473802</t>
  </si>
  <si>
    <t>ENST00000494065</t>
  </si>
  <si>
    <t>ENST00000490731</t>
  </si>
  <si>
    <t>ENST00000479261</t>
  </si>
  <si>
    <t>ENSG00000100201</t>
  </si>
  <si>
    <t>ENSG00000100207</t>
  </si>
  <si>
    <t>ENSG00000100216</t>
  </si>
  <si>
    <t>ENSG00000100220</t>
  </si>
  <si>
    <t>ENSG00000100221</t>
  </si>
  <si>
    <t>ENST00000216039</t>
  </si>
  <si>
    <t>ENST00000482442</t>
  </si>
  <si>
    <t>ENSG00000100225</t>
  </si>
  <si>
    <t>ENSG00000100226</t>
  </si>
  <si>
    <t>ENSG00000100239</t>
  </si>
  <si>
    <t>ENST00000395744</t>
  </si>
  <si>
    <t>ENST00000216061</t>
  </si>
  <si>
    <t>ENST00000401672</t>
  </si>
  <si>
    <t>ENST00000473283</t>
  </si>
  <si>
    <t>ENST00000470046</t>
  </si>
  <si>
    <t>ENSG00000100241</t>
  </si>
  <si>
    <t>ENSG00000100242</t>
  </si>
  <si>
    <t>ENSG00000100243</t>
  </si>
  <si>
    <t>ENST00000352397</t>
  </si>
  <si>
    <t>ENST00000407332</t>
  </si>
  <si>
    <t>ENST00000470741</t>
  </si>
  <si>
    <t>ENSG00000100281</t>
  </si>
  <si>
    <t>ENSG00000100284</t>
  </si>
  <si>
    <t>ENST00000449058</t>
  </si>
  <si>
    <t>ENST00000465529</t>
  </si>
  <si>
    <t>ENST00000487670</t>
  </si>
  <si>
    <t>ENST00000497448</t>
  </si>
  <si>
    <t>ENST00000492723</t>
  </si>
  <si>
    <t>ENSG00000100288</t>
  </si>
  <si>
    <t>ENSG00000100294</t>
  </si>
  <si>
    <t>ENSG00000100296</t>
  </si>
  <si>
    <t>ENSG00000100297</t>
  </si>
  <si>
    <t>ENSG00000100299</t>
  </si>
  <si>
    <t>ENSG00000100304</t>
  </si>
  <si>
    <t>ENSG00000100307</t>
  </si>
  <si>
    <t>ENST00000216133</t>
  </si>
  <si>
    <t>ENST00000490741</t>
  </si>
  <si>
    <t>ENST00000477827</t>
  </si>
  <si>
    <t>ENST00000482294</t>
  </si>
  <si>
    <t>ENSG00000100316</t>
  </si>
  <si>
    <t>ENSG00000100319</t>
  </si>
  <si>
    <t>ENST00000344318</t>
  </si>
  <si>
    <t>ENST00000489010</t>
  </si>
  <si>
    <t>ENSG00000100324</t>
  </si>
  <si>
    <t>ENSG00000100325</t>
  </si>
  <si>
    <t>ENST00000492821</t>
  </si>
  <si>
    <t>ENSG00000100330</t>
  </si>
  <si>
    <t>ENST00000401950</t>
  </si>
  <si>
    <t>ENST00000351488</t>
  </si>
  <si>
    <t>ENST00000480776</t>
  </si>
  <si>
    <t>ENST00000492087</t>
  </si>
  <si>
    <t>ENST00000491251</t>
  </si>
  <si>
    <t>ENST00000333027</t>
  </si>
  <si>
    <t>ENSG00000100335</t>
  </si>
  <si>
    <t>ENSG00000100345</t>
  </si>
  <si>
    <t>ENSG00000100347</t>
  </si>
  <si>
    <t>ENSG00000100348</t>
  </si>
  <si>
    <t>ENST00000216185</t>
  </si>
  <si>
    <t>ENST00000416967</t>
  </si>
  <si>
    <t>ENSG00000100351</t>
  </si>
  <si>
    <t>ENSG00000100353</t>
  </si>
  <si>
    <t>ENST00000216190</t>
  </si>
  <si>
    <t>ENST00000478547</t>
  </si>
  <si>
    <t>ENST00000462641</t>
  </si>
  <si>
    <t>ENST00000426531</t>
  </si>
  <si>
    <t>ENST00000458572</t>
  </si>
  <si>
    <t>ENST00000462794</t>
  </si>
  <si>
    <t>ENST00000432675</t>
  </si>
  <si>
    <t>ENST00000496875</t>
  </si>
  <si>
    <t>ENSG00000100354</t>
  </si>
  <si>
    <t>ENST00000441751</t>
  </si>
  <si>
    <t>ENST00000489500</t>
  </si>
  <si>
    <t>ENST00000446273</t>
  </si>
  <si>
    <t>ENST00000467658</t>
  </si>
  <si>
    <t>ENSG00000100360</t>
  </si>
  <si>
    <t>ENSG00000100364</t>
  </si>
  <si>
    <t>ENST00000336156</t>
  </si>
  <si>
    <t>ENST00000488038</t>
  </si>
  <si>
    <t>ENST00000483374</t>
  </si>
  <si>
    <t>ENST00000498418</t>
  </si>
  <si>
    <t>ENSG00000100376</t>
  </si>
  <si>
    <t>ENST00000441876</t>
  </si>
  <si>
    <t>ENST00000477714</t>
  </si>
  <si>
    <t>ENST00000487732</t>
  </si>
  <si>
    <t>ENST00000462361</t>
  </si>
  <si>
    <t>ENSG00000100379</t>
  </si>
  <si>
    <t>ENST00000402077</t>
  </si>
  <si>
    <t>ENST00000483389</t>
  </si>
  <si>
    <t>ENST00000478231</t>
  </si>
  <si>
    <t>ENST00000462640</t>
  </si>
  <si>
    <t>ENSG00000100380</t>
  </si>
  <si>
    <t>ENSG00000100385</t>
  </si>
  <si>
    <t>ENST00000216223</t>
  </si>
  <si>
    <t>ENST00000483573</t>
  </si>
  <si>
    <t>ENST00000440958</t>
  </si>
  <si>
    <t>ENSG00000100387</t>
  </si>
  <si>
    <t>ENSG00000100401</t>
  </si>
  <si>
    <t>ENSG00000100403</t>
  </si>
  <si>
    <t>ENST00000352645</t>
  </si>
  <si>
    <t>ENST00000486331</t>
  </si>
  <si>
    <t>ENSG00000100410</t>
  </si>
  <si>
    <t>ENSG00000100412</t>
  </si>
  <si>
    <t>ENSG00000100413</t>
  </si>
  <si>
    <t>ENST00000355209</t>
  </si>
  <si>
    <t>ENST00000431534</t>
  </si>
  <si>
    <t>ENST00000483837</t>
  </si>
  <si>
    <t>ENSG00000100416</t>
  </si>
  <si>
    <t>ENST00000290846</t>
  </si>
  <si>
    <t>ENST00000479648</t>
  </si>
  <si>
    <t>ENST00000491612</t>
  </si>
  <si>
    <t>ENST00000485559</t>
  </si>
  <si>
    <t>ENST00000470831</t>
  </si>
  <si>
    <t>ENSG00000100417</t>
  </si>
  <si>
    <t>ENSG00000100429</t>
  </si>
  <si>
    <t>ENST00000475965</t>
  </si>
  <si>
    <t>ENST00000488270</t>
  </si>
  <si>
    <t>ENSG00000100441</t>
  </si>
  <si>
    <t>ENSG00000100442</t>
  </si>
  <si>
    <t>ENSG00000100445</t>
  </si>
  <si>
    <t>ENST00000544691</t>
  </si>
  <si>
    <t>ENST00000556548</t>
  </si>
  <si>
    <t>ENST00000556262</t>
  </si>
  <si>
    <t>ENST00000538105</t>
  </si>
  <si>
    <t>ENST00000553546</t>
  </si>
  <si>
    <t>ENST00000554947</t>
  </si>
  <si>
    <t>ENST00000555355</t>
  </si>
  <si>
    <t>ENST00000555778</t>
  </si>
  <si>
    <t>ENST00000399390</t>
  </si>
  <si>
    <t>ENSG00000100461</t>
  </si>
  <si>
    <t>ENST00000359890</t>
  </si>
  <si>
    <t>ENST00000557667</t>
  </si>
  <si>
    <t>ENST00000399922</t>
  </si>
  <si>
    <t>ENST00000556838</t>
  </si>
  <si>
    <t>ENST00000557245</t>
  </si>
  <si>
    <t>ENST00000556186</t>
  </si>
  <si>
    <t>ENST00000553738</t>
  </si>
  <si>
    <t>ENST00000556687</t>
  </si>
  <si>
    <t>ENST00000554955</t>
  </si>
  <si>
    <t>ENST00000553876</t>
  </si>
  <si>
    <t>ENST00000555691</t>
  </si>
  <si>
    <t>ENSG00000100462</t>
  </si>
  <si>
    <t>ENSG00000100478</t>
  </si>
  <si>
    <t>ENST00000542754</t>
  </si>
  <si>
    <t>ENST00000216366</t>
  </si>
  <si>
    <t>ENST00000556480</t>
  </si>
  <si>
    <t>ENSG00000100485</t>
  </si>
  <si>
    <t>ENST00000216373</t>
  </si>
  <si>
    <t>ENST00000555794</t>
  </si>
  <si>
    <t>ENSG00000100519</t>
  </si>
  <si>
    <t>ENSG00000100522</t>
  </si>
  <si>
    <t>ENSG00000100523</t>
  </si>
  <si>
    <t>ENSG00000100554</t>
  </si>
  <si>
    <t>ENSG00000100567</t>
  </si>
  <si>
    <t>ENST00000216455</t>
  </si>
  <si>
    <t>ENST00000554812</t>
  </si>
  <si>
    <t>ENST00000553665</t>
  </si>
  <si>
    <t>ENST00000412908</t>
  </si>
  <si>
    <t>ENST00000555743</t>
  </si>
  <si>
    <t>ENST00000556321</t>
  </si>
  <si>
    <t>ENST00000554207</t>
  </si>
  <si>
    <t>ENST00000557290</t>
  </si>
  <si>
    <t>ENSG00000100568</t>
  </si>
  <si>
    <t>ENSG00000100575</t>
  </si>
  <si>
    <t>ENSG00000100577</t>
  </si>
  <si>
    <t>ENST00000555093</t>
  </si>
  <si>
    <t>ENST00000555208</t>
  </si>
  <si>
    <t>ENSG00000100578</t>
  </si>
  <si>
    <t>ENST00000557392</t>
  </si>
  <si>
    <t>ENST00000556235</t>
  </si>
  <si>
    <t>ENSG00000100591</t>
  </si>
  <si>
    <t>ENSG00000100596</t>
  </si>
  <si>
    <t>ENSG00000100600</t>
  </si>
  <si>
    <t>ENST00000556790</t>
  </si>
  <si>
    <t>ENST00000557725</t>
  </si>
  <si>
    <t>ENST00000557694</t>
  </si>
  <si>
    <t>ENST00000557315</t>
  </si>
  <si>
    <t>ENSG00000100603</t>
  </si>
  <si>
    <t>ENSG00000100612</t>
  </si>
  <si>
    <t>ENST00000216500</t>
  </si>
  <si>
    <t>ENST00000554101</t>
  </si>
  <si>
    <t>ENST00000556502</t>
  </si>
  <si>
    <t>ENST00000555171</t>
  </si>
  <si>
    <t>ENST00000557185</t>
  </si>
  <si>
    <t>ENSG00000100632</t>
  </si>
  <si>
    <t>ENSG00000100664</t>
  </si>
  <si>
    <t>ENSG00000100697</t>
  </si>
  <si>
    <t>ENSG00000100714</t>
  </si>
  <si>
    <t>ENSG00000100722</t>
  </si>
  <si>
    <t>ENST00000251038</t>
  </si>
  <si>
    <t>ENST00000302216</t>
  </si>
  <si>
    <t>ENST00000556945</t>
  </si>
  <si>
    <t>ENST00000557693</t>
  </si>
  <si>
    <t>ENST00000556000</t>
  </si>
  <si>
    <t>ENST00000557605</t>
  </si>
  <si>
    <t>ENST00000557491</t>
  </si>
  <si>
    <t>ENSG00000100726</t>
  </si>
  <si>
    <t>ENSG00000100744</t>
  </si>
  <si>
    <t>ENSG00000100749</t>
  </si>
  <si>
    <t>ENSG00000100764</t>
  </si>
  <si>
    <t>ENSG00000100784</t>
  </si>
  <si>
    <t>ENSG00000100796</t>
  </si>
  <si>
    <t>ENSG00000100804</t>
  </si>
  <si>
    <t>ENSG00000100811</t>
  </si>
  <si>
    <t>ENSG00000100813</t>
  </si>
  <si>
    <t>ENST00000553501</t>
  </si>
  <si>
    <t>ENSG00000100823</t>
  </si>
  <si>
    <t>ENSG00000100836</t>
  </si>
  <si>
    <t>ENSG00000100852</t>
  </si>
  <si>
    <t>ENST00000216743</t>
  </si>
  <si>
    <t>ENST00000345122</t>
  </si>
  <si>
    <t>ENST00000432921</t>
  </si>
  <si>
    <t>ENSG00000100865</t>
  </si>
  <si>
    <t>ENSG00000100883</t>
  </si>
  <si>
    <t>ENSG00000100889</t>
  </si>
  <si>
    <t>ENSG00000100897</t>
  </si>
  <si>
    <t>ENST00000559115</t>
  </si>
  <si>
    <t>ENST00000557810</t>
  </si>
  <si>
    <t>ENST00000446197</t>
  </si>
  <si>
    <t>ENST00000558408</t>
  </si>
  <si>
    <t>ENST00000557888</t>
  </si>
  <si>
    <t>ENST00000558624</t>
  </si>
  <si>
    <t>ENST00000559144</t>
  </si>
  <si>
    <t>ENST00000559472</t>
  </si>
  <si>
    <t>ENSG00000100902</t>
  </si>
  <si>
    <t>ENSG00000100906</t>
  </si>
  <si>
    <t>ENST00000216797</t>
  </si>
  <si>
    <t>ENST00000557140</t>
  </si>
  <si>
    <t>ENST00000557389</t>
  </si>
  <si>
    <t>ENST00000555371</t>
  </si>
  <si>
    <t>ENST00000556664</t>
  </si>
  <si>
    <t>ENST00000557459</t>
  </si>
  <si>
    <t>ENST00000555629</t>
  </si>
  <si>
    <t>ENSG00000100911</t>
  </si>
  <si>
    <t>ENSG00000100934</t>
  </si>
  <si>
    <t>ENSG00000100938</t>
  </si>
  <si>
    <t>ENSG00000100949</t>
  </si>
  <si>
    <t>ENSG00000100982</t>
  </si>
  <si>
    <t>ENSG00000100994</t>
  </si>
  <si>
    <t>ENSG00000100997</t>
  </si>
  <si>
    <t>ENSG00000101019</t>
  </si>
  <si>
    <t>ENST00000472559</t>
  </si>
  <si>
    <t>ENST00000374385</t>
  </si>
  <si>
    <t>ENST00000497717</t>
  </si>
  <si>
    <t>ENST00000397554</t>
  </si>
  <si>
    <t>ENSG00000101040</t>
  </si>
  <si>
    <t>ENST00000360911</t>
  </si>
  <si>
    <t>ENST00000352431</t>
  </si>
  <si>
    <t>ENSG00000101082</t>
  </si>
  <si>
    <t>ENST00000262866</t>
  </si>
  <si>
    <t>ENST00000360672</t>
  </si>
  <si>
    <t>ENSG00000101096</t>
  </si>
  <si>
    <t>ENST00000371564</t>
  </si>
  <si>
    <t>ENST00000396009</t>
  </si>
  <si>
    <t>ENST00000496054</t>
  </si>
  <si>
    <t>ENSG00000101109</t>
  </si>
  <si>
    <t>ENSG00000101126</t>
  </si>
  <si>
    <t>ENSG00000101138</t>
  </si>
  <si>
    <t>ENSG00000101146</t>
  </si>
  <si>
    <t>ENSG00000101150</t>
  </si>
  <si>
    <t>ENSG00000101158</t>
  </si>
  <si>
    <t>ENST00000602795</t>
  </si>
  <si>
    <t>ENST00000471621</t>
  </si>
  <si>
    <t>ENST00000492016</t>
  </si>
  <si>
    <t>ENST00000464363</t>
  </si>
  <si>
    <t>ENST00000474543</t>
  </si>
  <si>
    <t>ENST00000478389</t>
  </si>
  <si>
    <t>ENST00000497935</t>
  </si>
  <si>
    <t>ENST00000490205</t>
  </si>
  <si>
    <t>ENST00000344018</t>
  </si>
  <si>
    <t>ENSG00000101160</t>
  </si>
  <si>
    <t>ENSG00000101166</t>
  </si>
  <si>
    <t>ENST00000355937</t>
  </si>
  <si>
    <t>ENST00000463057</t>
  </si>
  <si>
    <t>ENST00000466051</t>
  </si>
  <si>
    <t>ENSG00000101181</t>
  </si>
  <si>
    <t>ENST00000471352</t>
  </si>
  <si>
    <t>ENST00000461411</t>
  </si>
  <si>
    <t>ENST00000488748</t>
  </si>
  <si>
    <t>ENSG00000101182</t>
  </si>
  <si>
    <t>ENSG00000101191</t>
  </si>
  <si>
    <t>ENSG00000101199</t>
  </si>
  <si>
    <t>ENST00000522959</t>
  </si>
  <si>
    <t>ENSG00000101216</t>
  </si>
  <si>
    <t>ENSG00000101224</t>
  </si>
  <si>
    <t>ENST00000467519</t>
  </si>
  <si>
    <t>ENST00000245960</t>
  </si>
  <si>
    <t>ENST00000495915</t>
  </si>
  <si>
    <t>ENSG00000101265</t>
  </si>
  <si>
    <t>ENSG00000101266</t>
  </si>
  <si>
    <t>ENSG00000101290</t>
  </si>
  <si>
    <t>ENSG00000101310</t>
  </si>
  <si>
    <t>ENSG00000101337</t>
  </si>
  <si>
    <t>ENSG00000101343</t>
  </si>
  <si>
    <t>ENST00000377340</t>
  </si>
  <si>
    <t>ENST00000536226</t>
  </si>
  <si>
    <t>ENST00000490258</t>
  </si>
  <si>
    <t>ENSG00000101346</t>
  </si>
  <si>
    <t>ENSG00000101347</t>
  </si>
  <si>
    <t>ENSG00000101361</t>
  </si>
  <si>
    <t>ENSG00000101365</t>
  </si>
  <si>
    <t>ENSG00000101391</t>
  </si>
  <si>
    <t>ENST00000346416</t>
  </si>
  <si>
    <t>ENST00000461710</t>
  </si>
  <si>
    <t>ENST00000473791</t>
  </si>
  <si>
    <t>ENSG00000101407</t>
  </si>
  <si>
    <t>ENSG00000101444</t>
  </si>
  <si>
    <t>ENSG00000101457</t>
  </si>
  <si>
    <t>ENSG00000101473</t>
  </si>
  <si>
    <t>ENST00000217455</t>
  </si>
  <si>
    <t>ENST00000484975</t>
  </si>
  <si>
    <t>ENST00000484783</t>
  </si>
  <si>
    <t>ENSG00000101546</t>
  </si>
  <si>
    <t>ENST00000306735</t>
  </si>
  <si>
    <t>ENST00000591612</t>
  </si>
  <si>
    <t>ENST00000593019</t>
  </si>
  <si>
    <t>ENSG00000101557</t>
  </si>
  <si>
    <t>ENSG00000101558</t>
  </si>
  <si>
    <t>ENSG00000101577</t>
  </si>
  <si>
    <t>ENST00000261596</t>
  </si>
  <si>
    <t>ENST00000584294</t>
  </si>
  <si>
    <t>ENST00000584915</t>
  </si>
  <si>
    <t>ENSG00000101596</t>
  </si>
  <si>
    <t>ENSG00000101608</t>
  </si>
  <si>
    <t>ENST00000580353</t>
  </si>
  <si>
    <t>ENSG00000101624</t>
  </si>
  <si>
    <t>ENST00000262127</t>
  </si>
  <si>
    <t>ENST00000585751</t>
  </si>
  <si>
    <t>ENSG00000101654</t>
  </si>
  <si>
    <t>ENSG00000101751</t>
  </si>
  <si>
    <t>ENST00000577971</t>
  </si>
  <si>
    <t>ENST00000583576</t>
  </si>
  <si>
    <t>ENST00000577727</t>
  </si>
  <si>
    <t>ENSG00000101752</t>
  </si>
  <si>
    <t>ENSG00000101773</t>
  </si>
  <si>
    <t>ENST00000327155</t>
  </si>
  <si>
    <t>ENST00000580892</t>
  </si>
  <si>
    <t>ENST00000581687</t>
  </si>
  <si>
    <t>ENSG00000101782</t>
  </si>
  <si>
    <t>ENST00000339486</t>
  </si>
  <si>
    <t>ENST00000584960</t>
  </si>
  <si>
    <t>ENST00000584052</t>
  </si>
  <si>
    <t>ENST00000581302</t>
  </si>
  <si>
    <t>ENST00000584992</t>
  </si>
  <si>
    <t>ENST00000581220</t>
  </si>
  <si>
    <t>ENSG00000101811</t>
  </si>
  <si>
    <t>ENST00000372972</t>
  </si>
  <si>
    <t>ENST00000415585</t>
  </si>
  <si>
    <t>ENSG00000101843</t>
  </si>
  <si>
    <t>ENSG00000101844</t>
  </si>
  <si>
    <t>ENST00000372232</t>
  </si>
  <si>
    <t>ENST00000372246</t>
  </si>
  <si>
    <t>ENST00000489247</t>
  </si>
  <si>
    <t>ENSG00000101849</t>
  </si>
  <si>
    <t>ENST00000217964</t>
  </si>
  <si>
    <t>ENST00000422314</t>
  </si>
  <si>
    <t>ENSG00000101888</t>
  </si>
  <si>
    <t>ENST00000372106</t>
  </si>
  <si>
    <t>ENST00000372103</t>
  </si>
  <si>
    <t>ENSG00000101901</t>
  </si>
  <si>
    <t>ENST00000371979</t>
  </si>
  <si>
    <t>ENST00000468657</t>
  </si>
  <si>
    <t>ENST00000473389</t>
  </si>
  <si>
    <t>ENST00000486578</t>
  </si>
  <si>
    <t>ENST00000474121</t>
  </si>
  <si>
    <t>ENST00000485371</t>
  </si>
  <si>
    <t>ENST00000487243</t>
  </si>
  <si>
    <t>ENSG00000101911</t>
  </si>
  <si>
    <t>ENSG00000101940</t>
  </si>
  <si>
    <t>ENST00000218056</t>
  </si>
  <si>
    <t>ENST00000472440</t>
  </si>
  <si>
    <t>ENST00000479279</t>
  </si>
  <si>
    <t>ENST00000495575</t>
  </si>
  <si>
    <t>ENST00000492873</t>
  </si>
  <si>
    <t>ENSG00000101945</t>
  </si>
  <si>
    <t>ENSG00000101997</t>
  </si>
  <si>
    <t>ENSG00000102030</t>
  </si>
  <si>
    <t>ENSG00000102054</t>
  </si>
  <si>
    <t>ENSG00000102081</t>
  </si>
  <si>
    <t>ENST00000370477</t>
  </si>
  <si>
    <t>ENST00000370475</t>
  </si>
  <si>
    <t>ENST00000475038</t>
  </si>
  <si>
    <t>ENST00000492846</t>
  </si>
  <si>
    <t>ENST00000478848</t>
  </si>
  <si>
    <t>ENST00000218200</t>
  </si>
  <si>
    <t>ENSG00000102096</t>
  </si>
  <si>
    <t>ENST00000376509</t>
  </si>
  <si>
    <t>ENST00000485431</t>
  </si>
  <si>
    <t>ENST00000442430</t>
  </si>
  <si>
    <t>ENSG00000102103</t>
  </si>
  <si>
    <t>ENST00000447146</t>
  </si>
  <si>
    <t>ENST00000473764</t>
  </si>
  <si>
    <t>ENST00000247140</t>
  </si>
  <si>
    <t>ENST00000477997</t>
  </si>
  <si>
    <t>ENST00000474671</t>
  </si>
  <si>
    <t>ENST00000463529</t>
  </si>
  <si>
    <t>ENST00000470059</t>
  </si>
  <si>
    <t>ENST00000465859</t>
  </si>
  <si>
    <t>ENST00000218224</t>
  </si>
  <si>
    <t>ENST00000376566</t>
  </si>
  <si>
    <t>ENST00000376563</t>
  </si>
  <si>
    <t>ENSG00000102119</t>
  </si>
  <si>
    <t>ENSG00000102144</t>
  </si>
  <si>
    <t>ENSG00000102158</t>
  </si>
  <si>
    <t>ENSG00000102178</t>
  </si>
  <si>
    <t>ENSG00000102181</t>
  </si>
  <si>
    <t>ENST00000370377</t>
  </si>
  <si>
    <t>ENST00000418547</t>
  </si>
  <si>
    <t>ENSG00000102225</t>
  </si>
  <si>
    <t>ENST00000357227</t>
  </si>
  <si>
    <t>ENST00000522234</t>
  </si>
  <si>
    <t>ENST00000428400</t>
  </si>
  <si>
    <t>ENST00000523699</t>
  </si>
  <si>
    <t>ENST00000523543</t>
  </si>
  <si>
    <t>ENST00000493213</t>
  </si>
  <si>
    <t>ENST00000462483</t>
  </si>
  <si>
    <t>ENSG00000102226</t>
  </si>
  <si>
    <t>ENSG00000102241</t>
  </si>
  <si>
    <t>ENSG00000102309</t>
  </si>
  <si>
    <t>ENSG00000102316</t>
  </si>
  <si>
    <t>ENSG00000102317</t>
  </si>
  <si>
    <t>ENSG00000102390</t>
  </si>
  <si>
    <t>ENSG00000102393</t>
  </si>
  <si>
    <t>ENSG00000102401</t>
  </si>
  <si>
    <t>ENSG00000102531</t>
  </si>
  <si>
    <t>ENST00000492622</t>
  </si>
  <si>
    <t>ENST00000378383</t>
  </si>
  <si>
    <t>ENST00000484074</t>
  </si>
  <si>
    <t>ENST00000398316</t>
  </si>
  <si>
    <t>ENSG00000102572</t>
  </si>
  <si>
    <t>ENST00000418038</t>
  </si>
  <si>
    <t>ENST00000397517</t>
  </si>
  <si>
    <t>ENSG00000102575</t>
  </si>
  <si>
    <t>ENST00000433365</t>
  </si>
  <si>
    <t>ENST00000588625</t>
  </si>
  <si>
    <t>ENST00000590832</t>
  </si>
  <si>
    <t>ENST00000588079</t>
  </si>
  <si>
    <t>ENSG00000102606</t>
  </si>
  <si>
    <t>ENST00000466143</t>
  </si>
  <si>
    <t>ENST00000375736</t>
  </si>
  <si>
    <t>ENST00000491688</t>
  </si>
  <si>
    <t>ENSG00000102699</t>
  </si>
  <si>
    <t>ENSG00000102710</t>
  </si>
  <si>
    <t>ENST00000484078</t>
  </si>
  <si>
    <t>ENST00000360252</t>
  </si>
  <si>
    <t>ENST00000475892</t>
  </si>
  <si>
    <t>ENST00000472948</t>
  </si>
  <si>
    <t>ENST00000469488</t>
  </si>
  <si>
    <t>ENST00000350612</t>
  </si>
  <si>
    <t>ENST00000473871</t>
  </si>
  <si>
    <t>ENST00000466563</t>
  </si>
  <si>
    <t>ENST00000493537</t>
  </si>
  <si>
    <t>ENST00000478911</t>
  </si>
  <si>
    <t>ENST00000497318</t>
  </si>
  <si>
    <t>ENST00000471868</t>
  </si>
  <si>
    <t>ENSG00000102738</t>
  </si>
  <si>
    <t>ENSG00000102760</t>
  </si>
  <si>
    <t>ENST00000379359</t>
  </si>
  <si>
    <t>ENST00000487837</t>
  </si>
  <si>
    <t>ENSG00000102763</t>
  </si>
  <si>
    <t>ENST00000281496</t>
  </si>
  <si>
    <t>ENST00000379302</t>
  </si>
  <si>
    <t>ENSG00000102786</t>
  </si>
  <si>
    <t>ENST00000469430</t>
  </si>
  <si>
    <t>ENST00000311234</t>
  </si>
  <si>
    <t>ENST00000497989</t>
  </si>
  <si>
    <t>ENST00000483441</t>
  </si>
  <si>
    <t>ENST00000493153</t>
  </si>
  <si>
    <t>ENST00000461515</t>
  </si>
  <si>
    <t>ENST00000442263</t>
  </si>
  <si>
    <t>ENSG00000102804</t>
  </si>
  <si>
    <t>ENSG00000102805</t>
  </si>
  <si>
    <t>ENSG00000102858</t>
  </si>
  <si>
    <t>ENST00000262370</t>
  </si>
  <si>
    <t>ENST00000590790</t>
  </si>
  <si>
    <t>ENST00000590457</t>
  </si>
  <si>
    <t>ENST00000585676</t>
  </si>
  <si>
    <t>ENSG00000102871</t>
  </si>
  <si>
    <t>ENSG00000102879</t>
  </si>
  <si>
    <t>ENSG00000102882</t>
  </si>
  <si>
    <t>ENSG00000102893</t>
  </si>
  <si>
    <t>ENST00000564873</t>
  </si>
  <si>
    <t>ENST00000568171</t>
  </si>
  <si>
    <t>ENST00000566319</t>
  </si>
  <si>
    <t>ENSG00000102898</t>
  </si>
  <si>
    <t>ENSG00000102900</t>
  </si>
  <si>
    <t>ENSG00000102908</t>
  </si>
  <si>
    <t>ENSG00000102910</t>
  </si>
  <si>
    <t>ENST00000285737</t>
  </si>
  <si>
    <t>ENST00000566719</t>
  </si>
  <si>
    <t>ENSG00000102921</t>
  </si>
  <si>
    <t>ENSG00000102974</t>
  </si>
  <si>
    <t>ENSG00000102977</t>
  </si>
  <si>
    <t>ENST00000393919</t>
  </si>
  <si>
    <t>ENST00000602656</t>
  </si>
  <si>
    <t>ENST00000602622</t>
  </si>
  <si>
    <t>ENST00000602519</t>
  </si>
  <si>
    <t>ENST00000602780</t>
  </si>
  <si>
    <t>ENSG00000102978</t>
  </si>
  <si>
    <t>ENSG00000103018</t>
  </si>
  <si>
    <t>ENSG00000103035</t>
  </si>
  <si>
    <t>ENSG00000103043</t>
  </si>
  <si>
    <t>ENSG00000103051</t>
  </si>
  <si>
    <t>ENSG00000103061</t>
  </si>
  <si>
    <t>ENSG00000103091</t>
  </si>
  <si>
    <t>ENSG00000103111</t>
  </si>
  <si>
    <t>ENSG00000103121</t>
  </si>
  <si>
    <t>ENST00000562828</t>
  </si>
  <si>
    <t>ENSG00000103126</t>
  </si>
  <si>
    <t>ENST00000354866</t>
  </si>
  <si>
    <t>ENST00000262320</t>
  </si>
  <si>
    <t>ENST00000461023</t>
  </si>
  <si>
    <t>ENSG00000103148</t>
  </si>
  <si>
    <t>ENSG00000103150</t>
  </si>
  <si>
    <t>ENSG00000103152</t>
  </si>
  <si>
    <t>ENST00000356432</t>
  </si>
  <si>
    <t>ENST00000475280</t>
  </si>
  <si>
    <t>ENSG00000103160</t>
  </si>
  <si>
    <t>ENSG00000103168</t>
  </si>
  <si>
    <t>ENST00000564774</t>
  </si>
  <si>
    <t>ENST00000562445</t>
  </si>
  <si>
    <t>ENST00000566183</t>
  </si>
  <si>
    <t>ENSG00000103174</t>
  </si>
  <si>
    <t>ENST00000312251</t>
  </si>
  <si>
    <t>ENST00000564397</t>
  </si>
  <si>
    <t>ENST00000566137</t>
  </si>
  <si>
    <t>ENST00000567739</t>
  </si>
  <si>
    <t>ENST00000568528</t>
  </si>
  <si>
    <t>ENST00000569793</t>
  </si>
  <si>
    <t>ENSG00000103187</t>
  </si>
  <si>
    <t>ENSG00000103194</t>
  </si>
  <si>
    <t>ENSG00000103197</t>
  </si>
  <si>
    <t>ENST00000219476</t>
  </si>
  <si>
    <t>ENST00000461648</t>
  </si>
  <si>
    <t>ENST00000568692</t>
  </si>
  <si>
    <t>ENST00000463601</t>
  </si>
  <si>
    <t>ENST00000490108</t>
  </si>
  <si>
    <t>ENST00000568238</t>
  </si>
  <si>
    <t>ENST00000488675</t>
  </si>
  <si>
    <t>ENST00000563346</t>
  </si>
  <si>
    <t>ENST00000463808</t>
  </si>
  <si>
    <t>ENST00000561695</t>
  </si>
  <si>
    <t>ENST00000569930</t>
  </si>
  <si>
    <t>ENSG00000103245</t>
  </si>
  <si>
    <t>ENST00000568545</t>
  </si>
  <si>
    <t>ENST00000566650</t>
  </si>
  <si>
    <t>ENST00000540986</t>
  </si>
  <si>
    <t>ENST00000563051</t>
  </si>
  <si>
    <t>ENST00000564285</t>
  </si>
  <si>
    <t>ENST00000565341</t>
  </si>
  <si>
    <t>ENST00000569759</t>
  </si>
  <si>
    <t>ENST00000563534</t>
  </si>
  <si>
    <t>ENST00000567455</t>
  </si>
  <si>
    <t>ENST00000567172</t>
  </si>
  <si>
    <t>ENSG00000103248</t>
  </si>
  <si>
    <t>ENST00000562096</t>
  </si>
  <si>
    <t>ENST00000562940</t>
  </si>
  <si>
    <t>ENST00000566469</t>
  </si>
  <si>
    <t>ENST00000565482</t>
  </si>
  <si>
    <t>ENSG00000103249</t>
  </si>
  <si>
    <t>ENST00000563642</t>
  </si>
  <si>
    <t>ENST00000382745</t>
  </si>
  <si>
    <t>ENST00000565092</t>
  </si>
  <si>
    <t>ENST00000567836</t>
  </si>
  <si>
    <t>ENST00000567789</t>
  </si>
  <si>
    <t>ENST00000563822</t>
  </si>
  <si>
    <t>ENST00000564968</t>
  </si>
  <si>
    <t>ENST00000567139</t>
  </si>
  <si>
    <t>ENSG00000103257</t>
  </si>
  <si>
    <t>ENSG00000103266</t>
  </si>
  <si>
    <t>ENSG00000103274</t>
  </si>
  <si>
    <t>ENST00000283027</t>
  </si>
  <si>
    <t>ENST00000571175</t>
  </si>
  <si>
    <t>ENSG00000103275</t>
  </si>
  <si>
    <t>ENSG00000103342</t>
  </si>
  <si>
    <t>ENST00000434724</t>
  </si>
  <si>
    <t>ENST00000439887</t>
  </si>
  <si>
    <t>ENST00000563468</t>
  </si>
  <si>
    <t>ENST00000562794</t>
  </si>
  <si>
    <t>ENST00000567631</t>
  </si>
  <si>
    <t>ENSG00000103343</t>
  </si>
  <si>
    <t>ENSG00000103353</t>
  </si>
  <si>
    <t>ENSG00000103356</t>
  </si>
  <si>
    <t>ENSG00000103363</t>
  </si>
  <si>
    <t>ENSG00000103365</t>
  </si>
  <si>
    <t>ENSG00000103381</t>
  </si>
  <si>
    <t>ENSG00000103423</t>
  </si>
  <si>
    <t>ENSG00000103479</t>
  </si>
  <si>
    <t>ENSG00000103490</t>
  </si>
  <si>
    <t>ENST00000247470</t>
  </si>
  <si>
    <t>ENST00000565022</t>
  </si>
  <si>
    <t>ENSG00000103495</t>
  </si>
  <si>
    <t>ENST00000545521</t>
  </si>
  <si>
    <t>ENST00000322945</t>
  </si>
  <si>
    <t>ENST00000219782</t>
  </si>
  <si>
    <t>ENST00000567444</t>
  </si>
  <si>
    <t>ENST00000568544</t>
  </si>
  <si>
    <t>ENST00000569978</t>
  </si>
  <si>
    <t>ENST00000565777</t>
  </si>
  <si>
    <t>ENSG00000103496</t>
  </si>
  <si>
    <t>ENSG00000103507</t>
  </si>
  <si>
    <t>ENST00000394950</t>
  </si>
  <si>
    <t>ENST00000219794</t>
  </si>
  <si>
    <t>ENST00000566568</t>
  </si>
  <si>
    <t>ENST00000567676</t>
  </si>
  <si>
    <t>ENSG00000103510</t>
  </si>
  <si>
    <t>ENSG00000103512</t>
  </si>
  <si>
    <t>ENSG00000103540</t>
  </si>
  <si>
    <t>ENST00000396212</t>
  </si>
  <si>
    <t>ENST00000566523</t>
  </si>
  <si>
    <t>ENST00000562616</t>
  </si>
  <si>
    <t>ENST00000567451</t>
  </si>
  <si>
    <t>ENSG00000103544</t>
  </si>
  <si>
    <t>ENSG00000103549</t>
  </si>
  <si>
    <t>ENSG00000103550</t>
  </si>
  <si>
    <t>ENSG00000103642</t>
  </si>
  <si>
    <t>ENSG00000103653</t>
  </si>
  <si>
    <t>ENST00000563010</t>
  </si>
  <si>
    <t>ENSG00000103657</t>
  </si>
  <si>
    <t>ENSG00000103707</t>
  </si>
  <si>
    <t>ENST00000220058</t>
  </si>
  <si>
    <t>ENST00000559633</t>
  </si>
  <si>
    <t>ENSG00000103876</t>
  </si>
  <si>
    <t>ENSG00000103932</t>
  </si>
  <si>
    <t>ENST00000304330</t>
  </si>
  <si>
    <t>ENST00000562303</t>
  </si>
  <si>
    <t>ENST00000564934</t>
  </si>
  <si>
    <t>ENST00000561631</t>
  </si>
  <si>
    <t>ENST00000563293</t>
  </si>
  <si>
    <t>ENST00000569829</t>
  </si>
  <si>
    <t>ENSG00000103966</t>
  </si>
  <si>
    <t>ENSG00000103978</t>
  </si>
  <si>
    <t>ENSG00000103994</t>
  </si>
  <si>
    <t>ENSG00000104064</t>
  </si>
  <si>
    <t>ENST00000380877</t>
  </si>
  <si>
    <t>ENST00000220429</t>
  </si>
  <si>
    <t>ENST00000429662</t>
  </si>
  <si>
    <t>ENST00000396464</t>
  </si>
  <si>
    <t>ENST00000560825</t>
  </si>
  <si>
    <t>ENST00000559100</t>
  </si>
  <si>
    <t>ENST00000359031</t>
  </si>
  <si>
    <t>ENSG00000104129</t>
  </si>
  <si>
    <t>ENSG00000104131</t>
  </si>
  <si>
    <t>ENSG00000104133</t>
  </si>
  <si>
    <t>ENSG00000104164</t>
  </si>
  <si>
    <t>ENSG00000104177</t>
  </si>
  <si>
    <t>ENST00000558289</t>
  </si>
  <si>
    <t>ENST00000559057</t>
  </si>
  <si>
    <t>ENST00000561351</t>
  </si>
  <si>
    <t>ENSG00000104205</t>
  </si>
  <si>
    <t>ENST00000521435</t>
  </si>
  <si>
    <t>ENST00000523260</t>
  </si>
  <si>
    <t>ENSG00000104219</t>
  </si>
  <si>
    <t>ENSG00000104228</t>
  </si>
  <si>
    <t>ENST00000305364</t>
  </si>
  <si>
    <t>ENST00000519219</t>
  </si>
  <si>
    <t>ENSG00000104231</t>
  </si>
  <si>
    <t>ENST00000524305</t>
  </si>
  <si>
    <t>ENST00000220669</t>
  </si>
  <si>
    <t>ENST00000522520</t>
  </si>
  <si>
    <t>ENST00000519338</t>
  </si>
  <si>
    <t>ENST00000519464</t>
  </si>
  <si>
    <t>ENST00000517588</t>
  </si>
  <si>
    <t>ENST00000519523</t>
  </si>
  <si>
    <t>ENST00000524339</t>
  </si>
  <si>
    <t>ENST00000519820</t>
  </si>
  <si>
    <t>ENSG00000104299</t>
  </si>
  <si>
    <t>ENSG00000104312</t>
  </si>
  <si>
    <t>ENST00000220751</t>
  </si>
  <si>
    <t>ENST00000522965</t>
  </si>
  <si>
    <t>ENSG00000104320</t>
  </si>
  <si>
    <t>ENSG00000104325</t>
  </si>
  <si>
    <t>ENST00000220764</t>
  </si>
  <si>
    <t>ENST00000521603</t>
  </si>
  <si>
    <t>ENST00000517597</t>
  </si>
  <si>
    <t>ENST00000522161</t>
  </si>
  <si>
    <t>ENST00000517761</t>
  </si>
  <si>
    <t>ENST00000522583</t>
  </si>
  <si>
    <t>ENST00000524326</t>
  </si>
  <si>
    <t>ENST00000524332</t>
  </si>
  <si>
    <t>ENST00000520148</t>
  </si>
  <si>
    <t>ENSG00000104331</t>
  </si>
  <si>
    <t>ENSG00000104343</t>
  </si>
  <si>
    <t>ENSG00000104365</t>
  </si>
  <si>
    <t>ENSG00000104408</t>
  </si>
  <si>
    <t>ENSG00000104412</t>
  </si>
  <si>
    <t>ENSG00000104419</t>
  </si>
  <si>
    <t>ENST00000521438</t>
  </si>
  <si>
    <t>ENSG00000104472</t>
  </si>
  <si>
    <t>ENSG00000104517</t>
  </si>
  <si>
    <t>ENST00000520539</t>
  </si>
  <si>
    <t>ENST00000220959</t>
  </si>
  <si>
    <t>ENST00000518205</t>
  </si>
  <si>
    <t>ENST00000521922</t>
  </si>
  <si>
    <t>ENST00000521312</t>
  </si>
  <si>
    <t>ENST00000518145</t>
  </si>
  <si>
    <t>ENST00000522327</t>
  </si>
  <si>
    <t>ENSG00000104522</t>
  </si>
  <si>
    <t>ENSG00000104529</t>
  </si>
  <si>
    <t>ENST00000532400</t>
  </si>
  <si>
    <t>ENST00000530109</t>
  </si>
  <si>
    <t>ENST00000527741</t>
  </si>
  <si>
    <t>ENST00000532741</t>
  </si>
  <si>
    <t>ENST00000526838</t>
  </si>
  <si>
    <t>ENST00000528610</t>
  </si>
  <si>
    <t>ENST00000533833</t>
  </si>
  <si>
    <t>ENST00000395119</t>
  </si>
  <si>
    <t>ENST00000529272</t>
  </si>
  <si>
    <t>ENST00000529007</t>
  </si>
  <si>
    <t>ENST00000531621</t>
  </si>
  <si>
    <t>ENST00000524397</t>
  </si>
  <si>
    <t>ENST00000534380</t>
  </si>
  <si>
    <t>ENST00000534377</t>
  </si>
  <si>
    <t>ENST00000526786</t>
  </si>
  <si>
    <t>ENST00000530616</t>
  </si>
  <si>
    <t>ENST00000530848</t>
  </si>
  <si>
    <t>ENST00000530445</t>
  </si>
  <si>
    <t>ENST00000529516</t>
  </si>
  <si>
    <t>ENST00000525695</t>
  </si>
  <si>
    <t>ENST00000525223</t>
  </si>
  <si>
    <t>ENST00000526710</t>
  </si>
  <si>
    <t>ENST00000524883</t>
  </si>
  <si>
    <t>ENST00000528519</t>
  </si>
  <si>
    <t>ENST00000317198</t>
  </si>
  <si>
    <t>ENSG00000104549</t>
  </si>
  <si>
    <t>ENSG00000104613</t>
  </si>
  <si>
    <t>ENSG00000104643</t>
  </si>
  <si>
    <t>ENST00000221086</t>
  </si>
  <si>
    <t>ENST00000528389</t>
  </si>
  <si>
    <t>ENSG00000104671</t>
  </si>
  <si>
    <t>ENSG00000104679</t>
  </si>
  <si>
    <t>ENST00000265806</t>
  </si>
  <si>
    <t>ENST00000521588</t>
  </si>
  <si>
    <t>ENST00000520480</t>
  </si>
  <si>
    <t>ENST00000523720</t>
  </si>
  <si>
    <t>ENSG00000104695</t>
  </si>
  <si>
    <t>ENSG00000104731</t>
  </si>
  <si>
    <t>ENST00000270583</t>
  </si>
  <si>
    <t>ENST00000566661</t>
  </si>
  <si>
    <t>ENST00000562913</t>
  </si>
  <si>
    <t>ENST00000562872</t>
  </si>
  <si>
    <t>ENSG00000104738</t>
  </si>
  <si>
    <t>ENSG00000104756</t>
  </si>
  <si>
    <t>ENSG00000104763</t>
  </si>
  <si>
    <t>ENSG00000104774</t>
  </si>
  <si>
    <t>ENSG00000104805</t>
  </si>
  <si>
    <t>ENSG00000104812</t>
  </si>
  <si>
    <t>ENST00000323798</t>
  </si>
  <si>
    <t>ENST00000594220</t>
  </si>
  <si>
    <t>ENST00000472004</t>
  </si>
  <si>
    <t>ENST00000496048</t>
  </si>
  <si>
    <t>ENST00000484289</t>
  </si>
  <si>
    <t>ENSG00000104814</t>
  </si>
  <si>
    <t>ENST00000593196</t>
  </si>
  <si>
    <t>ENST00000591517</t>
  </si>
  <si>
    <t>ENST00000396857</t>
  </si>
  <si>
    <t>ENST00000591210</t>
  </si>
  <si>
    <t>ENST00000591921</t>
  </si>
  <si>
    <t>ENST00000588938</t>
  </si>
  <si>
    <t>ENST00000592888</t>
  </si>
  <si>
    <t>ENST00000591707</t>
  </si>
  <si>
    <t>ENST00000592225</t>
  </si>
  <si>
    <t>ENST00000588083</t>
  </si>
  <si>
    <t>ENST00000587300</t>
  </si>
  <si>
    <t>ENSG00000104823</t>
  </si>
  <si>
    <t>ENSG00000104824</t>
  </si>
  <si>
    <t>ENSG00000104825</t>
  </si>
  <si>
    <t>ENST00000572515</t>
  </si>
  <si>
    <t>ENST00000313582</t>
  </si>
  <si>
    <t>ENST00000392079</t>
  </si>
  <si>
    <t>ENSG00000104835</t>
  </si>
  <si>
    <t>ENSG00000104852</t>
  </si>
  <si>
    <t>ENSG00000104853</t>
  </si>
  <si>
    <t>ENSG00000104856</t>
  </si>
  <si>
    <t>ENSG00000104872</t>
  </si>
  <si>
    <t>ENSG00000104880</t>
  </si>
  <si>
    <t>ENSG00000104884</t>
  </si>
  <si>
    <t>ENSG00000104885</t>
  </si>
  <si>
    <t>ENST00000398665</t>
  </si>
  <si>
    <t>ENST00000482433</t>
  </si>
  <si>
    <t>ENST00000457590</t>
  </si>
  <si>
    <t>ENSG00000104889</t>
  </si>
  <si>
    <t>ENSG00000104897</t>
  </si>
  <si>
    <t>ENST00000592839</t>
  </si>
  <si>
    <t>ENSG00000104907</t>
  </si>
  <si>
    <t>ENST00000585435</t>
  </si>
  <si>
    <t>ENST00000586830</t>
  </si>
  <si>
    <t>ENST00000585622</t>
  </si>
  <si>
    <t>ENST00000588229</t>
  </si>
  <si>
    <t>ENST00000592606</t>
  </si>
  <si>
    <t>ENST00000357720</t>
  </si>
  <si>
    <t>ENST00000437766</t>
  </si>
  <si>
    <t>ENSG00000104946</t>
  </si>
  <si>
    <t>ENST00000221543</t>
  </si>
  <si>
    <t>ENST00000596243</t>
  </si>
  <si>
    <t>ENST00000600354</t>
  </si>
  <si>
    <t>ENSG00000104957</t>
  </si>
  <si>
    <t>ENSG00000104964</t>
  </si>
  <si>
    <t>ENSG00000104969</t>
  </si>
  <si>
    <t>ENSG00000104979</t>
  </si>
  <si>
    <t>ENSG00000104980</t>
  </si>
  <si>
    <t>ENSG00000105053</t>
  </si>
  <si>
    <t>ENST00000316763</t>
  </si>
  <si>
    <t>ENST00000377011</t>
  </si>
  <si>
    <t>ENST00000599538</t>
  </si>
  <si>
    <t>ENST00000601341</t>
  </si>
  <si>
    <t>ENST00000594948</t>
  </si>
  <si>
    <t>ENST00000598553</t>
  </si>
  <si>
    <t>ENST00000601912</t>
  </si>
  <si>
    <t>ENST00000594092</t>
  </si>
  <si>
    <t>ENST00000593919</t>
  </si>
  <si>
    <t>ENST00000594104</t>
  </si>
  <si>
    <t>ENST00000601849</t>
  </si>
  <si>
    <t>ENST00000600031</t>
  </si>
  <si>
    <t>ENST00000602029</t>
  </si>
  <si>
    <t>ENSG00000105058</t>
  </si>
  <si>
    <t>ENSG00000105063</t>
  </si>
  <si>
    <t>ENSG00000105085</t>
  </si>
  <si>
    <t>ENSG00000105122</t>
  </si>
  <si>
    <t>ENST00000597025</t>
  </si>
  <si>
    <t>ENSG00000105135</t>
  </si>
  <si>
    <t>ENSG00000105171</t>
  </si>
  <si>
    <t>ENSG00000105176</t>
  </si>
  <si>
    <t>ENST00000573052</t>
  </si>
  <si>
    <t>ENSG00000105185</t>
  </si>
  <si>
    <t>ENSG00000105186</t>
  </si>
  <si>
    <t>ENSG00000105193</t>
  </si>
  <si>
    <t>ENSG00000105197</t>
  </si>
  <si>
    <t>ENSG00000105202</t>
  </si>
  <si>
    <t>ENSG00000105220</t>
  </si>
  <si>
    <t>ENSG00000105221</t>
  </si>
  <si>
    <t>ENSG00000105223</t>
  </si>
  <si>
    <t>ENSG00000105229</t>
  </si>
  <si>
    <t>ENSG00000105254</t>
  </si>
  <si>
    <t>ENSG00000105258</t>
  </si>
  <si>
    <t>ENSG00000105281</t>
  </si>
  <si>
    <t>ENSG00000105287</t>
  </si>
  <si>
    <t>ENSG00000105321</t>
  </si>
  <si>
    <t>ENSG00000105323</t>
  </si>
  <si>
    <t>ENST00000352456</t>
  </si>
  <si>
    <t>ENST00000595018</t>
  </si>
  <si>
    <t>ENST00000392006</t>
  </si>
  <si>
    <t>ENST00000595196</t>
  </si>
  <si>
    <t>ENST00000602130</t>
  </si>
  <si>
    <t>ENST00000601336</t>
  </si>
  <si>
    <t>ENST00000595336</t>
  </si>
  <si>
    <t>ENST00000599521</t>
  </si>
  <si>
    <t>ENST00000600493</t>
  </si>
  <si>
    <t>ENST00000595806</t>
  </si>
  <si>
    <t>ENSG00000105325</t>
  </si>
  <si>
    <t>ENST00000441788</t>
  </si>
  <si>
    <t>ENST00000592214</t>
  </si>
  <si>
    <t>ENST00000586212</t>
  </si>
  <si>
    <t>ENST00000588084</t>
  </si>
  <si>
    <t>ENSG00000105327</t>
  </si>
  <si>
    <t>ENSG00000105329</t>
  </si>
  <si>
    <t>ENSG00000105341</t>
  </si>
  <si>
    <t>ENSG00000105364</t>
  </si>
  <si>
    <t>ENST00000253099</t>
  </si>
  <si>
    <t>ENST00000590669</t>
  </si>
  <si>
    <t>ENST00000393733</t>
  </si>
  <si>
    <t>ENST00000588502</t>
  </si>
  <si>
    <t>ENST00000588963</t>
  </si>
  <si>
    <t>ENST00000590702</t>
  </si>
  <si>
    <t>ENSG00000105372</t>
  </si>
  <si>
    <t>ENSG00000105373</t>
  </si>
  <si>
    <t>ENSG00000105379</t>
  </si>
  <si>
    <t>ENSG00000105393</t>
  </si>
  <si>
    <t>ENSG00000105397</t>
  </si>
  <si>
    <t>ENSG00000105401</t>
  </si>
  <si>
    <t>ENSG00000105402</t>
  </si>
  <si>
    <t>ENSG00000105443</t>
  </si>
  <si>
    <t>ENST00000452733</t>
  </si>
  <si>
    <t>ENST00000493260</t>
  </si>
  <si>
    <t>ENST00000474049</t>
  </si>
  <si>
    <t>ENST00000595765</t>
  </si>
  <si>
    <t>ENST00000474209</t>
  </si>
  <si>
    <t>ENST00000467412</t>
  </si>
  <si>
    <t>ENST00000427476</t>
  </si>
  <si>
    <t>ENSG00000105447</t>
  </si>
  <si>
    <t>ENSG00000105483</t>
  </si>
  <si>
    <t>ENST00000518622</t>
  </si>
  <si>
    <t>ENST00000377461</t>
  </si>
  <si>
    <t>ENST00000518979</t>
  </si>
  <si>
    <t>ENST00000520753</t>
  </si>
  <si>
    <t>ENST00000520153</t>
  </si>
  <si>
    <t>ENST00000522051</t>
  </si>
  <si>
    <t>ENST00000520015</t>
  </si>
  <si>
    <t>ENST00000521613</t>
  </si>
  <si>
    <t>ENST00000521415</t>
  </si>
  <si>
    <t>ENST00000519940</t>
  </si>
  <si>
    <t>ENST00000523668</t>
  </si>
  <si>
    <t>ENST00000523750</t>
  </si>
  <si>
    <t>ENST00000517778</t>
  </si>
  <si>
    <t>ENST00000521092</t>
  </si>
  <si>
    <t>ENST00000522431</t>
  </si>
  <si>
    <t>ENST00000519332</t>
  </si>
  <si>
    <t>ENST00000520007</t>
  </si>
  <si>
    <t>ENST00000521437</t>
  </si>
  <si>
    <t>ENST00000447740</t>
  </si>
  <si>
    <t>ENST00000391898</t>
  </si>
  <si>
    <t>ENSG00000105486</t>
  </si>
  <si>
    <t>ENSG00000105518</t>
  </si>
  <si>
    <t>ENSG00000105552</t>
  </si>
  <si>
    <t>ENSG00000105568</t>
  </si>
  <si>
    <t>ENSG00000105576</t>
  </si>
  <si>
    <t>ENST00000450764</t>
  </si>
  <si>
    <t>ENST00000592287</t>
  </si>
  <si>
    <t>ENST00000588216</t>
  </si>
  <si>
    <t>ENST00000587155</t>
  </si>
  <si>
    <t>ENST00000585886</t>
  </si>
  <si>
    <t>ENST00000587068</t>
  </si>
  <si>
    <t>ENST00000588491</t>
  </si>
  <si>
    <t>ENST00000588151</t>
  </si>
  <si>
    <t>ENST00000588484</t>
  </si>
  <si>
    <t>ENST00000590781</t>
  </si>
  <si>
    <t>ENSG00000105607</t>
  </si>
  <si>
    <t>ENST00000588242</t>
  </si>
  <si>
    <t>ENSG00000105612</t>
  </si>
  <si>
    <t>ENST00000222219</t>
  </si>
  <si>
    <t>ENST00000588777</t>
  </si>
  <si>
    <t>ENST00000586547</t>
  </si>
  <si>
    <t>ENSG00000105639</t>
  </si>
  <si>
    <t>ENSG00000105640</t>
  </si>
  <si>
    <t>ENSG00000105647</t>
  </si>
  <si>
    <t>ENSG00000105655</t>
  </si>
  <si>
    <t>ENST00000338128</t>
  </si>
  <si>
    <t>ENST00000582287</t>
  </si>
  <si>
    <t>ENST00000583309</t>
  </si>
  <si>
    <t>ENSG00000105656</t>
  </si>
  <si>
    <t>ENSG00000105669</t>
  </si>
  <si>
    <t>ENST00000262812</t>
  </si>
  <si>
    <t>ENST00000349893</t>
  </si>
  <si>
    <t>ENST00000595984</t>
  </si>
  <si>
    <t>ENST00000598969</t>
  </si>
  <si>
    <t>ENST00000597026</t>
  </si>
  <si>
    <t>ENSG00000105671</t>
  </si>
  <si>
    <t>ENSG00000105676</t>
  </si>
  <si>
    <t>ENST00000392335</t>
  </si>
  <si>
    <t>ENST00000269932</t>
  </si>
  <si>
    <t>ENST00000392336</t>
  </si>
  <si>
    <t>ENSG00000105698</t>
  </si>
  <si>
    <t>ENST00000343550</t>
  </si>
  <si>
    <t>ENST00000222305</t>
  </si>
  <si>
    <t>ENST00000595068</t>
  </si>
  <si>
    <t>ENST00000594064</t>
  </si>
  <si>
    <t>ENST00000598058</t>
  </si>
  <si>
    <t>ENST00000593708</t>
  </si>
  <si>
    <t>ENST00000607959</t>
  </si>
  <si>
    <t>ENST00000596380</t>
  </si>
  <si>
    <t>ENST00000599471</t>
  </si>
  <si>
    <t>ENST00000599625</t>
  </si>
  <si>
    <t>ENST00000600341</t>
  </si>
  <si>
    <t>ENST00000594264</t>
  </si>
  <si>
    <t>ENST00000600898</t>
  </si>
  <si>
    <t>ENSG00000105700</t>
  </si>
  <si>
    <t>ENST00000222307</t>
  </si>
  <si>
    <t>ENST00000601630</t>
  </si>
  <si>
    <t>ENST00000599000</t>
  </si>
  <si>
    <t>ENST00000595073</t>
  </si>
  <si>
    <t>ENST00000602094</t>
  </si>
  <si>
    <t>ENST00000598830</t>
  </si>
  <si>
    <t>ENST00000595870</t>
  </si>
  <si>
    <t>ENSG00000105701</t>
  </si>
  <si>
    <t>ENST00000222308</t>
  </si>
  <si>
    <t>ENST00000608443</t>
  </si>
  <si>
    <t>ENST00000596015</t>
  </si>
  <si>
    <t>ENST00000596494</t>
  </si>
  <si>
    <t>ENST00000599540</t>
  </si>
  <si>
    <t>ENSG00000105705</t>
  </si>
  <si>
    <t>ENSG00000105722</t>
  </si>
  <si>
    <t>ENST00000222329</t>
  </si>
  <si>
    <t>ENST00000595448</t>
  </si>
  <si>
    <t>ENST00000596818</t>
  </si>
  <si>
    <t>ENSG00000105723</t>
  </si>
  <si>
    <t>ENSG00000105726</t>
  </si>
  <si>
    <t>ENSG00000105732</t>
  </si>
  <si>
    <t>ENSG00000105738</t>
  </si>
  <si>
    <t>ENSG00000105755</t>
  </si>
  <si>
    <t>ENSG00000105771</t>
  </si>
  <si>
    <t>ENSG00000105778</t>
  </si>
  <si>
    <t>ENSG00000105793</t>
  </si>
  <si>
    <t>ENSG00000105810</t>
  </si>
  <si>
    <t>ENSG00000105819</t>
  </si>
  <si>
    <t>ENSG00000105821</t>
  </si>
  <si>
    <t>ENSG00000105835</t>
  </si>
  <si>
    <t>ENSG00000105849</t>
  </si>
  <si>
    <t>ENSG00000105851</t>
  </si>
  <si>
    <t>ENSG00000105856</t>
  </si>
  <si>
    <t>ENST00000468410</t>
  </si>
  <si>
    <t>ENST00000222574</t>
  </si>
  <si>
    <t>ENST00000479011</t>
  </si>
  <si>
    <t>ENST00000463202</t>
  </si>
  <si>
    <t>ENST00000498408</t>
  </si>
  <si>
    <t>ENST00000483809</t>
  </si>
  <si>
    <t>ENST00000607681</t>
  </si>
  <si>
    <t>ENSG00000105866</t>
  </si>
  <si>
    <t>ENSG00000105875</t>
  </si>
  <si>
    <t>ENST00000497853</t>
  </si>
  <si>
    <t>ENSG00000105887</t>
  </si>
  <si>
    <t>ENSG00000105939</t>
  </si>
  <si>
    <t>ENSG00000105953</t>
  </si>
  <si>
    <t>ENST00000443864</t>
  </si>
  <si>
    <t>ENST00000449767</t>
  </si>
  <si>
    <t>ENST00000222673</t>
  </si>
  <si>
    <t>ENST00000459672</t>
  </si>
  <si>
    <t>ENST00000497326</t>
  </si>
  <si>
    <t>ENSG00000105963</t>
  </si>
  <si>
    <t>ENST00000265846</t>
  </si>
  <si>
    <t>ENST00000478000</t>
  </si>
  <si>
    <t>ENST00000495809</t>
  </si>
  <si>
    <t>ENST00000481406</t>
  </si>
  <si>
    <t>ENST00000488527</t>
  </si>
  <si>
    <t>ENST00000495686</t>
  </si>
  <si>
    <t>ENSG00000105993</t>
  </si>
  <si>
    <t>ENST00000429029</t>
  </si>
  <si>
    <t>ENST00000262177</t>
  </si>
  <si>
    <t>ENST00000486083</t>
  </si>
  <si>
    <t>ENST00000459889</t>
  </si>
  <si>
    <t>ENST00000468928</t>
  </si>
  <si>
    <t>ENST00000487480</t>
  </si>
  <si>
    <t>ENST00000486247</t>
  </si>
  <si>
    <t>ENSG00000106009</t>
  </si>
  <si>
    <t>ENSG00000106028</t>
  </si>
  <si>
    <t>ENSG00000106049</t>
  </si>
  <si>
    <t>ENSG00000106052</t>
  </si>
  <si>
    <t>ENST00000265393</t>
  </si>
  <si>
    <t>ENST00000490455</t>
  </si>
  <si>
    <t>ENST00000396319</t>
  </si>
  <si>
    <t>ENSG00000106070</t>
  </si>
  <si>
    <t>ENST00000403097</t>
  </si>
  <si>
    <t>ENST00000461886</t>
  </si>
  <si>
    <t>ENST00000482397</t>
  </si>
  <si>
    <t>ENSG00000106105</t>
  </si>
  <si>
    <t>ENST00000470392</t>
  </si>
  <si>
    <t>ENSG00000106123</t>
  </si>
  <si>
    <t>ENST00000486511</t>
  </si>
  <si>
    <t>ENST00000471581</t>
  </si>
  <si>
    <t>ENSG00000106144</t>
  </si>
  <si>
    <t>ENSG00000106153</t>
  </si>
  <si>
    <t>ENSG00000106211</t>
  </si>
  <si>
    <t>ENSG00000106244</t>
  </si>
  <si>
    <t>ENSG00000106245</t>
  </si>
  <si>
    <t>ENSG00000106261</t>
  </si>
  <si>
    <t>ENSG00000106263</t>
  </si>
  <si>
    <t>ENSG00000106266</t>
  </si>
  <si>
    <t>ENSG00000106268</t>
  </si>
  <si>
    <t>ENST00000356714</t>
  </si>
  <si>
    <t>ENST00000454650</t>
  </si>
  <si>
    <t>ENST00000339737</t>
  </si>
  <si>
    <t>ENSG00000106290</t>
  </si>
  <si>
    <t>ENSG00000106305</t>
  </si>
  <si>
    <t>ENSG00000106344</t>
  </si>
  <si>
    <t>ENSG00000106348</t>
  </si>
  <si>
    <t>ENST00000460045</t>
  </si>
  <si>
    <t>ENST00000496487</t>
  </si>
  <si>
    <t>ENSG00000106355</t>
  </si>
  <si>
    <t>ENST00000450169</t>
  </si>
  <si>
    <t>ENST00000468872</t>
  </si>
  <si>
    <t>ENST00000223084</t>
  </si>
  <si>
    <t>ENST00000480956</t>
  </si>
  <si>
    <t>ENSG00000106392</t>
  </si>
  <si>
    <t>ENSG00000106397</t>
  </si>
  <si>
    <t>ENSG00000106399</t>
  </si>
  <si>
    <t>ENSG00000106415</t>
  </si>
  <si>
    <t>ENSG00000106460</t>
  </si>
  <si>
    <t>ENSG00000106462</t>
  </si>
  <si>
    <t>ENST00000492143</t>
  </si>
  <si>
    <t>ENST00000469631</t>
  </si>
  <si>
    <t>ENSG00000106477</t>
  </si>
  <si>
    <t>ENSG00000106546</t>
  </si>
  <si>
    <t>ENSG00000106554</t>
  </si>
  <si>
    <t>ENSG00000106588</t>
  </si>
  <si>
    <t>ENSG00000106603</t>
  </si>
  <si>
    <t>ENSG00000106605</t>
  </si>
  <si>
    <t>ENSG00000106608</t>
  </si>
  <si>
    <t>ENSG00000106615</t>
  </si>
  <si>
    <t>ENSG00000106617</t>
  </si>
  <si>
    <t>ENSG00000106628</t>
  </si>
  <si>
    <t>ENSG00000106635</t>
  </si>
  <si>
    <t>ENST00000493671</t>
  </si>
  <si>
    <t>ENST00000223368</t>
  </si>
  <si>
    <t>ENST00000482231</t>
  </si>
  <si>
    <t>ENST00000455335</t>
  </si>
  <si>
    <t>ENST00000493592</t>
  </si>
  <si>
    <t>ENST00000481667</t>
  </si>
  <si>
    <t>ENSG00000106636</t>
  </si>
  <si>
    <t>ENSG00000106638</t>
  </si>
  <si>
    <t>ENSG00000106682</t>
  </si>
  <si>
    <t>ENST00000265753</t>
  </si>
  <si>
    <t>ENST00000489484</t>
  </si>
  <si>
    <t>ENST00000353999</t>
  </si>
  <si>
    <t>ENST00000479338</t>
  </si>
  <si>
    <t>ENSG00000106683</t>
  </si>
  <si>
    <t>ENST00000336180</t>
  </si>
  <si>
    <t>ENST00000483414</t>
  </si>
  <si>
    <t>ENST00000476792</t>
  </si>
  <si>
    <t>ENSG00000106723</t>
  </si>
  <si>
    <t>ENSG00000106733</t>
  </si>
  <si>
    <t>ENST00000376811</t>
  </si>
  <si>
    <t>ENST00000482537</t>
  </si>
  <si>
    <t>ENST00000361092</t>
  </si>
  <si>
    <t>ENST00000494066</t>
  </si>
  <si>
    <t>ENST00000466137</t>
  </si>
  <si>
    <t>ENSG00000106803</t>
  </si>
  <si>
    <t>ENSG00000106829</t>
  </si>
  <si>
    <t>ENST00000376552</t>
  </si>
  <si>
    <t>ENST00000461758</t>
  </si>
  <si>
    <t>ENST00000376525</t>
  </si>
  <si>
    <t>ENST00000466428</t>
  </si>
  <si>
    <t>ENST00000490347</t>
  </si>
  <si>
    <t>ENST00000495170</t>
  </si>
  <si>
    <t>ENSG00000106948</t>
  </si>
  <si>
    <t>ENSG00000106993</t>
  </si>
  <si>
    <t>ENSG00000107021</t>
  </si>
  <si>
    <t>ENSG00000107077</t>
  </si>
  <si>
    <t>ENST00000438023</t>
  </si>
  <si>
    <t>ENST00000401787</t>
  </si>
  <si>
    <t>ENST00000381306</t>
  </si>
  <si>
    <t>ENST00000381309</t>
  </si>
  <si>
    <t>ENST00000489243</t>
  </si>
  <si>
    <t>ENST00000494570</t>
  </si>
  <si>
    <t>ENST00000495890</t>
  </si>
  <si>
    <t>ENST00000466673</t>
  </si>
  <si>
    <t>ENSG00000107099</t>
  </si>
  <si>
    <t>ENST00000432829</t>
  </si>
  <si>
    <t>ENST00000487230</t>
  </si>
  <si>
    <t>ENST00000382341</t>
  </si>
  <si>
    <t>ENST00000483757</t>
  </si>
  <si>
    <t>ENST00000478380</t>
  </si>
  <si>
    <t>ENST00000469391</t>
  </si>
  <si>
    <t>ENST00000495184</t>
  </si>
  <si>
    <t>ENST00000474772</t>
  </si>
  <si>
    <t>ENSG00000107164</t>
  </si>
  <si>
    <t>ENST00000472006</t>
  </si>
  <si>
    <t>ENSG00000107223</t>
  </si>
  <si>
    <t>ENSG00000107262</t>
  </si>
  <si>
    <t>ENST00000379701</t>
  </si>
  <si>
    <t>ENST00000379704</t>
  </si>
  <si>
    <t>ENST00000468274</t>
  </si>
  <si>
    <t>ENST00000472232</t>
  </si>
  <si>
    <t>ENSG00000107263</t>
  </si>
  <si>
    <t>ENST00000372195</t>
  </si>
  <si>
    <t>ENST00000438647</t>
  </si>
  <si>
    <t>ENSG00000107290</t>
  </si>
  <si>
    <t>ENSG00000107371</t>
  </si>
  <si>
    <t>ENST00000465229</t>
  </si>
  <si>
    <t>ENST00000327304</t>
  </si>
  <si>
    <t>ENST00000396521</t>
  </si>
  <si>
    <t>ENST00000465860</t>
  </si>
  <si>
    <t>ENST00000496910</t>
  </si>
  <si>
    <t>ENSG00000107372</t>
  </si>
  <si>
    <t>ENSG00000107485</t>
  </si>
  <si>
    <t>ENSG00000107537</t>
  </si>
  <si>
    <t>ENST00000263038</t>
  </si>
  <si>
    <t>ENST00000396920</t>
  </si>
  <si>
    <t>ENST00000464049</t>
  </si>
  <si>
    <t>ENST00000463730</t>
  </si>
  <si>
    <t>ENSG00000107581</t>
  </si>
  <si>
    <t>ENSG00000107625</t>
  </si>
  <si>
    <t>ENSG00000107643</t>
  </si>
  <si>
    <t>ENST00000374189</t>
  </si>
  <si>
    <t>ENST00000476134</t>
  </si>
  <si>
    <t>ENST00000374179</t>
  </si>
  <si>
    <t>ENST00000374176</t>
  </si>
  <si>
    <t>ENST00000469879</t>
  </si>
  <si>
    <t>ENST00000471272</t>
  </si>
  <si>
    <t>ENST00000469110</t>
  </si>
  <si>
    <t>ENST00000482840</t>
  </si>
  <si>
    <t>ENST00000459755</t>
  </si>
  <si>
    <t>ENSG00000107651</t>
  </si>
  <si>
    <t>ENSG00000107669</t>
  </si>
  <si>
    <t>ENSG00000107672</t>
  </si>
  <si>
    <t>ENSG00000107679</t>
  </si>
  <si>
    <t>ENSG00000107738</t>
  </si>
  <si>
    <t>ENSG00000107742</t>
  </si>
  <si>
    <t>ENSG00000107745</t>
  </si>
  <si>
    <t>ENST00000361114</t>
  </si>
  <si>
    <t>ENST00000604529</t>
  </si>
  <si>
    <t>ENST00000604025</t>
  </si>
  <si>
    <t>ENSG00000107758</t>
  </si>
  <si>
    <t>ENSG00000107771</t>
  </si>
  <si>
    <t>ENST00000359979</t>
  </si>
  <si>
    <t>ENST00000224756</t>
  </si>
  <si>
    <t>ENST00000372088</t>
  </si>
  <si>
    <t>ENSG00000107815</t>
  </si>
  <si>
    <t>ENST00000311916</t>
  </si>
  <si>
    <t>ENST00000370228</t>
  </si>
  <si>
    <t>ENSG00000107819</t>
  </si>
  <si>
    <t>ENSG00000107833</t>
  </si>
  <si>
    <t>ENSG00000107874</t>
  </si>
  <si>
    <t>ENSG00000107882</t>
  </si>
  <si>
    <t>ENST00000369902</t>
  </si>
  <si>
    <t>ENST00000423559</t>
  </si>
  <si>
    <t>ENSG00000107902</t>
  </si>
  <si>
    <t>ENSG00000107929</t>
  </si>
  <si>
    <t>ENSG00000107937</t>
  </si>
  <si>
    <t>ENSG00000107938</t>
  </si>
  <si>
    <t>ENST00000419769</t>
  </si>
  <si>
    <t>ENST00000525091</t>
  </si>
  <si>
    <t>ENST00000368813</t>
  </si>
  <si>
    <t>ENST00000469725</t>
  </si>
  <si>
    <t>ENST00000525524</t>
  </si>
  <si>
    <t>ENST00000368812</t>
  </si>
  <si>
    <t>ENSG00000107949</t>
  </si>
  <si>
    <t>ENSG00000107951</t>
  </si>
  <si>
    <t>ENSG00000107959</t>
  </si>
  <si>
    <t>ENSG00000107960</t>
  </si>
  <si>
    <t>ENSG00000108010</t>
  </si>
  <si>
    <t>ENSG00000108021</t>
  </si>
  <si>
    <t>ENSG00000108039</t>
  </si>
  <si>
    <t>ENST00000369658</t>
  </si>
  <si>
    <t>ENST00000494499</t>
  </si>
  <si>
    <t>ENST00000510988</t>
  </si>
  <si>
    <t>ENST00000472336</t>
  </si>
  <si>
    <t>ENST00000513817</t>
  </si>
  <si>
    <t>ENST00000508525</t>
  </si>
  <si>
    <t>ENST00000460055</t>
  </si>
  <si>
    <t>ENST00000508275</t>
  </si>
  <si>
    <t>ENST00000475123</t>
  </si>
  <si>
    <t>ENST00000504664</t>
  </si>
  <si>
    <t>ENSG00000108061</t>
  </si>
  <si>
    <t>ENST00000369452</t>
  </si>
  <si>
    <t>ENST00000497305</t>
  </si>
  <si>
    <t>ENSG00000108064</t>
  </si>
  <si>
    <t>ENSG00000108091</t>
  </si>
  <si>
    <t>ENSG00000108094</t>
  </si>
  <si>
    <t>ENSG00000108107</t>
  </si>
  <si>
    <t>ENSG00000108175</t>
  </si>
  <si>
    <t>ENST00000478357</t>
  </si>
  <si>
    <t>ENST00000446377</t>
  </si>
  <si>
    <t>ENSG00000108179</t>
  </si>
  <si>
    <t>ENSG00000108219</t>
  </si>
  <si>
    <t>ENST00000429989</t>
  </si>
  <si>
    <t>ENST00000469149</t>
  </si>
  <si>
    <t>ENST00000265450</t>
  </si>
  <si>
    <t>ENSG00000108298</t>
  </si>
  <si>
    <t>ENSG00000108312</t>
  </si>
  <si>
    <t>ENSG00000108344</t>
  </si>
  <si>
    <t>ENSG00000108349</t>
  </si>
  <si>
    <t>ENSG00000108384</t>
  </si>
  <si>
    <t>ENST00000583539</t>
  </si>
  <si>
    <t>ENST00000337432</t>
  </si>
  <si>
    <t>ENST00000421782</t>
  </si>
  <si>
    <t>ENST00000581221</t>
  </si>
  <si>
    <t>ENST00000461706</t>
  </si>
  <si>
    <t>ENSG00000108406</t>
  </si>
  <si>
    <t>ENST00000251241</t>
  </si>
  <si>
    <t>ENST00000583439</t>
  </si>
  <si>
    <t>ENST00000578204</t>
  </si>
  <si>
    <t>ENST00000577549</t>
  </si>
  <si>
    <t>ENSG00000108424</t>
  </si>
  <si>
    <t>ENSG00000108433</t>
  </si>
  <si>
    <t>ENST00000576910</t>
  </si>
  <si>
    <t>ENST00000393456</t>
  </si>
  <si>
    <t>ENST00000571658</t>
  </si>
  <si>
    <t>ENST00000415811</t>
  </si>
  <si>
    <t>ENST00000575949</t>
  </si>
  <si>
    <t>ENST00000225567</t>
  </si>
  <si>
    <t>ENSG00000108439</t>
  </si>
  <si>
    <t>ENST00000225573</t>
  </si>
  <si>
    <t>ENST00000584806</t>
  </si>
  <si>
    <t>ENSG00000108443</t>
  </si>
  <si>
    <t>ENST00000472940</t>
  </si>
  <si>
    <t>ENST00000225577</t>
  </si>
  <si>
    <t>ENST00000587622</t>
  </si>
  <si>
    <t>ENST00000590928</t>
  </si>
  <si>
    <t>ENST00000475155</t>
  </si>
  <si>
    <t>ENSG00000108465</t>
  </si>
  <si>
    <t>ENSG00000108468</t>
  </si>
  <si>
    <t>ENSG00000108469</t>
  </si>
  <si>
    <t>ENST00000578865</t>
  </si>
  <si>
    <t>ENST00000317905</t>
  </si>
  <si>
    <t>ENST00000579265</t>
  </si>
  <si>
    <t>ENST00000585205</t>
  </si>
  <si>
    <t>ENST00000578201</t>
  </si>
  <si>
    <t>ENSG00000108506</t>
  </si>
  <si>
    <t>ENSG00000108510</t>
  </si>
  <si>
    <t>ENSG00000108518</t>
  </si>
  <si>
    <t>ENSG00000108523</t>
  </si>
  <si>
    <t>ENSG00000108528</t>
  </si>
  <si>
    <t>ENSG00000108557</t>
  </si>
  <si>
    <t>ENST00000353383</t>
  </si>
  <si>
    <t>ENST00000489697</t>
  </si>
  <si>
    <t>ENST00000583166</t>
  </si>
  <si>
    <t>ENST00000582514</t>
  </si>
  <si>
    <t>ENSG00000108559</t>
  </si>
  <si>
    <t>ENSG00000108561</t>
  </si>
  <si>
    <t>ENSG00000108578</t>
  </si>
  <si>
    <t>ENSG00000108582</t>
  </si>
  <si>
    <t>ENSG00000108588</t>
  </si>
  <si>
    <t>ENSG00000108591</t>
  </si>
  <si>
    <t>ENSG00000108592</t>
  </si>
  <si>
    <t>ENSG00000108599</t>
  </si>
  <si>
    <t>ENSG00000108604</t>
  </si>
  <si>
    <t>ENST00000448276</t>
  </si>
  <si>
    <t>ENST00000584483</t>
  </si>
  <si>
    <t>ENST00000578234</t>
  </si>
  <si>
    <t>ENST00000581832</t>
  </si>
  <si>
    <t>ENST00000577686</t>
  </si>
  <si>
    <t>ENSG00000108651</t>
  </si>
  <si>
    <t>ENSG00000108654</t>
  </si>
  <si>
    <t>ENST00000578400</t>
  </si>
  <si>
    <t>ENSG00000108666</t>
  </si>
  <si>
    <t>ENSG00000108669</t>
  </si>
  <si>
    <t>ENST00000446868</t>
  </si>
  <si>
    <t>ENST00000586299</t>
  </si>
  <si>
    <t>ENST00000586175</t>
  </si>
  <si>
    <t>ENST00000586430</t>
  </si>
  <si>
    <t>ENST00000589768</t>
  </si>
  <si>
    <t>ENST00000591095</t>
  </si>
  <si>
    <t>ENST00000592497</t>
  </si>
  <si>
    <t>ENST00000361101</t>
  </si>
  <si>
    <t>ENSG00000108671</t>
  </si>
  <si>
    <t>ENSG00000108679</t>
  </si>
  <si>
    <t>ENSG00000108771</t>
  </si>
  <si>
    <t>ENST00000586522</t>
  </si>
  <si>
    <t>ENSG00000108773</t>
  </si>
  <si>
    <t>ENSG00000108774</t>
  </si>
  <si>
    <t>ENSG00000108788</t>
  </si>
  <si>
    <t>ENST00000435881</t>
  </si>
  <si>
    <t>ENST00000246912</t>
  </si>
  <si>
    <t>ENST00000346833</t>
  </si>
  <si>
    <t>ENST00000590050</t>
  </si>
  <si>
    <t>ENST00000591024</t>
  </si>
  <si>
    <t>ENST00000592717</t>
  </si>
  <si>
    <t>ENST00000585403</t>
  </si>
  <si>
    <t>ENST00000591195</t>
  </si>
  <si>
    <t>ENSG00000108798</t>
  </si>
  <si>
    <t>ENST00000225941</t>
  </si>
  <si>
    <t>ENST00000573347</t>
  </si>
  <si>
    <t>ENSG00000108799</t>
  </si>
  <si>
    <t>ENST00000428826</t>
  </si>
  <si>
    <t>ENST00000586714</t>
  </si>
  <si>
    <t>ENST00000586103</t>
  </si>
  <si>
    <t>ENST00000589846</t>
  </si>
  <si>
    <t>ENST00000585455</t>
  </si>
  <si>
    <t>ENST00000593148</t>
  </si>
  <si>
    <t>ENSG00000108826</t>
  </si>
  <si>
    <t>ENSG00000108828</t>
  </si>
  <si>
    <t>ENSG00000108829</t>
  </si>
  <si>
    <t>ENSG00000108840</t>
  </si>
  <si>
    <t>ENST00000586339</t>
  </si>
  <si>
    <t>ENST00000592385</t>
  </si>
  <si>
    <t>ENST00000593013</t>
  </si>
  <si>
    <t>ENST00000588419</t>
  </si>
  <si>
    <t>ENST00000591714</t>
  </si>
  <si>
    <t>ENSG00000108854</t>
  </si>
  <si>
    <t>ENST00000262435</t>
  </si>
  <si>
    <t>ENST00000580072</t>
  </si>
  <si>
    <t>ENST00000580246</t>
  </si>
  <si>
    <t>ENSG00000108883</t>
  </si>
  <si>
    <t>ENSG00000108946</t>
  </si>
  <si>
    <t>ENSG00000108953</t>
  </si>
  <si>
    <t>ENSG00000108961</t>
  </si>
  <si>
    <t>ENST00000226105</t>
  </si>
  <si>
    <t>ENST00000407006</t>
  </si>
  <si>
    <t>ENST00000439238</t>
  </si>
  <si>
    <t>ENST00000578849</t>
  </si>
  <si>
    <t>ENST00000580777</t>
  </si>
  <si>
    <t>ENSG00000108984</t>
  </si>
  <si>
    <t>ENST00000590474</t>
  </si>
  <si>
    <t>ENSG00000109062</t>
  </si>
  <si>
    <t>ENSG00000109065</t>
  </si>
  <si>
    <t>ENST00000357814</t>
  </si>
  <si>
    <t>ENST00000580301</t>
  </si>
  <si>
    <t>ENST00000583834</t>
  </si>
  <si>
    <t>ENST00000581762</t>
  </si>
  <si>
    <t>ENST00000583689</t>
  </si>
  <si>
    <t>ENST00000582168</t>
  </si>
  <si>
    <t>ENST00000582993</t>
  </si>
  <si>
    <t>ENST00000581451</t>
  </si>
  <si>
    <t>ENST00000579837</t>
  </si>
  <si>
    <t>ENSG00000109103</t>
  </si>
  <si>
    <t>ENST00000335765</t>
  </si>
  <si>
    <t>ENST00000484980</t>
  </si>
  <si>
    <t>ENST00000301032</t>
  </si>
  <si>
    <t>ENST00000470125</t>
  </si>
  <si>
    <t>ENST00000487844</t>
  </si>
  <si>
    <t>ENSG00000109107</t>
  </si>
  <si>
    <t>ENSG00000109111</t>
  </si>
  <si>
    <t>ENSG00000109118</t>
  </si>
  <si>
    <t>ENST00000582436</t>
  </si>
  <si>
    <t>ENSG00000109171</t>
  </si>
  <si>
    <t>ENSG00000109180</t>
  </si>
  <si>
    <t>ENSG00000109270</t>
  </si>
  <si>
    <t>ENST00000499666</t>
  </si>
  <si>
    <t>ENST00000515100</t>
  </si>
  <si>
    <t>ENSG00000109320</t>
  </si>
  <si>
    <t>ENSG00000109332</t>
  </si>
  <si>
    <t>ENSG00000109381</t>
  </si>
  <si>
    <t>ENST00000394235</t>
  </si>
  <si>
    <t>ENST00000358635</t>
  </si>
  <si>
    <t>ENST00000510408</t>
  </si>
  <si>
    <t>ENST00000514577</t>
  </si>
  <si>
    <t>ENST00000504314</t>
  </si>
  <si>
    <t>ENST00000514606</t>
  </si>
  <si>
    <t>ENST00000511006</t>
  </si>
  <si>
    <t>ENSG00000109445</t>
  </si>
  <si>
    <t>ENST00000515453</t>
  </si>
  <si>
    <t>ENSG00000109475</t>
  </si>
  <si>
    <t>ENSG00000109519</t>
  </si>
  <si>
    <t>ENSG00000109534</t>
  </si>
  <si>
    <t>ENSG00000109586</t>
  </si>
  <si>
    <t>ENSG00000109606</t>
  </si>
  <si>
    <t>ENSG00000109685</t>
  </si>
  <si>
    <t>ENSG00000109689</t>
  </si>
  <si>
    <t>ENST00000467087</t>
  </si>
  <si>
    <t>ENST00000465503</t>
  </si>
  <si>
    <t>ENSG00000109756</t>
  </si>
  <si>
    <t>ENST00000505478</t>
  </si>
  <si>
    <t>ENST00000513816</t>
  </si>
  <si>
    <t>ENST00000512056</t>
  </si>
  <si>
    <t>ENST00000502485</t>
  </si>
  <si>
    <t>ENST00000510253</t>
  </si>
  <si>
    <t>ENST00000509891</t>
  </si>
  <si>
    <t>ENSG00000109775</t>
  </si>
  <si>
    <t>ENSG00000109787</t>
  </si>
  <si>
    <t>ENST00000261438</t>
  </si>
  <si>
    <t>ENST00000514033</t>
  </si>
  <si>
    <t>ENST00000482150</t>
  </si>
  <si>
    <t>ENSG00000109854</t>
  </si>
  <si>
    <t>ENST00000530266</t>
  </si>
  <si>
    <t>ENST00000421577</t>
  </si>
  <si>
    <t>ENST00000419348</t>
  </si>
  <si>
    <t>ENST00000451739</t>
  </si>
  <si>
    <t>ENST00000532505</t>
  </si>
  <si>
    <t>ENST00000532081</t>
  </si>
  <si>
    <t>ENST00000533914</t>
  </si>
  <si>
    <t>ENSG00000109861</t>
  </si>
  <si>
    <t>ENSG00000109917</t>
  </si>
  <si>
    <t>ENSG00000109919</t>
  </si>
  <si>
    <t>ENSG00000109920</t>
  </si>
  <si>
    <t>ENST00000532646</t>
  </si>
  <si>
    <t>ENST00000531394</t>
  </si>
  <si>
    <t>ENSG00000109971</t>
  </si>
  <si>
    <t>ENSG00000110002</t>
  </si>
  <si>
    <t>ENSG00000110031</t>
  </si>
  <si>
    <t>ENSG00000110047</t>
  </si>
  <si>
    <t>ENSG00000110048</t>
  </si>
  <si>
    <t>ENSG00000110060</t>
  </si>
  <si>
    <t>ENSG00000110063</t>
  </si>
  <si>
    <t>ENSG00000110066</t>
  </si>
  <si>
    <t>ENST00000304363</t>
  </si>
  <si>
    <t>ENST00000401547</t>
  </si>
  <si>
    <t>ENST00000405515</t>
  </si>
  <si>
    <t>ENST00000466295</t>
  </si>
  <si>
    <t>ENSG00000110074</t>
  </si>
  <si>
    <t>ENST00000534315</t>
  </si>
  <si>
    <t>ENST00000531257</t>
  </si>
  <si>
    <t>ENST00000527875</t>
  </si>
  <si>
    <t>ENST00000530642</t>
  </si>
  <si>
    <t>ENST00000532590</t>
  </si>
  <si>
    <t>ENSG00000110075</t>
  </si>
  <si>
    <t>ENST00000393800</t>
  </si>
  <si>
    <t>ENST00000524845</t>
  </si>
  <si>
    <t>ENST00000524904</t>
  </si>
  <si>
    <t>ENST00000529172</t>
  </si>
  <si>
    <t>ENST00000531432</t>
  </si>
  <si>
    <t>ENST00000526574</t>
  </si>
  <si>
    <t>ENST00000526307</t>
  </si>
  <si>
    <t>ENST00000525152</t>
  </si>
  <si>
    <t>ENSG00000110107</t>
  </si>
  <si>
    <t>ENSG00000110108</t>
  </si>
  <si>
    <t>ENSG00000110172</t>
  </si>
  <si>
    <t>ENST00000320585</t>
  </si>
  <si>
    <t>ENST00000529987</t>
  </si>
  <si>
    <t>ENST00000533724</t>
  </si>
  <si>
    <t>ENST00000529726</t>
  </si>
  <si>
    <t>ENST00000533739</t>
  </si>
  <si>
    <t>ENSG00000110315</t>
  </si>
  <si>
    <t>ENST00000265981</t>
  </si>
  <si>
    <t>ENST00000534281</t>
  </si>
  <si>
    <t>ENST00000528665</t>
  </si>
  <si>
    <t>ENSG00000110330</t>
  </si>
  <si>
    <t>ENST00000227758</t>
  </si>
  <si>
    <t>ENST00000527910</t>
  </si>
  <si>
    <t>ENST00000534130</t>
  </si>
  <si>
    <t>ENSG00000110367</t>
  </si>
  <si>
    <t>ENSG00000110429</t>
  </si>
  <si>
    <t>ENST00000526785</t>
  </si>
  <si>
    <t>ENST00000265651</t>
  </si>
  <si>
    <t>ENST00000530013</t>
  </si>
  <si>
    <t>ENST00000530401</t>
  </si>
  <si>
    <t>ENST00000527772</t>
  </si>
  <si>
    <t>ENST00000448981</t>
  </si>
  <si>
    <t>ENSG00000110435</t>
  </si>
  <si>
    <t>ENST00000227868</t>
  </si>
  <si>
    <t>ENST00000532159</t>
  </si>
  <si>
    <t>ENSG00000110442</t>
  </si>
  <si>
    <t>ENST00000263401</t>
  </si>
  <si>
    <t>ENST00000533643</t>
  </si>
  <si>
    <t>ENST00000528608</t>
  </si>
  <si>
    <t>ENST00000526789</t>
  </si>
  <si>
    <t>ENSG00000110448</t>
  </si>
  <si>
    <t>ENSG00000110497</t>
  </si>
  <si>
    <t>ENST00000533727</t>
  </si>
  <si>
    <t>ENST00000529553</t>
  </si>
  <si>
    <t>ENSG00000110514</t>
  </si>
  <si>
    <t>ENST00000402799</t>
  </si>
  <si>
    <t>ENST00000406482</t>
  </si>
  <si>
    <t>ENST00000395344</t>
  </si>
  <si>
    <t>ENST00000402192</t>
  </si>
  <si>
    <t>ENST00000524686</t>
  </si>
  <si>
    <t>ENST00000405573</t>
  </si>
  <si>
    <t>ENST00000460452</t>
  </si>
  <si>
    <t>ENST00000469699</t>
  </si>
  <si>
    <t>ENSG00000110536</t>
  </si>
  <si>
    <t>ENSG00000110583</t>
  </si>
  <si>
    <t>ENST00000338447</t>
  </si>
  <si>
    <t>ENST00000545161</t>
  </si>
  <si>
    <t>ENST00000544194</t>
  </si>
  <si>
    <t>ENSG00000110651</t>
  </si>
  <si>
    <t>ENST00000263645</t>
  </si>
  <si>
    <t>ENST00000530239</t>
  </si>
  <si>
    <t>ENST00000531840</t>
  </si>
  <si>
    <t>ENST00000481687</t>
  </si>
  <si>
    <t>ENST00000468153</t>
  </si>
  <si>
    <t>ENST00000481386</t>
  </si>
  <si>
    <t>ENSG00000110696</t>
  </si>
  <si>
    <t>ENST00000524508</t>
  </si>
  <si>
    <t>ENSG00000110697</t>
  </si>
  <si>
    <t>ENST00000534749</t>
  </si>
  <si>
    <t>ENST00000436757</t>
  </si>
  <si>
    <t>ENST00000527370</t>
  </si>
  <si>
    <t>ENST00000525568</t>
  </si>
  <si>
    <t>ENST00000526602</t>
  </si>
  <si>
    <t>ENST00000525521</t>
  </si>
  <si>
    <t>ENST00000530381</t>
  </si>
  <si>
    <t>ENST00000529203</t>
  </si>
  <si>
    <t>ENST00000533391</t>
  </si>
  <si>
    <t>ENST00000527103</t>
  </si>
  <si>
    <t>ENSG00000110700</t>
  </si>
  <si>
    <t>ENSG00000110711</t>
  </si>
  <si>
    <t>ENSG00000110713</t>
  </si>
  <si>
    <t>ENST00000324932</t>
  </si>
  <si>
    <t>ENST00000355260</t>
  </si>
  <si>
    <t>ENST00000469881</t>
  </si>
  <si>
    <t>ENST00000482690</t>
  </si>
  <si>
    <t>ENST00000530345</t>
  </si>
  <si>
    <t>ENST00000488828</t>
  </si>
  <si>
    <t>ENST00000529063</t>
  </si>
  <si>
    <t>ENST00000483285</t>
  </si>
  <si>
    <t>ENST00000397004</t>
  </si>
  <si>
    <t>ENST00000397007</t>
  </si>
  <si>
    <t>ENST00000530516</t>
  </si>
  <si>
    <t>ENST00000527104</t>
  </si>
  <si>
    <t>ENST00000529379</t>
  </si>
  <si>
    <t>ENST00000461047</t>
  </si>
  <si>
    <t>ENSG00000110717</t>
  </si>
  <si>
    <t>ENSG00000110719</t>
  </si>
  <si>
    <t>ENSG00000110721</t>
  </si>
  <si>
    <t>ENST00000265689</t>
  </si>
  <si>
    <t>ENST00000533910</t>
  </si>
  <si>
    <t>ENSG00000110756</t>
  </si>
  <si>
    <t>ENST00000396253</t>
  </si>
  <si>
    <t>ENST00000349215</t>
  </si>
  <si>
    <t>ENST00000545561</t>
  </si>
  <si>
    <t>ENST00000531848</t>
  </si>
  <si>
    <t>ENSG00000110768</t>
  </si>
  <si>
    <t>ENSG00000110801</t>
  </si>
  <si>
    <t>ENSG00000110848</t>
  </si>
  <si>
    <t>ENSG00000110851</t>
  </si>
  <si>
    <t>ENST00000228437</t>
  </si>
  <si>
    <t>ENST00000549416</t>
  </si>
  <si>
    <t>ENST00000547188</t>
  </si>
  <si>
    <t>ENSG00000110871</t>
  </si>
  <si>
    <t>ENSG00000110880</t>
  </si>
  <si>
    <t>ENSG00000110906</t>
  </si>
  <si>
    <t>ENST00000228495</t>
  </si>
  <si>
    <t>ENST00000540089</t>
  </si>
  <si>
    <t>ENST00000545759</t>
  </si>
  <si>
    <t>ENST00000540402</t>
  </si>
  <si>
    <t>ENST00000535747</t>
  </si>
  <si>
    <t>ENST00000538377</t>
  </si>
  <si>
    <t>ENSG00000110917</t>
  </si>
  <si>
    <t>ENSG00000110921</t>
  </si>
  <si>
    <t>ENSG00000110934</t>
  </si>
  <si>
    <t>ENSG00000110955</t>
  </si>
  <si>
    <t>ENSG00000110958</t>
  </si>
  <si>
    <t>ENST00000537473</t>
  </si>
  <si>
    <t>ENST00000262033</t>
  </si>
  <si>
    <t>ENST00000414274</t>
  </si>
  <si>
    <t>ENST00000448157</t>
  </si>
  <si>
    <t>ENSG00000111142</t>
  </si>
  <si>
    <t>ENSG00000111144</t>
  </si>
  <si>
    <t>ENSG00000111145</t>
  </si>
  <si>
    <t>ENST00000228741</t>
  </si>
  <si>
    <t>ENST00000547249</t>
  </si>
  <si>
    <t>ENSG00000111203</t>
  </si>
  <si>
    <t>ENSG00000111229</t>
  </si>
  <si>
    <t>ENSG00000111231</t>
  </si>
  <si>
    <t>ENSG00000111237</t>
  </si>
  <si>
    <t>ENSG00000111271</t>
  </si>
  <si>
    <t>ENST00000511915</t>
  </si>
  <si>
    <t>ENST00000509936</t>
  </si>
  <si>
    <t>ENST00000549590</t>
  </si>
  <si>
    <t>ENST00000514847</t>
  </si>
  <si>
    <t>ENST00000552177</t>
  </si>
  <si>
    <t>ENST00000546647</t>
  </si>
  <si>
    <t>ENST00000512792</t>
  </si>
  <si>
    <t>ENSG00000111300</t>
  </si>
  <si>
    <t>ENST00000261745</t>
  </si>
  <si>
    <t>ENST00000552527</t>
  </si>
  <si>
    <t>ENST00000548181</t>
  </si>
  <si>
    <t>ENST00000550701</t>
  </si>
  <si>
    <t>ENSG00000111331</t>
  </si>
  <si>
    <t>ENSG00000111335</t>
  </si>
  <si>
    <t>ENST00000392583</t>
  </si>
  <si>
    <t>ENST00000449768</t>
  </si>
  <si>
    <t>ENST00000548941</t>
  </si>
  <si>
    <t>ENSG00000111348</t>
  </si>
  <si>
    <t>ENSG00000111358</t>
  </si>
  <si>
    <t>ENSG00000111361</t>
  </si>
  <si>
    <t>ENSG00000111364</t>
  </si>
  <si>
    <t>ENSG00000111371</t>
  </si>
  <si>
    <t>ENST00000552197</t>
  </si>
  <si>
    <t>ENSG00000111445</t>
  </si>
  <si>
    <t>ENSG00000111481</t>
  </si>
  <si>
    <t>ENST00000553009</t>
  </si>
  <si>
    <t>ENST00000262061</t>
  </si>
  <si>
    <t>ENST00000551412</t>
  </si>
  <si>
    <t>ENST00000550027</t>
  </si>
  <si>
    <t>ENST00000551779</t>
  </si>
  <si>
    <t>ENST00000550713</t>
  </si>
  <si>
    <t>ENSG00000111530</t>
  </si>
  <si>
    <t>ENSG00000111540</t>
  </si>
  <si>
    <t>ENSG00000111554</t>
  </si>
  <si>
    <t>ENSG00000111581</t>
  </si>
  <si>
    <t>ENSG00000111596</t>
  </si>
  <si>
    <t>ENST00000552231</t>
  </si>
  <si>
    <t>ENST00000550160</t>
  </si>
  <si>
    <t>ENST00000548021</t>
  </si>
  <si>
    <t>ENST00000551179</t>
  </si>
  <si>
    <t>ENST00000547321</t>
  </si>
  <si>
    <t>ENST00000550194</t>
  </si>
  <si>
    <t>ENST00000552151</t>
  </si>
  <si>
    <t>ENST00000548863</t>
  </si>
  <si>
    <t>ENST00000550155</t>
  </si>
  <si>
    <t>ENST00000551483</t>
  </si>
  <si>
    <t>ENST00000552599</t>
  </si>
  <si>
    <t>ENST00000548939</t>
  </si>
  <si>
    <t>ENST00000551434</t>
  </si>
  <si>
    <t>ENST00000551710</t>
  </si>
  <si>
    <t>ENST00000550705</t>
  </si>
  <si>
    <t>ENST00000229195</t>
  </si>
  <si>
    <t>ENSG00000111602</t>
  </si>
  <si>
    <t>ENST00000553532</t>
  </si>
  <si>
    <t>ENST00000229201</t>
  </si>
  <si>
    <t>ENST00000555808</t>
  </si>
  <si>
    <t>ENSG00000111605</t>
  </si>
  <si>
    <t>ENSG00000111615</t>
  </si>
  <si>
    <t>ENST00000550898</t>
  </si>
  <si>
    <t>ENSG00000111640</t>
  </si>
  <si>
    <t>ENSG00000111641</t>
  </si>
  <si>
    <t>ENST00000537442</t>
  </si>
  <si>
    <t>ENST00000399466</t>
  </si>
  <si>
    <t>ENST00000322166</t>
  </si>
  <si>
    <t>ENST00000541778</t>
  </si>
  <si>
    <t>ENST00000544630</t>
  </si>
  <si>
    <t>ENST00000537708</t>
  </si>
  <si>
    <t>ENST00000542919</t>
  </si>
  <si>
    <t>ENST00000542944</t>
  </si>
  <si>
    <t>ENST00000542867</t>
  </si>
  <si>
    <t>ENST00000400580</t>
  </si>
  <si>
    <t>ENST00000536124</t>
  </si>
  <si>
    <t>ENST00000545492</t>
  </si>
  <si>
    <t>ENST00000545915</t>
  </si>
  <si>
    <t>ENST00000540228</t>
  </si>
  <si>
    <t>ENST00000538697</t>
  </si>
  <si>
    <t>ENST00000546053</t>
  </si>
  <si>
    <t>ENSG00000111642</t>
  </si>
  <si>
    <t>ENSG00000111647</t>
  </si>
  <si>
    <t>ENSG00000111652</t>
  </si>
  <si>
    <t>ENSG00000111653</t>
  </si>
  <si>
    <t>ENST00000341550</t>
  </si>
  <si>
    <t>ENST00000396807</t>
  </si>
  <si>
    <t>ENST00000488381</t>
  </si>
  <si>
    <t>ENST00000437149</t>
  </si>
  <si>
    <t>ENST00000493267</t>
  </si>
  <si>
    <t>ENSG00000111667</t>
  </si>
  <si>
    <t>ENST00000229268</t>
  </si>
  <si>
    <t>ENST00000389231</t>
  </si>
  <si>
    <t>ENST00000535080</t>
  </si>
  <si>
    <t>ENST00000537267</t>
  </si>
  <si>
    <t>ENST00000541969</t>
  </si>
  <si>
    <t>ENST00000542371</t>
  </si>
  <si>
    <t>ENSG00000111669</t>
  </si>
  <si>
    <t>ENSG00000111670</t>
  </si>
  <si>
    <t>ENST00000299314</t>
  </si>
  <si>
    <t>ENST00000549194</t>
  </si>
  <si>
    <t>ENST00000552009</t>
  </si>
  <si>
    <t>ENST00000552681</t>
  </si>
  <si>
    <t>ENST00000550352</t>
  </si>
  <si>
    <t>ENST00000549165</t>
  </si>
  <si>
    <t>ENSG00000111674</t>
  </si>
  <si>
    <t>ENSG00000111678</t>
  </si>
  <si>
    <t>ENSG00000111679</t>
  </si>
  <si>
    <t>ENSG00000111684</t>
  </si>
  <si>
    <t>ENST00000535479</t>
  </si>
  <si>
    <t>ENST00000261407</t>
  </si>
  <si>
    <t>ENST00000537179</t>
  </si>
  <si>
    <t>ENST00000540060</t>
  </si>
  <si>
    <t>ENST00000545459</t>
  </si>
  <si>
    <t>ENSG00000111696</t>
  </si>
  <si>
    <t>ENST00000392876</t>
  </si>
  <si>
    <t>ENST00000474268</t>
  </si>
  <si>
    <t>ENSG00000111716</t>
  </si>
  <si>
    <t>ENSG00000111725</t>
  </si>
  <si>
    <t>ENSG00000111726</t>
  </si>
  <si>
    <t>ENSG00000111727</t>
  </si>
  <si>
    <t>ENSG00000111731</t>
  </si>
  <si>
    <t>ENST00000333957</t>
  </si>
  <si>
    <t>ENST00000540245</t>
  </si>
  <si>
    <t>ENST00000543797</t>
  </si>
  <si>
    <t>ENST00000542768</t>
  </si>
  <si>
    <t>ENST00000535304</t>
  </si>
  <si>
    <t>ENSG00000111737</t>
  </si>
  <si>
    <t>ENSG00000111752</t>
  </si>
  <si>
    <t>ENSG00000111786</t>
  </si>
  <si>
    <t>ENSG00000111790</t>
  </si>
  <si>
    <t>ENST00000229395</t>
  </si>
  <si>
    <t>ENST00000395941</t>
  </si>
  <si>
    <t>ENST00000546072</t>
  </si>
  <si>
    <t>ENST00000327214</t>
  </si>
  <si>
    <t>ENST00000538172</t>
  </si>
  <si>
    <t>ENSG00000111801</t>
  </si>
  <si>
    <t>ENSG00000111802</t>
  </si>
  <si>
    <t>ENSG00000111832</t>
  </si>
  <si>
    <t>ENST00000466444</t>
  </si>
  <si>
    <t>ENST00000487832</t>
  </si>
  <si>
    <t>ENST00000468204</t>
  </si>
  <si>
    <t>ENSG00000111850</t>
  </si>
  <si>
    <t>ENST00000229570</t>
  </si>
  <si>
    <t>ENST00000608535</t>
  </si>
  <si>
    <t>ENSG00000111859</t>
  </si>
  <si>
    <t>ENST00000504387</t>
  </si>
  <si>
    <t>ENST00000505589</t>
  </si>
  <si>
    <t>ENST00000514660</t>
  </si>
  <si>
    <t>ENSG00000111860</t>
  </si>
  <si>
    <t>ENSG00000111875</t>
  </si>
  <si>
    <t>ENSG00000111880</t>
  </si>
  <si>
    <t>ENSG00000111906</t>
  </si>
  <si>
    <t>ENSG00000111912</t>
  </si>
  <si>
    <t>ENST00000368357</t>
  </si>
  <si>
    <t>ENST00000417494</t>
  </si>
  <si>
    <t>ENST00000487635</t>
  </si>
  <si>
    <t>ENST00000419660</t>
  </si>
  <si>
    <t>ENST00000438495</t>
  </si>
  <si>
    <t>ENST00000392477</t>
  </si>
  <si>
    <t>ENSG00000111913</t>
  </si>
  <si>
    <t>ENSG00000112029</t>
  </si>
  <si>
    <t>ENST00000477822</t>
  </si>
  <si>
    <t>ENST00000367241</t>
  </si>
  <si>
    <t>ENSG00000112031</t>
  </si>
  <si>
    <t>ENST00000414771</t>
  </si>
  <si>
    <t>ENST00000367233</t>
  </si>
  <si>
    <t>ENST00000464135</t>
  </si>
  <si>
    <t>ENST00000367231</t>
  </si>
  <si>
    <t>ENST00000367230</t>
  </si>
  <si>
    <t>ENST00000448966</t>
  </si>
  <si>
    <t>ENST00000482526</t>
  </si>
  <si>
    <t>ENSG00000112062</t>
  </si>
  <si>
    <t>ENSG00000112078</t>
  </si>
  <si>
    <t>ENST00000373731</t>
  </si>
  <si>
    <t>ENST00000265344</t>
  </si>
  <si>
    <t>ENSG00000112081</t>
  </si>
  <si>
    <t>ENST00000339436</t>
  </si>
  <si>
    <t>ENST00000373715</t>
  </si>
  <si>
    <t>ENST00000477442</t>
  </si>
  <si>
    <t>ENSG00000112096</t>
  </si>
  <si>
    <t>ENST00000538183</t>
  </si>
  <si>
    <t>ENST00000367055</t>
  </si>
  <si>
    <t>ENST00000535459</t>
  </si>
  <si>
    <t>ENST00000452684</t>
  </si>
  <si>
    <t>ENSG00000112118</t>
  </si>
  <si>
    <t>ENSG00000112200</t>
  </si>
  <si>
    <t>ENST00000370706</t>
  </si>
  <si>
    <t>ENST00000370708</t>
  </si>
  <si>
    <t>ENST00000444273</t>
  </si>
  <si>
    <t>ENST00000491832</t>
  </si>
  <si>
    <t>ENST00000508548</t>
  </si>
  <si>
    <t>ENST00000504364</t>
  </si>
  <si>
    <t>ENSG00000112237</t>
  </si>
  <si>
    <t>ENST00000520429</t>
  </si>
  <si>
    <t>ENST00000326298</t>
  </si>
  <si>
    <t>ENST00000520371</t>
  </si>
  <si>
    <t>ENST00000518714</t>
  </si>
  <si>
    <t>ENST00000519617</t>
  </si>
  <si>
    <t>ENST00000523639</t>
  </si>
  <si>
    <t>ENST00000482541</t>
  </si>
  <si>
    <t>ENST00000523310</t>
  </si>
  <si>
    <t>ENST00000523541</t>
  </si>
  <si>
    <t>ENSG00000112245</t>
  </si>
  <si>
    <t>ENST00000370651</t>
  </si>
  <si>
    <t>ENST00000578299</t>
  </si>
  <si>
    <t>ENSG00000112249</t>
  </si>
  <si>
    <t>ENSG00000112282</t>
  </si>
  <si>
    <t>ENST00000368068</t>
  </si>
  <si>
    <t>ENST00000479213</t>
  </si>
  <si>
    <t>ENST00000484885</t>
  </si>
  <si>
    <t>ENST00000489888</t>
  </si>
  <si>
    <t>ENSG00000112294</t>
  </si>
  <si>
    <t>ENSG00000112297</t>
  </si>
  <si>
    <t>ENSG00000112304</t>
  </si>
  <si>
    <t>ENSG00000112305</t>
  </si>
  <si>
    <t>ENST00000316999</t>
  </si>
  <si>
    <t>ENST00000370455</t>
  </si>
  <si>
    <t>ENST00000445046</t>
  </si>
  <si>
    <t>ENSG00000112306</t>
  </si>
  <si>
    <t>ENSG00000112335</t>
  </si>
  <si>
    <t>ENSG00000112339</t>
  </si>
  <si>
    <t>ENSG00000112419</t>
  </si>
  <si>
    <t>ENST00000367584</t>
  </si>
  <si>
    <t>ENST00000420771</t>
  </si>
  <si>
    <t>ENST00000536245</t>
  </si>
  <si>
    <t>ENSG00000112511</t>
  </si>
  <si>
    <t>ENSG00000112531</t>
  </si>
  <si>
    <t>ENST00000361758</t>
  </si>
  <si>
    <t>ENST00000453779</t>
  </si>
  <si>
    <t>ENST00000392127</t>
  </si>
  <si>
    <t>ENST00000361752</t>
  </si>
  <si>
    <t>ENST00000544823</t>
  </si>
  <si>
    <t>ENST00000541696</t>
  </si>
  <si>
    <t>ENSG00000112576</t>
  </si>
  <si>
    <t>ENST00000415497</t>
  </si>
  <si>
    <t>ENST00000372988</t>
  </si>
  <si>
    <t>ENST00000510503</t>
  </si>
  <si>
    <t>ENST00000511686</t>
  </si>
  <si>
    <t>ENST00000513956</t>
  </si>
  <si>
    <t>ENST00000505064</t>
  </si>
  <si>
    <t>ENST00000510058</t>
  </si>
  <si>
    <t>ENST00000505672</t>
  </si>
  <si>
    <t>ENST00000511161</t>
  </si>
  <si>
    <t>ENSG00000112578</t>
  </si>
  <si>
    <t>ENSG00000112592</t>
  </si>
  <si>
    <t>ENST00000421512</t>
  </si>
  <si>
    <t>ENST00000230354</t>
  </si>
  <si>
    <t>ENST00000392092</t>
  </si>
  <si>
    <t>ENSG00000112640</t>
  </si>
  <si>
    <t>ENST00000485511</t>
  </si>
  <si>
    <t>ENST00000467447</t>
  </si>
  <si>
    <t>ENST00000482315</t>
  </si>
  <si>
    <t>ENSG00000112651</t>
  </si>
  <si>
    <t>ENSG00000112667</t>
  </si>
  <si>
    <t>ENSG00000112685</t>
  </si>
  <si>
    <t>ENSG00000112695</t>
  </si>
  <si>
    <t>ENST00000370089</t>
  </si>
  <si>
    <t>ENST00000459637</t>
  </si>
  <si>
    <t>ENST00000509698</t>
  </si>
  <si>
    <t>ENST00000472311</t>
  </si>
  <si>
    <t>ENST00000481061</t>
  </si>
  <si>
    <t>ENSG00000112699</t>
  </si>
  <si>
    <t>ENSG00000112701</t>
  </si>
  <si>
    <t>ENSG00000112851</t>
  </si>
  <si>
    <t>ENST00000284037</t>
  </si>
  <si>
    <t>ENST00000380943</t>
  </si>
  <si>
    <t>ENST00000511297</t>
  </si>
  <si>
    <t>ENST00000506030</t>
  </si>
  <si>
    <t>ENST00000508515</t>
  </si>
  <si>
    <t>ENST00000507128</t>
  </si>
  <si>
    <t>ENST00000515185</t>
  </si>
  <si>
    <t>ENST00000505822</t>
  </si>
  <si>
    <t>ENST00000509946</t>
  </si>
  <si>
    <t>ENST00000506744</t>
  </si>
  <si>
    <t>ENST00000380935</t>
  </si>
  <si>
    <t>ENSG00000112855</t>
  </si>
  <si>
    <t>ENST00000230771</t>
  </si>
  <si>
    <t>ENST00000510104</t>
  </si>
  <si>
    <t>ENST00000513688</t>
  </si>
  <si>
    <t>ENSG00000112893</t>
  </si>
  <si>
    <t>ENSG00000112972</t>
  </si>
  <si>
    <t>ENSG00000112977</t>
  </si>
  <si>
    <t>ENSG00000112983</t>
  </si>
  <si>
    <t>ENST00000418329</t>
  </si>
  <si>
    <t>ENST00000230901</t>
  </si>
  <si>
    <t>ENST00000460746</t>
  </si>
  <si>
    <t>ENST00000489351</t>
  </si>
  <si>
    <t>ENST00000483805</t>
  </si>
  <si>
    <t>ENST00000463620</t>
  </si>
  <si>
    <t>ENST00000515254</t>
  </si>
  <si>
    <t>ENST00000471437</t>
  </si>
  <si>
    <t>ENST00000411594</t>
  </si>
  <si>
    <t>ENSG00000112992</t>
  </si>
  <si>
    <t>ENSG00000112996</t>
  </si>
  <si>
    <t>ENSG00000113013</t>
  </si>
  <si>
    <t>ENSG00000113048</t>
  </si>
  <si>
    <t>ENSG00000113068</t>
  </si>
  <si>
    <t>ENSG00000113088</t>
  </si>
  <si>
    <t>ENST00000231009</t>
  </si>
  <si>
    <t>ENST00000512089</t>
  </si>
  <si>
    <t>ENSG00000113141</t>
  </si>
  <si>
    <t>ENSG00000113161</t>
  </si>
  <si>
    <t>ENST00000287936</t>
  </si>
  <si>
    <t>ENST00000343975</t>
  </si>
  <si>
    <t>ENST00000509431</t>
  </si>
  <si>
    <t>ENST00000504466</t>
  </si>
  <si>
    <t>ENST00000515776</t>
  </si>
  <si>
    <t>ENST00000508070</t>
  </si>
  <si>
    <t>ENST00000514315</t>
  </si>
  <si>
    <t>ENST00000512053</t>
  </si>
  <si>
    <t>ENSG00000113163</t>
  </si>
  <si>
    <t>ENST00000508809</t>
  </si>
  <si>
    <t>ENST00000261415</t>
  </si>
  <si>
    <t>ENST00000604926</t>
  </si>
  <si>
    <t>ENSG00000113194</t>
  </si>
  <si>
    <t>ENSG00000113240</t>
  </si>
  <si>
    <t>ENST00000316308</t>
  </si>
  <si>
    <t>ENST00000522749</t>
  </si>
  <si>
    <t>ENST00000520199</t>
  </si>
  <si>
    <t>ENST00000520126</t>
  </si>
  <si>
    <t>ENST00000520957</t>
  </si>
  <si>
    <t>ENSG00000113263</t>
  </si>
  <si>
    <t>ENSG00000113273</t>
  </si>
  <si>
    <t>ENSG00000113312</t>
  </si>
  <si>
    <t>ENSG00000113319</t>
  </si>
  <si>
    <t>ENSG00000113368</t>
  </si>
  <si>
    <t>ENSG00000113387</t>
  </si>
  <si>
    <t>ENSG00000113391</t>
  </si>
  <si>
    <t>ENST00000395965</t>
  </si>
  <si>
    <t>ENST00000511139</t>
  </si>
  <si>
    <t>ENST00000510445</t>
  </si>
  <si>
    <t>ENST00000506398</t>
  </si>
  <si>
    <t>ENSG00000113407</t>
  </si>
  <si>
    <t>ENSG00000113441</t>
  </si>
  <si>
    <t>ENSG00000113456</t>
  </si>
  <si>
    <t>ENSG00000113460</t>
  </si>
  <si>
    <t>ENSG00000113522</t>
  </si>
  <si>
    <t>ENSG00000113532</t>
  </si>
  <si>
    <t>ENST00000231461</t>
  </si>
  <si>
    <t>ENST00000451528</t>
  </si>
  <si>
    <t>ENSG00000113552</t>
  </si>
  <si>
    <t>ENSG00000113558</t>
  </si>
  <si>
    <t>ENSG00000113569</t>
  </si>
  <si>
    <t>ENST00000231498</t>
  </si>
  <si>
    <t>ENST00000508182</t>
  </si>
  <si>
    <t>ENST00000515054</t>
  </si>
  <si>
    <t>ENST00000507233</t>
  </si>
  <si>
    <t>ENSG00000113580</t>
  </si>
  <si>
    <t>ENST00000394464</t>
  </si>
  <si>
    <t>ENST00000231509</t>
  </si>
  <si>
    <t>ENST00000503201</t>
  </si>
  <si>
    <t>ENSG00000113593</t>
  </si>
  <si>
    <t>ENSG00000113597</t>
  </si>
  <si>
    <t>ENST00000399438</t>
  </si>
  <si>
    <t>ENST00000512009</t>
  </si>
  <si>
    <t>ENST00000438419</t>
  </si>
  <si>
    <t>ENST00000231526</t>
  </si>
  <si>
    <t>ENST00000508304</t>
  </si>
  <si>
    <t>ENST00000520525</t>
  </si>
  <si>
    <t>ENST00000509234</t>
  </si>
  <si>
    <t>ENST00000505108</t>
  </si>
  <si>
    <t>ENST00000415825</t>
  </si>
  <si>
    <t>ENSG00000113615</t>
  </si>
  <si>
    <t>ENSG00000113643</t>
  </si>
  <si>
    <t>ENSG00000113648</t>
  </si>
  <si>
    <t>ENST00000511689</t>
  </si>
  <si>
    <t>ENST00000451949</t>
  </si>
  <si>
    <t>ENST00000512507</t>
  </si>
  <si>
    <t>ENST00000312469</t>
  </si>
  <si>
    <t>ENST00000511494</t>
  </si>
  <si>
    <t>ENST00000505827</t>
  </si>
  <si>
    <t>ENST00000513268</t>
  </si>
  <si>
    <t>ENST00000507868</t>
  </si>
  <si>
    <t>ENST00000504197</t>
  </si>
  <si>
    <t>ENSG00000113649</t>
  </si>
  <si>
    <t>ENST00000507175</t>
  </si>
  <si>
    <t>ENST00000296702</t>
  </si>
  <si>
    <t>ENST00000394421</t>
  </si>
  <si>
    <t>ENST00000549332</t>
  </si>
  <si>
    <t>ENST00000509810</t>
  </si>
  <si>
    <t>ENST00000515203</t>
  </si>
  <si>
    <t>ENST00000505285</t>
  </si>
  <si>
    <t>ENST00000509787</t>
  </si>
  <si>
    <t>ENST00000514719</t>
  </si>
  <si>
    <t>ENST00000511077</t>
  </si>
  <si>
    <t>ENSG00000113712</t>
  </si>
  <si>
    <t>ENSG00000113716</t>
  </si>
  <si>
    <t>ENST00000502717</t>
  </si>
  <si>
    <t>ENST00000513318</t>
  </si>
  <si>
    <t>ENST00000510472</t>
  </si>
  <si>
    <t>ENSG00000113719</t>
  </si>
  <si>
    <t>ENST00000393784</t>
  </si>
  <si>
    <t>ENST00000326654</t>
  </si>
  <si>
    <t>ENST00000520399</t>
  </si>
  <si>
    <t>ENST00000523215</t>
  </si>
  <si>
    <t>ENSG00000113734</t>
  </si>
  <si>
    <t>ENSG00000113742</t>
  </si>
  <si>
    <t>ENST00000265085</t>
  </si>
  <si>
    <t>ENST00000522344</t>
  </si>
  <si>
    <t>ENSG00000113758</t>
  </si>
  <si>
    <t>ENSG00000113761</t>
  </si>
  <si>
    <t>ENSG00000113810</t>
  </si>
  <si>
    <t>ENSG00000113812</t>
  </si>
  <si>
    <t>ENSG00000113851</t>
  </si>
  <si>
    <t>ENST00000491834</t>
  </si>
  <si>
    <t>ENST00000488263</t>
  </si>
  <si>
    <t>ENST00000231948</t>
  </si>
  <si>
    <t>ENST00000459840</t>
  </si>
  <si>
    <t>ENST00000498442</t>
  </si>
  <si>
    <t>ENST00000482844</t>
  </si>
  <si>
    <t>ENST00000480249</t>
  </si>
  <si>
    <t>ENST00000450014</t>
  </si>
  <si>
    <t>ENST00000498700</t>
  </si>
  <si>
    <t>ENST00000492178</t>
  </si>
  <si>
    <t>ENST00000478353</t>
  </si>
  <si>
    <t>ENSG00000114021</t>
  </si>
  <si>
    <t>ENSG00000114023</t>
  </si>
  <si>
    <t>ENSG00000114026</t>
  </si>
  <si>
    <t>ENST00000339511</t>
  </si>
  <si>
    <t>ENST00000432857</t>
  </si>
  <si>
    <t>ENST00000602976</t>
  </si>
  <si>
    <t>ENSG00000114054</t>
  </si>
  <si>
    <t>ENSG00000114062</t>
  </si>
  <si>
    <t>ENST00000232165</t>
  </si>
  <si>
    <t>ENST00000604860</t>
  </si>
  <si>
    <t>ENST00000438097</t>
  </si>
  <si>
    <t>ENSG00000114098</t>
  </si>
  <si>
    <t>ENST00000481646</t>
  </si>
  <si>
    <t>ENST00000469044</t>
  </si>
  <si>
    <t>ENST00000358441</t>
  </si>
  <si>
    <t>ENST00000471453</t>
  </si>
  <si>
    <t>ENST00000470821</t>
  </si>
  <si>
    <t>ENST00000468560</t>
  </si>
  <si>
    <t>ENST00000470842</t>
  </si>
  <si>
    <t>ENST00000486832</t>
  </si>
  <si>
    <t>ENST00000466762</t>
  </si>
  <si>
    <t>ENST00000494015</t>
  </si>
  <si>
    <t>ENSG00000114120</t>
  </si>
  <si>
    <t>ENST00000502756</t>
  </si>
  <si>
    <t>ENST00000507429</t>
  </si>
  <si>
    <t>ENST00000324194</t>
  </si>
  <si>
    <t>ENST00000502866</t>
  </si>
  <si>
    <t>ENST00000511757</t>
  </si>
  <si>
    <t>ENST00000514629</t>
  </si>
  <si>
    <t>ENSG00000114209</t>
  </si>
  <si>
    <t>ENSG00000114316</t>
  </si>
  <si>
    <t>ENST00000351842</t>
  </si>
  <si>
    <t>ENST00000265560</t>
  </si>
  <si>
    <t>ENST00000483212</t>
  </si>
  <si>
    <t>ENST00000485450</t>
  </si>
  <si>
    <t>ENST00000475873</t>
  </si>
  <si>
    <t>ENST00000415188</t>
  </si>
  <si>
    <t>ENST00000464168</t>
  </si>
  <si>
    <t>ENSG00000114331</t>
  </si>
  <si>
    <t>ENSG00000114353</t>
  </si>
  <si>
    <t>ENSG00000114354</t>
  </si>
  <si>
    <t>ENST00000418917</t>
  </si>
  <si>
    <t>ENST00000490574</t>
  </si>
  <si>
    <t>ENST00000240851</t>
  </si>
  <si>
    <t>ENST00000476228</t>
  </si>
  <si>
    <t>ENST00000481203</t>
  </si>
  <si>
    <t>ENSG00000114388</t>
  </si>
  <si>
    <t>ENST00000493907</t>
  </si>
  <si>
    <t>ENSG00000114391</t>
  </si>
  <si>
    <t>ENSG00000114416</t>
  </si>
  <si>
    <t>ENST00000481383</t>
  </si>
  <si>
    <t>ENSG00000114423</t>
  </si>
  <si>
    <t>ENSG00000114439</t>
  </si>
  <si>
    <t>ENST00000415149</t>
  </si>
  <si>
    <t>ENST00000325805</t>
  </si>
  <si>
    <t>ENST00000474137</t>
  </si>
  <si>
    <t>ENST00000497629</t>
  </si>
  <si>
    <t>ENST00000458347</t>
  </si>
  <si>
    <t>ENSG00000114446</t>
  </si>
  <si>
    <t>ENST00000264538</t>
  </si>
  <si>
    <t>ENST00000468021</t>
  </si>
  <si>
    <t>ENST00000465024</t>
  </si>
  <si>
    <t>ENST00000485979</t>
  </si>
  <si>
    <t>ENSG00000114480</t>
  </si>
  <si>
    <t>ENSG00000114491</t>
  </si>
  <si>
    <t>ENSG00000114503</t>
  </si>
  <si>
    <t>ENSG00000114554</t>
  </si>
  <si>
    <t>ENST00000393409</t>
  </si>
  <si>
    <t>ENST00000503234</t>
  </si>
  <si>
    <t>ENST00000503363</t>
  </si>
  <si>
    <t>ENSG00000114573</t>
  </si>
  <si>
    <t>ENST00000273398</t>
  </si>
  <si>
    <t>ENST00000462855</t>
  </si>
  <si>
    <t>ENSG00000114626</t>
  </si>
  <si>
    <t>ENST00000232744</t>
  </si>
  <si>
    <t>ENST00000493365</t>
  </si>
  <si>
    <t>ENST00000479280</t>
  </si>
  <si>
    <t>ENST00000468137</t>
  </si>
  <si>
    <t>ENST00000464431</t>
  </si>
  <si>
    <t>ENSG00000114686</t>
  </si>
  <si>
    <t>ENSG00000114737</t>
  </si>
  <si>
    <t>ENSG00000114738</t>
  </si>
  <si>
    <t>ENSG00000114742</t>
  </si>
  <si>
    <t>ENSG00000114744</t>
  </si>
  <si>
    <t>ENST00000473414</t>
  </si>
  <si>
    <t>ENST00000463077</t>
  </si>
  <si>
    <t>ENST00000469896</t>
  </si>
  <si>
    <t>ENST00000483146</t>
  </si>
  <si>
    <t>ENST00000490008</t>
  </si>
  <si>
    <t>ENSG00000114779</t>
  </si>
  <si>
    <t>ENSG00000114784</t>
  </si>
  <si>
    <t>ENST00000232905</t>
  </si>
  <si>
    <t>ENST00000462088</t>
  </si>
  <si>
    <t>ENST00000488260</t>
  </si>
  <si>
    <t>ENST00000487151</t>
  </si>
  <si>
    <t>ENSG00000114850</t>
  </si>
  <si>
    <t>ENSG00000114861</t>
  </si>
  <si>
    <t>ENST00000460805</t>
  </si>
  <si>
    <t>ENST00000491238</t>
  </si>
  <si>
    <t>ENST00000485326</t>
  </si>
  <si>
    <t>ENST00000497553</t>
  </si>
  <si>
    <t>ENST00000470112</t>
  </si>
  <si>
    <t>ENSG00000114867</t>
  </si>
  <si>
    <t>ENST00000346169</t>
  </si>
  <si>
    <t>ENST00000392537</t>
  </si>
  <si>
    <t>ENST00000442406</t>
  </si>
  <si>
    <t>ENST00000485712</t>
  </si>
  <si>
    <t>ENST00000342981</t>
  </si>
  <si>
    <t>ENST00000424196</t>
  </si>
  <si>
    <t>ENST00000456033</t>
  </si>
  <si>
    <t>ENST00000411531</t>
  </si>
  <si>
    <t>ENST00000444861</t>
  </si>
  <si>
    <t>ENST00000484862</t>
  </si>
  <si>
    <t>ENST00000441154</t>
  </si>
  <si>
    <t>ENST00000434061</t>
  </si>
  <si>
    <t>ENST00000493299</t>
  </si>
  <si>
    <t>ENST00000466311</t>
  </si>
  <si>
    <t>ENST00000482303</t>
  </si>
  <si>
    <t>ENST00000460829</t>
  </si>
  <si>
    <t>ENST00000475721</t>
  </si>
  <si>
    <t>ENST00000464548</t>
  </si>
  <si>
    <t>ENST00000478291</t>
  </si>
  <si>
    <t>ENST00000319274</t>
  </si>
  <si>
    <t>ENSG00000114902</t>
  </si>
  <si>
    <t>ENSG00000114942</t>
  </si>
  <si>
    <t>ENST00000482103</t>
  </si>
  <si>
    <t>ENSG00000114956</t>
  </si>
  <si>
    <t>ENSG00000114982</t>
  </si>
  <si>
    <t>ENST00000354204</t>
  </si>
  <si>
    <t>ENST00000447759</t>
  </si>
  <si>
    <t>ENST00000431828</t>
  </si>
  <si>
    <t>ENST00000484020</t>
  </si>
  <si>
    <t>ENST00000476534</t>
  </si>
  <si>
    <t>ENST00000488907</t>
  </si>
  <si>
    <t>ENST00000478492</t>
  </si>
  <si>
    <t>ENSG00000114999</t>
  </si>
  <si>
    <t>ENST00000233336</t>
  </si>
  <si>
    <t>ENST00000485537</t>
  </si>
  <si>
    <t>ENST00000476615</t>
  </si>
  <si>
    <t>ENSG00000115020</t>
  </si>
  <si>
    <t>ENSG00000115042</t>
  </si>
  <si>
    <t>ENSG00000115053</t>
  </si>
  <si>
    <t>ENSG00000115073</t>
  </si>
  <si>
    <t>ENSG00000115085</t>
  </si>
  <si>
    <t>ENSG00000115091</t>
  </si>
  <si>
    <t>ENSG00000115128</t>
  </si>
  <si>
    <t>ENSG00000115145</t>
  </si>
  <si>
    <t>ENSG00000115159</t>
  </si>
  <si>
    <t>ENSG00000115165</t>
  </si>
  <si>
    <t>ENSG00000115207</t>
  </si>
  <si>
    <t>ENSG00000115216</t>
  </si>
  <si>
    <t>ENSG00000115232</t>
  </si>
  <si>
    <t>ENSG00000115233</t>
  </si>
  <si>
    <t>ENSG00000115234</t>
  </si>
  <si>
    <t>ENST00000233575</t>
  </si>
  <si>
    <t>ENST00000484886</t>
  </si>
  <si>
    <t>ENST00000427123</t>
  </si>
  <si>
    <t>ENST00000464279</t>
  </si>
  <si>
    <t>ENST00000489402</t>
  </si>
  <si>
    <t>ENST00000493711</t>
  </si>
  <si>
    <t>ENSG00000115241</t>
  </si>
  <si>
    <t>ENSG00000115267</t>
  </si>
  <si>
    <t>ENSG00000115268</t>
  </si>
  <si>
    <t>ENSG00000115271</t>
  </si>
  <si>
    <t>ENSG00000115275</t>
  </si>
  <si>
    <t>ENSG00000115286</t>
  </si>
  <si>
    <t>ENST00000233627</t>
  </si>
  <si>
    <t>ENST00000436115</t>
  </si>
  <si>
    <t>ENST00000313408</t>
  </si>
  <si>
    <t>ENST00000538523</t>
  </si>
  <si>
    <t>ENST00000591358</t>
  </si>
  <si>
    <t>ENSG00000115289</t>
  </si>
  <si>
    <t>ENST00000475863</t>
  </si>
  <si>
    <t>ENST00000233630</t>
  </si>
  <si>
    <t>ENST00000489914</t>
  </si>
  <si>
    <t>ENST00000463744</t>
  </si>
  <si>
    <t>ENST00000496911</t>
  </si>
  <si>
    <t>ENSG00000115306</t>
  </si>
  <si>
    <t>ENST00000356805</t>
  </si>
  <si>
    <t>ENSG00000115307</t>
  </si>
  <si>
    <t>ENST00000425118</t>
  </si>
  <si>
    <t>ENST00000377526</t>
  </si>
  <si>
    <t>ENST00000463900</t>
  </si>
  <si>
    <t>ENST00000466894</t>
  </si>
  <si>
    <t>ENST00000486234</t>
  </si>
  <si>
    <t>ENST00000462297</t>
  </si>
  <si>
    <t>ENST00000464887</t>
  </si>
  <si>
    <t>ENST00000472800</t>
  </si>
  <si>
    <t>ENSG00000115310</t>
  </si>
  <si>
    <t>ENST00000317610</t>
  </si>
  <si>
    <t>ENST00000491592</t>
  </si>
  <si>
    <t>ENST00000485749</t>
  </si>
  <si>
    <t>ENSG00000115317</t>
  </si>
  <si>
    <t>ENSG00000115325</t>
  </si>
  <si>
    <t>ENSG00000115350</t>
  </si>
  <si>
    <t>ENSG00000115364</t>
  </si>
  <si>
    <t>ENSG00000115368</t>
  </si>
  <si>
    <t>ENSG00000115415</t>
  </si>
  <si>
    <t>ENSG00000115419</t>
  </si>
  <si>
    <t>ENST00000495444</t>
  </si>
  <si>
    <t>ENST00000409626</t>
  </si>
  <si>
    <t>ENST00000471443</t>
  </si>
  <si>
    <t>ENSG00000115421</t>
  </si>
  <si>
    <t>ENST00000238714</t>
  </si>
  <si>
    <t>ENST00000496283</t>
  </si>
  <si>
    <t>ENST00000483370</t>
  </si>
  <si>
    <t>ENST00000470208</t>
  </si>
  <si>
    <t>ENSG00000115425</t>
  </si>
  <si>
    <t>ENSG00000115484</t>
  </si>
  <si>
    <t>ENSG00000115514</t>
  </si>
  <si>
    <t>ENST00000264255</t>
  </si>
  <si>
    <t>ENST00000409434</t>
  </si>
  <si>
    <t>ENST00000465183</t>
  </si>
  <si>
    <t>ENSG00000115524</t>
  </si>
  <si>
    <t>ENSG00000115539</t>
  </si>
  <si>
    <t>ENSG00000115541</t>
  </si>
  <si>
    <t>ENSG00000115548</t>
  </si>
  <si>
    <t>ENSG00000115561</t>
  </si>
  <si>
    <t>ENSG00000115652</t>
  </si>
  <si>
    <t>ENSG00000115677</t>
  </si>
  <si>
    <t>ENST00000427487</t>
  </si>
  <si>
    <t>ENSG00000115685</t>
  </si>
  <si>
    <t>ENSG00000115687</t>
  </si>
  <si>
    <t>ENSG00000115694</t>
  </si>
  <si>
    <t>ENST00000494699</t>
  </si>
  <si>
    <t>ENSG00000115750</t>
  </si>
  <si>
    <t>ENST00000263663</t>
  </si>
  <si>
    <t>ENST00000497182</t>
  </si>
  <si>
    <t>ENST00000492648</t>
  </si>
  <si>
    <t>ENSG00000115756</t>
  </si>
  <si>
    <t>ENSG00000115760</t>
  </si>
  <si>
    <t>ENSG00000115806</t>
  </si>
  <si>
    <t>ENSG00000115816</t>
  </si>
  <si>
    <t>ENSG00000115825</t>
  </si>
  <si>
    <t>ENSG00000115839</t>
  </si>
  <si>
    <t>ENSG00000115840</t>
  </si>
  <si>
    <t>ENSG00000115866</t>
  </si>
  <si>
    <t>ENSG00000115875</t>
  </si>
  <si>
    <t>ENST00000313117</t>
  </si>
  <si>
    <t>ENST00000425778</t>
  </si>
  <si>
    <t>ENST00000425941</t>
  </si>
  <si>
    <t>ENST00000452806</t>
  </si>
  <si>
    <t>ENST00000432873</t>
  </si>
  <si>
    <t>ENST00000409276</t>
  </si>
  <si>
    <t>ENST00000477635</t>
  </si>
  <si>
    <t>ENST00000431066</t>
  </si>
  <si>
    <t>ENST00000443213</t>
  </si>
  <si>
    <t>ENST00000446327</t>
  </si>
  <si>
    <t>ENSG00000115896</t>
  </si>
  <si>
    <t>ENSG00000115904</t>
  </si>
  <si>
    <t>ENSG00000115935</t>
  </si>
  <si>
    <t>ENST00000467149</t>
  </si>
  <si>
    <t>ENSG00000115942</t>
  </si>
  <si>
    <t>ENSG00000115944</t>
  </si>
  <si>
    <t>ENSG00000115946</t>
  </si>
  <si>
    <t>ENSG00000115947</t>
  </si>
  <si>
    <t>ENSG00000115966</t>
  </si>
  <si>
    <t>ENST00000264110</t>
  </si>
  <si>
    <t>ENST00000345739</t>
  </si>
  <si>
    <t>ENST00000478905</t>
  </si>
  <si>
    <t>ENST00000409833</t>
  </si>
  <si>
    <t>ENSG00000115970</t>
  </si>
  <si>
    <t>ENST00000405975</t>
  </si>
  <si>
    <t>ENST00000485018</t>
  </si>
  <si>
    <t>ENST00000402360</t>
  </si>
  <si>
    <t>ENST00000404790</t>
  </si>
  <si>
    <t>ENST00000403856</t>
  </si>
  <si>
    <t>ENSG00000115977</t>
  </si>
  <si>
    <t>ENSG00000115993</t>
  </si>
  <si>
    <t>ENST00000332624</t>
  </si>
  <si>
    <t>ENST00000430254</t>
  </si>
  <si>
    <t>ENST00000486291</t>
  </si>
  <si>
    <t>ENSG00000115998</t>
  </si>
  <si>
    <t>ENST00000264434</t>
  </si>
  <si>
    <t>ENST00000420306</t>
  </si>
  <si>
    <t>ENSG00000116001</t>
  </si>
  <si>
    <t>ENSG00000116005</t>
  </si>
  <si>
    <t>ENSG00000116030</t>
  </si>
  <si>
    <t>ENSG00000116044</t>
  </si>
  <si>
    <t>ENST00000397063</t>
  </si>
  <si>
    <t>ENST00000397062</t>
  </si>
  <si>
    <t>ENST00000430047</t>
  </si>
  <si>
    <t>ENST00000423513</t>
  </si>
  <si>
    <t>ENST00000477534</t>
  </si>
  <si>
    <t>ENST00000462023</t>
  </si>
  <si>
    <t>ENSG00000116095</t>
  </si>
  <si>
    <t>ENST00000234453</t>
  </si>
  <si>
    <t>ENST00000453653</t>
  </si>
  <si>
    <t>ENSG00000116127</t>
  </si>
  <si>
    <t>ENST00000484298</t>
  </si>
  <si>
    <t>ENST00000423048</t>
  </si>
  <si>
    <t>ENSG00000116128</t>
  </si>
  <si>
    <t>ENSG00000116138</t>
  </si>
  <si>
    <t>ENST00000479655</t>
  </si>
  <si>
    <t>ENST00000490811</t>
  </si>
  <si>
    <t>ENSG00000116157</t>
  </si>
  <si>
    <t>ENSG00000116161</t>
  </si>
  <si>
    <t>ENSG00000116171</t>
  </si>
  <si>
    <t>ENST00000478274</t>
  </si>
  <si>
    <t>ENST00000484100</t>
  </si>
  <si>
    <t>ENST00000435345</t>
  </si>
  <si>
    <t>ENST00000488965</t>
  </si>
  <si>
    <t>ENSG00000116198</t>
  </si>
  <si>
    <t>ENST00000378230</t>
  </si>
  <si>
    <t>ENST00000484420</t>
  </si>
  <si>
    <t>ENST00000438539</t>
  </si>
  <si>
    <t>ENST00000461667</t>
  </si>
  <si>
    <t>ENST00000495701</t>
  </si>
  <si>
    <t>ENST00000494653</t>
  </si>
  <si>
    <t>ENST00000494951</t>
  </si>
  <si>
    <t>ENSG00000116205</t>
  </si>
  <si>
    <t>ENST00000498272</t>
  </si>
  <si>
    <t>ENST00000234827</t>
  </si>
  <si>
    <t>ENST00000371331</t>
  </si>
  <si>
    <t>ENST00000391366</t>
  </si>
  <si>
    <t>ENSG00000116212</t>
  </si>
  <si>
    <t>ENSG00000116213</t>
  </si>
  <si>
    <t>ENSG00000116221</t>
  </si>
  <si>
    <t>ENSG00000116251</t>
  </si>
  <si>
    <t>ENSG00000116260</t>
  </si>
  <si>
    <t>ENST00000367602</t>
  </si>
  <si>
    <t>ENST00000367600</t>
  </si>
  <si>
    <t>ENSG00000116266</t>
  </si>
  <si>
    <t>ENSG00000116288</t>
  </si>
  <si>
    <t>ENSG00000116299</t>
  </si>
  <si>
    <t>ENST00000533374</t>
  </si>
  <si>
    <t>ENST00000464345</t>
  </si>
  <si>
    <t>ENSG00000116337</t>
  </si>
  <si>
    <t>ENST00000342115</t>
  </si>
  <si>
    <t>ENST00000534144</t>
  </si>
  <si>
    <t>ENST00000525415</t>
  </si>
  <si>
    <t>ENST00000524975</t>
  </si>
  <si>
    <t>ENST00000529299</t>
  </si>
  <si>
    <t>ENST00000532851</t>
  </si>
  <si>
    <t>ENST00000533132</t>
  </si>
  <si>
    <t>ENST00000467071</t>
  </si>
  <si>
    <t>ENST00000528958</t>
  </si>
  <si>
    <t>ENSG00000116353</t>
  </si>
  <si>
    <t>ENSG00000116406</t>
  </si>
  <si>
    <t>ENST00000318130</t>
  </si>
  <si>
    <t>ENST00000466606</t>
  </si>
  <si>
    <t>ENSG00000116455</t>
  </si>
  <si>
    <t>ENSG00000116459</t>
  </si>
  <si>
    <t>ENSG00000116473</t>
  </si>
  <si>
    <t>ENSG00000116478</t>
  </si>
  <si>
    <t>ENSG00000116489</t>
  </si>
  <si>
    <t>ENSG00000116497</t>
  </si>
  <si>
    <t>ENST00000373475</t>
  </si>
  <si>
    <t>ENST00000356689</t>
  </si>
  <si>
    <t>ENST00000530552</t>
  </si>
  <si>
    <t>ENST00000475486</t>
  </si>
  <si>
    <t>ENSG00000116560</t>
  </si>
  <si>
    <t>ENSG00000116580</t>
  </si>
  <si>
    <t>ENST00000437809</t>
  </si>
  <si>
    <t>ENST00000473267</t>
  </si>
  <si>
    <t>ENST00000271883</t>
  </si>
  <si>
    <t>ENST00000460075</t>
  </si>
  <si>
    <t>ENST00000483032</t>
  </si>
  <si>
    <t>ENST00000361040</t>
  </si>
  <si>
    <t>ENST00000497369</t>
  </si>
  <si>
    <t>ENST00000496021</t>
  </si>
  <si>
    <t>ENST00000482386</t>
  </si>
  <si>
    <t>ENST00000466224</t>
  </si>
  <si>
    <t>ENST00000467009</t>
  </si>
  <si>
    <t>ENSG00000116584</t>
  </si>
  <si>
    <t>ENST00000361247</t>
  </si>
  <si>
    <t>ENST00000470541</t>
  </si>
  <si>
    <t>ENST00000313667</t>
  </si>
  <si>
    <t>ENST00000470975</t>
  </si>
  <si>
    <t>ENST00000608543</t>
  </si>
  <si>
    <t>ENST00000470874</t>
  </si>
  <si>
    <t>ENST00000476273</t>
  </si>
  <si>
    <t>ENST00000487755</t>
  </si>
  <si>
    <t>ENST00000368315</t>
  </si>
  <si>
    <t>ENSG00000116586</t>
  </si>
  <si>
    <t>ENSG00000116604</t>
  </si>
  <si>
    <t>ENST00000348159</t>
  </si>
  <si>
    <t>ENST00000493077</t>
  </si>
  <si>
    <t>ENST00000368240</t>
  </si>
  <si>
    <t>ENSG00000116649</t>
  </si>
  <si>
    <t>ENSG00000116679</t>
  </si>
  <si>
    <t>ENSG00000116688</t>
  </si>
  <si>
    <t>ENSG00000116691</t>
  </si>
  <si>
    <t>ENST00000235332</t>
  </si>
  <si>
    <t>ENST00000492256</t>
  </si>
  <si>
    <t>ENST00000478299</t>
  </si>
  <si>
    <t>ENSG00000116698</t>
  </si>
  <si>
    <t>ENST00000440812</t>
  </si>
  <si>
    <t>ENST00000347615</t>
  </si>
  <si>
    <t>ENST00000515829</t>
  </si>
  <si>
    <t>ENST00000367538</t>
  </si>
  <si>
    <t>ENST00000493609</t>
  </si>
  <si>
    <t>ENST00000493045</t>
  </si>
  <si>
    <t>ENSG00000116731</t>
  </si>
  <si>
    <t>ENST00000413440</t>
  </si>
  <si>
    <t>ENST00000343137</t>
  </si>
  <si>
    <t>ENST00000491815</t>
  </si>
  <si>
    <t>ENSG00000116747</t>
  </si>
  <si>
    <t>ENST00000367443</t>
  </si>
  <si>
    <t>ENSG00000116786</t>
  </si>
  <si>
    <t>ENSG00000116791</t>
  </si>
  <si>
    <t>ENSG00000116809</t>
  </si>
  <si>
    <t>ENST00000471805</t>
  </si>
  <si>
    <t>ENSG00000116824</t>
  </si>
  <si>
    <t>ENSG00000116830</t>
  </si>
  <si>
    <t>ENSG00000116871</t>
  </si>
  <si>
    <t>ENSG00000116898</t>
  </si>
  <si>
    <t>ENSG00000116906</t>
  </si>
  <si>
    <t>ENST00000366647</t>
  </si>
  <si>
    <t>ENST00000469332</t>
  </si>
  <si>
    <t>ENSG00000116918</t>
  </si>
  <si>
    <t>ENSG00000116922</t>
  </si>
  <si>
    <t>ENST00000609516</t>
  </si>
  <si>
    <t>ENST00000464178</t>
  </si>
  <si>
    <t>ENST00000491797</t>
  </si>
  <si>
    <t>ENSG00000116954</t>
  </si>
  <si>
    <t>ENSG00000116957</t>
  </si>
  <si>
    <t>ENSG00000116977</t>
  </si>
  <si>
    <t>ENST00000526589</t>
  </si>
  <si>
    <t>ENST00000366584</t>
  </si>
  <si>
    <t>ENST00000475670</t>
  </si>
  <si>
    <t>ENST00000532826</t>
  </si>
  <si>
    <t>ENST00000366583</t>
  </si>
  <si>
    <t>ENST00000528259</t>
  </si>
  <si>
    <t>ENST00000526652</t>
  </si>
  <si>
    <t>ENST00000529796</t>
  </si>
  <si>
    <t>ENST00000532640</t>
  </si>
  <si>
    <t>ENST00000489586</t>
  </si>
  <si>
    <t>ENSG00000116984</t>
  </si>
  <si>
    <t>ENSG00000117036</t>
  </si>
  <si>
    <t>ENSG00000117054</t>
  </si>
  <si>
    <t>ENSG00000117090</t>
  </si>
  <si>
    <t>ENST00000302035</t>
  </si>
  <si>
    <t>ENST00000494463</t>
  </si>
  <si>
    <t>ENSG00000117091</t>
  </si>
  <si>
    <t>ENSG00000117118</t>
  </si>
  <si>
    <t>ENSG00000117133</t>
  </si>
  <si>
    <t>ENSG00000117139</t>
  </si>
  <si>
    <t>ENST00000367265</t>
  </si>
  <si>
    <t>ENST00000472822</t>
  </si>
  <si>
    <t>ENST00000491153</t>
  </si>
  <si>
    <t>ENST00000498276</t>
  </si>
  <si>
    <t>ENSG00000117143</t>
  </si>
  <si>
    <t>ENST00000367926</t>
  </si>
  <si>
    <t>ENST00000474728</t>
  </si>
  <si>
    <t>ENST00000486089</t>
  </si>
  <si>
    <t>ENSG00000117151</t>
  </si>
  <si>
    <t>ENSG00000117153</t>
  </si>
  <si>
    <t>ENST00000367261</t>
  </si>
  <si>
    <t>ENST00000367259</t>
  </si>
  <si>
    <t>ENSG00000117174</t>
  </si>
  <si>
    <t>ENST00000370574</t>
  </si>
  <si>
    <t>ENST00000431532</t>
  </si>
  <si>
    <t>ENSG00000117222</t>
  </si>
  <si>
    <t>ENST00000264515</t>
  </si>
  <si>
    <t>ENST00000367164</t>
  </si>
  <si>
    <t>ENSG00000117298</t>
  </si>
  <si>
    <t>ENST00000415912</t>
  </si>
  <si>
    <t>ENST00000357071</t>
  </si>
  <si>
    <t>ENST00000531334</t>
  </si>
  <si>
    <t>ENST00000264205</t>
  </si>
  <si>
    <t>ENST00000526194</t>
  </si>
  <si>
    <t>ENST00000470394</t>
  </si>
  <si>
    <t>ENSG00000117305</t>
  </si>
  <si>
    <t>ENSG00000117335</t>
  </si>
  <si>
    <t>ENST00000358170</t>
  </si>
  <si>
    <t>ENST00000354848</t>
  </si>
  <si>
    <t>ENST00000367042</t>
  </si>
  <si>
    <t>ENST00000367041</t>
  </si>
  <si>
    <t>ENST00000357714</t>
  </si>
  <si>
    <t>ENST00000322875</t>
  </si>
  <si>
    <t>ENST00000469535</t>
  </si>
  <si>
    <t>ENST00000480003</t>
  </si>
  <si>
    <t>ENST00000464082</t>
  </si>
  <si>
    <t>ENST00000496723</t>
  </si>
  <si>
    <t>ENST00000490278</t>
  </si>
  <si>
    <t>ENST00000471987</t>
  </si>
  <si>
    <t>ENSG00000117360</t>
  </si>
  <si>
    <t>ENSG00000117385</t>
  </si>
  <si>
    <t>ENST00000460031</t>
  </si>
  <si>
    <t>ENST00000236040</t>
  </si>
  <si>
    <t>ENST00000296388</t>
  </si>
  <si>
    <t>ENST00000472802</t>
  </si>
  <si>
    <t>ENST00000460831</t>
  </si>
  <si>
    <t>ENST00000481465</t>
  </si>
  <si>
    <t>ENST00000492956</t>
  </si>
  <si>
    <t>ENSG00000117394</t>
  </si>
  <si>
    <t>ENSG00000117395</t>
  </si>
  <si>
    <t>ENSG00000117448</t>
  </si>
  <si>
    <t>ENST00000351829</t>
  </si>
  <si>
    <t>ENSG00000117450</t>
  </si>
  <si>
    <t>ENSG00000117475</t>
  </si>
  <si>
    <t>ENST00000367807</t>
  </si>
  <si>
    <t>ENST00000367808</t>
  </si>
  <si>
    <t>ENST00000329281</t>
  </si>
  <si>
    <t>ENSG00000117500</t>
  </si>
  <si>
    <t>ENSG00000117519</t>
  </si>
  <si>
    <t>ENST00000370206</t>
  </si>
  <si>
    <t>ENST00000461018</t>
  </si>
  <si>
    <t>ENST00000487539</t>
  </si>
  <si>
    <t>ENSG00000117523</t>
  </si>
  <si>
    <t>ENST00000367742</t>
  </si>
  <si>
    <t>ENST00000338920</t>
  </si>
  <si>
    <t>ENST00000467601</t>
  </si>
  <si>
    <t>ENST00000463586</t>
  </si>
  <si>
    <t>ENST00000470689</t>
  </si>
  <si>
    <t>ENST00000498596</t>
  </si>
  <si>
    <t>ENST00000492811</t>
  </si>
  <si>
    <t>ENST00000392078</t>
  </si>
  <si>
    <t>ENSG00000117528</t>
  </si>
  <si>
    <t>ENSG00000117543</t>
  </si>
  <si>
    <t>ENST00000370105</t>
  </si>
  <si>
    <t>ENST00000492067</t>
  </si>
  <si>
    <t>ENST00000370109</t>
  </si>
  <si>
    <t>ENST00000464270</t>
  </si>
  <si>
    <t>ENST00000342173</t>
  </si>
  <si>
    <t>ENST00000488176</t>
  </si>
  <si>
    <t>ENST00000490732</t>
  </si>
  <si>
    <t>ENST00000476507</t>
  </si>
  <si>
    <t>ENST00000481982</t>
  </si>
  <si>
    <t>ENST00000427040</t>
  </si>
  <si>
    <t>ENSG00000117569</t>
  </si>
  <si>
    <t>ENST00000609116</t>
  </si>
  <si>
    <t>ENST00000460706</t>
  </si>
  <si>
    <t>ENST00000462433</t>
  </si>
  <si>
    <t>ENSG00000117592</t>
  </si>
  <si>
    <t>ENSG00000117614</t>
  </si>
  <si>
    <t>ENSG00000117625</t>
  </si>
  <si>
    <t>ENSG00000117632</t>
  </si>
  <si>
    <t>ENSG00000117640</t>
  </si>
  <si>
    <t>ENST00000374303</t>
  </si>
  <si>
    <t>ENST00000497956</t>
  </si>
  <si>
    <t>ENST00000466284</t>
  </si>
  <si>
    <t>ENST00000526894</t>
  </si>
  <si>
    <t>ENST00000494293</t>
  </si>
  <si>
    <t>ENSG00000117643</t>
  </si>
  <si>
    <t>ENSG00000117691</t>
  </si>
  <si>
    <t>ENSG00000117697</t>
  </si>
  <si>
    <t>ENSG00000117713</t>
  </si>
  <si>
    <t>ENSG00000117748</t>
  </si>
  <si>
    <t>ENSG00000117751</t>
  </si>
  <si>
    <t>ENSG00000117758</t>
  </si>
  <si>
    <t>ENST00000472285</t>
  </si>
  <si>
    <t>ENSG00000117859</t>
  </si>
  <si>
    <t>ENST00000428468</t>
  </si>
  <si>
    <t>ENST00000484890</t>
  </si>
  <si>
    <t>ENST00000531828</t>
  </si>
  <si>
    <t>ENST00000462759</t>
  </si>
  <si>
    <t>ENST00000467064</t>
  </si>
  <si>
    <t>ENST00000475697</t>
  </si>
  <si>
    <t>ENST00000531819</t>
  </si>
  <si>
    <t>ENSG00000117862</t>
  </si>
  <si>
    <t>ENSG00000117868</t>
  </si>
  <si>
    <t>ENST00000251527</t>
  </si>
  <si>
    <t>ENST00000275418</t>
  </si>
  <si>
    <t>ENST00000435514</t>
  </si>
  <si>
    <t>ENSG00000117877</t>
  </si>
  <si>
    <t>ENSG00000117906</t>
  </si>
  <si>
    <t>ENSG00000117984</t>
  </si>
  <si>
    <t>ENSG00000118007</t>
  </si>
  <si>
    <t>ENSG00000118046</t>
  </si>
  <si>
    <t>ENST00000326873</t>
  </si>
  <si>
    <t>ENST00000593219</t>
  </si>
  <si>
    <t>ENST00000591133</t>
  </si>
  <si>
    <t>ENSG00000118058</t>
  </si>
  <si>
    <t>ENST00000528278</t>
  </si>
  <si>
    <t>ENST00000534085</t>
  </si>
  <si>
    <t>ENST00000534678</t>
  </si>
  <si>
    <t>ENST00000525408</t>
  </si>
  <si>
    <t>ENST00000527839</t>
  </si>
  <si>
    <t>ENSG00000118181</t>
  </si>
  <si>
    <t>ENSG00000118200</t>
  </si>
  <si>
    <t>ENST00000358823</t>
  </si>
  <si>
    <t>ENST00000475326</t>
  </si>
  <si>
    <t>ENSG00000118246</t>
  </si>
  <si>
    <t>ENST00000236980</t>
  </si>
  <si>
    <t>ENST00000402774</t>
  </si>
  <si>
    <t>ENST00000487777</t>
  </si>
  <si>
    <t>ENST00000471788</t>
  </si>
  <si>
    <t>ENSG00000118260</t>
  </si>
  <si>
    <t>ENSG00000118308</t>
  </si>
  <si>
    <t>ENST00000550945</t>
  </si>
  <si>
    <t>ENST00000557489</t>
  </si>
  <si>
    <t>ENST00000354454</t>
  </si>
  <si>
    <t>ENST00000553398</t>
  </si>
  <si>
    <t>ENST00000555194</t>
  </si>
  <si>
    <t>ENSG00000118363</t>
  </si>
  <si>
    <t>ENSG00000118454</t>
  </si>
  <si>
    <t>ENST00000370944</t>
  </si>
  <si>
    <t>ENST00000490846</t>
  </si>
  <si>
    <t>ENSG00000118482</t>
  </si>
  <si>
    <t>ENST00000481385</t>
  </si>
  <si>
    <t>ENST00000262043</t>
  </si>
  <si>
    <t>ENST00000509330</t>
  </si>
  <si>
    <t>ENSG00000118503</t>
  </si>
  <si>
    <t>ENSG00000118513</t>
  </si>
  <si>
    <t>ENST00000341911</t>
  </si>
  <si>
    <t>ENST00000339290</t>
  </si>
  <si>
    <t>ENST00000442647</t>
  </si>
  <si>
    <t>ENST00000367814</t>
  </si>
  <si>
    <t>ENST00000527615</t>
  </si>
  <si>
    <t>ENST00000526889</t>
  </si>
  <si>
    <t>ENST00000430686</t>
  </si>
  <si>
    <t>ENSG00000118515</t>
  </si>
  <si>
    <t>ENST00000474427</t>
  </si>
  <si>
    <t>ENST00000477460</t>
  </si>
  <si>
    <t>ENST00000237305</t>
  </si>
  <si>
    <t>ENST00000367855</t>
  </si>
  <si>
    <t>ENST00000367857</t>
  </si>
  <si>
    <t>ENST00000531782</t>
  </si>
  <si>
    <t>ENST00000473704</t>
  </si>
  <si>
    <t>ENST00000525877</t>
  </si>
  <si>
    <t>ENST00000524764</t>
  </si>
  <si>
    <t>ENST00000475882</t>
  </si>
  <si>
    <t>ENST00000490149</t>
  </si>
  <si>
    <t>ENST00000532856</t>
  </si>
  <si>
    <t>ENST00000530421</t>
  </si>
  <si>
    <t>ENST00000472859</t>
  </si>
  <si>
    <t>ENSG00000118518</t>
  </si>
  <si>
    <t>ENST00000368314</t>
  </si>
  <si>
    <t>ENST00000609447</t>
  </si>
  <si>
    <t>ENST00000356799</t>
  </si>
  <si>
    <t>ENST00000495188</t>
  </si>
  <si>
    <t>ENSG00000118579</t>
  </si>
  <si>
    <t>ENSG00000118596</t>
  </si>
  <si>
    <t>ENSG00000118620</t>
  </si>
  <si>
    <t>ENST00000261560</t>
  </si>
  <si>
    <t>ENST00000595833</t>
  </si>
  <si>
    <t>ENST00000595401</t>
  </si>
  <si>
    <t>ENSG00000118705</t>
  </si>
  <si>
    <t>ENSG00000118873</t>
  </si>
  <si>
    <t>ENSG00000118900</t>
  </si>
  <si>
    <t>ENST00000592120</t>
  </si>
  <si>
    <t>ENST00000262376</t>
  </si>
  <si>
    <t>ENST00000396658</t>
  </si>
  <si>
    <t>ENST00000587027</t>
  </si>
  <si>
    <t>ENST00000586716</t>
  </si>
  <si>
    <t>ENST00000586152</t>
  </si>
  <si>
    <t>ENSG00000118922</t>
  </si>
  <si>
    <t>ENSG00000118939</t>
  </si>
  <si>
    <t>ENSG00000118960</t>
  </si>
  <si>
    <t>ENSG00000118971</t>
  </si>
  <si>
    <t>ENST00000261254</t>
  </si>
  <si>
    <t>ENST00000536537</t>
  </si>
  <si>
    <t>ENST00000536795</t>
  </si>
  <si>
    <t>ENSG00000119041</t>
  </si>
  <si>
    <t>ENSG00000119048</t>
  </si>
  <si>
    <t>ENSG00000119185</t>
  </si>
  <si>
    <t>ENST00000238091</t>
  </si>
  <si>
    <t>ENST00000355346</t>
  </si>
  <si>
    <t>ENST00000460720</t>
  </si>
  <si>
    <t>ENST00000465527</t>
  </si>
  <si>
    <t>ENST00000359712</t>
  </si>
  <si>
    <t>ENST00000470507</t>
  </si>
  <si>
    <t>ENST00000456913</t>
  </si>
  <si>
    <t>ENST00000492079</t>
  </si>
  <si>
    <t>ENST00000463190</t>
  </si>
  <si>
    <t>ENSG00000119203</t>
  </si>
  <si>
    <t>ENSG00000119231</t>
  </si>
  <si>
    <t>ENST00000323460</t>
  </si>
  <si>
    <t>ENST00000463245</t>
  </si>
  <si>
    <t>ENSG00000119242</t>
  </si>
  <si>
    <t>ENST00000238156</t>
  </si>
  <si>
    <t>ENST00000545135</t>
  </si>
  <si>
    <t>ENSG00000119280</t>
  </si>
  <si>
    <t>ENSG00000119285</t>
  </si>
  <si>
    <t>ENSG00000119314</t>
  </si>
  <si>
    <t>ENST00000374257</t>
  </si>
  <si>
    <t>ENST00000374255</t>
  </si>
  <si>
    <t>ENST00000343327</t>
  </si>
  <si>
    <t>ENSG00000119321</t>
  </si>
  <si>
    <t>ENSG00000119328</t>
  </si>
  <si>
    <t>ENST00000322940</t>
  </si>
  <si>
    <t>ENST00000466200</t>
  </si>
  <si>
    <t>ENSG00000119335</t>
  </si>
  <si>
    <t>ENSG00000119383</t>
  </si>
  <si>
    <t>ENSG00000119392</t>
  </si>
  <si>
    <t>ENSG00000119402</t>
  </si>
  <si>
    <t>ENST00000493559</t>
  </si>
  <si>
    <t>ENST00000474117</t>
  </si>
  <si>
    <t>ENSG00000119403</t>
  </si>
  <si>
    <t>ENST00000373896</t>
  </si>
  <si>
    <t>ENST00000462229</t>
  </si>
  <si>
    <t>ENST00000464712</t>
  </si>
  <si>
    <t>ENST00000467266</t>
  </si>
  <si>
    <t>ENST00000474402</t>
  </si>
  <si>
    <t>ENST00000312189</t>
  </si>
  <si>
    <t>ENSG00000119414</t>
  </si>
  <si>
    <t>ENSG00000119431</t>
  </si>
  <si>
    <t>ENSG00000119487</t>
  </si>
  <si>
    <t>ENST00000373498</t>
  </si>
  <si>
    <t>ENST00000350766</t>
  </si>
  <si>
    <t>ENST00000473837</t>
  </si>
  <si>
    <t>ENST00000437973</t>
  </si>
  <si>
    <t>ENST00000265960</t>
  </si>
  <si>
    <t>ENSG00000119508</t>
  </si>
  <si>
    <t>ENSG00000119522</t>
  </si>
  <si>
    <t>ENSG00000119523</t>
  </si>
  <si>
    <t>ENSG00000119537</t>
  </si>
  <si>
    <t>ENST00000406396</t>
  </si>
  <si>
    <t>ENST00000586791</t>
  </si>
  <si>
    <t>ENST00000588089</t>
  </si>
  <si>
    <t>ENST00000589530</t>
  </si>
  <si>
    <t>ENST00000585456</t>
  </si>
  <si>
    <t>ENSG00000119541</t>
  </si>
  <si>
    <t>ENSG00000119596</t>
  </si>
  <si>
    <t>ENST00000325680</t>
  </si>
  <si>
    <t>ENST00000549293</t>
  </si>
  <si>
    <t>ENST00000547879</t>
  </si>
  <si>
    <t>ENST00000550021</t>
  </si>
  <si>
    <t>ENST00000549197</t>
  </si>
  <si>
    <t>ENSG00000119616</t>
  </si>
  <si>
    <t>ENSG00000119638</t>
  </si>
  <si>
    <t>ENSG00000119640</t>
  </si>
  <si>
    <t>ENSG00000119655</t>
  </si>
  <si>
    <t>ENSG00000119682</t>
  </si>
  <si>
    <t>ENST00000356357</t>
  </si>
  <si>
    <t>ENST00000557688</t>
  </si>
  <si>
    <t>ENST00000556327</t>
  </si>
  <si>
    <t>ENST00000469797</t>
  </si>
  <si>
    <t>ENSG00000119689</t>
  </si>
  <si>
    <t>ENSG00000119705</t>
  </si>
  <si>
    <t>ENST00000557342</t>
  </si>
  <si>
    <t>ENST00000557623</t>
  </si>
  <si>
    <t>ENST00000556831</t>
  </si>
  <si>
    <t>ENST00000556956</t>
  </si>
  <si>
    <t>ENSG00000119707</t>
  </si>
  <si>
    <t>ENSG00000119718</t>
  </si>
  <si>
    <t>ENSG00000119723</t>
  </si>
  <si>
    <t>ENST00000556300</t>
  </si>
  <si>
    <t>ENST00000554217</t>
  </si>
  <si>
    <t>ENST00000554193</t>
  </si>
  <si>
    <t>ENST00000555511</t>
  </si>
  <si>
    <t>ENST00000553448</t>
  </si>
  <si>
    <t>ENSG00000119760</t>
  </si>
  <si>
    <t>ENST00000337768</t>
  </si>
  <si>
    <t>ENST00000406540</t>
  </si>
  <si>
    <t>ENST00000405491</t>
  </si>
  <si>
    <t>ENSG00000119772</t>
  </si>
  <si>
    <t>ENSG00000119787</t>
  </si>
  <si>
    <t>ENSG00000119801</t>
  </si>
  <si>
    <t>ENSG00000119812</t>
  </si>
  <si>
    <t>ENST00000238823</t>
  </si>
  <si>
    <t>ENST00000474985</t>
  </si>
  <si>
    <t>ENST00000403368</t>
  </si>
  <si>
    <t>ENST00000475122</t>
  </si>
  <si>
    <t>ENST00000492649</t>
  </si>
  <si>
    <t>ENST00000464415</t>
  </si>
  <si>
    <t>ENST00000431950</t>
  </si>
  <si>
    <t>ENSG00000119844</t>
  </si>
  <si>
    <t>ENST00000238856</t>
  </si>
  <si>
    <t>ENST00000498706</t>
  </si>
  <si>
    <t>ENST00000409933</t>
  </si>
  <si>
    <t>ENST00000409183</t>
  </si>
  <si>
    <t>ENST00000238855</t>
  </si>
  <si>
    <t>ENST00000422803</t>
  </si>
  <si>
    <t>ENSG00000119912</t>
  </si>
  <si>
    <t>ENSG00000119953</t>
  </si>
  <si>
    <t>ENSG00000120008</t>
  </si>
  <si>
    <t>ENSG00000120029</t>
  </si>
  <si>
    <t>ENST00000495001</t>
  </si>
  <si>
    <t>ENST00000370033</t>
  </si>
  <si>
    <t>ENST00000311122</t>
  </si>
  <si>
    <t>ENSG00000120053</t>
  </si>
  <si>
    <t>ENSG00000120158</t>
  </si>
  <si>
    <t>ENSG00000120217</t>
  </si>
  <si>
    <t>ENSG00000120265</t>
  </si>
  <si>
    <t>ENSG00000120314</t>
  </si>
  <si>
    <t>ENSG00000120333</t>
  </si>
  <si>
    <t>ENSG00000120334</t>
  </si>
  <si>
    <t>ENST00000345664</t>
  </si>
  <si>
    <t>ENST00000493233</t>
  </si>
  <si>
    <t>ENST00000495275</t>
  </si>
  <si>
    <t>ENSG00000120370</t>
  </si>
  <si>
    <t>ENST00000367762</t>
  </si>
  <si>
    <t>ENST00000475113</t>
  </si>
  <si>
    <t>ENSG00000120437</t>
  </si>
  <si>
    <t>ENSG00000120438</t>
  </si>
  <si>
    <t>ENSG00000120458</t>
  </si>
  <si>
    <t>ENST00000526629</t>
  </si>
  <si>
    <t>ENST00000533514</t>
  </si>
  <si>
    <t>ENSG00000120533</t>
  </si>
  <si>
    <t>ENST00000521662</t>
  </si>
  <si>
    <t>ENST00000521688</t>
  </si>
  <si>
    <t>ENST00000519754</t>
  </si>
  <si>
    <t>ENST00000522632</t>
  </si>
  <si>
    <t>ENST00000523335</t>
  </si>
  <si>
    <t>ENST00000518584</t>
  </si>
  <si>
    <t>ENST00000517350</t>
  </si>
  <si>
    <t>ENST00000521619</t>
  </si>
  <si>
    <t>ENST00000518118</t>
  </si>
  <si>
    <t>ENSG00000120539</t>
  </si>
  <si>
    <t>ENST00000375946</t>
  </si>
  <si>
    <t>ENST00000375940</t>
  </si>
  <si>
    <t>ENSG00000120616</t>
  </si>
  <si>
    <t>ENST00000319778</t>
  </si>
  <si>
    <t>ENST00000375110</t>
  </si>
  <si>
    <t>ENST00000263062</t>
  </si>
  <si>
    <t>ENST00000492710</t>
  </si>
  <si>
    <t>ENST00000476533</t>
  </si>
  <si>
    <t>ENST00000495790</t>
  </si>
  <si>
    <t>ENST00000480402</t>
  </si>
  <si>
    <t>ENSG00000120656</t>
  </si>
  <si>
    <t>ENST00000373824</t>
  </si>
  <si>
    <t>ENST00000263974</t>
  </si>
  <si>
    <t>ENSG00000120675</t>
  </si>
  <si>
    <t>ENSG00000120685</t>
  </si>
  <si>
    <t>ENST00000352251</t>
  </si>
  <si>
    <t>ENST00000492646</t>
  </si>
  <si>
    <t>ENST00000602512</t>
  </si>
  <si>
    <t>ENST00000602899</t>
  </si>
  <si>
    <t>ENST00000496138</t>
  </si>
  <si>
    <t>ENST00000436678</t>
  </si>
  <si>
    <t>ENST00000602534</t>
  </si>
  <si>
    <t>ENSG00000120686</t>
  </si>
  <si>
    <t>ENST00000494372</t>
  </si>
  <si>
    <t>ENST00000379649</t>
  </si>
  <si>
    <t>ENST00000239878</t>
  </si>
  <si>
    <t>ENST00000437952</t>
  </si>
  <si>
    <t>ENSG00000120690</t>
  </si>
  <si>
    <t>ENST00000239882</t>
  </si>
  <si>
    <t>ENST00000405737</t>
  </si>
  <si>
    <t>ENSG00000120694</t>
  </si>
  <si>
    <t>ENST00000435381</t>
  </si>
  <si>
    <t>ENSG00000120697</t>
  </si>
  <si>
    <t>ENSG00000120699</t>
  </si>
  <si>
    <t>ENSG00000120705</t>
  </si>
  <si>
    <t>ENSG00000120727</t>
  </si>
  <si>
    <t>ENST00000265192</t>
  </si>
  <si>
    <t>ENST00000510409</t>
  </si>
  <si>
    <t>ENST00000394795</t>
  </si>
  <si>
    <t>ENSG00000120733</t>
  </si>
  <si>
    <t>ENSG00000120798</t>
  </si>
  <si>
    <t>ENST00000333003</t>
  </si>
  <si>
    <t>ENST00000549617</t>
  </si>
  <si>
    <t>ENST00000552484</t>
  </si>
  <si>
    <t>ENST00000330677</t>
  </si>
  <si>
    <t>ENST00000549482</t>
  </si>
  <si>
    <t>ENSG00000120802</t>
  </si>
  <si>
    <t>ENSG00000120805</t>
  </si>
  <si>
    <t>ENST00000261636</t>
  </si>
  <si>
    <t>ENST00000550597</t>
  </si>
  <si>
    <t>ENST00000551671</t>
  </si>
  <si>
    <t>ENSG00000120833</t>
  </si>
  <si>
    <t>ENST00000340600</t>
  </si>
  <si>
    <t>ENST00000536696</t>
  </si>
  <si>
    <t>ENST00000548537</t>
  </si>
  <si>
    <t>ENST00000551556</t>
  </si>
  <si>
    <t>ENSG00000120837</t>
  </si>
  <si>
    <t>ENSG00000120860</t>
  </si>
  <si>
    <t>ENST00000240079</t>
  </si>
  <si>
    <t>ENST00000544341</t>
  </si>
  <si>
    <t>ENST00000545679</t>
  </si>
  <si>
    <t>ENST00000536197</t>
  </si>
  <si>
    <t>ENST00000541569</t>
  </si>
  <si>
    <t>ENST00000326351</t>
  </si>
  <si>
    <t>ENSG00000120868</t>
  </si>
  <si>
    <t>ENST00000555047</t>
  </si>
  <si>
    <t>ENST00000357310</t>
  </si>
  <si>
    <t>ENSG00000120896</t>
  </si>
  <si>
    <t>ENST00000523348</t>
  </si>
  <si>
    <t>ENST00000520207</t>
  </si>
  <si>
    <t>ENSG00000120899</t>
  </si>
  <si>
    <t>ENST00000412793</t>
  </si>
  <si>
    <t>ENST00000517339</t>
  </si>
  <si>
    <t>ENST00000521000</t>
  </si>
  <si>
    <t>ENST00000397497</t>
  </si>
  <si>
    <t>ENST00000461615</t>
  </si>
  <si>
    <t>ENST00000495097</t>
  </si>
  <si>
    <t>ENST00000482543</t>
  </si>
  <si>
    <t>ENST00000522245</t>
  </si>
  <si>
    <t>ENST00000420218</t>
  </si>
  <si>
    <t>ENSG00000120910</t>
  </si>
  <si>
    <t>ENSG00000120913</t>
  </si>
  <si>
    <t>ENST00000265810</t>
  </si>
  <si>
    <t>ENST00000491330</t>
  </si>
  <si>
    <t>ENST00000464275</t>
  </si>
  <si>
    <t>ENSG00000120915</t>
  </si>
  <si>
    <t>ENSG00000120948</t>
  </si>
  <si>
    <t>ENSG00000120992</t>
  </si>
  <si>
    <t>ENST00000316963</t>
  </si>
  <si>
    <t>ENST00000520718</t>
  </si>
  <si>
    <t>ENST00000518546</t>
  </si>
  <si>
    <t>ENST00000521898</t>
  </si>
  <si>
    <t>ENST00000519926</t>
  </si>
  <si>
    <t>ENST00000517297</t>
  </si>
  <si>
    <t>ENST00000521856</t>
  </si>
  <si>
    <t>ENSG00000121022</t>
  </si>
  <si>
    <t>ENSG00000121039</t>
  </si>
  <si>
    <t>ENST00000240285</t>
  </si>
  <si>
    <t>ENST00000521013</t>
  </si>
  <si>
    <t>ENSG00000121060</t>
  </si>
  <si>
    <t>ENST00000574234</t>
  </si>
  <si>
    <t>ENSG00000121064</t>
  </si>
  <si>
    <t>ENSG00000121067</t>
  </si>
  <si>
    <t>ENST00000572686</t>
  </si>
  <si>
    <t>ENST00000504102</t>
  </si>
  <si>
    <t>ENST00000577134</t>
  </si>
  <si>
    <t>ENST00000507551</t>
  </si>
  <si>
    <t>ENST00000504889</t>
  </si>
  <si>
    <t>ENST00000505581</t>
  </si>
  <si>
    <t>ENST00000509765</t>
  </si>
  <si>
    <t>ENST00000347630</t>
  </si>
  <si>
    <t>ENSG00000121104</t>
  </si>
  <si>
    <t>ENSG00000121210</t>
  </si>
  <si>
    <t>ENST00000409663</t>
  </si>
  <si>
    <t>ENST00000409959</t>
  </si>
  <si>
    <t>ENST00000509565</t>
  </si>
  <si>
    <t>ENST00000497247</t>
  </si>
  <si>
    <t>ENSG00000121281</t>
  </si>
  <si>
    <t>ENSG00000121310</t>
  </si>
  <si>
    <t>ENST00000539680</t>
  </si>
  <si>
    <t>ENST00000498544</t>
  </si>
  <si>
    <t>ENST00000492992</t>
  </si>
  <si>
    <t>ENST00000487040</t>
  </si>
  <si>
    <t>ENST00000542552</t>
  </si>
  <si>
    <t>ENSG00000121350</t>
  </si>
  <si>
    <t>ENSG00000121390</t>
  </si>
  <si>
    <t>ENSG00000121410</t>
  </si>
  <si>
    <t>ENSG00000121413</t>
  </si>
  <si>
    <t>ENSG00000121481</t>
  </si>
  <si>
    <t>ENSG00000121486</t>
  </si>
  <si>
    <t>ENSG00000121578</t>
  </si>
  <si>
    <t>ENST00000467604</t>
  </si>
  <si>
    <t>ENST00000359213</t>
  </si>
  <si>
    <t>ENST00000393765</t>
  </si>
  <si>
    <t>ENST00000480814</t>
  </si>
  <si>
    <t>ENST00000475803</t>
  </si>
  <si>
    <t>ENSG00000121691</t>
  </si>
  <si>
    <t>ENSG00000121741</t>
  </si>
  <si>
    <t>ENSG00000121749</t>
  </si>
  <si>
    <t>ENST00000550746</t>
  </si>
  <si>
    <t>ENST00000483828</t>
  </si>
  <si>
    <t>ENST00000548679</t>
  </si>
  <si>
    <t>ENST00000479971</t>
  </si>
  <si>
    <t>ENST00000546450</t>
  </si>
  <si>
    <t>ENSG00000121774</t>
  </si>
  <si>
    <t>ENSG00000121858</t>
  </si>
  <si>
    <t>ENSG00000121864</t>
  </si>
  <si>
    <t>ENSG00000121879</t>
  </si>
  <si>
    <t>ENSG00000121892</t>
  </si>
  <si>
    <t>ENSG00000121897</t>
  </si>
  <si>
    <t>ENST00000261434</t>
  </si>
  <si>
    <t>ENST00000424936</t>
  </si>
  <si>
    <t>ENSG00000121931</t>
  </si>
  <si>
    <t>ENSG00000121966</t>
  </si>
  <si>
    <t>ENSG00000122008</t>
  </si>
  <si>
    <t>ENST00000502567</t>
  </si>
  <si>
    <t>ENST00000505069</t>
  </si>
  <si>
    <t>ENST00000515295</t>
  </si>
  <si>
    <t>ENST00000508867</t>
  </si>
  <si>
    <t>ENSG00000122026</t>
  </si>
  <si>
    <t>ENSG00000122033</t>
  </si>
  <si>
    <t>ENSG00000122034</t>
  </si>
  <si>
    <t>ENSG00000122068</t>
  </si>
  <si>
    <t>ENST00000241502</t>
  </si>
  <si>
    <t>ENST00000492360</t>
  </si>
  <si>
    <t>ENSG00000122085</t>
  </si>
  <si>
    <t>ENSG00000122122</t>
  </si>
  <si>
    <t>ENSG00000122140</t>
  </si>
  <si>
    <t>ENSG00000122203</t>
  </si>
  <si>
    <t>ENSG00000122218</t>
  </si>
  <si>
    <t>ENSG00000122257</t>
  </si>
  <si>
    <t>ENST00000568316</t>
  </si>
  <si>
    <t>ENST00000319715</t>
  </si>
  <si>
    <t>ENST00000452655</t>
  </si>
  <si>
    <t>ENST00000348022</t>
  </si>
  <si>
    <t>ENST00000564726</t>
  </si>
  <si>
    <t>ENST00000562430</t>
  </si>
  <si>
    <t>ENST00000562683</t>
  </si>
  <si>
    <t>ENSG00000122299</t>
  </si>
  <si>
    <t>ENSG00000122359</t>
  </si>
  <si>
    <t>ENST00000372231</t>
  </si>
  <si>
    <t>ENST00000422982</t>
  </si>
  <si>
    <t>ENST00000481805</t>
  </si>
  <si>
    <t>ENST00000437799</t>
  </si>
  <si>
    <t>ENST00000265447</t>
  </si>
  <si>
    <t>ENSG00000122378</t>
  </si>
  <si>
    <t>ENST00000606162</t>
  </si>
  <si>
    <t>ENST00000372181</t>
  </si>
  <si>
    <t>ENST00000372187</t>
  </si>
  <si>
    <t>ENSG00000122406</t>
  </si>
  <si>
    <t>ENSG00000122435</t>
  </si>
  <si>
    <t>ENSG00000122482</t>
  </si>
  <si>
    <t>ENST00000370440</t>
  </si>
  <si>
    <t>ENST00000479798</t>
  </si>
  <si>
    <t>ENST00000482709</t>
  </si>
  <si>
    <t>ENST00000498303</t>
  </si>
  <si>
    <t>ENST00000495966</t>
  </si>
  <si>
    <t>ENST00000337393</t>
  </si>
  <si>
    <t>ENSG00000122484</t>
  </si>
  <si>
    <t>ENST00000610020</t>
  </si>
  <si>
    <t>ENST00000477322</t>
  </si>
  <si>
    <t>ENSG00000122512</t>
  </si>
  <si>
    <t>ENSG00000122545</t>
  </si>
  <si>
    <t>ENST00000435235</t>
  </si>
  <si>
    <t>ENST00000425198</t>
  </si>
  <si>
    <t>ENST00000473201</t>
  </si>
  <si>
    <t>ENST00000492940</t>
  </si>
  <si>
    <t>ENST00000485569</t>
  </si>
  <si>
    <t>ENSG00000122550</t>
  </si>
  <si>
    <t>ENST00000339077</t>
  </si>
  <si>
    <t>ENST00000322275</t>
  </si>
  <si>
    <t>ENST00000477076</t>
  </si>
  <si>
    <t>ENST00000469576</t>
  </si>
  <si>
    <t>ENST00000469845</t>
  </si>
  <si>
    <t>ENSG00000122565</t>
  </si>
  <si>
    <t>ENSG00000122566</t>
  </si>
  <si>
    <t>ENST00000356674</t>
  </si>
  <si>
    <t>ENSG00000122591</t>
  </si>
  <si>
    <t>ENST00000432176</t>
  </si>
  <si>
    <t>ENST00000409763</t>
  </si>
  <si>
    <t>ENST00000467005</t>
  </si>
  <si>
    <t>ENSG00000122643</t>
  </si>
  <si>
    <t>ENST00000610140</t>
  </si>
  <si>
    <t>ENST00000456458</t>
  </si>
  <si>
    <t>ENST00000396152</t>
  </si>
  <si>
    <t>ENST00000242210</t>
  </si>
  <si>
    <t>ENST00000473083</t>
  </si>
  <si>
    <t>ENST00000409787</t>
  </si>
  <si>
    <t>ENST00000461851</t>
  </si>
  <si>
    <t>ENST00000464840</t>
  </si>
  <si>
    <t>ENST00000405342</t>
  </si>
  <si>
    <t>ENSG00000122678</t>
  </si>
  <si>
    <t>ENSG00000122687</t>
  </si>
  <si>
    <t>ENST00000467199</t>
  </si>
  <si>
    <t>ENST00000242257</t>
  </si>
  <si>
    <t>ENST00000486040</t>
  </si>
  <si>
    <t>ENSG00000122705</t>
  </si>
  <si>
    <t>ENST00000345519</t>
  </si>
  <si>
    <t>ENST00000464497</t>
  </si>
  <si>
    <t>ENST00000470744</t>
  </si>
  <si>
    <t>ENST00000433436</t>
  </si>
  <si>
    <t>ENSG00000122741</t>
  </si>
  <si>
    <t>ENSG00000122779</t>
  </si>
  <si>
    <t>ENST00000343526</t>
  </si>
  <si>
    <t>ENST00000415680</t>
  </si>
  <si>
    <t>ENSG00000122877</t>
  </si>
  <si>
    <t>ENST00000242480</t>
  </si>
  <si>
    <t>ENST00000411732</t>
  </si>
  <si>
    <t>ENSG00000122958</t>
  </si>
  <si>
    <t>ENST00000497022</t>
  </si>
  <si>
    <t>ENSG00000122965</t>
  </si>
  <si>
    <t>ENSG00000122971</t>
  </si>
  <si>
    <t>ENSG00000123064</t>
  </si>
  <si>
    <t>ENSG00000123066</t>
  </si>
  <si>
    <t>ENSG00000123104</t>
  </si>
  <si>
    <t>ENSG00000123124</t>
  </si>
  <si>
    <t>ENST00000517970</t>
  </si>
  <si>
    <t>ENST00000521997</t>
  </si>
  <si>
    <t>ENST00000524036</t>
  </si>
  <si>
    <t>ENST00000520521</t>
  </si>
  <si>
    <t>ENST00000520798</t>
  </si>
  <si>
    <t>ENST00000265428</t>
  </si>
  <si>
    <t>ENSG00000123130</t>
  </si>
  <si>
    <t>ENST00000379303</t>
  </si>
  <si>
    <t>ENST00000379297</t>
  </si>
  <si>
    <t>ENST00000449612</t>
  </si>
  <si>
    <t>ENSG00000123131</t>
  </si>
  <si>
    <t>ENSG00000123136</t>
  </si>
  <si>
    <t>ENSG00000123143</t>
  </si>
  <si>
    <t>ENST00000585839</t>
  </si>
  <si>
    <t>ENST00000242783</t>
  </si>
  <si>
    <t>ENST00000342216</t>
  </si>
  <si>
    <t>ENST00000588200</t>
  </si>
  <si>
    <t>ENST00000586900</t>
  </si>
  <si>
    <t>ENST00000587215</t>
  </si>
  <si>
    <t>ENST00000586039</t>
  </si>
  <si>
    <t>ENSG00000123144</t>
  </si>
  <si>
    <t>ENSG00000123154</t>
  </si>
  <si>
    <t>ENSG00000123159</t>
  </si>
  <si>
    <t>ENSG00000123213</t>
  </si>
  <si>
    <t>ENSG00000123240</t>
  </si>
  <si>
    <t>ENSG00000123268</t>
  </si>
  <si>
    <t>ENSG00000123297</t>
  </si>
  <si>
    <t>ENSG00000123329</t>
  </si>
  <si>
    <t>ENST00000393791</t>
  </si>
  <si>
    <t>ENST00000424809</t>
  </si>
  <si>
    <t>ENST00000430041</t>
  </si>
  <si>
    <t>ENST00000550440</t>
  </si>
  <si>
    <t>ENST00000546704</t>
  </si>
  <si>
    <t>ENST00000552420</t>
  </si>
  <si>
    <t>ENST00000551452</t>
  </si>
  <si>
    <t>ENST00000551000</t>
  </si>
  <si>
    <t>ENST00000549602</t>
  </si>
  <si>
    <t>ENSG00000123338</t>
  </si>
  <si>
    <t>ENSG00000123349</t>
  </si>
  <si>
    <t>ENST00000550964</t>
  </si>
  <si>
    <t>ENSG00000123374</t>
  </si>
  <si>
    <t>ENSG00000123395</t>
  </si>
  <si>
    <t>ENSG00000123411</t>
  </si>
  <si>
    <t>ENST00000551124</t>
  </si>
  <si>
    <t>ENST00000547556</t>
  </si>
  <si>
    <t>ENSG00000123416</t>
  </si>
  <si>
    <t>ENST00000336023</t>
  </si>
  <si>
    <t>ENST00000332858</t>
  </si>
  <si>
    <t>ENST00000550367</t>
  </si>
  <si>
    <t>ENST00000551324</t>
  </si>
  <si>
    <t>ENSG00000123444</t>
  </si>
  <si>
    <t>ENSG00000123472</t>
  </si>
  <si>
    <t>ENST00000576409</t>
  </si>
  <si>
    <t>ENST00000574428</t>
  </si>
  <si>
    <t>ENST00000526821</t>
  </si>
  <si>
    <t>ENST00000329231</t>
  </si>
  <si>
    <t>ENST00000474020</t>
  </si>
  <si>
    <t>ENST00000460928</t>
  </si>
  <si>
    <t>ENST00000371937</t>
  </si>
  <si>
    <t>ENSG00000123545</t>
  </si>
  <si>
    <t>ENSG00000123562</t>
  </si>
  <si>
    <t>ENSG00000123607</t>
  </si>
  <si>
    <t>ENST00000243344</t>
  </si>
  <si>
    <t>ENST00000484129</t>
  </si>
  <si>
    <t>ENST00000464374</t>
  </si>
  <si>
    <t>ENST00000476227</t>
  </si>
  <si>
    <t>ENSG00000123609</t>
  </si>
  <si>
    <t>ENSG00000123737</t>
  </si>
  <si>
    <t>ENSG00000123815</t>
  </si>
  <si>
    <t>ENST00000593724</t>
  </si>
  <si>
    <t>ENST00000601451</t>
  </si>
  <si>
    <t>ENSG00000123908</t>
  </si>
  <si>
    <t>ENSG00000123983</t>
  </si>
  <si>
    <t>ENSG00000123992</t>
  </si>
  <si>
    <t>ENSG00000124120</t>
  </si>
  <si>
    <t>ENST00000262605</t>
  </si>
  <si>
    <t>ENST00000461134</t>
  </si>
  <si>
    <t>ENSG00000124151</t>
  </si>
  <si>
    <t>ENST00000372004</t>
  </si>
  <si>
    <t>ENST00000371998</t>
  </si>
  <si>
    <t>ENSG00000124164</t>
  </si>
  <si>
    <t>ENSG00000124177</t>
  </si>
  <si>
    <t>ENSG00000124198</t>
  </si>
  <si>
    <t>ENSG00000124201</t>
  </si>
  <si>
    <t>ENSG00000124222</t>
  </si>
  <si>
    <t>ENST00000355957</t>
  </si>
  <si>
    <t>ENST00000371132</t>
  </si>
  <si>
    <t>ENST00000467096</t>
  </si>
  <si>
    <t>ENST00000358029</t>
  </si>
  <si>
    <t>ENSG00000124228</t>
  </si>
  <si>
    <t>ENSG00000124275</t>
  </si>
  <si>
    <t>ENST00000510279</t>
  </si>
  <si>
    <t>ENST00000440940</t>
  </si>
  <si>
    <t>ENST00000508890</t>
  </si>
  <si>
    <t>ENST00000512311</t>
  </si>
  <si>
    <t>ENST00000507202</t>
  </si>
  <si>
    <t>ENST00000508354</t>
  </si>
  <si>
    <t>ENSG00000124279</t>
  </si>
  <si>
    <t>ENST00000264669</t>
  </si>
  <si>
    <t>ENST00000513577</t>
  </si>
  <si>
    <t>ENSG00000124299</t>
  </si>
  <si>
    <t>ENSG00000124356</t>
  </si>
  <si>
    <t>ENSG00000124357</t>
  </si>
  <si>
    <t>ENSG00000124406</t>
  </si>
  <si>
    <t>ENST00000264449</t>
  </si>
  <si>
    <t>ENST00000511858</t>
  </si>
  <si>
    <t>ENST00000506713</t>
  </si>
  <si>
    <t>ENST00000504510</t>
  </si>
  <si>
    <t>ENST00000510289</t>
  </si>
  <si>
    <t>ENSG00000124422</t>
  </si>
  <si>
    <t>ENST00000261497</t>
  </si>
  <si>
    <t>ENST00000463692</t>
  </si>
  <si>
    <t>ENST00000478443</t>
  </si>
  <si>
    <t>ENST00000578446</t>
  </si>
  <si>
    <t>ENSG00000124486</t>
  </si>
  <si>
    <t>ENST00000378308</t>
  </si>
  <si>
    <t>ENST00000324545</t>
  </si>
  <si>
    <t>ENST00000467173</t>
  </si>
  <si>
    <t>ENST00000465386</t>
  </si>
  <si>
    <t>ENST00000463829</t>
  </si>
  <si>
    <t>ENST00000487625</t>
  </si>
  <si>
    <t>ENST00000485180</t>
  </si>
  <si>
    <t>ENSG00000124535</t>
  </si>
  <si>
    <t>ENST00000380773</t>
  </si>
  <si>
    <t>ENST00000380769</t>
  </si>
  <si>
    <t>ENST00000380764</t>
  </si>
  <si>
    <t>ENSG00000124541</t>
  </si>
  <si>
    <t>ENST00000244496</t>
  </si>
  <si>
    <t>ENST00000607555</t>
  </si>
  <si>
    <t>ENSG00000124562</t>
  </si>
  <si>
    <t>ENSG00000124570</t>
  </si>
  <si>
    <t>ENSG00000124571</t>
  </si>
  <si>
    <t>ENSG00000124596</t>
  </si>
  <si>
    <t>ENSG00000124608</t>
  </si>
  <si>
    <t>ENSG00000124614</t>
  </si>
  <si>
    <t>ENSG00000124688</t>
  </si>
  <si>
    <t>ENSG00000124767</t>
  </si>
  <si>
    <t>ENSG00000124782</t>
  </si>
  <si>
    <t>ENSG00000124783</t>
  </si>
  <si>
    <t>ENSG00000124784</t>
  </si>
  <si>
    <t>ENSG00000124787</t>
  </si>
  <si>
    <t>ENST00000380051</t>
  </si>
  <si>
    <t>ENST00000483546</t>
  </si>
  <si>
    <t>ENSG00000124788</t>
  </si>
  <si>
    <t>ENST00000473388</t>
  </si>
  <si>
    <t>ENST00000467008</t>
  </si>
  <si>
    <t>ENST00000479680</t>
  </si>
  <si>
    <t>ENSG00000124789</t>
  </si>
  <si>
    <t>ENSG00000124795</t>
  </si>
  <si>
    <t>ENSG00000124802</t>
  </si>
  <si>
    <t>ENSG00000124831</t>
  </si>
  <si>
    <t>ENST00000308482</t>
  </si>
  <si>
    <t>ENST00000465870</t>
  </si>
  <si>
    <t>ENST00000289175</t>
  </si>
  <si>
    <t>ENST00000244815</t>
  </si>
  <si>
    <t>ENST00000478958</t>
  </si>
  <si>
    <t>ENST00000474195</t>
  </si>
  <si>
    <t>ENSG00000125037</t>
  </si>
  <si>
    <t>ENSG00000125124</t>
  </si>
  <si>
    <t>ENST00000565781</t>
  </si>
  <si>
    <t>ENST00000245157</t>
  </si>
  <si>
    <t>ENST00000569192</t>
  </si>
  <si>
    <t>ENST00000566452</t>
  </si>
  <si>
    <t>ENST00000566210</t>
  </si>
  <si>
    <t>ENST00000562059</t>
  </si>
  <si>
    <t>ENSG00000125149</t>
  </si>
  <si>
    <t>ENSG00000125166</t>
  </si>
  <si>
    <t>ENSG00000125304</t>
  </si>
  <si>
    <t>ENSG00000125347</t>
  </si>
  <si>
    <t>ENST00000245414</t>
  </si>
  <si>
    <t>ENST00000472045</t>
  </si>
  <si>
    <t>ENST00000476613</t>
  </si>
  <si>
    <t>ENST00000493208</t>
  </si>
  <si>
    <t>ENSG00000125354</t>
  </si>
  <si>
    <t>ENST00000360156</t>
  </si>
  <si>
    <t>ENST00000354416</t>
  </si>
  <si>
    <t>ENST00000467310</t>
  </si>
  <si>
    <t>ENST00000481072</t>
  </si>
  <si>
    <t>ENST00000394610</t>
  </si>
  <si>
    <t>ENSG00000125375</t>
  </si>
  <si>
    <t>ENSG00000125445</t>
  </si>
  <si>
    <t>ENSG00000125447</t>
  </si>
  <si>
    <t>ENST00000578208</t>
  </si>
  <si>
    <t>ENST00000582232</t>
  </si>
  <si>
    <t>ENST00000578896</t>
  </si>
  <si>
    <t>ENSG00000125450</t>
  </si>
  <si>
    <t>ENST00000245544</t>
  </si>
  <si>
    <t>ENST00000577561</t>
  </si>
  <si>
    <t>ENST00000577645</t>
  </si>
  <si>
    <t>ENST00000582681</t>
  </si>
  <si>
    <t>ENST00000578294</t>
  </si>
  <si>
    <t>ENSG00000125454</t>
  </si>
  <si>
    <t>ENST00000402418</t>
  </si>
  <si>
    <t>ENST00000579228</t>
  </si>
  <si>
    <t>ENSG00000125457</t>
  </si>
  <si>
    <t>ENSG00000125458</t>
  </si>
  <si>
    <t>ENSG00000125459</t>
  </si>
  <si>
    <t>ENST00000488901</t>
  </si>
  <si>
    <t>ENST00000471209</t>
  </si>
  <si>
    <t>ENST00000245564</t>
  </si>
  <si>
    <t>ENST00000482284</t>
  </si>
  <si>
    <t>ENST00000478756</t>
  </si>
  <si>
    <t>ENST00000466815</t>
  </si>
  <si>
    <t>ENST00000462250</t>
  </si>
  <si>
    <t>ENSG00000125482</t>
  </si>
  <si>
    <t>ENSG00000125485</t>
  </si>
  <si>
    <t>ENSG00000125503</t>
  </si>
  <si>
    <t>ENST00000263433</t>
  </si>
  <si>
    <t>ENST00000590268</t>
  </si>
  <si>
    <t>ENST00000592754</t>
  </si>
  <si>
    <t>ENST00000586992</t>
  </si>
  <si>
    <t>ENSG00000125534</t>
  </si>
  <si>
    <t>ENSG00000125611</t>
  </si>
  <si>
    <t>ENSG00000125630</t>
  </si>
  <si>
    <t>ENSG00000125633</t>
  </si>
  <si>
    <t>ENSG00000125637</t>
  </si>
  <si>
    <t>ENST00000409378</t>
  </si>
  <si>
    <t>ENSG00000125648</t>
  </si>
  <si>
    <t>ENST00000301454</t>
  </si>
  <si>
    <t>ENST00000597039</t>
  </si>
  <si>
    <t>ENST00000595267</t>
  </si>
  <si>
    <t>ENSG00000125656</t>
  </si>
  <si>
    <t>ENSG00000125676</t>
  </si>
  <si>
    <t>ENSG00000125686</t>
  </si>
  <si>
    <t>ENSG00000125691</t>
  </si>
  <si>
    <t>ENSG00000125703</t>
  </si>
  <si>
    <t>ENSG00000125734</t>
  </si>
  <si>
    <t>ENSG00000125740</t>
  </si>
  <si>
    <t>ENST00000353609</t>
  </si>
  <si>
    <t>ENST00000586113</t>
  </si>
  <si>
    <t>ENSG00000125741</t>
  </si>
  <si>
    <t>ENSG00000125743</t>
  </si>
  <si>
    <t>ENSG00000125746</t>
  </si>
  <si>
    <t>ENST00000592433</t>
  </si>
  <si>
    <t>ENST00000592482</t>
  </si>
  <si>
    <t>ENST00000588000</t>
  </si>
  <si>
    <t>ENST00000586770</t>
  </si>
  <si>
    <t>ENST00000590018</t>
  </si>
  <si>
    <t>ENST00000588420</t>
  </si>
  <si>
    <t>ENSG00000125753</t>
  </si>
  <si>
    <t>ENSG00000125755</t>
  </si>
  <si>
    <t>ENSG00000125772</t>
  </si>
  <si>
    <t>ENSG00000125779</t>
  </si>
  <si>
    <t>ENST00000316562</t>
  </si>
  <si>
    <t>ENST00000336066</t>
  </si>
  <si>
    <t>ENST00000610179</t>
  </si>
  <si>
    <t>ENSG00000125812</t>
  </si>
  <si>
    <t>ENSG00000125818</t>
  </si>
  <si>
    <t>ENSG00000125821</t>
  </si>
  <si>
    <t>ENSG00000125826</t>
  </si>
  <si>
    <t>ENSG00000125844</t>
  </si>
  <si>
    <t>ENSG00000125868</t>
  </si>
  <si>
    <t>ENSG00000125870</t>
  </si>
  <si>
    <t>ENSG00000125877</t>
  </si>
  <si>
    <t>ENSG00000125898</t>
  </si>
  <si>
    <t>ENST00000381941</t>
  </si>
  <si>
    <t>ENST00000541082</t>
  </si>
  <si>
    <t>ENSG00000125912</t>
  </si>
  <si>
    <t>ENST00000246117</t>
  </si>
  <si>
    <t>ENST00000592737</t>
  </si>
  <si>
    <t>ENSG00000125944</t>
  </si>
  <si>
    <t>ENST00000478691</t>
  </si>
  <si>
    <t>ENST00000374612</t>
  </si>
  <si>
    <t>ENST00000302271</t>
  </si>
  <si>
    <t>ENST00000606561</t>
  </si>
  <si>
    <t>ENST00000463552</t>
  </si>
  <si>
    <t>ENST00000470941</t>
  </si>
  <si>
    <t>ENST00000490652</t>
  </si>
  <si>
    <t>ENST00000427764</t>
  </si>
  <si>
    <t>ENSG00000125945</t>
  </si>
  <si>
    <t>ENST00000374608</t>
  </si>
  <si>
    <t>ENST00000314011</t>
  </si>
  <si>
    <t>ENSG00000125952</t>
  </si>
  <si>
    <t>ENST00000358402</t>
  </si>
  <si>
    <t>ENST00000394606</t>
  </si>
  <si>
    <t>ENST00000284165</t>
  </si>
  <si>
    <t>ENST00000358664</t>
  </si>
  <si>
    <t>ENST00000553951</t>
  </si>
  <si>
    <t>ENST00000556979</t>
  </si>
  <si>
    <t>ENST00000555667</t>
  </si>
  <si>
    <t>ENST00000556443</t>
  </si>
  <si>
    <t>ENST00000246163</t>
  </si>
  <si>
    <t>ENST00000556702</t>
  </si>
  <si>
    <t>ENST00000554709</t>
  </si>
  <si>
    <t>ENSG00000125970</t>
  </si>
  <si>
    <t>ENST00000375114</t>
  </si>
  <si>
    <t>ENST00000448364</t>
  </si>
  <si>
    <t>ENST00000246194</t>
  </si>
  <si>
    <t>ENST00000488227</t>
  </si>
  <si>
    <t>ENST00000481580</t>
  </si>
  <si>
    <t>ENSG00000125971</t>
  </si>
  <si>
    <t>ENSG00000125991</t>
  </si>
  <si>
    <t>ENSG00000126012</t>
  </si>
  <si>
    <t>ENST00000375401</t>
  </si>
  <si>
    <t>ENST00000404049</t>
  </si>
  <si>
    <t>ENST00000375379</t>
  </si>
  <si>
    <t>ENST00000477109</t>
  </si>
  <si>
    <t>ENST00000497100</t>
  </si>
  <si>
    <t>ENST00000465402</t>
  </si>
  <si>
    <t>ENST00000481369</t>
  </si>
  <si>
    <t>ENST00000497995</t>
  </si>
  <si>
    <t>ENST00000495519</t>
  </si>
  <si>
    <t>ENST00000467093</t>
  </si>
  <si>
    <t>ENST00000452825</t>
  </si>
  <si>
    <t>ENSG00000126070</t>
  </si>
  <si>
    <t>ENSG00000126088</t>
  </si>
  <si>
    <t>ENSG00000126107</t>
  </si>
  <si>
    <t>ENSG00000126214</t>
  </si>
  <si>
    <t>ENST00000348520</t>
  </si>
  <si>
    <t>ENST00000555467</t>
  </si>
  <si>
    <t>ENST00000553286</t>
  </si>
  <si>
    <t>ENST00000347839</t>
  </si>
  <si>
    <t>ENST00000246489</t>
  </si>
  <si>
    <t>ENST00000537046</t>
  </si>
  <si>
    <t>ENST00000553436</t>
  </si>
  <si>
    <t>ENST00000553680</t>
  </si>
  <si>
    <t>ENST00000538504</t>
  </si>
  <si>
    <t>ENST00000557143</t>
  </si>
  <si>
    <t>ENST00000556986</t>
  </si>
  <si>
    <t>ENSG00000126216</t>
  </si>
  <si>
    <t>ENSG00000126226</t>
  </si>
  <si>
    <t>ENST00000337344</t>
  </si>
  <si>
    <t>ENST00000375477</t>
  </si>
  <si>
    <t>ENST00000375479</t>
  </si>
  <si>
    <t>ENST00000463102</t>
  </si>
  <si>
    <t>ENST00000493650</t>
  </si>
  <si>
    <t>ENST00000246505</t>
  </si>
  <si>
    <t>ENST00000462653</t>
  </si>
  <si>
    <t>ENST00000375457</t>
  </si>
  <si>
    <t>ENST00000491548</t>
  </si>
  <si>
    <t>ENST00000462853</t>
  </si>
  <si>
    <t>ENSG00000126247</t>
  </si>
  <si>
    <t>ENSG00000126249</t>
  </si>
  <si>
    <t>ENSG00000126254</t>
  </si>
  <si>
    <t>ENST00000262633</t>
  </si>
  <si>
    <t>ENST00000592526</t>
  </si>
  <si>
    <t>ENSG00000126261</t>
  </si>
  <si>
    <t>ENST00000588585</t>
  </si>
  <si>
    <t>ENSG00000126267</t>
  </si>
  <si>
    <t>ENSG00000126391</t>
  </si>
  <si>
    <t>ENST00000317568</t>
  </si>
  <si>
    <t>ENST00000531296</t>
  </si>
  <si>
    <t>ENST00000528854</t>
  </si>
  <si>
    <t>ENST00000525156</t>
  </si>
  <si>
    <t>ENSG00000126432</t>
  </si>
  <si>
    <t>ENST00000265462</t>
  </si>
  <si>
    <t>ENST00000352435</t>
  </si>
  <si>
    <t>ENST00000347941</t>
  </si>
  <si>
    <t>ENSG00000126456</t>
  </si>
  <si>
    <t>ENSG00000126457</t>
  </si>
  <si>
    <t>ENST00000391851</t>
  </si>
  <si>
    <t>ENST00000534676</t>
  </si>
  <si>
    <t>ENST00000525915</t>
  </si>
  <si>
    <t>ENST00000454376</t>
  </si>
  <si>
    <t>ENST00000525616</t>
  </si>
  <si>
    <t>ENST00000527412</t>
  </si>
  <si>
    <t>ENST00000529650</t>
  </si>
  <si>
    <t>ENST00000528126</t>
  </si>
  <si>
    <t>ENST00000527866</t>
  </si>
  <si>
    <t>ENSG00000126464</t>
  </si>
  <si>
    <t>ENST00000418929</t>
  </si>
  <si>
    <t>ENST00000593853</t>
  </si>
  <si>
    <t>ENSG00000126524</t>
  </si>
  <si>
    <t>ENSG00000126561</t>
  </si>
  <si>
    <t>ENSG00000126581</t>
  </si>
  <si>
    <t>ENSG00000126602</t>
  </si>
  <si>
    <t>ENST00000246957</t>
  </si>
  <si>
    <t>ENST00000574494</t>
  </si>
  <si>
    <t>ENST00000575671</t>
  </si>
  <si>
    <t>ENST00000570514</t>
  </si>
  <si>
    <t>ENST00000571538</t>
  </si>
  <si>
    <t>ENST00000570403</t>
  </si>
  <si>
    <t>ENSG00000126698</t>
  </si>
  <si>
    <t>ENST00000482674</t>
  </si>
  <si>
    <t>ENSG00000126746</t>
  </si>
  <si>
    <t>ENST00000542605</t>
  </si>
  <si>
    <t>ENST00000537248</t>
  </si>
  <si>
    <t>ENST00000535485</t>
  </si>
  <si>
    <t>ENST00000540915</t>
  </si>
  <si>
    <t>ENST00000436774</t>
  </si>
  <si>
    <t>ENST00000542519</t>
  </si>
  <si>
    <t>ENST00000537383</t>
  </si>
  <si>
    <t>ENST00000361959</t>
  </si>
  <si>
    <t>ENST00000396801</t>
  </si>
  <si>
    <t>ENST00000319770</t>
  </si>
  <si>
    <t>ENSG00000126756</t>
  </si>
  <si>
    <t>ENSG00000126767</t>
  </si>
  <si>
    <t>ENST00000247161</t>
  </si>
  <si>
    <t>ENST00000376983</t>
  </si>
  <si>
    <t>ENST00000343894</t>
  </si>
  <si>
    <t>ENSG00000126768</t>
  </si>
  <si>
    <t>ENST00000376582</t>
  </si>
  <si>
    <t>ENST00000466995</t>
  </si>
  <si>
    <t>ENST00000464663</t>
  </si>
  <si>
    <t>ENSG00000126882</t>
  </si>
  <si>
    <t>ENSG00000126883</t>
  </si>
  <si>
    <t>ENST00000359428</t>
  </si>
  <si>
    <t>ENST00000411637</t>
  </si>
  <si>
    <t>ENST00000525561</t>
  </si>
  <si>
    <t>ENST00000489260</t>
  </si>
  <si>
    <t>ENST00000524578</t>
  </si>
  <si>
    <t>ENST00000530491</t>
  </si>
  <si>
    <t>ENST00000498010</t>
  </si>
  <si>
    <t>ENST00000496921</t>
  </si>
  <si>
    <t>ENST00000451030</t>
  </si>
  <si>
    <t>ENSG00000126934</t>
  </si>
  <si>
    <t>ENSG00000126953</t>
  </si>
  <si>
    <t>ENSG00000126970</t>
  </si>
  <si>
    <t>ENST00000374839</t>
  </si>
  <si>
    <t>ENST00000488608</t>
  </si>
  <si>
    <t>ENSG00000127054</t>
  </si>
  <si>
    <t>ENST00000470030</t>
  </si>
  <si>
    <t>ENST00000435064</t>
  </si>
  <si>
    <t>ENST00000497304</t>
  </si>
  <si>
    <t>ENST00000478641</t>
  </si>
  <si>
    <t>ENST00000450926</t>
  </si>
  <si>
    <t>ENST00000461514</t>
  </si>
  <si>
    <t>ENST00000525164</t>
  </si>
  <si>
    <t>ENST00000531292</t>
  </si>
  <si>
    <t>ENST00000467408</t>
  </si>
  <si>
    <t>ENST00000531020</t>
  </si>
  <si>
    <t>ENST00000533916</t>
  </si>
  <si>
    <t>ENST00000488042</t>
  </si>
  <si>
    <t>ENST00000525603</t>
  </si>
  <si>
    <t>ENST00000429572</t>
  </si>
  <si>
    <t>ENST00000496353</t>
  </si>
  <si>
    <t>ENSG00000127084</t>
  </si>
  <si>
    <t>ENSG00000127125</t>
  </si>
  <si>
    <t>ENSG00000127152</t>
  </si>
  <si>
    <t>ENST00000357195</t>
  </si>
  <si>
    <t>ENST00000345514</t>
  </si>
  <si>
    <t>ENSG00000127184</t>
  </si>
  <si>
    <t>ENSG00000127191</t>
  </si>
  <si>
    <t>ENST00000474950</t>
  </si>
  <si>
    <t>ENST00000469701</t>
  </si>
  <si>
    <t>ENSG00000127311</t>
  </si>
  <si>
    <t>ENSG00000127314</t>
  </si>
  <si>
    <t>ENST00000250559</t>
  </si>
  <si>
    <t>ENST00000460800</t>
  </si>
  <si>
    <t>ENST00000393436</t>
  </si>
  <si>
    <t>ENST00000501412</t>
  </si>
  <si>
    <t>ENST00000537460</t>
  </si>
  <si>
    <t>ENST00000378985</t>
  </si>
  <si>
    <t>ENST00000485252</t>
  </si>
  <si>
    <t>ENST00000544639</t>
  </si>
  <si>
    <t>ENST00000541968</t>
  </si>
  <si>
    <t>ENSG00000127328</t>
  </si>
  <si>
    <t>ENST00000247833</t>
  </si>
  <si>
    <t>ENST00000378815</t>
  </si>
  <si>
    <t>ENST00000550536</t>
  </si>
  <si>
    <t>ENST00000547055</t>
  </si>
  <si>
    <t>ENST00000481897</t>
  </si>
  <si>
    <t>ENST00000552610</t>
  </si>
  <si>
    <t>ENSG00000127337</t>
  </si>
  <si>
    <t>ENSG00000127445</t>
  </si>
  <si>
    <t>ENSG00000127463</t>
  </si>
  <si>
    <t>ENST00000477853</t>
  </si>
  <si>
    <t>ENST00000480380</t>
  </si>
  <si>
    <t>ENST00000461353</t>
  </si>
  <si>
    <t>ENST00000467423</t>
  </si>
  <si>
    <t>ENST00000488681</t>
  </si>
  <si>
    <t>ENST00000356068</t>
  </si>
  <si>
    <t>ENSG00000127481</t>
  </si>
  <si>
    <t>ENST00000375254</t>
  </si>
  <si>
    <t>ENST00000375225</t>
  </si>
  <si>
    <t>ENST00000375224</t>
  </si>
  <si>
    <t>ENST00000459947</t>
  </si>
  <si>
    <t>ENST00000492606</t>
  </si>
  <si>
    <t>ENST00000483922</t>
  </si>
  <si>
    <t>ENST00000494503</t>
  </si>
  <si>
    <t>ENST00000466969</t>
  </si>
  <si>
    <t>ENST00000375218</t>
  </si>
  <si>
    <t>ENST00000465036</t>
  </si>
  <si>
    <t>ENST00000419533</t>
  </si>
  <si>
    <t>ENSG00000127483</t>
  </si>
  <si>
    <t>ENSG00000127511</t>
  </si>
  <si>
    <t>ENST00000248054</t>
  </si>
  <si>
    <t>ENST00000596802</t>
  </si>
  <si>
    <t>ENST00000594372</t>
  </si>
  <si>
    <t>ENST00000595900</t>
  </si>
  <si>
    <t>ENST00000602204</t>
  </si>
  <si>
    <t>ENST00000595049</t>
  </si>
  <si>
    <t>ENST00000601141</t>
  </si>
  <si>
    <t>ENSG00000127526</t>
  </si>
  <si>
    <t>ENST00000595753</t>
  </si>
  <si>
    <t>ENST00000469055</t>
  </si>
  <si>
    <t>ENST00000488894</t>
  </si>
  <si>
    <t>ENSG00000127554</t>
  </si>
  <si>
    <t>ENSG00000127603</t>
  </si>
  <si>
    <t>ENST00000469366</t>
  </si>
  <si>
    <t>ENST00000485063</t>
  </si>
  <si>
    <t>ENST00000472385</t>
  </si>
  <si>
    <t>ENST00000484393</t>
  </si>
  <si>
    <t>ENST00000476350</t>
  </si>
  <si>
    <t>ENST00000530275</t>
  </si>
  <si>
    <t>ENST00000482035</t>
  </si>
  <si>
    <t>ENST00000473843</t>
  </si>
  <si>
    <t>ENST00000487656</t>
  </si>
  <si>
    <t>ENST00000497964</t>
  </si>
  <si>
    <t>ENST00000462496</t>
  </si>
  <si>
    <t>ENST00000462103</t>
  </si>
  <si>
    <t>ENST00000496360</t>
  </si>
  <si>
    <t>ENSG00000127804</t>
  </si>
  <si>
    <t>ENSG00000127824</t>
  </si>
  <si>
    <t>ENST00000248437</t>
  </si>
  <si>
    <t>ENST00000498660</t>
  </si>
  <si>
    <t>ENST00000462806</t>
  </si>
  <si>
    <t>ENST00000475683</t>
  </si>
  <si>
    <t>ENSG00000127837</t>
  </si>
  <si>
    <t>ENST00000494720</t>
  </si>
  <si>
    <t>ENSG00000127838</t>
  </si>
  <si>
    <t>ENSG00000127870</t>
  </si>
  <si>
    <t>ENST00000346166</t>
  </si>
  <si>
    <t>ENST00000381588</t>
  </si>
  <si>
    <t>ENST00000476347</t>
  </si>
  <si>
    <t>ENST00000474280</t>
  </si>
  <si>
    <t>ENSG00000127947</t>
  </si>
  <si>
    <t>ENSG00000127948</t>
  </si>
  <si>
    <t>ENSG00000127980</t>
  </si>
  <si>
    <t>ENST00000248633</t>
  </si>
  <si>
    <t>ENST00000496420</t>
  </si>
  <si>
    <t>ENST00000477342</t>
  </si>
  <si>
    <t>ENST00000469417</t>
  </si>
  <si>
    <t>ENST00000496092</t>
  </si>
  <si>
    <t>ENST00000476923</t>
  </si>
  <si>
    <t>ENSG00000127989</t>
  </si>
  <si>
    <t>ENST00000419292</t>
  </si>
  <si>
    <t>ENST00000351870</t>
  </si>
  <si>
    <t>ENST00000425936</t>
  </si>
  <si>
    <t>ENSG00000127993</t>
  </si>
  <si>
    <t>ENST00000265732</t>
  </si>
  <si>
    <t>ENST00000481551</t>
  </si>
  <si>
    <t>ENSG00000128050</t>
  </si>
  <si>
    <t>ENSG00000128059</t>
  </si>
  <si>
    <t>ENSG00000128159</t>
  </si>
  <si>
    <t>ENST00000498611</t>
  </si>
  <si>
    <t>ENST00000473946</t>
  </si>
  <si>
    <t>ENSG00000128191</t>
  </si>
  <si>
    <t>ENST00000351989</t>
  </si>
  <si>
    <t>ENST00000498171</t>
  </si>
  <si>
    <t>ENST00000491892</t>
  </si>
  <si>
    <t>ENST00000495351</t>
  </si>
  <si>
    <t>ENST00000485802</t>
  </si>
  <si>
    <t>ENST00000475941</t>
  </si>
  <si>
    <t>ENSG00000128228</t>
  </si>
  <si>
    <t>ENSG00000128284</t>
  </si>
  <si>
    <t>ENST00000349314</t>
  </si>
  <si>
    <t>ENST00000432700</t>
  </si>
  <si>
    <t>ENST00000422426</t>
  </si>
  <si>
    <t>ENST00000397289</t>
  </si>
  <si>
    <t>ENST00000531195</t>
  </si>
  <si>
    <t>ENST00000472303</t>
  </si>
  <si>
    <t>ENST00000528740</t>
  </si>
  <si>
    <t>ENST00000533061</t>
  </si>
  <si>
    <t>ENST00000397293</t>
  </si>
  <si>
    <t>ENSG00000128294</t>
  </si>
  <si>
    <t>ENST00000338754</t>
  </si>
  <si>
    <t>ENST00000445720</t>
  </si>
  <si>
    <t>ENSG00000128340</t>
  </si>
  <si>
    <t>ENSG00000128394</t>
  </si>
  <si>
    <t>ENST00000308521</t>
  </si>
  <si>
    <t>ENST00000476513</t>
  </si>
  <si>
    <t>ENSG00000128463</t>
  </si>
  <si>
    <t>ENST00000267750</t>
  </si>
  <si>
    <t>ENST00000249209</t>
  </si>
  <si>
    <t>ENST00000557941</t>
  </si>
  <si>
    <t>ENST00000558810</t>
  </si>
  <si>
    <t>ENST00000561246</t>
  </si>
  <si>
    <t>ENSG00000128513</t>
  </si>
  <si>
    <t>ENST00000357628</t>
  </si>
  <si>
    <t>ENST00000608200</t>
  </si>
  <si>
    <t>ENST00000466483</t>
  </si>
  <si>
    <t>ENST00000610141</t>
  </si>
  <si>
    <t>ENST00000608126</t>
  </si>
  <si>
    <t>ENST00000487564</t>
  </si>
  <si>
    <t>ENST00000429326</t>
  </si>
  <si>
    <t>ENSG00000128524</t>
  </si>
  <si>
    <t>ENSG00000128534</t>
  </si>
  <si>
    <t>ENSG00000128563</t>
  </si>
  <si>
    <t>ENSG00000128585</t>
  </si>
  <si>
    <t>ENSG00000128590</t>
  </si>
  <si>
    <t>ENST00000249356</t>
  </si>
  <si>
    <t>ENST00000491582</t>
  </si>
  <si>
    <t>ENSG00000128595</t>
  </si>
  <si>
    <t>ENSG00000128609</t>
  </si>
  <si>
    <t>ENSG00000128626</t>
  </si>
  <si>
    <t>ENSG00000128654</t>
  </si>
  <si>
    <t>ENST00000420864</t>
  </si>
  <si>
    <t>ENST00000249442</t>
  </si>
  <si>
    <t>ENSG00000128708</t>
  </si>
  <si>
    <t>ENSG00000128731</t>
  </si>
  <si>
    <t>ENSG00000128739</t>
  </si>
  <si>
    <t>ENSG00000128789</t>
  </si>
  <si>
    <t>ENST00000317615</t>
  </si>
  <si>
    <t>ENST00000590217</t>
  </si>
  <si>
    <t>ENST00000588824</t>
  </si>
  <si>
    <t>ENSG00000128829</t>
  </si>
  <si>
    <t>ENST00000559624</t>
  </si>
  <si>
    <t>ENST00000263791</t>
  </si>
  <si>
    <t>ENST00000558629</t>
  </si>
  <si>
    <t>ENST00000558743</t>
  </si>
  <si>
    <t>ENST00000559032</t>
  </si>
  <si>
    <t>ENSG00000128872</t>
  </si>
  <si>
    <t>ENSG00000128891</t>
  </si>
  <si>
    <t>ENST00000559291</t>
  </si>
  <si>
    <t>ENST00000416810</t>
  </si>
  <si>
    <t>ENST00000558871</t>
  </si>
  <si>
    <t>ENSG00000128915</t>
  </si>
  <si>
    <t>ENSG00000128928</t>
  </si>
  <si>
    <t>ENSG00000128951</t>
  </si>
  <si>
    <t>ENSG00000129003</t>
  </si>
  <si>
    <t>ENST00000249837</t>
  </si>
  <si>
    <t>ENST00000560637</t>
  </si>
  <si>
    <t>ENST00000559119</t>
  </si>
  <si>
    <t>ENST00000558338</t>
  </si>
  <si>
    <t>ENST00000561258</t>
  </si>
  <si>
    <t>ENSG00000129071</t>
  </si>
  <si>
    <t>ENST00000429544</t>
  </si>
  <si>
    <t>ENST00000249910</t>
  </si>
  <si>
    <t>ENST00000507208</t>
  </si>
  <si>
    <t>ENST00000511009</t>
  </si>
  <si>
    <t>ENST00000515266</t>
  </si>
  <si>
    <t>ENSG00000129083</t>
  </si>
  <si>
    <t>ENSG00000129084</t>
  </si>
  <si>
    <t>ENST00000532256</t>
  </si>
  <si>
    <t>ENSG00000129103</t>
  </si>
  <si>
    <t>ENST00000531229</t>
  </si>
  <si>
    <t>ENSG00000129128</t>
  </si>
  <si>
    <t>ENSG00000129187</t>
  </si>
  <si>
    <t>ENSG00000129197</t>
  </si>
  <si>
    <t>ENST00000536255</t>
  </si>
  <si>
    <t>ENST00000381209</t>
  </si>
  <si>
    <t>ENST00000571043</t>
  </si>
  <si>
    <t>ENST00000571613</t>
  </si>
  <si>
    <t>ENST00000381208</t>
  </si>
  <si>
    <t>ENST00000572174</t>
  </si>
  <si>
    <t>ENST00000570883</t>
  </si>
  <si>
    <t>ENST00000575112</t>
  </si>
  <si>
    <t>ENST00000575711</t>
  </si>
  <si>
    <t>ENST00000405578</t>
  </si>
  <si>
    <t>ENST00000573126</t>
  </si>
  <si>
    <t>ENSG00000129235</t>
  </si>
  <si>
    <t>ENSG00000129245</t>
  </si>
  <si>
    <t>ENSG00000129292</t>
  </si>
  <si>
    <t>ENSG00000129315</t>
  </si>
  <si>
    <t>ENSG00000129317</t>
  </si>
  <si>
    <t>ENSG00000129347</t>
  </si>
  <si>
    <t>ENSG00000129351</t>
  </si>
  <si>
    <t>ENST00000407004</t>
  </si>
  <si>
    <t>ENST00000589998</t>
  </si>
  <si>
    <t>ENST00000592763</t>
  </si>
  <si>
    <t>ENST00000590261</t>
  </si>
  <si>
    <t>ENST00000587941</t>
  </si>
  <si>
    <t>ENST00000585835</t>
  </si>
  <si>
    <t>ENST00000589173</t>
  </si>
  <si>
    <t>ENST00000591649</t>
  </si>
  <si>
    <t>ENST00000449870</t>
  </si>
  <si>
    <t>ENSG00000129353</t>
  </si>
  <si>
    <t>ENST00000588465</t>
  </si>
  <si>
    <t>ENST00000407327</t>
  </si>
  <si>
    <t>ENST00000586078</t>
  </si>
  <si>
    <t>ENST00000588393</t>
  </si>
  <si>
    <t>ENST00000589561</t>
  </si>
  <si>
    <t>ENST00000590475</t>
  </si>
  <si>
    <t>ENSG00000129460</t>
  </si>
  <si>
    <t>ENST00000408901</t>
  </si>
  <si>
    <t>ENST00000556378</t>
  </si>
  <si>
    <t>ENST00000557097</t>
  </si>
  <si>
    <t>ENST00000553336</t>
  </si>
  <si>
    <t>ENST00000397154</t>
  </si>
  <si>
    <t>ENST00000553439</t>
  </si>
  <si>
    <t>ENST00000555128</t>
  </si>
  <si>
    <t>ENST00000556953</t>
  </si>
  <si>
    <t>ENST00000556022</t>
  </si>
  <si>
    <t>ENST00000556580</t>
  </si>
  <si>
    <t>ENST00000556103</t>
  </si>
  <si>
    <t>ENSG00000129465</t>
  </si>
  <si>
    <t>ENSG00000129480</t>
  </si>
  <si>
    <t>ENSG00000129484</t>
  </si>
  <si>
    <t>ENST00000429687</t>
  </si>
  <si>
    <t>ENST00000527915</t>
  </si>
  <si>
    <t>ENST00000528465</t>
  </si>
  <si>
    <t>ENST00000527384</t>
  </si>
  <si>
    <t>ENST00000532299</t>
  </si>
  <si>
    <t>ENST00000530598</t>
  </si>
  <si>
    <t>ENST00000534664</t>
  </si>
  <si>
    <t>ENSG00000129515</t>
  </si>
  <si>
    <t>ENSG00000129534</t>
  </si>
  <si>
    <t>ENST00000310806</t>
  </si>
  <si>
    <t>ENST00000470424</t>
  </si>
  <si>
    <t>ENST00000496413</t>
  </si>
  <si>
    <t>ENST00000469020</t>
  </si>
  <si>
    <t>ENST00000555653</t>
  </si>
  <si>
    <t>ENSG00000129625</t>
  </si>
  <si>
    <t>ENSG00000129657</t>
  </si>
  <si>
    <t>ENST00000564509</t>
  </si>
  <si>
    <t>ENST00000588880</t>
  </si>
  <si>
    <t>ENST00000436233</t>
  </si>
  <si>
    <t>ENST00000588696</t>
  </si>
  <si>
    <t>ENST00000589202</t>
  </si>
  <si>
    <t>ENST00000587821</t>
  </si>
  <si>
    <t>ENST00000587491</t>
  </si>
  <si>
    <t>ENST00000591413</t>
  </si>
  <si>
    <t>ENSG00000129667</t>
  </si>
  <si>
    <t>ENST00000591879</t>
  </si>
  <si>
    <t>ENST00000590322</t>
  </si>
  <si>
    <t>ENSG00000129680</t>
  </si>
  <si>
    <t>ENST00000370661</t>
  </si>
  <si>
    <t>ENST00000316077</t>
  </si>
  <si>
    <t>ENST00000495432</t>
  </si>
  <si>
    <t>ENST00000477124</t>
  </si>
  <si>
    <t>ENSG00000129691</t>
  </si>
  <si>
    <t>ENST00000343823</t>
  </si>
  <si>
    <t>ENST00000428278</t>
  </si>
  <si>
    <t>ENST00000522675</t>
  </si>
  <si>
    <t>ENST00000518186</t>
  </si>
  <si>
    <t>ENST00000524247</t>
  </si>
  <si>
    <t>ENST00000520079</t>
  </si>
  <si>
    <t>ENSG00000129696</t>
  </si>
  <si>
    <t>ENSG00000129824</t>
  </si>
  <si>
    <t>ENSG00000129933</t>
  </si>
  <si>
    <t>ENSG00000130005</t>
  </si>
  <si>
    <t>ENSG00000130024</t>
  </si>
  <si>
    <t>ENST00000366780</t>
  </si>
  <si>
    <t>ENST00000339209</t>
  </si>
  <si>
    <t>ENST00000480008</t>
  </si>
  <si>
    <t>ENST00000464779</t>
  </si>
  <si>
    <t>ENSG00000130119</t>
  </si>
  <si>
    <t>ENSG00000130150</t>
  </si>
  <si>
    <t>ENSG00000130159</t>
  </si>
  <si>
    <t>ENSG00000130164</t>
  </si>
  <si>
    <t>ENST00000558518</t>
  </si>
  <si>
    <t>ENST00000557933</t>
  </si>
  <si>
    <t>ENST00000560502</t>
  </si>
  <si>
    <t>ENST00000557958</t>
  </si>
  <si>
    <t>ENST00000558528</t>
  </si>
  <si>
    <t>ENST00000560173</t>
  </si>
  <si>
    <t>ENSG00000130175</t>
  </si>
  <si>
    <t>ENST00000591946</t>
  </si>
  <si>
    <t>ENST00000592741</t>
  </si>
  <si>
    <t>ENST00000587327</t>
  </si>
  <si>
    <t>ENST00000589838</t>
  </si>
  <si>
    <t>ENST00000589990</t>
  </si>
  <si>
    <t>ENST00000585325</t>
  </si>
  <si>
    <t>ENST00000592445</t>
  </si>
  <si>
    <t>ENST00000585540</t>
  </si>
  <si>
    <t>ENST00000587290</t>
  </si>
  <si>
    <t>ENST00000590098</t>
  </si>
  <si>
    <t>ENSG00000130177</t>
  </si>
  <si>
    <t>ENST00000356221</t>
  </si>
  <si>
    <t>ENST00000494766</t>
  </si>
  <si>
    <t>ENST00000375308</t>
  </si>
  <si>
    <t>ENST00000484907</t>
  </si>
  <si>
    <t>ENST00000494581</t>
  </si>
  <si>
    <t>ENST00000360383</t>
  </si>
  <si>
    <t>ENSG00000130204</t>
  </si>
  <si>
    <t>ENSG00000130227</t>
  </si>
  <si>
    <t>ENSG00000130244</t>
  </si>
  <si>
    <t>ENSG00000130254</t>
  </si>
  <si>
    <t>ENST00000587802</t>
  </si>
  <si>
    <t>ENSG00000130255</t>
  </si>
  <si>
    <t>ENSG00000130299</t>
  </si>
  <si>
    <t>ENST00000594703</t>
  </si>
  <si>
    <t>ENST00000595194</t>
  </si>
  <si>
    <t>ENSG00000130305</t>
  </si>
  <si>
    <t>ENST00000471461</t>
  </si>
  <si>
    <t>ENST00000252594</t>
  </si>
  <si>
    <t>ENST00000438747</t>
  </si>
  <si>
    <t>ENST00000478977</t>
  </si>
  <si>
    <t>ENSG00000130309</t>
  </si>
  <si>
    <t>ENSG00000130311</t>
  </si>
  <si>
    <t>ENSG00000130313</t>
  </si>
  <si>
    <t>ENSG00000130332</t>
  </si>
  <si>
    <t>ENST00000591745</t>
  </si>
  <si>
    <t>ENSG00000130347</t>
  </si>
  <si>
    <t>ENSG00000130348</t>
  </si>
  <si>
    <t>ENSG00000130349</t>
  </si>
  <si>
    <t>ENSG00000130402</t>
  </si>
  <si>
    <t>ENSG00000130429</t>
  </si>
  <si>
    <t>ENSG00000130475</t>
  </si>
  <si>
    <t>ENST00000595749</t>
  </si>
  <si>
    <t>ENST00000600393</t>
  </si>
  <si>
    <t>ENST00000596522</t>
  </si>
  <si>
    <t>ENST00000599766</t>
  </si>
  <si>
    <t>ENST00000602111</t>
  </si>
  <si>
    <t>ENST00000600058</t>
  </si>
  <si>
    <t>ENSG00000130479</t>
  </si>
  <si>
    <t>ENST00000324096</t>
  </si>
  <si>
    <t>ENST00000598769</t>
  </si>
  <si>
    <t>ENST00000601097</t>
  </si>
  <si>
    <t>ENSG00000130517</t>
  </si>
  <si>
    <t>ENST00000269919</t>
  </si>
  <si>
    <t>ENST00000595066</t>
  </si>
  <si>
    <t>ENSG00000130520</t>
  </si>
  <si>
    <t>ENSG00000130544</t>
  </si>
  <si>
    <t>ENST00000252840</t>
  </si>
  <si>
    <t>ENST00000414706</t>
  </si>
  <si>
    <t>ENSG00000130559</t>
  </si>
  <si>
    <t>ENST00000389532</t>
  </si>
  <si>
    <t>ENST00000482664</t>
  </si>
  <si>
    <t>ENST00000492174</t>
  </si>
  <si>
    <t>ENST00000460094</t>
  </si>
  <si>
    <t>ENSG00000130560</t>
  </si>
  <si>
    <t>ENSG00000130592</t>
  </si>
  <si>
    <t>ENSG00000130638</t>
  </si>
  <si>
    <t>ENSG00000130640</t>
  </si>
  <si>
    <t>ENSG00000130695</t>
  </si>
  <si>
    <t>ENST00000252992</t>
  </si>
  <si>
    <t>ENST00000453146</t>
  </si>
  <si>
    <t>ENST00000468163</t>
  </si>
  <si>
    <t>ENST00000491670</t>
  </si>
  <si>
    <t>ENSG00000130699</t>
  </si>
  <si>
    <t>ENSG00000130703</t>
  </si>
  <si>
    <t>ENST00000313733</t>
  </si>
  <si>
    <t>ENST00000471817</t>
  </si>
  <si>
    <t>ENSG00000130706</t>
  </si>
  <si>
    <t>ENSG00000130713</t>
  </si>
  <si>
    <t>ENST00000372358</t>
  </si>
  <si>
    <t>ENST00000490641</t>
  </si>
  <si>
    <t>ENST00000463488</t>
  </si>
  <si>
    <t>ENST00000467138</t>
  </si>
  <si>
    <t>ENSG00000130717</t>
  </si>
  <si>
    <t>ENST00000372215</t>
  </si>
  <si>
    <t>ENST00000484876</t>
  </si>
  <si>
    <t>ENST00000482398</t>
  </si>
  <si>
    <t>ENSG00000130723</t>
  </si>
  <si>
    <t>ENST00000320547</t>
  </si>
  <si>
    <t>ENSG00000130724</t>
  </si>
  <si>
    <t>ENSG00000130725</t>
  </si>
  <si>
    <t>ENSG00000130726</t>
  </si>
  <si>
    <t>ENSG00000130731</t>
  </si>
  <si>
    <t>ENSG00000130741</t>
  </si>
  <si>
    <t>ENSG00000130749</t>
  </si>
  <si>
    <t>ENSG00000130755</t>
  </si>
  <si>
    <t>ENSG00000130764</t>
  </si>
  <si>
    <t>ENSG00000130770</t>
  </si>
  <si>
    <t>ENSG00000130772</t>
  </si>
  <si>
    <t>ENSG00000130775</t>
  </si>
  <si>
    <t>ENSG00000130779</t>
  </si>
  <si>
    <t>ENST00000302528</t>
  </si>
  <si>
    <t>ENST00000537178</t>
  </si>
  <si>
    <t>ENST00000501271</t>
  </si>
  <si>
    <t>ENST00000538120</t>
  </si>
  <si>
    <t>ENST00000543205</t>
  </si>
  <si>
    <t>ENST00000514271</t>
  </si>
  <si>
    <t>ENST00000541410</t>
  </si>
  <si>
    <t>ENSG00000130787</t>
  </si>
  <si>
    <t>ENSG00000130810</t>
  </si>
  <si>
    <t>ENST00000253107</t>
  </si>
  <si>
    <t>ENST00000393793</t>
  </si>
  <si>
    <t>ENST00000466025</t>
  </si>
  <si>
    <t>ENST00000468881</t>
  </si>
  <si>
    <t>ENST00000486482</t>
  </si>
  <si>
    <t>ENSG00000130811</t>
  </si>
  <si>
    <t>ENSG00000130813</t>
  </si>
  <si>
    <t>ENSG00000130826</t>
  </si>
  <si>
    <t>ENSG00000130830</t>
  </si>
  <si>
    <t>ENST00000369534</t>
  </si>
  <si>
    <t>ENST00000491955</t>
  </si>
  <si>
    <t>ENST00000482757</t>
  </si>
  <si>
    <t>ENST00000493871</t>
  </si>
  <si>
    <t>ENST00000488754</t>
  </si>
  <si>
    <t>ENST00000488694</t>
  </si>
  <si>
    <t>ENST00000471821</t>
  </si>
  <si>
    <t>ENSG00000130844</t>
  </si>
  <si>
    <t>ENST00000253144</t>
  </si>
  <si>
    <t>ENST00000505426</t>
  </si>
  <si>
    <t>ENSG00000130921</t>
  </si>
  <si>
    <t>ENST00000253233</t>
  </si>
  <si>
    <t>ENST00000425637</t>
  </si>
  <si>
    <t>ENST00000543139</t>
  </si>
  <si>
    <t>ENST00000429587</t>
  </si>
  <si>
    <t>ENSG00000130935</t>
  </si>
  <si>
    <t>ENSG00000130939</t>
  </si>
  <si>
    <t>ENST00000253251</t>
  </si>
  <si>
    <t>ENST00000377153</t>
  </si>
  <si>
    <t>ENST00000343090</t>
  </si>
  <si>
    <t>ENST00000462658</t>
  </si>
  <si>
    <t>ENST00000487244</t>
  </si>
  <si>
    <t>ENSG00000130956</t>
  </si>
  <si>
    <t>ENSG00000130985</t>
  </si>
  <si>
    <t>ENSG00000131013</t>
  </si>
  <si>
    <t>ENSG00000131023</t>
  </si>
  <si>
    <t>ENSG00000131051</t>
  </si>
  <si>
    <t>ENST00000463004</t>
  </si>
  <si>
    <t>ENST00000461283</t>
  </si>
  <si>
    <t>ENST00000253363</t>
  </si>
  <si>
    <t>ENST00000361162</t>
  </si>
  <si>
    <t>ENST00000338163</t>
  </si>
  <si>
    <t>ENST00000403542</t>
  </si>
  <si>
    <t>ENST00000528062</t>
  </si>
  <si>
    <t>ENST00000495293</t>
  </si>
  <si>
    <t>ENST00000476806</t>
  </si>
  <si>
    <t>ENST00000444878</t>
  </si>
  <si>
    <t>ENST00000429968</t>
  </si>
  <si>
    <t>ENST00000492779</t>
  </si>
  <si>
    <t>ENST00000496183</t>
  </si>
  <si>
    <t>ENST00000482563</t>
  </si>
  <si>
    <t>ENST00000490354</t>
  </si>
  <si>
    <t>ENST00000465158</t>
  </si>
  <si>
    <t>ENST00000470563</t>
  </si>
  <si>
    <t>ENST00000471635</t>
  </si>
  <si>
    <t>ENST00000468086</t>
  </si>
  <si>
    <t>ENST00000475651</t>
  </si>
  <si>
    <t>ENST00000490484</t>
  </si>
  <si>
    <t>ENST00000374038</t>
  </si>
  <si>
    <t>ENST00000412738</t>
  </si>
  <si>
    <t>ENST00000425184</t>
  </si>
  <si>
    <t>ENST00000477334</t>
  </si>
  <si>
    <t>ENST00000426951</t>
  </si>
  <si>
    <t>ENST00000442447</t>
  </si>
  <si>
    <t>ENST00000487604</t>
  </si>
  <si>
    <t>ENST00000453310</t>
  </si>
  <si>
    <t>ENST00000397370</t>
  </si>
  <si>
    <t>ENST00000461849</t>
  </si>
  <si>
    <t>ENSG00000131069</t>
  </si>
  <si>
    <t>ENSG00000131100</t>
  </si>
  <si>
    <t>ENST00000253413</t>
  </si>
  <si>
    <t>ENST00000473248</t>
  </si>
  <si>
    <t>ENST00000481365</t>
  </si>
  <si>
    <t>ENST00000484653</t>
  </si>
  <si>
    <t>ENST00000478963</t>
  </si>
  <si>
    <t>ENST00000460085</t>
  </si>
  <si>
    <t>ENSG00000131143</t>
  </si>
  <si>
    <t>ENSG00000131148</t>
  </si>
  <si>
    <t>ENSG00000131165</t>
  </si>
  <si>
    <t>ENSG00000131171</t>
  </si>
  <si>
    <t>ENSG00000131174</t>
  </si>
  <si>
    <t>ENST00000481445</t>
  </si>
  <si>
    <t>ENST00000475465</t>
  </si>
  <si>
    <t>ENSG00000131196</t>
  </si>
  <si>
    <t>ENST00000253506</t>
  </si>
  <si>
    <t>ENST00000591814</t>
  </si>
  <si>
    <t>ENST00000427363</t>
  </si>
  <si>
    <t>ENST00000318065</t>
  </si>
  <si>
    <t>ENST00000592223</t>
  </si>
  <si>
    <t>ENST00000329101</t>
  </si>
  <si>
    <t>ENST00000591065</t>
  </si>
  <si>
    <t>ENST00000591089</t>
  </si>
  <si>
    <t>ENSG00000131236</t>
  </si>
  <si>
    <t>ENST00000372797</t>
  </si>
  <si>
    <t>ENST00000372802</t>
  </si>
  <si>
    <t>ENST00000421589</t>
  </si>
  <si>
    <t>ENST00000414893</t>
  </si>
  <si>
    <t>ENST00000414281</t>
  </si>
  <si>
    <t>ENST00000420216</t>
  </si>
  <si>
    <t>ENST00000372792</t>
  </si>
  <si>
    <t>ENST00000372798</t>
  </si>
  <si>
    <t>ENST00000340450</t>
  </si>
  <si>
    <t>ENST00000372805</t>
  </si>
  <si>
    <t>ENST00000435719</t>
  </si>
  <si>
    <t>ENST00000427843</t>
  </si>
  <si>
    <t>ENST00000424977</t>
  </si>
  <si>
    <t>ENST00000461993</t>
  </si>
  <si>
    <t>ENST00000494114</t>
  </si>
  <si>
    <t>ENSG00000131238</t>
  </si>
  <si>
    <t>ENSG00000131263</t>
  </si>
  <si>
    <t>ENSG00000131269</t>
  </si>
  <si>
    <t>ENSG00000131323</t>
  </si>
  <si>
    <t>ENSG00000131351</t>
  </si>
  <si>
    <t>ENST00000253669</t>
  </si>
  <si>
    <t>ENST00000597917</t>
  </si>
  <si>
    <t>ENST00000593360</t>
  </si>
  <si>
    <t>ENST00000597479</t>
  </si>
  <si>
    <t>ENST00000595958</t>
  </si>
  <si>
    <t>ENSG00000131368</t>
  </si>
  <si>
    <t>ENSG00000131373</t>
  </si>
  <si>
    <t>ENST00000321169</t>
  </si>
  <si>
    <t>ENST00000469454</t>
  </si>
  <si>
    <t>ENST00000460907</t>
  </si>
  <si>
    <t>ENST00000472857</t>
  </si>
  <si>
    <t>ENSG00000131375</t>
  </si>
  <si>
    <t>ENSG00000131381</t>
  </si>
  <si>
    <t>ENSG00000131408</t>
  </si>
  <si>
    <t>ENST00000595730</t>
  </si>
  <si>
    <t>ENST00000253727</t>
  </si>
  <si>
    <t>ENST00000597790</t>
  </si>
  <si>
    <t>ENST00000599105</t>
  </si>
  <si>
    <t>ENST00000597157</t>
  </si>
  <si>
    <t>ENST00000597085</t>
  </si>
  <si>
    <t>ENSG00000131446</t>
  </si>
  <si>
    <t>ENSG00000131462</t>
  </si>
  <si>
    <t>ENSG00000131467</t>
  </si>
  <si>
    <t>ENSG00000131473</t>
  </si>
  <si>
    <t>ENST00000352035</t>
  </si>
  <si>
    <t>ENST00000590151</t>
  </si>
  <si>
    <t>ENST00000393896</t>
  </si>
  <si>
    <t>ENST00000588779</t>
  </si>
  <si>
    <t>ENST00000588547</t>
  </si>
  <si>
    <t>ENST00000353196</t>
  </si>
  <si>
    <t>ENSG00000131475</t>
  </si>
  <si>
    <t>ENSG00000131495</t>
  </si>
  <si>
    <t>ENSG00000131503</t>
  </si>
  <si>
    <t>ENST00000360839</t>
  </si>
  <si>
    <t>ENST00000421134</t>
  </si>
  <si>
    <t>ENST00000394723</t>
  </si>
  <si>
    <t>ENST00000511151</t>
  </si>
  <si>
    <t>ENST00000490185</t>
  </si>
  <si>
    <t>ENST00000246149</t>
  </si>
  <si>
    <t>ENST00000412116</t>
  </si>
  <si>
    <t>ENST00000465435</t>
  </si>
  <si>
    <t>ENST00000506755</t>
  </si>
  <si>
    <t>ENST00000431508</t>
  </si>
  <si>
    <t>ENST00000433049</t>
  </si>
  <si>
    <t>ENST00000435794</t>
  </si>
  <si>
    <t>ENST00000475148</t>
  </si>
  <si>
    <t>ENST00000495578</t>
  </si>
  <si>
    <t>ENST00000421706</t>
  </si>
  <si>
    <t>ENST00000297183</t>
  </si>
  <si>
    <t>ENST00000532219</t>
  </si>
  <si>
    <t>ENST00000474060</t>
  </si>
  <si>
    <t>ENST00000437495</t>
  </si>
  <si>
    <t>ENSG00000131504</t>
  </si>
  <si>
    <t>ENST00000476339</t>
  </si>
  <si>
    <t>ENST00000494967</t>
  </si>
  <si>
    <t>ENST00000523100</t>
  </si>
  <si>
    <t>ENST00000472516</t>
  </si>
  <si>
    <t>ENST00000253811</t>
  </si>
  <si>
    <t>ENST00000389057</t>
  </si>
  <si>
    <t>ENST00000398557</t>
  </si>
  <si>
    <t>ENSG00000131558</t>
  </si>
  <si>
    <t>ENST00000469115</t>
  </si>
  <si>
    <t>ENSG00000131584</t>
  </si>
  <si>
    <t>ENST00000354700</t>
  </si>
  <si>
    <t>ENST00000470659</t>
  </si>
  <si>
    <t>ENST00000493992</t>
  </si>
  <si>
    <t>ENST00000478065</t>
  </si>
  <si>
    <t>ENSG00000131626</t>
  </si>
  <si>
    <t>ENSG00000131652</t>
  </si>
  <si>
    <t>ENST00000576143</t>
  </si>
  <si>
    <t>ENST00000574957</t>
  </si>
  <si>
    <t>ENST00000326266</t>
  </si>
  <si>
    <t>ENST00000571046</t>
  </si>
  <si>
    <t>ENSG00000131653</t>
  </si>
  <si>
    <t>ENST00000326181</t>
  </si>
  <si>
    <t>ENST00000569686</t>
  </si>
  <si>
    <t>ENST00000567653</t>
  </si>
  <si>
    <t>ENST00000570169</t>
  </si>
  <si>
    <t>ENSG00000131732</t>
  </si>
  <si>
    <t>ENSG00000131778</t>
  </si>
  <si>
    <t>ENST00000369258</t>
  </si>
  <si>
    <t>ENST00000492728</t>
  </si>
  <si>
    <t>ENSG00000131828</t>
  </si>
  <si>
    <t>ENST00000422285</t>
  </si>
  <si>
    <t>ENST00000492364</t>
  </si>
  <si>
    <t>ENST00000379805</t>
  </si>
  <si>
    <t>ENST00000479146</t>
  </si>
  <si>
    <t>ENST00000481733</t>
  </si>
  <si>
    <t>ENST00000379804</t>
  </si>
  <si>
    <t>ENST00000478795</t>
  </si>
  <si>
    <t>ENST00000545074</t>
  </si>
  <si>
    <t>ENSG00000131844</t>
  </si>
  <si>
    <t>ENSG00000131871</t>
  </si>
  <si>
    <t>ENSG00000131873</t>
  </si>
  <si>
    <t>ENST00000254190</t>
  </si>
  <si>
    <t>ENST00000543813</t>
  </si>
  <si>
    <t>ENSG00000131876</t>
  </si>
  <si>
    <t>ENSG00000131966</t>
  </si>
  <si>
    <t>ENSG00000131979</t>
  </si>
  <si>
    <t>ENSG00000132017</t>
  </si>
  <si>
    <t>ENSG00000132024</t>
  </si>
  <si>
    <t>ENST00000318003</t>
  </si>
  <si>
    <t>ENST00000589138</t>
  </si>
  <si>
    <t>ENST00000588932</t>
  </si>
  <si>
    <t>ENST00000589224</t>
  </si>
  <si>
    <t>ENSG00000132128</t>
  </si>
  <si>
    <t>ENST00000472710</t>
  </si>
  <si>
    <t>ENST00000469150</t>
  </si>
  <si>
    <t>ENST00000343304</t>
  </si>
  <si>
    <t>ENSG00000132153</t>
  </si>
  <si>
    <t>ENST00000472718</t>
  </si>
  <si>
    <t>ENST00000445061</t>
  </si>
  <si>
    <t>ENST00000395745</t>
  </si>
  <si>
    <t>ENST00000441384</t>
  </si>
  <si>
    <t>ENST00000457607</t>
  </si>
  <si>
    <t>ENST00000471082</t>
  </si>
  <si>
    <t>ENST00000461905</t>
  </si>
  <si>
    <t>ENST00000474183</t>
  </si>
  <si>
    <t>ENST00000446256</t>
  </si>
  <si>
    <t>ENSG00000132155</t>
  </si>
  <si>
    <t>ENSG00000132182</t>
  </si>
  <si>
    <t>ENSG00000132196</t>
  </si>
  <si>
    <t>ENST00000485405</t>
  </si>
  <si>
    <t>ENST00000367915</t>
  </si>
  <si>
    <t>ENST00000254521</t>
  </si>
  <si>
    <t>ENST00000494450</t>
  </si>
  <si>
    <t>ENST00000488656</t>
  </si>
  <si>
    <t>ENSG00000132199</t>
  </si>
  <si>
    <t>ENSG00000132254</t>
  </si>
  <si>
    <t>ENST00000254584</t>
  </si>
  <si>
    <t>ENST00000396777</t>
  </si>
  <si>
    <t>ENST00000530410</t>
  </si>
  <si>
    <t>ENST00000529847</t>
  </si>
  <si>
    <t>ENSG00000132256</t>
  </si>
  <si>
    <t>ENST00000380034</t>
  </si>
  <si>
    <t>ENST00000396847</t>
  </si>
  <si>
    <t>ENST00000487241</t>
  </si>
  <si>
    <t>ENSG00000132274</t>
  </si>
  <si>
    <t>ENSG00000132275</t>
  </si>
  <si>
    <t>ENSG00000132286</t>
  </si>
  <si>
    <t>ENSG00000132300</t>
  </si>
  <si>
    <t>ENSG00000132305</t>
  </si>
  <si>
    <t>ENST00000449247</t>
  </si>
  <si>
    <t>ENST00000410111</t>
  </si>
  <si>
    <t>ENST00000419070</t>
  </si>
  <si>
    <t>ENST00000442664</t>
  </si>
  <si>
    <t>ENST00000474969</t>
  </si>
  <si>
    <t>ENST00000490238</t>
  </si>
  <si>
    <t>ENST00000409258</t>
  </si>
  <si>
    <t>ENST00000460081</t>
  </si>
  <si>
    <t>ENST00000486633</t>
  </si>
  <si>
    <t>ENSG00000132323</t>
  </si>
  <si>
    <t>ENSG00000132330</t>
  </si>
  <si>
    <t>ENSG00000132334</t>
  </si>
  <si>
    <t>ENST00000306042</t>
  </si>
  <si>
    <t>ENST00000487428</t>
  </si>
  <si>
    <t>ENST00000492479</t>
  </si>
  <si>
    <t>ENST00000463727</t>
  </si>
  <si>
    <t>ENSG00000132341</t>
  </si>
  <si>
    <t>ENSG00000132356</t>
  </si>
  <si>
    <t>ENSG00000132361</t>
  </si>
  <si>
    <t>ENSG00000132376</t>
  </si>
  <si>
    <t>ENST00000421807</t>
  </si>
  <si>
    <t>ENST00000487039</t>
  </si>
  <si>
    <t>ENST00000461552</t>
  </si>
  <si>
    <t>ENST00000495339</t>
  </si>
  <si>
    <t>ENST00000481867</t>
  </si>
  <si>
    <t>ENST00000477115</t>
  </si>
  <si>
    <t>ENST00000460733</t>
  </si>
  <si>
    <t>ENSG00000132382</t>
  </si>
  <si>
    <t>ENSG00000132383</t>
  </si>
  <si>
    <t>ENSG00000132405</t>
  </si>
  <si>
    <t>ENST00000444368</t>
  </si>
  <si>
    <t>ENST00000409757</t>
  </si>
  <si>
    <t>ENST00000451522</t>
  </si>
  <si>
    <t>ENST00000467966</t>
  </si>
  <si>
    <t>ENST00000448507</t>
  </si>
  <si>
    <t>ENSG00000132434</t>
  </si>
  <si>
    <t>ENSG00000132463</t>
  </si>
  <si>
    <t>ENSG00000132466</t>
  </si>
  <si>
    <t>ENST00000358602</t>
  </si>
  <si>
    <t>ENST00000558247</t>
  </si>
  <si>
    <t>ENST00000330838</t>
  </si>
  <si>
    <t>ENST00000513908</t>
  </si>
  <si>
    <t>ENSG00000132471</t>
  </si>
  <si>
    <t>ENSG00000132475</t>
  </si>
  <si>
    <t>ENSG00000132478</t>
  </si>
  <si>
    <t>ENSG00000132507</t>
  </si>
  <si>
    <t>ENSG00000132510</t>
  </si>
  <si>
    <t>ENSG00000132522</t>
  </si>
  <si>
    <t>ENST00000573807</t>
  </si>
  <si>
    <t>ENST00000572172</t>
  </si>
  <si>
    <t>ENST00000389167</t>
  </si>
  <si>
    <t>ENST00000574458</t>
  </si>
  <si>
    <t>ENST00000380728</t>
  </si>
  <si>
    <t>ENST00000571098</t>
  </si>
  <si>
    <t>ENST00000571695</t>
  </si>
  <si>
    <t>ENST00000574201</t>
  </si>
  <si>
    <t>ENSG00000132541</t>
  </si>
  <si>
    <t>ENSG00000132570</t>
  </si>
  <si>
    <t>ENSG00000132589</t>
  </si>
  <si>
    <t>ENSG00000132591</t>
  </si>
  <si>
    <t>ENSG00000132600</t>
  </si>
  <si>
    <t>ENST00000562381</t>
  </si>
  <si>
    <t>ENST00000561806</t>
  </si>
  <si>
    <t>ENST00000562456</t>
  </si>
  <si>
    <t>ENST00000566430</t>
  </si>
  <si>
    <t>ENST00000566687</t>
  </si>
  <si>
    <t>ENST00000563608</t>
  </si>
  <si>
    <t>ENST00000568463</t>
  </si>
  <si>
    <t>ENSG00000132603</t>
  </si>
  <si>
    <t>ENST00000254940</t>
  </si>
  <si>
    <t>ENST00000569637</t>
  </si>
  <si>
    <t>ENST00000565034</t>
  </si>
  <si>
    <t>ENST00000563364</t>
  </si>
  <si>
    <t>ENST00000562131</t>
  </si>
  <si>
    <t>ENST00000562523</t>
  </si>
  <si>
    <t>ENSG00000132604</t>
  </si>
  <si>
    <t>ENSG00000132664</t>
  </si>
  <si>
    <t>ENSG00000132670</t>
  </si>
  <si>
    <t>ENST00000216877</t>
  </si>
  <si>
    <t>ENST00000430705</t>
  </si>
  <si>
    <t>ENST00000399903</t>
  </si>
  <si>
    <t>ENSG00000132676</t>
  </si>
  <si>
    <t>ENSG00000132680</t>
  </si>
  <si>
    <t>ENST00000368320</t>
  </si>
  <si>
    <t>ENST00000465953</t>
  </si>
  <si>
    <t>ENST00000483237</t>
  </si>
  <si>
    <t>ENSG00000132740</t>
  </si>
  <si>
    <t>ENSG00000132768</t>
  </si>
  <si>
    <t>ENST00000490861</t>
  </si>
  <si>
    <t>ENSG00000132773</t>
  </si>
  <si>
    <t>ENSG00000132781</t>
  </si>
  <si>
    <t>ENST00000482094</t>
  </si>
  <si>
    <t>ENST00000462388</t>
  </si>
  <si>
    <t>ENST00000466231</t>
  </si>
  <si>
    <t>ENST00000478796</t>
  </si>
  <si>
    <t>ENST00000479746</t>
  </si>
  <si>
    <t>ENST00000534453</t>
  </si>
  <si>
    <t>ENSG00000132792</t>
  </si>
  <si>
    <t>ENSG00000132819</t>
  </si>
  <si>
    <t>ENST00000356208</t>
  </si>
  <si>
    <t>ENST00000440234</t>
  </si>
  <si>
    <t>ENST00000371219</t>
  </si>
  <si>
    <t>ENSG00000132849</t>
  </si>
  <si>
    <t>ENST00000484562</t>
  </si>
  <si>
    <t>ENST00000488913</t>
  </si>
  <si>
    <t>ENST00000490547</t>
  </si>
  <si>
    <t>ENST00000465798</t>
  </si>
  <si>
    <t>ENST00000472512</t>
  </si>
  <si>
    <t>ENSG00000132906</t>
  </si>
  <si>
    <t>ENST00000546424</t>
  </si>
  <si>
    <t>ENST00000546969</t>
  </si>
  <si>
    <t>ENSG00000132912</t>
  </si>
  <si>
    <t>ENSG00000132950</t>
  </si>
  <si>
    <t>ENST00000382909</t>
  </si>
  <si>
    <t>ENST00000502168</t>
  </si>
  <si>
    <t>ENST00000337963</t>
  </si>
  <si>
    <t>ENSG00000132953</t>
  </si>
  <si>
    <t>ENSG00000133028</t>
  </si>
  <si>
    <t>ENSG00000133030</t>
  </si>
  <si>
    <t>ENST00000466186</t>
  </si>
  <si>
    <t>ENSG00000133056</t>
  </si>
  <si>
    <t>ENSG00000133103</t>
  </si>
  <si>
    <t>ENSG00000133104</t>
  </si>
  <si>
    <t>ENSG00000133112</t>
  </si>
  <si>
    <t>ENSG00000133131</t>
  </si>
  <si>
    <t>ENST00000355610</t>
  </si>
  <si>
    <t>ENST00000478924</t>
  </si>
  <si>
    <t>ENSG00000133142</t>
  </si>
  <si>
    <t>ENSG00000133243</t>
  </si>
  <si>
    <t>ENST00000587825</t>
  </si>
  <si>
    <t>ENSG00000133265</t>
  </si>
  <si>
    <t>ENSG00000133313</t>
  </si>
  <si>
    <t>ENSG00000133316</t>
  </si>
  <si>
    <t>ENST00000545112</t>
  </si>
  <si>
    <t>ENSG00000133318</t>
  </si>
  <si>
    <t>ENST00000543123</t>
  </si>
  <si>
    <t>ENST00000537981</t>
  </si>
  <si>
    <t>ENSG00000133398</t>
  </si>
  <si>
    <t>ENST00000504058</t>
  </si>
  <si>
    <t>ENSG00000133422</t>
  </si>
  <si>
    <t>ENSG00000133561</t>
  </si>
  <si>
    <t>ENSG00000133574</t>
  </si>
  <si>
    <t>ENSG00000133606</t>
  </si>
  <si>
    <t>ENST00000255977</t>
  </si>
  <si>
    <t>ENST00000475010</t>
  </si>
  <si>
    <t>ENST00000468447</t>
  </si>
  <si>
    <t>ENST00000443720</t>
  </si>
  <si>
    <t>ENSG00000133612</t>
  </si>
  <si>
    <t>ENSG00000133639</t>
  </si>
  <si>
    <t>ENST00000256015</t>
  </si>
  <si>
    <t>ENST00000552315</t>
  </si>
  <si>
    <t>ENSG00000133641</t>
  </si>
  <si>
    <t>ENST00000356891</t>
  </si>
  <si>
    <t>ENST00000550333</t>
  </si>
  <si>
    <t>ENST00000453037</t>
  </si>
  <si>
    <t>ENST00000552803</t>
  </si>
  <si>
    <t>ENST00000548511</t>
  </si>
  <si>
    <t>ENST00000547468</t>
  </si>
  <si>
    <t>ENSG00000133703</t>
  </si>
  <si>
    <t>ENST00000311936</t>
  </si>
  <si>
    <t>ENST00000256078</t>
  </si>
  <si>
    <t>ENST00000556131</t>
  </si>
  <si>
    <t>ENSG00000133704</t>
  </si>
  <si>
    <t>ENSG00000133731</t>
  </si>
  <si>
    <t>ENSG00000133773</t>
  </si>
  <si>
    <t>ENSG00000133805</t>
  </si>
  <si>
    <t>ENSG00000133818</t>
  </si>
  <si>
    <t>ENSG00000133835</t>
  </si>
  <si>
    <t>ENSG00000133872</t>
  </si>
  <si>
    <t>ENSG00000133884</t>
  </si>
  <si>
    <t>ENSG00000133895</t>
  </si>
  <si>
    <t>ENST00000377326</t>
  </si>
  <si>
    <t>ENST00000478548</t>
  </si>
  <si>
    <t>ENSG00000133943</t>
  </si>
  <si>
    <t>ENST00000517877</t>
  </si>
  <si>
    <t>ENST00000520130</t>
  </si>
  <si>
    <t>ENSG00000133961</t>
  </si>
  <si>
    <t>ENST00000554546</t>
  </si>
  <si>
    <t>ENST00000554014</t>
  </si>
  <si>
    <t>ENST00000557486</t>
  </si>
  <si>
    <t>ENST00000554315</t>
  </si>
  <si>
    <t>ENST00000556989</t>
  </si>
  <si>
    <t>ENST00000557774</t>
  </si>
  <si>
    <t>ENSG00000133997</t>
  </si>
  <si>
    <t>ENSG00000134001</t>
  </si>
  <si>
    <t>ENSG00000134014</t>
  </si>
  <si>
    <t>ENST00000256398</t>
  </si>
  <si>
    <t>ENST00000521938</t>
  </si>
  <si>
    <t>ENST00000520011</t>
  </si>
  <si>
    <t>ENSG00000134077</t>
  </si>
  <si>
    <t>ENSG00000134107</t>
  </si>
  <si>
    <t>ENST00000460806</t>
  </si>
  <si>
    <t>ENST00000467610</t>
  </si>
  <si>
    <t>ENST00000256495</t>
  </si>
  <si>
    <t>ENSG00000134108</t>
  </si>
  <si>
    <t>ENSG00000134109</t>
  </si>
  <si>
    <t>ENST00000256497</t>
  </si>
  <si>
    <t>ENST00000465369</t>
  </si>
  <si>
    <t>ENST00000443790</t>
  </si>
  <si>
    <t>ENST00000465187</t>
  </si>
  <si>
    <t>ENST00000492751</t>
  </si>
  <si>
    <t>ENSG00000134202</t>
  </si>
  <si>
    <t>ENSG00000134242</t>
  </si>
  <si>
    <t>ENST00000359785</t>
  </si>
  <si>
    <t>ENST00000469077</t>
  </si>
  <si>
    <t>ENST00000420377</t>
  </si>
  <si>
    <t>ENST00000484147</t>
  </si>
  <si>
    <t>ENSG00000134248</t>
  </si>
  <si>
    <t>ENSG00000134250</t>
  </si>
  <si>
    <t>ENSG00000134262</t>
  </si>
  <si>
    <t>ENST00000479285</t>
  </si>
  <si>
    <t>ENSG00000134265</t>
  </si>
  <si>
    <t>ENSG00000134283</t>
  </si>
  <si>
    <t>ENST00000395580</t>
  </si>
  <si>
    <t>ENST00000358314</t>
  </si>
  <si>
    <t>ENST00000549774</t>
  </si>
  <si>
    <t>ENST00000449194</t>
  </si>
  <si>
    <t>ENST00000552761</t>
  </si>
  <si>
    <t>ENST00000551406</t>
  </si>
  <si>
    <t>ENST00000552202</t>
  </si>
  <si>
    <t>ENST00000547696</t>
  </si>
  <si>
    <t>ENST00000547440</t>
  </si>
  <si>
    <t>ENSG00000134285</t>
  </si>
  <si>
    <t>ENST00000553027</t>
  </si>
  <si>
    <t>ENST00000551094</t>
  </si>
  <si>
    <t>ENST00000550765</t>
  </si>
  <si>
    <t>ENST00000551694</t>
  </si>
  <si>
    <t>ENST00000546671</t>
  </si>
  <si>
    <t>ENST00000549084</t>
  </si>
  <si>
    <t>ENSG00000134294</t>
  </si>
  <si>
    <t>ENSG00000134308</t>
  </si>
  <si>
    <t>ENSG00000134318</t>
  </si>
  <si>
    <t>ENSG00000134330</t>
  </si>
  <si>
    <t>ENSG00000134333</t>
  </si>
  <si>
    <t>ENSG00000134352</t>
  </si>
  <si>
    <t>ENSG00000134375</t>
  </si>
  <si>
    <t>ENST00000367287</t>
  </si>
  <si>
    <t>ENST00000484647</t>
  </si>
  <si>
    <t>ENST00000482943</t>
  </si>
  <si>
    <t>ENSG00000134419</t>
  </si>
  <si>
    <t>ENSG00000134440</t>
  </si>
  <si>
    <t>ENST00000589001</t>
  </si>
  <si>
    <t>ENSG00000134444</t>
  </si>
  <si>
    <t>ENSG00000134452</t>
  </si>
  <si>
    <t>ENST00000494526</t>
  </si>
  <si>
    <t>ENST00000460453</t>
  </si>
  <si>
    <t>ENST00000489042</t>
  </si>
  <si>
    <t>ENST00000475867</t>
  </si>
  <si>
    <t>ENST00000485290</t>
  </si>
  <si>
    <t>ENST00000496013</t>
  </si>
  <si>
    <t>ENSG00000134453</t>
  </si>
  <si>
    <t>ENSG00000134460</t>
  </si>
  <si>
    <t>ENST00000256876</t>
  </si>
  <si>
    <t>ENSG00000134480</t>
  </si>
  <si>
    <t>ENSG00000134516</t>
  </si>
  <si>
    <t>ENSG00000134575</t>
  </si>
  <si>
    <t>ENSG00000134684</t>
  </si>
  <si>
    <t>ENSG00000134697</t>
  </si>
  <si>
    <t>ENSG00000134698</t>
  </si>
  <si>
    <t>ENST00000373210</t>
  </si>
  <si>
    <t>ENST00000488778</t>
  </si>
  <si>
    <t>ENSG00000134709</t>
  </si>
  <si>
    <t>ENSG00000134717</t>
  </si>
  <si>
    <t>ENSG00000134744</t>
  </si>
  <si>
    <t>ENSG00000134758</t>
  </si>
  <si>
    <t>ENSG00000134759</t>
  </si>
  <si>
    <t>ENST00000358232</t>
  </si>
  <si>
    <t>ENST00000541190</t>
  </si>
  <si>
    <t>ENST00000442325</t>
  </si>
  <si>
    <t>ENST00000535488</t>
  </si>
  <si>
    <t>ENST00000540323</t>
  </si>
  <si>
    <t>ENST00000536373</t>
  </si>
  <si>
    <t>ENST00000541294</t>
  </si>
  <si>
    <t>ENST00000541748</t>
  </si>
  <si>
    <t>ENST00000536830</t>
  </si>
  <si>
    <t>ENST00000544274</t>
  </si>
  <si>
    <t>ENSG00000134802</t>
  </si>
  <si>
    <t>ENSG00000134809</t>
  </si>
  <si>
    <t>ENSG00000134824</t>
  </si>
  <si>
    <t>ENST00000278840</t>
  </si>
  <si>
    <t>ENST00000355484</t>
  </si>
  <si>
    <t>ENST00000523235</t>
  </si>
  <si>
    <t>ENST00000522359</t>
  </si>
  <si>
    <t>ENSG00000134851</t>
  </si>
  <si>
    <t>ENST00000381334</t>
  </si>
  <si>
    <t>ENST00000502797</t>
  </si>
  <si>
    <t>ENST00000514904</t>
  </si>
  <si>
    <t>ENST00000508561</t>
  </si>
  <si>
    <t>ENST00000509575</t>
  </si>
  <si>
    <t>ENST00000515591</t>
  </si>
  <si>
    <t>ENSG00000134900</t>
  </si>
  <si>
    <t>ENSG00000134905</t>
  </si>
  <si>
    <t>ENSG00000134910</t>
  </si>
  <si>
    <t>ENSG00000134954</t>
  </si>
  <si>
    <t>ENSG00000134987</t>
  </si>
  <si>
    <t>ENSG00000135018</t>
  </si>
  <si>
    <t>ENSG00000135046</t>
  </si>
  <si>
    <t>ENSG00000135047</t>
  </si>
  <si>
    <t>ENSG00000135048</t>
  </si>
  <si>
    <t>ENST00000377044</t>
  </si>
  <si>
    <t>ENST00000377057</t>
  </si>
  <si>
    <t>ENST00000538669</t>
  </si>
  <si>
    <t>ENST00000377066</t>
  </si>
  <si>
    <t>ENST00000396272</t>
  </si>
  <si>
    <t>ENST00000474495</t>
  </si>
  <si>
    <t>ENST00000377055</t>
  </si>
  <si>
    <t>ENST00000377043</t>
  </si>
  <si>
    <t>ENST00000537329</t>
  </si>
  <si>
    <t>ENST00000546219</t>
  </si>
  <si>
    <t>ENST00000543165</t>
  </si>
  <si>
    <t>ENSG00000135049</t>
  </si>
  <si>
    <t>ENST00000376083</t>
  </si>
  <si>
    <t>ENST00000357081</t>
  </si>
  <si>
    <t>ENST00000337006</t>
  </si>
  <si>
    <t>ENSG00000135069</t>
  </si>
  <si>
    <t>ENSG00000135070</t>
  </si>
  <si>
    <t>ENST00000326094</t>
  </si>
  <si>
    <t>ENSG00000135090</t>
  </si>
  <si>
    <t>ENSG00000135108</t>
  </si>
  <si>
    <t>ENST00000330622</t>
  </si>
  <si>
    <t>ENST00000427718</t>
  </si>
  <si>
    <t>ENSG00000135148</t>
  </si>
  <si>
    <t>ENSG00000135164</t>
  </si>
  <si>
    <t>ENST00000331242</t>
  </si>
  <si>
    <t>ENST00000579677</t>
  </si>
  <si>
    <t>ENST00000582925</t>
  </si>
  <si>
    <t>ENST00000425705</t>
  </si>
  <si>
    <t>ENST00000473521</t>
  </si>
  <si>
    <t>ENST00000582887</t>
  </si>
  <si>
    <t>ENST00000578926</t>
  </si>
  <si>
    <t>ENST00000480982</t>
  </si>
  <si>
    <t>ENST00000580803</t>
  </si>
  <si>
    <t>ENST00000488352</t>
  </si>
  <si>
    <t>ENST00000454008</t>
  </si>
  <si>
    <t>ENST00000582204</t>
  </si>
  <si>
    <t>ENST00000580010</t>
  </si>
  <si>
    <t>ENSG00000135241</t>
  </si>
  <si>
    <t>ENST00000257694</t>
  </si>
  <si>
    <t>ENST00000462466</t>
  </si>
  <si>
    <t>ENSG00000135249</t>
  </si>
  <si>
    <t>ENSG00000135250</t>
  </si>
  <si>
    <t>ENST00000393651</t>
  </si>
  <si>
    <t>ENST00000357311</t>
  </si>
  <si>
    <t>ENST00000466917</t>
  </si>
  <si>
    <t>ENST00000476117</t>
  </si>
  <si>
    <t>ENSG00000135269</t>
  </si>
  <si>
    <t>ENSG00000135297</t>
  </si>
  <si>
    <t>ENST00000498286</t>
  </si>
  <si>
    <t>ENST00000370308</t>
  </si>
  <si>
    <t>ENST00000485082</t>
  </si>
  <si>
    <t>ENST00000466977</t>
  </si>
  <si>
    <t>ENSG00000135316</t>
  </si>
  <si>
    <t>ENSG00000135336</t>
  </si>
  <si>
    <t>ENSG00000135341</t>
  </si>
  <si>
    <t>ENST00000369332</t>
  </si>
  <si>
    <t>ENST00000369329</t>
  </si>
  <si>
    <t>ENST00000479630</t>
  </si>
  <si>
    <t>ENST00000369320</t>
  </si>
  <si>
    <t>ENSG00000135365</t>
  </si>
  <si>
    <t>ENST00000527401</t>
  </si>
  <si>
    <t>ENST00000532028</t>
  </si>
  <si>
    <t>ENST00000534724</t>
  </si>
  <si>
    <t>ENSG00000135372</t>
  </si>
  <si>
    <t>ENSG00000135387</t>
  </si>
  <si>
    <t>ENST00000341394</t>
  </si>
  <si>
    <t>ENST00000526477</t>
  </si>
  <si>
    <t>ENST00000389645</t>
  </si>
  <si>
    <t>ENST00000532820</t>
  </si>
  <si>
    <t>ENST00000530820</t>
  </si>
  <si>
    <t>ENST00000533657</t>
  </si>
  <si>
    <t>ENST00000528948</t>
  </si>
  <si>
    <t>ENST00000533562</t>
  </si>
  <si>
    <t>ENSG00000135426</t>
  </si>
  <si>
    <t>ENST00000533607</t>
  </si>
  <si>
    <t>ENSG00000135439</t>
  </si>
  <si>
    <t>ENST00000257897</t>
  </si>
  <si>
    <t>ENST00000549129</t>
  </si>
  <si>
    <t>ENSG00000135441</t>
  </si>
  <si>
    <t>ENST00000548925</t>
  </si>
  <si>
    <t>ENST00000549147</t>
  </si>
  <si>
    <t>ENSG00000135446</t>
  </si>
  <si>
    <t>ENSG00000135457</t>
  </si>
  <si>
    <t>ENST00000257915</t>
  </si>
  <si>
    <t>ENST00000546822</t>
  </si>
  <si>
    <t>ENSG00000135473</t>
  </si>
  <si>
    <t>ENST00000553230</t>
  </si>
  <si>
    <t>ENST00000550028</t>
  </si>
  <si>
    <t>ENST00000552630</t>
  </si>
  <si>
    <t>ENST00000549348</t>
  </si>
  <si>
    <t>ENST00000552868</t>
  </si>
  <si>
    <t>ENST00000549073</t>
  </si>
  <si>
    <t>ENST00000550555</t>
  </si>
  <si>
    <t>ENST00000547518</t>
  </si>
  <si>
    <t>ENST00000549964</t>
  </si>
  <si>
    <t>ENSG00000135482</t>
  </si>
  <si>
    <t>ENSG00000135506</t>
  </si>
  <si>
    <t>ENST00000552285</t>
  </si>
  <si>
    <t>ENST00000549897</t>
  </si>
  <si>
    <t>ENST00000315970</t>
  </si>
  <si>
    <t>ENST00000547079</t>
  </si>
  <si>
    <t>ENST00000389146</t>
  </si>
  <si>
    <t>ENST00000257966</t>
  </si>
  <si>
    <t>ENST00000553208</t>
  </si>
  <si>
    <t>ENST00000389142</t>
  </si>
  <si>
    <t>ENST00000550793</t>
  </si>
  <si>
    <t>ENST00000549307</t>
  </si>
  <si>
    <t>ENST00000550699</t>
  </si>
  <si>
    <t>ENST00000550202</t>
  </si>
  <si>
    <t>ENST00000546916</t>
  </si>
  <si>
    <t>ENSG00000135541</t>
  </si>
  <si>
    <t>ENST00000498558</t>
  </si>
  <si>
    <t>ENST00000529865</t>
  </si>
  <si>
    <t>ENST00000528103</t>
  </si>
  <si>
    <t>ENSG00000135596</t>
  </si>
  <si>
    <t>ENSG00000135597</t>
  </si>
  <si>
    <t>ENSG00000135624</t>
  </si>
  <si>
    <t>ENSG00000135631</t>
  </si>
  <si>
    <t>ENSG00000135632</t>
  </si>
  <si>
    <t>ENSG00000135655</t>
  </si>
  <si>
    <t>ENST00000353364</t>
  </si>
  <si>
    <t>ENST00000280377</t>
  </si>
  <si>
    <t>ENST00000312635</t>
  </si>
  <si>
    <t>ENST00000548524</t>
  </si>
  <si>
    <t>ENST00000546718</t>
  </si>
  <si>
    <t>ENST00000551206</t>
  </si>
  <si>
    <t>ENST00000546694</t>
  </si>
  <si>
    <t>ENST00000552346</t>
  </si>
  <si>
    <t>ENST00000549101</t>
  </si>
  <si>
    <t>ENSG00000135677</t>
  </si>
  <si>
    <t>ENST00000418919</t>
  </si>
  <si>
    <t>ENST00000258145</t>
  </si>
  <si>
    <t>ENST00000541781</t>
  </si>
  <si>
    <t>ENST00000537823</t>
  </si>
  <si>
    <t>ENST00000540883</t>
  </si>
  <si>
    <t>ENSG00000135698</t>
  </si>
  <si>
    <t>ENSG00000135709</t>
  </si>
  <si>
    <t>ENST00000567328</t>
  </si>
  <si>
    <t>ENST00000562388</t>
  </si>
  <si>
    <t>ENSG00000135720</t>
  </si>
  <si>
    <t>ENSG00000135723</t>
  </si>
  <si>
    <t>ENSG00000135775</t>
  </si>
  <si>
    <t>ENST00000494371</t>
  </si>
  <si>
    <t>ENST00000366669</t>
  </si>
  <si>
    <t>ENST00000473671</t>
  </si>
  <si>
    <t>ENST00000490900</t>
  </si>
  <si>
    <t>ENST00000478710</t>
  </si>
  <si>
    <t>ENSG00000135776</t>
  </si>
  <si>
    <t>ENSG00000135778</t>
  </si>
  <si>
    <t>ENSG00000135801</t>
  </si>
  <si>
    <t>ENSG00000135821</t>
  </si>
  <si>
    <t>ENSG00000135829</t>
  </si>
  <si>
    <t>ENSG00000135870</t>
  </si>
  <si>
    <t>ENST00000367696</t>
  </si>
  <si>
    <t>ENST00000367694</t>
  </si>
  <si>
    <t>ENST00000479099</t>
  </si>
  <si>
    <t>ENST00000531594</t>
  </si>
  <si>
    <t>ENST00000484867</t>
  </si>
  <si>
    <t>ENST00000258349</t>
  </si>
  <si>
    <t>ENSG00000135899</t>
  </si>
  <si>
    <t>ENSG00000135905</t>
  </si>
  <si>
    <t>ENSG00000135924</t>
  </si>
  <si>
    <t>ENSG00000135930</t>
  </si>
  <si>
    <t>ENST00000258416</t>
  </si>
  <si>
    <t>ENST00000463074</t>
  </si>
  <si>
    <t>ENST00000409098</t>
  </si>
  <si>
    <t>ENST00000409495</t>
  </si>
  <si>
    <t>ENST00000409167</t>
  </si>
  <si>
    <t>ENST00000498242</t>
  </si>
  <si>
    <t>ENST00000409322</t>
  </si>
  <si>
    <t>ENST00000409394</t>
  </si>
  <si>
    <t>ENSG00000135932</t>
  </si>
  <si>
    <t>ENSG00000135940</t>
  </si>
  <si>
    <t>ENSG00000135945</t>
  </si>
  <si>
    <t>ENST00000465086</t>
  </si>
  <si>
    <t>ENST00000485487</t>
  </si>
  <si>
    <t>ENST00000472000</t>
  </si>
  <si>
    <t>ENST00000477121</t>
  </si>
  <si>
    <t>ENST00000481719</t>
  </si>
  <si>
    <t>ENST00000491752</t>
  </si>
  <si>
    <t>ENST00000473819</t>
  </si>
  <si>
    <t>ENSG00000135966</t>
  </si>
  <si>
    <t>ENST00000595531</t>
  </si>
  <si>
    <t>ENSG00000135972</t>
  </si>
  <si>
    <t>ENSG00000135999</t>
  </si>
  <si>
    <t>ENSG00000136003</t>
  </si>
  <si>
    <t>ENSG00000136021</t>
  </si>
  <si>
    <t>ENSG00000136040</t>
  </si>
  <si>
    <t>ENSG00000136044</t>
  </si>
  <si>
    <t>ENSG00000136045</t>
  </si>
  <si>
    <t>ENSG00000136051</t>
  </si>
  <si>
    <t>ENSG00000136100</t>
  </si>
  <si>
    <t>ENSG00000136104</t>
  </si>
  <si>
    <t>ENSG00000136108</t>
  </si>
  <si>
    <t>ENST00000378034</t>
  </si>
  <si>
    <t>ENST00000258607</t>
  </si>
  <si>
    <t>ENST00000378037</t>
  </si>
  <si>
    <t>ENST00000459902</t>
  </si>
  <si>
    <t>ENSG00000136141</t>
  </si>
  <si>
    <t>ENST00000311191</t>
  </si>
  <si>
    <t>ENST00000443945</t>
  </si>
  <si>
    <t>ENSG00000136143</t>
  </si>
  <si>
    <t>ENST00000378654</t>
  </si>
  <si>
    <t>ENST00000467222</t>
  </si>
  <si>
    <t>ENST00000470760</t>
  </si>
  <si>
    <t>ENSG00000136144</t>
  </si>
  <si>
    <t>ENST00000490058</t>
  </si>
  <si>
    <t>ENST00000258646</t>
  </si>
  <si>
    <t>ENSG00000136146</t>
  </si>
  <si>
    <t>ENSG00000136147</t>
  </si>
  <si>
    <t>ENSG00000136152</t>
  </si>
  <si>
    <t>ENSG00000136167</t>
  </si>
  <si>
    <t>ENSG00000136169</t>
  </si>
  <si>
    <t>ENST00000354234</t>
  </si>
  <si>
    <t>ENST00000258672</t>
  </si>
  <si>
    <t>ENSG00000136238</t>
  </si>
  <si>
    <t>ENSG00000136243</t>
  </si>
  <si>
    <t>ENSG00000136261</t>
  </si>
  <si>
    <t>ENSG00000136270</t>
  </si>
  <si>
    <t>ENSG00000136271</t>
  </si>
  <si>
    <t>ENSG00000136273</t>
  </si>
  <si>
    <t>ENSG00000136279</t>
  </si>
  <si>
    <t>ENST00000448521</t>
  </si>
  <si>
    <t>ENST00000439983</t>
  </si>
  <si>
    <t>ENST00000494774</t>
  </si>
  <si>
    <t>ENST00000423561</t>
  </si>
  <si>
    <t>ENST00000497184</t>
  </si>
  <si>
    <t>ENST00000432854</t>
  </si>
  <si>
    <t>ENSG00000136280</t>
  </si>
  <si>
    <t>ENST00000475551</t>
  </si>
  <si>
    <t>ENSG00000136286</t>
  </si>
  <si>
    <t>ENSG00000136319</t>
  </si>
  <si>
    <t>ENSG00000136371</t>
  </si>
  <si>
    <t>ENSG00000136381</t>
  </si>
  <si>
    <t>ENSG00000136436</t>
  </si>
  <si>
    <t>ENST00000258947</t>
  </si>
  <si>
    <t>ENST00000503463</t>
  </si>
  <si>
    <t>ENST00000448105</t>
  </si>
  <si>
    <t>ENST00000510356</t>
  </si>
  <si>
    <t>ENST00000502761</t>
  </si>
  <si>
    <t>ENST00000509014</t>
  </si>
  <si>
    <t>ENST00000514962</t>
  </si>
  <si>
    <t>ENST00000514267</t>
  </si>
  <si>
    <t>ENST00000514006</t>
  </si>
  <si>
    <t>ENST00000511816</t>
  </si>
  <si>
    <t>ENST00000509112</t>
  </si>
  <si>
    <t>ENST00000506971</t>
  </si>
  <si>
    <t>ENST00000575461</t>
  </si>
  <si>
    <t>ENST00000510997</t>
  </si>
  <si>
    <t>ENSG00000136444</t>
  </si>
  <si>
    <t>ENST00000258955</t>
  </si>
  <si>
    <t>ENST00000509398</t>
  </si>
  <si>
    <t>ENST00000513650</t>
  </si>
  <si>
    <t>ENSG00000136448</t>
  </si>
  <si>
    <t>ENSG00000136450</t>
  </si>
  <si>
    <t>ENSG00000136451</t>
  </si>
  <si>
    <t>ENSG00000136463</t>
  </si>
  <si>
    <t>ENSG00000136478</t>
  </si>
  <si>
    <t>ENSG00000136490</t>
  </si>
  <si>
    <t>ENSG00000136504</t>
  </si>
  <si>
    <t>ENST00000259021</t>
  </si>
  <si>
    <t>ENST00000424009</t>
  </si>
  <si>
    <t>ENST00000509794</t>
  </si>
  <si>
    <t>ENST00000510426</t>
  </si>
  <si>
    <t>ENST00000513075</t>
  </si>
  <si>
    <t>ENST00000503635</t>
  </si>
  <si>
    <t>ENSG00000136518</t>
  </si>
  <si>
    <t>ENSG00000136521</t>
  </si>
  <si>
    <t>ENSG00000136522</t>
  </si>
  <si>
    <t>ENST00000476781</t>
  </si>
  <si>
    <t>ENST00000392659</t>
  </si>
  <si>
    <t>ENSG00000136527</t>
  </si>
  <si>
    <t>ENSG00000136536</t>
  </si>
  <si>
    <t>ENST00000259050</t>
  </si>
  <si>
    <t>ENST00000473749</t>
  </si>
  <si>
    <t>ENSG00000136560</t>
  </si>
  <si>
    <t>ENSG00000136628</t>
  </si>
  <si>
    <t>ENSG00000136631</t>
  </si>
  <si>
    <t>ENSG00000136682</t>
  </si>
  <si>
    <t>ENSG00000136709</t>
  </si>
  <si>
    <t>ENSG00000136717</t>
  </si>
  <si>
    <t>ENST00000393040</t>
  </si>
  <si>
    <t>ENST00000348750</t>
  </si>
  <si>
    <t>ENST00000409400</t>
  </si>
  <si>
    <t>ENSG00000136718</t>
  </si>
  <si>
    <t>ENST00000460100</t>
  </si>
  <si>
    <t>ENSG00000136732</t>
  </si>
  <si>
    <t>ENST00000259254</t>
  </si>
  <si>
    <t>ENST00000484700</t>
  </si>
  <si>
    <t>ENST00000409836</t>
  </si>
  <si>
    <t>ENST00000464053</t>
  </si>
  <si>
    <t>ENST00000356887</t>
  </si>
  <si>
    <t>ENSG00000136738</t>
  </si>
  <si>
    <t>ENST00000377524</t>
  </si>
  <si>
    <t>ENST00000486183</t>
  </si>
  <si>
    <t>ENST00000494250</t>
  </si>
  <si>
    <t>ENSG00000136754</t>
  </si>
  <si>
    <t>ENST00000376170</t>
  </si>
  <si>
    <t>ENST00000376166</t>
  </si>
  <si>
    <t>ENST00000376138</t>
  </si>
  <si>
    <t>ENST00000473481</t>
  </si>
  <si>
    <t>ENSG00000136758</t>
  </si>
  <si>
    <t>ENST00000326799</t>
  </si>
  <si>
    <t>ENST00000376016</t>
  </si>
  <si>
    <t>ENST00000427324</t>
  </si>
  <si>
    <t>ENST00000477432</t>
  </si>
  <si>
    <t>ENST00000375972</t>
  </si>
  <si>
    <t>ENSG00000136783</t>
  </si>
  <si>
    <t>ENSG00000136807</t>
  </si>
  <si>
    <t>ENSG00000136810</t>
  </si>
  <si>
    <t>ENSG00000136813</t>
  </si>
  <si>
    <t>ENSG00000136816</t>
  </si>
  <si>
    <t>ENSG00000136819</t>
  </si>
  <si>
    <t>ENSG00000136827</t>
  </si>
  <si>
    <t>ENSG00000136874</t>
  </si>
  <si>
    <t>ENSG00000136875</t>
  </si>
  <si>
    <t>ENST00000374199</t>
  </si>
  <si>
    <t>ENST00000374198</t>
  </si>
  <si>
    <t>ENST00000488937</t>
  </si>
  <si>
    <t>ENSG00000136877</t>
  </si>
  <si>
    <t>ENST00000475765</t>
  </si>
  <si>
    <t>ENST00000469310</t>
  </si>
  <si>
    <t>ENST00000497386</t>
  </si>
  <si>
    <t>ENST00000489522</t>
  </si>
  <si>
    <t>ENSG00000136878</t>
  </si>
  <si>
    <t>ENSG00000136888</t>
  </si>
  <si>
    <t>ENSG00000136891</t>
  </si>
  <si>
    <t>ENST00000374902</t>
  </si>
  <si>
    <t>ENST00000477648</t>
  </si>
  <si>
    <t>ENSG00000136925</t>
  </si>
  <si>
    <t>ENST00000375173</t>
  </si>
  <si>
    <t>ENST00000341170</t>
  </si>
  <si>
    <t>ENST00000375163</t>
  </si>
  <si>
    <t>ENSG00000136932</t>
  </si>
  <si>
    <t>ENST00000375119</t>
  </si>
  <si>
    <t>ENST00000375118</t>
  </si>
  <si>
    <t>ENST00000478126</t>
  </si>
  <si>
    <t>ENST00000375117</t>
  </si>
  <si>
    <t>ENST00000455506</t>
  </si>
  <si>
    <t>ENSG00000136933</t>
  </si>
  <si>
    <t>ENSG00000136936</t>
  </si>
  <si>
    <t>ENST00000462523</t>
  </si>
  <si>
    <t>ENST00000375128</t>
  </si>
  <si>
    <t>ENST00000485042</t>
  </si>
  <si>
    <t>ENSG00000136937</t>
  </si>
  <si>
    <t>ENSG00000136938</t>
  </si>
  <si>
    <t>ENSG00000136940</t>
  </si>
  <si>
    <t>ENSG00000136942</t>
  </si>
  <si>
    <t>ENSG00000136950</t>
  </si>
  <si>
    <t>ENSG00000136997</t>
  </si>
  <si>
    <t>ENSG00000137054</t>
  </si>
  <si>
    <t>ENST00000377798</t>
  </si>
  <si>
    <t>ENST00000377792</t>
  </si>
  <si>
    <t>ENSG00000137055</t>
  </si>
  <si>
    <t>ENSG00000137073</t>
  </si>
  <si>
    <t>ENSG00000137074</t>
  </si>
  <si>
    <t>ENST00000379825</t>
  </si>
  <si>
    <t>ENST00000465003</t>
  </si>
  <si>
    <t>ENST00000485479</t>
  </si>
  <si>
    <t>ENST00000379817</t>
  </si>
  <si>
    <t>ENST00000467331</t>
  </si>
  <si>
    <t>ENST00000379819</t>
  </si>
  <si>
    <t>ENST00000479656</t>
  </si>
  <si>
    <t>ENST00000468275</t>
  </si>
  <si>
    <t>ENST00000464632</t>
  </si>
  <si>
    <t>ENST00000478279</t>
  </si>
  <si>
    <t>ENST00000496030</t>
  </si>
  <si>
    <t>ENST00000494973</t>
  </si>
  <si>
    <t>ENSG00000137076</t>
  </si>
  <si>
    <t>ENSG00000137078</t>
  </si>
  <si>
    <t>ENSG00000137100</t>
  </si>
  <si>
    <t>ENSG00000137106</t>
  </si>
  <si>
    <t>ENSG00000137133</t>
  </si>
  <si>
    <t>ENSG00000137145</t>
  </si>
  <si>
    <t>ENSG00000137154</t>
  </si>
  <si>
    <t>ENSG00000137161</t>
  </si>
  <si>
    <t>ENSG00000137171</t>
  </si>
  <si>
    <t>ENSG00000137193</t>
  </si>
  <si>
    <t>ENST00000373509</t>
  </si>
  <si>
    <t>ENST00000468243</t>
  </si>
  <si>
    <t>ENSG00000137200</t>
  </si>
  <si>
    <t>ENSG00000137221</t>
  </si>
  <si>
    <t>ENST00000372452</t>
  </si>
  <si>
    <t>ENST00000490050</t>
  </si>
  <si>
    <t>ENST00000372444</t>
  </si>
  <si>
    <t>ENSG00000137265</t>
  </si>
  <si>
    <t>ENST00000380956</t>
  </si>
  <si>
    <t>ENST00000468485</t>
  </si>
  <si>
    <t>ENST00000495137</t>
  </si>
  <si>
    <t>ENST00000493114</t>
  </si>
  <si>
    <t>ENST00000469834</t>
  </si>
  <si>
    <t>ENSG00000137275</t>
  </si>
  <si>
    <t>ENSG00000137288</t>
  </si>
  <si>
    <t>ENSG00000137309</t>
  </si>
  <si>
    <t>ENSG00000137312</t>
  </si>
  <si>
    <t>ENSG00000137409</t>
  </si>
  <si>
    <t>ENST00000373616</t>
  </si>
  <si>
    <t>ENST00000373627</t>
  </si>
  <si>
    <t>ENST00000471737</t>
  </si>
  <si>
    <t>ENST00000460219</t>
  </si>
  <si>
    <t>ENST00000492754</t>
  </si>
  <si>
    <t>ENSG00000137413</t>
  </si>
  <si>
    <t>ENSG00000137478</t>
  </si>
  <si>
    <t>ENSG00000137486</t>
  </si>
  <si>
    <t>ENST00000420843</t>
  </si>
  <si>
    <t>ENST00000360025</t>
  </si>
  <si>
    <t>ENST00000531012</t>
  </si>
  <si>
    <t>ENST00000529741</t>
  </si>
  <si>
    <t>ENST00000530086</t>
  </si>
  <si>
    <t>ENST00000529280</t>
  </si>
  <si>
    <t>ENST00000533255</t>
  </si>
  <si>
    <t>ENSG00000137492</t>
  </si>
  <si>
    <t>ENSG00000137500</t>
  </si>
  <si>
    <t>ENST00000529689</t>
  </si>
  <si>
    <t>ENST00000525503</t>
  </si>
  <si>
    <t>ENST00000529611</t>
  </si>
  <si>
    <t>ENST00000529745</t>
  </si>
  <si>
    <t>ENST00000528149</t>
  </si>
  <si>
    <t>ENST00000530253</t>
  </si>
  <si>
    <t>ENST00000526631</t>
  </si>
  <si>
    <t>ENSG00000137504</t>
  </si>
  <si>
    <t>ENST00000490820</t>
  </si>
  <si>
    <t>ENST00000528561</t>
  </si>
  <si>
    <t>ENST00000260058</t>
  </si>
  <si>
    <t>ENST00000527447</t>
  </si>
  <si>
    <t>ENSG00000137509</t>
  </si>
  <si>
    <t>ENSG00000137513</t>
  </si>
  <si>
    <t>ENSG00000137547</t>
  </si>
  <si>
    <t>ENSG00000137563</t>
  </si>
  <si>
    <t>ENSG00000137574</t>
  </si>
  <si>
    <t>ENSG00000137575</t>
  </si>
  <si>
    <t>ENST00000260130</t>
  </si>
  <si>
    <t>ENST00000447182</t>
  </si>
  <si>
    <t>ENST00000413219</t>
  </si>
  <si>
    <t>ENST00000519115</t>
  </si>
  <si>
    <t>ENST00000522843</t>
  </si>
  <si>
    <t>ENST00000447267</t>
  </si>
  <si>
    <t>ENST00000520228</t>
  </si>
  <si>
    <t>ENST00000523441</t>
  </si>
  <si>
    <t>ENSG00000137601</t>
  </si>
  <si>
    <t>ENST00000439128</t>
  </si>
  <si>
    <t>ENST00000509912</t>
  </si>
  <si>
    <t>ENST00000505119</t>
  </si>
  <si>
    <t>ENSG00000137628</t>
  </si>
  <si>
    <t>ENSG00000137642</t>
  </si>
  <si>
    <t>ENSG00000137752</t>
  </si>
  <si>
    <t>ENST00000527979</t>
  </si>
  <si>
    <t>ENST00000533400</t>
  </si>
  <si>
    <t>ENST00000528974</t>
  </si>
  <si>
    <t>ENST00000526511</t>
  </si>
  <si>
    <t>ENST00000532520</t>
  </si>
  <si>
    <t>ENSG00000137764</t>
  </si>
  <si>
    <t>ENST00000178640</t>
  </si>
  <si>
    <t>ENST00000558392</t>
  </si>
  <si>
    <t>ENST00000558021</t>
  </si>
  <si>
    <t>ENSG00000137767</t>
  </si>
  <si>
    <t>ENSG00000137770</t>
  </si>
  <si>
    <t>ENST00000260327</t>
  </si>
  <si>
    <t>ENST00000559175</t>
  </si>
  <si>
    <t>ENSG00000137776</t>
  </si>
  <si>
    <t>ENST00000249736</t>
  </si>
  <si>
    <t>ENSG00000137802</t>
  </si>
  <si>
    <t>ENST00000457542</t>
  </si>
  <si>
    <t>ENST00000515164</t>
  </si>
  <si>
    <t>ENST00000507147</t>
  </si>
  <si>
    <t>ENST00000503526</t>
  </si>
  <si>
    <t>ENST00000508050</t>
  </si>
  <si>
    <t>ENST00000506301</t>
  </si>
  <si>
    <t>ENST00000502695</t>
  </si>
  <si>
    <t>ENST00000512433</t>
  </si>
  <si>
    <t>ENSG00000137814</t>
  </si>
  <si>
    <t>ENST00000260372</t>
  </si>
  <si>
    <t>ENST00000564279</t>
  </si>
  <si>
    <t>ENST00000607467</t>
  </si>
  <si>
    <t>ENSG00000137818</t>
  </si>
  <si>
    <t>ENST00000260379</t>
  </si>
  <si>
    <t>ENST00000357790</t>
  </si>
  <si>
    <t>ENST00000487304</t>
  </si>
  <si>
    <t>ENST00000488122</t>
  </si>
  <si>
    <t>ENSG00000137822</t>
  </si>
  <si>
    <t>ENST00000564511</t>
  </si>
  <si>
    <t>ENST00000562053</t>
  </si>
  <si>
    <t>ENSG00000137824</t>
  </si>
  <si>
    <t>ENSG00000137841</t>
  </si>
  <si>
    <t>ENST00000559381</t>
  </si>
  <si>
    <t>ENST00000558588</t>
  </si>
  <si>
    <t>ENST00000561378</t>
  </si>
  <si>
    <t>ENST00000558409</t>
  </si>
  <si>
    <t>ENST00000560093</t>
  </si>
  <si>
    <t>ENST00000543785</t>
  </si>
  <si>
    <t>ENST00000559634</t>
  </si>
  <si>
    <t>ENSG00000137845</t>
  </si>
  <si>
    <t>ENSG00000137871</t>
  </si>
  <si>
    <t>ENST00000559237</t>
  </si>
  <si>
    <t>ENST00000267807</t>
  </si>
  <si>
    <t>ENST00000559446</t>
  </si>
  <si>
    <t>ENST00000560388</t>
  </si>
  <si>
    <t>ENST00000560002</t>
  </si>
  <si>
    <t>ENST00000560121</t>
  </si>
  <si>
    <t>ENST00000561126</t>
  </si>
  <si>
    <t>ENST00000558320</t>
  </si>
  <si>
    <t>ENSG00000137876</t>
  </si>
  <si>
    <t>ENSG00000137880</t>
  </si>
  <si>
    <t>ENSG00000137944</t>
  </si>
  <si>
    <t>ENST00000370491</t>
  </si>
  <si>
    <t>ENST00000260508</t>
  </si>
  <si>
    <t>ENSG00000137955</t>
  </si>
  <si>
    <t>ENST00000370826</t>
  </si>
  <si>
    <t>ENST00000459697</t>
  </si>
  <si>
    <t>ENSG00000137965</t>
  </si>
  <si>
    <t>ENSG00000137996</t>
  </si>
  <si>
    <t>ENSG00000138029</t>
  </si>
  <si>
    <t>ENSG00000138032</t>
  </si>
  <si>
    <t>ENSG00000138035</t>
  </si>
  <si>
    <t>ENSG00000138050</t>
  </si>
  <si>
    <t>ENST00000460072</t>
  </si>
  <si>
    <t>ENST00000505747</t>
  </si>
  <si>
    <t>ENST00000530095</t>
  </si>
  <si>
    <t>ENST00000527689</t>
  </si>
  <si>
    <t>ENSG00000138069</t>
  </si>
  <si>
    <t>ENSG00000138071</t>
  </si>
  <si>
    <t>ENSG00000138073</t>
  </si>
  <si>
    <t>ENSG00000138074</t>
  </si>
  <si>
    <t>ENST00000461757</t>
  </si>
  <si>
    <t>ENST00000481751</t>
  </si>
  <si>
    <t>ENST00000492069</t>
  </si>
  <si>
    <t>ENST00000476319</t>
  </si>
  <si>
    <t>ENST00000464538</t>
  </si>
  <si>
    <t>ENST00000412471</t>
  </si>
  <si>
    <t>ENSG00000138078</t>
  </si>
  <si>
    <t>ENST00000409411</t>
  </si>
  <si>
    <t>ENST00000260648</t>
  </si>
  <si>
    <t>ENST00000420756</t>
  </si>
  <si>
    <t>ENST00000541738</t>
  </si>
  <si>
    <t>ENSG00000138081</t>
  </si>
  <si>
    <t>ENST00000465204</t>
  </si>
  <si>
    <t>ENST00000403359</t>
  </si>
  <si>
    <t>ENST00000470899</t>
  </si>
  <si>
    <t>ENST00000493962</t>
  </si>
  <si>
    <t>ENST00000492225</t>
  </si>
  <si>
    <t>ENSG00000138095</t>
  </si>
  <si>
    <t>ENSG00000138101</t>
  </si>
  <si>
    <t>ENST00000488457</t>
  </si>
  <si>
    <t>ENST00000498437</t>
  </si>
  <si>
    <t>ENST00000493386</t>
  </si>
  <si>
    <t>ENST00000460418</t>
  </si>
  <si>
    <t>ENSG00000138107</t>
  </si>
  <si>
    <t>ENSG00000138134</t>
  </si>
  <si>
    <t>ENSG00000138138</t>
  </si>
  <si>
    <t>ENSG00000138190</t>
  </si>
  <si>
    <t>ENSG00000138231</t>
  </si>
  <si>
    <t>ENSG00000138246</t>
  </si>
  <si>
    <t>ENSG00000138279</t>
  </si>
  <si>
    <t>ENST00000372921</t>
  </si>
  <si>
    <t>ENST00000372919</t>
  </si>
  <si>
    <t>ENST00000394847</t>
  </si>
  <si>
    <t>ENSG00000138303</t>
  </si>
  <si>
    <t>ENST00000317168</t>
  </si>
  <si>
    <t>ENST00000534259</t>
  </si>
  <si>
    <t>ENST00000317126</t>
  </si>
  <si>
    <t>ENST00000394919</t>
  </si>
  <si>
    <t>ENSG00000138326</t>
  </si>
  <si>
    <t>ENSG00000138363</t>
  </si>
  <si>
    <t>ENSG00000138375</t>
  </si>
  <si>
    <t>ENSG00000138376</t>
  </si>
  <si>
    <t>ENST00000260947</t>
  </si>
  <si>
    <t>ENST00000465841</t>
  </si>
  <si>
    <t>ENSG00000138378</t>
  </si>
  <si>
    <t>ENSG00000138381</t>
  </si>
  <si>
    <t>ENST00000260952</t>
  </si>
  <si>
    <t>ENST00000425590</t>
  </si>
  <si>
    <t>ENST00000607829</t>
  </si>
  <si>
    <t>ENST00000607690</t>
  </si>
  <si>
    <t>ENSG00000138382</t>
  </si>
  <si>
    <t>ENST00000260953</t>
  </si>
  <si>
    <t>ENST00000409965</t>
  </si>
  <si>
    <t>ENST00000392640</t>
  </si>
  <si>
    <t>ENST00000484351</t>
  </si>
  <si>
    <t>ENST00000410097</t>
  </si>
  <si>
    <t>ENST00000471560</t>
  </si>
  <si>
    <t>ENSG00000138385</t>
  </si>
  <si>
    <t>ENSG00000138386</t>
  </si>
  <si>
    <t>ENST00000409581</t>
  </si>
  <si>
    <t>ENST00000409641</t>
  </si>
  <si>
    <t>ENSG00000138399</t>
  </si>
  <si>
    <t>ENSG00000138413</t>
  </si>
  <si>
    <t>ENSG00000138430</t>
  </si>
  <si>
    <t>ENSG00000138439</t>
  </si>
  <si>
    <t>ENSG00000138442</t>
  </si>
  <si>
    <t>ENSG00000138443</t>
  </si>
  <si>
    <t>ENST00000261017</t>
  </si>
  <si>
    <t>ENST00000494215</t>
  </si>
  <si>
    <t>ENST00000454023</t>
  </si>
  <si>
    <t>ENSG00000138468</t>
  </si>
  <si>
    <t>ENSG00000138495</t>
  </si>
  <si>
    <t>ENSG00000138496</t>
  </si>
  <si>
    <t>ENST00000489652</t>
  </si>
  <si>
    <t>ENST00000462315</t>
  </si>
  <si>
    <t>ENSG00000138592</t>
  </si>
  <si>
    <t>ENSG00000138593</t>
  </si>
  <si>
    <t>ENST00000559471</t>
  </si>
  <si>
    <t>ENST00000261847</t>
  </si>
  <si>
    <t>ENST00000559198</t>
  </si>
  <si>
    <t>ENST00000561203</t>
  </si>
  <si>
    <t>ENST00000557940</t>
  </si>
  <si>
    <t>ENST00000558461</t>
  </si>
  <si>
    <t>ENST00000557923</t>
  </si>
  <si>
    <t>ENSG00000138606</t>
  </si>
  <si>
    <t>ENST00000560540</t>
  </si>
  <si>
    <t>ENST00000559566</t>
  </si>
  <si>
    <t>ENSG00000138614</t>
  </si>
  <si>
    <t>ENST00000573314</t>
  </si>
  <si>
    <t>ENST00000313182</t>
  </si>
  <si>
    <t>ENST00000431261</t>
  </si>
  <si>
    <t>ENST00000563729</t>
  </si>
  <si>
    <t>ENSG00000138617</t>
  </si>
  <si>
    <t>ENSG00000138621</t>
  </si>
  <si>
    <t>ENSG00000138623</t>
  </si>
  <si>
    <t>ENSG00000138629</t>
  </si>
  <si>
    <t>ENSG00000138640</t>
  </si>
  <si>
    <t>ENST00000395002</t>
  </si>
  <si>
    <t>ENST00000509478</t>
  </si>
  <si>
    <t>ENST00000504229</t>
  </si>
  <si>
    <t>ENSG00000138641</t>
  </si>
  <si>
    <t>ENST00000601319</t>
  </si>
  <si>
    <t>ENST00000402738</t>
  </si>
  <si>
    <t>ENST00000431413</t>
  </si>
  <si>
    <t>ENST00000407637</t>
  </si>
  <si>
    <t>ENST00000512194</t>
  </si>
  <si>
    <t>ENST00000264345</t>
  </si>
  <si>
    <t>ENSG00000138663</t>
  </si>
  <si>
    <t>ENSG00000138668</t>
  </si>
  <si>
    <t>ENST00000313899</t>
  </si>
  <si>
    <t>ENST00000514325</t>
  </si>
  <si>
    <t>ENST00000353341</t>
  </si>
  <si>
    <t>ENST00000352301</t>
  </si>
  <si>
    <t>ENST00000508119</t>
  </si>
  <si>
    <t>ENSG00000138674</t>
  </si>
  <si>
    <t>ENST00000348405</t>
  </si>
  <si>
    <t>ENST00000513858</t>
  </si>
  <si>
    <t>ENST00000395310</t>
  </si>
  <si>
    <t>ENST00000509142</t>
  </si>
  <si>
    <t>ENST00000500777</t>
  </si>
  <si>
    <t>ENST00000508502</t>
  </si>
  <si>
    <t>ENST00000505479</t>
  </si>
  <si>
    <t>ENST00000505984</t>
  </si>
  <si>
    <t>ENST00000515749</t>
  </si>
  <si>
    <t>ENST00000509691</t>
  </si>
  <si>
    <t>ENST00000508479</t>
  </si>
  <si>
    <t>ENST00000507828</t>
  </si>
  <si>
    <t>ENST00000503226</t>
  </si>
  <si>
    <t>ENST00000512732</t>
  </si>
  <si>
    <t>ENST00000503058</t>
  </si>
  <si>
    <t>ENST00000311785</t>
  </si>
  <si>
    <t>ENST00000448323</t>
  </si>
  <si>
    <t>ENSG00000138686</t>
  </si>
  <si>
    <t>ENST00000264499</t>
  </si>
  <si>
    <t>ENST00000506636</t>
  </si>
  <si>
    <t>ENST00000508536</t>
  </si>
  <si>
    <t>ENST00000505692</t>
  </si>
  <si>
    <t>ENST00000502444</t>
  </si>
  <si>
    <t>ENSG00000138709</t>
  </si>
  <si>
    <t>ENST00000512292</t>
  </si>
  <si>
    <t>ENST00000394288</t>
  </si>
  <si>
    <t>ENST00000432347</t>
  </si>
  <si>
    <t>ENST00000507377</t>
  </si>
  <si>
    <t>ENSG00000138744</t>
  </si>
  <si>
    <t>ENST00000286733</t>
  </si>
  <si>
    <t>ENST00000505594</t>
  </si>
  <si>
    <t>ENST00000507187</t>
  </si>
  <si>
    <t>ENST00000503636</t>
  </si>
  <si>
    <t>ENSG00000138750</t>
  </si>
  <si>
    <t>ENST00000508604</t>
  </si>
  <si>
    <t>ENST00000264883</t>
  </si>
  <si>
    <t>ENST00000513248</t>
  </si>
  <si>
    <t>ENST00000514313</t>
  </si>
  <si>
    <t>ENSG00000138757</t>
  </si>
  <si>
    <t>ENST00000395719</t>
  </si>
  <si>
    <t>ENST00000359707</t>
  </si>
  <si>
    <t>ENST00000357854</t>
  </si>
  <si>
    <t>ENST00000507133</t>
  </si>
  <si>
    <t>ENST00000507947</t>
  </si>
  <si>
    <t>ENST00000503660</t>
  </si>
  <si>
    <t>ENST00000507701</t>
  </si>
  <si>
    <t>ENSG00000138758</t>
  </si>
  <si>
    <t>ENSG00000138767</t>
  </si>
  <si>
    <t>ENST00000515441</t>
  </si>
  <si>
    <t>ENSG00000138768</t>
  </si>
  <si>
    <t>ENSG00000138777</t>
  </si>
  <si>
    <t>ENSG00000138785</t>
  </si>
  <si>
    <t>ENSG00000138794</t>
  </si>
  <si>
    <t>ENSG00000138795</t>
  </si>
  <si>
    <t>ENST00000265165</t>
  </si>
  <si>
    <t>ENST00000505379</t>
  </si>
  <si>
    <t>ENST00000514444</t>
  </si>
  <si>
    <t>ENST00000510135</t>
  </si>
  <si>
    <t>ENST00000438313</t>
  </si>
  <si>
    <t>ENST00000507470</t>
  </si>
  <si>
    <t>ENST00000509428</t>
  </si>
  <si>
    <t>ENST00000510624</t>
  </si>
  <si>
    <t>ENST00000505328</t>
  </si>
  <si>
    <t>ENST00000504775</t>
  </si>
  <si>
    <t>ENST00000515500</t>
  </si>
  <si>
    <t>ENST00000510717</t>
  </si>
  <si>
    <t>ENST00000512172</t>
  </si>
  <si>
    <t>ENST00000379951</t>
  </si>
  <si>
    <t>ENSG00000138796</t>
  </si>
  <si>
    <t>ENST00000510728</t>
  </si>
  <si>
    <t>ENSG00000138801</t>
  </si>
  <si>
    <t>ENST00000514815</t>
  </si>
  <si>
    <t>ENSG00000138835</t>
  </si>
  <si>
    <t>ENST00000485822</t>
  </si>
  <si>
    <t>ENST00000490241</t>
  </si>
  <si>
    <t>ENSG00000138964</t>
  </si>
  <si>
    <t>ENST00000475485</t>
  </si>
  <si>
    <t>ENST00000417767</t>
  </si>
  <si>
    <t>ENST00000471836</t>
  </si>
  <si>
    <t>ENST00000466375</t>
  </si>
  <si>
    <t>ENST00000468564</t>
  </si>
  <si>
    <t>ENSG00000139163</t>
  </si>
  <si>
    <t>ENSG00000139168</t>
  </si>
  <si>
    <t>ENST00000266529</t>
  </si>
  <si>
    <t>ENST00000548022</t>
  </si>
  <si>
    <t>ENSG00000139178</t>
  </si>
  <si>
    <t>ENST00000266542</t>
  </si>
  <si>
    <t>ENST00000543941</t>
  </si>
  <si>
    <t>ENST00000539927</t>
  </si>
  <si>
    <t>ENSG00000139180</t>
  </si>
  <si>
    <t>ENSG00000139193</t>
  </si>
  <si>
    <t>ENSG00000139197</t>
  </si>
  <si>
    <t>ENST00000266563</t>
  </si>
  <si>
    <t>ENST00000536841</t>
  </si>
  <si>
    <t>ENST00000545845</t>
  </si>
  <si>
    <t>ENST00000539304</t>
  </si>
  <si>
    <t>ENSG00000139218</t>
  </si>
  <si>
    <t>ENST00000547018</t>
  </si>
  <si>
    <t>ENSG00000139323</t>
  </si>
  <si>
    <t>ENSG00000139343</t>
  </si>
  <si>
    <t>ENSG00000139350</t>
  </si>
  <si>
    <t>ENSG00000139370</t>
  </si>
  <si>
    <t>ENSG00000139372</t>
  </si>
  <si>
    <t>ENST00000392872</t>
  </si>
  <si>
    <t>ENST00000544060</t>
  </si>
  <si>
    <t>ENST00000536395</t>
  </si>
  <si>
    <t>ENSG00000139428</t>
  </si>
  <si>
    <t>ENSG00000139436</t>
  </si>
  <si>
    <t>ENST00000355312</t>
  </si>
  <si>
    <t>ENST00000361006</t>
  </si>
  <si>
    <t>ENST00000551209</t>
  </si>
  <si>
    <t>ENST00000552978</t>
  </si>
  <si>
    <t>ENST00000548000</t>
  </si>
  <si>
    <t>ENST00000548655</t>
  </si>
  <si>
    <t>ENST00000549999</t>
  </si>
  <si>
    <t>ENST00000550480</t>
  </si>
  <si>
    <t>ENST00000547815</t>
  </si>
  <si>
    <t>ENST00000551455</t>
  </si>
  <si>
    <t>ENST00000547694</t>
  </si>
  <si>
    <t>ENST00000551721</t>
  </si>
  <si>
    <t>ENST00000547267</t>
  </si>
  <si>
    <t>ENSG00000139496</t>
  </si>
  <si>
    <t>ENST00000381736</t>
  </si>
  <si>
    <t>ENST00000480187</t>
  </si>
  <si>
    <t>ENST00000460326</t>
  </si>
  <si>
    <t>ENST00000463407</t>
  </si>
  <si>
    <t>ENST00000466694</t>
  </si>
  <si>
    <t>ENST00000476553</t>
  </si>
  <si>
    <t>ENSG00000139514</t>
  </si>
  <si>
    <t>ENSG00000139546</t>
  </si>
  <si>
    <t>ENST00000266987</t>
  </si>
  <si>
    <t>ENST00000549610</t>
  </si>
  <si>
    <t>ENST00000546889</t>
  </si>
  <si>
    <t>ENST00000552650</t>
  </si>
  <si>
    <t>ENST00000547541</t>
  </si>
  <si>
    <t>ENST00000546763</t>
  </si>
  <si>
    <t>ENSG00000139613</t>
  </si>
  <si>
    <t>ENST00000394023</t>
  </si>
  <si>
    <t>ENSG00000139620</t>
  </si>
  <si>
    <t>ENST00000550347</t>
  </si>
  <si>
    <t>ENST00000420613</t>
  </si>
  <si>
    <t>ENST00000547536</t>
  </si>
  <si>
    <t>ENST00000548254</t>
  </si>
  <si>
    <t>ENSG00000139626</t>
  </si>
  <si>
    <t>ENSG00000139637</t>
  </si>
  <si>
    <t>ENSG00000139641</t>
  </si>
  <si>
    <t>ENST00000394048</t>
  </si>
  <si>
    <t>ENST00000550986</t>
  </si>
  <si>
    <t>ENST00000550179</t>
  </si>
  <si>
    <t>ENST00000547667</t>
  </si>
  <si>
    <t>ENST00000550878</t>
  </si>
  <si>
    <t>ENST00000551112</t>
  </si>
  <si>
    <t>ENST00000548142</t>
  </si>
  <si>
    <t>ENST00000550515</t>
  </si>
  <si>
    <t>ENSG00000139645</t>
  </si>
  <si>
    <t>ENSG00000139651</t>
  </si>
  <si>
    <t>ENSG00000139684</t>
  </si>
  <si>
    <t>ENSG00000139687</t>
  </si>
  <si>
    <t>ENSG00000139697</t>
  </si>
  <si>
    <t>ENST00000267176</t>
  </si>
  <si>
    <t>ENST00000602398</t>
  </si>
  <si>
    <t>ENST00000420886</t>
  </si>
  <si>
    <t>ENSG00000139719</t>
  </si>
  <si>
    <t>ENSG00000139722</t>
  </si>
  <si>
    <t>ENSG00000139725</t>
  </si>
  <si>
    <t>ENSG00000139726</t>
  </si>
  <si>
    <t>ENSG00000139737</t>
  </si>
  <si>
    <t>ENST00000442759</t>
  </si>
  <si>
    <t>ENST00000418532</t>
  </si>
  <si>
    <t>ENSG00000139842</t>
  </si>
  <si>
    <t>ENSG00000139921</t>
  </si>
  <si>
    <t>ENSG00000140043</t>
  </si>
  <si>
    <t>ENSG00000140105</t>
  </si>
  <si>
    <t>ENSG00000140153</t>
  </si>
  <si>
    <t>ENST00000322340</t>
  </si>
  <si>
    <t>ENST00000342702</t>
  </si>
  <si>
    <t>ENSG00000140262</t>
  </si>
  <si>
    <t>ENSG00000140263</t>
  </si>
  <si>
    <t>ENSG00000140299</t>
  </si>
  <si>
    <t>ENSG00000140307</t>
  </si>
  <si>
    <t>ENSG00000140319</t>
  </si>
  <si>
    <t>ENSG00000140326</t>
  </si>
  <si>
    <t>ENST00000563604</t>
  </si>
  <si>
    <t>ENST00000565930</t>
  </si>
  <si>
    <t>ENSG00000140332</t>
  </si>
  <si>
    <t>ENST00000558939</t>
  </si>
  <si>
    <t>ENST00000557815</t>
  </si>
  <si>
    <t>ENST00000560589</t>
  </si>
  <si>
    <t>ENST00000557997</t>
  </si>
  <si>
    <t>ENST00000559608</t>
  </si>
  <si>
    <t>ENST00000558201</t>
  </si>
  <si>
    <t>ENST00000558379</t>
  </si>
  <si>
    <t>ENST00000451782</t>
  </si>
  <si>
    <t>ENST00000542329</t>
  </si>
  <si>
    <t>ENST00000559826</t>
  </si>
  <si>
    <t>ENST00000560996</t>
  </si>
  <si>
    <t>ENSG00000140350</t>
  </si>
  <si>
    <t>ENSG00000140365</t>
  </si>
  <si>
    <t>ENST00000267935</t>
  </si>
  <si>
    <t>ENST00000566843</t>
  </si>
  <si>
    <t>ENST00000567023</t>
  </si>
  <si>
    <t>ENST00000564587</t>
  </si>
  <si>
    <t>ENST00000564068</t>
  </si>
  <si>
    <t>ENST00000480484</t>
  </si>
  <si>
    <t>ENST00000568877</t>
  </si>
  <si>
    <t>ENST00000569245</t>
  </si>
  <si>
    <t>ENST00000562310</t>
  </si>
  <si>
    <t>ENSG00000140367</t>
  </si>
  <si>
    <t>ENST00000267938</t>
  </si>
  <si>
    <t>ENST00000569423</t>
  </si>
  <si>
    <t>ENSG00000140374</t>
  </si>
  <si>
    <t>ENSG00000140382</t>
  </si>
  <si>
    <t>ENSG00000140395</t>
  </si>
  <si>
    <t>ENSG00000140396</t>
  </si>
  <si>
    <t>ENSG00000140400</t>
  </si>
  <si>
    <t>ENST00000566569</t>
  </si>
  <si>
    <t>ENST00000563528</t>
  </si>
  <si>
    <t>ENST00000564785</t>
  </si>
  <si>
    <t>ENST00000567360</t>
  </si>
  <si>
    <t>ENST00000563368</t>
  </si>
  <si>
    <t>ENST00000569176</t>
  </si>
  <si>
    <t>ENST00000563794</t>
  </si>
  <si>
    <t>ENST00000565953</t>
  </si>
  <si>
    <t>ENST00000563596</t>
  </si>
  <si>
    <t>ENST00000562461</t>
  </si>
  <si>
    <t>ENST00000562228</t>
  </si>
  <si>
    <t>ENST00000563058</t>
  </si>
  <si>
    <t>ENST00000568944</t>
  </si>
  <si>
    <t>ENST00000565801</t>
  </si>
  <si>
    <t>ENST00000565699</t>
  </si>
  <si>
    <t>ENST00000569069</t>
  </si>
  <si>
    <t>ENST00000565652</t>
  </si>
  <si>
    <t>ENSG00000140403</t>
  </si>
  <si>
    <t>ENSG00000140443</t>
  </si>
  <si>
    <t>ENSG00000140455</t>
  </si>
  <si>
    <t>ENSG00000140464</t>
  </si>
  <si>
    <t>ENST00000395135</t>
  </si>
  <si>
    <t>ENST00000268059</t>
  </si>
  <si>
    <t>ENST00000354026</t>
  </si>
  <si>
    <t>ENST00000268058</t>
  </si>
  <si>
    <t>ENST00000565898</t>
  </si>
  <si>
    <t>ENST00000435786</t>
  </si>
  <si>
    <t>ENST00000564428</t>
  </si>
  <si>
    <t>ENST00000563500</t>
  </si>
  <si>
    <t>ENST00000564725</t>
  </si>
  <si>
    <t>ENST00000570213</t>
  </si>
  <si>
    <t>ENSG00000140474</t>
  </si>
  <si>
    <t>ENST00000569437</t>
  </si>
  <si>
    <t>ENST00000568718</t>
  </si>
  <si>
    <t>ENST00000562395</t>
  </si>
  <si>
    <t>ENST00000569813</t>
  </si>
  <si>
    <t>ENSG00000140497</t>
  </si>
  <si>
    <t>ENSG00000140511</t>
  </si>
  <si>
    <t>ENST00000359595</t>
  </si>
  <si>
    <t>ENST00000563808</t>
  </si>
  <si>
    <t>ENSG00000140521</t>
  </si>
  <si>
    <t>ENSG00000140526</t>
  </si>
  <si>
    <t>ENST00000352732</t>
  </si>
  <si>
    <t>ENST00000568308</t>
  </si>
  <si>
    <t>ENSG00000140545</t>
  </si>
  <si>
    <t>ENST00000558018</t>
  </si>
  <si>
    <t>ENST00000560937</t>
  </si>
  <si>
    <t>ENST00000559259</t>
  </si>
  <si>
    <t>ENST00000559770</t>
  </si>
  <si>
    <t>ENSG00000140553</t>
  </si>
  <si>
    <t>ENST00000418476</t>
  </si>
  <si>
    <t>ENST00000556482</t>
  </si>
  <si>
    <t>ENST00000554481</t>
  </si>
  <si>
    <t>ENST00000487875</t>
  </si>
  <si>
    <t>ENST00000471780</t>
  </si>
  <si>
    <t>ENSG00000140575</t>
  </si>
  <si>
    <t>ENSG00000140577</t>
  </si>
  <si>
    <t>ENST00000420329</t>
  </si>
  <si>
    <t>ENST00000268184</t>
  </si>
  <si>
    <t>ENST00000560927</t>
  </si>
  <si>
    <t>ENST00000561119</t>
  </si>
  <si>
    <t>ENSG00000140598</t>
  </si>
  <si>
    <t>ENST00000268206</t>
  </si>
  <si>
    <t>ENST00000559429</t>
  </si>
  <si>
    <t>ENSG00000140612</t>
  </si>
  <si>
    <t>ENST00000559376</t>
  </si>
  <si>
    <t>ENST00000268220</t>
  </si>
  <si>
    <t>ENST00000558217</t>
  </si>
  <si>
    <t>ENST00000558924</t>
  </si>
  <si>
    <t>ENST00000455959</t>
  </si>
  <si>
    <t>ENSG00000140632</t>
  </si>
  <si>
    <t>ENSG00000140650</t>
  </si>
  <si>
    <t>ENSG00000140688</t>
  </si>
  <si>
    <t>ENSG00000140740</t>
  </si>
  <si>
    <t>ENSG00000140743</t>
  </si>
  <si>
    <t>ENSG00000140750</t>
  </si>
  <si>
    <t>ENST00000573703</t>
  </si>
  <si>
    <t>ENST00000570320</t>
  </si>
  <si>
    <t>ENST00000303665</t>
  </si>
  <si>
    <t>ENST00000575283</t>
  </si>
  <si>
    <t>ENST00000572314</t>
  </si>
  <si>
    <t>ENST00000575412</t>
  </si>
  <si>
    <t>ENST00000570841</t>
  </si>
  <si>
    <t>ENST00000575656</t>
  </si>
  <si>
    <t>ENST00000571575</t>
  </si>
  <si>
    <t>ENST00000575447</t>
  </si>
  <si>
    <t>ENSG00000140829</t>
  </si>
  <si>
    <t>ENSG00000140853</t>
  </si>
  <si>
    <t>ENST00000539881</t>
  </si>
  <si>
    <t>ENST00000538273</t>
  </si>
  <si>
    <t>ENST00000541020</t>
  </si>
  <si>
    <t>ENST00000534931</t>
  </si>
  <si>
    <t>ENST00000535284</t>
  </si>
  <si>
    <t>ENST00000544189</t>
  </si>
  <si>
    <t>ENST00000543049</t>
  </si>
  <si>
    <t>ENSG00000140854</t>
  </si>
  <si>
    <t>ENSG00000140905</t>
  </si>
  <si>
    <t>ENSG00000140941</t>
  </si>
  <si>
    <t>ENSG00000140968</t>
  </si>
  <si>
    <t>ENSG00000140983</t>
  </si>
  <si>
    <t>ENSG00000140988</t>
  </si>
  <si>
    <t>ENSG00000140990</t>
  </si>
  <si>
    <t>ENSG00000140992</t>
  </si>
  <si>
    <t>ENST00000570136</t>
  </si>
  <si>
    <t>ENST00000491073</t>
  </si>
  <si>
    <t>ENST00000471311</t>
  </si>
  <si>
    <t>ENSG00000141002</t>
  </si>
  <si>
    <t>ENST00000566283</t>
  </si>
  <si>
    <t>ENSG00000141012</t>
  </si>
  <si>
    <t>ENSG00000141026</t>
  </si>
  <si>
    <t>ENST00000268711</t>
  </si>
  <si>
    <t>ENST00000585041</t>
  </si>
  <si>
    <t>ENSG00000141027</t>
  </si>
  <si>
    <t>ENSG00000141030</t>
  </si>
  <si>
    <t>ENSG00000141076</t>
  </si>
  <si>
    <t>ENSG00000141084</t>
  </si>
  <si>
    <t>ENST00000317506</t>
  </si>
  <si>
    <t>ENST00000602525</t>
  </si>
  <si>
    <t>ENSG00000141101</t>
  </si>
  <si>
    <t>ENST00000562416</t>
  </si>
  <si>
    <t>ENSG00000141252</t>
  </si>
  <si>
    <t>ENST00000437048</t>
  </si>
  <si>
    <t>ENST00000570771</t>
  </si>
  <si>
    <t>ENST00000571805</t>
  </si>
  <si>
    <t>ENST00000570359</t>
  </si>
  <si>
    <t>ENST00000572607</t>
  </si>
  <si>
    <t>ENST00000575100</t>
  </si>
  <si>
    <t>ENSG00000141279</t>
  </si>
  <si>
    <t>ENST00000602788</t>
  </si>
  <si>
    <t>ENSG00000141293</t>
  </si>
  <si>
    <t>ENST00000336915</t>
  </si>
  <si>
    <t>ENST00000579476</t>
  </si>
  <si>
    <t>ENST00000584924</t>
  </si>
  <si>
    <t>ENST00000579336</t>
  </si>
  <si>
    <t>ENSG00000141295</t>
  </si>
  <si>
    <t>ENSG00000141298</t>
  </si>
  <si>
    <t>ENSG00000141367</t>
  </si>
  <si>
    <t>ENST00000393043</t>
  </si>
  <si>
    <t>ENST00000269122</t>
  </si>
  <si>
    <t>ENST00000585198</t>
  </si>
  <si>
    <t>ENST00000472129</t>
  </si>
  <si>
    <t>ENST00000466513</t>
  </si>
  <si>
    <t>ENST00000496076</t>
  </si>
  <si>
    <t>ENST00000498711</t>
  </si>
  <si>
    <t>ENSG00000141378</t>
  </si>
  <si>
    <t>ENSG00000141380</t>
  </si>
  <si>
    <t>ENST00000415083</t>
  </si>
  <si>
    <t>ENST00000269137</t>
  </si>
  <si>
    <t>ENST00000580958</t>
  </si>
  <si>
    <t>ENST00000580003</t>
  </si>
  <si>
    <t>ENSG00000141385</t>
  </si>
  <si>
    <t>ENSG00000141424</t>
  </si>
  <si>
    <t>ENST00000269187</t>
  </si>
  <si>
    <t>ENST00000590986</t>
  </si>
  <si>
    <t>ENST00000586829</t>
  </si>
  <si>
    <t>ENSG00000141425</t>
  </si>
  <si>
    <t>ENSG00000141428</t>
  </si>
  <si>
    <t>ENSG00000141429</t>
  </si>
  <si>
    <t>ENSG00000141446</t>
  </si>
  <si>
    <t>ENST00000269214</t>
  </si>
  <si>
    <t>ENST00000383276</t>
  </si>
  <si>
    <t>ENSG00000141452</t>
  </si>
  <si>
    <t>ENSG00000141458</t>
  </si>
  <si>
    <t>ENST00000590723</t>
  </si>
  <si>
    <t>ENSG00000141480</t>
  </si>
  <si>
    <t>ENST00000269260</t>
  </si>
  <si>
    <t>ENST00000574954</t>
  </si>
  <si>
    <t>ENST00000346341</t>
  </si>
  <si>
    <t>ENST00000574888</t>
  </si>
  <si>
    <t>ENST00000575131</t>
  </si>
  <si>
    <t>ENST00000571791</t>
  </si>
  <si>
    <t>ENST00000576235</t>
  </si>
  <si>
    <t>ENST00000572782</t>
  </si>
  <si>
    <t>ENST00000571206</t>
  </si>
  <si>
    <t>ENST00000577054</t>
  </si>
  <si>
    <t>ENSG00000141499</t>
  </si>
  <si>
    <t>ENSG00000141503</t>
  </si>
  <si>
    <t>ENST00000355280</t>
  </si>
  <si>
    <t>ENST00000572330</t>
  </si>
  <si>
    <t>ENST00000572629</t>
  </si>
  <si>
    <t>ENST00000572304</t>
  </si>
  <si>
    <t>ENST00000574871</t>
  </si>
  <si>
    <t>ENST00000575511</t>
  </si>
  <si>
    <t>ENST00000576037</t>
  </si>
  <si>
    <t>ENSG00000141504</t>
  </si>
  <si>
    <t>ENST00000576846</t>
  </si>
  <si>
    <t>ENST00000269298</t>
  </si>
  <si>
    <t>ENST00000570914</t>
  </si>
  <si>
    <t>ENST00000380466</t>
  </si>
  <si>
    <t>ENST00000575114</t>
  </si>
  <si>
    <t>ENST00000573930</t>
  </si>
  <si>
    <t>ENSG00000141510</t>
  </si>
  <si>
    <t>ENST00000504937</t>
  </si>
  <si>
    <t>ENST00000269305</t>
  </si>
  <si>
    <t>ENST00000505014</t>
  </si>
  <si>
    <t>ENSG00000141522</t>
  </si>
  <si>
    <t>ENSG00000141526</t>
  </si>
  <si>
    <t>ENSG00000141543</t>
  </si>
  <si>
    <t>ENSG00000141551</t>
  </si>
  <si>
    <t>ENST00000314028</t>
  </si>
  <si>
    <t>ENST00000581241</t>
  </si>
  <si>
    <t>ENST00000584377</t>
  </si>
  <si>
    <t>ENST00000577578</t>
  </si>
  <si>
    <t>ENST00000392334</t>
  </si>
  <si>
    <t>ENST00000578501</t>
  </si>
  <si>
    <t>ENST00000581737</t>
  </si>
  <si>
    <t>ENST00000581108</t>
  </si>
  <si>
    <t>ENST00000578904</t>
  </si>
  <si>
    <t>ENST00000579316</t>
  </si>
  <si>
    <t>ENST00000579308</t>
  </si>
  <si>
    <t>ENSG00000141556</t>
  </si>
  <si>
    <t>ENSG00000141560</t>
  </si>
  <si>
    <t>ENSG00000141562</t>
  </si>
  <si>
    <t>ENST00000390006</t>
  </si>
  <si>
    <t>ENST00000309794</t>
  </si>
  <si>
    <t>ENST00000374611</t>
  </si>
  <si>
    <t>ENST00000577812</t>
  </si>
  <si>
    <t>ENST00000579083</t>
  </si>
  <si>
    <t>ENST00000584445</t>
  </si>
  <si>
    <t>ENSG00000141564</t>
  </si>
  <si>
    <t>ENSG00000141568</t>
  </si>
  <si>
    <t>ENST00000335255</t>
  </si>
  <si>
    <t>ENST00000570585</t>
  </si>
  <si>
    <t>ENST00000575578</t>
  </si>
  <si>
    <t>ENST00000529652</t>
  </si>
  <si>
    <t>ENSG00000141580</t>
  </si>
  <si>
    <t>ENST00000392325</t>
  </si>
  <si>
    <t>ENST00000572583</t>
  </si>
  <si>
    <t>ENST00000573656</t>
  </si>
  <si>
    <t>ENST00000577774</t>
  </si>
  <si>
    <t>ENST00000571767</t>
  </si>
  <si>
    <t>ENST00000571817</t>
  </si>
  <si>
    <t>ENST00000574828</t>
  </si>
  <si>
    <t>ENSG00000141582</t>
  </si>
  <si>
    <t>ENSG00000141644</t>
  </si>
  <si>
    <t>ENST00000585672</t>
  </si>
  <si>
    <t>ENST00000591416</t>
  </si>
  <si>
    <t>ENST00000590208</t>
  </si>
  <si>
    <t>ENST00000589541</t>
  </si>
  <si>
    <t>ENST00000398493</t>
  </si>
  <si>
    <t>ENST00000398488</t>
  </si>
  <si>
    <t>ENST00000586884</t>
  </si>
  <si>
    <t>ENST00000591661</t>
  </si>
  <si>
    <t>ENST00000586679</t>
  </si>
  <si>
    <t>ENST00000586118</t>
  </si>
  <si>
    <t>ENST00000589758</t>
  </si>
  <si>
    <t>ENST00000269468</t>
  </si>
  <si>
    <t>ENST00000347968</t>
  </si>
  <si>
    <t>ENSG00000141646</t>
  </si>
  <si>
    <t>ENST00000585448</t>
  </si>
  <si>
    <t>ENSG00000141698</t>
  </si>
  <si>
    <t>ENST00000517701</t>
  </si>
  <si>
    <t>ENST00000523903</t>
  </si>
  <si>
    <t>ENST00000470690</t>
  </si>
  <si>
    <t>ENST00000486304</t>
  </si>
  <si>
    <t>ENST00000481693</t>
  </si>
  <si>
    <t>ENST00000520442</t>
  </si>
  <si>
    <t>ENSG00000141699</t>
  </si>
  <si>
    <t>ENSG00000141741</t>
  </si>
  <si>
    <t>ENSG00000141759</t>
  </si>
  <si>
    <t>ENST00000586295</t>
  </si>
  <si>
    <t>ENSG00000141905</t>
  </si>
  <si>
    <t>ENST00000589123</t>
  </si>
  <si>
    <t>ENST00000589537</t>
  </si>
  <si>
    <t>ENST00000589969</t>
  </si>
  <si>
    <t>ENSG00000141956</t>
  </si>
  <si>
    <t>ENST00000486812</t>
  </si>
  <si>
    <t>ENST00000465955</t>
  </si>
  <si>
    <t>ENST00000477633</t>
  </si>
  <si>
    <t>ENSG00000141959</t>
  </si>
  <si>
    <t>ENST00000467315</t>
  </si>
  <si>
    <t>ENSG00000141968</t>
  </si>
  <si>
    <t>ENSG00000141971</t>
  </si>
  <si>
    <t>ENST00000317040</t>
  </si>
  <si>
    <t>ENST00000528997</t>
  </si>
  <si>
    <t>ENST00000528732</t>
  </si>
  <si>
    <t>ENST00000526234</t>
  </si>
  <si>
    <t>ENST00000524382</t>
  </si>
  <si>
    <t>ENSG00000141994</t>
  </si>
  <si>
    <t>ENST00000589841</t>
  </si>
  <si>
    <t>ENSG00000142002</t>
  </si>
  <si>
    <t>ENSG00000142039</t>
  </si>
  <si>
    <t>ENSG00000142082</t>
  </si>
  <si>
    <t>ENST00000382743</t>
  </si>
  <si>
    <t>ENST00000525776</t>
  </si>
  <si>
    <t>ENSG00000142168</t>
  </si>
  <si>
    <t>ENSG00000142186</t>
  </si>
  <si>
    <t>ENST00000270176</t>
  </si>
  <si>
    <t>ENST00000420247</t>
  </si>
  <si>
    <t>ENST00000524944</t>
  </si>
  <si>
    <t>ENST00000527009</t>
  </si>
  <si>
    <t>ENST00000529178</t>
  </si>
  <si>
    <t>ENST00000524897</t>
  </si>
  <si>
    <t>ENST00000526454</t>
  </si>
  <si>
    <t>ENST00000528545</t>
  </si>
  <si>
    <t>ENST00000532290</t>
  </si>
  <si>
    <t>ENSG00000142192</t>
  </si>
  <si>
    <t>ENST00000346798</t>
  </si>
  <si>
    <t>ENST00000357903</t>
  </si>
  <si>
    <t>ENST00000464867</t>
  </si>
  <si>
    <t>ENST00000358918</t>
  </si>
  <si>
    <t>ENST00000491395</t>
  </si>
  <si>
    <t>ENST00000463070</t>
  </si>
  <si>
    <t>ENST00000462267</t>
  </si>
  <si>
    <t>ENSG00000142207</t>
  </si>
  <si>
    <t>ENSG00000142208</t>
  </si>
  <si>
    <t>ENSG00000142230</t>
  </si>
  <si>
    <t>ENSG00000142409</t>
  </si>
  <si>
    <t>ENSG00000142453</t>
  </si>
  <si>
    <t>ENST00000327064</t>
  </si>
  <si>
    <t>ENST00000590699</t>
  </si>
  <si>
    <t>ENST00000344150</t>
  </si>
  <si>
    <t>ENST00000586221</t>
  </si>
  <si>
    <t>ENST00000586508</t>
  </si>
  <si>
    <t>ENSG00000142507</t>
  </si>
  <si>
    <t>ENSG00000142534</t>
  </si>
  <si>
    <t>ENSG00000142541</t>
  </si>
  <si>
    <t>ENSG00000142546</t>
  </si>
  <si>
    <t>ENSG00000142556</t>
  </si>
  <si>
    <t>ENST00000270649</t>
  </si>
  <si>
    <t>ENST00000595189</t>
  </si>
  <si>
    <t>ENSG00000142655</t>
  </si>
  <si>
    <t>ENST00000356607</t>
  </si>
  <si>
    <t>ENST00000491661</t>
  </si>
  <si>
    <t>ENSG00000142657</t>
  </si>
  <si>
    <t>ENST00000487775</t>
  </si>
  <si>
    <t>ENST00000270776</t>
  </si>
  <si>
    <t>ENST00000465632</t>
  </si>
  <si>
    <t>ENST00000493288</t>
  </si>
  <si>
    <t>ENST00000496718</t>
  </si>
  <si>
    <t>ENSG00000142669</t>
  </si>
  <si>
    <t>ENSG00000142676</t>
  </si>
  <si>
    <t>ENST00000374550</t>
  </si>
  <si>
    <t>ENST00000467075</t>
  </si>
  <si>
    <t>ENST00000482370</t>
  </si>
  <si>
    <t>ENST00000443624</t>
  </si>
  <si>
    <t>ENST00000458455</t>
  </si>
  <si>
    <t>ENSG00000142684</t>
  </si>
  <si>
    <t>ENSG00000142765</t>
  </si>
  <si>
    <t>ENSG00000142784</t>
  </si>
  <si>
    <t>ENST00000491239</t>
  </si>
  <si>
    <t>ENST00000319394</t>
  </si>
  <si>
    <t>ENSG00000142864</t>
  </si>
  <si>
    <t>ENST00000370994</t>
  </si>
  <si>
    <t>ENST00000370995</t>
  </si>
  <si>
    <t>ENST00000462814</t>
  </si>
  <si>
    <t>ENST00000361219</t>
  </si>
  <si>
    <t>ENST00000370990</t>
  </si>
  <si>
    <t>ENST00000484880</t>
  </si>
  <si>
    <t>ENST00000493607</t>
  </si>
  <si>
    <t>ENSG00000142875</t>
  </si>
  <si>
    <t>ENST00000370689</t>
  </si>
  <si>
    <t>ENST00000370685</t>
  </si>
  <si>
    <t>ENST00000467507</t>
  </si>
  <si>
    <t>ENSG00000142892</t>
  </si>
  <si>
    <t>ENSG00000142937</t>
  </si>
  <si>
    <t>ENSG00000143033</t>
  </si>
  <si>
    <t>ENST00000370298</t>
  </si>
  <si>
    <t>ENST00000370303</t>
  </si>
  <si>
    <t>ENST00000467953</t>
  </si>
  <si>
    <t>ENST00000468457</t>
  </si>
  <si>
    <t>ENST00000489480</t>
  </si>
  <si>
    <t>ENSG00000143093</t>
  </si>
  <si>
    <t>ENSG00000143106</t>
  </si>
  <si>
    <t>ENSG00000143119</t>
  </si>
  <si>
    <t>ENSG00000143149</t>
  </si>
  <si>
    <t>ENSG00000143156</t>
  </si>
  <si>
    <t>ENST00000367811</t>
  </si>
  <si>
    <t>ENST00000524967</t>
  </si>
  <si>
    <t>ENST00000472984</t>
  </si>
  <si>
    <t>ENST00000527460</t>
  </si>
  <si>
    <t>ENSG00000143164</t>
  </si>
  <si>
    <t>ENST00000367843</t>
  </si>
  <si>
    <t>ENST00000470721</t>
  </si>
  <si>
    <t>ENST00000312263</t>
  </si>
  <si>
    <t>ENST00000478668</t>
  </si>
  <si>
    <t>ENSG00000143183</t>
  </si>
  <si>
    <t>ENST00000392129</t>
  </si>
  <si>
    <t>ENST00000367881</t>
  </si>
  <si>
    <t>ENST00000464650</t>
  </si>
  <si>
    <t>ENST00000481278</t>
  </si>
  <si>
    <t>ENSG00000143198</t>
  </si>
  <si>
    <t>ENSG00000143207</t>
  </si>
  <si>
    <t>ENSG00000143222</t>
  </si>
  <si>
    <t>ENSG00000143224</t>
  </si>
  <si>
    <t>ENSG00000143256</t>
  </si>
  <si>
    <t>ENSG00000143294</t>
  </si>
  <si>
    <t>ENSG00000143314</t>
  </si>
  <si>
    <t>ENSG00000143319</t>
  </si>
  <si>
    <t>ENSG00000143321</t>
  </si>
  <si>
    <t>ENSG00000143337</t>
  </si>
  <si>
    <t>ENSG00000143353</t>
  </si>
  <si>
    <t>ENSG00000143363</t>
  </si>
  <si>
    <t>ENST00000467771</t>
  </si>
  <si>
    <t>ENST00000271620</t>
  </si>
  <si>
    <t>ENST00000368936</t>
  </si>
  <si>
    <t>ENST00000368934</t>
  </si>
  <si>
    <t>ENSG00000143379</t>
  </si>
  <si>
    <t>ENST00000463774</t>
  </si>
  <si>
    <t>ENST00000271640</t>
  </si>
  <si>
    <t>ENST00000368962</t>
  </si>
  <si>
    <t>ENST00000534805</t>
  </si>
  <si>
    <t>ENST00000368969</t>
  </si>
  <si>
    <t>ENST00000481219</t>
  </si>
  <si>
    <t>ENST00000497314</t>
  </si>
  <si>
    <t>ENST00000528749</t>
  </si>
  <si>
    <t>ENST00000533529</t>
  </si>
  <si>
    <t>ENSG00000143384</t>
  </si>
  <si>
    <t>ENST00000369026</t>
  </si>
  <si>
    <t>ENST00000464132</t>
  </si>
  <si>
    <t>ENST00000307940</t>
  </si>
  <si>
    <t>ENSG00000143390</t>
  </si>
  <si>
    <t>ENSG00000143393</t>
  </si>
  <si>
    <t>ENST00000368874</t>
  </si>
  <si>
    <t>ENST00000368875</t>
  </si>
  <si>
    <t>ENST00000368872</t>
  </si>
  <si>
    <t>ENST00000489889</t>
  </si>
  <si>
    <t>ENST00000469239</t>
  </si>
  <si>
    <t>ENST00000460323</t>
  </si>
  <si>
    <t>ENSG00000143398</t>
  </si>
  <si>
    <t>ENST00000349792</t>
  </si>
  <si>
    <t>ENST00000409426</t>
  </si>
  <si>
    <t>ENST00000368888</t>
  </si>
  <si>
    <t>ENST00000468772</t>
  </si>
  <si>
    <t>ENST00000461816</t>
  </si>
  <si>
    <t>ENST00000481713</t>
  </si>
  <si>
    <t>ENST00000460157</t>
  </si>
  <si>
    <t>ENST00000486866</t>
  </si>
  <si>
    <t>ENST00000489625</t>
  </si>
  <si>
    <t>ENSG00000143420</t>
  </si>
  <si>
    <t>ENSG00000143436</t>
  </si>
  <si>
    <t>ENSG00000143437</t>
  </si>
  <si>
    <t>ENST00000358595</t>
  </si>
  <si>
    <t>ENST00000505755</t>
  </si>
  <si>
    <t>ENST00000510273</t>
  </si>
  <si>
    <t>ENST00000478972</t>
  </si>
  <si>
    <t>ENST00000512296</t>
  </si>
  <si>
    <t>ENST00000468970</t>
  </si>
  <si>
    <t>ENST00000505979</t>
  </si>
  <si>
    <t>ENSG00000143442</t>
  </si>
  <si>
    <t>ENST00000392723</t>
  </si>
  <si>
    <t>ENST00000358476</t>
  </si>
  <si>
    <t>ENST00000271715</t>
  </si>
  <si>
    <t>ENST00000409503</t>
  </si>
  <si>
    <t>ENST00000531094</t>
  </si>
  <si>
    <t>ENST00000529669</t>
  </si>
  <si>
    <t>ENST00000492528</t>
  </si>
  <si>
    <t>ENST00000482678</t>
  </si>
  <si>
    <t>ENST00000495253</t>
  </si>
  <si>
    <t>ENST00000594456</t>
  </si>
  <si>
    <t>ENST00000467287</t>
  </si>
  <si>
    <t>ENSG00000143457</t>
  </si>
  <si>
    <t>ENSG00000143458</t>
  </si>
  <si>
    <t>ENSG00000143486</t>
  </si>
  <si>
    <t>ENSG00000143493</t>
  </si>
  <si>
    <t>ENST00000461212</t>
  </si>
  <si>
    <t>ENST00000462910</t>
  </si>
  <si>
    <t>ENST00000460867</t>
  </si>
  <si>
    <t>ENSG00000143499</t>
  </si>
  <si>
    <t>ENSG00000143514</t>
  </si>
  <si>
    <t>ENST00000391878</t>
  </si>
  <si>
    <t>ENST00000343537</t>
  </si>
  <si>
    <t>ENST00000490896</t>
  </si>
  <si>
    <t>ENST00000481128</t>
  </si>
  <si>
    <t>ENST00000464172</t>
  </si>
  <si>
    <t>ENST00000472180</t>
  </si>
  <si>
    <t>ENSG00000143549</t>
  </si>
  <si>
    <t>ENSG00000143553</t>
  </si>
  <si>
    <t>ENSG00000143569</t>
  </si>
  <si>
    <t>ENSG00000143575</t>
  </si>
  <si>
    <t>ENST00000328703</t>
  </si>
  <si>
    <t>ENST00000457918</t>
  </si>
  <si>
    <t>ENST00000531435</t>
  </si>
  <si>
    <t>ENST00000477780</t>
  </si>
  <si>
    <t>ENST00000471326</t>
  </si>
  <si>
    <t>ENST00000492550</t>
  </si>
  <si>
    <t>ENST00000459914</t>
  </si>
  <si>
    <t>ENSG00000143612</t>
  </si>
  <si>
    <t>ENST00000368521</t>
  </si>
  <si>
    <t>ENST00000362076</t>
  </si>
  <si>
    <t>ENST00000350592</t>
  </si>
  <si>
    <t>ENST00000368519</t>
  </si>
  <si>
    <t>ENST00000493814</t>
  </si>
  <si>
    <t>ENST00000368518</t>
  </si>
  <si>
    <t>ENST00000368516</t>
  </si>
  <si>
    <t>ENST00000470180</t>
  </si>
  <si>
    <t>ENSG00000143621</t>
  </si>
  <si>
    <t>ENSG00000143622</t>
  </si>
  <si>
    <t>ENSG00000143624</t>
  </si>
  <si>
    <t>ENST00000318967</t>
  </si>
  <si>
    <t>ENST00000481797</t>
  </si>
  <si>
    <t>ENST00000480659</t>
  </si>
  <si>
    <t>ENST00000491790</t>
  </si>
  <si>
    <t>ENST00000368670</t>
  </si>
  <si>
    <t>ENSG00000143633</t>
  </si>
  <si>
    <t>ENST00000366649</t>
  </si>
  <si>
    <t>ENST00000318906</t>
  </si>
  <si>
    <t>ENST00000366651</t>
  </si>
  <si>
    <t>ENST00000462669</t>
  </si>
  <si>
    <t>ENST00000495795</t>
  </si>
  <si>
    <t>ENST00000471936</t>
  </si>
  <si>
    <t>ENSG00000143641</t>
  </si>
  <si>
    <t>ENSG00000143643</t>
  </si>
  <si>
    <t>ENST00000471302</t>
  </si>
  <si>
    <t>ENST00000486879</t>
  </si>
  <si>
    <t>ENSG00000143702</t>
  </si>
  <si>
    <t>ENSG00000143727</t>
  </si>
  <si>
    <t>ENSG00000143740</t>
  </si>
  <si>
    <t>ENST00000366759</t>
  </si>
  <si>
    <t>ENST00000606873</t>
  </si>
  <si>
    <t>ENSG00000143742</t>
  </si>
  <si>
    <t>ENSG00000143748</t>
  </si>
  <si>
    <t>ENSG00000143756</t>
  </si>
  <si>
    <t>ENSG00000143772</t>
  </si>
  <si>
    <t>ENSG00000143774</t>
  </si>
  <si>
    <t>ENST00000485838</t>
  </si>
  <si>
    <t>ENST00000469973</t>
  </si>
  <si>
    <t>ENST00000312726</t>
  </si>
  <si>
    <t>ENST00000492871</t>
  </si>
  <si>
    <t>ENST00000366728</t>
  </si>
  <si>
    <t>ENST00000453943</t>
  </si>
  <si>
    <t>ENST00000485733</t>
  </si>
  <si>
    <t>ENST00000472939</t>
  </si>
  <si>
    <t>ENST00000470040</t>
  </si>
  <si>
    <t>ENST00000366716</t>
  </si>
  <si>
    <t>ENST00000485859</t>
  </si>
  <si>
    <t>ENST00000485168</t>
  </si>
  <si>
    <t>ENST00000464858</t>
  </si>
  <si>
    <t>ENST00000498115</t>
  </si>
  <si>
    <t>ENST00000465025</t>
  </si>
  <si>
    <t>ENST00000477206</t>
  </si>
  <si>
    <t>ENST00000391865</t>
  </si>
  <si>
    <t>ENSG00000143793</t>
  </si>
  <si>
    <t>ENSG00000143799</t>
  </si>
  <si>
    <t>ENSG00000143811</t>
  </si>
  <si>
    <t>ENSG00000143815</t>
  </si>
  <si>
    <t>ENSG00000143851</t>
  </si>
  <si>
    <t>ENST00000491584</t>
  </si>
  <si>
    <t>ENSG00000143862</t>
  </si>
  <si>
    <t>ENSG00000143889</t>
  </si>
  <si>
    <t>ENST00000441689</t>
  </si>
  <si>
    <t>ENST00000488099</t>
  </si>
  <si>
    <t>ENST00000608859</t>
  </si>
  <si>
    <t>ENSG00000143919</t>
  </si>
  <si>
    <t>ENST00000403853</t>
  </si>
  <si>
    <t>ENST00000378494</t>
  </si>
  <si>
    <t>ENSG00000143924</t>
  </si>
  <si>
    <t>ENSG00000143933</t>
  </si>
  <si>
    <t>ENST00000356978</t>
  </si>
  <si>
    <t>ENST00000447653</t>
  </si>
  <si>
    <t>ENST00000557123</t>
  </si>
  <si>
    <t>ENST00000556757</t>
  </si>
  <si>
    <t>ENST00000553995</t>
  </si>
  <si>
    <t>ENST00000553964</t>
  </si>
  <si>
    <t>ENST00000555267</t>
  </si>
  <si>
    <t>ENST00000554296</t>
  </si>
  <si>
    <t>ENST00000556721</t>
  </si>
  <si>
    <t>ENST00000272298</t>
  </si>
  <si>
    <t>ENST00000460218</t>
  </si>
  <si>
    <t>ENST00000482532</t>
  </si>
  <si>
    <t>ENST00000456319</t>
  </si>
  <si>
    <t>ENST00000409563</t>
  </si>
  <si>
    <t>ENST00000484408</t>
  </si>
  <si>
    <t>ENST00000489742</t>
  </si>
  <si>
    <t>ENST00000291295</t>
  </si>
  <si>
    <t>ENST00000597743</t>
  </si>
  <si>
    <t>ENST00000602169</t>
  </si>
  <si>
    <t>ENST00000597868</t>
  </si>
  <si>
    <t>ENST00000596362</t>
  </si>
  <si>
    <t>ENST00000486500</t>
  </si>
  <si>
    <t>ENST00000595072</t>
  </si>
  <si>
    <t>ENSG00000143947</t>
  </si>
  <si>
    <t>ENSG00000143977</t>
  </si>
  <si>
    <t>ENSG00000144021</t>
  </si>
  <si>
    <t>ENSG00000144028</t>
  </si>
  <si>
    <t>ENSG00000144029</t>
  </si>
  <si>
    <t>ENSG00000144034</t>
  </si>
  <si>
    <t>ENST00000272424</t>
  </si>
  <si>
    <t>ENST00000485758</t>
  </si>
  <si>
    <t>ENST00000409716</t>
  </si>
  <si>
    <t>ENST00000318190</t>
  </si>
  <si>
    <t>ENST00000497464</t>
  </si>
  <si>
    <t>ENST00000470012</t>
  </si>
  <si>
    <t>ENSG00000144036</t>
  </si>
  <si>
    <t>ENST00000272427</t>
  </si>
  <si>
    <t>ENST00000410104</t>
  </si>
  <si>
    <t>ENSG00000144048</t>
  </si>
  <si>
    <t>ENSG00000144161</t>
  </si>
  <si>
    <t>ENSG00000144224</t>
  </si>
  <si>
    <t>ENSG00000144231</t>
  </si>
  <si>
    <t>ENSG00000144320</t>
  </si>
  <si>
    <t>ENST00000272748</t>
  </si>
  <si>
    <t>ENST00000479012</t>
  </si>
  <si>
    <t>ENST00000489827</t>
  </si>
  <si>
    <t>ENST00000480788</t>
  </si>
  <si>
    <t>ENSG00000144357</t>
  </si>
  <si>
    <t>ENSG00000144381</t>
  </si>
  <si>
    <t>ENSG00000144524</t>
  </si>
  <si>
    <t>ENSG00000144535</t>
  </si>
  <si>
    <t>ENSG00000144559</t>
  </si>
  <si>
    <t>ENST00000498127</t>
  </si>
  <si>
    <t>ENST00000486090</t>
  </si>
  <si>
    <t>ENST00000444133</t>
  </si>
  <si>
    <t>ENST00000460246</t>
  </si>
  <si>
    <t>ENST00000494388</t>
  </si>
  <si>
    <t>ENSG00000144566</t>
  </si>
  <si>
    <t>ENST00000273047</t>
  </si>
  <si>
    <t>ENST00000476544</t>
  </si>
  <si>
    <t>ENST00000469122</t>
  </si>
  <si>
    <t>ENST00000473608</t>
  </si>
  <si>
    <t>ENSG00000144580</t>
  </si>
  <si>
    <t>ENSG00000144589</t>
  </si>
  <si>
    <t>ENSG00000144591</t>
  </si>
  <si>
    <t>ENSG00000144635</t>
  </si>
  <si>
    <t>ENSG00000144713</t>
  </si>
  <si>
    <t>ENSG00000144744</t>
  </si>
  <si>
    <t>ENSG00000144746</t>
  </si>
  <si>
    <t>ENSG00000144749</t>
  </si>
  <si>
    <t>ENST00000273261</t>
  </si>
  <si>
    <t>ENST00000491821</t>
  </si>
  <si>
    <t>ENSG00000144791</t>
  </si>
  <si>
    <t>ENSG00000144827</t>
  </si>
  <si>
    <t>ENSG00000144848</t>
  </si>
  <si>
    <t>ENST00000283290</t>
  </si>
  <si>
    <t>ENST00000402314</t>
  </si>
  <si>
    <t>ENST00000494571</t>
  </si>
  <si>
    <t>ENST00000495756</t>
  </si>
  <si>
    <t>ENST00000467275</t>
  </si>
  <si>
    <t>ENST00000465980</t>
  </si>
  <si>
    <t>ENST00000488910</t>
  </si>
  <si>
    <t>ENSG00000144867</t>
  </si>
  <si>
    <t>ENST00000466490</t>
  </si>
  <si>
    <t>ENSG00000144895</t>
  </si>
  <si>
    <t>ENSG00000144959</t>
  </si>
  <si>
    <t>ENSG00000145016</t>
  </si>
  <si>
    <t>ENST00000415452</t>
  </si>
  <si>
    <t>ENST00000471364</t>
  </si>
  <si>
    <t>ENST00000449205</t>
  </si>
  <si>
    <t>ENSG00000145041</t>
  </si>
  <si>
    <t>ENST00000423656</t>
  </si>
  <si>
    <t>ENST00000335891</t>
  </si>
  <si>
    <t>ENSG00000145050</t>
  </si>
  <si>
    <t>ENSG00000145191</t>
  </si>
  <si>
    <t>ENSG00000145216</t>
  </si>
  <si>
    <t>ENSG00000145220</t>
  </si>
  <si>
    <t>ENSG00000145241</t>
  </si>
  <si>
    <t>ENSG00000145247</t>
  </si>
  <si>
    <t>ENSG00000145293</t>
  </si>
  <si>
    <t>ENSG00000145331</t>
  </si>
  <si>
    <t>ENSG00000145332</t>
  </si>
  <si>
    <t>ENST00000273963</t>
  </si>
  <si>
    <t>ENST00000425278</t>
  </si>
  <si>
    <t>ENSG00000145348</t>
  </si>
  <si>
    <t>ENST00000273980</t>
  </si>
  <si>
    <t>ENST00000467183</t>
  </si>
  <si>
    <t>ENSG00000145349</t>
  </si>
  <si>
    <t>ENST00000394524</t>
  </si>
  <si>
    <t>ENST00000513132</t>
  </si>
  <si>
    <t>ENST00000379773</t>
  </si>
  <si>
    <t>ENST00000296402</t>
  </si>
  <si>
    <t>ENSG00000145388</t>
  </si>
  <si>
    <t>ENSG00000145390</t>
  </si>
  <si>
    <t>ENST00000514665</t>
  </si>
  <si>
    <t>ENST00000510852</t>
  </si>
  <si>
    <t>ENST00000450251</t>
  </si>
  <si>
    <t>ENSG00000145391</t>
  </si>
  <si>
    <t>ENSG00000145425</t>
  </si>
  <si>
    <t>ENSG00000145439</t>
  </si>
  <si>
    <t>ENSG00000145494</t>
  </si>
  <si>
    <t>ENSG00000145592</t>
  </si>
  <si>
    <t>ENSG00000145675</t>
  </si>
  <si>
    <t>ENSG00000145703</t>
  </si>
  <si>
    <t>ENSG00000145715</t>
  </si>
  <si>
    <t>ENST00000274376</t>
  </si>
  <si>
    <t>ENST00000509953</t>
  </si>
  <si>
    <t>ENSG00000145725</t>
  </si>
  <si>
    <t>ENST00000321521</t>
  </si>
  <si>
    <t>ENST00000509597</t>
  </si>
  <si>
    <t>ENST00000508935</t>
  </si>
  <si>
    <t>ENST00000510672</t>
  </si>
  <si>
    <t>ENST00000504083</t>
  </si>
  <si>
    <t>ENSG00000145741</t>
  </si>
  <si>
    <t>ENSG00000145743</t>
  </si>
  <si>
    <t>ENSG00000145779</t>
  </si>
  <si>
    <t>ENSG00000145819</t>
  </si>
  <si>
    <t>ENST00000378004</t>
  </si>
  <si>
    <t>ENST00000475287</t>
  </si>
  <si>
    <t>ENST00000489924</t>
  </si>
  <si>
    <t>ENSG00000145833</t>
  </si>
  <si>
    <t>ENSG00000145868</t>
  </si>
  <si>
    <t>ENSG00000145882</t>
  </si>
  <si>
    <t>ENSG00000145901</t>
  </si>
  <si>
    <t>ENST00000520931</t>
  </si>
  <si>
    <t>ENST00000523338</t>
  </si>
  <si>
    <t>ENST00000522574</t>
  </si>
  <si>
    <t>ENST00000521591</t>
  </si>
  <si>
    <t>ENST00000518977</t>
  </si>
  <si>
    <t>ENST00000523200</t>
  </si>
  <si>
    <t>ENST00000521423</t>
  </si>
  <si>
    <t>ENST00000517329</t>
  </si>
  <si>
    <t>ENST00000521782</t>
  </si>
  <si>
    <t>ENSG00000145907</t>
  </si>
  <si>
    <t>ENSG00000145912</t>
  </si>
  <si>
    <t>ENSG00000145945</t>
  </si>
  <si>
    <t>ENST00000380274</t>
  </si>
  <si>
    <t>ENST00000380272</t>
  </si>
  <si>
    <t>ENSG00000145996</t>
  </si>
  <si>
    <t>ENSG00000146063</t>
  </si>
  <si>
    <t>ENSG00000146143</t>
  </si>
  <si>
    <t>ENSG00000146223</t>
  </si>
  <si>
    <t>ENSG00000146247</t>
  </si>
  <si>
    <t>ENSG00000146282</t>
  </si>
  <si>
    <t>ENSG00000146285</t>
  </si>
  <si>
    <t>ENST00000369025</t>
  </si>
  <si>
    <t>ENST00000476798</t>
  </si>
  <si>
    <t>ENSG00000146386</t>
  </si>
  <si>
    <t>ENSG00000146414</t>
  </si>
  <si>
    <t>ENST00000367505</t>
  </si>
  <si>
    <t>ENST00000433355</t>
  </si>
  <si>
    <t>ENST00000523276</t>
  </si>
  <si>
    <t>ENST00000520752</t>
  </si>
  <si>
    <t>ENSG00000146425</t>
  </si>
  <si>
    <t>ENST00000367088</t>
  </si>
  <si>
    <t>ENST00000367089</t>
  </si>
  <si>
    <t>ENST00000367085</t>
  </si>
  <si>
    <t>ENSG00000146457</t>
  </si>
  <si>
    <t>ENSG00000146463</t>
  </si>
  <si>
    <t>ENST00000482131</t>
  </si>
  <si>
    <t>ENST00000492456</t>
  </si>
  <si>
    <t>ENSG00000146540</t>
  </si>
  <si>
    <t>ENSG00000146574</t>
  </si>
  <si>
    <t>ENST00000316731</t>
  </si>
  <si>
    <t>ENST00000467004</t>
  </si>
  <si>
    <t>ENST00000468078</t>
  </si>
  <si>
    <t>ENST00000462378</t>
  </si>
  <si>
    <t>ENST00000485620</t>
  </si>
  <si>
    <t>ENST00000490178</t>
  </si>
  <si>
    <t>ENST00000496187</t>
  </si>
  <si>
    <t>ENST00000464543</t>
  </si>
  <si>
    <t>ENST00000486840</t>
  </si>
  <si>
    <t>ENSG00000146587</t>
  </si>
  <si>
    <t>ENSG00000146701</t>
  </si>
  <si>
    <t>ENSG00000146729</t>
  </si>
  <si>
    <t>ENSG00000146731</t>
  </si>
  <si>
    <t>ENSG00000146826</t>
  </si>
  <si>
    <t>ENSG00000146833</t>
  </si>
  <si>
    <t>ENST00000349062</t>
  </si>
  <si>
    <t>ENST00000354241</t>
  </si>
  <si>
    <t>ENST00000496896</t>
  </si>
  <si>
    <t>ENSG00000146842</t>
  </si>
  <si>
    <t>ENSG00000146872</t>
  </si>
  <si>
    <t>ENST00000581286</t>
  </si>
  <si>
    <t>ENST00000584367</t>
  </si>
  <si>
    <t>ENST00000583310</t>
  </si>
  <si>
    <t>ENST00000580203</t>
  </si>
  <si>
    <t>ENSG00000146904</t>
  </si>
  <si>
    <t>ENSG00000147010</t>
  </si>
  <si>
    <t>ENST00000397821</t>
  </si>
  <si>
    <t>ENST00000379698</t>
  </si>
  <si>
    <t>ENST00000379697</t>
  </si>
  <si>
    <t>ENSG00000147050</t>
  </si>
  <si>
    <t>ENSG00000147099</t>
  </si>
  <si>
    <t>ENST00000373573</t>
  </si>
  <si>
    <t>ENST00000373554</t>
  </si>
  <si>
    <t>ENST00000486704</t>
  </si>
  <si>
    <t>ENSG00000147123</t>
  </si>
  <si>
    <t>ENSG00000147140</t>
  </si>
  <si>
    <t>ENST00000473525</t>
  </si>
  <si>
    <t>ENSG00000147162</t>
  </si>
  <si>
    <t>ENSG00000147168</t>
  </si>
  <si>
    <t>ENST00000482750</t>
  </si>
  <si>
    <t>ENST00000374188</t>
  </si>
  <si>
    <t>ENSG00000147224</t>
  </si>
  <si>
    <t>ENSG00000147231</t>
  </si>
  <si>
    <t>ENST00000372548</t>
  </si>
  <si>
    <t>ENST00000478395</t>
  </si>
  <si>
    <t>ENST00000497124</t>
  </si>
  <si>
    <t>ENSG00000147251</t>
  </si>
  <si>
    <t>ENSG00000147274</t>
  </si>
  <si>
    <t>ENST00000496459</t>
  </si>
  <si>
    <t>ENST00000568578</t>
  </si>
  <si>
    <t>ENST00000419968</t>
  </si>
  <si>
    <t>ENST00000562646</t>
  </si>
  <si>
    <t>ENST00000565438</t>
  </si>
  <si>
    <t>ENST00000563370</t>
  </si>
  <si>
    <t>ENST00000565907</t>
  </si>
  <si>
    <t>ENSG00000147316</t>
  </si>
  <si>
    <t>ENST00000344683</t>
  </si>
  <si>
    <t>ENST00000519480</t>
  </si>
  <si>
    <t>ENSG00000147383</t>
  </si>
  <si>
    <t>ENSG00000147403</t>
  </si>
  <si>
    <t>ENSG00000147416</t>
  </si>
  <si>
    <t>ENSG00000147419</t>
  </si>
  <si>
    <t>ENSG00000147439</t>
  </si>
  <si>
    <t>ENST00000276416</t>
  </si>
  <si>
    <t>ENST00000520489</t>
  </si>
  <si>
    <t>ENST00000521140</t>
  </si>
  <si>
    <t>ENST00000518366</t>
  </si>
  <si>
    <t>ENST00000522268</t>
  </si>
  <si>
    <t>ENSG00000147443</t>
  </si>
  <si>
    <t>ENSG00000147457</t>
  </si>
  <si>
    <t>ENSG00000147471</t>
  </si>
  <si>
    <t>ENSG00000147475</t>
  </si>
  <si>
    <t>ENSG00000147526</t>
  </si>
  <si>
    <t>ENST00000522955</t>
  </si>
  <si>
    <t>ENSG00000147533</t>
  </si>
  <si>
    <t>ENST00000520817</t>
  </si>
  <si>
    <t>ENST00000357743</t>
  </si>
  <si>
    <t>ENST00000523128</t>
  </si>
  <si>
    <t>ENST00000405786</t>
  </si>
  <si>
    <t>ENSG00000147536</t>
  </si>
  <si>
    <t>ENSG00000147548</t>
  </si>
  <si>
    <t>ENST00000317025</t>
  </si>
  <si>
    <t>ENST00000528828</t>
  </si>
  <si>
    <t>ENST00000527502</t>
  </si>
  <si>
    <t>ENST00000526050</t>
  </si>
  <si>
    <t>ENST00000528304</t>
  </si>
  <si>
    <t>ENST00000316985</t>
  </si>
  <si>
    <t>ENST00000525081</t>
  </si>
  <si>
    <t>ENST00000528627</t>
  </si>
  <si>
    <t>ENSG00000147586</t>
  </si>
  <si>
    <t>ENSG00000147592</t>
  </si>
  <si>
    <t>ENSG00000147601</t>
  </si>
  <si>
    <t>ENST00000276603</t>
  </si>
  <si>
    <t>ENST00000276602</t>
  </si>
  <si>
    <t>ENST00000518695</t>
  </si>
  <si>
    <t>ENST00000518961</t>
  </si>
  <si>
    <t>ENSG00000147604</t>
  </si>
  <si>
    <t>ENSG00000147649</t>
  </si>
  <si>
    <t>ENSG00000147669</t>
  </si>
  <si>
    <t>ENSG00000147677</t>
  </si>
  <si>
    <t>ENSG00000147679</t>
  </si>
  <si>
    <t>ENSG00000147684</t>
  </si>
  <si>
    <t>ENSG00000147687</t>
  </si>
  <si>
    <t>ENSG00000147789</t>
  </si>
  <si>
    <t>ENST00000525266</t>
  </si>
  <si>
    <t>ENST00000528372</t>
  </si>
  <si>
    <t>ENST00000528017</t>
  </si>
  <si>
    <t>ENSG00000147854</t>
  </si>
  <si>
    <t>ENSG00000147872</t>
  </si>
  <si>
    <t>ENSG00000147874</t>
  </si>
  <si>
    <t>ENSG00000148019</t>
  </si>
  <si>
    <t>ENSG00000148153</t>
  </si>
  <si>
    <t>ENSG00000148175</t>
  </si>
  <si>
    <t>ENSG00000148187</t>
  </si>
  <si>
    <t>ENST00000344641</t>
  </si>
  <si>
    <t>ENST00000441707</t>
  </si>
  <si>
    <t>ENST00000373728</t>
  </si>
  <si>
    <t>ENST00000489572</t>
  </si>
  <si>
    <t>ENSG00000148218</t>
  </si>
  <si>
    <t>ENSG00000148229</t>
  </si>
  <si>
    <t>ENSG00000148248</t>
  </si>
  <si>
    <t>ENST00000371989</t>
  </si>
  <si>
    <t>ENST00000465565</t>
  </si>
  <si>
    <t>ENST00000371991</t>
  </si>
  <si>
    <t>ENSG00000148308</t>
  </si>
  <si>
    <t>ENST00000461871</t>
  </si>
  <si>
    <t>ENSG00000148334</t>
  </si>
  <si>
    <t>ENSG00000148335</t>
  </si>
  <si>
    <t>ENST00000459968</t>
  </si>
  <si>
    <t>ENSG00000148337</t>
  </si>
  <si>
    <t>ENST00000485862</t>
  </si>
  <si>
    <t>ENST00000461765</t>
  </si>
  <si>
    <t>ENST00000277465</t>
  </si>
  <si>
    <t>ENST00000372938</t>
  </si>
  <si>
    <t>ENST00000491487</t>
  </si>
  <si>
    <t>ENST00000485001</t>
  </si>
  <si>
    <t>ENST00000476541</t>
  </si>
  <si>
    <t>ENST00000475471</t>
  </si>
  <si>
    <t>ENST00000491954</t>
  </si>
  <si>
    <t>ENST00000474442</t>
  </si>
  <si>
    <t>ENST00000357558</t>
  </si>
  <si>
    <t>ENSG00000148339</t>
  </si>
  <si>
    <t>ENST00000373068</t>
  </si>
  <si>
    <t>ENST00000445012</t>
  </si>
  <si>
    <t>ENSG00000148341</t>
  </si>
  <si>
    <t>ENSG00000148358</t>
  </si>
  <si>
    <t>ENST00000347136</t>
  </si>
  <si>
    <t>ENST00000493417</t>
  </si>
  <si>
    <t>ENST00000462907</t>
  </si>
  <si>
    <t>ENSG00000148362</t>
  </si>
  <si>
    <t>ENSG00000148396</t>
  </si>
  <si>
    <t>ENSG00000148400</t>
  </si>
  <si>
    <t>ENSG00000148426</t>
  </si>
  <si>
    <t>ENSG00000148450</t>
  </si>
  <si>
    <t>ENSG00000148484</t>
  </si>
  <si>
    <t>ENSG00000148606</t>
  </si>
  <si>
    <t>ENSG00000148634</t>
  </si>
  <si>
    <t>ENST00000427635</t>
  </si>
  <si>
    <t>ENST00000373700</t>
  </si>
  <si>
    <t>ENST00000480158</t>
  </si>
  <si>
    <t>ENST00000460168</t>
  </si>
  <si>
    <t>ENST00000463478</t>
  </si>
  <si>
    <t>ENST00000492996</t>
  </si>
  <si>
    <t>ENST00000515753</t>
  </si>
  <si>
    <t>ENSG00000148660</t>
  </si>
  <si>
    <t>ENST00000477205</t>
  </si>
  <si>
    <t>ENST00000492020</t>
  </si>
  <si>
    <t>ENSG00000148672</t>
  </si>
  <si>
    <t>ENSG00000148688</t>
  </si>
  <si>
    <t>ENSG00000148690</t>
  </si>
  <si>
    <t>ENST00000359204</t>
  </si>
  <si>
    <t>ENST00000460752</t>
  </si>
  <si>
    <t>ENST00000472153</t>
  </si>
  <si>
    <t>ENST00000482719</t>
  </si>
  <si>
    <t>ENSG00000148700</t>
  </si>
  <si>
    <t>ENST00000356080</t>
  </si>
  <si>
    <t>ENST00000277900</t>
  </si>
  <si>
    <t>ENST00000475954</t>
  </si>
  <si>
    <t>ENST00000488104</t>
  </si>
  <si>
    <t>ENST00000488837</t>
  </si>
  <si>
    <t>ENST00000472568</t>
  </si>
  <si>
    <t>ENST00000488799</t>
  </si>
  <si>
    <t>ENST00000479805</t>
  </si>
  <si>
    <t>ENSG00000148719</t>
  </si>
  <si>
    <t>ENSG00000148803</t>
  </si>
  <si>
    <t>ENST00000278025</t>
  </si>
  <si>
    <t>ENST00000478895</t>
  </si>
  <si>
    <t>ENSG00000148824</t>
  </si>
  <si>
    <t>ENSG00000148834</t>
  </si>
  <si>
    <t>ENSG00000148843</t>
  </si>
  <si>
    <t>ENST00000490787</t>
  </si>
  <si>
    <t>ENSG00000148908</t>
  </si>
  <si>
    <t>ENST00000369101</t>
  </si>
  <si>
    <t>ENST00000369103</t>
  </si>
  <si>
    <t>ENST00000469575</t>
  </si>
  <si>
    <t>ENST00000473563</t>
  </si>
  <si>
    <t>ENST00000392865</t>
  </si>
  <si>
    <t>ENSG00000148925</t>
  </si>
  <si>
    <t>ENST00000278174</t>
  </si>
  <si>
    <t>ENST00000528120</t>
  </si>
  <si>
    <t>ENST00000525864</t>
  </si>
  <si>
    <t>ENSG00000148950</t>
  </si>
  <si>
    <t>ENST00000533512</t>
  </si>
  <si>
    <t>ENST00000533642</t>
  </si>
  <si>
    <t>ENSG00000149016</t>
  </si>
  <si>
    <t>ENSG00000149084</t>
  </si>
  <si>
    <t>ENSG00000149089</t>
  </si>
  <si>
    <t>ENST00000532428</t>
  </si>
  <si>
    <t>ENSG00000149091</t>
  </si>
  <si>
    <t>ENST00000456247</t>
  </si>
  <si>
    <t>ENST00000421244</t>
  </si>
  <si>
    <t>ENST00000318201</t>
  </si>
  <si>
    <t>ENST00000528173</t>
  </si>
  <si>
    <t>ENST00000527903</t>
  </si>
  <si>
    <t>ENST00000529698</t>
  </si>
  <si>
    <t>ENST00000527211</t>
  </si>
  <si>
    <t>ENST00000534802</t>
  </si>
  <si>
    <t>ENST00000532941</t>
  </si>
  <si>
    <t>ENSG00000149100</t>
  </si>
  <si>
    <t>ENSG00000149115</t>
  </si>
  <si>
    <t>ENSG00000149136</t>
  </si>
  <si>
    <t>ENSG00000149177</t>
  </si>
  <si>
    <t>ENSG00000149182</t>
  </si>
  <si>
    <t>ENSG00000149187</t>
  </si>
  <si>
    <t>ENST00000524648</t>
  </si>
  <si>
    <t>ENST00000539254</t>
  </si>
  <si>
    <t>ENST00000534614</t>
  </si>
  <si>
    <t>ENST00000532146</t>
  </si>
  <si>
    <t>ENST00000535982</t>
  </si>
  <si>
    <t>ENSG00000149212</t>
  </si>
  <si>
    <t>ENSG00000149257</t>
  </si>
  <si>
    <t>ENSG00000149262</t>
  </si>
  <si>
    <t>ENSG00000149269</t>
  </si>
  <si>
    <t>ENSG00000149273</t>
  </si>
  <si>
    <t>ENSG00000149308</t>
  </si>
  <si>
    <t>ENSG00000149311</t>
  </si>
  <si>
    <t>ENSG00000149313</t>
  </si>
  <si>
    <t>ENSG00000149357</t>
  </si>
  <si>
    <t>ENSG00000149428</t>
  </si>
  <si>
    <t>ENST00000532519</t>
  </si>
  <si>
    <t>ENSG00000149476</t>
  </si>
  <si>
    <t>ENSG00000149480</t>
  </si>
  <si>
    <t>ENSG00000149499</t>
  </si>
  <si>
    <t>ENSG00000149532</t>
  </si>
  <si>
    <t>ENST00000477890</t>
  </si>
  <si>
    <t>ENSG00000149541</t>
  </si>
  <si>
    <t>ENSG00000149716</t>
  </si>
  <si>
    <t>ENST00000279147</t>
  </si>
  <si>
    <t>ENST00000544096</t>
  </si>
  <si>
    <t>ENST00000542470</t>
  </si>
  <si>
    <t>ENST00000539414</t>
  </si>
  <si>
    <t>ENST00000542341</t>
  </si>
  <si>
    <t>ENST00000355486</t>
  </si>
  <si>
    <t>ENSG00000149761</t>
  </si>
  <si>
    <t>ENST00000422364</t>
  </si>
  <si>
    <t>ENST00000279206</t>
  </si>
  <si>
    <t>ENST00000537707</t>
  </si>
  <si>
    <t>ENST00000537094</t>
  </si>
  <si>
    <t>ENST00000543501</t>
  </si>
  <si>
    <t>ENST00000545184</t>
  </si>
  <si>
    <t>ENSG00000149781</t>
  </si>
  <si>
    <t>ENST00000544997</t>
  </si>
  <si>
    <t>ENST00000345728</t>
  </si>
  <si>
    <t>ENST00000279227</t>
  </si>
  <si>
    <t>ENST00000546255</t>
  </si>
  <si>
    <t>ENST00000540957</t>
  </si>
  <si>
    <t>ENST00000540554</t>
  </si>
  <si>
    <t>ENSG00000149792</t>
  </si>
  <si>
    <t>ENSG00000149823</t>
  </si>
  <si>
    <t>ENSG00000149923</t>
  </si>
  <si>
    <t>ENSG00000149925</t>
  </si>
  <si>
    <t>ENSG00000149930</t>
  </si>
  <si>
    <t>ENST00000308893</t>
  </si>
  <si>
    <t>ENST00000279394</t>
  </si>
  <si>
    <t>ENST00000416441</t>
  </si>
  <si>
    <t>ENST00000566552</t>
  </si>
  <si>
    <t>ENST00000570844</t>
  </si>
  <si>
    <t>ENSG00000150093</t>
  </si>
  <si>
    <t>ENSG00000150316</t>
  </si>
  <si>
    <t>ENSG00000150347</t>
  </si>
  <si>
    <t>ENST00000279873</t>
  </si>
  <si>
    <t>ENST00000309334</t>
  </si>
  <si>
    <t>ENSG00000150459</t>
  </si>
  <si>
    <t>ENSG00000150593</t>
  </si>
  <si>
    <t>ENST00000280154</t>
  </si>
  <si>
    <t>ENST00000483670</t>
  </si>
  <si>
    <t>ENST00000444997</t>
  </si>
  <si>
    <t>ENST00000492932</t>
  </si>
  <si>
    <t>ENST00000481353</t>
  </si>
  <si>
    <t>ENST00000489049</t>
  </si>
  <si>
    <t>ENST00000393104</t>
  </si>
  <si>
    <t>ENSG00000150637</t>
  </si>
  <si>
    <t>ENSG00000150712</t>
  </si>
  <si>
    <t>ENST00000382142</t>
  </si>
  <si>
    <t>ENST00000504049</t>
  </si>
  <si>
    <t>ENSG00000150753</t>
  </si>
  <si>
    <t>ENSG00000150768</t>
  </si>
  <si>
    <t>ENSG00000150779</t>
  </si>
  <si>
    <t>ENSG00000150867</t>
  </si>
  <si>
    <t>ENST00000376573</t>
  </si>
  <si>
    <t>ENST00000323883</t>
  </si>
  <si>
    <t>ENST00000474335</t>
  </si>
  <si>
    <t>ENST00000604912</t>
  </si>
  <si>
    <t>ENST00000432610</t>
  </si>
  <si>
    <t>ENSG00000150961</t>
  </si>
  <si>
    <t>ENSG00000150990</t>
  </si>
  <si>
    <t>ENSG00000150995</t>
  </si>
  <si>
    <t>ENST00000467056</t>
  </si>
  <si>
    <t>ENST00000479831</t>
  </si>
  <si>
    <t>ENST00000481415</t>
  </si>
  <si>
    <t>ENST00000467545</t>
  </si>
  <si>
    <t>ENST00000472205</t>
  </si>
  <si>
    <t>ENST00000478515</t>
  </si>
  <si>
    <t>ENSG00000151065</t>
  </si>
  <si>
    <t>ENSG00000151092</t>
  </si>
  <si>
    <t>ENST00000489271</t>
  </si>
  <si>
    <t>ENST00000280700</t>
  </si>
  <si>
    <t>ENST00000396649</t>
  </si>
  <si>
    <t>ENST00000496726</t>
  </si>
  <si>
    <t>ENST00000478991</t>
  </si>
  <si>
    <t>ENSG00000151116</t>
  </si>
  <si>
    <t>ENST00000396197</t>
  </si>
  <si>
    <t>ENST00000535340</t>
  </si>
  <si>
    <t>ENSG00000151135</t>
  </si>
  <si>
    <t>ENSG00000151150</t>
  </si>
  <si>
    <t>ENSG00000151239</t>
  </si>
  <si>
    <t>ENSG00000151247</t>
  </si>
  <si>
    <t>ENSG00000151287</t>
  </si>
  <si>
    <t>ENSG00000151327</t>
  </si>
  <si>
    <t>ENSG00000151332</t>
  </si>
  <si>
    <t>ENST00000416007</t>
  </si>
  <si>
    <t>ENST00000604154</t>
  </si>
  <si>
    <t>ENST00000605579</t>
  </si>
  <si>
    <t>ENSG00000151366</t>
  </si>
  <si>
    <t>ENSG00000151414</t>
  </si>
  <si>
    <t>ENSG00000151445</t>
  </si>
  <si>
    <t>ENSG00000151465</t>
  </si>
  <si>
    <t>ENSG00000151498</t>
  </si>
  <si>
    <t>ENSG00000151500</t>
  </si>
  <si>
    <t>ENSG00000151502</t>
  </si>
  <si>
    <t>ENSG00000151503</t>
  </si>
  <si>
    <t>ENSG00000151532</t>
  </si>
  <si>
    <t>ENST00000483122</t>
  </si>
  <si>
    <t>ENST00000472892</t>
  </si>
  <si>
    <t>ENST00000393077</t>
  </si>
  <si>
    <t>ENST00000496445</t>
  </si>
  <si>
    <t>ENST00000494728</t>
  </si>
  <si>
    <t>ENST00000480057</t>
  </si>
  <si>
    <t>ENSG00000151552</t>
  </si>
  <si>
    <t>ENSG00000151553</t>
  </si>
  <si>
    <t>ENST00000369248</t>
  </si>
  <si>
    <t>ENST00000369246</t>
  </si>
  <si>
    <t>ENSG00000151576</t>
  </si>
  <si>
    <t>ENST00000485050</t>
  </si>
  <si>
    <t>ENST00000281273</t>
  </si>
  <si>
    <t>ENST00000488665</t>
  </si>
  <si>
    <t>ENST00000490183</t>
  </si>
  <si>
    <t>ENST00000466870</t>
  </si>
  <si>
    <t>ENST00000483272</t>
  </si>
  <si>
    <t>ENST00000495782</t>
  </si>
  <si>
    <t>ENSG00000151611</t>
  </si>
  <si>
    <t>ENSG00000151657</t>
  </si>
  <si>
    <t>ENSG00000151690</t>
  </si>
  <si>
    <t>ENSG00000151694</t>
  </si>
  <si>
    <t>ENSG00000151702</t>
  </si>
  <si>
    <t>ENST00000527786</t>
  </si>
  <si>
    <t>ENST00000608055</t>
  </si>
  <si>
    <t>ENST00000528790</t>
  </si>
  <si>
    <t>ENSG00000151718</t>
  </si>
  <si>
    <t>ENST00000403733</t>
  </si>
  <si>
    <t>ENST00000515284</t>
  </si>
  <si>
    <t>ENSG00000151726</t>
  </si>
  <si>
    <t>ENST00000513001</t>
  </si>
  <si>
    <t>ENST00000281455</t>
  </si>
  <si>
    <t>ENST00000513317</t>
  </si>
  <si>
    <t>ENST00000504900</t>
  </si>
  <si>
    <t>ENSG00000151748</t>
  </si>
  <si>
    <t>ENST00000324679</t>
  </si>
  <si>
    <t>ENST00000602664</t>
  </si>
  <si>
    <t>ENSG00000151779</t>
  </si>
  <si>
    <t>ENSG00000151806</t>
  </si>
  <si>
    <t>ENSG00000151876</t>
  </si>
  <si>
    <t>ENST00000296812</t>
  </si>
  <si>
    <t>ENST00000281623</t>
  </si>
  <si>
    <t>ENST00000505566</t>
  </si>
  <si>
    <t>ENSG00000151883</t>
  </si>
  <si>
    <t>ENST00000513414</t>
  </si>
  <si>
    <t>ENST00000281631</t>
  </si>
  <si>
    <t>ENST00000503707</t>
  </si>
  <si>
    <t>ENST00000503046</t>
  </si>
  <si>
    <t>ENST00000505180</t>
  </si>
  <si>
    <t>ENSG00000151893</t>
  </si>
  <si>
    <t>ENSG00000151923</t>
  </si>
  <si>
    <t>ENST00000369093</t>
  </si>
  <si>
    <t>ENST00000463089</t>
  </si>
  <si>
    <t>ENST00000489822</t>
  </si>
  <si>
    <t>ENST00000470781</t>
  </si>
  <si>
    <t>ENST00000436547</t>
  </si>
  <si>
    <t>ENST00000369087</t>
  </si>
  <si>
    <t>ENST00000495821</t>
  </si>
  <si>
    <t>ENST00000369086</t>
  </si>
  <si>
    <t>ENSG00000152061</t>
  </si>
  <si>
    <t>ENST00000251507</t>
  </si>
  <si>
    <t>ENST00000487987</t>
  </si>
  <si>
    <t>ENST00000367688</t>
  </si>
  <si>
    <t>ENST00000461613</t>
  </si>
  <si>
    <t>ENSG00000152133</t>
  </si>
  <si>
    <t>ENSG00000152219</t>
  </si>
  <si>
    <t>ENSG00000152223</t>
  </si>
  <si>
    <t>ENST00000590854</t>
  </si>
  <si>
    <t>ENST00000282041</t>
  </si>
  <si>
    <t>ENST00000587262</t>
  </si>
  <si>
    <t>ENST00000585906</t>
  </si>
  <si>
    <t>ENST00000587973</t>
  </si>
  <si>
    <t>ENST00000586655</t>
  </si>
  <si>
    <t>ENSG00000152229</t>
  </si>
  <si>
    <t>ENSG00000152234</t>
  </si>
  <si>
    <t>ENST00000398752</t>
  </si>
  <si>
    <t>ENST00000586523</t>
  </si>
  <si>
    <t>ENST00000586592</t>
  </si>
  <si>
    <t>ENST00000587902</t>
  </si>
  <si>
    <t>ENST00000589611</t>
  </si>
  <si>
    <t>ENST00000590324</t>
  </si>
  <si>
    <t>ENST00000591981</t>
  </si>
  <si>
    <t>ENST00000592989</t>
  </si>
  <si>
    <t>ENST00000588390</t>
  </si>
  <si>
    <t>ENST00000282050</t>
  </si>
  <si>
    <t>ENSG00000152240</t>
  </si>
  <si>
    <t>ENSG00000152256</t>
  </si>
  <si>
    <t>ENSG00000152291</t>
  </si>
  <si>
    <t>ENST00000377386</t>
  </si>
  <si>
    <t>ENST00000398263</t>
  </si>
  <si>
    <t>ENST00000444342</t>
  </si>
  <si>
    <t>ENSG00000152332</t>
  </si>
  <si>
    <t>ENST00000489294</t>
  </si>
  <si>
    <t>ENST00000282169</t>
  </si>
  <si>
    <t>ENST00000538489</t>
  </si>
  <si>
    <t>ENSG00000152382</t>
  </si>
  <si>
    <t>ENSG00000152413</t>
  </si>
  <si>
    <t>ENST00000334082</t>
  </si>
  <si>
    <t>ENST00000460741</t>
  </si>
  <si>
    <t>ENSG00000152464</t>
  </si>
  <si>
    <t>ENSG00000152495</t>
  </si>
  <si>
    <t>ENSG00000152556</t>
  </si>
  <si>
    <t>ENSG00000152601</t>
  </si>
  <si>
    <t>ENSG00000152620</t>
  </si>
  <si>
    <t>ENSG00000152642</t>
  </si>
  <si>
    <t>ENSG00000152683</t>
  </si>
  <si>
    <t>ENST00000379343</t>
  </si>
  <si>
    <t>ENST00000282587</t>
  </si>
  <si>
    <t>ENSG00000152700</t>
  </si>
  <si>
    <t>ENSG00000152795</t>
  </si>
  <si>
    <t>ENST00000602300</t>
  </si>
  <si>
    <t>ENSG00000152818</t>
  </si>
  <si>
    <t>ENSG00000152942</t>
  </si>
  <si>
    <t>ENST00000521422</t>
  </si>
  <si>
    <t>ENST00000354312</t>
  </si>
  <si>
    <t>ENST00000305138</t>
  </si>
  <si>
    <t>ENSG00000153015</t>
  </si>
  <si>
    <t>ENSG00000153037</t>
  </si>
  <si>
    <t>ENSG00000153044</t>
  </si>
  <si>
    <t>ENST00000283006</t>
  </si>
  <si>
    <t>ENST00000514753</t>
  </si>
  <si>
    <t>ENST00000510742</t>
  </si>
  <si>
    <t>ENSG00000153048</t>
  </si>
  <si>
    <t>ENSG00000153094</t>
  </si>
  <si>
    <t>ENST00000308659</t>
  </si>
  <si>
    <t>ENST00000393256</t>
  </si>
  <si>
    <t>ENSG00000153107</t>
  </si>
  <si>
    <t>ENSG00000153113</t>
  </si>
  <si>
    <t>ENST00000511097</t>
  </si>
  <si>
    <t>ENST00000395812</t>
  </si>
  <si>
    <t>ENST00000515160</t>
  </si>
  <si>
    <t>ENST00000309190</t>
  </si>
  <si>
    <t>ENST00000509903</t>
  </si>
  <si>
    <t>ENST00000513666</t>
  </si>
  <si>
    <t>ENST00000508197</t>
  </si>
  <si>
    <t>ENST00000504532</t>
  </si>
  <si>
    <t>ENST00000515063</t>
  </si>
  <si>
    <t>ENST00000437034</t>
  </si>
  <si>
    <t>ENST00000512191</t>
  </si>
  <si>
    <t>ENST00000510098</t>
  </si>
  <si>
    <t>ENST00000509529</t>
  </si>
  <si>
    <t>ENST00000325674</t>
  </si>
  <si>
    <t>ENSG00000153130</t>
  </si>
  <si>
    <t>ENST00000608372</t>
  </si>
  <si>
    <t>ENST00000506597</t>
  </si>
  <si>
    <t>ENST00000394201</t>
  </si>
  <si>
    <t>ENSG00000153140</t>
  </si>
  <si>
    <t>ENSG00000153147</t>
  </si>
  <si>
    <t>ENSG00000153187</t>
  </si>
  <si>
    <t>ENSG00000153201</t>
  </si>
  <si>
    <t>ENSG00000153207</t>
  </si>
  <si>
    <t>ENSG00000153250</t>
  </si>
  <si>
    <t>ENST00000348849</t>
  </si>
  <si>
    <t>ENST00000474147</t>
  </si>
  <si>
    <t>ENST00000490637</t>
  </si>
  <si>
    <t>ENST00000409972</t>
  </si>
  <si>
    <t>ENST00000477965</t>
  </si>
  <si>
    <t>ENST00000464200</t>
  </si>
  <si>
    <t>ENST00000491781</t>
  </si>
  <si>
    <t>ENST00000392753</t>
  </si>
  <si>
    <t>ENSG00000153283</t>
  </si>
  <si>
    <t>ENST00000352690</t>
  </si>
  <si>
    <t>ENST00000283285</t>
  </si>
  <si>
    <t>ENST00000438817</t>
  </si>
  <si>
    <t>ENST00000494798</t>
  </si>
  <si>
    <t>ENST00000465428</t>
  </si>
  <si>
    <t>ENSG00000153310</t>
  </si>
  <si>
    <t>ENSG00000153317</t>
  </si>
  <si>
    <t>ENSG00000153339</t>
  </si>
  <si>
    <t>ENSG00000153391</t>
  </si>
  <si>
    <t>ENSG00000153395</t>
  </si>
  <si>
    <t>ENSG00000153560</t>
  </si>
  <si>
    <t>ENSG00000153767</t>
  </si>
  <si>
    <t>ENSG00000153774</t>
  </si>
  <si>
    <t>ENSG00000153827</t>
  </si>
  <si>
    <t>ENST00000389044</t>
  </si>
  <si>
    <t>ENST00000459841</t>
  </si>
  <si>
    <t>ENST00000470302</t>
  </si>
  <si>
    <t>ENST00000495322</t>
  </si>
  <si>
    <t>ENST00000461189</t>
  </si>
  <si>
    <t>ENST00000487178</t>
  </si>
  <si>
    <t>ENST00000479037</t>
  </si>
  <si>
    <t>ENST00000477441</t>
  </si>
  <si>
    <t>ENST00000453485</t>
  </si>
  <si>
    <t>ENST00000430954</t>
  </si>
  <si>
    <t>ENSG00000153933</t>
  </si>
  <si>
    <t>ENST00000576869</t>
  </si>
  <si>
    <t>ENSG00000153936</t>
  </si>
  <si>
    <t>ENST00000370551</t>
  </si>
  <si>
    <t>ENST00000370550</t>
  </si>
  <si>
    <t>ENSG00000153944</t>
  </si>
  <si>
    <t>ENSG00000153975</t>
  </si>
  <si>
    <t>ENST00000485498</t>
  </si>
  <si>
    <t>ENST00000368576</t>
  </si>
  <si>
    <t>ENSG00000154001</t>
  </si>
  <si>
    <t>ENST00000337537</t>
  </si>
  <si>
    <t>ENST00000555899</t>
  </si>
  <si>
    <t>ENST00000556878</t>
  </si>
  <si>
    <t>ENSG00000154016</t>
  </si>
  <si>
    <t>ENST00000577213</t>
  </si>
  <si>
    <t>ENSG00000154027</t>
  </si>
  <si>
    <t>ENST00000354567</t>
  </si>
  <si>
    <t>ENST00000469394</t>
  </si>
  <si>
    <t>ENST00000524494</t>
  </si>
  <si>
    <t>ENSG00000154059</t>
  </si>
  <si>
    <t>ENSG00000154114</t>
  </si>
  <si>
    <t>ENSG00000154124</t>
  </si>
  <si>
    <t>ENSG00000154127</t>
  </si>
  <si>
    <t>ENSG00000154144</t>
  </si>
  <si>
    <t>ENST00000284290</t>
  </si>
  <si>
    <t>ENST00000441174</t>
  </si>
  <si>
    <t>ENST00000491010</t>
  </si>
  <si>
    <t>ENST00000531033</t>
  </si>
  <si>
    <t>ENSG00000154174</t>
  </si>
  <si>
    <t>ENSG00000154217</t>
  </si>
  <si>
    <t>ENSG00000154222</t>
  </si>
  <si>
    <t>ENST00000491136</t>
  </si>
  <si>
    <t>ENST00000284376</t>
  </si>
  <si>
    <t>ENST00000460370</t>
  </si>
  <si>
    <t>ENST00000492426</t>
  </si>
  <si>
    <t>ENST00000485966</t>
  </si>
  <si>
    <t>ENSG00000154229</t>
  </si>
  <si>
    <t>ENSG00000154305</t>
  </si>
  <si>
    <t>ENST00000479370</t>
  </si>
  <si>
    <t>ENSG00000154328</t>
  </si>
  <si>
    <t>ENST00000284503</t>
  </si>
  <si>
    <t>ENST00000524741</t>
  </si>
  <si>
    <t>ENSG00000154370</t>
  </si>
  <si>
    <t>ENST00000493030</t>
  </si>
  <si>
    <t>ENST00000284551</t>
  </si>
  <si>
    <t>ENST00000475775</t>
  </si>
  <si>
    <t>ENST00000366699</t>
  </si>
  <si>
    <t>ENSG00000154451</t>
  </si>
  <si>
    <t>ENSG00000154473</t>
  </si>
  <si>
    <t>ENST00000368865</t>
  </si>
  <si>
    <t>ENST00000368858</t>
  </si>
  <si>
    <t>ENST00000407911</t>
  </si>
  <si>
    <t>ENST00000481952</t>
  </si>
  <si>
    <t>ENSG00000154582</t>
  </si>
  <si>
    <t>ENSG00000154642</t>
  </si>
  <si>
    <t>ENST00000284881</t>
  </si>
  <si>
    <t>ENST00000482915</t>
  </si>
  <si>
    <t>ENSG00000154710</t>
  </si>
  <si>
    <t>ENST00000607882</t>
  </si>
  <si>
    <t>ENST00000450873</t>
  </si>
  <si>
    <t>ENST00000284957</t>
  </si>
  <si>
    <t>ENST00000510829</t>
  </si>
  <si>
    <t>ENSG00000154719</t>
  </si>
  <si>
    <t>ENSG00000154723</t>
  </si>
  <si>
    <t>ENSG00000154727</t>
  </si>
  <si>
    <t>ENSG00000154743</t>
  </si>
  <si>
    <t>ENST00000473755</t>
  </si>
  <si>
    <t>ENST00000490981</t>
  </si>
  <si>
    <t>ENSG00000154767</t>
  </si>
  <si>
    <t>ENSG00000154781</t>
  </si>
  <si>
    <t>ENSG00000154803</t>
  </si>
  <si>
    <t>ENSG00000154814</t>
  </si>
  <si>
    <t>ENST00000285083</t>
  </si>
  <si>
    <t>ENST00000486267</t>
  </si>
  <si>
    <t>ENSG00000154832</t>
  </si>
  <si>
    <t>ENSG00000154845</t>
  </si>
  <si>
    <t>ENST00000400556</t>
  </si>
  <si>
    <t>ENST00000400555</t>
  </si>
  <si>
    <t>ENST00000582594</t>
  </si>
  <si>
    <t>ENST00000578329</t>
  </si>
  <si>
    <t>ENST00000578010</t>
  </si>
  <si>
    <t>ENST00000577667</t>
  </si>
  <si>
    <t>ENST00000583988</t>
  </si>
  <si>
    <t>ENST00000581250</t>
  </si>
  <si>
    <t>ENST00000581835</t>
  </si>
  <si>
    <t>ENST00000577779</t>
  </si>
  <si>
    <t>ENST00000580283</t>
  </si>
  <si>
    <t>ENST00000577393</t>
  </si>
  <si>
    <t>ENSG00000154930</t>
  </si>
  <si>
    <t>ENST00000484396</t>
  </si>
  <si>
    <t>ENST00000537502</t>
  </si>
  <si>
    <t>ENSG00000154945</t>
  </si>
  <si>
    <t>ENSG00000155097</t>
  </si>
  <si>
    <t>ENSG00000155158</t>
  </si>
  <si>
    <t>ENST00000512701</t>
  </si>
  <si>
    <t>ENST00000505732</t>
  </si>
  <si>
    <t>ENSG00000155229</t>
  </si>
  <si>
    <t>ENSG00000155307</t>
  </si>
  <si>
    <t>ENSG00000155313</t>
  </si>
  <si>
    <t>ENSG00000155363</t>
  </si>
  <si>
    <t>ENSG00000155368</t>
  </si>
  <si>
    <t>ENSG00000155438</t>
  </si>
  <si>
    <t>ENSG00000155463</t>
  </si>
  <si>
    <t>ENST00000483939</t>
  </si>
  <si>
    <t>ENST00000604262</t>
  </si>
  <si>
    <t>ENST00000557299</t>
  </si>
  <si>
    <t>ENST00000481218</t>
  </si>
  <si>
    <t>ENST00000285848</t>
  </si>
  <si>
    <t>ENSG00000155506</t>
  </si>
  <si>
    <t>ENSG00000155508</t>
  </si>
  <si>
    <t>ENST00000403027</t>
  </si>
  <si>
    <t>ENST00000285896</t>
  </si>
  <si>
    <t>ENST00000522139</t>
  </si>
  <si>
    <t>ENSG00000155545</t>
  </si>
  <si>
    <t>ENST00000381199</t>
  </si>
  <si>
    <t>ENST00000480115</t>
  </si>
  <si>
    <t>ENSG00000155561</t>
  </si>
  <si>
    <t>ENSG00000155621</t>
  </si>
  <si>
    <t>ENST00000334731</t>
  </si>
  <si>
    <t>ENST00000486911</t>
  </si>
  <si>
    <t>ENSG00000155636</t>
  </si>
  <si>
    <t>ENST00000424000</t>
  </si>
  <si>
    <t>ENST00000286070</t>
  </si>
  <si>
    <t>ENST00000493048</t>
  </si>
  <si>
    <t>ENST00000455903</t>
  </si>
  <si>
    <t>ENSG00000155660</t>
  </si>
  <si>
    <t>ENSG00000155666</t>
  </si>
  <si>
    <t>ENSG00000155729</t>
  </si>
  <si>
    <t>ENSG00000155744</t>
  </si>
  <si>
    <t>ENST00000286181</t>
  </si>
  <si>
    <t>ENST00000490725</t>
  </si>
  <si>
    <t>ENST00000494881</t>
  </si>
  <si>
    <t>ENSG00000155827</t>
  </si>
  <si>
    <t>ENSG00000155849</t>
  </si>
  <si>
    <t>ENSG00000155903</t>
  </si>
  <si>
    <t>ENST00000286364</t>
  </si>
  <si>
    <t>ENST00000452898</t>
  </si>
  <si>
    <t>ENSG00000155906</t>
  </si>
  <si>
    <t>ENSG00000155926</t>
  </si>
  <si>
    <t>ENST00000338087</t>
  </si>
  <si>
    <t>ENST00000427060</t>
  </si>
  <si>
    <t>ENST00000517549</t>
  </si>
  <si>
    <t>ENST00000523224</t>
  </si>
  <si>
    <t>ENST00000520106</t>
  </si>
  <si>
    <t>ENST00000519504</t>
  </si>
  <si>
    <t>ENST00000518594</t>
  </si>
  <si>
    <t>ENSG00000155959</t>
  </si>
  <si>
    <t>ENSG00000155975</t>
  </si>
  <si>
    <t>ENSG00000156017</t>
  </si>
  <si>
    <t>ENSG00000156026</t>
  </si>
  <si>
    <t>ENST00000483185</t>
  </si>
  <si>
    <t>ENST00000603118</t>
  </si>
  <si>
    <t>ENST00000605416</t>
  </si>
  <si>
    <t>ENSG00000156030</t>
  </si>
  <si>
    <t>ENSG00000156110</t>
  </si>
  <si>
    <t>ENST00000286621</t>
  </si>
  <si>
    <t>ENST00000372734</t>
  </si>
  <si>
    <t>ENSG00000156136</t>
  </si>
  <si>
    <t>ENSG00000156239</t>
  </si>
  <si>
    <t>ENST00000303775</t>
  </si>
  <si>
    <t>ENST00000351429</t>
  </si>
  <si>
    <t>ENSG00000156261</t>
  </si>
  <si>
    <t>ENSG00000156299</t>
  </si>
  <si>
    <t>ENST00000286827</t>
  </si>
  <si>
    <t>ENST00000491927</t>
  </si>
  <si>
    <t>ENSG00000156304</t>
  </si>
  <si>
    <t>ENST00000286835</t>
  </si>
  <si>
    <t>ENST00000399804</t>
  </si>
  <si>
    <t>ENST00000467731</t>
  </si>
  <si>
    <t>ENST00000472318</t>
  </si>
  <si>
    <t>ENST00000485790</t>
  </si>
  <si>
    <t>ENSG00000156313</t>
  </si>
  <si>
    <t>ENST00000476559</t>
  </si>
  <si>
    <t>ENST00000378505</t>
  </si>
  <si>
    <t>ENST00000470183</t>
  </si>
  <si>
    <t>ENST00000339363</t>
  </si>
  <si>
    <t>ENSG00000156374</t>
  </si>
  <si>
    <t>ENSG00000156384</t>
  </si>
  <si>
    <t>ENST00000463224</t>
  </si>
  <si>
    <t>ENST00000369729</t>
  </si>
  <si>
    <t>ENSG00000156411</t>
  </si>
  <si>
    <t>ENSG00000156467</t>
  </si>
  <si>
    <t>ENSG00000156469</t>
  </si>
  <si>
    <t>ENSG00000156471</t>
  </si>
  <si>
    <t>ENSG00000156482</t>
  </si>
  <si>
    <t>ENSG00000156502</t>
  </si>
  <si>
    <t>ENSG00000156504</t>
  </si>
  <si>
    <t>ENST00000370790</t>
  </si>
  <si>
    <t>ENST00000486347</t>
  </si>
  <si>
    <t>ENST00000465128</t>
  </si>
  <si>
    <t>ENST00000343004</t>
  </si>
  <si>
    <t>ENSG00000156508</t>
  </si>
  <si>
    <t>ENSG00000156515</t>
  </si>
  <si>
    <t>ENSG00000156531</t>
  </si>
  <si>
    <t>ENST00000370803</t>
  </si>
  <si>
    <t>ENST00000332070</t>
  </si>
  <si>
    <t>ENST00000370799</t>
  </si>
  <si>
    <t>ENST00000370800</t>
  </si>
  <si>
    <t>ENSG00000156587</t>
  </si>
  <si>
    <t>ENST00000340573</t>
  </si>
  <si>
    <t>ENSG00000156603</t>
  </si>
  <si>
    <t>ENST00000431606</t>
  </si>
  <si>
    <t>ENST00000528205</t>
  </si>
  <si>
    <t>ENST00000534677</t>
  </si>
  <si>
    <t>ENSG00000156642</t>
  </si>
  <si>
    <t>ENST00000351217</t>
  </si>
  <si>
    <t>ENST00000561898</t>
  </si>
  <si>
    <t>ENST00000563753</t>
  </si>
  <si>
    <t>ENSG00000156675</t>
  </si>
  <si>
    <t>ENSG00000156697</t>
  </si>
  <si>
    <t>ENST00000394422</t>
  </si>
  <si>
    <t>ENST00000498179</t>
  </si>
  <si>
    <t>ENST00000425117</t>
  </si>
  <si>
    <t>ENSG00000156709</t>
  </si>
  <si>
    <t>ENST00000460436</t>
  </si>
  <si>
    <t>ENST00000287295</t>
  </si>
  <si>
    <t>ENST00000533719</t>
  </si>
  <si>
    <t>ENSG00000156711</t>
  </si>
  <si>
    <t>ENSG00000156735</t>
  </si>
  <si>
    <t>ENST00000287322</t>
  </si>
  <si>
    <t>ENST00000521311</t>
  </si>
  <si>
    <t>ENSG00000156831</t>
  </si>
  <si>
    <t>ENSG00000156858</t>
  </si>
  <si>
    <t>ENSG00000156873</t>
  </si>
  <si>
    <t>ENST00000563588</t>
  </si>
  <si>
    <t>ENST00000563913</t>
  </si>
  <si>
    <t>ENST00000565897</t>
  </si>
  <si>
    <t>ENST00000569762</t>
  </si>
  <si>
    <t>ENST00000569684</t>
  </si>
  <si>
    <t>ENSG00000156928</t>
  </si>
  <si>
    <t>ENST00000466681</t>
  </si>
  <si>
    <t>ENST00000287543</t>
  </si>
  <si>
    <t>ENST00000481564</t>
  </si>
  <si>
    <t>ENST00000476623</t>
  </si>
  <si>
    <t>ENSG00000156931</t>
  </si>
  <si>
    <t>ENST00000485024</t>
  </si>
  <si>
    <t>ENST00000424463</t>
  </si>
  <si>
    <t>ENST00000469479</t>
  </si>
  <si>
    <t>ENST00000460158</t>
  </si>
  <si>
    <t>ENST00000465818</t>
  </si>
  <si>
    <t>ENST00000469713</t>
  </si>
  <si>
    <t>ENST00000465213</t>
  </si>
  <si>
    <t>ENST00000492449</t>
  </si>
  <si>
    <t>ENST00000495190</t>
  </si>
  <si>
    <t>ENST00000488255</t>
  </si>
  <si>
    <t>ENSG00000156973</t>
  </si>
  <si>
    <t>ENSG00000156976</t>
  </si>
  <si>
    <t>ENST00000445596</t>
  </si>
  <si>
    <t>ENST00000323963</t>
  </si>
  <si>
    <t>ENST00000426808</t>
  </si>
  <si>
    <t>ENST00000465222</t>
  </si>
  <si>
    <t>ENST00000491473</t>
  </si>
  <si>
    <t>ENST00000486805</t>
  </si>
  <si>
    <t>ENST00000465032</t>
  </si>
  <si>
    <t>ENST00000465267</t>
  </si>
  <si>
    <t>ENST00000495049</t>
  </si>
  <si>
    <t>ENST00000425053</t>
  </si>
  <si>
    <t>ENST00000440191</t>
  </si>
  <si>
    <t>ENST00000485101</t>
  </si>
  <si>
    <t>ENST00000475653</t>
  </si>
  <si>
    <t>ENST00000443963</t>
  </si>
  <si>
    <t>ENST00000498746</t>
  </si>
  <si>
    <t>ENST00000467585</t>
  </si>
  <si>
    <t>ENST00000466362</t>
  </si>
  <si>
    <t>ENST00000468362</t>
  </si>
  <si>
    <t>ENST00000465792</t>
  </si>
  <si>
    <t>ENST00000475409</t>
  </si>
  <si>
    <t>ENST00000494445</t>
  </si>
  <si>
    <t>ENST00000461021</t>
  </si>
  <si>
    <t>ENST00000496382</t>
  </si>
  <si>
    <t>ENSG00000156990</t>
  </si>
  <si>
    <t>ENST00000383820</t>
  </si>
  <si>
    <t>ENST00000464783</t>
  </si>
  <si>
    <t>ENST00000466141</t>
  </si>
  <si>
    <t>ENST00000475470</t>
  </si>
  <si>
    <t>ENST00000484134</t>
  </si>
  <si>
    <t>ENST00000418713</t>
  </si>
  <si>
    <t>ENST00000472381</t>
  </si>
  <si>
    <t>ENST00000433972</t>
  </si>
  <si>
    <t>ENST00000473522</t>
  </si>
  <si>
    <t>ENST00000460909</t>
  </si>
  <si>
    <t>ENSG00000157014</t>
  </si>
  <si>
    <t>ENSG00000157020</t>
  </si>
  <si>
    <t>ENSG00000157036</t>
  </si>
  <si>
    <t>ENSG00000157106</t>
  </si>
  <si>
    <t>ENSG00000157184</t>
  </si>
  <si>
    <t>ENSG00000157191</t>
  </si>
  <si>
    <t>ENSG00000157212</t>
  </si>
  <si>
    <t>ENSG00000157259</t>
  </si>
  <si>
    <t>ENSG00000157326</t>
  </si>
  <si>
    <t>ENSG00000157349</t>
  </si>
  <si>
    <t>ENST00000288071</t>
  </si>
  <si>
    <t>ENST00000569224</t>
  </si>
  <si>
    <t>ENSG00000157353</t>
  </si>
  <si>
    <t>ENSG00000157379</t>
  </si>
  <si>
    <t>ENSG00000157426</t>
  </si>
  <si>
    <t>ENST00000205214</t>
  </si>
  <si>
    <t>ENST00000502617</t>
  </si>
  <si>
    <t>ENST00000510012</t>
  </si>
  <si>
    <t>ENST00000514796</t>
  </si>
  <si>
    <t>ENSG00000157500</t>
  </si>
  <si>
    <t>ENSG00000157538</t>
  </si>
  <si>
    <t>ENSG00000157540</t>
  </si>
  <si>
    <t>ENST00000426672</t>
  </si>
  <si>
    <t>ENST00000339659</t>
  </si>
  <si>
    <t>ENST00000398960</t>
  </si>
  <si>
    <t>ENSG00000157601</t>
  </si>
  <si>
    <t>ENSG00000157625</t>
  </si>
  <si>
    <t>ENST00000378933</t>
  </si>
  <si>
    <t>ENST00000378930</t>
  </si>
  <si>
    <t>ENSG00000157741</t>
  </si>
  <si>
    <t>ENST00000473989</t>
  </si>
  <si>
    <t>ENST00000609762</t>
  </si>
  <si>
    <t>ENSG00000157764</t>
  </si>
  <si>
    <t>ENSG00000157778</t>
  </si>
  <si>
    <t>ENST00000288607</t>
  </si>
  <si>
    <t>ENST00000404674</t>
  </si>
  <si>
    <t>ENSG00000157796</t>
  </si>
  <si>
    <t>ENST00000399820</t>
  </si>
  <si>
    <t>ENST00000512588</t>
  </si>
  <si>
    <t>ENST00000510315</t>
  </si>
  <si>
    <t>ENSG00000157869</t>
  </si>
  <si>
    <t>ENST00000330852</t>
  </si>
  <si>
    <t>ENST00000288723</t>
  </si>
  <si>
    <t>ENSG00000157873</t>
  </si>
  <si>
    <t>ENST00000435221</t>
  </si>
  <si>
    <t>ENST00000355716</t>
  </si>
  <si>
    <t>ENST00000482074</t>
  </si>
  <si>
    <t>ENST00000496064</t>
  </si>
  <si>
    <t>ENST00000463471</t>
  </si>
  <si>
    <t>ENST00000466750</t>
  </si>
  <si>
    <t>ENST00000463835</t>
  </si>
  <si>
    <t>ENST00000482602</t>
  </si>
  <si>
    <t>ENSG00000157916</t>
  </si>
  <si>
    <t>ENSG00000157954</t>
  </si>
  <si>
    <t>ENST00000288828</t>
  </si>
  <si>
    <t>ENST00000401525</t>
  </si>
  <si>
    <t>ENST00000404704</t>
  </si>
  <si>
    <t>ENST00000382384</t>
  </si>
  <si>
    <t>ENST00000475309</t>
  </si>
  <si>
    <t>ENST00000484262</t>
  </si>
  <si>
    <t>ENST00000465102</t>
  </si>
  <si>
    <t>ENST00000479690</t>
  </si>
  <si>
    <t>ENSG00000157978</t>
  </si>
  <si>
    <t>ENSG00000158019</t>
  </si>
  <si>
    <t>ENST00000379624</t>
  </si>
  <si>
    <t>ENST00000492702</t>
  </si>
  <si>
    <t>ENST00000496951</t>
  </si>
  <si>
    <t>ENST00000342045</t>
  </si>
  <si>
    <t>ENST00000379632</t>
  </si>
  <si>
    <t>ENST00000361704</t>
  </si>
  <si>
    <t>ENST00000604932</t>
  </si>
  <si>
    <t>ENSG00000158042</t>
  </si>
  <si>
    <t>ENSG00000158079</t>
  </si>
  <si>
    <t>ENST00000375360</t>
  </si>
  <si>
    <t>ENST00000467049</t>
  </si>
  <si>
    <t>ENSG00000158092</t>
  </si>
  <si>
    <t>ENSG00000158161</t>
  </si>
  <si>
    <t>ENST00000373871</t>
  </si>
  <si>
    <t>ENST00000495923</t>
  </si>
  <si>
    <t>ENST00000468665</t>
  </si>
  <si>
    <t>ENST00000540618</t>
  </si>
  <si>
    <t>ENSG00000158201</t>
  </si>
  <si>
    <t>ENSG00000158234</t>
  </si>
  <si>
    <t>ENSG00000158290</t>
  </si>
  <si>
    <t>ENST00000371322</t>
  </si>
  <si>
    <t>ENST00000336592</t>
  </si>
  <si>
    <t>ENST00000497616</t>
  </si>
  <si>
    <t>ENSG00000158411</t>
  </si>
  <si>
    <t>ENSG00000158417</t>
  </si>
  <si>
    <t>ENSG00000158435</t>
  </si>
  <si>
    <t>ENSG00000158552</t>
  </si>
  <si>
    <t>ENST00000409594</t>
  </si>
  <si>
    <t>ENST00000289528</t>
  </si>
  <si>
    <t>ENST00000409217</t>
  </si>
  <si>
    <t>ENST00000409319</t>
  </si>
  <si>
    <t>ENST00000489197</t>
  </si>
  <si>
    <t>ENST00000464902</t>
  </si>
  <si>
    <t>ENST00000475533</t>
  </si>
  <si>
    <t>ENST00000444522</t>
  </si>
  <si>
    <t>ENSG00000158604</t>
  </si>
  <si>
    <t>ENSG00000158623</t>
  </si>
  <si>
    <t>ENSG00000158636</t>
  </si>
  <si>
    <t>ENST00000533988</t>
  </si>
  <si>
    <t>ENST00000528826</t>
  </si>
  <si>
    <t>ENST00000525919</t>
  </si>
  <si>
    <t>ENST00000531998</t>
  </si>
  <si>
    <t>ENST00000534573</t>
  </si>
  <si>
    <t>ENSG00000158710</t>
  </si>
  <si>
    <t>ENSG00000158711</t>
  </si>
  <si>
    <t>ENST00000357992</t>
  </si>
  <si>
    <t>ENST00000289703</t>
  </si>
  <si>
    <t>ENSG00000158769</t>
  </si>
  <si>
    <t>ENSG00000158773</t>
  </si>
  <si>
    <t>ENST00000368021</t>
  </si>
  <si>
    <t>ENST00000472217</t>
  </si>
  <si>
    <t>ENST00000473969</t>
  </si>
  <si>
    <t>ENST00000496363</t>
  </si>
  <si>
    <t>ENST00000491629</t>
  </si>
  <si>
    <t>ENSG00000158793</t>
  </si>
  <si>
    <t>ENST00000368009</t>
  </si>
  <si>
    <t>ENST00000368008</t>
  </si>
  <si>
    <t>ENST00000496861</t>
  </si>
  <si>
    <t>ENST00000491497</t>
  </si>
  <si>
    <t>ENST00000461376</t>
  </si>
  <si>
    <t>ENST00000368007</t>
  </si>
  <si>
    <t>ENSG00000158805</t>
  </si>
  <si>
    <t>ENSG00000158863</t>
  </si>
  <si>
    <t>ENST00000488968</t>
  </si>
  <si>
    <t>ENST00000289921</t>
  </si>
  <si>
    <t>ENST00000464226</t>
  </si>
  <si>
    <t>ENST00000474579</t>
  </si>
  <si>
    <t>ENST00000462914</t>
  </si>
  <si>
    <t>ENST00000491733</t>
  </si>
  <si>
    <t>ENST00000477614</t>
  </si>
  <si>
    <t>ENST00000523633</t>
  </si>
  <si>
    <t>ENSG00000158864</t>
  </si>
  <si>
    <t>ENST00000367993</t>
  </si>
  <si>
    <t>ENST00000496553</t>
  </si>
  <si>
    <t>ENST00000475570</t>
  </si>
  <si>
    <t>ENST00000478866</t>
  </si>
  <si>
    <t>ENST00000473321</t>
  </si>
  <si>
    <t>ENST00000480762</t>
  </si>
  <si>
    <t>ENST00000465923</t>
  </si>
  <si>
    <t>ENST00000493849</t>
  </si>
  <si>
    <t>ENST00000492153</t>
  </si>
  <si>
    <t>ENST00000392179</t>
  </si>
  <si>
    <t>ENSG00000158882</t>
  </si>
  <si>
    <t>ENSG00000158941</t>
  </si>
  <si>
    <t>ENSG00000158987</t>
  </si>
  <si>
    <t>ENSG00000159023</t>
  </si>
  <si>
    <t>ENST00000482464</t>
  </si>
  <si>
    <t>ENST00000373800</t>
  </si>
  <si>
    <t>ENST00000373798</t>
  </si>
  <si>
    <t>ENST00000490308</t>
  </si>
  <si>
    <t>ENST00000460378</t>
  </si>
  <si>
    <t>ENST00000462032</t>
  </si>
  <si>
    <t>ENSG00000159055</t>
  </si>
  <si>
    <t>ENSG00000159069</t>
  </si>
  <si>
    <t>ENST00000480818</t>
  </si>
  <si>
    <t>ENST00000443788</t>
  </si>
  <si>
    <t>ENSG00000159079</t>
  </si>
  <si>
    <t>ENSG00000159082</t>
  </si>
  <si>
    <t>ENSG00000159086</t>
  </si>
  <si>
    <t>ENSG00000159111</t>
  </si>
  <si>
    <t>ENSG00000159131</t>
  </si>
  <si>
    <t>ENST00000460305</t>
  </si>
  <si>
    <t>ENSG00000159140</t>
  </si>
  <si>
    <t>ENST00000356577</t>
  </si>
  <si>
    <t>ENST00000475072</t>
  </si>
  <si>
    <t>ENST00000300278</t>
  </si>
  <si>
    <t>ENST00000381679</t>
  </si>
  <si>
    <t>ENST00000436227</t>
  </si>
  <si>
    <t>ENST00000421541</t>
  </si>
  <si>
    <t>ENST00000474355</t>
  </si>
  <si>
    <t>ENST00000478183</t>
  </si>
  <si>
    <t>ENST00000465834</t>
  </si>
  <si>
    <t>ENST00000477419</t>
  </si>
  <si>
    <t>ENST00000491794</t>
  </si>
  <si>
    <t>ENSG00000159176</t>
  </si>
  <si>
    <t>ENSG00000159199</t>
  </si>
  <si>
    <t>ENST00000355938</t>
  </si>
  <si>
    <t>ENST00000513347</t>
  </si>
  <si>
    <t>ENST00000514808</t>
  </si>
  <si>
    <t>ENST00000393366</t>
  </si>
  <si>
    <t>ENST00000504591</t>
  </si>
  <si>
    <t>ENST00000502964</t>
  </si>
  <si>
    <t>ENSG00000159202</t>
  </si>
  <si>
    <t>ENSG00000159210</t>
  </si>
  <si>
    <t>ENST00000502492</t>
  </si>
  <si>
    <t>ENST00000510558</t>
  </si>
  <si>
    <t>ENST00000515572</t>
  </si>
  <si>
    <t>ENST00000504000</t>
  </si>
  <si>
    <t>ENST00000512243</t>
  </si>
  <si>
    <t>ENST00000511214</t>
  </si>
  <si>
    <t>ENST00000515174</t>
  </si>
  <si>
    <t>ENST00000510195</t>
  </si>
  <si>
    <t>ENSG00000159216</t>
  </si>
  <si>
    <t>ENST00000344691</t>
  </si>
  <si>
    <t>ENST00000300305</t>
  </si>
  <si>
    <t>ENST00000399240</t>
  </si>
  <si>
    <t>ENST00000469087</t>
  </si>
  <si>
    <t>ENST00000437180</t>
  </si>
  <si>
    <t>ENSG00000159228</t>
  </si>
  <si>
    <t>ENSG00000159256</t>
  </si>
  <si>
    <t>ENSG00000159267</t>
  </si>
  <si>
    <t>ENSG00000159322</t>
  </si>
  <si>
    <t>ENST00000567941</t>
  </si>
  <si>
    <t>ENST00000311669</t>
  </si>
  <si>
    <t>ENST00000562621</t>
  </si>
  <si>
    <t>ENST00000566509</t>
  </si>
  <si>
    <t>ENSG00000159348</t>
  </si>
  <si>
    <t>ENSG00000159352</t>
  </si>
  <si>
    <t>ENSG00000159377</t>
  </si>
  <si>
    <t>ENSG00000159399</t>
  </si>
  <si>
    <t>ENSG00000159445</t>
  </si>
  <si>
    <t>ENSG00000159459</t>
  </si>
  <si>
    <t>ENSG00000159461</t>
  </si>
  <si>
    <t>ENSG00000159479</t>
  </si>
  <si>
    <t>ENST00000290663</t>
  </si>
  <si>
    <t>ENST00000372457</t>
  </si>
  <si>
    <t>ENST00000460803</t>
  </si>
  <si>
    <t>ENST00000473560</t>
  </si>
  <si>
    <t>ENSG00000159593</t>
  </si>
  <si>
    <t>ENST00000290810</t>
  </si>
  <si>
    <t>ENST00000563221</t>
  </si>
  <si>
    <t>ENST00000568672</t>
  </si>
  <si>
    <t>ENST00000379463</t>
  </si>
  <si>
    <t>ENST00000562074</t>
  </si>
  <si>
    <t>ENST00000567521</t>
  </si>
  <si>
    <t>ENST00000567743</t>
  </si>
  <si>
    <t>ENST00000562757</t>
  </si>
  <si>
    <t>ENST00000563419</t>
  </si>
  <si>
    <t>ENST00000569963</t>
  </si>
  <si>
    <t>ENSG00000159692</t>
  </si>
  <si>
    <t>ENSG00000159720</t>
  </si>
  <si>
    <t>ENSG00000159753</t>
  </si>
  <si>
    <t>ENSG00000159840</t>
  </si>
  <si>
    <t>ENSG00000160007</t>
  </si>
  <si>
    <t>ENSG00000160049</t>
  </si>
  <si>
    <t>ENSG00000160050</t>
  </si>
  <si>
    <t>ENST00000373602</t>
  </si>
  <si>
    <t>ENST00000421922</t>
  </si>
  <si>
    <t>ENSG00000160058</t>
  </si>
  <si>
    <t>ENST00000455895</t>
  </si>
  <si>
    <t>ENST00000341071</t>
  </si>
  <si>
    <t>ENST00000530876</t>
  </si>
  <si>
    <t>ENST00000533084</t>
  </si>
  <si>
    <t>ENST00000531222</t>
  </si>
  <si>
    <t>ENSG00000160072</t>
  </si>
  <si>
    <t>ENSG00000160075</t>
  </si>
  <si>
    <t>ENSG00000160087</t>
  </si>
  <si>
    <t>ENST00000450390</t>
  </si>
  <si>
    <t>ENST00000349431</t>
  </si>
  <si>
    <t>ENST00000467339</t>
  </si>
  <si>
    <t>ENST00000471154</t>
  </si>
  <si>
    <t>ENST00000461142</t>
  </si>
  <si>
    <t>ENST00000488418</t>
  </si>
  <si>
    <t>ENSG00000160124</t>
  </si>
  <si>
    <t>ENSG00000160185</t>
  </si>
  <si>
    <t>ENST00000291535</t>
  </si>
  <si>
    <t>ENST00000319294</t>
  </si>
  <si>
    <t>ENSG00000160194</t>
  </si>
  <si>
    <t>ENST00000354250</t>
  </si>
  <si>
    <t>ENST00000340344</t>
  </si>
  <si>
    <t>ENSG00000160199</t>
  </si>
  <si>
    <t>ENST00000291547</t>
  </si>
  <si>
    <t>ENST00000418336</t>
  </si>
  <si>
    <t>ENST00000480179</t>
  </si>
  <si>
    <t>ENST00000456957</t>
  </si>
  <si>
    <t>ENST00000474336</t>
  </si>
  <si>
    <t>ENST00000558955</t>
  </si>
  <si>
    <t>ENSG00000160208</t>
  </si>
  <si>
    <t>ENSG00000160209</t>
  </si>
  <si>
    <t>ENSG00000160211</t>
  </si>
  <si>
    <t>ENSG00000160213</t>
  </si>
  <si>
    <t>ENSG00000160214</t>
  </si>
  <si>
    <t>ENSG00000160216</t>
  </si>
  <si>
    <t>ENST00000327505</t>
  </si>
  <si>
    <t>ENST00000479117</t>
  </si>
  <si>
    <t>ENST00000467358</t>
  </si>
  <si>
    <t>ENST00000484865</t>
  </si>
  <si>
    <t>ENSG00000160218</t>
  </si>
  <si>
    <t>ENSG00000160255</t>
  </si>
  <si>
    <t>ENSG00000160256</t>
  </si>
  <si>
    <t>ENST00000291634</t>
  </si>
  <si>
    <t>ENST00000397826</t>
  </si>
  <si>
    <t>ENST00000485207</t>
  </si>
  <si>
    <t>ENSG00000160285</t>
  </si>
  <si>
    <t>ENSG00000160294</t>
  </si>
  <si>
    <t>ENSG00000160305</t>
  </si>
  <si>
    <t>ENST00000473752</t>
  </si>
  <si>
    <t>ENST00000494435</t>
  </si>
  <si>
    <t>ENST00000480553</t>
  </si>
  <si>
    <t>ENST00000472364</t>
  </si>
  <si>
    <t>ENST00000481883</t>
  </si>
  <si>
    <t>ENST00000478105</t>
  </si>
  <si>
    <t>ENST00000479654</t>
  </si>
  <si>
    <t>ENSG00000160310</t>
  </si>
  <si>
    <t>ENSG00000160392</t>
  </si>
  <si>
    <t>ENST00000582783</t>
  </si>
  <si>
    <t>ENST00000392035</t>
  </si>
  <si>
    <t>ENST00000582734</t>
  </si>
  <si>
    <t>ENSG00000160404</t>
  </si>
  <si>
    <t>ENSG00000160410</t>
  </si>
  <si>
    <t>ENSG00000160584</t>
  </si>
  <si>
    <t>ENST00000445177</t>
  </si>
  <si>
    <t>ENST00000465421</t>
  </si>
  <si>
    <t>ENST00000480468</t>
  </si>
  <si>
    <t>ENST00000480222</t>
  </si>
  <si>
    <t>ENST00000413553</t>
  </si>
  <si>
    <t>ENST00000472648</t>
  </si>
  <si>
    <t>ENSG00000160633</t>
  </si>
  <si>
    <t>ENST00000590485</t>
  </si>
  <si>
    <t>ENST00000592707</t>
  </si>
  <si>
    <t>ENSG00000160654</t>
  </si>
  <si>
    <t>ENSG00000160679</t>
  </si>
  <si>
    <t>ENST00000368694</t>
  </si>
  <si>
    <t>ENST00000368687</t>
  </si>
  <si>
    <t>ENST00000368686</t>
  </si>
  <si>
    <t>ENSG00000160685</t>
  </si>
  <si>
    <t>ENSG00000160688</t>
  </si>
  <si>
    <t>ENST00000368433</t>
  </si>
  <si>
    <t>ENST00000368432</t>
  </si>
  <si>
    <t>ENST00000368431</t>
  </si>
  <si>
    <t>ENST00000292180</t>
  </si>
  <si>
    <t>ENST00000368428</t>
  </si>
  <si>
    <t>ENST00000481758</t>
  </si>
  <si>
    <t>ENSG00000160691</t>
  </si>
  <si>
    <t>ENST00000368445</t>
  </si>
  <si>
    <t>ENST00000448116</t>
  </si>
  <si>
    <t>ENST00000368453</t>
  </si>
  <si>
    <t>ENST00000368450</t>
  </si>
  <si>
    <t>ENST00000414115</t>
  </si>
  <si>
    <t>ENST00000444179</t>
  </si>
  <si>
    <t>ENST00000412170</t>
  </si>
  <si>
    <t>ENSG00000160695</t>
  </si>
  <si>
    <t>ENSG00000160714</t>
  </si>
  <si>
    <t>ENST00000497453</t>
  </si>
  <si>
    <t>ENSG00000160741</t>
  </si>
  <si>
    <t>ENST00000467860</t>
  </si>
  <si>
    <t>ENSG00000160752</t>
  </si>
  <si>
    <t>ENSG00000160785</t>
  </si>
  <si>
    <t>ENSG00000160796</t>
  </si>
  <si>
    <t>ENST00000450053</t>
  </si>
  <si>
    <t>ENST00000486870</t>
  </si>
  <si>
    <t>ENST00000469349</t>
  </si>
  <si>
    <t>ENSG00000160799</t>
  </si>
  <si>
    <t>ENSG00000160803</t>
  </si>
  <si>
    <t>ENSG00000160813</t>
  </si>
  <si>
    <t>ENSG00000160818</t>
  </si>
  <si>
    <t>ENSG00000160908</t>
  </si>
  <si>
    <t>ENST00000337673</t>
  </si>
  <si>
    <t>ENST00000426306</t>
  </si>
  <si>
    <t>ENST00000481881</t>
  </si>
  <si>
    <t>ENST00000485576</t>
  </si>
  <si>
    <t>ENST00000464401</t>
  </si>
  <si>
    <t>ENSG00000160917</t>
  </si>
  <si>
    <t>ENSG00000160948</t>
  </si>
  <si>
    <t>ENSG00000160953</t>
  </si>
  <si>
    <t>ENST00000590695</t>
  </si>
  <si>
    <t>ENST00000591433</t>
  </si>
  <si>
    <t>ENST00000586996</t>
  </si>
  <si>
    <t>ENST00000585399</t>
  </si>
  <si>
    <t>ENST00000591627</t>
  </si>
  <si>
    <t>ENST00000591453</t>
  </si>
  <si>
    <t>ENSG00000160961</t>
  </si>
  <si>
    <t>ENST00000392987</t>
  </si>
  <si>
    <t>ENST00000596285</t>
  </si>
  <si>
    <t>ENST00000594592</t>
  </si>
  <si>
    <t>ENSG00000160993</t>
  </si>
  <si>
    <t>ENSG00000161010</t>
  </si>
  <si>
    <t>ENST00000518219</t>
  </si>
  <si>
    <t>ENST00000520900</t>
  </si>
  <si>
    <t>ENST00000519318</t>
  </si>
  <si>
    <t>ENSG00000161011</t>
  </si>
  <si>
    <t>ENSG00000161013</t>
  </si>
  <si>
    <t>ENST00000337755</t>
  </si>
  <si>
    <t>ENST00000292591</t>
  </si>
  <si>
    <t>ENST00000522451</t>
  </si>
  <si>
    <t>ENST00000518702</t>
  </si>
  <si>
    <t>ENST00000520822</t>
  </si>
  <si>
    <t>ENST00000521855</t>
  </si>
  <si>
    <t>ENST00000518168</t>
  </si>
  <si>
    <t>ENST00000519965</t>
  </si>
  <si>
    <t>ENSG00000161016</t>
  </si>
  <si>
    <t>ENSG00000161021</t>
  </si>
  <si>
    <t>ENSG00000161036</t>
  </si>
  <si>
    <t>ENSG00000161057</t>
  </si>
  <si>
    <t>ENSG00000161202</t>
  </si>
  <si>
    <t>ENST00000313143</t>
  </si>
  <si>
    <t>ENST00000478247</t>
  </si>
  <si>
    <t>ENST00000467873</t>
  </si>
  <si>
    <t>ENST00000478639</t>
  </si>
  <si>
    <t>ENSG00000161203</t>
  </si>
  <si>
    <t>ENST00000382456</t>
  </si>
  <si>
    <t>ENST00000487958</t>
  </si>
  <si>
    <t>ENST00000292807</t>
  </si>
  <si>
    <t>ENST00000466598</t>
  </si>
  <si>
    <t>ENST00000439647</t>
  </si>
  <si>
    <t>ENST00000472560</t>
  </si>
  <si>
    <t>ENST00000490151</t>
  </si>
  <si>
    <t>ENST00000468048</t>
  </si>
  <si>
    <t>ENST00000461733</t>
  </si>
  <si>
    <t>ENST00000476434</t>
  </si>
  <si>
    <t>ENST00000463935</t>
  </si>
  <si>
    <t>ENST00000480260</t>
  </si>
  <si>
    <t>ENST00000442686</t>
  </si>
  <si>
    <t>ENSG00000161204</t>
  </si>
  <si>
    <t>ENST00000429586</t>
  </si>
  <si>
    <t>ENST00000485921</t>
  </si>
  <si>
    <t>ENST00000463685</t>
  </si>
  <si>
    <t>ENST00000473311</t>
  </si>
  <si>
    <t>ENST00000472608</t>
  </si>
  <si>
    <t>ENST00000466742</t>
  </si>
  <si>
    <t>ENST00000480562</t>
  </si>
  <si>
    <t>ENST00000480539</t>
  </si>
  <si>
    <t>ENSG00000161217</t>
  </si>
  <si>
    <t>ENSG00000161405</t>
  </si>
  <si>
    <t>ENSG00000161526</t>
  </si>
  <si>
    <t>ENST00000584667</t>
  </si>
  <si>
    <t>ENST00000584861</t>
  </si>
  <si>
    <t>ENST00000577292</t>
  </si>
  <si>
    <t>ENST00000579864</t>
  </si>
  <si>
    <t>ENST00000578909</t>
  </si>
  <si>
    <t>ENST00000580601</t>
  </si>
  <si>
    <t>ENST00000581207</t>
  </si>
  <si>
    <t>ENST00000581385</t>
  </si>
  <si>
    <t>ENST00000584557</t>
  </si>
  <si>
    <t>ENSG00000161533</t>
  </si>
  <si>
    <t>ENST00000293217</t>
  </si>
  <si>
    <t>ENST00000589744</t>
  </si>
  <si>
    <t>ENST00000592329</t>
  </si>
  <si>
    <t>ENSG00000161542</t>
  </si>
  <si>
    <t>ENST00000446526</t>
  </si>
  <si>
    <t>ENST00000592474</t>
  </si>
  <si>
    <t>ENST00000488339</t>
  </si>
  <si>
    <t>ENST00000472686</t>
  </si>
  <si>
    <t>ENST00000586137</t>
  </si>
  <si>
    <t>ENST00000494662</t>
  </si>
  <si>
    <t>ENSG00000161547</t>
  </si>
  <si>
    <t>ENSG00000161618</t>
  </si>
  <si>
    <t>ENSG00000161638</t>
  </si>
  <si>
    <t>ENSG00000161654</t>
  </si>
  <si>
    <t>ENSG00000161671</t>
  </si>
  <si>
    <t>ENST00000601780</t>
  </si>
  <si>
    <t>ENST00000334976</t>
  </si>
  <si>
    <t>ENST00000594508</t>
  </si>
  <si>
    <t>ENSG00000161791</t>
  </si>
  <si>
    <t>ENST00000352151</t>
  </si>
  <si>
    <t>ENST00000550970</t>
  </si>
  <si>
    <t>ENSG00000161813</t>
  </si>
  <si>
    <t>ENST00000429001</t>
  </si>
  <si>
    <t>ENST00000398473</t>
  </si>
  <si>
    <t>ENST00000522085</t>
  </si>
  <si>
    <t>ENST00000347328</t>
  </si>
  <si>
    <t>ENST00000521120</t>
  </si>
  <si>
    <t>ENSG00000161847</t>
  </si>
  <si>
    <t>ENST00000293677</t>
  </si>
  <si>
    <t>ENST00000592208</t>
  </si>
  <si>
    <t>ENSG00000161920</t>
  </si>
  <si>
    <t>ENSG00000161956</t>
  </si>
  <si>
    <t>ENSG00000161960</t>
  </si>
  <si>
    <t>ENST00000577929</t>
  </si>
  <si>
    <t>ENSG00000161970</t>
  </si>
  <si>
    <t>ENSG00000161980</t>
  </si>
  <si>
    <t>ENST00000293860</t>
  </si>
  <si>
    <t>ENST00000481810</t>
  </si>
  <si>
    <t>ENSG00000162076</t>
  </si>
  <si>
    <t>ENSG00000162191</t>
  </si>
  <si>
    <t>ENSG00000162222</t>
  </si>
  <si>
    <t>ENSG00000162227</t>
  </si>
  <si>
    <t>ENSG00000162231</t>
  </si>
  <si>
    <t>ENSG00000162236</t>
  </si>
  <si>
    <t>ENSG00000162244</t>
  </si>
  <si>
    <t>ENSG00000162300</t>
  </si>
  <si>
    <t>ENSG00000162302</t>
  </si>
  <si>
    <t>ENST00000530383</t>
  </si>
  <si>
    <t>ENST00000531659</t>
  </si>
  <si>
    <t>ENST00000532496</t>
  </si>
  <si>
    <t>ENSG00000162368</t>
  </si>
  <si>
    <t>ENSG00000162384</t>
  </si>
  <si>
    <t>ENSG00000162385</t>
  </si>
  <si>
    <t>ENST00000371470</t>
  </si>
  <si>
    <t>ENST00000371466</t>
  </si>
  <si>
    <t>ENST00000495868</t>
  </si>
  <si>
    <t>ENST00000462941</t>
  </si>
  <si>
    <t>ENSG00000162402</t>
  </si>
  <si>
    <t>ENSG00000162408</t>
  </si>
  <si>
    <t>ENSG00000162419</t>
  </si>
  <si>
    <t>ENST00000373816</t>
  </si>
  <si>
    <t>ENST00000294409</t>
  </si>
  <si>
    <t>ENST00000480454</t>
  </si>
  <si>
    <t>ENSG00000162434</t>
  </si>
  <si>
    <t>ENSG00000162441</t>
  </si>
  <si>
    <t>ENSG00000162521</t>
  </si>
  <si>
    <t>ENST00000373493</t>
  </si>
  <si>
    <t>ENST00000401893</t>
  </si>
  <si>
    <t>ENST00000524393</t>
  </si>
  <si>
    <t>ENST00000525506</t>
  </si>
  <si>
    <t>ENST00000465780</t>
  </si>
  <si>
    <t>ENST00000531983</t>
  </si>
  <si>
    <t>ENST00000482190</t>
  </si>
  <si>
    <t>ENSG00000162601</t>
  </si>
  <si>
    <t>ENSG00000162607</t>
  </si>
  <si>
    <t>ENSG00000162613</t>
  </si>
  <si>
    <t>ENSG00000162623</t>
  </si>
  <si>
    <t>ENST00000370867</t>
  </si>
  <si>
    <t>ENST00000483990</t>
  </si>
  <si>
    <t>ENST00000485401</t>
  </si>
  <si>
    <t>ENSG00000162636</t>
  </si>
  <si>
    <t>ENST00000370035</t>
  </si>
  <si>
    <t>ENST00000483371</t>
  </si>
  <si>
    <t>ENSG00000162639</t>
  </si>
  <si>
    <t>ENST00000370032</t>
  </si>
  <si>
    <t>ENST00000420055</t>
  </si>
  <si>
    <t>ENST00000483729</t>
  </si>
  <si>
    <t>ENST00000402983</t>
  </si>
  <si>
    <t>ENSG00000162645</t>
  </si>
  <si>
    <t>ENSG00000162650</t>
  </si>
  <si>
    <t>ENST00000497545</t>
  </si>
  <si>
    <t>ENST00000369869</t>
  </si>
  <si>
    <t>ENSG00000162654</t>
  </si>
  <si>
    <t>ENSG00000162664</t>
  </si>
  <si>
    <t>ENST00000361911</t>
  </si>
  <si>
    <t>ENSG00000162688</t>
  </si>
  <si>
    <t>ENSG00000162695</t>
  </si>
  <si>
    <t>ENSG00000162704</t>
  </si>
  <si>
    <t>ENSG00000162729</t>
  </si>
  <si>
    <t>ENST00000314485</t>
  </si>
  <si>
    <t>ENST00000368086</t>
  </si>
  <si>
    <t>ENST00000460351</t>
  </si>
  <si>
    <t>ENSG00000162735</t>
  </si>
  <si>
    <t>ENSG00000162736</t>
  </si>
  <si>
    <t>ENST00000294785</t>
  </si>
  <si>
    <t>ENST00000465223</t>
  </si>
  <si>
    <t>ENST00000491390</t>
  </si>
  <si>
    <t>ENSG00000162739</t>
  </si>
  <si>
    <t>ENST00000368059</t>
  </si>
  <si>
    <t>ENST00000368057</t>
  </si>
  <si>
    <t>ENSG00000162775</t>
  </si>
  <si>
    <t>ENST00000602849</t>
  </si>
  <si>
    <t>ENST00000487146</t>
  </si>
  <si>
    <t>ENSG00000162777</t>
  </si>
  <si>
    <t>ENST00000468692</t>
  </si>
  <si>
    <t>ENST00000357640</t>
  </si>
  <si>
    <t>ENST00000369752</t>
  </si>
  <si>
    <t>ENST00000473682</t>
  </si>
  <si>
    <t>ENST00000463713</t>
  </si>
  <si>
    <t>ENST00000477586</t>
  </si>
  <si>
    <t>ENSG00000162813</t>
  </si>
  <si>
    <t>ENST00000548668</t>
  </si>
  <si>
    <t>ENST00000498237</t>
  </si>
  <si>
    <t>ENST00000322067</t>
  </si>
  <si>
    <t>ENSG00000162819</t>
  </si>
  <si>
    <t>ENSG00000162836</t>
  </si>
  <si>
    <t>ENST00000609196</t>
  </si>
  <si>
    <t>ENST00000460583</t>
  </si>
  <si>
    <t>ENSG00000162852</t>
  </si>
  <si>
    <t>ENST00000483271</t>
  </si>
  <si>
    <t>ENST00000366513</t>
  </si>
  <si>
    <t>ENSG00000162869</t>
  </si>
  <si>
    <t>ENSG00000162889</t>
  </si>
  <si>
    <t>ENSG00000162894</t>
  </si>
  <si>
    <t>ENST00000367091</t>
  </si>
  <si>
    <t>ENST00000442471</t>
  </si>
  <si>
    <t>ENST00000533312</t>
  </si>
  <si>
    <t>ENSG00000162909</t>
  </si>
  <si>
    <t>ENSG00000162910</t>
  </si>
  <si>
    <t>ENST00000492170</t>
  </si>
  <si>
    <t>ENST00000489430</t>
  </si>
  <si>
    <t>ENSG00000162923</t>
  </si>
  <si>
    <t>ENST00000414423</t>
  </si>
  <si>
    <t>ENST00000479727</t>
  </si>
  <si>
    <t>ENST00000479778</t>
  </si>
  <si>
    <t>ENSG00000162924</t>
  </si>
  <si>
    <t>ENST00000295025</t>
  </si>
  <si>
    <t>ENST00000394479</t>
  </si>
  <si>
    <t>ENSG00000162961</t>
  </si>
  <si>
    <t>ENSG00000162971</t>
  </si>
  <si>
    <t>ENST00000483328</t>
  </si>
  <si>
    <t>ENST00000493181</t>
  </si>
  <si>
    <t>ENSG00000163001</t>
  </si>
  <si>
    <t>ENST00000490934</t>
  </si>
  <si>
    <t>ENSG00000163002</t>
  </si>
  <si>
    <t>ENST00000295119</t>
  </si>
  <si>
    <t>ENST00000479162</t>
  </si>
  <si>
    <t>ENSG00000163026</t>
  </si>
  <si>
    <t>ENSG00000163050</t>
  </si>
  <si>
    <t>ENST00000366777</t>
  </si>
  <si>
    <t>ENST00000478406</t>
  </si>
  <si>
    <t>ENST00000485462</t>
  </si>
  <si>
    <t>ENSG00000163110</t>
  </si>
  <si>
    <t>ENSG00000163156</t>
  </si>
  <si>
    <t>ENST00000602841</t>
  </si>
  <si>
    <t>ENST00000461862</t>
  </si>
  <si>
    <t>ENST00000368905</t>
  </si>
  <si>
    <t>ENST00000471039</t>
  </si>
  <si>
    <t>ENST00000368902</t>
  </si>
  <si>
    <t>ENST00000497147</t>
  </si>
  <si>
    <t>ENST00000459799</t>
  </si>
  <si>
    <t>ENSG00000163159</t>
  </si>
  <si>
    <t>ENSG00000163161</t>
  </si>
  <si>
    <t>ENSG00000163170</t>
  </si>
  <si>
    <t>ENSG00000163214</t>
  </si>
  <si>
    <t>ENSG00000163281</t>
  </si>
  <si>
    <t>ENSG00000163320</t>
  </si>
  <si>
    <t>ENSG00000163322</t>
  </si>
  <si>
    <t>ENSG00000163346</t>
  </si>
  <si>
    <t>ENST00000368463</t>
  </si>
  <si>
    <t>ENST00000368460</t>
  </si>
  <si>
    <t>ENST00000493133</t>
  </si>
  <si>
    <t>ENSG00000163374</t>
  </si>
  <si>
    <t>ENST00000442834</t>
  </si>
  <si>
    <t>ENST00000368340</t>
  </si>
  <si>
    <t>ENST00000355499</t>
  </si>
  <si>
    <t>ENST00000404643</t>
  </si>
  <si>
    <t>ENST00000405763</t>
  </si>
  <si>
    <t>ENST00000368339</t>
  </si>
  <si>
    <t>ENSG00000163382</t>
  </si>
  <si>
    <t>ENSG00000163389</t>
  </si>
  <si>
    <t>ENSG00000163399</t>
  </si>
  <si>
    <t>ENST00000295598</t>
  </si>
  <si>
    <t>ENST00000488733</t>
  </si>
  <si>
    <t>ENST00000463382</t>
  </si>
  <si>
    <t>ENST00000491156</t>
  </si>
  <si>
    <t>ENST00000479960</t>
  </si>
  <si>
    <t>ENSG00000163466</t>
  </si>
  <si>
    <t>ENSG00000163468</t>
  </si>
  <si>
    <t>ENSG00000163481</t>
  </si>
  <si>
    <t>ENSG00000163512</t>
  </si>
  <si>
    <t>ENSG00000163513</t>
  </si>
  <si>
    <t>ENSG00000163516</t>
  </si>
  <si>
    <t>ENST00000486203</t>
  </si>
  <si>
    <t>ENSG00000163519</t>
  </si>
  <si>
    <t>ENSG00000163527</t>
  </si>
  <si>
    <t>ENSG00000163528</t>
  </si>
  <si>
    <t>ENSG00000163541</t>
  </si>
  <si>
    <t>ENSG00000163564</t>
  </si>
  <si>
    <t>ENST00000368140</t>
  </si>
  <si>
    <t>ENST00000392254</t>
  </si>
  <si>
    <t>ENST00000368135</t>
  </si>
  <si>
    <t>ENST00000485134</t>
  </si>
  <si>
    <t>ENSG00000163565</t>
  </si>
  <si>
    <t>ENSG00000163584</t>
  </si>
  <si>
    <t>ENSG00000163605</t>
  </si>
  <si>
    <t>ENSG00000163607</t>
  </si>
  <si>
    <t>ENST00000383678</t>
  </si>
  <si>
    <t>ENST00000488781</t>
  </si>
  <si>
    <t>ENST00000473129</t>
  </si>
  <si>
    <t>ENSG00000163608</t>
  </si>
  <si>
    <t>ENST00000314400</t>
  </si>
  <si>
    <t>ENST00000472637</t>
  </si>
  <si>
    <t>ENST00000486271</t>
  </si>
  <si>
    <t>ENST00000474311</t>
  </si>
  <si>
    <t>ENST00000473284</t>
  </si>
  <si>
    <t>ENST00000482229</t>
  </si>
  <si>
    <t>ENST00000464816</t>
  </si>
  <si>
    <t>ENST00000494891</t>
  </si>
  <si>
    <t>ENST00000496340</t>
  </si>
  <si>
    <t>ENSG00000163634</t>
  </si>
  <si>
    <t>ENSG00000163635</t>
  </si>
  <si>
    <t>ENST00000522345</t>
  </si>
  <si>
    <t>ENSG00000163636</t>
  </si>
  <si>
    <t>ENSG00000163644</t>
  </si>
  <si>
    <t>ENSG00000163682</t>
  </si>
  <si>
    <t>ENSG00000163686</t>
  </si>
  <si>
    <t>ENST00000478253</t>
  </si>
  <si>
    <t>ENST00000470440</t>
  </si>
  <si>
    <t>ENSG00000163703</t>
  </si>
  <si>
    <t>ENSG00000163719</t>
  </si>
  <si>
    <t>ENST00000353332</t>
  </si>
  <si>
    <t>ENST00000296003</t>
  </si>
  <si>
    <t>ENST00000480578</t>
  </si>
  <si>
    <t>ENST00000431250</t>
  </si>
  <si>
    <t>ENST00000606184</t>
  </si>
  <si>
    <t>ENSG00000163743</t>
  </si>
  <si>
    <t>ENST00000324439</t>
  </si>
  <si>
    <t>ENST00000512567</t>
  </si>
  <si>
    <t>ENST00000505514</t>
  </si>
  <si>
    <t>ENST00000513083</t>
  </si>
  <si>
    <t>ENSG00000163754</t>
  </si>
  <si>
    <t>ENST00000296048</t>
  </si>
  <si>
    <t>ENST00000469873</t>
  </si>
  <si>
    <t>ENSG00000163755</t>
  </si>
  <si>
    <t>ENST00000296051</t>
  </si>
  <si>
    <t>ENST00000486530</t>
  </si>
  <si>
    <t>ENST00000478525</t>
  </si>
  <si>
    <t>ENSG00000163781</t>
  </si>
  <si>
    <t>ENSG00000163788</t>
  </si>
  <si>
    <t>ENSG00000163795</t>
  </si>
  <si>
    <t>ENST00000323703</t>
  </si>
  <si>
    <t>ENST00000407879</t>
  </si>
  <si>
    <t>ENSG00000163798</t>
  </si>
  <si>
    <t>ENSG00000163811</t>
  </si>
  <si>
    <t>ENSG00000163818</t>
  </si>
  <si>
    <t>ENST00000296135</t>
  </si>
  <si>
    <t>ENST00000478551</t>
  </si>
  <si>
    <t>ENST00000480156</t>
  </si>
  <si>
    <t>ENSG00000163820</t>
  </si>
  <si>
    <t>ENSG00000163832</t>
  </si>
  <si>
    <t>ENSG00000163848</t>
  </si>
  <si>
    <t>ENSG00000163867</t>
  </si>
  <si>
    <t>ENST00000357182</t>
  </si>
  <si>
    <t>ENST00000466345</t>
  </si>
  <si>
    <t>ENST00000472971</t>
  </si>
  <si>
    <t>ENST00000317538</t>
  </si>
  <si>
    <t>ENST00000471566</t>
  </si>
  <si>
    <t>ENSG00000163872</t>
  </si>
  <si>
    <t>ENSG00000163874</t>
  </si>
  <si>
    <t>ENSG00000163875</t>
  </si>
  <si>
    <t>ENST00000373075</t>
  </si>
  <si>
    <t>ENST00000296214</t>
  </si>
  <si>
    <t>ENST00000373074</t>
  </si>
  <si>
    <t>ENST00000475828</t>
  </si>
  <si>
    <t>ENST00000487792</t>
  </si>
  <si>
    <t>ENST00000485039</t>
  </si>
  <si>
    <t>ENST00000448519</t>
  </si>
  <si>
    <t>ENSG00000163877</t>
  </si>
  <si>
    <t>ENSG00000163882</t>
  </si>
  <si>
    <t>ENSG00000163902</t>
  </si>
  <si>
    <t>ENSG00000163904</t>
  </si>
  <si>
    <t>ENST00000296257</t>
  </si>
  <si>
    <t>ENST00000473760</t>
  </si>
  <si>
    <t>ENST00000459883</t>
  </si>
  <si>
    <t>ENST00000478001</t>
  </si>
  <si>
    <t>ENST00000476011</t>
  </si>
  <si>
    <t>ENST00000483005</t>
  </si>
  <si>
    <t>ENSG00000163913</t>
  </si>
  <si>
    <t>ENST00000504653</t>
  </si>
  <si>
    <t>ENST00000514081</t>
  </si>
  <si>
    <t>ENST00000513190</t>
  </si>
  <si>
    <t>ENSG00000163918</t>
  </si>
  <si>
    <t>ENST00000479307</t>
  </si>
  <si>
    <t>ENST00000296273</t>
  </si>
  <si>
    <t>ENST00000494047</t>
  </si>
  <si>
    <t>ENST00000460408</t>
  </si>
  <si>
    <t>ENST00000489028</t>
  </si>
  <si>
    <t>ENST00000448497</t>
  </si>
  <si>
    <t>ENSG00000163930</t>
  </si>
  <si>
    <t>ENSG00000163931</t>
  </si>
  <si>
    <t>ENSG00000163938</t>
  </si>
  <si>
    <t>ENST00000418458</t>
  </si>
  <si>
    <t>ENST00000468885</t>
  </si>
  <si>
    <t>ENST00000462550</t>
  </si>
  <si>
    <t>ENST00000496254</t>
  </si>
  <si>
    <t>ENST00000484022</t>
  </si>
  <si>
    <t>ENST00000497356</t>
  </si>
  <si>
    <t>ENSG00000163939</t>
  </si>
  <si>
    <t>ENST00000356770</t>
  </si>
  <si>
    <t>ENST00000296302</t>
  </si>
  <si>
    <t>ENST00000409057</t>
  </si>
  <si>
    <t>ENST00000462207</t>
  </si>
  <si>
    <t>ENST00000480064</t>
  </si>
  <si>
    <t>ENSG00000163946</t>
  </si>
  <si>
    <t>ENSG00000163947</t>
  </si>
  <si>
    <t>ENST00000296315</t>
  </si>
  <si>
    <t>ENST00000496106</t>
  </si>
  <si>
    <t>ENST00000495373</t>
  </si>
  <si>
    <t>ENST00000498517</t>
  </si>
  <si>
    <t>ENSG00000163956</t>
  </si>
  <si>
    <t>ENSG00000163964</t>
  </si>
  <si>
    <t>ENST00000392391</t>
  </si>
  <si>
    <t>ENST00000421265</t>
  </si>
  <si>
    <t>ENST00000451319</t>
  </si>
  <si>
    <t>ENSG00000164024</t>
  </si>
  <si>
    <t>ENSG00000164031</t>
  </si>
  <si>
    <t>ENSG00000164032</t>
  </si>
  <si>
    <t>ENST00000511348</t>
  </si>
  <si>
    <t>ENST00000511203</t>
  </si>
  <si>
    <t>ENST00000296417</t>
  </si>
  <si>
    <t>ENST00000511319</t>
  </si>
  <si>
    <t>ENSG00000164039</t>
  </si>
  <si>
    <t>ENSG00000164040</t>
  </si>
  <si>
    <t>ENSG00000164062</t>
  </si>
  <si>
    <t>ENSG00000164081</t>
  </si>
  <si>
    <t>ENSG00000164088</t>
  </si>
  <si>
    <t>ENST00000296487</t>
  </si>
  <si>
    <t>ENST00000489606</t>
  </si>
  <si>
    <t>ENST00000472955</t>
  </si>
  <si>
    <t>ENST00000482724</t>
  </si>
  <si>
    <t>ENST00000443681</t>
  </si>
  <si>
    <t>ENSG00000164091</t>
  </si>
  <si>
    <t>ENSG00000164104</t>
  </si>
  <si>
    <t>ENSG00000164109</t>
  </si>
  <si>
    <t>ENSG00000164111</t>
  </si>
  <si>
    <t>ENSG00000164134</t>
  </si>
  <si>
    <t>ENSG00000164162</t>
  </si>
  <si>
    <t>ENSG00000164163</t>
  </si>
  <si>
    <t>ENSG00000164164</t>
  </si>
  <si>
    <t>ENSG00000164167</t>
  </si>
  <si>
    <t>ENSG00000164169</t>
  </si>
  <si>
    <t>ENSG00000164172</t>
  </si>
  <si>
    <t>ENSG00000164211</t>
  </si>
  <si>
    <t>ENST00000296632</t>
  </si>
  <si>
    <t>ENST00000511137</t>
  </si>
  <si>
    <t>ENST00000505803</t>
  </si>
  <si>
    <t>ENST00000502322</t>
  </si>
  <si>
    <t>ENST00000509887</t>
  </si>
  <si>
    <t>ENST00000508215</t>
  </si>
  <si>
    <t>ENSG00000164219</t>
  </si>
  <si>
    <t>ENSG00000164244</t>
  </si>
  <si>
    <t>ENSG00000164253</t>
  </si>
  <si>
    <t>ENST00000296679</t>
  </si>
  <si>
    <t>ENST00000502528</t>
  </si>
  <si>
    <t>ENST00000507239</t>
  </si>
  <si>
    <t>ENSG00000164258</t>
  </si>
  <si>
    <t>ENSG00000164284</t>
  </si>
  <si>
    <t>ENST00000513661</t>
  </si>
  <si>
    <t>ENST00000329271</t>
  </si>
  <si>
    <t>ENST00000507562</t>
  </si>
  <si>
    <t>ENSG00000164305</t>
  </si>
  <si>
    <t>ENSG00000164306</t>
  </si>
  <si>
    <t>ENST00000314970</t>
  </si>
  <si>
    <t>ENST00000509538</t>
  </si>
  <si>
    <t>ENST00000512658</t>
  </si>
  <si>
    <t>ENSG00000164307</t>
  </si>
  <si>
    <t>ENST00000296754</t>
  </si>
  <si>
    <t>ENST00000443439</t>
  </si>
  <si>
    <t>ENST00000507859</t>
  </si>
  <si>
    <t>ENST00000503311</t>
  </si>
  <si>
    <t>ENSG00000164308</t>
  </si>
  <si>
    <t>ENST00000437043</t>
  </si>
  <si>
    <t>ENST00000510309</t>
  </si>
  <si>
    <t>ENST00000507346</t>
  </si>
  <si>
    <t>ENST00000515387</t>
  </si>
  <si>
    <t>ENST00000513368</t>
  </si>
  <si>
    <t>ENST00000512869</t>
  </si>
  <si>
    <t>ENSG00000164327</t>
  </si>
  <si>
    <t>ENSG00000164329</t>
  </si>
  <si>
    <t>ENST00000502269</t>
  </si>
  <si>
    <t>ENST00000296783</t>
  </si>
  <si>
    <t>ENST00000509227</t>
  </si>
  <si>
    <t>ENST00000513735</t>
  </si>
  <si>
    <t>ENST00000515298</t>
  </si>
  <si>
    <t>ENST00000505770</t>
  </si>
  <si>
    <t>ENST00000453514</t>
  </si>
  <si>
    <t>ENSG00000164332</t>
  </si>
  <si>
    <t>ENSG00000164338</t>
  </si>
  <si>
    <t>ENSG00000164346</t>
  </si>
  <si>
    <t>ENSG00000164347</t>
  </si>
  <si>
    <t>ENST00000296805</t>
  </si>
  <si>
    <t>ENST00000506263</t>
  </si>
  <si>
    <t>ENST00000427854</t>
  </si>
  <si>
    <t>ENST00000513331</t>
  </si>
  <si>
    <t>ENSG00000164366</t>
  </si>
  <si>
    <t>ENSG00000164405</t>
  </si>
  <si>
    <t>ENSG00000164430</t>
  </si>
  <si>
    <t>ENST00000370315</t>
  </si>
  <si>
    <t>ENST00000459924</t>
  </si>
  <si>
    <t>ENSG00000164463</t>
  </si>
  <si>
    <t>ENSG00000164466</t>
  </si>
  <si>
    <t>ENSG00000164494</t>
  </si>
  <si>
    <t>ENST00000369037</t>
  </si>
  <si>
    <t>ENST00000369031</t>
  </si>
  <si>
    <t>ENSG00000164543</t>
  </si>
  <si>
    <t>ENST00000319357</t>
  </si>
  <si>
    <t>ENST00000474211</t>
  </si>
  <si>
    <t>ENSG00000164548</t>
  </si>
  <si>
    <t>ENST00000297071</t>
  </si>
  <si>
    <t>ENST00000475970</t>
  </si>
  <si>
    <t>ENST00000482395</t>
  </si>
  <si>
    <t>ENST00000486934</t>
  </si>
  <si>
    <t>ENST00000494255</t>
  </si>
  <si>
    <t>ENST00000490942</t>
  </si>
  <si>
    <t>ENSG00000164576</t>
  </si>
  <si>
    <t>ENST00000297109</t>
  </si>
  <si>
    <t>ENST00000520159</t>
  </si>
  <si>
    <t>ENST00000519683</t>
  </si>
  <si>
    <t>ENST00000523029</t>
  </si>
  <si>
    <t>ENST00000517926</t>
  </si>
  <si>
    <t>ENSG00000164587</t>
  </si>
  <si>
    <t>ENSG00000164597</t>
  </si>
  <si>
    <t>ENSG00000164609</t>
  </si>
  <si>
    <t>ENSG00000164611</t>
  </si>
  <si>
    <t>ENST00000352433</t>
  </si>
  <si>
    <t>ENST00000524244</t>
  </si>
  <si>
    <t>ENST00000523659</t>
  </si>
  <si>
    <t>ENST00000393964</t>
  </si>
  <si>
    <t>ENSG00000164615</t>
  </si>
  <si>
    <t>ENSG00000164654</t>
  </si>
  <si>
    <t>ENSG00000164687</t>
  </si>
  <si>
    <t>ENSG00000164691</t>
  </si>
  <si>
    <t>ENST00000367066</t>
  </si>
  <si>
    <t>ENST00000338313</t>
  </si>
  <si>
    <t>ENSG00000164733</t>
  </si>
  <si>
    <t>ENSG00000164754</t>
  </si>
  <si>
    <t>ENSG00000164815</t>
  </si>
  <si>
    <t>ENSG00000164818</t>
  </si>
  <si>
    <t>ENSG00000164830</t>
  </si>
  <si>
    <t>ENST00000312046</t>
  </si>
  <si>
    <t>ENST00000449762</t>
  </si>
  <si>
    <t>ENST00000521864</t>
  </si>
  <si>
    <t>ENSG00000164880</t>
  </si>
  <si>
    <t>ENSG00000164885</t>
  </si>
  <si>
    <t>ENSG00000164889</t>
  </si>
  <si>
    <t>ENSG00000164902</t>
  </si>
  <si>
    <t>ENSG00000164916</t>
  </si>
  <si>
    <t>ENSG00000164919</t>
  </si>
  <si>
    <t>ENSG00000164924</t>
  </si>
  <si>
    <t>ENSG00000164933</t>
  </si>
  <si>
    <t>ENSG00000164934</t>
  </si>
  <si>
    <t>ENSG00000164941</t>
  </si>
  <si>
    <t>ENSG00000164961</t>
  </si>
  <si>
    <t>ENSG00000164975</t>
  </si>
  <si>
    <t>ENSG00000164985</t>
  </si>
  <si>
    <t>ENSG00000165055</t>
  </si>
  <si>
    <t>ENSG00000165113</t>
  </si>
  <si>
    <t>ENST00000376371</t>
  </si>
  <si>
    <t>ENST00000491634</t>
  </si>
  <si>
    <t>ENSG00000165119</t>
  </si>
  <si>
    <t>ENST00000376281</t>
  </si>
  <si>
    <t>ENST00000351839</t>
  </si>
  <si>
    <t>ENST00000360384</t>
  </si>
  <si>
    <t>ENST00000493362</t>
  </si>
  <si>
    <t>ENST00000492865</t>
  </si>
  <si>
    <t>ENST00000481820</t>
  </si>
  <si>
    <t>ENST00000457156</t>
  </si>
  <si>
    <t>ENST00000472778</t>
  </si>
  <si>
    <t>ENST00000376256</t>
  </si>
  <si>
    <t>ENST00000483135</t>
  </si>
  <si>
    <t>ENST00000376263</t>
  </si>
  <si>
    <t>ENSG00000165156</t>
  </si>
  <si>
    <t>ENST00000395571</t>
  </si>
  <si>
    <t>ENST00000602651</t>
  </si>
  <si>
    <t>ENST00000522595</t>
  </si>
  <si>
    <t>ENST00000297857</t>
  </si>
  <si>
    <t>ENSG00000165169</t>
  </si>
  <si>
    <t>ENSG00000165209</t>
  </si>
  <si>
    <t>ENSG00000165219</t>
  </si>
  <si>
    <t>ENST00000470056</t>
  </si>
  <si>
    <t>ENST00000312123</t>
  </si>
  <si>
    <t>ENST00000479511</t>
  </si>
  <si>
    <t>ENST00000474637</t>
  </si>
  <si>
    <t>ENST00000467707</t>
  </si>
  <si>
    <t>ENSG00000165233</t>
  </si>
  <si>
    <t>ENST00000375464</t>
  </si>
  <si>
    <t>ENST00000495641</t>
  </si>
  <si>
    <t>ENST00000490488</t>
  </si>
  <si>
    <t>ENST00000498243</t>
  </si>
  <si>
    <t>ENST00000488630</t>
  </si>
  <si>
    <t>ENSG00000165271</t>
  </si>
  <si>
    <t>ENST00000353159</t>
  </si>
  <si>
    <t>ENST00000379470</t>
  </si>
  <si>
    <t>ENST00000297990</t>
  </si>
  <si>
    <t>ENST00000464829</t>
  </si>
  <si>
    <t>ENSG00000165280</t>
  </si>
  <si>
    <t>ENSG00000165283</t>
  </si>
  <si>
    <t>ENSG00000165392</t>
  </si>
  <si>
    <t>ENSG00000165416</t>
  </si>
  <si>
    <t>ENSG00000165458</t>
  </si>
  <si>
    <t>ENSG00000165487</t>
  </si>
  <si>
    <t>ENST00000479790</t>
  </si>
  <si>
    <t>ENST00000382374</t>
  </si>
  <si>
    <t>ENST00000478700</t>
  </si>
  <si>
    <t>ENST00000480341</t>
  </si>
  <si>
    <t>ENSG00000165494</t>
  </si>
  <si>
    <t>ENSG00000165506</t>
  </si>
  <si>
    <t>ENSG00000165516</t>
  </si>
  <si>
    <t>ENST00000298307</t>
  </si>
  <si>
    <t>ENST00000553703</t>
  </si>
  <si>
    <t>ENST00000557063</t>
  </si>
  <si>
    <t>ENST00000554115</t>
  </si>
  <si>
    <t>ENST00000553579</t>
  </si>
  <si>
    <t>ENSG00000165525</t>
  </si>
  <si>
    <t>ENST00000298310</t>
  </si>
  <si>
    <t>ENST00000556691</t>
  </si>
  <si>
    <t>ENST00000557193</t>
  </si>
  <si>
    <t>ENST00000554275</t>
  </si>
  <si>
    <t>ENST00000555863</t>
  </si>
  <si>
    <t>ENST00000553696</t>
  </si>
  <si>
    <t>ENST00000556882</t>
  </si>
  <si>
    <t>ENST00000556672</t>
  </si>
  <si>
    <t>ENSG00000165526</t>
  </si>
  <si>
    <t>ENST00000298317</t>
  </si>
  <si>
    <t>ENST00000530903</t>
  </si>
  <si>
    <t>ENST00000532800</t>
  </si>
  <si>
    <t>ENST00000525812</t>
  </si>
  <si>
    <t>ENSG00000165609</t>
  </si>
  <si>
    <t>ENSG00000165617</t>
  </si>
  <si>
    <t>ENST00000395153</t>
  </si>
  <si>
    <t>ENST00000335867</t>
  </si>
  <si>
    <t>ENSG00000165637</t>
  </si>
  <si>
    <t>ENSG00000165669</t>
  </si>
  <si>
    <t>ENST00000369183</t>
  </si>
  <si>
    <t>ENST00000467890</t>
  </si>
  <si>
    <t>ENST00000491416</t>
  </si>
  <si>
    <t>ENST00000369172</t>
  </si>
  <si>
    <t>ENST00000369170</t>
  </si>
  <si>
    <t>ENST00000490048</t>
  </si>
  <si>
    <t>ENST00000487269</t>
  </si>
  <si>
    <t>ENSG00000165671</t>
  </si>
  <si>
    <t>ENST00000602285</t>
  </si>
  <si>
    <t>ENST00000439151</t>
  </si>
  <si>
    <t>ENST00000511258</t>
  </si>
  <si>
    <t>ENST00000513736</t>
  </si>
  <si>
    <t>ENSG00000165672</t>
  </si>
  <si>
    <t>ENST00000298510</t>
  </si>
  <si>
    <t>ENST00000494433</t>
  </si>
  <si>
    <t>ENST00000463322</t>
  </si>
  <si>
    <t>ENSG00000165688</t>
  </si>
  <si>
    <t>ENSG00000165689</t>
  </si>
  <si>
    <t>ENST00000371725</t>
  </si>
  <si>
    <t>ENST00000461693</t>
  </si>
  <si>
    <t>ENST00000466579</t>
  </si>
  <si>
    <t>ENST00000486441</t>
  </si>
  <si>
    <t>ENST00000468963</t>
  </si>
  <si>
    <t>ENSG00000165699</t>
  </si>
  <si>
    <t>ENST00000298552</t>
  </si>
  <si>
    <t>ENST00000493467</t>
  </si>
  <si>
    <t>ENST00000403810</t>
  </si>
  <si>
    <t>ENST00000461879</t>
  </si>
  <si>
    <t>ENSG00000165714</t>
  </si>
  <si>
    <t>ENSG00000165752</t>
  </si>
  <si>
    <t>ENSG00000165775</t>
  </si>
  <si>
    <t>ENSG00000165792</t>
  </si>
  <si>
    <t>ENST00000339374</t>
  </si>
  <si>
    <t>ENST00000555177</t>
  </si>
  <si>
    <t>ENST00000554985</t>
  </si>
  <si>
    <t>ENST00000554588</t>
  </si>
  <si>
    <t>ENST00000382985</t>
  </si>
  <si>
    <t>ENST00000555640</t>
  </si>
  <si>
    <t>ENST00000555533</t>
  </si>
  <si>
    <t>ENST00000557701</t>
  </si>
  <si>
    <t>ENST00000556442</t>
  </si>
  <si>
    <t>ENST00000553564</t>
  </si>
  <si>
    <t>ENST00000557550</t>
  </si>
  <si>
    <t>ENST00000554283</t>
  </si>
  <si>
    <t>ENST00000553441</t>
  </si>
  <si>
    <t>ENST00000553536</t>
  </si>
  <si>
    <t>ENST00000555902</t>
  </si>
  <si>
    <t>ENST00000555390</t>
  </si>
  <si>
    <t>ENST00000557279</t>
  </si>
  <si>
    <t>ENST00000553389</t>
  </si>
  <si>
    <t>ENST00000554849</t>
  </si>
  <si>
    <t>ENSG00000165795</t>
  </si>
  <si>
    <t>ENST00000556147</t>
  </si>
  <si>
    <t>ENST00000557305</t>
  </si>
  <si>
    <t>ENSG00000165806</t>
  </si>
  <si>
    <t>ENSG00000165819</t>
  </si>
  <si>
    <t>ENSG00000165832</t>
  </si>
  <si>
    <t>ENSG00000165861</t>
  </si>
  <si>
    <t>ENST00000556143</t>
  </si>
  <si>
    <t>ENST00000556040</t>
  </si>
  <si>
    <t>ENST00000556761</t>
  </si>
  <si>
    <t>ENST00000554250</t>
  </si>
  <si>
    <t>ENSG00000165898</t>
  </si>
  <si>
    <t>ENSG00000165916</t>
  </si>
  <si>
    <t>ENSG00000165934</t>
  </si>
  <si>
    <t>ENSG00000165983</t>
  </si>
  <si>
    <t>ENST00000485788</t>
  </si>
  <si>
    <t>ENST00000298942</t>
  </si>
  <si>
    <t>ENSG00000166004</t>
  </si>
  <si>
    <t>ENSG00000166037</t>
  </si>
  <si>
    <t>ENST00000325542</t>
  </si>
  <si>
    <t>ENST00000538658</t>
  </si>
  <si>
    <t>ENST00000541768</t>
  </si>
  <si>
    <t>ENST00000538158</t>
  </si>
  <si>
    <t>ENSG00000166128</t>
  </si>
  <si>
    <t>ENSG00000166130</t>
  </si>
  <si>
    <t>ENST00000342502</t>
  </si>
  <si>
    <t>ENST00000299157</t>
  </si>
  <si>
    <t>ENSG00000166135</t>
  </si>
  <si>
    <t>ENSG00000166136</t>
  </si>
  <si>
    <t>ENST00000464651</t>
  </si>
  <si>
    <t>ENST00000299166</t>
  </si>
  <si>
    <t>ENST00000370322</t>
  </si>
  <si>
    <t>ENST00000466088</t>
  </si>
  <si>
    <t>ENST00000529437</t>
  </si>
  <si>
    <t>ENST00000531189</t>
  </si>
  <si>
    <t>ENSG00000166140</t>
  </si>
  <si>
    <t>ENST00000355341</t>
  </si>
  <si>
    <t>ENST00000560078</t>
  </si>
  <si>
    <t>ENST00000566767</t>
  </si>
  <si>
    <t>ENST00000570162</t>
  </si>
  <si>
    <t>ENST00000563497</t>
  </si>
  <si>
    <t>ENSG00000166164</t>
  </si>
  <si>
    <t>ENSG00000166169</t>
  </si>
  <si>
    <t>ENST00000463515</t>
  </si>
  <si>
    <t>ENST00000370168</t>
  </si>
  <si>
    <t>ENST00000339310</t>
  </si>
  <si>
    <t>ENSG00000166170</t>
  </si>
  <si>
    <t>ENSG00000166181</t>
  </si>
  <si>
    <t>ENST00000455725</t>
  </si>
  <si>
    <t>ENST00000530300</t>
  </si>
  <si>
    <t>ENST00000531273</t>
  </si>
  <si>
    <t>ENST00000378852</t>
  </si>
  <si>
    <t>ENST00000534600</t>
  </si>
  <si>
    <t>ENST00000529932</t>
  </si>
  <si>
    <t>ENSG00000166197</t>
  </si>
  <si>
    <t>ENST00000605788</t>
  </si>
  <si>
    <t>ENST00000488254</t>
  </si>
  <si>
    <t>ENST00000370007</t>
  </si>
  <si>
    <t>ENST00000405356</t>
  </si>
  <si>
    <t>ENSG00000166199</t>
  </si>
  <si>
    <t>ENSG00000166200</t>
  </si>
  <si>
    <t>ENSG00000166224</t>
  </si>
  <si>
    <t>ENSG00000166226</t>
  </si>
  <si>
    <t>ENSG00000166233</t>
  </si>
  <si>
    <t>ENSG00000166260</t>
  </si>
  <si>
    <t>ENSG00000166266</t>
  </si>
  <si>
    <t>ENSG00000166275</t>
  </si>
  <si>
    <t>ENSG00000166313</t>
  </si>
  <si>
    <t>ENST00000526240</t>
  </si>
  <si>
    <t>ENST00000299402</t>
  </si>
  <si>
    <t>ENST00000524626</t>
  </si>
  <si>
    <t>ENST00000533407</t>
  </si>
  <si>
    <t>ENSG00000166333</t>
  </si>
  <si>
    <t>ENSG00000166337</t>
  </si>
  <si>
    <t>ENSG00000166340</t>
  </si>
  <si>
    <t>ENST00000299427</t>
  </si>
  <si>
    <t>ENST00000533371</t>
  </si>
  <si>
    <t>ENST00000524611</t>
  </si>
  <si>
    <t>ENST00000532191</t>
  </si>
  <si>
    <t>ENST00000524924</t>
  </si>
  <si>
    <t>ENST00000528807</t>
  </si>
  <si>
    <t>ENST00000524788</t>
  </si>
  <si>
    <t>ENST00000428886</t>
  </si>
  <si>
    <t>ENST00000530040</t>
  </si>
  <si>
    <t>ENST00000531754</t>
  </si>
  <si>
    <t>ENST00000524903</t>
  </si>
  <si>
    <t>ENST00000528657</t>
  </si>
  <si>
    <t>ENSG00000166347</t>
  </si>
  <si>
    <t>ENST00000340533</t>
  </si>
  <si>
    <t>ENST00000580678</t>
  </si>
  <si>
    <t>ENST00000583418</t>
  </si>
  <si>
    <t>ENSG00000166398</t>
  </si>
  <si>
    <t>ENST00000299505</t>
  </si>
  <si>
    <t>ENST00000588974</t>
  </si>
  <si>
    <t>ENSG00000166411</t>
  </si>
  <si>
    <t>ENSG00000166441</t>
  </si>
  <si>
    <t>ENST00000524496</t>
  </si>
  <si>
    <t>ENSG00000166479</t>
  </si>
  <si>
    <t>ENSG00000166484</t>
  </si>
  <si>
    <t>ENSG00000166503</t>
  </si>
  <si>
    <t>ENSG00000166508</t>
  </si>
  <si>
    <t>ENST00000354230</t>
  </si>
  <si>
    <t>ENSG00000166562</t>
  </si>
  <si>
    <t>ENSG00000166579</t>
  </si>
  <si>
    <t>ENST00000334527</t>
  </si>
  <si>
    <t>ENST00000580738</t>
  </si>
  <si>
    <t>ENST00000582277</t>
  </si>
  <si>
    <t>ENST00000583683</t>
  </si>
  <si>
    <t>ENST00000578172</t>
  </si>
  <si>
    <t>ENSG00000166582</t>
  </si>
  <si>
    <t>ENST00000472570</t>
  </si>
  <si>
    <t>ENST00000476243</t>
  </si>
  <si>
    <t>ENST00000299736</t>
  </si>
  <si>
    <t>ENST00000584214</t>
  </si>
  <si>
    <t>ENSG00000166595</t>
  </si>
  <si>
    <t>ENSG00000166598</t>
  </si>
  <si>
    <t>ENSG00000166685</t>
  </si>
  <si>
    <t>ENSG00000166716</t>
  </si>
  <si>
    <t>ENSG00000166734</t>
  </si>
  <si>
    <t>ENST00000299957</t>
  </si>
  <si>
    <t>ENST00000345795</t>
  </si>
  <si>
    <t>ENST00000559151</t>
  </si>
  <si>
    <t>ENSG00000166747</t>
  </si>
  <si>
    <t>ENST00000565642</t>
  </si>
  <si>
    <t>ENSG00000166750</t>
  </si>
  <si>
    <t>ENSG00000166788</t>
  </si>
  <si>
    <t>ENSG00000166794</t>
  </si>
  <si>
    <t>ENSG00000166797</t>
  </si>
  <si>
    <t>ENSG00000166801</t>
  </si>
  <si>
    <t>ENSG00000166847</t>
  </si>
  <si>
    <t>ENST00000300087</t>
  </si>
  <si>
    <t>ENST00000568589</t>
  </si>
  <si>
    <t>ENST00000566298</t>
  </si>
  <si>
    <t>ENST00000563614</t>
  </si>
  <si>
    <t>ENSG00000166848</t>
  </si>
  <si>
    <t>ENSG00000166855</t>
  </si>
  <si>
    <t>ENSG00000166886</t>
  </si>
  <si>
    <t>ENSG00000166887</t>
  </si>
  <si>
    <t>ENST00000318006</t>
  </si>
  <si>
    <t>ENST00000562258</t>
  </si>
  <si>
    <t>ENST00000568755</t>
  </si>
  <si>
    <t>ENST00000562662</t>
  </si>
  <si>
    <t>ENST00000561818</t>
  </si>
  <si>
    <t>ENST00000561797</t>
  </si>
  <si>
    <t>ENST00000570023</t>
  </si>
  <si>
    <t>ENST00000570062</t>
  </si>
  <si>
    <t>ENST00000568357</t>
  </si>
  <si>
    <t>ENSG00000166888</t>
  </si>
  <si>
    <t>ENSG00000166889</t>
  </si>
  <si>
    <t>ENST00000300146</t>
  </si>
  <si>
    <t>ENST00000531919</t>
  </si>
  <si>
    <t>ENSG00000166902</t>
  </si>
  <si>
    <t>ENSG00000166908</t>
  </si>
  <si>
    <t>ENSG00000166913</t>
  </si>
  <si>
    <t>ENSG00000166925</t>
  </si>
  <si>
    <t>ENSG00000166938</t>
  </si>
  <si>
    <t>ENST00000319212</t>
  </si>
  <si>
    <t>ENST00000564909</t>
  </si>
  <si>
    <t>ENST00000562314</t>
  </si>
  <si>
    <t>ENST00000564945</t>
  </si>
  <si>
    <t>ENSG00000166949</t>
  </si>
  <si>
    <t>ENSG00000166971</t>
  </si>
  <si>
    <t>ENSG00000166974</t>
  </si>
  <si>
    <t>ENST00000300249</t>
  </si>
  <si>
    <t>ENST00000588910</t>
  </si>
  <si>
    <t>ENST00000585592</t>
  </si>
  <si>
    <t>ENST00000588085</t>
  </si>
  <si>
    <t>ENSG00000166986</t>
  </si>
  <si>
    <t>ENSG00000166997</t>
  </si>
  <si>
    <t>ENSG00000167004</t>
  </si>
  <si>
    <t>ENSG00000167005</t>
  </si>
  <si>
    <t>ENSG00000167085</t>
  </si>
  <si>
    <t>ENSG00000167106</t>
  </si>
  <si>
    <t>ENSG00000167110</t>
  </si>
  <si>
    <t>ENST00000450617</t>
  </si>
  <si>
    <t>ENSG00000167112</t>
  </si>
  <si>
    <t>ENST00000372890</t>
  </si>
  <si>
    <t>ENST00000461180</t>
  </si>
  <si>
    <t>ENSG00000167173</t>
  </si>
  <si>
    <t>ENST00000394987</t>
  </si>
  <si>
    <t>ENST00000567617</t>
  </si>
  <si>
    <t>ENST00000565074</t>
  </si>
  <si>
    <t>ENSG00000167186</t>
  </si>
  <si>
    <t>ENSG00000167193</t>
  </si>
  <si>
    <t>ENSG00000167196</t>
  </si>
  <si>
    <t>ENSG00000167202</t>
  </si>
  <si>
    <t>ENST00000300584</t>
  </si>
  <si>
    <t>ENST00000418039</t>
  </si>
  <si>
    <t>ENST00000491479</t>
  </si>
  <si>
    <t>ENST00000497942</t>
  </si>
  <si>
    <t>ENST00000472786</t>
  </si>
  <si>
    <t>ENST00000486703</t>
  </si>
  <si>
    <t>ENSG00000167208</t>
  </si>
  <si>
    <t>ENSG00000167220</t>
  </si>
  <si>
    <t>ENSG00000167264</t>
  </si>
  <si>
    <t>ENSG00000167272</t>
  </si>
  <si>
    <t>ENST00000357500</t>
  </si>
  <si>
    <t>ENST00000542568</t>
  </si>
  <si>
    <t>ENST00000542776</t>
  </si>
  <si>
    <t>ENST00000541834</t>
  </si>
  <si>
    <t>ENST00000511394</t>
  </si>
  <si>
    <t>ENST00000539716</t>
  </si>
  <si>
    <t>ENSG00000167280</t>
  </si>
  <si>
    <t>ENSG00000167283</t>
  </si>
  <si>
    <t>ENSG00000167286</t>
  </si>
  <si>
    <t>ENSG00000167315</t>
  </si>
  <si>
    <t>ENSG00000167323</t>
  </si>
  <si>
    <t>ENSG00000167325</t>
  </si>
  <si>
    <t>ENSG00000167378</t>
  </si>
  <si>
    <t>ENSG00000167447</t>
  </si>
  <si>
    <t>ENSG00000167461</t>
  </si>
  <si>
    <t>ENSG00000167468</t>
  </si>
  <si>
    <t>ENST00000354171</t>
  </si>
  <si>
    <t>ENST00000588919</t>
  </si>
  <si>
    <t>ENST00000585362</t>
  </si>
  <si>
    <t>ENST00000587648</t>
  </si>
  <si>
    <t>ENST00000587932</t>
  </si>
  <si>
    <t>ENSG00000167491</t>
  </si>
  <si>
    <t>ENST00000417582</t>
  </si>
  <si>
    <t>ENST00000457895</t>
  </si>
  <si>
    <t>ENST00000448576</t>
  </si>
  <si>
    <t>ENST00000429242</t>
  </si>
  <si>
    <t>ENSG00000167508</t>
  </si>
  <si>
    <t>ENSG00000167515</t>
  </si>
  <si>
    <t>ENST00000301021</t>
  </si>
  <si>
    <t>ENST00000564547</t>
  </si>
  <si>
    <t>ENST00000565504</t>
  </si>
  <si>
    <t>ENST00000565309</t>
  </si>
  <si>
    <t>ENST00000562125</t>
  </si>
  <si>
    <t>ENST00000563514</t>
  </si>
  <si>
    <t>ENSG00000167526</t>
  </si>
  <si>
    <t>ENST00000565571</t>
  </si>
  <si>
    <t>ENSG00000167536</t>
  </si>
  <si>
    <t>ENSG00000167548</t>
  </si>
  <si>
    <t>ENSG00000167553</t>
  </si>
  <si>
    <t>ENSG00000167566</t>
  </si>
  <si>
    <t>ENST00000477361</t>
  </si>
  <si>
    <t>ENST00000491441</t>
  </si>
  <si>
    <t>ENSG00000167578</t>
  </si>
  <si>
    <t>ENSG00000167635</t>
  </si>
  <si>
    <t>ENSG00000167642</t>
  </si>
  <si>
    <t>ENST00000301244</t>
  </si>
  <si>
    <t>ENST00000590210</t>
  </si>
  <si>
    <t>ENST00000585357</t>
  </si>
  <si>
    <t>ENST00000589749</t>
  </si>
  <si>
    <t>ENST00000590738</t>
  </si>
  <si>
    <t>ENSG00000167657</t>
  </si>
  <si>
    <t>ENSG00000167658</t>
  </si>
  <si>
    <t>ENSG00000167671</t>
  </si>
  <si>
    <t>ENSG00000167685</t>
  </si>
  <si>
    <t>ENST00000591564</t>
  </si>
  <si>
    <t>ENST00000587236</t>
  </si>
  <si>
    <t>ENSG00000167699</t>
  </si>
  <si>
    <t>ENST00000301329</t>
  </si>
  <si>
    <t>ENST00000571073</t>
  </si>
  <si>
    <t>ENST00000576239</t>
  </si>
  <si>
    <t>ENST00000575851</t>
  </si>
  <si>
    <t>ENST00000574354</t>
  </si>
  <si>
    <t>ENSG00000167720</t>
  </si>
  <si>
    <t>ENST00000344595</t>
  </si>
  <si>
    <t>ENST00000574229</t>
  </si>
  <si>
    <t>ENSG00000167721</t>
  </si>
  <si>
    <t>ENSG00000167770</t>
  </si>
  <si>
    <t>ENSG00000167778</t>
  </si>
  <si>
    <t>ENSG00000167792</t>
  </si>
  <si>
    <t>ENST00000322776</t>
  </si>
  <si>
    <t>ENST00000524838</t>
  </si>
  <si>
    <t>ENST00000528314</t>
  </si>
  <si>
    <t>ENST00000528377</t>
  </si>
  <si>
    <t>ENST00000526770</t>
  </si>
  <si>
    <t>ENST00000527923</t>
  </si>
  <si>
    <t>ENST00000531250</t>
  </si>
  <si>
    <t>ENST00000534352</t>
  </si>
  <si>
    <t>ENSG00000167815</t>
  </si>
  <si>
    <t>ENSG00000167842</t>
  </si>
  <si>
    <t>ENSG00000167862</t>
  </si>
  <si>
    <t>ENSG00000167863</t>
  </si>
  <si>
    <t>ENSG00000167881</t>
  </si>
  <si>
    <t>ENSG00000167925</t>
  </si>
  <si>
    <t>ENST00000301671</t>
  </si>
  <si>
    <t>ENST00000585735</t>
  </si>
  <si>
    <t>ENST00000585375</t>
  </si>
  <si>
    <t>ENSG00000167962</t>
  </si>
  <si>
    <t>ENST00000563630</t>
  </si>
  <si>
    <t>ENST00000565396</t>
  </si>
  <si>
    <t>ENST00000567008</t>
  </si>
  <si>
    <t>ENST00000562103</t>
  </si>
  <si>
    <t>ENST00000561787</t>
  </si>
  <si>
    <t>ENST00000431526</t>
  </si>
  <si>
    <t>ENSG00000167965</t>
  </si>
  <si>
    <t>ENSG00000167967</t>
  </si>
  <si>
    <t>ENSG00000167969</t>
  </si>
  <si>
    <t>ENST00000301729</t>
  </si>
  <si>
    <t>ENST00000566379</t>
  </si>
  <si>
    <t>ENST00000563447</t>
  </si>
  <si>
    <t>ENST00000563029</t>
  </si>
  <si>
    <t>ENSG00000167986</t>
  </si>
  <si>
    <t>ENSG00000167996</t>
  </si>
  <si>
    <t>ENSG00000168002</t>
  </si>
  <si>
    <t>ENSG00000168003</t>
  </si>
  <si>
    <t>ENST00000535296</t>
  </si>
  <si>
    <t>ENST00000338663</t>
  </si>
  <si>
    <t>ENST00000541649</t>
  </si>
  <si>
    <t>ENST00000539891</t>
  </si>
  <si>
    <t>ENST00000538682</t>
  </si>
  <si>
    <t>ENST00000536981</t>
  </si>
  <si>
    <t>ENST00000546312</t>
  </si>
  <si>
    <t>ENST00000542922</t>
  </si>
  <si>
    <t>ENST00000539507</t>
  </si>
  <si>
    <t>ENST00000542793</t>
  </si>
  <si>
    <t>ENSG00000168028</t>
  </si>
  <si>
    <t>ENSG00000168056</t>
  </si>
  <si>
    <t>ENST00000322147</t>
  </si>
  <si>
    <t>ENST00000532932</t>
  </si>
  <si>
    <t>ENST00000526124</t>
  </si>
  <si>
    <t>ENST00000530990</t>
  </si>
  <si>
    <t>ENST00000525443</t>
  </si>
  <si>
    <t>ENST00000528966</t>
  </si>
  <si>
    <t>ENST00000529764</t>
  </si>
  <si>
    <t>ENST00000527792</t>
  </si>
  <si>
    <t>ENSG00000168066</t>
  </si>
  <si>
    <t>ENST00000377387</t>
  </si>
  <si>
    <t>ENST00000377390</t>
  </si>
  <si>
    <t>ENST00000227503</t>
  </si>
  <si>
    <t>ENST00000448404</t>
  </si>
  <si>
    <t>ENST00000377394</t>
  </si>
  <si>
    <t>ENST00000334944</t>
  </si>
  <si>
    <t>ENST00000443908</t>
  </si>
  <si>
    <t>ENST00000413725</t>
  </si>
  <si>
    <t>ENST00000486867</t>
  </si>
  <si>
    <t>ENST00000477596</t>
  </si>
  <si>
    <t>ENST00000489544</t>
  </si>
  <si>
    <t>ENST00000486960</t>
  </si>
  <si>
    <t>ENST00000482693</t>
  </si>
  <si>
    <t>ENST00000472725</t>
  </si>
  <si>
    <t>ENST00000463343</t>
  </si>
  <si>
    <t>ENSG00000168067</t>
  </si>
  <si>
    <t>ENST00000294066</t>
  </si>
  <si>
    <t>ENST00000435926</t>
  </si>
  <si>
    <t>ENST00000467689</t>
  </si>
  <si>
    <t>ENST00000439069</t>
  </si>
  <si>
    <t>ENST00000493428</t>
  </si>
  <si>
    <t>ENSG00000168090</t>
  </si>
  <si>
    <t>ENSG00000168092</t>
  </si>
  <si>
    <t>ENSG00000168101</t>
  </si>
  <si>
    <t>ENSG00000168159</t>
  </si>
  <si>
    <t>ENST00000305943</t>
  </si>
  <si>
    <t>ENST00000482739</t>
  </si>
  <si>
    <t>ENSG00000168172</t>
  </si>
  <si>
    <t>ENSG00000168214</t>
  </si>
  <si>
    <t>ENST00000361572</t>
  </si>
  <si>
    <t>ENST00000514380</t>
  </si>
  <si>
    <t>ENST00000348160</t>
  </si>
  <si>
    <t>ENST00000509158</t>
  </si>
  <si>
    <t>ENST00000342320</t>
  </si>
  <si>
    <t>ENST00000511451</t>
  </si>
  <si>
    <t>ENST00000506903</t>
  </si>
  <si>
    <t>ENST00000510725</t>
  </si>
  <si>
    <t>ENST00000355476</t>
  </si>
  <si>
    <t>ENSG00000168228</t>
  </si>
  <si>
    <t>ENST00000302874</t>
  </si>
  <si>
    <t>ENST00000507760</t>
  </si>
  <si>
    <t>ENST00000508058</t>
  </si>
  <si>
    <t>ENSG00000168234</t>
  </si>
  <si>
    <t>ENSG00000168255</t>
  </si>
  <si>
    <t>ENST00000489144</t>
  </si>
  <si>
    <t>ENST00000379340</t>
  </si>
  <si>
    <t>ENST00000486319</t>
  </si>
  <si>
    <t>ENST00000506060</t>
  </si>
  <si>
    <t>ENST00000511313</t>
  </si>
  <si>
    <t>ENST00000443430</t>
  </si>
  <si>
    <t>ENST00000504101</t>
  </si>
  <si>
    <t>ENST00000379357</t>
  </si>
  <si>
    <t>ENSG00000168256</t>
  </si>
  <si>
    <t>ENST00000393885</t>
  </si>
  <si>
    <t>ENST00000587028</t>
  </si>
  <si>
    <t>ENST00000393879</t>
  </si>
  <si>
    <t>ENSG00000168259</t>
  </si>
  <si>
    <t>ENSG00000168264</t>
  </si>
  <si>
    <t>ENST00000366610</t>
  </si>
  <si>
    <t>ENST00000366609</t>
  </si>
  <si>
    <t>ENST00000491430</t>
  </si>
  <si>
    <t>ENSG00000168275</t>
  </si>
  <si>
    <t>ENST00000366615</t>
  </si>
  <si>
    <t>ENST00000366613</t>
  </si>
  <si>
    <t>ENST00000366612</t>
  </si>
  <si>
    <t>ENSG00000168288</t>
  </si>
  <si>
    <t>ENSG00000168291</t>
  </si>
  <si>
    <t>ENST00000302746</t>
  </si>
  <si>
    <t>ENST00000479945</t>
  </si>
  <si>
    <t>ENST00000461692</t>
  </si>
  <si>
    <t>ENST00000480626</t>
  </si>
  <si>
    <t>ENST00000482894</t>
  </si>
  <si>
    <t>ENST00000469827</t>
  </si>
  <si>
    <t>ENSG00000168297</t>
  </si>
  <si>
    <t>ENSG00000168310</t>
  </si>
  <si>
    <t>ENST00000393593</t>
  </si>
  <si>
    <t>ENST00000512020</t>
  </si>
  <si>
    <t>ENSG00000168374</t>
  </si>
  <si>
    <t>ENSG00000168385</t>
  </si>
  <si>
    <t>ENST00000441533</t>
  </si>
  <si>
    <t>ENST00000484167</t>
  </si>
  <si>
    <t>ENSG00000168393</t>
  </si>
  <si>
    <t>ENSG00000168395</t>
  </si>
  <si>
    <t>ENST00000492488</t>
  </si>
  <si>
    <t>ENST00000313552</t>
  </si>
  <si>
    <t>ENST00000493261</t>
  </si>
  <si>
    <t>ENST00000484145</t>
  </si>
  <si>
    <t>ENSG00000168397</t>
  </si>
  <si>
    <t>ENST00000404914</t>
  </si>
  <si>
    <t>ENST00000475195</t>
  </si>
  <si>
    <t>ENST00000465399</t>
  </si>
  <si>
    <t>ENST00000468018</t>
  </si>
  <si>
    <t>ENST00000482507</t>
  </si>
  <si>
    <t>ENST00000425239</t>
  </si>
  <si>
    <t>ENST00000344376</t>
  </si>
  <si>
    <t>ENST00000429899</t>
  </si>
  <si>
    <t>ENST00000428861</t>
  </si>
  <si>
    <t>ENST00000460211</t>
  </si>
  <si>
    <t>ENST00000479941</t>
  </si>
  <si>
    <t>ENST00000475693</t>
  </si>
  <si>
    <t>ENST00000494132</t>
  </si>
  <si>
    <t>ENSG00000168404</t>
  </si>
  <si>
    <t>ENSG00000168411</t>
  </si>
  <si>
    <t>ENSG00000168421</t>
  </si>
  <si>
    <t>ENSG00000168434</t>
  </si>
  <si>
    <t>ENSG00000168438</t>
  </si>
  <si>
    <t>ENSG00000168439</t>
  </si>
  <si>
    <t>ENSG00000168488</t>
  </si>
  <si>
    <t>ENSG00000168495</t>
  </si>
  <si>
    <t>ENSG00000168522</t>
  </si>
  <si>
    <t>ENSG00000168538</t>
  </si>
  <si>
    <t>ENSG00000168564</t>
  </si>
  <si>
    <t>ENSG00000168575</t>
  </si>
  <si>
    <t>ENST00000522401</t>
  </si>
  <si>
    <t>ENST00000523340</t>
  </si>
  <si>
    <t>ENST00000519463</t>
  </si>
  <si>
    <t>ENSG00000168610</t>
  </si>
  <si>
    <t>ENST00000264657</t>
  </si>
  <si>
    <t>ENST00000585517</t>
  </si>
  <si>
    <t>ENST00000462286</t>
  </si>
  <si>
    <t>ENST00000588969</t>
  </si>
  <si>
    <t>ENST00000491272</t>
  </si>
  <si>
    <t>ENST00000404395</t>
  </si>
  <si>
    <t>ENST00000462269</t>
  </si>
  <si>
    <t>ENST00000471989</t>
  </si>
  <si>
    <t>ENST00000498330</t>
  </si>
  <si>
    <t>ENST00000478276</t>
  </si>
  <si>
    <t>ENST00000585360</t>
  </si>
  <si>
    <t>ENST00000590776</t>
  </si>
  <si>
    <t>ENSG00000168653</t>
  </si>
  <si>
    <t>ENSG00000168710</t>
  </si>
  <si>
    <t>ENSG00000168758</t>
  </si>
  <si>
    <t>ENST00000474420</t>
  </si>
  <si>
    <t>ENST00000482925</t>
  </si>
  <si>
    <t>ENST00000467747</t>
  </si>
  <si>
    <t>ENSG00000168763</t>
  </si>
  <si>
    <t>ENST00000305510</t>
  </si>
  <si>
    <t>ENST00000465224</t>
  </si>
  <si>
    <t>ENST00000494595</t>
  </si>
  <si>
    <t>ENSG00000168781</t>
  </si>
  <si>
    <t>ENST00000462136</t>
  </si>
  <si>
    <t>ENST00000469229</t>
  </si>
  <si>
    <t>ENST00000465123</t>
  </si>
  <si>
    <t>ENST00000476294</t>
  </si>
  <si>
    <t>ENST00000472547</t>
  </si>
  <si>
    <t>ENST00000420765</t>
  </si>
  <si>
    <t>ENSG00000168802</t>
  </si>
  <si>
    <t>ENSG00000168803</t>
  </si>
  <si>
    <t>ENST00000565555</t>
  </si>
  <si>
    <t>ENST00000422466</t>
  </si>
  <si>
    <t>ENSG00000168813</t>
  </si>
  <si>
    <t>ENST00000587084</t>
  </si>
  <si>
    <t>ENST00000355898</t>
  </si>
  <si>
    <t>ENST00000586664</t>
  </si>
  <si>
    <t>ENSG00000168818</t>
  </si>
  <si>
    <t>ENSG00000168827</t>
  </si>
  <si>
    <t>ENSG00000168872</t>
  </si>
  <si>
    <t>ENSG00000168876</t>
  </si>
  <si>
    <t>ENST00000544612</t>
  </si>
  <si>
    <t>ENST00000544253</t>
  </si>
  <si>
    <t>ENST00000302755</t>
  </si>
  <si>
    <t>ENST00000538535</t>
  </si>
  <si>
    <t>ENSG00000168883</t>
  </si>
  <si>
    <t>ENSG00000168884</t>
  </si>
  <si>
    <t>ENSG00000168894</t>
  </si>
  <si>
    <t>ENSG00000168906</t>
  </si>
  <si>
    <t>ENST00000481412</t>
  </si>
  <si>
    <t>ENSG00000168924</t>
  </si>
  <si>
    <t>ENSG00000168944</t>
  </si>
  <si>
    <t>ENST00000306467</t>
  </si>
  <si>
    <t>ENST00000508138</t>
  </si>
  <si>
    <t>ENST00000503049</t>
  </si>
  <si>
    <t>ENSG00000168958</t>
  </si>
  <si>
    <t>ENST00000304593</t>
  </si>
  <si>
    <t>ENST00000476924</t>
  </si>
  <si>
    <t>ENST00000354503</t>
  </si>
  <si>
    <t>ENST00000531278</t>
  </si>
  <si>
    <t>ENST00000460756</t>
  </si>
  <si>
    <t>ENST00000337110</t>
  </si>
  <si>
    <t>ENST00000470090</t>
  </si>
  <si>
    <t>ENST00000534203</t>
  </si>
  <si>
    <t>ENST00000524634</t>
  </si>
  <si>
    <t>ENST00000349901</t>
  </si>
  <si>
    <t>ENST00000490857</t>
  </si>
  <si>
    <t>ENST00000476262</t>
  </si>
  <si>
    <t>ENST00000477362</t>
  </si>
  <si>
    <t>ENSG00000168961</t>
  </si>
  <si>
    <t>ENST00000395473</t>
  </si>
  <si>
    <t>ENST00000302228</t>
  </si>
  <si>
    <t>ENST00000579930</t>
  </si>
  <si>
    <t>ENST00000579402</t>
  </si>
  <si>
    <t>ENST00000481514</t>
  </si>
  <si>
    <t>ENSG00000169016</t>
  </si>
  <si>
    <t>ENST00000381525</t>
  </si>
  <si>
    <t>ENST00000437573</t>
  </si>
  <si>
    <t>ENST00000468775</t>
  </si>
  <si>
    <t>ENST00000498701</t>
  </si>
  <si>
    <t>ENSG00000169019</t>
  </si>
  <si>
    <t>ENSG00000169020</t>
  </si>
  <si>
    <t>ENSG00000169032</t>
  </si>
  <si>
    <t>ENSG00000169057</t>
  </si>
  <si>
    <t>ENST00000303391</t>
  </si>
  <si>
    <t>ENST00000453960</t>
  </si>
  <si>
    <t>ENST00000481807</t>
  </si>
  <si>
    <t>ENSG00000169062</t>
  </si>
  <si>
    <t>ENSG00000169093</t>
  </si>
  <si>
    <t>ENST00000381317</t>
  </si>
  <si>
    <t>ENST00000463763</t>
  </si>
  <si>
    <t>ENST00000462195</t>
  </si>
  <si>
    <t>ENST00000474865</t>
  </si>
  <si>
    <t>ENST00000534940</t>
  </si>
  <si>
    <t>ENSG00000169139</t>
  </si>
  <si>
    <t>ENSG00000169188</t>
  </si>
  <si>
    <t>ENST00000374987</t>
  </si>
  <si>
    <t>ENST00000471758</t>
  </si>
  <si>
    <t>ENSG00000169189</t>
  </si>
  <si>
    <t>ENSG00000169217</t>
  </si>
  <si>
    <t>ENSG00000169220</t>
  </si>
  <si>
    <t>ENSG00000169223</t>
  </si>
  <si>
    <t>ENSG00000169228</t>
  </si>
  <si>
    <t>ENSG00000169230</t>
  </si>
  <si>
    <t>ENST00000303204</t>
  </si>
  <si>
    <t>ENST00000511309</t>
  </si>
  <si>
    <t>ENST00000503853</t>
  </si>
  <si>
    <t>ENST00000510701</t>
  </si>
  <si>
    <t>ENSG00000169239</t>
  </si>
  <si>
    <t>ENSG00000169251</t>
  </si>
  <si>
    <t>ENSG00000169371</t>
  </si>
  <si>
    <t>ENSG00000169375</t>
  </si>
  <si>
    <t>ENSG00000169398</t>
  </si>
  <si>
    <t>ENST00000517712</t>
  </si>
  <si>
    <t>ENST00000523805</t>
  </si>
  <si>
    <t>ENST00000518173</t>
  </si>
  <si>
    <t>ENST00000523388</t>
  </si>
  <si>
    <t>ENST00000518509</t>
  </si>
  <si>
    <t>ENST00000520917</t>
  </si>
  <si>
    <t>ENST00000510126</t>
  </si>
  <si>
    <t>ENST00000519899</t>
  </si>
  <si>
    <t>ENSG00000169410</t>
  </si>
  <si>
    <t>ENSG00000169567</t>
  </si>
  <si>
    <t>ENSG00000169599</t>
  </si>
  <si>
    <t>ENST00000410022</t>
  </si>
  <si>
    <t>ENST00000450796</t>
  </si>
  <si>
    <t>ENSG00000169609</t>
  </si>
  <si>
    <t>ENSG00000169627</t>
  </si>
  <si>
    <t>ENSG00000169660</t>
  </si>
  <si>
    <t>ENST00000337014</t>
  </si>
  <si>
    <t>ENST00000583978</t>
  </si>
  <si>
    <t>ENSG00000169696</t>
  </si>
  <si>
    <t>ENSG00000169710</t>
  </si>
  <si>
    <t>ENSG00000169714</t>
  </si>
  <si>
    <t>ENST00000502976</t>
  </si>
  <si>
    <t>ENST00000422453</t>
  </si>
  <si>
    <t>ENST00000504813</t>
  </si>
  <si>
    <t>ENST00000502372</t>
  </si>
  <si>
    <t>ENST00000512338</t>
  </si>
  <si>
    <t>ENST00000507573</t>
  </si>
  <si>
    <t>ENSG00000169718</t>
  </si>
  <si>
    <t>ENSG00000169727</t>
  </si>
  <si>
    <t>ENST00000578552</t>
  </si>
  <si>
    <t>ENST00000578642</t>
  </si>
  <si>
    <t>ENST00000306823</t>
  </si>
  <si>
    <t>ENST00000392358</t>
  </si>
  <si>
    <t>ENST00000392357</t>
  </si>
  <si>
    <t>ENST00000578279</t>
  </si>
  <si>
    <t>ENST00000583486</t>
  </si>
  <si>
    <t>ENSG00000169738</t>
  </si>
  <si>
    <t>ENSG00000169756</t>
  </si>
  <si>
    <t>ENST00000409441</t>
  </si>
  <si>
    <t>ENST00000422797</t>
  </si>
  <si>
    <t>ENSG00000169762</t>
  </si>
  <si>
    <t>ENST00000405303</t>
  </si>
  <si>
    <t>ENST00000503858</t>
  </si>
  <si>
    <t>ENST00000507728</t>
  </si>
  <si>
    <t>ENST00000507425</t>
  </si>
  <si>
    <t>ENST00000504281</t>
  </si>
  <si>
    <t>ENSG00000169764</t>
  </si>
  <si>
    <t>ENST00000394417</t>
  </si>
  <si>
    <t>ENST00000466642</t>
  </si>
  <si>
    <t>ENST00000467648</t>
  </si>
  <si>
    <t>ENST00000337130</t>
  </si>
  <si>
    <t>ENST00000475550</t>
  </si>
  <si>
    <t>ENST00000465515</t>
  </si>
  <si>
    <t>ENST00000494536</t>
  </si>
  <si>
    <t>ENSG00000169813</t>
  </si>
  <si>
    <t>ENST00000477108</t>
  </si>
  <si>
    <t>ENSG00000169814</t>
  </si>
  <si>
    <t>ENST00000303498</t>
  </si>
  <si>
    <t>ENST00000482824</t>
  </si>
  <si>
    <t>ENSG00000169871</t>
  </si>
  <si>
    <t>ENSG00000169895</t>
  </si>
  <si>
    <t>ENSG00000169905</t>
  </si>
  <si>
    <t>ENSG00000169919</t>
  </si>
  <si>
    <t>ENST00000304895</t>
  </si>
  <si>
    <t>ENST00000466883</t>
  </si>
  <si>
    <t>ENST00000461622</t>
  </si>
  <si>
    <t>ENST00000465785</t>
  </si>
  <si>
    <t>ENST00000489482</t>
  </si>
  <si>
    <t>ENSG00000169951</t>
  </si>
  <si>
    <t>ENST00000252797</t>
  </si>
  <si>
    <t>ENST00000395091</t>
  </si>
  <si>
    <t>ENST00000568333</t>
  </si>
  <si>
    <t>ENSG00000169967</t>
  </si>
  <si>
    <t>ENSG00000170004</t>
  </si>
  <si>
    <t>ENSG00000170017</t>
  </si>
  <si>
    <t>ENST00000306107</t>
  </si>
  <si>
    <t>ENST00000470756</t>
  </si>
  <si>
    <t>ENST00000489178</t>
  </si>
  <si>
    <t>ENSG00000170043</t>
  </si>
  <si>
    <t>ENST00000540486</t>
  </si>
  <si>
    <t>ENSG00000170142</t>
  </si>
  <si>
    <t>ENST00000467766</t>
  </si>
  <si>
    <t>ENSG00000170144</t>
  </si>
  <si>
    <t>ENSG00000170222</t>
  </si>
  <si>
    <t>ENST00000379774</t>
  </si>
  <si>
    <t>ENST00000468843</t>
  </si>
  <si>
    <t>ENST00000527582</t>
  </si>
  <si>
    <t>ENST00000609540</t>
  </si>
  <si>
    <t>ENSG00000170242</t>
  </si>
  <si>
    <t>ENST00000527733</t>
  </si>
  <si>
    <t>ENST00000525367</t>
  </si>
  <si>
    <t>ENST00000525078</t>
  </si>
  <si>
    <t>ENST00000531513</t>
  </si>
  <si>
    <t>ENST00000529813</t>
  </si>
  <si>
    <t>ENSG00000170248</t>
  </si>
  <si>
    <t>ENST00000459659</t>
  </si>
  <si>
    <t>ENSG00000170266</t>
  </si>
  <si>
    <t>ENST00000307363</t>
  </si>
  <si>
    <t>ENST00000399402</t>
  </si>
  <si>
    <t>ENST00000473477</t>
  </si>
  <si>
    <t>ENSG00000170322</t>
  </si>
  <si>
    <t>ENST00000446488</t>
  </si>
  <si>
    <t>ENST00000532147</t>
  </si>
  <si>
    <t>ENSG00000170348</t>
  </si>
  <si>
    <t>ENSG00000170430</t>
  </si>
  <si>
    <t>ENSG00000170445</t>
  </si>
  <si>
    <t>ENSG00000170448</t>
  </si>
  <si>
    <t>ENSG00000170471</t>
  </si>
  <si>
    <t>ENST00000397042</t>
  </si>
  <si>
    <t>ENST00000262879</t>
  </si>
  <si>
    <t>ENST00000495949</t>
  </si>
  <si>
    <t>ENST00000438490</t>
  </si>
  <si>
    <t>ENST00000461423</t>
  </si>
  <si>
    <t>ENST00000461147</t>
  </si>
  <si>
    <t>ENST00000490114</t>
  </si>
  <si>
    <t>ENSG00000170473</t>
  </si>
  <si>
    <t>ENST00000408946</t>
  </si>
  <si>
    <t>ENST00000398213</t>
  </si>
  <si>
    <t>ENST00000549939</t>
  </si>
  <si>
    <t>ENSG00000170502</t>
  </si>
  <si>
    <t>ENST00000302174</t>
  </si>
  <si>
    <t>ENST00000473942</t>
  </si>
  <si>
    <t>ENSG00000170515</t>
  </si>
  <si>
    <t>ENSG00000170525</t>
  </si>
  <si>
    <t>ENST00000379789</t>
  </si>
  <si>
    <t>ENST00000379775</t>
  </si>
  <si>
    <t>ENST00000487989</t>
  </si>
  <si>
    <t>ENST00000536985</t>
  </si>
  <si>
    <t>ENSG00000170571</t>
  </si>
  <si>
    <t>ENST00000303221</t>
  </si>
  <si>
    <t>ENST00000505896</t>
  </si>
  <si>
    <t>ENSG00000170581</t>
  </si>
  <si>
    <t>ENST00000556539</t>
  </si>
  <si>
    <t>ENST00000314128</t>
  </si>
  <si>
    <t>ENST00000555488</t>
  </si>
  <si>
    <t>ENST00000557199</t>
  </si>
  <si>
    <t>ENST00000557252</t>
  </si>
  <si>
    <t>ENSG00000170584</t>
  </si>
  <si>
    <t>ENSG00000170606</t>
  </si>
  <si>
    <t>ENSG00000170619</t>
  </si>
  <si>
    <t>ENSG00000170633</t>
  </si>
  <si>
    <t>ENSG00000170634</t>
  </si>
  <si>
    <t>ENSG00000170638</t>
  </si>
  <si>
    <t>ENSG00000170653</t>
  </si>
  <si>
    <t>ENST00000420353</t>
  </si>
  <si>
    <t>ENST00000548118</t>
  </si>
  <si>
    <t>ENST00000591397</t>
  </si>
  <si>
    <t>ENST00000589726</t>
  </si>
  <si>
    <t>ENSG00000170776</t>
  </si>
  <si>
    <t>ENST00000560302</t>
  </si>
  <si>
    <t>ENST00000394518</t>
  </si>
  <si>
    <t>ENST00000560957</t>
  </si>
  <si>
    <t>ENST00000557852</t>
  </si>
  <si>
    <t>ENST00000560482</t>
  </si>
  <si>
    <t>ENST00000559278</t>
  </si>
  <si>
    <t>ENST00000558644</t>
  </si>
  <si>
    <t>ENST00000558009</t>
  </si>
  <si>
    <t>ENST00000559391</t>
  </si>
  <si>
    <t>ENSG00000170791</t>
  </si>
  <si>
    <t>ENST00000521831</t>
  </si>
  <si>
    <t>ENST00000355315</t>
  </si>
  <si>
    <t>ENST00000518169</t>
  </si>
  <si>
    <t>ENST00000522366</t>
  </si>
  <si>
    <t>ENST00000517933</t>
  </si>
  <si>
    <t>ENST00000522166</t>
  </si>
  <si>
    <t>ENST00000518801</t>
  </si>
  <si>
    <t>ENST00000523975</t>
  </si>
  <si>
    <t>ENST00000396723</t>
  </si>
  <si>
    <t>ENST00000518944</t>
  </si>
  <si>
    <t>ENST00000303759</t>
  </si>
  <si>
    <t>ENSG00000170832</t>
  </si>
  <si>
    <t>ENST00000300896</t>
  </si>
  <si>
    <t>ENST00000586238</t>
  </si>
  <si>
    <t>ENST00000585720</t>
  </si>
  <si>
    <t>ENST00000587651</t>
  </si>
  <si>
    <t>ENST00000589761</t>
  </si>
  <si>
    <t>ENSG00000170852</t>
  </si>
  <si>
    <t>ENST00000304056</t>
  </si>
  <si>
    <t>ENST00000477129</t>
  </si>
  <si>
    <t>ENSG00000170854</t>
  </si>
  <si>
    <t>ENST00000333396</t>
  </si>
  <si>
    <t>ENST00000394198</t>
  </si>
  <si>
    <t>ENST00000506682</t>
  </si>
  <si>
    <t>ENST00000503517</t>
  </si>
  <si>
    <t>ENST00000503097</t>
  </si>
  <si>
    <t>ENST00000507612</t>
  </si>
  <si>
    <t>ENSG00000170903</t>
  </si>
  <si>
    <t>ENST00000301919</t>
  </si>
  <si>
    <t>ENST00000530788</t>
  </si>
  <si>
    <t>ENST00000530108</t>
  </si>
  <si>
    <t>ENSG00000171100</t>
  </si>
  <si>
    <t>ENSG00000171103</t>
  </si>
  <si>
    <t>ENSG00000171109</t>
  </si>
  <si>
    <t>ENST00000471841</t>
  </si>
  <si>
    <t>ENST00000263969</t>
  </si>
  <si>
    <t>ENST00000466287</t>
  </si>
  <si>
    <t>ENST00000482661</t>
  </si>
  <si>
    <t>ENSG00000171135</t>
  </si>
  <si>
    <t>ENSG00000171148</t>
  </si>
  <si>
    <t>ENST00000301964</t>
  </si>
  <si>
    <t>ENST00000492103</t>
  </si>
  <si>
    <t>ENST00000343450</t>
  </si>
  <si>
    <t>ENSG00000171161</t>
  </si>
  <si>
    <t>ENSG00000171169</t>
  </si>
  <si>
    <t>ENSG00000171202</t>
  </si>
  <si>
    <t>ENSG00000171204</t>
  </si>
  <si>
    <t>ENST00000358867</t>
  </si>
  <si>
    <t>ENST00000531477</t>
  </si>
  <si>
    <t>ENST00000528361</t>
  </si>
  <si>
    <t>ENST00000534341</t>
  </si>
  <si>
    <t>ENST00000529197</t>
  </si>
  <si>
    <t>ENST00000393375</t>
  </si>
  <si>
    <t>ENSG00000171262</t>
  </si>
  <si>
    <t>ENST00000397609</t>
  </si>
  <si>
    <t>ENST00000491535</t>
  </si>
  <si>
    <t>ENST00000305752</t>
  </si>
  <si>
    <t>ENSG00000171295</t>
  </si>
  <si>
    <t>ENST00000304060</t>
  </si>
  <si>
    <t>ENST00000587795</t>
  </si>
  <si>
    <t>ENST00000414255</t>
  </si>
  <si>
    <t>ENSG00000171302</t>
  </si>
  <si>
    <t>ENST00000392446</t>
  </si>
  <si>
    <t>ENST00000302345</t>
  </si>
  <si>
    <t>ENST00000588096</t>
  </si>
  <si>
    <t>ENST00000591811</t>
  </si>
  <si>
    <t>ENSG00000171310</t>
  </si>
  <si>
    <t>ENST00000547956</t>
  </si>
  <si>
    <t>ENST00000549260</t>
  </si>
  <si>
    <t>ENST00000303694</t>
  </si>
  <si>
    <t>ENST00000546689</t>
  </si>
  <si>
    <t>ENSG00000171311</t>
  </si>
  <si>
    <t>ENSG00000171428</t>
  </si>
  <si>
    <t>ENSG00000171443</t>
  </si>
  <si>
    <t>ENST00000301073</t>
  </si>
  <si>
    <t>ENST00000591046</t>
  </si>
  <si>
    <t>ENSG00000171453</t>
  </si>
  <si>
    <t>ENST00000372389</t>
  </si>
  <si>
    <t>ENST00000481352</t>
  </si>
  <si>
    <t>ENST00000512472</t>
  </si>
  <si>
    <t>ENST00000304004</t>
  </si>
  <si>
    <t>ENST00000488601</t>
  </si>
  <si>
    <t>ENST00000455605</t>
  </si>
  <si>
    <t>ENSG00000171456</t>
  </si>
  <si>
    <t>ENST00000375687</t>
  </si>
  <si>
    <t>ENST00000497249</t>
  </si>
  <si>
    <t>ENST00000555343</t>
  </si>
  <si>
    <t>ENST00000470145</t>
  </si>
  <si>
    <t>ENST00000555564</t>
  </si>
  <si>
    <t>ENST00000542461</t>
  </si>
  <si>
    <t>ENSG00000171469</t>
  </si>
  <si>
    <t>ENST00000302851</t>
  </si>
  <si>
    <t>ENST00000494276</t>
  </si>
  <si>
    <t>ENST00000483768</t>
  </si>
  <si>
    <t>ENST00000479943</t>
  </si>
  <si>
    <t>ENST00000435550</t>
  </si>
  <si>
    <t>ENST00000485150</t>
  </si>
  <si>
    <t>ENST00000497409</t>
  </si>
  <si>
    <t>ENSG00000171490</t>
  </si>
  <si>
    <t>ENSG00000171497</t>
  </si>
  <si>
    <t>ENSG00000171503</t>
  </si>
  <si>
    <t>ENST00000511912</t>
  </si>
  <si>
    <t>ENST00000514148</t>
  </si>
  <si>
    <t>ENSG00000171530</t>
  </si>
  <si>
    <t>ENSG00000171566</t>
  </si>
  <si>
    <t>ENSG00000171603</t>
  </si>
  <si>
    <t>ENST00000377298</t>
  </si>
  <si>
    <t>ENST00000477264</t>
  </si>
  <si>
    <t>ENST00000435891</t>
  </si>
  <si>
    <t>ENST00000464286</t>
  </si>
  <si>
    <t>ENSG00000171606</t>
  </si>
  <si>
    <t>ENST00000326804</t>
  </si>
  <si>
    <t>ENST00000597528</t>
  </si>
  <si>
    <t>ENST00000595146</t>
  </si>
  <si>
    <t>ENSG00000171608</t>
  </si>
  <si>
    <t>ENSG00000171681</t>
  </si>
  <si>
    <t>ENST00000261168</t>
  </si>
  <si>
    <t>ENST00000535179</t>
  </si>
  <si>
    <t>ENST00000540793</t>
  </si>
  <si>
    <t>ENST00000536444</t>
  </si>
  <si>
    <t>ENST00000543189</t>
  </si>
  <si>
    <t>ENST00000537653</t>
  </si>
  <si>
    <t>ENST00000539659</t>
  </si>
  <si>
    <t>ENSG00000171703</t>
  </si>
  <si>
    <t>ENST00000343484</t>
  </si>
  <si>
    <t>ENST00000487164</t>
  </si>
  <si>
    <t>ENST00000465111</t>
  </si>
  <si>
    <t>ENST00000495168</t>
  </si>
  <si>
    <t>ENST00000461072</t>
  </si>
  <si>
    <t>ENST00000475236</t>
  </si>
  <si>
    <t>ENSG00000171720</t>
  </si>
  <si>
    <t>ENSG00000171723</t>
  </si>
  <si>
    <t>ENSG00000171763</t>
  </si>
  <si>
    <t>ENSG00000171791</t>
  </si>
  <si>
    <t>ENST00000398117</t>
  </si>
  <si>
    <t>ENST00000333681</t>
  </si>
  <si>
    <t>ENST00000589955</t>
  </si>
  <si>
    <t>ENSG00000171793</t>
  </si>
  <si>
    <t>ENSG00000171806</t>
  </si>
  <si>
    <t>ENSG00000171824</t>
  </si>
  <si>
    <t>ENSG00000171853</t>
  </si>
  <si>
    <t>ENSG00000171858</t>
  </si>
  <si>
    <t>ENSG00000171861</t>
  </si>
  <si>
    <t>ENSG00000171862</t>
  </si>
  <si>
    <t>ENSG00000171863</t>
  </si>
  <si>
    <t>ENSG00000171865</t>
  </si>
  <si>
    <t>ENSG00000171940</t>
  </si>
  <si>
    <t>ENSG00000171953</t>
  </si>
  <si>
    <t>ENSG00000171960</t>
  </si>
  <si>
    <t>ENSG00000171988</t>
  </si>
  <si>
    <t>ENST00000467356</t>
  </si>
  <si>
    <t>ENST00000327520</t>
  </si>
  <si>
    <t>ENST00000497922</t>
  </si>
  <si>
    <t>ENST00000490669</t>
  </si>
  <si>
    <t>ENST00000483298</t>
  </si>
  <si>
    <t>ENST00000469152</t>
  </si>
  <si>
    <t>ENST00000542921</t>
  </si>
  <si>
    <t>ENSG00000172009</t>
  </si>
  <si>
    <t>ENSG00000172046</t>
  </si>
  <si>
    <t>ENST00000417901</t>
  </si>
  <si>
    <t>ENST00000483667</t>
  </si>
  <si>
    <t>ENST00000306026</t>
  </si>
  <si>
    <t>ENSG00000172053</t>
  </si>
  <si>
    <t>ENSG00000172062</t>
  </si>
  <si>
    <t>ENST00000380707</t>
  </si>
  <si>
    <t>ENST00000514951</t>
  </si>
  <si>
    <t>ENST00000506239</t>
  </si>
  <si>
    <t>ENST00000506163</t>
  </si>
  <si>
    <t>ENST00000518504</t>
  </si>
  <si>
    <t>ENST00000513228</t>
  </si>
  <si>
    <t>ENST00000380743</t>
  </si>
  <si>
    <t>ENST00000506734</t>
  </si>
  <si>
    <t>ENST00000503678</t>
  </si>
  <si>
    <t>ENST00000509805</t>
  </si>
  <si>
    <t>ENST00000514914</t>
  </si>
  <si>
    <t>ENST00000508258</t>
  </si>
  <si>
    <t>ENST00000380741</t>
  </si>
  <si>
    <t>ENSG00000172071</t>
  </si>
  <si>
    <t>ENST00000303236</t>
  </si>
  <si>
    <t>ENST00000478003</t>
  </si>
  <si>
    <t>ENSG00000172081</t>
  </si>
  <si>
    <t>ENSG00000172113</t>
  </si>
  <si>
    <t>ENST00000442597</t>
  </si>
  <si>
    <t>ENST00000451657</t>
  </si>
  <si>
    <t>ENST00000484959</t>
  </si>
  <si>
    <t>ENST00000426689</t>
  </si>
  <si>
    <t>ENSG00000172164</t>
  </si>
  <si>
    <t>ENSG00000172167</t>
  </si>
  <si>
    <t>ENST00000305949</t>
  </si>
  <si>
    <t>ENST00000519188</t>
  </si>
  <si>
    <t>ENSG00000172171</t>
  </si>
  <si>
    <t>ENST00000581216</t>
  </si>
  <si>
    <t>ENST00000580840</t>
  </si>
  <si>
    <t>ENST00000541382</t>
  </si>
  <si>
    <t>ENSG00000172172</t>
  </si>
  <si>
    <t>ENSG00000172183</t>
  </si>
  <si>
    <t>ENSG00000172239</t>
  </si>
  <si>
    <t>ENST00000306846</t>
  </si>
  <si>
    <t>ENST00000436644</t>
  </si>
  <si>
    <t>ENST00000338972</t>
  </si>
  <si>
    <t>ENSG00000172262</t>
  </si>
  <si>
    <t>ENST00000515326</t>
  </si>
  <si>
    <t>ENST00000306938</t>
  </si>
  <si>
    <t>ENST00000505606</t>
  </si>
  <si>
    <t>ENST00000509634</t>
  </si>
  <si>
    <t>ENST00000510037</t>
  </si>
  <si>
    <t>ENST00000507231</t>
  </si>
  <si>
    <t>ENSG00000172270</t>
  </si>
  <si>
    <t>ENST00000333511</t>
  </si>
  <si>
    <t>ENST00000576925</t>
  </si>
  <si>
    <t>ENST00000353555</t>
  </si>
  <si>
    <t>ENST00000572899</t>
  </si>
  <si>
    <t>ENST00000590218</t>
  </si>
  <si>
    <t>ENST00000571735</t>
  </si>
  <si>
    <t>ENSG00000172273</t>
  </si>
  <si>
    <t>ENST00000350777</t>
  </si>
  <si>
    <t>ENST00000527206</t>
  </si>
  <si>
    <t>ENST00000529354</t>
  </si>
  <si>
    <t>ENST00000532312</t>
  </si>
  <si>
    <t>ENST00000531022</t>
  </si>
  <si>
    <t>ENST00000529610</t>
  </si>
  <si>
    <t>ENST00000527755</t>
  </si>
  <si>
    <t>ENST00000532860</t>
  </si>
  <si>
    <t>ENSG00000172354</t>
  </si>
  <si>
    <t>ENSG00000172375</t>
  </si>
  <si>
    <t>ENSG00000172432</t>
  </si>
  <si>
    <t>ENST00000432918</t>
  </si>
  <si>
    <t>ENST00000476510</t>
  </si>
  <si>
    <t>ENST00000307126</t>
  </si>
  <si>
    <t>ENST00000480263</t>
  </si>
  <si>
    <t>ENSG00000172465</t>
  </si>
  <si>
    <t>ENST00000372625</t>
  </si>
  <si>
    <t>ENST00000469820</t>
  </si>
  <si>
    <t>ENST00000372624</t>
  </si>
  <si>
    <t>ENSG00000172466</t>
  </si>
  <si>
    <t>ENSG00000172500</t>
  </si>
  <si>
    <t>ENST00000534032</t>
  </si>
  <si>
    <t>ENST00000338369</t>
  </si>
  <si>
    <t>ENST00000357519</t>
  </si>
  <si>
    <t>ENST00000533037</t>
  </si>
  <si>
    <t>ENST00000532934</t>
  </si>
  <si>
    <t>ENST00000532229</t>
  </si>
  <si>
    <t>ENST00000528937</t>
  </si>
  <si>
    <t>ENST00000442885</t>
  </si>
  <si>
    <t>ENSG00000172531</t>
  </si>
  <si>
    <t>ENSG00000172543</t>
  </si>
  <si>
    <t>ENSG00000172575</t>
  </si>
  <si>
    <t>ENST00000310803</t>
  </si>
  <si>
    <t>ENST00000558432</t>
  </si>
  <si>
    <t>ENST00000450598</t>
  </si>
  <si>
    <t>ENST00000560425</t>
  </si>
  <si>
    <t>ENSG00000172578</t>
  </si>
  <si>
    <t>ENSG00000172586</t>
  </si>
  <si>
    <t>ENSG00000172673</t>
  </si>
  <si>
    <t>ENST00000368250</t>
  </si>
  <si>
    <t>ENST00000368248</t>
  </si>
  <si>
    <t>ENSG00000172716</t>
  </si>
  <si>
    <t>ENSG00000172732</t>
  </si>
  <si>
    <t>ENST00000525768</t>
  </si>
  <si>
    <t>ENST00000533555</t>
  </si>
  <si>
    <t>ENST00000531905</t>
  </si>
  <si>
    <t>ENST00000525147</t>
  </si>
  <si>
    <t>ENST00000530282</t>
  </si>
  <si>
    <t>ENST00000533519</t>
  </si>
  <si>
    <t>ENST00000529742</t>
  </si>
  <si>
    <t>ENSG00000172757</t>
  </si>
  <si>
    <t>ENSG00000172766</t>
  </si>
  <si>
    <t>ENSG00000172775</t>
  </si>
  <si>
    <t>ENSG00000172795</t>
  </si>
  <si>
    <t>ENST00000389063</t>
  </si>
  <si>
    <t>ENST00000510046</t>
  </si>
  <si>
    <t>ENST00000504961</t>
  </si>
  <si>
    <t>ENST00000502635</t>
  </si>
  <si>
    <t>ENST00000508359</t>
  </si>
  <si>
    <t>ENSG00000172809</t>
  </si>
  <si>
    <t>ENSG00000172845</t>
  </si>
  <si>
    <t>ENST00000418194</t>
  </si>
  <si>
    <t>ENST00000465379</t>
  </si>
  <si>
    <t>ENSG00000172869</t>
  </si>
  <si>
    <t>ENSG00000172878</t>
  </si>
  <si>
    <t>ENST00000315796</t>
  </si>
  <si>
    <t>ENST00000493035</t>
  </si>
  <si>
    <t>ENSG00000172890</t>
  </si>
  <si>
    <t>ENST00000528211</t>
  </si>
  <si>
    <t>ENSG00000172893</t>
  </si>
  <si>
    <t>ENSG00000172922</t>
  </si>
  <si>
    <t>ENSG00000172932</t>
  </si>
  <si>
    <t>ENSG00000172936</t>
  </si>
  <si>
    <t>ENST00000396334</t>
  </si>
  <si>
    <t>ENST00000460295</t>
  </si>
  <si>
    <t>ENST00000484513</t>
  </si>
  <si>
    <t>ENSG00000172939</t>
  </si>
  <si>
    <t>ENSG00000172943</t>
  </si>
  <si>
    <t>ENST00000338154</t>
  </si>
  <si>
    <t>ENST00000396282</t>
  </si>
  <si>
    <t>ENST00000470103</t>
  </si>
  <si>
    <t>ENST00000443302</t>
  </si>
  <si>
    <t>ENST00000494928</t>
  </si>
  <si>
    <t>ENST00000448003</t>
  </si>
  <si>
    <t>ENST00000490635</t>
  </si>
  <si>
    <t>ENST00000433120</t>
  </si>
  <si>
    <t>ENST00000338946</t>
  </si>
  <si>
    <t>ENSG00000172977</t>
  </si>
  <si>
    <t>ENST00000341318</t>
  </si>
  <si>
    <t>ENST00000530446</t>
  </si>
  <si>
    <t>ENST00000527544</t>
  </si>
  <si>
    <t>ENST00000525204</t>
  </si>
  <si>
    <t>ENST00000534681</t>
  </si>
  <si>
    <t>ENST00000533441</t>
  </si>
  <si>
    <t>ENST00000525600</t>
  </si>
  <si>
    <t>ENSG00000172992</t>
  </si>
  <si>
    <t>ENSG00000173011</t>
  </si>
  <si>
    <t>ENSG00000173020</t>
  </si>
  <si>
    <t>ENSG00000173039</t>
  </si>
  <si>
    <t>ENST00000406246</t>
  </si>
  <si>
    <t>ENST00000525693</t>
  </si>
  <si>
    <t>ENST00000526738</t>
  </si>
  <si>
    <t>ENST00000529330</t>
  </si>
  <si>
    <t>ENST00000527074</t>
  </si>
  <si>
    <t>ENST00000527874</t>
  </si>
  <si>
    <t>ENST00000525858</t>
  </si>
  <si>
    <t>ENST00000532776</t>
  </si>
  <si>
    <t>ENSG00000173064</t>
  </si>
  <si>
    <t>ENST00000548140</t>
  </si>
  <si>
    <t>ENST00000550968</t>
  </si>
  <si>
    <t>ENST00000552437</t>
  </si>
  <si>
    <t>ENSG00000173113</t>
  </si>
  <si>
    <t>ENST00000535750</t>
  </si>
  <si>
    <t>ENST00000535126</t>
  </si>
  <si>
    <t>ENST00000544844</t>
  </si>
  <si>
    <t>ENST00000537918</t>
  </si>
  <si>
    <t>ENST00000308774</t>
  </si>
  <si>
    <t>ENST00000539854</t>
  </si>
  <si>
    <t>ENSG00000173120</t>
  </si>
  <si>
    <t>ENSG00000173163</t>
  </si>
  <si>
    <t>ENST00000471704</t>
  </si>
  <si>
    <t>ENST00000311832</t>
  </si>
  <si>
    <t>ENSG00000173171</t>
  </si>
  <si>
    <t>ENSG00000173193</t>
  </si>
  <si>
    <t>ENSG00000173207</t>
  </si>
  <si>
    <t>ENSG00000173221</t>
  </si>
  <si>
    <t>ENSG00000173226</t>
  </si>
  <si>
    <t>ENSG00000173273</t>
  </si>
  <si>
    <t>ENST00000520408</t>
  </si>
  <si>
    <t>ENST00000310430</t>
  </si>
  <si>
    <t>ENST00000522110</t>
  </si>
  <si>
    <t>ENST00000517989</t>
  </si>
  <si>
    <t>ENSG00000173276</t>
  </si>
  <si>
    <t>ENSG00000173327</t>
  </si>
  <si>
    <t>ENST00000309100</t>
  </si>
  <si>
    <t>ENST00000532507</t>
  </si>
  <si>
    <t>ENST00000526647</t>
  </si>
  <si>
    <t>ENST00000524856</t>
  </si>
  <si>
    <t>ENST00000533032</t>
  </si>
  <si>
    <t>ENST00000530949</t>
  </si>
  <si>
    <t>ENST00000534110</t>
  </si>
  <si>
    <t>ENST00000527304</t>
  </si>
  <si>
    <t>ENSG00000173418</t>
  </si>
  <si>
    <t>ENSG00000173436</t>
  </si>
  <si>
    <t>ENST00000322753</t>
  </si>
  <si>
    <t>ENST00000467029</t>
  </si>
  <si>
    <t>ENSG00000173442</t>
  </si>
  <si>
    <t>ENSG00000173457</t>
  </si>
  <si>
    <t>ENSG00000173465</t>
  </si>
  <si>
    <t>ENST00000309328</t>
  </si>
  <si>
    <t>ENSG00000173473</t>
  </si>
  <si>
    <t>ENSG00000173486</t>
  </si>
  <si>
    <t>ENSG00000173517</t>
  </si>
  <si>
    <t>ENSG00000173540</t>
  </si>
  <si>
    <t>ENSG00000173542</t>
  </si>
  <si>
    <t>ENST00000309395</t>
  </si>
  <si>
    <t>ENST00000509041</t>
  </si>
  <si>
    <t>ENSG00000173598</t>
  </si>
  <si>
    <t>ENSG00000173660</t>
  </si>
  <si>
    <t>ENSG00000173692</t>
  </si>
  <si>
    <t>ENSG00000173726</t>
  </si>
  <si>
    <t>ENSG00000173744</t>
  </si>
  <si>
    <t>ENST00000310078</t>
  </si>
  <si>
    <t>ENST00000409171</t>
  </si>
  <si>
    <t>ENSG00000173757</t>
  </si>
  <si>
    <t>ENSG00000173786</t>
  </si>
  <si>
    <t>ENST00000393892</t>
  </si>
  <si>
    <t>ENST00000592861</t>
  </si>
  <si>
    <t>ENST00000486438</t>
  </si>
  <si>
    <t>ENSG00000173821</t>
  </si>
  <si>
    <t>ENSG00000173889</t>
  </si>
  <si>
    <t>ENST00000495893</t>
  </si>
  <si>
    <t>ENST00000486042</t>
  </si>
  <si>
    <t>ENST00000497171</t>
  </si>
  <si>
    <t>ENST00000475729</t>
  </si>
  <si>
    <t>ENST00000497658</t>
  </si>
  <si>
    <t>ENST00000491258</t>
  </si>
  <si>
    <t>ENST00000490723</t>
  </si>
  <si>
    <t>ENSG00000173914</t>
  </si>
  <si>
    <t>ENSG00000173933</t>
  </si>
  <si>
    <t>ENST00000310092</t>
  </si>
  <si>
    <t>ENST00000396053</t>
  </si>
  <si>
    <t>ENST00000408993</t>
  </si>
  <si>
    <t>ENST00000483858</t>
  </si>
  <si>
    <t>ENST00000398692</t>
  </si>
  <si>
    <t>ENST00000530235</t>
  </si>
  <si>
    <t>ENST00000532968</t>
  </si>
  <si>
    <t>ENST00000409406</t>
  </si>
  <si>
    <t>ENSG00000173960</t>
  </si>
  <si>
    <t>ENST00000309033</t>
  </si>
  <si>
    <t>ENST00000479859</t>
  </si>
  <si>
    <t>ENSG00000173992</t>
  </si>
  <si>
    <t>ENSG00000174021</t>
  </si>
  <si>
    <t>ENSG00000174106</t>
  </si>
  <si>
    <t>ENSG00000174109</t>
  </si>
  <si>
    <t>ENSG00000174177</t>
  </si>
  <si>
    <t>ENST00000565071</t>
  </si>
  <si>
    <t>ENST00000564921</t>
  </si>
  <si>
    <t>ENST00000562011</t>
  </si>
  <si>
    <t>ENSG00000174197</t>
  </si>
  <si>
    <t>ENST00000566718</t>
  </si>
  <si>
    <t>ENST00000566288</t>
  </si>
  <si>
    <t>ENST00000568255</t>
  </si>
  <si>
    <t>ENST00000219905</t>
  </si>
  <si>
    <t>ENST00000545763</t>
  </si>
  <si>
    <t>ENSG00000174231</t>
  </si>
  <si>
    <t>ENSG00000174238</t>
  </si>
  <si>
    <t>ENSG00000174282</t>
  </si>
  <si>
    <t>ENSG00000174437</t>
  </si>
  <si>
    <t>ENSG00000174442</t>
  </si>
  <si>
    <t>ENSG00000174444</t>
  </si>
  <si>
    <t>ENST00000564439</t>
  </si>
  <si>
    <t>ENSG00000174446</t>
  </si>
  <si>
    <t>ENST00000563480</t>
  </si>
  <si>
    <t>ENST00000395589</t>
  </si>
  <si>
    <t>ENST00000568875</t>
  </si>
  <si>
    <t>ENST00000316634</t>
  </si>
  <si>
    <t>ENST00000565465</t>
  </si>
  <si>
    <t>ENST00000307979</t>
  </si>
  <si>
    <t>ENSG00000174485</t>
  </si>
  <si>
    <t>ENST00000443035</t>
  </si>
  <si>
    <t>ENST00000562540</t>
  </si>
  <si>
    <t>ENST00000564674</t>
  </si>
  <si>
    <t>ENST00000562028</t>
  </si>
  <si>
    <t>ENST00000568515</t>
  </si>
  <si>
    <t>ENSG00000174547</t>
  </si>
  <si>
    <t>ENSG00000174579</t>
  </si>
  <si>
    <t>ENSG00000174606</t>
  </si>
  <si>
    <t>ENST00000366962</t>
  </si>
  <si>
    <t>ENST00000473303</t>
  </si>
  <si>
    <t>ENST00000498650</t>
  </si>
  <si>
    <t>ENST00000460337</t>
  </si>
  <si>
    <t>ENST00000481918</t>
  </si>
  <si>
    <t>ENSG00000174718</t>
  </si>
  <si>
    <t>ENST00000540924</t>
  </si>
  <si>
    <t>ENSG00000174720</t>
  </si>
  <si>
    <t>ENSG00000174748</t>
  </si>
  <si>
    <t>ENSG00000174780</t>
  </si>
  <si>
    <t>ENST00000342756</t>
  </si>
  <si>
    <t>ENST00000504757</t>
  </si>
  <si>
    <t>ENST00000507126</t>
  </si>
  <si>
    <t>ENSG00000174799</t>
  </si>
  <si>
    <t>ENSG00000174839</t>
  </si>
  <si>
    <t>ENST00000311128</t>
  </si>
  <si>
    <t>ENST00000471531</t>
  </si>
  <si>
    <t>ENST00000480710</t>
  </si>
  <si>
    <t>ENST00000487662</t>
  </si>
  <si>
    <t>ENST00000464875</t>
  </si>
  <si>
    <t>ENSG00000174840</t>
  </si>
  <si>
    <t>ENST00000487257</t>
  </si>
  <si>
    <t>ENST00000311180</t>
  </si>
  <si>
    <t>ENSG00000174842</t>
  </si>
  <si>
    <t>ENSG00000174886</t>
  </si>
  <si>
    <t>ENSG00000174903</t>
  </si>
  <si>
    <t>ENSG00000174917</t>
  </si>
  <si>
    <t>ENSG00000174946</t>
  </si>
  <si>
    <t>ENSG00000174953</t>
  </si>
  <si>
    <t>ENST00000496811</t>
  </si>
  <si>
    <t>ENST00000495598</t>
  </si>
  <si>
    <t>ENST00000477549</t>
  </si>
  <si>
    <t>ENST00000460695</t>
  </si>
  <si>
    <t>ENST00000481332</t>
  </si>
  <si>
    <t>ENST00000460875</t>
  </si>
  <si>
    <t>ENST00000462464</t>
  </si>
  <si>
    <t>ENST00000491011</t>
  </si>
  <si>
    <t>ENSG00000174996</t>
  </si>
  <si>
    <t>ENSG00000175110</t>
  </si>
  <si>
    <t>ENSG00000175115</t>
  </si>
  <si>
    <t>ENSG00000175137</t>
  </si>
  <si>
    <t>ENST00000484202</t>
  </si>
  <si>
    <t>ENST00000366472</t>
  </si>
  <si>
    <t>ENST00000475978</t>
  </si>
  <si>
    <t>ENST00000494837</t>
  </si>
  <si>
    <t>ENSG00000175166</t>
  </si>
  <si>
    <t>ENSG00000175203</t>
  </si>
  <si>
    <t>ENST00000547480</t>
  </si>
  <si>
    <t>ENSG00000175213</t>
  </si>
  <si>
    <t>ENSG00000175216</t>
  </si>
  <si>
    <t>ENSG00000175220</t>
  </si>
  <si>
    <t>ENSG00000175224</t>
  </si>
  <si>
    <t>ENST00000577256</t>
  </si>
  <si>
    <t>ENST00000524625</t>
  </si>
  <si>
    <t>ENST00000534610</t>
  </si>
  <si>
    <t>ENST00000528145</t>
  </si>
  <si>
    <t>ENST00000527907</t>
  </si>
  <si>
    <t>ENST00000528704</t>
  </si>
  <si>
    <t>ENST00000533316</t>
  </si>
  <si>
    <t>ENST00000529395</t>
  </si>
  <si>
    <t>ENSG00000175309</t>
  </si>
  <si>
    <t>ENSG00000175324</t>
  </si>
  <si>
    <t>ENSG00000175334</t>
  </si>
  <si>
    <t>ENSG00000175354</t>
  </si>
  <si>
    <t>ENST00000589444</t>
  </si>
  <si>
    <t>ENST00000327283</t>
  </si>
  <si>
    <t>ENST00000591901</t>
  </si>
  <si>
    <t>ENST00000309660</t>
  </si>
  <si>
    <t>ENSG00000175376</t>
  </si>
  <si>
    <t>ENSG00000175387</t>
  </si>
  <si>
    <t>ENST00000262160</t>
  </si>
  <si>
    <t>ENST00000402690</t>
  </si>
  <si>
    <t>ENST00000586040</t>
  </si>
  <si>
    <t>ENST00000591214</t>
  </si>
  <si>
    <t>ENST00000587269</t>
  </si>
  <si>
    <t>ENSG00000175390</t>
  </si>
  <si>
    <t>ENSG00000175416</t>
  </si>
  <si>
    <t>ENST00000345807</t>
  </si>
  <si>
    <t>ENST00000510734</t>
  </si>
  <si>
    <t>ENSG00000175455</t>
  </si>
  <si>
    <t>ENST00000489746</t>
  </si>
  <si>
    <t>ENST00000487498</t>
  </si>
  <si>
    <t>ENST00000485949</t>
  </si>
  <si>
    <t>ENST00000488653</t>
  </si>
  <si>
    <t>ENSG00000175463</t>
  </si>
  <si>
    <t>ENSG00000175467</t>
  </si>
  <si>
    <t>ENSG00000175470</t>
  </si>
  <si>
    <t>ENSG00000175482</t>
  </si>
  <si>
    <t>ENST00000529704</t>
  </si>
  <si>
    <t>ENST00000533429</t>
  </si>
  <si>
    <t>ENST00000542982</t>
  </si>
  <si>
    <t>ENSG00000175550</t>
  </si>
  <si>
    <t>ENSG00000175567</t>
  </si>
  <si>
    <t>ENST00000310473</t>
  </si>
  <si>
    <t>ENST00000544615</t>
  </si>
  <si>
    <t>ENST00000545562</t>
  </si>
  <si>
    <t>ENST00000543714</t>
  </si>
  <si>
    <t>ENST00000539330</t>
  </si>
  <si>
    <t>ENSG00000175573</t>
  </si>
  <si>
    <t>ENSG00000175575</t>
  </si>
  <si>
    <t>ENSG00000175581</t>
  </si>
  <si>
    <t>ENSG00000175582</t>
  </si>
  <si>
    <t>ENST00000310653</t>
  </si>
  <si>
    <t>ENST00000336083</t>
  </si>
  <si>
    <t>ENST00000541795</t>
  </si>
  <si>
    <t>ENSG00000175595</t>
  </si>
  <si>
    <t>ENSG00000175606</t>
  </si>
  <si>
    <t>ENSG00000175634</t>
  </si>
  <si>
    <t>ENSG00000175662</t>
  </si>
  <si>
    <t>ENST00000577794</t>
  </si>
  <si>
    <t>ENST00000486413</t>
  </si>
  <si>
    <t>ENSG00000175727</t>
  </si>
  <si>
    <t>ENST00000319080</t>
  </si>
  <si>
    <t>ENST00000535430</t>
  </si>
  <si>
    <t>ENST00000539861</t>
  </si>
  <si>
    <t>ENST00000535876</t>
  </si>
  <si>
    <t>ENST00000538698</t>
  </si>
  <si>
    <t>ENST00000541750</t>
  </si>
  <si>
    <t>ENST00000366272</t>
  </si>
  <si>
    <t>ENSG00000175792</t>
  </si>
  <si>
    <t>ENSG00000176018</t>
  </si>
  <si>
    <t>ENST00000315948</t>
  </si>
  <si>
    <t>ENST00000453259</t>
  </si>
  <si>
    <t>ENSG00000176055</t>
  </si>
  <si>
    <t>ENST00000316610</t>
  </si>
  <si>
    <t>ENST00000514906</t>
  </si>
  <si>
    <t>ENSG00000176087</t>
  </si>
  <si>
    <t>ENST00000323146</t>
  </si>
  <si>
    <t>ENST00000514199</t>
  </si>
  <si>
    <t>ENSG00000176095</t>
  </si>
  <si>
    <t>ENSG00000176101</t>
  </si>
  <si>
    <t>ENSG00000176102</t>
  </si>
  <si>
    <t>ENSG00000176108</t>
  </si>
  <si>
    <t>ENSG00000176248</t>
  </si>
  <si>
    <t>ENSG00000176261</t>
  </si>
  <si>
    <t>ENSG00000176393</t>
  </si>
  <si>
    <t>ENSG00000176476</t>
  </si>
  <si>
    <t>ENSG00000176619</t>
  </si>
  <si>
    <t>ENSG00000176623</t>
  </si>
  <si>
    <t>ENSG00000176624</t>
  </si>
  <si>
    <t>ENSG00000176658</t>
  </si>
  <si>
    <t>ENST00000318217</t>
  </si>
  <si>
    <t>ENST00000579584</t>
  </si>
  <si>
    <t>ENST00000585094</t>
  </si>
  <si>
    <t>ENSG00000176715</t>
  </si>
  <si>
    <t>ENSG00000176731</t>
  </si>
  <si>
    <t>ENSG00000176783</t>
  </si>
  <si>
    <t>ENSG00000176853</t>
  </si>
  <si>
    <t>ENSG00000176915</t>
  </si>
  <si>
    <t>ENSG00000176946</t>
  </si>
  <si>
    <t>ENSG00000176953</t>
  </si>
  <si>
    <t>ENSG00000176974</t>
  </si>
  <si>
    <t>ENST00000395684</t>
  </si>
  <si>
    <t>ENST00000582352</t>
  </si>
  <si>
    <t>ENST00000579558</t>
  </si>
  <si>
    <t>ENST00000395682</t>
  </si>
  <si>
    <t>ENSG00000176978</t>
  </si>
  <si>
    <t>ENSG00000176986</t>
  </si>
  <si>
    <t>ENSG00000177000</t>
  </si>
  <si>
    <t>ENST00000376486</t>
  </si>
  <si>
    <t>ENSG00000177030</t>
  </si>
  <si>
    <t>ENST00000382409</t>
  </si>
  <si>
    <t>ENST00000526790</t>
  </si>
  <si>
    <t>ENSG00000177034</t>
  </si>
  <si>
    <t>ENST00000512560</t>
  </si>
  <si>
    <t>ENST00000509852</t>
  </si>
  <si>
    <t>ENSG00000177051</t>
  </si>
  <si>
    <t>ENST00000586899</t>
  </si>
  <si>
    <t>ENST00000591686</t>
  </si>
  <si>
    <t>ENSG00000177082</t>
  </si>
  <si>
    <t>ENSG00000177084</t>
  </si>
  <si>
    <t>ENSG00000177105</t>
  </si>
  <si>
    <t>ENSG00000177150</t>
  </si>
  <si>
    <t>ENSG00000177156</t>
  </si>
  <si>
    <t>ENSG00000177192</t>
  </si>
  <si>
    <t>ENST00000322060</t>
  </si>
  <si>
    <t>ENST00000542167</t>
  </si>
  <si>
    <t>ENST00000544662</t>
  </si>
  <si>
    <t>ENST00000543754</t>
  </si>
  <si>
    <t>ENSG00000177225</t>
  </si>
  <si>
    <t>ENSG00000177302</t>
  </si>
  <si>
    <t>ENST00000493648</t>
  </si>
  <si>
    <t>ENST00000321105</t>
  </si>
  <si>
    <t>ENST00000580095</t>
  </si>
  <si>
    <t>ENST00000477508</t>
  </si>
  <si>
    <t>ENST00000583804</t>
  </si>
  <si>
    <t>ENST00000583328</t>
  </si>
  <si>
    <t>ENST00000580713</t>
  </si>
  <si>
    <t>ENSG00000177479</t>
  </si>
  <si>
    <t>ENST00000492077</t>
  </si>
  <si>
    <t>ENSG00000177542</t>
  </si>
  <si>
    <t>ENSG00000177548</t>
  </si>
  <si>
    <t>ENSG00000177556</t>
  </si>
  <si>
    <t>ENSG00000177565</t>
  </si>
  <si>
    <t>ENSG00000177600</t>
  </si>
  <si>
    <t>ENSG00000177628</t>
  </si>
  <si>
    <t>ENST00000368373</t>
  </si>
  <si>
    <t>ENST00000491081</t>
  </si>
  <si>
    <t>ENST00000460156</t>
  </si>
  <si>
    <t>ENSG00000177646</t>
  </si>
  <si>
    <t>ENSG00000177666</t>
  </si>
  <si>
    <t>ENST00000336615</t>
  </si>
  <si>
    <t>ENST00000525250</t>
  </si>
  <si>
    <t>ENST00000534561</t>
  </si>
  <si>
    <t>ENST00000531923</t>
  </si>
  <si>
    <t>ENST00000526083</t>
  </si>
  <si>
    <t>ENSG00000177674</t>
  </si>
  <si>
    <t>ENST00000494437</t>
  </si>
  <si>
    <t>ENST00000314340</t>
  </si>
  <si>
    <t>ENSG00000177731</t>
  </si>
  <si>
    <t>ENST00000577398</t>
  </si>
  <si>
    <t>ENST00000327031</t>
  </si>
  <si>
    <t>ENST00000465046</t>
  </si>
  <si>
    <t>ENST00000493600</t>
  </si>
  <si>
    <t>ENST00000487693</t>
  </si>
  <si>
    <t>ENST00000474265</t>
  </si>
  <si>
    <t>ENST00000580966</t>
  </si>
  <si>
    <t>ENST00000580453</t>
  </si>
  <si>
    <t>ENST00000459958</t>
  </si>
  <si>
    <t>ENST00000577402</t>
  </si>
  <si>
    <t>ENST00000496727</t>
  </si>
  <si>
    <t>ENST00000488221</t>
  </si>
  <si>
    <t>ENST00000478416</t>
  </si>
  <si>
    <t>ENST00000473425</t>
  </si>
  <si>
    <t>ENST00000582626</t>
  </si>
  <si>
    <t>ENSG00000177830</t>
  </si>
  <si>
    <t>ENST00000323578</t>
  </si>
  <si>
    <t>ENST00000436108</t>
  </si>
  <si>
    <t>ENST00000524538</t>
  </si>
  <si>
    <t>ENST00000531010</t>
  </si>
  <si>
    <t>ENSG00000177879</t>
  </si>
  <si>
    <t>ENSG00000177885</t>
  </si>
  <si>
    <t>ENSG00000177889</t>
  </si>
  <si>
    <t>ENSG00000177951</t>
  </si>
  <si>
    <t>ENSG00000177954</t>
  </si>
  <si>
    <t>ENSG00000177963</t>
  </si>
  <si>
    <t>ENST00000526104</t>
  </si>
  <si>
    <t>ENST00000532373</t>
  </si>
  <si>
    <t>ENST00000527696</t>
  </si>
  <si>
    <t>ENST00000527468</t>
  </si>
  <si>
    <t>ENST00000527039</t>
  </si>
  <si>
    <t>ENST00000530149</t>
  </si>
  <si>
    <t>ENST00000532241</t>
  </si>
  <si>
    <t>ENST00000526557</t>
  </si>
  <si>
    <t>ENSG00000178028</t>
  </si>
  <si>
    <t>ENSG00000178035</t>
  </si>
  <si>
    <t>ENSG00000178057</t>
  </si>
  <si>
    <t>ENSG00000178104</t>
  </si>
  <si>
    <t>ENST00000313431</t>
  </si>
  <si>
    <t>ENST00000529945</t>
  </si>
  <si>
    <t>ENST00000496263</t>
  </si>
  <si>
    <t>ENST00000527901</t>
  </si>
  <si>
    <t>ENST00000534466</t>
  </si>
  <si>
    <t>ENST00000464924</t>
  </si>
  <si>
    <t>ENSG00000178127</t>
  </si>
  <si>
    <t>ENSG00000178199</t>
  </si>
  <si>
    <t>ENSG00000178202</t>
  </si>
  <si>
    <t>ENSG00000178252</t>
  </si>
  <si>
    <t>ENSG00000178307</t>
  </si>
  <si>
    <t>ENSG00000178425</t>
  </si>
  <si>
    <t>ENSG00000178467</t>
  </si>
  <si>
    <t>ENST00000383729</t>
  </si>
  <si>
    <t>ENST00000484115</t>
  </si>
  <si>
    <t>ENST00000609406</t>
  </si>
  <si>
    <t>ENST00000468374</t>
  </si>
  <si>
    <t>ENST00000485210</t>
  </si>
  <si>
    <t>ENST00000472796</t>
  </si>
  <si>
    <t>ENSG00000178498</t>
  </si>
  <si>
    <t>ENST00000548198</t>
  </si>
  <si>
    <t>ENST00000548478</t>
  </si>
  <si>
    <t>ENST00000550300</t>
  </si>
  <si>
    <t>ENSG00000178537</t>
  </si>
  <si>
    <t>ENSG00000178562</t>
  </si>
  <si>
    <t>ENSG00000178605</t>
  </si>
  <si>
    <t>ENSG00000178607</t>
  </si>
  <si>
    <t>ENSG00000178685</t>
  </si>
  <si>
    <t>ENSG00000178691</t>
  </si>
  <si>
    <t>ENSG00000178741</t>
  </si>
  <si>
    <t>ENSG00000178764</t>
  </si>
  <si>
    <t>ENSG00000178802</t>
  </si>
  <si>
    <t>ENSG00000178896</t>
  </si>
  <si>
    <t>ENSG00000178921</t>
  </si>
  <si>
    <t>ENSG00000178922</t>
  </si>
  <si>
    <t>ENST00000483618</t>
  </si>
  <si>
    <t>ENST00000372427</t>
  </si>
  <si>
    <t>ENST00000496142</t>
  </si>
  <si>
    <t>ENSG00000178927</t>
  </si>
  <si>
    <t>ENST00000536759</t>
  </si>
  <si>
    <t>ENST00000306645</t>
  </si>
  <si>
    <t>ENST00000578895</t>
  </si>
  <si>
    <t>ENST00000585044</t>
  </si>
  <si>
    <t>ENST00000579444</t>
  </si>
  <si>
    <t>ENST00000578913</t>
  </si>
  <si>
    <t>ENST00000578941</t>
  </si>
  <si>
    <t>ENST00000583778</t>
  </si>
  <si>
    <t>ENSG00000178950</t>
  </si>
  <si>
    <t>ENSG00000178952</t>
  </si>
  <si>
    <t>ENSG00000178971</t>
  </si>
  <si>
    <t>ENST00000315684</t>
  </si>
  <si>
    <t>ENST00000578240</t>
  </si>
  <si>
    <t>ENST00000584439</t>
  </si>
  <si>
    <t>ENST00000581967</t>
  </si>
  <si>
    <t>ENST00000583254</t>
  </si>
  <si>
    <t>ENST00000579066</t>
  </si>
  <si>
    <t>ENST00000584842</t>
  </si>
  <si>
    <t>ENSG00000178980</t>
  </si>
  <si>
    <t>ENSG00000178982</t>
  </si>
  <si>
    <t>ENSG00000178996</t>
  </si>
  <si>
    <t>ENST00000326277</t>
  </si>
  <si>
    <t>ENST00000381410</t>
  </si>
  <si>
    <t>ENSG00000179010</t>
  </si>
  <si>
    <t>ENSG00000179091</t>
  </si>
  <si>
    <t>ENSG00000179115</t>
  </si>
  <si>
    <t>ENSG00000179119</t>
  </si>
  <si>
    <t>ENSG00000179134</t>
  </si>
  <si>
    <t>ENST00000601613</t>
  </si>
  <si>
    <t>ENST00000599712</t>
  </si>
  <si>
    <t>ENST00000596319</t>
  </si>
  <si>
    <t>ENST00000595476</t>
  </si>
  <si>
    <t>ENST00000598605</t>
  </si>
  <si>
    <t>ENST00000596271</t>
  </si>
  <si>
    <t>ENSG00000179151</t>
  </si>
  <si>
    <t>ENSG00000179218</t>
  </si>
  <si>
    <t>ENSG00000179222</t>
  </si>
  <si>
    <t>ENSG00000179295</t>
  </si>
  <si>
    <t>ENSG00000179361</t>
  </si>
  <si>
    <t>ENST00000346246</t>
  </si>
  <si>
    <t>ENST00000569680</t>
  </si>
  <si>
    <t>ENST00000566468</t>
  </si>
  <si>
    <t>ENSG00000179364</t>
  </si>
  <si>
    <t>ENST00000447393</t>
  </si>
  <si>
    <t>ENST00000548265</t>
  </si>
  <si>
    <t>ENST00000552138</t>
  </si>
  <si>
    <t>ENST00000551692</t>
  </si>
  <si>
    <t>ENST00000549030</t>
  </si>
  <si>
    <t>ENST00000548796</t>
  </si>
  <si>
    <t>ENST00000550790</t>
  </si>
  <si>
    <t>ENSG00000179387</t>
  </si>
  <si>
    <t>ENSG00000179388</t>
  </si>
  <si>
    <t>ENST00000317216</t>
  </si>
  <si>
    <t>ENST00000522910</t>
  </si>
  <si>
    <t>ENSG00000179409</t>
  </si>
  <si>
    <t>ENSG00000179526</t>
  </si>
  <si>
    <t>ENSG00000179588</t>
  </si>
  <si>
    <t>ENSG00000179632</t>
  </si>
  <si>
    <t>ENSG00000179715</t>
  </si>
  <si>
    <t>ENSG00000179889</t>
  </si>
  <si>
    <t>ENST00000535621</t>
  </si>
  <si>
    <t>ENST00000455313</t>
  </si>
  <si>
    <t>ENST00000396410</t>
  </si>
  <si>
    <t>ENST00000570001</t>
  </si>
  <si>
    <t>ENST00000569715</t>
  </si>
  <si>
    <t>ENST00000561930</t>
  </si>
  <si>
    <t>ENST00000566633</t>
  </si>
  <si>
    <t>ENST00000565986</t>
  </si>
  <si>
    <t>ENSG00000179912</t>
  </si>
  <si>
    <t>ENSG00000179943</t>
  </si>
  <si>
    <t>ENSG00000179958</t>
  </si>
  <si>
    <t>ENSG00000180011</t>
  </si>
  <si>
    <t>ENST00000537114</t>
  </si>
  <si>
    <t>ENSG00000180096</t>
  </si>
  <si>
    <t>ENSG00000180098</t>
  </si>
  <si>
    <t>ENST00000373830</t>
  </si>
  <si>
    <t>ENST00000495995</t>
  </si>
  <si>
    <t>ENST00000411406</t>
  </si>
  <si>
    <t>ENSG00000180104</t>
  </si>
  <si>
    <t>ENST00000512944</t>
  </si>
  <si>
    <t>ENST00000510028</t>
  </si>
  <si>
    <t>ENST00000511015</t>
  </si>
  <si>
    <t>ENST00000505947</t>
  </si>
  <si>
    <t>ENST00000315013</t>
  </si>
  <si>
    <t>ENSG00000180182</t>
  </si>
  <si>
    <t>ENSG00000180185</t>
  </si>
  <si>
    <t>ENSG00000180198</t>
  </si>
  <si>
    <t>ENST00000373833</t>
  </si>
  <si>
    <t>ENST00000373832</t>
  </si>
  <si>
    <t>ENST00000411533</t>
  </si>
  <si>
    <t>ENST00000478232</t>
  </si>
  <si>
    <t>ENSG00000180228</t>
  </si>
  <si>
    <t>ENSG00000180329</t>
  </si>
  <si>
    <t>ENSG00000180353</t>
  </si>
  <si>
    <t>ENSG00000180357</t>
  </si>
  <si>
    <t>ENSG00000180370</t>
  </si>
  <si>
    <t>ENSG00000180376</t>
  </si>
  <si>
    <t>ENST00000473322</t>
  </si>
  <si>
    <t>ENST00000484441</t>
  </si>
  <si>
    <t>ENST00000468108</t>
  </si>
  <si>
    <t>ENST00000480884</t>
  </si>
  <si>
    <t>ENST00000476142</t>
  </si>
  <si>
    <t>ENSG00000180398</t>
  </si>
  <si>
    <t>ENST00000319466</t>
  </si>
  <si>
    <t>ENST00000477791</t>
  </si>
  <si>
    <t>ENST00000487121</t>
  </si>
  <si>
    <t>ENSG00000180448</t>
  </si>
  <si>
    <t>ENSG00000180628</t>
  </si>
  <si>
    <t>ENST00000490164</t>
  </si>
  <si>
    <t>ENST00000336126</t>
  </si>
  <si>
    <t>ENSG00000180817</t>
  </si>
  <si>
    <t>ENSG00000180822</t>
  </si>
  <si>
    <t>ENSG00000180879</t>
  </si>
  <si>
    <t>ENSG00000180884</t>
  </si>
  <si>
    <t>ENST00000404801</t>
  </si>
  <si>
    <t>ENST00000605484</t>
  </si>
  <si>
    <t>ENSG00000180901</t>
  </si>
  <si>
    <t>ENST00000322444</t>
  </si>
  <si>
    <t>ENST00000579230</t>
  </si>
  <si>
    <t>ENSG00000180917</t>
  </si>
  <si>
    <t>ENSG00000180957</t>
  </si>
  <si>
    <t>ENSG00000180979</t>
  </si>
  <si>
    <t>ENSG00000181007</t>
  </si>
  <si>
    <t>ENST00000590993</t>
  </si>
  <si>
    <t>ENST00000392161</t>
  </si>
  <si>
    <t>ENSG00000181035</t>
  </si>
  <si>
    <t>ENSG00000181090</t>
  </si>
  <si>
    <t>ENSG00000181163</t>
  </si>
  <si>
    <t>ENSG00000181191</t>
  </si>
  <si>
    <t>ENST00000374583</t>
  </si>
  <si>
    <t>ENST00000374571</t>
  </si>
  <si>
    <t>ENST00000477231</t>
  </si>
  <si>
    <t>ENSG00000181192</t>
  </si>
  <si>
    <t>ENSG00000181222</t>
  </si>
  <si>
    <t>ENST00000576553</t>
  </si>
  <si>
    <t>ENSG00000181284</t>
  </si>
  <si>
    <t>ENSG00000181381</t>
  </si>
  <si>
    <t>ENSG00000181396</t>
  </si>
  <si>
    <t>ENSG00000181610</t>
  </si>
  <si>
    <t>ENSG00000181744</t>
  </si>
  <si>
    <t>ENSG00000181789</t>
  </si>
  <si>
    <t>ENST00000513410</t>
  </si>
  <si>
    <t>ENSG00000181852</t>
  </si>
  <si>
    <t>ENST00000345093</t>
  </si>
  <si>
    <t>ENST00000547967</t>
  </si>
  <si>
    <t>ENST00000394013</t>
  </si>
  <si>
    <t>ENST00000552656</t>
  </si>
  <si>
    <t>ENST00000548120</t>
  </si>
  <si>
    <t>ENST00000550379</t>
  </si>
  <si>
    <t>ENSG00000181896</t>
  </si>
  <si>
    <t>ENSG00000181904</t>
  </si>
  <si>
    <t>ENSG00000181924</t>
  </si>
  <si>
    <t>ENSG00000181929</t>
  </si>
  <si>
    <t>ENST00000552657</t>
  </si>
  <si>
    <t>ENST00000550448</t>
  </si>
  <si>
    <t>ENST00000551121</t>
  </si>
  <si>
    <t>ENST00000552793</t>
  </si>
  <si>
    <t>ENST00000550125</t>
  </si>
  <si>
    <t>ENST00000548065</t>
  </si>
  <si>
    <t>ENSG00000181938</t>
  </si>
  <si>
    <t>ENSG00000181991</t>
  </si>
  <si>
    <t>ENST00000325844</t>
  </si>
  <si>
    <t>ENST00000559125</t>
  </si>
  <si>
    <t>ENST00000558406</t>
  </si>
  <si>
    <t>ENST00000558548</t>
  </si>
  <si>
    <t>ENST00000561262</t>
  </si>
  <si>
    <t>ENSG00000182004</t>
  </si>
  <si>
    <t>ENSG00000182134</t>
  </si>
  <si>
    <t>ENSG00000182149</t>
  </si>
  <si>
    <t>ENST00000378799</t>
  </si>
  <si>
    <t>ENST00000566536</t>
  </si>
  <si>
    <t>ENST00000378798</t>
  </si>
  <si>
    <t>ENST00000545518</t>
  </si>
  <si>
    <t>ENST00000537571</t>
  </si>
  <si>
    <t>ENST00000545388</t>
  </si>
  <si>
    <t>ENST00000538709</t>
  </si>
  <si>
    <t>ENST00000541180</t>
  </si>
  <si>
    <t>ENSG00000182173</t>
  </si>
  <si>
    <t>ENSG00000182179</t>
  </si>
  <si>
    <t>ENST00000489826</t>
  </si>
  <si>
    <t>ENST00000478688</t>
  </si>
  <si>
    <t>ENSG00000182180</t>
  </si>
  <si>
    <t>ENSG00000182199</t>
  </si>
  <si>
    <t>ENST00000328923</t>
  </si>
  <si>
    <t>ENST00000556825</t>
  </si>
  <si>
    <t>ENST00000553324</t>
  </si>
  <si>
    <t>ENST00000554467</t>
  </si>
  <si>
    <t>ENST00000553950</t>
  </si>
  <si>
    <t>ENST00000414700</t>
  </si>
  <si>
    <t>ENST00000553949</t>
  </si>
  <si>
    <t>ENST00000556737</t>
  </si>
  <si>
    <t>ENST00000553868</t>
  </si>
  <si>
    <t>ENST00000556798</t>
  </si>
  <si>
    <t>ENSG00000182208</t>
  </si>
  <si>
    <t>ENSG00000182220</t>
  </si>
  <si>
    <t>ENST00000378438</t>
  </si>
  <si>
    <t>ENST00000487051</t>
  </si>
  <si>
    <t>ENST00000479120</t>
  </si>
  <si>
    <t>ENSG00000182287</t>
  </si>
  <si>
    <t>ENST00000329235</t>
  </si>
  <si>
    <t>ENST00000380291</t>
  </si>
  <si>
    <t>ENSG00000182362</t>
  </si>
  <si>
    <t>ENST00000397701</t>
  </si>
  <si>
    <t>ENST00000468924</t>
  </si>
  <si>
    <t>ENST00000492864</t>
  </si>
  <si>
    <t>ENSG00000182400</t>
  </si>
  <si>
    <t>ENSG00000182446</t>
  </si>
  <si>
    <t>ENSG00000182481</t>
  </si>
  <si>
    <t>ENST00000583392</t>
  </si>
  <si>
    <t>ENSG00000182504</t>
  </si>
  <si>
    <t>ENSG00000182512</t>
  </si>
  <si>
    <t>ENSG00000182541</t>
  </si>
  <si>
    <t>ENST00000462625</t>
  </si>
  <si>
    <t>ENST00000331728</t>
  </si>
  <si>
    <t>ENST00000465937</t>
  </si>
  <si>
    <t>ENST00000482270</t>
  </si>
  <si>
    <t>ENSG00000182551</t>
  </si>
  <si>
    <t>ENSG00000182568</t>
  </si>
  <si>
    <t>ENSG00000182628</t>
  </si>
  <si>
    <t>ENSG00000182718</t>
  </si>
  <si>
    <t>ENSG00000182768</t>
  </si>
  <si>
    <t>ENSG00000182866</t>
  </si>
  <si>
    <t>ENSG00000182872</t>
  </si>
  <si>
    <t>ENST00000377604</t>
  </si>
  <si>
    <t>ENST00000345781</t>
  </si>
  <si>
    <t>ENST00000329236</t>
  </si>
  <si>
    <t>ENSG00000182899</t>
  </si>
  <si>
    <t>ENSG00000182919</t>
  </si>
  <si>
    <t>ENST00000528288</t>
  </si>
  <si>
    <t>ENST00000354421</t>
  </si>
  <si>
    <t>ENST00000526335</t>
  </si>
  <si>
    <t>ENST00000533154</t>
  </si>
  <si>
    <t>ENST00000540113</t>
  </si>
  <si>
    <t>ENSG00000182934</t>
  </si>
  <si>
    <t>ENSG00000182944</t>
  </si>
  <si>
    <t>ENST00000397938</t>
  </si>
  <si>
    <t>ENST00000406548</t>
  </si>
  <si>
    <t>ENST00000437155</t>
  </si>
  <si>
    <t>ENST00000415761</t>
  </si>
  <si>
    <t>ENST00000483415</t>
  </si>
  <si>
    <t>ENST00000455726</t>
  </si>
  <si>
    <t>ENST00000332035</t>
  </si>
  <si>
    <t>ENST00000479135</t>
  </si>
  <si>
    <t>ENST00000469669</t>
  </si>
  <si>
    <t>ENST00000483629</t>
  </si>
  <si>
    <t>ENST00000360091</t>
  </si>
  <si>
    <t>ENSG00000182957</t>
  </si>
  <si>
    <t>ENST00000434675</t>
  </si>
  <si>
    <t>ENST00000399949</t>
  </si>
  <si>
    <t>ENSG00000182973</t>
  </si>
  <si>
    <t>ENST00000328834</t>
  </si>
  <si>
    <t>ENST00000485136</t>
  </si>
  <si>
    <t>ENST00000481526</t>
  </si>
  <si>
    <t>ENST00000479397</t>
  </si>
  <si>
    <t>ENST00000473064</t>
  </si>
  <si>
    <t>ENST00000476967</t>
  </si>
  <si>
    <t>ENSG00000183054</t>
  </si>
  <si>
    <t>ENST00000016946</t>
  </si>
  <si>
    <t>ENST00000482778</t>
  </si>
  <si>
    <t>ENST00000472794</t>
  </si>
  <si>
    <t>ENST00000495473</t>
  </si>
  <si>
    <t>ENST00000493394</t>
  </si>
  <si>
    <t>ENST00000495582</t>
  </si>
  <si>
    <t>ENST00000477523</t>
  </si>
  <si>
    <t>ENST00000463822</t>
  </si>
  <si>
    <t>ENST00000329516</t>
  </si>
  <si>
    <t>ENST00000473101</t>
  </si>
  <si>
    <t>ENST00000459645</t>
  </si>
  <si>
    <t>ENST00000480894</t>
  </si>
  <si>
    <t>ENSG00000183207</t>
  </si>
  <si>
    <t>ENSG00000183258</t>
  </si>
  <si>
    <t>ENSG00000183291</t>
  </si>
  <si>
    <t>ENSG00000183337</t>
  </si>
  <si>
    <t>ENST00000397354</t>
  </si>
  <si>
    <t>ENST00000378444</t>
  </si>
  <si>
    <t>ENST00000490976</t>
  </si>
  <si>
    <t>ENST00000342274</t>
  </si>
  <si>
    <t>ENSG00000183431</t>
  </si>
  <si>
    <t>ENSG00000183475</t>
  </si>
  <si>
    <t>ENST00000332783</t>
  </si>
  <si>
    <t>ENST00000343276</t>
  </si>
  <si>
    <t>ENST00000561192</t>
  </si>
  <si>
    <t>ENSG00000183486</t>
  </si>
  <si>
    <t>ENSG00000183520</t>
  </si>
  <si>
    <t>ENSG00000183527</t>
  </si>
  <si>
    <t>ENST00000331573</t>
  </si>
  <si>
    <t>ENST00000481921</t>
  </si>
  <si>
    <t>ENSG00000183576</t>
  </si>
  <si>
    <t>ENSG00000183597</t>
  </si>
  <si>
    <t>ENST00000399807</t>
  </si>
  <si>
    <t>ENST00000462579</t>
  </si>
  <si>
    <t>ENST00000484373</t>
  </si>
  <si>
    <t>ENSG00000183605</t>
  </si>
  <si>
    <t>ENSG00000183624</t>
  </si>
  <si>
    <t>ENSG00000183684</t>
  </si>
  <si>
    <t>ENSG00000183696</t>
  </si>
  <si>
    <t>ENSG00000183735</t>
  </si>
  <si>
    <t>ENSG00000183741</t>
  </si>
  <si>
    <t>ENSG00000183751</t>
  </si>
  <si>
    <t>ENSG00000183808</t>
  </si>
  <si>
    <t>ENSG00000183826</t>
  </si>
  <si>
    <t>ENST00000481247</t>
  </si>
  <si>
    <t>ENST00000403056</t>
  </si>
  <si>
    <t>ENST00000408958</t>
  </si>
  <si>
    <t>ENSG00000183878</t>
  </si>
  <si>
    <t>ENST00000331397</t>
  </si>
  <si>
    <t>ENST00000362096</t>
  </si>
  <si>
    <t>ENST00000474365</t>
  </si>
  <si>
    <t>ENST00000382893</t>
  </si>
  <si>
    <t>ENST00000479713</t>
  </si>
  <si>
    <t>ENSG00000183943</t>
  </si>
  <si>
    <t>ENSG00000183955</t>
  </si>
  <si>
    <t>ENST00000461103</t>
  </si>
  <si>
    <t>ENST00000462311</t>
  </si>
  <si>
    <t>ENSG00000184007</t>
  </si>
  <si>
    <t>ENST00000602725</t>
  </si>
  <si>
    <t>ENST00000457805</t>
  </si>
  <si>
    <t>ENST00000489313</t>
  </si>
  <si>
    <t>ENST00000602683</t>
  </si>
  <si>
    <t>ENST00000484483</t>
  </si>
  <si>
    <t>ENST00000344035</t>
  </si>
  <si>
    <t>ENSG00000184009</t>
  </si>
  <si>
    <t>ENST00000331925</t>
  </si>
  <si>
    <t>ENST00000575842</t>
  </si>
  <si>
    <t>ENST00000576917</t>
  </si>
  <si>
    <t>ENST00000574671</t>
  </si>
  <si>
    <t>ENST00000576209</t>
  </si>
  <si>
    <t>ENST00000572105</t>
  </si>
  <si>
    <t>ENST00000576214</t>
  </si>
  <si>
    <t>ENST00000570382</t>
  </si>
  <si>
    <t>ENSG00000184014</t>
  </si>
  <si>
    <t>ENST00000328194</t>
  </si>
  <si>
    <t>ENST00000529977</t>
  </si>
  <si>
    <t>ENST00000527700</t>
  </si>
  <si>
    <t>ENST00000531580</t>
  </si>
  <si>
    <t>ENST00000530867</t>
  </si>
  <si>
    <t>ENST00000532696</t>
  </si>
  <si>
    <t>ENSG00000184047</t>
  </si>
  <si>
    <t>ENST00000464942</t>
  </si>
  <si>
    <t>ENST00000342392</t>
  </si>
  <si>
    <t>ENST00000267169</t>
  </si>
  <si>
    <t>ENST00000474004</t>
  </si>
  <si>
    <t>ENST00000489781</t>
  </si>
  <si>
    <t>ENSG00000184056</t>
  </si>
  <si>
    <t>ENSG00000184083</t>
  </si>
  <si>
    <t>ENSG00000184110</t>
  </si>
  <si>
    <t>ENST00000331666</t>
  </si>
  <si>
    <t>ENST00000566866</t>
  </si>
  <si>
    <t>ENST00000565099</t>
  </si>
  <si>
    <t>ENST00000565932</t>
  </si>
  <si>
    <t>ENST00000564839</t>
  </si>
  <si>
    <t>ENST00000566519</t>
  </si>
  <si>
    <t>ENST00000569005</t>
  </si>
  <si>
    <t>ENST00000566086</t>
  </si>
  <si>
    <t>ENSG00000184117</t>
  </si>
  <si>
    <t>ENSG00000184162</t>
  </si>
  <si>
    <t>ENSG00000184164</t>
  </si>
  <si>
    <t>ENST00000404488</t>
  </si>
  <si>
    <t>ENST00000328268</t>
  </si>
  <si>
    <t>ENST00000483652</t>
  </si>
  <si>
    <t>ENST00000482956</t>
  </si>
  <si>
    <t>ENST00000487969</t>
  </si>
  <si>
    <t>ENSG00000184182</t>
  </si>
  <si>
    <t>ENST00000441728</t>
  </si>
  <si>
    <t>ENST00000272930</t>
  </si>
  <si>
    <t>ENST00000448502</t>
  </si>
  <si>
    <t>ENST00000480828</t>
  </si>
  <si>
    <t>ENST00000482096</t>
  </si>
  <si>
    <t>ENST00000472479</t>
  </si>
  <si>
    <t>ENSG00000184203</t>
  </si>
  <si>
    <t>ENSG00000184209</t>
  </si>
  <si>
    <t>ENST00000526639</t>
  </si>
  <si>
    <t>ENST00000527158</t>
  </si>
  <si>
    <t>ENST00000529201</t>
  </si>
  <si>
    <t>ENSG00000184216</t>
  </si>
  <si>
    <t>ENST00000467236</t>
  </si>
  <si>
    <t>ENST00000463031</t>
  </si>
  <si>
    <t>ENSG00000184220</t>
  </si>
  <si>
    <t>ENST00000421999</t>
  </si>
  <si>
    <t>ENST00000479555</t>
  </si>
  <si>
    <t>ENST00000494412</t>
  </si>
  <si>
    <t>ENSG00000184281</t>
  </si>
  <si>
    <t>ENST00000333256</t>
  </si>
  <si>
    <t>ENST00000496468</t>
  </si>
  <si>
    <t>ENST00000451491</t>
  </si>
  <si>
    <t>ENSG00000184381</t>
  </si>
  <si>
    <t>ENST00000332509</t>
  </si>
  <si>
    <t>ENST00000463287</t>
  </si>
  <si>
    <t>ENST00000480154</t>
  </si>
  <si>
    <t>ENST00000498338</t>
  </si>
  <si>
    <t>ENSG00000184432</t>
  </si>
  <si>
    <t>ENST00000503326</t>
  </si>
  <si>
    <t>ENST00000333188</t>
  </si>
  <si>
    <t>ENST00000502734</t>
  </si>
  <si>
    <t>ENST00000510181</t>
  </si>
  <si>
    <t>ENST00000504295</t>
  </si>
  <si>
    <t>ENSG00000184436</t>
  </si>
  <si>
    <t>ENST00000498406</t>
  </si>
  <si>
    <t>ENST00000215742</t>
  </si>
  <si>
    <t>ENST00000471073</t>
  </si>
  <si>
    <t>ENST00000476667</t>
  </si>
  <si>
    <t>ENST00000471723</t>
  </si>
  <si>
    <t>ENSG00000184445</t>
  </si>
  <si>
    <t>ENSG00000184508</t>
  </si>
  <si>
    <t>ENSG00000184575</t>
  </si>
  <si>
    <t>ENSG00000184584</t>
  </si>
  <si>
    <t>ENST00000512606</t>
  </si>
  <si>
    <t>ENST00000502362</t>
  </si>
  <si>
    <t>ENSG00000184613</t>
  </si>
  <si>
    <t>ENST00000429094</t>
  </si>
  <si>
    <t>ENST00000452445</t>
  </si>
  <si>
    <t>ENST00000547636</t>
  </si>
  <si>
    <t>ENST00000550139</t>
  </si>
  <si>
    <t>ENST00000549668</t>
  </si>
  <si>
    <t>ENST00000550462</t>
  </si>
  <si>
    <t>ENST00000553120</t>
  </si>
  <si>
    <t>ENST00000548826</t>
  </si>
  <si>
    <t>ENST00000546415</t>
  </si>
  <si>
    <t>ENSG00000184634</t>
  </si>
  <si>
    <t>ENST00000374080</t>
  </si>
  <si>
    <t>ENST00000471663</t>
  </si>
  <si>
    <t>ENST00000462984</t>
  </si>
  <si>
    <t>ENST00000489199</t>
  </si>
  <si>
    <t>ENST00000460771</t>
  </si>
  <si>
    <t>ENST00000444034</t>
  </si>
  <si>
    <t>ENST00000333646</t>
  </si>
  <si>
    <t>ENSG00000184640</t>
  </si>
  <si>
    <t>ENST00000431235</t>
  </si>
  <si>
    <t>ENST00000423034</t>
  </si>
  <si>
    <t>ENST00000592420</t>
  </si>
  <si>
    <t>ENST00000588958</t>
  </si>
  <si>
    <t>ENST00000541152</t>
  </si>
  <si>
    <t>ENST00000592481</t>
  </si>
  <si>
    <t>ENST00000592951</t>
  </si>
  <si>
    <t>ENST00000591472</t>
  </si>
  <si>
    <t>ENST00000589920</t>
  </si>
  <si>
    <t>ENST00000589250</t>
  </si>
  <si>
    <t>ENST00000586456</t>
  </si>
  <si>
    <t>ENST00000589246</t>
  </si>
  <si>
    <t>ENSG00000184708</t>
  </si>
  <si>
    <t>ENSG00000184752</t>
  </si>
  <si>
    <t>ENSG00000184787</t>
  </si>
  <si>
    <t>ENSG00000184831</t>
  </si>
  <si>
    <t>ENSG00000184840</t>
  </si>
  <si>
    <t>ENSG00000184863</t>
  </si>
  <si>
    <t>ENSG00000184900</t>
  </si>
  <si>
    <t>ENSG00000184922</t>
  </si>
  <si>
    <t>ENST00000331495</t>
  </si>
  <si>
    <t>ENST00000585852</t>
  </si>
  <si>
    <t>ENST00000592527</t>
  </si>
  <si>
    <t>ENST00000587856</t>
  </si>
  <si>
    <t>ENST00000591434</t>
  </si>
  <si>
    <t>ENST00000587489</t>
  </si>
  <si>
    <t>ENST00000586643</t>
  </si>
  <si>
    <t>ENST00000589911</t>
  </si>
  <si>
    <t>ENST00000586092</t>
  </si>
  <si>
    <t>ENST00000328118</t>
  </si>
  <si>
    <t>ENSG00000184967</t>
  </si>
  <si>
    <t>ENSG00000184990</t>
  </si>
  <si>
    <t>ENST00000329967</t>
  </si>
  <si>
    <t>ENST00000535554</t>
  </si>
  <si>
    <t>ENST00000556431</t>
  </si>
  <si>
    <t>ENSG00000185009</t>
  </si>
  <si>
    <t>ENSG00000185019</t>
  </si>
  <si>
    <t>ENST00000217173</t>
  </si>
  <si>
    <t>ENST00000348031</t>
  </si>
  <si>
    <t>ENSG00000185024</t>
  </si>
  <si>
    <t>ENST00000546474</t>
  </si>
  <si>
    <t>ENST00000547374</t>
  </si>
  <si>
    <t>ENST00000547530</t>
  </si>
  <si>
    <t>ENST00000546997</t>
  </si>
  <si>
    <t>ENST00000547562</t>
  </si>
  <si>
    <t>ENST00000549655</t>
  </si>
  <si>
    <t>ENST00000548421</t>
  </si>
  <si>
    <t>ENSG00000185049</t>
  </si>
  <si>
    <t>ENSG00000185088</t>
  </si>
  <si>
    <t>ENST00000330964</t>
  </si>
  <si>
    <t>ENST00000462430</t>
  </si>
  <si>
    <t>ENST00000482846</t>
  </si>
  <si>
    <t>ENST00000439025</t>
  </si>
  <si>
    <t>ENSG00000185122</t>
  </si>
  <si>
    <t>ENST00000528838</t>
  </si>
  <si>
    <t>ENST00000528988</t>
  </si>
  <si>
    <t>ENST00000532338</t>
  </si>
  <si>
    <t>ENST00000528199</t>
  </si>
  <si>
    <t>ENST00000529630</t>
  </si>
  <si>
    <t>ENST00000531447</t>
  </si>
  <si>
    <t>ENST00000533130</t>
  </si>
  <si>
    <t>ENST00000528842</t>
  </si>
  <si>
    <t>ENSG00000185163</t>
  </si>
  <si>
    <t>ENSG00000185187</t>
  </si>
  <si>
    <t>ENSG00000185201</t>
  </si>
  <si>
    <t>ENST00000399817</t>
  </si>
  <si>
    <t>ENST00000527146</t>
  </si>
  <si>
    <t>ENST00000399815</t>
  </si>
  <si>
    <t>ENSG00000185236</t>
  </si>
  <si>
    <t>ENST00000328024</t>
  </si>
  <si>
    <t>ENST00000598706</t>
  </si>
  <si>
    <t>ENST00000594216</t>
  </si>
  <si>
    <t>ENSG00000185238</t>
  </si>
  <si>
    <t>ENSG00000185246</t>
  </si>
  <si>
    <t>ENSG00000185298</t>
  </si>
  <si>
    <t>ENSG00000185324</t>
  </si>
  <si>
    <t>ENSG00000185359</t>
  </si>
  <si>
    <t>ENSG00000185404</t>
  </si>
  <si>
    <t>ENSG00000185414</t>
  </si>
  <si>
    <t>ENST00000338148</t>
  </si>
  <si>
    <t>ENST00000409145</t>
  </si>
  <si>
    <t>ENSG00000185418</t>
  </si>
  <si>
    <t>ENSG00000185420</t>
  </si>
  <si>
    <t>ENSG00000185477</t>
  </si>
  <si>
    <t>ENSG00000185504</t>
  </si>
  <si>
    <t>ENST00000443656</t>
  </si>
  <si>
    <t>ENST00000425898</t>
  </si>
  <si>
    <t>ENSG00000185507</t>
  </si>
  <si>
    <t>ENST00000531912</t>
  </si>
  <si>
    <t>ENST00000525750</t>
  </si>
  <si>
    <t>ENST00000527160</t>
  </si>
  <si>
    <t>ENST00000397566</t>
  </si>
  <si>
    <t>ENSG00000185515</t>
  </si>
  <si>
    <t>ENSG00000185591</t>
  </si>
  <si>
    <t>ENSG00000185608</t>
  </si>
  <si>
    <t>ENSG00000185624</t>
  </si>
  <si>
    <t>ENSG00000185627</t>
  </si>
  <si>
    <t>ENSG00000185721</t>
  </si>
  <si>
    <t>ENSG00000185722</t>
  </si>
  <si>
    <t>ENSG00000185728</t>
  </si>
  <si>
    <t>ENSG00000185787</t>
  </si>
  <si>
    <t>ENST00000426013</t>
  </si>
  <si>
    <t>ENST00000331268</t>
  </si>
  <si>
    <t>ENST00000557961</t>
  </si>
  <si>
    <t>ENST00000559930</t>
  </si>
  <si>
    <t>ENST00000558746</t>
  </si>
  <si>
    <t>ENST00000558893</t>
  </si>
  <si>
    <t>ENST00000558522</t>
  </si>
  <si>
    <t>ENST00000559619</t>
  </si>
  <si>
    <t>ENST00000558923</t>
  </si>
  <si>
    <t>ENST00000560710</t>
  </si>
  <si>
    <t>ENSG00000185811</t>
  </si>
  <si>
    <t>ENSG00000185825</t>
  </si>
  <si>
    <t>ENSG00000185862</t>
  </si>
  <si>
    <t>ENSG00000185896</t>
  </si>
  <si>
    <t>ENSG00000185946</t>
  </si>
  <si>
    <t>ENST00000423855</t>
  </si>
  <si>
    <t>ENST00000533834</t>
  </si>
  <si>
    <t>ENST00000525323</t>
  </si>
  <si>
    <t>ENSG00000185947</t>
  </si>
  <si>
    <t>ENSG00000185963</t>
  </si>
  <si>
    <t>ENSG00000185973</t>
  </si>
  <si>
    <t>ENSG00000186001</t>
  </si>
  <si>
    <t>ENSG00000186010</t>
  </si>
  <si>
    <t>ENSG00000186063</t>
  </si>
  <si>
    <t>ENSG00000186141</t>
  </si>
  <si>
    <t>ENSG00000186166</t>
  </si>
  <si>
    <t>ENSG00000186174</t>
  </si>
  <si>
    <t>ENST00000334801</t>
  </si>
  <si>
    <t>ENST00000532899</t>
  </si>
  <si>
    <t>ENSG00000186184</t>
  </si>
  <si>
    <t>ENSG00000186260</t>
  </si>
  <si>
    <t>ENST00000572588</t>
  </si>
  <si>
    <t>ENST00000572567</t>
  </si>
  <si>
    <t>ENST00000572400</t>
  </si>
  <si>
    <t>ENSG00000186265</t>
  </si>
  <si>
    <t>ENST00000334529</t>
  </si>
  <si>
    <t>ENST00000383680</t>
  </si>
  <si>
    <t>ENSG00000186283</t>
  </si>
  <si>
    <t>ENSG00000186298</t>
  </si>
  <si>
    <t>ENSG00000186416</t>
  </si>
  <si>
    <t>ENST00000371527</t>
  </si>
  <si>
    <t>ENST00000304449</t>
  </si>
  <si>
    <t>ENSG00000186468</t>
  </si>
  <si>
    <t>ENSG00000186469</t>
  </si>
  <si>
    <t>ENSG00000186470</t>
  </si>
  <si>
    <t>ENST00000532865</t>
  </si>
  <si>
    <t>ENST00000528222</t>
  </si>
  <si>
    <t>ENST00000377708</t>
  </si>
  <si>
    <t>ENST00000396948</t>
  </si>
  <si>
    <t>ENST00000531055</t>
  </si>
  <si>
    <t>ENST00000527639</t>
  </si>
  <si>
    <t>ENST00000604202</t>
  </si>
  <si>
    <t>ENST00000508906</t>
  </si>
  <si>
    <t>ENSG00000186501</t>
  </si>
  <si>
    <t>ENSG00000186517</t>
  </si>
  <si>
    <t>ENSG00000186532</t>
  </si>
  <si>
    <t>ENSG00000186566</t>
  </si>
  <si>
    <t>ENSG00000186591</t>
  </si>
  <si>
    <t>ENST00000355621</t>
  </si>
  <si>
    <t>ENST00000483368</t>
  </si>
  <si>
    <t>ENST00000486283</t>
  </si>
  <si>
    <t>ENST00000463272</t>
  </si>
  <si>
    <t>ENSG00000186625</t>
  </si>
  <si>
    <t>ENSG00000186635</t>
  </si>
  <si>
    <t>ENST00000465814</t>
  </si>
  <si>
    <t>ENST00000393609</t>
  </si>
  <si>
    <t>ENST00000426523</t>
  </si>
  <si>
    <t>ENST00000544721</t>
  </si>
  <si>
    <t>ENST00000536885</t>
  </si>
  <si>
    <t>ENST00000541623</t>
  </si>
  <si>
    <t>ENST00000543868</t>
  </si>
  <si>
    <t>ENST00000536993</t>
  </si>
  <si>
    <t>ENST00000455638</t>
  </si>
  <si>
    <t>ENSG00000186716</t>
  </si>
  <si>
    <t>ENSG00000186812</t>
  </si>
  <si>
    <t>ENSG00000187051</t>
  </si>
  <si>
    <t>ENSG00000187091</t>
  </si>
  <si>
    <t>ENSG00000187109</t>
  </si>
  <si>
    <t>ENSG00000187118</t>
  </si>
  <si>
    <t>ENST00000477739</t>
  </si>
  <si>
    <t>ENST00000466830</t>
  </si>
  <si>
    <t>ENST00000418849</t>
  </si>
  <si>
    <t>ENST00000396610</t>
  </si>
  <si>
    <t>ENST00000469102</t>
  </si>
  <si>
    <t>ENSG00000187147</t>
  </si>
  <si>
    <t>ENST00000335497</t>
  </si>
  <si>
    <t>ENST00000440132</t>
  </si>
  <si>
    <t>ENST00000474064</t>
  </si>
  <si>
    <t>ENST00000471494</t>
  </si>
  <si>
    <t>ENST00000488865</t>
  </si>
  <si>
    <t>ENST00000497469</t>
  </si>
  <si>
    <t>ENST00000475378</t>
  </si>
  <si>
    <t>ENST00000480686</t>
  </si>
  <si>
    <t>ENST00000474956</t>
  </si>
  <si>
    <t>ENSG00000187239</t>
  </si>
  <si>
    <t>ENST00000449089</t>
  </si>
  <si>
    <t>ENST00000478129</t>
  </si>
  <si>
    <t>ENST00000482107</t>
  </si>
  <si>
    <t>ENST00000491905</t>
  </si>
  <si>
    <t>ENST00000420781</t>
  </si>
  <si>
    <t>ENSG00000187257</t>
  </si>
  <si>
    <t>ENSG00000187514</t>
  </si>
  <si>
    <t>ENST00000409115</t>
  </si>
  <si>
    <t>ENST00000341369</t>
  </si>
  <si>
    <t>ENST00000468027</t>
  </si>
  <si>
    <t>ENST00000481928</t>
  </si>
  <si>
    <t>ENST00000410064</t>
  </si>
  <si>
    <t>ENST00000467816</t>
  </si>
  <si>
    <t>ENSG00000187522</t>
  </si>
  <si>
    <t>ENSG00000187531</t>
  </si>
  <si>
    <t>ENST00000574992</t>
  </si>
  <si>
    <t>ENST00000572976</t>
  </si>
  <si>
    <t>ENST00000571832</t>
  </si>
  <si>
    <t>ENST00000574153</t>
  </si>
  <si>
    <t>ENST00000576156</t>
  </si>
  <si>
    <t>ENST00000571233</t>
  </si>
  <si>
    <t>ENST00000572350</t>
  </si>
  <si>
    <t>ENST00000571915</t>
  </si>
  <si>
    <t>ENST00000575244</t>
  </si>
  <si>
    <t>ENSG00000187555</t>
  </si>
  <si>
    <t>ENSG00000187688</t>
  </si>
  <si>
    <t>ENSG00000187735</t>
  </si>
  <si>
    <t>ENSG00000187742</t>
  </si>
  <si>
    <t>ENSG00000187764</t>
  </si>
  <si>
    <t>ENST00000540183</t>
  </si>
  <si>
    <t>ENSG00000187778</t>
  </si>
  <si>
    <t>ENST00000343810</t>
  </si>
  <si>
    <t>ENST00000552596</t>
  </si>
  <si>
    <t>ENST00000549528</t>
  </si>
  <si>
    <t>ENST00000552206</t>
  </si>
  <si>
    <t>ENSG00000187954</t>
  </si>
  <si>
    <t>ENST00000528663</t>
  </si>
  <si>
    <t>ENST00000530374</t>
  </si>
  <si>
    <t>ENST00000533173</t>
  </si>
  <si>
    <t>ENST00000528558</t>
  </si>
  <si>
    <t>ENST00000403000</t>
  </si>
  <si>
    <t>ENSG00000187994</t>
  </si>
  <si>
    <t>ENSG00000188042</t>
  </si>
  <si>
    <t>ENST00000339728</t>
  </si>
  <si>
    <t>ENST00000390645</t>
  </si>
  <si>
    <t>ENSG00000188229</t>
  </si>
  <si>
    <t>ENSG00000188243</t>
  </si>
  <si>
    <t>ENSG00000188342</t>
  </si>
  <si>
    <t>ENSG00000188352</t>
  </si>
  <si>
    <t>ENSG00000188404</t>
  </si>
  <si>
    <t>ENSG00000188419</t>
  </si>
  <si>
    <t>ENSG00000188428</t>
  </si>
  <si>
    <t>ENSG00000188529</t>
  </si>
  <si>
    <t>ENST00000344989</t>
  </si>
  <si>
    <t>ENST00000453840</t>
  </si>
  <si>
    <t>ENST00000484146</t>
  </si>
  <si>
    <t>ENST00000374452</t>
  </si>
  <si>
    <t>ENST00000343255</t>
  </si>
  <si>
    <t>ENST00000492112</t>
  </si>
  <si>
    <t>ENST00000485841</t>
  </si>
  <si>
    <t>ENST00000338597</t>
  </si>
  <si>
    <t>ENST00000495785</t>
  </si>
  <si>
    <t>ENST00000473754</t>
  </si>
  <si>
    <t>ENST00000485292</t>
  </si>
  <si>
    <t>ENST00000469303</t>
  </si>
  <si>
    <t>ENSG00000188554</t>
  </si>
  <si>
    <t>ENST00000586650</t>
  </si>
  <si>
    <t>ENST00000542611</t>
  </si>
  <si>
    <t>ENST00000590996</t>
  </si>
  <si>
    <t>ENST00000592304</t>
  </si>
  <si>
    <t>ENST00000585505</t>
  </si>
  <si>
    <t>ENSG00000188612</t>
  </si>
  <si>
    <t>ENST00000420826</t>
  </si>
  <si>
    <t>ENST00000314523</t>
  </si>
  <si>
    <t>ENST00000578238</t>
  </si>
  <si>
    <t>ENSG00000188641</t>
  </si>
  <si>
    <t>ENSG00000188647</t>
  </si>
  <si>
    <t>ENST00000340434</t>
  </si>
  <si>
    <t>ENST00000467511</t>
  </si>
  <si>
    <t>ENST00000474925</t>
  </si>
  <si>
    <t>ENST00000472967</t>
  </si>
  <si>
    <t>ENSG00000188690</t>
  </si>
  <si>
    <t>ENSG00000188739</t>
  </si>
  <si>
    <t>ENSG00000188846</t>
  </si>
  <si>
    <t>ENSG00000188895</t>
  </si>
  <si>
    <t>ENSG00000188917</t>
  </si>
  <si>
    <t>ENST00000488615</t>
  </si>
  <si>
    <t>ENST00000545398</t>
  </si>
  <si>
    <t>ENSG00000188994</t>
  </si>
  <si>
    <t>ENSG00000189043</t>
  </si>
  <si>
    <t>ENSG00000189046</t>
  </si>
  <si>
    <t>ENST00000343075</t>
  </si>
  <si>
    <t>ENST00000429722</t>
  </si>
  <si>
    <t>ENST00000440112</t>
  </si>
  <si>
    <t>ENST00000543444</t>
  </si>
  <si>
    <t>ENST00000536358</t>
  </si>
  <si>
    <t>ENST00000536720</t>
  </si>
  <si>
    <t>ENSG00000189079</t>
  </si>
  <si>
    <t>ENSG00000189091</t>
  </si>
  <si>
    <t>ENSG00000189114</t>
  </si>
  <si>
    <t>ENSG00000189159</t>
  </si>
  <si>
    <t>ENSG00000189180</t>
  </si>
  <si>
    <t>ENST00000458705</t>
  </si>
  <si>
    <t>ENST00000476504</t>
  </si>
  <si>
    <t>ENST00000307441</t>
  </si>
  <si>
    <t>ENST00000374618</t>
  </si>
  <si>
    <t>ENSG00000189306</t>
  </si>
  <si>
    <t>ENSG00000189403</t>
  </si>
  <si>
    <t>ENSG00000196072</t>
  </si>
  <si>
    <t>ENSG00000196083</t>
  </si>
  <si>
    <t>ENST00000447382</t>
  </si>
  <si>
    <t>ENST00000482913</t>
  </si>
  <si>
    <t>ENSG00000196110</t>
  </si>
  <si>
    <t>ENST00000591998</t>
  </si>
  <si>
    <t>ENST00000308650</t>
  </si>
  <si>
    <t>ENSG00000196116</t>
  </si>
  <si>
    <t>ENSG00000196139</t>
  </si>
  <si>
    <t>ENSG00000196154</t>
  </si>
  <si>
    <t>ENSG00000196177</t>
  </si>
  <si>
    <t>ENSG00000196187</t>
  </si>
  <si>
    <t>ENSG00000196199</t>
  </si>
  <si>
    <t>ENSG00000196233</t>
  </si>
  <si>
    <t>ENST00000371103</t>
  </si>
  <si>
    <t>ENST00000469510</t>
  </si>
  <si>
    <t>ENST00000498444</t>
  </si>
  <si>
    <t>ENSG00000196235</t>
  </si>
  <si>
    <t>ENST00000595368</t>
  </si>
  <si>
    <t>ENST00000359191</t>
  </si>
  <si>
    <t>ENST00000598725</t>
  </si>
  <si>
    <t>ENST00000598459</t>
  </si>
  <si>
    <t>ENST00000598786</t>
  </si>
  <si>
    <t>ENST00000599907</t>
  </si>
  <si>
    <t>ENST00000598520</t>
  </si>
  <si>
    <t>ENST00000599335</t>
  </si>
  <si>
    <t>ENST00000598117</t>
  </si>
  <si>
    <t>ENST00000596208</t>
  </si>
  <si>
    <t>ENST00000600818</t>
  </si>
  <si>
    <t>ENST00000432763</t>
  </si>
  <si>
    <t>ENSG00000196262</t>
  </si>
  <si>
    <t>ENSG00000196267</t>
  </si>
  <si>
    <t>ENST00000597065</t>
  </si>
  <si>
    <t>ENST00000322146</t>
  </si>
  <si>
    <t>ENSG00000196305</t>
  </si>
  <si>
    <t>ENSG00000196323</t>
  </si>
  <si>
    <t>ENST00000445008</t>
  </si>
  <si>
    <t>ENST00000525842</t>
  </si>
  <si>
    <t>ENST00000527478</t>
  </si>
  <si>
    <t>ENST00000525623</t>
  </si>
  <si>
    <t>ENST00000528448</t>
  </si>
  <si>
    <t>ENST00000529348</t>
  </si>
  <si>
    <t>ENSG00000196352</t>
  </si>
  <si>
    <t>ENST00000367064</t>
  </si>
  <si>
    <t>ENST00000367063</t>
  </si>
  <si>
    <t>ENST00000488171</t>
  </si>
  <si>
    <t>ENST00000476590</t>
  </si>
  <si>
    <t>ENSG00000196365</t>
  </si>
  <si>
    <t>ENST00000360614</t>
  </si>
  <si>
    <t>ENST00000588589</t>
  </si>
  <si>
    <t>ENST00000591321</t>
  </si>
  <si>
    <t>ENSG00000196405</t>
  </si>
  <si>
    <t>ENST00000392920</t>
  </si>
  <si>
    <t>ENST00000557023</t>
  </si>
  <si>
    <t>ENST00000553771</t>
  </si>
  <si>
    <t>ENST00000557637</t>
  </si>
  <si>
    <t>ENST00000556921</t>
  </si>
  <si>
    <t>ENST00000553799</t>
  </si>
  <si>
    <t>ENST00000554518</t>
  </si>
  <si>
    <t>ENST00000553694</t>
  </si>
  <si>
    <t>ENST00000555848</t>
  </si>
  <si>
    <t>ENST00000556258</t>
  </si>
  <si>
    <t>ENSG00000196418</t>
  </si>
  <si>
    <t>ENST00000340684</t>
  </si>
  <si>
    <t>ENST00000543802</t>
  </si>
  <si>
    <t>ENSG00000196419</t>
  </si>
  <si>
    <t>ENSG00000196428</t>
  </si>
  <si>
    <t>ENST00000361875</t>
  </si>
  <si>
    <t>ENST00000466814</t>
  </si>
  <si>
    <t>ENST00000460316</t>
  </si>
  <si>
    <t>ENSG00000196455</t>
  </si>
  <si>
    <t>ENSG00000196459</t>
  </si>
  <si>
    <t>ENST00000380579</t>
  </si>
  <si>
    <t>ENST00000380578</t>
  </si>
  <si>
    <t>ENST00000517553</t>
  </si>
  <si>
    <t>ENST00000519885</t>
  </si>
  <si>
    <t>ENSG00000196465</t>
  </si>
  <si>
    <t>ENSG00000196470</t>
  </si>
  <si>
    <t>ENST00000380006</t>
  </si>
  <si>
    <t>ENST00000394725</t>
  </si>
  <si>
    <t>ENSG00000196497</t>
  </si>
  <si>
    <t>ENSG00000196504</t>
  </si>
  <si>
    <t>ENST00000410080</t>
  </si>
  <si>
    <t>ENST00000471701</t>
  </si>
  <si>
    <t>ENST00000471167</t>
  </si>
  <si>
    <t>ENST00000472760</t>
  </si>
  <si>
    <t>ENST00000545856</t>
  </si>
  <si>
    <t>ENST00000493468</t>
  </si>
  <si>
    <t>ENST00000467114</t>
  </si>
  <si>
    <t>ENST00000489741</t>
  </si>
  <si>
    <t>ENSG00000196505</t>
  </si>
  <si>
    <t>ENST00000369443</t>
  </si>
  <si>
    <t>ENST00000369442</t>
  </si>
  <si>
    <t>ENST00000464026</t>
  </si>
  <si>
    <t>ENST00000493555</t>
  </si>
  <si>
    <t>ENSG00000196510</t>
  </si>
  <si>
    <t>ENST00000455511</t>
  </si>
  <si>
    <t>ENST00000481473</t>
  </si>
  <si>
    <t>ENST00000486321</t>
  </si>
  <si>
    <t>ENST00000452721</t>
  </si>
  <si>
    <t>ENST00000450008</t>
  </si>
  <si>
    <t>ENST00000471602</t>
  </si>
  <si>
    <t>ENST00000547199</t>
  </si>
  <si>
    <t>ENST00000548234</t>
  </si>
  <si>
    <t>ENST00000546720</t>
  </si>
  <si>
    <t>ENSG00000196511</t>
  </si>
  <si>
    <t>ENSG00000196526</t>
  </si>
  <si>
    <t>ENSG00000196531</t>
  </si>
  <si>
    <t>ENSG00000196547</t>
  </si>
  <si>
    <t>ENST00000559717</t>
  </si>
  <si>
    <t>ENST00000560192</t>
  </si>
  <si>
    <t>ENST00000561046</t>
  </si>
  <si>
    <t>ENST00000560505</t>
  </si>
  <si>
    <t>ENST00000559341</t>
  </si>
  <si>
    <t>ENST00000560880</t>
  </si>
  <si>
    <t>ENSG00000196588</t>
  </si>
  <si>
    <t>ENSG00000196591</t>
  </si>
  <si>
    <t>ENSG00000196646</t>
  </si>
  <si>
    <t>ENST00000343979</t>
  </si>
  <si>
    <t>ENST00000464860</t>
  </si>
  <si>
    <t>ENST00000476676</t>
  </si>
  <si>
    <t>ENSG00000196655</t>
  </si>
  <si>
    <t>ENST00000533632</t>
  </si>
  <si>
    <t>ENST00000527680</t>
  </si>
  <si>
    <t>ENST00000447216</t>
  </si>
  <si>
    <t>ENST00000531290</t>
  </si>
  <si>
    <t>ENST00000533149</t>
  </si>
  <si>
    <t>ENST00000524797</t>
  </si>
  <si>
    <t>ENST00000526141</t>
  </si>
  <si>
    <t>ENSG00000196743</t>
  </si>
  <si>
    <t>ENSG00000196839</t>
  </si>
  <si>
    <t>ENSG00000196843</t>
  </si>
  <si>
    <t>ENSG00000196850</t>
  </si>
  <si>
    <t>ENSG00000196865</t>
  </si>
  <si>
    <t>ENSG00000196914</t>
  </si>
  <si>
    <t>ENST00000397843</t>
  </si>
  <si>
    <t>ENST00000530388</t>
  </si>
  <si>
    <t>ENST00000525960</t>
  </si>
  <si>
    <t>ENST00000530747</t>
  </si>
  <si>
    <t>ENST00000531616</t>
  </si>
  <si>
    <t>ENST00000528681</t>
  </si>
  <si>
    <t>ENSG00000196924</t>
  </si>
  <si>
    <t>ENST00000360319</t>
  </si>
  <si>
    <t>ENST00000369856</t>
  </si>
  <si>
    <t>ENST00000490936</t>
  </si>
  <si>
    <t>ENST00000344736</t>
  </si>
  <si>
    <t>ENST00000462590</t>
  </si>
  <si>
    <t>ENST00000444578</t>
  </si>
  <si>
    <t>ENST00000474358</t>
  </si>
  <si>
    <t>ENST00000466325</t>
  </si>
  <si>
    <t>ENST00000474072</t>
  </si>
  <si>
    <t>ENST00000466319</t>
  </si>
  <si>
    <t>ENST00000465144</t>
  </si>
  <si>
    <t>ENST00000422373</t>
  </si>
  <si>
    <t>ENSG00000196937</t>
  </si>
  <si>
    <t>ENSG00000196954</t>
  </si>
  <si>
    <t>ENSG00000196961</t>
  </si>
  <si>
    <t>ENST00000354293</t>
  </si>
  <si>
    <t>ENST00000593788</t>
  </si>
  <si>
    <t>ENST00000600466</t>
  </si>
  <si>
    <t>ENST00000601356</t>
  </si>
  <si>
    <t>ENSG00000196975</t>
  </si>
  <si>
    <t>ENSG00000196998</t>
  </si>
  <si>
    <t>ENSG00000197006</t>
  </si>
  <si>
    <t>ENST00000358154</t>
  </si>
  <si>
    <t>ENST00000396014</t>
  </si>
  <si>
    <t>ENST00000562379</t>
  </si>
  <si>
    <t>ENST00000569290</t>
  </si>
  <si>
    <t>ENST00000564733</t>
  </si>
  <si>
    <t>ENSG00000197037</t>
  </si>
  <si>
    <t>ENST00000394152</t>
  </si>
  <si>
    <t>ENST00000473646</t>
  </si>
  <si>
    <t>ENST00000485586</t>
  </si>
  <si>
    <t>ENSG00000197043</t>
  </si>
  <si>
    <t>ENSG00000197044</t>
  </si>
  <si>
    <t>ENST00000462251</t>
  </si>
  <si>
    <t>ENST00000357901</t>
  </si>
  <si>
    <t>ENSG00000197045</t>
  </si>
  <si>
    <t>ENSG00000197062</t>
  </si>
  <si>
    <t>ENST00000316606</t>
  </si>
  <si>
    <t>ENST00000421553</t>
  </si>
  <si>
    <t>ENSG00000197070</t>
  </si>
  <si>
    <t>ENSG00000197081</t>
  </si>
  <si>
    <t>ENSG00000197102</t>
  </si>
  <si>
    <t>ENSG00000197114</t>
  </si>
  <si>
    <t>ENST00000355969</t>
  </si>
  <si>
    <t>ENST00000477340</t>
  </si>
  <si>
    <t>ENST00000478385</t>
  </si>
  <si>
    <t>ENST00000468235</t>
  </si>
  <si>
    <t>ENST00000484569</t>
  </si>
  <si>
    <t>ENSG00000197142</t>
  </si>
  <si>
    <t>ENSG00000197157</t>
  </si>
  <si>
    <t>ENSG00000197170</t>
  </si>
  <si>
    <t>ENSG00000197226</t>
  </si>
  <si>
    <t>ENST00000518085</t>
  </si>
  <si>
    <t>ENST00000355235</t>
  </si>
  <si>
    <t>ENST00000356834</t>
  </si>
  <si>
    <t>ENST00000521469</t>
  </si>
  <si>
    <t>ENST00000520794</t>
  </si>
  <si>
    <t>ENST00000519757</t>
  </si>
  <si>
    <t>ENST00000522921</t>
  </si>
  <si>
    <t>ENST00000520912</t>
  </si>
  <si>
    <t>ENST00000521669</t>
  </si>
  <si>
    <t>ENST00000518459</t>
  </si>
  <si>
    <t>ENST00000518115</t>
  </si>
  <si>
    <t>ENSG00000197312</t>
  </si>
  <si>
    <t>ENSG00000197321</t>
  </si>
  <si>
    <t>ENST00000482607</t>
  </si>
  <si>
    <t>ENST00000464726</t>
  </si>
  <si>
    <t>ENSG00000197343</t>
  </si>
  <si>
    <t>ENST00000452314</t>
  </si>
  <si>
    <t>ENSG00000197345</t>
  </si>
  <si>
    <t>ENSG00000197386</t>
  </si>
  <si>
    <t>ENST00000502820</t>
  </si>
  <si>
    <t>ENST00000512068</t>
  </si>
  <si>
    <t>ENSG00000197448</t>
  </si>
  <si>
    <t>ENSG00000197451</t>
  </si>
  <si>
    <t>ENST00000358344</t>
  </si>
  <si>
    <t>ENST00000506259</t>
  </si>
  <si>
    <t>ENST00000504898</t>
  </si>
  <si>
    <t>ENST00000504796</t>
  </si>
  <si>
    <t>ENSG00000197471</t>
  </si>
  <si>
    <t>ENST00000561857</t>
  </si>
  <si>
    <t>ENSG00000197535</t>
  </si>
  <si>
    <t>ENST00000465290</t>
  </si>
  <si>
    <t>ENST00000399228</t>
  </si>
  <si>
    <t>ENST00000568914</t>
  </si>
  <si>
    <t>ENST00000469611</t>
  </si>
  <si>
    <t>ENST00000561810</t>
  </si>
  <si>
    <t>ENSG00000197548</t>
  </si>
  <si>
    <t>ENSG00000197555</t>
  </si>
  <si>
    <t>ENST00000555652</t>
  </si>
  <si>
    <t>ENST00000381232</t>
  </si>
  <si>
    <t>ENST00000555818</t>
  </si>
  <si>
    <t>ENST00000554874</t>
  </si>
  <si>
    <t>ENST00000556959</t>
  </si>
  <si>
    <t>ENSG00000197586</t>
  </si>
  <si>
    <t>ENST00000376652</t>
  </si>
  <si>
    <t>ENST00000485936</t>
  </si>
  <si>
    <t>ENST00000463734</t>
  </si>
  <si>
    <t>ENST00000490187</t>
  </si>
  <si>
    <t>ENSG00000197601</t>
  </si>
  <si>
    <t>ENSG00000197635</t>
  </si>
  <si>
    <t>ENSG00000197694</t>
  </si>
  <si>
    <t>ENST00000372731</t>
  </si>
  <si>
    <t>ENST00000372739</t>
  </si>
  <si>
    <t>ENST00000472211</t>
  </si>
  <si>
    <t>ENST00000475367</t>
  </si>
  <si>
    <t>ENST00000461855</t>
  </si>
  <si>
    <t>ENST00000476825</t>
  </si>
  <si>
    <t>ENST00000491712</t>
  </si>
  <si>
    <t>ENSG00000197728</t>
  </si>
  <si>
    <t>ENSG00000197746</t>
  </si>
  <si>
    <t>ENSG00000197756</t>
  </si>
  <si>
    <t>ENSG00000197771</t>
  </si>
  <si>
    <t>ENST00000360003</t>
  </si>
  <si>
    <t>ENST00000369077</t>
  </si>
  <si>
    <t>ENST00000495407</t>
  </si>
  <si>
    <t>ENSG00000197785</t>
  </si>
  <si>
    <t>ENST00000378756</t>
  </si>
  <si>
    <t>ENST00000439513</t>
  </si>
  <si>
    <t>ENST00000429957</t>
  </si>
  <si>
    <t>ENSG00000197798</t>
  </si>
  <si>
    <t>ENSG00000197858</t>
  </si>
  <si>
    <t>ENST00000355091</t>
  </si>
  <si>
    <t>ENST00000530258</t>
  </si>
  <si>
    <t>ENST00000525308</t>
  </si>
  <si>
    <t>ENST00000527653</t>
  </si>
  <si>
    <t>ENST00000531593</t>
  </si>
  <si>
    <t>ENST00000530796</t>
  </si>
  <si>
    <t>ENST00000534072</t>
  </si>
  <si>
    <t>ENSG00000197879</t>
  </si>
  <si>
    <t>ENST00000574341</t>
  </si>
  <si>
    <t>ENST00000574308</t>
  </si>
  <si>
    <t>ENST00000572615</t>
  </si>
  <si>
    <t>ENST00000573961</t>
  </si>
  <si>
    <t>ENST00000576822</t>
  </si>
  <si>
    <t>ENSG00000197894</t>
  </si>
  <si>
    <t>ENSG00000197912</t>
  </si>
  <si>
    <t>ENSG00000197930</t>
  </si>
  <si>
    <t>ENSG00000197948</t>
  </si>
  <si>
    <t>ENSG00000197956</t>
  </si>
  <si>
    <t>ENSG00000197958</t>
  </si>
  <si>
    <t>ENSG00000197961</t>
  </si>
  <si>
    <t>ENST00000320451</t>
  </si>
  <si>
    <t>ENST00000591447</t>
  </si>
  <si>
    <t>ENSG00000197969</t>
  </si>
  <si>
    <t>ENST00000360280</t>
  </si>
  <si>
    <t>ENST00000419472</t>
  </si>
  <si>
    <t>ENST00000539950</t>
  </si>
  <si>
    <t>ENST00000355766</t>
  </si>
  <si>
    <t>ENSG00000197971</t>
  </si>
  <si>
    <t>ENST00000585201</t>
  </si>
  <si>
    <t>ENST00000397860</t>
  </si>
  <si>
    <t>ENST00000493247</t>
  </si>
  <si>
    <t>ENSG00000198001</t>
  </si>
  <si>
    <t>ENST00000546780</t>
  </si>
  <si>
    <t>ENSG00000198015</t>
  </si>
  <si>
    <t>ENSG00000198026</t>
  </si>
  <si>
    <t>ENST00000322927</t>
  </si>
  <si>
    <t>ENST00000475002</t>
  </si>
  <si>
    <t>ENST00000476822</t>
  </si>
  <si>
    <t>ENST00000494955</t>
  </si>
  <si>
    <t>ENSG00000198034</t>
  </si>
  <si>
    <t>ENSG00000198040</t>
  </si>
  <si>
    <t>ENST00000542358</t>
  </si>
  <si>
    <t>ENST00000543124</t>
  </si>
  <si>
    <t>ENSG00000198055</t>
  </si>
  <si>
    <t>ENST00000355472</t>
  </si>
  <si>
    <t>ENST00000507633</t>
  </si>
  <si>
    <t>ENST00000515666</t>
  </si>
  <si>
    <t>ENSG00000198056</t>
  </si>
  <si>
    <t>ENSG00000198060</t>
  </si>
  <si>
    <t>ENST00000358935</t>
  </si>
  <si>
    <t>ENST00000492319</t>
  </si>
  <si>
    <t>ENSG00000198087</t>
  </si>
  <si>
    <t>ENSG00000198093</t>
  </si>
  <si>
    <t>ENST00000354957</t>
  </si>
  <si>
    <t>ENST00000600738</t>
  </si>
  <si>
    <t>ENST00000599671</t>
  </si>
  <si>
    <t>ENST00000597882</t>
  </si>
  <si>
    <t>ENSG00000198130</t>
  </si>
  <si>
    <t>ENSG00000198160</t>
  </si>
  <si>
    <t>ENST00000357692</t>
  </si>
  <si>
    <t>ENST00000401041</t>
  </si>
  <si>
    <t>ENST00000371014</t>
  </si>
  <si>
    <t>ENST00000371012</t>
  </si>
  <si>
    <t>ENST00000401042</t>
  </si>
  <si>
    <t>ENST00000355356</t>
  </si>
  <si>
    <t>ENST00000493357</t>
  </si>
  <si>
    <t>ENSG00000198171</t>
  </si>
  <si>
    <t>ENSG00000198176</t>
  </si>
  <si>
    <t>ENST00000464794</t>
  </si>
  <si>
    <t>ENST00000375370</t>
  </si>
  <si>
    <t>ENST00000544902</t>
  </si>
  <si>
    <t>ENST00000453989</t>
  </si>
  <si>
    <t>ENSG00000198198</t>
  </si>
  <si>
    <t>ENST00000478140</t>
  </si>
  <si>
    <t>ENST00000470897</t>
  </si>
  <si>
    <t>ENST00000460536</t>
  </si>
  <si>
    <t>ENSG00000198218</t>
  </si>
  <si>
    <t>ENST00000498440</t>
  </si>
  <si>
    <t>ENSG00000198231</t>
  </si>
  <si>
    <t>ENST00000580108</t>
  </si>
  <si>
    <t>ENSG00000198242</t>
  </si>
  <si>
    <t>ENSG00000198258</t>
  </si>
  <si>
    <t>ENSG00000198276</t>
  </si>
  <si>
    <t>ENST00000354216</t>
  </si>
  <si>
    <t>ENST00000430743</t>
  </si>
  <si>
    <t>ENSG00000198286</t>
  </si>
  <si>
    <t>ENSG00000198301</t>
  </si>
  <si>
    <t>ENSG00000198315</t>
  </si>
  <si>
    <t>ENSG00000198356</t>
  </si>
  <si>
    <t>ENSG00000198363</t>
  </si>
  <si>
    <t>ENST00000356457</t>
  </si>
  <si>
    <t>ENST00000518441</t>
  </si>
  <si>
    <t>ENST00000520198</t>
  </si>
  <si>
    <t>ENST00000522325</t>
  </si>
  <si>
    <t>ENST00000541428</t>
  </si>
  <si>
    <t>ENSG00000198373</t>
  </si>
  <si>
    <t>ENSG00000198382</t>
  </si>
  <si>
    <t>ENSG00000198393</t>
  </si>
  <si>
    <t>ENST00000328654</t>
  </si>
  <si>
    <t>ENST00000534834</t>
  </si>
  <si>
    <t>ENSG00000198399</t>
  </si>
  <si>
    <t>ENST00000478720</t>
  </si>
  <si>
    <t>ENST00000361999</t>
  </si>
  <si>
    <t>ENST00000479575</t>
  </si>
  <si>
    <t>ENST00000416160</t>
  </si>
  <si>
    <t>ENST00000469848</t>
  </si>
  <si>
    <t>ENSG00000198408</t>
  </si>
  <si>
    <t>ENST00000361464</t>
  </si>
  <si>
    <t>ENST00000462994</t>
  </si>
  <si>
    <t>ENST00000482611</t>
  </si>
  <si>
    <t>ENST00000461645</t>
  </si>
  <si>
    <t>ENST00000492204</t>
  </si>
  <si>
    <t>ENST00000370094</t>
  </si>
  <si>
    <t>ENST00000439817</t>
  </si>
  <si>
    <t>ENSG00000198431</t>
  </si>
  <si>
    <t>ENST00000503506</t>
  </si>
  <si>
    <t>ENST00000526691</t>
  </si>
  <si>
    <t>ENST00000531691</t>
  </si>
  <si>
    <t>ENST00000526207</t>
  </si>
  <si>
    <t>ENST00000526580</t>
  </si>
  <si>
    <t>ENST00000527688</t>
  </si>
  <si>
    <t>ENST00000525265</t>
  </si>
  <si>
    <t>ENSG00000198492</t>
  </si>
  <si>
    <t>ENSG00000198498</t>
  </si>
  <si>
    <t>ENSG00000198517</t>
  </si>
  <si>
    <t>ENSG00000198522</t>
  </si>
  <si>
    <t>ENSG00000198546</t>
  </si>
  <si>
    <t>ENST00000361518</t>
  </si>
  <si>
    <t>ENST00000359035</t>
  </si>
  <si>
    <t>ENST00000482153</t>
  </si>
  <si>
    <t>ENSG00000198554</t>
  </si>
  <si>
    <t>ENSG00000198561</t>
  </si>
  <si>
    <t>ENST00000527599</t>
  </si>
  <si>
    <t>ENST00000531007</t>
  </si>
  <si>
    <t>ENST00000525821</t>
  </si>
  <si>
    <t>ENSG00000198563</t>
  </si>
  <si>
    <t>ENSG00000198586</t>
  </si>
  <si>
    <t>ENST00000431350</t>
  </si>
  <si>
    <t>ENST00000478683</t>
  </si>
  <si>
    <t>ENST00000486857</t>
  </si>
  <si>
    <t>ENSG00000198589</t>
  </si>
  <si>
    <t>ENST00000515096</t>
  </si>
  <si>
    <t>ENST00000509835</t>
  </si>
  <si>
    <t>ENST00000510157</t>
  </si>
  <si>
    <t>ENST00000507224</t>
  </si>
  <si>
    <t>ENST00000514435</t>
  </si>
  <si>
    <t>ENSG00000198604</t>
  </si>
  <si>
    <t>ENSG00000198612</t>
  </si>
  <si>
    <t>ENST00000354371</t>
  </si>
  <si>
    <t>ENST00000392008</t>
  </si>
  <si>
    <t>ENST00000465362</t>
  </si>
  <si>
    <t>ENSG00000198625</t>
  </si>
  <si>
    <t>ENSG00000198677</t>
  </si>
  <si>
    <t>ENSG00000198692</t>
  </si>
  <si>
    <t>ENSG00000198721</t>
  </si>
  <si>
    <t>ENST00000380118</t>
  </si>
  <si>
    <t>ENST00000361538</t>
  </si>
  <si>
    <t>ENST00000464583</t>
  </si>
  <si>
    <t>ENST00000489086</t>
  </si>
  <si>
    <t>ENSG00000198730</t>
  </si>
  <si>
    <t>ENSG00000198755</t>
  </si>
  <si>
    <t>ENSG00000198771</t>
  </si>
  <si>
    <t>ENSG00000198791</t>
  </si>
  <si>
    <t>ENST00000361272</t>
  </si>
  <si>
    <t>ENST00000523917</t>
  </si>
  <si>
    <t>ENST00000519918</t>
  </si>
  <si>
    <t>ENST00000522062</t>
  </si>
  <si>
    <t>ENST00000519998</t>
  </si>
  <si>
    <t>ENST00000523649</t>
  </si>
  <si>
    <t>ENSG00000198793</t>
  </si>
  <si>
    <t>ENSG00000198805</t>
  </si>
  <si>
    <t>ENSG00000198815</t>
  </si>
  <si>
    <t>ENST00000372571</t>
  </si>
  <si>
    <t>ENST00000445886</t>
  </si>
  <si>
    <t>ENST00000422278</t>
  </si>
  <si>
    <t>ENST00000454417</t>
  </si>
  <si>
    <t>ENST00000361776</t>
  </si>
  <si>
    <t>ENST00000361346</t>
  </si>
  <si>
    <t>ENSG00000198821</t>
  </si>
  <si>
    <t>ENST00000483825</t>
  </si>
  <si>
    <t>ENST00000362089</t>
  </si>
  <si>
    <t>ENST00000392122</t>
  </si>
  <si>
    <t>ENST00000476733</t>
  </si>
  <si>
    <t>ENST00000470379</t>
  </si>
  <si>
    <t>ENST00000479979</t>
  </si>
  <si>
    <t>ENSG00000198824</t>
  </si>
  <si>
    <t>ENSG00000198825</t>
  </si>
  <si>
    <t>ENSG00000198830</t>
  </si>
  <si>
    <t>ENSG00000198832</t>
  </si>
  <si>
    <t>ENSG00000198836</t>
  </si>
  <si>
    <t>ENST00000361908</t>
  </si>
  <si>
    <t>ENST00000392438</t>
  </si>
  <si>
    <t>ENST00000392437</t>
  </si>
  <si>
    <t>ENST00000419435</t>
  </si>
  <si>
    <t>ENST00000392436</t>
  </si>
  <si>
    <t>ENST00000434811</t>
  </si>
  <si>
    <t>ENST00000497189</t>
  </si>
  <si>
    <t>ENST00000495476</t>
  </si>
  <si>
    <t>ENST00000475899</t>
  </si>
  <si>
    <t>ENST00000483516</t>
  </si>
  <si>
    <t>ENST00000482865</t>
  </si>
  <si>
    <t>ENST00000495261</t>
  </si>
  <si>
    <t>ENST00000361510</t>
  </si>
  <si>
    <t>ENST00000361828</t>
  </si>
  <si>
    <t>ENST00000361150</t>
  </si>
  <si>
    <t>ENSG00000198837</t>
  </si>
  <si>
    <t>ENST00000494683</t>
  </si>
  <si>
    <t>ENSG00000198843</t>
  </si>
  <si>
    <t>ENSG00000198851</t>
  </si>
  <si>
    <t>ENSG00000198860</t>
  </si>
  <si>
    <t>ENST00000361641</t>
  </si>
  <si>
    <t>ENST00000533373</t>
  </si>
  <si>
    <t>ENST00000423085</t>
  </si>
  <si>
    <t>ENST00000457455</t>
  </si>
  <si>
    <t>ENSG00000198862</t>
  </si>
  <si>
    <t>ENSG00000198876</t>
  </si>
  <si>
    <t>ENST00000361264</t>
  </si>
  <si>
    <t>ENST00000466402</t>
  </si>
  <si>
    <t>ENSG00000198887</t>
  </si>
  <si>
    <t>ENST00000475540</t>
  </si>
  <si>
    <t>ENSG00000198898</t>
  </si>
  <si>
    <t>ENSG00000198909</t>
  </si>
  <si>
    <t>ENSG00000198911</t>
  </si>
  <si>
    <t>ENST00000361204</t>
  </si>
  <si>
    <t>ENST00000424354</t>
  </si>
  <si>
    <t>ENST00000462539</t>
  </si>
  <si>
    <t>ENST00000464119</t>
  </si>
  <si>
    <t>ENST00000491541</t>
  </si>
  <si>
    <t>ENST00000463741</t>
  </si>
  <si>
    <t>ENST00000490262</t>
  </si>
  <si>
    <t>ENSG00000198912</t>
  </si>
  <si>
    <t>ENSG00000198917</t>
  </si>
  <si>
    <t>ENSG00000198925</t>
  </si>
  <si>
    <t>ENST00000409618</t>
  </si>
  <si>
    <t>ENST00000475339</t>
  </si>
  <si>
    <t>ENST00000466217</t>
  </si>
  <si>
    <t>ENST00000434939</t>
  </si>
  <si>
    <t>ENSG00000198931</t>
  </si>
  <si>
    <t>ENST00000378364</t>
  </si>
  <si>
    <t>ENST00000567057</t>
  </si>
  <si>
    <t>ENST00000426324</t>
  </si>
  <si>
    <t>ENST00000569616</t>
  </si>
  <si>
    <t>ENST00000568575</t>
  </si>
  <si>
    <t>ENST00000564858</t>
  </si>
  <si>
    <t>ENSG00000198945</t>
  </si>
  <si>
    <t>ENST00000533560</t>
  </si>
  <si>
    <t>ENST00000531313</t>
  </si>
  <si>
    <t>ENST00000533890</t>
  </si>
  <si>
    <t>ENSG00000203326</t>
  </si>
  <si>
    <t>ENST00000497729</t>
  </si>
  <si>
    <t>ENST00000474037</t>
  </si>
  <si>
    <t>ENST00000467003</t>
  </si>
  <si>
    <t>ENSG00000203485</t>
  </si>
  <si>
    <t>ENST00000330634</t>
  </si>
  <si>
    <t>ENST00000398337</t>
  </si>
  <si>
    <t>ENST00000392634</t>
  </si>
  <si>
    <t>ENST00000252527</t>
  </si>
  <si>
    <t>ENST00000474229</t>
  </si>
  <si>
    <t>ENST00000477497</t>
  </si>
  <si>
    <t>ENST00000481338</t>
  </si>
  <si>
    <t>ENSG00000203667</t>
  </si>
  <si>
    <t>ENSG00000203705</t>
  </si>
  <si>
    <t>ENST00000366974</t>
  </si>
  <si>
    <t>ENST00000532433</t>
  </si>
  <si>
    <t>ENST00000488246</t>
  </si>
  <si>
    <t>ENST00000530392</t>
  </si>
  <si>
    <t>ENST00000606486</t>
  </si>
  <si>
    <t>ENSG00000203791</t>
  </si>
  <si>
    <t>ENSG00000203879</t>
  </si>
  <si>
    <t>ENSG00000203880</t>
  </si>
  <si>
    <t>ENST00000308824</t>
  </si>
  <si>
    <t>ENST00000609297</t>
  </si>
  <si>
    <t>ENST00000610074</t>
  </si>
  <si>
    <t>ENST00000299468</t>
  </si>
  <si>
    <t>ENSG00000204084</t>
  </si>
  <si>
    <t>ENST00000373027</t>
  </si>
  <si>
    <t>ENST00000487328</t>
  </si>
  <si>
    <t>ENST00000474758</t>
  </si>
  <si>
    <t>ENST00000467066</t>
  </si>
  <si>
    <t>ENSG00000204138</t>
  </si>
  <si>
    <t>ENST00000373839</t>
  </si>
  <si>
    <t>ENST00000463428</t>
  </si>
  <si>
    <t>ENSG00000204219</t>
  </si>
  <si>
    <t>ENSG00000204316</t>
  </si>
  <si>
    <t>ENSG00000204371</t>
  </si>
  <si>
    <t>ENST00000478491</t>
  </si>
  <si>
    <t>ENST00000494816</t>
  </si>
  <si>
    <t>ENST00000375528</t>
  </si>
  <si>
    <t>ENST00000477678</t>
  </si>
  <si>
    <t>ENST00000463484</t>
  </si>
  <si>
    <t>ENST00000465429</t>
  </si>
  <si>
    <t>ENSG00000204397</t>
  </si>
  <si>
    <t>ENST00000375706</t>
  </si>
  <si>
    <t>ENST00000375704</t>
  </si>
  <si>
    <t>ENSG00000204498</t>
  </si>
  <si>
    <t>ENST00000376148</t>
  </si>
  <si>
    <t>ENST00000473655</t>
  </si>
  <si>
    <t>ENSG00000204514</t>
  </si>
  <si>
    <t>ENST00000597652</t>
  </si>
  <si>
    <t>ENST00000596184</t>
  </si>
  <si>
    <t>ENST00000594159</t>
  </si>
  <si>
    <t>ENST00000435989</t>
  </si>
  <si>
    <t>ENST00000597807</t>
  </si>
  <si>
    <t>ENSG00000204592</t>
  </si>
  <si>
    <t>ENSG00000204628</t>
  </si>
  <si>
    <t>ENSG00000204673</t>
  </si>
  <si>
    <t>ENSG00000204822</t>
  </si>
  <si>
    <t>ENSG00000204842</t>
  </si>
  <si>
    <t>ENST00000484991</t>
  </si>
  <si>
    <t>ENST00000482777</t>
  </si>
  <si>
    <t>ENST00000475132</t>
  </si>
  <si>
    <t>ENST00000550844</t>
  </si>
  <si>
    <t>ENST00000468920</t>
  </si>
  <si>
    <t>ENST00000551551</t>
  </si>
  <si>
    <t>ENST00000550889</t>
  </si>
  <si>
    <t>ENST00000495342</t>
  </si>
  <si>
    <t>ENST00000552323</t>
  </si>
  <si>
    <t>ENST00000546483</t>
  </si>
  <si>
    <t>ENST00000471866</t>
  </si>
  <si>
    <t>ENSG00000204843</t>
  </si>
  <si>
    <t>ENST00000491465</t>
  </si>
  <si>
    <t>ENST00000409240</t>
  </si>
  <si>
    <t>ENST00000466110</t>
  </si>
  <si>
    <t>ENST00000492717</t>
  </si>
  <si>
    <t>ENST00000495895</t>
  </si>
  <si>
    <t>ENST00000470351</t>
  </si>
  <si>
    <t>ENSG00000204859</t>
  </si>
  <si>
    <t>ENST00000482360</t>
  </si>
  <si>
    <t>ENST00000498342</t>
  </si>
  <si>
    <t>ENST00000466941</t>
  </si>
  <si>
    <t>ENSG00000204954</t>
  </si>
  <si>
    <t>ENST00000378090</t>
  </si>
  <si>
    <t>ENST00000549478</t>
  </si>
  <si>
    <t>ENST00000546540</t>
  </si>
  <si>
    <t>ENSG00000205189</t>
  </si>
  <si>
    <t>ENST00000430430</t>
  </si>
  <si>
    <t>ENST00000455036</t>
  </si>
  <si>
    <t>ENSG00000205220</t>
  </si>
  <si>
    <t>ENSG00000205250</t>
  </si>
  <si>
    <t>ENSG00000205268</t>
  </si>
  <si>
    <t>ENST00000401827</t>
  </si>
  <si>
    <t>ENST00000396642</t>
  </si>
  <si>
    <t>ENST00000522220</t>
  </si>
  <si>
    <t>ENSG00000205302</t>
  </si>
  <si>
    <t>ENST00000379516</t>
  </si>
  <si>
    <t>ENST00000505854</t>
  </si>
  <si>
    <t>ENST00000511365</t>
  </si>
  <si>
    <t>ENST00000509281</t>
  </si>
  <si>
    <t>ENST00000514030</t>
  </si>
  <si>
    <t>ENST00000507321</t>
  </si>
  <si>
    <t>ENST00000507852</t>
  </si>
  <si>
    <t>ENSG00000205339</t>
  </si>
  <si>
    <t>ENSG00000205356</t>
  </si>
  <si>
    <t>ENSG00000205581</t>
  </si>
  <si>
    <t>ENSG00000205629</t>
  </si>
  <si>
    <t>ENSG00000205744</t>
  </si>
  <si>
    <t>ENST00000590444</t>
  </si>
  <si>
    <t>ENST00000381480</t>
  </si>
  <si>
    <t>ENST00000591795</t>
  </si>
  <si>
    <t>ENST00000592543</t>
  </si>
  <si>
    <t>ENST00000589491</t>
  </si>
  <si>
    <t>ENSG00000205758</t>
  </si>
  <si>
    <t>ENSG00000205765</t>
  </si>
  <si>
    <t>ENSG00000205937</t>
  </si>
  <si>
    <t>ENSG00000205981</t>
  </si>
  <si>
    <t>ENST00000382564</t>
  </si>
  <si>
    <t>ENST00000469657</t>
  </si>
  <si>
    <t>ENST00000486355</t>
  </si>
  <si>
    <t>ENST00000478723</t>
  </si>
  <si>
    <t>ENST00000485675</t>
  </si>
  <si>
    <t>ENST00000482363</t>
  </si>
  <si>
    <t>ENST00000472504</t>
  </si>
  <si>
    <t>ENSG00000206053</t>
  </si>
  <si>
    <t>ENSG00000206208</t>
  </si>
  <si>
    <t>ENST00000434618</t>
  </si>
  <si>
    <t>ENST00000426633</t>
  </si>
  <si>
    <t>ENST00000480730</t>
  </si>
  <si>
    <t>ENST00000437116</t>
  </si>
  <si>
    <t>ENST00000476333</t>
  </si>
  <si>
    <t>ENSG00000206283</t>
  </si>
  <si>
    <t>ENSG00000206284</t>
  </si>
  <si>
    <t>ENSG00000206314</t>
  </si>
  <si>
    <t>ENSG00000206427</t>
  </si>
  <si>
    <t>ENSG00000206457</t>
  </si>
  <si>
    <t>ENST00000464012</t>
  </si>
  <si>
    <t>ENST00000506831</t>
  </si>
  <si>
    <t>ENSG00000206481</t>
  </si>
  <si>
    <t>ENSG00000206505</t>
  </si>
  <si>
    <t>ENSG00000206560</t>
  </si>
  <si>
    <t>ENSG00000206562</t>
  </si>
  <si>
    <t>ENST00000443029</t>
  </si>
  <si>
    <t>ENST00000383790</t>
  </si>
  <si>
    <t>ENST00000453819</t>
  </si>
  <si>
    <t>ENST00000383789</t>
  </si>
  <si>
    <t>ENSG00000211450</t>
  </si>
  <si>
    <t>ENSG00000211455</t>
  </si>
  <si>
    <t>ENSG00000211456</t>
  </si>
  <si>
    <t>ENSG00000211460</t>
  </si>
  <si>
    <t>ENSG00000213024</t>
  </si>
  <si>
    <t>ENSG00000213047</t>
  </si>
  <si>
    <t>ENST00000391979</t>
  </si>
  <si>
    <t>ENST00000463124</t>
  </si>
  <si>
    <t>ENST00000496935</t>
  </si>
  <si>
    <t>ENST00000468589</t>
  </si>
  <si>
    <t>ENSG00000213066</t>
  </si>
  <si>
    <t>ENST00000366847</t>
  </si>
  <si>
    <t>ENST00000496181</t>
  </si>
  <si>
    <t>ENSG00000213203</t>
  </si>
  <si>
    <t>ENSG00000213246</t>
  </si>
  <si>
    <t>ENSG00000213339</t>
  </si>
  <si>
    <t>ENSG00000213341</t>
  </si>
  <si>
    <t>ENSG00000213366</t>
  </si>
  <si>
    <t>ENSG00000213380</t>
  </si>
  <si>
    <t>ENSG00000213390</t>
  </si>
  <si>
    <t>ENST00000358531</t>
  </si>
  <si>
    <t>ENST00000493068</t>
  </si>
  <si>
    <t>ENSG00000213397</t>
  </si>
  <si>
    <t>ENST00000370211</t>
  </si>
  <si>
    <t>ENST00000484394</t>
  </si>
  <si>
    <t>ENST00000464993</t>
  </si>
  <si>
    <t>ENSG00000213445</t>
  </si>
  <si>
    <t>ENSG00000213465</t>
  </si>
  <si>
    <t>ENSG00000213516</t>
  </si>
  <si>
    <t>ENSG00000213523</t>
  </si>
  <si>
    <t>ENSG00000213563</t>
  </si>
  <si>
    <t>ENST00000524821</t>
  </si>
  <si>
    <t>ENST00000313465</t>
  </si>
  <si>
    <t>ENSG00000213585</t>
  </si>
  <si>
    <t>ENSG00000213614</t>
  </si>
  <si>
    <t>ENSG00000213619</t>
  </si>
  <si>
    <t>ENSG00000213626</t>
  </si>
  <si>
    <t>ENSG00000213639</t>
  </si>
  <si>
    <t>ENSG00000213676</t>
  </si>
  <si>
    <t>ENST00000468502</t>
  </si>
  <si>
    <t>ENST00000485314</t>
  </si>
  <si>
    <t>ENST00000495579</t>
  </si>
  <si>
    <t>ENST00000492342</t>
  </si>
  <si>
    <t>ENST00000475705</t>
  </si>
  <si>
    <t>ENST00000375201</t>
  </si>
  <si>
    <t>ENST00000375203</t>
  </si>
  <si>
    <t>ENSG00000213741</t>
  </si>
  <si>
    <t>ENSG00000213762</t>
  </si>
  <si>
    <t>ENST00000600344</t>
  </si>
  <si>
    <t>ENST00000396161</t>
  </si>
  <si>
    <t>ENSG00000213782</t>
  </si>
  <si>
    <t>ENSG00000213799</t>
  </si>
  <si>
    <t>ENST00000601857</t>
  </si>
  <si>
    <t>ENST00000458035</t>
  </si>
  <si>
    <t>ENSG00000213928</t>
  </si>
  <si>
    <t>ENSG00000213930</t>
  </si>
  <si>
    <t>ENSG00000213983</t>
  </si>
  <si>
    <t>ENSG00000214078</t>
  </si>
  <si>
    <t>ENST00000462352</t>
  </si>
  <si>
    <t>ENST00000473373</t>
  </si>
  <si>
    <t>ENST00000434795</t>
  </si>
  <si>
    <t>ENSG00000214113</t>
  </si>
  <si>
    <t>ENST00000330636</t>
  </si>
  <si>
    <t>ENST00000500576</t>
  </si>
  <si>
    <t>ENSG00000214114</t>
  </si>
  <si>
    <t>ENSG00000214253</t>
  </si>
  <si>
    <t>ENSG00000214517</t>
  </si>
  <si>
    <t>ENSG00000214530</t>
  </si>
  <si>
    <t>ENSG00000214655</t>
  </si>
  <si>
    <t>ENST00000604729</t>
  </si>
  <si>
    <t>ENST00000446546</t>
  </si>
  <si>
    <t>ENST00000451629</t>
  </si>
  <si>
    <t>ENST00000431225</t>
  </si>
  <si>
    <t>ENST00000412198</t>
  </si>
  <si>
    <t>ENST00000489234</t>
  </si>
  <si>
    <t>ENST00000603195</t>
  </si>
  <si>
    <t>ENST00000603840</t>
  </si>
  <si>
    <t>ENST00000466568</t>
  </si>
  <si>
    <t>ENST00000398706</t>
  </si>
  <si>
    <t>ENSG00000214706</t>
  </si>
  <si>
    <t>ENST00000417626</t>
  </si>
  <si>
    <t>ENST00000464258</t>
  </si>
  <si>
    <t>ENST00000486322</t>
  </si>
  <si>
    <t>ENST00000492387</t>
  </si>
  <si>
    <t>ENST00000469855</t>
  </si>
  <si>
    <t>ENST00000483071</t>
  </si>
  <si>
    <t>ENST00000462001</t>
  </si>
  <si>
    <t>ENSG00000214736</t>
  </si>
  <si>
    <t>ENSG00000214753</t>
  </si>
  <si>
    <t>ENSG00000215021</t>
  </si>
  <si>
    <t>ENSG00000215041</t>
  </si>
  <si>
    <t>ENST00000399464</t>
  </si>
  <si>
    <t>ENST00000572680</t>
  </si>
  <si>
    <t>ENST00000572029</t>
  </si>
  <si>
    <t>ENST00000576485</t>
  </si>
  <si>
    <t>ENST00000571243</t>
  </si>
  <si>
    <t>ENSG00000215114</t>
  </si>
  <si>
    <t>ENST00000399598</t>
  </si>
  <si>
    <t>ENST00000521796</t>
  </si>
  <si>
    <t>ENSG00000215126</t>
  </si>
  <si>
    <t>ENST00000382405</t>
  </si>
  <si>
    <t>ENST00000461932</t>
  </si>
  <si>
    <t>ENST00000485088</t>
  </si>
  <si>
    <t>ENST00000491485</t>
  </si>
  <si>
    <t>ENST00000430059</t>
  </si>
  <si>
    <t>ENST00000476797</t>
  </si>
  <si>
    <t>ENST00000429800</t>
  </si>
  <si>
    <t>ENST00000463075</t>
  </si>
  <si>
    <t>ENST00000497250</t>
  </si>
  <si>
    <t>ENST00000476161</t>
  </si>
  <si>
    <t>ENST00000468198</t>
  </si>
  <si>
    <t>ENST00000471620</t>
  </si>
  <si>
    <t>ENST00000382404</t>
  </si>
  <si>
    <t>ENST00000495615</t>
  </si>
  <si>
    <t>ENST00000478650</t>
  </si>
  <si>
    <t>ENST00000377384</t>
  </si>
  <si>
    <t>ENST00000486466</t>
  </si>
  <si>
    <t>ENSG00000215301</t>
  </si>
  <si>
    <t>ENSG00000215305</t>
  </si>
  <si>
    <t>ENSG00000215421</t>
  </si>
  <si>
    <t>ENSG00000215788</t>
  </si>
  <si>
    <t>ENST00000481401</t>
  </si>
  <si>
    <t>ENST00000453260</t>
  </si>
  <si>
    <t>ENST00000513135</t>
  </si>
  <si>
    <t>ENST00000473343</t>
  </si>
  <si>
    <t>ENSG00000215845</t>
  </si>
  <si>
    <t>ENST00000462952</t>
  </si>
  <si>
    <t>ENST00000318289</t>
  </si>
  <si>
    <t>ENST00000368024</t>
  </si>
  <si>
    <t>ENST00000423014</t>
  </si>
  <si>
    <t>ENST00000466967</t>
  </si>
  <si>
    <t>ENST00000486084</t>
  </si>
  <si>
    <t>ENSG00000220205</t>
  </si>
  <si>
    <t>ENSG00000221914</t>
  </si>
  <si>
    <t>ENSG00000223775</t>
  </si>
  <si>
    <t>ENSG00000223957</t>
  </si>
  <si>
    <t>ENSG00000224156</t>
  </si>
  <si>
    <t>ENSG00000224320</t>
  </si>
  <si>
    <t>ENSG00000224470</t>
  </si>
  <si>
    <t>ENSG00000225663</t>
  </si>
  <si>
    <t>ENSG00000225737</t>
  </si>
  <si>
    <t>ENSG00000225921</t>
  </si>
  <si>
    <t>ENSG00000225967</t>
  </si>
  <si>
    <t>ENSG00000225987</t>
  </si>
  <si>
    <t>ENSG00000226171</t>
  </si>
  <si>
    <t>ENSG00000226492</t>
  </si>
  <si>
    <t>ENST00000462802</t>
  </si>
  <si>
    <t>ENST00000374500</t>
  </si>
  <si>
    <t>ENST00000488034</t>
  </si>
  <si>
    <t>ENST00000607266</t>
  </si>
  <si>
    <t>ENST00000482684</t>
  </si>
  <si>
    <t>ENST00000465956</t>
  </si>
  <si>
    <t>ENST00000440279</t>
  </si>
  <si>
    <t>ENST00000487637</t>
  </si>
  <si>
    <t>ENSG00000226788</t>
  </si>
  <si>
    <t>ENSG00000227345</t>
  </si>
  <si>
    <t>ENST00000402038</t>
  </si>
  <si>
    <t>ENST00000492350</t>
  </si>
  <si>
    <t>ENSG00000227507</t>
  </si>
  <si>
    <t>ENSG00000227715</t>
  </si>
  <si>
    <t>ENSG00000227816</t>
  </si>
  <si>
    <t>ENSG00000228333</t>
  </si>
  <si>
    <t>ENSG00000228425</t>
  </si>
  <si>
    <t>ENSG00000228716</t>
  </si>
  <si>
    <t>ENSG00000228875</t>
  </si>
  <si>
    <t>ENSG00000228881</t>
  </si>
  <si>
    <t>ENSG00000229809</t>
  </si>
  <si>
    <t>ENST00000223459</t>
  </si>
  <si>
    <t>ENST00000563665</t>
  </si>
  <si>
    <t>ENSG00000231247</t>
  </si>
  <si>
    <t>ENSG00000231500</t>
  </si>
  <si>
    <t>ENSG00000231617</t>
  </si>
  <si>
    <t>ENST00000266000</t>
  </si>
  <si>
    <t>ENST00000374542</t>
  </si>
  <si>
    <t>ENST00000490173</t>
  </si>
  <si>
    <t>ENST00000446403</t>
  </si>
  <si>
    <t>ENST00000498030</t>
  </si>
  <si>
    <t>ENSG00000232119</t>
  </si>
  <si>
    <t>ENSG00000232143</t>
  </si>
  <si>
    <t>ENSG00000232169</t>
  </si>
  <si>
    <t>ENSG00000233210</t>
  </si>
  <si>
    <t>ENST00000375906</t>
  </si>
  <si>
    <t>ENST00000375896</t>
  </si>
  <si>
    <t>ENST00000375900</t>
  </si>
  <si>
    <t>ENSG00000233276</t>
  </si>
  <si>
    <t>ENSG00000233795</t>
  </si>
  <si>
    <t>ENSG00000233801</t>
  </si>
  <si>
    <t>ENSG00000233927</t>
  </si>
  <si>
    <t>ENSG00000234058</t>
  </si>
  <si>
    <t>ENSG00000234370</t>
  </si>
  <si>
    <t>ENSG00000234487</t>
  </si>
  <si>
    <t>ENSG00000234495</t>
  </si>
  <si>
    <t>ENSG00000234745</t>
  </si>
  <si>
    <t>ENSG00000235173</t>
  </si>
  <si>
    <t>ENSG00000236250</t>
  </si>
  <si>
    <t>ENST00000479644</t>
  </si>
  <si>
    <t>ENST00000484540</t>
  </si>
  <si>
    <t>ENST00000490822</t>
  </si>
  <si>
    <t>ENSG00000236287</t>
  </si>
  <si>
    <t>ENST00000432999</t>
  </si>
  <si>
    <t>ENST00000413761</t>
  </si>
  <si>
    <t>ENSG00000238104</t>
  </si>
  <si>
    <t>ENSG00000239672</t>
  </si>
  <si>
    <t>ENST00000393196</t>
  </si>
  <si>
    <t>ENST00000487481</t>
  </si>
  <si>
    <t>ENST00000512768</t>
  </si>
  <si>
    <t>ENST00000511355</t>
  </si>
  <si>
    <t>ENST00000456492</t>
  </si>
  <si>
    <t>ENST00000465188</t>
  </si>
  <si>
    <t>ENSG00000239713</t>
  </si>
  <si>
    <t>ENSG00000239857</t>
  </si>
  <si>
    <t>ENSG00000239900</t>
  </si>
  <si>
    <t>ENSG00000240230</t>
  </si>
  <si>
    <t>ENSG00000240344</t>
  </si>
  <si>
    <t>ENSG00000240682</t>
  </si>
  <si>
    <t>ENSG00000241258</t>
  </si>
  <si>
    <t>ENST00000395326</t>
  </si>
  <si>
    <t>ENST00000486848</t>
  </si>
  <si>
    <t>ENSG00000241343</t>
  </si>
  <si>
    <t>ENSG00000241553</t>
  </si>
  <si>
    <t>ENSG00000241685</t>
  </si>
  <si>
    <t>ENSG00000241837</t>
  </si>
  <si>
    <t>ENSG00000241878</t>
  </si>
  <si>
    <t>ENST00000460723</t>
  </si>
  <si>
    <t>ENST00000439502</t>
  </si>
  <si>
    <t>ENSG00000241945</t>
  </si>
  <si>
    <t>ENSG00000241973</t>
  </si>
  <si>
    <t>ENSG00000242028</t>
  </si>
  <si>
    <t>ENSG00000242247</t>
  </si>
  <si>
    <t>ENSG00000242372</t>
  </si>
  <si>
    <t>ENSG00000242485</t>
  </si>
  <si>
    <t>ENSG00000242802</t>
  </si>
  <si>
    <t>ENSG00000243067</t>
  </si>
  <si>
    <t>ENSG00000243147</t>
  </si>
  <si>
    <t>ENST00000379666</t>
  </si>
  <si>
    <t>ENST00000296102</t>
  </si>
  <si>
    <t>ENST00000472192</t>
  </si>
  <si>
    <t>ENST00000483992</t>
  </si>
  <si>
    <t>ENSG00000243477</t>
  </si>
  <si>
    <t>ENSG00000243716</t>
  </si>
  <si>
    <t>ENST00000165086</t>
  </si>
  <si>
    <t>ENST00000545367</t>
  </si>
  <si>
    <t>ENST00000543660</t>
  </si>
  <si>
    <t>ENST00000341400</t>
  </si>
  <si>
    <t>ENST00000518761</t>
  </si>
  <si>
    <t>ENST00000543654</t>
  </si>
  <si>
    <t>ENST00000520808</t>
  </si>
  <si>
    <t>ENST00000542338</t>
  </si>
  <si>
    <t>ENST00000529969</t>
  </si>
  <si>
    <t>ENST00000540103</t>
  </si>
  <si>
    <t>ENST00000543449</t>
  </si>
  <si>
    <t>ENST00000537951</t>
  </si>
  <si>
    <t>ENST00000545375</t>
  </si>
  <si>
    <t>ENST00000536620</t>
  </si>
  <si>
    <t>ENST00000538606</t>
  </si>
  <si>
    <t>ENST00000540704</t>
  </si>
  <si>
    <t>ENST00000517539</t>
  </si>
  <si>
    <t>ENST00000517347</t>
  </si>
  <si>
    <t>ENST00000539929</t>
  </si>
  <si>
    <t>ENST00000538590</t>
  </si>
  <si>
    <t>ENST00000539604</t>
  </si>
  <si>
    <t>ENST00000442450</t>
  </si>
  <si>
    <t>ENST00000424340</t>
  </si>
  <si>
    <t>ENSG00000243725</t>
  </si>
  <si>
    <t>ENSG00000243789</t>
  </si>
  <si>
    <t>ENSG00000243927</t>
  </si>
  <si>
    <t>ENSG00000243943</t>
  </si>
  <si>
    <t>ENST00000355467</t>
  </si>
  <si>
    <t>ENST00000494548</t>
  </si>
  <si>
    <t>ENST00000461705</t>
  </si>
  <si>
    <t>ENST00000488055</t>
  </si>
  <si>
    <t>ENSG00000243989</t>
  </si>
  <si>
    <t>ENST00000496679</t>
  </si>
  <si>
    <t>ENST00000465121</t>
  </si>
  <si>
    <t>ENST00000468068</t>
  </si>
  <si>
    <t>ENST00000464587</t>
  </si>
  <si>
    <t>ENST00000490244</t>
  </si>
  <si>
    <t>ENSG00000244005</t>
  </si>
  <si>
    <t>ENST00000374092</t>
  </si>
  <si>
    <t>ENST00000480655</t>
  </si>
  <si>
    <t>ENST00000471137</t>
  </si>
  <si>
    <t>ENSG00000244038</t>
  </si>
  <si>
    <t>ENSG00000244045</t>
  </si>
  <si>
    <t>ENSG00000244462</t>
  </si>
  <si>
    <t>ENSG00000244687</t>
  </si>
  <si>
    <t>ENSG00000244754</t>
  </si>
  <si>
    <t>ENSG00000247077</t>
  </si>
  <si>
    <t>ENSG00000247596</t>
  </si>
  <si>
    <t>ENSG00000248098</t>
  </si>
  <si>
    <t>ENSG00000249915</t>
  </si>
  <si>
    <t>ENSG00000253729</t>
  </si>
  <si>
    <t>ENST00000314191</t>
  </si>
  <si>
    <t>ENSG00000254004</t>
  </si>
  <si>
    <t>ENST00000523638</t>
  </si>
  <si>
    <t>ENST00000520608</t>
  </si>
  <si>
    <t>ENSG00000254093</t>
  </si>
  <si>
    <t>ENSG00000254505</t>
  </si>
  <si>
    <t>ENSG00000254772</t>
  </si>
  <si>
    <t>ENSG00000254986</t>
  </si>
  <si>
    <t>ENST00000532677</t>
  </si>
  <si>
    <t>ENST00000531354</t>
  </si>
  <si>
    <t>ENSG00000254996</t>
  </si>
  <si>
    <t>ENSG00000256087</t>
  </si>
  <si>
    <t>ENST00000594154</t>
  </si>
  <si>
    <t>ENST00000221315</t>
  </si>
  <si>
    <t>ENST00000601310</t>
  </si>
  <si>
    <t>ENST00000598446</t>
  </si>
  <si>
    <t>ENSG00000256269</t>
  </si>
  <si>
    <t>ENST00000545901</t>
  </si>
  <si>
    <t>ENST00000544360</t>
  </si>
  <si>
    <t>ENST00000544182</t>
  </si>
  <si>
    <t>ENST00000539045</t>
  </si>
  <si>
    <t>ENSG00000256525</t>
  </si>
  <si>
    <t>ENST00000539111</t>
  </si>
  <si>
    <t>ENST00000585141</t>
  </si>
  <si>
    <t>ENSG00000256683</t>
  </si>
  <si>
    <t>ENST00000243644</t>
  </si>
  <si>
    <t>ENST00000598254</t>
  </si>
  <si>
    <t>ENST00000597555</t>
  </si>
  <si>
    <t>ENSG00000257103</t>
  </si>
  <si>
    <t>ENST00000589878</t>
  </si>
  <si>
    <t>ENST00000544216</t>
  </si>
  <si>
    <t>ENST00000433627</t>
  </si>
  <si>
    <t>ENST00000588582</t>
  </si>
  <si>
    <t>ENST00000585887</t>
  </si>
  <si>
    <t>ENST00000590416</t>
  </si>
  <si>
    <t>ENSG00000257365</t>
  </si>
  <si>
    <t>ENSG00000257727</t>
  </si>
  <si>
    <t>ENSG00000258289</t>
  </si>
  <si>
    <t>ENSG00000258315</t>
  </si>
  <si>
    <t>ENSG00000258790</t>
  </si>
  <si>
    <t>ENSG00000259040</t>
  </si>
  <si>
    <t>ENSG00000259494</t>
  </si>
  <si>
    <t>ENSG00000262860</t>
  </si>
  <si>
    <t>ENSG00000263001</t>
  </si>
  <si>
    <t>ENST00000443166</t>
  </si>
  <si>
    <t>ENST00000490431</t>
  </si>
  <si>
    <t>ENST00000484840</t>
  </si>
  <si>
    <t>ENST00000462915</t>
  </si>
  <si>
    <t>ENST00000438130</t>
  </si>
  <si>
    <t>ENST00000473333</t>
  </si>
  <si>
    <t>ENST00000476035</t>
  </si>
  <si>
    <t>ENST00000482232</t>
  </si>
  <si>
    <t>ENST00000464471</t>
  </si>
  <si>
    <t>ENSG00000263290</t>
  </si>
  <si>
    <t>ENSG00000265241</t>
  </si>
  <si>
    <t>ENSG00000265681</t>
  </si>
  <si>
    <t>ENST00000581741</t>
  </si>
  <si>
    <t>ENSG00000265972</t>
  </si>
  <si>
    <t>ENSG00000266173</t>
  </si>
  <si>
    <t>ENST00000583085</t>
  </si>
  <si>
    <t>ENST00000582026</t>
  </si>
  <si>
    <t>ENST00000577375</t>
  </si>
  <si>
    <t>ENST00000579318</t>
  </si>
  <si>
    <t>ENST00000578507</t>
  </si>
  <si>
    <t>ENSG00000266967</t>
  </si>
  <si>
    <t>ENSG00000267796</t>
  </si>
  <si>
    <t>ENST00000595455</t>
  </si>
  <si>
    <t>ENST00000592871</t>
  </si>
  <si>
    <t>ENST00000590890</t>
  </si>
  <si>
    <t>ENSG00000267855</t>
  </si>
  <si>
    <t>ENSG00000269343</t>
  </si>
  <si>
    <t>ENST00000594328</t>
  </si>
  <si>
    <t>ENST00000442832</t>
  </si>
  <si>
    <t>ENST00000594901</t>
  </si>
  <si>
    <t>ENSG00000272333</t>
  </si>
  <si>
    <t>ENSG00000272391</t>
  </si>
  <si>
    <t>ENSG00000273397</t>
  </si>
  <si>
    <t>ENSG00000273494</t>
  </si>
  <si>
    <t>ENSG00000273562</t>
  </si>
  <si>
    <t>ENST00000380542</t>
  </si>
  <si>
    <t>ENST00000469805</t>
  </si>
  <si>
    <t>ENST00000469089</t>
  </si>
  <si>
    <t>ENST00000492594</t>
  </si>
  <si>
    <t>ENST00000528363</t>
  </si>
  <si>
    <t>ENST00000483643</t>
  </si>
  <si>
    <t>ENST00000528261</t>
  </si>
  <si>
    <t>ENST00000448187</t>
  </si>
  <si>
    <t>ENST00000430811</t>
  </si>
  <si>
    <t>ENST00000455338</t>
  </si>
  <si>
    <t>ENSG00000273686</t>
  </si>
  <si>
    <t>ENSG00000273761</t>
  </si>
  <si>
    <t>ENSG00000274081</t>
  </si>
  <si>
    <t>ENST00000526683</t>
  </si>
  <si>
    <t>ENST00000456095</t>
  </si>
  <si>
    <t>ENST00000349157</t>
  </si>
  <si>
    <t>ENST00000527197</t>
  </si>
  <si>
    <t>ENST00000532884</t>
  </si>
  <si>
    <t>ENST00000526459</t>
  </si>
  <si>
    <t>ENST00000528320</t>
  </si>
  <si>
    <t>ENST00000529693</t>
  </si>
  <si>
    <t>ENST00000527584</t>
  </si>
  <si>
    <t>ENST00000531995</t>
  </si>
  <si>
    <t>ENST00000532127</t>
  </si>
  <si>
    <t>ENST00000526151</t>
  </si>
  <si>
    <t>ENSG00000274672</t>
  </si>
  <si>
    <t>ENSG00000274684</t>
  </si>
  <si>
    <t>ENSG00000274811</t>
  </si>
  <si>
    <t>ENST00000320895</t>
  </si>
  <si>
    <t>ENST00000503042</t>
  </si>
  <si>
    <t>ENST00000503534</t>
  </si>
  <si>
    <t>ENST00000515719</t>
  </si>
  <si>
    <t>ENST00000511268</t>
  </si>
  <si>
    <t>ENST00000512451</t>
  </si>
  <si>
    <t>ENST00000505914</t>
  </si>
  <si>
    <t>ENST00000505605</t>
  </si>
  <si>
    <t>ENST00000503151</t>
  </si>
  <si>
    <t>ENST00000511786</t>
  </si>
  <si>
    <t>ENSG00000274829</t>
  </si>
  <si>
    <t>ENST00000437198</t>
  </si>
  <si>
    <t>ENST00000563155</t>
  </si>
  <si>
    <t>ENSG00000275125</t>
  </si>
  <si>
    <t>ENSG00000275145</t>
  </si>
  <si>
    <t>ENSG00000275199</t>
  </si>
  <si>
    <t>ENST00000366539</t>
  </si>
  <si>
    <t>ENST00000263826</t>
  </si>
  <si>
    <t>ENSG00000275323</t>
  </si>
  <si>
    <t>ENSG00000275333</t>
  </si>
  <si>
    <t>ENSG00000275544</t>
  </si>
  <si>
    <t>ENSG00000275746</t>
  </si>
  <si>
    <t>ENSG00000275779</t>
  </si>
  <si>
    <t>ENSG00000275837</t>
  </si>
  <si>
    <t>ENST00000263121</t>
  </si>
  <si>
    <t>ENST00000407422</t>
  </si>
  <si>
    <t>ENST00000491967</t>
  </si>
  <si>
    <t>ENST00000477836</t>
  </si>
  <si>
    <t>ENSG00000275895</t>
  </si>
  <si>
    <t>ENSG00000275911</t>
  </si>
  <si>
    <t>ENST00000396354</t>
  </si>
  <si>
    <t>ENST00000576502</t>
  </si>
  <si>
    <t>ENST00000342673</t>
  </si>
  <si>
    <t>ENSG00000275979</t>
  </si>
  <si>
    <t>ENSG00000276021</t>
  </si>
  <si>
    <t>ENSG00000276230</t>
  </si>
  <si>
    <t>ENSG00000276262</t>
  </si>
  <si>
    <t>ENSG00000276371</t>
  </si>
  <si>
    <t>ENSG00000276421</t>
  </si>
  <si>
    <t>ENSG00000276463</t>
  </si>
  <si>
    <t>ENSG00000276495</t>
  </si>
  <si>
    <t>ENST00000559814</t>
  </si>
  <si>
    <t>ENST00000382938</t>
  </si>
  <si>
    <t>ENST00000411764</t>
  </si>
  <si>
    <t>ENSG00000276684</t>
  </si>
  <si>
    <t>ENST00000586331</t>
  </si>
  <si>
    <t>ENSG00000276701</t>
  </si>
  <si>
    <t>ENSG00000277086</t>
  </si>
  <si>
    <t>ENST00000563714</t>
  </si>
  <si>
    <t>ENSG00000277140</t>
  </si>
  <si>
    <t>ENST00000396368</t>
  </si>
  <si>
    <t>ENST00000552771</t>
  </si>
  <si>
    <t>ENST00000551742</t>
  </si>
  <si>
    <t>ENST00000551579</t>
  </si>
  <si>
    <t>ENST00000549337</t>
  </si>
  <si>
    <t>ENST00000552535</t>
  </si>
  <si>
    <t>ENST00000546864</t>
  </si>
  <si>
    <t>ENST00000551678</t>
  </si>
  <si>
    <t>ENST00000548216</t>
  </si>
  <si>
    <t>ENSG00000277273</t>
  </si>
  <si>
    <t>ENSG00000277424</t>
  </si>
  <si>
    <t>ENSG00000277733</t>
  </si>
  <si>
    <t>ENSG00000278183</t>
  </si>
  <si>
    <t>ENST00000399410</t>
  </si>
  <si>
    <t>ENST00000574224</t>
  </si>
  <si>
    <t>ENST00000575422</t>
  </si>
  <si>
    <t>ENST00000574761</t>
  </si>
  <si>
    <t>ENSG00000278191</t>
  </si>
  <si>
    <t>ENST00000397111</t>
  </si>
  <si>
    <t>ENST00000484484</t>
  </si>
  <si>
    <t>ENST00000278224</t>
  </si>
  <si>
    <t>ENST00000466442</t>
  </si>
  <si>
    <t>ENST00000526890</t>
  </si>
  <si>
    <t>ENST00000439280</t>
  </si>
  <si>
    <t>ENST00000465207</t>
  </si>
  <si>
    <t>ENSG00000278461</t>
  </si>
  <si>
    <t>ENSG00000278615</t>
  </si>
  <si>
    <t>ENST00000524958</t>
  </si>
  <si>
    <t>ENST00000532786</t>
  </si>
  <si>
    <t>ENST00000525675</t>
  </si>
  <si>
    <t>ENSG00000278718</t>
  </si>
  <si>
    <t>ENSG00000278741</t>
  </si>
  <si>
    <t>ENST00000302538</t>
  </si>
  <si>
    <t>ENST00000572585</t>
  </si>
  <si>
    <t>ENST00000291107</t>
  </si>
  <si>
    <t>ENST00000570688</t>
  </si>
  <si>
    <t>ENST00000571120</t>
  </si>
  <si>
    <t>ENST00000574875</t>
  </si>
  <si>
    <t>ENST00000573895</t>
  </si>
  <si>
    <t>ENST00000573667</t>
  </si>
  <si>
    <t>ENST00000573325</t>
  </si>
  <si>
    <t>ENSG00000280627</t>
  </si>
  <si>
    <t>ENST00000371974</t>
  </si>
  <si>
    <t>ENST00000495952</t>
  </si>
  <si>
    <t>ENSG00000280858</t>
  </si>
  <si>
    <t>ENSG00000280987</t>
  </si>
  <si>
    <t>ENST00000504643</t>
  </si>
  <si>
    <t>ENSG00000281309</t>
  </si>
  <si>
    <t>ENSG00000281434</t>
  </si>
  <si>
    <t>ENSG00000281540</t>
  </si>
  <si>
    <t>ENSG00000281614</t>
  </si>
  <si>
    <t>ENST00000451407</t>
  </si>
  <si>
    <t>ENST00000496402</t>
  </si>
  <si>
    <t>ENST00000493632</t>
  </si>
  <si>
    <t>ENST00000480983</t>
  </si>
  <si>
    <t>ENST00000465281</t>
  </si>
  <si>
    <t>ENSG00000281877</t>
  </si>
  <si>
    <t>ENST00000374168</t>
  </si>
  <si>
    <t>ENST00000524436</t>
  </si>
  <si>
    <t>ENST00000530607</t>
  </si>
  <si>
    <t>ENST00000531382</t>
  </si>
  <si>
    <t>ENST00000525582</t>
  </si>
  <si>
    <t>ENST00000527264</t>
  </si>
  <si>
    <t>ENST00000474934</t>
  </si>
  <si>
    <t>ENST00000530305</t>
  </si>
  <si>
    <t>ENSG00000281887</t>
  </si>
  <si>
    <t>ENSG00000281917</t>
  </si>
  <si>
    <t>ENSG00000282752</t>
  </si>
  <si>
    <t>A2A6A1</t>
  </si>
  <si>
    <t>ENSMUST00000143842</t>
  </si>
  <si>
    <t>ENSMUST00000069673</t>
  </si>
  <si>
    <t>ENSMUST00000131573</t>
  </si>
  <si>
    <t>ENSMUST00000125754</t>
  </si>
  <si>
    <t>A2A9C3</t>
  </si>
  <si>
    <t>ENSMUST00000075406</t>
  </si>
  <si>
    <t>ENSMUST00000183402</t>
  </si>
  <si>
    <t>ENSMUST00000130058</t>
  </si>
  <si>
    <t>ENSMUST00000138632</t>
  </si>
  <si>
    <t>ENSMUST00000138386</t>
  </si>
  <si>
    <t>ENSMUST00000136737</t>
  </si>
  <si>
    <t>A2AF47</t>
  </si>
  <si>
    <t>ENSMUST00000033419</t>
  </si>
  <si>
    <t>ENSMUST00000115266</t>
  </si>
  <si>
    <t>ENSMUST00000145757</t>
  </si>
  <si>
    <t>ENSMUST00000140175</t>
  </si>
  <si>
    <t>A2AGT5</t>
  </si>
  <si>
    <t>ENSMUST00000111338</t>
  </si>
  <si>
    <t>ENSMUST00000139433</t>
  </si>
  <si>
    <t>ENSMUST00000133633</t>
  </si>
  <si>
    <t>ENSMUST00000129118</t>
  </si>
  <si>
    <t>ENSMUST00000046769</t>
  </si>
  <si>
    <t>B2RQC6</t>
  </si>
  <si>
    <t>ENSMUST00000013773</t>
  </si>
  <si>
    <t>ENSMUST00000201838</t>
  </si>
  <si>
    <t>ENSMUST00000202795</t>
  </si>
  <si>
    <t>ENSMUST00000202967</t>
  </si>
  <si>
    <t>ENSMUST00000201844</t>
  </si>
  <si>
    <t>ENSMUST00000202391</t>
  </si>
  <si>
    <t>ENSMUST00000201256</t>
  </si>
  <si>
    <t>ENSMUST00000201870</t>
  </si>
  <si>
    <t>ENSMUST00000202827</t>
  </si>
  <si>
    <t>ENSMUST00000202973</t>
  </si>
  <si>
    <t>ENSMUST00000200917</t>
  </si>
  <si>
    <t>B2RY56</t>
  </si>
  <si>
    <t>ENSMUST00000048155</t>
  </si>
  <si>
    <t>ENSMUST00000182618</t>
  </si>
  <si>
    <t>ENSMUST00000183154</t>
  </si>
  <si>
    <t>ENSMUST00000182881</t>
  </si>
  <si>
    <t>ENSMUST00000183128</t>
  </si>
  <si>
    <t>ENSMUST00000182450</t>
  </si>
  <si>
    <t>ENSMUST00000182255</t>
  </si>
  <si>
    <t>ENSMUST00000182032</t>
  </si>
  <si>
    <t>ENSMUST00000183242</t>
  </si>
  <si>
    <t>ENSMUST00000182840</t>
  </si>
  <si>
    <t>ENSMUST00000183181</t>
  </si>
  <si>
    <t>D3YXK2</t>
  </si>
  <si>
    <t>ENSMUST00000182031</t>
  </si>
  <si>
    <t>ENSMUST00000182533</t>
  </si>
  <si>
    <t>ENSMUST00000182800</t>
  </si>
  <si>
    <t>ENSMUST00000095224</t>
  </si>
  <si>
    <t>ENSMUST00000182951</t>
  </si>
  <si>
    <t>ENSMUST00000182159</t>
  </si>
  <si>
    <t>ENSMUST00000182378</t>
  </si>
  <si>
    <t>ENSMUST00000183041</t>
  </si>
  <si>
    <t>ENSMUST00000182461</t>
  </si>
  <si>
    <t>ENSMUST00000182913</t>
  </si>
  <si>
    <t>ENSMUST00000182454</t>
  </si>
  <si>
    <t>ENSMUST00000183318</t>
  </si>
  <si>
    <t>D3Z7P3</t>
  </si>
  <si>
    <t>ENSMUST00000114513</t>
  </si>
  <si>
    <t>ENSMUST00000114512</t>
  </si>
  <si>
    <t>ENSMUST00000136654</t>
  </si>
  <si>
    <t>ENSMUST00000126221</t>
  </si>
  <si>
    <t>ENSMUST00000138906</t>
  </si>
  <si>
    <t>ENSMUST00000114510</t>
  </si>
  <si>
    <t>ENSMUST00000114509</t>
  </si>
  <si>
    <t>ENSMUST00000155587</t>
  </si>
  <si>
    <t>ENSMUST00000123324</t>
  </si>
  <si>
    <t>ENSMUST00000147825</t>
  </si>
  <si>
    <t>ENSMUST00000145514</t>
  </si>
  <si>
    <t>ENSMUST00000151694</t>
  </si>
  <si>
    <t>F6ZDS4</t>
  </si>
  <si>
    <t>ENSMUST00000124973</t>
  </si>
  <si>
    <t>ENSMUST00000119161</t>
  </si>
  <si>
    <t>ENSMUST00000131701</t>
  </si>
  <si>
    <t>ENSMUST00000141827</t>
  </si>
  <si>
    <t>ENSMUST00000147769</t>
  </si>
  <si>
    <t>ENSMUST00000132522</t>
  </si>
  <si>
    <t>ENSMUST00000151563</t>
  </si>
  <si>
    <t>ENSMUST00000150752</t>
  </si>
  <si>
    <t>ENSMUST00000132257</t>
  </si>
  <si>
    <t>ENSMUST00000152967</t>
  </si>
  <si>
    <t>ENSMUST00000128417</t>
  </si>
  <si>
    <t>ENSMUST00000124484</t>
  </si>
  <si>
    <t>ENSMUST00000138718</t>
  </si>
  <si>
    <t>O08528</t>
  </si>
  <si>
    <t>ENSMUST00000000642</t>
  </si>
  <si>
    <t>ENSMUST00000170833</t>
  </si>
  <si>
    <t>O08573</t>
  </si>
  <si>
    <t>ENSMUST00000108268</t>
  </si>
  <si>
    <t>ENSMUST00000140073</t>
  </si>
  <si>
    <t>ENSMUST00000108269</t>
  </si>
  <si>
    <t>O08579</t>
  </si>
  <si>
    <t>ENSMUST00000002029</t>
  </si>
  <si>
    <t>ENSMUST00000129516</t>
  </si>
  <si>
    <t>ENSMUST00000119197</t>
  </si>
  <si>
    <t>ENSMUST00000088313</t>
  </si>
  <si>
    <t>O08583</t>
  </si>
  <si>
    <t>ENSMUST00000026125</t>
  </si>
  <si>
    <t>ENSMUST00000155325</t>
  </si>
  <si>
    <t>ENSMUST00000156685</t>
  </si>
  <si>
    <t>O08663</t>
  </si>
  <si>
    <t>ENSMUST00000047910</t>
  </si>
  <si>
    <t>ENSMUST00000181894</t>
  </si>
  <si>
    <t>ENSMUST00000180840</t>
  </si>
  <si>
    <t>ENSMUST00000181091</t>
  </si>
  <si>
    <t>ENSMUST00000181009</t>
  </si>
  <si>
    <t>ENSMUST00000181470</t>
  </si>
  <si>
    <t>ENSMUST00000181442</t>
  </si>
  <si>
    <t>ENSMUST00000180688</t>
  </si>
  <si>
    <t>ENSMUST00000181236</t>
  </si>
  <si>
    <t>ENSMUST00000181104</t>
  </si>
  <si>
    <t>O08709</t>
  </si>
  <si>
    <t>ENSMUST00000071718</t>
  </si>
  <si>
    <t>ENSMUST00000192639</t>
  </si>
  <si>
    <t>ENSMUST00000156678</t>
  </si>
  <si>
    <t>ENSMUST00000051925</t>
  </si>
  <si>
    <t>ENSMUST00000139387</t>
  </si>
  <si>
    <t>ENSMUST00000155135</t>
  </si>
  <si>
    <t>ENSMUST00000194613</t>
  </si>
  <si>
    <t>O08784</t>
  </si>
  <si>
    <t>ENSMUST00000175934</t>
  </si>
  <si>
    <t>ENSMUST00000176630</t>
  </si>
  <si>
    <t>ENSMUST00000163446</t>
  </si>
  <si>
    <t>ENSMUST00000177172</t>
  </si>
  <si>
    <t>ENSMUST00000176088</t>
  </si>
  <si>
    <t>ENSMUST00000177343</t>
  </si>
  <si>
    <t>O08795</t>
  </si>
  <si>
    <t>ENSMUST00000115331</t>
  </si>
  <si>
    <t>ENSMUST00000003493</t>
  </si>
  <si>
    <t>O08807</t>
  </si>
  <si>
    <t>ENSMUST00000026328</t>
  </si>
  <si>
    <t>ENSMUST00000123915</t>
  </si>
  <si>
    <t>O08810</t>
  </si>
  <si>
    <t>ENSMUST00000021306</t>
  </si>
  <si>
    <t>ENSMUST00000107060</t>
  </si>
  <si>
    <t>ENSMUST00000143323</t>
  </si>
  <si>
    <t>ENSMUST00000141273</t>
  </si>
  <si>
    <t>ENSMUST00000131678</t>
  </si>
  <si>
    <t>ENSMUST00000173974</t>
  </si>
  <si>
    <t>ENSMUST00000123833</t>
  </si>
  <si>
    <t>ENSMUST00000147368</t>
  </si>
  <si>
    <t>ENSMUST00000148209</t>
  </si>
  <si>
    <t>O09106</t>
  </si>
  <si>
    <t>ENSMUST00000102597</t>
  </si>
  <si>
    <t>ENSMUST00000145628</t>
  </si>
  <si>
    <t>ENSMUST00000142984</t>
  </si>
  <si>
    <t>ENSMUST00000125718</t>
  </si>
  <si>
    <t>ENSMUST00000150105</t>
  </si>
  <si>
    <t>ENSMUST00000132909</t>
  </si>
  <si>
    <t>ENSMUST00000139305</t>
  </si>
  <si>
    <t>O09110</t>
  </si>
  <si>
    <t>ENSMUST00000019076</t>
  </si>
  <si>
    <t>ENSMUST00000130269</t>
  </si>
  <si>
    <t>ENSMUST00000145828</t>
  </si>
  <si>
    <t>ENSMUST00000126043</t>
  </si>
  <si>
    <t>ENSMUST00000137739</t>
  </si>
  <si>
    <t>ENSMUST00000137609</t>
  </si>
  <si>
    <t>O09131</t>
  </si>
  <si>
    <t>ENSMUST00000026050</t>
  </si>
  <si>
    <t>ENSMUST00000130157</t>
  </si>
  <si>
    <t>ENSMUST00000143694</t>
  </si>
  <si>
    <t>O35129</t>
  </si>
  <si>
    <t>ENSMUST00000150847</t>
  </si>
  <si>
    <t>ENSMUST00000124779</t>
  </si>
  <si>
    <t>ENSMUST00000004375</t>
  </si>
  <si>
    <t>ENSMUST00000145447</t>
  </si>
  <si>
    <t>ENSMUST00000147974</t>
  </si>
  <si>
    <t>ENSMUST00000130279</t>
  </si>
  <si>
    <t>ENSMUST00000143000</t>
  </si>
  <si>
    <t>ENSMUST00000129422</t>
  </si>
  <si>
    <t>O35286</t>
  </si>
  <si>
    <t>ENSMUST00000031061</t>
  </si>
  <si>
    <t>ENSMUST00000200186</t>
  </si>
  <si>
    <t>ENSMUST00000199343</t>
  </si>
  <si>
    <t>ENSMUST00000199321</t>
  </si>
  <si>
    <t>ENSMUST00000198378</t>
  </si>
  <si>
    <t>ENSMUST00000195922</t>
  </si>
  <si>
    <t>ENSMUST00000196230</t>
  </si>
  <si>
    <t>O35326</t>
  </si>
  <si>
    <t>ENSMUST00000133783</t>
  </si>
  <si>
    <t>ENSMUST00000110352</t>
  </si>
  <si>
    <t>ENSMUST00000110351</t>
  </si>
  <si>
    <t>ENSMUST00000153056</t>
  </si>
  <si>
    <t>ENSMUST00000152662</t>
  </si>
  <si>
    <t>ENSMUST00000125814</t>
  </si>
  <si>
    <t>ENSMUST00000151968</t>
  </si>
  <si>
    <t>ENSMUST00000110356</t>
  </si>
  <si>
    <t>ENSMUST00000151036</t>
  </si>
  <si>
    <t>ENSMUST00000094693</t>
  </si>
  <si>
    <t>O35381</t>
  </si>
  <si>
    <t>ENSMUST00000135395</t>
  </si>
  <si>
    <t>ENSMUST00000156461</t>
  </si>
  <si>
    <t>ENSMUST00000136603</t>
  </si>
  <si>
    <t>ENSMUST00000126451</t>
  </si>
  <si>
    <t>ENSMUST00000141277</t>
  </si>
  <si>
    <t>ENSMUST00000145679</t>
  </si>
  <si>
    <t>ENSMUST00000085519</t>
  </si>
  <si>
    <t>ENSMUST00000128636</t>
  </si>
  <si>
    <t>ENSMUST00000138226</t>
  </si>
  <si>
    <t>O35465</t>
  </si>
  <si>
    <t>ENSMUST00000119353</t>
  </si>
  <si>
    <t>ENSMUST00000075491</t>
  </si>
  <si>
    <t>ENSMUST00000144766</t>
  </si>
  <si>
    <t>ENSMUST00000119698</t>
  </si>
  <si>
    <t>ENSMUST00000128513</t>
  </si>
  <si>
    <t>ENSMUST00000119425</t>
  </si>
  <si>
    <t>ENSMUST00000125741</t>
  </si>
  <si>
    <t>ENSMUST00000123052</t>
  </si>
  <si>
    <t>ENSMUST00000134299</t>
  </si>
  <si>
    <t>ENSMUST00000126613</t>
  </si>
  <si>
    <t>ENSMUST00000134893</t>
  </si>
  <si>
    <t>O35593</t>
  </si>
  <si>
    <t>ENSMUST00000028278</t>
  </si>
  <si>
    <t>ENSMUST00000153683</t>
  </si>
  <si>
    <t>ENSMUST00000146051</t>
  </si>
  <si>
    <t>ENSMUST00000135265</t>
  </si>
  <si>
    <t>ENSMUST00000134658</t>
  </si>
  <si>
    <t>ENSMUST00000154627</t>
  </si>
  <si>
    <t>ENSMUST00000125388</t>
  </si>
  <si>
    <t>O35685</t>
  </si>
  <si>
    <t>ENSMUST00000030665</t>
  </si>
  <si>
    <t>ENSMUST00000141860</t>
  </si>
  <si>
    <t>ENSMUST00000148612</t>
  </si>
  <si>
    <t>O35737</t>
  </si>
  <si>
    <t>ENSMUST00000109142</t>
  </si>
  <si>
    <t>ENSMUST00000126737</t>
  </si>
  <si>
    <t>ENSMUST00000150153</t>
  </si>
  <si>
    <t>ENSMUST00000123371</t>
  </si>
  <si>
    <t>ENSMUST00000077817</t>
  </si>
  <si>
    <t>ENSMUST00000128220</t>
  </si>
  <si>
    <t>ENSMUST00000129631</t>
  </si>
  <si>
    <t>ENSMUST00000133435</t>
  </si>
  <si>
    <t>ENSMUST00000134230</t>
  </si>
  <si>
    <t>ENSMUST00000141668</t>
  </si>
  <si>
    <t>ENSMUST00000132715</t>
  </si>
  <si>
    <t>ENSMUST00000156642</t>
  </si>
  <si>
    <t>ENSMUST00000150657</t>
  </si>
  <si>
    <t>ENSMUST00000143301</t>
  </si>
  <si>
    <t>ENSMUST00000151537</t>
  </si>
  <si>
    <t>ENSMUST00000069304</t>
  </si>
  <si>
    <t>O35841</t>
  </si>
  <si>
    <t>ENSMUST00000028617</t>
  </si>
  <si>
    <t>ENSMUST00000152454</t>
  </si>
  <si>
    <t>O35857</t>
  </si>
  <si>
    <t>ENSMUST00000149827</t>
  </si>
  <si>
    <t>ENSMUST00000003029</t>
  </si>
  <si>
    <t>ENSMUST00000160371</t>
  </si>
  <si>
    <t>ENSMUST00000148672</t>
  </si>
  <si>
    <t>ENSMUST00000141195</t>
  </si>
  <si>
    <t>ENSMUST00000147831</t>
  </si>
  <si>
    <t>ENSMUST00000135755</t>
  </si>
  <si>
    <t>ENSMUST00000160549</t>
  </si>
  <si>
    <t>O35887</t>
  </si>
  <si>
    <t>ENSMUST00000031779</t>
  </si>
  <si>
    <t>ENSMUST00000090481</t>
  </si>
  <si>
    <t>ENSMUST00000174096</t>
  </si>
  <si>
    <t>ENSMUST00000156163</t>
  </si>
  <si>
    <t>ENSMUST00000138523</t>
  </si>
  <si>
    <t>O35963</t>
  </si>
  <si>
    <t>ENSMUST00000195715</t>
  </si>
  <si>
    <t>ENSMUST00000192172</t>
  </si>
  <si>
    <t>ENSMUST00000054387</t>
  </si>
  <si>
    <t>O54941</t>
  </si>
  <si>
    <t>ENSMUST00000103133</t>
  </si>
  <si>
    <t>ENSMUST00000156160</t>
  </si>
  <si>
    <t>ENSMUST00000155062</t>
  </si>
  <si>
    <t>ENSMUST00000135040</t>
  </si>
  <si>
    <t>ENSMUST00000128707</t>
  </si>
  <si>
    <t>ENSMUST00000128215</t>
  </si>
  <si>
    <t>O54962</t>
  </si>
  <si>
    <t>ENSMUST00000025762</t>
  </si>
  <si>
    <t>ENSMUST00000170010</t>
  </si>
  <si>
    <t>O55029</t>
  </si>
  <si>
    <t>ENSMUST00000188913</t>
  </si>
  <si>
    <t>ENSMUST00000035033</t>
  </si>
  <si>
    <t>ENSMUST00000186657</t>
  </si>
  <si>
    <t>ENSMUST00000187336</t>
  </si>
  <si>
    <t>ENSMUST00000189395</t>
  </si>
  <si>
    <t>ENSMUST00000187151</t>
  </si>
  <si>
    <t>O55098</t>
  </si>
  <si>
    <t>ENSMUST00000102821</t>
  </si>
  <si>
    <t>ENSMUST00000143397</t>
  </si>
  <si>
    <t>O55128</t>
  </si>
  <si>
    <t>ENSMUST00000128764</t>
  </si>
  <si>
    <t>ENSMUST00000131455</t>
  </si>
  <si>
    <t>ENSMUST00000143600</t>
  </si>
  <si>
    <t>ENSMUST00000111269</t>
  </si>
  <si>
    <t>O55131</t>
  </si>
  <si>
    <t>ENSMUST00000115272</t>
  </si>
  <si>
    <t>ENSMUST00000165594</t>
  </si>
  <si>
    <t>O55135</t>
  </si>
  <si>
    <t>ENSMUST00000029142</t>
  </si>
  <si>
    <t>ENSMUST00000109638</t>
  </si>
  <si>
    <t>ENSMUST00000134811</t>
  </si>
  <si>
    <t>ENSMUST00000138962</t>
  </si>
  <si>
    <t>ENSMUST00000134278</t>
  </si>
  <si>
    <t>O55142</t>
  </si>
  <si>
    <t>ENSMUST00000078804</t>
  </si>
  <si>
    <t>ENSMUST00000115079</t>
  </si>
  <si>
    <t>ENSMUST00000133785</t>
  </si>
  <si>
    <t>ENSMUST00000137720</t>
  </si>
  <si>
    <t>ENSMUST00000115078</t>
  </si>
  <si>
    <t>ENSMUST00000115076</t>
  </si>
  <si>
    <t>ENSMUST00000115075</t>
  </si>
  <si>
    <t>O55143</t>
  </si>
  <si>
    <t>ENSMUST00000179939</t>
  </si>
  <si>
    <t>ENSMUST00000177974</t>
  </si>
  <si>
    <t>ENSMUST00000031423</t>
  </si>
  <si>
    <t>ENSMUST00000196490</t>
  </si>
  <si>
    <t>O70133</t>
  </si>
  <si>
    <t>ENSMUST00000186380</t>
  </si>
  <si>
    <t>ENSMUST00000190544</t>
  </si>
  <si>
    <t>ENSMUST00000189516</t>
  </si>
  <si>
    <t>ENSMUST00000189509</t>
  </si>
  <si>
    <t>ENSMUST00000190383</t>
  </si>
  <si>
    <t>ENSMUST00000189425</t>
  </si>
  <si>
    <t>ENSMUST00000042141</t>
  </si>
  <si>
    <t>O70251</t>
  </si>
  <si>
    <t>ENSMUST00000129339</t>
  </si>
  <si>
    <t>ENSMUST00000188524</t>
  </si>
  <si>
    <t>ENSMUST00000148553</t>
  </si>
  <si>
    <t>ENSMUST00000027108</t>
  </si>
  <si>
    <t>ENSMUST00000126469</t>
  </si>
  <si>
    <t>ENSMUST00000174890</t>
  </si>
  <si>
    <t>ENSMUST00000126795</t>
  </si>
  <si>
    <t>O70252</t>
  </si>
  <si>
    <t>ENSMUST00000154117</t>
  </si>
  <si>
    <t>ENSMUST00000004172</t>
  </si>
  <si>
    <t>ENSMUST00000118885</t>
  </si>
  <si>
    <t>O70378</t>
  </si>
  <si>
    <t>ENSMUST00000034277</t>
  </si>
  <si>
    <t>ENSMUST00000181402</t>
  </si>
  <si>
    <t>ENSMUST00000181950</t>
  </si>
  <si>
    <t>ENSMUST00000180417</t>
  </si>
  <si>
    <t>ENSMUST00000180909</t>
  </si>
  <si>
    <t>O70400</t>
  </si>
  <si>
    <t>ENSMUST00000068439</t>
  </si>
  <si>
    <t>ENSMUST00000182540</t>
  </si>
  <si>
    <t>ENSMUST00000182813</t>
  </si>
  <si>
    <t>ENSMUST00000182636</t>
  </si>
  <si>
    <t>O70404</t>
  </si>
  <si>
    <t>ENSMUST00000059983</t>
  </si>
  <si>
    <t>ENSMUST00000142613</t>
  </si>
  <si>
    <t>O70435</t>
  </si>
  <si>
    <t>ENSMUST00000160027</t>
  </si>
  <si>
    <t>ENSMUST00000160683</t>
  </si>
  <si>
    <t>ENSMUST00000162626</t>
  </si>
  <si>
    <t>ENSMUST00000160864</t>
  </si>
  <si>
    <t>ENSMUST00000161041</t>
  </si>
  <si>
    <t>ENSMUST00000071704</t>
  </si>
  <si>
    <t>ENSMUST00000163035</t>
  </si>
  <si>
    <t>O70493</t>
  </si>
  <si>
    <t>ENSMUST00000156473</t>
  </si>
  <si>
    <t>ENSMUST00000120389</t>
  </si>
  <si>
    <t>ENSMUST00000077876</t>
  </si>
  <si>
    <t>ENSMUST00000130826</t>
  </si>
  <si>
    <t>O70503</t>
  </si>
  <si>
    <t>ENSMUST00000028619</t>
  </si>
  <si>
    <t>ENSMUST00000141955</t>
  </si>
  <si>
    <t>O70591</t>
  </si>
  <si>
    <t>ENSMUST00000135941</t>
  </si>
  <si>
    <t>ENSMUST00000006579</t>
  </si>
  <si>
    <t>ENSMUST00000138323</t>
  </si>
  <si>
    <t>O88342</t>
  </si>
  <si>
    <t>ENSMUST00000005234</t>
  </si>
  <si>
    <t>ENSMUST00000200909</t>
  </si>
  <si>
    <t>ENSMUST00000201260</t>
  </si>
  <si>
    <t>ENSMUST00000201059</t>
  </si>
  <si>
    <t>ENSMUST00000201538</t>
  </si>
  <si>
    <t>ENSMUST00000202496</t>
  </si>
  <si>
    <t>ENSMUST00000201150</t>
  </si>
  <si>
    <t>ENSMUST00000202766</t>
  </si>
  <si>
    <t>ENSMUST00000201456</t>
  </si>
  <si>
    <t>ENSMUST00000202199</t>
  </si>
  <si>
    <t>ENSMUST00000201330</t>
  </si>
  <si>
    <t>O88543</t>
  </si>
  <si>
    <t>ENSMUST00000126489</t>
  </si>
  <si>
    <t>ENSMUST00000019517</t>
  </si>
  <si>
    <t>ENSMUST00000156837</t>
  </si>
  <si>
    <t>ENSMUST00000124101</t>
  </si>
  <si>
    <t>ENSMUST00000136901</t>
  </si>
  <si>
    <t>ENSMUST00000130027</t>
  </si>
  <si>
    <t>ENSMUST00000141415</t>
  </si>
  <si>
    <t>ENSMUST00000133652</t>
  </si>
  <si>
    <t>O88544</t>
  </si>
  <si>
    <t>ENSMUST00000045993</t>
  </si>
  <si>
    <t>ENSMUST00000147729</t>
  </si>
  <si>
    <t>ENSMUST00000151414</t>
  </si>
  <si>
    <t>ENSMUST00000123069</t>
  </si>
  <si>
    <t>ENSMUST00000146476</t>
  </si>
  <si>
    <t>ENSMUST00000123559</t>
  </si>
  <si>
    <t>O88569</t>
  </si>
  <si>
    <t>ENSMUST00000114459</t>
  </si>
  <si>
    <t>ENSMUST00000069949</t>
  </si>
  <si>
    <t>ENSMUST00000090002</t>
  </si>
  <si>
    <t>O88685</t>
  </si>
  <si>
    <t>ENSMUST00000067663</t>
  </si>
  <si>
    <t>ENSMUST00000002171</t>
  </si>
  <si>
    <t>ENSMUST00000152269</t>
  </si>
  <si>
    <t>ENSMUST00000185715</t>
  </si>
  <si>
    <t>ENSMUST00000146506</t>
  </si>
  <si>
    <t>ENSMUST00000141462</t>
  </si>
  <si>
    <t>ENSMUST00000131473</t>
  </si>
  <si>
    <t>ENSMUST00000151419</t>
  </si>
  <si>
    <t>ENSMUST00000145317</t>
  </si>
  <si>
    <t>O88738</t>
  </si>
  <si>
    <t>ENSMUST00000180037</t>
  </si>
  <si>
    <t>ENSMUST00000182382</t>
  </si>
  <si>
    <t>ENSMUST00000182631</t>
  </si>
  <si>
    <t>ENSMUST00000183189</t>
  </si>
  <si>
    <t>ENSMUST00000182257</t>
  </si>
  <si>
    <t>ENSMUST00000182362</t>
  </si>
  <si>
    <t>ENSMUST00000182108</t>
  </si>
  <si>
    <t>ENSMUST00000182323</t>
  </si>
  <si>
    <t>ENSMUST00000182164</t>
  </si>
  <si>
    <t>ENSMUST00000182221</t>
  </si>
  <si>
    <t>ENSMUST00000182206</t>
  </si>
  <si>
    <t>ENSMUST00000183010</t>
  </si>
  <si>
    <t>ENSMUST00000182147</t>
  </si>
  <si>
    <t>ENSMUST00000182804</t>
  </si>
  <si>
    <t>ENSMUST00000182157</t>
  </si>
  <si>
    <t>O88967</t>
  </si>
  <si>
    <t>ENSMUST00000125004</t>
  </si>
  <si>
    <t>ENSMUST00000028117</t>
  </si>
  <si>
    <t>ENSMUST00000149240</t>
  </si>
  <si>
    <t>ENSMUST00000134342</t>
  </si>
  <si>
    <t>ENSMUST00000148616</t>
  </si>
  <si>
    <t>O89053</t>
  </si>
  <si>
    <t>ENSMUST00000106364</t>
  </si>
  <si>
    <t>ENSMUST00000032949</t>
  </si>
  <si>
    <t>ENSMUST00000133718</t>
  </si>
  <si>
    <t>ENSMUST00000174579</t>
  </si>
  <si>
    <t>ENSMUST00000123511</t>
  </si>
  <si>
    <t>ENSMUST00000140896</t>
  </si>
  <si>
    <t>ENSMUST00000131415</t>
  </si>
  <si>
    <t>ENSMUST00000135087</t>
  </si>
  <si>
    <t>ENSMUST00000173116</t>
  </si>
  <si>
    <t>ENSMUST00000126193</t>
  </si>
  <si>
    <t>O89079</t>
  </si>
  <si>
    <t>ENSMUST00000066469</t>
  </si>
  <si>
    <t>ENSMUST00000140363</t>
  </si>
  <si>
    <t>ENSMUST00000134822</t>
  </si>
  <si>
    <t>ENSMUST00000150968</t>
  </si>
  <si>
    <t>ENSMUST00000128822</t>
  </si>
  <si>
    <t>ENSMUST00000128003</t>
  </si>
  <si>
    <t>ENSMUST00000167850</t>
  </si>
  <si>
    <t>O89086</t>
  </si>
  <si>
    <t>ENSMUST00000155599</t>
  </si>
  <si>
    <t>ENSMUST00000115621</t>
  </si>
  <si>
    <t>ENSMUST00000115615</t>
  </si>
  <si>
    <t>ENSMUST00000115617</t>
  </si>
  <si>
    <t>ENSMUST00000115616</t>
  </si>
  <si>
    <t>ENSMUST00000141925</t>
  </si>
  <si>
    <t>ENSMUST00000141629</t>
  </si>
  <si>
    <t>ENSMUST00000145450</t>
  </si>
  <si>
    <t>P00920</t>
  </si>
  <si>
    <t>ENSMUST00000192609</t>
  </si>
  <si>
    <t>ENSMUST00000029078</t>
  </si>
  <si>
    <t>ENSMUST00000195520</t>
  </si>
  <si>
    <t>P01899</t>
  </si>
  <si>
    <t>ENSMUST00000172785</t>
  </si>
  <si>
    <t>ENSMUST00000174325</t>
  </si>
  <si>
    <t>ENSMUST00000173167</t>
  </si>
  <si>
    <t>ENSMUST00000172503</t>
  </si>
  <si>
    <t>P05064</t>
  </si>
  <si>
    <t>ENSMUST00000032934</t>
  </si>
  <si>
    <t>ENSMUST00000106348</t>
  </si>
  <si>
    <t>ENSMUST00000087566</t>
  </si>
  <si>
    <t>ENSMUST00000135707</t>
  </si>
  <si>
    <t>ENSMUST00000143509</t>
  </si>
  <si>
    <t>ENSMUST00000139657</t>
  </si>
  <si>
    <t>ENSMUST00000151137</t>
  </si>
  <si>
    <t>ENSMUST00000147748</t>
  </si>
  <si>
    <t>ENSMUST00000133514</t>
  </si>
  <si>
    <t>ENSMUST00000141355</t>
  </si>
  <si>
    <t>P05202</t>
  </si>
  <si>
    <t>ENSMUST00000034097</t>
  </si>
  <si>
    <t>ENSMUST00000147040</t>
  </si>
  <si>
    <t>P05213</t>
  </si>
  <si>
    <t>ENSMUST00000077577</t>
  </si>
  <si>
    <t>ENSMUST00000140969</t>
  </si>
  <si>
    <t>P06151</t>
  </si>
  <si>
    <t>ENSMUST00000048209</t>
  </si>
  <si>
    <t>ENSMUST00000124696</t>
  </si>
  <si>
    <t>ENSMUST00000125862</t>
  </si>
  <si>
    <t>ENSMUST00000133062</t>
  </si>
  <si>
    <t>ENSMUST00000005051</t>
  </si>
  <si>
    <t>ENSMUST00000132157</t>
  </si>
  <si>
    <t>P06339</t>
  </si>
  <si>
    <t>ENSMUST00000174161</t>
  </si>
  <si>
    <t>ENSMUST00000102678</t>
  </si>
  <si>
    <t>ENSMUST00000174839</t>
  </si>
  <si>
    <t>ENSMUST00000174471</t>
  </si>
  <si>
    <t>P06745</t>
  </si>
  <si>
    <t>ENSMUST00000038027</t>
  </si>
  <si>
    <t>ENSMUST00000135243</t>
  </si>
  <si>
    <t>ENSMUST00000126901</t>
  </si>
  <si>
    <t>ENSMUST00000138773</t>
  </si>
  <si>
    <t>P07607</t>
  </si>
  <si>
    <t>ENSMUST00000141630</t>
  </si>
  <si>
    <t>ENSMUST00000026846</t>
  </si>
  <si>
    <t>ENSMUST00000154751</t>
  </si>
  <si>
    <t>ENSMUST00000196095</t>
  </si>
  <si>
    <t>ENSMUST00000134298</t>
  </si>
  <si>
    <t>ENSMUST00000198095</t>
  </si>
  <si>
    <t>ENSMUST00000138520</t>
  </si>
  <si>
    <t>P07901</t>
  </si>
  <si>
    <t>ENSMUST00000094361</t>
  </si>
  <si>
    <t>ENSMUST00000021698</t>
  </si>
  <si>
    <t>ENSMUST00000129005</t>
  </si>
  <si>
    <t>ENSMUST00000134967</t>
  </si>
  <si>
    <t>ENSMUST00000145255</t>
  </si>
  <si>
    <t>P08113</t>
  </si>
  <si>
    <t>ENSMUST00000129178</t>
  </si>
  <si>
    <t>ENSMUST00000020238</t>
  </si>
  <si>
    <t>ENSMUST00000134515</t>
  </si>
  <si>
    <t>ENSMUST00000146897</t>
  </si>
  <si>
    <t>P08249</t>
  </si>
  <si>
    <t>ENSMUST00000019323</t>
  </si>
  <si>
    <t>ENSMUST00000197909</t>
  </si>
  <si>
    <t>ENSMUST00000138101</t>
  </si>
  <si>
    <t>ENSMUST00000130795</t>
  </si>
  <si>
    <t>ENSMUST00000200556</t>
  </si>
  <si>
    <t>ENSMUST00000196285</t>
  </si>
  <si>
    <t>ENSMUST00000143747</t>
  </si>
  <si>
    <t>P08752</t>
  </si>
  <si>
    <t>ENSMUST00000192615</t>
  </si>
  <si>
    <t>ENSMUST00000055704</t>
  </si>
  <si>
    <t>ENSMUST00000193538</t>
  </si>
  <si>
    <t>ENSMUST00000195231</t>
  </si>
  <si>
    <t>ENSMUST00000193372</t>
  </si>
  <si>
    <t>ENSMUST00000193835</t>
  </si>
  <si>
    <t>ENSMUST00000195762</t>
  </si>
  <si>
    <t>ENSMUST00000192837</t>
  </si>
  <si>
    <t>P09055</t>
  </si>
  <si>
    <t>ENSMUST00000090006</t>
  </si>
  <si>
    <t>ENSMUST00000135281</t>
  </si>
  <si>
    <t>P09103</t>
  </si>
  <si>
    <t>ENSMUST00000026122</t>
  </si>
  <si>
    <t>ENSMUST00000168360</t>
  </si>
  <si>
    <t>P09242</t>
  </si>
  <si>
    <t>ENSMUST00000030551</t>
  </si>
  <si>
    <t>ENSMUST00000133566</t>
  </si>
  <si>
    <t>ENSMUST00000138463</t>
  </si>
  <si>
    <t>ENSMUST00000133473</t>
  </si>
  <si>
    <t>ENSMUST00000153588</t>
  </si>
  <si>
    <t>ENSMUST00000143757</t>
  </si>
  <si>
    <t>ENSMUST00000139951</t>
  </si>
  <si>
    <t>ENSMUST00000141451</t>
  </si>
  <si>
    <t>P09405</t>
  </si>
  <si>
    <t>ENSMUST00000027438</t>
  </si>
  <si>
    <t>ENSMUST00000185676</t>
  </si>
  <si>
    <t>ENSMUST00000188682</t>
  </si>
  <si>
    <t>ENSMUST00000186050</t>
  </si>
  <si>
    <t>ENSMUST00000189504</t>
  </si>
  <si>
    <t>ENSMUST00000185785</t>
  </si>
  <si>
    <t>P09411</t>
  </si>
  <si>
    <t>ENSMUST00000081593</t>
  </si>
  <si>
    <t>ENSMUST00000135949</t>
  </si>
  <si>
    <t>ENSMUST00000133559</t>
  </si>
  <si>
    <t>P0C0S6</t>
  </si>
  <si>
    <t>ENSMUST00000041045</t>
  </si>
  <si>
    <t>ENSMUST00000174561</t>
  </si>
  <si>
    <t>ENSMUST00000173666</t>
  </si>
  <si>
    <t>ENSMUST00000173790</t>
  </si>
  <si>
    <t>ENSMUST00000138010</t>
  </si>
  <si>
    <t>ENSMUST00000125821</t>
  </si>
  <si>
    <t>P0CG49</t>
  </si>
  <si>
    <t>ENSMUST00000019649</t>
  </si>
  <si>
    <t>ENSMUST00000136938</t>
  </si>
  <si>
    <t>P0CG50</t>
  </si>
  <si>
    <t>ENSMUST00000136312</t>
  </si>
  <si>
    <t>ENSMUST00000156249</t>
  </si>
  <si>
    <t>ENSMUST00000108707</t>
  </si>
  <si>
    <t>P10107</t>
  </si>
  <si>
    <t>ENSMUST00000025561</t>
  </si>
  <si>
    <t>ENSMUST00000163902</t>
  </si>
  <si>
    <t>ENSMUST00000167668</t>
  </si>
  <si>
    <t>ENSMUST00000165518</t>
  </si>
  <si>
    <t>ENSMUST00000168020</t>
  </si>
  <si>
    <t>P10126</t>
  </si>
  <si>
    <t>ENSMUST00000042235</t>
  </si>
  <si>
    <t>ENSMUST00000129380</t>
  </si>
  <si>
    <t>ENSMUST00000143570</t>
  </si>
  <si>
    <t>ENSMUST00000144523</t>
  </si>
  <si>
    <t>ENSMUST00000150960</t>
  </si>
  <si>
    <t>ENSMUST00000126614</t>
  </si>
  <si>
    <t>ENSMUST00000156988</t>
  </si>
  <si>
    <t>P10630</t>
  </si>
  <si>
    <t>ENSMUST00000023599</t>
  </si>
  <si>
    <t>ENSMUST00000077605</t>
  </si>
  <si>
    <t>ENSMUST00000123413</t>
  </si>
  <si>
    <t>ENSMUST00000150117</t>
  </si>
  <si>
    <t>ENSMUST00000147117</t>
  </si>
  <si>
    <t>ENSMUST00000131871</t>
  </si>
  <si>
    <t>ENSMUST00000130775</t>
  </si>
  <si>
    <t>ENSMUST00000130113</t>
  </si>
  <si>
    <t>ENSMUST00000142031</t>
  </si>
  <si>
    <t>ENSMUST00000134816</t>
  </si>
  <si>
    <t>ENSMUST00000152129</t>
  </si>
  <si>
    <t>ENSMUST00000141392</t>
  </si>
  <si>
    <t>ENSMUST00000149328</t>
  </si>
  <si>
    <t>ENSMUST00000115341</t>
  </si>
  <si>
    <t>ENSMUST00000135020</t>
  </si>
  <si>
    <t>ENSMUST00000148085</t>
  </si>
  <si>
    <t>ENSMUST00000140017</t>
  </si>
  <si>
    <t>ENSMUST00000130483</t>
  </si>
  <si>
    <t>ENSMUST00000125553</t>
  </si>
  <si>
    <t>ENSMUST00000144493</t>
  </si>
  <si>
    <t>ENSMUST00000156227</t>
  </si>
  <si>
    <t>ENSMUST00000125969</t>
  </si>
  <si>
    <t>ENSMUST00000168891</t>
  </si>
  <si>
    <t>ENSMUST00000187168</t>
  </si>
  <si>
    <t>P10649</t>
  </si>
  <si>
    <t>ENSMUST00000004140</t>
  </si>
  <si>
    <t>ENSMUST00000153314</t>
  </si>
  <si>
    <t>P10711</t>
  </si>
  <si>
    <t>ENSMUST00000081551</t>
  </si>
  <si>
    <t>ENSMUST00000165720</t>
  </si>
  <si>
    <t>P10852</t>
  </si>
  <si>
    <t>ENSMUST00000170157</t>
  </si>
  <si>
    <t>ENSMUST00000010239</t>
  </si>
  <si>
    <t>P11031</t>
  </si>
  <si>
    <t>ENSMUST00000022816</t>
  </si>
  <si>
    <t>ENSMUST00000129533</t>
  </si>
  <si>
    <t>ENSMUST00000134414</t>
  </si>
  <si>
    <t>P11157</t>
  </si>
  <si>
    <t>ENSMUST00000020980</t>
  </si>
  <si>
    <t>ENSMUST00000147789</t>
  </si>
  <si>
    <t>ENSMUST00000153058</t>
  </si>
  <si>
    <t>P11440</t>
  </si>
  <si>
    <t>ENSMUST00000020099</t>
  </si>
  <si>
    <t>ENSMUST00000119827</t>
  </si>
  <si>
    <t>ENSMUST00000123458</t>
  </si>
  <si>
    <t>ENSMUST00000129444</t>
  </si>
  <si>
    <t>ENSMUST00000152448</t>
  </si>
  <si>
    <t>ENSMUST00000149474</t>
  </si>
  <si>
    <t>ENSMUST00000124054</t>
  </si>
  <si>
    <t>P11499</t>
  </si>
  <si>
    <t>ENSMUST00000024739</t>
  </si>
  <si>
    <t>ENSMUST00000145205</t>
  </si>
  <si>
    <t>ENSMUST00000165127</t>
  </si>
  <si>
    <t>ENSMUST00000166469</t>
  </si>
  <si>
    <t>ENSMUST00000146770</t>
  </si>
  <si>
    <t>ENSMUST00000163966</t>
  </si>
  <si>
    <t>ENSMUST00000151306</t>
  </si>
  <si>
    <t>ENSMUST00000130406</t>
  </si>
  <si>
    <t>P11798</t>
  </si>
  <si>
    <t>ENSMUST00000102888</t>
  </si>
  <si>
    <t>ENSMUST00000115295</t>
  </si>
  <si>
    <t>P11983</t>
  </si>
  <si>
    <t>ENSMUST00000147724</t>
  </si>
  <si>
    <t>ENSMUST00000089024</t>
  </si>
  <si>
    <t>ENSMUST00000151287</t>
  </si>
  <si>
    <t>ENSMUST00000143961</t>
  </si>
  <si>
    <t>ENSMUST00000133003</t>
  </si>
  <si>
    <t>ENSMUST00000129632</t>
  </si>
  <si>
    <t>ENSMUST00000151715</t>
  </si>
  <si>
    <t>ENSMUST00000134665</t>
  </si>
  <si>
    <t>ENSMUST00000138709</t>
  </si>
  <si>
    <t>ENSMUST00000137289</t>
  </si>
  <si>
    <t>P12970</t>
  </si>
  <si>
    <t>ENSMUST00000102898</t>
  </si>
  <si>
    <t>ENSMUST00000136269</t>
  </si>
  <si>
    <t>ENSMUST00000137376</t>
  </si>
  <si>
    <t>ENSMUST00000143678</t>
  </si>
  <si>
    <t>ENSMUST00000129673</t>
  </si>
  <si>
    <t>ENSMUST00000147143</t>
  </si>
  <si>
    <t>ENSMUST00000149339</t>
  </si>
  <si>
    <t>P13020</t>
  </si>
  <si>
    <t>ENSMUST00000201185</t>
  </si>
  <si>
    <t>ENSMUST00000202899</t>
  </si>
  <si>
    <t>ENSMUST00000028239</t>
  </si>
  <si>
    <t>P13439</t>
  </si>
  <si>
    <t>ENSMUST00000023510</t>
  </si>
  <si>
    <t>ENSMUST00000131990</t>
  </si>
  <si>
    <t>P13864</t>
  </si>
  <si>
    <t>ENSMUST00000004202</t>
  </si>
  <si>
    <t>ENSMUST00000178110</t>
  </si>
  <si>
    <t>P14115</t>
  </si>
  <si>
    <t>ENSMUST00000143107</t>
  </si>
  <si>
    <t>ENSMUST00000132877</t>
  </si>
  <si>
    <t>ENSMUST00000149143</t>
  </si>
  <si>
    <t>ENSMUST00000053298</t>
  </si>
  <si>
    <t>ENSMUST00000156921</t>
  </si>
  <si>
    <t>ENSMUST00000174303</t>
  </si>
  <si>
    <t>P14131</t>
  </si>
  <si>
    <t>ENSMUST00000082134</t>
  </si>
  <si>
    <t>ENSMUST00000152918</t>
  </si>
  <si>
    <t>ENSMUST00000155805</t>
  </si>
  <si>
    <t>P14148</t>
  </si>
  <si>
    <t>ENSMUST00000140597</t>
  </si>
  <si>
    <t>ENSMUST00000058437</t>
  </si>
  <si>
    <t>ENSMUST00000141217</t>
  </si>
  <si>
    <t>ENSMUST00000151017</t>
  </si>
  <si>
    <t>ENSMUST00000149566</t>
  </si>
  <si>
    <t>ENSMUST00000125005</t>
  </si>
  <si>
    <t>P14152</t>
  </si>
  <si>
    <t>ENSMUST00000102874</t>
  </si>
  <si>
    <t>ENSMUST00000144978</t>
  </si>
  <si>
    <t>ENSMUST00000146146</t>
  </si>
  <si>
    <t>P14211</t>
  </si>
  <si>
    <t>ENSMUST00000003912</t>
  </si>
  <si>
    <t>ENSMUST00000154774</t>
  </si>
  <si>
    <t>ENSMUST00000128028</t>
  </si>
  <si>
    <t>ENSMUST00000125998</t>
  </si>
  <si>
    <t>P14685</t>
  </si>
  <si>
    <t>ENSMUST00000017365</t>
  </si>
  <si>
    <t>ENSMUST00000149489</t>
  </si>
  <si>
    <t>ENSMUST00000152102</t>
  </si>
  <si>
    <t>ENSMUST00000123676</t>
  </si>
  <si>
    <t>ENSMUST00000142790</t>
  </si>
  <si>
    <t>P14733</t>
  </si>
  <si>
    <t>ENSMUST00000025486</t>
  </si>
  <si>
    <t>ENSMUST00000128651</t>
  </si>
  <si>
    <t>P14869</t>
  </si>
  <si>
    <t>ENSMUST00000086519</t>
  </si>
  <si>
    <t>ENSMUST00000156359</t>
  </si>
  <si>
    <t>ENSMUST00000152976</t>
  </si>
  <si>
    <t>ENSMUST00000155584</t>
  </si>
  <si>
    <t>P15105</t>
  </si>
  <si>
    <t>ENSMUST00000086199</t>
  </si>
  <si>
    <t>ENSMUST00000154576</t>
  </si>
  <si>
    <t>P15532</t>
  </si>
  <si>
    <t>ENSMUST00000135884</t>
  </si>
  <si>
    <t>ENSMUST00000021220</t>
  </si>
  <si>
    <t>ENSMUST00000107844</t>
  </si>
  <si>
    <t>P15702</t>
  </si>
  <si>
    <t>ENSMUST00000143713</t>
  </si>
  <si>
    <t>ENSMUST00000049931</t>
  </si>
  <si>
    <t>P16858</t>
  </si>
  <si>
    <t>ENSMUST00000192506</t>
  </si>
  <si>
    <t>ENSMUST00000147954</t>
  </si>
  <si>
    <t>ENSMUST00000117757</t>
  </si>
  <si>
    <t>ENSMUST00000118875</t>
  </si>
  <si>
    <t>ENSMUST00000183272</t>
  </si>
  <si>
    <t>ENSMUST00000182464</t>
  </si>
  <si>
    <t>ENSMUST00000144205</t>
  </si>
  <si>
    <t>ENSMUST00000182115</t>
  </si>
  <si>
    <t>ENSMUST00000182052</t>
  </si>
  <si>
    <t>ENSMUST00000182277</t>
  </si>
  <si>
    <t>ENSMUST00000182670</t>
  </si>
  <si>
    <t>ENSMUST00000144588</t>
  </si>
  <si>
    <t>P17047</t>
  </si>
  <si>
    <t>ENSMUST00000016678</t>
  </si>
  <si>
    <t>ENSMUST00000061755</t>
  </si>
  <si>
    <t>ENSMUST00000136817</t>
  </si>
  <si>
    <t>ENSMUST00000144663</t>
  </si>
  <si>
    <t>P17095</t>
  </si>
  <si>
    <t>ENSMUST00000117600</t>
  </si>
  <si>
    <t>ENSMUST00000114888</t>
  </si>
  <si>
    <t>ENSMUST00000119486</t>
  </si>
  <si>
    <t>ENSMUST00000118599</t>
  </si>
  <si>
    <t>ENSMUST00000117254</t>
  </si>
  <si>
    <t>ENSMUST00000118570</t>
  </si>
  <si>
    <t>ENSMUST00000105046</t>
  </si>
  <si>
    <t>P17182</t>
  </si>
  <si>
    <t>ENSMUST00000150175</t>
  </si>
  <si>
    <t>ENSMUST00000080926</t>
  </si>
  <si>
    <t>ENSMUST00000130632</t>
  </si>
  <si>
    <t>ENSMUST00000148605</t>
  </si>
  <si>
    <t>ENSMUST00000141931</t>
  </si>
  <si>
    <t>ENSMUST00000080149</t>
  </si>
  <si>
    <t>ENSMUST00000135063</t>
  </si>
  <si>
    <t>ENSMUST00000133789</t>
  </si>
  <si>
    <t>ENSMUST00000151057</t>
  </si>
  <si>
    <t>ENSMUST00000136310</t>
  </si>
  <si>
    <t>ENSMUST00000076155</t>
  </si>
  <si>
    <t>P17742</t>
  </si>
  <si>
    <t>ENSMUST00000132846</t>
  </si>
  <si>
    <t>ENSMUST00000137829</t>
  </si>
  <si>
    <t>ENSMUST00000155824</t>
  </si>
  <si>
    <t>ENSMUST00000135789</t>
  </si>
  <si>
    <t>ENSMUST00000090749</t>
  </si>
  <si>
    <t>P17751</t>
  </si>
  <si>
    <t>ENSMUST00000172132</t>
  </si>
  <si>
    <t>ENSMUST00000149610</t>
  </si>
  <si>
    <t>ENSMUST00000133251</t>
  </si>
  <si>
    <t>ENSMUST00000139716</t>
  </si>
  <si>
    <t>ENSMUST00000154883</t>
  </si>
  <si>
    <t>P17918</t>
  </si>
  <si>
    <t>ENSMUST00000140338</t>
  </si>
  <si>
    <t>ENSMUST00000028817</t>
  </si>
  <si>
    <t>ENSMUST00000136676</t>
  </si>
  <si>
    <t>ENSMUST00000135181</t>
  </si>
  <si>
    <t>ENSMUST00000149627</t>
  </si>
  <si>
    <t>P18155</t>
  </si>
  <si>
    <t>ENSMUST00000005810</t>
  </si>
  <si>
    <t>ENSMUST00000141044</t>
  </si>
  <si>
    <t>ENSMUST00000139802</t>
  </si>
  <si>
    <t>ENSMUST00000141193</t>
  </si>
  <si>
    <t>P18572</t>
  </si>
  <si>
    <t>ENSMUST00000179781</t>
  </si>
  <si>
    <t>ENSMUST00000067036</t>
  </si>
  <si>
    <t>ENSMUST00000105381</t>
  </si>
  <si>
    <t>P18653</t>
  </si>
  <si>
    <t>ENSMUST00000105894</t>
  </si>
  <si>
    <t>ENSMUST00000168974</t>
  </si>
  <si>
    <t>ENSMUST00000157067</t>
  </si>
  <si>
    <t>ENSMUST00000137486</t>
  </si>
  <si>
    <t>ENSMUST00000173989</t>
  </si>
  <si>
    <t>ENSMUST00000129636</t>
  </si>
  <si>
    <t>P18654</t>
  </si>
  <si>
    <t>ENSMUST00000033671</t>
  </si>
  <si>
    <t>ENSMUST00000112491</t>
  </si>
  <si>
    <t>ENSMUST00000149939</t>
  </si>
  <si>
    <t>ENSMUST00000142668</t>
  </si>
  <si>
    <t>ENSMUST00000156648</t>
  </si>
  <si>
    <t>P19096</t>
  </si>
  <si>
    <t>ENSMUST00000055655</t>
  </si>
  <si>
    <t>ENSMUST00000155276</t>
  </si>
  <si>
    <t>ENSMUST00000146541</t>
  </si>
  <si>
    <t>P19783</t>
  </si>
  <si>
    <t>ENSMUST00000034276</t>
  </si>
  <si>
    <t>ENSMUST00000181586</t>
  </si>
  <si>
    <t>ENSMUST00000180856</t>
  </si>
  <si>
    <t>ENSMUST00000181795</t>
  </si>
  <si>
    <t>ENSMUST00000181847</t>
  </si>
  <si>
    <t>ENSMUST00000181172</t>
  </si>
  <si>
    <t>ENSMUST00000181026</t>
  </si>
  <si>
    <t>P19973</t>
  </si>
  <si>
    <t>ENSMUST00000105968</t>
  </si>
  <si>
    <t>ENSMUST00000018963</t>
  </si>
  <si>
    <t>ENSMUST00000105967</t>
  </si>
  <si>
    <t>ENSMUST00000128986</t>
  </si>
  <si>
    <t>ENSMUST00000149521</t>
  </si>
  <si>
    <t>ENSMUST00000156960</t>
  </si>
  <si>
    <t>ENSMUST00000126149</t>
  </si>
  <si>
    <t>ENSMUST00000142408</t>
  </si>
  <si>
    <t>P20029</t>
  </si>
  <si>
    <t>ENSMUST00000028222</t>
  </si>
  <si>
    <t>ENSMUST00000100171</t>
  </si>
  <si>
    <t>ENSMUST00000145466</t>
  </si>
  <si>
    <t>ENSMUST00000155595</t>
  </si>
  <si>
    <t>ENSMUST00000129333</t>
  </si>
  <si>
    <t>P20065</t>
  </si>
  <si>
    <t>ENSMUST00000112172</t>
  </si>
  <si>
    <t>ENSMUST00000112176</t>
  </si>
  <si>
    <t>ENSMUST00000112175</t>
  </si>
  <si>
    <t>P20152</t>
  </si>
  <si>
    <t>ENSMUST00000141365</t>
  </si>
  <si>
    <t>ENSMUST00000028062</t>
  </si>
  <si>
    <t>ENSMUST00000155605</t>
  </si>
  <si>
    <t>ENSMUST00000191615</t>
  </si>
  <si>
    <t>ENSMUST00000148248</t>
  </si>
  <si>
    <t>P21107</t>
  </si>
  <si>
    <t>ENSMUST00000121503</t>
  </si>
  <si>
    <t>ENSMUST00000119570</t>
  </si>
  <si>
    <t>ENSMUST00000029549</t>
  </si>
  <si>
    <t>ENSMUST00000118566</t>
  </si>
  <si>
    <t>ENSMUST00000147430</t>
  </si>
  <si>
    <t>ENSMUST00000131354</t>
  </si>
  <si>
    <t>ENSMUST00000119158</t>
  </si>
  <si>
    <t>ENSMUST00000149432</t>
  </si>
  <si>
    <t>ENSMUST00000127955</t>
  </si>
  <si>
    <t>ENSMUST00000149115</t>
  </si>
  <si>
    <t>ENSMUST00000133281</t>
  </si>
  <si>
    <t>ENSMUST00000151798</t>
  </si>
  <si>
    <t>ENSMUST00000133361</t>
  </si>
  <si>
    <t>ENSMUST00000149734</t>
  </si>
  <si>
    <t>ENSMUST00000143281</t>
  </si>
  <si>
    <t>ENSMUST00000136125</t>
  </si>
  <si>
    <t>P21550</t>
  </si>
  <si>
    <t>ENSMUST00000157027</t>
  </si>
  <si>
    <t>ENSMUST00000072841</t>
  </si>
  <si>
    <t>ENSMUST00000108548</t>
  </si>
  <si>
    <t>ENSMUST00000134087</t>
  </si>
  <si>
    <t>ENSMUST00000179738</t>
  </si>
  <si>
    <t>ENSMUST00000170716</t>
  </si>
  <si>
    <t>P21619</t>
  </si>
  <si>
    <t>ENSMUST00000057623</t>
  </si>
  <si>
    <t>ENSMUST00000105332</t>
  </si>
  <si>
    <t>ENSMUST00000179022</t>
  </si>
  <si>
    <t>P24270</t>
  </si>
  <si>
    <t>ENSMUST00000028610</t>
  </si>
  <si>
    <t>ENSMUST00000111168</t>
  </si>
  <si>
    <t>P24547</t>
  </si>
  <si>
    <t>ENSMUST00000081111</t>
  </si>
  <si>
    <t>ENSMUST00000193421</t>
  </si>
  <si>
    <t>ENSMUST00000193535</t>
  </si>
  <si>
    <t>ENSMUST00000194365</t>
  </si>
  <si>
    <t>ENSMUST00000194904</t>
  </si>
  <si>
    <t>ENSMUST00000195456</t>
  </si>
  <si>
    <t>ENSMUST00000194689</t>
  </si>
  <si>
    <t>P24668</t>
  </si>
  <si>
    <t>ENSMUST00000007602</t>
  </si>
  <si>
    <t>ENSMUST00000112610</t>
  </si>
  <si>
    <t>ENSMUST00000123093</t>
  </si>
  <si>
    <t>P25206</t>
  </si>
  <si>
    <t>ENSMUST00000053266</t>
  </si>
  <si>
    <t>ENSMUST00000185296</t>
  </si>
  <si>
    <t>ENSMUST00000188112</t>
  </si>
  <si>
    <t>ENSMUST00000191061</t>
  </si>
  <si>
    <t>ENSMUST00000190421</t>
  </si>
  <si>
    <t>P25444</t>
  </si>
  <si>
    <t>ENSMUST00000152407</t>
  </si>
  <si>
    <t>ENSMUST00000054289</t>
  </si>
  <si>
    <t>ENSMUST00000146867</t>
  </si>
  <si>
    <t>ENSMUST00000129984</t>
  </si>
  <si>
    <t>ENSMUST00000122809</t>
  </si>
  <si>
    <t>ENSMUST00000129580</t>
  </si>
  <si>
    <t>ENSMUST00000132803</t>
  </si>
  <si>
    <t>ENSMUST00000170715</t>
  </si>
  <si>
    <t>P25911</t>
  </si>
  <si>
    <t>ENSMUST00000041377</t>
  </si>
  <si>
    <t>ENSMUST00000103010</t>
  </si>
  <si>
    <t>ENSMUST00000145083</t>
  </si>
  <si>
    <t>P26039</t>
  </si>
  <si>
    <t>ENSMUST00000030187</t>
  </si>
  <si>
    <t>ENSMUST00000127262</t>
  </si>
  <si>
    <t>ENSMUST00000130670</t>
  </si>
  <si>
    <t>ENSMUST00000130353</t>
  </si>
  <si>
    <t>ENSMUST00000126078</t>
  </si>
  <si>
    <t>ENSMUST00000123985</t>
  </si>
  <si>
    <t>P26040</t>
  </si>
  <si>
    <t>ENSMUST00000064234</t>
  </si>
  <si>
    <t>ENSMUST00000131131</t>
  </si>
  <si>
    <t>P26041</t>
  </si>
  <si>
    <t>ENSMUST00000117399</t>
  </si>
  <si>
    <t>ENSMUST00000149985</t>
  </si>
  <si>
    <t>ENSMUST00000135027</t>
  </si>
  <si>
    <t>P26043</t>
  </si>
  <si>
    <t>ENSMUST00000163153</t>
  </si>
  <si>
    <t>ENSMUST00000000590</t>
  </si>
  <si>
    <t>ENSMUST00000061352</t>
  </si>
  <si>
    <t>P26350</t>
  </si>
  <si>
    <t>ENSMUST00000045897</t>
  </si>
  <si>
    <t>ENSMUST00000186255</t>
  </si>
  <si>
    <t>ENSMUST00000188699</t>
  </si>
  <si>
    <t>ENSMUST00000186932</t>
  </si>
  <si>
    <t>ENSMUST00000188533</t>
  </si>
  <si>
    <t>P26443</t>
  </si>
  <si>
    <t>ENSMUST00000022322</t>
  </si>
  <si>
    <t>ENSMUST00000162912</t>
  </si>
  <si>
    <t>ENSMUST00000159784</t>
  </si>
  <si>
    <t>ENSMUST00000163955</t>
  </si>
  <si>
    <t>ENSMUST00000161593</t>
  </si>
  <si>
    <t>P26638</t>
  </si>
  <si>
    <t>ENSMUST00000090553</t>
  </si>
  <si>
    <t>ENSMUST00000102625</t>
  </si>
  <si>
    <t>ENSMUST00000153499</t>
  </si>
  <si>
    <t>ENSMUST00000197647</t>
  </si>
  <si>
    <t>P26883</t>
  </si>
  <si>
    <t>ENSMUST00000044011</t>
  </si>
  <si>
    <t>ENSMUST00000142985</t>
  </si>
  <si>
    <t>ENSMUST00000126670</t>
  </si>
  <si>
    <t>ENSMUST00000137597</t>
  </si>
  <si>
    <t>ENSMUST00000148295</t>
  </si>
  <si>
    <t>ENSMUST00000143230</t>
  </si>
  <si>
    <t>ENSMUST00000144171</t>
  </si>
  <si>
    <t>ENSMUST00000148978</t>
  </si>
  <si>
    <t>ENSMUST00000142271</t>
  </si>
  <si>
    <t>ENSMUST00000132614</t>
  </si>
  <si>
    <t>P27048</t>
  </si>
  <si>
    <t>ENSMUST00000139225</t>
  </si>
  <si>
    <t>ENSMUST00000103199</t>
  </si>
  <si>
    <t>ENSMUST00000147570</t>
  </si>
  <si>
    <t>ENSMUST00000150835</t>
  </si>
  <si>
    <t>P27600</t>
  </si>
  <si>
    <t>ENSMUST00000000153</t>
  </si>
  <si>
    <t>ENSMUST00000198447</t>
  </si>
  <si>
    <t>P27659</t>
  </si>
  <si>
    <t>ENSMUST00000188025</t>
  </si>
  <si>
    <t>ENSMUST00000187578</t>
  </si>
  <si>
    <t>ENSMUST00000081650</t>
  </si>
  <si>
    <t>ENSMUST00000187832</t>
  </si>
  <si>
    <t>ENSMUST00000185928</t>
  </si>
  <si>
    <t>P27773</t>
  </si>
  <si>
    <t>ENSMUST00000028683</t>
  </si>
  <si>
    <t>ENSMUST00000153378</t>
  </si>
  <si>
    <t>ENSMUST00000135079</t>
  </si>
  <si>
    <t>ENSMUST00000130450</t>
  </si>
  <si>
    <t>P27782</t>
  </si>
  <si>
    <t>ENSMUST00000029611</t>
  </si>
  <si>
    <t>ENSMUST00000106341</t>
  </si>
  <si>
    <t>ENSMUST00000066849</t>
  </si>
  <si>
    <t>ENSMUST00000136147</t>
  </si>
  <si>
    <t>ENSMUST00000098611</t>
  </si>
  <si>
    <t>ENSMUST00000132737</t>
  </si>
  <si>
    <t>ENSMUST00000200166</t>
  </si>
  <si>
    <t>ENSMUST00000198624</t>
  </si>
  <si>
    <t>P28352</t>
  </si>
  <si>
    <t>ENSMUST00000049411</t>
  </si>
  <si>
    <t>ENSMUST00000136753</t>
  </si>
  <si>
    <t>ENSMUST00000154288</t>
  </si>
  <si>
    <t>P28474</t>
  </si>
  <si>
    <t>ENSMUST00000005964</t>
  </si>
  <si>
    <t>ENSMUST00000162024</t>
  </si>
  <si>
    <t>ENSMUST00000197643</t>
  </si>
  <si>
    <t>ENSMUST00000160201</t>
  </si>
  <si>
    <t>ENSMUST00000159392</t>
  </si>
  <si>
    <t>P28652</t>
  </si>
  <si>
    <t>ENSMUST00000093355</t>
  </si>
  <si>
    <t>ENSMUST00000019133</t>
  </si>
  <si>
    <t>ENSMUST00000155755</t>
  </si>
  <si>
    <t>ENSMUST00000090443</t>
  </si>
  <si>
    <t>P28656</t>
  </si>
  <si>
    <t>ENSMUST00000065917</t>
  </si>
  <si>
    <t>ENSMUST00000171797</t>
  </si>
  <si>
    <t>P28740</t>
  </si>
  <si>
    <t>ENSMUST00000022204</t>
  </si>
  <si>
    <t>ENSMUST00000122233</t>
  </si>
  <si>
    <t>ENSMUST00000117539</t>
  </si>
  <si>
    <t>ENSMUST00000162845</t>
  </si>
  <si>
    <t>P28843</t>
  </si>
  <si>
    <t>ENSMUST00000047812</t>
  </si>
  <si>
    <t>ENSMUST00000156871</t>
  </si>
  <si>
    <t>ENSMUST00000129738</t>
  </si>
  <si>
    <t>ENSMUST00000150979</t>
  </si>
  <si>
    <t>ENSMUST00000149306</t>
  </si>
  <si>
    <t>ENSMUST00000151818</t>
  </si>
  <si>
    <t>P29341</t>
  </si>
  <si>
    <t>ENSMUST00000001809</t>
  </si>
  <si>
    <t>ENSMUST00000146327</t>
  </si>
  <si>
    <t>ENSMUST00000146577</t>
  </si>
  <si>
    <t>ENSMUST00000147116</t>
  </si>
  <si>
    <t>ENSMUST00000142357</t>
  </si>
  <si>
    <t>ENSMUST00000156793</t>
  </si>
  <si>
    <t>ENSMUST00000155116</t>
  </si>
  <si>
    <t>P29351</t>
  </si>
  <si>
    <t>ENSMUST00000112484</t>
  </si>
  <si>
    <t>ENSMUST00000004377</t>
  </si>
  <si>
    <t>ENSMUST00000171549</t>
  </si>
  <si>
    <t>ENSMUST00000174787</t>
  </si>
  <si>
    <t>ENSMUST00000172613</t>
  </si>
  <si>
    <t>ENSMUST00000172770</t>
  </si>
  <si>
    <t>P30285</t>
  </si>
  <si>
    <t>ENSMUST00000006911</t>
  </si>
  <si>
    <t>ENSMUST00000133115</t>
  </si>
  <si>
    <t>ENSMUST00000140254</t>
  </si>
  <si>
    <t>ENSMUST00000135179</t>
  </si>
  <si>
    <t>ENSMUST00000125682</t>
  </si>
  <si>
    <t>ENSMUST00000123456</t>
  </si>
  <si>
    <t>ENSMUST00000145670</t>
  </si>
  <si>
    <t>P30416</t>
  </si>
  <si>
    <t>ENSMUST00000139448</t>
  </si>
  <si>
    <t>ENSMUST00000032508</t>
  </si>
  <si>
    <t>ENSMUST00000150387</t>
  </si>
  <si>
    <t>ENSMUST00000151796</t>
  </si>
  <si>
    <t>P32020</t>
  </si>
  <si>
    <t>ENSMUST00000030340</t>
  </si>
  <si>
    <t>ENSMUST00000145721</t>
  </si>
  <si>
    <t>ENSMUST00000122878</t>
  </si>
  <si>
    <t>ENSMUST00000106701</t>
  </si>
  <si>
    <t>ENSMUST00000123792</t>
  </si>
  <si>
    <t>P32067</t>
  </si>
  <si>
    <t>ENSMUST00000090852</t>
  </si>
  <si>
    <t>ENSMUST00000112260</t>
  </si>
  <si>
    <t>ENSMUST00000156057</t>
  </si>
  <si>
    <t>ENSMUST00000132603</t>
  </si>
  <si>
    <t>ENSMUST00000166411</t>
  </si>
  <si>
    <t>P32233</t>
  </si>
  <si>
    <t>ENSMUST00000020741</t>
  </si>
  <si>
    <t>ENSMUST00000139430</t>
  </si>
  <si>
    <t>ENSMUST00000142605</t>
  </si>
  <si>
    <t>ENSMUST00000125424</t>
  </si>
  <si>
    <t>P32921</t>
  </si>
  <si>
    <t>ENSMUST00000109848</t>
  </si>
  <si>
    <t>ENSMUST00000161410</t>
  </si>
  <si>
    <t>ENSMUST00000161154</t>
  </si>
  <si>
    <t>ENSMUST00000162748</t>
  </si>
  <si>
    <t>ENSMUST00000160974</t>
  </si>
  <si>
    <t>ENSMUST00000162952</t>
  </si>
  <si>
    <t>P33609</t>
  </si>
  <si>
    <t>ENSMUST00000006856</t>
  </si>
  <si>
    <t>ENSMUST00000127718</t>
  </si>
  <si>
    <t>P34022</t>
  </si>
  <si>
    <t>ENSMUST00000115645</t>
  </si>
  <si>
    <t>ENSMUST00000052325</t>
  </si>
  <si>
    <t>ENSMUST00000123073</t>
  </si>
  <si>
    <t>ENSMUST00000134035</t>
  </si>
  <si>
    <t>P35278</t>
  </si>
  <si>
    <t>ENSMUST00000107364</t>
  </si>
  <si>
    <t>ENSMUST00000019317</t>
  </si>
  <si>
    <t>P35486</t>
  </si>
  <si>
    <t>ENSMUST00000033662</t>
  </si>
  <si>
    <t>ENSMUST00000156531</t>
  </si>
  <si>
    <t>ENSMUST00000126440</t>
  </si>
  <si>
    <t>ENSMUST00000127535</t>
  </si>
  <si>
    <t>P35564</t>
  </si>
  <si>
    <t>ENSMUST00000020637</t>
  </si>
  <si>
    <t>ENSMUST00000146979</t>
  </si>
  <si>
    <t>ENSMUST00000153068</t>
  </si>
  <si>
    <t>ENSMUST00000155801</t>
  </si>
  <si>
    <t>ENSMUST00000179865</t>
  </si>
  <si>
    <t>P35700</t>
  </si>
  <si>
    <t>ENSMUST00000135573</t>
  </si>
  <si>
    <t>ENSMUST00000156145</t>
  </si>
  <si>
    <t>ENSMUST00000151129</t>
  </si>
  <si>
    <t>ENSMUST00000129315</t>
  </si>
  <si>
    <t>ENSMUST00000106470</t>
  </si>
  <si>
    <t>ENSMUST00000030454</t>
  </si>
  <si>
    <t>P35979</t>
  </si>
  <si>
    <t>ENSMUST00000126610</t>
  </si>
  <si>
    <t>ENSMUST00000134912</t>
  </si>
  <si>
    <t>ENSMUST00000154340</t>
  </si>
  <si>
    <t>ENSMUST00000133842</t>
  </si>
  <si>
    <t>ENSMUST00000125415</t>
  </si>
  <si>
    <t>ENSMUST00000102811</t>
  </si>
  <si>
    <t>ENSMUST00000144644</t>
  </si>
  <si>
    <t>P35991</t>
  </si>
  <si>
    <t>ENSMUST00000033617</t>
  </si>
  <si>
    <t>ENSMUST00000113213</t>
  </si>
  <si>
    <t>ENSMUST00000150245</t>
  </si>
  <si>
    <t>ENSMUST00000132664</t>
  </si>
  <si>
    <t>P37913</t>
  </si>
  <si>
    <t>ENSMUST00000146998</t>
  </si>
  <si>
    <t>ENSMUST00000185145</t>
  </si>
  <si>
    <t>ENSMUST00000156525</t>
  </si>
  <si>
    <t>ENSMUST00000123846</t>
  </si>
  <si>
    <t>ENSMUST00000123025</t>
  </si>
  <si>
    <t>ENSMUST00000147735</t>
  </si>
  <si>
    <t>ENSMUST00000138453</t>
  </si>
  <si>
    <t>ENSMUST00000131294</t>
  </si>
  <si>
    <t>ENSMUST00000165964</t>
  </si>
  <si>
    <t>ENSMUST00000098814</t>
  </si>
  <si>
    <t>P38647</t>
  </si>
  <si>
    <t>ENSMUST00000025217</t>
  </si>
  <si>
    <t>ENSMUST00000173701</t>
  </si>
  <si>
    <t>ENSMUST00000172829</t>
  </si>
  <si>
    <t>ENSMUST00000173806</t>
  </si>
  <si>
    <t>P40124</t>
  </si>
  <si>
    <t>ENSMUST00000106255</t>
  </si>
  <si>
    <t>ENSMUST00000069533</t>
  </si>
  <si>
    <t>ENSMUST00000106257</t>
  </si>
  <si>
    <t>ENSMUST00000128485</t>
  </si>
  <si>
    <t>ENSMUST00000151041</t>
  </si>
  <si>
    <t>ENSMUST00000140783</t>
  </si>
  <si>
    <t>ENSMUST00000150919</t>
  </si>
  <si>
    <t>P40142</t>
  </si>
  <si>
    <t>ENSMUST00000022529</t>
  </si>
  <si>
    <t>ENSMUST00000160189</t>
  </si>
  <si>
    <t>ENSMUST00000160406</t>
  </si>
  <si>
    <t>P40630</t>
  </si>
  <si>
    <t>ENSMUST00000092430</t>
  </si>
  <si>
    <t>ENSMUST00000145220</t>
  </si>
  <si>
    <t>ENSMUST00000121685</t>
  </si>
  <si>
    <t>ENSMUST00000152505</t>
  </si>
  <si>
    <t>P41105</t>
  </si>
  <si>
    <t>ENSMUST00000032597</t>
  </si>
  <si>
    <t>ENSMUST00000078432</t>
  </si>
  <si>
    <t>ENSMUST00000126794</t>
  </si>
  <si>
    <t>ENSMUST00000129888</t>
  </si>
  <si>
    <t>P41216</t>
  </si>
  <si>
    <t>ENSMUST00000034046</t>
  </si>
  <si>
    <t>ENSMUST00000128746</t>
  </si>
  <si>
    <t>ENSMUST00000135955</t>
  </si>
  <si>
    <t>ENSMUST00000133161</t>
  </si>
  <si>
    <t>P42208</t>
  </si>
  <si>
    <t>ENSMUST00000027495</t>
  </si>
  <si>
    <t>ENSMUST00000136182</t>
  </si>
  <si>
    <t>ENSMUST00000131175</t>
  </si>
  <si>
    <t>ENSMUST00000152778</t>
  </si>
  <si>
    <t>ENSMUST00000153826</t>
  </si>
  <si>
    <t>ENSMUST00000188923</t>
  </si>
  <si>
    <t>ENSMUST00000129211</t>
  </si>
  <si>
    <t>ENSMUST00000112912</t>
  </si>
  <si>
    <t>ENSMUST00000149532</t>
  </si>
  <si>
    <t>ENSMUST00000142401</t>
  </si>
  <si>
    <t>ENSMUST00000152476</t>
  </si>
  <si>
    <t>ENSMUST00000157021</t>
  </si>
  <si>
    <t>ENSMUST00000168776</t>
  </si>
  <si>
    <t>ENSMUST00000179353</t>
  </si>
  <si>
    <t>ENSMUST00000172165</t>
  </si>
  <si>
    <t>P42230</t>
  </si>
  <si>
    <t>ENSMUST00000004145</t>
  </si>
  <si>
    <t>ENSMUST00000107356</t>
  </si>
  <si>
    <t>ENSMUST00000138083</t>
  </si>
  <si>
    <t>ENSMUST00000154087</t>
  </si>
  <si>
    <t>ENSMUST00000135272</t>
  </si>
  <si>
    <t>ENSMUST00000107357</t>
  </si>
  <si>
    <t>P42232</t>
  </si>
  <si>
    <t>ENSMUST00000004143</t>
  </si>
  <si>
    <t>ENSMUST00000126266</t>
  </si>
  <si>
    <t>P42932</t>
  </si>
  <si>
    <t>ENSMUST00000026704</t>
  </si>
  <si>
    <t>ENSMUST00000175977</t>
  </si>
  <si>
    <t>ENSMUST00000175750</t>
  </si>
  <si>
    <t>ENSMUST00000177485</t>
  </si>
  <si>
    <t>ENSMUST00000176241</t>
  </si>
  <si>
    <t>ENSMUST00000176589</t>
  </si>
  <si>
    <t>ENSMUST00000176041</t>
  </si>
  <si>
    <t>ENSMUST00000176750</t>
  </si>
  <si>
    <t>P43247</t>
  </si>
  <si>
    <t>ENSMUST00000024967</t>
  </si>
  <si>
    <t>ENSMUST00000174240</t>
  </si>
  <si>
    <t>ENSMUST00000173097</t>
  </si>
  <si>
    <t>ENSMUST00000172596</t>
  </si>
  <si>
    <t>P45376</t>
  </si>
  <si>
    <t>ENSMUST00000201392</t>
  </si>
  <si>
    <t>ENSMUST00000142761</t>
  </si>
  <si>
    <t>ENSMUST00000102980</t>
  </si>
  <si>
    <t>ENSMUST00000136559</t>
  </si>
  <si>
    <t>ENSMUST00000126991</t>
  </si>
  <si>
    <t>ENSMUST00000154655</t>
  </si>
  <si>
    <t>P45952</t>
  </si>
  <si>
    <t>ENSMUST00000072697</t>
  </si>
  <si>
    <t>ENSMUST00000196688</t>
  </si>
  <si>
    <t>ENSMUST00000200250</t>
  </si>
  <si>
    <t>ENSMUST00000199342</t>
  </si>
  <si>
    <t>ENSMUST00000156310</t>
  </si>
  <si>
    <t>ENSMUST00000137161</t>
  </si>
  <si>
    <t>ENSMUST00000130713</t>
  </si>
  <si>
    <t>ENSMUST00000135724</t>
  </si>
  <si>
    <t>P46061</t>
  </si>
  <si>
    <t>ENSMUST00000170134</t>
  </si>
  <si>
    <t>ENSMUST00000052374</t>
  </si>
  <si>
    <t>ENSMUST00000171115</t>
  </si>
  <si>
    <t>P46460</t>
  </si>
  <si>
    <t>ENSMUST00000103075</t>
  </si>
  <si>
    <t>ENSMUST00000146036</t>
  </si>
  <si>
    <t>ENSMUST00000040443</t>
  </si>
  <si>
    <t>ENSMUST00000127813</t>
  </si>
  <si>
    <t>ENSMUST00000150516</t>
  </si>
  <si>
    <t>ENSMUST00000145126</t>
  </si>
  <si>
    <t>ENSMUST00000107009</t>
  </si>
  <si>
    <t>ENSMUST00000133774</t>
  </si>
  <si>
    <t>P46638</t>
  </si>
  <si>
    <t>ENSMUST00000057373</t>
  </si>
  <si>
    <t>ENSMUST00000173860</t>
  </si>
  <si>
    <t>ENSMUST00000172894</t>
  </si>
  <si>
    <t>ENSMUST00000174744</t>
  </si>
  <si>
    <t>P46978</t>
  </si>
  <si>
    <t>ENSMUST00000120381</t>
  </si>
  <si>
    <t>ENSMUST00000128270</t>
  </si>
  <si>
    <t>ENSMUST00000143881</t>
  </si>
  <si>
    <t>ENSMUST00000133060</t>
  </si>
  <si>
    <t>ENSMUST00000138358</t>
  </si>
  <si>
    <t>ENSMUST00000137994</t>
  </si>
  <si>
    <t>P47239</t>
  </si>
  <si>
    <t>ENSMUST00000030508</t>
  </si>
  <si>
    <t>ENSMUST00000174681</t>
  </si>
  <si>
    <t>P47738</t>
  </si>
  <si>
    <t>ENSMUST00000031411</t>
  </si>
  <si>
    <t>ENSMUST00000196694</t>
  </si>
  <si>
    <t>ENSMUST00000199369</t>
  </si>
  <si>
    <t>ENSMUST00000200541</t>
  </si>
  <si>
    <t>ENSMUST00000129753</t>
  </si>
  <si>
    <t>ENSMUST00000133033</t>
  </si>
  <si>
    <t>P47753</t>
  </si>
  <si>
    <t>ENSMUST00000094028</t>
  </si>
  <si>
    <t>ENSMUST00000195912</t>
  </si>
  <si>
    <t>ENSMUST00000196924</t>
  </si>
  <si>
    <t>ENSMUST00000155476</t>
  </si>
  <si>
    <t>P47754</t>
  </si>
  <si>
    <t>ENSMUST00000015877</t>
  </si>
  <si>
    <t>ENSMUST00000156701</t>
  </si>
  <si>
    <t>ENSMUST00000136771</t>
  </si>
  <si>
    <t>ENSMUST00000142592</t>
  </si>
  <si>
    <t>P47757</t>
  </si>
  <si>
    <t>ENSMUST00000102508</t>
  </si>
  <si>
    <t>ENSMUST00000131912</t>
  </si>
  <si>
    <t>ENSMUST00000102507</t>
  </si>
  <si>
    <t>ENSMUST00000131793</t>
  </si>
  <si>
    <t>ENSMUST00000030518</t>
  </si>
  <si>
    <t>ENSMUST00000145368</t>
  </si>
  <si>
    <t>ENSMUST00000138045</t>
  </si>
  <si>
    <t>ENSMUST00000132385</t>
  </si>
  <si>
    <t>P47758</t>
  </si>
  <si>
    <t>ENSMUST00000035157</t>
  </si>
  <si>
    <t>ENSMUST00000163567</t>
  </si>
  <si>
    <t>ENSMUST00000190760</t>
  </si>
  <si>
    <t>P47911</t>
  </si>
  <si>
    <t>ENSMUST00000031617</t>
  </si>
  <si>
    <t>ENSMUST00000146579</t>
  </si>
  <si>
    <t>ENSMUST00000197044</t>
  </si>
  <si>
    <t>ENSMUST00000124330</t>
  </si>
  <si>
    <t>ENSMUST00000140515</t>
  </si>
  <si>
    <t>ENSMUST00000201155</t>
  </si>
  <si>
    <t>ENSMUST00000139177</t>
  </si>
  <si>
    <t>ENSMUST00000138621</t>
  </si>
  <si>
    <t>P47915</t>
  </si>
  <si>
    <t>ENSMUST00000150576</t>
  </si>
  <si>
    <t>ENSMUST00000059802</t>
  </si>
  <si>
    <t>P47962</t>
  </si>
  <si>
    <t>ENSMUST00000082223</t>
  </si>
  <si>
    <t>ENSMUST00000123183</t>
  </si>
  <si>
    <t>ENSMUST00000153590</t>
  </si>
  <si>
    <t>ENSMUST00000129944</t>
  </si>
  <si>
    <t>ENSMUST00000140659</t>
  </si>
  <si>
    <t>ENSMUST00000151767</t>
  </si>
  <si>
    <t>P47963</t>
  </si>
  <si>
    <t>ENSMUST00000000756</t>
  </si>
  <si>
    <t>ENSMUST00000152444</t>
  </si>
  <si>
    <t>ENSMUST00000132275</t>
  </si>
  <si>
    <t>ENSMUST00000129311</t>
  </si>
  <si>
    <t>P48024</t>
  </si>
  <si>
    <t>ENSMUST00000049385</t>
  </si>
  <si>
    <t>ENSMUST00000151513</t>
  </si>
  <si>
    <t>ENSMUST00000139846</t>
  </si>
  <si>
    <t>ENSMUST00000152521</t>
  </si>
  <si>
    <t>ENSMUST00000132618</t>
  </si>
  <si>
    <t>P48678</t>
  </si>
  <si>
    <t>ENSMUST00000147537</t>
  </si>
  <si>
    <t>ENSMUST00000029699</t>
  </si>
  <si>
    <t>ENSMUST00000150496</t>
  </si>
  <si>
    <t>P48962</t>
  </si>
  <si>
    <t>ENSMUST00000034049</t>
  </si>
  <si>
    <t>ENSMUST00000155986</t>
  </si>
  <si>
    <t>P49312</t>
  </si>
  <si>
    <t>ENSMUST00000036004</t>
  </si>
  <si>
    <t>ENSMUST00000087351</t>
  </si>
  <si>
    <t>P49586</t>
  </si>
  <si>
    <t>ENSMUST00000079791</t>
  </si>
  <si>
    <t>ENSMUST00000115137</t>
  </si>
  <si>
    <t>ENSMUST00000115140</t>
  </si>
  <si>
    <t>ENSMUST00000123199</t>
  </si>
  <si>
    <t>ENSMUST00000141421</t>
  </si>
  <si>
    <t>ENSMUST00000141772</t>
  </si>
  <si>
    <t>ENSMUST00000104893</t>
  </si>
  <si>
    <t>P50096</t>
  </si>
  <si>
    <t>ENSMUST00000162739</t>
  </si>
  <si>
    <t>ENSMUST00000078155</t>
  </si>
  <si>
    <t>ENSMUST00000159124</t>
  </si>
  <si>
    <t>ENSMUST00000162099</t>
  </si>
  <si>
    <t>ENSMUST00000162242</t>
  </si>
  <si>
    <t>ENSMUST00000161654</t>
  </si>
  <si>
    <t>ENSMUST00000162215</t>
  </si>
  <si>
    <t>ENSMUST00000160613</t>
  </si>
  <si>
    <t>ENSMUST00000160749</t>
  </si>
  <si>
    <t>P50247</t>
  </si>
  <si>
    <t>ENSMUST00000059524</t>
  </si>
  <si>
    <t>ENSMUST00000054607</t>
  </si>
  <si>
    <t>ENSMUST00000137242</t>
  </si>
  <si>
    <t>ENSMUST00000146367</t>
  </si>
  <si>
    <t>P50431</t>
  </si>
  <si>
    <t>ENSMUST00000018744</t>
  </si>
  <si>
    <t>ENSMUST00000174093</t>
  </si>
  <si>
    <t>ENSMUST00000174719</t>
  </si>
  <si>
    <t>ENSMUST00000172804</t>
  </si>
  <si>
    <t>ENSMUST00000135081</t>
  </si>
  <si>
    <t>ENSMUST00000124227</t>
  </si>
  <si>
    <t>ENSMUST00000173260</t>
  </si>
  <si>
    <t>P50516</t>
  </si>
  <si>
    <t>ENSMUST00000114666</t>
  </si>
  <si>
    <t>ENSMUST00000063661</t>
  </si>
  <si>
    <t>ENSMUST00000130036</t>
  </si>
  <si>
    <t>ENSMUST00000137557</t>
  </si>
  <si>
    <t>ENSMUST00000147025</t>
  </si>
  <si>
    <t>P50580</t>
  </si>
  <si>
    <t>ENSMUST00000026425</t>
  </si>
  <si>
    <t>ENSMUST00000131728</t>
  </si>
  <si>
    <t>ENSMUST00000147068</t>
  </si>
  <si>
    <t>P51150</t>
  </si>
  <si>
    <t>ENSMUST00000113600</t>
  </si>
  <si>
    <t>ENSMUST00000113597</t>
  </si>
  <si>
    <t>ENSMUST00000113596</t>
  </si>
  <si>
    <t>P51410</t>
  </si>
  <si>
    <t>ENSMUST00000151917</t>
  </si>
  <si>
    <t>ENSMUST00000118543</t>
  </si>
  <si>
    <t>ENSMUST00000127874</t>
  </si>
  <si>
    <t>ENSMUST00000057885</t>
  </si>
  <si>
    <t>ENSMUST00000140879</t>
  </si>
  <si>
    <t>ENSMUST00000196667</t>
  </si>
  <si>
    <t>ENSMUST00000147966</t>
  </si>
  <si>
    <t>ENSMUST00000120094</t>
  </si>
  <si>
    <t>ENSMUST00000147660</t>
  </si>
  <si>
    <t>ENSMUST00000128074</t>
  </si>
  <si>
    <t>P51660</t>
  </si>
  <si>
    <t>ENSMUST00000025385</t>
  </si>
  <si>
    <t>ENSMUST00000139502</t>
  </si>
  <si>
    <t>ENSMUST00000127325</t>
  </si>
  <si>
    <t>P51859</t>
  </si>
  <si>
    <t>ENSMUST00000005017</t>
  </si>
  <si>
    <t>ENSMUST00000159492</t>
  </si>
  <si>
    <t>ENSMUST00000162631</t>
  </si>
  <si>
    <t>ENSMUST00000161616</t>
  </si>
  <si>
    <t>ENSMUST00000160198</t>
  </si>
  <si>
    <t>ENSMUST00000160312</t>
  </si>
  <si>
    <t>P51881</t>
  </si>
  <si>
    <t>ENSMUST00000016463</t>
  </si>
  <si>
    <t>ENSMUST00000126608</t>
  </si>
  <si>
    <t>ENSMUST00000156672</t>
  </si>
  <si>
    <t>P52293</t>
  </si>
  <si>
    <t>ENSMUST00000145331</t>
  </si>
  <si>
    <t>ENSMUST00000018506</t>
  </si>
  <si>
    <t>ENSMUST00000156495</t>
  </si>
  <si>
    <t>ENSMUST00000124541</t>
  </si>
  <si>
    <t>ENSMUST00000140362</t>
  </si>
  <si>
    <t>ENSMUST00000144834</t>
  </si>
  <si>
    <t>ENSMUST00000106768</t>
  </si>
  <si>
    <t>P52480</t>
  </si>
  <si>
    <t>ENSMUST00000034834</t>
  </si>
  <si>
    <t>ENSMUST00000163694</t>
  </si>
  <si>
    <t>P53702</t>
  </si>
  <si>
    <t>ENSMUST00000154638</t>
  </si>
  <si>
    <t>ENSMUST00000033717</t>
  </si>
  <si>
    <t>ENSMUST00000112115</t>
  </si>
  <si>
    <t>P54071</t>
  </si>
  <si>
    <t>ENSMUST00000107384</t>
  </si>
  <si>
    <t>ENSMUST00000134328</t>
  </si>
  <si>
    <t>ENSMUST00000139178</t>
  </si>
  <si>
    <t>ENSMUST00000156761</t>
  </si>
  <si>
    <t>ENSMUST00000125542</t>
  </si>
  <si>
    <t>ENSMUST00000134070</t>
  </si>
  <si>
    <t>P54227</t>
  </si>
  <si>
    <t>ENSMUST00000030636</t>
  </si>
  <si>
    <t>ENSMUST00000130253</t>
  </si>
  <si>
    <t>ENSMUST00000127279</t>
  </si>
  <si>
    <t>ENSMUST00000105867</t>
  </si>
  <si>
    <t>ENSMUST00000105868</t>
  </si>
  <si>
    <t>P54726</t>
  </si>
  <si>
    <t>ENSMUST00000003911</t>
  </si>
  <si>
    <t>ENSMUST00000109761</t>
  </si>
  <si>
    <t>ENSMUST00000134395</t>
  </si>
  <si>
    <t>ENSMUST00000144994</t>
  </si>
  <si>
    <t>ENSMUST00000125711</t>
  </si>
  <si>
    <t>P54728</t>
  </si>
  <si>
    <t>ENSMUST00000030134</t>
  </si>
  <si>
    <t>ENSMUST00000127266</t>
  </si>
  <si>
    <t>ENSMUST00000156263</t>
  </si>
  <si>
    <t>ENSMUST00000148719</t>
  </si>
  <si>
    <t>P54775</t>
  </si>
  <si>
    <t>ENSMUST00000032824</t>
  </si>
  <si>
    <t>ENSMUST00000138512</t>
  </si>
  <si>
    <t>ENSMUST00000135482</t>
  </si>
  <si>
    <t>ENSMUST00000134486</t>
  </si>
  <si>
    <t>ENSMUST00000126528</t>
  </si>
  <si>
    <t>P54822</t>
  </si>
  <si>
    <t>ENSMUST00000023043</t>
  </si>
  <si>
    <t>ENSMUST00000164806</t>
  </si>
  <si>
    <t>ENSMUST00000198302</t>
  </si>
  <si>
    <t>ENSMUST00000166711</t>
  </si>
  <si>
    <t>ENSMUST00000164371</t>
  </si>
  <si>
    <t>ENSMUST00000163575</t>
  </si>
  <si>
    <t>ENSMUST00000199284</t>
  </si>
  <si>
    <t>P55258</t>
  </si>
  <si>
    <t>ENSMUST00000003121</t>
  </si>
  <si>
    <t>ENSMUST00000135613</t>
  </si>
  <si>
    <t>ENSMUST00000128203</t>
  </si>
  <si>
    <t>P56135</t>
  </si>
  <si>
    <t>ENSMUST00000161741</t>
  </si>
  <si>
    <t>ENSMUST00000162360</t>
  </si>
  <si>
    <t>ENSMUST00000037056</t>
  </si>
  <si>
    <t>ENSMUST00000161845</t>
  </si>
  <si>
    <t>ENSMUST00000200584</t>
  </si>
  <si>
    <t>P56212</t>
  </si>
  <si>
    <t>ENSMUST00000168166</t>
  </si>
  <si>
    <t>ENSMUST00000169448</t>
  </si>
  <si>
    <t>ENSMUST00000170308</t>
  </si>
  <si>
    <t>ENSMUST00000007800</t>
  </si>
  <si>
    <t>ENSMUST00000168301</t>
  </si>
  <si>
    <t>ENSMUST00000170310</t>
  </si>
  <si>
    <t>ENSMUST00000166549</t>
  </si>
  <si>
    <t>ENSMUST00000169492</t>
  </si>
  <si>
    <t>P56371</t>
  </si>
  <si>
    <t>ENSMUST00000118535</t>
  </si>
  <si>
    <t>ENSMUST00000117702</t>
  </si>
  <si>
    <t>P56395</t>
  </si>
  <si>
    <t>ENSMUST00000160180</t>
  </si>
  <si>
    <t>ENSMUST00000025549</t>
  </si>
  <si>
    <t>ENSMUST00000159846</t>
  </si>
  <si>
    <t>ENSMUST00000163083</t>
  </si>
  <si>
    <t>ENSMUST00000159837</t>
  </si>
  <si>
    <t>P56399</t>
  </si>
  <si>
    <t>ENSMUST00000047510</t>
  </si>
  <si>
    <t>ENSMUST00000122110</t>
  </si>
  <si>
    <t>ENSMUST00000131805</t>
  </si>
  <si>
    <t>ENSMUST00000154189</t>
  </si>
  <si>
    <t>ENSMUST00000129159</t>
  </si>
  <si>
    <t>ENSMUST00000142058</t>
  </si>
  <si>
    <t>ENSMUST00000141042</t>
  </si>
  <si>
    <t>ENSMUST00000146098</t>
  </si>
  <si>
    <t>P56480</t>
  </si>
  <si>
    <t>ENSMUST00000026459</t>
  </si>
  <si>
    <t>ENSMUST00000127439</t>
  </si>
  <si>
    <t>ENSMUST00000139295</t>
  </si>
  <si>
    <t>ENSMUST00000126040</t>
  </si>
  <si>
    <t>ENSMUST00000124993</t>
  </si>
  <si>
    <t>ENSMUST00000144918</t>
  </si>
  <si>
    <t>ENSMUST00000123803</t>
  </si>
  <si>
    <t>ENSMUST00000126751</t>
  </si>
  <si>
    <t>ENSMUST00000125992</t>
  </si>
  <si>
    <t>P56812</t>
  </si>
  <si>
    <t>ENSMUST00000118501</t>
  </si>
  <si>
    <t>ENSMUST00000120714</t>
  </si>
  <si>
    <t>ENSMUST00000151336</t>
  </si>
  <si>
    <t>ENSMUST00000126734</t>
  </si>
  <si>
    <t>ENSMUST00000127213</t>
  </si>
  <si>
    <t>ENSMUST00000130306</t>
  </si>
  <si>
    <t>ENSMUST00000130340</t>
  </si>
  <si>
    <t>P56959</t>
  </si>
  <si>
    <t>ENSMUST00000106251</t>
  </si>
  <si>
    <t>ENSMUST00000077609</t>
  </si>
  <si>
    <t>ENSMUST00000174196</t>
  </si>
  <si>
    <t>ENSMUST00000128851</t>
  </si>
  <si>
    <t>ENSMUST00000121616</t>
  </si>
  <si>
    <t>ENSMUST00000123151</t>
  </si>
  <si>
    <t>ENSMUST00000154843</t>
  </si>
  <si>
    <t>ENSMUST00000155941</t>
  </si>
  <si>
    <t>ENSMUST00000136289</t>
  </si>
  <si>
    <t>ENSMUST00000174632</t>
  </si>
  <si>
    <t>ENSMUST00000141997</t>
  </si>
  <si>
    <t>ENSMUST00000172755</t>
  </si>
  <si>
    <t>P57724</t>
  </si>
  <si>
    <t>ENSMUST00000185854</t>
  </si>
  <si>
    <t>ENSMUST00000187975</t>
  </si>
  <si>
    <t>ENSMUST00000024260</t>
  </si>
  <si>
    <t>ENSMUST00000186519</t>
  </si>
  <si>
    <t>ENSMUST00000185779</t>
  </si>
  <si>
    <t>ENSMUST00000190430</t>
  </si>
  <si>
    <t>ENSMUST00000190799</t>
  </si>
  <si>
    <t>ENSMUST00000189882</t>
  </si>
  <si>
    <t>ENSMUST00000190428</t>
  </si>
  <si>
    <t>ENSMUST00000185996</t>
  </si>
  <si>
    <t>ENSMUST00000188448</t>
  </si>
  <si>
    <t>P57776</t>
  </si>
  <si>
    <t>ENSMUST00000154584</t>
  </si>
  <si>
    <t>ENSMUST00000109972</t>
  </si>
  <si>
    <t>ENSMUST00000137426</t>
  </si>
  <si>
    <t>ENSMUST00000116440</t>
  </si>
  <si>
    <t>ENSMUST00000151066</t>
  </si>
  <si>
    <t>ENSMUST00000089680</t>
  </si>
  <si>
    <t>ENSMUST00000089681</t>
  </si>
  <si>
    <t>ENSMUST00000134222</t>
  </si>
  <si>
    <t>ENSMUST00000023235</t>
  </si>
  <si>
    <t>ENSMUST00000144614</t>
  </si>
  <si>
    <t>ENSMUST00000141268</t>
  </si>
  <si>
    <t>ENSMUST00000123712</t>
  </si>
  <si>
    <t>ENSMUST00000129800</t>
  </si>
  <si>
    <t>ENSMUST00000055220</t>
  </si>
  <si>
    <t>ENSMUST00000127550</t>
  </si>
  <si>
    <t>ENSMUST00000145764</t>
  </si>
  <si>
    <t>ENSMUST00000109975</t>
  </si>
  <si>
    <t>P57780</t>
  </si>
  <si>
    <t>ENSMUST00000068045</t>
  </si>
  <si>
    <t>ENSMUST00000144909</t>
  </si>
  <si>
    <t>ENSMUST00000148196</t>
  </si>
  <si>
    <t>ENSMUST00000140622</t>
  </si>
  <si>
    <t>ENSMUST00000127210</t>
  </si>
  <si>
    <t>ENSMUST00000150493</t>
  </si>
  <si>
    <t>ENSMUST00000143584</t>
  </si>
  <si>
    <t>ENSMUST00000129338</t>
  </si>
  <si>
    <t>P57784</t>
  </si>
  <si>
    <t>ENSMUST00000123157</t>
  </si>
  <si>
    <t>ENSMUST00000153609</t>
  </si>
  <si>
    <t>ENSMUST00000032723</t>
  </si>
  <si>
    <t>ENSMUST00000139082</t>
  </si>
  <si>
    <t>ENSMUST00000138271</t>
  </si>
  <si>
    <t>ENSMUST00000147702</t>
  </si>
  <si>
    <t>P58044</t>
  </si>
  <si>
    <t>ENSMUST00000169314</t>
  </si>
  <si>
    <t>ENSMUST00000177397</t>
  </si>
  <si>
    <t>ENSMUST00000177447</t>
  </si>
  <si>
    <t>ENSMUST00000176851</t>
  </si>
  <si>
    <t>P58462</t>
  </si>
  <si>
    <t>ENSMUST00000113326</t>
  </si>
  <si>
    <t>ENSMUST00000177410</t>
  </si>
  <si>
    <t>ENSMUST00000176565</t>
  </si>
  <si>
    <t>ENSMUST00000177437</t>
  </si>
  <si>
    <t>ENSMUST00000177229</t>
  </si>
  <si>
    <t>ENSMUST00000074346</t>
  </si>
  <si>
    <t>ENSMUST00000113328</t>
  </si>
  <si>
    <t>ENSMUST00000113324</t>
  </si>
  <si>
    <t>ENSMUST00000113329</t>
  </si>
  <si>
    <t>ENSMUST00000177307</t>
  </si>
  <si>
    <t>ENSMUST00000176850</t>
  </si>
  <si>
    <t>ENSMUST00000176632</t>
  </si>
  <si>
    <t>ENSMUST00000175880</t>
  </si>
  <si>
    <t>ENSMUST00000124058</t>
  </si>
  <si>
    <t>ENSMUST00000142164</t>
  </si>
  <si>
    <t>ENSMUST00000154163</t>
  </si>
  <si>
    <t>ENSMUST00000123992</t>
  </si>
  <si>
    <t>ENSMUST00000113321</t>
  </si>
  <si>
    <t>ENSMUST00000175886</t>
  </si>
  <si>
    <t>ENSMUST00000175670</t>
  </si>
  <si>
    <t>ENSMUST00000177208</t>
  </si>
  <si>
    <t>ENSMUST00000075832</t>
  </si>
  <si>
    <t>ENSMUST00000138754</t>
  </si>
  <si>
    <t>ENSMUST00000131967</t>
  </si>
  <si>
    <t>ENSMUST00000177227</t>
  </si>
  <si>
    <t>ENSMUST00000176148</t>
  </si>
  <si>
    <t>ENSMUST00000175838</t>
  </si>
  <si>
    <t>ENSMUST00000113322</t>
  </si>
  <si>
    <t>P58771</t>
  </si>
  <si>
    <t>ENSMUST00000113696</t>
  </si>
  <si>
    <t>ENSMUST00000113695</t>
  </si>
  <si>
    <t>ENSMUST00000113690</t>
  </si>
  <si>
    <t>ENSMUST00000050905</t>
  </si>
  <si>
    <t>ENSMUST00000156899</t>
  </si>
  <si>
    <t>ENSMUST00000129466</t>
  </si>
  <si>
    <t>ENSMUST00000131279</t>
  </si>
  <si>
    <t>P58774</t>
  </si>
  <si>
    <t>ENSMUST00000150262</t>
  </si>
  <si>
    <t>ENSMUST00000030184</t>
  </si>
  <si>
    <t>P59235</t>
  </si>
  <si>
    <t>ENSMUST00000040135</t>
  </si>
  <si>
    <t>ENSMUST00000162346</t>
  </si>
  <si>
    <t>ENSMUST00000162527</t>
  </si>
  <si>
    <t>ENSMUST00000161060</t>
  </si>
  <si>
    <t>P59328</t>
  </si>
  <si>
    <t>ENSMUST00000111790</t>
  </si>
  <si>
    <t>ENSMUST00000139124</t>
  </si>
  <si>
    <t>ENSMUST00000111792</t>
  </si>
  <si>
    <t>ENSMUST00000187531</t>
  </si>
  <si>
    <t>P59999</t>
  </si>
  <si>
    <t>ENSMUST00000156898</t>
  </si>
  <si>
    <t>ENSMUST00000171058</t>
  </si>
  <si>
    <t>P60710</t>
  </si>
  <si>
    <t>ENSMUST00000100497</t>
  </si>
  <si>
    <t>ENSMUST00000167721</t>
  </si>
  <si>
    <t>ENSMUST00000171419</t>
  </si>
  <si>
    <t>ENSMUST00000163829</t>
  </si>
  <si>
    <t>ENSMUST00000106216</t>
  </si>
  <si>
    <t>ENSMUST00000165629</t>
  </si>
  <si>
    <t>ENSMUST00000164765</t>
  </si>
  <si>
    <t>P60764</t>
  </si>
  <si>
    <t>ENSMUST00000018156</t>
  </si>
  <si>
    <t>ENSMUST00000134322</t>
  </si>
  <si>
    <t>P60766</t>
  </si>
  <si>
    <t>ENSMUST00000051477</t>
  </si>
  <si>
    <t>ENSMUST00000030417</t>
  </si>
  <si>
    <t>P60840</t>
  </si>
  <si>
    <t>ENSMUST00000199421</t>
  </si>
  <si>
    <t>ENSMUST00000058230</t>
  </si>
  <si>
    <t>ENSMUST00000037983</t>
  </si>
  <si>
    <t>ENSMUST00000197050</t>
  </si>
  <si>
    <t>P60843</t>
  </si>
  <si>
    <t>ENSMUST00000163666</t>
  </si>
  <si>
    <t>ENSMUST00000128519</t>
  </si>
  <si>
    <t>ENSMUST00000123995</t>
  </si>
  <si>
    <t>ENSMUST00000142348</t>
  </si>
  <si>
    <t>ENSMUST00000140186</t>
  </si>
  <si>
    <t>ENSMUST00000133067</t>
  </si>
  <si>
    <t>ENSMUST00000102589</t>
  </si>
  <si>
    <t>ENSMUST00000139299</t>
  </si>
  <si>
    <t>ENSMUST00000140310</t>
  </si>
  <si>
    <t>ENSMUST00000127677</t>
  </si>
  <si>
    <t>ENSMUST00000145289</t>
  </si>
  <si>
    <t>ENSMUST00000129295</t>
  </si>
  <si>
    <t>P60867</t>
  </si>
  <si>
    <t>ENSMUST00000138502</t>
  </si>
  <si>
    <t>ENSMUST00000103009</t>
  </si>
  <si>
    <t>ENSMUST00000130128</t>
  </si>
  <si>
    <t>P61082</t>
  </si>
  <si>
    <t>ENSMUST00000005714</t>
  </si>
  <si>
    <t>ENSMUST00000131837</t>
  </si>
  <si>
    <t>ENSMUST00000125964</t>
  </si>
  <si>
    <t>ENSMUST00000123541</t>
  </si>
  <si>
    <t>ENSMUST00000138357</t>
  </si>
  <si>
    <t>ENSMUST00000126827</t>
  </si>
  <si>
    <t>ENSMUST00000165394</t>
  </si>
  <si>
    <t>P61161</t>
  </si>
  <si>
    <t>ENSMUST00000000137</t>
  </si>
  <si>
    <t>ENSMUST00000132022</t>
  </si>
  <si>
    <t>ENSMUST00000134779</t>
  </si>
  <si>
    <t>P61205</t>
  </si>
  <si>
    <t>ENSMUST00000053183</t>
  </si>
  <si>
    <t>ENSMUST00000129354</t>
  </si>
  <si>
    <t>P61255</t>
  </si>
  <si>
    <t>ENSMUST00000073471</t>
  </si>
  <si>
    <t>ENSMUST00000101014</t>
  </si>
  <si>
    <t>ENSMUST00000128952</t>
  </si>
  <si>
    <t>ENSMUST00000134403</t>
  </si>
  <si>
    <t>ENSMUST00000138973</t>
  </si>
  <si>
    <t>ENSMUST00000167436</t>
  </si>
  <si>
    <t>P61290</t>
  </si>
  <si>
    <t>ENSMUST00000142640</t>
  </si>
  <si>
    <t>ENSMUST00000019470</t>
  </si>
  <si>
    <t>ENSMUST00000151385</t>
  </si>
  <si>
    <t>ENSMUST00000127998</t>
  </si>
  <si>
    <t>ENSMUST00000131170</t>
  </si>
  <si>
    <t>P61327</t>
  </si>
  <si>
    <t>ENSMUST00000030348</t>
  </si>
  <si>
    <t>ENSMUST00000141376</t>
  </si>
  <si>
    <t>P61358</t>
  </si>
  <si>
    <t>ENSMUST00000077856</t>
  </si>
  <si>
    <t>ENSMUST00000139939</t>
  </si>
  <si>
    <t>ENSMUST00000107249</t>
  </si>
  <si>
    <t>ENSMUST00000127514</t>
  </si>
  <si>
    <t>ENSMUST00000152162</t>
  </si>
  <si>
    <t>P61620</t>
  </si>
  <si>
    <t>ENSMUST00000032168</t>
  </si>
  <si>
    <t>ENSMUST00000136103</t>
  </si>
  <si>
    <t>ENSMUST00000145421</t>
  </si>
  <si>
    <t>ENSMUST00000130918</t>
  </si>
  <si>
    <t>ENSMUST00000130807</t>
  </si>
  <si>
    <t>ENSMUST00000139676</t>
  </si>
  <si>
    <t>ENSMUST00000139551</t>
  </si>
  <si>
    <t>ENSMUST00000125016</t>
  </si>
  <si>
    <t>ENSMUST00000155079</t>
  </si>
  <si>
    <t>P61750</t>
  </si>
  <si>
    <t>ENSMUST00000022429</t>
  </si>
  <si>
    <t>ENSMUST00000166075</t>
  </si>
  <si>
    <t>ENSMUST00000171207</t>
  </si>
  <si>
    <t>P61957</t>
  </si>
  <si>
    <t>ENSMUST00000121185</t>
  </si>
  <si>
    <t>ENSMUST00000117589</t>
  </si>
  <si>
    <t>ENSMUST00000118155</t>
  </si>
  <si>
    <t>ENSMUST00000153892</t>
  </si>
  <si>
    <t>ENSMUST00000140844</t>
  </si>
  <si>
    <t>ENSMUST00000050672</t>
  </si>
  <si>
    <t>P61979</t>
  </si>
  <si>
    <t>ENSMUST00000116403</t>
  </si>
  <si>
    <t>ENSMUST00000177497</t>
  </si>
  <si>
    <t>ENSMUST00000177019</t>
  </si>
  <si>
    <t>ENSMUST00000043269</t>
  </si>
  <si>
    <t>ENSMUST00000176207</t>
  </si>
  <si>
    <t>ENSMUST00000177051</t>
  </si>
  <si>
    <t>ENSMUST00000176257</t>
  </si>
  <si>
    <t>ENSMUST00000176359</t>
  </si>
  <si>
    <t>ENSMUST00000176797</t>
  </si>
  <si>
    <t>ENSMUST00000176849</t>
  </si>
  <si>
    <t>ENSMUST00000176888</t>
  </si>
  <si>
    <t>ENSMUST00000176609</t>
  </si>
  <si>
    <t>ENSMUST00000176725</t>
  </si>
  <si>
    <t>ENSMUST00000175847</t>
  </si>
  <si>
    <t>ENSMUST00000177060</t>
  </si>
  <si>
    <t>ENSMUST00000176269</t>
  </si>
  <si>
    <t>ENSMUST00000177117</t>
  </si>
  <si>
    <t>ENSMUST00000177377</t>
  </si>
  <si>
    <t>ENSMUST00000176558</t>
  </si>
  <si>
    <t>ENSMUST00000175939</t>
  </si>
  <si>
    <t>P61982</t>
  </si>
  <si>
    <t>ENSMUST00000055808</t>
  </si>
  <si>
    <t>ENSMUST00000129581</t>
  </si>
  <si>
    <t>ENSMUST00000126639</t>
  </si>
  <si>
    <t>ENSMUST00000126192</t>
  </si>
  <si>
    <t>P62141</t>
  </si>
  <si>
    <t>ENSMUST00000015100</t>
  </si>
  <si>
    <t>ENSMUST00000201360</t>
  </si>
  <si>
    <t>ENSMUST00000201600</t>
  </si>
  <si>
    <t>ENSMUST00000201207</t>
  </si>
  <si>
    <t>P62196</t>
  </si>
  <si>
    <t>ENSMUST00000021049</t>
  </si>
  <si>
    <t>ENSMUST00000133131</t>
  </si>
  <si>
    <t>P62204</t>
  </si>
  <si>
    <t>ENSMUST00000110082</t>
  </si>
  <si>
    <t>ENSMUST00000001204</t>
  </si>
  <si>
    <t>ENSMUST00000153524</t>
  </si>
  <si>
    <t>ENSMUST00000127300</t>
  </si>
  <si>
    <t>ENSMUST00000040440</t>
  </si>
  <si>
    <t>ENSMUST00000143965</t>
  </si>
  <si>
    <t>ENSMUST00000150137</t>
  </si>
  <si>
    <t>ENSMUST00000019514</t>
  </si>
  <si>
    <t>ENSMUST00000173139</t>
  </si>
  <si>
    <t>ENSMUST00000173557</t>
  </si>
  <si>
    <t>P62242</t>
  </si>
  <si>
    <t>ENSMUST00000102696</t>
  </si>
  <si>
    <t>ENSMUST00000137423</t>
  </si>
  <si>
    <t>ENSMUST00000127037</t>
  </si>
  <si>
    <t>ENSMUST00000140226</t>
  </si>
  <si>
    <t>ENSMUST00000144051</t>
  </si>
  <si>
    <t>ENSMUST00000141219</t>
  </si>
  <si>
    <t>P62245</t>
  </si>
  <si>
    <t>ENSMUST00000131374</t>
  </si>
  <si>
    <t>ENSMUST00000106588</t>
  </si>
  <si>
    <t>ENSMUST00000106590</t>
  </si>
  <si>
    <t>ENSMUST00000134270</t>
  </si>
  <si>
    <t>ENSMUST00000128482</t>
  </si>
  <si>
    <t>ENSMUST00000131840</t>
  </si>
  <si>
    <t>ENSMUST00000172457</t>
  </si>
  <si>
    <t>P62259</t>
  </si>
  <si>
    <t>ENSMUST00000067664</t>
  </si>
  <si>
    <t>ENSMUST00000134745</t>
  </si>
  <si>
    <t>ENSMUST00000153038</t>
  </si>
  <si>
    <t>ENSMUST00000155057</t>
  </si>
  <si>
    <t>P62264</t>
  </si>
  <si>
    <t>ENSMUST00000025511</t>
  </si>
  <si>
    <t>ENSMUST00000142980</t>
  </si>
  <si>
    <t>ENSMUST00000118551</t>
  </si>
  <si>
    <t>ENSMUST00000127568</t>
  </si>
  <si>
    <t>ENSMUST00000137400</t>
  </si>
  <si>
    <t>ENSMUST00000122279</t>
  </si>
  <si>
    <t>P62270</t>
  </si>
  <si>
    <t>ENSMUST00000174758</t>
  </si>
  <si>
    <t>ENSMUST00000174745</t>
  </si>
  <si>
    <t>ENSMUST00000174609</t>
  </si>
  <si>
    <t>ENSMUST00000008812</t>
  </si>
  <si>
    <t>ENSMUST00000172799</t>
  </si>
  <si>
    <t>ENSMUST00000174175</t>
  </si>
  <si>
    <t>ENSMUST00000173323</t>
  </si>
  <si>
    <t>ENSMUST00000174620</t>
  </si>
  <si>
    <t>ENSMUST00000174662</t>
  </si>
  <si>
    <t>ENSMUST00000172550</t>
  </si>
  <si>
    <t>P62313</t>
  </si>
  <si>
    <t>ENSMUST00000051867</t>
  </si>
  <si>
    <t>ENSMUST00000130325</t>
  </si>
  <si>
    <t>ENSMUST00000126174</t>
  </si>
  <si>
    <t>ENSMUST00000146824</t>
  </si>
  <si>
    <t>P62320</t>
  </si>
  <si>
    <t>ENSMUST00000020397</t>
  </si>
  <si>
    <t>ENSMUST00000191097</t>
  </si>
  <si>
    <t>P62492</t>
  </si>
  <si>
    <t>ENSMUST00000172298</t>
  </si>
  <si>
    <t>ENSMUST00000167569</t>
  </si>
  <si>
    <t>ENSMUST00000172444</t>
  </si>
  <si>
    <t>ENSMUST00000166857</t>
  </si>
  <si>
    <t>ENSMUST00000171100</t>
  </si>
  <si>
    <t>ENSMUST00000004892</t>
  </si>
  <si>
    <t>ENSMUST00000165083</t>
  </si>
  <si>
    <t>P62702</t>
  </si>
  <si>
    <t>ENSMUST00000033683</t>
  </si>
  <si>
    <t>ENSMUST00000155028</t>
  </si>
  <si>
    <t>ENSMUST00000152739</t>
  </si>
  <si>
    <t>P62751</t>
  </si>
  <si>
    <t>ENSMUST00000127270</t>
  </si>
  <si>
    <t>ENSMUST00000144561</t>
  </si>
  <si>
    <t>ENSMUST00000102483</t>
  </si>
  <si>
    <t>P62754</t>
  </si>
  <si>
    <t>ENSMUST00000102814</t>
  </si>
  <si>
    <t>ENSMUST00000136174</t>
  </si>
  <si>
    <t>ENSMUST00000123229</t>
  </si>
  <si>
    <t>ENSMUST00000130001</t>
  </si>
  <si>
    <t>P62806</t>
  </si>
  <si>
    <t>ENSMUST00000102972</t>
  </si>
  <si>
    <t>ENSMUST00000171473</t>
  </si>
  <si>
    <t>ENSMUST00000102967</t>
  </si>
  <si>
    <t>ENSMUST00000102968</t>
  </si>
  <si>
    <t>ENSMUST00000102971</t>
  </si>
  <si>
    <t>ENSMUST00000102977</t>
  </si>
  <si>
    <t>ENSMUST00000087714</t>
  </si>
  <si>
    <t>ENSMUST00000102983</t>
  </si>
  <si>
    <t>ENSMUST00000102979</t>
  </si>
  <si>
    <t>ENSMUST00000179285</t>
  </si>
  <si>
    <t>ENSMUST00000102964</t>
  </si>
  <si>
    <t>ENSMUST00000102965</t>
  </si>
  <si>
    <t>ENSMUST00000104941</t>
  </si>
  <si>
    <t>P62821</t>
  </si>
  <si>
    <t>ENSMUST00000020358</t>
  </si>
  <si>
    <t>ENSMUST00000132285</t>
  </si>
  <si>
    <t>ENSMUST00000152728</t>
  </si>
  <si>
    <t>ENSMUST00000163483</t>
  </si>
  <si>
    <t>P62827</t>
  </si>
  <si>
    <t>ENSMUST00000031383</t>
  </si>
  <si>
    <t>ENSMUST00000134632</t>
  </si>
  <si>
    <t>ENSMUST00000111343</t>
  </si>
  <si>
    <t>P62830</t>
  </si>
  <si>
    <t>ENSMUST00000103146</t>
  </si>
  <si>
    <t>ENSMUST00000151118</t>
  </si>
  <si>
    <t>ENSMUST00000150955</t>
  </si>
  <si>
    <t>ENSMUST00000151965</t>
  </si>
  <si>
    <t>ENSMUST00000128801</t>
  </si>
  <si>
    <t>P62843</t>
  </si>
  <si>
    <t>ENSMUST00000068408</t>
  </si>
  <si>
    <t>ENSMUST00000062674</t>
  </si>
  <si>
    <t>P62849</t>
  </si>
  <si>
    <t>ENSMUST00000112384</t>
  </si>
  <si>
    <t>ENSMUST00000169826</t>
  </si>
  <si>
    <t>P62858</t>
  </si>
  <si>
    <t>ENSMUST00000173019</t>
  </si>
  <si>
    <t>ENSMUST00000087342</t>
  </si>
  <si>
    <t>ENSMUST00000173879</t>
  </si>
  <si>
    <t>ENSMUST00000173480</t>
  </si>
  <si>
    <t>ENSMUST00000173844</t>
  </si>
  <si>
    <t>ENSMUST00000174788</t>
  </si>
  <si>
    <t>P62874</t>
  </si>
  <si>
    <t>ENSMUST00000105616</t>
  </si>
  <si>
    <t>ENSMUST00000030940</t>
  </si>
  <si>
    <t>ENSMUST00000176411</t>
  </si>
  <si>
    <t>ENSMUST00000175688</t>
  </si>
  <si>
    <t>ENSMUST00000176637</t>
  </si>
  <si>
    <t>ENSMUST00000175705</t>
  </si>
  <si>
    <t>ENSMUST00000176308</t>
  </si>
  <si>
    <t>ENSMUST00000165335</t>
  </si>
  <si>
    <t>P62880</t>
  </si>
  <si>
    <t>ENSMUST00000031726</t>
  </si>
  <si>
    <t>ENSMUST00000167225</t>
  </si>
  <si>
    <t>ENSMUST00000111027</t>
  </si>
  <si>
    <t>ENSMUST00000111020</t>
  </si>
  <si>
    <t>ENSMUST00000150063</t>
  </si>
  <si>
    <t>ENSMUST00000170293</t>
  </si>
  <si>
    <t>ENSMUST00000142252</t>
  </si>
  <si>
    <t>ENSMUST00000125868</t>
  </si>
  <si>
    <t>ENSMUST00000144667</t>
  </si>
  <si>
    <t>ENSMUST00000145238</t>
  </si>
  <si>
    <t>ENSMUST00000140139</t>
  </si>
  <si>
    <t>P62889</t>
  </si>
  <si>
    <t>ENSMUST00000079735</t>
  </si>
  <si>
    <t>ENSMUST00000009039</t>
  </si>
  <si>
    <t>ENSMUST00000135417</t>
  </si>
  <si>
    <t>ENSMUST00000140527</t>
  </si>
  <si>
    <t>ENSMUST00000142643</t>
  </si>
  <si>
    <t>ENSMUST00000136653</t>
  </si>
  <si>
    <t>P62897</t>
  </si>
  <si>
    <t>ENSMUST00000161401</t>
  </si>
  <si>
    <t>ENSMUST00000077766</t>
  </si>
  <si>
    <t>P62900</t>
  </si>
  <si>
    <t>ENSMUST00000086535</t>
  </si>
  <si>
    <t>ENSMUST00000194746</t>
  </si>
  <si>
    <t>ENSMUST00000178079</t>
  </si>
  <si>
    <t>ENSMUST00000179954</t>
  </si>
  <si>
    <t>ENSMUST00000191855</t>
  </si>
  <si>
    <t>P62908</t>
  </si>
  <si>
    <t>ENSMUST00000032998</t>
  </si>
  <si>
    <t>ENSMUST00000107096</t>
  </si>
  <si>
    <t>ENSMUST00000128725</t>
  </si>
  <si>
    <t>ENSMUST00000128174</t>
  </si>
  <si>
    <t>P62915</t>
  </si>
  <si>
    <t>ENSMUST00000029938</t>
  </si>
  <si>
    <t>ENSMUST00000196311</t>
  </si>
  <si>
    <t>P62960</t>
  </si>
  <si>
    <t>ENSMUST00000079644</t>
  </si>
  <si>
    <t>ENSMUST00000152733</t>
  </si>
  <si>
    <t>ENSMUST00000139897</t>
  </si>
  <si>
    <t>ENSMUST00000127737</t>
  </si>
  <si>
    <t>ENSMUST00000142884</t>
  </si>
  <si>
    <t>ENSMUST00000144992</t>
  </si>
  <si>
    <t>ENSMUST00000145976</t>
  </si>
  <si>
    <t>P62962</t>
  </si>
  <si>
    <t>ENSMUST00000018437</t>
  </si>
  <si>
    <t>ENSMUST00000178254</t>
  </si>
  <si>
    <t>ENSMUST00000177669</t>
  </si>
  <si>
    <t>ENSMUST00000108549</t>
  </si>
  <si>
    <t>P62983</t>
  </si>
  <si>
    <t>ENSMUST00000143418</t>
  </si>
  <si>
    <t>ENSMUST00000147782</t>
  </si>
  <si>
    <t>ENSMUST00000102845</t>
  </si>
  <si>
    <t>ENSMUST00000102844</t>
  </si>
  <si>
    <t>ENSMUST00000150739</t>
  </si>
  <si>
    <t>P62996</t>
  </si>
  <si>
    <t>ENSMUST00000161286</t>
  </si>
  <si>
    <t>ENSMUST00000023564</t>
  </si>
  <si>
    <t>ENSMUST00000162413</t>
  </si>
  <si>
    <t>ENSMUST00000161774</t>
  </si>
  <si>
    <t>ENSMUST00000159946</t>
  </si>
  <si>
    <t>ENSMUST00000160579</t>
  </si>
  <si>
    <t>P63001</t>
  </si>
  <si>
    <t>ENSMUST00000080537</t>
  </si>
  <si>
    <t>ENSMUST00000100489</t>
  </si>
  <si>
    <t>ENSMUST00000145709</t>
  </si>
  <si>
    <t>P63011</t>
  </si>
  <si>
    <t>ENSMUST00000034301</t>
  </si>
  <si>
    <t>ENSMUST00000110092</t>
  </si>
  <si>
    <t>ENSMUST00000110090</t>
  </si>
  <si>
    <t>ENSMUST00000110093</t>
  </si>
  <si>
    <t>ENSMUST00000130468</t>
  </si>
  <si>
    <t>P63017</t>
  </si>
  <si>
    <t>ENSMUST00000015800</t>
  </si>
  <si>
    <t>ENSMUST00000117870</t>
  </si>
  <si>
    <t>ENSMUST00000149936</t>
  </si>
  <si>
    <t>ENSMUST00000140984</t>
  </si>
  <si>
    <t>ENSMUST00000138895</t>
  </si>
  <si>
    <t>ENSMUST00000133964</t>
  </si>
  <si>
    <t>ENSMUST00000127699</t>
  </si>
  <si>
    <t>P63024</t>
  </si>
  <si>
    <t>ENSMUST00000030797</t>
  </si>
  <si>
    <t>ENSMUST00000155446</t>
  </si>
  <si>
    <t>ENSMUST00000125205</t>
  </si>
  <si>
    <t>P63028</t>
  </si>
  <si>
    <t>ENSMUST00000110894</t>
  </si>
  <si>
    <t>ENSMUST00000142061</t>
  </si>
  <si>
    <t>ENSMUST00000150047</t>
  </si>
  <si>
    <t>ENSMUST00000128889</t>
  </si>
  <si>
    <t>ENSMUST00000154533</t>
  </si>
  <si>
    <t>ENSMUST00000151751</t>
  </si>
  <si>
    <t>ENSMUST00000125146</t>
  </si>
  <si>
    <t>P63037</t>
  </si>
  <si>
    <t>ENSMUST00000030118</t>
  </si>
  <si>
    <t>ENSMUST00000129204</t>
  </si>
  <si>
    <t>ENSMUST00000137246</t>
  </si>
  <si>
    <t>ENSMUST00000126020</t>
  </si>
  <si>
    <t>ENSMUST00000149794</t>
  </si>
  <si>
    <t>ENSMUST00000148976</t>
  </si>
  <si>
    <t>ENSMUST00000125442</t>
  </si>
  <si>
    <t>ENSMUST00000164233</t>
  </si>
  <si>
    <t>P63038</t>
  </si>
  <si>
    <t>ENSMUST00000027123</t>
  </si>
  <si>
    <t>ENSMUST00000127861</t>
  </si>
  <si>
    <t>ENSMUST00000144077</t>
  </si>
  <si>
    <t>P63044</t>
  </si>
  <si>
    <t>ENSMUST00000021273</t>
  </si>
  <si>
    <t>ENSMUST00000117780</t>
  </si>
  <si>
    <t>ENSMUST00000149780</t>
  </si>
  <si>
    <t>ENSMUST00000149559</t>
  </si>
  <si>
    <t>ENSMUST00000146847</t>
  </si>
  <si>
    <t>P63073</t>
  </si>
  <si>
    <t>ENSMUST00000029803</t>
  </si>
  <si>
    <t>ENSMUST00000200020</t>
  </si>
  <si>
    <t>ENSMUST00000196990</t>
  </si>
  <si>
    <t>ENSMUST00000198252</t>
  </si>
  <si>
    <t>P63085</t>
  </si>
  <si>
    <t>ENSMUST00000069107</t>
  </si>
  <si>
    <t>ENSMUST00000115731</t>
  </si>
  <si>
    <t>P63094</t>
  </si>
  <si>
    <t>ENSMUST00000109095</t>
  </si>
  <si>
    <t>ENSMUST00000087877</t>
  </si>
  <si>
    <t>ENSMUST00000154658</t>
  </si>
  <si>
    <t>ENSMUST00000124935</t>
  </si>
  <si>
    <t>ENSMUST00000156623</t>
  </si>
  <si>
    <t>ENSMUST00000149016</t>
  </si>
  <si>
    <t>ENSMUST00000133356</t>
  </si>
  <si>
    <t>ENSMUST00000087871</t>
  </si>
  <si>
    <t>ENSMUST00000148640</t>
  </si>
  <si>
    <t>ENSMUST00000109085</t>
  </si>
  <si>
    <t>ENSMUST00000109084</t>
  </si>
  <si>
    <t>ENSMUST00000109083</t>
  </si>
  <si>
    <t>ENSMUST00000131125</t>
  </si>
  <si>
    <t>ENSMUST00000129534</t>
  </si>
  <si>
    <t>ENSMUST00000109087</t>
  </si>
  <si>
    <t>P63101</t>
  </si>
  <si>
    <t>ENSMUST00000110361</t>
  </si>
  <si>
    <t>ENSMUST00000022894</t>
  </si>
  <si>
    <t>ENSMUST00000110362</t>
  </si>
  <si>
    <t>ENSMUST00000151635</t>
  </si>
  <si>
    <t>ENSMUST00000126184</t>
  </si>
  <si>
    <t>ENSMUST00000154879</t>
  </si>
  <si>
    <t>P63154</t>
  </si>
  <si>
    <t>ENSMUST00000001818</t>
  </si>
  <si>
    <t>ENSMUST00000145425</t>
  </si>
  <si>
    <t>ENSMUST00000147904</t>
  </si>
  <si>
    <t>P63158</t>
  </si>
  <si>
    <t>ENSMUST00000085546</t>
  </si>
  <si>
    <t>ENSMUST00000110505</t>
  </si>
  <si>
    <t>ENSMUST00000093196</t>
  </si>
  <si>
    <t>ENSMUST00000202133</t>
  </si>
  <si>
    <t>ENSMUST00000155086</t>
  </si>
  <si>
    <t>ENSMUST00000139443</t>
  </si>
  <si>
    <t>ENSMUST00000138553</t>
  </si>
  <si>
    <t>ENSMUST00000133667</t>
  </si>
  <si>
    <t>ENSMUST00000123645</t>
  </si>
  <si>
    <t>P63166</t>
  </si>
  <si>
    <t>ENSMUST00000091374</t>
  </si>
  <si>
    <t>ENSMUST00000185265</t>
  </si>
  <si>
    <t>ENSMUST00000123857</t>
  </si>
  <si>
    <t>P63168</t>
  </si>
  <si>
    <t>ENSMUST00000009157</t>
  </si>
  <si>
    <t>ENSMUST00000202980</t>
  </si>
  <si>
    <t>ENSMUST00000112090</t>
  </si>
  <si>
    <t>ENSMUST00000127552</t>
  </si>
  <si>
    <t>ENSMUST00000125959</t>
  </si>
  <si>
    <t>P63242</t>
  </si>
  <si>
    <t>ENSMUST00000108610</t>
  </si>
  <si>
    <t>ENSMUST00000108612</t>
  </si>
  <si>
    <t>ENSMUST00000108611</t>
  </si>
  <si>
    <t>ENSMUST00000108613</t>
  </si>
  <si>
    <t>ENSMUST00000043419</t>
  </si>
  <si>
    <t>ENSMUST00000070996</t>
  </si>
  <si>
    <t>ENSMUST00000108609</t>
  </si>
  <si>
    <t>ENSMUST00000108608</t>
  </si>
  <si>
    <t>ENSMUST00000108607</t>
  </si>
  <si>
    <t>ENSMUST00000153652</t>
  </si>
  <si>
    <t>ENSMUST00000152589</t>
  </si>
  <si>
    <t>ENSMUST00000164359</t>
  </si>
  <si>
    <t>P63254</t>
  </si>
  <si>
    <t>ENSMUST00000199089</t>
  </si>
  <si>
    <t>ENSMUST00000200553</t>
  </si>
  <si>
    <t>ENSMUST00000196932</t>
  </si>
  <si>
    <t>ENSMUST00000198909</t>
  </si>
  <si>
    <t>ENSMUST00000006523</t>
  </si>
  <si>
    <t>P63276</t>
  </si>
  <si>
    <t>ENSMUST00000080813</t>
  </si>
  <si>
    <t>ENSMUST00000134425</t>
  </si>
  <si>
    <t>ENSMUST00000156346</t>
  </si>
  <si>
    <t>ENSMUST00000138936</t>
  </si>
  <si>
    <t>ENSMUST00000130487</t>
  </si>
  <si>
    <t>P63280</t>
  </si>
  <si>
    <t>ENSMUST00000049911</t>
  </si>
  <si>
    <t>ENSMUST00000173084</t>
  </si>
  <si>
    <t>ENSMUST00000173713</t>
  </si>
  <si>
    <t>ENSMUST00000174216</t>
  </si>
  <si>
    <t>ENSMUST00000172618</t>
  </si>
  <si>
    <t>ENSMUST00000174031</t>
  </si>
  <si>
    <t>ENSMUST00000174001</t>
  </si>
  <si>
    <t>ENSMUST00000172569</t>
  </si>
  <si>
    <t>ENSMUST00000173621</t>
  </si>
  <si>
    <t>ENSMUST00000172868</t>
  </si>
  <si>
    <t>ENSMUST00000172587</t>
  </si>
  <si>
    <t>ENSMUST00000173231</t>
  </si>
  <si>
    <t>ENSMUST00000172462</t>
  </si>
  <si>
    <t>P63325</t>
  </si>
  <si>
    <t>ENSMUST00000114882</t>
  </si>
  <si>
    <t>ENSMUST00000114881</t>
  </si>
  <si>
    <t>ENSMUST00000025052</t>
  </si>
  <si>
    <t>ENSMUST00000155071</t>
  </si>
  <si>
    <t>ENSMUST00000150763</t>
  </si>
  <si>
    <t>ENSMUST00000145226</t>
  </si>
  <si>
    <t>ENSMUST00000152982</t>
  </si>
  <si>
    <t>ENSMUST00000178774</t>
  </si>
  <si>
    <t>P67778</t>
  </si>
  <si>
    <t>ENSMUST00000125172</t>
  </si>
  <si>
    <t>ENSMUST00000036374</t>
  </si>
  <si>
    <t>ENSMUST00000127031</t>
  </si>
  <si>
    <t>ENSMUST00000123071</t>
  </si>
  <si>
    <t>ENSMUST00000123001</t>
  </si>
  <si>
    <t>P67871</t>
  </si>
  <si>
    <t>ENSMUST00000173114</t>
  </si>
  <si>
    <t>ENSMUST00000174779</t>
  </si>
  <si>
    <t>ENSMUST00000025246</t>
  </si>
  <si>
    <t>ENSMUST00000174024</t>
  </si>
  <si>
    <t>ENSMUST00000173633</t>
  </si>
  <si>
    <t>ENSMUST00000173189</t>
  </si>
  <si>
    <t>ENSMUST00000172765</t>
  </si>
  <si>
    <t>ENSMUST00000174306</t>
  </si>
  <si>
    <t>ENSMUST00000174855</t>
  </si>
  <si>
    <t>P67984</t>
  </si>
  <si>
    <t>ENSMUST00000142735</t>
  </si>
  <si>
    <t>ENSMUST00000103191</t>
  </si>
  <si>
    <t>ENSMUST00000139685</t>
  </si>
  <si>
    <t>ENSMUST00000126519</t>
  </si>
  <si>
    <t>ENSMUST00000127659</t>
  </si>
  <si>
    <t>ENSMUST00000150485</t>
  </si>
  <si>
    <t>ENSMUST00000156445</t>
  </si>
  <si>
    <t>ENSMUST00000188151</t>
  </si>
  <si>
    <t>P68040</t>
  </si>
  <si>
    <t>ENSMUST00000142269</t>
  </si>
  <si>
    <t>ENSMUST00000139959</t>
  </si>
  <si>
    <t>ENSMUST00000020640</t>
  </si>
  <si>
    <t>ENSMUST00000136703</t>
  </si>
  <si>
    <t>ENSMUST00000125166</t>
  </si>
  <si>
    <t>ENSMUST00000136849</t>
  </si>
  <si>
    <t>P68254</t>
  </si>
  <si>
    <t>ENSMUST00000135088</t>
  </si>
  <si>
    <t>ENSMUST00000103002</t>
  </si>
  <si>
    <t>ENSMUST00000155480</t>
  </si>
  <si>
    <t>ENSMUST00000140710</t>
  </si>
  <si>
    <t>ENSMUST00000146206</t>
  </si>
  <si>
    <t>ENSMUST00000049531</t>
  </si>
  <si>
    <t>ENSMUST00000124251</t>
  </si>
  <si>
    <t>ENSMUST00000144099</t>
  </si>
  <si>
    <t>P68368</t>
  </si>
  <si>
    <t>ENSMUST00000186213</t>
  </si>
  <si>
    <t>ENSMUST00000079464</t>
  </si>
  <si>
    <t>ENSMUST00000186971</t>
  </si>
  <si>
    <t>ENSMUST00000187103</t>
  </si>
  <si>
    <t>ENSMUST00000190717</t>
  </si>
  <si>
    <t>P68372</t>
  </si>
  <si>
    <t>ENSMUST00000043584</t>
  </si>
  <si>
    <t>ENSMUST00000145607</t>
  </si>
  <si>
    <t>P68510</t>
  </si>
  <si>
    <t>ENSMUST00000019109</t>
  </si>
  <si>
    <t>ENSMUST00000199651</t>
  </si>
  <si>
    <t>ENSMUST00000136667</t>
  </si>
  <si>
    <t>P70168</t>
  </si>
  <si>
    <t>ENSMUST00000001479</t>
  </si>
  <si>
    <t>ENSMUST00000132633</t>
  </si>
  <si>
    <t>ENSMUST00000153727</t>
  </si>
  <si>
    <t>P70245</t>
  </si>
  <si>
    <t>ENSMUST00000033509</t>
  </si>
  <si>
    <t>ENSMUST00000140011</t>
  </si>
  <si>
    <t>ENSMUST00000149495</t>
  </si>
  <si>
    <t>P70279</t>
  </si>
  <si>
    <t>ENSMUST00000047632</t>
  </si>
  <si>
    <t>ENSMUST00000142131</t>
  </si>
  <si>
    <t>ENSMUST00000127691</t>
  </si>
  <si>
    <t>P70296</t>
  </si>
  <si>
    <t>ENSMUST00000036951</t>
  </si>
  <si>
    <t>ENSMUST00000111973</t>
  </si>
  <si>
    <t>ENSMUST00000142428</t>
  </si>
  <si>
    <t>ENSMUST00000139913</t>
  </si>
  <si>
    <t>P70318</t>
  </si>
  <si>
    <t>ENSMUST00000106226</t>
  </si>
  <si>
    <t>ENSMUST00000133444</t>
  </si>
  <si>
    <t>ENSMUST00000123666</t>
  </si>
  <si>
    <t>ENSMUST00000033135</t>
  </si>
  <si>
    <t>ENSMUST00000106228</t>
  </si>
  <si>
    <t>ENSMUST00000141079</t>
  </si>
  <si>
    <t>ENSMUST00000152328</t>
  </si>
  <si>
    <t>ENSMUST00000136782</t>
  </si>
  <si>
    <t>ENSMUST00000133089</t>
  </si>
  <si>
    <t>P70333</t>
  </si>
  <si>
    <t>ENSMUST00000074950</t>
  </si>
  <si>
    <t>ENSMUST00000113202</t>
  </si>
  <si>
    <t>ENSMUST00000059297</t>
  </si>
  <si>
    <t>P70349</t>
  </si>
  <si>
    <t>ENSMUST00000020504</t>
  </si>
  <si>
    <t>ENSMUST00000117710</t>
  </si>
  <si>
    <t>P70460</t>
  </si>
  <si>
    <t>ENSMUST00000032561</t>
  </si>
  <si>
    <t>ENSMUST00000161488</t>
  </si>
  <si>
    <t>ENSMUST00000162717</t>
  </si>
  <si>
    <t>P70670</t>
  </si>
  <si>
    <t>ENSMUST00000092048</t>
  </si>
  <si>
    <t>ENSMUST00000073868</t>
  </si>
  <si>
    <t>P80315</t>
  </si>
  <si>
    <t>ENSMUST00000173867</t>
  </si>
  <si>
    <t>ENSMUST00000173853</t>
  </si>
  <si>
    <t>ENSMUST00000174244</t>
  </si>
  <si>
    <t>ENSMUST00000174746</t>
  </si>
  <si>
    <t>ENSMUST00000145912</t>
  </si>
  <si>
    <t>ENSMUST00000174689</t>
  </si>
  <si>
    <t>P80316</t>
  </si>
  <si>
    <t>ENSMUST00000022842</t>
  </si>
  <si>
    <t>ENSMUST00000160174</t>
  </si>
  <si>
    <t>ENSMUST00000159449</t>
  </si>
  <si>
    <t>ENSMUST00000161266</t>
  </si>
  <si>
    <t>ENSMUST00000159121</t>
  </si>
  <si>
    <t>P80318</t>
  </si>
  <si>
    <t>ENSMUST00000001452</t>
  </si>
  <si>
    <t>ENSMUST00000193666</t>
  </si>
  <si>
    <t>ENSMUST00000167000</t>
  </si>
  <si>
    <t>ENSMUST00000164783</t>
  </si>
  <si>
    <t>ENSMUST00000167718</t>
  </si>
  <si>
    <t>ENSMUST00000164166</t>
  </si>
  <si>
    <t>ENSMUST00000168062</t>
  </si>
  <si>
    <t>ENSMUST00000163735</t>
  </si>
  <si>
    <t>ENSMUST00000164122</t>
  </si>
  <si>
    <t>P83917</t>
  </si>
  <si>
    <t>ENSMUST00000018810</t>
  </si>
  <si>
    <t>ENSMUST00000134585</t>
  </si>
  <si>
    <t>ENSMUST00000093943</t>
  </si>
  <si>
    <t>ENSMUST00000141257</t>
  </si>
  <si>
    <t>ENSMUST00000079702</t>
  </si>
  <si>
    <t>P83940</t>
  </si>
  <si>
    <t>ENSMUST00000188641</t>
  </si>
  <si>
    <t>ENSMUST00000115352</t>
  </si>
  <si>
    <t>ENSMUST00000186948</t>
  </si>
  <si>
    <t>ENSMUST00000187910</t>
  </si>
  <si>
    <t>ENSMUST00000185771</t>
  </si>
  <si>
    <t>ENSMUST00000185393</t>
  </si>
  <si>
    <t>ENSMUST00000186701</t>
  </si>
  <si>
    <t>ENSMUST00000188987</t>
  </si>
  <si>
    <t>ENSMUST00000186541</t>
  </si>
  <si>
    <t>ENSMUST00000190986</t>
  </si>
  <si>
    <t>ENSMUST00000191535</t>
  </si>
  <si>
    <t>P84078</t>
  </si>
  <si>
    <t>ENSMUST00000061242</t>
  </si>
  <si>
    <t>ENSMUST00000163300</t>
  </si>
  <si>
    <t>P84089</t>
  </si>
  <si>
    <t>ENSMUST00000021559</t>
  </si>
  <si>
    <t>ENSMUST00000166931</t>
  </si>
  <si>
    <t>P84096</t>
  </si>
  <si>
    <t>ENSMUST00000098230</t>
  </si>
  <si>
    <t>ENSMUST00000106923</t>
  </si>
  <si>
    <t>P84099</t>
  </si>
  <si>
    <t>ENSMUST00000092425</t>
  </si>
  <si>
    <t>ENSMUST00000017548</t>
  </si>
  <si>
    <t>ENSMUST00000134435</t>
  </si>
  <si>
    <t>P84104</t>
  </si>
  <si>
    <t>ENSMUST00000147265</t>
  </si>
  <si>
    <t>ENSMUST00000037776</t>
  </si>
  <si>
    <t>ENSMUST00000130216</t>
  </si>
  <si>
    <t>ENSMUST00000144551</t>
  </si>
  <si>
    <t>ENSMUST00000150157</t>
  </si>
  <si>
    <t>P84228</t>
  </si>
  <si>
    <t>ENSMUST00000176059</t>
  </si>
  <si>
    <t>ENSMUST00000167403</t>
  </si>
  <si>
    <t>ENSMUST00000075558</t>
  </si>
  <si>
    <t>ENSMUST00000091752</t>
  </si>
  <si>
    <t>ENSMUST00000105105</t>
  </si>
  <si>
    <t>ENSMUST00000091703</t>
  </si>
  <si>
    <t>ENSMUST00000105107</t>
  </si>
  <si>
    <t>P97311</t>
  </si>
  <si>
    <t>ENSMUST00000027601</t>
  </si>
  <si>
    <t>ENSMUST00000190495</t>
  </si>
  <si>
    <t>ENSMUST00000191454</t>
  </si>
  <si>
    <t>ENSMUST00000188755</t>
  </si>
  <si>
    <t>P97370</t>
  </si>
  <si>
    <t>ENSMUST00000034983</t>
  </si>
  <si>
    <t>ENSMUST00000190045</t>
  </si>
  <si>
    <t>ENSMUST00000187341</t>
  </si>
  <si>
    <t>P97371</t>
  </si>
  <si>
    <t>ENSMUST00000174259</t>
  </si>
  <si>
    <t>ENSMUST00000172941</t>
  </si>
  <si>
    <t>ENSMUST00000173544</t>
  </si>
  <si>
    <t>ENSMUST00000174791</t>
  </si>
  <si>
    <t>ENSMUST00000173388</t>
  </si>
  <si>
    <t>ENSMUST00000174148</t>
  </si>
  <si>
    <t>ENSMUST00000173113</t>
  </si>
  <si>
    <t>ENSMUST00000174419</t>
  </si>
  <si>
    <t>P97372</t>
  </si>
  <si>
    <t>ENSMUST00000161807</t>
  </si>
  <si>
    <t>ENSMUST00000161573</t>
  </si>
  <si>
    <t>ENSMUST00000162700</t>
  </si>
  <si>
    <t>ENSMUST00000161027</t>
  </si>
  <si>
    <t>ENSMUST00000159687</t>
  </si>
  <si>
    <t>ENSMUST00000159282</t>
  </si>
  <si>
    <t>ENSMUST00000162496</t>
  </si>
  <si>
    <t>ENSMUST00000159845</t>
  </si>
  <si>
    <t>ENSMUST00000159297</t>
  </si>
  <si>
    <t>ENSMUST00000111378</t>
  </si>
  <si>
    <t>ENSMUST00000104958</t>
  </si>
  <si>
    <t>P97377</t>
  </si>
  <si>
    <t>ENSMUST00000026416</t>
  </si>
  <si>
    <t>ENSMUST00000026415</t>
  </si>
  <si>
    <t>P97450</t>
  </si>
  <si>
    <t>ENSMUST00000023608</t>
  </si>
  <si>
    <t>ENSMUST00000114191</t>
  </si>
  <si>
    <t>ENSMUST00000148787</t>
  </si>
  <si>
    <t>ENSMUST00000127651</t>
  </si>
  <si>
    <t>ENSMUST00000140036</t>
  </si>
  <si>
    <t>ENSMUST00000146225</t>
  </si>
  <si>
    <t>ENSMUST00000144799</t>
  </si>
  <si>
    <t>ENSMUST00000155956</t>
  </si>
  <si>
    <t>ENSMUST00000114193</t>
  </si>
  <si>
    <t>ENSMUST00000150502</t>
  </si>
  <si>
    <t>ENSMUST00000146103</t>
  </si>
  <si>
    <t>P97461</t>
  </si>
  <si>
    <t>ENSMUST00000108539</t>
  </si>
  <si>
    <t>ENSMUST00000004554</t>
  </si>
  <si>
    <t>ENSMUST00000147435</t>
  </si>
  <si>
    <t>ENSMUST00000139349</t>
  </si>
  <si>
    <t>ENSMUST00000131795</t>
  </si>
  <si>
    <t>ENSMUST00000137329</t>
  </si>
  <si>
    <t>P97496</t>
  </si>
  <si>
    <t>ENSMUST00000088716</t>
  </si>
  <si>
    <t>ENSMUST00000197480</t>
  </si>
  <si>
    <t>ENSMUST00000200237</t>
  </si>
  <si>
    <t>ENSMUST00000197984</t>
  </si>
  <si>
    <t>ENSMUST00000198667</t>
  </si>
  <si>
    <t>ENSMUST00000200426</t>
  </si>
  <si>
    <t>P97807</t>
  </si>
  <si>
    <t>ENSMUST00000027810</t>
  </si>
  <si>
    <t>ENSMUST00000130996</t>
  </si>
  <si>
    <t>ENSMUST00000133218</t>
  </si>
  <si>
    <t>P97822</t>
  </si>
  <si>
    <t>ENSMUST00000165307</t>
  </si>
  <si>
    <t>ENSMUST00000015893</t>
  </si>
  <si>
    <t>ENSMUST00000169426</t>
  </si>
  <si>
    <t>ENSMUST00000171368</t>
  </si>
  <si>
    <t>ENSMUST00000171035</t>
  </si>
  <si>
    <t>ENSMUST00000167876</t>
  </si>
  <si>
    <t>ENSMUST00000168471</t>
  </si>
  <si>
    <t>P97823</t>
  </si>
  <si>
    <t>ENSMUST00000134384</t>
  </si>
  <si>
    <t>ENSMUST00000027036</t>
  </si>
  <si>
    <t>ENSMUST00000150971</t>
  </si>
  <si>
    <t>ENSMUST00000119612</t>
  </si>
  <si>
    <t>ENSMUST00000137887</t>
  </si>
  <si>
    <t>ENSMUST00000115529</t>
  </si>
  <si>
    <t>ENSMUST00000141278</t>
  </si>
  <si>
    <t>P97855</t>
  </si>
  <si>
    <t>ENSMUST00000018727</t>
  </si>
  <si>
    <t>ENSMUST00000151790</t>
  </si>
  <si>
    <t>P99024</t>
  </si>
  <si>
    <t>ENSMUST00000001566</t>
  </si>
  <si>
    <t>ENSMUST00000173253</t>
  </si>
  <si>
    <t>ENSMUST00000134978</t>
  </si>
  <si>
    <t>ENSMUST00000156050</t>
  </si>
  <si>
    <t>P99026</t>
  </si>
  <si>
    <t>ENSMUST00000005923</t>
  </si>
  <si>
    <t>ENSMUST00000134133</t>
  </si>
  <si>
    <t>ENSMUST00000133412</t>
  </si>
  <si>
    <t>ENSMUST00000136143</t>
  </si>
  <si>
    <t>ENSMUST00000200513</t>
  </si>
  <si>
    <t>P99027</t>
  </si>
  <si>
    <t>ENSMUST00000084434</t>
  </si>
  <si>
    <t>ENSMUST00000140099</t>
  </si>
  <si>
    <t>ENSMUST00000137307</t>
  </si>
  <si>
    <t>ENSMUST00000106004</t>
  </si>
  <si>
    <t>ENSMUST00000106003</t>
  </si>
  <si>
    <t>ENSMUST00000134636</t>
  </si>
  <si>
    <t>P99029</t>
  </si>
  <si>
    <t>ENSMUST00000145300</t>
  </si>
  <si>
    <t>ENSMUST00000025904</t>
  </si>
  <si>
    <t>ENSMUST00000149261</t>
  </si>
  <si>
    <t>Q01320</t>
  </si>
  <si>
    <t>ENSMUST00000068031</t>
  </si>
  <si>
    <t>ENSMUST00000154332</t>
  </si>
  <si>
    <t>ENSMUST00000139460</t>
  </si>
  <si>
    <t>ENSMUST00000151997</t>
  </si>
  <si>
    <t>ENSMUST00000144318</t>
  </si>
  <si>
    <t>ENSMUST00000139730</t>
  </si>
  <si>
    <t>ENSMUST00000129777</t>
  </si>
  <si>
    <t>Q01768</t>
  </si>
  <si>
    <t>ENSMUST00000021217</t>
  </si>
  <si>
    <t>ENSMUST00000072566</t>
  </si>
  <si>
    <t>Q01853</t>
  </si>
  <si>
    <t>ENSMUST00000030164</t>
  </si>
  <si>
    <t>ENSMUST00000154541</t>
  </si>
  <si>
    <t>ENSMUST00000154423</t>
  </si>
  <si>
    <t>ENSMUST00000139843</t>
  </si>
  <si>
    <t>Q02053</t>
  </si>
  <si>
    <t>ENSMUST00000089217</t>
  </si>
  <si>
    <t>ENSMUST00000152235</t>
  </si>
  <si>
    <t>ENSMUST00000130694</t>
  </si>
  <si>
    <t>ENSMUST00000001989</t>
  </si>
  <si>
    <t>ENSMUST00000137892</t>
  </si>
  <si>
    <t>ENSMUST00000136915</t>
  </si>
  <si>
    <t>Q02650</t>
  </si>
  <si>
    <t>ENSMUST00000014174</t>
  </si>
  <si>
    <t>ENSMUST00000102932</t>
  </si>
  <si>
    <t>ENSMUST00000107827</t>
  </si>
  <si>
    <t>ENSMUST00000173733</t>
  </si>
  <si>
    <t>ENSMUST00000146335</t>
  </si>
  <si>
    <t>ENSMUST00000187197</t>
  </si>
  <si>
    <t>Q03265</t>
  </si>
  <si>
    <t>ENSMUST00000026495</t>
  </si>
  <si>
    <t>ENSMUST00000114748</t>
  </si>
  <si>
    <t>ENSMUST00000135678</t>
  </si>
  <si>
    <t>ENSMUST00000128073</t>
  </si>
  <si>
    <t>ENSMUST00000146869</t>
  </si>
  <si>
    <t>Q04750</t>
  </si>
  <si>
    <t>ENSMUST00000109468</t>
  </si>
  <si>
    <t>ENSMUST00000133262</t>
  </si>
  <si>
    <t>ENSMUST00000129289</t>
  </si>
  <si>
    <t>ENSMUST00000164694</t>
  </si>
  <si>
    <t>ENSMUST00000164510</t>
  </si>
  <si>
    <t>ENSMUST00000150039</t>
  </si>
  <si>
    <t>Q05816</t>
  </si>
  <si>
    <t>ENSMUST00000029046</t>
  </si>
  <si>
    <t>ENSMUST00000123744</t>
  </si>
  <si>
    <t>Q05D44</t>
  </si>
  <si>
    <t>ENSMUST00000027252</t>
  </si>
  <si>
    <t>ENSMUST00000192548</t>
  </si>
  <si>
    <t>ENSMUST00000193806</t>
  </si>
  <si>
    <t>ENSMUST00000195664</t>
  </si>
  <si>
    <t>Q06185</t>
  </si>
  <si>
    <t>ENSMUST00000049628</t>
  </si>
  <si>
    <t>ENSMUST00000118632</t>
  </si>
  <si>
    <t>ENSMUST00000123184</t>
  </si>
  <si>
    <t>Q08288</t>
  </si>
  <si>
    <t>ENSMUST00000087514</t>
  </si>
  <si>
    <t>ENSMUST00000130721</t>
  </si>
  <si>
    <t>ENSMUST00000123207</t>
  </si>
  <si>
    <t>ENSMUST00000132190</t>
  </si>
  <si>
    <t>ENSMUST00000154975</t>
  </si>
  <si>
    <t>ENSMUST00000152066</t>
  </si>
  <si>
    <t>ENSMUST00000155300</t>
  </si>
  <si>
    <t>ENSMUST00000146401</t>
  </si>
  <si>
    <t>ENSMUST00000131492</t>
  </si>
  <si>
    <t>Q08943</t>
  </si>
  <si>
    <t>ENSMUST00000077798</t>
  </si>
  <si>
    <t>ENSMUST00000130729</t>
  </si>
  <si>
    <t>ENSMUST00000123467</t>
  </si>
  <si>
    <t>ENSMUST00000135414</t>
  </si>
  <si>
    <t>ENSMUST00000146530</t>
  </si>
  <si>
    <t>ENSMUST00000142359</t>
  </si>
  <si>
    <t>ENSMUST00000145097</t>
  </si>
  <si>
    <t>ENSMUST00000127069</t>
  </si>
  <si>
    <t>ENSMUST00000168266</t>
  </si>
  <si>
    <t>Q0P678</t>
  </si>
  <si>
    <t>ENSMUST00000017622</t>
  </si>
  <si>
    <t>ENSMUST00000093073</t>
  </si>
  <si>
    <t>ENSMUST00000177386</t>
  </si>
  <si>
    <t>ENSMUST00000176629</t>
  </si>
  <si>
    <t>ENSMUST00000177195</t>
  </si>
  <si>
    <t>ENSMUST00000175819</t>
  </si>
  <si>
    <t>ENSMUST00000177123</t>
  </si>
  <si>
    <t>ENSMUST00000175798</t>
  </si>
  <si>
    <t>ENSMUST00000177049</t>
  </si>
  <si>
    <t>Q1FZ0</t>
  </si>
  <si>
    <t>ENSMUST00000109699</t>
  </si>
  <si>
    <t>ENSMUST00000022087</t>
  </si>
  <si>
    <t>ENSMUST00000136932</t>
  </si>
  <si>
    <t>ENSMUST00000136891</t>
  </si>
  <si>
    <t>Q31125</t>
  </si>
  <si>
    <t>ENSMUST00000025186</t>
  </si>
  <si>
    <t>ENSMUST00000170491</t>
  </si>
  <si>
    <t>ENSMUST00000167145</t>
  </si>
  <si>
    <t>ENSMUST00000171872</t>
  </si>
  <si>
    <t>ENSMUST00000173810</t>
  </si>
  <si>
    <t>ENSMUST00000169397</t>
  </si>
  <si>
    <t>Q3TEA8</t>
  </si>
  <si>
    <t>ENSMUST00000105827</t>
  </si>
  <si>
    <t>ENSMUST00000142420</t>
  </si>
  <si>
    <t>ENSMUST00000137851</t>
  </si>
  <si>
    <t>ENSMUST00000130071</t>
  </si>
  <si>
    <t>ENSMUST00000137865</t>
  </si>
  <si>
    <t>ENSMUST00000148681</t>
  </si>
  <si>
    <t>ENSMUST00000155344</t>
  </si>
  <si>
    <t>ENSMUST00000154581</t>
  </si>
  <si>
    <t>ENSMUST00000165861</t>
  </si>
  <si>
    <t>ENSMUST00000097836</t>
  </si>
  <si>
    <t>ENSMUST00000030541</t>
  </si>
  <si>
    <t>Q3TE2</t>
  </si>
  <si>
    <t>ENSMUST00000038446</t>
  </si>
  <si>
    <t>ENSMUST00000137537</t>
  </si>
  <si>
    <t>ENSMUST00000131820</t>
  </si>
  <si>
    <t>Q3TW5</t>
  </si>
  <si>
    <t>ENSMUST00000109737</t>
  </si>
  <si>
    <t>ENSMUST00000093346</t>
  </si>
  <si>
    <t>Q3TKT4</t>
  </si>
  <si>
    <t>ENSMUST00000034707</t>
  </si>
  <si>
    <t>ENSMUST00000174008</t>
  </si>
  <si>
    <t>ENSMUST00000172996</t>
  </si>
  <si>
    <t>ENSMUST00000098948</t>
  </si>
  <si>
    <t>Q3TWW8</t>
  </si>
  <si>
    <t>ENSMUST00000193611</t>
  </si>
  <si>
    <t>ENSMUST00000130411</t>
  </si>
  <si>
    <t>ENSMUST00000017065</t>
  </si>
  <si>
    <t>ENSMUST00000126163</t>
  </si>
  <si>
    <t>Q3TXS7</t>
  </si>
  <si>
    <t>ENSMUST00000147807</t>
  </si>
  <si>
    <t>ENSMUST00000027432</t>
  </si>
  <si>
    <t>ENSMUST00000189234</t>
  </si>
  <si>
    <t>ENSMUST00000133480</t>
  </si>
  <si>
    <t>ENSMUST00000152184</t>
  </si>
  <si>
    <t>ENSMUST00000149946</t>
  </si>
  <si>
    <t>Q3TZ89</t>
  </si>
  <si>
    <t>ENSMUST00000063632</t>
  </si>
  <si>
    <t>ENSMUST00000165758</t>
  </si>
  <si>
    <t>Q3U9G9</t>
  </si>
  <si>
    <t>ENSMUST00000005003</t>
  </si>
  <si>
    <t>ENSMUST00000192075</t>
  </si>
  <si>
    <t>ENSMUST00000194302</t>
  </si>
  <si>
    <t>ENSMUST00000193030</t>
  </si>
  <si>
    <t>ENSMUST00000191878</t>
  </si>
  <si>
    <t>ENSMUST00000193028</t>
  </si>
  <si>
    <t>Q3UDE2</t>
  </si>
  <si>
    <t>ENSMUST00000016901</t>
  </si>
  <si>
    <t>ENSMUST00000134334</t>
  </si>
  <si>
    <t>Q3UEB3</t>
  </si>
  <si>
    <t>ENSMUST00000100527</t>
  </si>
  <si>
    <t>ENSMUST00000002599</t>
  </si>
  <si>
    <t>Q3UX2</t>
  </si>
  <si>
    <t>ENSMUST00000031627</t>
  </si>
  <si>
    <t>ENSMUST00000123111</t>
  </si>
  <si>
    <t>ENSMUST00000143439</t>
  </si>
  <si>
    <t>ENSMUST00000199218</t>
  </si>
  <si>
    <t>ENSMUST00000148781</t>
  </si>
  <si>
    <t>Q3UKJ7</t>
  </si>
  <si>
    <t>ENSMUST00000030117</t>
  </si>
  <si>
    <t>ENSMUST00000130503</t>
  </si>
  <si>
    <t>ENSMUST00000150574</t>
  </si>
  <si>
    <t>ENSMUST00000137415</t>
  </si>
  <si>
    <t>Q3UYV9</t>
  </si>
  <si>
    <t>ENSMUST00000030014</t>
  </si>
  <si>
    <t>ENSMUST00000131187</t>
  </si>
  <si>
    <t>ENSMUST00000133286</t>
  </si>
  <si>
    <t>Q3UZ39</t>
  </si>
  <si>
    <t>ENSMUST00000097649</t>
  </si>
  <si>
    <t>ENSMUST00000189617</t>
  </si>
  <si>
    <t>ENSMUST00000188094</t>
  </si>
  <si>
    <t>ENSMUST00000187375</t>
  </si>
  <si>
    <t>ENSMUST00000187532</t>
  </si>
  <si>
    <t>ENSMUST00000068167</t>
  </si>
  <si>
    <t>Q3V1L4</t>
  </si>
  <si>
    <t>ENSMUST00000174731</t>
  </si>
  <si>
    <t>ENSMUST00000086961</t>
  </si>
  <si>
    <t>ENSMUST00000168536</t>
  </si>
  <si>
    <t>Q3V3R1</t>
  </si>
  <si>
    <t>ENSMUST00000117291</t>
  </si>
  <si>
    <t>ENSMUST00000043735</t>
  </si>
  <si>
    <t>ENSMUST00000120585</t>
  </si>
  <si>
    <t>Q4QQM4</t>
  </si>
  <si>
    <t>ENSMUST00000111266</t>
  </si>
  <si>
    <t>ENSMUST00000140172</t>
  </si>
  <si>
    <t>ENSMUST00000150462</t>
  </si>
  <si>
    <t>ENSMUST00000127173</t>
  </si>
  <si>
    <t>ENSMUST00000147377</t>
  </si>
  <si>
    <t>ENSMUST00000132182</t>
  </si>
  <si>
    <t>ENSMUST00000143164</t>
  </si>
  <si>
    <t>ENSMUST00000090554</t>
  </si>
  <si>
    <t>Q4VA53</t>
  </si>
  <si>
    <t>ENSMUST00000202170</t>
  </si>
  <si>
    <t>ENSMUST00000016569</t>
  </si>
  <si>
    <t>ENSMUST00000133738</t>
  </si>
  <si>
    <t>ENSMUST00000110486</t>
  </si>
  <si>
    <t>ENSMUST00000201920</t>
  </si>
  <si>
    <t>ENSMUST00000132947</t>
  </si>
  <si>
    <t>ENSMUST00000038900</t>
  </si>
  <si>
    <t>Q4VAA2</t>
  </si>
  <si>
    <t>ENSMUST00000035484</t>
  </si>
  <si>
    <t>ENSMUST00000116517</t>
  </si>
  <si>
    <t>ENSMUST00000190226</t>
  </si>
  <si>
    <t>ENSMUST00000072249</t>
  </si>
  <si>
    <t>ENSMUST00000189875</t>
  </si>
  <si>
    <t>ENSMUST00000189896</t>
  </si>
  <si>
    <t>ENSMUST00000190127</t>
  </si>
  <si>
    <t>Q504M8</t>
  </si>
  <si>
    <t>ENSMUST00000061764</t>
  </si>
  <si>
    <t>ENSMUST00000035797</t>
  </si>
  <si>
    <t>Q52KI8</t>
  </si>
  <si>
    <t>ENSMUST00000105861</t>
  </si>
  <si>
    <t>ENSMUST00000084846</t>
  </si>
  <si>
    <t>ENSMUST00000136342</t>
  </si>
  <si>
    <t>ENSMUST00000030613</t>
  </si>
  <si>
    <t>ENSMUST00000140050</t>
  </si>
  <si>
    <t>ENSMUST00000150619</t>
  </si>
  <si>
    <t>ENSMUST00000136570</t>
  </si>
  <si>
    <t>ENSMUST00000162914</t>
  </si>
  <si>
    <t>ENSMUST00000151251</t>
  </si>
  <si>
    <t>ENSMUST00000131301</t>
  </si>
  <si>
    <t>ENSMUST00000154788</t>
  </si>
  <si>
    <t>ENSMUST00000131373</t>
  </si>
  <si>
    <t>ENSMUST00000134854</t>
  </si>
  <si>
    <t>ENSMUST00000134019</t>
  </si>
  <si>
    <t>Q569Z6</t>
  </si>
  <si>
    <t>ENSMUST00000080919</t>
  </si>
  <si>
    <t>ENSMUST00000140390</t>
  </si>
  <si>
    <t>ENSMUST00000154702</t>
  </si>
  <si>
    <t>ENSMUST00000163176</t>
  </si>
  <si>
    <t>ENSMUST00000106142</t>
  </si>
  <si>
    <t>ENSMUST00000163306</t>
  </si>
  <si>
    <t>ENSMUST00000151728</t>
  </si>
  <si>
    <t>ENSMUST00000123008</t>
  </si>
  <si>
    <t>ENSMUST00000136157</t>
  </si>
  <si>
    <t>ENSMUST00000130477</t>
  </si>
  <si>
    <t>ENSMUST00000168568</t>
  </si>
  <si>
    <t>ENSMUST00000130334</t>
  </si>
  <si>
    <t>ENSMUST00000142125</t>
  </si>
  <si>
    <t>ENSMUST00000106141</t>
  </si>
  <si>
    <t>ENSMUST00000124327</t>
  </si>
  <si>
    <t>Q5F285</t>
  </si>
  <si>
    <t>ENSMUST00000133967</t>
  </si>
  <si>
    <t>ENSMUST00000094065</t>
  </si>
  <si>
    <t>ENSMUST00000156556</t>
  </si>
  <si>
    <t>ENSMUST00000139085</t>
  </si>
  <si>
    <t>ENSMUST00000128281</t>
  </si>
  <si>
    <t>Q5SQX6</t>
  </si>
  <si>
    <t>ENSMUST00000093166</t>
  </si>
  <si>
    <t>ENSMUST00000142017</t>
  </si>
  <si>
    <t>ENSMUST00000129474</t>
  </si>
  <si>
    <t>ENSMUST00000165599</t>
  </si>
  <si>
    <t>ENSMUST00000093165</t>
  </si>
  <si>
    <t>Q5SSI6</t>
  </si>
  <si>
    <t>ENSMUST00000066888</t>
  </si>
  <si>
    <t>ENSMUST00000130797</t>
  </si>
  <si>
    <t>ENSMUST00000134807</t>
  </si>
  <si>
    <t>Q5SUA5</t>
  </si>
  <si>
    <t>ENSMUST00000003459</t>
  </si>
  <si>
    <t>ENSMUST00000144725</t>
  </si>
  <si>
    <t>ENSMUST00000134639</t>
  </si>
  <si>
    <t>ENSMUST00000156878</t>
  </si>
  <si>
    <t>ENSMUST00000131823</t>
  </si>
  <si>
    <t>ENSMUST00000146536</t>
  </si>
  <si>
    <t>ENSMUST00000134489</t>
  </si>
  <si>
    <t>Q5SUF2</t>
  </si>
  <si>
    <t>ENSMUST00000166312</t>
  </si>
  <si>
    <t>ENSMUST00000107821</t>
  </si>
  <si>
    <t>ENSMUST00000021226</t>
  </si>
  <si>
    <t>ENSMUST00000107820</t>
  </si>
  <si>
    <t>ENSMUST00000171033</t>
  </si>
  <si>
    <t>ENSMUST00000135311</t>
  </si>
  <si>
    <t>ENSMUST00000165620</t>
  </si>
  <si>
    <t>Q5SUR0</t>
  </si>
  <si>
    <t>ENSMUST00000021282</t>
  </si>
  <si>
    <t>ENSMUST00000172915</t>
  </si>
  <si>
    <t>ENSMUST00000146490</t>
  </si>
  <si>
    <t>ENSMUST00000152964</t>
  </si>
  <si>
    <t>ENSMUST00000173410</t>
  </si>
  <si>
    <t>ENSMUST00000172987</t>
  </si>
  <si>
    <t>Q5SWU9</t>
  </si>
  <si>
    <t>ENSMUST00000184534</t>
  </si>
  <si>
    <t>ENSMUST00000183548</t>
  </si>
  <si>
    <t>ENSMUST00000137500</t>
  </si>
  <si>
    <t>ENSMUST00000130012</t>
  </si>
  <si>
    <t>ENSMUST00000136463</t>
  </si>
  <si>
    <t>ENSMUST00000183887</t>
  </si>
  <si>
    <t>Q5XJY5</t>
  </si>
  <si>
    <t>ENSMUST00000034607</t>
  </si>
  <si>
    <t>ENSMUST00000150160</t>
  </si>
  <si>
    <t>ENSMUST00000125164</t>
  </si>
  <si>
    <t>Q60597</t>
  </si>
  <si>
    <t>ENSMUST00000003461</t>
  </si>
  <si>
    <t>ENSMUST00000093350</t>
  </si>
  <si>
    <t>ENSMUST00000081894</t>
  </si>
  <si>
    <t>ENSMUST00000101554</t>
  </si>
  <si>
    <t>ENSMUST00000140765</t>
  </si>
  <si>
    <t>ENSMUST00000135124</t>
  </si>
  <si>
    <t>ENSMUST00000125929</t>
  </si>
  <si>
    <t>Q60631</t>
  </si>
  <si>
    <t>ENSMUST00000106497</t>
  </si>
  <si>
    <t>ENSMUST00000021090</t>
  </si>
  <si>
    <t>Q60664</t>
  </si>
  <si>
    <t>ENSMUST00000135984</t>
  </si>
  <si>
    <t>ENSMUST00000032396</t>
  </si>
  <si>
    <t>ENSMUST00000149244</t>
  </si>
  <si>
    <t>ENSMUST00000143631</t>
  </si>
  <si>
    <t>ENSMUST00000152571</t>
  </si>
  <si>
    <t>ENSMUST00000125029</t>
  </si>
  <si>
    <t>ENSMUST00000132937</t>
  </si>
  <si>
    <t>ENSMUST00000135191</t>
  </si>
  <si>
    <t>Q60668</t>
  </si>
  <si>
    <t>ENSMUST00000172361</t>
  </si>
  <si>
    <t>ENSMUST00000019128</t>
  </si>
  <si>
    <t>ENSMUST00000112939</t>
  </si>
  <si>
    <t>ENSMUST00000072750</t>
  </si>
  <si>
    <t>ENSMUST00000171106</t>
  </si>
  <si>
    <t>ENSMUST00000164833</t>
  </si>
  <si>
    <t>ENSMUST00000168396</t>
  </si>
  <si>
    <t>ENSMUST00000170654</t>
  </si>
  <si>
    <t>ENSMUST00000171786</t>
  </si>
  <si>
    <t>Q60692</t>
  </si>
  <si>
    <t>ENSMUST00000145503</t>
  </si>
  <si>
    <t>ENSMUST00000018430</t>
  </si>
  <si>
    <t>ENSMUST00000148535</t>
  </si>
  <si>
    <t>ENSMUST00000128870</t>
  </si>
  <si>
    <t>Q60749</t>
  </si>
  <si>
    <t>ENSMUST00000129342</t>
  </si>
  <si>
    <t>ENSMUST00000139936</t>
  </si>
  <si>
    <t>ENSMUST00000066257</t>
  </si>
  <si>
    <t>ENSMUST00000139281</t>
  </si>
  <si>
    <t>Q60817</t>
  </si>
  <si>
    <t>Q60848</t>
  </si>
  <si>
    <t>ENSMUST00000025965</t>
  </si>
  <si>
    <t>ENSMUST00000128949</t>
  </si>
  <si>
    <t>ENSMUST00000145051</t>
  </si>
  <si>
    <t>ENSMUST00000138292</t>
  </si>
  <si>
    <t>ENSMUST00000127968</t>
  </si>
  <si>
    <t>Q60865</t>
  </si>
  <si>
    <t>ENSMUST00000028607</t>
  </si>
  <si>
    <t>ENSMUST00000111147</t>
  </si>
  <si>
    <t>ENSMUST00000143349</t>
  </si>
  <si>
    <t>ENSMUST00000145606</t>
  </si>
  <si>
    <t>ENSMUST00000149175</t>
  </si>
  <si>
    <t>ENSMUST00000132537</t>
  </si>
  <si>
    <t>ENSMUST00000137572</t>
  </si>
  <si>
    <t>ENSMUST00000143188</t>
  </si>
  <si>
    <t>ENSMUST00000137390</t>
  </si>
  <si>
    <t>ENSMUST00000128477</t>
  </si>
  <si>
    <t>ENSMUST00000141750</t>
  </si>
  <si>
    <t>ENSMUST00000145697</t>
  </si>
  <si>
    <t>ENSMUST00000145770</t>
  </si>
  <si>
    <t>ENSMUST00000155733</t>
  </si>
  <si>
    <t>ENSMUST00000146527</t>
  </si>
  <si>
    <t>Q60875</t>
  </si>
  <si>
    <t>ENSMUST00000175749</t>
  </si>
  <si>
    <t>ENSMUST00000176514</t>
  </si>
  <si>
    <t>ENSMUST00000176539</t>
  </si>
  <si>
    <t>ENSMUST00000176500</t>
  </si>
  <si>
    <t>ENSMUST00000175779</t>
  </si>
  <si>
    <t>ENSMUST00000029694</t>
  </si>
  <si>
    <t>ENSMUST00000177418</t>
  </si>
  <si>
    <t>ENSMUST00000107510</t>
  </si>
  <si>
    <t>ENSMUST00000170653</t>
  </si>
  <si>
    <t>ENSMUST00000176401</t>
  </si>
  <si>
    <t>ENSMUST00000176400</t>
  </si>
  <si>
    <t>ENSMUST00000176307</t>
  </si>
  <si>
    <t>ENSMUST00000175911</t>
  </si>
  <si>
    <t>ENSMUST00000176243</t>
  </si>
  <si>
    <t>ENSMUST00000176528</t>
  </si>
  <si>
    <t>ENSMUST00000176079</t>
  </si>
  <si>
    <t>ENSMUST00000176123</t>
  </si>
  <si>
    <t>ENSMUST00000177091</t>
  </si>
  <si>
    <t>ENSMUST00000176301</t>
  </si>
  <si>
    <t>ENSMUST00000177099</t>
  </si>
  <si>
    <t>Q60930</t>
  </si>
  <si>
    <t>ENSMUST00000022293</t>
  </si>
  <si>
    <t>ENSMUST00000153320</t>
  </si>
  <si>
    <t>ENSMUST00000152562</t>
  </si>
  <si>
    <t>ENSMUST00000172727</t>
  </si>
  <si>
    <t>ENSMUST00000147715</t>
  </si>
  <si>
    <t>ENSMUST00000132364</t>
  </si>
  <si>
    <t>ENSMUST00000130224</t>
  </si>
  <si>
    <t>ENSMUST00000142084</t>
  </si>
  <si>
    <t>Q60931</t>
  </si>
  <si>
    <t>ENSMUST00000009036</t>
  </si>
  <si>
    <t>ENSMUST00000179233</t>
  </si>
  <si>
    <t>Q60932</t>
  </si>
  <si>
    <t>ENSMUST00000102758</t>
  </si>
  <si>
    <t>ENSMUST00000157052</t>
  </si>
  <si>
    <t>ENSMUST00000125694</t>
  </si>
  <si>
    <t>ENSMUST00000153339</t>
  </si>
  <si>
    <t>ENSMUST00000020673</t>
  </si>
  <si>
    <t>Q60972</t>
  </si>
  <si>
    <t>ENSMUST00000102598</t>
  </si>
  <si>
    <t>ENSMUST00000147183</t>
  </si>
  <si>
    <t>ENSMUST00000135585</t>
  </si>
  <si>
    <t>Q60973</t>
  </si>
  <si>
    <t>ENSMUST00000033720</t>
  </si>
  <si>
    <t>ENSMUST00000112326</t>
  </si>
  <si>
    <t>ENSMUST00000112327</t>
  </si>
  <si>
    <t>ENSMUST00000143681</t>
  </si>
  <si>
    <t>ENSMUST00000138791</t>
  </si>
  <si>
    <t>Q61024</t>
  </si>
  <si>
    <t>ENSMUST00000115542</t>
  </si>
  <si>
    <t>ENSMUST00000031766</t>
  </si>
  <si>
    <t>ENSMUST00000140097</t>
  </si>
  <si>
    <t>ENSMUST00000133972</t>
  </si>
  <si>
    <t>ENSMUST00000139596</t>
  </si>
  <si>
    <t>Q61029</t>
  </si>
  <si>
    <t>ENSMUST00000072239</t>
  </si>
  <si>
    <t>ENSMUST00000092219</t>
  </si>
  <si>
    <t>ENSMUST00000099355</t>
  </si>
  <si>
    <t>ENSMUST00000105293</t>
  </si>
  <si>
    <t>ENSMUST00000020123</t>
  </si>
  <si>
    <t>Q61033</t>
  </si>
  <si>
    <t>Q61074</t>
  </si>
  <si>
    <t>ENSMUST00000031032</t>
  </si>
  <si>
    <t>ENSMUST00000202402</t>
  </si>
  <si>
    <t>ENSMUST00000201407</t>
  </si>
  <si>
    <t>ENSMUST00000200740</t>
  </si>
  <si>
    <t>Q61102</t>
  </si>
  <si>
    <t>ENSMUST00000033695</t>
  </si>
  <si>
    <t>ENSMUST00000140333</t>
  </si>
  <si>
    <t>Q61166</t>
  </si>
  <si>
    <t>ENSMUST00000028981</t>
  </si>
  <si>
    <t>ENSMUST00000123570</t>
  </si>
  <si>
    <t>Q61171</t>
  </si>
  <si>
    <t>ENSMUST00000109734</t>
  </si>
  <si>
    <t>ENSMUST00000005292</t>
  </si>
  <si>
    <t>ENSMUST00000138748</t>
  </si>
  <si>
    <t>ENSMUST00000143402</t>
  </si>
  <si>
    <t>ENSMUST00000109733</t>
  </si>
  <si>
    <t>ENSMUST00000125893</t>
  </si>
  <si>
    <t>ENSMUST00000127215</t>
  </si>
  <si>
    <t>ENSMUST00000164807</t>
  </si>
  <si>
    <t>Q61191</t>
  </si>
  <si>
    <t>ENSMUST00000033761</t>
  </si>
  <si>
    <t>ENSMUST00000128136</t>
  </si>
  <si>
    <t>ENSMUST00000114372</t>
  </si>
  <si>
    <t>ENSMUST00000156204</t>
  </si>
  <si>
    <t>ENSMUST00000131091</t>
  </si>
  <si>
    <t>Q61207</t>
  </si>
  <si>
    <t>ENSMUST00000105465</t>
  </si>
  <si>
    <t>ENSMUST00000165878</t>
  </si>
  <si>
    <t>ENSMUST00000179238</t>
  </si>
  <si>
    <t>ENSMUST00000177779</t>
  </si>
  <si>
    <t>Q61210</t>
  </si>
  <si>
    <t>ENSMUST00000117796</t>
  </si>
  <si>
    <t>ENSMUST00000047873</t>
  </si>
  <si>
    <t>ENSMUST00000098683</t>
  </si>
  <si>
    <t>ENSMUST00000129383</t>
  </si>
  <si>
    <t>ENSMUST00000127761</t>
  </si>
  <si>
    <t>ENSMUST00000145783</t>
  </si>
  <si>
    <t>ENSMUST00000117419</t>
  </si>
  <si>
    <t>ENSMUST00000151121</t>
  </si>
  <si>
    <t>ENSMUST00000144714</t>
  </si>
  <si>
    <t>ENSMUST00000132751</t>
  </si>
  <si>
    <t>ENSMUST00000129928</t>
  </si>
  <si>
    <t>ENSMUST00000126484</t>
  </si>
  <si>
    <t>ENSMUST00000126918</t>
  </si>
  <si>
    <t>ENSMUST00000132786</t>
  </si>
  <si>
    <t>Q61233</t>
  </si>
  <si>
    <t>ENSMUST00000148609</t>
  </si>
  <si>
    <t>ENSMUST00000131802</t>
  </si>
  <si>
    <t>ENSMUST00000149883</t>
  </si>
  <si>
    <t>ENSMUST00000143539</t>
  </si>
  <si>
    <t>ENSMUST00000125833</t>
  </si>
  <si>
    <t>ENSMUST00000130510</t>
  </si>
  <si>
    <t>ENSMUST00000124499</t>
  </si>
  <si>
    <t>ENSMUST00000134114</t>
  </si>
  <si>
    <t>Q61545</t>
  </si>
  <si>
    <t>ENSMUST00000151497</t>
  </si>
  <si>
    <t>ENSMUST00000079949</t>
  </si>
  <si>
    <t>ENSMUST00000130118</t>
  </si>
  <si>
    <t>ENSMUST00000093365</t>
  </si>
  <si>
    <t>ENSMUST00000130060</t>
  </si>
  <si>
    <t>ENSMUST00000150168</t>
  </si>
  <si>
    <t>ENSMUST00000073308</t>
  </si>
  <si>
    <t>ENSMUST00000151847</t>
  </si>
  <si>
    <t>ENSMUST00000063232</t>
  </si>
  <si>
    <t>ENSMUST00000144238</t>
  </si>
  <si>
    <t>ENSMUST00000141002</t>
  </si>
  <si>
    <t>ENSMUST00000139886</t>
  </si>
  <si>
    <t>Q61584</t>
  </si>
  <si>
    <t>ENSMUST00000001620</t>
  </si>
  <si>
    <t>ENSMUST00000198051</t>
  </si>
  <si>
    <t>ENSMUST00000197694</t>
  </si>
  <si>
    <t>ENSMUST00000200392</t>
  </si>
  <si>
    <t>ENSMUST00000196519</t>
  </si>
  <si>
    <t>ENSMUST00000197853</t>
  </si>
  <si>
    <t>ENSMUST00000200425</t>
  </si>
  <si>
    <t>Q61599</t>
  </si>
  <si>
    <t>ENSMUST00000032344</t>
  </si>
  <si>
    <t>ENSMUST00000111892</t>
  </si>
  <si>
    <t>ENSMUST00000111891</t>
  </si>
  <si>
    <t>ENSMUST00000154440</t>
  </si>
  <si>
    <t>Q61655</t>
  </si>
  <si>
    <t>ENSMUST00000040416</t>
  </si>
  <si>
    <t>ENSMUST00000130133</t>
  </si>
  <si>
    <t>ENSMUST00000173183</t>
  </si>
  <si>
    <t>Q61686</t>
  </si>
  <si>
    <t>ENSMUST00000118152</t>
  </si>
  <si>
    <t>ENSMUST00000122182</t>
  </si>
  <si>
    <t>ENSMUST00000127191</t>
  </si>
  <si>
    <t>Q61699</t>
  </si>
  <si>
    <t>ENSMUST00000201452</t>
  </si>
  <si>
    <t>ENSMUST00000202361</t>
  </si>
  <si>
    <t>ENSMUST00000201877</t>
  </si>
  <si>
    <t>ENSMUST00000202137</t>
  </si>
  <si>
    <t>ENSMUST00000201431</t>
  </si>
  <si>
    <t>ENSMUST00000200825</t>
  </si>
  <si>
    <t>ENSMUST00000201666</t>
  </si>
  <si>
    <t>Q61749</t>
  </si>
  <si>
    <t>ENSMUST00000077693</t>
  </si>
  <si>
    <t>ENSMUST00000114603</t>
  </si>
  <si>
    <t>ENSMUST00000202616</t>
  </si>
  <si>
    <t>ENSMUST00000200929</t>
  </si>
  <si>
    <t>ENSMUST00000202468</t>
  </si>
  <si>
    <t>ENSMUST00000201154</t>
  </si>
  <si>
    <t>ENSMUST00000166769</t>
  </si>
  <si>
    <t>Q61753</t>
  </si>
  <si>
    <t>ENSMUST00000065793</t>
  </si>
  <si>
    <t>ENSMUST00000153694</t>
  </si>
  <si>
    <t>ENSMUST00000152106</t>
  </si>
  <si>
    <t>ENSMUST00000148488</t>
  </si>
  <si>
    <t>Q61768</t>
  </si>
  <si>
    <t>ENSMUST00000025083</t>
  </si>
  <si>
    <t>ENSMUST00000168031</t>
  </si>
  <si>
    <t>ENSMUST00000164426</t>
  </si>
  <si>
    <t>ENSMUST00000166249</t>
  </si>
  <si>
    <t>Q61881</t>
  </si>
  <si>
    <t>ENSMUST00000000505</t>
  </si>
  <si>
    <t>ENSMUST00000125316</t>
  </si>
  <si>
    <t>ENSMUST00000148879</t>
  </si>
  <si>
    <t>ENSMUST00000142254</t>
  </si>
  <si>
    <t>ENSMUST00000153867</t>
  </si>
  <si>
    <t>ENSMUST00000139223</t>
  </si>
  <si>
    <t>ENSMUST00000139983</t>
  </si>
  <si>
    <t>ENSMUST00000148094</t>
  </si>
  <si>
    <t>ENSMUST00000147920</t>
  </si>
  <si>
    <t>Q61937</t>
  </si>
  <si>
    <t>ENSMUST00000075641</t>
  </si>
  <si>
    <t>ENSMUST00000141881</t>
  </si>
  <si>
    <t>ENSMUST00000109354</t>
  </si>
  <si>
    <t>ENSMUST00000101375</t>
  </si>
  <si>
    <t>ENSMUST00000146759</t>
  </si>
  <si>
    <t>Q61990</t>
  </si>
  <si>
    <t>ENSMUST00000077037</t>
  </si>
  <si>
    <t>ENSMUST00000078404</t>
  </si>
  <si>
    <t>ENSMUST00000108838</t>
  </si>
  <si>
    <t>Q62093</t>
  </si>
  <si>
    <t>ENSMUST00000092404</t>
  </si>
  <si>
    <t>ENSMUST00000138484</t>
  </si>
  <si>
    <t>ENSMUST00000176834</t>
  </si>
  <si>
    <t>ENSMUST00000136914</t>
  </si>
  <si>
    <t>ENSMUST00000190993</t>
  </si>
  <si>
    <t>Q62159</t>
  </si>
  <si>
    <t>ENSMUST00000002303</t>
  </si>
  <si>
    <t>ENSMUST00000132721</t>
  </si>
  <si>
    <t>Q62167</t>
  </si>
  <si>
    <t>ENSMUST00000000804</t>
  </si>
  <si>
    <t>ENSMUST00000123096</t>
  </si>
  <si>
    <t>ENSMUST00000149639</t>
  </si>
  <si>
    <t>Q62186</t>
  </si>
  <si>
    <t>ENSMUST00000002090</t>
  </si>
  <si>
    <t>ENSMUST00000136544</t>
  </si>
  <si>
    <t>ENSMUST00000155552</t>
  </si>
  <si>
    <t>ENSMUST00000141721</t>
  </si>
  <si>
    <t>ENSMUST00000130738</t>
  </si>
  <si>
    <t>ENSMUST00000142829</t>
  </si>
  <si>
    <t>ENSMUST00000129239</t>
  </si>
  <si>
    <t>ENSMUST00000166518</t>
  </si>
  <si>
    <t>Q62189</t>
  </si>
  <si>
    <t>ENSMUST00000148491</t>
  </si>
  <si>
    <t>ENSMUST00000122202</t>
  </si>
  <si>
    <t>ENSMUST00000080356</t>
  </si>
  <si>
    <t>ENSMUST00000126211</t>
  </si>
  <si>
    <t>ENSMUST00000141378</t>
  </si>
  <si>
    <t>ENSMUST00000163311</t>
  </si>
  <si>
    <t>Q62261</t>
  </si>
  <si>
    <t>ENSMUST00000006629</t>
  </si>
  <si>
    <t>ENSMUST00000102838</t>
  </si>
  <si>
    <t>ENSMUST00000133466</t>
  </si>
  <si>
    <t>ENSMUST00000127209</t>
  </si>
  <si>
    <t>ENSMUST00000145315</t>
  </si>
  <si>
    <t>Q62318</t>
  </si>
  <si>
    <t>ENSMUST00000005705</t>
  </si>
  <si>
    <t>ENSMUST00000142421</t>
  </si>
  <si>
    <t>ENSMUST00000148354</t>
  </si>
  <si>
    <t>ENSMUST00000128951</t>
  </si>
  <si>
    <t>ENSMUST00000123603</t>
  </si>
  <si>
    <t>ENSMUST00000125136</t>
  </si>
  <si>
    <t>ENSMUST00000129122</t>
  </si>
  <si>
    <t>ENSMUST00000123778</t>
  </si>
  <si>
    <t>Q62351</t>
  </si>
  <si>
    <t>ENSMUST00000023486</t>
  </si>
  <si>
    <t>ENSMUST00000120680</t>
  </si>
  <si>
    <t>ENSMUST00000124243</t>
  </si>
  <si>
    <t>ENSMUST00000137901</t>
  </si>
  <si>
    <t>ENSMUST00000155929</t>
  </si>
  <si>
    <t>ENSMUST00000128285</t>
  </si>
  <si>
    <t>Q62415</t>
  </si>
  <si>
    <t>ENSMUST00000054815</t>
  </si>
  <si>
    <t>ENSMUST00000163747</t>
  </si>
  <si>
    <t>Q62418</t>
  </si>
  <si>
    <t>ENSMUST00000109845</t>
  </si>
  <si>
    <t>ENSMUST00000020769</t>
  </si>
  <si>
    <t>ENSMUST00000102928</t>
  </si>
  <si>
    <t>Q62422</t>
  </si>
  <si>
    <t>ENSMUST00000025631</t>
  </si>
  <si>
    <t>ENSMUST00000156908</t>
  </si>
  <si>
    <t>ENSMUST00000138860</t>
  </si>
  <si>
    <t>Q62448</t>
  </si>
  <si>
    <t>ENSMUST00000162415</t>
  </si>
  <si>
    <t>ENSMUST00000160132</t>
  </si>
  <si>
    <t>ENSMUST00000160966</t>
  </si>
  <si>
    <t>ENSMUST00000161682</t>
  </si>
  <si>
    <t>ENSMUST00000161736</t>
  </si>
  <si>
    <t>ENSMUST00000161790</t>
  </si>
  <si>
    <t>ENSMUST00000160552</t>
  </si>
  <si>
    <t>ENSMUST00000159465</t>
  </si>
  <si>
    <t>ENSMUST00000161158</t>
  </si>
  <si>
    <t>ENSMUST00000161079</t>
  </si>
  <si>
    <t>ENSMUST00000163014</t>
  </si>
  <si>
    <t>ENSMUST00000162394</t>
  </si>
  <si>
    <t>Q63844</t>
  </si>
  <si>
    <t>ENSMUST00000050201</t>
  </si>
  <si>
    <t>ENSMUST00000057669</t>
  </si>
  <si>
    <t>ENSMUST00000091328</t>
  </si>
  <si>
    <t>ENSMUST00000135649</t>
  </si>
  <si>
    <t>Q64012</t>
  </si>
  <si>
    <t>ENSMUST00000109701</t>
  </si>
  <si>
    <t>ENSMUST00000129137</t>
  </si>
  <si>
    <t>ENSMUST00000125872</t>
  </si>
  <si>
    <t>ENSMUST00000029120</t>
  </si>
  <si>
    <t>ENSMUST00000058089</t>
  </si>
  <si>
    <t>ENSMUST00000140713</t>
  </si>
  <si>
    <t>ENSMUST00000152038</t>
  </si>
  <si>
    <t>ENSMUST00000145202</t>
  </si>
  <si>
    <t>ENSMUST00000151578</t>
  </si>
  <si>
    <t>ENSMUST00000116389</t>
  </si>
  <si>
    <t>Q64152</t>
  </si>
  <si>
    <t>ENSMUST00000022163</t>
  </si>
  <si>
    <t>ENSMUST00000152704</t>
  </si>
  <si>
    <t>ENSMUST00000133461</t>
  </si>
  <si>
    <t>ENSMUST00000134542</t>
  </si>
  <si>
    <t>ENSMUST00000133826</t>
  </si>
  <si>
    <t>Q641P0</t>
  </si>
  <si>
    <t>ENSMUST00000128727</t>
  </si>
  <si>
    <t>ENSMUST00000088244</t>
  </si>
  <si>
    <t>ENSMUST00000198693</t>
  </si>
  <si>
    <t>Q64261</t>
  </si>
  <si>
    <t>ENSMUST00000199156</t>
  </si>
  <si>
    <t>ENSMUST00000197607</t>
  </si>
  <si>
    <t>ENSMUST00000165117</t>
  </si>
  <si>
    <t>ENSMUST00000197385</t>
  </si>
  <si>
    <t>ENSMUST00000199396</t>
  </si>
  <si>
    <t>ENSMUST00000042410</t>
  </si>
  <si>
    <t>Q64310</t>
  </si>
  <si>
    <t>ENSMUST00000015011</t>
  </si>
  <si>
    <t>ENSMUST00000154651</t>
  </si>
  <si>
    <t>Q64378</t>
  </si>
  <si>
    <t>ENSMUST00000079413</t>
  </si>
  <si>
    <t>ENSMUST00000114792</t>
  </si>
  <si>
    <t>ENSMUST00000153744</t>
  </si>
  <si>
    <t>ENSMUST00000147716</t>
  </si>
  <si>
    <t>Q64433</t>
  </si>
  <si>
    <t>ENSMUST00000075242</t>
  </si>
  <si>
    <t>ENSMUST00000134628</t>
  </si>
  <si>
    <t>Q64467</t>
  </si>
  <si>
    <t>ENSMUST00000182634</t>
  </si>
  <si>
    <t>ENSMUST00000074758</t>
  </si>
  <si>
    <t>Q64511</t>
  </si>
  <si>
    <t>ENSMUST00000017629</t>
  </si>
  <si>
    <t>ENSMUST00000159987</t>
  </si>
  <si>
    <t>ENSMUST00000163032</t>
  </si>
  <si>
    <t>Q64514</t>
  </si>
  <si>
    <t>ENSMUST00000185579</t>
  </si>
  <si>
    <t>ENSMUST00000087933</t>
  </si>
  <si>
    <t>ENSMUST00000190401</t>
  </si>
  <si>
    <t>ENSMUST00000186028</t>
  </si>
  <si>
    <t>ENSMUST00000188313</t>
  </si>
  <si>
    <t>ENSMUST00000188302</t>
  </si>
  <si>
    <t>ENSMUST00000186441</t>
  </si>
  <si>
    <t>ENSMUST00000190207</t>
  </si>
  <si>
    <t>ENSMUST00000187115</t>
  </si>
  <si>
    <t>Q64521</t>
  </si>
  <si>
    <t>ENSMUST00000141536</t>
  </si>
  <si>
    <t>ENSMUST00000112618</t>
  </si>
  <si>
    <t>ENSMUST00000154612</t>
  </si>
  <si>
    <t>ENSMUST00000028167</t>
  </si>
  <si>
    <t>ENSMUST00000169687</t>
  </si>
  <si>
    <t>Q64674</t>
  </si>
  <si>
    <t>ENSMUST00000006611</t>
  </si>
  <si>
    <t>ENSMUST00000152701</t>
  </si>
  <si>
    <t>ENSMUST00000140129</t>
  </si>
  <si>
    <t>Q64737</t>
  </si>
  <si>
    <t>ENSMUST00000023684</t>
  </si>
  <si>
    <t>ENSMUST00000156713</t>
  </si>
  <si>
    <t>ENSMUST00000120450</t>
  </si>
  <si>
    <t>Q68FD5</t>
  </si>
  <si>
    <t>ENSMUST00000103186</t>
  </si>
  <si>
    <t>ENSMUST00000124385</t>
  </si>
  <si>
    <t>ENSMUST00000134999</t>
  </si>
  <si>
    <t>ENSMUST00000141152</t>
  </si>
  <si>
    <t>Q68FL6</t>
  </si>
  <si>
    <t>ENSMUST00000037290</t>
  </si>
  <si>
    <t>ENSMUST00000134778</t>
  </si>
  <si>
    <t>ENSMUST00000145275</t>
  </si>
  <si>
    <t>ENSMUST00000139683</t>
  </si>
  <si>
    <t>ENSMUST00000128369</t>
  </si>
  <si>
    <t>ENSMUST00000171564</t>
  </si>
  <si>
    <t>Q6A4J8</t>
  </si>
  <si>
    <t>ENSMUST00000160405</t>
  </si>
  <si>
    <t>ENSMUST00000160326</t>
  </si>
  <si>
    <t>ENSMUST00000161046</t>
  </si>
  <si>
    <t>ENSMUST00000162445</t>
  </si>
  <si>
    <t>ENSMUST00000162929</t>
  </si>
  <si>
    <t>ENSMUST00000159387</t>
  </si>
  <si>
    <t>ENSMUST00000173939</t>
  </si>
  <si>
    <t>ENSMUST00000159281</t>
  </si>
  <si>
    <t>ENSMUST00000159287</t>
  </si>
  <si>
    <t>ENSMUST00000162141</t>
  </si>
  <si>
    <t>ENSMUST00000159503</t>
  </si>
  <si>
    <t>ENSMUST00000159509</t>
  </si>
  <si>
    <t>Q6DFW4</t>
  </si>
  <si>
    <t>ENSMUST00000191088</t>
  </si>
  <si>
    <t>ENSMUST00000027174</t>
  </si>
  <si>
    <t>ENSMUST00000189289</t>
  </si>
  <si>
    <t>ENSMUST00000186044</t>
  </si>
  <si>
    <t>ENSMUST00000191142</t>
  </si>
  <si>
    <t>ENSMUST00000190759</t>
  </si>
  <si>
    <t>ENSMUST00000185368</t>
  </si>
  <si>
    <t>ENSMUST00000187491</t>
  </si>
  <si>
    <t>ENSMUST00000187837</t>
  </si>
  <si>
    <t>ENSMUST00000188390</t>
  </si>
  <si>
    <t>Q6DIC0</t>
  </si>
  <si>
    <t>ENSMUST00000025862</t>
  </si>
  <si>
    <t>ENSMUST00000176030</t>
  </si>
  <si>
    <t>ENSMUST00000099537</t>
  </si>
  <si>
    <t>ENSMUST00000176019</t>
  </si>
  <si>
    <t>ENSMUST00000176700</t>
  </si>
  <si>
    <t>ENSMUST00000175842</t>
  </si>
  <si>
    <t>ENSMUST00000176731</t>
  </si>
  <si>
    <t>ENSMUST00000177116</t>
  </si>
  <si>
    <t>ENSMUST00000177484</t>
  </si>
  <si>
    <t>Q6NV83</t>
  </si>
  <si>
    <t>ENSMUST00000079659</t>
  </si>
  <si>
    <t>ENSMUST00000078374</t>
  </si>
  <si>
    <t>ENSMUST00000191213</t>
  </si>
  <si>
    <t>ENSMUST00000186139</t>
  </si>
  <si>
    <t>ENSMUST00000185515</t>
  </si>
  <si>
    <t>ENSMUST00000186076</t>
  </si>
  <si>
    <t>ENSMUST00000188017</t>
  </si>
  <si>
    <t>Q6NVF9</t>
  </si>
  <si>
    <t>ENSMUST00000069168</t>
  </si>
  <si>
    <t>ENSMUST00000176686</t>
  </si>
  <si>
    <t>ENSMUST00000176670</t>
  </si>
  <si>
    <t>ENSMUST00000176480</t>
  </si>
  <si>
    <t>ENSMUST00000177145</t>
  </si>
  <si>
    <t>ENSMUST00000175888</t>
  </si>
  <si>
    <t>ENSMUST00000176567</t>
  </si>
  <si>
    <t>Q6NZF1</t>
  </si>
  <si>
    <t>ENSMUST00000191896</t>
  </si>
  <si>
    <t>ENSMUST00000192107</t>
  </si>
  <si>
    <t>ENSMUST00000193504</t>
  </si>
  <si>
    <t>ENSMUST00000191705</t>
  </si>
  <si>
    <t>ENSMUST00000192775</t>
  </si>
  <si>
    <t>ENSMUST00000027736</t>
  </si>
  <si>
    <t>Q6NZJ6</t>
  </si>
  <si>
    <t>ENSMUST00000044783</t>
  </si>
  <si>
    <t>ENSMUST00000115463</t>
  </si>
  <si>
    <t>ENSMUST00000142344</t>
  </si>
  <si>
    <t>ENSMUST00000143939</t>
  </si>
  <si>
    <t>ENSMUST00000150333</t>
  </si>
  <si>
    <t>ENSMUST00000140576</t>
  </si>
  <si>
    <t>ENSMUST00000115457</t>
  </si>
  <si>
    <t>ENSMUST00000156226</t>
  </si>
  <si>
    <t>ENSMUST00000115461</t>
  </si>
  <si>
    <t>ENSMUST00000115460</t>
  </si>
  <si>
    <t>ENSMUST00000151679</t>
  </si>
  <si>
    <t>ENSMUST00000132320</t>
  </si>
  <si>
    <t>ENSMUST00000137690</t>
  </si>
  <si>
    <t>ENSMUST00000129958</t>
  </si>
  <si>
    <t>ENSMUST00000073840</t>
  </si>
  <si>
    <t>Q6P069</t>
  </si>
  <si>
    <t>ENSMUST00000088786</t>
  </si>
  <si>
    <t>ENSMUST00000148633</t>
  </si>
  <si>
    <t>ENSMUST00000145119</t>
  </si>
  <si>
    <t>ENSMUST00000144265</t>
  </si>
  <si>
    <t>ENSMUST00000149420</t>
  </si>
  <si>
    <t>ENSMUST00000003245</t>
  </si>
  <si>
    <t>ENSMUST00000197065</t>
  </si>
  <si>
    <t>Q6P4T2</t>
  </si>
  <si>
    <t>ENSMUST00000142327</t>
  </si>
  <si>
    <t>ENSMUST00000103220</t>
  </si>
  <si>
    <t>ENSMUST00000140868</t>
  </si>
  <si>
    <t>ENSMUST00000143481</t>
  </si>
  <si>
    <t>ENSMUST00000131435</t>
  </si>
  <si>
    <t>Q6P542</t>
  </si>
  <si>
    <t>ENSMUST00000043757</t>
  </si>
  <si>
    <t>ENSMUST00000173111</t>
  </si>
  <si>
    <t>ENSMUST00000173125</t>
  </si>
  <si>
    <t>ENSMUST00000173090</t>
  </si>
  <si>
    <t>ENSMUST00000087205</t>
  </si>
  <si>
    <t>ENSMUST00000174834</t>
  </si>
  <si>
    <t>ENSMUST00000174128</t>
  </si>
  <si>
    <t>ENSMUST00000172661</t>
  </si>
  <si>
    <t>Q6P549</t>
  </si>
  <si>
    <t>ENSMUST00000035836</t>
  </si>
  <si>
    <t>ENSMUST00000165052</t>
  </si>
  <si>
    <t>ENSMUST00000186316</t>
  </si>
  <si>
    <t>Q6P5D8</t>
  </si>
  <si>
    <t>ENSMUST00000127430</t>
  </si>
  <si>
    <t>ENSMUST00000182049</t>
  </si>
  <si>
    <t>ENSMUST00000182205</t>
  </si>
  <si>
    <t>ENSMUST00000182107</t>
  </si>
  <si>
    <t>ENSMUST00000136071</t>
  </si>
  <si>
    <t>ENSMUST00000183046</t>
  </si>
  <si>
    <t>ENSMUST00000182747</t>
  </si>
  <si>
    <t>Q6P5F9</t>
  </si>
  <si>
    <t>ENSMUST00000102869</t>
  </si>
  <si>
    <t>ENSMUST00000136235</t>
  </si>
  <si>
    <t>Q6PB66</t>
  </si>
  <si>
    <t>ENSMUST00000112308</t>
  </si>
  <si>
    <t>ENSMUST00000162799</t>
  </si>
  <si>
    <t>ENSMUST00000160414</t>
  </si>
  <si>
    <t>ENSMUST00000161928</t>
  </si>
  <si>
    <t>ENSMUST00000161299</t>
  </si>
  <si>
    <t>Q6PDI5</t>
  </si>
  <si>
    <t>ENSMUST00000102889</t>
  </si>
  <si>
    <t>ENSMUST00000055822</t>
  </si>
  <si>
    <t>ENSMUST00000144512</t>
  </si>
  <si>
    <t>ENSMUST00000107557</t>
  </si>
  <si>
    <t>ENSMUST00000151869</t>
  </si>
  <si>
    <t>ENSMUST00000135601</t>
  </si>
  <si>
    <t>ENSMUST00000149513</t>
  </si>
  <si>
    <t>ENSMUST00000142102</t>
  </si>
  <si>
    <t>ENSMUST00000134848</t>
  </si>
  <si>
    <t>ENSMUST00000131611</t>
  </si>
  <si>
    <t>Q6PDM2</t>
  </si>
  <si>
    <t>ENSMUST00000139129</t>
  </si>
  <si>
    <t>ENSMUST00000079866</t>
  </si>
  <si>
    <t>ENSMUST00000171976</t>
  </si>
  <si>
    <t>ENSMUST00000107920</t>
  </si>
  <si>
    <t>ENSMUST00000134824</t>
  </si>
  <si>
    <t>ENSMUST00000132983</t>
  </si>
  <si>
    <t>Q6PDQ2</t>
  </si>
  <si>
    <t>ENSMUST00000112392</t>
  </si>
  <si>
    <t>ENSMUST00000056889</t>
  </si>
  <si>
    <t>ENSMUST00000112390</t>
  </si>
  <si>
    <t>ENSMUST00000155932</t>
  </si>
  <si>
    <t>ENSMUST00000155261</t>
  </si>
  <si>
    <t>ENSMUST00000138968</t>
  </si>
  <si>
    <t>ENSMUST00000124317</t>
  </si>
  <si>
    <t>ENSMUST00000132794</t>
  </si>
  <si>
    <t>Q6PEB6</t>
  </si>
  <si>
    <t>ENSMUST00000159311</t>
  </si>
  <si>
    <t>ENSMUST00000162364</t>
  </si>
  <si>
    <t>ENSMUST00000162930</t>
  </si>
  <si>
    <t>ENSMUST00000162553</t>
  </si>
  <si>
    <t>ENSMUST00000159743</t>
  </si>
  <si>
    <t>ENSMUST00000187422</t>
  </si>
  <si>
    <t>Q6PGB6</t>
  </si>
  <si>
    <t>ENSMUST00000159514</t>
  </si>
  <si>
    <t>ENSMUST00000161326</t>
  </si>
  <si>
    <t>ENSMUST00000063520</t>
  </si>
  <si>
    <t>Q6PG1</t>
  </si>
  <si>
    <t>ENSMUST00000162594</t>
  </si>
  <si>
    <t>ENSMUST00000160004</t>
  </si>
  <si>
    <t>ENSMUST00000162308</t>
  </si>
  <si>
    <t>ENSMUST00000159018</t>
  </si>
  <si>
    <t>ENSMUST00000160075</t>
  </si>
  <si>
    <t>ENSMUST00000161974</t>
  </si>
  <si>
    <t>ENSMUST00000160840</t>
  </si>
  <si>
    <t>Q6PZ2</t>
  </si>
  <si>
    <t>ENSMUST00000143383</t>
  </si>
  <si>
    <t>ENSMUST00000106402</t>
  </si>
  <si>
    <t>ENSMUST00000163226</t>
  </si>
  <si>
    <t>ENSMUST00000199300</t>
  </si>
  <si>
    <t>ENSMUST00000149311</t>
  </si>
  <si>
    <t>ENSMUST00000134466</t>
  </si>
  <si>
    <t>ENSMUST00000169051</t>
  </si>
  <si>
    <t>ENSMUST00000145454</t>
  </si>
  <si>
    <t>ENSMUST00000106400</t>
  </si>
  <si>
    <t>ENSMUST00000131156</t>
  </si>
  <si>
    <t>ENSMUST00000129293</t>
  </si>
  <si>
    <t>ENSMUST00000134987</t>
  </si>
  <si>
    <t>ENSMUST00000197660</t>
  </si>
  <si>
    <t>ENSMUST00000198487</t>
  </si>
  <si>
    <t>ENSMUST00000167417</t>
  </si>
  <si>
    <t>ENSMUST00000200010</t>
  </si>
  <si>
    <t>ENSMUST00000198637</t>
  </si>
  <si>
    <t>Q6PIC6</t>
  </si>
  <si>
    <t>ENSMUST00000102858</t>
  </si>
  <si>
    <t>ENSMUST00000196684</t>
  </si>
  <si>
    <t>Q6PIE5</t>
  </si>
  <si>
    <t>ENSMUST00000085913</t>
  </si>
  <si>
    <t>ENSMUST00000191781</t>
  </si>
  <si>
    <t>Q6R07</t>
  </si>
  <si>
    <t>Q6Y7W8</t>
  </si>
  <si>
    <t>ENSMUST00000174846</t>
  </si>
  <si>
    <t>ENSMUST00000027475</t>
  </si>
  <si>
    <t>ENSMUST00000172794</t>
  </si>
  <si>
    <t>ENSMUST00000174583</t>
  </si>
  <si>
    <t>ENSMUST00000187038</t>
  </si>
  <si>
    <t>ENSMUST00000173850</t>
  </si>
  <si>
    <t>ENSMUST00000174501</t>
  </si>
  <si>
    <t>ENSMUST00000174605</t>
  </si>
  <si>
    <t>ENSMUST00000172976</t>
  </si>
  <si>
    <t>ENSMUST00000173235</t>
  </si>
  <si>
    <t>ENSMUST00000172736</t>
  </si>
  <si>
    <t>ENSMUST00000172776</t>
  </si>
  <si>
    <t>ENSMUST00000174482</t>
  </si>
  <si>
    <t>Q6ZQ08</t>
  </si>
  <si>
    <t>ENSMUST00000098473</t>
  </si>
  <si>
    <t>ENSMUST00000068452</t>
  </si>
  <si>
    <t>Q6ZQ38</t>
  </si>
  <si>
    <t>ENSMUST00000020315</t>
  </si>
  <si>
    <t>ENSMUST00000148802</t>
  </si>
  <si>
    <t>ENSMUST00000149155</t>
  </si>
  <si>
    <t>Q6ZQ58</t>
  </si>
  <si>
    <t>ENSMUST00000071487</t>
  </si>
  <si>
    <t>ENSMUST00000140500</t>
  </si>
  <si>
    <t>ENSMUST00000178636</t>
  </si>
  <si>
    <t>Q6ZQ8</t>
  </si>
  <si>
    <t>ENSMUST00000148969</t>
  </si>
  <si>
    <t>ENSMUST00000064447</t>
  </si>
  <si>
    <t>ENSMUST00000113634</t>
  </si>
  <si>
    <t>ENSMUST00000133603</t>
  </si>
  <si>
    <t>ENSMUST00000133421</t>
  </si>
  <si>
    <t>Q6ZQI3</t>
  </si>
  <si>
    <t>ENSMUST00000112121</t>
  </si>
  <si>
    <t>ENSMUST00000124678</t>
  </si>
  <si>
    <t>Q6ZWN5</t>
  </si>
  <si>
    <t>ENSMUST00000006496</t>
  </si>
  <si>
    <t>ENSMUST00000108623</t>
  </si>
  <si>
    <t>ENSMUST00000128729</t>
  </si>
  <si>
    <t>ENSMUST00000139818</t>
  </si>
  <si>
    <t>ENSMUST00000146303</t>
  </si>
  <si>
    <t>ENSMUST00000108625</t>
  </si>
  <si>
    <t>ENSMUST00000126562</t>
  </si>
  <si>
    <t>ENSMUST00000146927</t>
  </si>
  <si>
    <t>ENSMUST00000136858</t>
  </si>
  <si>
    <t>Q6ZWU9</t>
  </si>
  <si>
    <t>ENSMUST00000196205</t>
  </si>
  <si>
    <t>ENSMUST00000197028</t>
  </si>
  <si>
    <t>ENSMUST00000199031</t>
  </si>
  <si>
    <t>ENSMUST00000200305</t>
  </si>
  <si>
    <t>ENSMUST00000197361</t>
  </si>
  <si>
    <t>ENSMUST00000170122</t>
  </si>
  <si>
    <t>ENSMUST00000199428</t>
  </si>
  <si>
    <t>ENSMUST00000196196</t>
  </si>
  <si>
    <t>ENSMUST00000053150</t>
  </si>
  <si>
    <t>Q6ZWV3</t>
  </si>
  <si>
    <t>ENSMUST00000008826</t>
  </si>
  <si>
    <t>ENSMUST00000151702</t>
  </si>
  <si>
    <t>ENSMUST00000074085</t>
  </si>
  <si>
    <t>ENSMUST00000142142</t>
  </si>
  <si>
    <t>ENSMUST00000135690</t>
  </si>
  <si>
    <t>ENSMUST00000125775</t>
  </si>
  <si>
    <t>ENSMUST00000134330</t>
  </si>
  <si>
    <t>ENSMUST00000144434</t>
  </si>
  <si>
    <t>ENSMUST00000138954</t>
  </si>
  <si>
    <t>ENSMUST00000146584</t>
  </si>
  <si>
    <t>Q6ZWV7</t>
  </si>
  <si>
    <t>ENSMUST00000080861</t>
  </si>
  <si>
    <t>ENSMUST00000152441</t>
  </si>
  <si>
    <t>ENSMUST00000126246</t>
  </si>
  <si>
    <t>Q6ZWY3</t>
  </si>
  <si>
    <t>ENSMUST00000040917</t>
  </si>
  <si>
    <t>ENSMUST00000127896</t>
  </si>
  <si>
    <t>ENSMUST00000143044</t>
  </si>
  <si>
    <t>ENSMUST00000123931</t>
  </si>
  <si>
    <t>Q6ZWY8</t>
  </si>
  <si>
    <t>ENSMUST00000114050</t>
  </si>
  <si>
    <t>ENSMUST00000114049</t>
  </si>
  <si>
    <t>ENSMUST00000144337</t>
  </si>
  <si>
    <t>Q6ZWY9</t>
  </si>
  <si>
    <t>ENSMUST00000018246</t>
  </si>
  <si>
    <t>ENSMUST00000091704</t>
  </si>
  <si>
    <t>ENSMUST00000051091</t>
  </si>
  <si>
    <t>ENSMUST00000129312</t>
  </si>
  <si>
    <t>ENSMUST00000079251</t>
  </si>
  <si>
    <t>Q76MZ3</t>
  </si>
  <si>
    <t>ENSMUST00000007708</t>
  </si>
  <si>
    <t>ENSMUST00000173359</t>
  </si>
  <si>
    <t>ENSMUST00000136975</t>
  </si>
  <si>
    <t>ENSMUST00000139293</t>
  </si>
  <si>
    <t>ENSMUST00000138971</t>
  </si>
  <si>
    <t>Q78IK4</t>
  </si>
  <si>
    <t>ENSMUST00000026599</t>
  </si>
  <si>
    <t>ENSMUST00000154378</t>
  </si>
  <si>
    <t>ENSMUST00000113415</t>
  </si>
  <si>
    <t>Q78PY7</t>
  </si>
  <si>
    <t>ENSMUST00000164915</t>
  </si>
  <si>
    <t>ENSMUST00000001460</t>
  </si>
  <si>
    <t>ENSMUST00000183161</t>
  </si>
  <si>
    <t>ENSMUST00000171532</t>
  </si>
  <si>
    <t>ENSMUST00000165151</t>
  </si>
  <si>
    <t>Q7TMB8</t>
  </si>
  <si>
    <t>ENSMUST00000168271</t>
  </si>
  <si>
    <t>ENSMUST00000032629</t>
  </si>
  <si>
    <t>ENSMUST00000173783</t>
  </si>
  <si>
    <t>ENSMUST00000085255</t>
  </si>
  <si>
    <t>ENSMUST00000173497</t>
  </si>
  <si>
    <t>ENSMUST00000163845</t>
  </si>
  <si>
    <t>ENSMUST00000174660</t>
  </si>
  <si>
    <t>ENSMUST00000173267</t>
  </si>
  <si>
    <t>ENSMUST00000174793</t>
  </si>
  <si>
    <t>Q7TME2</t>
  </si>
  <si>
    <t>ENSMUST00000045026</t>
  </si>
  <si>
    <t>ENSMUST00000146068</t>
  </si>
  <si>
    <t>ENSMUST00000141026</t>
  </si>
  <si>
    <t>ENSMUST00000150016</t>
  </si>
  <si>
    <t>ENSMUST00000149711</t>
  </si>
  <si>
    <t>ENSMUST00000125477</t>
  </si>
  <si>
    <t>Q7TMF3</t>
  </si>
  <si>
    <t>ENSMUST00000020209</t>
  </si>
  <si>
    <t>ENSMUST00000125379</t>
  </si>
  <si>
    <t>ENSMUST00000179990</t>
  </si>
  <si>
    <t>Q7TMI3</t>
  </si>
  <si>
    <t>ENSMUST00000025739</t>
  </si>
  <si>
    <t>ENSMUST00000134518</t>
  </si>
  <si>
    <t>ENSMUST00000137368</t>
  </si>
  <si>
    <t>ENSMUST00000127244</t>
  </si>
  <si>
    <t>ENSMUST00000123773</t>
  </si>
  <si>
    <t>ENSMUST00000129420</t>
  </si>
  <si>
    <t>ENSMUST00000150532</t>
  </si>
  <si>
    <t>ENSMUST00000143769</t>
  </si>
  <si>
    <t>Q7TMK9</t>
  </si>
  <si>
    <t>ENSMUST00000069221</t>
  </si>
  <si>
    <t>ENSMUST00000174391</t>
  </si>
  <si>
    <t>ENSMUST00000174282</t>
  </si>
  <si>
    <t>ENSMUST00000173801</t>
  </si>
  <si>
    <t>ENSMUST00000187770</t>
  </si>
  <si>
    <t>Q7TNC4</t>
  </si>
  <si>
    <t>ENSMUST00000163047</t>
  </si>
  <si>
    <t>ENSMUST00000161538</t>
  </si>
  <si>
    <t>ENSMUST00000057692</t>
  </si>
  <si>
    <t>ENSMUST00000163012</t>
  </si>
  <si>
    <t>ENSMUST00000162718</t>
  </si>
  <si>
    <t>ENSMUST00000160922</t>
  </si>
  <si>
    <t>ENSMUST00000161227</t>
  </si>
  <si>
    <t>ENSMUST00000159936</t>
  </si>
  <si>
    <t>ENSMUST00000160511</t>
  </si>
  <si>
    <t>ENSMUST00000162530</t>
  </si>
  <si>
    <t>ENSMUST00000160430</t>
  </si>
  <si>
    <t>Q7TNV0</t>
  </si>
  <si>
    <t>ENSMUST00000021807</t>
  </si>
  <si>
    <t>ENSMUST00000135278</t>
  </si>
  <si>
    <t>ENSMUST00000138401</t>
  </si>
  <si>
    <t>ENSMUST00000150652</t>
  </si>
  <si>
    <t>ENSMUST00000143933</t>
  </si>
  <si>
    <t>ENSMUST00000129352</t>
  </si>
  <si>
    <t>Q7TPM1</t>
  </si>
  <si>
    <t>ENSMUST00000036691</t>
  </si>
  <si>
    <t>ENSMUST00000069817</t>
  </si>
  <si>
    <t>ENSMUST00000132459</t>
  </si>
  <si>
    <t>ENSMUST00000156313</t>
  </si>
  <si>
    <t>ENSMUST00000128936</t>
  </si>
  <si>
    <t>ENSMUST00000142219</t>
  </si>
  <si>
    <t>ENSMUST00000129626</t>
  </si>
  <si>
    <t>ENSMUST00000141053</t>
  </si>
  <si>
    <t>Q7TPV4</t>
  </si>
  <si>
    <t>ENSMUST00000045633</t>
  </si>
  <si>
    <t>ENSMUST00000152894</t>
  </si>
  <si>
    <t>ENSMUST00000162048</t>
  </si>
  <si>
    <t>ENSMUST00000156833</t>
  </si>
  <si>
    <t>ENSMUST00000134119</t>
  </si>
  <si>
    <t>ENSMUST00000144374</t>
  </si>
  <si>
    <t>ENSMUST00000155995</t>
  </si>
  <si>
    <t>ENSMUST00000144923</t>
  </si>
  <si>
    <t>Q7TQ0</t>
  </si>
  <si>
    <t>ENSMUST00000040202</t>
  </si>
  <si>
    <t>ENSMUST00000167759</t>
  </si>
  <si>
    <t>ENSMUST00000166682</t>
  </si>
  <si>
    <t>ENSMUST00000179818</t>
  </si>
  <si>
    <t>Q7TT37</t>
  </si>
  <si>
    <t>ENSMUST00000171411</t>
  </si>
  <si>
    <t>ENSMUST00000030140</t>
  </si>
  <si>
    <t>ENSMUST00000150002</t>
  </si>
  <si>
    <t>ENSMUST00000139445</t>
  </si>
  <si>
    <t>ENSMUST00000140595</t>
  </si>
  <si>
    <t>ENSMUST00000126441</t>
  </si>
  <si>
    <t>Q80SZ7</t>
  </si>
  <si>
    <t>ENSMUST00000090031</t>
  </si>
  <si>
    <t>ENSMUST00000118280</t>
  </si>
  <si>
    <t>ENSMUST00000119130</t>
  </si>
  <si>
    <t>Q80U93</t>
  </si>
  <si>
    <t>ENSMUST00000065398</t>
  </si>
  <si>
    <t>ENSMUST00000130975</t>
  </si>
  <si>
    <t>ENSMUST00000153096</t>
  </si>
  <si>
    <t>ENSMUST00000130185</t>
  </si>
  <si>
    <t>ENSMUST00000123062</t>
  </si>
  <si>
    <t>ENSMUST00000138012</t>
  </si>
  <si>
    <t>ENSMUST00000146138</t>
  </si>
  <si>
    <t>ENSMUST00000124455</t>
  </si>
  <si>
    <t>Q80UG5</t>
  </si>
  <si>
    <t>ENSMUST00000019038</t>
  </si>
  <si>
    <t>ENSMUST00000153668</t>
  </si>
  <si>
    <t>ENSMUST00000127383</t>
  </si>
  <si>
    <t>ENSMUST00000100193</t>
  </si>
  <si>
    <t>ENSMUST00000106349</t>
  </si>
  <si>
    <t>ENSMUST00000155331</t>
  </si>
  <si>
    <t>ENSMUST00000134852</t>
  </si>
  <si>
    <t>ENSMUST00000129387</t>
  </si>
  <si>
    <t>Q80UM7</t>
  </si>
  <si>
    <t>ENSMUST00000032114</t>
  </si>
  <si>
    <t>ENSMUST00000145403</t>
  </si>
  <si>
    <t>Q80UU9</t>
  </si>
  <si>
    <t>ENSMUST00000058578</t>
  </si>
  <si>
    <t>ENSMUST00000124636</t>
  </si>
  <si>
    <t>Q80UW8</t>
  </si>
  <si>
    <t>ENSMUST00000147507</t>
  </si>
  <si>
    <t>ENSMUST00000143438</t>
  </si>
  <si>
    <t>ENSMUST00000004786</t>
  </si>
  <si>
    <t>ENSMUST00000131743</t>
  </si>
  <si>
    <t>ENSMUST00000152843</t>
  </si>
  <si>
    <t>Q80VD1</t>
  </si>
  <si>
    <t>ENSMUST00000140936</t>
  </si>
  <si>
    <t>ENSMUST00000028825</t>
  </si>
  <si>
    <t>ENSMUST00000143612</t>
  </si>
  <si>
    <t>Q80WJ7</t>
  </si>
  <si>
    <t>ENSMUST00000172082</t>
  </si>
  <si>
    <t>ENSMUST00000022865</t>
  </si>
  <si>
    <t>ENSMUST00000163697</t>
  </si>
  <si>
    <t>ENSMUST00000163333</t>
  </si>
  <si>
    <t>ENSMUST00000169905</t>
  </si>
  <si>
    <t>ENSMUST00000171711</t>
  </si>
  <si>
    <t>Q80X41</t>
  </si>
  <si>
    <t>ENSMUST00000021539</t>
  </si>
  <si>
    <t>ENSMUST00000085026</t>
  </si>
  <si>
    <t>ENSMUST00000072040</t>
  </si>
  <si>
    <t>Q80X50</t>
  </si>
  <si>
    <t>ENSMUST00000198322</t>
  </si>
  <si>
    <t>ENSMUST00000029553</t>
  </si>
  <si>
    <t>ENSMUST00000064639</t>
  </si>
  <si>
    <t>ENSMUST00000196843</t>
  </si>
  <si>
    <t>ENSMUST00000199050</t>
  </si>
  <si>
    <t>ENSMUST00000200301</t>
  </si>
  <si>
    <t>ENSMUST00000090908</t>
  </si>
  <si>
    <t>ENSMUST00000197177</t>
  </si>
  <si>
    <t>ENSMUST00000195995</t>
  </si>
  <si>
    <t>ENSMUST00000199834</t>
  </si>
  <si>
    <t>ENSMUST00000196747</t>
  </si>
  <si>
    <t>ENSMUST00000199612</t>
  </si>
  <si>
    <t>ENSMUST00000196568</t>
  </si>
  <si>
    <t>ENSMUST00000197633</t>
  </si>
  <si>
    <t>ENSMUST00000200195</t>
  </si>
  <si>
    <t>ENSMUST00000199301</t>
  </si>
  <si>
    <t>ENSMUST00000196952</t>
  </si>
  <si>
    <t>ENSMUST00000199016</t>
  </si>
  <si>
    <t>ENSMUST00000196633</t>
  </si>
  <si>
    <t>ENSMUST00000198282</t>
  </si>
  <si>
    <t>ENSMUST00000197903</t>
  </si>
  <si>
    <t>ENSMUST00000199929</t>
  </si>
  <si>
    <t>ENSMUST00000196917</t>
  </si>
  <si>
    <t>Q80XU3</t>
  </si>
  <si>
    <t>ENSMUST00000189946</t>
  </si>
  <si>
    <t>ENSMUST00000062264</t>
  </si>
  <si>
    <t>ENSMUST00000187405</t>
  </si>
  <si>
    <t>Q810A7</t>
  </si>
  <si>
    <t>ENSMUST00000021046</t>
  </si>
  <si>
    <t>ENSMUST00000152860</t>
  </si>
  <si>
    <t>Q810D6</t>
  </si>
  <si>
    <t>ENSMUST00000131384</t>
  </si>
  <si>
    <t>ENSMUST00000107723</t>
  </si>
  <si>
    <t>Q8BFR5</t>
  </si>
  <si>
    <t>ENSMUST00000106392</t>
  </si>
  <si>
    <t>ENSMUST00000098048</t>
  </si>
  <si>
    <t>Q8BFY9</t>
  </si>
  <si>
    <t>ENSMUST00000109399</t>
  </si>
  <si>
    <t>ENSMUST00000109401</t>
  </si>
  <si>
    <t>ENSMUST00000179301</t>
  </si>
  <si>
    <t>ENSMUST00000179271</t>
  </si>
  <si>
    <t>Q8BG05</t>
  </si>
  <si>
    <t>ENSMUST00000111964</t>
  </si>
  <si>
    <t>ENSMUST00000111962</t>
  </si>
  <si>
    <t>ENSMUST00000132392</t>
  </si>
  <si>
    <t>ENSMUST00000111961</t>
  </si>
  <si>
    <t>ENSMUST00000141974</t>
  </si>
  <si>
    <t>ENSMUST00000164947</t>
  </si>
  <si>
    <t>ENSMUST00000090792</t>
  </si>
  <si>
    <t>Q8BG32</t>
  </si>
  <si>
    <t>ENSMUST00000172641</t>
  </si>
  <si>
    <t>ENSMUST00000173938</t>
  </si>
  <si>
    <t>ENSMUST00000017572</t>
  </si>
  <si>
    <t>ENSMUST00000147898</t>
  </si>
  <si>
    <t>ENSMUST00000172615</t>
  </si>
  <si>
    <t>ENSMUST00000173060</t>
  </si>
  <si>
    <t>ENSMUST00000173797</t>
  </si>
  <si>
    <t>Q8BG81</t>
  </si>
  <si>
    <t>ENSMUST00000100375</t>
  </si>
  <si>
    <t>ENSMUST00000058793</t>
  </si>
  <si>
    <t>ENSMUST00000135013</t>
  </si>
  <si>
    <t>ENSMUST00000149802</t>
  </si>
  <si>
    <t>ENSMUST00000150926</t>
  </si>
  <si>
    <t>Q8BGA5</t>
  </si>
  <si>
    <t>ENSMUST00000163048</t>
  </si>
  <si>
    <t>ENSMUST00000162678</t>
  </si>
  <si>
    <t>ENSMUST00000075924</t>
  </si>
  <si>
    <t>Q8BGJ9</t>
  </si>
  <si>
    <t>ENSMUST00000166960</t>
  </si>
  <si>
    <t>ENSMUST00000165524</t>
  </si>
  <si>
    <t>ENSMUST00000163848</t>
  </si>
  <si>
    <t>ENSMUST00000043273</t>
  </si>
  <si>
    <t>ENSMUST00000163654</t>
  </si>
  <si>
    <t>ENSMUST00000168222</t>
  </si>
  <si>
    <t>ENSMUST00000166510</t>
  </si>
  <si>
    <t>ENSMUST00000164438</t>
  </si>
  <si>
    <t>ENSMUST00000169911</t>
  </si>
  <si>
    <t>ENSMUST00000168555</t>
  </si>
  <si>
    <t>ENSMUST00000170453</t>
  </si>
  <si>
    <t>ENSMUST00000165773</t>
  </si>
  <si>
    <t>ENSMUST00000167501</t>
  </si>
  <si>
    <t>ENSMUST00000167042</t>
  </si>
  <si>
    <t>ENSMUST00000169071</t>
  </si>
  <si>
    <t>ENSMUST00000163482</t>
  </si>
  <si>
    <t>ENSMUST00000167024</t>
  </si>
  <si>
    <t>ENSMUST00000167361</t>
  </si>
  <si>
    <t>ENSMUST00000171912</t>
  </si>
  <si>
    <t>ENSMUST00000168931</t>
  </si>
  <si>
    <t>ENSMUST00000165543</t>
  </si>
  <si>
    <t>ENSMUST00000167202</t>
  </si>
  <si>
    <t>ENSMUST00000169283</t>
  </si>
  <si>
    <t>ENSMUST00000169962</t>
  </si>
  <si>
    <t>ENSMUST00000165009</t>
  </si>
  <si>
    <t>ENSMUST00000163330</t>
  </si>
  <si>
    <t>Q8BGQ7</t>
  </si>
  <si>
    <t>ENSMUST00000125268</t>
  </si>
  <si>
    <t>ENSMUST00000154546</t>
  </si>
  <si>
    <t>ENSMUST00000034441</t>
  </si>
  <si>
    <t>ENSMUST00000142770</t>
  </si>
  <si>
    <t>ENSMUST00000145059</t>
  </si>
  <si>
    <t>ENSMUST00000124285</t>
  </si>
  <si>
    <t>ENSMUST00000128320</t>
  </si>
  <si>
    <t>Q8B95</t>
  </si>
  <si>
    <t>ENSMUST00000026538</t>
  </si>
  <si>
    <t>ENSMUST00000155647</t>
  </si>
  <si>
    <t>ENSMUST00000151505</t>
  </si>
  <si>
    <t>ENSMUST00000147643</t>
  </si>
  <si>
    <t>Q8BD7</t>
  </si>
  <si>
    <t>ENSMUST00000030076</t>
  </si>
  <si>
    <t>ENSMUST00000174586</t>
  </si>
  <si>
    <t>ENSMUST00000102883</t>
  </si>
  <si>
    <t>ENSMUST00000172768</t>
  </si>
  <si>
    <t>ENSMUST00000148331</t>
  </si>
  <si>
    <t>ENSMUST00000173268</t>
  </si>
  <si>
    <t>ENSMUST00000172471</t>
  </si>
  <si>
    <t>ENSMUST00000151313</t>
  </si>
  <si>
    <t>ENSMUST00000140925</t>
  </si>
  <si>
    <t>Q8BL5</t>
  </si>
  <si>
    <t>ENSMUST00000103091</t>
  </si>
  <si>
    <t>ENSMUST00000074046</t>
  </si>
  <si>
    <t>ENSMUST00000094329</t>
  </si>
  <si>
    <t>ENSMUST00000103088</t>
  </si>
  <si>
    <t>ENSMUST00000071699</t>
  </si>
  <si>
    <t>ENSMUST00000149844</t>
  </si>
  <si>
    <t>ENSMUST00000133205</t>
  </si>
  <si>
    <t>ENSMUST00000128690</t>
  </si>
  <si>
    <t>Q8BS3</t>
  </si>
  <si>
    <t>ENSMUST00000025506</t>
  </si>
  <si>
    <t>ENSMUST00000160020</t>
  </si>
  <si>
    <t>ENSMUST00000161544</t>
  </si>
  <si>
    <t>ENSMUST00000159203</t>
  </si>
  <si>
    <t>ENSMUST00000160353</t>
  </si>
  <si>
    <t>Q8BI67</t>
  </si>
  <si>
    <t>ENSMUST00000149011</t>
  </si>
  <si>
    <t>ENSMUST00000060270</t>
  </si>
  <si>
    <t>ENSMUST00000120798</t>
  </si>
  <si>
    <t>ENSMUST00000118162</t>
  </si>
  <si>
    <t>ENSMUST00000140599</t>
  </si>
  <si>
    <t>Q8BIQ5</t>
  </si>
  <si>
    <t>ENSMUST00000033609</t>
  </si>
  <si>
    <t>ENSMUST00000113287</t>
  </si>
  <si>
    <t>ENSMUST00000149658</t>
  </si>
  <si>
    <t>ENSMUST00000156778</t>
  </si>
  <si>
    <t>ENSMUST00000144483</t>
  </si>
  <si>
    <t>ENSMUST00000136510</t>
  </si>
  <si>
    <t>ENSMUST00000113286</t>
  </si>
  <si>
    <t>ENSMUST00000148080</t>
  </si>
  <si>
    <t>Q8BJ71</t>
  </si>
  <si>
    <t>ENSMUST00000079961</t>
  </si>
  <si>
    <t>ENSMUST00000109547</t>
  </si>
  <si>
    <t>Q8BJS4</t>
  </si>
  <si>
    <t>ENSMUST00000162392</t>
  </si>
  <si>
    <t>ENSMUST00000089311</t>
  </si>
  <si>
    <t>ENSMUST00000100439</t>
  </si>
  <si>
    <t>ENSMUST00000046259</t>
  </si>
  <si>
    <t>ENSMUST00000159762</t>
  </si>
  <si>
    <t>ENSMUST00000162064</t>
  </si>
  <si>
    <t>ENSMUST00000159660</t>
  </si>
  <si>
    <t>Q8BJW6</t>
  </si>
  <si>
    <t>ENSMUST00000029387</t>
  </si>
  <si>
    <t>ENSMUST00000137469</t>
  </si>
  <si>
    <t>ENSMUST00000138827</t>
  </si>
  <si>
    <t>ENSMUST00000148251</t>
  </si>
  <si>
    <t>Q8BJY1</t>
  </si>
  <si>
    <t>ENSMUST00000028225</t>
  </si>
  <si>
    <t>ENSMUST00000143456</t>
  </si>
  <si>
    <t>ENSMUST00000202917</t>
  </si>
  <si>
    <t>Q8BK67</t>
  </si>
  <si>
    <t>ENSMUST00000071169</t>
  </si>
  <si>
    <t>ENSMUST00000138808</t>
  </si>
  <si>
    <t>ENSMUST00000129838</t>
  </si>
  <si>
    <t>ENSMUST00000038893</t>
  </si>
  <si>
    <t>Q8BL7</t>
  </si>
  <si>
    <t>ENSMUST00000037248</t>
  </si>
  <si>
    <t>ENSMUST00000150942</t>
  </si>
  <si>
    <t>ENSMUST00000132808</t>
  </si>
  <si>
    <t>ENSMUST00000138793</t>
  </si>
  <si>
    <t>ENSMUST00000146120</t>
  </si>
  <si>
    <t>Q8BMA6</t>
  </si>
  <si>
    <t>ENSMUST00000021133</t>
  </si>
  <si>
    <t>ENSMUST00000106425</t>
  </si>
  <si>
    <t>ENSMUST00000128808</t>
  </si>
  <si>
    <t>Q8BMF4</t>
  </si>
  <si>
    <t>ENSMUST00000034567</t>
  </si>
  <si>
    <t>ENSMUST00000155417</t>
  </si>
  <si>
    <t>ENSMUST00000125919</t>
  </si>
  <si>
    <t>ENSMUST00000126933</t>
  </si>
  <si>
    <t>ENSMUST00000132455</t>
  </si>
  <si>
    <t>Q8BMJ3</t>
  </si>
  <si>
    <t>ENSMUST00000087143</t>
  </si>
  <si>
    <t>ENSMUST00000133252</t>
  </si>
  <si>
    <t>Q8BMS1</t>
  </si>
  <si>
    <t>ENSMUST00000156859</t>
  </si>
  <si>
    <t>ENSMUST00000132486</t>
  </si>
  <si>
    <t>ENSMUST00000126081</t>
  </si>
  <si>
    <t>ENSMUST00000197491</t>
  </si>
  <si>
    <t>ENSMUST00000130358</t>
  </si>
  <si>
    <t>ENSMUST00000199559</t>
  </si>
  <si>
    <t>ENSMUST00000196156</t>
  </si>
  <si>
    <t>Q8BP40</t>
  </si>
  <si>
    <t>ENSMUST00000090759</t>
  </si>
  <si>
    <t>ENSMUST00000199346</t>
  </si>
  <si>
    <t>ENSMUST00000133965</t>
  </si>
  <si>
    <t>ENSMUST00000126438</t>
  </si>
  <si>
    <t>ENSMUST00000149900</t>
  </si>
  <si>
    <t>ENSMUST00000146143</t>
  </si>
  <si>
    <t>ENSMUST00000139898</t>
  </si>
  <si>
    <t>ENSMUST00000143234</t>
  </si>
  <si>
    <t>ENSMUST00000198329</t>
  </si>
  <si>
    <t>Q8BP67</t>
  </si>
  <si>
    <t>ENSMUST00000023269</t>
  </si>
  <si>
    <t>ENSMUST00000137811</t>
  </si>
  <si>
    <t>ENSMUST00000126419</t>
  </si>
  <si>
    <t>ENSMUST00000128581</t>
  </si>
  <si>
    <t>Q8BPU7</t>
  </si>
  <si>
    <t>ENSMUST00000181429</t>
  </si>
  <si>
    <t>ENSMUST00000072519</t>
  </si>
  <si>
    <t>ENSMUST00000180626</t>
  </si>
  <si>
    <t>ENSMUST00000180767</t>
  </si>
  <si>
    <t>Q8BQ30</t>
  </si>
  <si>
    <t>ENSMUST00000122899</t>
  </si>
  <si>
    <t>ENSMUST00000113814</t>
  </si>
  <si>
    <t>ENSMUST00000190496</t>
  </si>
  <si>
    <t>ENSMUST00000187690</t>
  </si>
  <si>
    <t>Q8BSL7</t>
  </si>
  <si>
    <t>ENSMUST00000057921</t>
  </si>
  <si>
    <t>ENSMUST00000063347</t>
  </si>
  <si>
    <t>ENSMUST00000153092</t>
  </si>
  <si>
    <t>Q8BT07</t>
  </si>
  <si>
    <t>ENSMUST00000096096</t>
  </si>
  <si>
    <t>ENSMUST00000116506</t>
  </si>
  <si>
    <t>ENSMUST00000169673</t>
  </si>
  <si>
    <t>Q8BT60</t>
  </si>
  <si>
    <t>ENSMUST00000029885</t>
  </si>
  <si>
    <t>ENSMUST00000134025</t>
  </si>
  <si>
    <t>ENSMUST00000108254</t>
  </si>
  <si>
    <t>Q8BTI8</t>
  </si>
  <si>
    <t>ENSMUST00000190686</t>
  </si>
  <si>
    <t>ENSMUST00000088621</t>
  </si>
  <si>
    <t>ENSMUST00000191385</t>
  </si>
  <si>
    <t>ENSMUST00000190293</t>
  </si>
  <si>
    <t>ENSMUST00000186045</t>
  </si>
  <si>
    <t>ENSMUST00000189977</t>
  </si>
  <si>
    <t>ENSMUST00000186914</t>
  </si>
  <si>
    <t>ENSMUST00000186259</t>
  </si>
  <si>
    <t>ENSMUST00000190568</t>
  </si>
  <si>
    <t>Q8BTM8</t>
  </si>
  <si>
    <t>ENSMUST00000114299</t>
  </si>
  <si>
    <t>ENSMUST00000033699</t>
  </si>
  <si>
    <t>ENSMUST00000156766</t>
  </si>
  <si>
    <t>ENSMUST00000141528</t>
  </si>
  <si>
    <t>ENSMUST00000124950</t>
  </si>
  <si>
    <t>ENSMUST00000150554</t>
  </si>
  <si>
    <t>ENSMUST00000133609</t>
  </si>
  <si>
    <t>ENSMUST00000133174</t>
  </si>
  <si>
    <t>ENSMUST00000101454</t>
  </si>
  <si>
    <t>Q8BU14</t>
  </si>
  <si>
    <t>ENSMUST00000029256</t>
  </si>
  <si>
    <t>ENSMUST00000191730</t>
  </si>
  <si>
    <t>ENSMUST00000195072</t>
  </si>
  <si>
    <t>Q8BU30</t>
  </si>
  <si>
    <t>ENSMUST00000165316</t>
  </si>
  <si>
    <t>ENSMUST00000172254</t>
  </si>
  <si>
    <t>ENSMUST00000171510</t>
  </si>
  <si>
    <t>ENSMUST00000165063</t>
  </si>
  <si>
    <t>ENSMUST00000164275</t>
  </si>
  <si>
    <t>ENSMUST00000165270</t>
  </si>
  <si>
    <t>ENSMUST00000165656</t>
  </si>
  <si>
    <t>ENSMUST00000164260</t>
  </si>
  <si>
    <t>ENSMUST00000047363</t>
  </si>
  <si>
    <t>Q8BWY3</t>
  </si>
  <si>
    <t>ENSMUST00000025218</t>
  </si>
  <si>
    <t>ENSMUST00000180351</t>
  </si>
  <si>
    <t>Q8BX10</t>
  </si>
  <si>
    <t>ENSMUST00000112505</t>
  </si>
  <si>
    <t>ENSMUST00000059229</t>
  </si>
  <si>
    <t>ENSMUST00000136738</t>
  </si>
  <si>
    <t>Q8BY71</t>
  </si>
  <si>
    <t>ENSMUST00000112122</t>
  </si>
  <si>
    <t>ENSMUST00000144888</t>
  </si>
  <si>
    <t>ENSMUST00000145147</t>
  </si>
  <si>
    <t>ENSMUST00000028408</t>
  </si>
  <si>
    <t>Q8BYK6</t>
  </si>
  <si>
    <t>ENSMUST00000108345</t>
  </si>
  <si>
    <t>ENSMUST00000191774</t>
  </si>
  <si>
    <t>ENSMUST00000108346</t>
  </si>
  <si>
    <t>Q8BYZ1</t>
  </si>
  <si>
    <t>ENSMUST00000059026</t>
  </si>
  <si>
    <t>ENSMUST00000131049</t>
  </si>
  <si>
    <t>ENSMUST00000137645</t>
  </si>
  <si>
    <t>ENSMUST00000143492</t>
  </si>
  <si>
    <t>Q8C0C7</t>
  </si>
  <si>
    <t>ENSMUST00000003906</t>
  </si>
  <si>
    <t>ENSMUST00000129595</t>
  </si>
  <si>
    <t>ENSMUST00000144404</t>
  </si>
  <si>
    <t>ENSMUST00000109754</t>
  </si>
  <si>
    <t>ENSMUST00000156970</t>
  </si>
  <si>
    <t>ENSMUST00000141480</t>
  </si>
  <si>
    <t>Q8C0P0</t>
  </si>
  <si>
    <t>ENSMUST00000028119</t>
  </si>
  <si>
    <t>ENSMUST00000136207</t>
  </si>
  <si>
    <t>Q8C0V0</t>
  </si>
  <si>
    <t>ENSMUST00000038584</t>
  </si>
  <si>
    <t>ENSMUST00000135128</t>
  </si>
  <si>
    <t>ENSMUST00000124629</t>
  </si>
  <si>
    <t>ENSMUST00000132542</t>
  </si>
  <si>
    <t>ENSMUST00000133734</t>
  </si>
  <si>
    <t>ENSMUST00000141707</t>
  </si>
  <si>
    <t>ENSMUST00000152738</t>
  </si>
  <si>
    <t>Q8C156</t>
  </si>
  <si>
    <t>ENSMUST00000110387</t>
  </si>
  <si>
    <t>ENSMUST00000152806</t>
  </si>
  <si>
    <t>ENSMUST00000175885</t>
  </si>
  <si>
    <t>ENSMUST00000146142</t>
  </si>
  <si>
    <t>ENSMUST00000177191</t>
  </si>
  <si>
    <t>ENSMUST00000156625</t>
  </si>
  <si>
    <t>Q8C166</t>
  </si>
  <si>
    <t>ENSMUST00000184265</t>
  </si>
  <si>
    <t>ENSMUST00000142975</t>
  </si>
  <si>
    <t>ENSMUST00000109607</t>
  </si>
  <si>
    <t>ENSMUST00000109608</t>
  </si>
  <si>
    <t>ENSMUST00000140109</t>
  </si>
  <si>
    <t>ENSMUST00000184933</t>
  </si>
  <si>
    <t>ENSMUST00000147627</t>
  </si>
  <si>
    <t>ENSMUST00000183733</t>
  </si>
  <si>
    <t>ENSMUST00000147956</t>
  </si>
  <si>
    <t>ENSMUST00000136296</t>
  </si>
  <si>
    <t>ENSMUST00000183353</t>
  </si>
  <si>
    <t>ENSMUST00000184152</t>
  </si>
  <si>
    <t>Q8C1B7</t>
  </si>
  <si>
    <t>ENSMUST00000074733</t>
  </si>
  <si>
    <t>ENSMUST00000201377</t>
  </si>
  <si>
    <t>ENSMUST00000201700</t>
  </si>
  <si>
    <t>ENSMUST00000202308</t>
  </si>
  <si>
    <t>ENSMUST00000201421</t>
  </si>
  <si>
    <t>ENSMUST00000201695</t>
  </si>
  <si>
    <t>Q8C1Q6</t>
  </si>
  <si>
    <t>ENSMUST00000090205</t>
  </si>
  <si>
    <t>ENSMUST00000049732</t>
  </si>
  <si>
    <t>ENSMUST00000064032</t>
  </si>
  <si>
    <t>Q8C2Q3</t>
  </si>
  <si>
    <t>ENSMUST00000006625</t>
  </si>
  <si>
    <t>ENSMUST00000113793</t>
  </si>
  <si>
    <t>Q8C3J5</t>
  </si>
  <si>
    <t>ENSMUST00000093193</t>
  </si>
  <si>
    <t>ENSMUST00000157036</t>
  </si>
  <si>
    <t>ENSMUST00000127846</t>
  </si>
  <si>
    <t>ENSMUST00000154178</t>
  </si>
  <si>
    <t>ENSMUST00000101364</t>
  </si>
  <si>
    <t>Q8C854</t>
  </si>
  <si>
    <t>ENSMUST00000129945</t>
  </si>
  <si>
    <t>ENSMUST00000142718</t>
  </si>
  <si>
    <t>ENSMUST00000147105</t>
  </si>
  <si>
    <t>ENSMUST00000089825</t>
  </si>
  <si>
    <t>ENSMUST00000137091</t>
  </si>
  <si>
    <t>ENSMUST00000149911</t>
  </si>
  <si>
    <t>ENSMUST00000067780</t>
  </si>
  <si>
    <t>Q8CAQ8</t>
  </si>
  <si>
    <t>ENSMUST00000064062</t>
  </si>
  <si>
    <t>ENSMUST00000167244</t>
  </si>
  <si>
    <t>ENSMUST00000165331</t>
  </si>
  <si>
    <t>ENSMUST00000114151</t>
  </si>
  <si>
    <t>ENSMUST00000101301</t>
  </si>
  <si>
    <t>ENSMUST00000166938</t>
  </si>
  <si>
    <t>ENSMUST00000171057</t>
  </si>
  <si>
    <t>Q8CCS6</t>
  </si>
  <si>
    <t>ENSMUST00000140691</t>
  </si>
  <si>
    <t>ENSMUST00000116476</t>
  </si>
  <si>
    <t>ENSMUST00000022808</t>
  </si>
  <si>
    <t>ENSMUST00000150975</t>
  </si>
  <si>
    <t>ENSMUST00000141446</t>
  </si>
  <si>
    <t>ENSMUST00000139985</t>
  </si>
  <si>
    <t>ENSMUST00000172557</t>
  </si>
  <si>
    <t>ENSMUST00000146271</t>
  </si>
  <si>
    <t>Q8CG47</t>
  </si>
  <si>
    <t>ENSMUST00000042901</t>
  </si>
  <si>
    <t>ENSMUST00000136502</t>
  </si>
  <si>
    <t>ENSMUST00000148385</t>
  </si>
  <si>
    <t>ENSMUST00000128134</t>
  </si>
  <si>
    <t>ENSMUST00000156354</t>
  </si>
  <si>
    <t>ENSMUST00000194693</t>
  </si>
  <si>
    <t>ENSMUST00000149174</t>
  </si>
  <si>
    <t>ENSMUST00000128118</t>
  </si>
  <si>
    <t>Q8CG48</t>
  </si>
  <si>
    <t>ENSMUST00000102915</t>
  </si>
  <si>
    <t>ENSMUST00000117280</t>
  </si>
  <si>
    <t>ENSMUST00000142227</t>
  </si>
  <si>
    <t>ENSMUST00000131163</t>
  </si>
  <si>
    <t>ENSMUST00000146787</t>
  </si>
  <si>
    <t>Q8CG76</t>
  </si>
  <si>
    <t>ENSMUST00000073787</t>
  </si>
  <si>
    <t>ENSMUST00000153645</t>
  </si>
  <si>
    <t>Q8CGC6</t>
  </si>
  <si>
    <t>ENSMUST00000007993</t>
  </si>
  <si>
    <t>ENSMUST00000169214</t>
  </si>
  <si>
    <t>ENSMUST00000164563</t>
  </si>
  <si>
    <t>ENSMUST00000170750</t>
  </si>
  <si>
    <t>ENSMUST00000170473</t>
  </si>
  <si>
    <t>ENSMUST00000172346</t>
  </si>
  <si>
    <t>Q8CGC7</t>
  </si>
  <si>
    <t>ENSMUST00000192284</t>
  </si>
  <si>
    <t>ENSMUST00000046514</t>
  </si>
  <si>
    <t>ENSMUST00000192588</t>
  </si>
  <si>
    <t>ENSMUST00000193788</t>
  </si>
  <si>
    <t>ENSMUST00000194157</t>
  </si>
  <si>
    <t>ENSMUST00000192324</t>
  </si>
  <si>
    <t>ENSMUST00000192049</t>
  </si>
  <si>
    <t>Q8C9</t>
  </si>
  <si>
    <t>ENSMUST00000108987</t>
  </si>
  <si>
    <t>ENSMUST00000121334</t>
  </si>
  <si>
    <t>ENSMUST00000117061</t>
  </si>
  <si>
    <t>Q8CP5</t>
  </si>
  <si>
    <t>ENSMUST00000163377</t>
  </si>
  <si>
    <t>ENSMUST00000065210</t>
  </si>
  <si>
    <t>Q8CT0</t>
  </si>
  <si>
    <t>ENSMUST00000039818</t>
  </si>
  <si>
    <t>ENSMUST00000146309</t>
  </si>
  <si>
    <t>ENSMUST00000124987</t>
  </si>
  <si>
    <t>Q8CI94</t>
  </si>
  <si>
    <t>ENSMUST00000045441</t>
  </si>
  <si>
    <t>ENSMUST00000139938</t>
  </si>
  <si>
    <t>ENSMUST00000154366</t>
  </si>
  <si>
    <t>ENSMUST00000129610</t>
  </si>
  <si>
    <t>ENSMUST00000135717</t>
  </si>
  <si>
    <t>Q8CIE6</t>
  </si>
  <si>
    <t>ENSMUST00000135192</t>
  </si>
  <si>
    <t>ENSMUST00000138407</t>
  </si>
  <si>
    <t>ENSMUST00000126634</t>
  </si>
  <si>
    <t>ENSMUST00000027833</t>
  </si>
  <si>
    <t>ENSMUST00000150298</t>
  </si>
  <si>
    <t>ENSMUST00000133909</t>
  </si>
  <si>
    <t>ENSMUST00000122845</t>
  </si>
  <si>
    <t>ENSMUST00000142765</t>
  </si>
  <si>
    <t>Q8CIG8</t>
  </si>
  <si>
    <t>ENSMUST00000023873</t>
  </si>
  <si>
    <t>ENSMUST00000139964</t>
  </si>
  <si>
    <t>ENSMUST00000132227</t>
  </si>
  <si>
    <t>ENSMUST00000147214</t>
  </si>
  <si>
    <t>ENSMUST00000133552</t>
  </si>
  <si>
    <t>ENSMUST00000138367</t>
  </si>
  <si>
    <t>Q8JZN5</t>
  </si>
  <si>
    <t>ENSMUST00000011492</t>
  </si>
  <si>
    <t>ENSMUST00000198987</t>
  </si>
  <si>
    <t>ENSMUST00000197344</t>
  </si>
  <si>
    <t>ENSMUST00000196535</t>
  </si>
  <si>
    <t>ENSMUST00000197588</t>
  </si>
  <si>
    <t>ENSMUST00000196395</t>
  </si>
  <si>
    <t>ENSMUST00000195896</t>
  </si>
  <si>
    <t>ENSMUST00000198050</t>
  </si>
  <si>
    <t>ENSMUST00000199193</t>
  </si>
  <si>
    <t>Q8JZQ9</t>
  </si>
  <si>
    <t>ENSMUST00000100507</t>
  </si>
  <si>
    <t>ENSMUST00000197632</t>
  </si>
  <si>
    <t>ENSMUST00000199377</t>
  </si>
  <si>
    <t>Q8K003</t>
  </si>
  <si>
    <t>ENSMUST00000167504</t>
  </si>
  <si>
    <t>ENSMUST00000193868</t>
  </si>
  <si>
    <t>ENSMUST00000192442</t>
  </si>
  <si>
    <t>Q8K019</t>
  </si>
  <si>
    <t>ENSMUST00000186100</t>
  </si>
  <si>
    <t>ENSMUST00000043881</t>
  </si>
  <si>
    <t>ENSMUST00000187338</t>
  </si>
  <si>
    <t>ENSMUST00000190156</t>
  </si>
  <si>
    <t>ENSMUST00000185800</t>
  </si>
  <si>
    <t>ENSMUST00000191438</t>
  </si>
  <si>
    <t>ENSMUST00000189158</t>
  </si>
  <si>
    <t>ENSMUST00000191143</t>
  </si>
  <si>
    <t>ENSMUST00000188546</t>
  </si>
  <si>
    <t>ENSMUST00000092678</t>
  </si>
  <si>
    <t>Q8K0C9</t>
  </si>
  <si>
    <t>ENSMUST00000041859</t>
  </si>
  <si>
    <t>ENSMUST00000178294</t>
  </si>
  <si>
    <t>ENSMUST00000178313</t>
  </si>
  <si>
    <t>Q8K1J6</t>
  </si>
  <si>
    <t>ENSMUST00000057578</t>
  </si>
  <si>
    <t>ENSMUST00000113247</t>
  </si>
  <si>
    <t>ENSMUST00000113249</t>
  </si>
  <si>
    <t>ENSMUST00000113248</t>
  </si>
  <si>
    <t>ENSMUST00000147084</t>
  </si>
  <si>
    <t>Q8K224</t>
  </si>
  <si>
    <t>ENSMUST00000028608</t>
  </si>
  <si>
    <t>ENSMUST00000143017</t>
  </si>
  <si>
    <t>ENSMUST00000133016</t>
  </si>
  <si>
    <t>ENSMUST00000132135</t>
  </si>
  <si>
    <t>ENSMUST00000144590</t>
  </si>
  <si>
    <t>ENSMUST00000137600</t>
  </si>
  <si>
    <t>ENSMUST00000151010</t>
  </si>
  <si>
    <t>ENSMUST00000090447</t>
  </si>
  <si>
    <t>ENSMUST00000145189</t>
  </si>
  <si>
    <t>ENSMUST00000140895</t>
  </si>
  <si>
    <t>ENSMUST00000127581</t>
  </si>
  <si>
    <t>ENSMUST00000165970</t>
  </si>
  <si>
    <t>ENSMUST00000148798</t>
  </si>
  <si>
    <t>Q8K2B3</t>
  </si>
  <si>
    <t>ENSMUST00000022062</t>
  </si>
  <si>
    <t>ENSMUST00000161434</t>
  </si>
  <si>
    <t>ENSMUST00000160900</t>
  </si>
  <si>
    <t>ENSMUST00000161086</t>
  </si>
  <si>
    <t>ENSMUST00000160400</t>
  </si>
  <si>
    <t>ENSMUST00000162137</t>
  </si>
  <si>
    <t>ENSMUST00000161456</t>
  </si>
  <si>
    <t>Q8K2Q2</t>
  </si>
  <si>
    <t>ENSMUST00000056159</t>
  </si>
  <si>
    <t>ENSMUST00000120645</t>
  </si>
  <si>
    <t>Q8K2Z4</t>
  </si>
  <si>
    <t>ENSMUST00000188119</t>
  </si>
  <si>
    <t>ENSMUST00000043848</t>
  </si>
  <si>
    <t>ENSMUST00000188665</t>
  </si>
  <si>
    <t>ENSMUST00000188410</t>
  </si>
  <si>
    <t>ENSMUST00000186667</t>
  </si>
  <si>
    <t>ENSMUST00000189706</t>
  </si>
  <si>
    <t>ENSMUST00000191080</t>
  </si>
  <si>
    <t>ENSMUST00000186561</t>
  </si>
  <si>
    <t>ENSMUST00000188306</t>
  </si>
  <si>
    <t>ENSMUST00000188762</t>
  </si>
  <si>
    <t>ENSMUST00000186210</t>
  </si>
  <si>
    <t>Q8K310</t>
  </si>
  <si>
    <t>ENSMUST00000188359</t>
  </si>
  <si>
    <t>ENSMUST00000166793</t>
  </si>
  <si>
    <t>ENSMUST00000190653</t>
  </si>
  <si>
    <t>ENSMUST00000188767</t>
  </si>
  <si>
    <t>ENSMUST00000186796</t>
  </si>
  <si>
    <t>ENSMUST00000188275</t>
  </si>
  <si>
    <t>ENSMUST00000190029</t>
  </si>
  <si>
    <t>ENSMUST00000186292</t>
  </si>
  <si>
    <t>ENSMUST00000187980</t>
  </si>
  <si>
    <t>ENSMUST00000186158</t>
  </si>
  <si>
    <t>ENSMUST00000189019</t>
  </si>
  <si>
    <t>Q8K363</t>
  </si>
  <si>
    <t>ENSMUST00000001724</t>
  </si>
  <si>
    <t>ENSMUST00000148809</t>
  </si>
  <si>
    <t>ENSMUST00000131471</t>
  </si>
  <si>
    <t>Q8K389</t>
  </si>
  <si>
    <t>Q8K4L0</t>
  </si>
  <si>
    <t>ENSMUST00000031598</t>
  </si>
  <si>
    <t>ENSMUST00000202672</t>
  </si>
  <si>
    <t>ENSMUST00000201616</t>
  </si>
  <si>
    <t>ENSMUST00000201698</t>
  </si>
  <si>
    <t>Q8K4Z5</t>
  </si>
  <si>
    <t>ENSMUST00000133095</t>
  </si>
  <si>
    <t>ENSMUST00000002198</t>
  </si>
  <si>
    <t>ENSMUST00000132666</t>
  </si>
  <si>
    <t>Q8QZT1</t>
  </si>
  <si>
    <t>ENSMUST00000034547</t>
  </si>
  <si>
    <t>ENSMUST00000169317</t>
  </si>
  <si>
    <t>ENSMUST00000167130</t>
  </si>
  <si>
    <t>Q8R050</t>
  </si>
  <si>
    <t>ENSMUST00000167571</t>
  </si>
  <si>
    <t>ENSMUST00000080030</t>
  </si>
  <si>
    <t>ENSMUST00000166063</t>
  </si>
  <si>
    <t>ENSMUST00000164098</t>
  </si>
  <si>
    <t>Q8R081</t>
  </si>
  <si>
    <t>ENSMUST00000174548</t>
  </si>
  <si>
    <t>ENSMUST00000173750</t>
  </si>
  <si>
    <t>ENSMUST00000172529</t>
  </si>
  <si>
    <t>ENSMUST00000174477</t>
  </si>
  <si>
    <t>ENSMUST00000174755</t>
  </si>
  <si>
    <t>ENSMUST00000174396</t>
  </si>
  <si>
    <t>ENSMUST00000173818</t>
  </si>
  <si>
    <t>ENSMUST00000172841</t>
  </si>
  <si>
    <t>ENSMUST00000173578</t>
  </si>
  <si>
    <t>ENSMUST00000174526</t>
  </si>
  <si>
    <t>ENSMUST00000038572</t>
  </si>
  <si>
    <t>Q8R0X7</t>
  </si>
  <si>
    <t>ENSMUST00000092498</t>
  </si>
  <si>
    <t>ENSMUST00000122259</t>
  </si>
  <si>
    <t>ENSMUST00000155919</t>
  </si>
  <si>
    <t>ENSMUST00000124896</t>
  </si>
  <si>
    <t>ENSMUST00000126307</t>
  </si>
  <si>
    <t>ENSMUST00000142192</t>
  </si>
  <si>
    <t>ENSMUST00000152316</t>
  </si>
  <si>
    <t>ENSMUST00000143225</t>
  </si>
  <si>
    <t>Q8R138</t>
  </si>
  <si>
    <t>ENSMUST00000067853</t>
  </si>
  <si>
    <t>ENSMUST00000160374</t>
  </si>
  <si>
    <t>Q8R2M2</t>
  </si>
  <si>
    <t>ENSMUST00000035776</t>
  </si>
  <si>
    <t>ENSMUST00000199627</t>
  </si>
  <si>
    <t>ENSMUST00000196338</t>
  </si>
  <si>
    <t>Q8R2Y8</t>
  </si>
  <si>
    <t>ENSMUST00000108022</t>
  </si>
  <si>
    <t>ENSMUST00000108021</t>
  </si>
  <si>
    <t>Q8R323</t>
  </si>
  <si>
    <t>ENSMUST00000038131</t>
  </si>
  <si>
    <t>ENSMUST00000127366</t>
  </si>
  <si>
    <t>ENSMUST00000156667</t>
  </si>
  <si>
    <t>ENSMUST00000145106</t>
  </si>
  <si>
    <t>ENSMUST00000140067</t>
  </si>
  <si>
    <t>ENSMUST00000132709</t>
  </si>
  <si>
    <t>ENSMUST00000136752</t>
  </si>
  <si>
    <t>Q8R326</t>
  </si>
  <si>
    <t>ENSMUST00000022507</t>
  </si>
  <si>
    <t>ENSMUST00000163924</t>
  </si>
  <si>
    <t>ENSMUST00000168524</t>
  </si>
  <si>
    <t>ENSMUST00000168575</t>
  </si>
  <si>
    <t>Q8R480</t>
  </si>
  <si>
    <t>ENSMUST00000021085</t>
  </si>
  <si>
    <t>ENSMUST00000135893</t>
  </si>
  <si>
    <t>ENSMUST00000143351</t>
  </si>
  <si>
    <t>ENSMUST00000127126</t>
  </si>
  <si>
    <t>ENSMUST00000138998</t>
  </si>
  <si>
    <t>ENSMUST00000128745</t>
  </si>
  <si>
    <t>ENSMUST00000134209</t>
  </si>
  <si>
    <t>Q8R4R6</t>
  </si>
  <si>
    <t>ENSMUST00000135305</t>
  </si>
  <si>
    <t>ENSMUST00000028382</t>
  </si>
  <si>
    <t>ENSMUST00000144697</t>
  </si>
  <si>
    <t>ENSMUST00000127926</t>
  </si>
  <si>
    <t>Q8R5C5</t>
  </si>
  <si>
    <t>ENSMUST00000043951</t>
  </si>
  <si>
    <t>ENSMUST00000159675</t>
  </si>
  <si>
    <t>ENSMUST00000162684</t>
  </si>
  <si>
    <t>ENSMUST00000159448</t>
  </si>
  <si>
    <t>ENSMUST00000160043</t>
  </si>
  <si>
    <t>Q8VBT0</t>
  </si>
  <si>
    <t>ENSMUST00000021471</t>
  </si>
  <si>
    <t>ENSMUST00000160865</t>
  </si>
  <si>
    <t>Q8VC28</t>
  </si>
  <si>
    <t>ENSMUST00000021634</t>
  </si>
  <si>
    <t>ENSMUST00000128892</t>
  </si>
  <si>
    <t>Q8VCF0</t>
  </si>
  <si>
    <t>ENSMUST00000130597</t>
  </si>
  <si>
    <t>ENSMUST00000041362</t>
  </si>
  <si>
    <t>ENSMUST00000110199</t>
  </si>
  <si>
    <t>ENSMUST00000132694</t>
  </si>
  <si>
    <t>Q8VCN5</t>
  </si>
  <si>
    <t>ENSMUST00000118539</t>
  </si>
  <si>
    <t>ENSMUST00000198009</t>
  </si>
  <si>
    <t>ENSMUST00000125028</t>
  </si>
  <si>
    <t>Q8VCW8</t>
  </si>
  <si>
    <t>ENSMUST00000103164</t>
  </si>
  <si>
    <t>ENSMUST00000144615</t>
  </si>
  <si>
    <t>ENSMUST00000131808</t>
  </si>
  <si>
    <t>ENSMUST00000155122</t>
  </si>
  <si>
    <t>Q8VDD5</t>
  </si>
  <si>
    <t>ENSMUST00000016771</t>
  </si>
  <si>
    <t>ENSMUST00000139729</t>
  </si>
  <si>
    <t>ENSMUST00000126796</t>
  </si>
  <si>
    <t>ENSMUST00000129453</t>
  </si>
  <si>
    <t>ENSMUST00000123101</t>
  </si>
  <si>
    <t>ENSMUST00000134878</t>
  </si>
  <si>
    <t>Q8VDF2</t>
  </si>
  <si>
    <t>ENSMUST00000001258</t>
  </si>
  <si>
    <t>ENSMUST00000113038</t>
  </si>
  <si>
    <t>ENSMUST00000113035</t>
  </si>
  <si>
    <t>ENSMUST00000113039</t>
  </si>
  <si>
    <t>ENSMUST00000137876</t>
  </si>
  <si>
    <t>Q8VDJ3</t>
  </si>
  <si>
    <t>ENSMUST00000170883</t>
  </si>
  <si>
    <t>ENSMUST00000042498</t>
  </si>
  <si>
    <t>ENSMUST00000189951</t>
  </si>
  <si>
    <t>ENSMUST00000188988</t>
  </si>
  <si>
    <t>ENSMUST00000186787</t>
  </si>
  <si>
    <t>ENSMUST00000189025</t>
  </si>
  <si>
    <t>ENSMUST00000185349</t>
  </si>
  <si>
    <t>ENSMUST00000188165</t>
  </si>
  <si>
    <t>ENSMUST00000188844</t>
  </si>
  <si>
    <t>Q8VDM4</t>
  </si>
  <si>
    <t>ENSMUST00000007212</t>
  </si>
  <si>
    <t>ENSMUST00000172207</t>
  </si>
  <si>
    <t>ENSMUST00000169195</t>
  </si>
  <si>
    <t>ENSMUST00000167869</t>
  </si>
  <si>
    <t>ENSMUST00000166071</t>
  </si>
  <si>
    <t>ENSMUST00000169184</t>
  </si>
  <si>
    <t>Q8VDN2</t>
  </si>
  <si>
    <t>ENSMUST00000036493</t>
  </si>
  <si>
    <t>ENSMUST00000130649</t>
  </si>
  <si>
    <t>ENSMUST00000136340</t>
  </si>
  <si>
    <t>Q8VDW0</t>
  </si>
  <si>
    <t>ENSMUST00000019576</t>
  </si>
  <si>
    <t>ENSMUST00000127505</t>
  </si>
  <si>
    <t>ENSMUST00000140521</t>
  </si>
  <si>
    <t>ENSMUST00000109810</t>
  </si>
  <si>
    <t>ENSMUST00000138789</t>
  </si>
  <si>
    <t>Q8VE37</t>
  </si>
  <si>
    <t>ENSMUST00000084250</t>
  </si>
  <si>
    <t>ENSMUST00000030726</t>
  </si>
  <si>
    <t>ENSMUST00000105951</t>
  </si>
  <si>
    <t>ENSMUST00000155194</t>
  </si>
  <si>
    <t>ENSMUST00000131307</t>
  </si>
  <si>
    <t>ENSMUST00000137238</t>
  </si>
  <si>
    <t>ENSMUST00000156710</t>
  </si>
  <si>
    <t>Q8VEE4</t>
  </si>
  <si>
    <t>ENSMUST00000092907</t>
  </si>
  <si>
    <t>ENSMUST00000000767</t>
  </si>
  <si>
    <t>ENSMUST00000149365</t>
  </si>
  <si>
    <t>ENSMUST00000154894</t>
  </si>
  <si>
    <t>ENSMUST00000135770</t>
  </si>
  <si>
    <t>Q8VEK3</t>
  </si>
  <si>
    <t>ENSMUST00000037748</t>
  </si>
  <si>
    <t>ENSMUST00000162916</t>
  </si>
  <si>
    <t>ENSMUST00000150825</t>
  </si>
  <si>
    <t>ENSMUST00000146362</t>
  </si>
  <si>
    <t>ENSMUST00000134291</t>
  </si>
  <si>
    <t>Q8VEM8</t>
  </si>
  <si>
    <t>ENSMUST00000076694</t>
  </si>
  <si>
    <t>ENSMUST00000170810</t>
  </si>
  <si>
    <t>ENSMUST00000164505</t>
  </si>
  <si>
    <t>ENSMUST00000167455</t>
  </si>
  <si>
    <t>ENSMUST00000169339</t>
  </si>
  <si>
    <t>ENSMUST00000171960</t>
  </si>
  <si>
    <t>ENSMUST00000172442</t>
  </si>
  <si>
    <t>Q8V51</t>
  </si>
  <si>
    <t>ENSMUST00000109587</t>
  </si>
  <si>
    <t>ENSMUST00000146297</t>
  </si>
  <si>
    <t>ENSMUST00000142071</t>
  </si>
  <si>
    <t>ENSMUST00000029149</t>
  </si>
  <si>
    <t>ENSMUST00000155837</t>
  </si>
  <si>
    <t>ENSMUST00000153514</t>
  </si>
  <si>
    <t>ENSMUST00000126992</t>
  </si>
  <si>
    <t>ENSMUST00000135274</t>
  </si>
  <si>
    <t>ENSMUST00000131625</t>
  </si>
  <si>
    <t>ENSMUST00000130516</t>
  </si>
  <si>
    <t>ENSMUST00000150272</t>
  </si>
  <si>
    <t>ENSMUST00000138381</t>
  </si>
  <si>
    <t>ENSMUST00000140001</t>
  </si>
  <si>
    <t>ENSMUST00000146549</t>
  </si>
  <si>
    <t>ENSMUST00000137297</t>
  </si>
  <si>
    <t>ENSMUST00000137566</t>
  </si>
  <si>
    <t>ENSMUST00000132929</t>
  </si>
  <si>
    <t>ENSMUST00000128243</t>
  </si>
  <si>
    <t>ENSMUST00000137340</t>
  </si>
  <si>
    <t>Q8VR5</t>
  </si>
  <si>
    <t>ENSMUST00000200373</t>
  </si>
  <si>
    <t>ENSMUST00000199754</t>
  </si>
  <si>
    <t>ENSMUST00000196212</t>
  </si>
  <si>
    <t>ENSMUST00000199607</t>
  </si>
  <si>
    <t>ENSMUST00000200213</t>
  </si>
  <si>
    <t>ENSMUST00000199820</t>
  </si>
  <si>
    <t>ENSMUST00000049382</t>
  </si>
  <si>
    <t>Q8VIJ6</t>
  </si>
  <si>
    <t>ENSMUST00000030623</t>
  </si>
  <si>
    <t>ENSMUST00000140682</t>
  </si>
  <si>
    <t>ENSMUST00000146285</t>
  </si>
  <si>
    <t>ENSMUST00000144630</t>
  </si>
  <si>
    <t>ENSMUST00000143168</t>
  </si>
  <si>
    <t>ENSMUST00000125453</t>
  </si>
  <si>
    <t>Q91V12</t>
  </si>
  <si>
    <t>ENSMUST00000075363</t>
  </si>
  <si>
    <t>ENSMUST00000124548</t>
  </si>
  <si>
    <t>ENSMUST00000105652</t>
  </si>
  <si>
    <t>ENSMUST00000167926</t>
  </si>
  <si>
    <t>Q91V41</t>
  </si>
  <si>
    <t>ENSMUST00000028238</t>
  </si>
  <si>
    <t>ENSMUST00000113025</t>
  </si>
  <si>
    <t>ENSMUST00000137709</t>
  </si>
  <si>
    <t>ENSMUST00000142015</t>
  </si>
  <si>
    <t>ENSMUST00000202602</t>
  </si>
  <si>
    <t>ENSMUST00000155483</t>
  </si>
  <si>
    <t>ENSMUST00000201694</t>
  </si>
  <si>
    <t>ENSMUST00000155359</t>
  </si>
  <si>
    <t>ENSMUST00000201896</t>
  </si>
  <si>
    <t>ENSMUST00000126224</t>
  </si>
  <si>
    <t>Q91V92</t>
  </si>
  <si>
    <t>ENSMUST00000107389</t>
  </si>
  <si>
    <t>ENSMUST00000007131</t>
  </si>
  <si>
    <t>ENSMUST00000154151</t>
  </si>
  <si>
    <t>ENSMUST00000152969</t>
  </si>
  <si>
    <t>ENSMUST00000154888</t>
  </si>
  <si>
    <t>ENSMUST00000107385</t>
  </si>
  <si>
    <t>ENSMUST00000165111</t>
  </si>
  <si>
    <t>Q91VC3</t>
  </si>
  <si>
    <t>ENSMUST00000026667</t>
  </si>
  <si>
    <t>ENSMUST00000134743</t>
  </si>
  <si>
    <t>ENSMUST00000106253</t>
  </si>
  <si>
    <t>ENSMUST00000135294</t>
  </si>
  <si>
    <t>ENSMUST00000129044</t>
  </si>
  <si>
    <t>ENSMUST00000138849</t>
  </si>
  <si>
    <t>Q91VD9</t>
  </si>
  <si>
    <t>ENSMUST00000190095</t>
  </si>
  <si>
    <t>ENSMUST00000027111</t>
  </si>
  <si>
    <t>ENSMUST00000187835</t>
  </si>
  <si>
    <t>ENSMUST00000168099</t>
  </si>
  <si>
    <t>ENSMUST00000185847</t>
  </si>
  <si>
    <t>ENSMUST00000186569</t>
  </si>
  <si>
    <t>ENSMUST00000185827</t>
  </si>
  <si>
    <t>ENSMUST00000140612</t>
  </si>
  <si>
    <t>ENSMUST00000185412</t>
  </si>
  <si>
    <t>ENSMUST00000189664</t>
  </si>
  <si>
    <t>Q91VE6</t>
  </si>
  <si>
    <t>ENSMUST00000027626</t>
  </si>
  <si>
    <t>ENSMUST00000161495</t>
  </si>
  <si>
    <t>Q91VI7</t>
  </si>
  <si>
    <t>ENSMUST00000167493</t>
  </si>
  <si>
    <t>ENSMUST00000106033</t>
  </si>
  <si>
    <t>Q91VR2</t>
  </si>
  <si>
    <t>ENSMUST00000114896</t>
  </si>
  <si>
    <t>ENSMUST00000026887</t>
  </si>
  <si>
    <t>ENSMUST00000114897</t>
  </si>
  <si>
    <t>Q91VW3</t>
  </si>
  <si>
    <t>ENSMUST00000030651</t>
  </si>
  <si>
    <t>ENSMUST00000105879</t>
  </si>
  <si>
    <t>ENSMUST00000136408</t>
  </si>
  <si>
    <t>Q91W50</t>
  </si>
  <si>
    <t>ENSMUST00000029446</t>
  </si>
  <si>
    <t>ENSMUST00000198180</t>
  </si>
  <si>
    <t>ENSMUST00000199420</t>
  </si>
  <si>
    <t>ENSMUST00000197488</t>
  </si>
  <si>
    <t>ENSMUST00000198906</t>
  </si>
  <si>
    <t>ENSMUST00000196521</t>
  </si>
  <si>
    <t>ENSMUST00000200617</t>
  </si>
  <si>
    <t>ENSMUST00000195889</t>
  </si>
  <si>
    <t>ENSMUST00000197939</t>
  </si>
  <si>
    <t>ENSMUST00000196685</t>
  </si>
  <si>
    <t>ENSMUST00000197844</t>
  </si>
  <si>
    <t>Q91WD5</t>
  </si>
  <si>
    <t>ENSMUST00000138069</t>
  </si>
  <si>
    <t>ENSMUST00000150108</t>
  </si>
  <si>
    <t>ENSMUST00000013737</t>
  </si>
  <si>
    <t>ENSMUST00000136976</t>
  </si>
  <si>
    <t>ENSMUST00000111318</t>
  </si>
  <si>
    <t>ENSMUST00000194778</t>
  </si>
  <si>
    <t>Q91WJ8</t>
  </si>
  <si>
    <t>ENSMUST00000166984</t>
  </si>
  <si>
    <t>ENSMUST00000199202</t>
  </si>
  <si>
    <t>ENSMUST00000200524</t>
  </si>
  <si>
    <t>ENSMUST00000198227</t>
  </si>
  <si>
    <t>ENSMUST00000196739</t>
  </si>
  <si>
    <t>ENSMUST00000196062</t>
  </si>
  <si>
    <t>ENSMUST00000196695</t>
  </si>
  <si>
    <t>ENSMUST00000199876</t>
  </si>
  <si>
    <t>ENSMUST00000199199</t>
  </si>
  <si>
    <t>ENSMUST00000196429</t>
  </si>
  <si>
    <t>ENSMUST00000199127</t>
  </si>
  <si>
    <t>ENSMUST00000199918</t>
  </si>
  <si>
    <t>ENSMUST00000198405</t>
  </si>
  <si>
    <t>ENSMUST00000200056</t>
  </si>
  <si>
    <t>ENSMUST00000198539</t>
  </si>
  <si>
    <t>ENSMUST00000197141</t>
  </si>
  <si>
    <t>ENSMUST00000198046</t>
  </si>
  <si>
    <t>ENSMUST00000200207</t>
  </si>
  <si>
    <t>ENSMUST00000106121</t>
  </si>
  <si>
    <t>Q91WK0</t>
  </si>
  <si>
    <t>ENSMUST00000196981</t>
  </si>
  <si>
    <t>ENSMUST00000098340</t>
  </si>
  <si>
    <t>ENSMUST00000197540</t>
  </si>
  <si>
    <t>ENSMUST00000198127</t>
  </si>
  <si>
    <t>ENSMUST00000199711</t>
  </si>
  <si>
    <t>ENSMUST00000196906</t>
  </si>
  <si>
    <t>ENSMUST00000035078</t>
  </si>
  <si>
    <t>Q91WM3</t>
  </si>
  <si>
    <t>ENSMUST00000047721</t>
  </si>
  <si>
    <t>ENSMUST00000125630</t>
  </si>
  <si>
    <t>ENSMUST00000127400</t>
  </si>
  <si>
    <t>ENSMUST00000156796</t>
  </si>
  <si>
    <t>ENSMUST00000185336</t>
  </si>
  <si>
    <t>ENSMUST00000131618</t>
  </si>
  <si>
    <t>Q91WQ3</t>
  </si>
  <si>
    <t>ENSMUST00000106054</t>
  </si>
  <si>
    <t>ENSMUST00000128287</t>
  </si>
  <si>
    <t>ENSMUST00000133992</t>
  </si>
  <si>
    <t>ENSMUST00000140708</t>
  </si>
  <si>
    <t>ENSMUST00000146106</t>
  </si>
  <si>
    <t>ENSMUST00000148619</t>
  </si>
  <si>
    <t>ENSMUST00000137591</t>
  </si>
  <si>
    <t>ENSMUST00000147248</t>
  </si>
  <si>
    <t>Q91Y5</t>
  </si>
  <si>
    <t>ENSMUST00000170373</t>
  </si>
  <si>
    <t>ENSMUST00000025668</t>
  </si>
  <si>
    <t>Q91YK2</t>
  </si>
  <si>
    <t>ENSMUST00000081339</t>
  </si>
  <si>
    <t>ENSMUST00000156164</t>
  </si>
  <si>
    <t>ENSMUST00000151808</t>
  </si>
  <si>
    <t>ENSMUST00000147076</t>
  </si>
  <si>
    <t>ENSMUST00000149746</t>
  </si>
  <si>
    <t>ENSMUST00000150151</t>
  </si>
  <si>
    <t>ENSMUST00000150469</t>
  </si>
  <si>
    <t>ENSMUST00000136094</t>
  </si>
  <si>
    <t>ENSMUST00000137917</t>
  </si>
  <si>
    <t>ENSMUST00000150187</t>
  </si>
  <si>
    <t>ENSMUST00000126602</t>
  </si>
  <si>
    <t>Q91YN9</t>
  </si>
  <si>
    <t>ENSMUST00000044691</t>
  </si>
  <si>
    <t>ENSMUST00000155484</t>
  </si>
  <si>
    <t>ENSMUST00000187602</t>
  </si>
  <si>
    <t>ENSMUST00000189741</t>
  </si>
  <si>
    <t>Q91YT0</t>
  </si>
  <si>
    <t>ENSMUST00000042497</t>
  </si>
  <si>
    <t>ENSMUST00000148283</t>
  </si>
  <si>
    <t>ENSMUST00000132747</t>
  </si>
  <si>
    <t>ENSMUST00000134049</t>
  </si>
  <si>
    <t>ENSMUST00000150852</t>
  </si>
  <si>
    <t>ENSMUST00000133474</t>
  </si>
  <si>
    <t>ENSMUST00000129706</t>
  </si>
  <si>
    <t>ENSMUST00000149482</t>
  </si>
  <si>
    <t>Q91YU8</t>
  </si>
  <si>
    <t>ENSMUST00000004203</t>
  </si>
  <si>
    <t>ENSMUST00000135608</t>
  </si>
  <si>
    <t>ENSMUST00000157047</t>
  </si>
  <si>
    <t>ENSMUST00000147780</t>
  </si>
  <si>
    <t>ENSMUST00000153227</t>
  </si>
  <si>
    <t>ENSMUST00000145231</t>
  </si>
  <si>
    <t>Q91Z31</t>
  </si>
  <si>
    <t>ENSMUST00000200097</t>
  </si>
  <si>
    <t>ENSMUST00000197833</t>
  </si>
  <si>
    <t>ENSMUST00000197387</t>
  </si>
  <si>
    <t>ENSMUST00000198733</t>
  </si>
  <si>
    <t>ENSMUST00000195902</t>
  </si>
  <si>
    <t>ENSMUST00000196343</t>
  </si>
  <si>
    <t>ENSMUST00000197464</t>
  </si>
  <si>
    <t>ENSMUST00000199026</t>
  </si>
  <si>
    <t>ENSMUST00000198403</t>
  </si>
  <si>
    <t>ENSMUST00000029780</t>
  </si>
  <si>
    <t>Q91ZR1</t>
  </si>
  <si>
    <t>ENSMUST00000093040</t>
  </si>
  <si>
    <t>ENSMUST00000134462</t>
  </si>
  <si>
    <t>ENSMUST00000152753</t>
  </si>
  <si>
    <t>ENSMUST00000131278</t>
  </si>
  <si>
    <t>ENSMUST00000128409</t>
  </si>
  <si>
    <t>Q91ZW3</t>
  </si>
  <si>
    <t>ENSMUST00000043359</t>
  </si>
  <si>
    <t>ENSMUST00000122807</t>
  </si>
  <si>
    <t>ENSMUST00000148455</t>
  </si>
  <si>
    <t>ENSMUST00000140110</t>
  </si>
  <si>
    <t>ENSMUST00000142470</t>
  </si>
  <si>
    <t>ENSMUST00000150277</t>
  </si>
  <si>
    <t>Q920E5</t>
  </si>
  <si>
    <t>ENSMUST00000196709</t>
  </si>
  <si>
    <t>ENSMUST00000081848</t>
  </si>
  <si>
    <t>ENSMUST00000196254</t>
  </si>
  <si>
    <t>ENSMUST00000200433</t>
  </si>
  <si>
    <t>ENSMUST00000196921</t>
  </si>
  <si>
    <t>ENSMUST00000199668</t>
  </si>
  <si>
    <t>ENSMUST00000198239</t>
  </si>
  <si>
    <t>Q921F2</t>
  </si>
  <si>
    <t>ENSMUST00000084125</t>
  </si>
  <si>
    <t>ENSMUST00000045180</t>
  </si>
  <si>
    <t>ENSMUST00000147391</t>
  </si>
  <si>
    <t>ENSMUST00000190552</t>
  </si>
  <si>
    <t>ENSMUST00000105699</t>
  </si>
  <si>
    <t>ENSMUST00000187939</t>
  </si>
  <si>
    <t>ENSMUST00000189048</t>
  </si>
  <si>
    <t>ENSMUST00000105700</t>
  </si>
  <si>
    <t>ENSMUST00000095719</t>
  </si>
  <si>
    <t>ENSMUST00000185673</t>
  </si>
  <si>
    <t>ENSMUST00000190478</t>
  </si>
  <si>
    <t>ENSMUST00000165113</t>
  </si>
  <si>
    <t>ENSMUST00000172073</t>
  </si>
  <si>
    <t>ENSMUST00000105702</t>
  </si>
  <si>
    <t>Q921N6</t>
  </si>
  <si>
    <t>ENSMUST00000018143</t>
  </si>
  <si>
    <t>ENSMUST00000176066</t>
  </si>
  <si>
    <t>ENSMUST00000150571</t>
  </si>
  <si>
    <t>ENSMUST00000126409</t>
  </si>
  <si>
    <t>ENSMUST00000138969</t>
  </si>
  <si>
    <t>ENSMUST00000127468</t>
  </si>
  <si>
    <t>Q922B2</t>
  </si>
  <si>
    <t>ENSMUST00000027602</t>
  </si>
  <si>
    <t>ENSMUST00000186398</t>
  </si>
  <si>
    <t>ENSMUST00000064309</t>
  </si>
  <si>
    <t>Q922J9</t>
  </si>
  <si>
    <t>ENSMUST00000033018</t>
  </si>
  <si>
    <t>ENSMUST00000123845</t>
  </si>
  <si>
    <t>ENSMUST00000067929</t>
  </si>
  <si>
    <t>ENSMUST00000123591</t>
  </si>
  <si>
    <t>ENSMUST00000129087</t>
  </si>
  <si>
    <t>ENSMUST00000122890</t>
  </si>
  <si>
    <t>ENSMUST00000156554</t>
  </si>
  <si>
    <t>ENSMUST00000136158</t>
  </si>
  <si>
    <t>ENSMUST00000155183</t>
  </si>
  <si>
    <t>ENSMUST00000151133</t>
  </si>
  <si>
    <t>ENSMUST00000164745</t>
  </si>
  <si>
    <t>Q922Q4</t>
  </si>
  <si>
    <t>ENSMUST00000027802</t>
  </si>
  <si>
    <t>ENSMUST00000194026</t>
  </si>
  <si>
    <t>ENSMUST00000194253</t>
  </si>
  <si>
    <t>ENSMUST00000195270</t>
  </si>
  <si>
    <t>Q922Q8</t>
  </si>
  <si>
    <t>ENSMUST00000021239</t>
  </si>
  <si>
    <t>ENSMUST00000138782</t>
  </si>
  <si>
    <t>Q922R8</t>
  </si>
  <si>
    <t>ENSMUST00000162936</t>
  </si>
  <si>
    <t>ENSMUST00000057288</t>
  </si>
  <si>
    <t>ENSMUST00000161853</t>
  </si>
  <si>
    <t>ENSMUST00000159434</t>
  </si>
  <si>
    <t>ENSMUST00000163000</t>
  </si>
  <si>
    <t>Q922S8</t>
  </si>
  <si>
    <t>ENSMUST00000065896</t>
  </si>
  <si>
    <t>ENSMUST00000106436</t>
  </si>
  <si>
    <t>ENSMUST00000132868</t>
  </si>
  <si>
    <t>ENSMUST00000142205</t>
  </si>
  <si>
    <t>ENSMUST00000141675</t>
  </si>
  <si>
    <t>ENSMUST00000148918</t>
  </si>
  <si>
    <t>Q922Y1</t>
  </si>
  <si>
    <t>ENSMUST00000166407</t>
  </si>
  <si>
    <t>ENSMUST00000096255</t>
  </si>
  <si>
    <t>Q923G2</t>
  </si>
  <si>
    <t>ENSMUST00000021405</t>
  </si>
  <si>
    <t>ENSMUST00000161038</t>
  </si>
  <si>
    <t>Q923T9</t>
  </si>
  <si>
    <t>ENSMUST00000100837</t>
  </si>
  <si>
    <t>ENSMUST00000080440</t>
  </si>
  <si>
    <t>ENSMUST00000071816</t>
  </si>
  <si>
    <t>Q93092</t>
  </si>
  <si>
    <t>ENSMUST00000026576</t>
  </si>
  <si>
    <t>ENSMUST00000141793</t>
  </si>
  <si>
    <t>ENSMUST00000125597</t>
  </si>
  <si>
    <t>Q99020</t>
  </si>
  <si>
    <t>ENSMUST00000074669</t>
  </si>
  <si>
    <t>ENSMUST00000101249</t>
  </si>
  <si>
    <t>ENSMUST00000109103</t>
  </si>
  <si>
    <t>Q99J62</t>
  </si>
  <si>
    <t>ENSMUST00000023598</t>
  </si>
  <si>
    <t>ENSMUST00000115337</t>
  </si>
  <si>
    <t>ENSMUST00000115338</t>
  </si>
  <si>
    <t>ENSMUST00000147321</t>
  </si>
  <si>
    <t>Q99JB2</t>
  </si>
  <si>
    <t>ENSMUST00000030169</t>
  </si>
  <si>
    <t>ENSMUST00000125180</t>
  </si>
  <si>
    <t>ENSMUST00000135660</t>
  </si>
  <si>
    <t>ENSMUST00000123465</t>
  </si>
  <si>
    <t>ENSMUST00000138030</t>
  </si>
  <si>
    <t>ENSMUST00000142781</t>
  </si>
  <si>
    <t>ENSMUST00000143371</t>
  </si>
  <si>
    <t>ENSMUST00000127645</t>
  </si>
  <si>
    <t>ENSMUST00000126026</t>
  </si>
  <si>
    <t>Q99JF8</t>
  </si>
  <si>
    <t>ENSMUST00000030207</t>
  </si>
  <si>
    <t>ENSMUST00000152382</t>
  </si>
  <si>
    <t>ENSMUST00000126706</t>
  </si>
  <si>
    <t>ENSMUST00000107214</t>
  </si>
  <si>
    <t>ENSMUST00000107215</t>
  </si>
  <si>
    <t>ENSMUST00000144349</t>
  </si>
  <si>
    <t>ENSMUST00000130626</t>
  </si>
  <si>
    <t>Q99JI4</t>
  </si>
  <si>
    <t>ENSMUST00000022256</t>
  </si>
  <si>
    <t>ENSMUST00000147471</t>
  </si>
  <si>
    <t>ENSMUST00000127228</t>
  </si>
  <si>
    <t>ENSMUST00000153237</t>
  </si>
  <si>
    <t>Q99JT2</t>
  </si>
  <si>
    <t>ENSMUST00000033444</t>
  </si>
  <si>
    <t>ENSMUST00000146956</t>
  </si>
  <si>
    <t>ENSMUST00000136741</t>
  </si>
  <si>
    <t>Q99JX4</t>
  </si>
  <si>
    <t>ENSMUST00000028592</t>
  </si>
  <si>
    <t>ENSMUST00000131266</t>
  </si>
  <si>
    <t>ENSMUST00000148476</t>
  </si>
  <si>
    <t>Q99JX7</t>
  </si>
  <si>
    <t>ENSMUST00000010241</t>
  </si>
  <si>
    <t>ENSMUST00000184970</t>
  </si>
  <si>
    <t>ENSMUST00000185056</t>
  </si>
  <si>
    <t>ENSMUST00000184387</t>
  </si>
  <si>
    <t>ENSMUST00000184826</t>
  </si>
  <si>
    <t>ENSMUST00000184808</t>
  </si>
  <si>
    <t>ENSMUST00000010248</t>
  </si>
  <si>
    <t>Q99JY0</t>
  </si>
  <si>
    <t>ENSMUST00000026841</t>
  </si>
  <si>
    <t>ENSMUST00000114783</t>
  </si>
  <si>
    <t>ENSMUST00000114786</t>
  </si>
  <si>
    <t>ENSMUST00000127364</t>
  </si>
  <si>
    <t>ENSMUST00000122934</t>
  </si>
  <si>
    <t>ENSMUST00000133414</t>
  </si>
  <si>
    <t>ENSMUST00000141236</t>
  </si>
  <si>
    <t>Q99JY9</t>
  </si>
  <si>
    <t>ENSMUST00000178474</t>
  </si>
  <si>
    <t>ENSMUST00000186008</t>
  </si>
  <si>
    <t>ENSMUST00000188362</t>
  </si>
  <si>
    <t>ENSMUST00000189192</t>
  </si>
  <si>
    <t>ENSMUST00000188497</t>
  </si>
  <si>
    <t>ENSMUST00000191544</t>
  </si>
  <si>
    <t>ENSMUST00000187460</t>
  </si>
  <si>
    <t>ENSMUST00000188827</t>
  </si>
  <si>
    <t>ENSMUST00000027579</t>
  </si>
  <si>
    <t>Q99K48</t>
  </si>
  <si>
    <t>ENSMUST00000147708</t>
  </si>
  <si>
    <t>ENSMUST00000033673</t>
  </si>
  <si>
    <t>ENSMUST00000126019</t>
  </si>
  <si>
    <t>ENSMUST00000147498</t>
  </si>
  <si>
    <t>ENSMUST00000136251</t>
  </si>
  <si>
    <t>ENSMUST00000148312</t>
  </si>
  <si>
    <t>ENSMUST00000134783</t>
  </si>
  <si>
    <t>Q99K85</t>
  </si>
  <si>
    <t>ENSMUST00000025542</t>
  </si>
  <si>
    <t>ENSMUST00000162053</t>
  </si>
  <si>
    <t>ENSMUST00000161707</t>
  </si>
  <si>
    <t>ENSMUST00000159264</t>
  </si>
  <si>
    <t>ENSMUST00000160170</t>
  </si>
  <si>
    <t>ENSMUST00000162233</t>
  </si>
  <si>
    <t>Q99KI0</t>
  </si>
  <si>
    <t>ENSMUST00000023116</t>
  </si>
  <si>
    <t>ENSMUST00000157003</t>
  </si>
  <si>
    <t>ENSMUST00000135198</t>
  </si>
  <si>
    <t>ENSMUST00000126352</t>
  </si>
  <si>
    <t>ENSMUST00000155704</t>
  </si>
  <si>
    <t>ENSMUST00000144324</t>
  </si>
  <si>
    <t>Q99KK9</t>
  </si>
  <si>
    <t>ENSMUST00000152954</t>
  </si>
  <si>
    <t>ENSMUST00000019287</t>
  </si>
  <si>
    <t>ENSMUST00000145876</t>
  </si>
  <si>
    <t>ENSMUST00000131952</t>
  </si>
  <si>
    <t>ENSMUST00000155842</t>
  </si>
  <si>
    <t>ENSMUST00000124204</t>
  </si>
  <si>
    <t>Q99KP6</t>
  </si>
  <si>
    <t>ENSMUST00000025642</t>
  </si>
  <si>
    <t>ENSMUST00000186416</t>
  </si>
  <si>
    <t>ENSMUST00000187751</t>
  </si>
  <si>
    <t>ENSMUST00000190275</t>
  </si>
  <si>
    <t>ENSMUST00000179297</t>
  </si>
  <si>
    <t>ENSMUST00000178868</t>
  </si>
  <si>
    <t>ENSMUST00000191092</t>
  </si>
  <si>
    <t>ENSMUST00000191552</t>
  </si>
  <si>
    <t>Q99L13</t>
  </si>
  <si>
    <t>ENSMUST00000031788</t>
  </si>
  <si>
    <t>ENSMUST00000149471</t>
  </si>
  <si>
    <t>ENSMUST00000155948</t>
  </si>
  <si>
    <t>Q99L45</t>
  </si>
  <si>
    <t>ENSMUST00000099173</t>
  </si>
  <si>
    <t>ENSMUST00000147136</t>
  </si>
  <si>
    <t>ENSMUST00000161172</t>
  </si>
  <si>
    <t>ENSMUST00000135524</t>
  </si>
  <si>
    <t>ENSMUST00000166171</t>
  </si>
  <si>
    <t>Q99L47</t>
  </si>
  <si>
    <t>ENSMUST00000172107</t>
  </si>
  <si>
    <t>ENSMUST00000165582</t>
  </si>
  <si>
    <t>ENSMUST00000163382</t>
  </si>
  <si>
    <t>ENSMUST00000169204</t>
  </si>
  <si>
    <t>Q99LC3</t>
  </si>
  <si>
    <t>ENSMUST00000027478</t>
  </si>
  <si>
    <t>ENSMUST00000189503</t>
  </si>
  <si>
    <t>ENSMUST00000153897</t>
  </si>
  <si>
    <t>ENSMUST00000187098</t>
  </si>
  <si>
    <t>ENSMUST00000187141</t>
  </si>
  <si>
    <t>ENSMUST00000185466</t>
  </si>
  <si>
    <t>ENSMUST00000185251</t>
  </si>
  <si>
    <t>ENSMUST00000189582</t>
  </si>
  <si>
    <t>Q99LC5</t>
  </si>
  <si>
    <t>ENSMUST00000034866</t>
  </si>
  <si>
    <t>ENSMUST00000139342</t>
  </si>
  <si>
    <t>ENSMUST00000153186</t>
  </si>
  <si>
    <t>ENSMUST00000142587</t>
  </si>
  <si>
    <t>Q99LF4</t>
  </si>
  <si>
    <t>ENSMUST00000001834</t>
  </si>
  <si>
    <t>ENSMUST00000139413</t>
  </si>
  <si>
    <t>Q99LG2</t>
  </si>
  <si>
    <t>ENSMUST00000093360</t>
  </si>
  <si>
    <t>ENSMUST00000166592</t>
  </si>
  <si>
    <t>Q99LX0</t>
  </si>
  <si>
    <t>ENSMUST00000030805</t>
  </si>
  <si>
    <t>ENSMUST00000105675</t>
  </si>
  <si>
    <t>ENSMUST00000105674</t>
  </si>
  <si>
    <t>ENSMUST00000105673</t>
  </si>
  <si>
    <t>ENSMUST00000132265</t>
  </si>
  <si>
    <t>ENSMUST00000128075</t>
  </si>
  <si>
    <t>ENSMUST00000148626</t>
  </si>
  <si>
    <t>ENSMUST00000134751</t>
  </si>
  <si>
    <t>ENSMUST00000146184</t>
  </si>
  <si>
    <t>Q99M28</t>
  </si>
  <si>
    <t>ENSMUST00000115371</t>
  </si>
  <si>
    <t>ENSMUST00000088512</t>
  </si>
  <si>
    <t>ENSMUST00000163717</t>
  </si>
  <si>
    <t>Q99M31</t>
  </si>
  <si>
    <t>ENSMUST00000027961</t>
  </si>
  <si>
    <t>ENSMUST00000124331</t>
  </si>
  <si>
    <t>ENSMUST00000140494</t>
  </si>
  <si>
    <t>ENSMUST00000129505</t>
  </si>
  <si>
    <t>ENSMUST00000156008</t>
  </si>
  <si>
    <t>ENSMUST00000139485</t>
  </si>
  <si>
    <t>ENSMUST00000135157</t>
  </si>
  <si>
    <t>ENSMUST00000148167</t>
  </si>
  <si>
    <t>Q99MD9</t>
  </si>
  <si>
    <t>ENSMUST00000030456</t>
  </si>
  <si>
    <t>ENSMUST00000030457</t>
  </si>
  <si>
    <t>ENSMUST00000134038</t>
  </si>
  <si>
    <t>ENSMUST00000148436</t>
  </si>
  <si>
    <t>ENSMUST00000154811</t>
  </si>
  <si>
    <t>ENSMUST00000155398</t>
  </si>
  <si>
    <t>ENSMUST00000130363</t>
  </si>
  <si>
    <t>Q99MN1</t>
  </si>
  <si>
    <t>ENSMUST00000093120</t>
  </si>
  <si>
    <t>ENSMUST00000034426</t>
  </si>
  <si>
    <t>ENSMUST00000164470</t>
  </si>
  <si>
    <t>Q99MR6</t>
  </si>
  <si>
    <t>ENSMUST00000197466</t>
  </si>
  <si>
    <t>ENSMUST00000198526</t>
  </si>
  <si>
    <t>ENSMUST00000199756</t>
  </si>
  <si>
    <t>ENSMUST00000197409</t>
  </si>
  <si>
    <t>ENSMUST00000200643</t>
  </si>
  <si>
    <t>ENSMUST00000197376</t>
  </si>
  <si>
    <t>ENSMUST00000196576</t>
  </si>
  <si>
    <t>ENSMUST00000199473</t>
  </si>
  <si>
    <t>ENSMUST00000196394</t>
  </si>
  <si>
    <t>ENSMUST00000197484</t>
  </si>
  <si>
    <t>ENSMUST00000040873</t>
  </si>
  <si>
    <t>Q99N84</t>
  </si>
  <si>
    <t>ENSMUST00000025305</t>
  </si>
  <si>
    <t>ENSMUST00000113782</t>
  </si>
  <si>
    <t>ENSMUST00000174807</t>
  </si>
  <si>
    <t>ENSMUST00000173737</t>
  </si>
  <si>
    <t>ENSMUST00000174349</t>
  </si>
  <si>
    <t>ENSMUST00000172642</t>
  </si>
  <si>
    <t>ENSMUST00000174574</t>
  </si>
  <si>
    <t>ENSMUST00000173792</t>
  </si>
  <si>
    <t>Q99P72</t>
  </si>
  <si>
    <t>ENSMUST00000102843</t>
  </si>
  <si>
    <t>ENSMUST00000102842</t>
  </si>
  <si>
    <t>ENSMUST00000078830</t>
  </si>
  <si>
    <t>ENSMUST00000102841</t>
  </si>
  <si>
    <t>ENSMUST00000060992</t>
  </si>
  <si>
    <t>ENSMUST00000126162</t>
  </si>
  <si>
    <t>ENSMUST00000170731</t>
  </si>
  <si>
    <t>Q99PL5</t>
  </si>
  <si>
    <t>ENSMUST00000037875</t>
  </si>
  <si>
    <t>ENSMUST00000016072</t>
  </si>
  <si>
    <t>ENSMUST00000154649</t>
  </si>
  <si>
    <t>ENSMUST00000132434</t>
  </si>
  <si>
    <t>ENSMUST00000155539</t>
  </si>
  <si>
    <t>ENSMUST00000140511</t>
  </si>
  <si>
    <t>ENSMUST00000135367</t>
  </si>
  <si>
    <t>Q99PT1</t>
  </si>
  <si>
    <t>ENSMUST00000106197</t>
  </si>
  <si>
    <t>ENSMUST00000067936</t>
  </si>
  <si>
    <t>Q99PV0</t>
  </si>
  <si>
    <t>ENSMUST00000018449</t>
  </si>
  <si>
    <t>ENSMUST00000133995</t>
  </si>
  <si>
    <t>Q9CPP0</t>
  </si>
  <si>
    <t>ENSMUST00000070215</t>
  </si>
  <si>
    <t>ENSMUST00000144165</t>
  </si>
  <si>
    <t>Q9CPQ1</t>
  </si>
  <si>
    <t>ENSMUST00000155638</t>
  </si>
  <si>
    <t>ENSMUST00000014457</t>
  </si>
  <si>
    <t>ENSMUST00000153512</t>
  </si>
  <si>
    <t>ENSMUST00000127999</t>
  </si>
  <si>
    <t>ENSMUST00000156915</t>
  </si>
  <si>
    <t>Q9CPQ3</t>
  </si>
  <si>
    <t>ENSMUST00000023062</t>
  </si>
  <si>
    <t>ENSMUST00000127292</t>
  </si>
  <si>
    <t>Q9CPR5</t>
  </si>
  <si>
    <t>ENSMUST00000130201</t>
  </si>
  <si>
    <t>ENSMUST00000156816</t>
  </si>
  <si>
    <t>ENSMUST00000045689</t>
  </si>
  <si>
    <t>ENSMUST00000192286</t>
  </si>
  <si>
    <t>ENSMUST00000146665</t>
  </si>
  <si>
    <t>ENSMUST00000132625</t>
  </si>
  <si>
    <t>Q9CPV4</t>
  </si>
  <si>
    <t>ENSMUST00000169532</t>
  </si>
  <si>
    <t>ENSMUST00000017430</t>
  </si>
  <si>
    <t>ENSMUST00000170710</t>
  </si>
  <si>
    <t>ENSMUST00000167883</t>
  </si>
  <si>
    <t>Q9CPW4</t>
  </si>
  <si>
    <t>ENSMUST00000077755</t>
  </si>
  <si>
    <t>ENSMUST00000097536</t>
  </si>
  <si>
    <t>ENSMUST00000143008</t>
  </si>
  <si>
    <t>Q9CPY7</t>
  </si>
  <si>
    <t>ENSMUST00000046122</t>
  </si>
  <si>
    <t>ENSMUST00000137699</t>
  </si>
  <si>
    <t>ENSMUST00000135413</t>
  </si>
  <si>
    <t>ENSMUST00000131289</t>
  </si>
  <si>
    <t>ENSMUST00000146811</t>
  </si>
  <si>
    <t>Q9CQ48</t>
  </si>
  <si>
    <t>ENSMUST00000020578</t>
  </si>
  <si>
    <t>ENSMUST00000127057</t>
  </si>
  <si>
    <t>ENSMUST00000127382</t>
  </si>
  <si>
    <t>ENSMUST00000141839</t>
  </si>
  <si>
    <t>ENSMUST00000144601</t>
  </si>
  <si>
    <t>Q9CQ60</t>
  </si>
  <si>
    <t>ENSMUST00000034264</t>
  </si>
  <si>
    <t>ENSMUST00000127626</t>
  </si>
  <si>
    <t>ENSMUST00000123240</t>
  </si>
  <si>
    <t>ENSMUST00000138742</t>
  </si>
  <si>
    <t>ENSMUST00000143441</t>
  </si>
  <si>
    <t>Q9CQ92</t>
  </si>
  <si>
    <t>ENSMUST00000111094</t>
  </si>
  <si>
    <t>ENSMUST00000111097</t>
  </si>
  <si>
    <t>ENSMUST00000019198</t>
  </si>
  <si>
    <t>ENSMUST00000138610</t>
  </si>
  <si>
    <t>ENSMUST00000152658</t>
  </si>
  <si>
    <t>Q9CQA3</t>
  </si>
  <si>
    <t>ENSMUST00000010007</t>
  </si>
  <si>
    <t>ENSMUST00000129181</t>
  </si>
  <si>
    <t>ENSMUST00000125780</t>
  </si>
  <si>
    <t>Q9CQI7</t>
  </si>
  <si>
    <t>ENSMUST00000008477</t>
  </si>
  <si>
    <t>ENSMUST00000139114</t>
  </si>
  <si>
    <t>ENSMUST00000134091</t>
  </si>
  <si>
    <t>ENSMUST00000126763</t>
  </si>
  <si>
    <t>ENSMUST00000127760</t>
  </si>
  <si>
    <t>Q9CQL1</t>
  </si>
  <si>
    <t>ENSMUST00000032307</t>
  </si>
  <si>
    <t>ENSMUST00000174488</t>
  </si>
  <si>
    <t>ENSMUST00000172883</t>
  </si>
  <si>
    <t>ENSMUST00000173837</t>
  </si>
  <si>
    <t>ENSMUST00000174781</t>
  </si>
  <si>
    <t>Q9CQN1</t>
  </si>
  <si>
    <t>ENSMUST00000006137</t>
  </si>
  <si>
    <t>ENSMUST00000137945</t>
  </si>
  <si>
    <t>ENSMUST00000138594</t>
  </si>
  <si>
    <t>Q9CQN7</t>
  </si>
  <si>
    <t>ENSMUST00000045604</t>
  </si>
  <si>
    <t>ENSMUST00000194392</t>
  </si>
  <si>
    <t>Q9CQQ7</t>
  </si>
  <si>
    <t>ENSMUST00000118209</t>
  </si>
  <si>
    <t>ENSMUST00000133320</t>
  </si>
  <si>
    <t>ENSMUST00000153666</t>
  </si>
  <si>
    <t>ENSMUST00000143022</t>
  </si>
  <si>
    <t>ENSMUST00000123959</t>
  </si>
  <si>
    <t>Q9CQR2</t>
  </si>
  <si>
    <t>ENSMUST00000059080</t>
  </si>
  <si>
    <t>ENSMUST00000148629</t>
  </si>
  <si>
    <t>ENSMUST00000125301</t>
  </si>
  <si>
    <t>ENSMUST00000145043</t>
  </si>
  <si>
    <t>Q9CQS8</t>
  </si>
  <si>
    <t>ENSMUST00000065678</t>
  </si>
  <si>
    <t>ENSMUST00000137461</t>
  </si>
  <si>
    <t>ENSMUST00000125622</t>
  </si>
  <si>
    <t>ENSMUST00000136685</t>
  </si>
  <si>
    <t>Q9CQV8</t>
  </si>
  <si>
    <t>ENSMUST00000018470</t>
  </si>
  <si>
    <t>ENSMUST00000131288</t>
  </si>
  <si>
    <t>Q9CR16</t>
  </si>
  <si>
    <t>ENSMUST00000161460</t>
  </si>
  <si>
    <t>ENSMUST00000029382</t>
  </si>
  <si>
    <t>ENSMUST00000159505</t>
  </si>
  <si>
    <t>ENSMUST00000161876</t>
  </si>
  <si>
    <t>ENSMUST00000160799</t>
  </si>
  <si>
    <t>Q9CR67</t>
  </si>
  <si>
    <t>ENSMUST00000037918</t>
  </si>
  <si>
    <t>ENSMUST00000162543</t>
  </si>
  <si>
    <t>ENSMUST00000201979</t>
  </si>
  <si>
    <t>ENSMUST00000160352</t>
  </si>
  <si>
    <t>ENSMUST00000162074</t>
  </si>
  <si>
    <t>ENSMUST00000202324</t>
  </si>
  <si>
    <t>ENSMUST00000161369</t>
  </si>
  <si>
    <t>ENSMUST00000163028</t>
  </si>
  <si>
    <t>Q9CRB2</t>
  </si>
  <si>
    <t>ENSMUST00000127405</t>
  </si>
  <si>
    <t>ENSMUST00000001083</t>
  </si>
  <si>
    <t>Q9CRB9</t>
  </si>
  <si>
    <t>ENSMUST00000066379</t>
  </si>
  <si>
    <t>ENSMUST00000133375</t>
  </si>
  <si>
    <t>ENSMUST00000125264</t>
  </si>
  <si>
    <t>ENSMUST00000129654</t>
  </si>
  <si>
    <t>ENSMUST00000140446</t>
  </si>
  <si>
    <t>ENSMUST00000127666</t>
  </si>
  <si>
    <t>ENSMUST00000115091</t>
  </si>
  <si>
    <t>Q9CRC8</t>
  </si>
  <si>
    <t>ENSMUST00000072080</t>
  </si>
  <si>
    <t>ENSMUST00000156597</t>
  </si>
  <si>
    <t>ENSMUST00000131518</t>
  </si>
  <si>
    <t>ENSMUST00000132530</t>
  </si>
  <si>
    <t>ENSMUST00000199290</t>
  </si>
  <si>
    <t>Q9CS42</t>
  </si>
  <si>
    <t>ENSMUST00000026839</t>
  </si>
  <si>
    <t>ENSMUST00000145456</t>
  </si>
  <si>
    <t>Q9CU62</t>
  </si>
  <si>
    <t>ENSMUST00000145518</t>
  </si>
  <si>
    <t>ENSMUST00000045312</t>
  </si>
  <si>
    <t>ENSMUST00000135172</t>
  </si>
  <si>
    <t>ENSMUST00000131395</t>
  </si>
  <si>
    <t>ENSMUST00000124681</t>
  </si>
  <si>
    <t>ENSMUST00000141457</t>
  </si>
  <si>
    <t>Q9CVB6</t>
  </si>
  <si>
    <t>ENSMUST00000185733</t>
  </si>
  <si>
    <t>ENSMUST00000113820</t>
  </si>
  <si>
    <t>ENSMUST00000006467</t>
  </si>
  <si>
    <t>ENSMUST00000113819</t>
  </si>
  <si>
    <t>Q9CW03</t>
  </si>
  <si>
    <t>ENSMUST00000025930</t>
  </si>
  <si>
    <t>ENSMUST00000157053</t>
  </si>
  <si>
    <t>ENSMUST00000171083</t>
  </si>
  <si>
    <t>Q9CWJ9</t>
  </si>
  <si>
    <t>ENSMUST00000027384</t>
  </si>
  <si>
    <t>ENSMUST00000187982</t>
  </si>
  <si>
    <t>ENSMUST00000155769</t>
  </si>
  <si>
    <t>ENSMUST00000136443</t>
  </si>
  <si>
    <t>ENSMUST00000154855</t>
  </si>
  <si>
    <t>Q9CWW6</t>
  </si>
  <si>
    <t>ENSMUST00000113627</t>
  </si>
  <si>
    <t>ENSMUST00000144367</t>
  </si>
  <si>
    <t>Q9CWX9</t>
  </si>
  <si>
    <t>ENSMUST00000032326</t>
  </si>
  <si>
    <t>ENSMUST00000131719</t>
  </si>
  <si>
    <t>ENSMUST00000155277</t>
  </si>
  <si>
    <t>ENSMUST00000155698</t>
  </si>
  <si>
    <t>ENSMUST00000134549</t>
  </si>
  <si>
    <t>ENSMUST00000155022</t>
  </si>
  <si>
    <t>Q9CWZ3</t>
  </si>
  <si>
    <t>ENSMUST00000048915</t>
  </si>
  <si>
    <t>ENSMUST00000196456</t>
  </si>
  <si>
    <t>ENSMUST00000198027</t>
  </si>
  <si>
    <t>ENSMUST00000199628</t>
  </si>
  <si>
    <t>ENSMUST00000200647</t>
  </si>
  <si>
    <t>ENSMUST00000199022</t>
  </si>
  <si>
    <t>Q9CXT8</t>
  </si>
  <si>
    <t>ENSMUST00000030882</t>
  </si>
  <si>
    <t>ENSMUST00000125693</t>
  </si>
  <si>
    <t>ENSMUST00000147236</t>
  </si>
  <si>
    <t>ENSMUST00000150861</t>
  </si>
  <si>
    <t>ENSMUST00000152440</t>
  </si>
  <si>
    <t>ENSMUST00000141022</t>
  </si>
  <si>
    <t>ENSMUST00000137334</t>
  </si>
  <si>
    <t>Q9CXW3</t>
  </si>
  <si>
    <t>ENSMUST00000014370</t>
  </si>
  <si>
    <t>ENSMUST00000194167</t>
  </si>
  <si>
    <t>Q9CXW4</t>
  </si>
  <si>
    <t>ENSMUST00000153223</t>
  </si>
  <si>
    <t>ENSMUST00000137580</t>
  </si>
  <si>
    <t>ENSMUST00000102536</t>
  </si>
  <si>
    <t>ENSMUST00000133613</t>
  </si>
  <si>
    <t>ENSMUST00000125726</t>
  </si>
  <si>
    <t>ENSMUST00000155873</t>
  </si>
  <si>
    <t>ENSMUST00000147059</t>
  </si>
  <si>
    <t>ENSMUST00000142440</t>
  </si>
  <si>
    <t>ENSMUST00000150565</t>
  </si>
  <si>
    <t>ENSMUST00000128733</t>
  </si>
  <si>
    <t>Q9CXY6</t>
  </si>
  <si>
    <t>ENSMUST00000196769</t>
  </si>
  <si>
    <t>ENSMUST00000197644</t>
  </si>
  <si>
    <t>ENSMUST00000198738</t>
  </si>
  <si>
    <t>ENSMUST00000001042</t>
  </si>
  <si>
    <t>ENSMUST00000198325</t>
  </si>
  <si>
    <t>ENSMUST00000198641</t>
  </si>
  <si>
    <t>Q9CY27</t>
  </si>
  <si>
    <t>ENSMUST00000019382</t>
  </si>
  <si>
    <t>ENSMUST00000165740</t>
  </si>
  <si>
    <t>ENSMUST00000163837</t>
  </si>
  <si>
    <t>Q9CY57</t>
  </si>
  <si>
    <t>ENSMUST00000107343</t>
  </si>
  <si>
    <t>ENSMUST00000001043</t>
  </si>
  <si>
    <t>ENSMUST00000076639</t>
  </si>
  <si>
    <t>ENSMUST00000049937</t>
  </si>
  <si>
    <t>ENSMUST00000107346</t>
  </si>
  <si>
    <t>ENSMUST00000107342</t>
  </si>
  <si>
    <t>ENSMUST00000146740</t>
  </si>
  <si>
    <t>Q9CY66</t>
  </si>
  <si>
    <t>ENSMUST00000029643</t>
  </si>
  <si>
    <t>ENSMUST00000134174</t>
  </si>
  <si>
    <t>ENSMUST00000143545</t>
  </si>
  <si>
    <t>ENSMUST00000127864</t>
  </si>
  <si>
    <t>ENSMUST00000149071</t>
  </si>
  <si>
    <t>Q9CYG7</t>
  </si>
  <si>
    <t>ENSMUST00000109384</t>
  </si>
  <si>
    <t>ENSMUST00000018466</t>
  </si>
  <si>
    <t>ENSMUST00000132602</t>
  </si>
  <si>
    <t>Q9CYR0</t>
  </si>
  <si>
    <t>ENSMUST00000114779</t>
  </si>
  <si>
    <t>ENSMUST00000031971</t>
  </si>
  <si>
    <t>ENSMUST00000201570</t>
  </si>
  <si>
    <t>ENSMUST00000121360</t>
  </si>
  <si>
    <t>ENSMUST00000117411</t>
  </si>
  <si>
    <t>ENSMUST00000117830</t>
  </si>
  <si>
    <t>ENSMUST00000141801</t>
  </si>
  <si>
    <t>Q9CYZ2</t>
  </si>
  <si>
    <t>ENSMUST00000183956</t>
  </si>
  <si>
    <t>ENSMUST00000149163</t>
  </si>
  <si>
    <t>ENSMUST00000000844</t>
  </si>
  <si>
    <t>ENSMUST00000108800</t>
  </si>
  <si>
    <t>ENSMUST00000069712</t>
  </si>
  <si>
    <t>ENSMUST00000129390</t>
  </si>
  <si>
    <t>ENSMUST00000108799</t>
  </si>
  <si>
    <t>ENSMUST00000141825</t>
  </si>
  <si>
    <t>ENSMUST00000155589</t>
  </si>
  <si>
    <t>ENSMUST00000130261</t>
  </si>
  <si>
    <t>Q9CZ13</t>
  </si>
  <si>
    <t>ENSMUST00000026743</t>
  </si>
  <si>
    <t>ENSMUST00000194047</t>
  </si>
  <si>
    <t>ENSMUST00000195738</t>
  </si>
  <si>
    <t>ENSMUST00000195387</t>
  </si>
  <si>
    <t>ENSMUST00000192305</t>
  </si>
  <si>
    <t>ENSMUST00000193332</t>
  </si>
  <si>
    <t>ENSMUST00000192918</t>
  </si>
  <si>
    <t>Q9CZ30</t>
  </si>
  <si>
    <t>ENSMUST00000028517</t>
  </si>
  <si>
    <t>ENSMUST00000100015</t>
  </si>
  <si>
    <t>ENSMUST00000136684</t>
  </si>
  <si>
    <t>Q9CZ44</t>
  </si>
  <si>
    <t>ENSMUST00000089140</t>
  </si>
  <si>
    <t>ENSMUST00000153333</t>
  </si>
  <si>
    <t>ENSMUST00000125270</t>
  </si>
  <si>
    <t>ENSMUST00000028949</t>
  </si>
  <si>
    <t>ENSMUST00000103160</t>
  </si>
  <si>
    <t>ENSMUST00000133197</t>
  </si>
  <si>
    <t>ENSMUST00000146695</t>
  </si>
  <si>
    <t>ENSMUST00000134081</t>
  </si>
  <si>
    <t>ENSMUST00000139229</t>
  </si>
  <si>
    <t>Q9CZM2</t>
  </si>
  <si>
    <t>ENSMUST00000080281</t>
  </si>
  <si>
    <t>ENSMUST00000100799</t>
  </si>
  <si>
    <t>ENSMUST00000147121</t>
  </si>
  <si>
    <t>ENSMUST00000079419</t>
  </si>
  <si>
    <t>ENSMUST00000112598</t>
  </si>
  <si>
    <t>Q9CZW4</t>
  </si>
  <si>
    <t>ENSMUST00000035779</t>
  </si>
  <si>
    <t>ENSMUST00000142704</t>
  </si>
  <si>
    <t>ENSMUST00000132997</t>
  </si>
  <si>
    <t>ENSMUST00000154777</t>
  </si>
  <si>
    <t>ENSMUST00000148608</t>
  </si>
  <si>
    <t>Q9CZX8</t>
  </si>
  <si>
    <t>ENSMUST00000108430</t>
  </si>
  <si>
    <t>ENSMUST00000129847</t>
  </si>
  <si>
    <t>ENSMUST00000138662</t>
  </si>
  <si>
    <t>ENSMUST00000108428</t>
  </si>
  <si>
    <t>ENSMUST00000153451</t>
  </si>
  <si>
    <t>ENSMUST00000108429</t>
  </si>
  <si>
    <t>ENSMUST00000156372</t>
  </si>
  <si>
    <t>ENSMUST00000124035</t>
  </si>
  <si>
    <t>ENSMUST00000130335</t>
  </si>
  <si>
    <t>ENSMUST00000146004</t>
  </si>
  <si>
    <t>Q9CZX9</t>
  </si>
  <si>
    <t>ENSMUST00000028551</t>
  </si>
  <si>
    <t>ENSMUST00000153967</t>
  </si>
  <si>
    <t>Q9CZY3</t>
  </si>
  <si>
    <t>ENSMUST00000109207</t>
  </si>
  <si>
    <t>ENSMUST00000060645</t>
  </si>
  <si>
    <t>ENSMUST00000151365</t>
  </si>
  <si>
    <t>ENSMUST00000130284</t>
  </si>
  <si>
    <t>ENSMUST00000144628</t>
  </si>
  <si>
    <t>ENSMUST00000140216</t>
  </si>
  <si>
    <t>ENSMUST00000144830</t>
  </si>
  <si>
    <t>Q9D0D5</t>
  </si>
  <si>
    <t>ENSMUST00000023525</t>
  </si>
  <si>
    <t>ENSMUST00000130350</t>
  </si>
  <si>
    <t>Q9D0E1</t>
  </si>
  <si>
    <t>ENSMUST00000148178</t>
  </si>
  <si>
    <t>ENSMUST00000114385</t>
  </si>
  <si>
    <t>ENSMUST00000139302</t>
  </si>
  <si>
    <t>ENSMUST00000087582</t>
  </si>
  <si>
    <t>ENSMUST00000153608</t>
  </si>
  <si>
    <t>ENSMUST00000127598</t>
  </si>
  <si>
    <t>Q9D0F3</t>
  </si>
  <si>
    <t>ENSMUST00000048260</t>
  </si>
  <si>
    <t>ENSMUST00000120461</t>
  </si>
  <si>
    <t>ENSMUST00000155895</t>
  </si>
  <si>
    <t>ENSMUST00000144793</t>
  </si>
  <si>
    <t>Q9D0F6</t>
  </si>
  <si>
    <t>ENSMUST00000086461</t>
  </si>
  <si>
    <t>ENSMUST00000150962</t>
  </si>
  <si>
    <t>ENSMUST00000129369</t>
  </si>
  <si>
    <t>ENSMUST00000123392</t>
  </si>
  <si>
    <t>ENSMUST00000126262</t>
  </si>
  <si>
    <t>ENSMUST00000111953</t>
  </si>
  <si>
    <t>Q9D0I8</t>
  </si>
  <si>
    <t>ENSMUST00000131052</t>
  </si>
  <si>
    <t>ENSMUST00000102503</t>
  </si>
  <si>
    <t>ENSMUST00000030513</t>
  </si>
  <si>
    <t>ENSMUST00000128239</t>
  </si>
  <si>
    <t>ENSMUST00000139749</t>
  </si>
  <si>
    <t>ENSMUST00000123968</t>
  </si>
  <si>
    <t>Q9D0I9</t>
  </si>
  <si>
    <t>ENSMUST00000018992</t>
  </si>
  <si>
    <t>ENSMUST00000143205</t>
  </si>
  <si>
    <t>ENSMUST00000165817</t>
  </si>
  <si>
    <t>ENSMUST00000166122</t>
  </si>
  <si>
    <t>ENSMUST00000137815</t>
  </si>
  <si>
    <t>Q9D0T1</t>
  </si>
  <si>
    <t>ENSMUST00000080622</t>
  </si>
  <si>
    <t>ENSMUST00000166578</t>
  </si>
  <si>
    <t>ENSMUST00000165252</t>
  </si>
  <si>
    <t>Q9D0W5</t>
  </si>
  <si>
    <t>ENSMUST00000024802</t>
  </si>
  <si>
    <t>ENSMUST00000136811</t>
  </si>
  <si>
    <t>ENSMUST00000135123</t>
  </si>
  <si>
    <t>ENSMUST00000129157</t>
  </si>
  <si>
    <t>Q9D1A2</t>
  </si>
  <si>
    <t>ENSMUST00000025546</t>
  </si>
  <si>
    <t>ENSMUST00000168419</t>
  </si>
  <si>
    <t>Q9D1L0</t>
  </si>
  <si>
    <t>ENSMUST00000094280</t>
  </si>
  <si>
    <t>ENSMUST00000131645</t>
  </si>
  <si>
    <t>Q9D1M0</t>
  </si>
  <si>
    <t>ENSMUST00000032440</t>
  </si>
  <si>
    <t>ENSMUST00000138204</t>
  </si>
  <si>
    <t>ENSMUST00000145979</t>
  </si>
  <si>
    <t>Q9D1Q6</t>
  </si>
  <si>
    <t>ENSMUST00000030028</t>
  </si>
  <si>
    <t>ENSMUST00000138743</t>
  </si>
  <si>
    <t>ENSMUST00000148947</t>
  </si>
  <si>
    <t>Q9D1R9</t>
  </si>
  <si>
    <t>ENSMUST00000062601</t>
  </si>
  <si>
    <t>ENSMUST00000199001</t>
  </si>
  <si>
    <t>ENSMUST00000079085</t>
  </si>
  <si>
    <t>ENSMUST00000135691</t>
  </si>
  <si>
    <t>ENSMUST00000196202</t>
  </si>
  <si>
    <t>ENSMUST00000133802</t>
  </si>
  <si>
    <t>ENSMUST00000199911</t>
  </si>
  <si>
    <t>ENSMUST00000200517</t>
  </si>
  <si>
    <t>Q9D2V7</t>
  </si>
  <si>
    <t>ENSMUST00000038552</t>
  </si>
  <si>
    <t>ENSMUST00000150028</t>
  </si>
  <si>
    <t>ENSMUST00000150724</t>
  </si>
  <si>
    <t>ENSMUST00000151156</t>
  </si>
  <si>
    <t>ENSMUST00000139072</t>
  </si>
  <si>
    <t>ENSMUST00000127125</t>
  </si>
  <si>
    <t>ENSMUST00000130125</t>
  </si>
  <si>
    <t>ENSMUST00000090480</t>
  </si>
  <si>
    <t>ENSMUST00000123031</t>
  </si>
  <si>
    <t>ENSMUST00000127850</t>
  </si>
  <si>
    <t>Q9D358</t>
  </si>
  <si>
    <t>ENSMUST00000062740</t>
  </si>
  <si>
    <t>ENSMUST00000074038</t>
  </si>
  <si>
    <t>Q9D3D9</t>
  </si>
  <si>
    <t>ENSMUST00000105367</t>
  </si>
  <si>
    <t>ENSMUST00000105366</t>
  </si>
  <si>
    <t>ENSMUST00000003156</t>
  </si>
  <si>
    <t>Q9D554</t>
  </si>
  <si>
    <t>ENSMUST00000030734</t>
  </si>
  <si>
    <t>ENSMUST00000154712</t>
  </si>
  <si>
    <t>ENSMUST00000151049</t>
  </si>
  <si>
    <t>Q9D6J6</t>
  </si>
  <si>
    <t>ENSMUST00000143987</t>
  </si>
  <si>
    <t>ENSMUST00000024909</t>
  </si>
  <si>
    <t>ENSMUST00000138847</t>
  </si>
  <si>
    <t>ENSMUST00000147484</t>
  </si>
  <si>
    <t>Q9D6N5</t>
  </si>
  <si>
    <t>ENSMUST00000124478</t>
  </si>
  <si>
    <t>ENSMUST00000148219</t>
  </si>
  <si>
    <t>ENSMUST00000125468</t>
  </si>
  <si>
    <t>ENSMUST00000025853</t>
  </si>
  <si>
    <t>ENSMUST00000113673</t>
  </si>
  <si>
    <t>ENSMUST00000126908</t>
  </si>
  <si>
    <t>ENSMUST00000113674</t>
  </si>
  <si>
    <t>ENSMUST00000136579</t>
  </si>
  <si>
    <t>ENSMUST00000127043</t>
  </si>
  <si>
    <t>ENSMUST00000134697</t>
  </si>
  <si>
    <t>Q9D6Z1</t>
  </si>
  <si>
    <t>ENSMUST00000103198</t>
  </si>
  <si>
    <t>ENSMUST00000150745</t>
  </si>
  <si>
    <t>ENSMUST00000161543</t>
  </si>
  <si>
    <t>ENSMUST00000136621</t>
  </si>
  <si>
    <t>ENSMUST00000160183</t>
  </si>
  <si>
    <t>ENSMUST00000149955</t>
  </si>
  <si>
    <t>ENSMUST00000160976</t>
  </si>
  <si>
    <t>ENSMUST00000162063</t>
  </si>
  <si>
    <t>ENSMUST00000161025</t>
  </si>
  <si>
    <t>ENSMUST00000146454</t>
  </si>
  <si>
    <t>ENSMUST00000153353</t>
  </si>
  <si>
    <t>ENSMUST00000150401</t>
  </si>
  <si>
    <t>ENSMUST00000133351</t>
  </si>
  <si>
    <t>ENSMUST00000159373</t>
  </si>
  <si>
    <t>ENSMUST00000145335</t>
  </si>
  <si>
    <t>Q9D787</t>
  </si>
  <si>
    <t>ENSMUST00000023455</t>
  </si>
  <si>
    <t>ENSMUST00000164458</t>
  </si>
  <si>
    <t>Q9D7G0</t>
  </si>
  <si>
    <t>ENSMUST00000155235</t>
  </si>
  <si>
    <t>ENSMUST00000033809</t>
  </si>
  <si>
    <t>Q9D7N9</t>
  </si>
  <si>
    <t>ENSMUST00000046399</t>
  </si>
  <si>
    <t>ENSMUST00000126704</t>
  </si>
  <si>
    <t>ENSMUST00000145325</t>
  </si>
  <si>
    <t>Q9D7S7</t>
  </si>
  <si>
    <t>ENSMUST00000043867</t>
  </si>
  <si>
    <t>ENSMUST00000194649</t>
  </si>
  <si>
    <t>ENSMUST00000195728</t>
  </si>
  <si>
    <t>ENSMUST00000193168</t>
  </si>
  <si>
    <t>ENSMUST00000195519</t>
  </si>
  <si>
    <t>ENSMUST00000191667</t>
  </si>
  <si>
    <t>ENSMUST00000194092</t>
  </si>
  <si>
    <t>ENSMUST00000191691</t>
  </si>
  <si>
    <t>Q9D819</t>
  </si>
  <si>
    <t>ENSMUST00000160607</t>
  </si>
  <si>
    <t>ENSMUST00000162028</t>
  </si>
  <si>
    <t>ENSMUST00000020286</t>
  </si>
  <si>
    <t>ENSMUST00000160470</t>
  </si>
  <si>
    <t>Q9D880</t>
  </si>
  <si>
    <t>ENSMUST00000081946</t>
  </si>
  <si>
    <t>ENSMUST00000151990</t>
  </si>
  <si>
    <t>ENSMUST00000134263</t>
  </si>
  <si>
    <t>ENSMUST00000131849</t>
  </si>
  <si>
    <t>ENSMUST00000135220</t>
  </si>
  <si>
    <t>ENSMUST00000136427</t>
  </si>
  <si>
    <t>Q9D883</t>
  </si>
  <si>
    <t>ENSMUST00000166526</t>
  </si>
  <si>
    <t>ENSMUST00000014684</t>
  </si>
  <si>
    <t>Q9D8B3</t>
  </si>
  <si>
    <t>ENSMUST00000044277</t>
  </si>
  <si>
    <t>ENSMUST00000136788</t>
  </si>
  <si>
    <t>Q9D8N0</t>
  </si>
  <si>
    <t>ENSMUST00000052248</t>
  </si>
  <si>
    <t>ENSMUST00000122932</t>
  </si>
  <si>
    <t>ENSMUST00000127480</t>
  </si>
  <si>
    <t>ENSMUST00000152076</t>
  </si>
  <si>
    <t>ENSMUST00000128626</t>
  </si>
  <si>
    <t>ENSMUST00000135025</t>
  </si>
  <si>
    <t>Q9D8T7</t>
  </si>
  <si>
    <t>ENSMUST00000161023</t>
  </si>
  <si>
    <t>ENSMUST00000160488</t>
  </si>
  <si>
    <t>ENSMUST00000077462</t>
  </si>
  <si>
    <t>Q9D8U8</t>
  </si>
  <si>
    <t>ENSMUST00000110030</t>
  </si>
  <si>
    <t>ENSMUST00000155509</t>
  </si>
  <si>
    <t>ENSMUST00000028909</t>
  </si>
  <si>
    <t>ENSMUST00000156936</t>
  </si>
  <si>
    <t>ENSMUST00000138745</t>
  </si>
  <si>
    <t>ENSMUST00000125285</t>
  </si>
  <si>
    <t>ENSMUST00000124389</t>
  </si>
  <si>
    <t>Q9D8V0</t>
  </si>
  <si>
    <t>ENSMUST00000125366</t>
  </si>
  <si>
    <t>ENSMUST00000148156</t>
  </si>
  <si>
    <t>ENSMUST00000109825</t>
  </si>
  <si>
    <t>ENSMUST00000089059</t>
  </si>
  <si>
    <t>ENSMUST00000079247</t>
  </si>
  <si>
    <t>ENSMUST00000129439</t>
  </si>
  <si>
    <t>Q9D8W5</t>
  </si>
  <si>
    <t>ENSMUST00000021063</t>
  </si>
  <si>
    <t>ENSMUST00000106752</t>
  </si>
  <si>
    <t>Q9D903</t>
  </si>
  <si>
    <t>ENSMUST00000030501</t>
  </si>
  <si>
    <t>ENSMUST00000130219</t>
  </si>
  <si>
    <t>ENSMUST00000149837</t>
  </si>
  <si>
    <t>ENSMUST00000126458</t>
  </si>
  <si>
    <t>Q9D945</t>
  </si>
  <si>
    <t>ENSMUST00000020444</t>
  </si>
  <si>
    <t>ENSMUST00000130198</t>
  </si>
  <si>
    <t>Q9DAR7</t>
  </si>
  <si>
    <t>ENSMUST00000034539</t>
  </si>
  <si>
    <t>ENSMUST00000119847</t>
  </si>
  <si>
    <t>ENSMUST00000155139</t>
  </si>
  <si>
    <t>Q9DAS9</t>
  </si>
  <si>
    <t>ENSMUST00000043148</t>
  </si>
  <si>
    <t>ENSMUST00000114228</t>
  </si>
  <si>
    <t>ENSMUST00000114227</t>
  </si>
  <si>
    <t>ENSMUST00000114226</t>
  </si>
  <si>
    <t>ENSMUST00000114225</t>
  </si>
  <si>
    <t>ENSMUST00000114224</t>
  </si>
  <si>
    <t>ENSMUST00000114222</t>
  </si>
  <si>
    <t>Q9DAW9</t>
  </si>
  <si>
    <t>ENSMUST00000029773</t>
  </si>
  <si>
    <t>ENSMUST00000199188</t>
  </si>
  <si>
    <t>ENSMUST00000198393</t>
  </si>
  <si>
    <t>ENSMUST00000196671</t>
  </si>
  <si>
    <t>Q9DB05</t>
  </si>
  <si>
    <t>ENSMUST00000006181</t>
  </si>
  <si>
    <t>ENSMUST00000127637</t>
  </si>
  <si>
    <t>ENSMUST00000124563</t>
  </si>
  <si>
    <t>ENSMUST00000132828</t>
  </si>
  <si>
    <t>ENSMUST00000139507</t>
  </si>
  <si>
    <t>ENSMUST00000150208</t>
  </si>
  <si>
    <t>ENSMUST00000140640</t>
  </si>
  <si>
    <t>Q9DB15</t>
  </si>
  <si>
    <t>ENSMUST00000043627</t>
  </si>
  <si>
    <t>ENSMUST00000137619</t>
  </si>
  <si>
    <t>Q9DB20</t>
  </si>
  <si>
    <t>ENSMUST00000023677</t>
  </si>
  <si>
    <t>ENSMUST00000150642</t>
  </si>
  <si>
    <t>ENSMUST00000132049</t>
  </si>
  <si>
    <t>Q9DB77</t>
  </si>
  <si>
    <t>ENSMUST00000033176</t>
  </si>
  <si>
    <t>ENSMUST00000150675</t>
  </si>
  <si>
    <t>ENSMUST00000137808</t>
  </si>
  <si>
    <t>ENSMUST00000131191</t>
  </si>
  <si>
    <t>Q9DBB4</t>
  </si>
  <si>
    <t>ENSMUST00000022597</t>
  </si>
  <si>
    <t>ENSMUST00000171928</t>
  </si>
  <si>
    <t>ENSMUST00000163486</t>
  </si>
  <si>
    <t>ENSMUST00000165337</t>
  </si>
  <si>
    <t>Q9DBD5</t>
  </si>
  <si>
    <t>ENSMUST00000019065</t>
  </si>
  <si>
    <t>ENSMUST00000135148</t>
  </si>
  <si>
    <t>Q9DBG3</t>
  </si>
  <si>
    <t>ENSMUST00000018875</t>
  </si>
  <si>
    <t>ENSMUST00000132178</t>
  </si>
  <si>
    <t>ENSMUST00000176430</t>
  </si>
  <si>
    <t>ENSMUST00000065692</t>
  </si>
  <si>
    <t>ENSMUST00000142680</t>
  </si>
  <si>
    <t>Q9DBG6</t>
  </si>
  <si>
    <t>ENSMUST00000142463</t>
  </si>
  <si>
    <t>ENSMUST00000116380</t>
  </si>
  <si>
    <t>ENSMUST00000029171</t>
  </si>
  <si>
    <t>ENSMUST00000127252</t>
  </si>
  <si>
    <t>ENSMUST00000150349</t>
  </si>
  <si>
    <t>ENSMUST00000156007</t>
  </si>
  <si>
    <t>ENSMUST00000126248</t>
  </si>
  <si>
    <t>ENSMUST00000141934</t>
  </si>
  <si>
    <t>ENSMUST00000149924</t>
  </si>
  <si>
    <t>Q9DBP5</t>
  </si>
  <si>
    <t>ENSMUST00000030491</t>
  </si>
  <si>
    <t>ENSMUST00000131014</t>
  </si>
  <si>
    <t>ENSMUST00000129317</t>
  </si>
  <si>
    <t>ENSMUST00000133066</t>
  </si>
  <si>
    <t>Q9DBR1</t>
  </si>
  <si>
    <t>ENSMUST00000028921</t>
  </si>
  <si>
    <t>ENSMUST00000147057</t>
  </si>
  <si>
    <t>ENSMUST00000136136</t>
  </si>
  <si>
    <t>ENSMUST00000137358</t>
  </si>
  <si>
    <t>Q9DBY0</t>
  </si>
  <si>
    <t>ENSMUST00000113265</t>
  </si>
  <si>
    <t>ENSMUST00000113263</t>
  </si>
  <si>
    <t>ENSMUST00000097311</t>
  </si>
  <si>
    <t>ENSMUST00000113262</t>
  </si>
  <si>
    <t>ENSMUST00000154108</t>
  </si>
  <si>
    <t>ENSMUST00000137039</t>
  </si>
  <si>
    <t>ENSMUST00000153752</t>
  </si>
  <si>
    <t>Q9DC16</t>
  </si>
  <si>
    <t>ENSMUST00000167662</t>
  </si>
  <si>
    <t>ENSMUST00000165021</t>
  </si>
  <si>
    <t>ENSMUST00000001619</t>
  </si>
  <si>
    <t>ENSMUST00000170640</t>
  </si>
  <si>
    <t>ENSMUST00000163213</t>
  </si>
  <si>
    <t>ENSMUST00000165802</t>
  </si>
  <si>
    <t>Q9DC61</t>
  </si>
  <si>
    <t>ENSMUST00000076431</t>
  </si>
  <si>
    <t>ENSMUST00000114093</t>
  </si>
  <si>
    <t>ENSMUST00000137686</t>
  </si>
  <si>
    <t>ENSMUST00000135155</t>
  </si>
  <si>
    <t>ENSMUST00000139535</t>
  </si>
  <si>
    <t>Q9DC70</t>
  </si>
  <si>
    <t>ENSMUST00000105364</t>
  </si>
  <si>
    <t>ENSMUST00000152939</t>
  </si>
  <si>
    <t>ENSMUST00000155523</t>
  </si>
  <si>
    <t>ENSMUST00000157063</t>
  </si>
  <si>
    <t>ENSMUST00000155336</t>
  </si>
  <si>
    <t>ENSMUST00000020361</t>
  </si>
  <si>
    <t>Q9DCA5</t>
  </si>
  <si>
    <t>ENSMUST00000022855</t>
  </si>
  <si>
    <t>ENSMUST00000168761</t>
  </si>
  <si>
    <t>Q9DCD0</t>
  </si>
  <si>
    <t>ENSMUST00000084124</t>
  </si>
  <si>
    <t>ENSMUST00000124409</t>
  </si>
  <si>
    <t>ENSMUST00000156120</t>
  </si>
  <si>
    <t>ENSMUST00000137982</t>
  </si>
  <si>
    <t>ENSMUST00000143944</t>
  </si>
  <si>
    <t>Q9DCG9</t>
  </si>
  <si>
    <t>ENSMUST00000088257</t>
  </si>
  <si>
    <t>ENSMUST00000116551</t>
  </si>
  <si>
    <t>ENSMUST00000172869</t>
  </si>
  <si>
    <t>ENSMUST00000174786</t>
  </si>
  <si>
    <t>Q9DC4</t>
  </si>
  <si>
    <t>ENSMUST00000033342</t>
  </si>
  <si>
    <t>ENSMUST00000153596</t>
  </si>
  <si>
    <t>ENSMUST00000147369</t>
  </si>
  <si>
    <t>Q9DCL9</t>
  </si>
  <si>
    <t>ENSMUST00000031160</t>
  </si>
  <si>
    <t>ENSMUST00000120912</t>
  </si>
  <si>
    <t>ENSMUST00000117536</t>
  </si>
  <si>
    <t>ENSMUST00000141687</t>
  </si>
  <si>
    <t>ENSMUST00000153648</t>
  </si>
  <si>
    <t>ENSMUST00000140051</t>
  </si>
  <si>
    <t>ENSMUST00000154688</t>
  </si>
  <si>
    <t>Q9DCN2</t>
  </si>
  <si>
    <t>ENSMUST00000018186</t>
  </si>
  <si>
    <t>ENSMUST00000162178</t>
  </si>
  <si>
    <t>Q9DCS9</t>
  </si>
  <si>
    <t>ENSMUST00000141324</t>
  </si>
  <si>
    <t>ENSMUST00000144285</t>
  </si>
  <si>
    <t>ENSMUST00000129451</t>
  </si>
  <si>
    <t>ENSMUST00000045602</t>
  </si>
  <si>
    <t>ENSMUST00000147648</t>
  </si>
  <si>
    <t>Q9DCT2</t>
  </si>
  <si>
    <t>ENSMUST00000140248</t>
  </si>
  <si>
    <t>ENSMUST00000005647</t>
  </si>
  <si>
    <t>ENSMUST00000123426</t>
  </si>
  <si>
    <t>ENSMUST00000139400</t>
  </si>
  <si>
    <t>ENSMUST00000152059</t>
  </si>
  <si>
    <t>ENSMUST00000144683</t>
  </si>
  <si>
    <t>Q9DCW4</t>
  </si>
  <si>
    <t>ENSMUST00000004729</t>
  </si>
  <si>
    <t>ENSMUST00000143096</t>
  </si>
  <si>
    <t>ENSMUST00000155468</t>
  </si>
  <si>
    <t>Q9DCX2</t>
  </si>
  <si>
    <t>ENSMUST00000141474</t>
  </si>
  <si>
    <t>ENSMUST00000137563</t>
  </si>
  <si>
    <t>ENSMUST00000106537</t>
  </si>
  <si>
    <t>ENSMUST00000043931</t>
  </si>
  <si>
    <t>ENSMUST00000073791</t>
  </si>
  <si>
    <t>ENSMUST00000137754</t>
  </si>
  <si>
    <t>ENSMUST00000138779</t>
  </si>
  <si>
    <t>ENSMUST00000180072</t>
  </si>
  <si>
    <t>Q9DD03</t>
  </si>
  <si>
    <t>ENSMUST00000107373</t>
  </si>
  <si>
    <t>ENSMUST00000198809</t>
  </si>
  <si>
    <t>ENSMUST00000065418</t>
  </si>
  <si>
    <t>Q9EPV8</t>
  </si>
  <si>
    <t>ENSMUST00000154429</t>
  </si>
  <si>
    <t>ENSMUST00000129414</t>
  </si>
  <si>
    <t>ENSMUST00000162303</t>
  </si>
  <si>
    <t>ENSMUST00000161595</t>
  </si>
  <si>
    <t>ENSMUST00000161486</t>
  </si>
  <si>
    <t>ENSMUST00000160874</t>
  </si>
  <si>
    <t>ENSMUST00000161882</t>
  </si>
  <si>
    <t>ENSMUST00000160124</t>
  </si>
  <si>
    <t>ENSMUST00000161834</t>
  </si>
  <si>
    <t>Q9EQ61</t>
  </si>
  <si>
    <t>ENSMUST00000109985</t>
  </si>
  <si>
    <t>ENSMUST00000130973</t>
  </si>
  <si>
    <t>ENSMUST00000020705</t>
  </si>
  <si>
    <t>Q9EQU5</t>
  </si>
  <si>
    <t>ENSMUST00000134364</t>
  </si>
  <si>
    <t>ENSMUST00000149578</t>
  </si>
  <si>
    <t>ENSMUST00000102866</t>
  </si>
  <si>
    <t>ENSMUST00000125824</t>
  </si>
  <si>
    <t>ENSMUST00000067996</t>
  </si>
  <si>
    <t>ENSMUST00000137291</t>
  </si>
  <si>
    <t>ENSMUST00000147590</t>
  </si>
  <si>
    <t>Q9ERK4</t>
  </si>
  <si>
    <t>ENSMUST00000171410</t>
  </si>
  <si>
    <t>ENSMUST00000002790</t>
  </si>
  <si>
    <t>ENSMUST00000169290</t>
  </si>
  <si>
    <t>ENSMUST00000132402</t>
  </si>
  <si>
    <t>ENSMUST00000135139</t>
  </si>
  <si>
    <t>ENSMUST00000166871</t>
  </si>
  <si>
    <t>ENSMUST00000145819</t>
  </si>
  <si>
    <t>ENSMUST00000163917</t>
  </si>
  <si>
    <t>ENSMUST00000129061</t>
  </si>
  <si>
    <t>Q9ERL7</t>
  </si>
  <si>
    <t>ENSMUST00000108292</t>
  </si>
  <si>
    <t>ENSMUST00000108289</t>
  </si>
  <si>
    <t>ENSMUST00000078845</t>
  </si>
  <si>
    <t>ENSMUST00000135686</t>
  </si>
  <si>
    <t>ENSMUST00000138741</t>
  </si>
  <si>
    <t>Q9ERS2</t>
  </si>
  <si>
    <t>ENSMUST00000152938</t>
  </si>
  <si>
    <t>ENSMUST00000152456</t>
  </si>
  <si>
    <t>ENSMUST00000180068</t>
  </si>
  <si>
    <t>Q9ES52</t>
  </si>
  <si>
    <t>ENSMUST00000169754</t>
  </si>
  <si>
    <t>ENSMUST00000163222</t>
  </si>
  <si>
    <t>ENSMUST00000042275</t>
  </si>
  <si>
    <t>ENSMUST00000164592</t>
  </si>
  <si>
    <t>ENSMUST00000168783</t>
  </si>
  <si>
    <t>ENSMUST00000165554</t>
  </si>
  <si>
    <t>ENSMUST00000163576</t>
  </si>
  <si>
    <t>ENSMUST00000170300</t>
  </si>
  <si>
    <t>ENSMUST00000167032</t>
  </si>
  <si>
    <t>ENSMUST00000163548</t>
  </si>
  <si>
    <t>Q9ESD6</t>
  </si>
  <si>
    <t>ENSMUST00000035009</t>
  </si>
  <si>
    <t>ENSMUST00000084867</t>
  </si>
  <si>
    <t>Q9ESU6</t>
  </si>
  <si>
    <t>ENSMUST00000121285</t>
  </si>
  <si>
    <t>ENSMUST00000120276</t>
  </si>
  <si>
    <t>ENSMUST00000003726</t>
  </si>
  <si>
    <t>Q9ESX5</t>
  </si>
  <si>
    <t>ENSMUST00000033776</t>
  </si>
  <si>
    <t>ENSMUST00000132000</t>
  </si>
  <si>
    <t>ENSMUST00000135389</t>
  </si>
  <si>
    <t>ENSMUST00000131867</t>
  </si>
  <si>
    <t>ENSMUST00000140609</t>
  </si>
  <si>
    <t>ENSMUST00000145222</t>
  </si>
  <si>
    <t>ENSMUST00000151327</t>
  </si>
  <si>
    <t>ENSMUST00000154936</t>
  </si>
  <si>
    <t>ENSMUST00000154422</t>
  </si>
  <si>
    <t>ENSMUST00000137286</t>
  </si>
  <si>
    <t>Q9JU4</t>
  </si>
  <si>
    <t>ENSMUST00000018851</t>
  </si>
  <si>
    <t>ENSMUST00000172218</t>
  </si>
  <si>
    <t>ENSMUST00000166185</t>
  </si>
  <si>
    <t>ENSMUST00000107660</t>
  </si>
  <si>
    <t>ENSMUST00000171535</t>
  </si>
  <si>
    <t>ENSMUST00000170024</t>
  </si>
  <si>
    <t>ENSMUST00000166323</t>
  </si>
  <si>
    <t>Q9JI11</t>
  </si>
  <si>
    <t>ENSMUST00000018353</t>
  </si>
  <si>
    <t>ENSMUST00000137866</t>
  </si>
  <si>
    <t>Q9JI48</t>
  </si>
  <si>
    <t>ENSMUST00000031264</t>
  </si>
  <si>
    <t>ENSMUST00000097437</t>
  </si>
  <si>
    <t>ENSMUST00000112910</t>
  </si>
  <si>
    <t>ENSMUST00000144595</t>
  </si>
  <si>
    <t>Q9JIF0</t>
  </si>
  <si>
    <t>ENSMUST00000045325</t>
  </si>
  <si>
    <t>ENSMUST00000107843</t>
  </si>
  <si>
    <t>Q9JII5</t>
  </si>
  <si>
    <t>ENSMUST00000156935</t>
  </si>
  <si>
    <t>ENSMUST00000105362</t>
  </si>
  <si>
    <t>ENSMUST00000105361</t>
  </si>
  <si>
    <t>ENSMUST00000092305</t>
  </si>
  <si>
    <t>ENSMUST00000150328</t>
  </si>
  <si>
    <t>ENSMUST00000138032</t>
  </si>
  <si>
    <t>ENSMUST00000151619</t>
  </si>
  <si>
    <t>Q9JII6</t>
  </si>
  <si>
    <t>ENSMUST00000030455</t>
  </si>
  <si>
    <t>ENSMUST00000126146</t>
  </si>
  <si>
    <t>ENSMUST00000128010</t>
  </si>
  <si>
    <t>ENSMUST00000128059</t>
  </si>
  <si>
    <t>Q9JIM1</t>
  </si>
  <si>
    <t>ENSMUST00000163492</t>
  </si>
  <si>
    <t>ENSMUST00000171847</t>
  </si>
  <si>
    <t>ENSMUST00000167692</t>
  </si>
  <si>
    <t>ENSMUST00000064889</t>
  </si>
  <si>
    <t>ENSMUST00000171978</t>
  </si>
  <si>
    <t>ENSMUST00000171081</t>
  </si>
  <si>
    <t>ENSMUST00000164217</t>
  </si>
  <si>
    <t>ENSMUST00000171876</t>
  </si>
  <si>
    <t>ENSMUST00000167748</t>
  </si>
  <si>
    <t>ENSMUST00000167863</t>
  </si>
  <si>
    <t>ENSMUST00000170425</t>
  </si>
  <si>
    <t>ENSMUST00000163905</t>
  </si>
  <si>
    <t>ENSMUST00000167195</t>
  </si>
  <si>
    <t>ENSMUST00000172301</t>
  </si>
  <si>
    <t>ENSMUST00000168274</t>
  </si>
  <si>
    <t>ENSMUST00000051574</t>
  </si>
  <si>
    <t>Q9JIX8</t>
  </si>
  <si>
    <t>ENSMUST00000126166</t>
  </si>
  <si>
    <t>ENSMUST00000141453</t>
  </si>
  <si>
    <t>ENSMUST00000022793</t>
  </si>
  <si>
    <t>ENSMUST00000147714</t>
  </si>
  <si>
    <t>ENSMUST00000150371</t>
  </si>
  <si>
    <t>ENSMUST00000111484</t>
  </si>
  <si>
    <t>ENSMUST00000152773</t>
  </si>
  <si>
    <t>ENSMUST00000138321</t>
  </si>
  <si>
    <t>ENSMUST00000151487</t>
  </si>
  <si>
    <t>ENSMUST00000124271</t>
  </si>
  <si>
    <t>ENSMUST00000133706</t>
  </si>
  <si>
    <t>ENSMUST00000167495</t>
  </si>
  <si>
    <t>ENSMUST00000125767</t>
  </si>
  <si>
    <t>ENSMUST00000123875</t>
  </si>
  <si>
    <t>ENSMUST00000170299</t>
  </si>
  <si>
    <t>ENSMUST00000136909</t>
  </si>
  <si>
    <t>ENSMUST00000137763</t>
  </si>
  <si>
    <t>ENSMUST00000129700</t>
  </si>
  <si>
    <t>ENSMUST00000141993</t>
  </si>
  <si>
    <t>ENSMUST00000125265</t>
  </si>
  <si>
    <t>ENSMUST00000134808</t>
  </si>
  <si>
    <t>ENSMUST00000132242</t>
  </si>
  <si>
    <t>ENSMUST00000148754</t>
  </si>
  <si>
    <t>Q9JJ80</t>
  </si>
  <si>
    <t>ENSMUST00000045114</t>
  </si>
  <si>
    <t>ENSMUST00000183309</t>
  </si>
  <si>
    <t>ENSMUST00000182287</t>
  </si>
  <si>
    <t>ENSMUST00000183052</t>
  </si>
  <si>
    <t>Q9JJA4</t>
  </si>
  <si>
    <t>ENSMUST00000027173</t>
  </si>
  <si>
    <t>ENSMUST00000122038</t>
  </si>
  <si>
    <t>ENSMUST00000117438</t>
  </si>
  <si>
    <t>ENSMUST00000147413</t>
  </si>
  <si>
    <t>ENSMUST00000136461</t>
  </si>
  <si>
    <t>ENSMUST00000143342</t>
  </si>
  <si>
    <t>ENSMUST00000133767</t>
  </si>
  <si>
    <t>Q9JJI8</t>
  </si>
  <si>
    <t>ENSMUST00000106602</t>
  </si>
  <si>
    <t>ENSMUST00000077915</t>
  </si>
  <si>
    <t>ENSMUST00000106599</t>
  </si>
  <si>
    <t>ENSMUST00000082092</t>
  </si>
  <si>
    <t>Q9JJU8</t>
  </si>
  <si>
    <t>ENSMUST00000033598</t>
  </si>
  <si>
    <t>ENSMUST00000126097</t>
  </si>
  <si>
    <t>Q9JKB3</t>
  </si>
  <si>
    <t>ENSMUST00000032309</t>
  </si>
  <si>
    <t>ENSMUST00000087865</t>
  </si>
  <si>
    <t>Q9JKM7</t>
  </si>
  <si>
    <t>ENSMUST00000021076</t>
  </si>
  <si>
    <t>ENSMUST00000156383</t>
  </si>
  <si>
    <t>Q9JKP7</t>
  </si>
  <si>
    <t>ENSMUST00000030091</t>
  </si>
  <si>
    <t>ENSMUST00000129930</t>
  </si>
  <si>
    <t>Q9JKR6</t>
  </si>
  <si>
    <t>ENSMUST00000066601</t>
  </si>
  <si>
    <t>ENSMUST00000161537</t>
  </si>
  <si>
    <t>ENSMUST00000161318</t>
  </si>
  <si>
    <t>ENSMUST00000160112</t>
  </si>
  <si>
    <t>ENSMUST00000160902</t>
  </si>
  <si>
    <t>ENSMUST00000161147</t>
  </si>
  <si>
    <t>Q9JKV1</t>
  </si>
  <si>
    <t>ENSMUST00000061437</t>
  </si>
  <si>
    <t>ENSMUST00000155357</t>
  </si>
  <si>
    <t>ENSMUST00000147341</t>
  </si>
  <si>
    <t>ENSMUST00000128029</t>
  </si>
  <si>
    <t>ENSMUST00000152540</t>
  </si>
  <si>
    <t>ENSMUST00000145230</t>
  </si>
  <si>
    <t>ENSMUST00000147383</t>
  </si>
  <si>
    <t>ENSMUST00000152850</t>
  </si>
  <si>
    <t>Q9JKX4</t>
  </si>
  <si>
    <t>ENSMUST00000018841</t>
  </si>
  <si>
    <t>ENSMUST00000127042</t>
  </si>
  <si>
    <t>ENSMUST00000141093</t>
  </si>
  <si>
    <t>ENSMUST00000148434</t>
  </si>
  <si>
    <t>Q9JKX6</t>
  </si>
  <si>
    <t>ENSMUST00000026927</t>
  </si>
  <si>
    <t>ENSMUST00000138549</t>
  </si>
  <si>
    <t>ENSMUST00000127116</t>
  </si>
  <si>
    <t>ENSMUST00000128604</t>
  </si>
  <si>
    <t>ENSMUST00000179748</t>
  </si>
  <si>
    <t>Q9JLJ2</t>
  </si>
  <si>
    <t>ENSMUST00000028004</t>
  </si>
  <si>
    <t>ENSMUST00000194843</t>
  </si>
  <si>
    <t>ENSMUST00000193091</t>
  </si>
  <si>
    <t>ENSMUST00000191715</t>
  </si>
  <si>
    <t>Q9JLJ5</t>
  </si>
  <si>
    <t>ENSMUST00000006557</t>
  </si>
  <si>
    <t>ENSMUST00000135162</t>
  </si>
  <si>
    <t>ENSMUST00000129419</t>
  </si>
  <si>
    <t>ENSMUST00000143140</t>
  </si>
  <si>
    <t>ENSMUST00000067896</t>
  </si>
  <si>
    <t>Q9JLR1</t>
  </si>
  <si>
    <t>ENSMUST00000102981</t>
  </si>
  <si>
    <t>ENSMUST00000132908</t>
  </si>
  <si>
    <t>ENSMUST00000124859</t>
  </si>
  <si>
    <t>ENSMUST00000153240</t>
  </si>
  <si>
    <t>ENSMUST00000124985</t>
  </si>
  <si>
    <t>ENSMUST00000132469</t>
  </si>
  <si>
    <t>ENSMUST00000148745</t>
  </si>
  <si>
    <t>ENSMUST00000194565</t>
  </si>
  <si>
    <t>Q9JM76</t>
  </si>
  <si>
    <t>ENSMUST00000102525</t>
  </si>
  <si>
    <t>ENSMUST00000148913</t>
  </si>
  <si>
    <t>ENSMUST00000141395</t>
  </si>
  <si>
    <t>ENSMUST00000196969</t>
  </si>
  <si>
    <t>ENSMUST00000111716</t>
  </si>
  <si>
    <t>ENSMUST00000126247</t>
  </si>
  <si>
    <t>Q9JMA1</t>
  </si>
  <si>
    <t>ENSMUST00000092096</t>
  </si>
  <si>
    <t>ENSMUST00000142013</t>
  </si>
  <si>
    <t>ENSMUST00000128334</t>
  </si>
  <si>
    <t>ENSMUST00000133594</t>
  </si>
  <si>
    <t>ENSMUST00000154088</t>
  </si>
  <si>
    <t>ENSMUST00000145929</t>
  </si>
  <si>
    <t>ENSMUST00000150321</t>
  </si>
  <si>
    <t>Q9QUI0</t>
  </si>
  <si>
    <t>ENSMUST00000007959</t>
  </si>
  <si>
    <t>ENSMUST00000193619</t>
  </si>
  <si>
    <t>ENSMUST00000194701</t>
  </si>
  <si>
    <t>ENSMUST00000193490</t>
  </si>
  <si>
    <t>ENSMUST00000193424</t>
  </si>
  <si>
    <t>Q9QUJ7</t>
  </si>
  <si>
    <t>ENSMUST00000112907</t>
  </si>
  <si>
    <t>ENSMUST00000112904</t>
  </si>
  <si>
    <t>ENSMUST00000112903</t>
  </si>
  <si>
    <t>ENSMUST00000033634</t>
  </si>
  <si>
    <t>Q9QUM9</t>
  </si>
  <si>
    <t>ENSMUST00000021412</t>
  </si>
  <si>
    <t>ENSMUST00000162972</t>
  </si>
  <si>
    <t>Q9QVN7</t>
  </si>
  <si>
    <t>ENSMUST00000129686</t>
  </si>
  <si>
    <t>ENSMUST00000103042</t>
  </si>
  <si>
    <t>ENSMUST00000125892</t>
  </si>
  <si>
    <t>ENSMUST00000126844</t>
  </si>
  <si>
    <t>Q9QX47</t>
  </si>
  <si>
    <t>ENSMUST00000117633</t>
  </si>
  <si>
    <t>ENSMUST00000119368</t>
  </si>
  <si>
    <t>ENSMUST00000140312</t>
  </si>
  <si>
    <t>ENSMUST00000114037</t>
  </si>
  <si>
    <t>ENSMUST00000114036</t>
  </si>
  <si>
    <t>ENSMUST00000122302</t>
  </si>
  <si>
    <t>ENSMUST00000133589</t>
  </si>
  <si>
    <t>ENSMUST00000151503</t>
  </si>
  <si>
    <t>Q9QXS1</t>
  </si>
  <si>
    <t>ENSMUST00000023226</t>
  </si>
  <si>
    <t>ENSMUST00000072692</t>
  </si>
  <si>
    <t>ENSMUST00000165135</t>
  </si>
  <si>
    <t>Q9QXX4</t>
  </si>
  <si>
    <t>ENSMUST00000015256</t>
  </si>
  <si>
    <t>ENSMUST00000177698</t>
  </si>
  <si>
    <t>ENSMUST00000188414</t>
  </si>
  <si>
    <t>Q9QY81</t>
  </si>
  <si>
    <t>ENSMUST00000142951</t>
  </si>
  <si>
    <t>ENSMUST00000141952</t>
  </si>
  <si>
    <t>ENSMUST00000148397</t>
  </si>
  <si>
    <t>ENSMUST00000153350</t>
  </si>
  <si>
    <t>ENSMUST00000139051</t>
  </si>
  <si>
    <t>ENSMUST00000151437</t>
  </si>
  <si>
    <t>Q9QYA2</t>
  </si>
  <si>
    <t>ENSMUST00000093552</t>
  </si>
  <si>
    <t>ENSMUST00000032555</t>
  </si>
  <si>
    <t>ENSMUST00000174476</t>
  </si>
  <si>
    <t>ENSMUST00000172705</t>
  </si>
  <si>
    <t>ENSMUST00000173966</t>
  </si>
  <si>
    <t>Q9QYB1</t>
  </si>
  <si>
    <t>ENSMUST00000037099</t>
  </si>
  <si>
    <t>ENSMUST00000143370</t>
  </si>
  <si>
    <t>Q9QYF1</t>
  </si>
  <si>
    <t>ENSMUST00000161204</t>
  </si>
  <si>
    <t>ENSMUST00000085254</t>
  </si>
  <si>
    <t>ENSMUST00000159500</t>
  </si>
  <si>
    <t>Q9QYI3</t>
  </si>
  <si>
    <t>ENSMUST00000129346</t>
  </si>
  <si>
    <t>ENSMUST00000014339</t>
  </si>
  <si>
    <t>ENSMUST00000128414</t>
  </si>
  <si>
    <t>ENSMUST00000136199</t>
  </si>
  <si>
    <t>ENSMUST00000137688</t>
  </si>
  <si>
    <t>ENSMUST00000148098</t>
  </si>
  <si>
    <t>ENSMUST00000146840</t>
  </si>
  <si>
    <t>ENSMUST00000154972</t>
  </si>
  <si>
    <t>ENSMUST00000132886</t>
  </si>
  <si>
    <t>Q9QZ88</t>
  </si>
  <si>
    <t>ENSMUST00000155671</t>
  </si>
  <si>
    <t>ENSMUST00000118830</t>
  </si>
  <si>
    <t>ENSMUST00000117868</t>
  </si>
  <si>
    <t>ENSMUST00000111729</t>
  </si>
  <si>
    <t>ENSMUST00000118765</t>
  </si>
  <si>
    <t>ENSMUST00000145821</t>
  </si>
  <si>
    <t>ENSMUST00000199086</t>
  </si>
  <si>
    <t>Q9QZD9</t>
  </si>
  <si>
    <t>ENSMUST00000102593</t>
  </si>
  <si>
    <t>ENSMUST00000136843</t>
  </si>
  <si>
    <t>ENSMUST00000135055</t>
  </si>
  <si>
    <t>ENSMUST00000155428</t>
  </si>
  <si>
    <t>ENSMUST00000143384</t>
  </si>
  <si>
    <t>Q9QZQ8</t>
  </si>
  <si>
    <t>ENSMUST00000016081</t>
  </si>
  <si>
    <t>ENSMUST00000045788</t>
  </si>
  <si>
    <t>ENSMUST00000139511</t>
  </si>
  <si>
    <t>ENSMUST00000141031</t>
  </si>
  <si>
    <t>ENSMUST00000154778</t>
  </si>
  <si>
    <t>ENSMUST00000154564</t>
  </si>
  <si>
    <t>ENSMUST00000141589</t>
  </si>
  <si>
    <t>ENSMUST00000137835</t>
  </si>
  <si>
    <t>Q9R0P3</t>
  </si>
  <si>
    <t>ENSMUST00000022573</t>
  </si>
  <si>
    <t>ENSMUST00000177445</t>
  </si>
  <si>
    <t>ENSMUST00000176484</t>
  </si>
  <si>
    <t>ENSMUST00000176957</t>
  </si>
  <si>
    <t>ENSMUST00000177283</t>
  </si>
  <si>
    <t>ENSMUST00000177137</t>
  </si>
  <si>
    <t>ENSMUST00000176188</t>
  </si>
  <si>
    <t>ENSMUST00000176726</t>
  </si>
  <si>
    <t>Q9R0Q7</t>
  </si>
  <si>
    <t>ENSMUST00000052798</t>
  </si>
  <si>
    <t>ENSMUST00000148943</t>
  </si>
  <si>
    <t>Q9R0U0</t>
  </si>
  <si>
    <t>ENSMUST00000105853</t>
  </si>
  <si>
    <t>ENSMUST00000097844</t>
  </si>
  <si>
    <t>ENSMUST00000102544</t>
  </si>
  <si>
    <t>ENSMUST00000126641</t>
  </si>
  <si>
    <t>ENSMUST00000154447</t>
  </si>
  <si>
    <t>ENSMUST00000129718</t>
  </si>
  <si>
    <t>ENSMUST00000149878</t>
  </si>
  <si>
    <t>ENSMUST00000129198</t>
  </si>
  <si>
    <t>ENSMUST00000142002</t>
  </si>
  <si>
    <t>Q9R190</t>
  </si>
  <si>
    <t>ENSMUST00000096240</t>
  </si>
  <si>
    <t>ENSMUST00000135300</t>
  </si>
  <si>
    <t>ENSMUST00000132463</t>
  </si>
  <si>
    <t>ENSMUST00000169535</t>
  </si>
  <si>
    <t>ENSMUST00000151386</t>
  </si>
  <si>
    <t>Q9R1C7</t>
  </si>
  <si>
    <t>ENSMUST00000076313</t>
  </si>
  <si>
    <t>ENSMUST00000152922</t>
  </si>
  <si>
    <t>ENSMUST00000132031</t>
  </si>
  <si>
    <t>Q9R1P0</t>
  </si>
  <si>
    <t>ENSMUST00000034848</t>
  </si>
  <si>
    <t>ENSMUST00000171578</t>
  </si>
  <si>
    <t>ENSMUST00000169008</t>
  </si>
  <si>
    <t>ENSMUST00000163960</t>
  </si>
  <si>
    <t>ENSMUST00000172407</t>
  </si>
  <si>
    <t>ENSMUST00000164679</t>
  </si>
  <si>
    <t>ENSMUST00000171900</t>
  </si>
  <si>
    <t>Q9R1P1</t>
  </si>
  <si>
    <t>ENSMUST00000103147</t>
  </si>
  <si>
    <t>ENSMUST00000138265</t>
  </si>
  <si>
    <t>ENSMUST00000129197</t>
  </si>
  <si>
    <t>Q9R1P4</t>
  </si>
  <si>
    <t>ENSMUST00000033008</t>
  </si>
  <si>
    <t>ENSMUST00000135570</t>
  </si>
  <si>
    <t>ENSMUST00000154909</t>
  </si>
  <si>
    <t>ENSMUST00000123801</t>
  </si>
  <si>
    <t>Q9R233</t>
  </si>
  <si>
    <t>ENSMUST00000172619</t>
  </si>
  <si>
    <t>ENSMUST00000025161</t>
  </si>
  <si>
    <t>ENSMUST00000172888</t>
  </si>
  <si>
    <t>ENSMUST00000172653</t>
  </si>
  <si>
    <t>Q9WTI7</t>
  </si>
  <si>
    <t>ENSMUST00000102505</t>
  </si>
  <si>
    <t>ENSMUST00000069057</t>
  </si>
  <si>
    <t>ENSMUST00000102504</t>
  </si>
  <si>
    <t>ENSMUST00000108431</t>
  </si>
  <si>
    <t>ENSMUST00000151174</t>
  </si>
  <si>
    <t>ENSMUST00000136935</t>
  </si>
  <si>
    <t>ENSMUST00000148659</t>
  </si>
  <si>
    <t>ENSMUST00000123064</t>
  </si>
  <si>
    <t>ENSMUST00000146419</t>
  </si>
  <si>
    <t>ENSMUST00000155027</t>
  </si>
  <si>
    <t>Q9WTP6</t>
  </si>
  <si>
    <t>ENSMUST00000030583</t>
  </si>
  <si>
    <t>ENSMUST00000102604</t>
  </si>
  <si>
    <t>Q9WTX5</t>
  </si>
  <si>
    <t>ENSMUST00000147684</t>
  </si>
  <si>
    <t>ENSMUST00000037324</t>
  </si>
  <si>
    <t>ENSMUST00000166537</t>
  </si>
  <si>
    <t>ENSMUST00000109072</t>
  </si>
  <si>
    <t>ENSMUST00000116595</t>
  </si>
  <si>
    <t>Q9WU78</t>
  </si>
  <si>
    <t>ENSMUST00000035086</t>
  </si>
  <si>
    <t>ENSMUST00000111861</t>
  </si>
  <si>
    <t>ENSMUST00000156425</t>
  </si>
  <si>
    <t>ENSMUST00000137104</t>
  </si>
  <si>
    <t>ENSMUST00000142256</t>
  </si>
  <si>
    <t>Q9WUA2</t>
  </si>
  <si>
    <t>ENSMUST00000170217</t>
  </si>
  <si>
    <t>ENSMUST00000068333</t>
  </si>
  <si>
    <t>ENSMUST00000189529</t>
  </si>
  <si>
    <t>ENSMUST00000188247</t>
  </si>
  <si>
    <t>ENSMUST00000191021</t>
  </si>
  <si>
    <t>Q9WUK4</t>
  </si>
  <si>
    <t>ENSMUST00000023867</t>
  </si>
  <si>
    <t>ENSMUST00000201674</t>
  </si>
  <si>
    <t>ENSMUST00000201258</t>
  </si>
  <si>
    <t>ENSMUST00000200767</t>
  </si>
  <si>
    <t>ENSMUST00000201464</t>
  </si>
  <si>
    <t>Q9WUM3</t>
  </si>
  <si>
    <t>ENSMUST00000123874</t>
  </si>
  <si>
    <t>ENSMUST00000008893</t>
  </si>
  <si>
    <t>ENSMUST00000142878</t>
  </si>
  <si>
    <t>ENSMUST00000148733</t>
  </si>
  <si>
    <t>ENSMUST00000134194</t>
  </si>
  <si>
    <t>ENSMUST00000143613</t>
  </si>
  <si>
    <t>ENSMUST00000140419</t>
  </si>
  <si>
    <t>ENSMUST00000135498</t>
  </si>
  <si>
    <t>ENSMUST00000148189</t>
  </si>
  <si>
    <t>Q9WUM4</t>
  </si>
  <si>
    <t>ENSMUST00000004646</t>
  </si>
  <si>
    <t>ENSMUST00000163995</t>
  </si>
  <si>
    <t>ENSMUST00000168634</t>
  </si>
  <si>
    <t>ENSMUST00000172016</t>
  </si>
  <si>
    <t>ENSMUST00000111283</t>
  </si>
  <si>
    <t>ENSMUST00000163264</t>
  </si>
  <si>
    <t>ENSMUST00000168399</t>
  </si>
  <si>
    <t>ENSMUST00000171630</t>
  </si>
  <si>
    <t>Q9WUM5</t>
  </si>
  <si>
    <t>ENSMUST00000064740</t>
  </si>
  <si>
    <t>ENSMUST00000173366</t>
  </si>
  <si>
    <t>ENSMUST00000127660</t>
  </si>
  <si>
    <t>ENSMUST00000173409</t>
  </si>
  <si>
    <t>Q9WV02</t>
  </si>
  <si>
    <t>ENSMUST00000140384</t>
  </si>
  <si>
    <t>ENSMUST00000098470</t>
  </si>
  <si>
    <t>ENSMUST00000114726</t>
  </si>
  <si>
    <t>ENSMUST00000133346</t>
  </si>
  <si>
    <t>Q9WV32</t>
  </si>
  <si>
    <t>ENSMUST00000085679</t>
  </si>
  <si>
    <t>ENSMUST00000129033</t>
  </si>
  <si>
    <t>ENSMUST00000126343</t>
  </si>
  <si>
    <t>ENSMUST00000196111</t>
  </si>
  <si>
    <t>ENSMUST00000141602</t>
  </si>
  <si>
    <t>ENSMUST00000136074</t>
  </si>
  <si>
    <t>ENSMUST00000138235</t>
  </si>
  <si>
    <t>ENSMUST00000128229</t>
  </si>
  <si>
    <t>ENSMUST00000138922</t>
  </si>
  <si>
    <t>ENSMUST00000144375</t>
  </si>
  <si>
    <t>Q9WVA4</t>
  </si>
  <si>
    <t>ENSMUST00000138296</t>
  </si>
  <si>
    <t>ENSMUST00000111230</t>
  </si>
  <si>
    <t>ENSMUST00000192460</t>
  </si>
  <si>
    <t>ENSMUST00000111228</t>
  </si>
  <si>
    <t>Q9WVJ2</t>
  </si>
  <si>
    <t>ENSMUST00000026560</t>
  </si>
  <si>
    <t>ENSMUST00000151644</t>
  </si>
  <si>
    <t>ENSMUST00000140411</t>
  </si>
  <si>
    <t>ENSMUST00000129683</t>
  </si>
  <si>
    <t>ENSMUST00000146875</t>
  </si>
  <si>
    <t>ENSMUST00000130462</t>
  </si>
  <si>
    <t>ENSMUST00000125668</t>
  </si>
  <si>
    <t>ENSMUST00000165539</t>
  </si>
  <si>
    <t>Q9Z01</t>
  </si>
  <si>
    <t>ENSMUST00000025170</t>
  </si>
  <si>
    <t>ENSMUST00000173857</t>
  </si>
  <si>
    <t>ENSMUST00000172546</t>
  </si>
  <si>
    <t>Q9Z04</t>
  </si>
  <si>
    <t>ENSMUST00000002176</t>
  </si>
  <si>
    <t>ENSMUST00000182879</t>
  </si>
  <si>
    <t>ENSMUST00000114927</t>
  </si>
  <si>
    <t>ENSMUST00000142941</t>
  </si>
  <si>
    <t>ENSMUST00000150624</t>
  </si>
  <si>
    <t>ENSMUST00000183984</t>
  </si>
  <si>
    <t>ENSMUST00000182355</t>
  </si>
  <si>
    <t>ENSMUST00000183269</t>
  </si>
  <si>
    <t>ENSMUST00000182560</t>
  </si>
  <si>
    <t>ENSMUST00000126742</t>
  </si>
  <si>
    <t>ENSMUST00000182523</t>
  </si>
  <si>
    <t>ENSMUST00000182657</t>
  </si>
  <si>
    <t>ENSMUST00000114924</t>
  </si>
  <si>
    <t>ENSMUST00000100429</t>
  </si>
  <si>
    <t>Q9Z0M6</t>
  </si>
  <si>
    <t>ENSMUST00000002964</t>
  </si>
  <si>
    <t>ENSMUST00000075843</t>
  </si>
  <si>
    <t>ENSMUST00000109802</t>
  </si>
  <si>
    <t>ENSMUST00000139797</t>
  </si>
  <si>
    <t>ENSMUST00000140606</t>
  </si>
  <si>
    <t>ENSMUST00000154075</t>
  </si>
  <si>
    <t>ENSMUST00000149368</t>
  </si>
  <si>
    <t>ENSMUST00000166939</t>
  </si>
  <si>
    <t>Q9Z0N1</t>
  </si>
  <si>
    <t>ENSMUST00000050328</t>
  </si>
  <si>
    <t>ENSMUST00000113922</t>
  </si>
  <si>
    <t>ENSMUST00000127963</t>
  </si>
  <si>
    <t>Q9Z0X1</t>
  </si>
  <si>
    <t>ENSMUST00000143466</t>
  </si>
  <si>
    <t>ENSMUST00000114945</t>
  </si>
  <si>
    <t>ENSMUST00000037349</t>
  </si>
  <si>
    <t>ENSMUST00000156795</t>
  </si>
  <si>
    <t>ENSMUST00000124623</t>
  </si>
  <si>
    <t>Q9Z110</t>
  </si>
  <si>
    <t>ENSMUST00000176939</t>
  </si>
  <si>
    <t>ENSMUST00000025979</t>
  </si>
  <si>
    <t>ENSMUST00000155613</t>
  </si>
  <si>
    <t>ENSMUST00000175967</t>
  </si>
  <si>
    <t>ENSMUST00000134749</t>
  </si>
  <si>
    <t>ENSMUST00000149476</t>
  </si>
  <si>
    <t>Q9Z127</t>
  </si>
  <si>
    <t>ENSMUST00000045557</t>
  </si>
  <si>
    <t>ENSMUST00000182165</t>
  </si>
  <si>
    <t>ENSMUST00000183015</t>
  </si>
  <si>
    <t>Q9Z172</t>
  </si>
  <si>
    <t>ENSMUST00000020501</t>
  </si>
  <si>
    <t>ENSMUST00000137841</t>
  </si>
  <si>
    <t>ENSMUST00000129492</t>
  </si>
  <si>
    <t>ENSMUST00000141228</t>
  </si>
  <si>
    <t>ENSMUST00000099538</t>
  </si>
  <si>
    <t>ENSMUST00000173691</t>
  </si>
  <si>
    <t>ENSMUST00000124024</t>
  </si>
  <si>
    <t>ENSMUST00000174295</t>
  </si>
  <si>
    <t>Q9Z1F9</t>
  </si>
  <si>
    <t>ENSMUST00000102746</t>
  </si>
  <si>
    <t>ENSMUST00000152037</t>
  </si>
  <si>
    <t>ENSMUST00000124824</t>
  </si>
  <si>
    <t>ENSMUST00000142763</t>
  </si>
  <si>
    <t>ENSMUST00000175991</t>
  </si>
  <si>
    <t>ENSMUST00000139916</t>
  </si>
  <si>
    <t>ENSMUST00000134856</t>
  </si>
  <si>
    <t>Q9Z1N5</t>
  </si>
  <si>
    <t>ENSMUST00000068056</t>
  </si>
  <si>
    <t>ENSMUST00000174757</t>
  </si>
  <si>
    <t>ENSMUST00000173731</t>
  </si>
  <si>
    <t>ENSMUST00000174795</t>
  </si>
  <si>
    <t>ENSMUST00000172549</t>
  </si>
  <si>
    <t>Q9Z1P6</t>
  </si>
  <si>
    <t>ENSMUST00000048249</t>
  </si>
  <si>
    <t>ENSMUST00000173182</t>
  </si>
  <si>
    <t>ENSMUST00000173132</t>
  </si>
  <si>
    <t>ENSMUST00000174498</t>
  </si>
  <si>
    <t>ENSMUST00000173807</t>
  </si>
  <si>
    <t>ENSMUST00000174847</t>
  </si>
  <si>
    <t>ENSMUST00000173556</t>
  </si>
  <si>
    <t>ENSMUST00000173946</t>
  </si>
  <si>
    <t>Q9Z1Q5</t>
  </si>
  <si>
    <t>ENSMUST00000007257</t>
  </si>
  <si>
    <t>ENSMUST00000172599</t>
  </si>
  <si>
    <t>Q9Z1Q9</t>
  </si>
  <si>
    <t>ENSMUST00000087315</t>
  </si>
  <si>
    <t>ENSMUST00000173584</t>
  </si>
  <si>
    <t>ENSMUST00000174260</t>
  </si>
  <si>
    <t>ENSMUST00000172570</t>
  </si>
  <si>
    <t>ENSMUST00000172637</t>
  </si>
  <si>
    <t>ENSMUST00000172656</t>
  </si>
  <si>
    <t>ENSMUST00000172741</t>
  </si>
  <si>
    <t>ENSMUST00000173911</t>
  </si>
  <si>
    <t>ENSMUST00000173336</t>
  </si>
  <si>
    <t>ENSMUST00000172999</t>
  </si>
  <si>
    <t>ENSMUST00000173302</t>
  </si>
  <si>
    <t>ENSMUST00000174084</t>
  </si>
  <si>
    <t>Q9Z1X4</t>
  </si>
  <si>
    <t>ENSMUST00000067646</t>
  </si>
  <si>
    <t>ENSMUST00000115414</t>
  </si>
  <si>
    <t>Q9Z1Z2</t>
  </si>
  <si>
    <t>ENSMUST00000064910</t>
  </si>
  <si>
    <t>ENSMUST00000154698</t>
  </si>
  <si>
    <t>ENSMUST00000137235</t>
  </si>
  <si>
    <t>Q9Z204</t>
  </si>
  <si>
    <t>ENSMUST00000111610</t>
  </si>
  <si>
    <t>ENSMUST00000164655</t>
  </si>
  <si>
    <t>Q9Z277</t>
  </si>
  <si>
    <t>ENSMUST00000002825</t>
  </si>
  <si>
    <t>ENSMUST00000201894</t>
  </si>
  <si>
    <t>ENSMUST00000176793</t>
  </si>
  <si>
    <t>ENSMUST00000142307</t>
  </si>
  <si>
    <t>ENSMUST00000136947</t>
  </si>
  <si>
    <t>Q9Z2I9</t>
  </si>
  <si>
    <t>ENSMUST00000161082</t>
  </si>
  <si>
    <t>ENSMUST00000161829</t>
  </si>
  <si>
    <t>ENSMUST00000160507</t>
  </si>
  <si>
    <t>ENSMUST00000162723</t>
  </si>
  <si>
    <t>Q9Z2N8</t>
  </si>
  <si>
    <t>ENSMUST00000029214</t>
  </si>
  <si>
    <t>ENSMUST00000194226</t>
  </si>
  <si>
    <t>ENSMUST00000126144</t>
  </si>
  <si>
    <t>ENSMUST00000135400</t>
  </si>
  <si>
    <t>ENSMUST00000153779</t>
  </si>
  <si>
    <t>Q9Z2U0</t>
  </si>
  <si>
    <t>ENSMUST00000129529</t>
  </si>
  <si>
    <t>ENSMUST00000126021</t>
  </si>
  <si>
    <t>ENSMUST00000029082</t>
  </si>
  <si>
    <t>ENSMUST00000135650</t>
  </si>
  <si>
    <t>ENSMUST00000142042</t>
  </si>
  <si>
    <t>ENSMUST00000132431</t>
  </si>
  <si>
    <t>ENSMUST00000155898</t>
  </si>
  <si>
    <t>Q9Z2U1</t>
  </si>
  <si>
    <t>ENSMUST00000090569</t>
  </si>
  <si>
    <t>ENSMUST00000129708</t>
  </si>
  <si>
    <t>Q9Z2X1</t>
  </si>
  <si>
    <t>ENSMUST00000177743</t>
  </si>
  <si>
    <t>ENSMUST00000179224</t>
  </si>
  <si>
    <t>ENSMUST00000035493</t>
  </si>
  <si>
    <t>ENSMUST00000177918</t>
  </si>
  <si>
    <t>ENSMUST00000163168</t>
  </si>
  <si>
    <t>ENSMUST00000179478</t>
  </si>
  <si>
    <t>ENSMUST00000177570</t>
  </si>
  <si>
    <t>ENSMUST00000180341</t>
  </si>
  <si>
    <t>ENSMUST00000167182</t>
  </si>
  <si>
    <t>ENSMUST00000180020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</si>
</sst>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658D7-61D2-4810-9AE6-19E4E8447D9E}">
  <dimension ref="A1:A6"/>
  <sheetViews>
    <sheetView workbookViewId="0">
      <selection activeCell="A21" sqref="A21"/>
    </sheetView>
  </sheetViews>
  <sheetFormatPr defaultRowHeight="15"/>
  <sheetData>
    <row r="1" spans="1:1" ht="18.75">
      <c r="A1" s="3" t="s">
        <v>0</v>
      </c>
    </row>
    <row r="3" spans="1:1">
      <c r="A3" t="s">
        <v>1</v>
      </c>
    </row>
    <row r="4" spans="1:1" ht="18">
      <c r="A4" s="4" t="s">
        <v>2</v>
      </c>
    </row>
    <row r="5" spans="1:1">
      <c r="A5" s="4" t="s">
        <v>3</v>
      </c>
    </row>
    <row r="6" spans="1:1">
      <c r="A6" s="4" t="s">
        <v>4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4EC8AF-726D-4846-8167-F44FD3D78B45}">
  <dimension ref="A1:E29626"/>
  <sheetViews>
    <sheetView tabSelected="1" workbookViewId="0">
      <selection activeCell="C70" sqref="C70"/>
    </sheetView>
  </sheetViews>
  <sheetFormatPr defaultRowHeight="15"/>
  <cols>
    <col min="1" max="1" width="11.5703125" bestFit="1" customWidth="1"/>
    <col min="4" max="4" width="11.85546875" bestFit="1" customWidth="1"/>
  </cols>
  <sheetData>
    <row r="1" spans="1:5">
      <c r="A1" t="s">
        <v>5</v>
      </c>
      <c r="B1" t="s">
        <v>6</v>
      </c>
      <c r="C1" t="s">
        <v>7</v>
      </c>
      <c r="D1" t="s">
        <v>8</v>
      </c>
      <c r="E1" t="s">
        <v>9</v>
      </c>
    </row>
    <row r="2" spans="1:5">
      <c r="A2" t="s">
        <v>10</v>
      </c>
      <c r="B2" t="s">
        <v>11</v>
      </c>
      <c r="C2">
        <v>1.07193564651E-2</v>
      </c>
      <c r="D2">
        <v>0.69455042530800004</v>
      </c>
      <c r="E2">
        <v>24</v>
      </c>
    </row>
    <row r="3" spans="1:5">
      <c r="A3" t="s">
        <v>10</v>
      </c>
      <c r="B3" t="s">
        <v>12</v>
      </c>
      <c r="C3">
        <f>0.0130141864817</f>
        <v>1.30141864817E-2</v>
      </c>
      <c r="D3">
        <v>0.69455042530800004</v>
      </c>
      <c r="E3">
        <v>24</v>
      </c>
    </row>
    <row r="4" spans="1:5">
      <c r="A4" t="s">
        <v>10</v>
      </c>
      <c r="B4" t="s">
        <v>13</v>
      </c>
      <c r="C4">
        <v>0</v>
      </c>
      <c r="D4">
        <v>0.69455042530800004</v>
      </c>
      <c r="E4">
        <v>24</v>
      </c>
    </row>
    <row r="5" spans="1:5">
      <c r="A5" t="s">
        <v>14</v>
      </c>
      <c r="B5" t="s">
        <v>15</v>
      </c>
      <c r="C5">
        <f>0.736676163838</f>
        <v>0.73667616383800005</v>
      </c>
      <c r="D5">
        <v>0.97242436496899998</v>
      </c>
      <c r="E5">
        <v>1.7631184407796101</v>
      </c>
    </row>
    <row r="6" spans="1:5">
      <c r="A6" t="s">
        <v>14</v>
      </c>
      <c r="B6" t="s">
        <v>16</v>
      </c>
      <c r="C6">
        <f>0</f>
        <v>0</v>
      </c>
      <c r="D6">
        <v>0.97242436496899998</v>
      </c>
      <c r="E6">
        <v>1.7631184407796101</v>
      </c>
    </row>
    <row r="7" spans="1:5">
      <c r="A7" t="s">
        <v>14</v>
      </c>
      <c r="B7" t="s">
        <v>17</v>
      </c>
      <c r="C7">
        <f>0.289854362204</f>
        <v>0.28985436220400002</v>
      </c>
      <c r="D7">
        <v>0.97242436496899998</v>
      </c>
      <c r="E7">
        <v>1.7631184407796101</v>
      </c>
    </row>
    <row r="8" spans="1:5">
      <c r="A8" t="s">
        <v>14</v>
      </c>
      <c r="B8" t="s">
        <v>18</v>
      </c>
      <c r="C8">
        <v>0</v>
      </c>
      <c r="D8">
        <v>0.97242436496899998</v>
      </c>
      <c r="E8">
        <v>1.7631184407796101</v>
      </c>
    </row>
    <row r="9" spans="1:5">
      <c r="A9" t="s">
        <v>19</v>
      </c>
      <c r="B9" t="s">
        <v>20</v>
      </c>
      <c r="C9">
        <v>5.2555167069E-2</v>
      </c>
      <c r="D9">
        <v>0.67025691491299999</v>
      </c>
      <c r="E9">
        <v>12.2098950524737</v>
      </c>
    </row>
    <row r="10" spans="1:5">
      <c r="A10" t="s">
        <v>19</v>
      </c>
      <c r="B10" t="s">
        <v>21</v>
      </c>
      <c r="C10">
        <f>0</f>
        <v>0</v>
      </c>
      <c r="D10">
        <v>0.67025691491299999</v>
      </c>
      <c r="E10">
        <v>12.2098950524737</v>
      </c>
    </row>
    <row r="11" spans="1:5">
      <c r="A11" t="s">
        <v>19</v>
      </c>
      <c r="B11" t="s">
        <v>22</v>
      </c>
      <c r="C11">
        <f>0</f>
        <v>0</v>
      </c>
      <c r="D11">
        <v>0.67025691491299999</v>
      </c>
      <c r="E11">
        <v>12.2098950524737</v>
      </c>
    </row>
    <row r="12" spans="1:5">
      <c r="A12" t="s">
        <v>19</v>
      </c>
      <c r="B12" t="s">
        <v>23</v>
      </c>
      <c r="C12">
        <f>0</f>
        <v>0</v>
      </c>
      <c r="D12">
        <v>0.67025691491299999</v>
      </c>
      <c r="E12">
        <v>12.2098950524737</v>
      </c>
    </row>
    <row r="13" spans="1:5">
      <c r="A13" t="s">
        <v>24</v>
      </c>
      <c r="B13" t="s">
        <v>25</v>
      </c>
      <c r="C13">
        <f>0</f>
        <v>0</v>
      </c>
      <c r="D13">
        <v>0.95491306998199998</v>
      </c>
      <c r="E13">
        <v>0.69565217391304301</v>
      </c>
    </row>
    <row r="14" spans="1:5">
      <c r="A14" t="s">
        <v>24</v>
      </c>
      <c r="B14" t="s">
        <v>26</v>
      </c>
      <c r="C14">
        <v>0</v>
      </c>
      <c r="D14">
        <v>0.95491306998199998</v>
      </c>
      <c r="E14">
        <v>0.69565217391304301</v>
      </c>
    </row>
    <row r="15" spans="1:5">
      <c r="A15" t="s">
        <v>24</v>
      </c>
      <c r="B15" t="s">
        <v>27</v>
      </c>
      <c r="C15">
        <f>0</f>
        <v>0</v>
      </c>
      <c r="D15">
        <v>0.95491306998199998</v>
      </c>
      <c r="E15">
        <v>0.69565217391304301</v>
      </c>
    </row>
    <row r="16" spans="1:5">
      <c r="A16" t="s">
        <v>24</v>
      </c>
      <c r="B16" t="s">
        <v>28</v>
      </c>
      <c r="C16">
        <f>0</f>
        <v>0</v>
      </c>
      <c r="D16">
        <v>0.95491306998199998</v>
      </c>
      <c r="E16">
        <v>0.69565217391304301</v>
      </c>
    </row>
    <row r="17" spans="1:5">
      <c r="A17" t="s">
        <v>24</v>
      </c>
      <c r="B17" t="s">
        <v>29</v>
      </c>
      <c r="C17">
        <f>0</f>
        <v>0</v>
      </c>
      <c r="D17">
        <v>0.95491306998199998</v>
      </c>
      <c r="E17">
        <v>0.69565217391304301</v>
      </c>
    </row>
    <row r="18" spans="1:5">
      <c r="A18" t="s">
        <v>24</v>
      </c>
      <c r="B18" t="s">
        <v>30</v>
      </c>
      <c r="C18">
        <f>0.19580526974</f>
        <v>0.19580526974000001</v>
      </c>
      <c r="D18">
        <v>0.95491306998199998</v>
      </c>
      <c r="E18">
        <v>0.69565217391304301</v>
      </c>
    </row>
    <row r="19" spans="1:5">
      <c r="A19" t="s">
        <v>24</v>
      </c>
      <c r="B19" t="s">
        <v>31</v>
      </c>
      <c r="C19">
        <f>0</f>
        <v>0</v>
      </c>
      <c r="D19">
        <v>0.95491306998199998</v>
      </c>
      <c r="E19">
        <v>0.69565217391304301</v>
      </c>
    </row>
    <row r="20" spans="1:5">
      <c r="A20" t="s">
        <v>24</v>
      </c>
      <c r="B20" t="s">
        <v>32</v>
      </c>
      <c r="C20">
        <f>0</f>
        <v>0</v>
      </c>
      <c r="D20">
        <v>0.95491306998199998</v>
      </c>
      <c r="E20">
        <v>0.69565217391304301</v>
      </c>
    </row>
    <row r="21" spans="1:5">
      <c r="A21" t="s">
        <v>24</v>
      </c>
      <c r="B21" t="s">
        <v>33</v>
      </c>
      <c r="C21">
        <f>0</f>
        <v>0</v>
      </c>
      <c r="D21">
        <v>0.95491306998199998</v>
      </c>
      <c r="E21">
        <v>0.69565217391304301</v>
      </c>
    </row>
    <row r="22" spans="1:5">
      <c r="A22" t="s">
        <v>24</v>
      </c>
      <c r="B22" t="s">
        <v>34</v>
      </c>
      <c r="C22">
        <v>3.6207483926599997E-2</v>
      </c>
      <c r="D22">
        <v>0.95491306998199998</v>
      </c>
      <c r="E22">
        <v>0.69565217391304301</v>
      </c>
    </row>
    <row r="23" spans="1:5">
      <c r="A23" t="s">
        <v>24</v>
      </c>
      <c r="B23" t="s">
        <v>35</v>
      </c>
      <c r="C23">
        <f>0</f>
        <v>0</v>
      </c>
      <c r="D23">
        <v>0.95491306998199998</v>
      </c>
      <c r="E23">
        <v>0.69565217391304301</v>
      </c>
    </row>
    <row r="24" spans="1:5">
      <c r="A24" t="s">
        <v>24</v>
      </c>
      <c r="B24" t="s">
        <v>36</v>
      </c>
      <c r="C24">
        <v>0</v>
      </c>
      <c r="D24">
        <v>0.95491306998199998</v>
      </c>
      <c r="E24">
        <v>0.69565217391304301</v>
      </c>
    </row>
    <row r="25" spans="1:5">
      <c r="A25" t="s">
        <v>37</v>
      </c>
      <c r="B25" t="s">
        <v>38</v>
      </c>
      <c r="C25">
        <f>0</f>
        <v>0</v>
      </c>
      <c r="D25">
        <v>0.68328270515</v>
      </c>
      <c r="E25">
        <v>0.43178410794602701</v>
      </c>
    </row>
    <row r="26" spans="1:5">
      <c r="A26" t="s">
        <v>37</v>
      </c>
      <c r="B26" t="s">
        <v>39</v>
      </c>
      <c r="C26">
        <f>0</f>
        <v>0</v>
      </c>
      <c r="D26">
        <v>0.68328270515</v>
      </c>
      <c r="E26">
        <v>0.43178410794602701</v>
      </c>
    </row>
    <row r="27" spans="1:5">
      <c r="A27" t="s">
        <v>37</v>
      </c>
      <c r="B27" t="s">
        <v>40</v>
      </c>
      <c r="C27">
        <v>8.3859936308600003E-2</v>
      </c>
      <c r="D27">
        <v>0.68328270515</v>
      </c>
      <c r="E27">
        <v>0.43178410794602701</v>
      </c>
    </row>
    <row r="28" spans="1:5">
      <c r="A28" t="s">
        <v>41</v>
      </c>
      <c r="B28" t="s">
        <v>42</v>
      </c>
      <c r="C28">
        <v>0</v>
      </c>
      <c r="D28">
        <v>0.71145401832999999</v>
      </c>
      <c r="E28">
        <v>1.11544227886056</v>
      </c>
    </row>
    <row r="29" spans="1:5">
      <c r="A29" t="s">
        <v>41</v>
      </c>
      <c r="B29" t="s">
        <v>43</v>
      </c>
      <c r="C29">
        <v>0</v>
      </c>
      <c r="D29">
        <v>0.71145401832999999</v>
      </c>
      <c r="E29">
        <v>1.11544227886056</v>
      </c>
    </row>
    <row r="30" spans="1:5">
      <c r="A30" t="s">
        <v>41</v>
      </c>
      <c r="B30" t="s">
        <v>44</v>
      </c>
      <c r="C30">
        <f>0</f>
        <v>0</v>
      </c>
      <c r="D30">
        <v>0.71145401832999999</v>
      </c>
      <c r="E30">
        <v>1.11544227886056</v>
      </c>
    </row>
    <row r="31" spans="1:5">
      <c r="A31" t="s">
        <v>41</v>
      </c>
      <c r="B31" t="s">
        <v>45</v>
      </c>
      <c r="C31">
        <v>0.31507892110199998</v>
      </c>
      <c r="D31">
        <v>0.71145401832999999</v>
      </c>
      <c r="E31">
        <v>1.11544227886056</v>
      </c>
    </row>
    <row r="32" spans="1:5">
      <c r="A32" t="s">
        <v>46</v>
      </c>
      <c r="B32" t="s">
        <v>47</v>
      </c>
      <c r="C32">
        <v>0</v>
      </c>
      <c r="D32">
        <v>0.84231429336899999</v>
      </c>
      <c r="E32">
        <v>9.1634182908545707</v>
      </c>
    </row>
    <row r="33" spans="1:5">
      <c r="A33" t="s">
        <v>46</v>
      </c>
      <c r="B33" t="s">
        <v>48</v>
      </c>
      <c r="C33">
        <v>0</v>
      </c>
      <c r="D33">
        <v>0.84231429336899999</v>
      </c>
      <c r="E33">
        <v>9.1634182908545707</v>
      </c>
    </row>
    <row r="34" spans="1:5">
      <c r="A34" t="s">
        <v>46</v>
      </c>
      <c r="B34" t="s">
        <v>49</v>
      </c>
      <c r="C34">
        <v>0</v>
      </c>
      <c r="D34">
        <v>0.84231429336899999</v>
      </c>
      <c r="E34">
        <v>9.1634182908545707</v>
      </c>
    </row>
    <row r="35" spans="1:5">
      <c r="A35" t="s">
        <v>46</v>
      </c>
      <c r="B35" t="s">
        <v>50</v>
      </c>
      <c r="C35">
        <v>0</v>
      </c>
      <c r="D35">
        <v>0.84231429336899999</v>
      </c>
      <c r="E35">
        <v>9.1634182908545707</v>
      </c>
    </row>
    <row r="36" spans="1:5">
      <c r="A36" t="s">
        <v>46</v>
      </c>
      <c r="B36" t="s">
        <v>51</v>
      </c>
      <c r="C36">
        <v>0.113234701119</v>
      </c>
      <c r="D36">
        <v>0.84231429336899999</v>
      </c>
      <c r="E36">
        <v>9.1634182908545707</v>
      </c>
    </row>
    <row r="37" spans="1:5">
      <c r="A37" t="s">
        <v>46</v>
      </c>
      <c r="B37" t="s">
        <v>52</v>
      </c>
      <c r="C37">
        <v>0</v>
      </c>
      <c r="D37">
        <v>0.84231429336899999</v>
      </c>
      <c r="E37">
        <v>9.1634182908545707</v>
      </c>
    </row>
    <row r="38" spans="1:5">
      <c r="A38" t="s">
        <v>53</v>
      </c>
      <c r="B38" t="s">
        <v>54</v>
      </c>
      <c r="C38">
        <v>0</v>
      </c>
      <c r="D38">
        <v>0.97292170154400004</v>
      </c>
      <c r="E38">
        <v>12.3898050974512</v>
      </c>
    </row>
    <row r="39" spans="1:5">
      <c r="A39" t="s">
        <v>53</v>
      </c>
      <c r="B39" t="s">
        <v>55</v>
      </c>
      <c r="C39">
        <v>0</v>
      </c>
      <c r="D39">
        <v>0.97292170154400004</v>
      </c>
      <c r="E39">
        <v>12.3898050974512</v>
      </c>
    </row>
    <row r="40" spans="1:5">
      <c r="A40" t="s">
        <v>53</v>
      </c>
      <c r="B40" t="s">
        <v>56</v>
      </c>
      <c r="C40">
        <v>3.4197462905400003E-2</v>
      </c>
      <c r="D40">
        <v>0.97292170154400004</v>
      </c>
      <c r="E40">
        <v>12.3898050974512</v>
      </c>
    </row>
    <row r="41" spans="1:5">
      <c r="A41" t="s">
        <v>53</v>
      </c>
      <c r="B41" t="s">
        <v>57</v>
      </c>
      <c r="C41">
        <v>0</v>
      </c>
      <c r="D41">
        <v>0.97292170154400004</v>
      </c>
      <c r="E41">
        <v>12.3898050974512</v>
      </c>
    </row>
    <row r="42" spans="1:5">
      <c r="A42" t="s">
        <v>53</v>
      </c>
      <c r="B42" t="s">
        <v>58</v>
      </c>
      <c r="C42">
        <v>0</v>
      </c>
      <c r="D42">
        <v>0.97292170154400004</v>
      </c>
      <c r="E42">
        <v>12.3898050974512</v>
      </c>
    </row>
    <row r="43" spans="1:5">
      <c r="A43" t="s">
        <v>53</v>
      </c>
      <c r="B43" t="s">
        <v>59</v>
      </c>
      <c r="C43">
        <v>0</v>
      </c>
      <c r="D43">
        <v>0.97292170154400004</v>
      </c>
      <c r="E43">
        <v>12.3898050974512</v>
      </c>
    </row>
    <row r="44" spans="1:5">
      <c r="A44" t="s">
        <v>53</v>
      </c>
      <c r="B44" t="s">
        <v>60</v>
      </c>
      <c r="C44">
        <v>0.11055068184</v>
      </c>
      <c r="D44">
        <v>0.97292170154400004</v>
      </c>
      <c r="E44">
        <v>12.3898050974512</v>
      </c>
    </row>
    <row r="45" spans="1:5">
      <c r="A45" t="s">
        <v>53</v>
      </c>
      <c r="B45" t="s">
        <v>61</v>
      </c>
      <c r="C45">
        <f>0</f>
        <v>0</v>
      </c>
      <c r="D45">
        <v>0.97292170154400004</v>
      </c>
      <c r="E45">
        <v>12.3898050974512</v>
      </c>
    </row>
    <row r="46" spans="1:5">
      <c r="A46" t="s">
        <v>53</v>
      </c>
      <c r="B46" t="s">
        <v>62</v>
      </c>
      <c r="C46">
        <v>0</v>
      </c>
      <c r="D46">
        <v>0.97292170154400004</v>
      </c>
      <c r="E46">
        <v>12.3898050974512</v>
      </c>
    </row>
    <row r="47" spans="1:5">
      <c r="A47" t="s">
        <v>53</v>
      </c>
      <c r="B47" t="s">
        <v>63</v>
      </c>
      <c r="C47">
        <f>0</f>
        <v>0</v>
      </c>
      <c r="D47">
        <v>0.97292170154400004</v>
      </c>
      <c r="E47">
        <v>12.3898050974512</v>
      </c>
    </row>
    <row r="48" spans="1:5">
      <c r="A48" t="s">
        <v>64</v>
      </c>
      <c r="B48" t="s">
        <v>65</v>
      </c>
      <c r="C48">
        <v>4.40577106457E-2</v>
      </c>
      <c r="D48">
        <v>0.97620611560399995</v>
      </c>
      <c r="E48">
        <v>12.5577211394302</v>
      </c>
    </row>
    <row r="49" spans="1:5">
      <c r="A49" t="s">
        <v>64</v>
      </c>
      <c r="B49" t="s">
        <v>66</v>
      </c>
      <c r="C49">
        <f>0</f>
        <v>0</v>
      </c>
      <c r="D49">
        <v>0.97620611560399995</v>
      </c>
      <c r="E49">
        <v>12.5577211394302</v>
      </c>
    </row>
    <row r="50" spans="1:5">
      <c r="A50" t="s">
        <v>64</v>
      </c>
      <c r="B50" t="s">
        <v>67</v>
      </c>
      <c r="C50">
        <v>0</v>
      </c>
      <c r="D50">
        <v>0.97620611560399995</v>
      </c>
      <c r="E50">
        <v>12.5577211394302</v>
      </c>
    </row>
    <row r="51" spans="1:5">
      <c r="A51" t="s">
        <v>64</v>
      </c>
      <c r="B51" t="s">
        <v>68</v>
      </c>
      <c r="C51">
        <v>0.27538246666100002</v>
      </c>
      <c r="D51">
        <v>0.97620611560399995</v>
      </c>
      <c r="E51">
        <v>12.5577211394302</v>
      </c>
    </row>
    <row r="52" spans="1:5">
      <c r="A52" t="s">
        <v>64</v>
      </c>
      <c r="B52" t="s">
        <v>69</v>
      </c>
      <c r="C52">
        <f>0</f>
        <v>0</v>
      </c>
      <c r="D52">
        <v>0.97620611560399995</v>
      </c>
      <c r="E52">
        <v>12.5577211394302</v>
      </c>
    </row>
    <row r="53" spans="1:5">
      <c r="A53" t="s">
        <v>70</v>
      </c>
      <c r="B53" t="s">
        <v>71</v>
      </c>
      <c r="C53">
        <f>0</f>
        <v>0</v>
      </c>
      <c r="D53">
        <v>0.960648762489</v>
      </c>
      <c r="E53">
        <v>11.370314842578701</v>
      </c>
    </row>
    <row r="54" spans="1:5">
      <c r="A54" t="s">
        <v>70</v>
      </c>
      <c r="B54" t="s">
        <v>72</v>
      </c>
      <c r="C54">
        <v>0</v>
      </c>
      <c r="D54">
        <v>0.960648762489</v>
      </c>
      <c r="E54">
        <v>11.370314842578701</v>
      </c>
    </row>
    <row r="55" spans="1:5">
      <c r="A55" t="s">
        <v>70</v>
      </c>
      <c r="B55" t="s">
        <v>73</v>
      </c>
      <c r="C55">
        <v>0</v>
      </c>
      <c r="D55">
        <v>0.960648762489</v>
      </c>
      <c r="E55">
        <v>11.370314842578701</v>
      </c>
    </row>
    <row r="56" spans="1:5">
      <c r="A56" t="s">
        <v>70</v>
      </c>
      <c r="B56" t="s">
        <v>74</v>
      </c>
      <c r="C56">
        <v>2.2470735992500001E-2</v>
      </c>
      <c r="D56">
        <v>0.960648762489</v>
      </c>
      <c r="E56">
        <v>11.370314842578701</v>
      </c>
    </row>
    <row r="57" spans="1:5">
      <c r="A57" t="s">
        <v>70</v>
      </c>
      <c r="B57" t="s">
        <v>75</v>
      </c>
      <c r="C57">
        <v>0</v>
      </c>
      <c r="D57">
        <v>0.960648762489</v>
      </c>
      <c r="E57">
        <v>11.370314842578701</v>
      </c>
    </row>
    <row r="58" spans="1:5">
      <c r="A58" t="s">
        <v>70</v>
      </c>
      <c r="B58" t="s">
        <v>76</v>
      </c>
      <c r="C58">
        <v>0.111845842625</v>
      </c>
      <c r="D58">
        <v>0.960648762489</v>
      </c>
      <c r="E58">
        <v>11.370314842578701</v>
      </c>
    </row>
    <row r="59" spans="1:5">
      <c r="A59" t="s">
        <v>70</v>
      </c>
      <c r="B59" t="s">
        <v>77</v>
      </c>
      <c r="C59">
        <v>0</v>
      </c>
      <c r="D59">
        <v>0.960648762489</v>
      </c>
      <c r="E59">
        <v>11.370314842578701</v>
      </c>
    </row>
    <row r="60" spans="1:5">
      <c r="A60" t="s">
        <v>70</v>
      </c>
      <c r="B60" t="s">
        <v>78</v>
      </c>
      <c r="C60">
        <f>0</f>
        <v>0</v>
      </c>
      <c r="D60">
        <v>0.960648762489</v>
      </c>
      <c r="E60">
        <v>11.370314842578701</v>
      </c>
    </row>
    <row r="61" spans="1:5">
      <c r="A61" t="s">
        <v>79</v>
      </c>
      <c r="B61" t="s">
        <v>80</v>
      </c>
      <c r="C61">
        <f>0.0694449499122</f>
        <v>6.9444949912200002E-2</v>
      </c>
      <c r="D61">
        <v>0.84121871402500004</v>
      </c>
      <c r="E61">
        <v>4.4737631184407798</v>
      </c>
    </row>
    <row r="62" spans="1:5">
      <c r="A62" t="s">
        <v>81</v>
      </c>
      <c r="B62" t="s">
        <v>82</v>
      </c>
      <c r="C62">
        <v>0</v>
      </c>
      <c r="D62">
        <v>0.72489252380400004</v>
      </c>
      <c r="E62">
        <v>0.77961019490254801</v>
      </c>
    </row>
    <row r="63" spans="1:5">
      <c r="A63" t="s">
        <v>81</v>
      </c>
      <c r="B63" t="s">
        <v>83</v>
      </c>
      <c r="C63">
        <f>0.144677900364</f>
        <v>0.14467790036399999</v>
      </c>
      <c r="D63">
        <v>0.72489252380400004</v>
      </c>
      <c r="E63">
        <v>0.77961019490254801</v>
      </c>
    </row>
    <row r="64" spans="1:5">
      <c r="A64" t="s">
        <v>84</v>
      </c>
      <c r="B64" t="s">
        <v>85</v>
      </c>
      <c r="C64">
        <f>0</f>
        <v>0</v>
      </c>
      <c r="D64">
        <v>0.58476531599100001</v>
      </c>
      <c r="E64">
        <v>24</v>
      </c>
    </row>
    <row r="65" spans="1:5">
      <c r="A65" t="s">
        <v>84</v>
      </c>
      <c r="B65" t="s">
        <v>86</v>
      </c>
      <c r="C65">
        <v>0</v>
      </c>
      <c r="D65">
        <v>0.58476531599100001</v>
      </c>
      <c r="E65">
        <v>24</v>
      </c>
    </row>
    <row r="66" spans="1:5">
      <c r="A66" t="s">
        <v>84</v>
      </c>
      <c r="B66" t="s">
        <v>87</v>
      </c>
      <c r="C66">
        <f>0</f>
        <v>0</v>
      </c>
      <c r="D66">
        <v>0.58476531599100001</v>
      </c>
      <c r="E66">
        <v>24</v>
      </c>
    </row>
    <row r="67" spans="1:5">
      <c r="A67" t="s">
        <v>84</v>
      </c>
      <c r="B67" t="s">
        <v>88</v>
      </c>
      <c r="C67">
        <f>0</f>
        <v>0</v>
      </c>
      <c r="D67">
        <v>0.58476531599100001</v>
      </c>
      <c r="E67">
        <v>24</v>
      </c>
    </row>
    <row r="68" spans="1:5">
      <c r="A68" t="s">
        <v>84</v>
      </c>
      <c r="B68" t="s">
        <v>89</v>
      </c>
      <c r="C68">
        <f>0</f>
        <v>0</v>
      </c>
      <c r="D68">
        <v>0.58476531599100001</v>
      </c>
      <c r="E68">
        <v>24</v>
      </c>
    </row>
    <row r="69" spans="1:5">
      <c r="A69" t="s">
        <v>84</v>
      </c>
      <c r="B69" t="s">
        <v>90</v>
      </c>
      <c r="C69">
        <v>0</v>
      </c>
      <c r="D69">
        <v>0.58476531599100001</v>
      </c>
      <c r="E69">
        <v>24</v>
      </c>
    </row>
    <row r="70" spans="1:5">
      <c r="A70" t="s">
        <v>84</v>
      </c>
      <c r="B70" t="s">
        <v>91</v>
      </c>
      <c r="C70">
        <v>0</v>
      </c>
      <c r="D70">
        <v>0.58476531599100001</v>
      </c>
      <c r="E70">
        <v>24</v>
      </c>
    </row>
    <row r="71" spans="1:5">
      <c r="A71" t="s">
        <v>84</v>
      </c>
      <c r="B71" t="s">
        <v>92</v>
      </c>
      <c r="C71">
        <f>0</f>
        <v>0</v>
      </c>
      <c r="D71">
        <v>0.58476531599100001</v>
      </c>
      <c r="E71">
        <v>24</v>
      </c>
    </row>
    <row r="72" spans="1:5">
      <c r="A72" t="s">
        <v>84</v>
      </c>
      <c r="B72" t="s">
        <v>93</v>
      </c>
      <c r="C72">
        <f>0</f>
        <v>0</v>
      </c>
      <c r="D72">
        <v>0.58476531599100001</v>
      </c>
      <c r="E72">
        <v>24</v>
      </c>
    </row>
    <row r="73" spans="1:5">
      <c r="A73" t="s">
        <v>84</v>
      </c>
      <c r="B73" t="s">
        <v>94</v>
      </c>
      <c r="C73">
        <v>3.8331933037999998E-2</v>
      </c>
      <c r="D73">
        <v>0.58476531599100001</v>
      </c>
      <c r="E73">
        <v>24</v>
      </c>
    </row>
    <row r="74" spans="1:5">
      <c r="A74" t="s">
        <v>84</v>
      </c>
      <c r="B74" t="s">
        <v>95</v>
      </c>
      <c r="C74">
        <f>0</f>
        <v>0</v>
      </c>
      <c r="D74">
        <v>0.58476531599100001</v>
      </c>
      <c r="E74">
        <v>24</v>
      </c>
    </row>
    <row r="75" spans="1:5">
      <c r="A75" t="s">
        <v>84</v>
      </c>
      <c r="B75" t="s">
        <v>96</v>
      </c>
      <c r="C75">
        <f>0</f>
        <v>0</v>
      </c>
      <c r="D75">
        <v>0.58476531599100001</v>
      </c>
      <c r="E75">
        <v>24</v>
      </c>
    </row>
    <row r="76" spans="1:5">
      <c r="A76" t="s">
        <v>84</v>
      </c>
      <c r="B76" t="s">
        <v>97</v>
      </c>
      <c r="C76">
        <f>0</f>
        <v>0</v>
      </c>
      <c r="D76">
        <v>0.58476531599100001</v>
      </c>
      <c r="E76">
        <v>24</v>
      </c>
    </row>
    <row r="77" spans="1:5">
      <c r="A77" t="s">
        <v>84</v>
      </c>
      <c r="B77" t="s">
        <v>98</v>
      </c>
      <c r="C77">
        <v>0</v>
      </c>
      <c r="D77">
        <v>0.58476531599100001</v>
      </c>
      <c r="E77">
        <v>24</v>
      </c>
    </row>
    <row r="78" spans="1:5">
      <c r="A78" t="s">
        <v>84</v>
      </c>
      <c r="B78" t="s">
        <v>99</v>
      </c>
      <c r="C78">
        <v>0.104619928421</v>
      </c>
      <c r="D78">
        <v>0.58476531599100001</v>
      </c>
      <c r="E78">
        <v>24</v>
      </c>
    </row>
    <row r="79" spans="1:5">
      <c r="A79" t="s">
        <v>84</v>
      </c>
      <c r="B79" t="s">
        <v>100</v>
      </c>
      <c r="C79">
        <f>0</f>
        <v>0</v>
      </c>
      <c r="D79">
        <v>0.58476531599100001</v>
      </c>
      <c r="E79">
        <v>24</v>
      </c>
    </row>
    <row r="80" spans="1:5">
      <c r="A80" t="s">
        <v>84</v>
      </c>
      <c r="B80" t="s">
        <v>101</v>
      </c>
      <c r="C80">
        <v>0</v>
      </c>
      <c r="D80">
        <v>0.58476531599100001</v>
      </c>
      <c r="E80">
        <v>24</v>
      </c>
    </row>
    <row r="81" spans="1:5">
      <c r="A81" t="s">
        <v>84</v>
      </c>
      <c r="B81" t="s">
        <v>102</v>
      </c>
      <c r="C81">
        <v>0</v>
      </c>
      <c r="D81">
        <v>0.58476531599100001</v>
      </c>
      <c r="E81">
        <v>24</v>
      </c>
    </row>
    <row r="82" spans="1:5">
      <c r="A82" t="s">
        <v>84</v>
      </c>
      <c r="B82" t="s">
        <v>103</v>
      </c>
      <c r="C82">
        <f>0</f>
        <v>0</v>
      </c>
      <c r="D82">
        <v>0.58476531599100001</v>
      </c>
      <c r="E82">
        <v>24</v>
      </c>
    </row>
    <row r="83" spans="1:5">
      <c r="A83" t="s">
        <v>104</v>
      </c>
      <c r="B83" t="s">
        <v>105</v>
      </c>
      <c r="C83">
        <v>0</v>
      </c>
      <c r="D83" t="s">
        <v>106</v>
      </c>
      <c r="E83">
        <v>24</v>
      </c>
    </row>
    <row r="84" spans="1:5">
      <c r="A84" t="s">
        <v>104</v>
      </c>
      <c r="B84" t="s">
        <v>107</v>
      </c>
      <c r="C84">
        <f>0</f>
        <v>0</v>
      </c>
      <c r="D84" t="s">
        <v>106</v>
      </c>
      <c r="E84">
        <v>24</v>
      </c>
    </row>
    <row r="85" spans="1:5">
      <c r="A85" t="s">
        <v>104</v>
      </c>
      <c r="B85" t="s">
        <v>108</v>
      </c>
      <c r="C85">
        <f>0.0980295570084</f>
        <v>9.8029557008400006E-2</v>
      </c>
      <c r="D85" t="s">
        <v>106</v>
      </c>
      <c r="E85">
        <v>24</v>
      </c>
    </row>
    <row r="86" spans="1:5">
      <c r="A86" t="s">
        <v>104</v>
      </c>
      <c r="B86" t="s">
        <v>109</v>
      </c>
      <c r="C86">
        <v>0</v>
      </c>
      <c r="D86" t="s">
        <v>106</v>
      </c>
      <c r="E86">
        <v>24</v>
      </c>
    </row>
    <row r="87" spans="1:5">
      <c r="A87" t="s">
        <v>104</v>
      </c>
      <c r="B87" t="s">
        <v>110</v>
      </c>
      <c r="C87">
        <v>0</v>
      </c>
      <c r="D87" t="s">
        <v>106</v>
      </c>
      <c r="E87">
        <v>24</v>
      </c>
    </row>
    <row r="88" spans="1:5">
      <c r="A88" t="s">
        <v>104</v>
      </c>
      <c r="B88" t="s">
        <v>111</v>
      </c>
      <c r="C88">
        <v>0</v>
      </c>
      <c r="D88" t="s">
        <v>106</v>
      </c>
      <c r="E88">
        <v>24</v>
      </c>
    </row>
    <row r="89" spans="1:5">
      <c r="A89" t="s">
        <v>104</v>
      </c>
      <c r="B89" t="s">
        <v>112</v>
      </c>
      <c r="C89">
        <f>0.00116346408571</f>
        <v>1.16346408571E-3</v>
      </c>
      <c r="D89" t="s">
        <v>106</v>
      </c>
      <c r="E89">
        <v>24</v>
      </c>
    </row>
    <row r="90" spans="1:5">
      <c r="A90" t="s">
        <v>104</v>
      </c>
      <c r="B90" t="s">
        <v>113</v>
      </c>
      <c r="C90">
        <f>0</f>
        <v>0</v>
      </c>
      <c r="D90" t="s">
        <v>106</v>
      </c>
      <c r="E90">
        <v>24</v>
      </c>
    </row>
    <row r="91" spans="1:5">
      <c r="A91" t="s">
        <v>114</v>
      </c>
      <c r="B91" t="s">
        <v>115</v>
      </c>
      <c r="C91">
        <v>0</v>
      </c>
      <c r="D91" t="s">
        <v>106</v>
      </c>
      <c r="E91">
        <v>1.45127436281859</v>
      </c>
    </row>
    <row r="92" spans="1:5">
      <c r="A92" t="s">
        <v>114</v>
      </c>
      <c r="B92" t="s">
        <v>116</v>
      </c>
      <c r="C92">
        <v>0</v>
      </c>
      <c r="D92" t="s">
        <v>106</v>
      </c>
      <c r="E92">
        <v>1.45127436281859</v>
      </c>
    </row>
    <row r="93" spans="1:5">
      <c r="A93" t="s">
        <v>117</v>
      </c>
      <c r="B93" t="s">
        <v>118</v>
      </c>
      <c r="C93">
        <v>0.222547967406</v>
      </c>
      <c r="D93" t="s">
        <v>106</v>
      </c>
      <c r="E93">
        <v>16.491754122938499</v>
      </c>
    </row>
    <row r="94" spans="1:5">
      <c r="A94" t="s">
        <v>119</v>
      </c>
      <c r="B94" t="s">
        <v>120</v>
      </c>
      <c r="C94">
        <f>0</f>
        <v>0</v>
      </c>
      <c r="D94">
        <v>0.70196987294000002</v>
      </c>
      <c r="E94">
        <v>13.8170914542728</v>
      </c>
    </row>
    <row r="95" spans="1:5">
      <c r="A95" t="s">
        <v>119</v>
      </c>
      <c r="B95" t="s">
        <v>121</v>
      </c>
      <c r="C95">
        <v>0</v>
      </c>
      <c r="D95">
        <v>0.70196987294000002</v>
      </c>
      <c r="E95">
        <v>13.8170914542728</v>
      </c>
    </row>
    <row r="96" spans="1:5">
      <c r="A96" t="s">
        <v>119</v>
      </c>
      <c r="B96" t="s">
        <v>122</v>
      </c>
      <c r="C96">
        <v>2.650817707E-2</v>
      </c>
      <c r="D96">
        <v>0.70196987294000002</v>
      </c>
      <c r="E96">
        <v>13.8170914542728</v>
      </c>
    </row>
    <row r="97" spans="1:5">
      <c r="A97" t="s">
        <v>123</v>
      </c>
      <c r="B97" t="s">
        <v>124</v>
      </c>
      <c r="C97">
        <v>0</v>
      </c>
      <c r="D97" t="s">
        <v>106</v>
      </c>
      <c r="E97">
        <v>21.181409295352299</v>
      </c>
    </row>
    <row r="98" spans="1:5">
      <c r="A98" t="s">
        <v>123</v>
      </c>
      <c r="B98" t="s">
        <v>125</v>
      </c>
      <c r="C98">
        <v>0</v>
      </c>
      <c r="D98" t="s">
        <v>106</v>
      </c>
      <c r="E98">
        <v>21.181409295352299</v>
      </c>
    </row>
    <row r="99" spans="1:5">
      <c r="A99" t="s">
        <v>123</v>
      </c>
      <c r="B99" t="s">
        <v>126</v>
      </c>
      <c r="C99">
        <v>0</v>
      </c>
      <c r="D99" t="s">
        <v>106</v>
      </c>
      <c r="E99">
        <v>21.181409295352299</v>
      </c>
    </row>
    <row r="100" spans="1:5">
      <c r="A100" t="s">
        <v>123</v>
      </c>
      <c r="B100" t="s">
        <v>127</v>
      </c>
      <c r="C100">
        <v>0</v>
      </c>
      <c r="D100" t="s">
        <v>106</v>
      </c>
      <c r="E100">
        <v>21.181409295352299</v>
      </c>
    </row>
    <row r="101" spans="1:5">
      <c r="A101" t="s">
        <v>128</v>
      </c>
      <c r="B101" t="s">
        <v>129</v>
      </c>
      <c r="C101">
        <f>0.0160465281831</f>
        <v>1.6046528183100001E-2</v>
      </c>
      <c r="D101">
        <v>0.97215516048899997</v>
      </c>
      <c r="E101">
        <v>22.5727136431784</v>
      </c>
    </row>
    <row r="102" spans="1:5">
      <c r="A102" t="s">
        <v>128</v>
      </c>
      <c r="B102" t="s">
        <v>130</v>
      </c>
      <c r="C102">
        <f>0.00170268195118</f>
        <v>1.7026819511799999E-3</v>
      </c>
      <c r="D102">
        <v>0.97215516048899997</v>
      </c>
      <c r="E102">
        <v>22.5727136431784</v>
      </c>
    </row>
    <row r="103" spans="1:5">
      <c r="A103" t="s">
        <v>131</v>
      </c>
      <c r="B103" t="s">
        <v>132</v>
      </c>
      <c r="C103">
        <f>0.476146178217</f>
        <v>0.476146178217</v>
      </c>
      <c r="D103">
        <v>0.85987242781499995</v>
      </c>
      <c r="E103">
        <v>3.97001499250374</v>
      </c>
    </row>
    <row r="104" spans="1:5">
      <c r="A104" t="s">
        <v>133</v>
      </c>
      <c r="B104" t="s">
        <v>134</v>
      </c>
      <c r="C104">
        <f>0</f>
        <v>0</v>
      </c>
      <c r="D104">
        <v>0.967762036883</v>
      </c>
      <c r="E104">
        <v>1.57121439280359</v>
      </c>
    </row>
    <row r="105" spans="1:5">
      <c r="A105" t="s">
        <v>133</v>
      </c>
      <c r="B105" t="s">
        <v>135</v>
      </c>
      <c r="C105">
        <v>0</v>
      </c>
      <c r="D105">
        <v>0.967762036883</v>
      </c>
      <c r="E105">
        <v>1.57121439280359</v>
      </c>
    </row>
    <row r="106" spans="1:5">
      <c r="A106" t="s">
        <v>133</v>
      </c>
      <c r="B106" t="s">
        <v>136</v>
      </c>
      <c r="C106">
        <v>0</v>
      </c>
      <c r="D106">
        <v>0.967762036883</v>
      </c>
      <c r="E106">
        <v>1.57121439280359</v>
      </c>
    </row>
    <row r="107" spans="1:5">
      <c r="A107" t="s">
        <v>133</v>
      </c>
      <c r="B107" t="s">
        <v>137</v>
      </c>
      <c r="C107">
        <v>0</v>
      </c>
      <c r="D107">
        <v>0.967762036883</v>
      </c>
      <c r="E107">
        <v>1.57121439280359</v>
      </c>
    </row>
    <row r="108" spans="1:5">
      <c r="A108" t="s">
        <v>133</v>
      </c>
      <c r="B108" t="s">
        <v>138</v>
      </c>
      <c r="C108">
        <v>0</v>
      </c>
      <c r="D108">
        <v>0.967762036883</v>
      </c>
      <c r="E108">
        <v>1.57121439280359</v>
      </c>
    </row>
    <row r="109" spans="1:5">
      <c r="A109" t="s">
        <v>133</v>
      </c>
      <c r="B109" t="s">
        <v>139</v>
      </c>
      <c r="C109">
        <v>0</v>
      </c>
      <c r="D109">
        <v>0.967762036883</v>
      </c>
      <c r="E109">
        <v>1.57121439280359</v>
      </c>
    </row>
    <row r="110" spans="1:5">
      <c r="A110" t="s">
        <v>133</v>
      </c>
      <c r="B110" t="s">
        <v>140</v>
      </c>
      <c r="C110">
        <v>0</v>
      </c>
      <c r="D110">
        <v>0.967762036883</v>
      </c>
      <c r="E110">
        <v>1.57121439280359</v>
      </c>
    </row>
    <row r="111" spans="1:5">
      <c r="A111" t="s">
        <v>133</v>
      </c>
      <c r="B111" t="s">
        <v>141</v>
      </c>
      <c r="C111">
        <v>0</v>
      </c>
      <c r="D111">
        <v>0.967762036883</v>
      </c>
      <c r="E111">
        <v>1.57121439280359</v>
      </c>
    </row>
    <row r="112" spans="1:5">
      <c r="A112" t="s">
        <v>133</v>
      </c>
      <c r="B112" t="s">
        <v>142</v>
      </c>
      <c r="C112">
        <f>0</f>
        <v>0</v>
      </c>
      <c r="D112">
        <v>0.967762036883</v>
      </c>
      <c r="E112">
        <v>1.57121439280359</v>
      </c>
    </row>
    <row r="113" spans="1:5">
      <c r="A113" t="s">
        <v>133</v>
      </c>
      <c r="B113" t="s">
        <v>143</v>
      </c>
      <c r="C113">
        <f>0</f>
        <v>0</v>
      </c>
      <c r="D113">
        <v>0.967762036883</v>
      </c>
      <c r="E113">
        <v>1.57121439280359</v>
      </c>
    </row>
    <row r="114" spans="1:5">
      <c r="A114" t="s">
        <v>133</v>
      </c>
      <c r="B114" t="s">
        <v>144</v>
      </c>
      <c r="C114">
        <v>1.53934932544E-2</v>
      </c>
      <c r="D114">
        <v>0.967762036883</v>
      </c>
      <c r="E114">
        <v>1.57121439280359</v>
      </c>
    </row>
    <row r="115" spans="1:5">
      <c r="A115" t="s">
        <v>133</v>
      </c>
      <c r="B115" t="s">
        <v>145</v>
      </c>
      <c r="C115">
        <v>0.11615982812599999</v>
      </c>
      <c r="D115">
        <v>0.967762036883</v>
      </c>
      <c r="E115">
        <v>1.57121439280359</v>
      </c>
    </row>
    <row r="116" spans="1:5">
      <c r="A116" t="s">
        <v>146</v>
      </c>
      <c r="B116" t="s">
        <v>147</v>
      </c>
      <c r="C116">
        <v>0</v>
      </c>
      <c r="D116">
        <v>0.77652128355600003</v>
      </c>
      <c r="E116">
        <v>13.625187406296799</v>
      </c>
    </row>
    <row r="117" spans="1:5">
      <c r="A117" t="s">
        <v>146</v>
      </c>
      <c r="B117" t="s">
        <v>148</v>
      </c>
      <c r="C117">
        <v>0</v>
      </c>
      <c r="D117">
        <v>0.77652128355600003</v>
      </c>
      <c r="E117">
        <v>13.625187406296799</v>
      </c>
    </row>
    <row r="118" spans="1:5">
      <c r="A118" t="s">
        <v>146</v>
      </c>
      <c r="B118" t="s">
        <v>149</v>
      </c>
      <c r="C118">
        <v>2.93667066855E-2</v>
      </c>
      <c r="D118">
        <v>0.77652128355600003</v>
      </c>
      <c r="E118">
        <v>13.625187406296799</v>
      </c>
    </row>
    <row r="119" spans="1:5">
      <c r="A119" t="s">
        <v>146</v>
      </c>
      <c r="B119" t="s">
        <v>150</v>
      </c>
      <c r="C119">
        <v>0</v>
      </c>
      <c r="D119">
        <v>0.77652128355600003</v>
      </c>
      <c r="E119">
        <v>13.625187406296799</v>
      </c>
    </row>
    <row r="120" spans="1:5">
      <c r="A120" t="s">
        <v>146</v>
      </c>
      <c r="B120" t="s">
        <v>151</v>
      </c>
      <c r="C120">
        <v>4.7726074875899999E-2</v>
      </c>
      <c r="D120">
        <v>0.77652128355600003</v>
      </c>
      <c r="E120">
        <v>13.625187406296799</v>
      </c>
    </row>
    <row r="121" spans="1:5">
      <c r="A121" t="s">
        <v>146</v>
      </c>
      <c r="B121" t="s">
        <v>152</v>
      </c>
      <c r="C121">
        <v>0</v>
      </c>
      <c r="D121">
        <v>0.77652128355600003</v>
      </c>
      <c r="E121">
        <v>13.625187406296799</v>
      </c>
    </row>
    <row r="122" spans="1:5">
      <c r="A122" t="s">
        <v>146</v>
      </c>
      <c r="B122" t="s">
        <v>153</v>
      </c>
      <c r="C122">
        <v>0</v>
      </c>
      <c r="D122">
        <v>0.77652128355600003</v>
      </c>
      <c r="E122">
        <v>13.625187406296799</v>
      </c>
    </row>
    <row r="123" spans="1:5">
      <c r="A123" t="s">
        <v>154</v>
      </c>
      <c r="B123" t="s">
        <v>155</v>
      </c>
      <c r="C123">
        <v>0.25523511519600001</v>
      </c>
      <c r="D123">
        <v>0.49947241661399999</v>
      </c>
      <c r="E123">
        <v>1.00749625187406</v>
      </c>
    </row>
    <row r="124" spans="1:5">
      <c r="A124" t="s">
        <v>156</v>
      </c>
      <c r="B124" t="s">
        <v>157</v>
      </c>
      <c r="C124">
        <v>0.16782593038099999</v>
      </c>
      <c r="D124">
        <v>0.88231409484900003</v>
      </c>
      <c r="E124">
        <v>18.1349325337331</v>
      </c>
    </row>
    <row r="125" spans="1:5">
      <c r="A125" t="s">
        <v>156</v>
      </c>
      <c r="B125" t="s">
        <v>158</v>
      </c>
      <c r="C125">
        <v>0</v>
      </c>
      <c r="D125">
        <v>0.88231409484900003</v>
      </c>
      <c r="E125">
        <v>18.1349325337331</v>
      </c>
    </row>
    <row r="126" spans="1:5">
      <c r="A126" t="s">
        <v>156</v>
      </c>
      <c r="B126" t="s">
        <v>159</v>
      </c>
      <c r="C126">
        <f>0</f>
        <v>0</v>
      </c>
      <c r="D126">
        <v>0.88231409484900003</v>
      </c>
      <c r="E126">
        <v>18.1349325337331</v>
      </c>
    </row>
    <row r="127" spans="1:5">
      <c r="A127" t="s">
        <v>156</v>
      </c>
      <c r="B127" t="s">
        <v>160</v>
      </c>
      <c r="C127">
        <f>0.334243232853</f>
        <v>0.33424323285300001</v>
      </c>
      <c r="D127">
        <v>0.88231409484900003</v>
      </c>
      <c r="E127">
        <v>18.1349325337331</v>
      </c>
    </row>
    <row r="128" spans="1:5">
      <c r="A128" t="s">
        <v>161</v>
      </c>
      <c r="B128" t="s">
        <v>162</v>
      </c>
      <c r="C128">
        <v>0</v>
      </c>
      <c r="D128">
        <v>0.84230299660700003</v>
      </c>
      <c r="E128">
        <v>18.986506746626599</v>
      </c>
    </row>
    <row r="129" spans="1:5">
      <c r="A129" t="s">
        <v>163</v>
      </c>
      <c r="B129" t="s">
        <v>164</v>
      </c>
      <c r="C129">
        <f>0.0499116271555</f>
        <v>4.9911627155500002E-2</v>
      </c>
      <c r="D129">
        <v>0.75535119722699995</v>
      </c>
      <c r="E129">
        <v>1.8230884557721101</v>
      </c>
    </row>
    <row r="130" spans="1:5">
      <c r="A130" t="s">
        <v>163</v>
      </c>
      <c r="B130" t="s">
        <v>165</v>
      </c>
      <c r="C130">
        <v>0.219392542415</v>
      </c>
      <c r="D130">
        <v>0.75535119722699995</v>
      </c>
      <c r="E130">
        <v>1.8230884557721101</v>
      </c>
    </row>
    <row r="131" spans="1:5">
      <c r="A131" t="s">
        <v>166</v>
      </c>
      <c r="B131" t="s">
        <v>167</v>
      </c>
      <c r="C131">
        <v>0</v>
      </c>
      <c r="D131">
        <v>0.82222542225299999</v>
      </c>
      <c r="E131">
        <v>4.58170914542728</v>
      </c>
    </row>
    <row r="132" spans="1:5">
      <c r="A132" t="s">
        <v>166</v>
      </c>
      <c r="B132" t="s">
        <v>168</v>
      </c>
      <c r="C132">
        <f>0</f>
        <v>0</v>
      </c>
      <c r="D132">
        <v>0.82222542225299999</v>
      </c>
      <c r="E132">
        <v>4.58170914542728</v>
      </c>
    </row>
    <row r="133" spans="1:5">
      <c r="A133" t="s">
        <v>166</v>
      </c>
      <c r="B133" t="s">
        <v>169</v>
      </c>
      <c r="C133">
        <f>0.0792038774737</f>
        <v>7.9203877473700002E-2</v>
      </c>
      <c r="D133">
        <v>0.82222542225299999</v>
      </c>
      <c r="E133">
        <v>4.58170914542728</v>
      </c>
    </row>
    <row r="134" spans="1:5">
      <c r="A134" t="s">
        <v>170</v>
      </c>
      <c r="B134" t="s">
        <v>171</v>
      </c>
      <c r="C134">
        <v>0</v>
      </c>
      <c r="D134" t="s">
        <v>106</v>
      </c>
      <c r="E134">
        <v>12.0419790104947</v>
      </c>
    </row>
    <row r="135" spans="1:5">
      <c r="A135" t="s">
        <v>172</v>
      </c>
      <c r="B135" t="s">
        <v>173</v>
      </c>
      <c r="C135">
        <v>0.77511568546599996</v>
      </c>
      <c r="D135">
        <v>0.855024520545</v>
      </c>
      <c r="E135">
        <v>5.1214392803598203</v>
      </c>
    </row>
    <row r="136" spans="1:5">
      <c r="A136" t="s">
        <v>174</v>
      </c>
      <c r="B136" t="s">
        <v>175</v>
      </c>
      <c r="C136">
        <f>0</f>
        <v>0</v>
      </c>
      <c r="D136">
        <v>0.68973193740000005</v>
      </c>
      <c r="E136">
        <v>9.9190404797601204</v>
      </c>
    </row>
    <row r="137" spans="1:5">
      <c r="A137" t="s">
        <v>174</v>
      </c>
      <c r="B137" t="s">
        <v>176</v>
      </c>
      <c r="C137">
        <v>0</v>
      </c>
      <c r="D137">
        <v>0.68973193740000005</v>
      </c>
      <c r="E137">
        <v>9.9190404797601204</v>
      </c>
    </row>
    <row r="138" spans="1:5">
      <c r="A138" t="s">
        <v>174</v>
      </c>
      <c r="B138" t="s">
        <v>177</v>
      </c>
      <c r="C138">
        <f>0.0405410712763</f>
        <v>4.0541071276300002E-2</v>
      </c>
      <c r="D138">
        <v>0.68973193740000005</v>
      </c>
      <c r="E138">
        <v>9.9190404797601204</v>
      </c>
    </row>
    <row r="139" spans="1:5">
      <c r="A139" t="s">
        <v>174</v>
      </c>
      <c r="B139" t="s">
        <v>178</v>
      </c>
      <c r="C139">
        <f>0.0330254847691</f>
        <v>3.30254847691E-2</v>
      </c>
      <c r="D139">
        <v>0.68973193740000005</v>
      </c>
      <c r="E139">
        <v>9.9190404797601204</v>
      </c>
    </row>
    <row r="140" spans="1:5">
      <c r="A140" t="s">
        <v>179</v>
      </c>
      <c r="B140" t="s">
        <v>180</v>
      </c>
      <c r="C140">
        <v>0</v>
      </c>
      <c r="D140">
        <v>0.82346534277799999</v>
      </c>
      <c r="E140">
        <v>13.8170914542728</v>
      </c>
    </row>
    <row r="141" spans="1:5">
      <c r="A141" t="s">
        <v>179</v>
      </c>
      <c r="B141" t="s">
        <v>181</v>
      </c>
      <c r="C141">
        <v>4.2063503755400002E-2</v>
      </c>
      <c r="D141">
        <v>0.82346534277799999</v>
      </c>
      <c r="E141">
        <v>13.8170914542728</v>
      </c>
    </row>
    <row r="142" spans="1:5">
      <c r="A142" t="s">
        <v>179</v>
      </c>
      <c r="B142" t="s">
        <v>182</v>
      </c>
      <c r="C142">
        <v>0</v>
      </c>
      <c r="D142">
        <v>0.82346534277799999</v>
      </c>
      <c r="E142">
        <v>13.8170914542728</v>
      </c>
    </row>
    <row r="143" spans="1:5">
      <c r="A143" t="s">
        <v>179</v>
      </c>
      <c r="B143" t="s">
        <v>183</v>
      </c>
      <c r="C143">
        <v>0</v>
      </c>
      <c r="D143">
        <v>0.82346534277799999</v>
      </c>
      <c r="E143">
        <v>13.8170914542728</v>
      </c>
    </row>
    <row r="144" spans="1:5">
      <c r="A144" t="s">
        <v>179</v>
      </c>
      <c r="B144" t="s">
        <v>184</v>
      </c>
      <c r="C144">
        <v>0</v>
      </c>
      <c r="D144">
        <v>0.82346534277799999</v>
      </c>
      <c r="E144">
        <v>13.8170914542728</v>
      </c>
    </row>
    <row r="145" spans="1:5">
      <c r="A145" t="s">
        <v>185</v>
      </c>
      <c r="B145" t="s">
        <v>186</v>
      </c>
      <c r="C145">
        <v>0.24037576753600001</v>
      </c>
      <c r="D145">
        <v>0.91119785744100001</v>
      </c>
      <c r="E145">
        <v>10.710644677661101</v>
      </c>
    </row>
    <row r="146" spans="1:5">
      <c r="A146" t="s">
        <v>185</v>
      </c>
      <c r="B146" t="s">
        <v>187</v>
      </c>
      <c r="C146">
        <f>0.0113311210169</f>
        <v>1.13311210169E-2</v>
      </c>
      <c r="D146">
        <v>0.91119785744100001</v>
      </c>
      <c r="E146">
        <v>10.710644677661101</v>
      </c>
    </row>
    <row r="147" spans="1:5">
      <c r="A147" t="s">
        <v>188</v>
      </c>
      <c r="B147" t="s">
        <v>189</v>
      </c>
      <c r="C147">
        <v>0</v>
      </c>
      <c r="D147">
        <v>0.95499602485500001</v>
      </c>
      <c r="E147">
        <v>13.997001499250301</v>
      </c>
    </row>
    <row r="148" spans="1:5">
      <c r="A148" t="s">
        <v>188</v>
      </c>
      <c r="B148" t="s">
        <v>190</v>
      </c>
      <c r="C148">
        <f>0</f>
        <v>0</v>
      </c>
      <c r="D148">
        <v>0.95499602485500001</v>
      </c>
      <c r="E148">
        <v>13.997001499250301</v>
      </c>
    </row>
    <row r="149" spans="1:5">
      <c r="A149" t="s">
        <v>188</v>
      </c>
      <c r="B149" t="s">
        <v>191</v>
      </c>
      <c r="C149">
        <f>0</f>
        <v>0</v>
      </c>
      <c r="D149">
        <v>0.95499602485500001</v>
      </c>
      <c r="E149">
        <v>13.997001499250301</v>
      </c>
    </row>
    <row r="150" spans="1:5">
      <c r="A150" t="s">
        <v>188</v>
      </c>
      <c r="B150" t="s">
        <v>192</v>
      </c>
      <c r="C150">
        <f>0</f>
        <v>0</v>
      </c>
      <c r="D150">
        <v>0.95499602485500001</v>
      </c>
      <c r="E150">
        <v>13.997001499250301</v>
      </c>
    </row>
    <row r="151" spans="1:5">
      <c r="A151" t="s">
        <v>188</v>
      </c>
      <c r="B151" t="s">
        <v>193</v>
      </c>
      <c r="C151">
        <f>0</f>
        <v>0</v>
      </c>
      <c r="D151">
        <v>0.95499602485500001</v>
      </c>
      <c r="E151">
        <v>13.997001499250301</v>
      </c>
    </row>
    <row r="152" spans="1:5">
      <c r="A152" t="s">
        <v>188</v>
      </c>
      <c r="B152" t="s">
        <v>194</v>
      </c>
      <c r="C152">
        <v>0</v>
      </c>
      <c r="D152">
        <v>0.95499602485500001</v>
      </c>
      <c r="E152">
        <v>13.997001499250301</v>
      </c>
    </row>
    <row r="153" spans="1:5">
      <c r="A153" t="s">
        <v>188</v>
      </c>
      <c r="B153" t="s">
        <v>195</v>
      </c>
      <c r="C153">
        <f>0</f>
        <v>0</v>
      </c>
      <c r="D153">
        <v>0.95499602485500001</v>
      </c>
      <c r="E153">
        <v>13.997001499250301</v>
      </c>
    </row>
    <row r="154" spans="1:5">
      <c r="A154" t="s">
        <v>188</v>
      </c>
      <c r="B154" t="s">
        <v>196</v>
      </c>
      <c r="C154">
        <f>0</f>
        <v>0</v>
      </c>
      <c r="D154">
        <v>0.95499602485500001</v>
      </c>
      <c r="E154">
        <v>13.997001499250301</v>
      </c>
    </row>
    <row r="155" spans="1:5">
      <c r="A155" t="s">
        <v>188</v>
      </c>
      <c r="B155" t="s">
        <v>197</v>
      </c>
      <c r="C155">
        <f>0</f>
        <v>0</v>
      </c>
      <c r="D155">
        <v>0.95499602485500001</v>
      </c>
      <c r="E155">
        <v>13.997001499250301</v>
      </c>
    </row>
    <row r="156" spans="1:5">
      <c r="A156" t="s">
        <v>188</v>
      </c>
      <c r="B156" t="s">
        <v>198</v>
      </c>
      <c r="C156">
        <v>0</v>
      </c>
      <c r="D156">
        <v>0.95499602485500001</v>
      </c>
      <c r="E156">
        <v>13.997001499250301</v>
      </c>
    </row>
    <row r="157" spans="1:5">
      <c r="A157" t="s">
        <v>188</v>
      </c>
      <c r="B157" t="s">
        <v>199</v>
      </c>
      <c r="C157">
        <f>0</f>
        <v>0</v>
      </c>
      <c r="D157">
        <v>0.95499602485500001</v>
      </c>
      <c r="E157">
        <v>13.997001499250301</v>
      </c>
    </row>
    <row r="158" spans="1:5">
      <c r="A158" t="s">
        <v>188</v>
      </c>
      <c r="B158" t="s">
        <v>200</v>
      </c>
      <c r="C158">
        <f>0</f>
        <v>0</v>
      </c>
      <c r="D158">
        <v>0.95499602485500001</v>
      </c>
      <c r="E158">
        <v>13.997001499250301</v>
      </c>
    </row>
    <row r="159" spans="1:5">
      <c r="A159" t="s">
        <v>188</v>
      </c>
      <c r="B159" t="s">
        <v>201</v>
      </c>
      <c r="C159">
        <f>0.159923100892</f>
        <v>0.15992310089199999</v>
      </c>
      <c r="D159">
        <v>0.95499602485500001</v>
      </c>
      <c r="E159">
        <v>13.997001499250301</v>
      </c>
    </row>
    <row r="160" spans="1:5">
      <c r="A160" t="s">
        <v>188</v>
      </c>
      <c r="B160" t="s">
        <v>202</v>
      </c>
      <c r="C160">
        <f>0</f>
        <v>0</v>
      </c>
      <c r="D160">
        <v>0.95499602485500001</v>
      </c>
      <c r="E160">
        <v>13.997001499250301</v>
      </c>
    </row>
    <row r="161" spans="1:5">
      <c r="A161" t="s">
        <v>188</v>
      </c>
      <c r="B161" t="s">
        <v>203</v>
      </c>
      <c r="C161">
        <f>0</f>
        <v>0</v>
      </c>
      <c r="D161">
        <v>0.95499602485500001</v>
      </c>
      <c r="E161">
        <v>13.997001499250301</v>
      </c>
    </row>
    <row r="162" spans="1:5">
      <c r="A162" t="s">
        <v>188</v>
      </c>
      <c r="B162" t="s">
        <v>204</v>
      </c>
      <c r="C162">
        <f>0</f>
        <v>0</v>
      </c>
      <c r="D162">
        <v>0.95499602485500001</v>
      </c>
      <c r="E162">
        <v>13.997001499250301</v>
      </c>
    </row>
    <row r="163" spans="1:5">
      <c r="A163" t="s">
        <v>188</v>
      </c>
      <c r="B163" t="s">
        <v>205</v>
      </c>
      <c r="C163">
        <v>0</v>
      </c>
      <c r="D163">
        <v>0.95499602485500001</v>
      </c>
      <c r="E163">
        <v>13.997001499250301</v>
      </c>
    </row>
    <row r="164" spans="1:5">
      <c r="A164" t="s">
        <v>188</v>
      </c>
      <c r="B164" t="s">
        <v>206</v>
      </c>
      <c r="C164">
        <f>0</f>
        <v>0</v>
      </c>
      <c r="D164">
        <v>0.95499602485500001</v>
      </c>
      <c r="E164">
        <v>13.997001499250301</v>
      </c>
    </row>
    <row r="165" spans="1:5">
      <c r="A165" t="s">
        <v>207</v>
      </c>
      <c r="B165" t="s">
        <v>208</v>
      </c>
      <c r="C165">
        <f>0</f>
        <v>0</v>
      </c>
      <c r="D165">
        <v>0.87755396834099997</v>
      </c>
      <c r="E165">
        <v>6.0569715142428704</v>
      </c>
    </row>
    <row r="166" spans="1:5">
      <c r="A166" t="s">
        <v>209</v>
      </c>
      <c r="B166" t="s">
        <v>210</v>
      </c>
      <c r="C166">
        <f>0</f>
        <v>0</v>
      </c>
      <c r="D166" t="s">
        <v>106</v>
      </c>
      <c r="E166">
        <v>19.6341829085457</v>
      </c>
    </row>
    <row r="167" spans="1:5">
      <c r="A167" t="s">
        <v>209</v>
      </c>
      <c r="B167" t="s">
        <v>211</v>
      </c>
      <c r="C167">
        <f>0</f>
        <v>0</v>
      </c>
      <c r="D167" t="s">
        <v>106</v>
      </c>
      <c r="E167">
        <v>19.6341829085457</v>
      </c>
    </row>
    <row r="168" spans="1:5">
      <c r="A168" t="s">
        <v>209</v>
      </c>
      <c r="B168" t="s">
        <v>212</v>
      </c>
      <c r="C168">
        <f>0</f>
        <v>0</v>
      </c>
      <c r="D168" t="s">
        <v>106</v>
      </c>
      <c r="E168">
        <v>19.6341829085457</v>
      </c>
    </row>
    <row r="169" spans="1:5">
      <c r="A169" t="s">
        <v>209</v>
      </c>
      <c r="B169" t="s">
        <v>213</v>
      </c>
      <c r="C169">
        <v>0</v>
      </c>
      <c r="D169" t="s">
        <v>106</v>
      </c>
      <c r="E169">
        <v>19.6341829085457</v>
      </c>
    </row>
    <row r="170" spans="1:5">
      <c r="A170" t="s">
        <v>209</v>
      </c>
      <c r="B170" t="s">
        <v>214</v>
      </c>
      <c r="C170">
        <v>0</v>
      </c>
      <c r="D170" t="s">
        <v>106</v>
      </c>
      <c r="E170">
        <v>19.6341829085457</v>
      </c>
    </row>
    <row r="171" spans="1:5">
      <c r="A171" t="s">
        <v>209</v>
      </c>
      <c r="B171" t="s">
        <v>215</v>
      </c>
      <c r="C171">
        <f>0</f>
        <v>0</v>
      </c>
      <c r="D171" t="s">
        <v>106</v>
      </c>
      <c r="E171">
        <v>19.6341829085457</v>
      </c>
    </row>
    <row r="172" spans="1:5">
      <c r="A172" t="s">
        <v>209</v>
      </c>
      <c r="B172" t="s">
        <v>216</v>
      </c>
      <c r="C172">
        <v>0</v>
      </c>
      <c r="D172" t="s">
        <v>106</v>
      </c>
      <c r="E172">
        <v>19.6341829085457</v>
      </c>
    </row>
    <row r="173" spans="1:5">
      <c r="A173" t="s">
        <v>209</v>
      </c>
      <c r="B173" t="s">
        <v>217</v>
      </c>
      <c r="C173">
        <f>0</f>
        <v>0</v>
      </c>
      <c r="D173" t="s">
        <v>106</v>
      </c>
      <c r="E173">
        <v>19.6341829085457</v>
      </c>
    </row>
    <row r="174" spans="1:5">
      <c r="A174" t="s">
        <v>209</v>
      </c>
      <c r="B174" t="s">
        <v>218</v>
      </c>
      <c r="C174">
        <v>0</v>
      </c>
      <c r="D174" t="s">
        <v>106</v>
      </c>
      <c r="E174">
        <v>19.6341829085457</v>
      </c>
    </row>
    <row r="175" spans="1:5">
      <c r="A175" t="s">
        <v>209</v>
      </c>
      <c r="B175" t="s">
        <v>219</v>
      </c>
      <c r="C175">
        <v>0</v>
      </c>
      <c r="D175" t="s">
        <v>106</v>
      </c>
      <c r="E175">
        <v>19.6341829085457</v>
      </c>
    </row>
    <row r="176" spans="1:5">
      <c r="A176" t="s">
        <v>209</v>
      </c>
      <c r="B176" t="s">
        <v>220</v>
      </c>
      <c r="C176">
        <v>0</v>
      </c>
      <c r="D176" t="s">
        <v>106</v>
      </c>
      <c r="E176">
        <v>19.6341829085457</v>
      </c>
    </row>
    <row r="177" spans="1:5">
      <c r="A177" t="s">
        <v>209</v>
      </c>
      <c r="B177" t="s">
        <v>221</v>
      </c>
      <c r="C177">
        <v>0</v>
      </c>
      <c r="D177" t="s">
        <v>106</v>
      </c>
      <c r="E177">
        <v>19.6341829085457</v>
      </c>
    </row>
    <row r="178" spans="1:5">
      <c r="A178" t="s">
        <v>222</v>
      </c>
      <c r="B178" t="s">
        <v>223</v>
      </c>
      <c r="C178">
        <f>0</f>
        <v>0</v>
      </c>
      <c r="D178" t="s">
        <v>106</v>
      </c>
      <c r="E178">
        <v>1.45127436281859</v>
      </c>
    </row>
    <row r="179" spans="1:5">
      <c r="A179" t="s">
        <v>222</v>
      </c>
      <c r="B179" t="s">
        <v>224</v>
      </c>
      <c r="C179">
        <f>0</f>
        <v>0</v>
      </c>
      <c r="D179" t="s">
        <v>106</v>
      </c>
      <c r="E179">
        <v>1.45127436281859</v>
      </c>
    </row>
    <row r="180" spans="1:5">
      <c r="A180" t="s">
        <v>222</v>
      </c>
      <c r="B180" t="s">
        <v>225</v>
      </c>
      <c r="C180">
        <v>0</v>
      </c>
      <c r="D180" t="s">
        <v>106</v>
      </c>
      <c r="E180">
        <v>1.45127436281859</v>
      </c>
    </row>
    <row r="181" spans="1:5">
      <c r="A181" t="s">
        <v>222</v>
      </c>
      <c r="B181" t="s">
        <v>226</v>
      </c>
      <c r="C181">
        <f>0</f>
        <v>0</v>
      </c>
      <c r="D181" t="s">
        <v>106</v>
      </c>
      <c r="E181">
        <v>1.45127436281859</v>
      </c>
    </row>
    <row r="182" spans="1:5">
      <c r="A182" t="s">
        <v>222</v>
      </c>
      <c r="B182" t="s">
        <v>227</v>
      </c>
      <c r="C182">
        <v>0</v>
      </c>
      <c r="D182" t="s">
        <v>106</v>
      </c>
      <c r="E182">
        <v>1.45127436281859</v>
      </c>
    </row>
    <row r="183" spans="1:5">
      <c r="A183" t="s">
        <v>222</v>
      </c>
      <c r="B183" t="s">
        <v>228</v>
      </c>
      <c r="C183">
        <f>0</f>
        <v>0</v>
      </c>
      <c r="D183" t="s">
        <v>106</v>
      </c>
      <c r="E183">
        <v>1.45127436281859</v>
      </c>
    </row>
    <row r="184" spans="1:5">
      <c r="A184" t="s">
        <v>222</v>
      </c>
      <c r="B184" t="s">
        <v>229</v>
      </c>
      <c r="C184">
        <v>0</v>
      </c>
      <c r="D184" t="s">
        <v>106</v>
      </c>
      <c r="E184">
        <v>1.45127436281859</v>
      </c>
    </row>
    <row r="185" spans="1:5">
      <c r="A185" t="s">
        <v>230</v>
      </c>
      <c r="B185" t="s">
        <v>231</v>
      </c>
      <c r="C185">
        <v>0.11852497981600001</v>
      </c>
      <c r="D185">
        <v>0.74288097272999998</v>
      </c>
      <c r="E185">
        <v>3.8740629685157399</v>
      </c>
    </row>
    <row r="186" spans="1:5">
      <c r="A186" t="s">
        <v>232</v>
      </c>
      <c r="B186" t="s">
        <v>233</v>
      </c>
      <c r="C186">
        <v>0</v>
      </c>
      <c r="D186">
        <v>0.90996208519800004</v>
      </c>
      <c r="E186">
        <v>2.0989505247376301</v>
      </c>
    </row>
    <row r="187" spans="1:5">
      <c r="A187" t="s">
        <v>232</v>
      </c>
      <c r="B187" t="s">
        <v>234</v>
      </c>
      <c r="C187">
        <v>0</v>
      </c>
      <c r="D187">
        <v>0.90996208519800004</v>
      </c>
      <c r="E187">
        <v>2.0989505247376301</v>
      </c>
    </row>
    <row r="188" spans="1:5">
      <c r="A188" t="s">
        <v>232</v>
      </c>
      <c r="B188" t="s">
        <v>235</v>
      </c>
      <c r="C188">
        <v>0</v>
      </c>
      <c r="D188">
        <v>0.90996208519800004</v>
      </c>
      <c r="E188">
        <v>2.0989505247376301</v>
      </c>
    </row>
    <row r="189" spans="1:5">
      <c r="A189" t="s">
        <v>232</v>
      </c>
      <c r="B189" t="s">
        <v>236</v>
      </c>
      <c r="C189">
        <v>0</v>
      </c>
      <c r="D189">
        <v>0.90996208519800004</v>
      </c>
      <c r="E189">
        <v>2.0989505247376301</v>
      </c>
    </row>
    <row r="190" spans="1:5">
      <c r="A190" t="s">
        <v>232</v>
      </c>
      <c r="B190" t="s">
        <v>237</v>
      </c>
      <c r="C190">
        <v>0.12939562386100001</v>
      </c>
      <c r="D190">
        <v>0.90996208519800004</v>
      </c>
      <c r="E190">
        <v>2.0989505247376301</v>
      </c>
    </row>
    <row r="191" spans="1:5">
      <c r="A191" t="s">
        <v>232</v>
      </c>
      <c r="B191" t="s">
        <v>238</v>
      </c>
      <c r="C191">
        <v>0</v>
      </c>
      <c r="D191">
        <v>0.90996208519800004</v>
      </c>
      <c r="E191">
        <v>2.0989505247376301</v>
      </c>
    </row>
    <row r="192" spans="1:5">
      <c r="A192" t="s">
        <v>232</v>
      </c>
      <c r="B192" t="s">
        <v>239</v>
      </c>
      <c r="C192">
        <v>0</v>
      </c>
      <c r="D192">
        <v>0.90996208519800004</v>
      </c>
      <c r="E192">
        <v>2.0989505247376301</v>
      </c>
    </row>
    <row r="193" spans="1:5">
      <c r="A193" t="s">
        <v>232</v>
      </c>
      <c r="B193" t="s">
        <v>240</v>
      </c>
      <c r="C193">
        <v>5.79207241303E-2</v>
      </c>
      <c r="D193">
        <v>0.90996208519800004</v>
      </c>
      <c r="E193">
        <v>2.0989505247376301</v>
      </c>
    </row>
    <row r="194" spans="1:5">
      <c r="A194" t="s">
        <v>232</v>
      </c>
      <c r="B194" t="s">
        <v>241</v>
      </c>
      <c r="C194">
        <f>0</f>
        <v>0</v>
      </c>
      <c r="D194">
        <v>0.90996208519800004</v>
      </c>
      <c r="E194">
        <v>2.0989505247376301</v>
      </c>
    </row>
    <row r="195" spans="1:5">
      <c r="A195" t="s">
        <v>232</v>
      </c>
      <c r="B195" t="s">
        <v>242</v>
      </c>
      <c r="C195">
        <f>0</f>
        <v>0</v>
      </c>
      <c r="D195">
        <v>0.90996208519800004</v>
      </c>
      <c r="E195">
        <v>2.0989505247376301</v>
      </c>
    </row>
    <row r="196" spans="1:5">
      <c r="A196" t="s">
        <v>232</v>
      </c>
      <c r="B196" t="s">
        <v>243</v>
      </c>
      <c r="C196">
        <v>0</v>
      </c>
      <c r="D196">
        <v>0.90996208519800004</v>
      </c>
      <c r="E196">
        <v>2.0989505247376301</v>
      </c>
    </row>
    <row r="197" spans="1:5">
      <c r="A197" t="s">
        <v>232</v>
      </c>
      <c r="B197" t="s">
        <v>244</v>
      </c>
      <c r="C197">
        <v>0</v>
      </c>
      <c r="D197">
        <v>0.90996208519800004</v>
      </c>
      <c r="E197">
        <v>2.0989505247376301</v>
      </c>
    </row>
    <row r="198" spans="1:5">
      <c r="A198" t="s">
        <v>245</v>
      </c>
      <c r="B198" t="s">
        <v>246</v>
      </c>
      <c r="C198">
        <v>0.26268521232000003</v>
      </c>
      <c r="D198">
        <v>0.90048040928100004</v>
      </c>
      <c r="E198">
        <v>15.700149925037399</v>
      </c>
    </row>
    <row r="199" spans="1:5">
      <c r="A199" t="s">
        <v>245</v>
      </c>
      <c r="B199" t="s">
        <v>247</v>
      </c>
      <c r="C199">
        <f>0.0479029831655</f>
        <v>4.7902983165499999E-2</v>
      </c>
      <c r="D199">
        <v>0.90048040928100004</v>
      </c>
      <c r="E199">
        <v>15.700149925037399</v>
      </c>
    </row>
    <row r="200" spans="1:5">
      <c r="A200" t="s">
        <v>248</v>
      </c>
      <c r="B200" t="s">
        <v>249</v>
      </c>
      <c r="C200">
        <v>0</v>
      </c>
      <c r="D200">
        <v>0.96697054176700004</v>
      </c>
      <c r="E200">
        <v>23.040479760119901</v>
      </c>
    </row>
    <row r="201" spans="1:5">
      <c r="A201" t="s">
        <v>248</v>
      </c>
      <c r="B201" t="s">
        <v>250</v>
      </c>
      <c r="C201">
        <f>0</f>
        <v>0</v>
      </c>
      <c r="D201">
        <v>0.96697054176700004</v>
      </c>
      <c r="E201">
        <v>23.040479760119901</v>
      </c>
    </row>
    <row r="202" spans="1:5">
      <c r="A202" t="s">
        <v>248</v>
      </c>
      <c r="B202" t="s">
        <v>251</v>
      </c>
      <c r="C202">
        <v>9.0819177933699993E-2</v>
      </c>
      <c r="D202">
        <v>0.96697054176700004</v>
      </c>
      <c r="E202">
        <v>23.040479760119901</v>
      </c>
    </row>
    <row r="203" spans="1:5">
      <c r="A203" t="s">
        <v>248</v>
      </c>
      <c r="B203" t="s">
        <v>252</v>
      </c>
      <c r="C203">
        <f>0</f>
        <v>0</v>
      </c>
      <c r="D203">
        <v>0.96697054176700004</v>
      </c>
      <c r="E203">
        <v>23.040479760119901</v>
      </c>
    </row>
    <row r="204" spans="1:5">
      <c r="A204" t="s">
        <v>248</v>
      </c>
      <c r="B204" t="s">
        <v>253</v>
      </c>
      <c r="C204">
        <f>0</f>
        <v>0</v>
      </c>
      <c r="D204">
        <v>0.96697054176700004</v>
      </c>
      <c r="E204">
        <v>23.040479760119901</v>
      </c>
    </row>
    <row r="205" spans="1:5">
      <c r="A205" t="s">
        <v>248</v>
      </c>
      <c r="B205" t="s">
        <v>254</v>
      </c>
      <c r="C205">
        <f>0</f>
        <v>0</v>
      </c>
      <c r="D205">
        <v>0.96697054176700004</v>
      </c>
      <c r="E205">
        <v>23.040479760119901</v>
      </c>
    </row>
    <row r="206" spans="1:5">
      <c r="A206" t="s">
        <v>255</v>
      </c>
      <c r="B206" t="s">
        <v>256</v>
      </c>
      <c r="C206">
        <v>0</v>
      </c>
      <c r="D206">
        <v>0.98415460244599995</v>
      </c>
      <c r="E206">
        <v>3.13043478260869</v>
      </c>
    </row>
    <row r="207" spans="1:5">
      <c r="A207" t="s">
        <v>255</v>
      </c>
      <c r="B207" t="s">
        <v>257</v>
      </c>
      <c r="C207">
        <v>0.217367587689</v>
      </c>
      <c r="D207">
        <v>0.98415460244599995</v>
      </c>
      <c r="E207">
        <v>3.13043478260869</v>
      </c>
    </row>
    <row r="208" spans="1:5">
      <c r="A208" t="s">
        <v>255</v>
      </c>
      <c r="B208" t="s">
        <v>258</v>
      </c>
      <c r="C208">
        <f>0</f>
        <v>0</v>
      </c>
      <c r="D208">
        <v>0.98415460244599995</v>
      </c>
      <c r="E208">
        <v>3.13043478260869</v>
      </c>
    </row>
    <row r="209" spans="1:5">
      <c r="A209" t="s">
        <v>255</v>
      </c>
      <c r="B209" t="s">
        <v>259</v>
      </c>
      <c r="C209">
        <f>0</f>
        <v>0</v>
      </c>
      <c r="D209">
        <v>0.98415460244599995</v>
      </c>
      <c r="E209">
        <v>3.13043478260869</v>
      </c>
    </row>
    <row r="210" spans="1:5">
      <c r="A210" t="s">
        <v>255</v>
      </c>
      <c r="B210" t="s">
        <v>260</v>
      </c>
      <c r="C210">
        <f>0</f>
        <v>0</v>
      </c>
      <c r="D210">
        <v>0.98415460244599995</v>
      </c>
      <c r="E210">
        <v>3.13043478260869</v>
      </c>
    </row>
    <row r="211" spans="1:5">
      <c r="A211" t="s">
        <v>255</v>
      </c>
      <c r="B211" t="s">
        <v>261</v>
      </c>
      <c r="C211">
        <f>0</f>
        <v>0</v>
      </c>
      <c r="D211">
        <v>0.98415460244599995</v>
      </c>
      <c r="E211">
        <v>3.13043478260869</v>
      </c>
    </row>
    <row r="212" spans="1:5">
      <c r="A212" t="s">
        <v>255</v>
      </c>
      <c r="B212" t="s">
        <v>262</v>
      </c>
      <c r="C212">
        <f>0</f>
        <v>0</v>
      </c>
      <c r="D212">
        <v>0.98415460244599995</v>
      </c>
      <c r="E212">
        <v>3.13043478260869</v>
      </c>
    </row>
    <row r="213" spans="1:5">
      <c r="A213" t="s">
        <v>255</v>
      </c>
      <c r="B213" t="s">
        <v>263</v>
      </c>
      <c r="C213">
        <v>0</v>
      </c>
      <c r="D213">
        <v>0.98415460244599995</v>
      </c>
      <c r="E213">
        <v>3.13043478260869</v>
      </c>
    </row>
    <row r="214" spans="1:5">
      <c r="A214" t="s">
        <v>255</v>
      </c>
      <c r="B214" t="s">
        <v>264</v>
      </c>
      <c r="C214">
        <v>0</v>
      </c>
      <c r="D214">
        <v>0.98415460244599995</v>
      </c>
      <c r="E214">
        <v>3.13043478260869</v>
      </c>
    </row>
    <row r="215" spans="1:5">
      <c r="A215" t="s">
        <v>255</v>
      </c>
      <c r="B215" t="s">
        <v>265</v>
      </c>
      <c r="C215">
        <v>0</v>
      </c>
      <c r="D215">
        <v>0.98415460244599995</v>
      </c>
      <c r="E215">
        <v>3.13043478260869</v>
      </c>
    </row>
    <row r="216" spans="1:5">
      <c r="A216" t="s">
        <v>255</v>
      </c>
      <c r="B216" t="s">
        <v>266</v>
      </c>
      <c r="C216">
        <f>0</f>
        <v>0</v>
      </c>
      <c r="D216">
        <v>0.98415460244599995</v>
      </c>
      <c r="E216">
        <v>3.13043478260869</v>
      </c>
    </row>
    <row r="217" spans="1:5">
      <c r="A217" t="s">
        <v>255</v>
      </c>
      <c r="B217" t="s">
        <v>267</v>
      </c>
      <c r="C217">
        <f>0</f>
        <v>0</v>
      </c>
      <c r="D217">
        <v>0.98415460244599995</v>
      </c>
      <c r="E217">
        <v>3.13043478260869</v>
      </c>
    </row>
    <row r="218" spans="1:5">
      <c r="A218" t="s">
        <v>255</v>
      </c>
      <c r="B218" t="s">
        <v>268</v>
      </c>
      <c r="C218">
        <v>7.6046364832400001E-2</v>
      </c>
      <c r="D218">
        <v>0.98415460244599995</v>
      </c>
      <c r="E218">
        <v>3.13043478260869</v>
      </c>
    </row>
    <row r="219" spans="1:5">
      <c r="A219" t="s">
        <v>255</v>
      </c>
      <c r="B219" t="s">
        <v>269</v>
      </c>
      <c r="C219">
        <v>0</v>
      </c>
      <c r="D219">
        <v>0.98415460244599995</v>
      </c>
      <c r="E219">
        <v>3.13043478260869</v>
      </c>
    </row>
    <row r="220" spans="1:5">
      <c r="A220" t="s">
        <v>255</v>
      </c>
      <c r="B220" t="s">
        <v>270</v>
      </c>
      <c r="C220">
        <f>0</f>
        <v>0</v>
      </c>
      <c r="D220">
        <v>0.98415460244599995</v>
      </c>
      <c r="E220">
        <v>3.13043478260869</v>
      </c>
    </row>
    <row r="221" spans="1:5">
      <c r="A221" t="s">
        <v>271</v>
      </c>
      <c r="B221" t="s">
        <v>272</v>
      </c>
      <c r="C221">
        <v>0.30488973237200001</v>
      </c>
      <c r="D221">
        <v>0.91488216952800006</v>
      </c>
      <c r="E221">
        <v>7.3283358320839502</v>
      </c>
    </row>
    <row r="222" spans="1:5">
      <c r="A222" t="s">
        <v>271</v>
      </c>
      <c r="B222" t="s">
        <v>273</v>
      </c>
      <c r="C222">
        <f>0</f>
        <v>0</v>
      </c>
      <c r="D222">
        <v>0.91488216952800006</v>
      </c>
      <c r="E222">
        <v>7.3283358320839502</v>
      </c>
    </row>
    <row r="223" spans="1:5">
      <c r="A223" t="s">
        <v>271</v>
      </c>
      <c r="B223" t="s">
        <v>274</v>
      </c>
      <c r="C223">
        <v>7.7405857751300003E-2</v>
      </c>
      <c r="D223">
        <v>0.91488216952800006</v>
      </c>
      <c r="E223">
        <v>7.3283358320839502</v>
      </c>
    </row>
    <row r="224" spans="1:5">
      <c r="A224" t="s">
        <v>275</v>
      </c>
      <c r="B224" t="s">
        <v>276</v>
      </c>
      <c r="C224">
        <v>0</v>
      </c>
      <c r="D224">
        <v>0.99378329248499997</v>
      </c>
      <c r="E224">
        <v>3.5862068965517202</v>
      </c>
    </row>
    <row r="225" spans="1:5">
      <c r="A225" t="s">
        <v>275</v>
      </c>
      <c r="B225" t="s">
        <v>277</v>
      </c>
      <c r="C225">
        <v>0</v>
      </c>
      <c r="D225">
        <v>0.99378329248499997</v>
      </c>
      <c r="E225">
        <v>3.5862068965517202</v>
      </c>
    </row>
    <row r="226" spans="1:5">
      <c r="A226" t="s">
        <v>275</v>
      </c>
      <c r="B226" t="s">
        <v>278</v>
      </c>
      <c r="C226">
        <v>0</v>
      </c>
      <c r="D226">
        <v>0.99378329248499997</v>
      </c>
      <c r="E226">
        <v>3.5862068965517202</v>
      </c>
    </row>
    <row r="227" spans="1:5">
      <c r="A227" t="s">
        <v>275</v>
      </c>
      <c r="B227" t="s">
        <v>279</v>
      </c>
      <c r="C227">
        <v>0</v>
      </c>
      <c r="D227">
        <v>0.99378329248499997</v>
      </c>
      <c r="E227">
        <v>3.5862068965517202</v>
      </c>
    </row>
    <row r="228" spans="1:5">
      <c r="A228" t="s">
        <v>275</v>
      </c>
      <c r="B228" t="s">
        <v>280</v>
      </c>
      <c r="C228">
        <v>0</v>
      </c>
      <c r="D228">
        <v>0.99378329248499997</v>
      </c>
      <c r="E228">
        <v>3.5862068965517202</v>
      </c>
    </row>
    <row r="229" spans="1:5">
      <c r="A229" t="s">
        <v>275</v>
      </c>
      <c r="B229" t="s">
        <v>281</v>
      </c>
      <c r="C229">
        <v>0</v>
      </c>
      <c r="D229">
        <v>0.99378329248499997</v>
      </c>
      <c r="E229">
        <v>3.5862068965517202</v>
      </c>
    </row>
    <row r="230" spans="1:5">
      <c r="A230" t="s">
        <v>275</v>
      </c>
      <c r="B230" t="s">
        <v>282</v>
      </c>
      <c r="C230">
        <v>0</v>
      </c>
      <c r="D230">
        <v>0.99378329248499997</v>
      </c>
      <c r="E230">
        <v>3.5862068965517202</v>
      </c>
    </row>
    <row r="231" spans="1:5">
      <c r="A231" t="s">
        <v>275</v>
      </c>
      <c r="B231" t="s">
        <v>283</v>
      </c>
      <c r="C231">
        <v>0</v>
      </c>
      <c r="D231">
        <v>0.99378329248499997</v>
      </c>
      <c r="E231">
        <v>3.5862068965517202</v>
      </c>
    </row>
    <row r="232" spans="1:5">
      <c r="A232" t="s">
        <v>275</v>
      </c>
      <c r="B232" t="s">
        <v>284</v>
      </c>
      <c r="C232">
        <v>0</v>
      </c>
      <c r="D232">
        <v>0.99378329248499997</v>
      </c>
      <c r="E232">
        <v>3.5862068965517202</v>
      </c>
    </row>
    <row r="233" spans="1:5">
      <c r="A233" t="s">
        <v>275</v>
      </c>
      <c r="B233" t="s">
        <v>285</v>
      </c>
      <c r="C233">
        <v>1.7053361079899999E-2</v>
      </c>
      <c r="D233">
        <v>0.99378329248499997</v>
      </c>
      <c r="E233">
        <v>3.5862068965517202</v>
      </c>
    </row>
    <row r="234" spans="1:5">
      <c r="A234" t="s">
        <v>275</v>
      </c>
      <c r="B234" t="s">
        <v>286</v>
      </c>
      <c r="C234">
        <v>0</v>
      </c>
      <c r="D234">
        <v>0.99378329248499997</v>
      </c>
      <c r="E234">
        <v>3.5862068965517202</v>
      </c>
    </row>
    <row r="235" spans="1:5">
      <c r="A235" t="s">
        <v>275</v>
      </c>
      <c r="B235" t="s">
        <v>287</v>
      </c>
      <c r="C235">
        <v>0</v>
      </c>
      <c r="D235">
        <v>0.99378329248499997</v>
      </c>
      <c r="E235">
        <v>3.5862068965517202</v>
      </c>
    </row>
    <row r="236" spans="1:5">
      <c r="A236" t="s">
        <v>275</v>
      </c>
      <c r="B236" t="s">
        <v>288</v>
      </c>
      <c r="C236">
        <v>0</v>
      </c>
      <c r="D236">
        <v>0.99378329248499997</v>
      </c>
      <c r="E236">
        <v>3.5862068965517202</v>
      </c>
    </row>
    <row r="237" spans="1:5">
      <c r="A237" t="s">
        <v>275</v>
      </c>
      <c r="B237" t="s">
        <v>289</v>
      </c>
      <c r="C237">
        <v>0</v>
      </c>
      <c r="D237">
        <v>0.99378329248499997</v>
      </c>
      <c r="E237">
        <v>3.5862068965517202</v>
      </c>
    </row>
    <row r="238" spans="1:5">
      <c r="A238" t="s">
        <v>275</v>
      </c>
      <c r="B238" t="s">
        <v>290</v>
      </c>
      <c r="C238">
        <v>0</v>
      </c>
      <c r="D238">
        <v>0.99378329248499997</v>
      </c>
      <c r="E238">
        <v>3.5862068965517202</v>
      </c>
    </row>
    <row r="239" spans="1:5">
      <c r="A239" t="s">
        <v>275</v>
      </c>
      <c r="B239" t="s">
        <v>291</v>
      </c>
      <c r="C239">
        <v>0.178688630387</v>
      </c>
      <c r="D239">
        <v>0.99378329248499997</v>
      </c>
      <c r="E239">
        <v>3.5862068965517202</v>
      </c>
    </row>
    <row r="240" spans="1:5">
      <c r="A240" t="s">
        <v>292</v>
      </c>
      <c r="B240" t="s">
        <v>293</v>
      </c>
      <c r="C240">
        <v>0</v>
      </c>
      <c r="D240" t="s">
        <v>106</v>
      </c>
      <c r="E240">
        <v>5.5772113943028403</v>
      </c>
    </row>
    <row r="241" spans="1:5">
      <c r="A241" t="s">
        <v>292</v>
      </c>
      <c r="B241" t="s">
        <v>294</v>
      </c>
      <c r="C241">
        <v>0</v>
      </c>
      <c r="D241" t="s">
        <v>106</v>
      </c>
      <c r="E241">
        <v>5.5772113943028403</v>
      </c>
    </row>
    <row r="242" spans="1:5">
      <c r="A242" t="s">
        <v>292</v>
      </c>
      <c r="B242" t="s">
        <v>295</v>
      </c>
      <c r="C242">
        <v>0</v>
      </c>
      <c r="D242" t="s">
        <v>106</v>
      </c>
      <c r="E242">
        <v>5.5772113943028403</v>
      </c>
    </row>
    <row r="243" spans="1:5">
      <c r="A243" t="s">
        <v>292</v>
      </c>
      <c r="B243" t="s">
        <v>296</v>
      </c>
      <c r="C243">
        <v>0</v>
      </c>
      <c r="D243" t="s">
        <v>106</v>
      </c>
      <c r="E243">
        <v>5.5772113943028403</v>
      </c>
    </row>
    <row r="244" spans="1:5">
      <c r="A244" t="s">
        <v>292</v>
      </c>
      <c r="B244" t="s">
        <v>297</v>
      </c>
      <c r="C244">
        <v>0</v>
      </c>
      <c r="D244" t="s">
        <v>106</v>
      </c>
      <c r="E244">
        <v>5.5772113943028403</v>
      </c>
    </row>
    <row r="245" spans="1:5">
      <c r="A245" t="s">
        <v>292</v>
      </c>
      <c r="B245" t="s">
        <v>298</v>
      </c>
      <c r="C245">
        <f>0</f>
        <v>0</v>
      </c>
      <c r="D245" t="s">
        <v>106</v>
      </c>
      <c r="E245">
        <v>5.5772113943028403</v>
      </c>
    </row>
    <row r="246" spans="1:5">
      <c r="A246" t="s">
        <v>292</v>
      </c>
      <c r="B246" t="s">
        <v>299</v>
      </c>
      <c r="C246">
        <f>0</f>
        <v>0</v>
      </c>
      <c r="D246" t="s">
        <v>106</v>
      </c>
      <c r="E246">
        <v>5.5772113943028403</v>
      </c>
    </row>
    <row r="247" spans="1:5">
      <c r="A247" t="s">
        <v>292</v>
      </c>
      <c r="B247" t="s">
        <v>300</v>
      </c>
      <c r="C247">
        <f>0</f>
        <v>0</v>
      </c>
      <c r="D247" t="s">
        <v>106</v>
      </c>
      <c r="E247">
        <v>5.5772113943028403</v>
      </c>
    </row>
    <row r="248" spans="1:5">
      <c r="A248" t="s">
        <v>292</v>
      </c>
      <c r="B248" t="s">
        <v>301</v>
      </c>
      <c r="C248">
        <f>0</f>
        <v>0</v>
      </c>
      <c r="D248" t="s">
        <v>106</v>
      </c>
      <c r="E248">
        <v>5.5772113943028403</v>
      </c>
    </row>
    <row r="249" spans="1:5">
      <c r="A249" t="s">
        <v>292</v>
      </c>
      <c r="B249" t="s">
        <v>302</v>
      </c>
      <c r="C249">
        <f>0</f>
        <v>0</v>
      </c>
      <c r="D249" t="s">
        <v>106</v>
      </c>
      <c r="E249">
        <v>5.5772113943028403</v>
      </c>
    </row>
    <row r="250" spans="1:5">
      <c r="A250" t="s">
        <v>303</v>
      </c>
      <c r="B250" t="s">
        <v>304</v>
      </c>
      <c r="C250">
        <v>0</v>
      </c>
      <c r="D250">
        <v>0.667625537479</v>
      </c>
      <c r="E250">
        <v>1.22338830584707</v>
      </c>
    </row>
    <row r="251" spans="1:5">
      <c r="A251" t="s">
        <v>303</v>
      </c>
      <c r="B251" t="s">
        <v>305</v>
      </c>
      <c r="C251">
        <f>0.022420685668</f>
        <v>2.2420685667999998E-2</v>
      </c>
      <c r="D251">
        <v>0.667625537479</v>
      </c>
      <c r="E251">
        <v>1.22338830584707</v>
      </c>
    </row>
    <row r="252" spans="1:5">
      <c r="A252" t="s">
        <v>303</v>
      </c>
      <c r="B252" t="s">
        <v>306</v>
      </c>
      <c r="C252">
        <v>0</v>
      </c>
      <c r="D252">
        <v>0.667625537479</v>
      </c>
      <c r="E252">
        <v>1.22338830584707</v>
      </c>
    </row>
    <row r="253" spans="1:5">
      <c r="A253" t="s">
        <v>303</v>
      </c>
      <c r="B253" t="s">
        <v>307</v>
      </c>
      <c r="C253">
        <v>0</v>
      </c>
      <c r="D253">
        <v>0.667625537479</v>
      </c>
      <c r="E253">
        <v>1.22338830584707</v>
      </c>
    </row>
    <row r="254" spans="1:5">
      <c r="A254" t="s">
        <v>308</v>
      </c>
      <c r="B254" t="s">
        <v>309</v>
      </c>
      <c r="C254">
        <f>0</f>
        <v>0</v>
      </c>
      <c r="D254" t="s">
        <v>106</v>
      </c>
      <c r="E254">
        <v>17.307346326836502</v>
      </c>
    </row>
    <row r="255" spans="1:5">
      <c r="A255" t="s">
        <v>308</v>
      </c>
      <c r="B255" t="s">
        <v>310</v>
      </c>
      <c r="C255">
        <f>0</f>
        <v>0</v>
      </c>
      <c r="D255" t="s">
        <v>106</v>
      </c>
      <c r="E255">
        <v>17.307346326836502</v>
      </c>
    </row>
    <row r="256" spans="1:5">
      <c r="A256" t="s">
        <v>308</v>
      </c>
      <c r="B256" t="s">
        <v>311</v>
      </c>
      <c r="C256">
        <f>0</f>
        <v>0</v>
      </c>
      <c r="D256" t="s">
        <v>106</v>
      </c>
      <c r="E256">
        <v>17.307346326836502</v>
      </c>
    </row>
    <row r="257" spans="1:5">
      <c r="A257" t="s">
        <v>308</v>
      </c>
      <c r="B257" t="s">
        <v>312</v>
      </c>
      <c r="C257">
        <f>0</f>
        <v>0</v>
      </c>
      <c r="D257" t="s">
        <v>106</v>
      </c>
      <c r="E257">
        <v>17.307346326836502</v>
      </c>
    </row>
    <row r="258" spans="1:5">
      <c r="A258" t="s">
        <v>308</v>
      </c>
      <c r="B258" t="s">
        <v>313</v>
      </c>
      <c r="C258">
        <f>0</f>
        <v>0</v>
      </c>
      <c r="D258" t="s">
        <v>106</v>
      </c>
      <c r="E258">
        <v>17.307346326836502</v>
      </c>
    </row>
    <row r="259" spans="1:5">
      <c r="A259" t="s">
        <v>308</v>
      </c>
      <c r="B259" t="s">
        <v>314</v>
      </c>
      <c r="C259">
        <f>0</f>
        <v>0</v>
      </c>
      <c r="D259" t="s">
        <v>106</v>
      </c>
      <c r="E259">
        <v>17.307346326836502</v>
      </c>
    </row>
    <row r="260" spans="1:5">
      <c r="A260" t="s">
        <v>308</v>
      </c>
      <c r="B260" t="s">
        <v>315</v>
      </c>
      <c r="C260">
        <f>0</f>
        <v>0</v>
      </c>
      <c r="D260" t="s">
        <v>106</v>
      </c>
      <c r="E260">
        <v>17.307346326836502</v>
      </c>
    </row>
    <row r="261" spans="1:5">
      <c r="A261" t="s">
        <v>308</v>
      </c>
      <c r="B261" t="s">
        <v>316</v>
      </c>
      <c r="C261">
        <f>0</f>
        <v>0</v>
      </c>
      <c r="D261" t="s">
        <v>106</v>
      </c>
      <c r="E261">
        <v>17.307346326836502</v>
      </c>
    </row>
    <row r="262" spans="1:5">
      <c r="A262" t="s">
        <v>308</v>
      </c>
      <c r="B262" t="s">
        <v>317</v>
      </c>
      <c r="C262">
        <v>0</v>
      </c>
      <c r="D262" t="s">
        <v>106</v>
      </c>
      <c r="E262">
        <v>17.307346326836502</v>
      </c>
    </row>
    <row r="263" spans="1:5">
      <c r="A263" t="s">
        <v>318</v>
      </c>
      <c r="B263" t="s">
        <v>319</v>
      </c>
      <c r="C263">
        <f>0</f>
        <v>0</v>
      </c>
      <c r="D263">
        <v>0.90742705907800003</v>
      </c>
      <c r="E263">
        <v>0</v>
      </c>
    </row>
    <row r="264" spans="1:5">
      <c r="A264" t="s">
        <v>318</v>
      </c>
      <c r="B264" t="s">
        <v>320</v>
      </c>
      <c r="C264">
        <v>0.62920262524199999</v>
      </c>
      <c r="D264">
        <v>0.90742705907800003</v>
      </c>
      <c r="E264">
        <v>0</v>
      </c>
    </row>
    <row r="265" spans="1:5">
      <c r="A265" t="s">
        <v>318</v>
      </c>
      <c r="B265" t="s">
        <v>321</v>
      </c>
      <c r="C265">
        <v>0</v>
      </c>
      <c r="D265">
        <v>0.90742705907800003</v>
      </c>
      <c r="E265">
        <v>0</v>
      </c>
    </row>
    <row r="266" spans="1:5">
      <c r="A266" t="s">
        <v>318</v>
      </c>
      <c r="B266" t="s">
        <v>322</v>
      </c>
      <c r="C266">
        <v>4.89556928946E-2</v>
      </c>
      <c r="D266">
        <v>0.90742705907800003</v>
      </c>
      <c r="E266">
        <v>0</v>
      </c>
    </row>
    <row r="267" spans="1:5">
      <c r="A267" t="s">
        <v>318</v>
      </c>
      <c r="B267" t="s">
        <v>323</v>
      </c>
      <c r="C267">
        <f>0</f>
        <v>0</v>
      </c>
      <c r="D267">
        <v>0.90742705907800003</v>
      </c>
      <c r="E267">
        <v>0</v>
      </c>
    </row>
    <row r="268" spans="1:5">
      <c r="A268" t="s">
        <v>318</v>
      </c>
      <c r="B268" t="s">
        <v>324</v>
      </c>
      <c r="C268">
        <f>0</f>
        <v>0</v>
      </c>
      <c r="D268">
        <v>0.90742705907800003</v>
      </c>
      <c r="E268">
        <v>0</v>
      </c>
    </row>
    <row r="269" spans="1:5">
      <c r="A269" t="s">
        <v>325</v>
      </c>
      <c r="B269" t="s">
        <v>326</v>
      </c>
      <c r="C269">
        <f>0</f>
        <v>0</v>
      </c>
      <c r="D269" t="s">
        <v>106</v>
      </c>
      <c r="E269">
        <v>6.0569715142428704</v>
      </c>
    </row>
    <row r="270" spans="1:5">
      <c r="A270" t="s">
        <v>325</v>
      </c>
      <c r="B270" t="s">
        <v>327</v>
      </c>
      <c r="C270">
        <f>0</f>
        <v>0</v>
      </c>
      <c r="D270" t="s">
        <v>106</v>
      </c>
      <c r="E270">
        <v>6.0569715142428704</v>
      </c>
    </row>
    <row r="271" spans="1:5">
      <c r="A271" t="s">
        <v>325</v>
      </c>
      <c r="B271" t="s">
        <v>328</v>
      </c>
      <c r="C271">
        <f>0</f>
        <v>0</v>
      </c>
      <c r="D271" t="s">
        <v>106</v>
      </c>
      <c r="E271">
        <v>6.0569715142428704</v>
      </c>
    </row>
    <row r="272" spans="1:5">
      <c r="A272" t="s">
        <v>325</v>
      </c>
      <c r="B272" t="s">
        <v>329</v>
      </c>
      <c r="C272">
        <f>0.00425629107229</f>
        <v>4.2562910722900001E-3</v>
      </c>
      <c r="D272" t="s">
        <v>106</v>
      </c>
      <c r="E272">
        <v>6.0569715142428704</v>
      </c>
    </row>
    <row r="273" spans="1:5">
      <c r="A273" t="s">
        <v>325</v>
      </c>
      <c r="B273" t="s">
        <v>330</v>
      </c>
      <c r="C273">
        <v>0</v>
      </c>
      <c r="D273" t="s">
        <v>106</v>
      </c>
      <c r="E273">
        <v>6.0569715142428704</v>
      </c>
    </row>
    <row r="274" spans="1:5">
      <c r="A274" t="s">
        <v>325</v>
      </c>
      <c r="B274" t="s">
        <v>331</v>
      </c>
      <c r="C274">
        <v>3.7126522432299998E-3</v>
      </c>
      <c r="D274" t="s">
        <v>106</v>
      </c>
      <c r="E274">
        <v>6.0569715142428704</v>
      </c>
    </row>
    <row r="275" spans="1:5">
      <c r="A275" t="s">
        <v>325</v>
      </c>
      <c r="B275" t="s">
        <v>332</v>
      </c>
      <c r="C275">
        <f>0</f>
        <v>0</v>
      </c>
      <c r="D275" t="s">
        <v>106</v>
      </c>
      <c r="E275">
        <v>6.0569715142428704</v>
      </c>
    </row>
    <row r="276" spans="1:5">
      <c r="A276" t="s">
        <v>333</v>
      </c>
      <c r="B276" t="s">
        <v>334</v>
      </c>
      <c r="C276">
        <f>0</f>
        <v>0</v>
      </c>
      <c r="D276">
        <v>0.94203586206900003</v>
      </c>
      <c r="E276">
        <v>0.37181409295352302</v>
      </c>
    </row>
    <row r="277" spans="1:5">
      <c r="A277" t="s">
        <v>333</v>
      </c>
      <c r="B277" t="s">
        <v>335</v>
      </c>
      <c r="C277">
        <v>0</v>
      </c>
      <c r="D277">
        <v>0.94203586206900003</v>
      </c>
      <c r="E277">
        <v>0.37181409295352302</v>
      </c>
    </row>
    <row r="278" spans="1:5">
      <c r="A278" t="s">
        <v>333</v>
      </c>
      <c r="B278" t="s">
        <v>336</v>
      </c>
      <c r="C278">
        <v>7.0790688980800001E-2</v>
      </c>
      <c r="D278">
        <v>0.94203586206900003</v>
      </c>
      <c r="E278">
        <v>0.37181409295352302</v>
      </c>
    </row>
    <row r="279" spans="1:5">
      <c r="A279" t="s">
        <v>333</v>
      </c>
      <c r="B279" t="s">
        <v>337</v>
      </c>
      <c r="C279">
        <f>0</f>
        <v>0</v>
      </c>
      <c r="D279">
        <v>0.94203586206900003</v>
      </c>
      <c r="E279">
        <v>0.37181409295352302</v>
      </c>
    </row>
    <row r="280" spans="1:5">
      <c r="A280" t="s">
        <v>333</v>
      </c>
      <c r="B280" t="s">
        <v>338</v>
      </c>
      <c r="C280">
        <f>0</f>
        <v>0</v>
      </c>
      <c r="D280">
        <v>0.94203586206900003</v>
      </c>
      <c r="E280">
        <v>0.37181409295352302</v>
      </c>
    </row>
    <row r="281" spans="1:5">
      <c r="A281" t="s">
        <v>333</v>
      </c>
      <c r="B281" t="s">
        <v>339</v>
      </c>
      <c r="C281">
        <f>0</f>
        <v>0</v>
      </c>
      <c r="D281">
        <v>0.94203586206900003</v>
      </c>
      <c r="E281">
        <v>0.37181409295352302</v>
      </c>
    </row>
    <row r="282" spans="1:5">
      <c r="A282" t="s">
        <v>333</v>
      </c>
      <c r="B282" t="s">
        <v>340</v>
      </c>
      <c r="C282">
        <f>0.738155488184</f>
        <v>0.73815548818400001</v>
      </c>
      <c r="D282">
        <v>0.94203586206900003</v>
      </c>
      <c r="E282">
        <v>0.37181409295352302</v>
      </c>
    </row>
    <row r="283" spans="1:5">
      <c r="A283" t="s">
        <v>333</v>
      </c>
      <c r="B283" t="s">
        <v>341</v>
      </c>
      <c r="C283">
        <f>0</f>
        <v>0</v>
      </c>
      <c r="D283">
        <v>0.94203586206900003</v>
      </c>
      <c r="E283">
        <v>0.37181409295352302</v>
      </c>
    </row>
    <row r="284" spans="1:5">
      <c r="A284" t="s">
        <v>342</v>
      </c>
      <c r="B284" t="s">
        <v>343</v>
      </c>
      <c r="C284">
        <v>3.6281567878599999E-2</v>
      </c>
      <c r="D284">
        <v>0.68401085677200002</v>
      </c>
      <c r="E284">
        <v>11.8740629685157</v>
      </c>
    </row>
    <row r="285" spans="1:5">
      <c r="A285" t="s">
        <v>344</v>
      </c>
      <c r="B285" t="s">
        <v>345</v>
      </c>
      <c r="C285">
        <f>0</f>
        <v>0</v>
      </c>
      <c r="D285" t="s">
        <v>106</v>
      </c>
      <c r="E285">
        <v>1.22338830584707</v>
      </c>
    </row>
    <row r="286" spans="1:5">
      <c r="A286" t="s">
        <v>344</v>
      </c>
      <c r="B286" t="s">
        <v>346</v>
      </c>
      <c r="C286">
        <v>0</v>
      </c>
      <c r="D286" t="s">
        <v>106</v>
      </c>
      <c r="E286">
        <v>1.22338830584707</v>
      </c>
    </row>
    <row r="287" spans="1:5">
      <c r="A287" t="s">
        <v>344</v>
      </c>
      <c r="B287" t="s">
        <v>347</v>
      </c>
      <c r="C287">
        <v>0</v>
      </c>
      <c r="D287" t="s">
        <v>106</v>
      </c>
      <c r="E287">
        <v>1.22338830584707</v>
      </c>
    </row>
    <row r="288" spans="1:5">
      <c r="A288" t="s">
        <v>344</v>
      </c>
      <c r="B288" t="s">
        <v>348</v>
      </c>
      <c r="C288">
        <v>0</v>
      </c>
      <c r="D288" t="s">
        <v>106</v>
      </c>
      <c r="E288">
        <v>1.22338830584707</v>
      </c>
    </row>
    <row r="289" spans="1:5">
      <c r="A289" t="s">
        <v>344</v>
      </c>
      <c r="B289" t="s">
        <v>349</v>
      </c>
      <c r="C289">
        <v>0</v>
      </c>
      <c r="D289" t="s">
        <v>106</v>
      </c>
      <c r="E289">
        <v>1.22338830584707</v>
      </c>
    </row>
    <row r="290" spans="1:5">
      <c r="A290" t="s">
        <v>344</v>
      </c>
      <c r="B290" t="s">
        <v>350</v>
      </c>
      <c r="C290">
        <v>0</v>
      </c>
      <c r="D290" t="s">
        <v>106</v>
      </c>
      <c r="E290">
        <v>1.22338830584707</v>
      </c>
    </row>
    <row r="291" spans="1:5">
      <c r="A291" t="s">
        <v>351</v>
      </c>
      <c r="B291" t="s">
        <v>352</v>
      </c>
      <c r="C291">
        <f>0</f>
        <v>0</v>
      </c>
      <c r="D291" t="s">
        <v>106</v>
      </c>
      <c r="E291">
        <v>14.9325337331334</v>
      </c>
    </row>
    <row r="292" spans="1:5">
      <c r="A292" t="s">
        <v>351</v>
      </c>
      <c r="B292" t="s">
        <v>353</v>
      </c>
      <c r="C292">
        <f>0</f>
        <v>0</v>
      </c>
      <c r="D292" t="s">
        <v>106</v>
      </c>
      <c r="E292">
        <v>14.9325337331334</v>
      </c>
    </row>
    <row r="293" spans="1:5">
      <c r="A293" t="s">
        <v>351</v>
      </c>
      <c r="B293" t="s">
        <v>354</v>
      </c>
      <c r="C293">
        <f>0</f>
        <v>0</v>
      </c>
      <c r="D293" t="s">
        <v>106</v>
      </c>
      <c r="E293">
        <v>14.9325337331334</v>
      </c>
    </row>
    <row r="294" spans="1:5">
      <c r="A294" t="s">
        <v>351</v>
      </c>
      <c r="B294" t="s">
        <v>355</v>
      </c>
      <c r="C294">
        <f>0</f>
        <v>0</v>
      </c>
      <c r="D294" t="s">
        <v>106</v>
      </c>
      <c r="E294">
        <v>14.9325337331334</v>
      </c>
    </row>
    <row r="295" spans="1:5">
      <c r="A295" t="s">
        <v>351</v>
      </c>
      <c r="B295" t="s">
        <v>356</v>
      </c>
      <c r="C295">
        <v>0</v>
      </c>
      <c r="D295" t="s">
        <v>106</v>
      </c>
      <c r="E295">
        <v>14.9325337331334</v>
      </c>
    </row>
    <row r="296" spans="1:5">
      <c r="A296" t="s">
        <v>351</v>
      </c>
      <c r="B296" t="s">
        <v>357</v>
      </c>
      <c r="C296">
        <f>0</f>
        <v>0</v>
      </c>
      <c r="D296" t="s">
        <v>106</v>
      </c>
      <c r="E296">
        <v>14.9325337331334</v>
      </c>
    </row>
    <row r="297" spans="1:5">
      <c r="A297" t="s">
        <v>351</v>
      </c>
      <c r="B297" t="s">
        <v>358</v>
      </c>
      <c r="C297">
        <f>0</f>
        <v>0</v>
      </c>
      <c r="D297" t="s">
        <v>106</v>
      </c>
      <c r="E297">
        <v>14.9325337331334</v>
      </c>
    </row>
    <row r="298" spans="1:5">
      <c r="A298" t="s">
        <v>351</v>
      </c>
      <c r="B298" t="s">
        <v>359</v>
      </c>
      <c r="C298">
        <f>0</f>
        <v>0</v>
      </c>
      <c r="D298" t="s">
        <v>106</v>
      </c>
      <c r="E298">
        <v>14.9325337331334</v>
      </c>
    </row>
    <row r="299" spans="1:5">
      <c r="A299" t="s">
        <v>351</v>
      </c>
      <c r="B299" t="s">
        <v>360</v>
      </c>
      <c r="C299">
        <f>0</f>
        <v>0</v>
      </c>
      <c r="D299" t="s">
        <v>106</v>
      </c>
      <c r="E299">
        <v>14.9325337331334</v>
      </c>
    </row>
    <row r="300" spans="1:5">
      <c r="A300" t="s">
        <v>351</v>
      </c>
      <c r="B300" t="s">
        <v>361</v>
      </c>
      <c r="C300">
        <f>0</f>
        <v>0</v>
      </c>
      <c r="D300" t="s">
        <v>106</v>
      </c>
      <c r="E300">
        <v>14.9325337331334</v>
      </c>
    </row>
    <row r="301" spans="1:5">
      <c r="A301" t="s">
        <v>351</v>
      </c>
      <c r="B301" t="s">
        <v>362</v>
      </c>
      <c r="C301">
        <f>0</f>
        <v>0</v>
      </c>
      <c r="D301" t="s">
        <v>106</v>
      </c>
      <c r="E301">
        <v>14.9325337331334</v>
      </c>
    </row>
    <row r="302" spans="1:5">
      <c r="A302" t="s">
        <v>351</v>
      </c>
      <c r="B302" t="s">
        <v>363</v>
      </c>
      <c r="C302">
        <f>0</f>
        <v>0</v>
      </c>
      <c r="D302" t="s">
        <v>106</v>
      </c>
      <c r="E302">
        <v>14.9325337331334</v>
      </c>
    </row>
    <row r="303" spans="1:5">
      <c r="A303" t="s">
        <v>351</v>
      </c>
      <c r="B303" t="s">
        <v>364</v>
      </c>
      <c r="C303">
        <f>0</f>
        <v>0</v>
      </c>
      <c r="D303" t="s">
        <v>106</v>
      </c>
      <c r="E303">
        <v>14.9325337331334</v>
      </c>
    </row>
    <row r="304" spans="1:5">
      <c r="A304" t="s">
        <v>365</v>
      </c>
      <c r="B304" t="s">
        <v>366</v>
      </c>
      <c r="C304">
        <v>0.79170116105800004</v>
      </c>
      <c r="D304">
        <v>0.99046343936500003</v>
      </c>
      <c r="E304">
        <v>11.8740629685157</v>
      </c>
    </row>
    <row r="305" spans="1:5">
      <c r="A305" t="s">
        <v>365</v>
      </c>
      <c r="B305" t="s">
        <v>367</v>
      </c>
      <c r="C305">
        <f>0</f>
        <v>0</v>
      </c>
      <c r="D305">
        <v>0.99046343936500003</v>
      </c>
      <c r="E305">
        <v>11.8740629685157</v>
      </c>
    </row>
    <row r="306" spans="1:5">
      <c r="A306" t="s">
        <v>365</v>
      </c>
      <c r="B306" t="s">
        <v>368</v>
      </c>
      <c r="C306">
        <f>0.262740452061</f>
        <v>0.262740452061</v>
      </c>
      <c r="D306">
        <v>0.99046343936500003</v>
      </c>
      <c r="E306">
        <v>11.8740629685157</v>
      </c>
    </row>
    <row r="307" spans="1:5">
      <c r="A307" t="s">
        <v>369</v>
      </c>
      <c r="B307" t="s">
        <v>370</v>
      </c>
      <c r="C307">
        <v>0.35510555996199999</v>
      </c>
      <c r="D307">
        <v>0.99579578125299995</v>
      </c>
      <c r="E307">
        <v>11.202398800599701</v>
      </c>
    </row>
    <row r="308" spans="1:5">
      <c r="A308" t="s">
        <v>369</v>
      </c>
      <c r="B308" t="s">
        <v>371</v>
      </c>
      <c r="C308">
        <v>0</v>
      </c>
      <c r="D308">
        <v>0.99579578125299995</v>
      </c>
      <c r="E308">
        <v>11.202398800599701</v>
      </c>
    </row>
    <row r="309" spans="1:5">
      <c r="A309" t="s">
        <v>369</v>
      </c>
      <c r="B309" t="s">
        <v>372</v>
      </c>
      <c r="C309">
        <f>0</f>
        <v>0</v>
      </c>
      <c r="D309">
        <v>0.99579578125299995</v>
      </c>
      <c r="E309">
        <v>11.202398800599701</v>
      </c>
    </row>
    <row r="310" spans="1:5">
      <c r="A310" t="s">
        <v>369</v>
      </c>
      <c r="B310" t="s">
        <v>373</v>
      </c>
      <c r="C310">
        <f>0</f>
        <v>0</v>
      </c>
      <c r="D310">
        <v>0.99579578125299995</v>
      </c>
      <c r="E310">
        <v>11.202398800599701</v>
      </c>
    </row>
    <row r="311" spans="1:5">
      <c r="A311" t="s">
        <v>369</v>
      </c>
      <c r="B311" t="s">
        <v>374</v>
      </c>
      <c r="C311">
        <v>0</v>
      </c>
      <c r="D311">
        <v>0.99579578125299995</v>
      </c>
      <c r="E311">
        <v>11.202398800599701</v>
      </c>
    </row>
    <row r="312" spans="1:5">
      <c r="A312" t="s">
        <v>369</v>
      </c>
      <c r="B312" t="s">
        <v>375</v>
      </c>
      <c r="C312">
        <v>0</v>
      </c>
      <c r="D312">
        <v>0.99579578125299995</v>
      </c>
      <c r="E312">
        <v>11.202398800599701</v>
      </c>
    </row>
    <row r="313" spans="1:5">
      <c r="A313" t="s">
        <v>369</v>
      </c>
      <c r="B313" t="s">
        <v>376</v>
      </c>
      <c r="C313">
        <v>0</v>
      </c>
      <c r="D313">
        <v>0.99579578125299995</v>
      </c>
      <c r="E313">
        <v>11.202398800599701</v>
      </c>
    </row>
    <row r="314" spans="1:5">
      <c r="A314" t="s">
        <v>369</v>
      </c>
      <c r="B314" t="s">
        <v>377</v>
      </c>
      <c r="C314">
        <v>1.8815007022999999E-2</v>
      </c>
      <c r="D314">
        <v>0.99579578125299995</v>
      </c>
      <c r="E314">
        <v>11.202398800599701</v>
      </c>
    </row>
    <row r="315" spans="1:5">
      <c r="A315" t="s">
        <v>378</v>
      </c>
      <c r="B315" t="s">
        <v>379</v>
      </c>
      <c r="C315">
        <v>0.18161725517399999</v>
      </c>
      <c r="D315">
        <v>0.99744775753399995</v>
      </c>
      <c r="E315">
        <v>11.5382308845577</v>
      </c>
    </row>
    <row r="316" spans="1:5">
      <c r="A316" t="s">
        <v>378</v>
      </c>
      <c r="B316" t="s">
        <v>380</v>
      </c>
      <c r="C316">
        <f>0</f>
        <v>0</v>
      </c>
      <c r="D316">
        <v>0.99744775753399995</v>
      </c>
      <c r="E316">
        <v>11.5382308845577</v>
      </c>
    </row>
    <row r="317" spans="1:5">
      <c r="A317" t="s">
        <v>378</v>
      </c>
      <c r="B317" t="s">
        <v>381</v>
      </c>
      <c r="C317">
        <v>0</v>
      </c>
      <c r="D317">
        <v>0.99744775753399995</v>
      </c>
      <c r="E317">
        <v>11.5382308845577</v>
      </c>
    </row>
    <row r="318" spans="1:5">
      <c r="A318" t="s">
        <v>378</v>
      </c>
      <c r="B318" t="s">
        <v>382</v>
      </c>
      <c r="C318">
        <f>0</f>
        <v>0</v>
      </c>
      <c r="D318">
        <v>0.99744775753399995</v>
      </c>
      <c r="E318">
        <v>11.5382308845577</v>
      </c>
    </row>
    <row r="319" spans="1:5">
      <c r="A319" t="s">
        <v>378</v>
      </c>
      <c r="B319" t="s">
        <v>383</v>
      </c>
      <c r="C319">
        <f>0</f>
        <v>0</v>
      </c>
      <c r="D319">
        <v>0.99744775753399995</v>
      </c>
      <c r="E319">
        <v>11.5382308845577</v>
      </c>
    </row>
    <row r="320" spans="1:5">
      <c r="A320" t="s">
        <v>378</v>
      </c>
      <c r="B320" t="s">
        <v>384</v>
      </c>
      <c r="C320">
        <v>4.3115963251399998E-2</v>
      </c>
      <c r="D320">
        <v>0.99744775753399995</v>
      </c>
      <c r="E320">
        <v>11.5382308845577</v>
      </c>
    </row>
    <row r="321" spans="1:5">
      <c r="A321" t="s">
        <v>385</v>
      </c>
      <c r="B321" t="s">
        <v>386</v>
      </c>
      <c r="C321">
        <f>0</f>
        <v>0</v>
      </c>
      <c r="D321" t="s">
        <v>106</v>
      </c>
      <c r="E321">
        <v>24</v>
      </c>
    </row>
    <row r="322" spans="1:5">
      <c r="A322" t="s">
        <v>385</v>
      </c>
      <c r="B322" t="s">
        <v>387</v>
      </c>
      <c r="C322">
        <v>0</v>
      </c>
      <c r="D322" t="s">
        <v>106</v>
      </c>
      <c r="E322">
        <v>24</v>
      </c>
    </row>
    <row r="323" spans="1:5">
      <c r="A323" t="s">
        <v>385</v>
      </c>
      <c r="B323" t="s">
        <v>388</v>
      </c>
      <c r="C323">
        <v>0</v>
      </c>
      <c r="D323" t="s">
        <v>106</v>
      </c>
      <c r="E323">
        <v>24</v>
      </c>
    </row>
    <row r="324" spans="1:5">
      <c r="A324" t="s">
        <v>385</v>
      </c>
      <c r="B324" t="s">
        <v>389</v>
      </c>
      <c r="C324">
        <f>0</f>
        <v>0</v>
      </c>
      <c r="D324" t="s">
        <v>106</v>
      </c>
      <c r="E324">
        <v>24</v>
      </c>
    </row>
    <row r="325" spans="1:5">
      <c r="A325" t="s">
        <v>385</v>
      </c>
      <c r="B325" t="s">
        <v>390</v>
      </c>
      <c r="C325">
        <v>0</v>
      </c>
      <c r="D325" t="s">
        <v>106</v>
      </c>
      <c r="E325">
        <v>24</v>
      </c>
    </row>
    <row r="326" spans="1:5">
      <c r="A326" t="s">
        <v>385</v>
      </c>
      <c r="B326" t="s">
        <v>391</v>
      </c>
      <c r="C326">
        <f>0.00193861566112</f>
        <v>1.93861566112E-3</v>
      </c>
      <c r="D326" t="s">
        <v>106</v>
      </c>
      <c r="E326">
        <v>24</v>
      </c>
    </row>
    <row r="327" spans="1:5">
      <c r="A327" t="s">
        <v>385</v>
      </c>
      <c r="B327" t="s">
        <v>392</v>
      </c>
      <c r="C327">
        <f>0</f>
        <v>0</v>
      </c>
      <c r="D327" t="s">
        <v>106</v>
      </c>
      <c r="E327">
        <v>24</v>
      </c>
    </row>
    <row r="328" spans="1:5">
      <c r="A328" t="s">
        <v>385</v>
      </c>
      <c r="B328" t="s">
        <v>393</v>
      </c>
      <c r="C328">
        <v>0</v>
      </c>
      <c r="D328" t="s">
        <v>106</v>
      </c>
      <c r="E328">
        <v>24</v>
      </c>
    </row>
    <row r="329" spans="1:5">
      <c r="A329" t="s">
        <v>385</v>
      </c>
      <c r="B329" t="s">
        <v>394</v>
      </c>
      <c r="C329">
        <f>0</f>
        <v>0</v>
      </c>
      <c r="D329" t="s">
        <v>106</v>
      </c>
      <c r="E329">
        <v>24</v>
      </c>
    </row>
    <row r="330" spans="1:5">
      <c r="A330" t="s">
        <v>395</v>
      </c>
      <c r="B330" t="s">
        <v>396</v>
      </c>
      <c r="C330">
        <v>1.29149949161E-2</v>
      </c>
      <c r="D330">
        <v>0.98287585780499998</v>
      </c>
      <c r="E330">
        <v>2.6386806596701602</v>
      </c>
    </row>
    <row r="331" spans="1:5">
      <c r="A331" t="s">
        <v>395</v>
      </c>
      <c r="B331" t="s">
        <v>397</v>
      </c>
      <c r="C331">
        <v>0.43235994967199998</v>
      </c>
      <c r="D331">
        <v>0.98287585780499998</v>
      </c>
      <c r="E331">
        <v>2.6386806596701602</v>
      </c>
    </row>
    <row r="332" spans="1:5">
      <c r="A332" t="s">
        <v>395</v>
      </c>
      <c r="B332" t="s">
        <v>398</v>
      </c>
      <c r="C332">
        <v>0</v>
      </c>
      <c r="D332">
        <v>0.98287585780499998</v>
      </c>
      <c r="E332">
        <v>2.6386806596701602</v>
      </c>
    </row>
    <row r="333" spans="1:5">
      <c r="A333" t="s">
        <v>399</v>
      </c>
      <c r="B333" t="s">
        <v>400</v>
      </c>
      <c r="C333">
        <f>0</f>
        <v>0</v>
      </c>
      <c r="D333" t="s">
        <v>106</v>
      </c>
      <c r="E333">
        <v>24</v>
      </c>
    </row>
    <row r="334" spans="1:5">
      <c r="A334" t="s">
        <v>399</v>
      </c>
      <c r="B334" t="s">
        <v>401</v>
      </c>
      <c r="C334">
        <f>0.000640545287894</f>
        <v>6.4054528789400005E-4</v>
      </c>
      <c r="D334" t="s">
        <v>106</v>
      </c>
      <c r="E334">
        <v>24</v>
      </c>
    </row>
    <row r="335" spans="1:5">
      <c r="A335" t="s">
        <v>399</v>
      </c>
      <c r="B335" t="s">
        <v>402</v>
      </c>
      <c r="C335">
        <v>0</v>
      </c>
      <c r="D335" t="s">
        <v>106</v>
      </c>
      <c r="E335">
        <v>24</v>
      </c>
    </row>
    <row r="336" spans="1:5">
      <c r="A336" t="s">
        <v>399</v>
      </c>
      <c r="B336" t="s">
        <v>403</v>
      </c>
      <c r="C336">
        <f>0</f>
        <v>0</v>
      </c>
      <c r="D336" t="s">
        <v>106</v>
      </c>
      <c r="E336">
        <v>24</v>
      </c>
    </row>
    <row r="337" spans="1:5">
      <c r="A337" t="s">
        <v>399</v>
      </c>
      <c r="B337" t="s">
        <v>404</v>
      </c>
      <c r="C337">
        <f>0.00758383138777</f>
        <v>7.5838313877700002E-3</v>
      </c>
      <c r="D337" t="s">
        <v>106</v>
      </c>
      <c r="E337">
        <v>24</v>
      </c>
    </row>
    <row r="338" spans="1:5">
      <c r="A338" t="s">
        <v>399</v>
      </c>
      <c r="B338" t="s">
        <v>405</v>
      </c>
      <c r="C338">
        <f>0</f>
        <v>0</v>
      </c>
      <c r="D338" t="s">
        <v>106</v>
      </c>
      <c r="E338">
        <v>24</v>
      </c>
    </row>
    <row r="339" spans="1:5">
      <c r="A339" t="s">
        <v>406</v>
      </c>
      <c r="B339" t="s">
        <v>407</v>
      </c>
      <c r="C339">
        <v>0.204243937519</v>
      </c>
      <c r="D339">
        <v>0.36664281840399998</v>
      </c>
      <c r="E339">
        <v>7.0644677661169402</v>
      </c>
    </row>
    <row r="340" spans="1:5">
      <c r="A340" t="s">
        <v>406</v>
      </c>
      <c r="B340" t="s">
        <v>408</v>
      </c>
      <c r="C340">
        <v>0.21551877349199999</v>
      </c>
      <c r="D340">
        <v>0.36664281840399998</v>
      </c>
      <c r="E340">
        <v>7.0644677661169402</v>
      </c>
    </row>
    <row r="341" spans="1:5">
      <c r="A341" t="s">
        <v>406</v>
      </c>
      <c r="B341" t="s">
        <v>409</v>
      </c>
      <c r="C341">
        <v>0</v>
      </c>
      <c r="D341">
        <v>0.36664281840399998</v>
      </c>
      <c r="E341">
        <v>7.0644677661169402</v>
      </c>
    </row>
    <row r="342" spans="1:5">
      <c r="A342" t="s">
        <v>410</v>
      </c>
      <c r="B342" t="s">
        <v>411</v>
      </c>
      <c r="C342">
        <v>0.132498553982</v>
      </c>
      <c r="D342">
        <v>0.95295187510599999</v>
      </c>
      <c r="E342">
        <v>13.2653673163418</v>
      </c>
    </row>
    <row r="343" spans="1:5">
      <c r="A343" t="s">
        <v>410</v>
      </c>
      <c r="B343" t="s">
        <v>412</v>
      </c>
      <c r="C343">
        <f>0</f>
        <v>0</v>
      </c>
      <c r="D343">
        <v>0.95295187510599999</v>
      </c>
      <c r="E343">
        <v>13.2653673163418</v>
      </c>
    </row>
    <row r="344" spans="1:5">
      <c r="A344" t="s">
        <v>413</v>
      </c>
      <c r="B344" t="s">
        <v>414</v>
      </c>
      <c r="C344">
        <f>0.134097819495</f>
        <v>0.13409781949499999</v>
      </c>
      <c r="D344" t="s">
        <v>106</v>
      </c>
      <c r="E344">
        <v>23.7481259370314</v>
      </c>
    </row>
    <row r="345" spans="1:5">
      <c r="A345" t="s">
        <v>413</v>
      </c>
      <c r="B345" t="s">
        <v>415</v>
      </c>
      <c r="C345">
        <v>0</v>
      </c>
      <c r="D345" t="s">
        <v>106</v>
      </c>
      <c r="E345">
        <v>23.7481259370314</v>
      </c>
    </row>
    <row r="346" spans="1:5">
      <c r="A346" t="s">
        <v>413</v>
      </c>
      <c r="B346" t="s">
        <v>416</v>
      </c>
      <c r="C346">
        <v>9.0076286454399995E-2</v>
      </c>
      <c r="D346" t="s">
        <v>106</v>
      </c>
      <c r="E346">
        <v>23.7481259370314</v>
      </c>
    </row>
    <row r="347" spans="1:5">
      <c r="A347" t="s">
        <v>413</v>
      </c>
      <c r="B347" t="s">
        <v>417</v>
      </c>
      <c r="C347">
        <f>0</f>
        <v>0</v>
      </c>
      <c r="D347" t="s">
        <v>106</v>
      </c>
      <c r="E347">
        <v>23.7481259370314</v>
      </c>
    </row>
    <row r="348" spans="1:5">
      <c r="A348" t="s">
        <v>413</v>
      </c>
      <c r="B348" t="s">
        <v>418</v>
      </c>
      <c r="C348">
        <v>0</v>
      </c>
      <c r="D348" t="s">
        <v>106</v>
      </c>
      <c r="E348">
        <v>23.7481259370314</v>
      </c>
    </row>
    <row r="349" spans="1:5">
      <c r="A349" t="s">
        <v>413</v>
      </c>
      <c r="B349" t="s">
        <v>419</v>
      </c>
      <c r="C349">
        <f>0</f>
        <v>0</v>
      </c>
      <c r="D349" t="s">
        <v>106</v>
      </c>
      <c r="E349">
        <v>23.7481259370314</v>
      </c>
    </row>
    <row r="350" spans="1:5">
      <c r="A350" t="s">
        <v>420</v>
      </c>
      <c r="B350" t="s">
        <v>421</v>
      </c>
      <c r="C350">
        <f>0.218017287464</f>
        <v>0.21801728746400001</v>
      </c>
      <c r="D350" t="s">
        <v>106</v>
      </c>
      <c r="E350">
        <v>24</v>
      </c>
    </row>
    <row r="351" spans="1:5">
      <c r="A351" t="s">
        <v>420</v>
      </c>
      <c r="B351" t="s">
        <v>422</v>
      </c>
      <c r="C351">
        <f>0</f>
        <v>0</v>
      </c>
      <c r="D351" t="s">
        <v>106</v>
      </c>
      <c r="E351">
        <v>24</v>
      </c>
    </row>
    <row r="352" spans="1:5">
      <c r="A352" t="s">
        <v>420</v>
      </c>
      <c r="B352" t="s">
        <v>423</v>
      </c>
      <c r="C352">
        <f>0</f>
        <v>0</v>
      </c>
      <c r="D352" t="s">
        <v>106</v>
      </c>
      <c r="E352">
        <v>24</v>
      </c>
    </row>
    <row r="353" spans="1:5">
      <c r="A353" t="s">
        <v>424</v>
      </c>
      <c r="B353" t="s">
        <v>425</v>
      </c>
      <c r="C353">
        <f>0</f>
        <v>0</v>
      </c>
      <c r="D353">
        <v>0.99359208366600005</v>
      </c>
      <c r="E353">
        <v>24</v>
      </c>
    </row>
    <row r="354" spans="1:5">
      <c r="A354" t="s">
        <v>424</v>
      </c>
      <c r="B354" t="s">
        <v>426</v>
      </c>
      <c r="C354">
        <v>0</v>
      </c>
      <c r="D354">
        <v>0.99359208366600005</v>
      </c>
      <c r="E354">
        <v>24</v>
      </c>
    </row>
    <row r="355" spans="1:5">
      <c r="A355" t="s">
        <v>427</v>
      </c>
      <c r="B355" t="s">
        <v>428</v>
      </c>
      <c r="C355">
        <v>0</v>
      </c>
      <c r="D355">
        <v>0.76465557021200004</v>
      </c>
      <c r="E355">
        <v>6.0569715142428704</v>
      </c>
    </row>
    <row r="356" spans="1:5">
      <c r="A356" t="s">
        <v>429</v>
      </c>
      <c r="B356" t="s">
        <v>430</v>
      </c>
      <c r="C356">
        <v>0</v>
      </c>
      <c r="D356">
        <v>0.96554886448199995</v>
      </c>
      <c r="E356">
        <v>10.230884557721099</v>
      </c>
    </row>
    <row r="357" spans="1:5">
      <c r="A357" t="s">
        <v>429</v>
      </c>
      <c r="B357" t="s">
        <v>431</v>
      </c>
      <c r="C357">
        <f>0</f>
        <v>0</v>
      </c>
      <c r="D357">
        <v>0.96554886448199995</v>
      </c>
      <c r="E357">
        <v>10.230884557721099</v>
      </c>
    </row>
    <row r="358" spans="1:5">
      <c r="A358" t="s">
        <v>429</v>
      </c>
      <c r="B358" t="s">
        <v>432</v>
      </c>
      <c r="C358">
        <f>0.116165009633</f>
        <v>0.116165009633</v>
      </c>
      <c r="D358">
        <v>0.96554886448199995</v>
      </c>
      <c r="E358">
        <v>10.230884557721099</v>
      </c>
    </row>
    <row r="359" spans="1:5">
      <c r="A359" t="s">
        <v>429</v>
      </c>
      <c r="B359" t="s">
        <v>433</v>
      </c>
      <c r="C359">
        <f>0.275925560432</f>
        <v>0.27592556043200001</v>
      </c>
      <c r="D359">
        <v>0.96554886448199995</v>
      </c>
      <c r="E359">
        <v>10.230884557721099</v>
      </c>
    </row>
    <row r="360" spans="1:5">
      <c r="A360" t="s">
        <v>429</v>
      </c>
      <c r="B360" t="s">
        <v>434</v>
      </c>
      <c r="C360">
        <f>0</f>
        <v>0</v>
      </c>
      <c r="D360">
        <v>0.96554886448199995</v>
      </c>
      <c r="E360">
        <v>10.230884557721099</v>
      </c>
    </row>
    <row r="361" spans="1:5">
      <c r="A361" t="s">
        <v>429</v>
      </c>
      <c r="B361" t="s">
        <v>435</v>
      </c>
      <c r="C361">
        <f>0</f>
        <v>0</v>
      </c>
      <c r="D361">
        <v>0.96554886448199995</v>
      </c>
      <c r="E361">
        <v>10.230884557721099</v>
      </c>
    </row>
    <row r="362" spans="1:5">
      <c r="A362" t="s">
        <v>429</v>
      </c>
      <c r="B362" t="s">
        <v>436</v>
      </c>
      <c r="C362">
        <f>0</f>
        <v>0</v>
      </c>
      <c r="D362">
        <v>0.96554886448199995</v>
      </c>
      <c r="E362">
        <v>10.230884557721099</v>
      </c>
    </row>
    <row r="363" spans="1:5">
      <c r="A363" t="s">
        <v>429</v>
      </c>
      <c r="B363" t="s">
        <v>437</v>
      </c>
      <c r="C363">
        <f>0</f>
        <v>0</v>
      </c>
      <c r="D363">
        <v>0.96554886448199995</v>
      </c>
      <c r="E363">
        <v>10.230884557721099</v>
      </c>
    </row>
    <row r="364" spans="1:5">
      <c r="A364" t="s">
        <v>438</v>
      </c>
      <c r="B364" t="s">
        <v>439</v>
      </c>
      <c r="C364">
        <v>0</v>
      </c>
      <c r="D364">
        <v>0.90415722161099998</v>
      </c>
      <c r="E364">
        <v>20.965517241379299</v>
      </c>
    </row>
    <row r="365" spans="1:5">
      <c r="A365" t="s">
        <v>438</v>
      </c>
      <c r="B365" t="s">
        <v>440</v>
      </c>
      <c r="C365">
        <f>0</f>
        <v>0</v>
      </c>
      <c r="D365">
        <v>0.90415722161099998</v>
      </c>
      <c r="E365">
        <v>20.965517241379299</v>
      </c>
    </row>
    <row r="366" spans="1:5">
      <c r="A366" t="s">
        <v>438</v>
      </c>
      <c r="B366" t="s">
        <v>441</v>
      </c>
      <c r="C366">
        <v>0</v>
      </c>
      <c r="D366">
        <v>0.90415722161099998</v>
      </c>
      <c r="E366">
        <v>20.965517241379299</v>
      </c>
    </row>
    <row r="367" spans="1:5">
      <c r="A367" t="s">
        <v>438</v>
      </c>
      <c r="B367" t="s">
        <v>442</v>
      </c>
      <c r="C367">
        <f>0</f>
        <v>0</v>
      </c>
      <c r="D367">
        <v>0.90415722161099998</v>
      </c>
      <c r="E367">
        <v>20.965517241379299</v>
      </c>
    </row>
    <row r="368" spans="1:5">
      <c r="A368" t="s">
        <v>438</v>
      </c>
      <c r="B368" t="s">
        <v>443</v>
      </c>
      <c r="C368">
        <f>0</f>
        <v>0</v>
      </c>
      <c r="D368">
        <v>0.90415722161099998</v>
      </c>
      <c r="E368">
        <v>20.965517241379299</v>
      </c>
    </row>
    <row r="369" spans="1:5">
      <c r="A369" t="s">
        <v>438</v>
      </c>
      <c r="B369" t="s">
        <v>444</v>
      </c>
      <c r="C369">
        <f>0</f>
        <v>0</v>
      </c>
      <c r="D369">
        <v>0.90415722161099998</v>
      </c>
      <c r="E369">
        <v>20.965517241379299</v>
      </c>
    </row>
    <row r="370" spans="1:5">
      <c r="A370" t="s">
        <v>438</v>
      </c>
      <c r="B370" t="s">
        <v>445</v>
      </c>
      <c r="C370">
        <v>0</v>
      </c>
      <c r="D370">
        <v>0.90415722161099998</v>
      </c>
      <c r="E370">
        <v>20.965517241379299</v>
      </c>
    </row>
    <row r="371" spans="1:5">
      <c r="A371" t="s">
        <v>438</v>
      </c>
      <c r="B371" t="s">
        <v>446</v>
      </c>
      <c r="C371">
        <f>0.0827946251629</f>
        <v>8.2794625162899996E-2</v>
      </c>
      <c r="D371">
        <v>0.90415722161099998</v>
      </c>
      <c r="E371">
        <v>20.965517241379299</v>
      </c>
    </row>
    <row r="372" spans="1:5">
      <c r="A372" t="s">
        <v>438</v>
      </c>
      <c r="B372" t="s">
        <v>447</v>
      </c>
      <c r="C372">
        <f>0</f>
        <v>0</v>
      </c>
      <c r="D372">
        <v>0.90415722161099998</v>
      </c>
      <c r="E372">
        <v>20.965517241379299</v>
      </c>
    </row>
    <row r="373" spans="1:5">
      <c r="A373" t="s">
        <v>438</v>
      </c>
      <c r="B373" t="s">
        <v>448</v>
      </c>
      <c r="C373">
        <v>0</v>
      </c>
      <c r="D373">
        <v>0.90415722161099998</v>
      </c>
      <c r="E373">
        <v>20.965517241379299</v>
      </c>
    </row>
    <row r="374" spans="1:5">
      <c r="A374" t="s">
        <v>438</v>
      </c>
      <c r="B374" t="s">
        <v>449</v>
      </c>
      <c r="C374">
        <f>0</f>
        <v>0</v>
      </c>
      <c r="D374">
        <v>0.90415722161099998</v>
      </c>
      <c r="E374">
        <v>20.965517241379299</v>
      </c>
    </row>
    <row r="375" spans="1:5">
      <c r="A375" t="s">
        <v>438</v>
      </c>
      <c r="B375" t="s">
        <v>450</v>
      </c>
      <c r="C375">
        <f>0.00631562778187</f>
        <v>6.31562778187E-3</v>
      </c>
      <c r="D375">
        <v>0.90415722161099998</v>
      </c>
      <c r="E375">
        <v>20.965517241379299</v>
      </c>
    </row>
    <row r="376" spans="1:5">
      <c r="A376" t="s">
        <v>438</v>
      </c>
      <c r="B376" t="s">
        <v>451</v>
      </c>
      <c r="C376">
        <v>0</v>
      </c>
      <c r="D376">
        <v>0.90415722161099998</v>
      </c>
      <c r="E376">
        <v>20.965517241379299</v>
      </c>
    </row>
    <row r="377" spans="1:5">
      <c r="A377" t="s">
        <v>438</v>
      </c>
      <c r="B377" t="s">
        <v>452</v>
      </c>
      <c r="C377">
        <v>0</v>
      </c>
      <c r="D377">
        <v>0.90415722161099998</v>
      </c>
      <c r="E377">
        <v>20.965517241379299</v>
      </c>
    </row>
    <row r="378" spans="1:5">
      <c r="A378" t="s">
        <v>453</v>
      </c>
      <c r="B378" t="s">
        <v>454</v>
      </c>
      <c r="C378">
        <v>0</v>
      </c>
      <c r="D378" t="s">
        <v>106</v>
      </c>
      <c r="E378">
        <v>4.68965517241379</v>
      </c>
    </row>
    <row r="379" spans="1:5">
      <c r="A379" t="s">
        <v>453</v>
      </c>
      <c r="B379" t="s">
        <v>455</v>
      </c>
      <c r="C379">
        <v>0.58963278551800002</v>
      </c>
      <c r="D379" t="s">
        <v>106</v>
      </c>
      <c r="E379">
        <v>4.68965517241379</v>
      </c>
    </row>
    <row r="380" spans="1:5">
      <c r="A380" t="s">
        <v>453</v>
      </c>
      <c r="B380" t="s">
        <v>456</v>
      </c>
      <c r="C380">
        <f>0</f>
        <v>0</v>
      </c>
      <c r="D380" t="s">
        <v>106</v>
      </c>
      <c r="E380">
        <v>4.68965517241379</v>
      </c>
    </row>
    <row r="381" spans="1:5">
      <c r="A381" t="s">
        <v>453</v>
      </c>
      <c r="B381" t="s">
        <v>457</v>
      </c>
      <c r="C381">
        <f>0</f>
        <v>0</v>
      </c>
      <c r="D381" t="s">
        <v>106</v>
      </c>
      <c r="E381">
        <v>4.68965517241379</v>
      </c>
    </row>
    <row r="382" spans="1:5">
      <c r="A382" t="s">
        <v>453</v>
      </c>
      <c r="B382" t="s">
        <v>458</v>
      </c>
      <c r="C382">
        <f>0.124621461418</f>
        <v>0.124621461418</v>
      </c>
      <c r="D382" t="s">
        <v>106</v>
      </c>
      <c r="E382">
        <v>4.68965517241379</v>
      </c>
    </row>
    <row r="383" spans="1:5">
      <c r="A383" t="s">
        <v>453</v>
      </c>
      <c r="B383" t="s">
        <v>459</v>
      </c>
      <c r="C383">
        <f>0</f>
        <v>0</v>
      </c>
      <c r="D383" t="s">
        <v>106</v>
      </c>
      <c r="E383">
        <v>4.68965517241379</v>
      </c>
    </row>
    <row r="384" spans="1:5">
      <c r="A384" t="s">
        <v>460</v>
      </c>
      <c r="B384" t="s">
        <v>461</v>
      </c>
      <c r="C384">
        <f>-1.75214168919</f>
        <v>-1.7521416891899999</v>
      </c>
      <c r="D384">
        <v>0.74880741056</v>
      </c>
      <c r="E384">
        <v>6.9325337331334298</v>
      </c>
    </row>
    <row r="385" spans="1:5">
      <c r="A385" t="s">
        <v>460</v>
      </c>
      <c r="B385" t="s">
        <v>462</v>
      </c>
      <c r="C385">
        <v>0</v>
      </c>
      <c r="D385">
        <v>0.74880741056</v>
      </c>
      <c r="E385">
        <v>6.9325337331334298</v>
      </c>
    </row>
    <row r="386" spans="1:5">
      <c r="A386" t="s">
        <v>460</v>
      </c>
      <c r="B386" t="s">
        <v>463</v>
      </c>
      <c r="C386">
        <f>0</f>
        <v>0</v>
      </c>
      <c r="D386">
        <v>0.74880741056</v>
      </c>
      <c r="E386">
        <v>6.9325337331334298</v>
      </c>
    </row>
    <row r="387" spans="1:5">
      <c r="A387" t="s">
        <v>460</v>
      </c>
      <c r="B387" t="s">
        <v>464</v>
      </c>
      <c r="C387">
        <v>2.3984148536199998</v>
      </c>
      <c r="D387">
        <v>0.74880741056</v>
      </c>
      <c r="E387">
        <v>6.9325337331334298</v>
      </c>
    </row>
    <row r="388" spans="1:5">
      <c r="A388" t="s">
        <v>465</v>
      </c>
      <c r="B388" t="s">
        <v>466</v>
      </c>
      <c r="C388">
        <v>0.46488992862400003</v>
      </c>
      <c r="D388">
        <v>0.93367372896300005</v>
      </c>
      <c r="E388">
        <v>5.69715142428785</v>
      </c>
    </row>
    <row r="389" spans="1:5">
      <c r="A389" t="s">
        <v>465</v>
      </c>
      <c r="B389" t="s">
        <v>467</v>
      </c>
      <c r="C389">
        <f>0.208472701306</f>
        <v>0.20847270130600001</v>
      </c>
      <c r="D389">
        <v>0.93367372896300005</v>
      </c>
      <c r="E389">
        <v>5.69715142428785</v>
      </c>
    </row>
    <row r="390" spans="1:5">
      <c r="A390" t="s">
        <v>465</v>
      </c>
      <c r="B390" t="s">
        <v>468</v>
      </c>
      <c r="C390">
        <f>0</f>
        <v>0</v>
      </c>
      <c r="D390">
        <v>0.93367372896300005</v>
      </c>
      <c r="E390">
        <v>5.69715142428785</v>
      </c>
    </row>
    <row r="391" spans="1:5">
      <c r="A391" t="s">
        <v>465</v>
      </c>
      <c r="B391" t="s">
        <v>469</v>
      </c>
      <c r="C391">
        <f>0</f>
        <v>0</v>
      </c>
      <c r="D391">
        <v>0.93367372896300005</v>
      </c>
      <c r="E391">
        <v>5.69715142428785</v>
      </c>
    </row>
    <row r="392" spans="1:5">
      <c r="A392" t="s">
        <v>465</v>
      </c>
      <c r="B392" t="s">
        <v>470</v>
      </c>
      <c r="C392">
        <f>0</f>
        <v>0</v>
      </c>
      <c r="D392">
        <v>0.93367372896300005</v>
      </c>
      <c r="E392">
        <v>5.69715142428785</v>
      </c>
    </row>
    <row r="393" spans="1:5">
      <c r="A393" t="s">
        <v>471</v>
      </c>
      <c r="B393" t="s">
        <v>472</v>
      </c>
      <c r="C393">
        <f>0</f>
        <v>0</v>
      </c>
      <c r="D393">
        <v>0.80123332225099997</v>
      </c>
      <c r="E393">
        <v>0.77961019490254801</v>
      </c>
    </row>
    <row r="394" spans="1:5">
      <c r="A394" t="s">
        <v>471</v>
      </c>
      <c r="B394" t="s">
        <v>473</v>
      </c>
      <c r="C394">
        <f>0</f>
        <v>0</v>
      </c>
      <c r="D394">
        <v>0.80123332225099997</v>
      </c>
      <c r="E394">
        <v>0.77961019490254801</v>
      </c>
    </row>
    <row r="395" spans="1:5">
      <c r="A395" t="s">
        <v>471</v>
      </c>
      <c r="B395" t="s">
        <v>474</v>
      </c>
      <c r="C395">
        <v>0</v>
      </c>
      <c r="D395">
        <v>0.80123332225099997</v>
      </c>
      <c r="E395">
        <v>0.77961019490254801</v>
      </c>
    </row>
    <row r="396" spans="1:5">
      <c r="A396" t="s">
        <v>471</v>
      </c>
      <c r="B396" t="s">
        <v>475</v>
      </c>
      <c r="C396">
        <v>6.3574810170200002E-2</v>
      </c>
      <c r="D396">
        <v>0.80123332225099997</v>
      </c>
      <c r="E396">
        <v>0.77961019490254801</v>
      </c>
    </row>
    <row r="397" spans="1:5">
      <c r="A397" t="s">
        <v>471</v>
      </c>
      <c r="B397" t="s">
        <v>476</v>
      </c>
      <c r="C397">
        <v>0</v>
      </c>
      <c r="D397">
        <v>0.80123332225099997</v>
      </c>
      <c r="E397">
        <v>0.77961019490254801</v>
      </c>
    </row>
    <row r="398" spans="1:5">
      <c r="A398" t="s">
        <v>477</v>
      </c>
      <c r="B398" t="s">
        <v>478</v>
      </c>
      <c r="C398">
        <v>0</v>
      </c>
      <c r="D398">
        <v>0.98534487197300002</v>
      </c>
      <c r="E398">
        <v>11.8740629685157</v>
      </c>
    </row>
    <row r="399" spans="1:5">
      <c r="A399" t="s">
        <v>477</v>
      </c>
      <c r="B399" t="s">
        <v>479</v>
      </c>
      <c r="C399">
        <v>0</v>
      </c>
      <c r="D399">
        <v>0.98534487197300002</v>
      </c>
      <c r="E399">
        <v>11.8740629685157</v>
      </c>
    </row>
    <row r="400" spans="1:5">
      <c r="A400" t="s">
        <v>477</v>
      </c>
      <c r="B400" t="s">
        <v>480</v>
      </c>
      <c r="C400">
        <f>0</f>
        <v>0</v>
      </c>
      <c r="D400">
        <v>0.98534487197300002</v>
      </c>
      <c r="E400">
        <v>11.8740629685157</v>
      </c>
    </row>
    <row r="401" spans="1:5">
      <c r="A401" t="s">
        <v>477</v>
      </c>
      <c r="B401" t="s">
        <v>481</v>
      </c>
      <c r="C401">
        <v>0</v>
      </c>
      <c r="D401">
        <v>0.98534487197300002</v>
      </c>
      <c r="E401">
        <v>11.8740629685157</v>
      </c>
    </row>
    <row r="402" spans="1:5">
      <c r="A402" t="s">
        <v>477</v>
      </c>
      <c r="B402" t="s">
        <v>482</v>
      </c>
      <c r="C402">
        <f>0</f>
        <v>0</v>
      </c>
      <c r="D402">
        <v>0.98534487197300002</v>
      </c>
      <c r="E402">
        <v>11.8740629685157</v>
      </c>
    </row>
    <row r="403" spans="1:5">
      <c r="A403" t="s">
        <v>477</v>
      </c>
      <c r="B403" t="s">
        <v>483</v>
      </c>
      <c r="C403">
        <v>0.22975504828900001</v>
      </c>
      <c r="D403">
        <v>0.98534487197300002</v>
      </c>
      <c r="E403">
        <v>11.8740629685157</v>
      </c>
    </row>
    <row r="404" spans="1:5">
      <c r="A404" t="s">
        <v>477</v>
      </c>
      <c r="B404" t="s">
        <v>484</v>
      </c>
      <c r="C404">
        <v>4.1337700911600002E-2</v>
      </c>
      <c r="D404">
        <v>0.98534487197300002</v>
      </c>
      <c r="E404">
        <v>11.8740629685157</v>
      </c>
    </row>
    <row r="405" spans="1:5">
      <c r="A405" t="s">
        <v>477</v>
      </c>
      <c r="B405" t="s">
        <v>485</v>
      </c>
      <c r="C405">
        <v>0</v>
      </c>
      <c r="D405">
        <v>0.98534487197300002</v>
      </c>
      <c r="E405">
        <v>11.8740629685157</v>
      </c>
    </row>
    <row r="406" spans="1:5">
      <c r="A406" t="s">
        <v>477</v>
      </c>
      <c r="B406" t="s">
        <v>486</v>
      </c>
      <c r="C406">
        <f>0</f>
        <v>0</v>
      </c>
      <c r="D406">
        <v>0.98534487197300002</v>
      </c>
      <c r="E406">
        <v>11.8740629685157</v>
      </c>
    </row>
    <row r="407" spans="1:5">
      <c r="A407" t="s">
        <v>487</v>
      </c>
      <c r="B407" t="s">
        <v>488</v>
      </c>
      <c r="C407">
        <v>0</v>
      </c>
      <c r="D407">
        <v>0.94507787921499997</v>
      </c>
      <c r="E407">
        <v>9.4632683658170897</v>
      </c>
    </row>
    <row r="408" spans="1:5">
      <c r="A408" t="s">
        <v>487</v>
      </c>
      <c r="B408" t="s">
        <v>489</v>
      </c>
      <c r="C408">
        <v>0.16989152592500001</v>
      </c>
      <c r="D408">
        <v>0.94507787921499997</v>
      </c>
      <c r="E408">
        <v>9.4632683658170897</v>
      </c>
    </row>
    <row r="409" spans="1:5">
      <c r="A409" t="s">
        <v>487</v>
      </c>
      <c r="B409" t="s">
        <v>490</v>
      </c>
      <c r="C409">
        <v>0</v>
      </c>
      <c r="D409">
        <v>0.94507787921499997</v>
      </c>
      <c r="E409">
        <v>9.4632683658170897</v>
      </c>
    </row>
    <row r="410" spans="1:5">
      <c r="A410" t="s">
        <v>487</v>
      </c>
      <c r="B410" t="s">
        <v>491</v>
      </c>
      <c r="C410">
        <v>0</v>
      </c>
      <c r="D410">
        <v>0.94507787921499997</v>
      </c>
      <c r="E410">
        <v>9.4632683658170897</v>
      </c>
    </row>
    <row r="411" spans="1:5">
      <c r="A411" t="s">
        <v>487</v>
      </c>
      <c r="B411" t="s">
        <v>492</v>
      </c>
      <c r="C411">
        <v>0</v>
      </c>
      <c r="D411">
        <v>0.94507787921499997</v>
      </c>
      <c r="E411">
        <v>9.4632683658170897</v>
      </c>
    </row>
    <row r="412" spans="1:5">
      <c r="A412" t="s">
        <v>487</v>
      </c>
      <c r="B412" t="s">
        <v>493</v>
      </c>
      <c r="C412">
        <v>0</v>
      </c>
      <c r="D412">
        <v>0.94507787921499997</v>
      </c>
      <c r="E412">
        <v>9.4632683658170897</v>
      </c>
    </row>
    <row r="413" spans="1:5">
      <c r="A413" t="s">
        <v>494</v>
      </c>
      <c r="B413" t="s">
        <v>495</v>
      </c>
      <c r="C413">
        <v>0</v>
      </c>
      <c r="D413" t="s">
        <v>106</v>
      </c>
      <c r="E413">
        <v>2.0269865067466202</v>
      </c>
    </row>
    <row r="414" spans="1:5">
      <c r="A414" t="s">
        <v>494</v>
      </c>
      <c r="B414" t="s">
        <v>496</v>
      </c>
      <c r="C414">
        <v>0</v>
      </c>
      <c r="D414" t="s">
        <v>106</v>
      </c>
      <c r="E414">
        <v>2.0269865067466202</v>
      </c>
    </row>
    <row r="415" spans="1:5">
      <c r="A415" t="s">
        <v>494</v>
      </c>
      <c r="B415" t="s">
        <v>497</v>
      </c>
      <c r="C415">
        <f>0</f>
        <v>0</v>
      </c>
      <c r="D415" t="s">
        <v>106</v>
      </c>
      <c r="E415">
        <v>2.0269865067466202</v>
      </c>
    </row>
    <row r="416" spans="1:5">
      <c r="A416" t="s">
        <v>498</v>
      </c>
      <c r="B416" t="s">
        <v>499</v>
      </c>
      <c r="C416">
        <v>0</v>
      </c>
      <c r="D416" t="s">
        <v>106</v>
      </c>
      <c r="E416">
        <v>9.6191904047975996</v>
      </c>
    </row>
    <row r="417" spans="1:5">
      <c r="A417" t="s">
        <v>498</v>
      </c>
      <c r="B417" t="s">
        <v>500</v>
      </c>
      <c r="C417">
        <f>0</f>
        <v>0</v>
      </c>
      <c r="D417" t="s">
        <v>106</v>
      </c>
      <c r="E417">
        <v>9.6191904047975996</v>
      </c>
    </row>
    <row r="418" spans="1:5">
      <c r="A418" t="s">
        <v>498</v>
      </c>
      <c r="B418" t="s">
        <v>501</v>
      </c>
      <c r="C418">
        <v>0</v>
      </c>
      <c r="D418" t="s">
        <v>106</v>
      </c>
      <c r="E418">
        <v>9.6191904047975996</v>
      </c>
    </row>
    <row r="419" spans="1:5">
      <c r="A419" t="s">
        <v>498</v>
      </c>
      <c r="B419" t="s">
        <v>502</v>
      </c>
      <c r="C419">
        <f>0</f>
        <v>0</v>
      </c>
      <c r="D419" t="s">
        <v>106</v>
      </c>
      <c r="E419">
        <v>9.6191904047975996</v>
      </c>
    </row>
    <row r="420" spans="1:5">
      <c r="A420" t="s">
        <v>498</v>
      </c>
      <c r="B420" t="s">
        <v>503</v>
      </c>
      <c r="C420">
        <f>0</f>
        <v>0</v>
      </c>
      <c r="D420" t="s">
        <v>106</v>
      </c>
      <c r="E420">
        <v>9.6191904047975996</v>
      </c>
    </row>
    <row r="421" spans="1:5">
      <c r="A421" t="s">
        <v>498</v>
      </c>
      <c r="B421" t="s">
        <v>504</v>
      </c>
      <c r="C421">
        <f>0</f>
        <v>0</v>
      </c>
      <c r="D421" t="s">
        <v>106</v>
      </c>
      <c r="E421">
        <v>9.6191904047975996</v>
      </c>
    </row>
    <row r="422" spans="1:5">
      <c r="A422" t="s">
        <v>498</v>
      </c>
      <c r="B422" t="s">
        <v>505</v>
      </c>
      <c r="C422">
        <f>0</f>
        <v>0</v>
      </c>
      <c r="D422" t="s">
        <v>106</v>
      </c>
      <c r="E422">
        <v>9.6191904047975996</v>
      </c>
    </row>
    <row r="423" spans="1:5">
      <c r="A423" t="s">
        <v>506</v>
      </c>
      <c r="B423" t="s">
        <v>507</v>
      </c>
      <c r="C423">
        <v>0</v>
      </c>
      <c r="D423">
        <v>0.53247994466000004</v>
      </c>
      <c r="E423">
        <v>3.0464767616191901</v>
      </c>
    </row>
    <row r="424" spans="1:5">
      <c r="A424" t="s">
        <v>506</v>
      </c>
      <c r="B424" t="s">
        <v>508</v>
      </c>
      <c r="C424">
        <f>0</f>
        <v>0</v>
      </c>
      <c r="D424">
        <v>0.53247994466000004</v>
      </c>
      <c r="E424">
        <v>3.0464767616191901</v>
      </c>
    </row>
    <row r="425" spans="1:5">
      <c r="A425" t="s">
        <v>506</v>
      </c>
      <c r="B425" t="s">
        <v>509</v>
      </c>
      <c r="C425">
        <f>0.253603153119</f>
        <v>0.253603153119</v>
      </c>
      <c r="D425">
        <v>0.53247994466000004</v>
      </c>
      <c r="E425">
        <v>3.0464767616191901</v>
      </c>
    </row>
    <row r="426" spans="1:5">
      <c r="A426" t="s">
        <v>506</v>
      </c>
      <c r="B426" t="s">
        <v>510</v>
      </c>
      <c r="C426">
        <f>0</f>
        <v>0</v>
      </c>
      <c r="D426">
        <v>0.53247994466000004</v>
      </c>
      <c r="E426">
        <v>3.0464767616191901</v>
      </c>
    </row>
    <row r="427" spans="1:5">
      <c r="A427" t="s">
        <v>511</v>
      </c>
      <c r="B427" t="s">
        <v>512</v>
      </c>
      <c r="C427">
        <v>0</v>
      </c>
      <c r="D427" t="s">
        <v>106</v>
      </c>
      <c r="E427">
        <v>24</v>
      </c>
    </row>
    <row r="428" spans="1:5">
      <c r="A428" t="s">
        <v>511</v>
      </c>
      <c r="B428" t="s">
        <v>513</v>
      </c>
      <c r="C428">
        <v>0</v>
      </c>
      <c r="D428" t="s">
        <v>106</v>
      </c>
      <c r="E428">
        <v>24</v>
      </c>
    </row>
    <row r="429" spans="1:5">
      <c r="A429" t="s">
        <v>511</v>
      </c>
      <c r="B429" t="s">
        <v>514</v>
      </c>
      <c r="C429">
        <v>0</v>
      </c>
      <c r="D429" t="s">
        <v>106</v>
      </c>
      <c r="E429">
        <v>24</v>
      </c>
    </row>
    <row r="430" spans="1:5">
      <c r="A430" t="s">
        <v>511</v>
      </c>
      <c r="B430" t="s">
        <v>515</v>
      </c>
      <c r="C430">
        <f>0</f>
        <v>0</v>
      </c>
      <c r="D430" t="s">
        <v>106</v>
      </c>
      <c r="E430">
        <v>24</v>
      </c>
    </row>
    <row r="431" spans="1:5">
      <c r="A431" t="s">
        <v>516</v>
      </c>
      <c r="B431" t="s">
        <v>517</v>
      </c>
      <c r="C431">
        <v>0</v>
      </c>
      <c r="D431" t="s">
        <v>106</v>
      </c>
      <c r="E431">
        <v>17.103448275862</v>
      </c>
    </row>
    <row r="432" spans="1:5">
      <c r="A432" t="s">
        <v>516</v>
      </c>
      <c r="B432" t="s">
        <v>518</v>
      </c>
      <c r="C432">
        <f>0</f>
        <v>0</v>
      </c>
      <c r="D432" t="s">
        <v>106</v>
      </c>
      <c r="E432">
        <v>17.103448275862</v>
      </c>
    </row>
    <row r="433" spans="1:5">
      <c r="A433" t="s">
        <v>516</v>
      </c>
      <c r="B433" t="s">
        <v>519</v>
      </c>
      <c r="C433">
        <f>0</f>
        <v>0</v>
      </c>
      <c r="D433" t="s">
        <v>106</v>
      </c>
      <c r="E433">
        <v>17.103448275862</v>
      </c>
    </row>
    <row r="434" spans="1:5">
      <c r="A434" t="s">
        <v>516</v>
      </c>
      <c r="B434" t="s">
        <v>520</v>
      </c>
      <c r="C434">
        <f>0</f>
        <v>0</v>
      </c>
      <c r="D434" t="s">
        <v>106</v>
      </c>
      <c r="E434">
        <v>17.103448275862</v>
      </c>
    </row>
    <row r="435" spans="1:5">
      <c r="A435" t="s">
        <v>516</v>
      </c>
      <c r="B435" t="s">
        <v>521</v>
      </c>
      <c r="C435">
        <v>0</v>
      </c>
      <c r="D435" t="s">
        <v>106</v>
      </c>
      <c r="E435">
        <v>17.103448275862</v>
      </c>
    </row>
    <row r="436" spans="1:5">
      <c r="A436" t="s">
        <v>516</v>
      </c>
      <c r="B436" t="s">
        <v>522</v>
      </c>
      <c r="C436">
        <f>0</f>
        <v>0</v>
      </c>
      <c r="D436" t="s">
        <v>106</v>
      </c>
      <c r="E436">
        <v>17.103448275862</v>
      </c>
    </row>
    <row r="437" spans="1:5">
      <c r="A437" t="s">
        <v>516</v>
      </c>
      <c r="B437" t="s">
        <v>523</v>
      </c>
      <c r="C437">
        <f>0</f>
        <v>0</v>
      </c>
      <c r="D437" t="s">
        <v>106</v>
      </c>
      <c r="E437">
        <v>17.103448275862</v>
      </c>
    </row>
    <row r="438" spans="1:5">
      <c r="A438" t="s">
        <v>516</v>
      </c>
      <c r="B438" t="s">
        <v>524</v>
      </c>
      <c r="C438">
        <f>0</f>
        <v>0</v>
      </c>
      <c r="D438" t="s">
        <v>106</v>
      </c>
      <c r="E438">
        <v>17.103448275862</v>
      </c>
    </row>
    <row r="439" spans="1:5">
      <c r="A439" t="s">
        <v>516</v>
      </c>
      <c r="B439" t="s">
        <v>525</v>
      </c>
      <c r="C439">
        <v>0</v>
      </c>
      <c r="D439" t="s">
        <v>106</v>
      </c>
      <c r="E439">
        <v>17.103448275862</v>
      </c>
    </row>
    <row r="440" spans="1:5">
      <c r="A440" t="s">
        <v>526</v>
      </c>
      <c r="B440" t="s">
        <v>527</v>
      </c>
      <c r="C440">
        <f>0.0712008705589</f>
        <v>7.1200870558899995E-2</v>
      </c>
      <c r="D440">
        <v>0.95298351844999996</v>
      </c>
      <c r="E440">
        <v>23.040479760119901</v>
      </c>
    </row>
    <row r="441" spans="1:5">
      <c r="A441" t="s">
        <v>526</v>
      </c>
      <c r="B441" t="s">
        <v>528</v>
      </c>
      <c r="C441">
        <f>0.0766716504197</f>
        <v>7.6671650419700005E-2</v>
      </c>
      <c r="D441">
        <v>0.95298351844999996</v>
      </c>
      <c r="E441">
        <v>23.040479760119901</v>
      </c>
    </row>
    <row r="442" spans="1:5">
      <c r="A442" t="s">
        <v>526</v>
      </c>
      <c r="B442" t="s">
        <v>529</v>
      </c>
      <c r="C442">
        <f>0</f>
        <v>0</v>
      </c>
      <c r="D442">
        <v>0.95298351844999996</v>
      </c>
      <c r="E442">
        <v>23.040479760119901</v>
      </c>
    </row>
    <row r="443" spans="1:5">
      <c r="A443" t="s">
        <v>526</v>
      </c>
      <c r="B443" t="s">
        <v>530</v>
      </c>
      <c r="C443">
        <f>0</f>
        <v>0</v>
      </c>
      <c r="D443">
        <v>0.95298351844999996</v>
      </c>
      <c r="E443">
        <v>23.040479760119901</v>
      </c>
    </row>
    <row r="444" spans="1:5">
      <c r="A444" t="s">
        <v>526</v>
      </c>
      <c r="B444" t="s">
        <v>531</v>
      </c>
      <c r="C444">
        <f>0</f>
        <v>0</v>
      </c>
      <c r="D444">
        <v>0.95298351844999996</v>
      </c>
      <c r="E444">
        <v>23.040479760119901</v>
      </c>
    </row>
    <row r="445" spans="1:5">
      <c r="A445" t="s">
        <v>532</v>
      </c>
      <c r="B445" t="s">
        <v>533</v>
      </c>
      <c r="C445">
        <v>0</v>
      </c>
      <c r="D445">
        <v>0.81996333764700002</v>
      </c>
      <c r="E445">
        <v>8.1439280359820092</v>
      </c>
    </row>
    <row r="446" spans="1:5">
      <c r="A446" t="s">
        <v>532</v>
      </c>
      <c r="B446" t="s">
        <v>534</v>
      </c>
      <c r="C446">
        <v>0</v>
      </c>
      <c r="D446">
        <v>0.81996333764700002</v>
      </c>
      <c r="E446">
        <v>8.1439280359820092</v>
      </c>
    </row>
    <row r="447" spans="1:5">
      <c r="A447" t="s">
        <v>532</v>
      </c>
      <c r="B447" t="s">
        <v>535</v>
      </c>
      <c r="C447">
        <v>0.25438478203199999</v>
      </c>
      <c r="D447">
        <v>0.81996333764700002</v>
      </c>
      <c r="E447">
        <v>8.1439280359820092</v>
      </c>
    </row>
    <row r="448" spans="1:5">
      <c r="A448" t="s">
        <v>532</v>
      </c>
      <c r="B448" t="s">
        <v>536</v>
      </c>
      <c r="C448">
        <v>0</v>
      </c>
      <c r="D448">
        <v>0.81996333764700002</v>
      </c>
      <c r="E448">
        <v>8.1439280359820092</v>
      </c>
    </row>
    <row r="449" spans="1:5">
      <c r="A449" t="s">
        <v>532</v>
      </c>
      <c r="B449" t="s">
        <v>537</v>
      </c>
      <c r="C449">
        <v>0</v>
      </c>
      <c r="D449">
        <v>0.81996333764700002</v>
      </c>
      <c r="E449">
        <v>8.1439280359820092</v>
      </c>
    </row>
    <row r="450" spans="1:5">
      <c r="A450" t="s">
        <v>538</v>
      </c>
      <c r="B450" t="s">
        <v>539</v>
      </c>
      <c r="C450">
        <f>0</f>
        <v>0</v>
      </c>
      <c r="D450" t="s">
        <v>106</v>
      </c>
      <c r="E450">
        <v>16.095952023988001</v>
      </c>
    </row>
    <row r="451" spans="1:5">
      <c r="A451" t="s">
        <v>538</v>
      </c>
      <c r="B451" t="s">
        <v>540</v>
      </c>
      <c r="C451">
        <v>0</v>
      </c>
      <c r="D451" t="s">
        <v>106</v>
      </c>
      <c r="E451">
        <v>16.095952023988001</v>
      </c>
    </row>
    <row r="452" spans="1:5">
      <c r="A452" t="s">
        <v>538</v>
      </c>
      <c r="B452" t="s">
        <v>541</v>
      </c>
      <c r="C452">
        <f>0</f>
        <v>0</v>
      </c>
      <c r="D452" t="s">
        <v>106</v>
      </c>
      <c r="E452">
        <v>16.095952023988001</v>
      </c>
    </row>
    <row r="453" spans="1:5">
      <c r="A453" t="s">
        <v>538</v>
      </c>
      <c r="B453" t="s">
        <v>542</v>
      </c>
      <c r="C453">
        <f>0</f>
        <v>0</v>
      </c>
      <c r="D453" t="s">
        <v>106</v>
      </c>
      <c r="E453">
        <v>16.095952023988001</v>
      </c>
    </row>
    <row r="454" spans="1:5">
      <c r="A454" t="s">
        <v>538</v>
      </c>
      <c r="B454" t="s">
        <v>543</v>
      </c>
      <c r="C454">
        <v>0</v>
      </c>
      <c r="D454" t="s">
        <v>106</v>
      </c>
      <c r="E454">
        <v>16.095952023988001</v>
      </c>
    </row>
    <row r="455" spans="1:5">
      <c r="A455" t="s">
        <v>538</v>
      </c>
      <c r="B455" t="s">
        <v>544</v>
      </c>
      <c r="C455">
        <v>0</v>
      </c>
      <c r="D455" t="s">
        <v>106</v>
      </c>
      <c r="E455">
        <v>16.095952023988001</v>
      </c>
    </row>
    <row r="456" spans="1:5">
      <c r="A456" t="s">
        <v>545</v>
      </c>
      <c r="B456" t="s">
        <v>546</v>
      </c>
      <c r="C456">
        <f>0</f>
        <v>0</v>
      </c>
      <c r="D456">
        <v>0.80230212821799995</v>
      </c>
      <c r="E456">
        <v>2.0269865067466202</v>
      </c>
    </row>
    <row r="457" spans="1:5">
      <c r="A457" t="s">
        <v>545</v>
      </c>
      <c r="B457" t="s">
        <v>547</v>
      </c>
      <c r="C457">
        <f>0</f>
        <v>0</v>
      </c>
      <c r="D457">
        <v>0.80230212821799995</v>
      </c>
      <c r="E457">
        <v>2.0269865067466202</v>
      </c>
    </row>
    <row r="458" spans="1:5">
      <c r="A458" t="s">
        <v>545</v>
      </c>
      <c r="B458" t="s">
        <v>548</v>
      </c>
      <c r="C458">
        <f>0</f>
        <v>0</v>
      </c>
      <c r="D458">
        <v>0.80230212821799995</v>
      </c>
      <c r="E458">
        <v>2.0269865067466202</v>
      </c>
    </row>
    <row r="459" spans="1:5">
      <c r="A459" t="s">
        <v>545</v>
      </c>
      <c r="B459" t="s">
        <v>549</v>
      </c>
      <c r="C459">
        <f>0</f>
        <v>0</v>
      </c>
      <c r="D459">
        <v>0.80230212821799995</v>
      </c>
      <c r="E459">
        <v>2.0269865067466202</v>
      </c>
    </row>
    <row r="460" spans="1:5">
      <c r="A460" t="s">
        <v>545</v>
      </c>
      <c r="B460" t="s">
        <v>550</v>
      </c>
      <c r="C460">
        <v>0.27913647020299998</v>
      </c>
      <c r="D460">
        <v>0.80230212821799995</v>
      </c>
      <c r="E460">
        <v>2.0269865067466202</v>
      </c>
    </row>
    <row r="461" spans="1:5">
      <c r="A461" t="s">
        <v>545</v>
      </c>
      <c r="B461" t="s">
        <v>551</v>
      </c>
      <c r="C461">
        <f>0</f>
        <v>0</v>
      </c>
      <c r="D461">
        <v>0.80230212821799995</v>
      </c>
      <c r="E461">
        <v>2.0269865067466202</v>
      </c>
    </row>
    <row r="462" spans="1:5">
      <c r="A462" t="s">
        <v>545</v>
      </c>
      <c r="B462" t="s">
        <v>552</v>
      </c>
      <c r="C462">
        <f>0.0671156144568</f>
        <v>6.7115614456800005E-2</v>
      </c>
      <c r="D462">
        <v>0.80230212821799995</v>
      </c>
      <c r="E462">
        <v>2.0269865067466202</v>
      </c>
    </row>
    <row r="463" spans="1:5">
      <c r="A463" t="s">
        <v>553</v>
      </c>
      <c r="B463" t="s">
        <v>554</v>
      </c>
      <c r="C463">
        <v>0</v>
      </c>
      <c r="D463" t="s">
        <v>106</v>
      </c>
      <c r="E463">
        <v>11.7061469265367</v>
      </c>
    </row>
    <row r="464" spans="1:5">
      <c r="A464" t="s">
        <v>553</v>
      </c>
      <c r="B464" t="s">
        <v>555</v>
      </c>
      <c r="C464">
        <f>0</f>
        <v>0</v>
      </c>
      <c r="D464" t="s">
        <v>106</v>
      </c>
      <c r="E464">
        <v>11.7061469265367</v>
      </c>
    </row>
    <row r="465" spans="1:5">
      <c r="A465" t="s">
        <v>553</v>
      </c>
      <c r="B465" t="s">
        <v>556</v>
      </c>
      <c r="C465">
        <v>0</v>
      </c>
      <c r="D465" t="s">
        <v>106</v>
      </c>
      <c r="E465">
        <v>11.7061469265367</v>
      </c>
    </row>
    <row r="466" spans="1:5">
      <c r="A466" t="s">
        <v>553</v>
      </c>
      <c r="B466" t="s">
        <v>557</v>
      </c>
      <c r="C466">
        <v>0</v>
      </c>
      <c r="D466" t="s">
        <v>106</v>
      </c>
      <c r="E466">
        <v>11.7061469265367</v>
      </c>
    </row>
    <row r="467" spans="1:5">
      <c r="A467" t="s">
        <v>553</v>
      </c>
      <c r="B467" t="s">
        <v>558</v>
      </c>
      <c r="C467">
        <v>0</v>
      </c>
      <c r="D467" t="s">
        <v>106</v>
      </c>
      <c r="E467">
        <v>11.7061469265367</v>
      </c>
    </row>
    <row r="468" spans="1:5">
      <c r="A468" t="s">
        <v>553</v>
      </c>
      <c r="B468" t="s">
        <v>559</v>
      </c>
      <c r="C468">
        <v>0</v>
      </c>
      <c r="D468" t="s">
        <v>106</v>
      </c>
      <c r="E468">
        <v>11.7061469265367</v>
      </c>
    </row>
    <row r="469" spans="1:5">
      <c r="A469" t="s">
        <v>553</v>
      </c>
      <c r="B469" t="s">
        <v>560</v>
      </c>
      <c r="C469">
        <v>0</v>
      </c>
      <c r="D469" t="s">
        <v>106</v>
      </c>
      <c r="E469">
        <v>11.7061469265367</v>
      </c>
    </row>
    <row r="470" spans="1:5">
      <c r="A470" t="s">
        <v>553</v>
      </c>
      <c r="B470" t="s">
        <v>561</v>
      </c>
      <c r="C470">
        <v>0</v>
      </c>
      <c r="D470" t="s">
        <v>106</v>
      </c>
      <c r="E470">
        <v>11.7061469265367</v>
      </c>
    </row>
    <row r="471" spans="1:5">
      <c r="A471" t="s">
        <v>553</v>
      </c>
      <c r="B471" t="s">
        <v>562</v>
      </c>
      <c r="C471">
        <v>0</v>
      </c>
      <c r="D471" t="s">
        <v>106</v>
      </c>
      <c r="E471">
        <v>11.7061469265367</v>
      </c>
    </row>
    <row r="472" spans="1:5">
      <c r="A472" t="s">
        <v>553</v>
      </c>
      <c r="B472" t="s">
        <v>563</v>
      </c>
      <c r="C472">
        <v>0</v>
      </c>
      <c r="D472" t="s">
        <v>106</v>
      </c>
      <c r="E472">
        <v>11.7061469265367</v>
      </c>
    </row>
    <row r="473" spans="1:5">
      <c r="A473" t="s">
        <v>553</v>
      </c>
      <c r="B473" t="s">
        <v>564</v>
      </c>
      <c r="C473">
        <v>0</v>
      </c>
      <c r="D473" t="s">
        <v>106</v>
      </c>
      <c r="E473">
        <v>11.7061469265367</v>
      </c>
    </row>
    <row r="474" spans="1:5">
      <c r="A474" t="s">
        <v>553</v>
      </c>
      <c r="B474" t="s">
        <v>565</v>
      </c>
      <c r="C474">
        <v>0</v>
      </c>
      <c r="D474" t="s">
        <v>106</v>
      </c>
      <c r="E474">
        <v>11.7061469265367</v>
      </c>
    </row>
    <row r="475" spans="1:5">
      <c r="A475" t="s">
        <v>566</v>
      </c>
      <c r="B475" t="s">
        <v>567</v>
      </c>
      <c r="C475">
        <f>0.155595342399</f>
        <v>0.155595342399</v>
      </c>
      <c r="D475" t="s">
        <v>106</v>
      </c>
      <c r="E475">
        <v>23.508245877061398</v>
      </c>
    </row>
    <row r="476" spans="1:5">
      <c r="A476" t="s">
        <v>566</v>
      </c>
      <c r="B476" t="s">
        <v>568</v>
      </c>
      <c r="C476">
        <f>0.0769801944764</f>
        <v>7.6980194476400005E-2</v>
      </c>
      <c r="D476" t="s">
        <v>106</v>
      </c>
      <c r="E476">
        <v>23.508245877061398</v>
      </c>
    </row>
    <row r="477" spans="1:5">
      <c r="A477" t="s">
        <v>569</v>
      </c>
      <c r="B477" t="s">
        <v>570</v>
      </c>
      <c r="C477">
        <v>0</v>
      </c>
      <c r="D477" t="s">
        <v>106</v>
      </c>
      <c r="E477">
        <v>3.7781109445277301</v>
      </c>
    </row>
    <row r="478" spans="1:5">
      <c r="A478" t="s">
        <v>569</v>
      </c>
      <c r="B478" t="s">
        <v>571</v>
      </c>
      <c r="C478">
        <v>1.4266254602300001E-2</v>
      </c>
      <c r="D478" t="s">
        <v>106</v>
      </c>
      <c r="E478">
        <v>3.7781109445277301</v>
      </c>
    </row>
    <row r="479" spans="1:5">
      <c r="A479" t="s">
        <v>569</v>
      </c>
      <c r="B479" t="s">
        <v>572</v>
      </c>
      <c r="C479">
        <v>6.3401766047799998E-2</v>
      </c>
      <c r="D479" t="s">
        <v>106</v>
      </c>
      <c r="E479">
        <v>3.7781109445277301</v>
      </c>
    </row>
    <row r="480" spans="1:5">
      <c r="A480" t="s">
        <v>569</v>
      </c>
      <c r="B480" t="s">
        <v>573</v>
      </c>
      <c r="C480">
        <v>0</v>
      </c>
      <c r="D480" t="s">
        <v>106</v>
      </c>
      <c r="E480">
        <v>3.7781109445277301</v>
      </c>
    </row>
    <row r="481" spans="1:5">
      <c r="A481" t="s">
        <v>569</v>
      </c>
      <c r="B481" t="s">
        <v>574</v>
      </c>
      <c r="C481">
        <f>0</f>
        <v>0</v>
      </c>
      <c r="D481" t="s">
        <v>106</v>
      </c>
      <c r="E481">
        <v>3.7781109445277301</v>
      </c>
    </row>
    <row r="482" spans="1:5">
      <c r="A482" t="s">
        <v>569</v>
      </c>
      <c r="B482" t="s">
        <v>575</v>
      </c>
      <c r="C482">
        <v>0</v>
      </c>
      <c r="D482" t="s">
        <v>106</v>
      </c>
      <c r="E482">
        <v>3.7781109445277301</v>
      </c>
    </row>
    <row r="483" spans="1:5">
      <c r="A483" t="s">
        <v>569</v>
      </c>
      <c r="B483" t="s">
        <v>576</v>
      </c>
      <c r="C483">
        <v>0</v>
      </c>
      <c r="D483" t="s">
        <v>106</v>
      </c>
      <c r="E483">
        <v>3.7781109445277301</v>
      </c>
    </row>
    <row r="484" spans="1:5">
      <c r="A484" t="s">
        <v>569</v>
      </c>
      <c r="B484" t="s">
        <v>577</v>
      </c>
      <c r="C484">
        <v>0</v>
      </c>
      <c r="D484" t="s">
        <v>106</v>
      </c>
      <c r="E484">
        <v>3.7781109445277301</v>
      </c>
    </row>
    <row r="485" spans="1:5">
      <c r="A485" t="s">
        <v>569</v>
      </c>
      <c r="B485" t="s">
        <v>578</v>
      </c>
      <c r="C485">
        <v>0</v>
      </c>
      <c r="D485" t="s">
        <v>106</v>
      </c>
      <c r="E485">
        <v>3.7781109445277301</v>
      </c>
    </row>
    <row r="486" spans="1:5">
      <c r="A486" t="s">
        <v>579</v>
      </c>
      <c r="B486" t="s">
        <v>580</v>
      </c>
      <c r="C486">
        <f>0</f>
        <v>0</v>
      </c>
      <c r="D486">
        <v>0.97695394713700001</v>
      </c>
      <c r="E486">
        <v>0</v>
      </c>
    </row>
    <row r="487" spans="1:5">
      <c r="A487" t="s">
        <v>579</v>
      </c>
      <c r="B487" t="s">
        <v>581</v>
      </c>
      <c r="C487">
        <f>0</f>
        <v>0</v>
      </c>
      <c r="D487">
        <v>0.97695394713700001</v>
      </c>
      <c r="E487">
        <v>0</v>
      </c>
    </row>
    <row r="488" spans="1:5">
      <c r="A488" t="s">
        <v>579</v>
      </c>
      <c r="B488" t="s">
        <v>582</v>
      </c>
      <c r="C488">
        <v>0.76812764277400003</v>
      </c>
      <c r="D488">
        <v>0.97695394713700001</v>
      </c>
      <c r="E488">
        <v>0</v>
      </c>
    </row>
    <row r="489" spans="1:5">
      <c r="A489" t="s">
        <v>579</v>
      </c>
      <c r="B489" t="s">
        <v>583</v>
      </c>
      <c r="C489">
        <f>0.132622837824</f>
        <v>0.132622837824</v>
      </c>
      <c r="D489">
        <v>0.97695394713700001</v>
      </c>
      <c r="E489">
        <v>0</v>
      </c>
    </row>
    <row r="490" spans="1:5">
      <c r="A490" t="s">
        <v>579</v>
      </c>
      <c r="B490" t="s">
        <v>584</v>
      </c>
      <c r="C490">
        <v>0</v>
      </c>
      <c r="D490">
        <v>0.97695394713700001</v>
      </c>
      <c r="E490">
        <v>0</v>
      </c>
    </row>
    <row r="491" spans="1:5">
      <c r="A491" t="s">
        <v>579</v>
      </c>
      <c r="B491" t="s">
        <v>585</v>
      </c>
      <c r="C491">
        <f>0</f>
        <v>0</v>
      </c>
      <c r="D491">
        <v>0.97695394713700001</v>
      </c>
      <c r="E491">
        <v>0</v>
      </c>
    </row>
    <row r="492" spans="1:5">
      <c r="A492" t="s">
        <v>586</v>
      </c>
      <c r="B492" t="s">
        <v>587</v>
      </c>
      <c r="C492">
        <v>0.30009545084900002</v>
      </c>
      <c r="D492">
        <v>0.98802616154400003</v>
      </c>
      <c r="E492">
        <v>12.7376311844077</v>
      </c>
    </row>
    <row r="493" spans="1:5">
      <c r="A493" t="s">
        <v>586</v>
      </c>
      <c r="B493" t="s">
        <v>588</v>
      </c>
      <c r="C493">
        <v>4.4479281500100004E-3</v>
      </c>
      <c r="D493">
        <v>0.98802616154400003</v>
      </c>
      <c r="E493">
        <v>12.7376311844077</v>
      </c>
    </row>
    <row r="494" spans="1:5">
      <c r="A494" t="s">
        <v>586</v>
      </c>
      <c r="B494" t="s">
        <v>589</v>
      </c>
      <c r="C494">
        <v>0</v>
      </c>
      <c r="D494">
        <v>0.98802616154400003</v>
      </c>
      <c r="E494">
        <v>12.7376311844077</v>
      </c>
    </row>
    <row r="495" spans="1:5">
      <c r="A495" t="s">
        <v>586</v>
      </c>
      <c r="B495" t="s">
        <v>590</v>
      </c>
      <c r="C495">
        <v>0</v>
      </c>
      <c r="D495">
        <v>0.98802616154400003</v>
      </c>
      <c r="E495">
        <v>12.7376311844077</v>
      </c>
    </row>
    <row r="496" spans="1:5">
      <c r="A496" t="s">
        <v>586</v>
      </c>
      <c r="B496" t="s">
        <v>591</v>
      </c>
      <c r="C496">
        <v>0</v>
      </c>
      <c r="D496">
        <v>0.98802616154400003</v>
      </c>
      <c r="E496">
        <v>12.7376311844077</v>
      </c>
    </row>
    <row r="497" spans="1:5">
      <c r="A497" t="s">
        <v>592</v>
      </c>
      <c r="B497" t="s">
        <v>593</v>
      </c>
      <c r="C497">
        <v>0</v>
      </c>
      <c r="D497">
        <v>0.84036060671000001</v>
      </c>
      <c r="E497">
        <v>2.96251874062968</v>
      </c>
    </row>
    <row r="498" spans="1:5">
      <c r="A498" t="s">
        <v>592</v>
      </c>
      <c r="B498" t="s">
        <v>594</v>
      </c>
      <c r="C498">
        <v>0.576340245237</v>
      </c>
      <c r="D498">
        <v>0.84036060671000001</v>
      </c>
      <c r="E498">
        <v>2.96251874062968</v>
      </c>
    </row>
    <row r="499" spans="1:5">
      <c r="A499" t="s">
        <v>595</v>
      </c>
      <c r="B499" t="s">
        <v>596</v>
      </c>
      <c r="C499">
        <v>0.62443507020800004</v>
      </c>
      <c r="D499">
        <v>0.93767140089500001</v>
      </c>
      <c r="E499">
        <v>7.4602698650674597</v>
      </c>
    </row>
    <row r="500" spans="1:5">
      <c r="A500" t="s">
        <v>597</v>
      </c>
      <c r="B500" t="s">
        <v>598</v>
      </c>
      <c r="C500">
        <f>0</f>
        <v>0</v>
      </c>
      <c r="D500" t="s">
        <v>106</v>
      </c>
      <c r="E500">
        <v>24</v>
      </c>
    </row>
    <row r="501" spans="1:5">
      <c r="A501" t="s">
        <v>597</v>
      </c>
      <c r="B501" t="s">
        <v>599</v>
      </c>
      <c r="C501">
        <f>0</f>
        <v>0</v>
      </c>
      <c r="D501" t="s">
        <v>106</v>
      </c>
      <c r="E501">
        <v>24</v>
      </c>
    </row>
    <row r="502" spans="1:5">
      <c r="A502" t="s">
        <v>597</v>
      </c>
      <c r="B502" t="s">
        <v>600</v>
      </c>
      <c r="C502">
        <v>0</v>
      </c>
      <c r="D502" t="s">
        <v>106</v>
      </c>
      <c r="E502">
        <v>24</v>
      </c>
    </row>
    <row r="503" spans="1:5">
      <c r="A503" t="s">
        <v>597</v>
      </c>
      <c r="B503" t="s">
        <v>601</v>
      </c>
      <c r="C503">
        <v>0</v>
      </c>
      <c r="D503" t="s">
        <v>106</v>
      </c>
      <c r="E503">
        <v>24</v>
      </c>
    </row>
    <row r="504" spans="1:5">
      <c r="A504" t="s">
        <v>597</v>
      </c>
      <c r="B504" t="s">
        <v>602</v>
      </c>
      <c r="C504">
        <f>0</f>
        <v>0</v>
      </c>
      <c r="D504" t="s">
        <v>106</v>
      </c>
      <c r="E504">
        <v>24</v>
      </c>
    </row>
    <row r="505" spans="1:5">
      <c r="A505" t="s">
        <v>597</v>
      </c>
      <c r="B505" t="s">
        <v>603</v>
      </c>
      <c r="C505">
        <v>0</v>
      </c>
      <c r="D505" t="s">
        <v>106</v>
      </c>
      <c r="E505">
        <v>24</v>
      </c>
    </row>
    <row r="506" spans="1:5">
      <c r="A506" t="s">
        <v>597</v>
      </c>
      <c r="B506" t="s">
        <v>604</v>
      </c>
      <c r="C506">
        <v>0</v>
      </c>
      <c r="D506" t="s">
        <v>106</v>
      </c>
      <c r="E506">
        <v>24</v>
      </c>
    </row>
    <row r="507" spans="1:5">
      <c r="A507" t="s">
        <v>597</v>
      </c>
      <c r="B507" t="s">
        <v>605</v>
      </c>
      <c r="C507">
        <f>0</f>
        <v>0</v>
      </c>
      <c r="D507" t="s">
        <v>106</v>
      </c>
      <c r="E507">
        <v>24</v>
      </c>
    </row>
    <row r="508" spans="1:5">
      <c r="A508" t="s">
        <v>597</v>
      </c>
      <c r="B508" t="s">
        <v>606</v>
      </c>
      <c r="C508">
        <f>0.0125977781088</f>
        <v>1.2597778108800001E-2</v>
      </c>
      <c r="D508" t="s">
        <v>106</v>
      </c>
      <c r="E508">
        <v>24</v>
      </c>
    </row>
    <row r="509" spans="1:5">
      <c r="A509" t="s">
        <v>597</v>
      </c>
      <c r="B509" t="s">
        <v>607</v>
      </c>
      <c r="C509">
        <f>0</f>
        <v>0</v>
      </c>
      <c r="D509" t="s">
        <v>106</v>
      </c>
      <c r="E509">
        <v>24</v>
      </c>
    </row>
    <row r="510" spans="1:5">
      <c r="A510" t="s">
        <v>597</v>
      </c>
      <c r="B510" t="s">
        <v>608</v>
      </c>
      <c r="C510">
        <f>0</f>
        <v>0</v>
      </c>
      <c r="D510" t="s">
        <v>106</v>
      </c>
      <c r="E510">
        <v>24</v>
      </c>
    </row>
    <row r="511" spans="1:5">
      <c r="A511" t="s">
        <v>597</v>
      </c>
      <c r="B511" t="s">
        <v>609</v>
      </c>
      <c r="C511">
        <f>0</f>
        <v>0</v>
      </c>
      <c r="D511" t="s">
        <v>106</v>
      </c>
      <c r="E511">
        <v>24</v>
      </c>
    </row>
    <row r="512" spans="1:5">
      <c r="A512" t="s">
        <v>597</v>
      </c>
      <c r="B512" t="s">
        <v>610</v>
      </c>
      <c r="C512">
        <v>0</v>
      </c>
      <c r="D512" t="s">
        <v>106</v>
      </c>
      <c r="E512">
        <v>24</v>
      </c>
    </row>
    <row r="513" spans="1:5">
      <c r="A513" t="s">
        <v>597</v>
      </c>
      <c r="B513" t="s">
        <v>611</v>
      </c>
      <c r="C513">
        <v>0</v>
      </c>
      <c r="D513" t="s">
        <v>106</v>
      </c>
      <c r="E513">
        <v>24</v>
      </c>
    </row>
    <row r="514" spans="1:5">
      <c r="A514" t="s">
        <v>597</v>
      </c>
      <c r="B514" t="s">
        <v>612</v>
      </c>
      <c r="C514">
        <f>0.00853571666098</f>
        <v>8.5357166609800004E-3</v>
      </c>
      <c r="D514" t="s">
        <v>106</v>
      </c>
      <c r="E514">
        <v>24</v>
      </c>
    </row>
    <row r="515" spans="1:5">
      <c r="A515" t="s">
        <v>597</v>
      </c>
      <c r="B515" t="s">
        <v>613</v>
      </c>
      <c r="C515">
        <f>0</f>
        <v>0</v>
      </c>
      <c r="D515" t="s">
        <v>106</v>
      </c>
      <c r="E515">
        <v>24</v>
      </c>
    </row>
    <row r="516" spans="1:5">
      <c r="A516" t="s">
        <v>597</v>
      </c>
      <c r="B516" t="s">
        <v>614</v>
      </c>
      <c r="C516">
        <v>0</v>
      </c>
      <c r="D516" t="s">
        <v>106</v>
      </c>
      <c r="E516">
        <v>24</v>
      </c>
    </row>
    <row r="517" spans="1:5">
      <c r="A517" t="s">
        <v>597</v>
      </c>
      <c r="B517" t="s">
        <v>615</v>
      </c>
      <c r="C517">
        <f>0</f>
        <v>0</v>
      </c>
      <c r="D517" t="s">
        <v>106</v>
      </c>
      <c r="E517">
        <v>24</v>
      </c>
    </row>
    <row r="518" spans="1:5">
      <c r="A518" t="s">
        <v>597</v>
      </c>
      <c r="B518" t="s">
        <v>616</v>
      </c>
      <c r="C518">
        <f>0</f>
        <v>0</v>
      </c>
      <c r="D518" t="s">
        <v>106</v>
      </c>
      <c r="E518">
        <v>24</v>
      </c>
    </row>
    <row r="519" spans="1:5">
      <c r="A519" t="s">
        <v>597</v>
      </c>
      <c r="B519" t="s">
        <v>617</v>
      </c>
      <c r="C519">
        <f>0</f>
        <v>0</v>
      </c>
      <c r="D519" t="s">
        <v>106</v>
      </c>
      <c r="E519">
        <v>24</v>
      </c>
    </row>
    <row r="520" spans="1:5">
      <c r="A520" t="s">
        <v>597</v>
      </c>
      <c r="B520" t="s">
        <v>618</v>
      </c>
      <c r="C520">
        <f>0</f>
        <v>0</v>
      </c>
      <c r="D520" t="s">
        <v>106</v>
      </c>
      <c r="E520">
        <v>24</v>
      </c>
    </row>
    <row r="521" spans="1:5">
      <c r="A521" t="s">
        <v>619</v>
      </c>
      <c r="B521" t="s">
        <v>620</v>
      </c>
      <c r="C521">
        <v>0</v>
      </c>
      <c r="D521" t="s">
        <v>106</v>
      </c>
      <c r="E521">
        <v>5.69715142428785</v>
      </c>
    </row>
    <row r="522" spans="1:5">
      <c r="A522" t="s">
        <v>619</v>
      </c>
      <c r="B522" t="s">
        <v>621</v>
      </c>
      <c r="C522">
        <v>0</v>
      </c>
      <c r="D522" t="s">
        <v>106</v>
      </c>
      <c r="E522">
        <v>5.69715142428785</v>
      </c>
    </row>
    <row r="523" spans="1:5">
      <c r="A523" t="s">
        <v>619</v>
      </c>
      <c r="B523" t="s">
        <v>622</v>
      </c>
      <c r="C523">
        <v>0</v>
      </c>
      <c r="D523" t="s">
        <v>106</v>
      </c>
      <c r="E523">
        <v>5.69715142428785</v>
      </c>
    </row>
    <row r="524" spans="1:5">
      <c r="A524" t="s">
        <v>623</v>
      </c>
      <c r="B524" t="s">
        <v>624</v>
      </c>
      <c r="C524">
        <f>0</f>
        <v>0</v>
      </c>
      <c r="D524">
        <v>0.98512394505</v>
      </c>
      <c r="E524">
        <v>3.13043478260869</v>
      </c>
    </row>
    <row r="525" spans="1:5">
      <c r="A525" t="s">
        <v>623</v>
      </c>
      <c r="B525" t="s">
        <v>625</v>
      </c>
      <c r="C525">
        <v>0.102852325429</v>
      </c>
      <c r="D525">
        <v>0.98512394505</v>
      </c>
      <c r="E525">
        <v>3.13043478260869</v>
      </c>
    </row>
    <row r="526" spans="1:5">
      <c r="A526" t="s">
        <v>623</v>
      </c>
      <c r="B526" t="s">
        <v>626</v>
      </c>
      <c r="C526">
        <v>0.45798322436900002</v>
      </c>
      <c r="D526">
        <v>0.98512394505</v>
      </c>
      <c r="E526">
        <v>3.13043478260869</v>
      </c>
    </row>
    <row r="527" spans="1:5">
      <c r="A527" t="s">
        <v>623</v>
      </c>
      <c r="B527" t="s">
        <v>627</v>
      </c>
      <c r="C527">
        <f>0</f>
        <v>0</v>
      </c>
      <c r="D527">
        <v>0.98512394505</v>
      </c>
      <c r="E527">
        <v>3.13043478260869</v>
      </c>
    </row>
    <row r="528" spans="1:5">
      <c r="A528" t="s">
        <v>623</v>
      </c>
      <c r="B528" t="s">
        <v>628</v>
      </c>
      <c r="C528">
        <v>0</v>
      </c>
      <c r="D528">
        <v>0.98512394505</v>
      </c>
      <c r="E528">
        <v>3.13043478260869</v>
      </c>
    </row>
    <row r="529" spans="1:5">
      <c r="A529" t="s">
        <v>629</v>
      </c>
      <c r="B529" t="s">
        <v>630</v>
      </c>
      <c r="C529">
        <f>0</f>
        <v>0</v>
      </c>
      <c r="D529">
        <v>0.77577119686600005</v>
      </c>
      <c r="E529">
        <v>4.7976011994003001</v>
      </c>
    </row>
    <row r="530" spans="1:5">
      <c r="A530" t="s">
        <v>629</v>
      </c>
      <c r="B530" t="s">
        <v>631</v>
      </c>
      <c r="C530">
        <f>0</f>
        <v>0</v>
      </c>
      <c r="D530">
        <v>0.77577119686600005</v>
      </c>
      <c r="E530">
        <v>4.7976011994003001</v>
      </c>
    </row>
    <row r="531" spans="1:5">
      <c r="A531" t="s">
        <v>629</v>
      </c>
      <c r="B531" t="s">
        <v>632</v>
      </c>
      <c r="C531">
        <v>0</v>
      </c>
      <c r="D531">
        <v>0.77577119686600005</v>
      </c>
      <c r="E531">
        <v>4.7976011994003001</v>
      </c>
    </row>
    <row r="532" spans="1:5">
      <c r="A532" t="s">
        <v>629</v>
      </c>
      <c r="B532" t="s">
        <v>633</v>
      </c>
      <c r="C532">
        <f>0</f>
        <v>0</v>
      </c>
      <c r="D532">
        <v>0.77577119686600005</v>
      </c>
      <c r="E532">
        <v>4.7976011994003001</v>
      </c>
    </row>
    <row r="533" spans="1:5">
      <c r="A533" t="s">
        <v>629</v>
      </c>
      <c r="B533" t="s">
        <v>634</v>
      </c>
      <c r="C533">
        <v>0</v>
      </c>
      <c r="D533">
        <v>0.77577119686600005</v>
      </c>
      <c r="E533">
        <v>4.7976011994003001</v>
      </c>
    </row>
    <row r="534" spans="1:5">
      <c r="A534" t="s">
        <v>629</v>
      </c>
      <c r="B534" t="s">
        <v>635</v>
      </c>
      <c r="C534">
        <f>0</f>
        <v>0</v>
      </c>
      <c r="D534">
        <v>0.77577119686600005</v>
      </c>
      <c r="E534">
        <v>4.7976011994003001</v>
      </c>
    </row>
    <row r="535" spans="1:5">
      <c r="A535" t="s">
        <v>629</v>
      </c>
      <c r="B535" t="s">
        <v>636</v>
      </c>
      <c r="C535">
        <v>0</v>
      </c>
      <c r="D535">
        <v>0.77577119686600005</v>
      </c>
      <c r="E535">
        <v>4.7976011994003001</v>
      </c>
    </row>
    <row r="536" spans="1:5">
      <c r="A536" t="s">
        <v>629</v>
      </c>
      <c r="B536" t="s">
        <v>637</v>
      </c>
      <c r="C536">
        <v>0</v>
      </c>
      <c r="D536">
        <v>0.77577119686600005</v>
      </c>
      <c r="E536">
        <v>4.7976011994003001</v>
      </c>
    </row>
    <row r="537" spans="1:5">
      <c r="A537" t="s">
        <v>629</v>
      </c>
      <c r="B537" t="s">
        <v>638</v>
      </c>
      <c r="C537">
        <v>0</v>
      </c>
      <c r="D537">
        <v>0.77577119686600005</v>
      </c>
      <c r="E537">
        <v>4.7976011994003001</v>
      </c>
    </row>
    <row r="538" spans="1:5">
      <c r="A538" t="s">
        <v>629</v>
      </c>
      <c r="B538" t="s">
        <v>639</v>
      </c>
      <c r="C538">
        <f>0</f>
        <v>0</v>
      </c>
      <c r="D538">
        <v>0.77577119686600005</v>
      </c>
      <c r="E538">
        <v>4.7976011994003001</v>
      </c>
    </row>
    <row r="539" spans="1:5">
      <c r="A539" t="s">
        <v>629</v>
      </c>
      <c r="B539" t="s">
        <v>640</v>
      </c>
      <c r="C539">
        <v>0</v>
      </c>
      <c r="D539">
        <v>0.77577119686600005</v>
      </c>
      <c r="E539">
        <v>4.7976011994003001</v>
      </c>
    </row>
    <row r="540" spans="1:5">
      <c r="A540" t="s">
        <v>629</v>
      </c>
      <c r="B540" t="s">
        <v>641</v>
      </c>
      <c r="C540">
        <v>0</v>
      </c>
      <c r="D540">
        <v>0.77577119686600005</v>
      </c>
      <c r="E540">
        <v>4.7976011994003001</v>
      </c>
    </row>
    <row r="541" spans="1:5">
      <c r="A541" t="s">
        <v>629</v>
      </c>
      <c r="B541" t="s">
        <v>642</v>
      </c>
      <c r="C541">
        <f>0</f>
        <v>0</v>
      </c>
      <c r="D541">
        <v>0.77577119686600005</v>
      </c>
      <c r="E541">
        <v>4.7976011994003001</v>
      </c>
    </row>
    <row r="542" spans="1:5">
      <c r="A542" t="s">
        <v>643</v>
      </c>
      <c r="B542" t="s">
        <v>644</v>
      </c>
      <c r="C542">
        <f>0</f>
        <v>0</v>
      </c>
      <c r="D542" t="s">
        <v>106</v>
      </c>
      <c r="E542">
        <v>13.997001499250301</v>
      </c>
    </row>
    <row r="543" spans="1:5">
      <c r="A543" t="s">
        <v>643</v>
      </c>
      <c r="B543" t="s">
        <v>645</v>
      </c>
      <c r="C543">
        <v>0</v>
      </c>
      <c r="D543" t="s">
        <v>106</v>
      </c>
      <c r="E543">
        <v>13.997001499250301</v>
      </c>
    </row>
    <row r="544" spans="1:5">
      <c r="A544" t="s">
        <v>643</v>
      </c>
      <c r="B544" t="s">
        <v>646</v>
      </c>
      <c r="C544">
        <v>0</v>
      </c>
      <c r="D544" t="s">
        <v>106</v>
      </c>
      <c r="E544">
        <v>13.997001499250301</v>
      </c>
    </row>
    <row r="545" spans="1:5">
      <c r="A545" t="s">
        <v>643</v>
      </c>
      <c r="B545" t="s">
        <v>647</v>
      </c>
      <c r="C545">
        <v>0</v>
      </c>
      <c r="D545" t="s">
        <v>106</v>
      </c>
      <c r="E545">
        <v>13.997001499250301</v>
      </c>
    </row>
    <row r="546" spans="1:5">
      <c r="A546" t="s">
        <v>643</v>
      </c>
      <c r="B546" t="s">
        <v>648</v>
      </c>
      <c r="C546">
        <f>0</f>
        <v>0</v>
      </c>
      <c r="D546" t="s">
        <v>106</v>
      </c>
      <c r="E546">
        <v>13.997001499250301</v>
      </c>
    </row>
    <row r="547" spans="1:5">
      <c r="A547" t="s">
        <v>649</v>
      </c>
      <c r="B547" t="s">
        <v>650</v>
      </c>
      <c r="C547">
        <v>0</v>
      </c>
      <c r="D547">
        <v>0.30623234121600001</v>
      </c>
      <c r="E547">
        <v>4.7976011994003001</v>
      </c>
    </row>
    <row r="548" spans="1:5">
      <c r="A548" t="s">
        <v>649</v>
      </c>
      <c r="B548" t="s">
        <v>651</v>
      </c>
      <c r="C548">
        <v>0</v>
      </c>
      <c r="D548">
        <v>0.30623234121600001</v>
      </c>
      <c r="E548">
        <v>4.7976011994003001</v>
      </c>
    </row>
    <row r="549" spans="1:5">
      <c r="A549" t="s">
        <v>649</v>
      </c>
      <c r="B549" t="s">
        <v>652</v>
      </c>
      <c r="C549">
        <v>0.79620342782599995</v>
      </c>
      <c r="D549">
        <v>0.30623234121600001</v>
      </c>
      <c r="E549">
        <v>4.7976011994003001</v>
      </c>
    </row>
    <row r="550" spans="1:5">
      <c r="A550" t="s">
        <v>649</v>
      </c>
      <c r="B550" t="s">
        <v>653</v>
      </c>
      <c r="C550">
        <v>0</v>
      </c>
      <c r="D550">
        <v>0.30623234121600001</v>
      </c>
      <c r="E550">
        <v>4.7976011994003001</v>
      </c>
    </row>
    <row r="551" spans="1:5">
      <c r="A551" t="s">
        <v>649</v>
      </c>
      <c r="B551" t="s">
        <v>654</v>
      </c>
      <c r="C551">
        <v>0</v>
      </c>
      <c r="D551">
        <v>0.30623234121600001</v>
      </c>
      <c r="E551">
        <v>4.7976011994003001</v>
      </c>
    </row>
    <row r="552" spans="1:5">
      <c r="A552" t="s">
        <v>649</v>
      </c>
      <c r="B552" t="s">
        <v>655</v>
      </c>
      <c r="C552">
        <f>0</f>
        <v>0</v>
      </c>
      <c r="D552">
        <v>0.30623234121600001</v>
      </c>
      <c r="E552">
        <v>4.7976011994003001</v>
      </c>
    </row>
    <row r="553" spans="1:5">
      <c r="A553" t="s">
        <v>649</v>
      </c>
      <c r="B553" t="s">
        <v>656</v>
      </c>
      <c r="C553">
        <v>3.6147226172899997E-2</v>
      </c>
      <c r="D553">
        <v>0.30623234121600001</v>
      </c>
      <c r="E553">
        <v>4.7976011994003001</v>
      </c>
    </row>
    <row r="554" spans="1:5">
      <c r="A554" t="s">
        <v>657</v>
      </c>
      <c r="B554" t="s">
        <v>658</v>
      </c>
      <c r="C554">
        <v>0.268224450951</v>
      </c>
      <c r="D554">
        <v>0.91019630022700004</v>
      </c>
      <c r="E554">
        <v>7.5922038980509701</v>
      </c>
    </row>
    <row r="555" spans="1:5">
      <c r="A555" t="s">
        <v>657</v>
      </c>
      <c r="B555" t="s">
        <v>659</v>
      </c>
      <c r="C555">
        <v>0</v>
      </c>
      <c r="D555">
        <v>0.91019630022700004</v>
      </c>
      <c r="E555">
        <v>7.5922038980509701</v>
      </c>
    </row>
    <row r="556" spans="1:5">
      <c r="A556" t="s">
        <v>657</v>
      </c>
      <c r="B556" t="s">
        <v>660</v>
      </c>
      <c r="C556">
        <v>0</v>
      </c>
      <c r="D556">
        <v>0.91019630022700004</v>
      </c>
      <c r="E556">
        <v>7.5922038980509701</v>
      </c>
    </row>
    <row r="557" spans="1:5">
      <c r="A557" t="s">
        <v>657</v>
      </c>
      <c r="B557" t="s">
        <v>661</v>
      </c>
      <c r="C557">
        <f>0</f>
        <v>0</v>
      </c>
      <c r="D557">
        <v>0.91019630022700004</v>
      </c>
      <c r="E557">
        <v>7.5922038980509701</v>
      </c>
    </row>
    <row r="558" spans="1:5">
      <c r="A558" t="s">
        <v>657</v>
      </c>
      <c r="B558" t="s">
        <v>662</v>
      </c>
      <c r="C558">
        <f>0</f>
        <v>0</v>
      </c>
      <c r="D558">
        <v>0.91019630022700004</v>
      </c>
      <c r="E558">
        <v>7.5922038980509701</v>
      </c>
    </row>
    <row r="559" spans="1:5">
      <c r="A559" t="s">
        <v>663</v>
      </c>
      <c r="B559" t="s">
        <v>664</v>
      </c>
      <c r="C559">
        <v>0</v>
      </c>
      <c r="D559">
        <v>0.88250754704500001</v>
      </c>
      <c r="E559">
        <v>5.2413793103448203</v>
      </c>
    </row>
    <row r="560" spans="1:5">
      <c r="A560" t="s">
        <v>663</v>
      </c>
      <c r="B560" t="s">
        <v>665</v>
      </c>
      <c r="C560">
        <v>0</v>
      </c>
      <c r="D560">
        <v>0.88250754704500001</v>
      </c>
      <c r="E560">
        <v>5.2413793103448203</v>
      </c>
    </row>
    <row r="561" spans="1:5">
      <c r="A561" t="s">
        <v>663</v>
      </c>
      <c r="B561" t="s">
        <v>666</v>
      </c>
      <c r="C561">
        <v>0</v>
      </c>
      <c r="D561">
        <v>0.88250754704500001</v>
      </c>
      <c r="E561">
        <v>5.2413793103448203</v>
      </c>
    </row>
    <row r="562" spans="1:5">
      <c r="A562" t="s">
        <v>663</v>
      </c>
      <c r="B562" t="s">
        <v>667</v>
      </c>
      <c r="C562">
        <v>0</v>
      </c>
      <c r="D562">
        <v>0.88250754704500001</v>
      </c>
      <c r="E562">
        <v>5.2413793103448203</v>
      </c>
    </row>
    <row r="563" spans="1:5">
      <c r="A563" t="s">
        <v>663</v>
      </c>
      <c r="B563" t="s">
        <v>668</v>
      </c>
      <c r="C563">
        <v>0</v>
      </c>
      <c r="D563">
        <v>0.88250754704500001</v>
      </c>
      <c r="E563">
        <v>5.2413793103448203</v>
      </c>
    </row>
    <row r="564" spans="1:5">
      <c r="A564" t="s">
        <v>663</v>
      </c>
      <c r="B564" t="s">
        <v>669</v>
      </c>
      <c r="C564">
        <v>0</v>
      </c>
      <c r="D564">
        <v>0.88250754704500001</v>
      </c>
      <c r="E564">
        <v>5.2413793103448203</v>
      </c>
    </row>
    <row r="565" spans="1:5">
      <c r="A565" t="s">
        <v>663</v>
      </c>
      <c r="B565" t="s">
        <v>670</v>
      </c>
      <c r="C565">
        <v>0</v>
      </c>
      <c r="D565">
        <v>0.88250754704500001</v>
      </c>
      <c r="E565">
        <v>5.2413793103448203</v>
      </c>
    </row>
    <row r="566" spans="1:5">
      <c r="A566" t="s">
        <v>663</v>
      </c>
      <c r="B566" t="s">
        <v>671</v>
      </c>
      <c r="C566">
        <f>0</f>
        <v>0</v>
      </c>
      <c r="D566">
        <v>0.88250754704500001</v>
      </c>
      <c r="E566">
        <v>5.2413793103448203</v>
      </c>
    </row>
    <row r="567" spans="1:5">
      <c r="A567" t="s">
        <v>663</v>
      </c>
      <c r="B567" t="s">
        <v>672</v>
      </c>
      <c r="C567">
        <v>0</v>
      </c>
      <c r="D567">
        <v>0.88250754704500001</v>
      </c>
      <c r="E567">
        <v>5.2413793103448203</v>
      </c>
    </row>
    <row r="568" spans="1:5">
      <c r="A568" t="s">
        <v>663</v>
      </c>
      <c r="B568" t="s">
        <v>673</v>
      </c>
      <c r="C568">
        <v>0</v>
      </c>
      <c r="D568">
        <v>0.88250754704500001</v>
      </c>
      <c r="E568">
        <v>5.2413793103448203</v>
      </c>
    </row>
    <row r="569" spans="1:5">
      <c r="A569" t="s">
        <v>663</v>
      </c>
      <c r="B569" t="s">
        <v>674</v>
      </c>
      <c r="C569">
        <f>0</f>
        <v>0</v>
      </c>
      <c r="D569">
        <v>0.88250754704500001</v>
      </c>
      <c r="E569">
        <v>5.2413793103448203</v>
      </c>
    </row>
    <row r="570" spans="1:5">
      <c r="A570" t="s">
        <v>663</v>
      </c>
      <c r="B570" t="s">
        <v>675</v>
      </c>
      <c r="C570">
        <v>0</v>
      </c>
      <c r="D570">
        <v>0.88250754704500001</v>
      </c>
      <c r="E570">
        <v>5.2413793103448203</v>
      </c>
    </row>
    <row r="571" spans="1:5">
      <c r="A571" t="s">
        <v>663</v>
      </c>
      <c r="B571" t="s">
        <v>676</v>
      </c>
      <c r="C571">
        <v>0</v>
      </c>
      <c r="D571">
        <v>0.88250754704500001</v>
      </c>
      <c r="E571">
        <v>5.2413793103448203</v>
      </c>
    </row>
    <row r="572" spans="1:5">
      <c r="A572" t="s">
        <v>663</v>
      </c>
      <c r="B572" t="s">
        <v>677</v>
      </c>
      <c r="C572">
        <v>0</v>
      </c>
      <c r="D572">
        <v>0.88250754704500001</v>
      </c>
      <c r="E572">
        <v>5.2413793103448203</v>
      </c>
    </row>
    <row r="573" spans="1:5">
      <c r="A573" t="s">
        <v>663</v>
      </c>
      <c r="B573" t="s">
        <v>678</v>
      </c>
      <c r="C573">
        <v>0</v>
      </c>
      <c r="D573">
        <v>0.88250754704500001</v>
      </c>
      <c r="E573">
        <v>5.2413793103448203</v>
      </c>
    </row>
    <row r="574" spans="1:5">
      <c r="A574" t="s">
        <v>663</v>
      </c>
      <c r="B574" t="s">
        <v>679</v>
      </c>
      <c r="C574">
        <v>0</v>
      </c>
      <c r="D574">
        <v>0.88250754704500001</v>
      </c>
      <c r="E574">
        <v>5.2413793103448203</v>
      </c>
    </row>
    <row r="575" spans="1:5">
      <c r="A575" t="s">
        <v>663</v>
      </c>
      <c r="B575" t="s">
        <v>680</v>
      </c>
      <c r="C575">
        <v>0</v>
      </c>
      <c r="D575">
        <v>0.88250754704500001</v>
      </c>
      <c r="E575">
        <v>5.2413793103448203</v>
      </c>
    </row>
    <row r="576" spans="1:5">
      <c r="A576" t="s">
        <v>681</v>
      </c>
      <c r="B576" t="s">
        <v>682</v>
      </c>
      <c r="C576">
        <f>0</f>
        <v>0</v>
      </c>
      <c r="D576" t="s">
        <v>106</v>
      </c>
      <c r="E576">
        <v>2.4707646176911502</v>
      </c>
    </row>
    <row r="577" spans="1:5">
      <c r="A577" t="s">
        <v>681</v>
      </c>
      <c r="B577" t="s">
        <v>683</v>
      </c>
      <c r="C577">
        <v>0</v>
      </c>
      <c r="D577" t="s">
        <v>106</v>
      </c>
      <c r="E577">
        <v>2.4707646176911502</v>
      </c>
    </row>
    <row r="578" spans="1:5">
      <c r="A578" t="s">
        <v>681</v>
      </c>
      <c r="B578" t="s">
        <v>684</v>
      </c>
      <c r="C578">
        <f>0</f>
        <v>0</v>
      </c>
      <c r="D578" t="s">
        <v>106</v>
      </c>
      <c r="E578">
        <v>2.4707646176911502</v>
      </c>
    </row>
    <row r="579" spans="1:5">
      <c r="A579" t="s">
        <v>681</v>
      </c>
      <c r="B579" t="s">
        <v>685</v>
      </c>
      <c r="C579">
        <f>0</f>
        <v>0</v>
      </c>
      <c r="D579" t="s">
        <v>106</v>
      </c>
      <c r="E579">
        <v>2.4707646176911502</v>
      </c>
    </row>
    <row r="580" spans="1:5">
      <c r="A580" t="s">
        <v>681</v>
      </c>
      <c r="B580" t="s">
        <v>686</v>
      </c>
      <c r="C580">
        <f>0</f>
        <v>0</v>
      </c>
      <c r="D580" t="s">
        <v>106</v>
      </c>
      <c r="E580">
        <v>2.4707646176911502</v>
      </c>
    </row>
    <row r="581" spans="1:5">
      <c r="A581" t="s">
        <v>687</v>
      </c>
      <c r="B581" t="s">
        <v>688</v>
      </c>
      <c r="C581">
        <v>0</v>
      </c>
      <c r="D581">
        <v>0.99081937362500005</v>
      </c>
      <c r="E581">
        <v>17.919040479760099</v>
      </c>
    </row>
    <row r="582" spans="1:5">
      <c r="A582" t="s">
        <v>687</v>
      </c>
      <c r="B582" t="s">
        <v>689</v>
      </c>
      <c r="C582">
        <v>0</v>
      </c>
      <c r="D582">
        <v>0.99081937362500005</v>
      </c>
      <c r="E582">
        <v>17.919040479760099</v>
      </c>
    </row>
    <row r="583" spans="1:5">
      <c r="A583" t="s">
        <v>687</v>
      </c>
      <c r="B583" t="s">
        <v>690</v>
      </c>
      <c r="C583">
        <v>6.43076926513E-2</v>
      </c>
      <c r="D583">
        <v>0.99081937362500005</v>
      </c>
      <c r="E583">
        <v>17.919040479760099</v>
      </c>
    </row>
    <row r="584" spans="1:5">
      <c r="A584" t="s">
        <v>687</v>
      </c>
      <c r="B584" t="s">
        <v>691</v>
      </c>
      <c r="C584">
        <v>8.7108461411099999E-3</v>
      </c>
      <c r="D584">
        <v>0.99081937362500005</v>
      </c>
      <c r="E584">
        <v>17.919040479760099</v>
      </c>
    </row>
    <row r="585" spans="1:5">
      <c r="A585" t="s">
        <v>687</v>
      </c>
      <c r="B585" t="s">
        <v>692</v>
      </c>
      <c r="C585">
        <v>0</v>
      </c>
      <c r="D585">
        <v>0.99081937362500005</v>
      </c>
      <c r="E585">
        <v>17.919040479760099</v>
      </c>
    </row>
    <row r="586" spans="1:5">
      <c r="A586" t="s">
        <v>687</v>
      </c>
      <c r="B586" t="s">
        <v>693</v>
      </c>
      <c r="C586">
        <v>0</v>
      </c>
      <c r="D586">
        <v>0.99081937362500005</v>
      </c>
      <c r="E586">
        <v>17.919040479760099</v>
      </c>
    </row>
    <row r="587" spans="1:5">
      <c r="A587" t="s">
        <v>687</v>
      </c>
      <c r="B587" t="s">
        <v>694</v>
      </c>
      <c r="C587">
        <v>0</v>
      </c>
      <c r="D587">
        <v>0.99081937362500005</v>
      </c>
      <c r="E587">
        <v>17.919040479760099</v>
      </c>
    </row>
    <row r="588" spans="1:5">
      <c r="A588" t="s">
        <v>687</v>
      </c>
      <c r="B588" t="s">
        <v>695</v>
      </c>
      <c r="C588">
        <v>0</v>
      </c>
      <c r="D588">
        <v>0.99081937362500005</v>
      </c>
      <c r="E588">
        <v>17.919040479760099</v>
      </c>
    </row>
    <row r="589" spans="1:5">
      <c r="A589" t="s">
        <v>687</v>
      </c>
      <c r="B589" t="s">
        <v>696</v>
      </c>
      <c r="C589">
        <v>0</v>
      </c>
      <c r="D589">
        <v>0.99081937362500005</v>
      </c>
      <c r="E589">
        <v>17.919040479760099</v>
      </c>
    </row>
    <row r="590" spans="1:5">
      <c r="A590" t="s">
        <v>697</v>
      </c>
      <c r="B590" t="s">
        <v>698</v>
      </c>
      <c r="C590">
        <v>0.31985311260400001</v>
      </c>
      <c r="D590">
        <v>0.96475833926999999</v>
      </c>
      <c r="E590">
        <v>3.4902548725637099</v>
      </c>
    </row>
    <row r="591" spans="1:5">
      <c r="A591" t="s">
        <v>699</v>
      </c>
      <c r="B591" t="s">
        <v>700</v>
      </c>
      <c r="C591">
        <v>0.30043122042699999</v>
      </c>
      <c r="D591">
        <v>0.97228025133700002</v>
      </c>
      <c r="E591">
        <v>3.0464767616191901</v>
      </c>
    </row>
    <row r="592" spans="1:5">
      <c r="A592" t="s">
        <v>701</v>
      </c>
      <c r="B592" t="s">
        <v>702</v>
      </c>
      <c r="C592">
        <v>0.29182565489200002</v>
      </c>
      <c r="D592">
        <v>0.73470489718999998</v>
      </c>
      <c r="E592">
        <v>10.5547226386806</v>
      </c>
    </row>
    <row r="593" spans="1:5">
      <c r="A593" t="s">
        <v>701</v>
      </c>
      <c r="B593" t="s">
        <v>703</v>
      </c>
      <c r="C593">
        <f>0</f>
        <v>0</v>
      </c>
      <c r="D593">
        <v>0.73470489718999998</v>
      </c>
      <c r="E593">
        <v>10.5547226386806</v>
      </c>
    </row>
    <row r="594" spans="1:5">
      <c r="A594" t="s">
        <v>701</v>
      </c>
      <c r="B594" t="s">
        <v>704</v>
      </c>
      <c r="C594">
        <v>0</v>
      </c>
      <c r="D594">
        <v>0.73470489718999998</v>
      </c>
      <c r="E594">
        <v>10.5547226386806</v>
      </c>
    </row>
    <row r="595" spans="1:5">
      <c r="A595" t="s">
        <v>705</v>
      </c>
      <c r="B595" t="s">
        <v>706</v>
      </c>
      <c r="C595">
        <v>0.60431275814100005</v>
      </c>
      <c r="D595">
        <v>0.80289656195699999</v>
      </c>
      <c r="E595">
        <v>0.46776611694152898</v>
      </c>
    </row>
    <row r="596" spans="1:5">
      <c r="A596" t="s">
        <v>707</v>
      </c>
      <c r="B596" t="s">
        <v>708</v>
      </c>
      <c r="C596">
        <v>0</v>
      </c>
      <c r="D596">
        <v>0.94271663640600001</v>
      </c>
      <c r="E596">
        <v>22.800599700149899</v>
      </c>
    </row>
    <row r="597" spans="1:5">
      <c r="A597" t="s">
        <v>707</v>
      </c>
      <c r="B597" t="s">
        <v>709</v>
      </c>
      <c r="C597">
        <f>0.0698640001777</f>
        <v>6.9864000177700003E-2</v>
      </c>
      <c r="D597">
        <v>0.94271663640600001</v>
      </c>
      <c r="E597">
        <v>22.800599700149899</v>
      </c>
    </row>
    <row r="598" spans="1:5">
      <c r="A598" t="s">
        <v>707</v>
      </c>
      <c r="B598" t="s">
        <v>710</v>
      </c>
      <c r="C598">
        <f>0</f>
        <v>0</v>
      </c>
      <c r="D598">
        <v>0.94271663640600001</v>
      </c>
      <c r="E598">
        <v>22.800599700149899</v>
      </c>
    </row>
    <row r="599" spans="1:5">
      <c r="A599" t="s">
        <v>707</v>
      </c>
      <c r="B599" t="s">
        <v>711</v>
      </c>
      <c r="C599">
        <v>0</v>
      </c>
      <c r="D599">
        <v>0.94271663640600001</v>
      </c>
      <c r="E599">
        <v>22.800599700149899</v>
      </c>
    </row>
    <row r="600" spans="1:5">
      <c r="A600" t="s">
        <v>712</v>
      </c>
      <c r="B600" t="s">
        <v>713</v>
      </c>
      <c r="C600">
        <f>0</f>
        <v>0</v>
      </c>
      <c r="D600" t="s">
        <v>106</v>
      </c>
      <c r="E600">
        <v>13.625187406296799</v>
      </c>
    </row>
    <row r="601" spans="1:5">
      <c r="A601" t="s">
        <v>712</v>
      </c>
      <c r="B601" t="s">
        <v>714</v>
      </c>
      <c r="C601">
        <f>0</f>
        <v>0</v>
      </c>
      <c r="D601" t="s">
        <v>106</v>
      </c>
      <c r="E601">
        <v>13.625187406296799</v>
      </c>
    </row>
    <row r="602" spans="1:5">
      <c r="A602" t="s">
        <v>712</v>
      </c>
      <c r="B602" t="s">
        <v>715</v>
      </c>
      <c r="C602">
        <f>0</f>
        <v>0</v>
      </c>
      <c r="D602" t="s">
        <v>106</v>
      </c>
      <c r="E602">
        <v>13.625187406296799</v>
      </c>
    </row>
    <row r="603" spans="1:5">
      <c r="A603" t="s">
        <v>712</v>
      </c>
      <c r="B603" t="s">
        <v>716</v>
      </c>
      <c r="C603">
        <v>0</v>
      </c>
      <c r="D603" t="s">
        <v>106</v>
      </c>
      <c r="E603">
        <v>13.625187406296799</v>
      </c>
    </row>
    <row r="604" spans="1:5">
      <c r="A604" t="s">
        <v>712</v>
      </c>
      <c r="B604" t="s">
        <v>717</v>
      </c>
      <c r="C604">
        <v>0</v>
      </c>
      <c r="D604" t="s">
        <v>106</v>
      </c>
      <c r="E604">
        <v>13.625187406296799</v>
      </c>
    </row>
    <row r="605" spans="1:5">
      <c r="A605" t="s">
        <v>718</v>
      </c>
      <c r="B605" t="s">
        <v>719</v>
      </c>
      <c r="C605">
        <v>0</v>
      </c>
      <c r="D605" t="s">
        <v>106</v>
      </c>
      <c r="E605">
        <v>18.770614692653599</v>
      </c>
    </row>
    <row r="606" spans="1:5">
      <c r="A606" t="s">
        <v>718</v>
      </c>
      <c r="B606" t="s">
        <v>720</v>
      </c>
      <c r="C606">
        <f>0</f>
        <v>0</v>
      </c>
      <c r="D606" t="s">
        <v>106</v>
      </c>
      <c r="E606">
        <v>18.770614692653599</v>
      </c>
    </row>
    <row r="607" spans="1:5">
      <c r="A607" t="s">
        <v>718</v>
      </c>
      <c r="B607" t="s">
        <v>721</v>
      </c>
      <c r="C607">
        <f>0</f>
        <v>0</v>
      </c>
      <c r="D607" t="s">
        <v>106</v>
      </c>
      <c r="E607">
        <v>18.770614692653599</v>
      </c>
    </row>
    <row r="608" spans="1:5">
      <c r="A608" t="s">
        <v>718</v>
      </c>
      <c r="B608" t="s">
        <v>722</v>
      </c>
      <c r="C608">
        <v>0</v>
      </c>
      <c r="D608" t="s">
        <v>106</v>
      </c>
      <c r="E608">
        <v>18.770614692653599</v>
      </c>
    </row>
    <row r="609" spans="1:5">
      <c r="A609" t="s">
        <v>718</v>
      </c>
      <c r="B609" t="s">
        <v>723</v>
      </c>
      <c r="C609">
        <v>0</v>
      </c>
      <c r="D609" t="s">
        <v>106</v>
      </c>
      <c r="E609">
        <v>18.770614692653599</v>
      </c>
    </row>
    <row r="610" spans="1:5">
      <c r="A610" t="s">
        <v>718</v>
      </c>
      <c r="B610" t="s">
        <v>724</v>
      </c>
      <c r="C610">
        <v>0</v>
      </c>
      <c r="D610" t="s">
        <v>106</v>
      </c>
      <c r="E610">
        <v>18.770614692653599</v>
      </c>
    </row>
    <row r="611" spans="1:5">
      <c r="A611" t="s">
        <v>718</v>
      </c>
      <c r="B611" t="s">
        <v>725</v>
      </c>
      <c r="C611">
        <f>0</f>
        <v>0</v>
      </c>
      <c r="D611" t="s">
        <v>106</v>
      </c>
      <c r="E611">
        <v>18.770614692653599</v>
      </c>
    </row>
    <row r="612" spans="1:5">
      <c r="A612" t="s">
        <v>718</v>
      </c>
      <c r="B612" t="s">
        <v>726</v>
      </c>
      <c r="C612">
        <v>0</v>
      </c>
      <c r="D612" t="s">
        <v>106</v>
      </c>
      <c r="E612">
        <v>18.770614692653599</v>
      </c>
    </row>
    <row r="613" spans="1:5">
      <c r="A613" t="s">
        <v>718</v>
      </c>
      <c r="B613" t="s">
        <v>727</v>
      </c>
      <c r="C613">
        <f>0</f>
        <v>0</v>
      </c>
      <c r="D613" t="s">
        <v>106</v>
      </c>
      <c r="E613">
        <v>18.770614692653599</v>
      </c>
    </row>
    <row r="614" spans="1:5">
      <c r="A614" t="s">
        <v>718</v>
      </c>
      <c r="B614" t="s">
        <v>728</v>
      </c>
      <c r="C614">
        <v>0</v>
      </c>
      <c r="D614" t="s">
        <v>106</v>
      </c>
      <c r="E614">
        <v>18.770614692653599</v>
      </c>
    </row>
    <row r="615" spans="1:5">
      <c r="A615" t="s">
        <v>718</v>
      </c>
      <c r="B615" t="s">
        <v>729</v>
      </c>
      <c r="C615">
        <v>0</v>
      </c>
      <c r="D615" t="s">
        <v>106</v>
      </c>
      <c r="E615">
        <v>18.770614692653599</v>
      </c>
    </row>
    <row r="616" spans="1:5">
      <c r="A616" t="s">
        <v>730</v>
      </c>
      <c r="B616" t="s">
        <v>731</v>
      </c>
      <c r="C616">
        <f>0</f>
        <v>0</v>
      </c>
      <c r="D616">
        <v>0.95108271919200005</v>
      </c>
      <c r="E616">
        <v>24</v>
      </c>
    </row>
    <row r="617" spans="1:5">
      <c r="A617" t="s">
        <v>730</v>
      </c>
      <c r="B617" t="s">
        <v>732</v>
      </c>
      <c r="C617">
        <v>0</v>
      </c>
      <c r="D617">
        <v>0.95108271919200005</v>
      </c>
      <c r="E617">
        <v>24</v>
      </c>
    </row>
    <row r="618" spans="1:5">
      <c r="A618" t="s">
        <v>730</v>
      </c>
      <c r="B618" t="s">
        <v>733</v>
      </c>
      <c r="C618">
        <f>0.00529317262501</f>
        <v>5.29317262501E-3</v>
      </c>
      <c r="D618">
        <v>0.95108271919200005</v>
      </c>
      <c r="E618">
        <v>24</v>
      </c>
    </row>
    <row r="619" spans="1:5">
      <c r="A619" t="s">
        <v>730</v>
      </c>
      <c r="B619" t="s">
        <v>734</v>
      </c>
      <c r="C619">
        <v>0</v>
      </c>
      <c r="D619">
        <v>0.95108271919200005</v>
      </c>
      <c r="E619">
        <v>24</v>
      </c>
    </row>
    <row r="620" spans="1:5">
      <c r="A620" t="s">
        <v>730</v>
      </c>
      <c r="B620" t="s">
        <v>735</v>
      </c>
      <c r="C620">
        <v>0</v>
      </c>
      <c r="D620">
        <v>0.95108271919200005</v>
      </c>
      <c r="E620">
        <v>24</v>
      </c>
    </row>
    <row r="621" spans="1:5">
      <c r="A621" t="s">
        <v>730</v>
      </c>
      <c r="B621" t="s">
        <v>736</v>
      </c>
      <c r="C621">
        <v>0</v>
      </c>
      <c r="D621">
        <v>0.95108271919200005</v>
      </c>
      <c r="E621">
        <v>24</v>
      </c>
    </row>
    <row r="622" spans="1:5">
      <c r="A622" t="s">
        <v>730</v>
      </c>
      <c r="B622" t="s">
        <v>737</v>
      </c>
      <c r="C622">
        <f>0</f>
        <v>0</v>
      </c>
      <c r="D622">
        <v>0.95108271919200005</v>
      </c>
      <c r="E622">
        <v>24</v>
      </c>
    </row>
    <row r="623" spans="1:5">
      <c r="A623" t="s">
        <v>730</v>
      </c>
      <c r="B623" t="s">
        <v>738</v>
      </c>
      <c r="C623">
        <f>0</f>
        <v>0</v>
      </c>
      <c r="D623">
        <v>0.95108271919200005</v>
      </c>
      <c r="E623">
        <v>24</v>
      </c>
    </row>
    <row r="624" spans="1:5">
      <c r="A624" t="s">
        <v>730</v>
      </c>
      <c r="B624" t="s">
        <v>739</v>
      </c>
      <c r="C624">
        <f>0</f>
        <v>0</v>
      </c>
      <c r="D624">
        <v>0.95108271919200005</v>
      </c>
      <c r="E624">
        <v>24</v>
      </c>
    </row>
    <row r="625" spans="1:5">
      <c r="A625" t="s">
        <v>730</v>
      </c>
      <c r="B625" t="s">
        <v>740</v>
      </c>
      <c r="C625">
        <v>0</v>
      </c>
      <c r="D625">
        <v>0.95108271919200005</v>
      </c>
      <c r="E625">
        <v>24</v>
      </c>
    </row>
    <row r="626" spans="1:5">
      <c r="A626" t="s">
        <v>730</v>
      </c>
      <c r="B626" t="s">
        <v>741</v>
      </c>
      <c r="C626">
        <v>0</v>
      </c>
      <c r="D626">
        <v>0.95108271919200005</v>
      </c>
      <c r="E626">
        <v>24</v>
      </c>
    </row>
    <row r="627" spans="1:5">
      <c r="A627" t="s">
        <v>730</v>
      </c>
      <c r="B627" t="s">
        <v>742</v>
      </c>
      <c r="C627">
        <v>0</v>
      </c>
      <c r="D627">
        <v>0.95108271919200005</v>
      </c>
      <c r="E627">
        <v>24</v>
      </c>
    </row>
    <row r="628" spans="1:5">
      <c r="A628" t="s">
        <v>730</v>
      </c>
      <c r="B628" t="s">
        <v>743</v>
      </c>
      <c r="C628">
        <v>0</v>
      </c>
      <c r="D628">
        <v>0.95108271919200005</v>
      </c>
      <c r="E628">
        <v>24</v>
      </c>
    </row>
    <row r="629" spans="1:5">
      <c r="A629" t="s">
        <v>730</v>
      </c>
      <c r="B629" t="s">
        <v>744</v>
      </c>
      <c r="C629">
        <f>0</f>
        <v>0</v>
      </c>
      <c r="D629">
        <v>0.95108271919200005</v>
      </c>
      <c r="E629">
        <v>24</v>
      </c>
    </row>
    <row r="630" spans="1:5">
      <c r="A630" t="s">
        <v>730</v>
      </c>
      <c r="B630" t="s">
        <v>745</v>
      </c>
      <c r="C630">
        <f>0</f>
        <v>0</v>
      </c>
      <c r="D630">
        <v>0.95108271919200005</v>
      </c>
      <c r="E630">
        <v>24</v>
      </c>
    </row>
    <row r="631" spans="1:5">
      <c r="A631" t="s">
        <v>746</v>
      </c>
      <c r="B631" t="s">
        <v>747</v>
      </c>
      <c r="C631">
        <v>6.98338792963E-2</v>
      </c>
      <c r="D631">
        <v>0.73042091886000005</v>
      </c>
      <c r="E631">
        <v>24</v>
      </c>
    </row>
    <row r="632" spans="1:5">
      <c r="A632" t="s">
        <v>746</v>
      </c>
      <c r="B632" t="s">
        <v>748</v>
      </c>
      <c r="C632">
        <f>0</f>
        <v>0</v>
      </c>
      <c r="D632">
        <v>0.73042091886000005</v>
      </c>
      <c r="E632">
        <v>24</v>
      </c>
    </row>
    <row r="633" spans="1:5">
      <c r="A633" t="s">
        <v>746</v>
      </c>
      <c r="B633" t="s">
        <v>749</v>
      </c>
      <c r="C633">
        <v>7.3617940825199998E-2</v>
      </c>
      <c r="D633">
        <v>0.73042091886000005</v>
      </c>
      <c r="E633">
        <v>24</v>
      </c>
    </row>
    <row r="634" spans="1:5">
      <c r="A634" t="s">
        <v>746</v>
      </c>
      <c r="B634" t="s">
        <v>750</v>
      </c>
      <c r="C634">
        <f>0</f>
        <v>0</v>
      </c>
      <c r="D634">
        <v>0.73042091886000005</v>
      </c>
      <c r="E634">
        <v>24</v>
      </c>
    </row>
    <row r="635" spans="1:5">
      <c r="A635" t="s">
        <v>746</v>
      </c>
      <c r="B635" t="s">
        <v>751</v>
      </c>
      <c r="C635">
        <v>0</v>
      </c>
      <c r="D635">
        <v>0.73042091886000005</v>
      </c>
      <c r="E635">
        <v>24</v>
      </c>
    </row>
    <row r="636" spans="1:5">
      <c r="A636" t="s">
        <v>746</v>
      </c>
      <c r="B636" t="s">
        <v>752</v>
      </c>
      <c r="C636">
        <f>0</f>
        <v>0</v>
      </c>
      <c r="D636">
        <v>0.73042091886000005</v>
      </c>
      <c r="E636">
        <v>24</v>
      </c>
    </row>
    <row r="637" spans="1:5">
      <c r="A637" t="s">
        <v>753</v>
      </c>
      <c r="B637" t="s">
        <v>754</v>
      </c>
      <c r="C637">
        <f>0</f>
        <v>0</v>
      </c>
      <c r="D637">
        <v>0.92814173553199997</v>
      </c>
      <c r="E637">
        <v>3.0464767616191901</v>
      </c>
    </row>
    <row r="638" spans="1:5">
      <c r="A638" t="s">
        <v>753</v>
      </c>
      <c r="B638" t="s">
        <v>755</v>
      </c>
      <c r="C638">
        <v>0.342598779603</v>
      </c>
      <c r="D638">
        <v>0.92814173553199997</v>
      </c>
      <c r="E638">
        <v>3.0464767616191901</v>
      </c>
    </row>
    <row r="639" spans="1:5">
      <c r="A639" t="s">
        <v>753</v>
      </c>
      <c r="B639" t="s">
        <v>756</v>
      </c>
      <c r="C639">
        <f>0</f>
        <v>0</v>
      </c>
      <c r="D639">
        <v>0.92814173553199997</v>
      </c>
      <c r="E639">
        <v>3.0464767616191901</v>
      </c>
    </row>
    <row r="640" spans="1:5">
      <c r="A640" t="s">
        <v>753</v>
      </c>
      <c r="B640" t="s">
        <v>757</v>
      </c>
      <c r="C640">
        <v>3.1383407920299998E-2</v>
      </c>
      <c r="D640">
        <v>0.92814173553199997</v>
      </c>
      <c r="E640">
        <v>3.0464767616191901</v>
      </c>
    </row>
    <row r="641" spans="1:5">
      <c r="A641" t="s">
        <v>758</v>
      </c>
      <c r="B641" t="s">
        <v>759</v>
      </c>
      <c r="C641">
        <v>4.3417147172499997E-2</v>
      </c>
      <c r="D641">
        <v>0.98402991855499999</v>
      </c>
      <c r="E641">
        <v>1.57121439280359</v>
      </c>
    </row>
    <row r="642" spans="1:5">
      <c r="A642" t="s">
        <v>758</v>
      </c>
      <c r="B642" t="s">
        <v>760</v>
      </c>
      <c r="C642">
        <v>0</v>
      </c>
      <c r="D642">
        <v>0.98402991855499999</v>
      </c>
      <c r="E642">
        <v>1.57121439280359</v>
      </c>
    </row>
    <row r="643" spans="1:5">
      <c r="A643" t="s">
        <v>758</v>
      </c>
      <c r="B643" t="s">
        <v>761</v>
      </c>
      <c r="C643">
        <f>0.628003960358</f>
        <v>0.62800396035799999</v>
      </c>
      <c r="D643">
        <v>0.98402991855499999</v>
      </c>
      <c r="E643">
        <v>1.57121439280359</v>
      </c>
    </row>
    <row r="644" spans="1:5">
      <c r="A644" t="s">
        <v>762</v>
      </c>
      <c r="B644" t="s">
        <v>763</v>
      </c>
      <c r="C644">
        <v>0.24654549999200001</v>
      </c>
      <c r="D644">
        <v>0.88432360034699997</v>
      </c>
      <c r="E644">
        <v>13.625187406296799</v>
      </c>
    </row>
    <row r="645" spans="1:5">
      <c r="A645" t="s">
        <v>762</v>
      </c>
      <c r="B645" t="s">
        <v>764</v>
      </c>
      <c r="C645">
        <f>0.0194207657842</f>
        <v>1.94207657842E-2</v>
      </c>
      <c r="D645">
        <v>0.88432360034699997</v>
      </c>
      <c r="E645">
        <v>13.625187406296799</v>
      </c>
    </row>
    <row r="646" spans="1:5">
      <c r="A646" t="s">
        <v>765</v>
      </c>
      <c r="B646" t="s">
        <v>766</v>
      </c>
      <c r="C646">
        <v>3.0296017656600001E-3</v>
      </c>
      <c r="D646">
        <v>0.91783807888900004</v>
      </c>
      <c r="E646">
        <v>7.8680659670164896</v>
      </c>
    </row>
    <row r="647" spans="1:5">
      <c r="A647" t="s">
        <v>765</v>
      </c>
      <c r="B647" t="s">
        <v>767</v>
      </c>
      <c r="C647">
        <v>0</v>
      </c>
      <c r="D647">
        <v>0.91783807888900004</v>
      </c>
      <c r="E647">
        <v>7.8680659670164896</v>
      </c>
    </row>
    <row r="648" spans="1:5">
      <c r="A648" t="s">
        <v>765</v>
      </c>
      <c r="B648" t="s">
        <v>768</v>
      </c>
      <c r="C648">
        <v>0</v>
      </c>
      <c r="D648">
        <v>0.91783807888900004</v>
      </c>
      <c r="E648">
        <v>7.8680659670164896</v>
      </c>
    </row>
    <row r="649" spans="1:5">
      <c r="A649" t="s">
        <v>765</v>
      </c>
      <c r="B649" t="s">
        <v>769</v>
      </c>
      <c r="C649">
        <v>0.14275605030899999</v>
      </c>
      <c r="D649">
        <v>0.91783807888900004</v>
      </c>
      <c r="E649">
        <v>7.8680659670164896</v>
      </c>
    </row>
    <row r="650" spans="1:5">
      <c r="A650" t="s">
        <v>765</v>
      </c>
      <c r="B650" t="s">
        <v>770</v>
      </c>
      <c r="C650">
        <v>0</v>
      </c>
      <c r="D650">
        <v>0.91783807888900004</v>
      </c>
      <c r="E650">
        <v>7.8680659670164896</v>
      </c>
    </row>
    <row r="651" spans="1:5">
      <c r="A651" t="s">
        <v>771</v>
      </c>
      <c r="B651" t="s">
        <v>772</v>
      </c>
      <c r="C651">
        <f>0.0795870617638</f>
        <v>7.9587061763799996E-2</v>
      </c>
      <c r="D651">
        <v>0.87274446812799999</v>
      </c>
      <c r="E651">
        <v>1.45127436281859</v>
      </c>
    </row>
    <row r="652" spans="1:5">
      <c r="A652" t="s">
        <v>771</v>
      </c>
      <c r="B652" t="s">
        <v>773</v>
      </c>
      <c r="C652">
        <f>0</f>
        <v>0</v>
      </c>
      <c r="D652">
        <v>0.87274446812799999</v>
      </c>
      <c r="E652">
        <v>1.45127436281859</v>
      </c>
    </row>
    <row r="653" spans="1:5">
      <c r="A653" t="s">
        <v>771</v>
      </c>
      <c r="B653" t="s">
        <v>774</v>
      </c>
      <c r="C653">
        <f>0</f>
        <v>0</v>
      </c>
      <c r="D653">
        <v>0.87274446812799999</v>
      </c>
      <c r="E653">
        <v>1.45127436281859</v>
      </c>
    </row>
    <row r="654" spans="1:5">
      <c r="A654" t="s">
        <v>771</v>
      </c>
      <c r="B654" t="s">
        <v>775</v>
      </c>
      <c r="C654">
        <v>3.3290161798599997E-2</v>
      </c>
      <c r="D654">
        <v>0.87274446812799999</v>
      </c>
      <c r="E654">
        <v>1.45127436281859</v>
      </c>
    </row>
    <row r="655" spans="1:5">
      <c r="A655" t="s">
        <v>771</v>
      </c>
      <c r="B655" t="s">
        <v>776</v>
      </c>
      <c r="C655">
        <f>0</f>
        <v>0</v>
      </c>
      <c r="D655">
        <v>0.87274446812799999</v>
      </c>
      <c r="E655">
        <v>1.45127436281859</v>
      </c>
    </row>
    <row r="656" spans="1:5">
      <c r="A656" t="s">
        <v>777</v>
      </c>
      <c r="B656" t="s">
        <v>778</v>
      </c>
      <c r="C656">
        <v>0</v>
      </c>
      <c r="D656">
        <v>0.99889321396899999</v>
      </c>
      <c r="E656">
        <v>4.9055472263868003</v>
      </c>
    </row>
    <row r="657" spans="1:5">
      <c r="A657" t="s">
        <v>777</v>
      </c>
      <c r="B657" t="s">
        <v>779</v>
      </c>
      <c r="C657">
        <v>0</v>
      </c>
      <c r="D657">
        <v>0.99889321396899999</v>
      </c>
      <c r="E657">
        <v>4.9055472263868003</v>
      </c>
    </row>
    <row r="658" spans="1:5">
      <c r="A658" t="s">
        <v>777</v>
      </c>
      <c r="B658" t="s">
        <v>780</v>
      </c>
      <c r="C658">
        <v>0</v>
      </c>
      <c r="D658">
        <v>0.99889321396899999</v>
      </c>
      <c r="E658">
        <v>4.9055472263868003</v>
      </c>
    </row>
    <row r="659" spans="1:5">
      <c r="A659" t="s">
        <v>777</v>
      </c>
      <c r="B659" t="s">
        <v>781</v>
      </c>
      <c r="C659">
        <v>0</v>
      </c>
      <c r="D659">
        <v>0.99889321396899999</v>
      </c>
      <c r="E659">
        <v>4.9055472263868003</v>
      </c>
    </row>
    <row r="660" spans="1:5">
      <c r="A660" t="s">
        <v>782</v>
      </c>
      <c r="B660" t="s">
        <v>783</v>
      </c>
      <c r="C660">
        <v>0.30997791569400002</v>
      </c>
      <c r="D660" t="s">
        <v>106</v>
      </c>
      <c r="E660">
        <v>6.6806596701649097</v>
      </c>
    </row>
    <row r="661" spans="1:5">
      <c r="A661" t="s">
        <v>782</v>
      </c>
      <c r="B661" t="s">
        <v>784</v>
      </c>
      <c r="C661">
        <f>0</f>
        <v>0</v>
      </c>
      <c r="D661" t="s">
        <v>106</v>
      </c>
      <c r="E661">
        <v>6.6806596701649097</v>
      </c>
    </row>
    <row r="662" spans="1:5">
      <c r="A662" t="s">
        <v>782</v>
      </c>
      <c r="B662" t="s">
        <v>785</v>
      </c>
      <c r="C662">
        <v>0</v>
      </c>
      <c r="D662" t="s">
        <v>106</v>
      </c>
      <c r="E662">
        <v>6.6806596701649097</v>
      </c>
    </row>
    <row r="663" spans="1:5">
      <c r="A663" t="s">
        <v>782</v>
      </c>
      <c r="B663" t="s">
        <v>786</v>
      </c>
      <c r="C663">
        <f>0</f>
        <v>0</v>
      </c>
      <c r="D663" t="s">
        <v>106</v>
      </c>
      <c r="E663">
        <v>6.6806596701649097</v>
      </c>
    </row>
    <row r="664" spans="1:5">
      <c r="A664" t="s">
        <v>782</v>
      </c>
      <c r="B664" t="s">
        <v>787</v>
      </c>
      <c r="C664">
        <v>0</v>
      </c>
      <c r="D664" t="s">
        <v>106</v>
      </c>
      <c r="E664">
        <v>6.6806596701649097</v>
      </c>
    </row>
    <row r="665" spans="1:5">
      <c r="A665" t="s">
        <v>782</v>
      </c>
      <c r="B665" t="s">
        <v>788</v>
      </c>
      <c r="C665">
        <f>0</f>
        <v>0</v>
      </c>
      <c r="D665" t="s">
        <v>106</v>
      </c>
      <c r="E665">
        <v>6.6806596701649097</v>
      </c>
    </row>
    <row r="666" spans="1:5">
      <c r="A666" t="s">
        <v>782</v>
      </c>
      <c r="B666" t="s">
        <v>789</v>
      </c>
      <c r="C666">
        <v>0</v>
      </c>
      <c r="D666" t="s">
        <v>106</v>
      </c>
      <c r="E666">
        <v>6.6806596701649097</v>
      </c>
    </row>
    <row r="667" spans="1:5">
      <c r="A667" t="s">
        <v>782</v>
      </c>
      <c r="B667" t="s">
        <v>790</v>
      </c>
      <c r="C667">
        <v>1.9017821740099999E-2</v>
      </c>
      <c r="D667" t="s">
        <v>106</v>
      </c>
      <c r="E667">
        <v>6.6806596701649097</v>
      </c>
    </row>
    <row r="668" spans="1:5">
      <c r="A668" t="s">
        <v>791</v>
      </c>
      <c r="B668" t="s">
        <v>792</v>
      </c>
      <c r="C668">
        <v>0.17243743620900001</v>
      </c>
      <c r="D668">
        <v>0.93965095234999996</v>
      </c>
      <c r="E668">
        <v>12.7376311844077</v>
      </c>
    </row>
    <row r="669" spans="1:5">
      <c r="A669" t="s">
        <v>793</v>
      </c>
      <c r="B669" t="s">
        <v>794</v>
      </c>
      <c r="C669">
        <v>0</v>
      </c>
      <c r="D669">
        <v>0.981675332924</v>
      </c>
      <c r="E669">
        <v>0.91154422788605605</v>
      </c>
    </row>
    <row r="670" spans="1:5">
      <c r="A670" t="s">
        <v>793</v>
      </c>
      <c r="B670" t="s">
        <v>795</v>
      </c>
      <c r="C670">
        <v>0.49633687994600001</v>
      </c>
      <c r="D670">
        <v>0.981675332924</v>
      </c>
      <c r="E670">
        <v>0.91154422788605605</v>
      </c>
    </row>
    <row r="671" spans="1:5">
      <c r="A671" t="s">
        <v>793</v>
      </c>
      <c r="B671" t="s">
        <v>796</v>
      </c>
      <c r="C671">
        <f>0.315661801061</f>
        <v>0.315661801061</v>
      </c>
      <c r="D671">
        <v>0.981675332924</v>
      </c>
      <c r="E671">
        <v>0.91154422788605605</v>
      </c>
    </row>
    <row r="672" spans="1:5">
      <c r="A672" t="s">
        <v>793</v>
      </c>
      <c r="B672" t="s">
        <v>797</v>
      </c>
      <c r="C672">
        <v>0</v>
      </c>
      <c r="D672">
        <v>0.981675332924</v>
      </c>
      <c r="E672">
        <v>0.91154422788605605</v>
      </c>
    </row>
    <row r="673" spans="1:5">
      <c r="A673" t="s">
        <v>793</v>
      </c>
      <c r="B673" t="s">
        <v>798</v>
      </c>
      <c r="C673">
        <v>0</v>
      </c>
      <c r="D673">
        <v>0.981675332924</v>
      </c>
      <c r="E673">
        <v>0.91154422788605605</v>
      </c>
    </row>
    <row r="674" spans="1:5">
      <c r="A674" t="s">
        <v>799</v>
      </c>
      <c r="B674" t="s">
        <v>800</v>
      </c>
      <c r="C674">
        <f>0</f>
        <v>0</v>
      </c>
      <c r="D674">
        <v>0.906551698633</v>
      </c>
      <c r="E674">
        <v>0.26386806596701601</v>
      </c>
    </row>
    <row r="675" spans="1:5">
      <c r="A675" t="s">
        <v>799</v>
      </c>
      <c r="B675" t="s">
        <v>801</v>
      </c>
      <c r="C675">
        <f>0.086874453722</f>
        <v>8.6874453722000006E-2</v>
      </c>
      <c r="D675">
        <v>0.906551698633</v>
      </c>
      <c r="E675">
        <v>0.26386806596701601</v>
      </c>
    </row>
    <row r="676" spans="1:5">
      <c r="A676" t="s">
        <v>799</v>
      </c>
      <c r="B676" t="s">
        <v>802</v>
      </c>
      <c r="C676">
        <v>0</v>
      </c>
      <c r="D676">
        <v>0.906551698633</v>
      </c>
      <c r="E676">
        <v>0.26386806596701601</v>
      </c>
    </row>
    <row r="677" spans="1:5">
      <c r="A677" t="s">
        <v>799</v>
      </c>
      <c r="B677" t="s">
        <v>803</v>
      </c>
      <c r="C677">
        <f>0</f>
        <v>0</v>
      </c>
      <c r="D677">
        <v>0.906551698633</v>
      </c>
      <c r="E677">
        <v>0.26386806596701601</v>
      </c>
    </row>
    <row r="678" spans="1:5">
      <c r="A678" t="s">
        <v>799</v>
      </c>
      <c r="B678" t="s">
        <v>804</v>
      </c>
      <c r="C678">
        <f>0</f>
        <v>0</v>
      </c>
      <c r="D678">
        <v>0.906551698633</v>
      </c>
      <c r="E678">
        <v>0.26386806596701601</v>
      </c>
    </row>
    <row r="679" spans="1:5">
      <c r="A679" t="s">
        <v>799</v>
      </c>
      <c r="B679" t="s">
        <v>805</v>
      </c>
      <c r="C679">
        <v>0</v>
      </c>
      <c r="D679">
        <v>0.906551698633</v>
      </c>
      <c r="E679">
        <v>0.26386806596701601</v>
      </c>
    </row>
    <row r="680" spans="1:5">
      <c r="A680" t="s">
        <v>799</v>
      </c>
      <c r="B680" t="s">
        <v>806</v>
      </c>
      <c r="C680">
        <f>0</f>
        <v>0</v>
      </c>
      <c r="D680">
        <v>0.906551698633</v>
      </c>
      <c r="E680">
        <v>0.26386806596701601</v>
      </c>
    </row>
    <row r="681" spans="1:5">
      <c r="A681" t="s">
        <v>799</v>
      </c>
      <c r="B681" t="s">
        <v>807</v>
      </c>
      <c r="C681">
        <f>0</f>
        <v>0</v>
      </c>
      <c r="D681">
        <v>0.906551698633</v>
      </c>
      <c r="E681">
        <v>0.26386806596701601</v>
      </c>
    </row>
    <row r="682" spans="1:5">
      <c r="A682" t="s">
        <v>799</v>
      </c>
      <c r="B682" t="s">
        <v>808</v>
      </c>
      <c r="C682">
        <f>0</f>
        <v>0</v>
      </c>
      <c r="D682">
        <v>0.906551698633</v>
      </c>
      <c r="E682">
        <v>0.26386806596701601</v>
      </c>
    </row>
    <row r="683" spans="1:5">
      <c r="A683" t="s">
        <v>799</v>
      </c>
      <c r="B683" t="s">
        <v>809</v>
      </c>
      <c r="C683">
        <f>0</f>
        <v>0</v>
      </c>
      <c r="D683">
        <v>0.906551698633</v>
      </c>
      <c r="E683">
        <v>0.26386806596701601</v>
      </c>
    </row>
    <row r="684" spans="1:5">
      <c r="A684" t="s">
        <v>799</v>
      </c>
      <c r="B684" t="s">
        <v>810</v>
      </c>
      <c r="C684">
        <f>0</f>
        <v>0</v>
      </c>
      <c r="D684">
        <v>0.906551698633</v>
      </c>
      <c r="E684">
        <v>0.26386806596701601</v>
      </c>
    </row>
    <row r="685" spans="1:5">
      <c r="A685" t="s">
        <v>799</v>
      </c>
      <c r="B685" t="s">
        <v>811</v>
      </c>
      <c r="C685">
        <f>0</f>
        <v>0</v>
      </c>
      <c r="D685">
        <v>0.906551698633</v>
      </c>
      <c r="E685">
        <v>0.26386806596701601</v>
      </c>
    </row>
    <row r="686" spans="1:5">
      <c r="A686" t="s">
        <v>812</v>
      </c>
      <c r="B686" t="s">
        <v>813</v>
      </c>
      <c r="C686">
        <v>0</v>
      </c>
      <c r="D686" t="s">
        <v>106</v>
      </c>
      <c r="E686">
        <v>24</v>
      </c>
    </row>
    <row r="687" spans="1:5">
      <c r="A687" t="s">
        <v>812</v>
      </c>
      <c r="B687" t="s">
        <v>814</v>
      </c>
      <c r="C687">
        <v>0</v>
      </c>
      <c r="D687" t="s">
        <v>106</v>
      </c>
      <c r="E687">
        <v>24</v>
      </c>
    </row>
    <row r="688" spans="1:5">
      <c r="A688" t="s">
        <v>812</v>
      </c>
      <c r="B688" t="s">
        <v>815</v>
      </c>
      <c r="C688">
        <v>0</v>
      </c>
      <c r="D688" t="s">
        <v>106</v>
      </c>
      <c r="E688">
        <v>24</v>
      </c>
    </row>
    <row r="689" spans="1:5">
      <c r="A689" t="s">
        <v>812</v>
      </c>
      <c r="B689" t="s">
        <v>816</v>
      </c>
      <c r="C689">
        <v>0</v>
      </c>
      <c r="D689" t="s">
        <v>106</v>
      </c>
      <c r="E689">
        <v>24</v>
      </c>
    </row>
    <row r="690" spans="1:5">
      <c r="A690" t="s">
        <v>812</v>
      </c>
      <c r="B690" t="s">
        <v>817</v>
      </c>
      <c r="C690">
        <f>0</f>
        <v>0</v>
      </c>
      <c r="D690" t="s">
        <v>106</v>
      </c>
      <c r="E690">
        <v>24</v>
      </c>
    </row>
    <row r="691" spans="1:5">
      <c r="A691" t="s">
        <v>812</v>
      </c>
      <c r="B691" t="s">
        <v>818</v>
      </c>
      <c r="C691">
        <f>0</f>
        <v>0</v>
      </c>
      <c r="D691" t="s">
        <v>106</v>
      </c>
      <c r="E691">
        <v>24</v>
      </c>
    </row>
    <row r="692" spans="1:5">
      <c r="A692" t="s">
        <v>812</v>
      </c>
      <c r="B692" t="s">
        <v>819</v>
      </c>
      <c r="C692">
        <f>0</f>
        <v>0</v>
      </c>
      <c r="D692" t="s">
        <v>106</v>
      </c>
      <c r="E692">
        <v>24</v>
      </c>
    </row>
    <row r="693" spans="1:5">
      <c r="A693" t="s">
        <v>812</v>
      </c>
      <c r="B693" t="s">
        <v>820</v>
      </c>
      <c r="C693">
        <v>0</v>
      </c>
      <c r="D693" t="s">
        <v>106</v>
      </c>
      <c r="E693">
        <v>24</v>
      </c>
    </row>
    <row r="694" spans="1:5">
      <c r="A694" t="s">
        <v>821</v>
      </c>
      <c r="B694" t="s">
        <v>822</v>
      </c>
      <c r="C694">
        <f>0.00946373453329</f>
        <v>9.4637345332900004E-3</v>
      </c>
      <c r="D694" t="s">
        <v>106</v>
      </c>
      <c r="E694">
        <v>5.4692653673163401</v>
      </c>
    </row>
    <row r="695" spans="1:5">
      <c r="A695" t="s">
        <v>821</v>
      </c>
      <c r="B695" t="s">
        <v>823</v>
      </c>
      <c r="C695">
        <v>0.69969543634499998</v>
      </c>
      <c r="D695" t="s">
        <v>106</v>
      </c>
      <c r="E695">
        <v>5.4692653673163401</v>
      </c>
    </row>
    <row r="696" spans="1:5">
      <c r="A696" t="s">
        <v>824</v>
      </c>
      <c r="B696" t="s">
        <v>825</v>
      </c>
      <c r="C696">
        <v>0</v>
      </c>
      <c r="D696" t="s">
        <v>106</v>
      </c>
      <c r="E696">
        <v>1.11544227886056</v>
      </c>
    </row>
    <row r="697" spans="1:5">
      <c r="A697" t="s">
        <v>824</v>
      </c>
      <c r="B697" t="s">
        <v>826</v>
      </c>
      <c r="C697">
        <v>0</v>
      </c>
      <c r="D697" t="s">
        <v>106</v>
      </c>
      <c r="E697">
        <v>1.11544227886056</v>
      </c>
    </row>
    <row r="698" spans="1:5">
      <c r="A698" t="s">
        <v>824</v>
      </c>
      <c r="B698" t="s">
        <v>827</v>
      </c>
      <c r="C698">
        <v>0</v>
      </c>
      <c r="D698" t="s">
        <v>106</v>
      </c>
      <c r="E698">
        <v>1.11544227886056</v>
      </c>
    </row>
    <row r="699" spans="1:5">
      <c r="A699" t="s">
        <v>824</v>
      </c>
      <c r="B699" t="s">
        <v>828</v>
      </c>
      <c r="C699">
        <v>0</v>
      </c>
      <c r="D699" t="s">
        <v>106</v>
      </c>
      <c r="E699">
        <v>1.11544227886056</v>
      </c>
    </row>
    <row r="700" spans="1:5">
      <c r="A700" t="s">
        <v>824</v>
      </c>
      <c r="B700" t="s">
        <v>829</v>
      </c>
      <c r="C700">
        <v>0</v>
      </c>
      <c r="D700" t="s">
        <v>106</v>
      </c>
      <c r="E700">
        <v>1.11544227886056</v>
      </c>
    </row>
    <row r="701" spans="1:5">
      <c r="A701" t="s">
        <v>824</v>
      </c>
      <c r="B701" t="s">
        <v>830</v>
      </c>
      <c r="C701">
        <f>0</f>
        <v>0</v>
      </c>
      <c r="D701" t="s">
        <v>106</v>
      </c>
      <c r="E701">
        <v>1.11544227886056</v>
      </c>
    </row>
    <row r="702" spans="1:5">
      <c r="A702" t="s">
        <v>824</v>
      </c>
      <c r="B702" t="s">
        <v>831</v>
      </c>
      <c r="C702">
        <f>0</f>
        <v>0</v>
      </c>
      <c r="D702" t="s">
        <v>106</v>
      </c>
      <c r="E702">
        <v>1.11544227886056</v>
      </c>
    </row>
    <row r="703" spans="1:5">
      <c r="A703" t="s">
        <v>824</v>
      </c>
      <c r="B703" t="s">
        <v>832</v>
      </c>
      <c r="C703">
        <v>0</v>
      </c>
      <c r="D703" t="s">
        <v>106</v>
      </c>
      <c r="E703">
        <v>1.11544227886056</v>
      </c>
    </row>
    <row r="704" spans="1:5">
      <c r="A704" t="s">
        <v>824</v>
      </c>
      <c r="B704" t="s">
        <v>833</v>
      </c>
      <c r="C704">
        <v>0</v>
      </c>
      <c r="D704" t="s">
        <v>106</v>
      </c>
      <c r="E704">
        <v>1.11544227886056</v>
      </c>
    </row>
    <row r="705" spans="1:5">
      <c r="A705" t="s">
        <v>824</v>
      </c>
      <c r="B705" t="s">
        <v>834</v>
      </c>
      <c r="C705">
        <f>0</f>
        <v>0</v>
      </c>
      <c r="D705" t="s">
        <v>106</v>
      </c>
      <c r="E705">
        <v>1.11544227886056</v>
      </c>
    </row>
    <row r="706" spans="1:5">
      <c r="A706" t="s">
        <v>824</v>
      </c>
      <c r="B706" t="s">
        <v>835</v>
      </c>
      <c r="C706">
        <f>0</f>
        <v>0</v>
      </c>
      <c r="D706" t="s">
        <v>106</v>
      </c>
      <c r="E706">
        <v>1.11544227886056</v>
      </c>
    </row>
    <row r="707" spans="1:5">
      <c r="A707" t="s">
        <v>824</v>
      </c>
      <c r="B707" t="s">
        <v>836</v>
      </c>
      <c r="C707">
        <f>0</f>
        <v>0</v>
      </c>
      <c r="D707" t="s">
        <v>106</v>
      </c>
      <c r="E707">
        <v>1.11544227886056</v>
      </c>
    </row>
    <row r="708" spans="1:5">
      <c r="A708" t="s">
        <v>824</v>
      </c>
      <c r="B708" t="s">
        <v>837</v>
      </c>
      <c r="C708">
        <f>0</f>
        <v>0</v>
      </c>
      <c r="D708" t="s">
        <v>106</v>
      </c>
      <c r="E708">
        <v>1.11544227886056</v>
      </c>
    </row>
    <row r="709" spans="1:5">
      <c r="A709" t="s">
        <v>838</v>
      </c>
      <c r="B709" t="s">
        <v>839</v>
      </c>
      <c r="C709">
        <v>0.52534991328199998</v>
      </c>
      <c r="D709">
        <v>0.932992103593</v>
      </c>
      <c r="E709">
        <v>0</v>
      </c>
    </row>
    <row r="710" spans="1:5">
      <c r="A710" t="s">
        <v>838</v>
      </c>
      <c r="B710" t="s">
        <v>840</v>
      </c>
      <c r="C710">
        <v>2.8181757709699998E-2</v>
      </c>
      <c r="D710">
        <v>0.932992103593</v>
      </c>
      <c r="E710">
        <v>0</v>
      </c>
    </row>
    <row r="711" spans="1:5">
      <c r="A711" t="s">
        <v>841</v>
      </c>
      <c r="B711" t="s">
        <v>842</v>
      </c>
      <c r="C711">
        <v>0</v>
      </c>
      <c r="D711" t="s">
        <v>106</v>
      </c>
      <c r="E711">
        <v>21.637181409295302</v>
      </c>
    </row>
    <row r="712" spans="1:5">
      <c r="A712" t="s">
        <v>841</v>
      </c>
      <c r="B712" t="s">
        <v>843</v>
      </c>
      <c r="C712">
        <v>0</v>
      </c>
      <c r="D712" t="s">
        <v>106</v>
      </c>
      <c r="E712">
        <v>21.637181409295302</v>
      </c>
    </row>
    <row r="713" spans="1:5">
      <c r="A713" t="s">
        <v>841</v>
      </c>
      <c r="B713" t="s">
        <v>844</v>
      </c>
      <c r="C713">
        <v>0</v>
      </c>
      <c r="D713" t="s">
        <v>106</v>
      </c>
      <c r="E713">
        <v>21.637181409295302</v>
      </c>
    </row>
    <row r="714" spans="1:5">
      <c r="A714" t="s">
        <v>841</v>
      </c>
      <c r="B714" t="s">
        <v>845</v>
      </c>
      <c r="C714">
        <v>0</v>
      </c>
      <c r="D714" t="s">
        <v>106</v>
      </c>
      <c r="E714">
        <v>21.637181409295302</v>
      </c>
    </row>
    <row r="715" spans="1:5">
      <c r="A715" t="s">
        <v>846</v>
      </c>
      <c r="B715" t="s">
        <v>847</v>
      </c>
      <c r="C715">
        <v>0.179270747935</v>
      </c>
      <c r="D715">
        <v>0.58179353509499998</v>
      </c>
      <c r="E715">
        <v>11.0344827586206</v>
      </c>
    </row>
    <row r="716" spans="1:5">
      <c r="A716" t="s">
        <v>846</v>
      </c>
      <c r="B716" t="s">
        <v>848</v>
      </c>
      <c r="C716">
        <f>0</f>
        <v>0</v>
      </c>
      <c r="D716">
        <v>0.58179353509499998</v>
      </c>
      <c r="E716">
        <v>11.0344827586206</v>
      </c>
    </row>
    <row r="717" spans="1:5">
      <c r="A717" t="s">
        <v>846</v>
      </c>
      <c r="B717" t="s">
        <v>849</v>
      </c>
      <c r="C717">
        <f>0.121273977576</f>
        <v>0.121273977576</v>
      </c>
      <c r="D717">
        <v>0.58179353509499998</v>
      </c>
      <c r="E717">
        <v>11.0344827586206</v>
      </c>
    </row>
    <row r="718" spans="1:5">
      <c r="A718" t="s">
        <v>850</v>
      </c>
      <c r="B718" t="s">
        <v>851</v>
      </c>
      <c r="C718">
        <v>0</v>
      </c>
      <c r="D718">
        <v>0.95449158939400003</v>
      </c>
      <c r="E718">
        <v>1.89505247376311</v>
      </c>
    </row>
    <row r="719" spans="1:5">
      <c r="A719" t="s">
        <v>850</v>
      </c>
      <c r="B719" t="s">
        <v>852</v>
      </c>
      <c r="C719">
        <v>0</v>
      </c>
      <c r="D719">
        <v>0.95449158939400003</v>
      </c>
      <c r="E719">
        <v>1.89505247376311</v>
      </c>
    </row>
    <row r="720" spans="1:5">
      <c r="A720" t="s">
        <v>850</v>
      </c>
      <c r="B720" t="s">
        <v>853</v>
      </c>
      <c r="C720">
        <v>0</v>
      </c>
      <c r="D720">
        <v>0.95449158939400003</v>
      </c>
      <c r="E720">
        <v>1.89505247376311</v>
      </c>
    </row>
    <row r="721" spans="1:5">
      <c r="A721" t="s">
        <v>850</v>
      </c>
      <c r="B721" t="s">
        <v>854</v>
      </c>
      <c r="C721">
        <v>0</v>
      </c>
      <c r="D721">
        <v>0.95449158939400003</v>
      </c>
      <c r="E721">
        <v>1.89505247376311</v>
      </c>
    </row>
    <row r="722" spans="1:5">
      <c r="A722" t="s">
        <v>850</v>
      </c>
      <c r="B722" t="s">
        <v>855</v>
      </c>
      <c r="C722">
        <v>0.62965072041199999</v>
      </c>
      <c r="D722">
        <v>0.95449158939400003</v>
      </c>
      <c r="E722">
        <v>1.89505247376311</v>
      </c>
    </row>
    <row r="723" spans="1:5">
      <c r="A723" t="s">
        <v>850</v>
      </c>
      <c r="B723" t="s">
        <v>856</v>
      </c>
      <c r="C723">
        <v>0</v>
      </c>
      <c r="D723">
        <v>0.95449158939400003</v>
      </c>
      <c r="E723">
        <v>1.89505247376311</v>
      </c>
    </row>
    <row r="724" spans="1:5">
      <c r="A724" t="s">
        <v>850</v>
      </c>
      <c r="B724" t="s">
        <v>857</v>
      </c>
      <c r="C724">
        <v>7.8736395526399994E-2</v>
      </c>
      <c r="D724">
        <v>0.95449158939400003</v>
      </c>
      <c r="E724">
        <v>1.89505247376311</v>
      </c>
    </row>
    <row r="725" spans="1:5">
      <c r="A725" t="s">
        <v>850</v>
      </c>
      <c r="B725" t="s">
        <v>858</v>
      </c>
      <c r="C725">
        <v>0</v>
      </c>
      <c r="D725">
        <v>0.95449158939400003</v>
      </c>
      <c r="E725">
        <v>1.89505247376311</v>
      </c>
    </row>
    <row r="726" spans="1:5">
      <c r="A726" t="s">
        <v>859</v>
      </c>
      <c r="B726" t="s">
        <v>860</v>
      </c>
      <c r="C726">
        <v>0</v>
      </c>
      <c r="D726" t="s">
        <v>106</v>
      </c>
      <c r="E726">
        <v>5.8170914542728598</v>
      </c>
    </row>
    <row r="727" spans="1:5">
      <c r="A727" t="s">
        <v>859</v>
      </c>
      <c r="B727" t="s">
        <v>861</v>
      </c>
      <c r="C727">
        <f>0</f>
        <v>0</v>
      </c>
      <c r="D727" t="s">
        <v>106</v>
      </c>
      <c r="E727">
        <v>5.8170914542728598</v>
      </c>
    </row>
    <row r="728" spans="1:5">
      <c r="A728" t="s">
        <v>859</v>
      </c>
      <c r="B728" t="s">
        <v>862</v>
      </c>
      <c r="C728">
        <f>0</f>
        <v>0</v>
      </c>
      <c r="D728" t="s">
        <v>106</v>
      </c>
      <c r="E728">
        <v>5.8170914542728598</v>
      </c>
    </row>
    <row r="729" spans="1:5">
      <c r="A729" t="s">
        <v>859</v>
      </c>
      <c r="B729" t="s">
        <v>863</v>
      </c>
      <c r="C729">
        <f>0</f>
        <v>0</v>
      </c>
      <c r="D729" t="s">
        <v>106</v>
      </c>
      <c r="E729">
        <v>5.8170914542728598</v>
      </c>
    </row>
    <row r="730" spans="1:5">
      <c r="A730" t="s">
        <v>859</v>
      </c>
      <c r="B730" t="s">
        <v>864</v>
      </c>
      <c r="C730">
        <v>0</v>
      </c>
      <c r="D730" t="s">
        <v>106</v>
      </c>
      <c r="E730">
        <v>5.8170914542728598</v>
      </c>
    </row>
    <row r="731" spans="1:5">
      <c r="A731" t="s">
        <v>859</v>
      </c>
      <c r="B731" t="s">
        <v>865</v>
      </c>
      <c r="C731">
        <v>0</v>
      </c>
      <c r="D731" t="s">
        <v>106</v>
      </c>
      <c r="E731">
        <v>5.8170914542728598</v>
      </c>
    </row>
    <row r="732" spans="1:5">
      <c r="A732" t="s">
        <v>866</v>
      </c>
      <c r="B732" t="s">
        <v>867</v>
      </c>
      <c r="C732">
        <v>7.4335684419E-2</v>
      </c>
      <c r="D732">
        <v>0.97322620540500004</v>
      </c>
      <c r="E732">
        <v>15.904047976011899</v>
      </c>
    </row>
    <row r="733" spans="1:5">
      <c r="A733" t="s">
        <v>866</v>
      </c>
      <c r="B733" t="s">
        <v>868</v>
      </c>
      <c r="C733">
        <f>0</f>
        <v>0</v>
      </c>
      <c r="D733">
        <v>0.97322620540500004</v>
      </c>
      <c r="E733">
        <v>15.904047976011899</v>
      </c>
    </row>
    <row r="734" spans="1:5">
      <c r="A734" t="s">
        <v>866</v>
      </c>
      <c r="B734" t="s">
        <v>869</v>
      </c>
      <c r="C734">
        <f>0.223969652</f>
        <v>0.22396965199999999</v>
      </c>
      <c r="D734">
        <v>0.97322620540500004</v>
      </c>
      <c r="E734">
        <v>15.904047976011899</v>
      </c>
    </row>
    <row r="735" spans="1:5">
      <c r="A735" t="s">
        <v>866</v>
      </c>
      <c r="B735" t="s">
        <v>870</v>
      </c>
      <c r="C735">
        <f>0</f>
        <v>0</v>
      </c>
      <c r="D735">
        <v>0.97322620540500004</v>
      </c>
      <c r="E735">
        <v>15.904047976011899</v>
      </c>
    </row>
    <row r="736" spans="1:5">
      <c r="A736" t="s">
        <v>866</v>
      </c>
      <c r="B736" t="s">
        <v>871</v>
      </c>
      <c r="C736">
        <f>0</f>
        <v>0</v>
      </c>
      <c r="D736">
        <v>0.97322620540500004</v>
      </c>
      <c r="E736">
        <v>15.904047976011899</v>
      </c>
    </row>
    <row r="737" spans="1:5">
      <c r="A737" t="s">
        <v>866</v>
      </c>
      <c r="B737" t="s">
        <v>872</v>
      </c>
      <c r="C737">
        <f>0</f>
        <v>0</v>
      </c>
      <c r="D737">
        <v>0.97322620540500004</v>
      </c>
      <c r="E737">
        <v>15.904047976011899</v>
      </c>
    </row>
    <row r="738" spans="1:5">
      <c r="A738" t="s">
        <v>866</v>
      </c>
      <c r="B738" t="s">
        <v>873</v>
      </c>
      <c r="C738">
        <f>0</f>
        <v>0</v>
      </c>
      <c r="D738">
        <v>0.97322620540500004</v>
      </c>
      <c r="E738">
        <v>15.904047976011899</v>
      </c>
    </row>
    <row r="739" spans="1:5">
      <c r="A739" t="s">
        <v>874</v>
      </c>
      <c r="B739" t="s">
        <v>875</v>
      </c>
      <c r="C739">
        <f>0</f>
        <v>0</v>
      </c>
      <c r="D739" t="s">
        <v>106</v>
      </c>
      <c r="E739">
        <v>24</v>
      </c>
    </row>
    <row r="740" spans="1:5">
      <c r="A740" t="s">
        <v>874</v>
      </c>
      <c r="B740" t="s">
        <v>876</v>
      </c>
      <c r="C740">
        <v>0</v>
      </c>
      <c r="D740" t="s">
        <v>106</v>
      </c>
      <c r="E740">
        <v>24</v>
      </c>
    </row>
    <row r="741" spans="1:5">
      <c r="A741" t="s">
        <v>874</v>
      </c>
      <c r="B741" t="s">
        <v>877</v>
      </c>
      <c r="C741">
        <f>0</f>
        <v>0</v>
      </c>
      <c r="D741" t="s">
        <v>106</v>
      </c>
      <c r="E741">
        <v>24</v>
      </c>
    </row>
    <row r="742" spans="1:5">
      <c r="A742" t="s">
        <v>874</v>
      </c>
      <c r="B742" t="s">
        <v>878</v>
      </c>
      <c r="C742">
        <f>0</f>
        <v>0</v>
      </c>
      <c r="D742" t="s">
        <v>106</v>
      </c>
      <c r="E742">
        <v>24</v>
      </c>
    </row>
    <row r="743" spans="1:5">
      <c r="A743" t="s">
        <v>874</v>
      </c>
      <c r="B743" t="s">
        <v>879</v>
      </c>
      <c r="C743">
        <v>0</v>
      </c>
      <c r="D743" t="s">
        <v>106</v>
      </c>
      <c r="E743">
        <v>24</v>
      </c>
    </row>
    <row r="744" spans="1:5">
      <c r="A744" t="s">
        <v>874</v>
      </c>
      <c r="B744" t="s">
        <v>880</v>
      </c>
      <c r="C744">
        <f>0</f>
        <v>0</v>
      </c>
      <c r="D744" t="s">
        <v>106</v>
      </c>
      <c r="E744">
        <v>24</v>
      </c>
    </row>
    <row r="745" spans="1:5">
      <c r="A745" t="s">
        <v>874</v>
      </c>
      <c r="B745" t="s">
        <v>881</v>
      </c>
      <c r="C745">
        <f>0</f>
        <v>0</v>
      </c>
      <c r="D745" t="s">
        <v>106</v>
      </c>
      <c r="E745">
        <v>24</v>
      </c>
    </row>
    <row r="746" spans="1:5">
      <c r="A746" t="s">
        <v>874</v>
      </c>
      <c r="B746" t="s">
        <v>882</v>
      </c>
      <c r="C746">
        <f>0</f>
        <v>0</v>
      </c>
      <c r="D746" t="s">
        <v>106</v>
      </c>
      <c r="E746">
        <v>24</v>
      </c>
    </row>
    <row r="747" spans="1:5">
      <c r="A747" t="s">
        <v>883</v>
      </c>
      <c r="B747" t="s">
        <v>884</v>
      </c>
      <c r="C747">
        <v>0</v>
      </c>
      <c r="D747">
        <v>0.92859599017799999</v>
      </c>
      <c r="E747">
        <v>0.65967016491754105</v>
      </c>
    </row>
    <row r="748" spans="1:5">
      <c r="A748" t="s">
        <v>883</v>
      </c>
      <c r="B748" t="s">
        <v>885</v>
      </c>
      <c r="C748">
        <v>0.48910298907900002</v>
      </c>
      <c r="D748">
        <v>0.92859599017799999</v>
      </c>
      <c r="E748">
        <v>0.65967016491754105</v>
      </c>
    </row>
    <row r="749" spans="1:5">
      <c r="A749" t="s">
        <v>883</v>
      </c>
      <c r="B749" t="s">
        <v>886</v>
      </c>
      <c r="C749">
        <v>0.12111756085</v>
      </c>
      <c r="D749">
        <v>0.92859599017799999</v>
      </c>
      <c r="E749">
        <v>0.65967016491754105</v>
      </c>
    </row>
    <row r="750" spans="1:5">
      <c r="A750" t="s">
        <v>883</v>
      </c>
      <c r="B750" t="s">
        <v>887</v>
      </c>
      <c r="C750">
        <f>0</f>
        <v>0</v>
      </c>
      <c r="D750">
        <v>0.92859599017799999</v>
      </c>
      <c r="E750">
        <v>0.65967016491754105</v>
      </c>
    </row>
    <row r="751" spans="1:5">
      <c r="A751" t="s">
        <v>883</v>
      </c>
      <c r="B751" t="s">
        <v>888</v>
      </c>
      <c r="C751">
        <v>0</v>
      </c>
      <c r="D751">
        <v>0.92859599017799999</v>
      </c>
      <c r="E751">
        <v>0.65967016491754105</v>
      </c>
    </row>
    <row r="752" spans="1:5">
      <c r="A752" t="s">
        <v>889</v>
      </c>
      <c r="B752" t="s">
        <v>890</v>
      </c>
      <c r="C752">
        <v>0</v>
      </c>
      <c r="D752">
        <v>0.99693185783100002</v>
      </c>
      <c r="E752">
        <v>10.398800599700101</v>
      </c>
    </row>
    <row r="753" spans="1:5">
      <c r="A753" t="s">
        <v>889</v>
      </c>
      <c r="B753" t="s">
        <v>891</v>
      </c>
      <c r="C753">
        <v>0</v>
      </c>
      <c r="D753">
        <v>0.99693185783100002</v>
      </c>
      <c r="E753">
        <v>10.398800599700101</v>
      </c>
    </row>
    <row r="754" spans="1:5">
      <c r="A754" t="s">
        <v>889</v>
      </c>
      <c r="B754" t="s">
        <v>892</v>
      </c>
      <c r="C754">
        <v>0</v>
      </c>
      <c r="D754">
        <v>0.99693185783100002</v>
      </c>
      <c r="E754">
        <v>10.398800599700101</v>
      </c>
    </row>
    <row r="755" spans="1:5">
      <c r="A755" t="s">
        <v>889</v>
      </c>
      <c r="B755" t="s">
        <v>893</v>
      </c>
      <c r="C755">
        <v>0</v>
      </c>
      <c r="D755">
        <v>0.99693185783100002</v>
      </c>
      <c r="E755">
        <v>10.398800599700101</v>
      </c>
    </row>
    <row r="756" spans="1:5">
      <c r="A756" t="s">
        <v>889</v>
      </c>
      <c r="B756" t="s">
        <v>894</v>
      </c>
      <c r="C756">
        <f>0</f>
        <v>0</v>
      </c>
      <c r="D756">
        <v>0.99693185783100002</v>
      </c>
      <c r="E756">
        <v>10.398800599700101</v>
      </c>
    </row>
    <row r="757" spans="1:5">
      <c r="A757" t="s">
        <v>889</v>
      </c>
      <c r="B757" t="s">
        <v>895</v>
      </c>
      <c r="C757">
        <v>0.16860297042399999</v>
      </c>
      <c r="D757">
        <v>0.99693185783100002</v>
      </c>
      <c r="E757">
        <v>10.398800599700101</v>
      </c>
    </row>
    <row r="758" spans="1:5">
      <c r="A758" t="s">
        <v>889</v>
      </c>
      <c r="B758" t="s">
        <v>896</v>
      </c>
      <c r="C758">
        <v>0</v>
      </c>
      <c r="D758">
        <v>0.99693185783100002</v>
      </c>
      <c r="E758">
        <v>10.398800599700101</v>
      </c>
    </row>
    <row r="759" spans="1:5">
      <c r="A759" t="s">
        <v>889</v>
      </c>
      <c r="B759" t="s">
        <v>897</v>
      </c>
      <c r="C759">
        <v>0</v>
      </c>
      <c r="D759">
        <v>0.99693185783100002</v>
      </c>
      <c r="E759">
        <v>10.398800599700101</v>
      </c>
    </row>
    <row r="760" spans="1:5">
      <c r="A760" t="s">
        <v>889</v>
      </c>
      <c r="B760" t="s">
        <v>898</v>
      </c>
      <c r="C760">
        <v>0</v>
      </c>
      <c r="D760">
        <v>0.99693185783100002</v>
      </c>
      <c r="E760">
        <v>10.398800599700101</v>
      </c>
    </row>
    <row r="761" spans="1:5">
      <c r="A761" t="s">
        <v>889</v>
      </c>
      <c r="B761" t="s">
        <v>899</v>
      </c>
      <c r="C761">
        <f>0</f>
        <v>0</v>
      </c>
      <c r="D761">
        <v>0.99693185783100002</v>
      </c>
      <c r="E761">
        <v>10.398800599700101</v>
      </c>
    </row>
    <row r="762" spans="1:5">
      <c r="A762" t="s">
        <v>889</v>
      </c>
      <c r="B762" t="s">
        <v>900</v>
      </c>
      <c r="C762">
        <v>0</v>
      </c>
      <c r="D762">
        <v>0.99693185783100002</v>
      </c>
      <c r="E762">
        <v>10.398800599700101</v>
      </c>
    </row>
    <row r="763" spans="1:5">
      <c r="A763" t="s">
        <v>889</v>
      </c>
      <c r="B763" t="s">
        <v>901</v>
      </c>
      <c r="C763">
        <v>0</v>
      </c>
      <c r="D763">
        <v>0.99693185783100002</v>
      </c>
      <c r="E763">
        <v>10.398800599700101</v>
      </c>
    </row>
    <row r="764" spans="1:5">
      <c r="A764" t="s">
        <v>889</v>
      </c>
      <c r="B764" t="s">
        <v>902</v>
      </c>
      <c r="C764">
        <f>0</f>
        <v>0</v>
      </c>
      <c r="D764">
        <v>0.99693185783100002</v>
      </c>
      <c r="E764">
        <v>10.398800599700101</v>
      </c>
    </row>
    <row r="765" spans="1:5">
      <c r="A765" t="s">
        <v>889</v>
      </c>
      <c r="B765" t="s">
        <v>903</v>
      </c>
      <c r="C765">
        <v>2.85253515723E-2</v>
      </c>
      <c r="D765">
        <v>0.99693185783100002</v>
      </c>
      <c r="E765">
        <v>10.398800599700101</v>
      </c>
    </row>
    <row r="766" spans="1:5">
      <c r="A766" t="s">
        <v>904</v>
      </c>
      <c r="B766" t="s">
        <v>905</v>
      </c>
      <c r="C766">
        <f>0.0464276804027</f>
        <v>4.6427680402699997E-2</v>
      </c>
      <c r="D766" t="s">
        <v>106</v>
      </c>
      <c r="E766">
        <v>24</v>
      </c>
    </row>
    <row r="767" spans="1:5">
      <c r="A767" t="s">
        <v>904</v>
      </c>
      <c r="B767" t="s">
        <v>906</v>
      </c>
      <c r="C767">
        <f>0</f>
        <v>0</v>
      </c>
      <c r="D767" t="s">
        <v>106</v>
      </c>
      <c r="E767">
        <v>24</v>
      </c>
    </row>
    <row r="768" spans="1:5">
      <c r="A768" t="s">
        <v>904</v>
      </c>
      <c r="B768" t="s">
        <v>907</v>
      </c>
      <c r="C768">
        <v>0</v>
      </c>
      <c r="D768" t="s">
        <v>106</v>
      </c>
      <c r="E768">
        <v>24</v>
      </c>
    </row>
    <row r="769" spans="1:5">
      <c r="A769" t="s">
        <v>908</v>
      </c>
      <c r="B769" t="s">
        <v>909</v>
      </c>
      <c r="C769">
        <v>0</v>
      </c>
      <c r="D769" t="s">
        <v>106</v>
      </c>
      <c r="E769">
        <v>13.8170914542728</v>
      </c>
    </row>
    <row r="770" spans="1:5">
      <c r="A770" t="s">
        <v>908</v>
      </c>
      <c r="B770" t="s">
        <v>910</v>
      </c>
      <c r="C770">
        <f>0</f>
        <v>0</v>
      </c>
      <c r="D770" t="s">
        <v>106</v>
      </c>
      <c r="E770">
        <v>13.8170914542728</v>
      </c>
    </row>
    <row r="771" spans="1:5">
      <c r="A771" t="s">
        <v>908</v>
      </c>
      <c r="B771" t="s">
        <v>911</v>
      </c>
      <c r="C771">
        <v>0</v>
      </c>
      <c r="D771" t="s">
        <v>106</v>
      </c>
      <c r="E771">
        <v>13.8170914542728</v>
      </c>
    </row>
    <row r="772" spans="1:5">
      <c r="A772" t="s">
        <v>908</v>
      </c>
      <c r="B772" t="s">
        <v>912</v>
      </c>
      <c r="C772">
        <f>0</f>
        <v>0</v>
      </c>
      <c r="D772" t="s">
        <v>106</v>
      </c>
      <c r="E772">
        <v>13.8170914542728</v>
      </c>
    </row>
    <row r="773" spans="1:5">
      <c r="A773" t="s">
        <v>908</v>
      </c>
      <c r="B773" t="s">
        <v>913</v>
      </c>
      <c r="C773">
        <v>0</v>
      </c>
      <c r="D773" t="s">
        <v>106</v>
      </c>
      <c r="E773">
        <v>13.8170914542728</v>
      </c>
    </row>
    <row r="774" spans="1:5">
      <c r="A774" t="s">
        <v>908</v>
      </c>
      <c r="B774" t="s">
        <v>914</v>
      </c>
      <c r="C774">
        <v>0</v>
      </c>
      <c r="D774" t="s">
        <v>106</v>
      </c>
      <c r="E774">
        <v>13.8170914542728</v>
      </c>
    </row>
    <row r="775" spans="1:5">
      <c r="A775" t="s">
        <v>908</v>
      </c>
      <c r="B775" t="s">
        <v>915</v>
      </c>
      <c r="C775">
        <v>0</v>
      </c>
      <c r="D775" t="s">
        <v>106</v>
      </c>
      <c r="E775">
        <v>13.8170914542728</v>
      </c>
    </row>
    <row r="776" spans="1:5">
      <c r="A776" t="s">
        <v>916</v>
      </c>
      <c r="B776" t="s">
        <v>917</v>
      </c>
      <c r="C776">
        <f>0</f>
        <v>0</v>
      </c>
      <c r="D776" t="s">
        <v>106</v>
      </c>
      <c r="E776">
        <v>1.00749625187406</v>
      </c>
    </row>
    <row r="777" spans="1:5">
      <c r="A777" t="s">
        <v>916</v>
      </c>
      <c r="B777" t="s">
        <v>918</v>
      </c>
      <c r="C777">
        <v>0</v>
      </c>
      <c r="D777" t="s">
        <v>106</v>
      </c>
      <c r="E777">
        <v>1.00749625187406</v>
      </c>
    </row>
    <row r="778" spans="1:5">
      <c r="A778" t="s">
        <v>916</v>
      </c>
      <c r="B778" t="s">
        <v>919</v>
      </c>
      <c r="C778">
        <v>0</v>
      </c>
      <c r="D778" t="s">
        <v>106</v>
      </c>
      <c r="E778">
        <v>1.00749625187406</v>
      </c>
    </row>
    <row r="779" spans="1:5">
      <c r="A779" t="s">
        <v>920</v>
      </c>
      <c r="B779" t="s">
        <v>921</v>
      </c>
      <c r="C779">
        <f>0</f>
        <v>0</v>
      </c>
      <c r="D779" t="s">
        <v>106</v>
      </c>
      <c r="E779">
        <v>1.96701649175412</v>
      </c>
    </row>
    <row r="780" spans="1:5">
      <c r="A780" t="s">
        <v>920</v>
      </c>
      <c r="B780" t="s">
        <v>922</v>
      </c>
      <c r="C780">
        <v>0</v>
      </c>
      <c r="D780" t="s">
        <v>106</v>
      </c>
      <c r="E780">
        <v>1.96701649175412</v>
      </c>
    </row>
    <row r="781" spans="1:5">
      <c r="A781" t="s">
        <v>920</v>
      </c>
      <c r="B781" t="s">
        <v>923</v>
      </c>
      <c r="C781">
        <v>0</v>
      </c>
      <c r="D781" t="s">
        <v>106</v>
      </c>
      <c r="E781">
        <v>1.96701649175412</v>
      </c>
    </row>
    <row r="782" spans="1:5">
      <c r="A782" t="s">
        <v>920</v>
      </c>
      <c r="B782" t="s">
        <v>924</v>
      </c>
      <c r="C782">
        <f>0</f>
        <v>0</v>
      </c>
      <c r="D782" t="s">
        <v>106</v>
      </c>
      <c r="E782">
        <v>1.96701649175412</v>
      </c>
    </row>
    <row r="783" spans="1:5">
      <c r="A783" t="s">
        <v>925</v>
      </c>
      <c r="B783" t="s">
        <v>926</v>
      </c>
      <c r="C783">
        <v>0.27056491406700001</v>
      </c>
      <c r="D783">
        <v>0.99299655039400003</v>
      </c>
      <c r="E783">
        <v>16.695652173913</v>
      </c>
    </row>
    <row r="784" spans="1:5">
      <c r="A784" t="s">
        <v>925</v>
      </c>
      <c r="B784" t="s">
        <v>927</v>
      </c>
      <c r="C784">
        <f>0.0218294861051</f>
        <v>2.18294861051E-2</v>
      </c>
      <c r="D784">
        <v>0.99299655039400003</v>
      </c>
      <c r="E784">
        <v>16.695652173913</v>
      </c>
    </row>
    <row r="785" spans="1:5">
      <c r="A785" t="s">
        <v>928</v>
      </c>
      <c r="B785" t="s">
        <v>929</v>
      </c>
      <c r="C785">
        <f>0</f>
        <v>0</v>
      </c>
      <c r="D785">
        <v>0.99413222204100005</v>
      </c>
      <c r="E785">
        <v>1.8230884557721101</v>
      </c>
    </row>
    <row r="786" spans="1:5">
      <c r="A786" t="s">
        <v>928</v>
      </c>
      <c r="B786" t="s">
        <v>930</v>
      </c>
      <c r="C786">
        <v>0</v>
      </c>
      <c r="D786">
        <v>0.99413222204100005</v>
      </c>
      <c r="E786">
        <v>1.8230884557721101</v>
      </c>
    </row>
    <row r="787" spans="1:5">
      <c r="A787" t="s">
        <v>928</v>
      </c>
      <c r="B787" t="s">
        <v>931</v>
      </c>
      <c r="C787">
        <v>0</v>
      </c>
      <c r="D787">
        <v>0.99413222204100005</v>
      </c>
      <c r="E787">
        <v>1.8230884557721101</v>
      </c>
    </row>
    <row r="788" spans="1:5">
      <c r="A788" t="s">
        <v>928</v>
      </c>
      <c r="B788" t="s">
        <v>932</v>
      </c>
      <c r="C788">
        <v>0</v>
      </c>
      <c r="D788">
        <v>0.99413222204100005</v>
      </c>
      <c r="E788">
        <v>1.8230884557721101</v>
      </c>
    </row>
    <row r="789" spans="1:5">
      <c r="A789" t="s">
        <v>928</v>
      </c>
      <c r="B789" t="s">
        <v>933</v>
      </c>
      <c r="C789">
        <v>0.30106843713300002</v>
      </c>
      <c r="D789">
        <v>0.99413222204100005</v>
      </c>
      <c r="E789">
        <v>1.8230884557721101</v>
      </c>
    </row>
    <row r="790" spans="1:5">
      <c r="A790" t="s">
        <v>928</v>
      </c>
      <c r="B790" t="s">
        <v>934</v>
      </c>
      <c r="C790">
        <f>0</f>
        <v>0</v>
      </c>
      <c r="D790">
        <v>0.99413222204100005</v>
      </c>
      <c r="E790">
        <v>1.8230884557721101</v>
      </c>
    </row>
    <row r="791" spans="1:5">
      <c r="A791" t="s">
        <v>935</v>
      </c>
      <c r="B791" t="s">
        <v>936</v>
      </c>
      <c r="C791">
        <v>0</v>
      </c>
      <c r="D791" t="s">
        <v>106</v>
      </c>
      <c r="E791">
        <v>14.9325337331334</v>
      </c>
    </row>
    <row r="792" spans="1:5">
      <c r="A792" t="s">
        <v>935</v>
      </c>
      <c r="B792" t="s">
        <v>937</v>
      </c>
      <c r="C792">
        <v>0</v>
      </c>
      <c r="D792" t="s">
        <v>106</v>
      </c>
      <c r="E792">
        <v>14.9325337331334</v>
      </c>
    </row>
    <row r="793" spans="1:5">
      <c r="A793" t="s">
        <v>935</v>
      </c>
      <c r="B793" t="s">
        <v>938</v>
      </c>
      <c r="C793">
        <f>0</f>
        <v>0</v>
      </c>
      <c r="D793" t="s">
        <v>106</v>
      </c>
      <c r="E793">
        <v>14.9325337331334</v>
      </c>
    </row>
    <row r="794" spans="1:5">
      <c r="A794" t="s">
        <v>935</v>
      </c>
      <c r="B794" t="s">
        <v>939</v>
      </c>
      <c r="C794">
        <v>0</v>
      </c>
      <c r="D794" t="s">
        <v>106</v>
      </c>
      <c r="E794">
        <v>14.9325337331334</v>
      </c>
    </row>
    <row r="795" spans="1:5">
      <c r="A795" t="s">
        <v>940</v>
      </c>
      <c r="B795" t="s">
        <v>941</v>
      </c>
      <c r="C795">
        <f>0</f>
        <v>0</v>
      </c>
      <c r="D795">
        <v>0.99399605920699996</v>
      </c>
      <c r="E795">
        <v>10.398800599700101</v>
      </c>
    </row>
    <row r="796" spans="1:5">
      <c r="A796" t="s">
        <v>940</v>
      </c>
      <c r="B796" t="s">
        <v>942</v>
      </c>
      <c r="C796">
        <v>0.12376373493200001</v>
      </c>
      <c r="D796">
        <v>0.99399605920699996</v>
      </c>
      <c r="E796">
        <v>10.398800599700101</v>
      </c>
    </row>
    <row r="797" spans="1:5">
      <c r="A797" t="s">
        <v>940</v>
      </c>
      <c r="B797" t="s">
        <v>943</v>
      </c>
      <c r="C797">
        <v>0</v>
      </c>
      <c r="D797">
        <v>0.99399605920699996</v>
      </c>
      <c r="E797">
        <v>10.398800599700101</v>
      </c>
    </row>
    <row r="798" spans="1:5">
      <c r="A798" t="s">
        <v>940</v>
      </c>
      <c r="B798" t="s">
        <v>944</v>
      </c>
      <c r="C798">
        <v>0</v>
      </c>
      <c r="D798">
        <v>0.99399605920699996</v>
      </c>
      <c r="E798">
        <v>10.398800599700101</v>
      </c>
    </row>
    <row r="799" spans="1:5">
      <c r="A799" t="s">
        <v>940</v>
      </c>
      <c r="B799" t="s">
        <v>945</v>
      </c>
      <c r="C799">
        <f>0</f>
        <v>0</v>
      </c>
      <c r="D799">
        <v>0.99399605920699996</v>
      </c>
      <c r="E799">
        <v>10.398800599700101</v>
      </c>
    </row>
    <row r="800" spans="1:5">
      <c r="A800" t="s">
        <v>940</v>
      </c>
      <c r="B800" t="s">
        <v>946</v>
      </c>
      <c r="C800">
        <v>0</v>
      </c>
      <c r="D800">
        <v>0.99399605920699996</v>
      </c>
      <c r="E800">
        <v>10.398800599700101</v>
      </c>
    </row>
    <row r="801" spans="1:5">
      <c r="A801" t="s">
        <v>940</v>
      </c>
      <c r="B801" t="s">
        <v>947</v>
      </c>
      <c r="C801">
        <v>0.39685120330099999</v>
      </c>
      <c r="D801">
        <v>0.99399605920699996</v>
      </c>
      <c r="E801">
        <v>10.398800599700101</v>
      </c>
    </row>
    <row r="802" spans="1:5">
      <c r="A802" t="s">
        <v>948</v>
      </c>
      <c r="B802" t="s">
        <v>949</v>
      </c>
      <c r="C802">
        <v>0</v>
      </c>
      <c r="D802" t="s">
        <v>106</v>
      </c>
      <c r="E802">
        <v>24</v>
      </c>
    </row>
    <row r="803" spans="1:5">
      <c r="A803" t="s">
        <v>948</v>
      </c>
      <c r="B803" t="s">
        <v>950</v>
      </c>
      <c r="C803">
        <v>0</v>
      </c>
      <c r="D803" t="s">
        <v>106</v>
      </c>
      <c r="E803">
        <v>24</v>
      </c>
    </row>
    <row r="804" spans="1:5">
      <c r="A804" t="s">
        <v>948</v>
      </c>
      <c r="B804" t="s">
        <v>951</v>
      </c>
      <c r="C804">
        <f>0</f>
        <v>0</v>
      </c>
      <c r="D804" t="s">
        <v>106</v>
      </c>
      <c r="E804">
        <v>24</v>
      </c>
    </row>
    <row r="805" spans="1:5">
      <c r="A805" t="s">
        <v>952</v>
      </c>
      <c r="B805" t="s">
        <v>953</v>
      </c>
      <c r="C805">
        <v>0</v>
      </c>
      <c r="D805">
        <v>0.98204954045799997</v>
      </c>
      <c r="E805">
        <v>9.9190404797601204</v>
      </c>
    </row>
    <row r="806" spans="1:5">
      <c r="A806" t="s">
        <v>952</v>
      </c>
      <c r="B806" t="s">
        <v>954</v>
      </c>
      <c r="C806">
        <v>0.27329190223599997</v>
      </c>
      <c r="D806">
        <v>0.98204954045799997</v>
      </c>
      <c r="E806">
        <v>9.9190404797601204</v>
      </c>
    </row>
    <row r="807" spans="1:5">
      <c r="A807" t="s">
        <v>955</v>
      </c>
      <c r="B807" t="s">
        <v>956</v>
      </c>
      <c r="C807">
        <f>0</f>
        <v>0</v>
      </c>
      <c r="D807">
        <v>0.99619637897199997</v>
      </c>
      <c r="E807">
        <v>1.57121439280359</v>
      </c>
    </row>
    <row r="808" spans="1:5">
      <c r="A808" t="s">
        <v>955</v>
      </c>
      <c r="B808" t="s">
        <v>957</v>
      </c>
      <c r="C808">
        <v>6.8110348867600002E-3</v>
      </c>
      <c r="D808">
        <v>0.99619637897199997</v>
      </c>
      <c r="E808">
        <v>1.57121439280359</v>
      </c>
    </row>
    <row r="809" spans="1:5">
      <c r="A809" t="s">
        <v>955</v>
      </c>
      <c r="B809" t="s">
        <v>958</v>
      </c>
      <c r="C809">
        <v>0</v>
      </c>
      <c r="D809">
        <v>0.99619637897199997</v>
      </c>
      <c r="E809">
        <v>1.57121439280359</v>
      </c>
    </row>
    <row r="810" spans="1:5">
      <c r="A810" t="s">
        <v>955</v>
      </c>
      <c r="B810" t="s">
        <v>959</v>
      </c>
      <c r="C810">
        <v>0</v>
      </c>
      <c r="D810">
        <v>0.99619637897199997</v>
      </c>
      <c r="E810">
        <v>1.57121439280359</v>
      </c>
    </row>
    <row r="811" spans="1:5">
      <c r="A811" t="s">
        <v>955</v>
      </c>
      <c r="B811" t="s">
        <v>960</v>
      </c>
      <c r="C811">
        <v>0</v>
      </c>
      <c r="D811">
        <v>0.99619637897199997</v>
      </c>
      <c r="E811">
        <v>1.57121439280359</v>
      </c>
    </row>
    <row r="812" spans="1:5">
      <c r="A812" t="s">
        <v>955</v>
      </c>
      <c r="B812" t="s">
        <v>961</v>
      </c>
      <c r="C812">
        <v>0</v>
      </c>
      <c r="D812">
        <v>0.99619637897199997</v>
      </c>
      <c r="E812">
        <v>1.57121439280359</v>
      </c>
    </row>
    <row r="813" spans="1:5">
      <c r="A813" t="s">
        <v>955</v>
      </c>
      <c r="B813" t="s">
        <v>962</v>
      </c>
      <c r="C813">
        <v>0.66969020344200003</v>
      </c>
      <c r="D813">
        <v>0.99619637897199997</v>
      </c>
      <c r="E813">
        <v>1.57121439280359</v>
      </c>
    </row>
    <row r="814" spans="1:5">
      <c r="A814" t="s">
        <v>955</v>
      </c>
      <c r="B814" t="s">
        <v>963</v>
      </c>
      <c r="C814">
        <v>0</v>
      </c>
      <c r="D814">
        <v>0.99619637897199997</v>
      </c>
      <c r="E814">
        <v>1.57121439280359</v>
      </c>
    </row>
    <row r="815" spans="1:5">
      <c r="A815" t="s">
        <v>964</v>
      </c>
      <c r="B815" t="s">
        <v>965</v>
      </c>
      <c r="C815">
        <v>0.107838426574</v>
      </c>
      <c r="D815">
        <v>0.99352106127100004</v>
      </c>
      <c r="E815">
        <v>3.97001499250374</v>
      </c>
    </row>
    <row r="816" spans="1:5">
      <c r="A816" t="s">
        <v>966</v>
      </c>
      <c r="B816" t="s">
        <v>967</v>
      </c>
      <c r="C816">
        <v>0</v>
      </c>
      <c r="D816">
        <v>0.99248570231199995</v>
      </c>
      <c r="E816">
        <v>2.0269865067466202</v>
      </c>
    </row>
    <row r="817" spans="1:5">
      <c r="A817" t="s">
        <v>966</v>
      </c>
      <c r="B817" t="s">
        <v>968</v>
      </c>
      <c r="C817">
        <v>0</v>
      </c>
      <c r="D817">
        <v>0.99248570231199995</v>
      </c>
      <c r="E817">
        <v>2.0269865067466202</v>
      </c>
    </row>
    <row r="818" spans="1:5">
      <c r="A818" t="s">
        <v>966</v>
      </c>
      <c r="B818" t="s">
        <v>969</v>
      </c>
      <c r="C818">
        <v>0.121991694264</v>
      </c>
      <c r="D818">
        <v>0.99248570231199995</v>
      </c>
      <c r="E818">
        <v>2.0269865067466202</v>
      </c>
    </row>
    <row r="819" spans="1:5">
      <c r="A819" t="s">
        <v>966</v>
      </c>
      <c r="B819" t="s">
        <v>970</v>
      </c>
      <c r="C819">
        <v>0</v>
      </c>
      <c r="D819">
        <v>0.99248570231199995</v>
      </c>
      <c r="E819">
        <v>2.0269865067466202</v>
      </c>
    </row>
    <row r="820" spans="1:5">
      <c r="A820" t="s">
        <v>966</v>
      </c>
      <c r="B820" t="s">
        <v>971</v>
      </c>
      <c r="C820">
        <v>2.5128378485200002E-2</v>
      </c>
      <c r="D820">
        <v>0.99248570231199995</v>
      </c>
      <c r="E820">
        <v>2.0269865067466202</v>
      </c>
    </row>
    <row r="821" spans="1:5">
      <c r="A821" t="s">
        <v>966</v>
      </c>
      <c r="B821" t="s">
        <v>972</v>
      </c>
      <c r="C821">
        <v>0</v>
      </c>
      <c r="D821">
        <v>0.99248570231199995</v>
      </c>
      <c r="E821">
        <v>2.0269865067466202</v>
      </c>
    </row>
    <row r="822" spans="1:5">
      <c r="A822" t="s">
        <v>973</v>
      </c>
      <c r="B822" t="s">
        <v>974</v>
      </c>
      <c r="C822">
        <v>0</v>
      </c>
      <c r="D822" t="s">
        <v>106</v>
      </c>
      <c r="E822">
        <v>4.3778110944527704</v>
      </c>
    </row>
    <row r="823" spans="1:5">
      <c r="A823" t="s">
        <v>973</v>
      </c>
      <c r="B823" t="s">
        <v>975</v>
      </c>
      <c r="C823">
        <v>0</v>
      </c>
      <c r="D823" t="s">
        <v>106</v>
      </c>
      <c r="E823">
        <v>4.3778110944527704</v>
      </c>
    </row>
    <row r="824" spans="1:5">
      <c r="A824" t="s">
        <v>973</v>
      </c>
      <c r="B824" t="s">
        <v>976</v>
      </c>
      <c r="C824">
        <f>0</f>
        <v>0</v>
      </c>
      <c r="D824" t="s">
        <v>106</v>
      </c>
      <c r="E824">
        <v>4.3778110944527704</v>
      </c>
    </row>
    <row r="825" spans="1:5">
      <c r="A825" t="s">
        <v>973</v>
      </c>
      <c r="B825" t="s">
        <v>977</v>
      </c>
      <c r="C825">
        <f>0</f>
        <v>0</v>
      </c>
      <c r="D825" t="s">
        <v>106</v>
      </c>
      <c r="E825">
        <v>4.3778110944527704</v>
      </c>
    </row>
    <row r="826" spans="1:5">
      <c r="A826" t="s">
        <v>973</v>
      </c>
      <c r="B826" t="s">
        <v>978</v>
      </c>
      <c r="C826">
        <f>0</f>
        <v>0</v>
      </c>
      <c r="D826" t="s">
        <v>106</v>
      </c>
      <c r="E826">
        <v>4.3778110944527704</v>
      </c>
    </row>
    <row r="827" spans="1:5">
      <c r="A827" t="s">
        <v>973</v>
      </c>
      <c r="B827" t="s">
        <v>979</v>
      </c>
      <c r="C827">
        <v>0</v>
      </c>
      <c r="D827" t="s">
        <v>106</v>
      </c>
      <c r="E827">
        <v>4.3778110944527704</v>
      </c>
    </row>
    <row r="828" spans="1:5">
      <c r="A828" t="s">
        <v>973</v>
      </c>
      <c r="B828" t="s">
        <v>980</v>
      </c>
      <c r="C828">
        <f>0</f>
        <v>0</v>
      </c>
      <c r="D828" t="s">
        <v>106</v>
      </c>
      <c r="E828">
        <v>4.3778110944527704</v>
      </c>
    </row>
    <row r="829" spans="1:5">
      <c r="A829" t="s">
        <v>973</v>
      </c>
      <c r="B829" t="s">
        <v>981</v>
      </c>
      <c r="C829">
        <v>0</v>
      </c>
      <c r="D829" t="s">
        <v>106</v>
      </c>
      <c r="E829">
        <v>4.3778110944527704</v>
      </c>
    </row>
    <row r="830" spans="1:5">
      <c r="A830" t="s">
        <v>973</v>
      </c>
      <c r="B830" t="s">
        <v>982</v>
      </c>
      <c r="C830">
        <f>0</f>
        <v>0</v>
      </c>
      <c r="D830" t="s">
        <v>106</v>
      </c>
      <c r="E830">
        <v>4.3778110944527704</v>
      </c>
    </row>
    <row r="831" spans="1:5">
      <c r="A831" t="s">
        <v>973</v>
      </c>
      <c r="B831" t="s">
        <v>983</v>
      </c>
      <c r="C831">
        <f>0</f>
        <v>0</v>
      </c>
      <c r="D831" t="s">
        <v>106</v>
      </c>
      <c r="E831">
        <v>4.3778110944527704</v>
      </c>
    </row>
    <row r="832" spans="1:5">
      <c r="A832" t="s">
        <v>973</v>
      </c>
      <c r="B832" t="s">
        <v>984</v>
      </c>
      <c r="C832">
        <f>0</f>
        <v>0</v>
      </c>
      <c r="D832" t="s">
        <v>106</v>
      </c>
      <c r="E832">
        <v>4.3778110944527704</v>
      </c>
    </row>
    <row r="833" spans="1:5">
      <c r="A833" t="s">
        <v>973</v>
      </c>
      <c r="B833" t="s">
        <v>985</v>
      </c>
      <c r="C833">
        <f>0</f>
        <v>0</v>
      </c>
      <c r="D833" t="s">
        <v>106</v>
      </c>
      <c r="E833">
        <v>4.3778110944527704</v>
      </c>
    </row>
    <row r="834" spans="1:5">
      <c r="A834" t="s">
        <v>973</v>
      </c>
      <c r="B834" t="s">
        <v>986</v>
      </c>
      <c r="C834">
        <f>0</f>
        <v>0</v>
      </c>
      <c r="D834" t="s">
        <v>106</v>
      </c>
      <c r="E834">
        <v>4.3778110944527704</v>
      </c>
    </row>
    <row r="835" spans="1:5">
      <c r="A835" t="s">
        <v>973</v>
      </c>
      <c r="B835" t="s">
        <v>987</v>
      </c>
      <c r="C835">
        <v>0</v>
      </c>
      <c r="D835" t="s">
        <v>106</v>
      </c>
      <c r="E835">
        <v>4.3778110944527704</v>
      </c>
    </row>
    <row r="836" spans="1:5">
      <c r="A836" t="s">
        <v>973</v>
      </c>
      <c r="B836" t="s">
        <v>988</v>
      </c>
      <c r="C836">
        <v>0</v>
      </c>
      <c r="D836" t="s">
        <v>106</v>
      </c>
      <c r="E836">
        <v>4.3778110944527704</v>
      </c>
    </row>
    <row r="837" spans="1:5">
      <c r="A837" t="s">
        <v>973</v>
      </c>
      <c r="B837" t="s">
        <v>989</v>
      </c>
      <c r="C837">
        <f>0</f>
        <v>0</v>
      </c>
      <c r="D837" t="s">
        <v>106</v>
      </c>
      <c r="E837">
        <v>4.3778110944527704</v>
      </c>
    </row>
    <row r="838" spans="1:5">
      <c r="A838" t="s">
        <v>973</v>
      </c>
      <c r="B838" t="s">
        <v>990</v>
      </c>
      <c r="C838">
        <f>0</f>
        <v>0</v>
      </c>
      <c r="D838" t="s">
        <v>106</v>
      </c>
      <c r="E838">
        <v>4.3778110944527704</v>
      </c>
    </row>
    <row r="839" spans="1:5">
      <c r="A839" t="s">
        <v>973</v>
      </c>
      <c r="B839" t="s">
        <v>991</v>
      </c>
      <c r="C839">
        <f>0</f>
        <v>0</v>
      </c>
      <c r="D839" t="s">
        <v>106</v>
      </c>
      <c r="E839">
        <v>4.3778110944527704</v>
      </c>
    </row>
    <row r="840" spans="1:5">
      <c r="A840" t="s">
        <v>973</v>
      </c>
      <c r="B840" t="s">
        <v>992</v>
      </c>
      <c r="C840">
        <f>0</f>
        <v>0</v>
      </c>
      <c r="D840" t="s">
        <v>106</v>
      </c>
      <c r="E840">
        <v>4.3778110944527704</v>
      </c>
    </row>
    <row r="841" spans="1:5">
      <c r="A841" t="s">
        <v>973</v>
      </c>
      <c r="B841" t="s">
        <v>993</v>
      </c>
      <c r="C841">
        <f>0</f>
        <v>0</v>
      </c>
      <c r="D841" t="s">
        <v>106</v>
      </c>
      <c r="E841">
        <v>4.3778110944527704</v>
      </c>
    </row>
    <row r="842" spans="1:5">
      <c r="A842" t="s">
        <v>973</v>
      </c>
      <c r="B842" t="s">
        <v>994</v>
      </c>
      <c r="C842">
        <f>0</f>
        <v>0</v>
      </c>
      <c r="D842" t="s">
        <v>106</v>
      </c>
      <c r="E842">
        <v>4.3778110944527704</v>
      </c>
    </row>
    <row r="843" spans="1:5">
      <c r="A843" t="s">
        <v>973</v>
      </c>
      <c r="B843" t="s">
        <v>995</v>
      </c>
      <c r="C843">
        <v>0</v>
      </c>
      <c r="D843" t="s">
        <v>106</v>
      </c>
      <c r="E843">
        <v>4.3778110944527704</v>
      </c>
    </row>
    <row r="844" spans="1:5">
      <c r="A844" t="s">
        <v>996</v>
      </c>
      <c r="B844" t="s">
        <v>997</v>
      </c>
      <c r="C844">
        <f>0.385748804253</f>
        <v>0.38574880425300001</v>
      </c>
      <c r="D844">
        <v>0.97217140728899998</v>
      </c>
      <c r="E844">
        <v>6.9325337331334298</v>
      </c>
    </row>
    <row r="845" spans="1:5">
      <c r="A845" t="s">
        <v>996</v>
      </c>
      <c r="B845" t="s">
        <v>998</v>
      </c>
      <c r="C845">
        <v>3.6982189884800003E-2</v>
      </c>
      <c r="D845">
        <v>0.97217140728899998</v>
      </c>
      <c r="E845">
        <v>6.9325337331334298</v>
      </c>
    </row>
    <row r="846" spans="1:5">
      <c r="A846" t="s">
        <v>996</v>
      </c>
      <c r="B846" t="s">
        <v>999</v>
      </c>
      <c r="C846">
        <v>0</v>
      </c>
      <c r="D846">
        <v>0.97217140728899998</v>
      </c>
      <c r="E846">
        <v>6.9325337331334298</v>
      </c>
    </row>
    <row r="847" spans="1:5">
      <c r="A847" t="s">
        <v>996</v>
      </c>
      <c r="B847" t="s">
        <v>1000</v>
      </c>
      <c r="C847">
        <v>0</v>
      </c>
      <c r="D847">
        <v>0.97217140728899998</v>
      </c>
      <c r="E847">
        <v>6.9325337331334298</v>
      </c>
    </row>
    <row r="848" spans="1:5">
      <c r="A848" t="s">
        <v>996</v>
      </c>
      <c r="B848" t="s">
        <v>1001</v>
      </c>
      <c r="C848">
        <f>0</f>
        <v>0</v>
      </c>
      <c r="D848">
        <v>0.97217140728899998</v>
      </c>
      <c r="E848">
        <v>6.9325337331334298</v>
      </c>
    </row>
    <row r="849" spans="1:5">
      <c r="A849" t="s">
        <v>996</v>
      </c>
      <c r="B849" t="s">
        <v>1002</v>
      </c>
      <c r="C849">
        <v>0</v>
      </c>
      <c r="D849">
        <v>0.97217140728899998</v>
      </c>
      <c r="E849">
        <v>6.9325337331334298</v>
      </c>
    </row>
    <row r="850" spans="1:5">
      <c r="A850" t="s">
        <v>1003</v>
      </c>
      <c r="B850" t="s">
        <v>1004</v>
      </c>
      <c r="C850">
        <v>0.34499697681399999</v>
      </c>
      <c r="D850">
        <v>0.96930227169399996</v>
      </c>
      <c r="E850">
        <v>11.370314842578701</v>
      </c>
    </row>
    <row r="851" spans="1:5">
      <c r="A851" t="s">
        <v>1003</v>
      </c>
      <c r="B851" t="s">
        <v>1005</v>
      </c>
      <c r="C851">
        <v>0</v>
      </c>
      <c r="D851">
        <v>0.96930227169399996</v>
      </c>
      <c r="E851">
        <v>11.370314842578701</v>
      </c>
    </row>
    <row r="852" spans="1:5">
      <c r="A852" t="s">
        <v>1003</v>
      </c>
      <c r="B852" t="s">
        <v>1006</v>
      </c>
      <c r="C852">
        <v>0</v>
      </c>
      <c r="D852">
        <v>0.96930227169399996</v>
      </c>
      <c r="E852">
        <v>11.370314842578701</v>
      </c>
    </row>
    <row r="853" spans="1:5">
      <c r="A853" t="s">
        <v>1003</v>
      </c>
      <c r="B853" t="s">
        <v>1007</v>
      </c>
      <c r="C853">
        <v>0</v>
      </c>
      <c r="D853">
        <v>0.96930227169399996</v>
      </c>
      <c r="E853">
        <v>11.370314842578701</v>
      </c>
    </row>
    <row r="854" spans="1:5">
      <c r="A854" t="s">
        <v>1008</v>
      </c>
      <c r="B854" t="s">
        <v>1009</v>
      </c>
      <c r="C854">
        <f>0</f>
        <v>0</v>
      </c>
      <c r="D854" t="s">
        <v>106</v>
      </c>
      <c r="E854">
        <v>0.91154422788605605</v>
      </c>
    </row>
    <row r="855" spans="1:5">
      <c r="A855" t="s">
        <v>1008</v>
      </c>
      <c r="B855" t="s">
        <v>1010</v>
      </c>
      <c r="C855">
        <f>0</f>
        <v>0</v>
      </c>
      <c r="D855" t="s">
        <v>106</v>
      </c>
      <c r="E855">
        <v>0.91154422788605605</v>
      </c>
    </row>
    <row r="856" spans="1:5">
      <c r="A856" t="s">
        <v>1008</v>
      </c>
      <c r="B856" t="s">
        <v>1011</v>
      </c>
      <c r="C856">
        <f>0</f>
        <v>0</v>
      </c>
      <c r="D856" t="s">
        <v>106</v>
      </c>
      <c r="E856">
        <v>0.91154422788605605</v>
      </c>
    </row>
    <row r="857" spans="1:5">
      <c r="A857" t="s">
        <v>1008</v>
      </c>
      <c r="B857" t="s">
        <v>1012</v>
      </c>
      <c r="C857">
        <v>0</v>
      </c>
      <c r="D857" t="s">
        <v>106</v>
      </c>
      <c r="E857">
        <v>0.91154422788605605</v>
      </c>
    </row>
    <row r="858" spans="1:5">
      <c r="A858" t="s">
        <v>1008</v>
      </c>
      <c r="B858" t="s">
        <v>1013</v>
      </c>
      <c r="C858">
        <f>0</f>
        <v>0</v>
      </c>
      <c r="D858" t="s">
        <v>106</v>
      </c>
      <c r="E858">
        <v>0.91154422788605605</v>
      </c>
    </row>
    <row r="859" spans="1:5">
      <c r="A859" t="s">
        <v>1008</v>
      </c>
      <c r="B859" t="s">
        <v>1014</v>
      </c>
      <c r="C859">
        <f>0</f>
        <v>0</v>
      </c>
      <c r="D859" t="s">
        <v>106</v>
      </c>
      <c r="E859">
        <v>0.91154422788605605</v>
      </c>
    </row>
    <row r="860" spans="1:5">
      <c r="A860" t="s">
        <v>1015</v>
      </c>
      <c r="B860" t="s">
        <v>1016</v>
      </c>
      <c r="C860">
        <v>0</v>
      </c>
      <c r="D860">
        <v>0.97004885313300004</v>
      </c>
      <c r="E860">
        <v>1.7631184407796101</v>
      </c>
    </row>
    <row r="861" spans="1:5">
      <c r="A861" t="s">
        <v>1015</v>
      </c>
      <c r="B861" t="s">
        <v>1017</v>
      </c>
      <c r="C861">
        <v>7.3893743824000005E-2</v>
      </c>
      <c r="D861">
        <v>0.97004885313300004</v>
      </c>
      <c r="E861">
        <v>1.7631184407796101</v>
      </c>
    </row>
    <row r="862" spans="1:5">
      <c r="A862" t="s">
        <v>1015</v>
      </c>
      <c r="B862" t="s">
        <v>1018</v>
      </c>
      <c r="C862">
        <f>0</f>
        <v>0</v>
      </c>
      <c r="D862">
        <v>0.97004885313300004</v>
      </c>
      <c r="E862">
        <v>1.7631184407796101</v>
      </c>
    </row>
    <row r="863" spans="1:5">
      <c r="A863" t="s">
        <v>1015</v>
      </c>
      <c r="B863" t="s">
        <v>1019</v>
      </c>
      <c r="C863">
        <f>0</f>
        <v>0</v>
      </c>
      <c r="D863">
        <v>0.97004885313300004</v>
      </c>
      <c r="E863">
        <v>1.7631184407796101</v>
      </c>
    </row>
    <row r="864" spans="1:5">
      <c r="A864" t="s">
        <v>1015</v>
      </c>
      <c r="B864" t="s">
        <v>1020</v>
      </c>
      <c r="C864">
        <f>0</f>
        <v>0</v>
      </c>
      <c r="D864">
        <v>0.97004885313300004</v>
      </c>
      <c r="E864">
        <v>1.7631184407796101</v>
      </c>
    </row>
    <row r="865" spans="1:5">
      <c r="A865" t="s">
        <v>1015</v>
      </c>
      <c r="B865" t="s">
        <v>1021</v>
      </c>
      <c r="C865">
        <v>0</v>
      </c>
      <c r="D865">
        <v>0.97004885313300004</v>
      </c>
      <c r="E865">
        <v>1.7631184407796101</v>
      </c>
    </row>
    <row r="866" spans="1:5">
      <c r="A866" t="s">
        <v>1015</v>
      </c>
      <c r="B866" t="s">
        <v>1022</v>
      </c>
      <c r="C866">
        <f>0</f>
        <v>0</v>
      </c>
      <c r="D866">
        <v>0.97004885313300004</v>
      </c>
      <c r="E866">
        <v>1.7631184407796101</v>
      </c>
    </row>
    <row r="867" spans="1:5">
      <c r="A867" t="s">
        <v>1015</v>
      </c>
      <c r="B867" t="s">
        <v>1023</v>
      </c>
      <c r="C867">
        <v>0</v>
      </c>
      <c r="D867">
        <v>0.97004885313300004</v>
      </c>
      <c r="E867">
        <v>1.7631184407796101</v>
      </c>
    </row>
    <row r="868" spans="1:5">
      <c r="A868" t="s">
        <v>1015</v>
      </c>
      <c r="B868" t="s">
        <v>1024</v>
      </c>
      <c r="C868">
        <f>0</f>
        <v>0</v>
      </c>
      <c r="D868">
        <v>0.97004885313300004</v>
      </c>
      <c r="E868">
        <v>1.7631184407796101</v>
      </c>
    </row>
    <row r="869" spans="1:5">
      <c r="A869" t="s">
        <v>1015</v>
      </c>
      <c r="B869" t="s">
        <v>1025</v>
      </c>
      <c r="C869">
        <f>0</f>
        <v>0</v>
      </c>
      <c r="D869">
        <v>0.97004885313300004</v>
      </c>
      <c r="E869">
        <v>1.7631184407796101</v>
      </c>
    </row>
    <row r="870" spans="1:5">
      <c r="A870" t="s">
        <v>1015</v>
      </c>
      <c r="B870" t="s">
        <v>1026</v>
      </c>
      <c r="C870">
        <v>0</v>
      </c>
      <c r="D870">
        <v>0.97004885313300004</v>
      </c>
      <c r="E870">
        <v>1.7631184407796101</v>
      </c>
    </row>
    <row r="871" spans="1:5">
      <c r="A871" t="s">
        <v>1027</v>
      </c>
      <c r="B871" t="s">
        <v>1028</v>
      </c>
      <c r="C871">
        <v>0</v>
      </c>
      <c r="D871" t="s">
        <v>106</v>
      </c>
      <c r="E871">
        <v>0.43178410794602701</v>
      </c>
    </row>
    <row r="872" spans="1:5">
      <c r="A872" t="s">
        <v>1027</v>
      </c>
      <c r="B872" t="s">
        <v>1029</v>
      </c>
      <c r="C872">
        <v>0</v>
      </c>
      <c r="D872" t="s">
        <v>106</v>
      </c>
      <c r="E872">
        <v>0.43178410794602701</v>
      </c>
    </row>
    <row r="873" spans="1:5">
      <c r="A873" t="s">
        <v>1027</v>
      </c>
      <c r="B873" t="s">
        <v>1030</v>
      </c>
      <c r="C873">
        <v>0</v>
      </c>
      <c r="D873" t="s">
        <v>106</v>
      </c>
      <c r="E873">
        <v>0.43178410794602701</v>
      </c>
    </row>
    <row r="874" spans="1:5">
      <c r="A874" t="s">
        <v>1027</v>
      </c>
      <c r="B874" t="s">
        <v>1031</v>
      </c>
      <c r="C874">
        <v>0</v>
      </c>
      <c r="D874" t="s">
        <v>106</v>
      </c>
      <c r="E874">
        <v>0.43178410794602701</v>
      </c>
    </row>
    <row r="875" spans="1:5">
      <c r="A875" t="s">
        <v>1027</v>
      </c>
      <c r="B875" t="s">
        <v>1032</v>
      </c>
      <c r="C875">
        <v>0</v>
      </c>
      <c r="D875" t="s">
        <v>106</v>
      </c>
      <c r="E875">
        <v>0.43178410794602701</v>
      </c>
    </row>
    <row r="876" spans="1:5">
      <c r="A876" t="s">
        <v>1027</v>
      </c>
      <c r="B876" t="s">
        <v>1033</v>
      </c>
      <c r="C876">
        <f>0</f>
        <v>0</v>
      </c>
      <c r="D876" t="s">
        <v>106</v>
      </c>
      <c r="E876">
        <v>0.43178410794602701</v>
      </c>
    </row>
    <row r="877" spans="1:5">
      <c r="A877" t="s">
        <v>1034</v>
      </c>
      <c r="B877" t="s">
        <v>1035</v>
      </c>
      <c r="C877">
        <v>0</v>
      </c>
      <c r="D877">
        <v>0.92079462981799998</v>
      </c>
      <c r="E877">
        <v>11.202398800599701</v>
      </c>
    </row>
    <row r="878" spans="1:5">
      <c r="A878" t="s">
        <v>1034</v>
      </c>
      <c r="B878" t="s">
        <v>1036</v>
      </c>
      <c r="C878">
        <v>2.19209605738E-2</v>
      </c>
      <c r="D878">
        <v>0.92079462981799998</v>
      </c>
      <c r="E878">
        <v>11.202398800599701</v>
      </c>
    </row>
    <row r="879" spans="1:5">
      <c r="A879" t="s">
        <v>1034</v>
      </c>
      <c r="B879" t="s">
        <v>1037</v>
      </c>
      <c r="C879">
        <f>0</f>
        <v>0</v>
      </c>
      <c r="D879">
        <v>0.92079462981799998</v>
      </c>
      <c r="E879">
        <v>11.202398800599701</v>
      </c>
    </row>
    <row r="880" spans="1:5">
      <c r="A880" t="s">
        <v>1034</v>
      </c>
      <c r="B880" t="s">
        <v>1038</v>
      </c>
      <c r="C880">
        <f>0.161080294294</f>
        <v>0.161080294294</v>
      </c>
      <c r="D880">
        <v>0.92079462981799998</v>
      </c>
      <c r="E880">
        <v>11.202398800599701</v>
      </c>
    </row>
    <row r="881" spans="1:5">
      <c r="A881" t="s">
        <v>1034</v>
      </c>
      <c r="B881" t="s">
        <v>1039</v>
      </c>
      <c r="C881">
        <v>0</v>
      </c>
      <c r="D881">
        <v>0.92079462981799998</v>
      </c>
      <c r="E881">
        <v>11.202398800599701</v>
      </c>
    </row>
    <row r="882" spans="1:5">
      <c r="A882" t="s">
        <v>1034</v>
      </c>
      <c r="B882" t="s">
        <v>1040</v>
      </c>
      <c r="C882">
        <f>0</f>
        <v>0</v>
      </c>
      <c r="D882">
        <v>0.92079462981799998</v>
      </c>
      <c r="E882">
        <v>11.202398800599701</v>
      </c>
    </row>
    <row r="883" spans="1:5">
      <c r="A883" t="s">
        <v>1034</v>
      </c>
      <c r="B883" t="s">
        <v>1041</v>
      </c>
      <c r="C883">
        <v>0</v>
      </c>
      <c r="D883">
        <v>0.92079462981799998</v>
      </c>
      <c r="E883">
        <v>11.202398800599701</v>
      </c>
    </row>
    <row r="884" spans="1:5">
      <c r="A884" t="s">
        <v>1034</v>
      </c>
      <c r="B884" t="s">
        <v>1042</v>
      </c>
      <c r="C884">
        <v>0</v>
      </c>
      <c r="D884">
        <v>0.92079462981799998</v>
      </c>
      <c r="E884">
        <v>11.202398800599701</v>
      </c>
    </row>
    <row r="885" spans="1:5">
      <c r="A885" t="s">
        <v>1034</v>
      </c>
      <c r="B885" t="s">
        <v>1043</v>
      </c>
      <c r="C885">
        <v>0</v>
      </c>
      <c r="D885">
        <v>0.92079462981799998</v>
      </c>
      <c r="E885">
        <v>11.202398800599701</v>
      </c>
    </row>
    <row r="886" spans="1:5">
      <c r="A886" t="s">
        <v>1034</v>
      </c>
      <c r="B886" t="s">
        <v>1044</v>
      </c>
      <c r="C886">
        <f>0</f>
        <v>0</v>
      </c>
      <c r="D886">
        <v>0.92079462981799998</v>
      </c>
      <c r="E886">
        <v>11.202398800599701</v>
      </c>
    </row>
    <row r="887" spans="1:5">
      <c r="A887" t="s">
        <v>1045</v>
      </c>
      <c r="B887" t="s">
        <v>1046</v>
      </c>
      <c r="C887">
        <v>0</v>
      </c>
      <c r="D887" t="s">
        <v>106</v>
      </c>
      <c r="E887">
        <v>20.965517241379299</v>
      </c>
    </row>
    <row r="888" spans="1:5">
      <c r="A888" t="s">
        <v>1045</v>
      </c>
      <c r="B888" t="s">
        <v>1047</v>
      </c>
      <c r="C888">
        <v>0</v>
      </c>
      <c r="D888" t="s">
        <v>106</v>
      </c>
      <c r="E888">
        <v>20.965517241379299</v>
      </c>
    </row>
    <row r="889" spans="1:5">
      <c r="A889" t="s">
        <v>1045</v>
      </c>
      <c r="B889" t="s">
        <v>1048</v>
      </c>
      <c r="C889">
        <f>0</f>
        <v>0</v>
      </c>
      <c r="D889" t="s">
        <v>106</v>
      </c>
      <c r="E889">
        <v>20.965517241379299</v>
      </c>
    </row>
    <row r="890" spans="1:5">
      <c r="A890" t="s">
        <v>1045</v>
      </c>
      <c r="B890" t="s">
        <v>1049</v>
      </c>
      <c r="C890">
        <f>0</f>
        <v>0</v>
      </c>
      <c r="D890" t="s">
        <v>106</v>
      </c>
      <c r="E890">
        <v>20.965517241379299</v>
      </c>
    </row>
    <row r="891" spans="1:5">
      <c r="A891" t="s">
        <v>1045</v>
      </c>
      <c r="B891" t="s">
        <v>1050</v>
      </c>
      <c r="C891">
        <f>0</f>
        <v>0</v>
      </c>
      <c r="D891" t="s">
        <v>106</v>
      </c>
      <c r="E891">
        <v>20.965517241379299</v>
      </c>
    </row>
    <row r="892" spans="1:5">
      <c r="A892" t="s">
        <v>1045</v>
      </c>
      <c r="B892" t="s">
        <v>1051</v>
      </c>
      <c r="C892">
        <f>0</f>
        <v>0</v>
      </c>
      <c r="D892" t="s">
        <v>106</v>
      </c>
      <c r="E892">
        <v>20.965517241379299</v>
      </c>
    </row>
    <row r="893" spans="1:5">
      <c r="A893" t="s">
        <v>1045</v>
      </c>
      <c r="B893" t="s">
        <v>1052</v>
      </c>
      <c r="C893">
        <v>0</v>
      </c>
      <c r="D893" t="s">
        <v>106</v>
      </c>
      <c r="E893">
        <v>20.965517241379299</v>
      </c>
    </row>
    <row r="894" spans="1:5">
      <c r="A894" t="s">
        <v>1045</v>
      </c>
      <c r="B894" t="s">
        <v>1053</v>
      </c>
      <c r="C894">
        <v>0</v>
      </c>
      <c r="D894" t="s">
        <v>106</v>
      </c>
      <c r="E894">
        <v>20.965517241379299</v>
      </c>
    </row>
    <row r="895" spans="1:5">
      <c r="A895" t="s">
        <v>1045</v>
      </c>
      <c r="B895" t="s">
        <v>1054</v>
      </c>
      <c r="C895">
        <v>0</v>
      </c>
      <c r="D895" t="s">
        <v>106</v>
      </c>
      <c r="E895">
        <v>20.965517241379299</v>
      </c>
    </row>
    <row r="896" spans="1:5">
      <c r="A896" t="s">
        <v>1045</v>
      </c>
      <c r="B896" t="s">
        <v>1055</v>
      </c>
      <c r="C896">
        <f>0</f>
        <v>0</v>
      </c>
      <c r="D896" t="s">
        <v>106</v>
      </c>
      <c r="E896">
        <v>20.965517241379299</v>
      </c>
    </row>
    <row r="897" spans="1:5">
      <c r="A897" t="s">
        <v>1045</v>
      </c>
      <c r="B897" t="s">
        <v>1056</v>
      </c>
      <c r="C897">
        <f>0</f>
        <v>0</v>
      </c>
      <c r="D897" t="s">
        <v>106</v>
      </c>
      <c r="E897">
        <v>20.965517241379299</v>
      </c>
    </row>
    <row r="898" spans="1:5">
      <c r="A898" t="s">
        <v>1045</v>
      </c>
      <c r="B898" t="s">
        <v>1057</v>
      </c>
      <c r="C898">
        <v>0</v>
      </c>
      <c r="D898" t="s">
        <v>106</v>
      </c>
      <c r="E898">
        <v>20.965517241379299</v>
      </c>
    </row>
    <row r="899" spans="1:5">
      <c r="A899" t="s">
        <v>1045</v>
      </c>
      <c r="B899" t="s">
        <v>1058</v>
      </c>
      <c r="C899">
        <f>0</f>
        <v>0</v>
      </c>
      <c r="D899" t="s">
        <v>106</v>
      </c>
      <c r="E899">
        <v>20.965517241379299</v>
      </c>
    </row>
    <row r="900" spans="1:5">
      <c r="A900" t="s">
        <v>1045</v>
      </c>
      <c r="B900" t="s">
        <v>1059</v>
      </c>
      <c r="C900">
        <f>0</f>
        <v>0</v>
      </c>
      <c r="D900" t="s">
        <v>106</v>
      </c>
      <c r="E900">
        <v>20.965517241379299</v>
      </c>
    </row>
    <row r="901" spans="1:5">
      <c r="A901" t="s">
        <v>1045</v>
      </c>
      <c r="B901" t="s">
        <v>1060</v>
      </c>
      <c r="C901">
        <v>0</v>
      </c>
      <c r="D901" t="s">
        <v>106</v>
      </c>
      <c r="E901">
        <v>20.965517241379299</v>
      </c>
    </row>
    <row r="902" spans="1:5">
      <c r="A902" t="s">
        <v>1045</v>
      </c>
      <c r="B902" t="s">
        <v>1061</v>
      </c>
      <c r="C902">
        <v>0</v>
      </c>
      <c r="D902" t="s">
        <v>106</v>
      </c>
      <c r="E902">
        <v>20.965517241379299</v>
      </c>
    </row>
    <row r="903" spans="1:5">
      <c r="A903" t="s">
        <v>1045</v>
      </c>
      <c r="B903" t="s">
        <v>1062</v>
      </c>
      <c r="C903">
        <f>0</f>
        <v>0</v>
      </c>
      <c r="D903" t="s">
        <v>106</v>
      </c>
      <c r="E903">
        <v>20.965517241379299</v>
      </c>
    </row>
    <row r="904" spans="1:5">
      <c r="A904" t="s">
        <v>1063</v>
      </c>
      <c r="B904" t="s">
        <v>1064</v>
      </c>
      <c r="C904">
        <f>0</f>
        <v>0</v>
      </c>
      <c r="D904">
        <v>0.89803503603299994</v>
      </c>
      <c r="E904">
        <v>4.4737631184407798</v>
      </c>
    </row>
    <row r="905" spans="1:5">
      <c r="A905" t="s">
        <v>1063</v>
      </c>
      <c r="B905" t="s">
        <v>1065</v>
      </c>
      <c r="C905">
        <v>0</v>
      </c>
      <c r="D905">
        <v>0.89803503603299994</v>
      </c>
      <c r="E905">
        <v>4.4737631184407798</v>
      </c>
    </row>
    <row r="906" spans="1:5">
      <c r="A906" t="s">
        <v>1063</v>
      </c>
      <c r="B906" t="s">
        <v>1066</v>
      </c>
      <c r="C906">
        <v>0</v>
      </c>
      <c r="D906">
        <v>0.89803503603299994</v>
      </c>
      <c r="E906">
        <v>4.4737631184407798</v>
      </c>
    </row>
    <row r="907" spans="1:5">
      <c r="A907" t="s">
        <v>1063</v>
      </c>
      <c r="B907" t="s">
        <v>1067</v>
      </c>
      <c r="C907">
        <f>0</f>
        <v>0</v>
      </c>
      <c r="D907">
        <v>0.89803503603299994</v>
      </c>
      <c r="E907">
        <v>4.4737631184407798</v>
      </c>
    </row>
    <row r="908" spans="1:5">
      <c r="A908" t="s">
        <v>1063</v>
      </c>
      <c r="B908" t="s">
        <v>1068</v>
      </c>
      <c r="C908">
        <f>0</f>
        <v>0</v>
      </c>
      <c r="D908">
        <v>0.89803503603299994</v>
      </c>
      <c r="E908">
        <v>4.4737631184407798</v>
      </c>
    </row>
    <row r="909" spans="1:5">
      <c r="A909" t="s">
        <v>1069</v>
      </c>
      <c r="B909" t="s">
        <v>1070</v>
      </c>
      <c r="C909">
        <v>0</v>
      </c>
      <c r="D909">
        <v>0.65671779707900002</v>
      </c>
      <c r="E909">
        <v>24</v>
      </c>
    </row>
    <row r="910" spans="1:5">
      <c r="A910" t="s">
        <v>1069</v>
      </c>
      <c r="B910" t="s">
        <v>1071</v>
      </c>
      <c r="C910">
        <v>0</v>
      </c>
      <c r="D910">
        <v>0.65671779707900002</v>
      </c>
      <c r="E910">
        <v>24</v>
      </c>
    </row>
    <row r="911" spans="1:5">
      <c r="A911" t="s">
        <v>1069</v>
      </c>
      <c r="B911" t="s">
        <v>1072</v>
      </c>
      <c r="C911">
        <f>0</f>
        <v>0</v>
      </c>
      <c r="D911">
        <v>0.65671779707900002</v>
      </c>
      <c r="E911">
        <v>24</v>
      </c>
    </row>
    <row r="912" spans="1:5">
      <c r="A912" t="s">
        <v>1069</v>
      </c>
      <c r="B912" t="s">
        <v>1073</v>
      </c>
      <c r="C912">
        <f>0</f>
        <v>0</v>
      </c>
      <c r="D912">
        <v>0.65671779707900002</v>
      </c>
      <c r="E912">
        <v>24</v>
      </c>
    </row>
    <row r="913" spans="1:5">
      <c r="A913" t="s">
        <v>1069</v>
      </c>
      <c r="B913" t="s">
        <v>1074</v>
      </c>
      <c r="C913">
        <f>0</f>
        <v>0</v>
      </c>
      <c r="D913">
        <v>0.65671779707900002</v>
      </c>
      <c r="E913">
        <v>24</v>
      </c>
    </row>
    <row r="914" spans="1:5">
      <c r="A914" t="s">
        <v>1069</v>
      </c>
      <c r="B914" t="s">
        <v>1075</v>
      </c>
      <c r="C914">
        <v>0</v>
      </c>
      <c r="D914">
        <v>0.65671779707900002</v>
      </c>
      <c r="E914">
        <v>24</v>
      </c>
    </row>
    <row r="915" spans="1:5">
      <c r="A915" t="s">
        <v>1069</v>
      </c>
      <c r="B915" t="s">
        <v>1076</v>
      </c>
      <c r="C915">
        <v>0</v>
      </c>
      <c r="D915">
        <v>0.65671779707900002</v>
      </c>
      <c r="E915">
        <v>24</v>
      </c>
    </row>
    <row r="916" spans="1:5">
      <c r="A916" t="s">
        <v>1069</v>
      </c>
      <c r="B916" t="s">
        <v>1077</v>
      </c>
      <c r="C916">
        <f>0</f>
        <v>0</v>
      </c>
      <c r="D916">
        <v>0.65671779707900002</v>
      </c>
      <c r="E916">
        <v>24</v>
      </c>
    </row>
    <row r="917" spans="1:5">
      <c r="A917" t="s">
        <v>1069</v>
      </c>
      <c r="B917" t="s">
        <v>1078</v>
      </c>
      <c r="C917">
        <v>0</v>
      </c>
      <c r="D917">
        <v>0.65671779707900002</v>
      </c>
      <c r="E917">
        <v>24</v>
      </c>
    </row>
    <row r="918" spans="1:5">
      <c r="A918" t="s">
        <v>1069</v>
      </c>
      <c r="B918" t="s">
        <v>1079</v>
      </c>
      <c r="C918">
        <f>0</f>
        <v>0</v>
      </c>
      <c r="D918">
        <v>0.65671779707900002</v>
      </c>
      <c r="E918">
        <v>24</v>
      </c>
    </row>
    <row r="919" spans="1:5">
      <c r="A919" t="s">
        <v>1069</v>
      </c>
      <c r="B919" t="s">
        <v>1080</v>
      </c>
      <c r="C919">
        <f>0</f>
        <v>0</v>
      </c>
      <c r="D919">
        <v>0.65671779707900002</v>
      </c>
      <c r="E919">
        <v>24</v>
      </c>
    </row>
    <row r="920" spans="1:5">
      <c r="A920" t="s">
        <v>1069</v>
      </c>
      <c r="B920" t="s">
        <v>1081</v>
      </c>
      <c r="C920">
        <v>0</v>
      </c>
      <c r="D920">
        <v>0.65671779707900002</v>
      </c>
      <c r="E920">
        <v>24</v>
      </c>
    </row>
    <row r="921" spans="1:5">
      <c r="A921" t="s">
        <v>1069</v>
      </c>
      <c r="B921" t="s">
        <v>1082</v>
      </c>
      <c r="C921">
        <v>4.8914275446299997E-2</v>
      </c>
      <c r="D921">
        <v>0.65671779707900002</v>
      </c>
      <c r="E921">
        <v>24</v>
      </c>
    </row>
    <row r="922" spans="1:5">
      <c r="A922" t="s">
        <v>1069</v>
      </c>
      <c r="B922" t="s">
        <v>1083</v>
      </c>
      <c r="C922">
        <v>0</v>
      </c>
      <c r="D922">
        <v>0.65671779707900002</v>
      </c>
      <c r="E922">
        <v>24</v>
      </c>
    </row>
    <row r="923" spans="1:5">
      <c r="A923" t="s">
        <v>1069</v>
      </c>
      <c r="B923" t="s">
        <v>1084</v>
      </c>
      <c r="C923">
        <f>0</f>
        <v>0</v>
      </c>
      <c r="D923">
        <v>0.65671779707900002</v>
      </c>
      <c r="E923">
        <v>24</v>
      </c>
    </row>
    <row r="924" spans="1:5">
      <c r="A924" t="s">
        <v>1069</v>
      </c>
      <c r="B924" t="s">
        <v>1085</v>
      </c>
      <c r="C924">
        <v>2.4272676686E-2</v>
      </c>
      <c r="D924">
        <v>0.65671779707900002</v>
      </c>
      <c r="E924">
        <v>24</v>
      </c>
    </row>
    <row r="925" spans="1:5">
      <c r="A925" t="s">
        <v>1069</v>
      </c>
      <c r="B925" t="s">
        <v>1086</v>
      </c>
      <c r="C925">
        <v>0</v>
      </c>
      <c r="D925">
        <v>0.65671779707900002</v>
      </c>
      <c r="E925">
        <v>24</v>
      </c>
    </row>
    <row r="926" spans="1:5">
      <c r="A926" t="s">
        <v>1069</v>
      </c>
      <c r="B926" t="s">
        <v>1087</v>
      </c>
      <c r="C926">
        <v>0</v>
      </c>
      <c r="D926">
        <v>0.65671779707900002</v>
      </c>
      <c r="E926">
        <v>24</v>
      </c>
    </row>
    <row r="927" spans="1:5">
      <c r="A927" t="s">
        <v>1069</v>
      </c>
      <c r="B927" t="s">
        <v>1088</v>
      </c>
      <c r="C927">
        <f>0</f>
        <v>0</v>
      </c>
      <c r="D927">
        <v>0.65671779707900002</v>
      </c>
      <c r="E927">
        <v>24</v>
      </c>
    </row>
    <row r="928" spans="1:5">
      <c r="A928" t="s">
        <v>1089</v>
      </c>
      <c r="B928" t="s">
        <v>1090</v>
      </c>
      <c r="C928">
        <v>0</v>
      </c>
      <c r="D928">
        <v>0.86776490985400001</v>
      </c>
      <c r="E928">
        <v>2.0269865067466202</v>
      </c>
    </row>
    <row r="929" spans="1:5">
      <c r="A929" t="s">
        <v>1089</v>
      </c>
      <c r="B929" t="s">
        <v>1091</v>
      </c>
      <c r="C929">
        <f>0.196029726294</f>
        <v>0.19602972629400001</v>
      </c>
      <c r="D929">
        <v>0.86776490985400001</v>
      </c>
      <c r="E929">
        <v>2.0269865067466202</v>
      </c>
    </row>
    <row r="930" spans="1:5">
      <c r="A930" t="s">
        <v>1089</v>
      </c>
      <c r="B930" t="s">
        <v>1092</v>
      </c>
      <c r="C930">
        <v>0</v>
      </c>
      <c r="D930">
        <v>0.86776490985400001</v>
      </c>
      <c r="E930">
        <v>2.0269865067466202</v>
      </c>
    </row>
    <row r="931" spans="1:5">
      <c r="A931" t="s">
        <v>1089</v>
      </c>
      <c r="B931" t="s">
        <v>1093</v>
      </c>
      <c r="C931">
        <f>0.114086195564</f>
        <v>0.114086195564</v>
      </c>
      <c r="D931">
        <v>0.86776490985400001</v>
      </c>
      <c r="E931">
        <v>2.0269865067466202</v>
      </c>
    </row>
    <row r="932" spans="1:5">
      <c r="A932" t="s">
        <v>1094</v>
      </c>
      <c r="B932" t="s">
        <v>1095</v>
      </c>
      <c r="C932">
        <v>0</v>
      </c>
      <c r="D932">
        <v>0.83971370771800002</v>
      </c>
      <c r="E932">
        <v>20.065967016491701</v>
      </c>
    </row>
    <row r="933" spans="1:5">
      <c r="A933" t="s">
        <v>1094</v>
      </c>
      <c r="B933" t="s">
        <v>1096</v>
      </c>
      <c r="C933">
        <f>0</f>
        <v>0</v>
      </c>
      <c r="D933">
        <v>0.83971370771800002</v>
      </c>
      <c r="E933">
        <v>20.065967016491701</v>
      </c>
    </row>
    <row r="934" spans="1:5">
      <c r="A934" t="s">
        <v>1094</v>
      </c>
      <c r="B934" t="s">
        <v>1097</v>
      </c>
      <c r="C934">
        <v>0</v>
      </c>
      <c r="D934">
        <v>0.83971370771800002</v>
      </c>
      <c r="E934">
        <v>20.065967016491701</v>
      </c>
    </row>
    <row r="935" spans="1:5">
      <c r="A935" t="s">
        <v>1098</v>
      </c>
      <c r="B935" t="s">
        <v>1099</v>
      </c>
      <c r="C935">
        <v>0</v>
      </c>
      <c r="D935">
        <v>0.70995713227400004</v>
      </c>
      <c r="E935">
        <v>4.58170914542728</v>
      </c>
    </row>
    <row r="936" spans="1:5">
      <c r="A936" t="s">
        <v>1098</v>
      </c>
      <c r="B936" t="s">
        <v>1100</v>
      </c>
      <c r="C936">
        <v>0</v>
      </c>
      <c r="D936">
        <v>0.70995713227400004</v>
      </c>
      <c r="E936">
        <v>4.58170914542728</v>
      </c>
    </row>
    <row r="937" spans="1:5">
      <c r="A937" t="s">
        <v>1098</v>
      </c>
      <c r="B937" t="s">
        <v>1101</v>
      </c>
      <c r="C937">
        <f>0</f>
        <v>0</v>
      </c>
      <c r="D937">
        <v>0.70995713227400004</v>
      </c>
      <c r="E937">
        <v>4.58170914542728</v>
      </c>
    </row>
    <row r="938" spans="1:5">
      <c r="A938" t="s">
        <v>1098</v>
      </c>
      <c r="B938" t="s">
        <v>1102</v>
      </c>
      <c r="C938">
        <f>0</f>
        <v>0</v>
      </c>
      <c r="D938">
        <v>0.70995713227400004</v>
      </c>
      <c r="E938">
        <v>4.58170914542728</v>
      </c>
    </row>
    <row r="939" spans="1:5">
      <c r="A939" t="s">
        <v>1103</v>
      </c>
      <c r="B939" t="s">
        <v>1104</v>
      </c>
      <c r="C939">
        <f>0.00411247758144</f>
        <v>4.1124775814400001E-3</v>
      </c>
      <c r="D939">
        <v>0.79033665702</v>
      </c>
      <c r="E939">
        <v>1.00749625187406</v>
      </c>
    </row>
    <row r="940" spans="1:5">
      <c r="A940" t="s">
        <v>1103</v>
      </c>
      <c r="B940" t="s">
        <v>1105</v>
      </c>
      <c r="C940">
        <f>0</f>
        <v>0</v>
      </c>
      <c r="D940">
        <v>0.79033665702</v>
      </c>
      <c r="E940">
        <v>1.00749625187406</v>
      </c>
    </row>
    <row r="941" spans="1:5">
      <c r="A941" t="s">
        <v>1103</v>
      </c>
      <c r="B941" t="s">
        <v>1106</v>
      </c>
      <c r="C941">
        <f>0</f>
        <v>0</v>
      </c>
      <c r="D941">
        <v>0.79033665702</v>
      </c>
      <c r="E941">
        <v>1.00749625187406</v>
      </c>
    </row>
    <row r="942" spans="1:5">
      <c r="A942" t="s">
        <v>1103</v>
      </c>
      <c r="B942" t="s">
        <v>1107</v>
      </c>
      <c r="C942">
        <f>0</f>
        <v>0</v>
      </c>
      <c r="D942">
        <v>0.79033665702</v>
      </c>
      <c r="E942">
        <v>1.00749625187406</v>
      </c>
    </row>
    <row r="943" spans="1:5">
      <c r="A943" t="s">
        <v>1103</v>
      </c>
      <c r="B943" t="s">
        <v>1108</v>
      </c>
      <c r="C943">
        <v>0</v>
      </c>
      <c r="D943">
        <v>0.79033665702</v>
      </c>
      <c r="E943">
        <v>1.00749625187406</v>
      </c>
    </row>
    <row r="944" spans="1:5">
      <c r="A944" t="s">
        <v>1103</v>
      </c>
      <c r="B944" t="s">
        <v>1109</v>
      </c>
      <c r="C944">
        <v>0</v>
      </c>
      <c r="D944">
        <v>0.79033665702</v>
      </c>
      <c r="E944">
        <v>1.00749625187406</v>
      </c>
    </row>
    <row r="945" spans="1:5">
      <c r="A945" t="s">
        <v>1103</v>
      </c>
      <c r="B945" t="s">
        <v>1110</v>
      </c>
      <c r="C945">
        <f>0.125366454565</f>
        <v>0.12536645456500001</v>
      </c>
      <c r="D945">
        <v>0.79033665702</v>
      </c>
      <c r="E945">
        <v>1.00749625187406</v>
      </c>
    </row>
    <row r="946" spans="1:5">
      <c r="A946" t="s">
        <v>1111</v>
      </c>
      <c r="B946" t="s">
        <v>1112</v>
      </c>
      <c r="C946">
        <v>0.39179142315100002</v>
      </c>
      <c r="D946">
        <v>0.97956924305199999</v>
      </c>
      <c r="E946">
        <v>1.7631184407796101</v>
      </c>
    </row>
    <row r="947" spans="1:5">
      <c r="A947" t="s">
        <v>1111</v>
      </c>
      <c r="B947" t="s">
        <v>1113</v>
      </c>
      <c r="C947">
        <v>4.7440085248600002E-2</v>
      </c>
      <c r="D947">
        <v>0.97956924305199999</v>
      </c>
      <c r="E947">
        <v>1.7631184407796101</v>
      </c>
    </row>
    <row r="948" spans="1:5">
      <c r="A948" t="s">
        <v>1111</v>
      </c>
      <c r="B948" t="s">
        <v>1114</v>
      </c>
      <c r="C948">
        <v>0</v>
      </c>
      <c r="D948">
        <v>0.97956924305199999</v>
      </c>
      <c r="E948">
        <v>1.7631184407796101</v>
      </c>
    </row>
    <row r="949" spans="1:5">
      <c r="A949" t="s">
        <v>1111</v>
      </c>
      <c r="B949" t="s">
        <v>1115</v>
      </c>
      <c r="C949">
        <v>0</v>
      </c>
      <c r="D949">
        <v>0.97956924305199999</v>
      </c>
      <c r="E949">
        <v>1.7631184407796101</v>
      </c>
    </row>
    <row r="950" spans="1:5">
      <c r="A950" t="s">
        <v>1116</v>
      </c>
      <c r="B950" t="s">
        <v>1117</v>
      </c>
      <c r="C950">
        <v>4.8180851003300003E-2</v>
      </c>
      <c r="D950">
        <v>0.97688875566300004</v>
      </c>
      <c r="E950">
        <v>16.299850074962499</v>
      </c>
    </row>
    <row r="951" spans="1:5">
      <c r="A951" t="s">
        <v>1116</v>
      </c>
      <c r="B951" t="s">
        <v>1118</v>
      </c>
      <c r="C951">
        <f>0</f>
        <v>0</v>
      </c>
      <c r="D951">
        <v>0.97688875566300004</v>
      </c>
      <c r="E951">
        <v>16.299850074962499</v>
      </c>
    </row>
    <row r="952" spans="1:5">
      <c r="A952" t="s">
        <v>1116</v>
      </c>
      <c r="B952" t="s">
        <v>1119</v>
      </c>
      <c r="C952">
        <f>0</f>
        <v>0</v>
      </c>
      <c r="D952">
        <v>0.97688875566300004</v>
      </c>
      <c r="E952">
        <v>16.299850074962499</v>
      </c>
    </row>
    <row r="953" spans="1:5">
      <c r="A953" t="s">
        <v>1116</v>
      </c>
      <c r="B953" t="s">
        <v>1120</v>
      </c>
      <c r="C953">
        <v>0</v>
      </c>
      <c r="D953">
        <v>0.97688875566300004</v>
      </c>
      <c r="E953">
        <v>16.299850074962499</v>
      </c>
    </row>
    <row r="954" spans="1:5">
      <c r="A954" t="s">
        <v>1116</v>
      </c>
      <c r="B954" t="s">
        <v>1121</v>
      </c>
      <c r="C954">
        <v>9.9595247272500007E-2</v>
      </c>
      <c r="D954">
        <v>0.97688875566300004</v>
      </c>
      <c r="E954">
        <v>16.299850074962499</v>
      </c>
    </row>
    <row r="955" spans="1:5">
      <c r="A955" t="s">
        <v>1122</v>
      </c>
      <c r="B955" t="s">
        <v>1123</v>
      </c>
      <c r="C955">
        <v>0.101160089919</v>
      </c>
      <c r="D955">
        <v>0.92434166572800003</v>
      </c>
      <c r="E955">
        <v>2.96251874062968</v>
      </c>
    </row>
    <row r="956" spans="1:5">
      <c r="A956" t="s">
        <v>1122</v>
      </c>
      <c r="B956" t="s">
        <v>1124</v>
      </c>
      <c r="C956">
        <v>0</v>
      </c>
      <c r="D956">
        <v>0.92434166572800003</v>
      </c>
      <c r="E956">
        <v>2.96251874062968</v>
      </c>
    </row>
    <row r="957" spans="1:5">
      <c r="A957" t="s">
        <v>1122</v>
      </c>
      <c r="B957" t="s">
        <v>1125</v>
      </c>
      <c r="C957">
        <v>0.25235007971700002</v>
      </c>
      <c r="D957">
        <v>0.92434166572800003</v>
      </c>
      <c r="E957">
        <v>2.96251874062968</v>
      </c>
    </row>
    <row r="958" spans="1:5">
      <c r="A958" t="s">
        <v>1126</v>
      </c>
      <c r="B958" t="s">
        <v>1127</v>
      </c>
      <c r="C958">
        <v>0</v>
      </c>
      <c r="D958" t="s">
        <v>106</v>
      </c>
      <c r="E958">
        <v>2.2548725637181399</v>
      </c>
    </row>
    <row r="959" spans="1:5">
      <c r="A959" t="s">
        <v>1126</v>
      </c>
      <c r="B959" t="s">
        <v>1128</v>
      </c>
      <c r="C959">
        <v>0</v>
      </c>
      <c r="D959" t="s">
        <v>106</v>
      </c>
      <c r="E959">
        <v>2.2548725637181399</v>
      </c>
    </row>
    <row r="960" spans="1:5">
      <c r="A960" t="s">
        <v>1126</v>
      </c>
      <c r="B960" t="s">
        <v>1129</v>
      </c>
      <c r="C960">
        <v>0</v>
      </c>
      <c r="D960" t="s">
        <v>106</v>
      </c>
      <c r="E960">
        <v>2.2548725637181399</v>
      </c>
    </row>
    <row r="961" spans="1:5">
      <c r="A961" t="s">
        <v>1126</v>
      </c>
      <c r="B961" t="s">
        <v>1130</v>
      </c>
      <c r="C961">
        <v>0</v>
      </c>
      <c r="D961" t="s">
        <v>106</v>
      </c>
      <c r="E961">
        <v>2.2548725637181399</v>
      </c>
    </row>
    <row r="962" spans="1:5">
      <c r="A962" t="s">
        <v>1126</v>
      </c>
      <c r="B962" t="s">
        <v>1131</v>
      </c>
      <c r="C962">
        <v>0</v>
      </c>
      <c r="D962" t="s">
        <v>106</v>
      </c>
      <c r="E962">
        <v>2.2548725637181399</v>
      </c>
    </row>
    <row r="963" spans="1:5">
      <c r="A963" t="s">
        <v>1132</v>
      </c>
      <c r="B963" t="s">
        <v>1133</v>
      </c>
      <c r="C963">
        <v>0</v>
      </c>
      <c r="D963">
        <v>0.99352226142900002</v>
      </c>
      <c r="E963">
        <v>24</v>
      </c>
    </row>
    <row r="964" spans="1:5">
      <c r="A964" t="s">
        <v>1132</v>
      </c>
      <c r="B964" t="s">
        <v>1134</v>
      </c>
      <c r="C964">
        <v>0</v>
      </c>
      <c r="D964">
        <v>0.99352226142900002</v>
      </c>
      <c r="E964">
        <v>24</v>
      </c>
    </row>
    <row r="965" spans="1:5">
      <c r="A965" t="s">
        <v>1132</v>
      </c>
      <c r="B965" t="s">
        <v>1135</v>
      </c>
      <c r="C965">
        <v>0</v>
      </c>
      <c r="D965">
        <v>0.99352226142900002</v>
      </c>
      <c r="E965">
        <v>24</v>
      </c>
    </row>
    <row r="966" spans="1:5">
      <c r="A966" t="s">
        <v>1132</v>
      </c>
      <c r="B966" t="s">
        <v>1136</v>
      </c>
      <c r="C966">
        <f>0</f>
        <v>0</v>
      </c>
      <c r="D966">
        <v>0.99352226142900002</v>
      </c>
      <c r="E966">
        <v>24</v>
      </c>
    </row>
    <row r="967" spans="1:5">
      <c r="A967" t="s">
        <v>1137</v>
      </c>
      <c r="B967" t="s">
        <v>1138</v>
      </c>
      <c r="C967">
        <v>0.80223441891000002</v>
      </c>
      <c r="D967" t="s">
        <v>106</v>
      </c>
      <c r="E967">
        <v>5.0134932533733103</v>
      </c>
    </row>
    <row r="968" spans="1:5">
      <c r="A968" t="s">
        <v>1139</v>
      </c>
      <c r="B968" t="s">
        <v>1140</v>
      </c>
      <c r="C968">
        <v>0.184238128345</v>
      </c>
      <c r="D968">
        <v>0.99237611433799999</v>
      </c>
      <c r="E968">
        <v>8.5757121439280297</v>
      </c>
    </row>
    <row r="969" spans="1:5">
      <c r="A969" t="s">
        <v>1139</v>
      </c>
      <c r="B969" t="s">
        <v>1141</v>
      </c>
      <c r="C969">
        <f>0</f>
        <v>0</v>
      </c>
      <c r="D969">
        <v>0.99237611433799999</v>
      </c>
      <c r="E969">
        <v>8.5757121439280297</v>
      </c>
    </row>
    <row r="970" spans="1:5">
      <c r="A970" t="s">
        <v>1139</v>
      </c>
      <c r="B970" t="s">
        <v>1142</v>
      </c>
      <c r="C970">
        <v>0</v>
      </c>
      <c r="D970">
        <v>0.99237611433799999</v>
      </c>
      <c r="E970">
        <v>8.5757121439280297</v>
      </c>
    </row>
    <row r="971" spans="1:5">
      <c r="A971" t="s">
        <v>1139</v>
      </c>
      <c r="B971" t="s">
        <v>1143</v>
      </c>
      <c r="C971">
        <v>0</v>
      </c>
      <c r="D971">
        <v>0.99237611433799999</v>
      </c>
      <c r="E971">
        <v>8.5757121439280297</v>
      </c>
    </row>
    <row r="972" spans="1:5">
      <c r="A972" t="s">
        <v>1139</v>
      </c>
      <c r="B972" t="s">
        <v>1144</v>
      </c>
      <c r="C972">
        <v>0</v>
      </c>
      <c r="D972">
        <v>0.99237611433799999</v>
      </c>
      <c r="E972">
        <v>8.5757121439280297</v>
      </c>
    </row>
    <row r="973" spans="1:5">
      <c r="A973" t="s">
        <v>1139</v>
      </c>
      <c r="B973" t="s">
        <v>1145</v>
      </c>
      <c r="C973">
        <v>0</v>
      </c>
      <c r="D973">
        <v>0.99237611433799999</v>
      </c>
      <c r="E973">
        <v>8.5757121439280297</v>
      </c>
    </row>
    <row r="974" spans="1:5">
      <c r="A974" t="s">
        <v>1139</v>
      </c>
      <c r="B974" t="s">
        <v>1146</v>
      </c>
      <c r="C974">
        <v>0</v>
      </c>
      <c r="D974">
        <v>0.99237611433799999</v>
      </c>
      <c r="E974">
        <v>8.5757121439280297</v>
      </c>
    </row>
    <row r="975" spans="1:5">
      <c r="A975" t="s">
        <v>1139</v>
      </c>
      <c r="B975" t="s">
        <v>1147</v>
      </c>
      <c r="C975">
        <v>0</v>
      </c>
      <c r="D975">
        <v>0.99237611433799999</v>
      </c>
      <c r="E975">
        <v>8.5757121439280297</v>
      </c>
    </row>
    <row r="976" spans="1:5">
      <c r="A976" t="s">
        <v>1148</v>
      </c>
      <c r="B976" t="s">
        <v>1149</v>
      </c>
      <c r="C976">
        <v>0</v>
      </c>
      <c r="D976" t="s">
        <v>106</v>
      </c>
      <c r="E976">
        <v>24</v>
      </c>
    </row>
    <row r="977" spans="1:5">
      <c r="A977" t="s">
        <v>1148</v>
      </c>
      <c r="B977" t="s">
        <v>1150</v>
      </c>
      <c r="C977">
        <f>0</f>
        <v>0</v>
      </c>
      <c r="D977" t="s">
        <v>106</v>
      </c>
      <c r="E977">
        <v>24</v>
      </c>
    </row>
    <row r="978" spans="1:5">
      <c r="A978" t="s">
        <v>1148</v>
      </c>
      <c r="B978" t="s">
        <v>1151</v>
      </c>
      <c r="C978">
        <f>0</f>
        <v>0</v>
      </c>
      <c r="D978" t="s">
        <v>106</v>
      </c>
      <c r="E978">
        <v>24</v>
      </c>
    </row>
    <row r="979" spans="1:5">
      <c r="A979" t="s">
        <v>1148</v>
      </c>
      <c r="B979" t="s">
        <v>1152</v>
      </c>
      <c r="C979">
        <f>0</f>
        <v>0</v>
      </c>
      <c r="D979" t="s">
        <v>106</v>
      </c>
      <c r="E979">
        <v>24</v>
      </c>
    </row>
    <row r="980" spans="1:5">
      <c r="A980" t="s">
        <v>1148</v>
      </c>
      <c r="B980" t="s">
        <v>1153</v>
      </c>
      <c r="C980">
        <f>0</f>
        <v>0</v>
      </c>
      <c r="D980" t="s">
        <v>106</v>
      </c>
      <c r="E980">
        <v>24</v>
      </c>
    </row>
    <row r="981" spans="1:5">
      <c r="A981" t="s">
        <v>1148</v>
      </c>
      <c r="B981" t="s">
        <v>1154</v>
      </c>
      <c r="C981">
        <f>0</f>
        <v>0</v>
      </c>
      <c r="D981" t="s">
        <v>106</v>
      </c>
      <c r="E981">
        <v>24</v>
      </c>
    </row>
    <row r="982" spans="1:5">
      <c r="A982" t="s">
        <v>1148</v>
      </c>
      <c r="B982" t="s">
        <v>1155</v>
      </c>
      <c r="C982">
        <f>0.0086936528352</f>
        <v>8.6936528352000008E-3</v>
      </c>
      <c r="D982" t="s">
        <v>106</v>
      </c>
      <c r="E982">
        <v>24</v>
      </c>
    </row>
    <row r="983" spans="1:5">
      <c r="A983" t="s">
        <v>1148</v>
      </c>
      <c r="B983" t="s">
        <v>1156</v>
      </c>
      <c r="C983">
        <f>0</f>
        <v>0</v>
      </c>
      <c r="D983" t="s">
        <v>106</v>
      </c>
      <c r="E983">
        <v>24</v>
      </c>
    </row>
    <row r="984" spans="1:5">
      <c r="A984" t="s">
        <v>1148</v>
      </c>
      <c r="B984" t="s">
        <v>1157</v>
      </c>
      <c r="C984">
        <f>0</f>
        <v>0</v>
      </c>
      <c r="D984" t="s">
        <v>106</v>
      </c>
      <c r="E984">
        <v>24</v>
      </c>
    </row>
    <row r="985" spans="1:5">
      <c r="A985" t="s">
        <v>1148</v>
      </c>
      <c r="B985" t="s">
        <v>1158</v>
      </c>
      <c r="C985">
        <f>0.0329067921151</f>
        <v>3.2906792115100003E-2</v>
      </c>
      <c r="D985" t="s">
        <v>106</v>
      </c>
      <c r="E985">
        <v>24</v>
      </c>
    </row>
    <row r="986" spans="1:5">
      <c r="A986" t="s">
        <v>1159</v>
      </c>
      <c r="B986" t="s">
        <v>1160</v>
      </c>
      <c r="C986">
        <f>0.0710254593872</f>
        <v>7.1025459387199993E-2</v>
      </c>
      <c r="D986">
        <v>0.99253292515799996</v>
      </c>
      <c r="E986">
        <v>7.0644677661169402</v>
      </c>
    </row>
    <row r="987" spans="1:5">
      <c r="A987" t="s">
        <v>1159</v>
      </c>
      <c r="B987" t="s">
        <v>1161</v>
      </c>
      <c r="C987">
        <v>0</v>
      </c>
      <c r="D987">
        <v>0.99253292515799996</v>
      </c>
      <c r="E987">
        <v>7.0644677661169402</v>
      </c>
    </row>
    <row r="988" spans="1:5">
      <c r="A988" t="s">
        <v>1159</v>
      </c>
      <c r="B988" t="s">
        <v>1162</v>
      </c>
      <c r="C988">
        <v>0</v>
      </c>
      <c r="D988">
        <v>0.99253292515799996</v>
      </c>
      <c r="E988">
        <v>7.0644677661169402</v>
      </c>
    </row>
    <row r="989" spans="1:5">
      <c r="A989" t="s">
        <v>1159</v>
      </c>
      <c r="B989" t="s">
        <v>1163</v>
      </c>
      <c r="C989">
        <v>0</v>
      </c>
      <c r="D989">
        <v>0.99253292515799996</v>
      </c>
      <c r="E989">
        <v>7.0644677661169402</v>
      </c>
    </row>
    <row r="990" spans="1:5">
      <c r="A990" t="s">
        <v>1164</v>
      </c>
      <c r="B990" t="s">
        <v>1165</v>
      </c>
      <c r="C990">
        <f>0.0206489402395</f>
        <v>2.0648940239500001E-2</v>
      </c>
      <c r="D990" t="s">
        <v>106</v>
      </c>
      <c r="E990">
        <v>3.68215892053973</v>
      </c>
    </row>
    <row r="991" spans="1:5">
      <c r="A991" t="s">
        <v>1164</v>
      </c>
      <c r="B991" t="s">
        <v>1166</v>
      </c>
      <c r="C991">
        <f>0</f>
        <v>0</v>
      </c>
      <c r="D991" t="s">
        <v>106</v>
      </c>
      <c r="E991">
        <v>3.68215892053973</v>
      </c>
    </row>
    <row r="992" spans="1:5">
      <c r="A992" t="s">
        <v>1164</v>
      </c>
      <c r="B992" t="s">
        <v>1167</v>
      </c>
      <c r="C992">
        <f>0</f>
        <v>0</v>
      </c>
      <c r="D992" t="s">
        <v>106</v>
      </c>
      <c r="E992">
        <v>3.68215892053973</v>
      </c>
    </row>
    <row r="993" spans="1:5">
      <c r="A993" t="s">
        <v>1164</v>
      </c>
      <c r="B993" t="s">
        <v>1168</v>
      </c>
      <c r="C993">
        <f>0</f>
        <v>0</v>
      </c>
      <c r="D993" t="s">
        <v>106</v>
      </c>
      <c r="E993">
        <v>3.68215892053973</v>
      </c>
    </row>
    <row r="994" spans="1:5">
      <c r="A994" t="s">
        <v>1164</v>
      </c>
      <c r="B994" t="s">
        <v>1169</v>
      </c>
      <c r="C994">
        <f>0.0480618383727</f>
        <v>4.8061838372699998E-2</v>
      </c>
      <c r="D994" t="s">
        <v>106</v>
      </c>
      <c r="E994">
        <v>3.68215892053973</v>
      </c>
    </row>
    <row r="995" spans="1:5">
      <c r="A995" t="s">
        <v>1164</v>
      </c>
      <c r="B995" t="s">
        <v>1170</v>
      </c>
      <c r="C995">
        <v>0</v>
      </c>
      <c r="D995" t="s">
        <v>106</v>
      </c>
      <c r="E995">
        <v>3.68215892053973</v>
      </c>
    </row>
    <row r="996" spans="1:5">
      <c r="A996" t="s">
        <v>1164</v>
      </c>
      <c r="B996" t="s">
        <v>1171</v>
      </c>
      <c r="C996">
        <f>0</f>
        <v>0</v>
      </c>
      <c r="D996" t="s">
        <v>106</v>
      </c>
      <c r="E996">
        <v>3.68215892053973</v>
      </c>
    </row>
    <row r="997" spans="1:5">
      <c r="A997" t="s">
        <v>1164</v>
      </c>
      <c r="B997" t="s">
        <v>1172</v>
      </c>
      <c r="C997">
        <v>0</v>
      </c>
      <c r="D997" t="s">
        <v>106</v>
      </c>
      <c r="E997">
        <v>3.68215892053973</v>
      </c>
    </row>
    <row r="998" spans="1:5">
      <c r="A998" t="s">
        <v>1173</v>
      </c>
      <c r="B998" t="s">
        <v>1174</v>
      </c>
      <c r="C998">
        <v>0</v>
      </c>
      <c r="D998">
        <v>0.58467829435899998</v>
      </c>
      <c r="E998">
        <v>5.1214392803598203</v>
      </c>
    </row>
    <row r="999" spans="1:5">
      <c r="A999" t="s">
        <v>1173</v>
      </c>
      <c r="B999" t="s">
        <v>1175</v>
      </c>
      <c r="C999">
        <f>0</f>
        <v>0</v>
      </c>
      <c r="D999">
        <v>0.58467829435899998</v>
      </c>
      <c r="E999">
        <v>5.1214392803598203</v>
      </c>
    </row>
    <row r="1000" spans="1:5">
      <c r="A1000" t="s">
        <v>1173</v>
      </c>
      <c r="B1000" t="s">
        <v>1176</v>
      </c>
      <c r="C1000">
        <v>0</v>
      </c>
      <c r="D1000">
        <v>0.58467829435899998</v>
      </c>
      <c r="E1000">
        <v>5.1214392803598203</v>
      </c>
    </row>
    <row r="1001" spans="1:5">
      <c r="A1001" t="s">
        <v>1177</v>
      </c>
      <c r="B1001" t="s">
        <v>1178</v>
      </c>
      <c r="C1001">
        <v>0</v>
      </c>
      <c r="D1001">
        <v>0.96748093930900003</v>
      </c>
      <c r="E1001">
        <v>1.00749625187406</v>
      </c>
    </row>
    <row r="1002" spans="1:5">
      <c r="A1002" t="s">
        <v>1177</v>
      </c>
      <c r="B1002" t="s">
        <v>1179</v>
      </c>
      <c r="C1002">
        <v>0.175293865233</v>
      </c>
      <c r="D1002">
        <v>0.96748093930900003</v>
      </c>
      <c r="E1002">
        <v>1.00749625187406</v>
      </c>
    </row>
    <row r="1003" spans="1:5">
      <c r="A1003" t="s">
        <v>1177</v>
      </c>
      <c r="B1003" t="s">
        <v>1180</v>
      </c>
      <c r="C1003">
        <v>5.2597804693800002E-2</v>
      </c>
      <c r="D1003">
        <v>0.96748093930900003</v>
      </c>
      <c r="E1003">
        <v>1.00749625187406</v>
      </c>
    </row>
    <row r="1004" spans="1:5">
      <c r="A1004" t="s">
        <v>1177</v>
      </c>
      <c r="B1004" t="s">
        <v>1181</v>
      </c>
      <c r="C1004">
        <v>0</v>
      </c>
      <c r="D1004">
        <v>0.96748093930900003</v>
      </c>
      <c r="E1004">
        <v>1.00749625187406</v>
      </c>
    </row>
    <row r="1005" spans="1:5">
      <c r="A1005" t="s">
        <v>1177</v>
      </c>
      <c r="B1005" t="s">
        <v>1182</v>
      </c>
      <c r="C1005">
        <f>0</f>
        <v>0</v>
      </c>
      <c r="D1005">
        <v>0.96748093930900003</v>
      </c>
      <c r="E1005">
        <v>1.00749625187406</v>
      </c>
    </row>
    <row r="1006" spans="1:5">
      <c r="A1006" t="s">
        <v>1183</v>
      </c>
      <c r="B1006" t="s">
        <v>1184</v>
      </c>
      <c r="C1006">
        <v>0</v>
      </c>
      <c r="D1006">
        <v>0.97463030477199997</v>
      </c>
      <c r="E1006">
        <v>0.215892053973013</v>
      </c>
    </row>
    <row r="1007" spans="1:5">
      <c r="A1007" t="s">
        <v>1183</v>
      </c>
      <c r="B1007" t="s">
        <v>1185</v>
      </c>
      <c r="C1007">
        <v>0</v>
      </c>
      <c r="D1007">
        <v>0.97463030477199997</v>
      </c>
      <c r="E1007">
        <v>0.215892053973013</v>
      </c>
    </row>
    <row r="1008" spans="1:5">
      <c r="A1008" t="s">
        <v>1183</v>
      </c>
      <c r="B1008" t="s">
        <v>1186</v>
      </c>
      <c r="C1008">
        <v>0</v>
      </c>
      <c r="D1008">
        <v>0.97463030477199997</v>
      </c>
      <c r="E1008">
        <v>0.215892053973013</v>
      </c>
    </row>
    <row r="1009" spans="1:5">
      <c r="A1009" t="s">
        <v>1183</v>
      </c>
      <c r="B1009" t="s">
        <v>1187</v>
      </c>
      <c r="C1009">
        <f>0</f>
        <v>0</v>
      </c>
      <c r="D1009">
        <v>0.97463030477199997</v>
      </c>
      <c r="E1009">
        <v>0.215892053973013</v>
      </c>
    </row>
    <row r="1010" spans="1:5">
      <c r="A1010" t="s">
        <v>1183</v>
      </c>
      <c r="B1010" t="s">
        <v>1188</v>
      </c>
      <c r="C1010">
        <v>0</v>
      </c>
      <c r="D1010">
        <v>0.97463030477199997</v>
      </c>
      <c r="E1010">
        <v>0.215892053973013</v>
      </c>
    </row>
    <row r="1011" spans="1:5">
      <c r="A1011" t="s">
        <v>1183</v>
      </c>
      <c r="B1011" t="s">
        <v>1189</v>
      </c>
      <c r="C1011">
        <v>0</v>
      </c>
      <c r="D1011">
        <v>0.97463030477199997</v>
      </c>
      <c r="E1011">
        <v>0.215892053973013</v>
      </c>
    </row>
    <row r="1012" spans="1:5">
      <c r="A1012" t="s">
        <v>1183</v>
      </c>
      <c r="B1012" t="s">
        <v>1190</v>
      </c>
      <c r="C1012">
        <v>0.48039941106900003</v>
      </c>
      <c r="D1012">
        <v>0.97463030477199997</v>
      </c>
      <c r="E1012">
        <v>0.215892053973013</v>
      </c>
    </row>
    <row r="1013" spans="1:5">
      <c r="A1013" t="s">
        <v>1183</v>
      </c>
      <c r="B1013" t="s">
        <v>1191</v>
      </c>
      <c r="C1013">
        <v>0</v>
      </c>
      <c r="D1013">
        <v>0.97463030477199997</v>
      </c>
      <c r="E1013">
        <v>0.215892053973013</v>
      </c>
    </row>
    <row r="1014" spans="1:5">
      <c r="A1014" t="s">
        <v>1183</v>
      </c>
      <c r="B1014" t="s">
        <v>1192</v>
      </c>
      <c r="C1014">
        <f>0.137081410967</f>
        <v>0.13708141096699999</v>
      </c>
      <c r="D1014">
        <v>0.97463030477199997</v>
      </c>
      <c r="E1014">
        <v>0.215892053973013</v>
      </c>
    </row>
    <row r="1015" spans="1:5">
      <c r="A1015" t="s">
        <v>1183</v>
      </c>
      <c r="B1015" t="s">
        <v>1193</v>
      </c>
      <c r="C1015">
        <v>0</v>
      </c>
      <c r="D1015">
        <v>0.97463030477199997</v>
      </c>
      <c r="E1015">
        <v>0.215892053973013</v>
      </c>
    </row>
    <row r="1016" spans="1:5">
      <c r="A1016" t="s">
        <v>1194</v>
      </c>
      <c r="B1016" t="s">
        <v>1195</v>
      </c>
      <c r="C1016">
        <v>4.38991666462E-2</v>
      </c>
      <c r="D1016">
        <v>0.51301727454199997</v>
      </c>
      <c r="E1016">
        <v>1.51124437781109</v>
      </c>
    </row>
    <row r="1017" spans="1:5">
      <c r="A1017" t="s">
        <v>1194</v>
      </c>
      <c r="B1017" t="s">
        <v>1196</v>
      </c>
      <c r="C1017">
        <v>0.19540666564600001</v>
      </c>
      <c r="D1017">
        <v>0.51301727454199997</v>
      </c>
      <c r="E1017">
        <v>1.51124437781109</v>
      </c>
    </row>
    <row r="1018" spans="1:5">
      <c r="A1018" t="s">
        <v>1197</v>
      </c>
      <c r="B1018" t="s">
        <v>1198</v>
      </c>
      <c r="C1018">
        <f>0</f>
        <v>0</v>
      </c>
      <c r="D1018" t="s">
        <v>106</v>
      </c>
      <c r="E1018">
        <v>5.3493253373313303</v>
      </c>
    </row>
    <row r="1019" spans="1:5">
      <c r="A1019" t="s">
        <v>1197</v>
      </c>
      <c r="B1019" t="s">
        <v>1199</v>
      </c>
      <c r="C1019">
        <f>0</f>
        <v>0</v>
      </c>
      <c r="D1019" t="s">
        <v>106</v>
      </c>
      <c r="E1019">
        <v>5.3493253373313303</v>
      </c>
    </row>
    <row r="1020" spans="1:5">
      <c r="A1020" t="s">
        <v>1197</v>
      </c>
      <c r="B1020" t="s">
        <v>1200</v>
      </c>
      <c r="C1020">
        <f>0</f>
        <v>0</v>
      </c>
      <c r="D1020" t="s">
        <v>106</v>
      </c>
      <c r="E1020">
        <v>5.3493253373313303</v>
      </c>
    </row>
    <row r="1021" spans="1:5">
      <c r="A1021" t="s">
        <v>1197</v>
      </c>
      <c r="B1021" t="s">
        <v>1201</v>
      </c>
      <c r="C1021">
        <f>0</f>
        <v>0</v>
      </c>
      <c r="D1021" t="s">
        <v>106</v>
      </c>
      <c r="E1021">
        <v>5.3493253373313303</v>
      </c>
    </row>
    <row r="1022" spans="1:5">
      <c r="A1022" t="s">
        <v>1197</v>
      </c>
      <c r="B1022" t="s">
        <v>1202</v>
      </c>
      <c r="C1022">
        <v>0</v>
      </c>
      <c r="D1022" t="s">
        <v>106</v>
      </c>
      <c r="E1022">
        <v>5.3493253373313303</v>
      </c>
    </row>
    <row r="1023" spans="1:5">
      <c r="A1023" t="s">
        <v>1197</v>
      </c>
      <c r="B1023" t="s">
        <v>1203</v>
      </c>
      <c r="C1023">
        <v>0</v>
      </c>
      <c r="D1023" t="s">
        <v>106</v>
      </c>
      <c r="E1023">
        <v>5.3493253373313303</v>
      </c>
    </row>
    <row r="1024" spans="1:5">
      <c r="A1024" t="s">
        <v>1197</v>
      </c>
      <c r="B1024" t="s">
        <v>1204</v>
      </c>
      <c r="C1024">
        <f>0</f>
        <v>0</v>
      </c>
      <c r="D1024" t="s">
        <v>106</v>
      </c>
      <c r="E1024">
        <v>5.3493253373313303</v>
      </c>
    </row>
    <row r="1025" spans="1:5">
      <c r="A1025" t="s">
        <v>1197</v>
      </c>
      <c r="B1025" t="s">
        <v>1205</v>
      </c>
      <c r="C1025">
        <v>0</v>
      </c>
      <c r="D1025" t="s">
        <v>106</v>
      </c>
      <c r="E1025">
        <v>5.3493253373313303</v>
      </c>
    </row>
    <row r="1026" spans="1:5">
      <c r="A1026" t="s">
        <v>1197</v>
      </c>
      <c r="B1026" t="s">
        <v>1206</v>
      </c>
      <c r="C1026">
        <f>0</f>
        <v>0</v>
      </c>
      <c r="D1026" t="s">
        <v>106</v>
      </c>
      <c r="E1026">
        <v>5.3493253373313303</v>
      </c>
    </row>
    <row r="1027" spans="1:5">
      <c r="A1027" t="s">
        <v>1197</v>
      </c>
      <c r="B1027" t="s">
        <v>1207</v>
      </c>
      <c r="C1027">
        <f>0</f>
        <v>0</v>
      </c>
      <c r="D1027" t="s">
        <v>106</v>
      </c>
      <c r="E1027">
        <v>5.3493253373313303</v>
      </c>
    </row>
    <row r="1028" spans="1:5">
      <c r="A1028" t="s">
        <v>1197</v>
      </c>
      <c r="B1028" t="s">
        <v>1208</v>
      </c>
      <c r="C1028">
        <f>0</f>
        <v>0</v>
      </c>
      <c r="D1028" t="s">
        <v>106</v>
      </c>
      <c r="E1028">
        <v>5.3493253373313303</v>
      </c>
    </row>
    <row r="1029" spans="1:5">
      <c r="A1029" t="s">
        <v>1209</v>
      </c>
      <c r="B1029" t="s">
        <v>1210</v>
      </c>
      <c r="C1029">
        <f>0</f>
        <v>0</v>
      </c>
      <c r="D1029">
        <v>0.97191804221</v>
      </c>
      <c r="E1029">
        <v>1.16341829085457</v>
      </c>
    </row>
    <row r="1030" spans="1:5">
      <c r="A1030" t="s">
        <v>1209</v>
      </c>
      <c r="B1030" t="s">
        <v>1211</v>
      </c>
      <c r="C1030">
        <f>0</f>
        <v>0</v>
      </c>
      <c r="D1030">
        <v>0.97191804221</v>
      </c>
      <c r="E1030">
        <v>1.16341829085457</v>
      </c>
    </row>
    <row r="1031" spans="1:5">
      <c r="A1031" t="s">
        <v>1209</v>
      </c>
      <c r="B1031" t="s">
        <v>1212</v>
      </c>
      <c r="C1031">
        <v>0</v>
      </c>
      <c r="D1031">
        <v>0.97191804221</v>
      </c>
      <c r="E1031">
        <v>1.16341829085457</v>
      </c>
    </row>
    <row r="1032" spans="1:5">
      <c r="A1032" t="s">
        <v>1209</v>
      </c>
      <c r="B1032" t="s">
        <v>1213</v>
      </c>
      <c r="C1032">
        <v>0</v>
      </c>
      <c r="D1032">
        <v>0.97191804221</v>
      </c>
      <c r="E1032">
        <v>1.16341829085457</v>
      </c>
    </row>
    <row r="1033" spans="1:5">
      <c r="A1033" t="s">
        <v>1209</v>
      </c>
      <c r="B1033" t="s">
        <v>1214</v>
      </c>
      <c r="C1033">
        <f>0</f>
        <v>0</v>
      </c>
      <c r="D1033">
        <v>0.97191804221</v>
      </c>
      <c r="E1033">
        <v>1.16341829085457</v>
      </c>
    </row>
    <row r="1034" spans="1:5">
      <c r="A1034" t="s">
        <v>1209</v>
      </c>
      <c r="B1034" t="s">
        <v>1215</v>
      </c>
      <c r="C1034">
        <v>0</v>
      </c>
      <c r="D1034">
        <v>0.97191804221</v>
      </c>
      <c r="E1034">
        <v>1.16341829085457</v>
      </c>
    </row>
    <row r="1035" spans="1:5">
      <c r="A1035" t="s">
        <v>1209</v>
      </c>
      <c r="B1035" t="s">
        <v>1216</v>
      </c>
      <c r="C1035">
        <v>0</v>
      </c>
      <c r="D1035">
        <v>0.97191804221</v>
      </c>
      <c r="E1035">
        <v>1.16341829085457</v>
      </c>
    </row>
    <row r="1036" spans="1:5">
      <c r="A1036" t="s">
        <v>1209</v>
      </c>
      <c r="B1036" t="s">
        <v>1217</v>
      </c>
      <c r="C1036">
        <f>0.0337056592504</f>
        <v>3.3705659250399998E-2</v>
      </c>
      <c r="D1036">
        <v>0.97191804221</v>
      </c>
      <c r="E1036">
        <v>1.16341829085457</v>
      </c>
    </row>
    <row r="1037" spans="1:5">
      <c r="A1037" t="s">
        <v>1209</v>
      </c>
      <c r="B1037" t="s">
        <v>1218</v>
      </c>
      <c r="C1037">
        <f>0</f>
        <v>0</v>
      </c>
      <c r="D1037">
        <v>0.97191804221</v>
      </c>
      <c r="E1037">
        <v>1.16341829085457</v>
      </c>
    </row>
    <row r="1038" spans="1:5">
      <c r="A1038" t="s">
        <v>1209</v>
      </c>
      <c r="B1038" t="s">
        <v>1219</v>
      </c>
      <c r="C1038">
        <v>0</v>
      </c>
      <c r="D1038">
        <v>0.97191804221</v>
      </c>
      <c r="E1038">
        <v>1.16341829085457</v>
      </c>
    </row>
    <row r="1039" spans="1:5">
      <c r="A1039" t="s">
        <v>1209</v>
      </c>
      <c r="B1039" t="s">
        <v>1220</v>
      </c>
      <c r="C1039">
        <v>0</v>
      </c>
      <c r="D1039">
        <v>0.97191804221</v>
      </c>
      <c r="E1039">
        <v>1.16341829085457</v>
      </c>
    </row>
    <row r="1040" spans="1:5">
      <c r="A1040" t="s">
        <v>1209</v>
      </c>
      <c r="B1040" t="s">
        <v>1221</v>
      </c>
      <c r="C1040">
        <v>0</v>
      </c>
      <c r="D1040">
        <v>0.97191804221</v>
      </c>
      <c r="E1040">
        <v>1.16341829085457</v>
      </c>
    </row>
    <row r="1041" spans="1:5">
      <c r="A1041" t="s">
        <v>1209</v>
      </c>
      <c r="B1041" t="s">
        <v>1222</v>
      </c>
      <c r="C1041">
        <f>0</f>
        <v>0</v>
      </c>
      <c r="D1041">
        <v>0.97191804221</v>
      </c>
      <c r="E1041">
        <v>1.16341829085457</v>
      </c>
    </row>
    <row r="1042" spans="1:5">
      <c r="A1042" t="s">
        <v>1209</v>
      </c>
      <c r="B1042" t="s">
        <v>1223</v>
      </c>
      <c r="C1042">
        <f>0.146749644947</f>
        <v>0.14674964494699999</v>
      </c>
      <c r="D1042">
        <v>0.97191804221</v>
      </c>
      <c r="E1042">
        <v>1.16341829085457</v>
      </c>
    </row>
    <row r="1043" spans="1:5">
      <c r="A1043" t="s">
        <v>1209</v>
      </c>
      <c r="B1043" t="s">
        <v>1224</v>
      </c>
      <c r="C1043">
        <v>0</v>
      </c>
      <c r="D1043">
        <v>0.97191804221</v>
      </c>
      <c r="E1043">
        <v>1.16341829085457</v>
      </c>
    </row>
    <row r="1044" spans="1:5">
      <c r="A1044" t="s">
        <v>1209</v>
      </c>
      <c r="B1044" t="s">
        <v>1225</v>
      </c>
      <c r="C1044">
        <v>0</v>
      </c>
      <c r="D1044">
        <v>0.97191804221</v>
      </c>
      <c r="E1044">
        <v>1.16341829085457</v>
      </c>
    </row>
    <row r="1045" spans="1:5">
      <c r="A1045" t="s">
        <v>1226</v>
      </c>
      <c r="B1045" t="s">
        <v>1227</v>
      </c>
      <c r="C1045">
        <f>0</f>
        <v>0</v>
      </c>
      <c r="D1045">
        <v>0.94162910407599998</v>
      </c>
      <c r="E1045">
        <v>2.39880059970015</v>
      </c>
    </row>
    <row r="1046" spans="1:5">
      <c r="A1046" t="s">
        <v>1226</v>
      </c>
      <c r="B1046" t="s">
        <v>1228</v>
      </c>
      <c r="C1046">
        <v>0</v>
      </c>
      <c r="D1046">
        <v>0.94162910407599998</v>
      </c>
      <c r="E1046">
        <v>2.39880059970015</v>
      </c>
    </row>
    <row r="1047" spans="1:5">
      <c r="A1047" t="s">
        <v>1226</v>
      </c>
      <c r="B1047" t="s">
        <v>1229</v>
      </c>
      <c r="C1047">
        <f>0</f>
        <v>0</v>
      </c>
      <c r="D1047">
        <v>0.94162910407599998</v>
      </c>
      <c r="E1047">
        <v>2.39880059970015</v>
      </c>
    </row>
    <row r="1048" spans="1:5">
      <c r="A1048" t="s">
        <v>1226</v>
      </c>
      <c r="B1048" t="s">
        <v>1230</v>
      </c>
      <c r="C1048">
        <f>0</f>
        <v>0</v>
      </c>
      <c r="D1048">
        <v>0.94162910407599998</v>
      </c>
      <c r="E1048">
        <v>2.39880059970015</v>
      </c>
    </row>
    <row r="1049" spans="1:5">
      <c r="A1049" t="s">
        <v>1226</v>
      </c>
      <c r="B1049" t="s">
        <v>1231</v>
      </c>
      <c r="C1049">
        <f>0</f>
        <v>0</v>
      </c>
      <c r="D1049">
        <v>0.94162910407599998</v>
      </c>
      <c r="E1049">
        <v>2.39880059970015</v>
      </c>
    </row>
    <row r="1050" spans="1:5">
      <c r="A1050" t="s">
        <v>1226</v>
      </c>
      <c r="B1050" t="s">
        <v>1232</v>
      </c>
      <c r="C1050">
        <f>0</f>
        <v>0</v>
      </c>
      <c r="D1050">
        <v>0.94162910407599998</v>
      </c>
      <c r="E1050">
        <v>2.39880059970015</v>
      </c>
    </row>
    <row r="1051" spans="1:5">
      <c r="A1051" t="s">
        <v>1226</v>
      </c>
      <c r="B1051" t="s">
        <v>1233</v>
      </c>
      <c r="C1051">
        <v>1.9435919289999999E-2</v>
      </c>
      <c r="D1051">
        <v>0.94162910407599998</v>
      </c>
      <c r="E1051">
        <v>2.39880059970015</v>
      </c>
    </row>
    <row r="1052" spans="1:5">
      <c r="A1052" t="s">
        <v>1226</v>
      </c>
      <c r="B1052" t="s">
        <v>1234</v>
      </c>
      <c r="C1052">
        <f>0</f>
        <v>0</v>
      </c>
      <c r="D1052">
        <v>0.94162910407599998</v>
      </c>
      <c r="E1052">
        <v>2.39880059970015</v>
      </c>
    </row>
    <row r="1053" spans="1:5">
      <c r="A1053" t="s">
        <v>1226</v>
      </c>
      <c r="B1053" t="s">
        <v>1235</v>
      </c>
      <c r="C1053">
        <v>0</v>
      </c>
      <c r="D1053">
        <v>0.94162910407599998</v>
      </c>
      <c r="E1053">
        <v>2.39880059970015</v>
      </c>
    </row>
    <row r="1054" spans="1:5">
      <c r="A1054" t="s">
        <v>1226</v>
      </c>
      <c r="B1054" t="s">
        <v>1236</v>
      </c>
      <c r="C1054">
        <v>0</v>
      </c>
      <c r="D1054">
        <v>0.94162910407599998</v>
      </c>
      <c r="E1054">
        <v>2.39880059970015</v>
      </c>
    </row>
    <row r="1055" spans="1:5">
      <c r="A1055" t="s">
        <v>1226</v>
      </c>
      <c r="B1055" t="s">
        <v>1237</v>
      </c>
      <c r="C1055">
        <v>0</v>
      </c>
      <c r="D1055">
        <v>0.94162910407599998</v>
      </c>
      <c r="E1055">
        <v>2.39880059970015</v>
      </c>
    </row>
    <row r="1056" spans="1:5">
      <c r="A1056" t="s">
        <v>1226</v>
      </c>
      <c r="B1056" t="s">
        <v>1238</v>
      </c>
      <c r="C1056">
        <f>0</f>
        <v>0</v>
      </c>
      <c r="D1056">
        <v>0.94162910407599998</v>
      </c>
      <c r="E1056">
        <v>2.39880059970015</v>
      </c>
    </row>
    <row r="1057" spans="1:5">
      <c r="A1057" t="s">
        <v>1226</v>
      </c>
      <c r="B1057" t="s">
        <v>1239</v>
      </c>
      <c r="C1057">
        <f>0.214614338778</f>
        <v>0.21461433877800001</v>
      </c>
      <c r="D1057">
        <v>0.94162910407599998</v>
      </c>
      <c r="E1057">
        <v>2.39880059970015</v>
      </c>
    </row>
    <row r="1058" spans="1:5">
      <c r="A1058" t="s">
        <v>1226</v>
      </c>
      <c r="B1058" t="s">
        <v>1240</v>
      </c>
      <c r="C1058">
        <f>0</f>
        <v>0</v>
      </c>
      <c r="D1058">
        <v>0.94162910407599998</v>
      </c>
      <c r="E1058">
        <v>2.39880059970015</v>
      </c>
    </row>
    <row r="1059" spans="1:5">
      <c r="A1059" t="s">
        <v>1226</v>
      </c>
      <c r="B1059" t="s">
        <v>1241</v>
      </c>
      <c r="C1059">
        <f>0</f>
        <v>0</v>
      </c>
      <c r="D1059">
        <v>0.94162910407599998</v>
      </c>
      <c r="E1059">
        <v>2.39880059970015</v>
      </c>
    </row>
    <row r="1060" spans="1:5">
      <c r="A1060" t="s">
        <v>1226</v>
      </c>
      <c r="B1060" t="s">
        <v>1242</v>
      </c>
      <c r="C1060">
        <v>0</v>
      </c>
      <c r="D1060">
        <v>0.94162910407599998</v>
      </c>
      <c r="E1060">
        <v>2.39880059970015</v>
      </c>
    </row>
    <row r="1061" spans="1:5">
      <c r="A1061" t="s">
        <v>1243</v>
      </c>
      <c r="B1061" t="s">
        <v>1244</v>
      </c>
      <c r="C1061">
        <f>0.0608901219569</f>
        <v>6.0890121956900002E-2</v>
      </c>
      <c r="D1061">
        <v>0.66933732082599995</v>
      </c>
      <c r="E1061">
        <v>24</v>
      </c>
    </row>
    <row r="1062" spans="1:5">
      <c r="A1062" t="s">
        <v>1243</v>
      </c>
      <c r="B1062" t="s">
        <v>1245</v>
      </c>
      <c r="C1062">
        <v>0</v>
      </c>
      <c r="D1062">
        <v>0.66933732082599995</v>
      </c>
      <c r="E1062">
        <v>24</v>
      </c>
    </row>
    <row r="1063" spans="1:5">
      <c r="A1063" t="s">
        <v>1243</v>
      </c>
      <c r="B1063" t="s">
        <v>1246</v>
      </c>
      <c r="C1063">
        <v>0</v>
      </c>
      <c r="D1063">
        <v>0.66933732082599995</v>
      </c>
      <c r="E1063">
        <v>24</v>
      </c>
    </row>
    <row r="1064" spans="1:5">
      <c r="A1064" t="s">
        <v>1243</v>
      </c>
      <c r="B1064" t="s">
        <v>1247</v>
      </c>
      <c r="C1064">
        <f>0</f>
        <v>0</v>
      </c>
      <c r="D1064">
        <v>0.66933732082599995</v>
      </c>
      <c r="E1064">
        <v>24</v>
      </c>
    </row>
    <row r="1065" spans="1:5">
      <c r="A1065" t="s">
        <v>1243</v>
      </c>
      <c r="B1065" t="s">
        <v>1248</v>
      </c>
      <c r="C1065">
        <v>0</v>
      </c>
      <c r="D1065">
        <v>0.66933732082599995</v>
      </c>
      <c r="E1065">
        <v>24</v>
      </c>
    </row>
    <row r="1066" spans="1:5">
      <c r="A1066" t="s">
        <v>1243</v>
      </c>
      <c r="B1066" t="s">
        <v>1249</v>
      </c>
      <c r="C1066">
        <v>0</v>
      </c>
      <c r="D1066">
        <v>0.66933732082599995</v>
      </c>
      <c r="E1066">
        <v>24</v>
      </c>
    </row>
    <row r="1067" spans="1:5">
      <c r="A1067" t="s">
        <v>1243</v>
      </c>
      <c r="B1067" t="s">
        <v>1250</v>
      </c>
      <c r="C1067">
        <f>0</f>
        <v>0</v>
      </c>
      <c r="D1067">
        <v>0.66933732082599995</v>
      </c>
      <c r="E1067">
        <v>24</v>
      </c>
    </row>
    <row r="1068" spans="1:5">
      <c r="A1068" t="s">
        <v>1243</v>
      </c>
      <c r="B1068" t="s">
        <v>1251</v>
      </c>
      <c r="C1068">
        <v>0</v>
      </c>
      <c r="D1068">
        <v>0.66933732082599995</v>
      </c>
      <c r="E1068">
        <v>24</v>
      </c>
    </row>
    <row r="1069" spans="1:5">
      <c r="A1069" t="s">
        <v>1252</v>
      </c>
      <c r="B1069" t="s">
        <v>1253</v>
      </c>
      <c r="C1069">
        <f>0</f>
        <v>0</v>
      </c>
      <c r="D1069">
        <v>0.92833746126000005</v>
      </c>
      <c r="E1069">
        <v>14.9325337331334</v>
      </c>
    </row>
    <row r="1070" spans="1:5">
      <c r="A1070" t="s">
        <v>1252</v>
      </c>
      <c r="B1070" t="s">
        <v>1254</v>
      </c>
      <c r="C1070">
        <v>0</v>
      </c>
      <c r="D1070">
        <v>0.92833746126000005</v>
      </c>
      <c r="E1070">
        <v>14.9325337331334</v>
      </c>
    </row>
    <row r="1071" spans="1:5">
      <c r="A1071" t="s">
        <v>1252</v>
      </c>
      <c r="B1071" t="s">
        <v>1255</v>
      </c>
      <c r="C1071">
        <v>0</v>
      </c>
      <c r="D1071">
        <v>0.92833746126000005</v>
      </c>
      <c r="E1071">
        <v>14.9325337331334</v>
      </c>
    </row>
    <row r="1072" spans="1:5">
      <c r="A1072" t="s">
        <v>1252</v>
      </c>
      <c r="B1072" t="s">
        <v>1256</v>
      </c>
      <c r="C1072">
        <v>0</v>
      </c>
      <c r="D1072">
        <v>0.92833746126000005</v>
      </c>
      <c r="E1072">
        <v>14.9325337331334</v>
      </c>
    </row>
    <row r="1073" spans="1:5">
      <c r="A1073" t="s">
        <v>1252</v>
      </c>
      <c r="B1073" t="s">
        <v>1257</v>
      </c>
      <c r="C1073">
        <f>0</f>
        <v>0</v>
      </c>
      <c r="D1073">
        <v>0.92833746126000005</v>
      </c>
      <c r="E1073">
        <v>14.9325337331334</v>
      </c>
    </row>
    <row r="1074" spans="1:5">
      <c r="A1074" t="s">
        <v>1252</v>
      </c>
      <c r="B1074" t="s">
        <v>1258</v>
      </c>
      <c r="C1074">
        <v>0</v>
      </c>
      <c r="D1074">
        <v>0.92833746126000005</v>
      </c>
      <c r="E1074">
        <v>14.9325337331334</v>
      </c>
    </row>
    <row r="1075" spans="1:5">
      <c r="A1075" t="s">
        <v>1252</v>
      </c>
      <c r="B1075" t="s">
        <v>1259</v>
      </c>
      <c r="C1075">
        <v>0.10366426512099999</v>
      </c>
      <c r="D1075">
        <v>0.92833746126000005</v>
      </c>
      <c r="E1075">
        <v>14.9325337331334</v>
      </c>
    </row>
    <row r="1076" spans="1:5">
      <c r="A1076" t="s">
        <v>1252</v>
      </c>
      <c r="B1076" t="s">
        <v>1260</v>
      </c>
      <c r="C1076">
        <f>0</f>
        <v>0</v>
      </c>
      <c r="D1076">
        <v>0.92833746126000005</v>
      </c>
      <c r="E1076">
        <v>14.9325337331334</v>
      </c>
    </row>
    <row r="1077" spans="1:5">
      <c r="A1077" t="s">
        <v>1252</v>
      </c>
      <c r="B1077" t="s">
        <v>1261</v>
      </c>
      <c r="C1077">
        <v>0</v>
      </c>
      <c r="D1077">
        <v>0.92833746126000005</v>
      </c>
      <c r="E1077">
        <v>14.9325337331334</v>
      </c>
    </row>
    <row r="1078" spans="1:5">
      <c r="A1078" t="s">
        <v>1252</v>
      </c>
      <c r="B1078" t="s">
        <v>1262</v>
      </c>
      <c r="C1078">
        <v>0</v>
      </c>
      <c r="D1078">
        <v>0.92833746126000005</v>
      </c>
      <c r="E1078">
        <v>14.9325337331334</v>
      </c>
    </row>
    <row r="1079" spans="1:5">
      <c r="A1079" t="s">
        <v>1263</v>
      </c>
      <c r="B1079" t="s">
        <v>1264</v>
      </c>
      <c r="C1079">
        <v>1.43679689919E-2</v>
      </c>
      <c r="D1079">
        <v>0.92520266396999995</v>
      </c>
      <c r="E1079">
        <v>24</v>
      </c>
    </row>
    <row r="1080" spans="1:5">
      <c r="A1080" t="s">
        <v>1263</v>
      </c>
      <c r="B1080" t="s">
        <v>1265</v>
      </c>
      <c r="C1080">
        <v>0.107332747812</v>
      </c>
      <c r="D1080">
        <v>0.92520266396999995</v>
      </c>
      <c r="E1080">
        <v>24</v>
      </c>
    </row>
    <row r="1081" spans="1:5">
      <c r="A1081" t="s">
        <v>1263</v>
      </c>
      <c r="B1081" t="s">
        <v>1266</v>
      </c>
      <c r="C1081">
        <v>0</v>
      </c>
      <c r="D1081">
        <v>0.92520266396999995</v>
      </c>
      <c r="E1081">
        <v>24</v>
      </c>
    </row>
    <row r="1082" spans="1:5">
      <c r="A1082" t="s">
        <v>1263</v>
      </c>
      <c r="B1082" t="s">
        <v>1267</v>
      </c>
      <c r="C1082">
        <f>0</f>
        <v>0</v>
      </c>
      <c r="D1082">
        <v>0.92520266396999995</v>
      </c>
      <c r="E1082">
        <v>24</v>
      </c>
    </row>
    <row r="1083" spans="1:5">
      <c r="A1083" t="s">
        <v>1263</v>
      </c>
      <c r="B1083" t="s">
        <v>1268</v>
      </c>
      <c r="C1083">
        <f>0</f>
        <v>0</v>
      </c>
      <c r="D1083">
        <v>0.92520266396999995</v>
      </c>
      <c r="E1083">
        <v>24</v>
      </c>
    </row>
    <row r="1084" spans="1:5">
      <c r="A1084" t="s">
        <v>1263</v>
      </c>
      <c r="B1084" t="s">
        <v>1269</v>
      </c>
      <c r="C1084">
        <f>0</f>
        <v>0</v>
      </c>
      <c r="D1084">
        <v>0.92520266396999995</v>
      </c>
      <c r="E1084">
        <v>24</v>
      </c>
    </row>
    <row r="1085" spans="1:5">
      <c r="A1085" t="s">
        <v>1263</v>
      </c>
      <c r="B1085" t="s">
        <v>1270</v>
      </c>
      <c r="C1085">
        <v>0</v>
      </c>
      <c r="D1085">
        <v>0.92520266396999995</v>
      </c>
      <c r="E1085">
        <v>24</v>
      </c>
    </row>
    <row r="1086" spans="1:5">
      <c r="A1086" t="s">
        <v>1271</v>
      </c>
      <c r="B1086" t="s">
        <v>1272</v>
      </c>
      <c r="C1086">
        <v>0</v>
      </c>
      <c r="D1086">
        <v>0.74625429124099996</v>
      </c>
      <c r="E1086">
        <v>3.40629685157421</v>
      </c>
    </row>
    <row r="1087" spans="1:5">
      <c r="A1087" t="s">
        <v>1271</v>
      </c>
      <c r="B1087" t="s">
        <v>1273</v>
      </c>
      <c r="C1087">
        <v>0</v>
      </c>
      <c r="D1087">
        <v>0.74625429124099996</v>
      </c>
      <c r="E1087">
        <v>3.40629685157421</v>
      </c>
    </row>
    <row r="1088" spans="1:5">
      <c r="A1088" t="s">
        <v>1271</v>
      </c>
      <c r="B1088" t="s">
        <v>1274</v>
      </c>
      <c r="C1088">
        <v>0.490324635023</v>
      </c>
      <c r="D1088">
        <v>0.74625429124099996</v>
      </c>
      <c r="E1088">
        <v>3.40629685157421</v>
      </c>
    </row>
    <row r="1089" spans="1:5">
      <c r="A1089" t="s">
        <v>1271</v>
      </c>
      <c r="B1089" t="s">
        <v>1275</v>
      </c>
      <c r="C1089">
        <v>0.146911739624</v>
      </c>
      <c r="D1089">
        <v>0.74625429124099996</v>
      </c>
      <c r="E1089">
        <v>3.40629685157421</v>
      </c>
    </row>
    <row r="1090" spans="1:5">
      <c r="A1090" t="s">
        <v>1276</v>
      </c>
      <c r="B1090" t="s">
        <v>1277</v>
      </c>
      <c r="C1090">
        <v>0.36022806688199999</v>
      </c>
      <c r="D1090">
        <v>0.981615794406</v>
      </c>
      <c r="E1090">
        <v>1.89505247376311</v>
      </c>
    </row>
    <row r="1091" spans="1:5">
      <c r="A1091" t="s">
        <v>1276</v>
      </c>
      <c r="B1091" t="s">
        <v>1278</v>
      </c>
      <c r="C1091">
        <v>0</v>
      </c>
      <c r="D1091">
        <v>0.981615794406</v>
      </c>
      <c r="E1091">
        <v>1.89505247376311</v>
      </c>
    </row>
    <row r="1092" spans="1:5">
      <c r="A1092" t="s">
        <v>1276</v>
      </c>
      <c r="B1092" t="s">
        <v>1279</v>
      </c>
      <c r="C1092">
        <f>0</f>
        <v>0</v>
      </c>
      <c r="D1092">
        <v>0.981615794406</v>
      </c>
      <c r="E1092">
        <v>1.89505247376311</v>
      </c>
    </row>
    <row r="1093" spans="1:5">
      <c r="A1093" t="s">
        <v>1276</v>
      </c>
      <c r="B1093" t="s">
        <v>1280</v>
      </c>
      <c r="C1093">
        <v>0</v>
      </c>
      <c r="D1093">
        <v>0.981615794406</v>
      </c>
      <c r="E1093">
        <v>1.89505247376311</v>
      </c>
    </row>
    <row r="1094" spans="1:5">
      <c r="A1094" t="s">
        <v>1281</v>
      </c>
      <c r="B1094" t="s">
        <v>1282</v>
      </c>
      <c r="C1094">
        <v>4.2060197592799997E-2</v>
      </c>
      <c r="D1094">
        <v>0.97553150344499995</v>
      </c>
      <c r="E1094">
        <v>1.96701649175412</v>
      </c>
    </row>
    <row r="1095" spans="1:5">
      <c r="A1095" t="s">
        <v>1281</v>
      </c>
      <c r="B1095" t="s">
        <v>1283</v>
      </c>
      <c r="C1095">
        <f>0</f>
        <v>0</v>
      </c>
      <c r="D1095">
        <v>0.97553150344499995</v>
      </c>
      <c r="E1095">
        <v>1.96701649175412</v>
      </c>
    </row>
    <row r="1096" spans="1:5">
      <c r="A1096" t="s">
        <v>1281</v>
      </c>
      <c r="B1096" t="s">
        <v>1284</v>
      </c>
      <c r="C1096">
        <f>0</f>
        <v>0</v>
      </c>
      <c r="D1096">
        <v>0.97553150344499995</v>
      </c>
      <c r="E1096">
        <v>1.96701649175412</v>
      </c>
    </row>
    <row r="1097" spans="1:5">
      <c r="A1097" t="s">
        <v>1281</v>
      </c>
      <c r="B1097" t="s">
        <v>1285</v>
      </c>
      <c r="C1097">
        <f>0</f>
        <v>0</v>
      </c>
      <c r="D1097">
        <v>0.97553150344499995</v>
      </c>
      <c r="E1097">
        <v>1.96701649175412</v>
      </c>
    </row>
    <row r="1098" spans="1:5">
      <c r="A1098" t="s">
        <v>1281</v>
      </c>
      <c r="B1098" t="s">
        <v>1286</v>
      </c>
      <c r="C1098">
        <f>0</f>
        <v>0</v>
      </c>
      <c r="D1098">
        <v>0.97553150344499995</v>
      </c>
      <c r="E1098">
        <v>1.96701649175412</v>
      </c>
    </row>
    <row r="1099" spans="1:5">
      <c r="A1099" t="s">
        <v>1281</v>
      </c>
      <c r="B1099" t="s">
        <v>1287</v>
      </c>
      <c r="C1099">
        <f>0.0274225694524</f>
        <v>2.74225694524E-2</v>
      </c>
      <c r="D1099">
        <v>0.97553150344499995</v>
      </c>
      <c r="E1099">
        <v>1.96701649175412</v>
      </c>
    </row>
    <row r="1100" spans="1:5">
      <c r="A1100" t="s">
        <v>1281</v>
      </c>
      <c r="B1100" t="s">
        <v>1288</v>
      </c>
      <c r="C1100">
        <f>0</f>
        <v>0</v>
      </c>
      <c r="D1100">
        <v>0.97553150344499995</v>
      </c>
      <c r="E1100">
        <v>1.96701649175412</v>
      </c>
    </row>
    <row r="1101" spans="1:5">
      <c r="A1101" t="s">
        <v>1281</v>
      </c>
      <c r="B1101" t="s">
        <v>1289</v>
      </c>
      <c r="C1101">
        <v>0</v>
      </c>
      <c r="D1101">
        <v>0.97553150344499995</v>
      </c>
      <c r="E1101">
        <v>1.96701649175412</v>
      </c>
    </row>
    <row r="1102" spans="1:5">
      <c r="A1102" t="s">
        <v>1281</v>
      </c>
      <c r="B1102" t="s">
        <v>1290</v>
      </c>
      <c r="C1102">
        <f>0</f>
        <v>0</v>
      </c>
      <c r="D1102">
        <v>0.97553150344499995</v>
      </c>
      <c r="E1102">
        <v>1.96701649175412</v>
      </c>
    </row>
    <row r="1103" spans="1:5">
      <c r="A1103" t="s">
        <v>1291</v>
      </c>
      <c r="B1103" t="s">
        <v>1292</v>
      </c>
      <c r="C1103">
        <v>0</v>
      </c>
      <c r="D1103" t="s">
        <v>106</v>
      </c>
      <c r="E1103">
        <v>1.7631184407796101</v>
      </c>
    </row>
    <row r="1104" spans="1:5">
      <c r="A1104" t="s">
        <v>1291</v>
      </c>
      <c r="B1104" t="s">
        <v>1293</v>
      </c>
      <c r="C1104">
        <v>0</v>
      </c>
      <c r="D1104" t="s">
        <v>106</v>
      </c>
      <c r="E1104">
        <v>1.7631184407796101</v>
      </c>
    </row>
    <row r="1105" spans="1:5">
      <c r="A1105" t="s">
        <v>1291</v>
      </c>
      <c r="B1105" t="s">
        <v>1294</v>
      </c>
      <c r="C1105">
        <v>0</v>
      </c>
      <c r="D1105" t="s">
        <v>106</v>
      </c>
      <c r="E1105">
        <v>1.7631184407796101</v>
      </c>
    </row>
    <row r="1106" spans="1:5">
      <c r="A1106" t="s">
        <v>1291</v>
      </c>
      <c r="B1106" t="s">
        <v>1295</v>
      </c>
      <c r="C1106">
        <v>0</v>
      </c>
      <c r="D1106" t="s">
        <v>106</v>
      </c>
      <c r="E1106">
        <v>1.7631184407796101</v>
      </c>
    </row>
    <row r="1107" spans="1:5">
      <c r="A1107" t="s">
        <v>1291</v>
      </c>
      <c r="B1107" t="s">
        <v>1296</v>
      </c>
      <c r="C1107">
        <f>0</f>
        <v>0</v>
      </c>
      <c r="D1107" t="s">
        <v>106</v>
      </c>
      <c r="E1107">
        <v>1.7631184407796101</v>
      </c>
    </row>
    <row r="1108" spans="1:5">
      <c r="A1108" t="s">
        <v>1291</v>
      </c>
      <c r="B1108" t="s">
        <v>1297</v>
      </c>
      <c r="C1108">
        <v>0</v>
      </c>
      <c r="D1108" t="s">
        <v>106</v>
      </c>
      <c r="E1108">
        <v>1.7631184407796101</v>
      </c>
    </row>
    <row r="1109" spans="1:5">
      <c r="A1109" t="s">
        <v>1298</v>
      </c>
      <c r="B1109" t="s">
        <v>1299</v>
      </c>
      <c r="C1109">
        <v>0.56855063693800001</v>
      </c>
      <c r="D1109">
        <v>0.98218881725600005</v>
      </c>
      <c r="E1109">
        <v>8.0119940029985006</v>
      </c>
    </row>
    <row r="1110" spans="1:5">
      <c r="A1110" t="s">
        <v>1298</v>
      </c>
      <c r="B1110" t="s">
        <v>1300</v>
      </c>
      <c r="C1110">
        <v>0</v>
      </c>
      <c r="D1110">
        <v>0.98218881725600005</v>
      </c>
      <c r="E1110">
        <v>8.0119940029985006</v>
      </c>
    </row>
    <row r="1111" spans="1:5">
      <c r="A1111" t="s">
        <v>1298</v>
      </c>
      <c r="B1111" t="s">
        <v>1301</v>
      </c>
      <c r="C1111">
        <v>0</v>
      </c>
      <c r="D1111">
        <v>0.98218881725600005</v>
      </c>
      <c r="E1111">
        <v>8.0119940029985006</v>
      </c>
    </row>
    <row r="1112" spans="1:5">
      <c r="A1112" t="s">
        <v>1298</v>
      </c>
      <c r="B1112" t="s">
        <v>1302</v>
      </c>
      <c r="C1112">
        <v>0</v>
      </c>
      <c r="D1112">
        <v>0.98218881725600005</v>
      </c>
      <c r="E1112">
        <v>8.0119940029985006</v>
      </c>
    </row>
    <row r="1113" spans="1:5">
      <c r="A1113" t="s">
        <v>1298</v>
      </c>
      <c r="B1113" t="s">
        <v>1303</v>
      </c>
      <c r="C1113">
        <v>0</v>
      </c>
      <c r="D1113">
        <v>0.98218881725600005</v>
      </c>
      <c r="E1113">
        <v>8.0119940029985006</v>
      </c>
    </row>
    <row r="1114" spans="1:5">
      <c r="A1114" t="s">
        <v>1298</v>
      </c>
      <c r="B1114" t="s">
        <v>1304</v>
      </c>
      <c r="C1114">
        <v>0</v>
      </c>
      <c r="D1114">
        <v>0.98218881725600005</v>
      </c>
      <c r="E1114">
        <v>8.0119940029985006</v>
      </c>
    </row>
    <row r="1115" spans="1:5">
      <c r="A1115" t="s">
        <v>1298</v>
      </c>
      <c r="B1115" t="s">
        <v>1305</v>
      </c>
      <c r="C1115">
        <v>0.10644839838300001</v>
      </c>
      <c r="D1115">
        <v>0.98218881725600005</v>
      </c>
      <c r="E1115">
        <v>8.0119940029985006</v>
      </c>
    </row>
    <row r="1116" spans="1:5">
      <c r="A1116" t="s">
        <v>1306</v>
      </c>
      <c r="B1116" t="s">
        <v>1307</v>
      </c>
      <c r="C1116">
        <v>0</v>
      </c>
      <c r="D1116">
        <v>0.97190533348999997</v>
      </c>
      <c r="E1116">
        <v>4.0659670164917499</v>
      </c>
    </row>
    <row r="1117" spans="1:5">
      <c r="A1117" t="s">
        <v>1306</v>
      </c>
      <c r="B1117" t="s">
        <v>1308</v>
      </c>
      <c r="C1117">
        <f>0</f>
        <v>0</v>
      </c>
      <c r="D1117">
        <v>0.97190533348999997</v>
      </c>
      <c r="E1117">
        <v>4.0659670164917499</v>
      </c>
    </row>
    <row r="1118" spans="1:5">
      <c r="A1118" t="s">
        <v>1306</v>
      </c>
      <c r="B1118" t="s">
        <v>1309</v>
      </c>
      <c r="C1118">
        <f>0</f>
        <v>0</v>
      </c>
      <c r="D1118">
        <v>0.97190533348999997</v>
      </c>
      <c r="E1118">
        <v>4.0659670164917499</v>
      </c>
    </row>
    <row r="1119" spans="1:5">
      <c r="A1119" t="s">
        <v>1306</v>
      </c>
      <c r="B1119" t="s">
        <v>1310</v>
      </c>
      <c r="C1119">
        <f>0</f>
        <v>0</v>
      </c>
      <c r="D1119">
        <v>0.97190533348999997</v>
      </c>
      <c r="E1119">
        <v>4.0659670164917499</v>
      </c>
    </row>
    <row r="1120" spans="1:5">
      <c r="A1120" t="s">
        <v>1306</v>
      </c>
      <c r="B1120" t="s">
        <v>1311</v>
      </c>
      <c r="C1120">
        <f>0</f>
        <v>0</v>
      </c>
      <c r="D1120">
        <v>0.97190533348999997</v>
      </c>
      <c r="E1120">
        <v>4.0659670164917499</v>
      </c>
    </row>
    <row r="1121" spans="1:5">
      <c r="A1121" t="s">
        <v>1306</v>
      </c>
      <c r="B1121" t="s">
        <v>1312</v>
      </c>
      <c r="C1121">
        <v>0</v>
      </c>
      <c r="D1121">
        <v>0.97190533348999997</v>
      </c>
      <c r="E1121">
        <v>4.0659670164917499</v>
      </c>
    </row>
    <row r="1122" spans="1:5">
      <c r="A1122" t="s">
        <v>1306</v>
      </c>
      <c r="B1122" t="s">
        <v>1313</v>
      </c>
      <c r="C1122">
        <v>0</v>
      </c>
      <c r="D1122">
        <v>0.97190533348999997</v>
      </c>
      <c r="E1122">
        <v>4.0659670164917499</v>
      </c>
    </row>
    <row r="1123" spans="1:5">
      <c r="A1123" t="s">
        <v>1306</v>
      </c>
      <c r="B1123" t="s">
        <v>1314</v>
      </c>
      <c r="C1123">
        <f>0</f>
        <v>0</v>
      </c>
      <c r="D1123">
        <v>0.97190533348999997</v>
      </c>
      <c r="E1123">
        <v>4.0659670164917499</v>
      </c>
    </row>
    <row r="1124" spans="1:5">
      <c r="A1124" t="s">
        <v>1306</v>
      </c>
      <c r="B1124" t="s">
        <v>1315</v>
      </c>
      <c r="C1124">
        <v>0</v>
      </c>
      <c r="D1124">
        <v>0.97190533348999997</v>
      </c>
      <c r="E1124">
        <v>4.0659670164917499</v>
      </c>
    </row>
    <row r="1125" spans="1:5">
      <c r="A1125" t="s">
        <v>1316</v>
      </c>
      <c r="B1125" t="s">
        <v>1317</v>
      </c>
      <c r="C1125">
        <v>0.834553781391</v>
      </c>
      <c r="D1125">
        <v>0.64963120755000003</v>
      </c>
      <c r="E1125">
        <v>5.0134932533733103</v>
      </c>
    </row>
    <row r="1126" spans="1:5">
      <c r="A1126" t="s">
        <v>1316</v>
      </c>
      <c r="B1126" t="s">
        <v>1318</v>
      </c>
      <c r="C1126">
        <v>0</v>
      </c>
      <c r="D1126">
        <v>0.64963120755000003</v>
      </c>
      <c r="E1126">
        <v>5.0134932533733103</v>
      </c>
    </row>
    <row r="1127" spans="1:5">
      <c r="A1127" t="s">
        <v>1316</v>
      </c>
      <c r="B1127" t="s">
        <v>1319</v>
      </c>
      <c r="C1127">
        <f>0</f>
        <v>0</v>
      </c>
      <c r="D1127">
        <v>0.64963120755000003</v>
      </c>
      <c r="E1127">
        <v>5.0134932533733103</v>
      </c>
    </row>
    <row r="1128" spans="1:5">
      <c r="A1128" t="s">
        <v>1316</v>
      </c>
      <c r="B1128" t="s">
        <v>1320</v>
      </c>
      <c r="C1128">
        <f>0.0894818919003</f>
        <v>8.9481891900299995E-2</v>
      </c>
      <c r="D1128">
        <v>0.64963120755000003</v>
      </c>
      <c r="E1128">
        <v>5.0134932533733103</v>
      </c>
    </row>
    <row r="1129" spans="1:5">
      <c r="A1129" t="s">
        <v>1321</v>
      </c>
      <c r="B1129" t="s">
        <v>1322</v>
      </c>
      <c r="C1129">
        <f>0</f>
        <v>0</v>
      </c>
      <c r="D1129">
        <v>0.65511046264600004</v>
      </c>
      <c r="E1129">
        <v>22.104947526236799</v>
      </c>
    </row>
    <row r="1130" spans="1:5">
      <c r="A1130" t="s">
        <v>1321</v>
      </c>
      <c r="B1130" t="s">
        <v>1323</v>
      </c>
      <c r="C1130">
        <v>5.48380207651E-3</v>
      </c>
      <c r="D1130">
        <v>0.65511046264600004</v>
      </c>
      <c r="E1130">
        <v>22.104947526236799</v>
      </c>
    </row>
    <row r="1131" spans="1:5">
      <c r="A1131" t="s">
        <v>1321</v>
      </c>
      <c r="B1131" t="s">
        <v>1324</v>
      </c>
      <c r="C1131">
        <v>0</v>
      </c>
      <c r="D1131">
        <v>0.65511046264600004</v>
      </c>
      <c r="E1131">
        <v>22.104947526236799</v>
      </c>
    </row>
    <row r="1132" spans="1:5">
      <c r="A1132" t="s">
        <v>1325</v>
      </c>
      <c r="B1132" t="s">
        <v>1326</v>
      </c>
      <c r="C1132">
        <v>0.131281620017</v>
      </c>
      <c r="D1132">
        <v>0.338568951161</v>
      </c>
      <c r="E1132">
        <v>10.710644677661101</v>
      </c>
    </row>
    <row r="1133" spans="1:5">
      <c r="A1133" t="s">
        <v>1327</v>
      </c>
      <c r="B1133" t="s">
        <v>1328</v>
      </c>
      <c r="C1133">
        <f>0</f>
        <v>0</v>
      </c>
      <c r="D1133">
        <v>0.81810346451299998</v>
      </c>
      <c r="E1133">
        <v>1.51124437781109</v>
      </c>
    </row>
    <row r="1134" spans="1:5">
      <c r="A1134" t="s">
        <v>1327</v>
      </c>
      <c r="B1134" t="s">
        <v>1329</v>
      </c>
      <c r="C1134">
        <f>0.0942593745271</f>
        <v>9.4259374527099996E-2</v>
      </c>
      <c r="D1134">
        <v>0.81810346451299998</v>
      </c>
      <c r="E1134">
        <v>1.51124437781109</v>
      </c>
    </row>
    <row r="1135" spans="1:5">
      <c r="A1135" t="s">
        <v>1327</v>
      </c>
      <c r="B1135" t="s">
        <v>1330</v>
      </c>
      <c r="C1135">
        <f>0</f>
        <v>0</v>
      </c>
      <c r="D1135">
        <v>0.81810346451299998</v>
      </c>
      <c r="E1135">
        <v>1.51124437781109</v>
      </c>
    </row>
    <row r="1136" spans="1:5">
      <c r="A1136" t="s">
        <v>1327</v>
      </c>
      <c r="B1136" t="s">
        <v>1331</v>
      </c>
      <c r="C1136">
        <f>0</f>
        <v>0</v>
      </c>
      <c r="D1136">
        <v>0.81810346451299998</v>
      </c>
      <c r="E1136">
        <v>1.51124437781109</v>
      </c>
    </row>
    <row r="1137" spans="1:5">
      <c r="A1137" t="s">
        <v>1327</v>
      </c>
      <c r="B1137" t="s">
        <v>1332</v>
      </c>
      <c r="C1137">
        <v>0</v>
      </c>
      <c r="D1137">
        <v>0.81810346451299998</v>
      </c>
      <c r="E1137">
        <v>1.51124437781109</v>
      </c>
    </row>
    <row r="1138" spans="1:5">
      <c r="A1138" t="s">
        <v>1327</v>
      </c>
      <c r="B1138" t="s">
        <v>1333</v>
      </c>
      <c r="C1138">
        <f>0</f>
        <v>0</v>
      </c>
      <c r="D1138">
        <v>0.81810346451299998</v>
      </c>
      <c r="E1138">
        <v>1.51124437781109</v>
      </c>
    </row>
    <row r="1139" spans="1:5">
      <c r="A1139" t="s">
        <v>1327</v>
      </c>
      <c r="B1139" t="s">
        <v>1334</v>
      </c>
      <c r="C1139" s="1">
        <v>6.0791625075099999E-5</v>
      </c>
      <c r="D1139">
        <v>0.81810346451299998</v>
      </c>
      <c r="E1139">
        <v>1.51124437781109</v>
      </c>
    </row>
    <row r="1140" spans="1:5">
      <c r="A1140" t="s">
        <v>1327</v>
      </c>
      <c r="B1140" t="s">
        <v>1335</v>
      </c>
      <c r="C1140">
        <f>0</f>
        <v>0</v>
      </c>
      <c r="D1140">
        <v>0.81810346451299998</v>
      </c>
      <c r="E1140">
        <v>1.51124437781109</v>
      </c>
    </row>
    <row r="1141" spans="1:5">
      <c r="A1141" t="s">
        <v>1336</v>
      </c>
      <c r="B1141" t="s">
        <v>1337</v>
      </c>
      <c r="C1141">
        <f>0.02777524485</f>
        <v>2.7775244849999998E-2</v>
      </c>
      <c r="D1141" t="s">
        <v>106</v>
      </c>
      <c r="E1141">
        <v>24</v>
      </c>
    </row>
    <row r="1142" spans="1:5">
      <c r="A1142" t="s">
        <v>1336</v>
      </c>
      <c r="B1142" t="s">
        <v>1338</v>
      </c>
      <c r="C1142">
        <f>0</f>
        <v>0</v>
      </c>
      <c r="D1142" t="s">
        <v>106</v>
      </c>
      <c r="E1142">
        <v>24</v>
      </c>
    </row>
    <row r="1143" spans="1:5">
      <c r="A1143" t="s">
        <v>1336</v>
      </c>
      <c r="B1143" t="s">
        <v>1339</v>
      </c>
      <c r="C1143">
        <f>0</f>
        <v>0</v>
      </c>
      <c r="D1143" t="s">
        <v>106</v>
      </c>
      <c r="E1143">
        <v>24</v>
      </c>
    </row>
    <row r="1144" spans="1:5">
      <c r="A1144" t="s">
        <v>1336</v>
      </c>
      <c r="B1144" t="s">
        <v>1340</v>
      </c>
      <c r="C1144">
        <f>0.142691531649</f>
        <v>0.142691531649</v>
      </c>
      <c r="D1144" t="s">
        <v>106</v>
      </c>
      <c r="E1144">
        <v>24</v>
      </c>
    </row>
    <row r="1145" spans="1:5">
      <c r="A1145" t="s">
        <v>1341</v>
      </c>
      <c r="B1145" t="s">
        <v>1342</v>
      </c>
      <c r="C1145">
        <v>0</v>
      </c>
      <c r="D1145">
        <v>0.28012125830099999</v>
      </c>
      <c r="E1145">
        <v>5.0134932533733103</v>
      </c>
    </row>
    <row r="1146" spans="1:5">
      <c r="A1146" t="s">
        <v>1341</v>
      </c>
      <c r="B1146" t="s">
        <v>1343</v>
      </c>
      <c r="C1146">
        <v>0.14139138007300001</v>
      </c>
      <c r="D1146">
        <v>0.28012125830099999</v>
      </c>
      <c r="E1146">
        <v>5.0134932533733103</v>
      </c>
    </row>
    <row r="1147" spans="1:5">
      <c r="A1147" t="s">
        <v>1341</v>
      </c>
      <c r="B1147" t="s">
        <v>1344</v>
      </c>
      <c r="C1147">
        <f>0.0728982246987</f>
        <v>7.2898224698699998E-2</v>
      </c>
      <c r="D1147">
        <v>0.28012125830099999</v>
      </c>
      <c r="E1147">
        <v>5.0134932533733103</v>
      </c>
    </row>
    <row r="1148" spans="1:5">
      <c r="A1148" t="s">
        <v>1341</v>
      </c>
      <c r="B1148" t="s">
        <v>1345</v>
      </c>
      <c r="C1148">
        <v>0</v>
      </c>
      <c r="D1148">
        <v>0.28012125830099999</v>
      </c>
      <c r="E1148">
        <v>5.0134932533733103</v>
      </c>
    </row>
    <row r="1149" spans="1:5">
      <c r="A1149" t="s">
        <v>1341</v>
      </c>
      <c r="B1149" t="s">
        <v>1346</v>
      </c>
      <c r="C1149">
        <f>0</f>
        <v>0</v>
      </c>
      <c r="D1149">
        <v>0.28012125830099999</v>
      </c>
      <c r="E1149">
        <v>5.0134932533733103</v>
      </c>
    </row>
    <row r="1150" spans="1:5">
      <c r="A1150" t="s">
        <v>1341</v>
      </c>
      <c r="B1150" t="s">
        <v>1347</v>
      </c>
      <c r="C1150">
        <f>0</f>
        <v>0</v>
      </c>
      <c r="D1150">
        <v>0.28012125830099999</v>
      </c>
      <c r="E1150">
        <v>5.0134932533733103</v>
      </c>
    </row>
    <row r="1151" spans="1:5">
      <c r="A1151" t="s">
        <v>1341</v>
      </c>
      <c r="B1151" t="s">
        <v>1348</v>
      </c>
      <c r="C1151">
        <v>0</v>
      </c>
      <c r="D1151">
        <v>0.28012125830099999</v>
      </c>
      <c r="E1151">
        <v>5.0134932533733103</v>
      </c>
    </row>
    <row r="1152" spans="1:5">
      <c r="A1152" t="s">
        <v>1341</v>
      </c>
      <c r="B1152" t="s">
        <v>1349</v>
      </c>
      <c r="C1152">
        <f>0</f>
        <v>0</v>
      </c>
      <c r="D1152">
        <v>0.28012125830099999</v>
      </c>
      <c r="E1152">
        <v>5.0134932533733103</v>
      </c>
    </row>
    <row r="1153" spans="1:5">
      <c r="A1153" t="s">
        <v>1341</v>
      </c>
      <c r="B1153" t="s">
        <v>1350</v>
      </c>
      <c r="C1153">
        <v>0</v>
      </c>
      <c r="D1153">
        <v>0.28012125830099999</v>
      </c>
      <c r="E1153">
        <v>5.0134932533733103</v>
      </c>
    </row>
    <row r="1154" spans="1:5">
      <c r="A1154" t="s">
        <v>1341</v>
      </c>
      <c r="B1154" t="s">
        <v>1351</v>
      </c>
      <c r="C1154">
        <f>0</f>
        <v>0</v>
      </c>
      <c r="D1154">
        <v>0.28012125830099999</v>
      </c>
      <c r="E1154">
        <v>5.0134932533733103</v>
      </c>
    </row>
    <row r="1155" spans="1:5">
      <c r="A1155" t="s">
        <v>1352</v>
      </c>
      <c r="B1155" t="s">
        <v>1353</v>
      </c>
      <c r="C1155">
        <v>0.15464836140400001</v>
      </c>
      <c r="D1155">
        <v>0.92581210049700002</v>
      </c>
      <c r="E1155">
        <v>15.700149925037399</v>
      </c>
    </row>
    <row r="1156" spans="1:5">
      <c r="A1156" t="s">
        <v>1352</v>
      </c>
      <c r="B1156" t="s">
        <v>1354</v>
      </c>
      <c r="C1156">
        <f>0</f>
        <v>0</v>
      </c>
      <c r="D1156">
        <v>0.92581210049700002</v>
      </c>
      <c r="E1156">
        <v>15.700149925037399</v>
      </c>
    </row>
    <row r="1157" spans="1:5">
      <c r="A1157" t="s">
        <v>1352</v>
      </c>
      <c r="B1157" t="s">
        <v>1355</v>
      </c>
      <c r="C1157">
        <f>0</f>
        <v>0</v>
      </c>
      <c r="D1157">
        <v>0.92581210049700002</v>
      </c>
      <c r="E1157">
        <v>15.700149925037399</v>
      </c>
    </row>
    <row r="1158" spans="1:5">
      <c r="A1158" t="s">
        <v>1352</v>
      </c>
      <c r="B1158" t="s">
        <v>1356</v>
      </c>
      <c r="C1158">
        <f>0</f>
        <v>0</v>
      </c>
      <c r="D1158">
        <v>0.92581210049700002</v>
      </c>
      <c r="E1158">
        <v>15.700149925037399</v>
      </c>
    </row>
    <row r="1159" spans="1:5">
      <c r="A1159" t="s">
        <v>1352</v>
      </c>
      <c r="B1159" t="s">
        <v>1357</v>
      </c>
      <c r="C1159">
        <v>0</v>
      </c>
      <c r="D1159">
        <v>0.92581210049700002</v>
      </c>
      <c r="E1159">
        <v>15.700149925037399</v>
      </c>
    </row>
    <row r="1160" spans="1:5">
      <c r="A1160" t="s">
        <v>1352</v>
      </c>
      <c r="B1160" t="s">
        <v>1358</v>
      </c>
      <c r="C1160">
        <f>0.0147649901521</f>
        <v>1.47649901521E-2</v>
      </c>
      <c r="D1160">
        <v>0.92581210049700002</v>
      </c>
      <c r="E1160">
        <v>15.700149925037399</v>
      </c>
    </row>
    <row r="1161" spans="1:5">
      <c r="A1161" t="s">
        <v>1359</v>
      </c>
      <c r="B1161" t="s">
        <v>1360</v>
      </c>
      <c r="C1161">
        <v>6.6197856685699996E-2</v>
      </c>
      <c r="D1161" t="s">
        <v>106</v>
      </c>
      <c r="E1161">
        <v>24</v>
      </c>
    </row>
    <row r="1162" spans="1:5">
      <c r="A1162" t="s">
        <v>1359</v>
      </c>
      <c r="B1162" t="s">
        <v>1361</v>
      </c>
      <c r="C1162">
        <f>0</f>
        <v>0</v>
      </c>
      <c r="D1162" t="s">
        <v>106</v>
      </c>
      <c r="E1162">
        <v>24</v>
      </c>
    </row>
    <row r="1163" spans="1:5">
      <c r="A1163" t="s">
        <v>1359</v>
      </c>
      <c r="B1163" t="s">
        <v>1362</v>
      </c>
      <c r="C1163">
        <f>0</f>
        <v>0</v>
      </c>
      <c r="D1163" t="s">
        <v>106</v>
      </c>
      <c r="E1163">
        <v>24</v>
      </c>
    </row>
    <row r="1164" spans="1:5">
      <c r="A1164" t="s">
        <v>1359</v>
      </c>
      <c r="B1164" t="s">
        <v>1363</v>
      </c>
      <c r="C1164">
        <f>0</f>
        <v>0</v>
      </c>
      <c r="D1164" t="s">
        <v>106</v>
      </c>
      <c r="E1164">
        <v>24</v>
      </c>
    </row>
    <row r="1165" spans="1:5">
      <c r="A1165" t="s">
        <v>1359</v>
      </c>
      <c r="B1165" t="s">
        <v>1364</v>
      </c>
      <c r="C1165">
        <v>7.7981014573200003E-2</v>
      </c>
      <c r="D1165" t="s">
        <v>106</v>
      </c>
      <c r="E1165">
        <v>24</v>
      </c>
    </row>
    <row r="1166" spans="1:5">
      <c r="A1166" t="s">
        <v>1365</v>
      </c>
      <c r="B1166" t="s">
        <v>1366</v>
      </c>
      <c r="C1166">
        <v>0</v>
      </c>
      <c r="D1166">
        <v>0.81721492657899997</v>
      </c>
      <c r="E1166">
        <v>13.997001499250301</v>
      </c>
    </row>
    <row r="1167" spans="1:5">
      <c r="A1167" t="s">
        <v>1365</v>
      </c>
      <c r="B1167" t="s">
        <v>1367</v>
      </c>
      <c r="C1167">
        <f>0</f>
        <v>0</v>
      </c>
      <c r="D1167">
        <v>0.81721492657899997</v>
      </c>
      <c r="E1167">
        <v>13.997001499250301</v>
      </c>
    </row>
    <row r="1168" spans="1:5">
      <c r="A1168" t="s">
        <v>1365</v>
      </c>
      <c r="B1168" t="s">
        <v>1368</v>
      </c>
      <c r="C1168">
        <f>0</f>
        <v>0</v>
      </c>
      <c r="D1168">
        <v>0.81721492657899997</v>
      </c>
      <c r="E1168">
        <v>13.997001499250301</v>
      </c>
    </row>
    <row r="1169" spans="1:5">
      <c r="A1169" t="s">
        <v>1365</v>
      </c>
      <c r="B1169" t="s">
        <v>1369</v>
      </c>
      <c r="C1169">
        <v>0</v>
      </c>
      <c r="D1169">
        <v>0.81721492657899997</v>
      </c>
      <c r="E1169">
        <v>13.997001499250301</v>
      </c>
    </row>
    <row r="1170" spans="1:5">
      <c r="A1170" t="s">
        <v>1365</v>
      </c>
      <c r="B1170" t="s">
        <v>1370</v>
      </c>
      <c r="C1170">
        <f>0</f>
        <v>0</v>
      </c>
      <c r="D1170">
        <v>0.81721492657899997</v>
      </c>
      <c r="E1170">
        <v>13.997001499250301</v>
      </c>
    </row>
    <row r="1171" spans="1:5">
      <c r="A1171" t="s">
        <v>1365</v>
      </c>
      <c r="B1171" t="s">
        <v>1371</v>
      </c>
      <c r="C1171">
        <v>0</v>
      </c>
      <c r="D1171">
        <v>0.81721492657899997</v>
      </c>
      <c r="E1171">
        <v>13.997001499250301</v>
      </c>
    </row>
    <row r="1172" spans="1:5">
      <c r="A1172" t="s">
        <v>1365</v>
      </c>
      <c r="B1172" t="s">
        <v>1372</v>
      </c>
      <c r="C1172">
        <f>0</f>
        <v>0</v>
      </c>
      <c r="D1172">
        <v>0.81721492657899997</v>
      </c>
      <c r="E1172">
        <v>13.997001499250301</v>
      </c>
    </row>
    <row r="1173" spans="1:5">
      <c r="A1173" t="s">
        <v>1365</v>
      </c>
      <c r="B1173" t="s">
        <v>1373</v>
      </c>
      <c r="C1173">
        <f>0.0949390745991</f>
        <v>9.4939074599100004E-2</v>
      </c>
      <c r="D1173">
        <v>0.81721492657899997</v>
      </c>
      <c r="E1173">
        <v>13.997001499250301</v>
      </c>
    </row>
    <row r="1174" spans="1:5">
      <c r="A1174" t="s">
        <v>1365</v>
      </c>
      <c r="B1174" t="s">
        <v>1374</v>
      </c>
      <c r="C1174">
        <v>0</v>
      </c>
      <c r="D1174">
        <v>0.81721492657899997</v>
      </c>
      <c r="E1174">
        <v>13.997001499250301</v>
      </c>
    </row>
    <row r="1175" spans="1:5">
      <c r="A1175" t="s">
        <v>1365</v>
      </c>
      <c r="B1175" t="s">
        <v>1375</v>
      </c>
      <c r="C1175">
        <v>0</v>
      </c>
      <c r="D1175">
        <v>0.81721492657899997</v>
      </c>
      <c r="E1175">
        <v>13.997001499250301</v>
      </c>
    </row>
    <row r="1176" spans="1:5">
      <c r="A1176" t="s">
        <v>1376</v>
      </c>
      <c r="B1176" t="s">
        <v>1377</v>
      </c>
      <c r="C1176">
        <v>0</v>
      </c>
      <c r="D1176">
        <v>0.99124362700099999</v>
      </c>
      <c r="E1176">
        <v>8.7196401799100407</v>
      </c>
    </row>
    <row r="1177" spans="1:5">
      <c r="A1177" t="s">
        <v>1376</v>
      </c>
      <c r="B1177" t="s">
        <v>1378</v>
      </c>
      <c r="C1177">
        <f>0</f>
        <v>0</v>
      </c>
      <c r="D1177">
        <v>0.99124362700099999</v>
      </c>
      <c r="E1177">
        <v>8.7196401799100407</v>
      </c>
    </row>
    <row r="1178" spans="1:5">
      <c r="A1178" t="s">
        <v>1376</v>
      </c>
      <c r="B1178" t="s">
        <v>1379</v>
      </c>
      <c r="C1178">
        <f>0</f>
        <v>0</v>
      </c>
      <c r="D1178">
        <v>0.99124362700099999</v>
      </c>
      <c r="E1178">
        <v>8.7196401799100407</v>
      </c>
    </row>
    <row r="1179" spans="1:5">
      <c r="A1179" t="s">
        <v>1376</v>
      </c>
      <c r="B1179" t="s">
        <v>1380</v>
      </c>
      <c r="C1179">
        <v>0</v>
      </c>
      <c r="D1179">
        <v>0.99124362700099999</v>
      </c>
      <c r="E1179">
        <v>8.7196401799100407</v>
      </c>
    </row>
    <row r="1180" spans="1:5">
      <c r="A1180" t="s">
        <v>1376</v>
      </c>
      <c r="B1180" t="s">
        <v>1381</v>
      </c>
      <c r="C1180">
        <v>0.56502659541300004</v>
      </c>
      <c r="D1180">
        <v>0.99124362700099999</v>
      </c>
      <c r="E1180">
        <v>8.7196401799100407</v>
      </c>
    </row>
    <row r="1181" spans="1:5">
      <c r="A1181" t="s">
        <v>1376</v>
      </c>
      <c r="B1181" t="s">
        <v>1382</v>
      </c>
      <c r="C1181">
        <f>0</f>
        <v>0</v>
      </c>
      <c r="D1181">
        <v>0.99124362700099999</v>
      </c>
      <c r="E1181">
        <v>8.7196401799100407</v>
      </c>
    </row>
    <row r="1182" spans="1:5">
      <c r="A1182" t="s">
        <v>1376</v>
      </c>
      <c r="B1182" t="s">
        <v>1383</v>
      </c>
      <c r="C1182">
        <v>5.9219329270899998E-2</v>
      </c>
      <c r="D1182">
        <v>0.99124362700099999</v>
      </c>
      <c r="E1182">
        <v>8.7196401799100407</v>
      </c>
    </row>
    <row r="1183" spans="1:5">
      <c r="A1183" t="s">
        <v>1376</v>
      </c>
      <c r="B1183" t="s">
        <v>1384</v>
      </c>
      <c r="C1183">
        <v>0</v>
      </c>
      <c r="D1183">
        <v>0.99124362700099999</v>
      </c>
      <c r="E1183">
        <v>8.7196401799100407</v>
      </c>
    </row>
    <row r="1184" spans="1:5">
      <c r="A1184" t="s">
        <v>1376</v>
      </c>
      <c r="B1184" t="s">
        <v>1385</v>
      </c>
      <c r="C1184">
        <v>0</v>
      </c>
      <c r="D1184">
        <v>0.99124362700099999</v>
      </c>
      <c r="E1184">
        <v>8.7196401799100407</v>
      </c>
    </row>
    <row r="1185" spans="1:5">
      <c r="A1185" t="s">
        <v>1376</v>
      </c>
      <c r="B1185" t="s">
        <v>1386</v>
      </c>
      <c r="C1185">
        <v>0</v>
      </c>
      <c r="D1185">
        <v>0.99124362700099999</v>
      </c>
      <c r="E1185">
        <v>8.7196401799100407</v>
      </c>
    </row>
    <row r="1186" spans="1:5">
      <c r="A1186" t="s">
        <v>1387</v>
      </c>
      <c r="B1186" t="s">
        <v>1388</v>
      </c>
      <c r="C1186">
        <f>0</f>
        <v>0</v>
      </c>
      <c r="D1186" t="s">
        <v>106</v>
      </c>
      <c r="E1186">
        <v>5.3493253373313303</v>
      </c>
    </row>
    <row r="1187" spans="1:5">
      <c r="A1187" t="s">
        <v>1387</v>
      </c>
      <c r="B1187" t="s">
        <v>1389</v>
      </c>
      <c r="C1187">
        <v>8.1667959511999996E-2</v>
      </c>
      <c r="D1187" t="s">
        <v>106</v>
      </c>
      <c r="E1187">
        <v>5.3493253373313303</v>
      </c>
    </row>
    <row r="1188" spans="1:5">
      <c r="A1188" t="s">
        <v>1387</v>
      </c>
      <c r="B1188" t="s">
        <v>1390</v>
      </c>
      <c r="C1188">
        <v>0</v>
      </c>
      <c r="D1188" t="s">
        <v>106</v>
      </c>
      <c r="E1188">
        <v>5.3493253373313303</v>
      </c>
    </row>
    <row r="1189" spans="1:5">
      <c r="A1189" t="s">
        <v>1387</v>
      </c>
      <c r="B1189" t="s">
        <v>1391</v>
      </c>
      <c r="C1189">
        <v>0</v>
      </c>
      <c r="D1189" t="s">
        <v>106</v>
      </c>
      <c r="E1189">
        <v>5.3493253373313303</v>
      </c>
    </row>
    <row r="1190" spans="1:5">
      <c r="A1190" t="s">
        <v>1387</v>
      </c>
      <c r="B1190" t="s">
        <v>1392</v>
      </c>
      <c r="C1190">
        <v>0</v>
      </c>
      <c r="D1190" t="s">
        <v>106</v>
      </c>
      <c r="E1190">
        <v>5.3493253373313303</v>
      </c>
    </row>
    <row r="1191" spans="1:5">
      <c r="A1191" t="s">
        <v>1393</v>
      </c>
      <c r="B1191" t="s">
        <v>1394</v>
      </c>
      <c r="C1191">
        <f>0</f>
        <v>0</v>
      </c>
      <c r="D1191" t="s">
        <v>106</v>
      </c>
      <c r="E1191">
        <v>0.53973013493253297</v>
      </c>
    </row>
    <row r="1192" spans="1:5">
      <c r="A1192" t="s">
        <v>1393</v>
      </c>
      <c r="B1192" t="s">
        <v>1395</v>
      </c>
      <c r="C1192">
        <v>0</v>
      </c>
      <c r="D1192" t="s">
        <v>106</v>
      </c>
      <c r="E1192">
        <v>0.53973013493253297</v>
      </c>
    </row>
    <row r="1193" spans="1:5">
      <c r="A1193" t="s">
        <v>1396</v>
      </c>
      <c r="B1193" t="s">
        <v>1397</v>
      </c>
      <c r="C1193">
        <v>0.27130399048699999</v>
      </c>
      <c r="D1193">
        <v>0.99065171065400004</v>
      </c>
      <c r="E1193">
        <v>9.0194902548725597</v>
      </c>
    </row>
    <row r="1194" spans="1:5">
      <c r="A1194" t="s">
        <v>1396</v>
      </c>
      <c r="B1194" t="s">
        <v>1398</v>
      </c>
      <c r="C1194">
        <v>0</v>
      </c>
      <c r="D1194">
        <v>0.99065171065400004</v>
      </c>
      <c r="E1194">
        <v>9.0194902548725597</v>
      </c>
    </row>
    <row r="1195" spans="1:5">
      <c r="A1195" t="s">
        <v>1396</v>
      </c>
      <c r="B1195" t="s">
        <v>1399</v>
      </c>
      <c r="C1195">
        <f>0.0335860797656</f>
        <v>3.3586079765599998E-2</v>
      </c>
      <c r="D1195">
        <v>0.99065171065400004</v>
      </c>
      <c r="E1195">
        <v>9.0194902548725597</v>
      </c>
    </row>
    <row r="1196" spans="1:5">
      <c r="A1196" t="s">
        <v>1400</v>
      </c>
      <c r="B1196" t="s">
        <v>1401</v>
      </c>
      <c r="C1196">
        <v>0</v>
      </c>
      <c r="D1196" t="s">
        <v>106</v>
      </c>
      <c r="E1196">
        <v>9.1634182908545707</v>
      </c>
    </row>
    <row r="1197" spans="1:5">
      <c r="A1197" t="s">
        <v>1400</v>
      </c>
      <c r="B1197" t="s">
        <v>1402</v>
      </c>
      <c r="C1197">
        <v>0</v>
      </c>
      <c r="D1197" t="s">
        <v>106</v>
      </c>
      <c r="E1197">
        <v>9.1634182908545707</v>
      </c>
    </row>
    <row r="1198" spans="1:5">
      <c r="A1198" t="s">
        <v>1400</v>
      </c>
      <c r="B1198" t="s">
        <v>1403</v>
      </c>
      <c r="C1198">
        <v>0</v>
      </c>
      <c r="D1198" t="s">
        <v>106</v>
      </c>
      <c r="E1198">
        <v>9.1634182908545707</v>
      </c>
    </row>
    <row r="1199" spans="1:5">
      <c r="A1199" t="s">
        <v>1400</v>
      </c>
      <c r="B1199" t="s">
        <v>1404</v>
      </c>
      <c r="C1199">
        <v>0</v>
      </c>
      <c r="D1199" t="s">
        <v>106</v>
      </c>
      <c r="E1199">
        <v>9.1634182908545707</v>
      </c>
    </row>
    <row r="1200" spans="1:5">
      <c r="A1200" t="s">
        <v>1400</v>
      </c>
      <c r="B1200" t="s">
        <v>1405</v>
      </c>
      <c r="C1200">
        <f>0</f>
        <v>0</v>
      </c>
      <c r="D1200" t="s">
        <v>106</v>
      </c>
      <c r="E1200">
        <v>9.1634182908545707</v>
      </c>
    </row>
    <row r="1201" spans="1:5">
      <c r="A1201" t="s">
        <v>1400</v>
      </c>
      <c r="B1201" t="s">
        <v>1406</v>
      </c>
      <c r="C1201">
        <v>0</v>
      </c>
      <c r="D1201" t="s">
        <v>106</v>
      </c>
      <c r="E1201">
        <v>9.1634182908545707</v>
      </c>
    </row>
    <row r="1202" spans="1:5">
      <c r="A1202" t="s">
        <v>1400</v>
      </c>
      <c r="B1202" t="s">
        <v>1407</v>
      </c>
      <c r="C1202">
        <f>0</f>
        <v>0</v>
      </c>
      <c r="D1202" t="s">
        <v>106</v>
      </c>
      <c r="E1202">
        <v>9.1634182908545707</v>
      </c>
    </row>
    <row r="1203" spans="1:5">
      <c r="A1203" t="s">
        <v>1400</v>
      </c>
      <c r="B1203" t="s">
        <v>1408</v>
      </c>
      <c r="C1203">
        <v>0</v>
      </c>
      <c r="D1203" t="s">
        <v>106</v>
      </c>
      <c r="E1203">
        <v>9.1634182908545707</v>
      </c>
    </row>
    <row r="1204" spans="1:5">
      <c r="A1204" t="s">
        <v>1400</v>
      </c>
      <c r="B1204" t="s">
        <v>1409</v>
      </c>
      <c r="C1204">
        <v>0</v>
      </c>
      <c r="D1204" t="s">
        <v>106</v>
      </c>
      <c r="E1204">
        <v>9.1634182908545707</v>
      </c>
    </row>
    <row r="1205" spans="1:5">
      <c r="A1205" t="s">
        <v>1400</v>
      </c>
      <c r="B1205" t="s">
        <v>1410</v>
      </c>
      <c r="C1205">
        <v>0</v>
      </c>
      <c r="D1205" t="s">
        <v>106</v>
      </c>
      <c r="E1205">
        <v>9.1634182908545707</v>
      </c>
    </row>
    <row r="1206" spans="1:5">
      <c r="A1206" t="s">
        <v>1400</v>
      </c>
      <c r="B1206" t="s">
        <v>1411</v>
      </c>
      <c r="C1206">
        <f>0</f>
        <v>0</v>
      </c>
      <c r="D1206" t="s">
        <v>106</v>
      </c>
      <c r="E1206">
        <v>9.1634182908545707</v>
      </c>
    </row>
    <row r="1207" spans="1:5">
      <c r="A1207" t="s">
        <v>1400</v>
      </c>
      <c r="B1207" t="s">
        <v>1412</v>
      </c>
      <c r="C1207">
        <v>0</v>
      </c>
      <c r="D1207" t="s">
        <v>106</v>
      </c>
      <c r="E1207">
        <v>9.1634182908545707</v>
      </c>
    </row>
    <row r="1208" spans="1:5">
      <c r="A1208" t="s">
        <v>1400</v>
      </c>
      <c r="B1208" t="s">
        <v>1413</v>
      </c>
      <c r="C1208">
        <v>0</v>
      </c>
      <c r="D1208" t="s">
        <v>106</v>
      </c>
      <c r="E1208">
        <v>9.1634182908545707</v>
      </c>
    </row>
    <row r="1209" spans="1:5">
      <c r="A1209" t="s">
        <v>1400</v>
      </c>
      <c r="B1209" t="s">
        <v>1414</v>
      </c>
      <c r="C1209">
        <f>0</f>
        <v>0</v>
      </c>
      <c r="D1209" t="s">
        <v>106</v>
      </c>
      <c r="E1209">
        <v>9.1634182908545707</v>
      </c>
    </row>
    <row r="1210" spans="1:5">
      <c r="A1210" t="s">
        <v>1415</v>
      </c>
      <c r="B1210" t="s">
        <v>1416</v>
      </c>
      <c r="C1210">
        <v>0</v>
      </c>
      <c r="D1210">
        <v>0.95337121874099995</v>
      </c>
      <c r="E1210">
        <v>12.0419790104947</v>
      </c>
    </row>
    <row r="1211" spans="1:5">
      <c r="A1211" t="s">
        <v>1415</v>
      </c>
      <c r="B1211" t="s">
        <v>1417</v>
      </c>
      <c r="C1211">
        <f>0</f>
        <v>0</v>
      </c>
      <c r="D1211">
        <v>0.95337121874099995</v>
      </c>
      <c r="E1211">
        <v>12.0419790104947</v>
      </c>
    </row>
    <row r="1212" spans="1:5">
      <c r="A1212" t="s">
        <v>1415</v>
      </c>
      <c r="B1212" t="s">
        <v>1418</v>
      </c>
      <c r="C1212">
        <f>0.0552090690469</f>
        <v>5.5209069046899997E-2</v>
      </c>
      <c r="D1212">
        <v>0.95337121874099995</v>
      </c>
      <c r="E1212">
        <v>12.0419790104947</v>
      </c>
    </row>
    <row r="1213" spans="1:5">
      <c r="A1213" t="s">
        <v>1415</v>
      </c>
      <c r="B1213" t="s">
        <v>1419</v>
      </c>
      <c r="C1213">
        <f>0</f>
        <v>0</v>
      </c>
      <c r="D1213">
        <v>0.95337121874099995</v>
      </c>
      <c r="E1213">
        <v>12.0419790104947</v>
      </c>
    </row>
    <row r="1214" spans="1:5">
      <c r="A1214" t="s">
        <v>1415</v>
      </c>
      <c r="B1214" t="s">
        <v>1420</v>
      </c>
      <c r="C1214">
        <f>0</f>
        <v>0</v>
      </c>
      <c r="D1214">
        <v>0.95337121874099995</v>
      </c>
      <c r="E1214">
        <v>12.0419790104947</v>
      </c>
    </row>
    <row r="1215" spans="1:5">
      <c r="A1215" t="s">
        <v>1415</v>
      </c>
      <c r="B1215" t="s">
        <v>1421</v>
      </c>
      <c r="C1215">
        <f>0</f>
        <v>0</v>
      </c>
      <c r="D1215">
        <v>0.95337121874099995</v>
      </c>
      <c r="E1215">
        <v>12.0419790104947</v>
      </c>
    </row>
    <row r="1216" spans="1:5">
      <c r="A1216" t="s">
        <v>1415</v>
      </c>
      <c r="B1216" t="s">
        <v>1422</v>
      </c>
      <c r="C1216">
        <f>0.187904703978</f>
        <v>0.18790470397799999</v>
      </c>
      <c r="D1216">
        <v>0.95337121874099995</v>
      </c>
      <c r="E1216">
        <v>12.0419790104947</v>
      </c>
    </row>
    <row r="1217" spans="1:5">
      <c r="A1217" t="s">
        <v>1415</v>
      </c>
      <c r="B1217" t="s">
        <v>1423</v>
      </c>
      <c r="C1217">
        <f>0</f>
        <v>0</v>
      </c>
      <c r="D1217">
        <v>0.95337121874099995</v>
      </c>
      <c r="E1217">
        <v>12.0419790104947</v>
      </c>
    </row>
    <row r="1218" spans="1:5">
      <c r="A1218" t="s">
        <v>1415</v>
      </c>
      <c r="B1218" t="s">
        <v>1424</v>
      </c>
      <c r="C1218">
        <v>0</v>
      </c>
      <c r="D1218">
        <v>0.95337121874099995</v>
      </c>
      <c r="E1218">
        <v>12.0419790104947</v>
      </c>
    </row>
    <row r="1219" spans="1:5">
      <c r="A1219" t="s">
        <v>1415</v>
      </c>
      <c r="B1219" t="s">
        <v>1425</v>
      </c>
      <c r="C1219">
        <f>0</f>
        <v>0</v>
      </c>
      <c r="D1219">
        <v>0.95337121874099995</v>
      </c>
      <c r="E1219">
        <v>12.0419790104947</v>
      </c>
    </row>
    <row r="1220" spans="1:5">
      <c r="A1220" t="s">
        <v>1426</v>
      </c>
      <c r="B1220" t="s">
        <v>1427</v>
      </c>
      <c r="C1220">
        <f>0.0149058458718</f>
        <v>1.4905845871799999E-2</v>
      </c>
      <c r="D1220">
        <v>0.97135380084900003</v>
      </c>
      <c r="E1220">
        <v>24</v>
      </c>
    </row>
    <row r="1221" spans="1:5">
      <c r="A1221" t="s">
        <v>1426</v>
      </c>
      <c r="B1221" t="s">
        <v>1428</v>
      </c>
      <c r="C1221">
        <v>0</v>
      </c>
      <c r="D1221">
        <v>0.97135380084900003</v>
      </c>
      <c r="E1221">
        <v>24</v>
      </c>
    </row>
    <row r="1222" spans="1:5">
      <c r="A1222" t="s">
        <v>1426</v>
      </c>
      <c r="B1222" t="s">
        <v>1429</v>
      </c>
      <c r="C1222">
        <f>0</f>
        <v>0</v>
      </c>
      <c r="D1222">
        <v>0.97135380084900003</v>
      </c>
      <c r="E1222">
        <v>24</v>
      </c>
    </row>
    <row r="1223" spans="1:5">
      <c r="A1223" t="s">
        <v>1426</v>
      </c>
      <c r="B1223" t="s">
        <v>1430</v>
      </c>
      <c r="C1223">
        <f>0</f>
        <v>0</v>
      </c>
      <c r="D1223">
        <v>0.97135380084900003</v>
      </c>
      <c r="E1223">
        <v>24</v>
      </c>
    </row>
    <row r="1224" spans="1:5">
      <c r="A1224" t="s">
        <v>1426</v>
      </c>
      <c r="B1224" t="s">
        <v>1431</v>
      </c>
      <c r="C1224">
        <f>0.0112190448056</f>
        <v>1.1219044805600001E-2</v>
      </c>
      <c r="D1224">
        <v>0.97135380084900003</v>
      </c>
      <c r="E1224">
        <v>24</v>
      </c>
    </row>
    <row r="1225" spans="1:5">
      <c r="A1225" t="s">
        <v>1426</v>
      </c>
      <c r="B1225" t="s">
        <v>1432</v>
      </c>
      <c r="C1225">
        <f>0</f>
        <v>0</v>
      </c>
      <c r="D1225">
        <v>0.97135380084900003</v>
      </c>
      <c r="E1225">
        <v>24</v>
      </c>
    </row>
    <row r="1226" spans="1:5">
      <c r="A1226" t="s">
        <v>1426</v>
      </c>
      <c r="B1226" t="s">
        <v>1433</v>
      </c>
      <c r="C1226">
        <f>0</f>
        <v>0</v>
      </c>
      <c r="D1226">
        <v>0.97135380084900003</v>
      </c>
      <c r="E1226">
        <v>24</v>
      </c>
    </row>
    <row r="1227" spans="1:5">
      <c r="A1227" t="s">
        <v>1426</v>
      </c>
      <c r="B1227" t="s">
        <v>1434</v>
      </c>
      <c r="C1227">
        <v>0</v>
      </c>
      <c r="D1227">
        <v>0.97135380084900003</v>
      </c>
      <c r="E1227">
        <v>24</v>
      </c>
    </row>
    <row r="1228" spans="1:5">
      <c r="A1228" t="s">
        <v>1426</v>
      </c>
      <c r="B1228" t="s">
        <v>1435</v>
      </c>
      <c r="C1228">
        <f>0</f>
        <v>0</v>
      </c>
      <c r="D1228">
        <v>0.97135380084900003</v>
      </c>
      <c r="E1228">
        <v>24</v>
      </c>
    </row>
    <row r="1229" spans="1:5">
      <c r="A1229" t="s">
        <v>1426</v>
      </c>
      <c r="B1229" t="s">
        <v>1436</v>
      </c>
      <c r="C1229">
        <v>0</v>
      </c>
      <c r="D1229">
        <v>0.97135380084900003</v>
      </c>
      <c r="E1229">
        <v>24</v>
      </c>
    </row>
    <row r="1230" spans="1:5">
      <c r="A1230" t="s">
        <v>1426</v>
      </c>
      <c r="B1230" t="s">
        <v>1437</v>
      </c>
      <c r="C1230">
        <f>0</f>
        <v>0</v>
      </c>
      <c r="D1230">
        <v>0.97135380084900003</v>
      </c>
      <c r="E1230">
        <v>24</v>
      </c>
    </row>
    <row r="1231" spans="1:5">
      <c r="A1231" t="s">
        <v>1426</v>
      </c>
      <c r="B1231" t="s">
        <v>1438</v>
      </c>
      <c r="C1231">
        <f>0</f>
        <v>0</v>
      </c>
      <c r="D1231">
        <v>0.97135380084900003</v>
      </c>
      <c r="E1231">
        <v>24</v>
      </c>
    </row>
    <row r="1232" spans="1:5">
      <c r="A1232" t="s">
        <v>1439</v>
      </c>
      <c r="B1232" t="s">
        <v>1440</v>
      </c>
      <c r="C1232">
        <v>0.112648564386</v>
      </c>
      <c r="D1232">
        <v>0.97694331858299999</v>
      </c>
      <c r="E1232">
        <v>2.0269865067466202</v>
      </c>
    </row>
    <row r="1233" spans="1:5">
      <c r="A1233" t="s">
        <v>1439</v>
      </c>
      <c r="B1233" t="s">
        <v>1441</v>
      </c>
      <c r="C1233">
        <v>0</v>
      </c>
      <c r="D1233">
        <v>0.97694331858299999</v>
      </c>
      <c r="E1233">
        <v>2.0269865067466202</v>
      </c>
    </row>
    <row r="1234" spans="1:5">
      <c r="A1234" t="s">
        <v>1439</v>
      </c>
      <c r="B1234" t="s">
        <v>1442</v>
      </c>
      <c r="C1234">
        <v>0</v>
      </c>
      <c r="D1234">
        <v>0.97694331858299999</v>
      </c>
      <c r="E1234">
        <v>2.0269865067466202</v>
      </c>
    </row>
    <row r="1235" spans="1:5">
      <c r="A1235" t="s">
        <v>1439</v>
      </c>
      <c r="B1235" t="s">
        <v>1443</v>
      </c>
      <c r="C1235">
        <v>0</v>
      </c>
      <c r="D1235">
        <v>0.97694331858299999</v>
      </c>
      <c r="E1235">
        <v>2.0269865067466202</v>
      </c>
    </row>
    <row r="1236" spans="1:5">
      <c r="A1236" t="s">
        <v>1439</v>
      </c>
      <c r="B1236" t="s">
        <v>1444</v>
      </c>
      <c r="C1236">
        <v>0</v>
      </c>
      <c r="D1236">
        <v>0.97694331858299999</v>
      </c>
      <c r="E1236">
        <v>2.0269865067466202</v>
      </c>
    </row>
    <row r="1237" spans="1:5">
      <c r="A1237" t="s">
        <v>1439</v>
      </c>
      <c r="B1237" t="s">
        <v>1445</v>
      </c>
      <c r="C1237">
        <v>0.21411233043200001</v>
      </c>
      <c r="D1237">
        <v>0.97694331858299999</v>
      </c>
      <c r="E1237">
        <v>2.0269865067466202</v>
      </c>
    </row>
    <row r="1238" spans="1:5">
      <c r="A1238" t="s">
        <v>1439</v>
      </c>
      <c r="B1238" t="s">
        <v>1446</v>
      </c>
      <c r="C1238">
        <v>0</v>
      </c>
      <c r="D1238">
        <v>0.97694331858299999</v>
      </c>
      <c r="E1238">
        <v>2.0269865067466202</v>
      </c>
    </row>
    <row r="1239" spans="1:5">
      <c r="A1239" t="s">
        <v>1439</v>
      </c>
      <c r="B1239" t="s">
        <v>1447</v>
      </c>
      <c r="C1239">
        <f>0</f>
        <v>0</v>
      </c>
      <c r="D1239">
        <v>0.97694331858299999</v>
      </c>
      <c r="E1239">
        <v>2.0269865067466202</v>
      </c>
    </row>
    <row r="1240" spans="1:5">
      <c r="A1240" t="s">
        <v>1439</v>
      </c>
      <c r="B1240" t="s">
        <v>1448</v>
      </c>
      <c r="C1240">
        <f>0</f>
        <v>0</v>
      </c>
      <c r="D1240">
        <v>0.97694331858299999</v>
      </c>
      <c r="E1240">
        <v>2.0269865067466202</v>
      </c>
    </row>
    <row r="1241" spans="1:5">
      <c r="A1241" t="s">
        <v>1439</v>
      </c>
      <c r="B1241" t="s">
        <v>1449</v>
      </c>
      <c r="C1241">
        <f>0</f>
        <v>0</v>
      </c>
      <c r="D1241">
        <v>0.97694331858299999</v>
      </c>
      <c r="E1241">
        <v>2.0269865067466202</v>
      </c>
    </row>
    <row r="1242" spans="1:5">
      <c r="A1242" t="s">
        <v>1439</v>
      </c>
      <c r="B1242" t="s">
        <v>1450</v>
      </c>
      <c r="C1242">
        <v>0</v>
      </c>
      <c r="D1242">
        <v>0.97694331858299999</v>
      </c>
      <c r="E1242">
        <v>2.0269865067466202</v>
      </c>
    </row>
    <row r="1243" spans="1:5">
      <c r="A1243" t="s">
        <v>1439</v>
      </c>
      <c r="B1243" t="s">
        <v>1451</v>
      </c>
      <c r="C1243">
        <f>0</f>
        <v>0</v>
      </c>
      <c r="D1243">
        <v>0.97694331858299999</v>
      </c>
      <c r="E1243">
        <v>2.0269865067466202</v>
      </c>
    </row>
    <row r="1244" spans="1:5">
      <c r="A1244" t="s">
        <v>1452</v>
      </c>
      <c r="B1244" t="s">
        <v>1453</v>
      </c>
      <c r="C1244">
        <f>0</f>
        <v>0</v>
      </c>
      <c r="D1244" t="s">
        <v>106</v>
      </c>
      <c r="E1244">
        <v>15.904047976011899</v>
      </c>
    </row>
    <row r="1245" spans="1:5">
      <c r="A1245" t="s">
        <v>1452</v>
      </c>
      <c r="B1245" t="s">
        <v>1454</v>
      </c>
      <c r="C1245">
        <v>0</v>
      </c>
      <c r="D1245" t="s">
        <v>106</v>
      </c>
      <c r="E1245">
        <v>15.904047976011899</v>
      </c>
    </row>
    <row r="1246" spans="1:5">
      <c r="A1246" t="s">
        <v>1452</v>
      </c>
      <c r="B1246" t="s">
        <v>1455</v>
      </c>
      <c r="C1246">
        <v>0</v>
      </c>
      <c r="D1246" t="s">
        <v>106</v>
      </c>
      <c r="E1246">
        <v>15.904047976011899</v>
      </c>
    </row>
    <row r="1247" spans="1:5">
      <c r="A1247" t="s">
        <v>1452</v>
      </c>
      <c r="B1247" t="s">
        <v>1456</v>
      </c>
      <c r="C1247">
        <f>0</f>
        <v>0</v>
      </c>
      <c r="D1247" t="s">
        <v>106</v>
      </c>
      <c r="E1247">
        <v>15.904047976011899</v>
      </c>
    </row>
    <row r="1248" spans="1:5">
      <c r="A1248" t="s">
        <v>1452</v>
      </c>
      <c r="B1248" t="s">
        <v>1457</v>
      </c>
      <c r="C1248">
        <f>0</f>
        <v>0</v>
      </c>
      <c r="D1248" t="s">
        <v>106</v>
      </c>
      <c r="E1248">
        <v>15.904047976011899</v>
      </c>
    </row>
    <row r="1249" spans="1:5">
      <c r="A1249" t="s">
        <v>1452</v>
      </c>
      <c r="B1249" t="s">
        <v>1458</v>
      </c>
      <c r="C1249">
        <f>0</f>
        <v>0</v>
      </c>
      <c r="D1249" t="s">
        <v>106</v>
      </c>
      <c r="E1249">
        <v>15.904047976011899</v>
      </c>
    </row>
    <row r="1250" spans="1:5">
      <c r="A1250" t="s">
        <v>1452</v>
      </c>
      <c r="B1250" t="s">
        <v>1459</v>
      </c>
      <c r="C1250">
        <f>0</f>
        <v>0</v>
      </c>
      <c r="D1250" t="s">
        <v>106</v>
      </c>
      <c r="E1250">
        <v>15.904047976011899</v>
      </c>
    </row>
    <row r="1251" spans="1:5">
      <c r="A1251" t="s">
        <v>1460</v>
      </c>
      <c r="B1251" t="s">
        <v>1461</v>
      </c>
      <c r="C1251">
        <v>0.115285718276</v>
      </c>
      <c r="D1251">
        <v>0.925737959763</v>
      </c>
      <c r="E1251">
        <v>11.8740629685157</v>
      </c>
    </row>
    <row r="1252" spans="1:5">
      <c r="A1252" t="s">
        <v>1460</v>
      </c>
      <c r="B1252" t="s">
        <v>1462</v>
      </c>
      <c r="C1252">
        <f>0</f>
        <v>0</v>
      </c>
      <c r="D1252">
        <v>0.925737959763</v>
      </c>
      <c r="E1252">
        <v>11.8740629685157</v>
      </c>
    </row>
    <row r="1253" spans="1:5">
      <c r="A1253" t="s">
        <v>1460</v>
      </c>
      <c r="B1253" t="s">
        <v>1463</v>
      </c>
      <c r="C1253">
        <f>0</f>
        <v>0</v>
      </c>
      <c r="D1253">
        <v>0.925737959763</v>
      </c>
      <c r="E1253">
        <v>11.8740629685157</v>
      </c>
    </row>
    <row r="1254" spans="1:5">
      <c r="A1254" t="s">
        <v>1464</v>
      </c>
      <c r="B1254" t="s">
        <v>1465</v>
      </c>
      <c r="C1254">
        <v>0</v>
      </c>
      <c r="D1254">
        <v>0.983843721113</v>
      </c>
      <c r="E1254">
        <v>0.46776611694152898</v>
      </c>
    </row>
    <row r="1255" spans="1:5">
      <c r="A1255" t="s">
        <v>1464</v>
      </c>
      <c r="B1255" t="s">
        <v>1466</v>
      </c>
      <c r="C1255">
        <v>7.47950008221E-2</v>
      </c>
      <c r="D1255">
        <v>0.983843721113</v>
      </c>
      <c r="E1255">
        <v>0.46776611694152898</v>
      </c>
    </row>
    <row r="1256" spans="1:5">
      <c r="A1256" t="s">
        <v>1464</v>
      </c>
      <c r="B1256" t="s">
        <v>1467</v>
      </c>
      <c r="C1256">
        <v>0</v>
      </c>
      <c r="D1256">
        <v>0.983843721113</v>
      </c>
      <c r="E1256">
        <v>0.46776611694152898</v>
      </c>
    </row>
    <row r="1257" spans="1:5">
      <c r="A1257" t="s">
        <v>1464</v>
      </c>
      <c r="B1257" t="s">
        <v>1468</v>
      </c>
      <c r="C1257">
        <v>0</v>
      </c>
      <c r="D1257">
        <v>0.983843721113</v>
      </c>
      <c r="E1257">
        <v>0.46776611694152898</v>
      </c>
    </row>
    <row r="1258" spans="1:5">
      <c r="A1258" t="s">
        <v>1464</v>
      </c>
      <c r="B1258" t="s">
        <v>1469</v>
      </c>
      <c r="C1258">
        <v>0</v>
      </c>
      <c r="D1258">
        <v>0.983843721113</v>
      </c>
      <c r="E1258">
        <v>0.46776611694152898</v>
      </c>
    </row>
    <row r="1259" spans="1:5">
      <c r="A1259" t="s">
        <v>1464</v>
      </c>
      <c r="B1259" t="s">
        <v>1470</v>
      </c>
      <c r="C1259">
        <v>0.11821793193500001</v>
      </c>
      <c r="D1259">
        <v>0.983843721113</v>
      </c>
      <c r="E1259">
        <v>0.46776611694152898</v>
      </c>
    </row>
    <row r="1260" spans="1:5">
      <c r="A1260" t="s">
        <v>1464</v>
      </c>
      <c r="B1260" t="s">
        <v>1471</v>
      </c>
      <c r="C1260">
        <v>0</v>
      </c>
      <c r="D1260">
        <v>0.983843721113</v>
      </c>
      <c r="E1260">
        <v>0.46776611694152898</v>
      </c>
    </row>
    <row r="1261" spans="1:5">
      <c r="A1261" t="s">
        <v>1464</v>
      </c>
      <c r="B1261" t="s">
        <v>1472</v>
      </c>
      <c r="C1261">
        <v>0</v>
      </c>
      <c r="D1261">
        <v>0.983843721113</v>
      </c>
      <c r="E1261">
        <v>0.46776611694152898</v>
      </c>
    </row>
    <row r="1262" spans="1:5">
      <c r="A1262" t="s">
        <v>1464</v>
      </c>
      <c r="B1262" t="s">
        <v>1473</v>
      </c>
      <c r="C1262">
        <v>0</v>
      </c>
      <c r="D1262">
        <v>0.983843721113</v>
      </c>
      <c r="E1262">
        <v>0.46776611694152898</v>
      </c>
    </row>
    <row r="1263" spans="1:5">
      <c r="A1263" t="s">
        <v>1464</v>
      </c>
      <c r="B1263" t="s">
        <v>1474</v>
      </c>
      <c r="C1263">
        <v>0</v>
      </c>
      <c r="D1263">
        <v>0.983843721113</v>
      </c>
      <c r="E1263">
        <v>0.46776611694152898</v>
      </c>
    </row>
    <row r="1264" spans="1:5">
      <c r="A1264" t="s">
        <v>1464</v>
      </c>
      <c r="B1264" t="s">
        <v>1475</v>
      </c>
      <c r="C1264">
        <v>0</v>
      </c>
      <c r="D1264">
        <v>0.983843721113</v>
      </c>
      <c r="E1264">
        <v>0.46776611694152898</v>
      </c>
    </row>
    <row r="1265" spans="1:5">
      <c r="A1265" t="s">
        <v>1464</v>
      </c>
      <c r="B1265" t="s">
        <v>1476</v>
      </c>
      <c r="C1265">
        <v>0</v>
      </c>
      <c r="D1265">
        <v>0.983843721113</v>
      </c>
      <c r="E1265">
        <v>0.46776611694152898</v>
      </c>
    </row>
    <row r="1266" spans="1:5">
      <c r="A1266" t="s">
        <v>1464</v>
      </c>
      <c r="B1266" t="s">
        <v>1477</v>
      </c>
      <c r="C1266">
        <v>0</v>
      </c>
      <c r="D1266">
        <v>0.983843721113</v>
      </c>
      <c r="E1266">
        <v>0.46776611694152898</v>
      </c>
    </row>
    <row r="1267" spans="1:5">
      <c r="A1267" t="s">
        <v>1478</v>
      </c>
      <c r="B1267" t="s">
        <v>1479</v>
      </c>
      <c r="C1267">
        <v>1.92385423182</v>
      </c>
      <c r="D1267">
        <v>0.99594342344599995</v>
      </c>
      <c r="E1267">
        <v>1.00749625187406</v>
      </c>
    </row>
    <row r="1268" spans="1:5">
      <c r="A1268" t="s">
        <v>1478</v>
      </c>
      <c r="B1268" t="s">
        <v>1480</v>
      </c>
      <c r="C1268">
        <f>-1.3778833971</f>
        <v>-1.3778833971</v>
      </c>
      <c r="D1268">
        <v>0.99594342344599995</v>
      </c>
      <c r="E1268">
        <v>1.00749625187406</v>
      </c>
    </row>
    <row r="1269" spans="1:5">
      <c r="A1269" t="s">
        <v>1481</v>
      </c>
      <c r="B1269" t="s">
        <v>1482</v>
      </c>
      <c r="C1269">
        <f>0</f>
        <v>0</v>
      </c>
      <c r="D1269">
        <v>0.992102165363</v>
      </c>
      <c r="E1269">
        <v>15.904047976011899</v>
      </c>
    </row>
    <row r="1270" spans="1:5">
      <c r="A1270" t="s">
        <v>1481</v>
      </c>
      <c r="B1270" t="s">
        <v>1483</v>
      </c>
      <c r="C1270">
        <v>0.23716709446799999</v>
      </c>
      <c r="D1270">
        <v>0.992102165363</v>
      </c>
      <c r="E1270">
        <v>15.904047976011899</v>
      </c>
    </row>
    <row r="1271" spans="1:5">
      <c r="A1271" t="s">
        <v>1481</v>
      </c>
      <c r="B1271" t="s">
        <v>1484</v>
      </c>
      <c r="C1271">
        <v>0</v>
      </c>
      <c r="D1271">
        <v>0.992102165363</v>
      </c>
      <c r="E1271">
        <v>15.904047976011899</v>
      </c>
    </row>
    <row r="1272" spans="1:5">
      <c r="A1272" t="s">
        <v>1481</v>
      </c>
      <c r="B1272" t="s">
        <v>1485</v>
      </c>
      <c r="C1272">
        <v>8.6970595594200006E-2</v>
      </c>
      <c r="D1272">
        <v>0.992102165363</v>
      </c>
      <c r="E1272">
        <v>15.904047976011899</v>
      </c>
    </row>
    <row r="1273" spans="1:5">
      <c r="A1273" t="s">
        <v>1481</v>
      </c>
      <c r="B1273" t="s">
        <v>1486</v>
      </c>
      <c r="C1273">
        <f>0</f>
        <v>0</v>
      </c>
      <c r="D1273">
        <v>0.992102165363</v>
      </c>
      <c r="E1273">
        <v>15.904047976011899</v>
      </c>
    </row>
    <row r="1274" spans="1:5">
      <c r="A1274" t="s">
        <v>1481</v>
      </c>
      <c r="B1274" t="s">
        <v>1487</v>
      </c>
      <c r="C1274">
        <v>0</v>
      </c>
      <c r="D1274">
        <v>0.992102165363</v>
      </c>
      <c r="E1274">
        <v>15.904047976011899</v>
      </c>
    </row>
    <row r="1275" spans="1:5">
      <c r="A1275" t="s">
        <v>1488</v>
      </c>
      <c r="B1275" t="s">
        <v>1489</v>
      </c>
      <c r="C1275">
        <v>0.65544118310599997</v>
      </c>
      <c r="D1275">
        <v>0.99402514635299999</v>
      </c>
      <c r="E1275">
        <v>0.65967016491754105</v>
      </c>
    </row>
    <row r="1276" spans="1:5">
      <c r="A1276" t="s">
        <v>1488</v>
      </c>
      <c r="B1276" t="s">
        <v>1490</v>
      </c>
      <c r="C1276">
        <v>0</v>
      </c>
      <c r="D1276">
        <v>0.99402514635299999</v>
      </c>
      <c r="E1276">
        <v>0.65967016491754105</v>
      </c>
    </row>
    <row r="1277" spans="1:5">
      <c r="A1277" t="s">
        <v>1488</v>
      </c>
      <c r="B1277" t="s">
        <v>1491</v>
      </c>
      <c r="C1277">
        <f>0</f>
        <v>0</v>
      </c>
      <c r="D1277">
        <v>0.99402514635299999</v>
      </c>
      <c r="E1277">
        <v>0.65967016491754105</v>
      </c>
    </row>
    <row r="1278" spans="1:5">
      <c r="A1278" t="s">
        <v>1488</v>
      </c>
      <c r="B1278" t="s">
        <v>1492</v>
      </c>
      <c r="C1278">
        <v>0</v>
      </c>
      <c r="D1278">
        <v>0.99402514635299999</v>
      </c>
      <c r="E1278">
        <v>0.65967016491754105</v>
      </c>
    </row>
    <row r="1279" spans="1:5">
      <c r="A1279" t="s">
        <v>1488</v>
      </c>
      <c r="B1279" t="s">
        <v>1493</v>
      </c>
      <c r="C1279">
        <v>0</v>
      </c>
      <c r="D1279">
        <v>0.99402514635299999</v>
      </c>
      <c r="E1279">
        <v>0.65967016491754105</v>
      </c>
    </row>
    <row r="1280" spans="1:5">
      <c r="A1280" t="s">
        <v>1488</v>
      </c>
      <c r="B1280" t="s">
        <v>1494</v>
      </c>
      <c r="C1280">
        <v>0</v>
      </c>
      <c r="D1280">
        <v>0.99402514635299999</v>
      </c>
      <c r="E1280">
        <v>0.65967016491754105</v>
      </c>
    </row>
    <row r="1281" spans="1:5">
      <c r="A1281" t="s">
        <v>1488</v>
      </c>
      <c r="B1281" t="s">
        <v>1495</v>
      </c>
      <c r="C1281">
        <v>0</v>
      </c>
      <c r="D1281">
        <v>0.99402514635299999</v>
      </c>
      <c r="E1281">
        <v>0.65967016491754105</v>
      </c>
    </row>
    <row r="1282" spans="1:5">
      <c r="A1282" t="s">
        <v>1488</v>
      </c>
      <c r="B1282" t="s">
        <v>1496</v>
      </c>
      <c r="C1282">
        <v>0</v>
      </c>
      <c r="D1282">
        <v>0.99402514635299999</v>
      </c>
      <c r="E1282">
        <v>0.65967016491754105</v>
      </c>
    </row>
    <row r="1283" spans="1:5">
      <c r="A1283" t="s">
        <v>1488</v>
      </c>
      <c r="B1283" t="s">
        <v>1497</v>
      </c>
      <c r="C1283">
        <v>0.18348065647699999</v>
      </c>
      <c r="D1283">
        <v>0.99402514635299999</v>
      </c>
      <c r="E1283">
        <v>0.65967016491754105</v>
      </c>
    </row>
    <row r="1284" spans="1:5">
      <c r="A1284" t="s">
        <v>1498</v>
      </c>
      <c r="B1284" t="s">
        <v>1499</v>
      </c>
      <c r="C1284">
        <v>0</v>
      </c>
      <c r="D1284">
        <v>0.983240001596</v>
      </c>
      <c r="E1284">
        <v>1.51124437781109</v>
      </c>
    </row>
    <row r="1285" spans="1:5">
      <c r="A1285" t="s">
        <v>1498</v>
      </c>
      <c r="B1285" t="s">
        <v>1500</v>
      </c>
      <c r="C1285">
        <f>0</f>
        <v>0</v>
      </c>
      <c r="D1285">
        <v>0.983240001596</v>
      </c>
      <c r="E1285">
        <v>1.51124437781109</v>
      </c>
    </row>
    <row r="1286" spans="1:5">
      <c r="A1286" t="s">
        <v>1498</v>
      </c>
      <c r="B1286" t="s">
        <v>1501</v>
      </c>
      <c r="C1286">
        <f>0.13689445211</f>
        <v>0.13689445211000001</v>
      </c>
      <c r="D1286">
        <v>0.983240001596</v>
      </c>
      <c r="E1286">
        <v>1.51124437781109</v>
      </c>
    </row>
    <row r="1287" spans="1:5">
      <c r="A1287" t="s">
        <v>1498</v>
      </c>
      <c r="B1287" t="s">
        <v>1502</v>
      </c>
      <c r="C1287">
        <v>0</v>
      </c>
      <c r="D1287">
        <v>0.983240001596</v>
      </c>
      <c r="E1287">
        <v>1.51124437781109</v>
      </c>
    </row>
    <row r="1288" spans="1:5">
      <c r="A1288" t="s">
        <v>1498</v>
      </c>
      <c r="B1288" t="s">
        <v>1503</v>
      </c>
      <c r="C1288">
        <v>0.25024607854199998</v>
      </c>
      <c r="D1288">
        <v>0.983240001596</v>
      </c>
      <c r="E1288">
        <v>1.51124437781109</v>
      </c>
    </row>
    <row r="1289" spans="1:5">
      <c r="A1289" t="s">
        <v>1504</v>
      </c>
      <c r="B1289" t="s">
        <v>1505</v>
      </c>
      <c r="C1289">
        <f>0</f>
        <v>0</v>
      </c>
      <c r="D1289">
        <v>0.98830399695500004</v>
      </c>
      <c r="E1289">
        <v>1.2713643178410701</v>
      </c>
    </row>
    <row r="1290" spans="1:5">
      <c r="A1290" t="s">
        <v>1504</v>
      </c>
      <c r="B1290" t="s">
        <v>1506</v>
      </c>
      <c r="C1290">
        <f>0</f>
        <v>0</v>
      </c>
      <c r="D1290">
        <v>0.98830399695500004</v>
      </c>
      <c r="E1290">
        <v>1.2713643178410701</v>
      </c>
    </row>
    <row r="1291" spans="1:5">
      <c r="A1291" t="s">
        <v>1504</v>
      </c>
      <c r="B1291" t="s">
        <v>1507</v>
      </c>
      <c r="C1291">
        <v>0.55615998580299997</v>
      </c>
      <c r="D1291">
        <v>0.98830399695500004</v>
      </c>
      <c r="E1291">
        <v>1.2713643178410701</v>
      </c>
    </row>
    <row r="1292" spans="1:5">
      <c r="A1292" t="s">
        <v>1504</v>
      </c>
      <c r="B1292" t="s">
        <v>1508</v>
      </c>
      <c r="C1292">
        <f>0.0212703624704</f>
        <v>2.1270362470400001E-2</v>
      </c>
      <c r="D1292">
        <v>0.98830399695500004</v>
      </c>
      <c r="E1292">
        <v>1.2713643178410701</v>
      </c>
    </row>
    <row r="1293" spans="1:5">
      <c r="A1293" t="s">
        <v>1509</v>
      </c>
      <c r="B1293" t="s">
        <v>1510</v>
      </c>
      <c r="C1293">
        <f>0</f>
        <v>0</v>
      </c>
      <c r="D1293">
        <v>0.62917022356399999</v>
      </c>
      <c r="E1293">
        <v>5.0134932533733103</v>
      </c>
    </row>
    <row r="1294" spans="1:5">
      <c r="A1294" t="s">
        <v>1509</v>
      </c>
      <c r="B1294" t="s">
        <v>1511</v>
      </c>
      <c r="C1294">
        <v>0.61433395362099996</v>
      </c>
      <c r="D1294">
        <v>0.62917022356399999</v>
      </c>
      <c r="E1294">
        <v>5.0134932533733103</v>
      </c>
    </row>
    <row r="1295" spans="1:5">
      <c r="A1295" t="s">
        <v>1509</v>
      </c>
      <c r="B1295" t="s">
        <v>1512</v>
      </c>
      <c r="C1295">
        <f>0</f>
        <v>0</v>
      </c>
      <c r="D1295">
        <v>0.62917022356399999</v>
      </c>
      <c r="E1295">
        <v>5.0134932533733103</v>
      </c>
    </row>
    <row r="1296" spans="1:5">
      <c r="A1296" t="s">
        <v>1509</v>
      </c>
      <c r="B1296" t="s">
        <v>1513</v>
      </c>
      <c r="C1296">
        <v>0</v>
      </c>
      <c r="D1296">
        <v>0.62917022356399999</v>
      </c>
      <c r="E1296">
        <v>5.0134932533733103</v>
      </c>
    </row>
    <row r="1297" spans="1:5">
      <c r="A1297" t="s">
        <v>1509</v>
      </c>
      <c r="B1297" t="s">
        <v>1514</v>
      </c>
      <c r="C1297">
        <v>0</v>
      </c>
      <c r="D1297">
        <v>0.62917022356399999</v>
      </c>
      <c r="E1297">
        <v>5.0134932533733103</v>
      </c>
    </row>
    <row r="1298" spans="1:5">
      <c r="A1298" t="s">
        <v>1509</v>
      </c>
      <c r="B1298" t="s">
        <v>1515</v>
      </c>
      <c r="C1298">
        <v>0</v>
      </c>
      <c r="D1298">
        <v>0.62917022356399999</v>
      </c>
      <c r="E1298">
        <v>5.0134932533733103</v>
      </c>
    </row>
    <row r="1299" spans="1:5">
      <c r="A1299" t="s">
        <v>1509</v>
      </c>
      <c r="B1299" t="s">
        <v>1516</v>
      </c>
      <c r="C1299">
        <f>0.00307710157168</f>
        <v>3.0771015716799998E-3</v>
      </c>
      <c r="D1299">
        <v>0.62917022356399999</v>
      </c>
      <c r="E1299">
        <v>5.0134932533733103</v>
      </c>
    </row>
    <row r="1300" spans="1:5">
      <c r="A1300" t="s">
        <v>1517</v>
      </c>
      <c r="B1300" t="s">
        <v>1518</v>
      </c>
      <c r="C1300">
        <v>1.39750384291</v>
      </c>
      <c r="D1300">
        <v>0.97495888767399996</v>
      </c>
      <c r="E1300">
        <v>5.5772113943028403</v>
      </c>
    </row>
    <row r="1301" spans="1:5">
      <c r="A1301" t="s">
        <v>1517</v>
      </c>
      <c r="B1301" t="s">
        <v>1519</v>
      </c>
      <c r="C1301">
        <f>0.869585262871</f>
        <v>0.86958526287100002</v>
      </c>
      <c r="D1301">
        <v>0.97495888767399996</v>
      </c>
      <c r="E1301">
        <v>5.5772113943028403</v>
      </c>
    </row>
    <row r="1302" spans="1:5">
      <c r="A1302" t="s">
        <v>1520</v>
      </c>
      <c r="B1302" t="s">
        <v>1521</v>
      </c>
      <c r="C1302">
        <v>0.19575121448300001</v>
      </c>
      <c r="D1302">
        <v>0.96093545657199997</v>
      </c>
      <c r="E1302">
        <v>12.9175412293853</v>
      </c>
    </row>
    <row r="1303" spans="1:5">
      <c r="A1303" t="s">
        <v>1520</v>
      </c>
      <c r="B1303" t="s">
        <v>1522</v>
      </c>
      <c r="C1303">
        <v>0</v>
      </c>
      <c r="D1303">
        <v>0.96093545657199997</v>
      </c>
      <c r="E1303">
        <v>12.9175412293853</v>
      </c>
    </row>
    <row r="1304" spans="1:5">
      <c r="A1304" t="s">
        <v>1520</v>
      </c>
      <c r="B1304" t="s">
        <v>1523</v>
      </c>
      <c r="C1304">
        <v>0</v>
      </c>
      <c r="D1304">
        <v>0.96093545657199997</v>
      </c>
      <c r="E1304">
        <v>12.9175412293853</v>
      </c>
    </row>
    <row r="1305" spans="1:5">
      <c r="A1305" t="s">
        <v>1520</v>
      </c>
      <c r="B1305" t="s">
        <v>1524</v>
      </c>
      <c r="C1305">
        <v>0</v>
      </c>
      <c r="D1305">
        <v>0.96093545657199997</v>
      </c>
      <c r="E1305">
        <v>12.9175412293853</v>
      </c>
    </row>
    <row r="1306" spans="1:5">
      <c r="A1306" t="s">
        <v>1520</v>
      </c>
      <c r="B1306" t="s">
        <v>1525</v>
      </c>
      <c r="C1306">
        <v>0</v>
      </c>
      <c r="D1306">
        <v>0.96093545657199997</v>
      </c>
      <c r="E1306">
        <v>12.9175412293853</v>
      </c>
    </row>
    <row r="1307" spans="1:5">
      <c r="A1307" t="s">
        <v>1520</v>
      </c>
      <c r="B1307" t="s">
        <v>1526</v>
      </c>
      <c r="C1307">
        <f>0.150478920393</f>
        <v>0.15047892039300001</v>
      </c>
      <c r="D1307">
        <v>0.96093545657199997</v>
      </c>
      <c r="E1307">
        <v>12.9175412293853</v>
      </c>
    </row>
    <row r="1308" spans="1:5">
      <c r="A1308" t="s">
        <v>1520</v>
      </c>
      <c r="B1308" t="s">
        <v>1527</v>
      </c>
      <c r="C1308">
        <v>0</v>
      </c>
      <c r="D1308">
        <v>0.96093545657199997</v>
      </c>
      <c r="E1308">
        <v>12.9175412293853</v>
      </c>
    </row>
    <row r="1309" spans="1:5">
      <c r="A1309" t="s">
        <v>1520</v>
      </c>
      <c r="B1309" t="s">
        <v>1528</v>
      </c>
      <c r="C1309">
        <v>0</v>
      </c>
      <c r="D1309">
        <v>0.96093545657199997</v>
      </c>
      <c r="E1309">
        <v>12.9175412293853</v>
      </c>
    </row>
    <row r="1310" spans="1:5">
      <c r="A1310" t="s">
        <v>1520</v>
      </c>
      <c r="B1310" t="s">
        <v>1529</v>
      </c>
      <c r="C1310">
        <v>0</v>
      </c>
      <c r="D1310">
        <v>0.96093545657199997</v>
      </c>
      <c r="E1310">
        <v>12.9175412293853</v>
      </c>
    </row>
    <row r="1311" spans="1:5">
      <c r="A1311" t="s">
        <v>1520</v>
      </c>
      <c r="B1311" t="s">
        <v>1530</v>
      </c>
      <c r="C1311">
        <v>0</v>
      </c>
      <c r="D1311">
        <v>0.96093545657199997</v>
      </c>
      <c r="E1311">
        <v>12.9175412293853</v>
      </c>
    </row>
    <row r="1312" spans="1:5">
      <c r="A1312" t="s">
        <v>1520</v>
      </c>
      <c r="B1312" t="s">
        <v>1531</v>
      </c>
      <c r="C1312">
        <v>0</v>
      </c>
      <c r="D1312">
        <v>0.96093545657199997</v>
      </c>
      <c r="E1312">
        <v>12.9175412293853</v>
      </c>
    </row>
    <row r="1313" spans="1:5">
      <c r="A1313" t="s">
        <v>1520</v>
      </c>
      <c r="B1313" t="s">
        <v>1532</v>
      </c>
      <c r="C1313">
        <v>0</v>
      </c>
      <c r="D1313">
        <v>0.96093545657199997</v>
      </c>
      <c r="E1313">
        <v>12.9175412293853</v>
      </c>
    </row>
    <row r="1314" spans="1:5">
      <c r="A1314" t="s">
        <v>1520</v>
      </c>
      <c r="B1314" t="s">
        <v>1533</v>
      </c>
      <c r="C1314">
        <v>0</v>
      </c>
      <c r="D1314">
        <v>0.96093545657199997</v>
      </c>
      <c r="E1314">
        <v>12.9175412293853</v>
      </c>
    </row>
    <row r="1315" spans="1:5">
      <c r="A1315" t="s">
        <v>1534</v>
      </c>
      <c r="B1315" t="s">
        <v>1535</v>
      </c>
      <c r="C1315">
        <v>3.9911166880600001E-2</v>
      </c>
      <c r="D1315">
        <v>0.75462322221900002</v>
      </c>
      <c r="E1315">
        <v>24</v>
      </c>
    </row>
    <row r="1316" spans="1:5">
      <c r="A1316" t="s">
        <v>1536</v>
      </c>
      <c r="B1316" t="s">
        <v>1537</v>
      </c>
      <c r="C1316">
        <v>0</v>
      </c>
      <c r="D1316">
        <v>0.95719777055599997</v>
      </c>
      <c r="E1316">
        <v>1.96701649175412</v>
      </c>
    </row>
    <row r="1317" spans="1:5">
      <c r="A1317" t="s">
        <v>1536</v>
      </c>
      <c r="B1317" t="s">
        <v>1538</v>
      </c>
      <c r="C1317">
        <v>0</v>
      </c>
      <c r="D1317">
        <v>0.95719777055599997</v>
      </c>
      <c r="E1317">
        <v>1.96701649175412</v>
      </c>
    </row>
    <row r="1318" spans="1:5">
      <c r="A1318" t="s">
        <v>1536</v>
      </c>
      <c r="B1318" t="s">
        <v>1539</v>
      </c>
      <c r="C1318">
        <v>0</v>
      </c>
      <c r="D1318">
        <v>0.95719777055599997</v>
      </c>
      <c r="E1318">
        <v>1.96701649175412</v>
      </c>
    </row>
    <row r="1319" spans="1:5">
      <c r="A1319" t="s">
        <v>1536</v>
      </c>
      <c r="B1319" t="s">
        <v>1540</v>
      </c>
      <c r="C1319">
        <v>0</v>
      </c>
      <c r="D1319">
        <v>0.95719777055599997</v>
      </c>
      <c r="E1319">
        <v>1.96701649175412</v>
      </c>
    </row>
    <row r="1320" spans="1:5">
      <c r="A1320" t="s">
        <v>1536</v>
      </c>
      <c r="B1320" t="s">
        <v>1541</v>
      </c>
      <c r="C1320">
        <v>0</v>
      </c>
      <c r="D1320">
        <v>0.95719777055599997</v>
      </c>
      <c r="E1320">
        <v>1.96701649175412</v>
      </c>
    </row>
    <row r="1321" spans="1:5">
      <c r="A1321" t="s">
        <v>1536</v>
      </c>
      <c r="B1321" t="s">
        <v>1542</v>
      </c>
      <c r="C1321">
        <v>0</v>
      </c>
      <c r="D1321">
        <v>0.95719777055599997</v>
      </c>
      <c r="E1321">
        <v>1.96701649175412</v>
      </c>
    </row>
    <row r="1322" spans="1:5">
      <c r="A1322" t="s">
        <v>1536</v>
      </c>
      <c r="B1322" t="s">
        <v>1543</v>
      </c>
      <c r="C1322">
        <v>0</v>
      </c>
      <c r="D1322">
        <v>0.95719777055599997</v>
      </c>
      <c r="E1322">
        <v>1.96701649175412</v>
      </c>
    </row>
    <row r="1323" spans="1:5">
      <c r="A1323" t="s">
        <v>1536</v>
      </c>
      <c r="B1323" t="s">
        <v>1544</v>
      </c>
      <c r="C1323">
        <v>0</v>
      </c>
      <c r="D1323">
        <v>0.95719777055599997</v>
      </c>
      <c r="E1323">
        <v>1.96701649175412</v>
      </c>
    </row>
    <row r="1324" spans="1:5">
      <c r="A1324" t="s">
        <v>1536</v>
      </c>
      <c r="B1324" t="s">
        <v>1545</v>
      </c>
      <c r="C1324">
        <v>0</v>
      </c>
      <c r="D1324">
        <v>0.95719777055599997</v>
      </c>
      <c r="E1324">
        <v>1.96701649175412</v>
      </c>
    </row>
    <row r="1325" spans="1:5">
      <c r="A1325" t="s">
        <v>1536</v>
      </c>
      <c r="B1325" t="s">
        <v>1546</v>
      </c>
      <c r="C1325">
        <v>0</v>
      </c>
      <c r="D1325">
        <v>0.95719777055599997</v>
      </c>
      <c r="E1325">
        <v>1.96701649175412</v>
      </c>
    </row>
    <row r="1326" spans="1:5">
      <c r="A1326" t="s">
        <v>1536</v>
      </c>
      <c r="B1326" t="s">
        <v>1547</v>
      </c>
      <c r="C1326">
        <v>0.23923464597300001</v>
      </c>
      <c r="D1326">
        <v>0.95719777055599997</v>
      </c>
      <c r="E1326">
        <v>1.96701649175412</v>
      </c>
    </row>
    <row r="1327" spans="1:5">
      <c r="A1327" t="s">
        <v>1536</v>
      </c>
      <c r="B1327" t="s">
        <v>1548</v>
      </c>
      <c r="C1327">
        <v>0</v>
      </c>
      <c r="D1327">
        <v>0.95719777055599997</v>
      </c>
      <c r="E1327">
        <v>1.96701649175412</v>
      </c>
    </row>
    <row r="1328" spans="1:5">
      <c r="A1328" t="s">
        <v>1549</v>
      </c>
      <c r="B1328" t="s">
        <v>1550</v>
      </c>
      <c r="C1328">
        <v>0.13382810345099999</v>
      </c>
      <c r="D1328">
        <v>0.93531824742199998</v>
      </c>
      <c r="E1328">
        <v>13.2653673163418</v>
      </c>
    </row>
    <row r="1329" spans="1:5">
      <c r="A1329" t="s">
        <v>1549</v>
      </c>
      <c r="B1329" t="s">
        <v>1551</v>
      </c>
      <c r="C1329">
        <v>0.174810212306</v>
      </c>
      <c r="D1329">
        <v>0.93531824742199998</v>
      </c>
      <c r="E1329">
        <v>13.2653673163418</v>
      </c>
    </row>
    <row r="1330" spans="1:5">
      <c r="A1330" t="s">
        <v>1552</v>
      </c>
      <c r="B1330" t="s">
        <v>1553</v>
      </c>
      <c r="C1330">
        <v>0</v>
      </c>
      <c r="D1330">
        <v>0.96331034985200004</v>
      </c>
      <c r="E1330">
        <v>13.445277361319301</v>
      </c>
    </row>
    <row r="1331" spans="1:5">
      <c r="A1331" t="s">
        <v>1552</v>
      </c>
      <c r="B1331" t="s">
        <v>1554</v>
      </c>
      <c r="C1331">
        <f>0</f>
        <v>0</v>
      </c>
      <c r="D1331">
        <v>0.96331034985200004</v>
      </c>
      <c r="E1331">
        <v>13.445277361319301</v>
      </c>
    </row>
    <row r="1332" spans="1:5">
      <c r="A1332" t="s">
        <v>1552</v>
      </c>
      <c r="B1332" t="s">
        <v>1555</v>
      </c>
      <c r="C1332">
        <v>0</v>
      </c>
      <c r="D1332">
        <v>0.96331034985200004</v>
      </c>
      <c r="E1332">
        <v>13.445277361319301</v>
      </c>
    </row>
    <row r="1333" spans="1:5">
      <c r="A1333" t="s">
        <v>1552</v>
      </c>
      <c r="B1333" t="s">
        <v>1556</v>
      </c>
      <c r="C1333">
        <v>6.1250775772900001E-2</v>
      </c>
      <c r="D1333">
        <v>0.96331034985200004</v>
      </c>
      <c r="E1333">
        <v>13.445277361319301</v>
      </c>
    </row>
    <row r="1334" spans="1:5">
      <c r="A1334" t="s">
        <v>1552</v>
      </c>
      <c r="B1334" t="s">
        <v>1557</v>
      </c>
      <c r="C1334">
        <v>0</v>
      </c>
      <c r="D1334">
        <v>0.96331034985200004</v>
      </c>
      <c r="E1334">
        <v>13.445277361319301</v>
      </c>
    </row>
    <row r="1335" spans="1:5">
      <c r="A1335" t="s">
        <v>1552</v>
      </c>
      <c r="B1335" t="s">
        <v>1558</v>
      </c>
      <c r="C1335">
        <f>0</f>
        <v>0</v>
      </c>
      <c r="D1335">
        <v>0.96331034985200004</v>
      </c>
      <c r="E1335">
        <v>13.445277361319301</v>
      </c>
    </row>
    <row r="1336" spans="1:5">
      <c r="A1336" t="s">
        <v>1552</v>
      </c>
      <c r="B1336" t="s">
        <v>1559</v>
      </c>
      <c r="C1336">
        <v>2.7764681482900001E-2</v>
      </c>
      <c r="D1336">
        <v>0.96331034985200004</v>
      </c>
      <c r="E1336">
        <v>13.445277361319301</v>
      </c>
    </row>
    <row r="1337" spans="1:5">
      <c r="A1337" t="s">
        <v>1552</v>
      </c>
      <c r="B1337" t="s">
        <v>1560</v>
      </c>
      <c r="C1337">
        <v>0</v>
      </c>
      <c r="D1337">
        <v>0.96331034985200004</v>
      </c>
      <c r="E1337">
        <v>13.445277361319301</v>
      </c>
    </row>
    <row r="1338" spans="1:5">
      <c r="A1338" t="s">
        <v>1552</v>
      </c>
      <c r="B1338" t="s">
        <v>1561</v>
      </c>
      <c r="C1338">
        <f>0</f>
        <v>0</v>
      </c>
      <c r="D1338">
        <v>0.96331034985200004</v>
      </c>
      <c r="E1338">
        <v>13.445277361319301</v>
      </c>
    </row>
    <row r="1339" spans="1:5">
      <c r="A1339" t="s">
        <v>1562</v>
      </c>
      <c r="B1339" t="s">
        <v>1563</v>
      </c>
      <c r="C1339">
        <v>0</v>
      </c>
      <c r="D1339" t="s">
        <v>106</v>
      </c>
      <c r="E1339">
        <v>8.2878560719640095</v>
      </c>
    </row>
    <row r="1340" spans="1:5">
      <c r="A1340" t="s">
        <v>1562</v>
      </c>
      <c r="B1340" t="s">
        <v>1564</v>
      </c>
      <c r="C1340">
        <v>0</v>
      </c>
      <c r="D1340" t="s">
        <v>106</v>
      </c>
      <c r="E1340">
        <v>8.2878560719640095</v>
      </c>
    </row>
    <row r="1341" spans="1:5">
      <c r="A1341" t="s">
        <v>1562</v>
      </c>
      <c r="B1341" t="s">
        <v>1565</v>
      </c>
      <c r="C1341">
        <v>0</v>
      </c>
      <c r="D1341" t="s">
        <v>106</v>
      </c>
      <c r="E1341">
        <v>8.2878560719640095</v>
      </c>
    </row>
    <row r="1342" spans="1:5">
      <c r="A1342" t="s">
        <v>1562</v>
      </c>
      <c r="B1342" t="s">
        <v>1566</v>
      </c>
      <c r="C1342">
        <f>0</f>
        <v>0</v>
      </c>
      <c r="D1342" t="s">
        <v>106</v>
      </c>
      <c r="E1342">
        <v>8.2878560719640095</v>
      </c>
    </row>
    <row r="1343" spans="1:5">
      <c r="A1343" t="s">
        <v>1562</v>
      </c>
      <c r="B1343" t="s">
        <v>1567</v>
      </c>
      <c r="C1343">
        <f>0</f>
        <v>0</v>
      </c>
      <c r="D1343" t="s">
        <v>106</v>
      </c>
      <c r="E1343">
        <v>8.2878560719640095</v>
      </c>
    </row>
    <row r="1344" spans="1:5">
      <c r="A1344" t="s">
        <v>1562</v>
      </c>
      <c r="B1344" t="s">
        <v>1568</v>
      </c>
      <c r="C1344">
        <v>0</v>
      </c>
      <c r="D1344" t="s">
        <v>106</v>
      </c>
      <c r="E1344">
        <v>8.2878560719640095</v>
      </c>
    </row>
    <row r="1345" spans="1:5">
      <c r="A1345" t="s">
        <v>1562</v>
      </c>
      <c r="B1345" t="s">
        <v>1569</v>
      </c>
      <c r="C1345">
        <f>0</f>
        <v>0</v>
      </c>
      <c r="D1345" t="s">
        <v>106</v>
      </c>
      <c r="E1345">
        <v>8.2878560719640095</v>
      </c>
    </row>
    <row r="1346" spans="1:5">
      <c r="A1346" t="s">
        <v>1562</v>
      </c>
      <c r="B1346" t="s">
        <v>1570</v>
      </c>
      <c r="C1346">
        <v>0</v>
      </c>
      <c r="D1346" t="s">
        <v>106</v>
      </c>
      <c r="E1346">
        <v>8.2878560719640095</v>
      </c>
    </row>
    <row r="1347" spans="1:5">
      <c r="A1347" t="s">
        <v>1571</v>
      </c>
      <c r="B1347" t="s">
        <v>1572</v>
      </c>
      <c r="C1347">
        <f>0</f>
        <v>0</v>
      </c>
      <c r="D1347" t="s">
        <v>106</v>
      </c>
      <c r="E1347">
        <v>5.1214392803598203</v>
      </c>
    </row>
    <row r="1348" spans="1:5">
      <c r="A1348" t="s">
        <v>1571</v>
      </c>
      <c r="B1348" t="s">
        <v>1573</v>
      </c>
      <c r="C1348">
        <f>0</f>
        <v>0</v>
      </c>
      <c r="D1348" t="s">
        <v>106</v>
      </c>
      <c r="E1348">
        <v>5.1214392803598203</v>
      </c>
    </row>
    <row r="1349" spans="1:5">
      <c r="A1349" t="s">
        <v>1571</v>
      </c>
      <c r="B1349" t="s">
        <v>1574</v>
      </c>
      <c r="C1349">
        <v>0</v>
      </c>
      <c r="D1349" t="s">
        <v>106</v>
      </c>
      <c r="E1349">
        <v>5.1214392803598203</v>
      </c>
    </row>
    <row r="1350" spans="1:5">
      <c r="A1350" t="s">
        <v>1571</v>
      </c>
      <c r="B1350" t="s">
        <v>1575</v>
      </c>
      <c r="C1350">
        <f>0</f>
        <v>0</v>
      </c>
      <c r="D1350" t="s">
        <v>106</v>
      </c>
      <c r="E1350">
        <v>5.1214392803598203</v>
      </c>
    </row>
    <row r="1351" spans="1:5">
      <c r="A1351" t="s">
        <v>1571</v>
      </c>
      <c r="B1351" t="s">
        <v>1576</v>
      </c>
      <c r="C1351">
        <v>0</v>
      </c>
      <c r="D1351" t="s">
        <v>106</v>
      </c>
      <c r="E1351">
        <v>5.1214392803598203</v>
      </c>
    </row>
    <row r="1352" spans="1:5">
      <c r="A1352" t="s">
        <v>1571</v>
      </c>
      <c r="B1352" t="s">
        <v>1577</v>
      </c>
      <c r="C1352">
        <v>0</v>
      </c>
      <c r="D1352" t="s">
        <v>106</v>
      </c>
      <c r="E1352">
        <v>5.1214392803598203</v>
      </c>
    </row>
    <row r="1353" spans="1:5">
      <c r="A1353" t="s">
        <v>1571</v>
      </c>
      <c r="B1353" t="s">
        <v>1578</v>
      </c>
      <c r="C1353">
        <v>0</v>
      </c>
      <c r="D1353" t="s">
        <v>106</v>
      </c>
      <c r="E1353">
        <v>5.1214392803598203</v>
      </c>
    </row>
    <row r="1354" spans="1:5">
      <c r="A1354" t="s">
        <v>1571</v>
      </c>
      <c r="B1354" t="s">
        <v>1579</v>
      </c>
      <c r="C1354">
        <v>0</v>
      </c>
      <c r="D1354" t="s">
        <v>106</v>
      </c>
      <c r="E1354">
        <v>5.1214392803598203</v>
      </c>
    </row>
    <row r="1355" spans="1:5">
      <c r="A1355" t="s">
        <v>1571</v>
      </c>
      <c r="B1355" t="s">
        <v>1580</v>
      </c>
      <c r="C1355">
        <v>0</v>
      </c>
      <c r="D1355" t="s">
        <v>106</v>
      </c>
      <c r="E1355">
        <v>5.1214392803598203</v>
      </c>
    </row>
    <row r="1356" spans="1:5">
      <c r="A1356" t="s">
        <v>1581</v>
      </c>
      <c r="B1356" t="s">
        <v>1582</v>
      </c>
      <c r="C1356">
        <v>0</v>
      </c>
      <c r="D1356" t="s">
        <v>106</v>
      </c>
      <c r="E1356">
        <v>22.800599700149899</v>
      </c>
    </row>
    <row r="1357" spans="1:5">
      <c r="A1357" t="s">
        <v>1581</v>
      </c>
      <c r="B1357" t="s">
        <v>1583</v>
      </c>
      <c r="C1357">
        <v>7.2612257693599996E-2</v>
      </c>
      <c r="D1357" t="s">
        <v>106</v>
      </c>
      <c r="E1357">
        <v>22.800599700149899</v>
      </c>
    </row>
    <row r="1358" spans="1:5">
      <c r="A1358" t="s">
        <v>1581</v>
      </c>
      <c r="B1358" t="s">
        <v>1584</v>
      </c>
      <c r="C1358">
        <v>0</v>
      </c>
      <c r="D1358" t="s">
        <v>106</v>
      </c>
      <c r="E1358">
        <v>22.800599700149899</v>
      </c>
    </row>
    <row r="1359" spans="1:5">
      <c r="A1359" t="s">
        <v>1581</v>
      </c>
      <c r="B1359" t="s">
        <v>1585</v>
      </c>
      <c r="C1359">
        <v>7.7660043196999998E-2</v>
      </c>
      <c r="D1359" t="s">
        <v>106</v>
      </c>
      <c r="E1359">
        <v>22.800599700149899</v>
      </c>
    </row>
    <row r="1360" spans="1:5">
      <c r="A1360" t="s">
        <v>1586</v>
      </c>
      <c r="B1360" t="s">
        <v>1587</v>
      </c>
      <c r="C1360">
        <v>0.22754617008399999</v>
      </c>
      <c r="D1360">
        <v>0.78846626016800003</v>
      </c>
      <c r="E1360">
        <v>3.2263868065966999</v>
      </c>
    </row>
    <row r="1361" spans="1:5">
      <c r="A1361" t="s">
        <v>1586</v>
      </c>
      <c r="B1361" t="s">
        <v>1588</v>
      </c>
      <c r="C1361">
        <v>0</v>
      </c>
      <c r="D1361">
        <v>0.78846626016800003</v>
      </c>
      <c r="E1361">
        <v>3.2263868065966999</v>
      </c>
    </row>
    <row r="1362" spans="1:5">
      <c r="A1362" t="s">
        <v>1586</v>
      </c>
      <c r="B1362" t="s">
        <v>1589</v>
      </c>
      <c r="C1362">
        <v>0</v>
      </c>
      <c r="D1362">
        <v>0.78846626016800003</v>
      </c>
      <c r="E1362">
        <v>3.2263868065966999</v>
      </c>
    </row>
    <row r="1363" spans="1:5">
      <c r="A1363" t="s">
        <v>1586</v>
      </c>
      <c r="B1363" t="s">
        <v>1590</v>
      </c>
      <c r="C1363">
        <v>0</v>
      </c>
      <c r="D1363">
        <v>0.78846626016800003</v>
      </c>
      <c r="E1363">
        <v>3.2263868065966999</v>
      </c>
    </row>
    <row r="1364" spans="1:5">
      <c r="A1364" t="s">
        <v>1586</v>
      </c>
      <c r="B1364" t="s">
        <v>1591</v>
      </c>
      <c r="C1364">
        <v>0</v>
      </c>
      <c r="D1364">
        <v>0.78846626016800003</v>
      </c>
      <c r="E1364">
        <v>3.2263868065966999</v>
      </c>
    </row>
    <row r="1365" spans="1:5">
      <c r="A1365" t="s">
        <v>1592</v>
      </c>
      <c r="B1365" t="s">
        <v>1593</v>
      </c>
      <c r="C1365">
        <f>0.74102695405</f>
        <v>0.74102695404999996</v>
      </c>
      <c r="D1365" t="s">
        <v>106</v>
      </c>
      <c r="E1365">
        <v>2.39880059970015</v>
      </c>
    </row>
    <row r="1366" spans="1:5">
      <c r="A1366" t="s">
        <v>1594</v>
      </c>
      <c r="B1366" t="s">
        <v>1595</v>
      </c>
      <c r="C1366">
        <f>0</f>
        <v>0</v>
      </c>
      <c r="D1366">
        <v>0.99002437732600002</v>
      </c>
      <c r="E1366">
        <v>2.79460269865067</v>
      </c>
    </row>
    <row r="1367" spans="1:5">
      <c r="A1367" t="s">
        <v>1594</v>
      </c>
      <c r="B1367" t="s">
        <v>1596</v>
      </c>
      <c r="C1367">
        <v>0</v>
      </c>
      <c r="D1367">
        <v>0.99002437732600002</v>
      </c>
      <c r="E1367">
        <v>2.79460269865067</v>
      </c>
    </row>
    <row r="1368" spans="1:5">
      <c r="A1368" t="s">
        <v>1594</v>
      </c>
      <c r="B1368" t="s">
        <v>1597</v>
      </c>
      <c r="C1368">
        <f>0</f>
        <v>0</v>
      </c>
      <c r="D1368">
        <v>0.99002437732600002</v>
      </c>
      <c r="E1368">
        <v>2.79460269865067</v>
      </c>
    </row>
    <row r="1369" spans="1:5">
      <c r="A1369" t="s">
        <v>1594</v>
      </c>
      <c r="B1369" t="s">
        <v>1598</v>
      </c>
      <c r="C1369">
        <v>0</v>
      </c>
      <c r="D1369">
        <v>0.99002437732600002</v>
      </c>
      <c r="E1369">
        <v>2.79460269865067</v>
      </c>
    </row>
    <row r="1370" spans="1:5">
      <c r="A1370" t="s">
        <v>1599</v>
      </c>
      <c r="B1370" t="s">
        <v>1600</v>
      </c>
      <c r="C1370">
        <v>0.20473144136099999</v>
      </c>
      <c r="D1370">
        <v>0.99980412745400005</v>
      </c>
      <c r="E1370">
        <v>18.986506746626599</v>
      </c>
    </row>
    <row r="1371" spans="1:5">
      <c r="A1371" t="s">
        <v>1599</v>
      </c>
      <c r="B1371" t="s">
        <v>1601</v>
      </c>
      <c r="C1371">
        <v>0</v>
      </c>
      <c r="D1371">
        <v>0.99980412745400005</v>
      </c>
      <c r="E1371">
        <v>18.986506746626599</v>
      </c>
    </row>
    <row r="1372" spans="1:5">
      <c r="A1372" t="s">
        <v>1599</v>
      </c>
      <c r="B1372" t="s">
        <v>1602</v>
      </c>
      <c r="C1372">
        <v>0</v>
      </c>
      <c r="D1372">
        <v>0.99980412745400005</v>
      </c>
      <c r="E1372">
        <v>18.986506746626599</v>
      </c>
    </row>
    <row r="1373" spans="1:5">
      <c r="A1373" t="s">
        <v>1599</v>
      </c>
      <c r="B1373" t="s">
        <v>1603</v>
      </c>
      <c r="C1373">
        <f>0</f>
        <v>0</v>
      </c>
      <c r="D1373">
        <v>0.99980412745400005</v>
      </c>
      <c r="E1373">
        <v>18.986506746626599</v>
      </c>
    </row>
    <row r="1374" spans="1:5">
      <c r="A1374" t="s">
        <v>1599</v>
      </c>
      <c r="B1374" t="s">
        <v>1604</v>
      </c>
      <c r="C1374">
        <f>0.00374619867786</f>
        <v>3.74619867786E-3</v>
      </c>
      <c r="D1374">
        <v>0.99980412745400005</v>
      </c>
      <c r="E1374">
        <v>18.986506746626599</v>
      </c>
    </row>
    <row r="1375" spans="1:5">
      <c r="A1375" t="s">
        <v>1599</v>
      </c>
      <c r="B1375" t="s">
        <v>1605</v>
      </c>
      <c r="C1375">
        <v>0</v>
      </c>
      <c r="D1375">
        <v>0.99980412745400005</v>
      </c>
      <c r="E1375">
        <v>18.986506746626599</v>
      </c>
    </row>
    <row r="1376" spans="1:5">
      <c r="A1376" t="s">
        <v>1606</v>
      </c>
      <c r="B1376" t="s">
        <v>1607</v>
      </c>
      <c r="C1376">
        <v>0</v>
      </c>
      <c r="D1376">
        <v>0.90075633264499999</v>
      </c>
      <c r="E1376">
        <v>22.104947526236799</v>
      </c>
    </row>
    <row r="1377" spans="1:5">
      <c r="A1377" t="s">
        <v>1606</v>
      </c>
      <c r="B1377" t="s">
        <v>1608</v>
      </c>
      <c r="C1377">
        <f>0</f>
        <v>0</v>
      </c>
      <c r="D1377">
        <v>0.90075633264499999</v>
      </c>
      <c r="E1377">
        <v>22.104947526236799</v>
      </c>
    </row>
    <row r="1378" spans="1:5">
      <c r="A1378" t="s">
        <v>1606</v>
      </c>
      <c r="B1378" t="s">
        <v>1609</v>
      </c>
      <c r="C1378">
        <f>0.0558664951063</f>
        <v>5.5866495106299999E-2</v>
      </c>
      <c r="D1378">
        <v>0.90075633264499999</v>
      </c>
      <c r="E1378">
        <v>22.104947526236799</v>
      </c>
    </row>
    <row r="1379" spans="1:5">
      <c r="A1379" t="s">
        <v>1606</v>
      </c>
      <c r="B1379" t="s">
        <v>1610</v>
      </c>
      <c r="C1379">
        <f>0.000524311442474</f>
        <v>5.24311442474E-4</v>
      </c>
      <c r="D1379">
        <v>0.90075633264499999</v>
      </c>
      <c r="E1379">
        <v>22.104947526236799</v>
      </c>
    </row>
    <row r="1380" spans="1:5">
      <c r="A1380" t="s">
        <v>1611</v>
      </c>
      <c r="B1380" t="s">
        <v>1612</v>
      </c>
      <c r="C1380">
        <v>0</v>
      </c>
      <c r="D1380">
        <v>0.98916601017899997</v>
      </c>
      <c r="E1380">
        <v>12.0419790104947</v>
      </c>
    </row>
    <row r="1381" spans="1:5">
      <c r="A1381" t="s">
        <v>1611</v>
      </c>
      <c r="B1381" t="s">
        <v>1613</v>
      </c>
      <c r="C1381">
        <v>0</v>
      </c>
      <c r="D1381">
        <v>0.98916601017899997</v>
      </c>
      <c r="E1381">
        <v>12.0419790104947</v>
      </c>
    </row>
    <row r="1382" spans="1:5">
      <c r="A1382" t="s">
        <v>1611</v>
      </c>
      <c r="B1382" t="s">
        <v>1614</v>
      </c>
      <c r="C1382">
        <v>0</v>
      </c>
      <c r="D1382">
        <v>0.98916601017899997</v>
      </c>
      <c r="E1382">
        <v>12.0419790104947</v>
      </c>
    </row>
    <row r="1383" spans="1:5">
      <c r="A1383" t="s">
        <v>1611</v>
      </c>
      <c r="B1383" t="s">
        <v>1615</v>
      </c>
      <c r="C1383">
        <f>0</f>
        <v>0</v>
      </c>
      <c r="D1383">
        <v>0.98916601017899997</v>
      </c>
      <c r="E1383">
        <v>12.0419790104947</v>
      </c>
    </row>
    <row r="1384" spans="1:5">
      <c r="A1384" t="s">
        <v>1611</v>
      </c>
      <c r="B1384" t="s">
        <v>1616</v>
      </c>
      <c r="C1384">
        <v>0</v>
      </c>
      <c r="D1384">
        <v>0.98916601017899997</v>
      </c>
      <c r="E1384">
        <v>12.0419790104947</v>
      </c>
    </row>
    <row r="1385" spans="1:5">
      <c r="A1385" t="s">
        <v>1611</v>
      </c>
      <c r="B1385" t="s">
        <v>1617</v>
      </c>
      <c r="C1385">
        <v>4.7339858039400003E-2</v>
      </c>
      <c r="D1385">
        <v>0.98916601017899997</v>
      </c>
      <c r="E1385">
        <v>12.0419790104947</v>
      </c>
    </row>
    <row r="1386" spans="1:5">
      <c r="A1386" t="s">
        <v>1611</v>
      </c>
      <c r="B1386" t="s">
        <v>1618</v>
      </c>
      <c r="C1386">
        <f>0.0554364565187</f>
        <v>5.5436456518700002E-2</v>
      </c>
      <c r="D1386">
        <v>0.98916601017899997</v>
      </c>
      <c r="E1386">
        <v>12.0419790104947</v>
      </c>
    </row>
    <row r="1387" spans="1:5">
      <c r="A1387" t="s">
        <v>1611</v>
      </c>
      <c r="B1387" t="s">
        <v>1619</v>
      </c>
      <c r="C1387">
        <v>0</v>
      </c>
      <c r="D1387">
        <v>0.98916601017899997</v>
      </c>
      <c r="E1387">
        <v>12.0419790104947</v>
      </c>
    </row>
    <row r="1388" spans="1:5">
      <c r="A1388" t="s">
        <v>1611</v>
      </c>
      <c r="B1388" t="s">
        <v>1620</v>
      </c>
      <c r="C1388">
        <v>0</v>
      </c>
      <c r="D1388">
        <v>0.98916601017899997</v>
      </c>
      <c r="E1388">
        <v>12.0419790104947</v>
      </c>
    </row>
    <row r="1389" spans="1:5">
      <c r="A1389" t="s">
        <v>1611</v>
      </c>
      <c r="B1389" t="s">
        <v>1621</v>
      </c>
      <c r="C1389">
        <v>0</v>
      </c>
      <c r="D1389">
        <v>0.98916601017899997</v>
      </c>
      <c r="E1389">
        <v>12.0419790104947</v>
      </c>
    </row>
    <row r="1390" spans="1:5">
      <c r="A1390" t="s">
        <v>1622</v>
      </c>
      <c r="B1390" t="s">
        <v>1623</v>
      </c>
      <c r="C1390">
        <v>0</v>
      </c>
      <c r="D1390" t="s">
        <v>106</v>
      </c>
      <c r="E1390">
        <v>5.1214392803598203</v>
      </c>
    </row>
    <row r="1391" spans="1:5">
      <c r="A1391" t="s">
        <v>1622</v>
      </c>
      <c r="B1391" t="s">
        <v>1624</v>
      </c>
      <c r="C1391">
        <v>0.24197601869999999</v>
      </c>
      <c r="D1391" t="s">
        <v>106</v>
      </c>
      <c r="E1391">
        <v>5.1214392803598203</v>
      </c>
    </row>
    <row r="1392" spans="1:5">
      <c r="A1392" t="s">
        <v>1622</v>
      </c>
      <c r="B1392" t="s">
        <v>1625</v>
      </c>
      <c r="C1392">
        <f>0</f>
        <v>0</v>
      </c>
      <c r="D1392" t="s">
        <v>106</v>
      </c>
      <c r="E1392">
        <v>5.1214392803598203</v>
      </c>
    </row>
    <row r="1393" spans="1:5">
      <c r="A1393" t="s">
        <v>1622</v>
      </c>
      <c r="B1393" t="s">
        <v>1626</v>
      </c>
      <c r="C1393">
        <f>0</f>
        <v>0</v>
      </c>
      <c r="D1393" t="s">
        <v>106</v>
      </c>
      <c r="E1393">
        <v>5.1214392803598203</v>
      </c>
    </row>
    <row r="1394" spans="1:5">
      <c r="A1394" t="s">
        <v>1622</v>
      </c>
      <c r="B1394" t="s">
        <v>1627</v>
      </c>
      <c r="C1394">
        <v>0</v>
      </c>
      <c r="D1394" t="s">
        <v>106</v>
      </c>
      <c r="E1394">
        <v>5.1214392803598203</v>
      </c>
    </row>
    <row r="1395" spans="1:5">
      <c r="A1395" t="s">
        <v>1622</v>
      </c>
      <c r="B1395" t="s">
        <v>1628</v>
      </c>
      <c r="C1395">
        <f>0</f>
        <v>0</v>
      </c>
      <c r="D1395" t="s">
        <v>106</v>
      </c>
      <c r="E1395">
        <v>5.1214392803598203</v>
      </c>
    </row>
    <row r="1396" spans="1:5">
      <c r="A1396" t="s">
        <v>1622</v>
      </c>
      <c r="B1396" t="s">
        <v>1629</v>
      </c>
      <c r="C1396">
        <f>0</f>
        <v>0</v>
      </c>
      <c r="D1396" t="s">
        <v>106</v>
      </c>
      <c r="E1396">
        <v>5.1214392803598203</v>
      </c>
    </row>
    <row r="1397" spans="1:5">
      <c r="A1397" t="s">
        <v>1630</v>
      </c>
      <c r="B1397" t="s">
        <v>1631</v>
      </c>
      <c r="C1397">
        <v>0</v>
      </c>
      <c r="D1397" t="s">
        <v>106</v>
      </c>
      <c r="E1397">
        <v>18.554722638680602</v>
      </c>
    </row>
    <row r="1398" spans="1:5">
      <c r="A1398" t="s">
        <v>1630</v>
      </c>
      <c r="B1398" t="s">
        <v>1632</v>
      </c>
      <c r="C1398">
        <f>0</f>
        <v>0</v>
      </c>
      <c r="D1398" t="s">
        <v>106</v>
      </c>
      <c r="E1398">
        <v>18.554722638680602</v>
      </c>
    </row>
    <row r="1399" spans="1:5">
      <c r="A1399" t="s">
        <v>1630</v>
      </c>
      <c r="B1399" t="s">
        <v>1633</v>
      </c>
      <c r="C1399">
        <v>0</v>
      </c>
      <c r="D1399" t="s">
        <v>106</v>
      </c>
      <c r="E1399">
        <v>18.554722638680602</v>
      </c>
    </row>
    <row r="1400" spans="1:5">
      <c r="A1400" t="s">
        <v>1630</v>
      </c>
      <c r="B1400" t="s">
        <v>1634</v>
      </c>
      <c r="C1400">
        <f>0</f>
        <v>0</v>
      </c>
      <c r="D1400" t="s">
        <v>106</v>
      </c>
      <c r="E1400">
        <v>18.554722638680602</v>
      </c>
    </row>
    <row r="1401" spans="1:5">
      <c r="A1401" t="s">
        <v>1635</v>
      </c>
      <c r="B1401" t="s">
        <v>1636</v>
      </c>
      <c r="C1401">
        <v>0</v>
      </c>
      <c r="D1401">
        <v>0.98713095841300003</v>
      </c>
      <c r="E1401">
        <v>23.040479760119901</v>
      </c>
    </row>
    <row r="1402" spans="1:5">
      <c r="A1402" t="s">
        <v>1635</v>
      </c>
      <c r="B1402" t="s">
        <v>1637</v>
      </c>
      <c r="C1402">
        <v>0.18136214186800001</v>
      </c>
      <c r="D1402">
        <v>0.98713095841300003</v>
      </c>
      <c r="E1402">
        <v>23.040479760119901</v>
      </c>
    </row>
    <row r="1403" spans="1:5">
      <c r="A1403" t="s">
        <v>1635</v>
      </c>
      <c r="B1403" t="s">
        <v>1638</v>
      </c>
      <c r="C1403">
        <v>0</v>
      </c>
      <c r="D1403">
        <v>0.98713095841300003</v>
      </c>
      <c r="E1403">
        <v>23.040479760119901</v>
      </c>
    </row>
    <row r="1404" spans="1:5">
      <c r="A1404" t="s">
        <v>1639</v>
      </c>
      <c r="B1404" t="s">
        <v>1640</v>
      </c>
      <c r="C1404">
        <f>0.363401408765</f>
        <v>0.36340140876499999</v>
      </c>
      <c r="D1404">
        <v>0.99394780102400004</v>
      </c>
      <c r="E1404">
        <v>0.40779610194902499</v>
      </c>
    </row>
    <row r="1405" spans="1:5">
      <c r="A1405" t="s">
        <v>1639</v>
      </c>
      <c r="B1405" t="s">
        <v>1641</v>
      </c>
      <c r="C1405">
        <f>0</f>
        <v>0</v>
      </c>
      <c r="D1405">
        <v>0.99394780102400004</v>
      </c>
      <c r="E1405">
        <v>0.40779610194902499</v>
      </c>
    </row>
    <row r="1406" spans="1:5">
      <c r="A1406" t="s">
        <v>1639</v>
      </c>
      <c r="B1406" t="s">
        <v>1642</v>
      </c>
      <c r="C1406">
        <v>1.0469795777699999</v>
      </c>
      <c r="D1406">
        <v>0.99394780102400004</v>
      </c>
      <c r="E1406">
        <v>0.40779610194902499</v>
      </c>
    </row>
    <row r="1407" spans="1:5">
      <c r="A1407" t="s">
        <v>1643</v>
      </c>
      <c r="B1407" t="s">
        <v>1644</v>
      </c>
      <c r="C1407">
        <v>0.126230157284</v>
      </c>
      <c r="D1407">
        <v>0.79512983448999996</v>
      </c>
      <c r="E1407">
        <v>24</v>
      </c>
    </row>
    <row r="1408" spans="1:5">
      <c r="A1408" t="s">
        <v>1645</v>
      </c>
      <c r="B1408" t="s">
        <v>1646</v>
      </c>
      <c r="C1408">
        <v>7.6659040811900003E-2</v>
      </c>
      <c r="D1408">
        <v>0.82046422060799995</v>
      </c>
      <c r="E1408">
        <v>0.91154422788605605</v>
      </c>
    </row>
    <row r="1409" spans="1:5">
      <c r="A1409" t="s">
        <v>1645</v>
      </c>
      <c r="B1409" t="s">
        <v>1647</v>
      </c>
      <c r="C1409">
        <f>0</f>
        <v>0</v>
      </c>
      <c r="D1409">
        <v>0.82046422060799995</v>
      </c>
      <c r="E1409">
        <v>0.91154422788605605</v>
      </c>
    </row>
    <row r="1410" spans="1:5">
      <c r="A1410" t="s">
        <v>1645</v>
      </c>
      <c r="B1410" t="s">
        <v>1648</v>
      </c>
      <c r="C1410">
        <f>0</f>
        <v>0</v>
      </c>
      <c r="D1410">
        <v>0.82046422060799995</v>
      </c>
      <c r="E1410">
        <v>0.91154422788605605</v>
      </c>
    </row>
    <row r="1411" spans="1:5">
      <c r="A1411" t="s">
        <v>1645</v>
      </c>
      <c r="B1411" t="s">
        <v>1649</v>
      </c>
      <c r="C1411">
        <f>0</f>
        <v>0</v>
      </c>
      <c r="D1411">
        <v>0.82046422060799995</v>
      </c>
      <c r="E1411">
        <v>0.91154422788605605</v>
      </c>
    </row>
    <row r="1412" spans="1:5">
      <c r="A1412" t="s">
        <v>1645</v>
      </c>
      <c r="B1412" t="s">
        <v>1650</v>
      </c>
      <c r="C1412">
        <v>0</v>
      </c>
      <c r="D1412">
        <v>0.82046422060799995</v>
      </c>
      <c r="E1412">
        <v>0.91154422788605605</v>
      </c>
    </row>
    <row r="1413" spans="1:5">
      <c r="A1413" t="s">
        <v>1645</v>
      </c>
      <c r="B1413" t="s">
        <v>1651</v>
      </c>
      <c r="C1413">
        <v>1.1229773343900001E-2</v>
      </c>
      <c r="D1413">
        <v>0.82046422060799995</v>
      </c>
      <c r="E1413">
        <v>0.91154422788605605</v>
      </c>
    </row>
    <row r="1414" spans="1:5">
      <c r="A1414" t="s">
        <v>1645</v>
      </c>
      <c r="B1414" t="s">
        <v>1652</v>
      </c>
      <c r="C1414">
        <f>0</f>
        <v>0</v>
      </c>
      <c r="D1414">
        <v>0.82046422060799995</v>
      </c>
      <c r="E1414">
        <v>0.91154422788605605</v>
      </c>
    </row>
    <row r="1415" spans="1:5">
      <c r="A1415" t="s">
        <v>1645</v>
      </c>
      <c r="B1415" t="s">
        <v>1653</v>
      </c>
      <c r="C1415">
        <f>0</f>
        <v>0</v>
      </c>
      <c r="D1415">
        <v>0.82046422060799995</v>
      </c>
      <c r="E1415">
        <v>0.91154422788605605</v>
      </c>
    </row>
    <row r="1416" spans="1:5">
      <c r="A1416" t="s">
        <v>1654</v>
      </c>
      <c r="B1416" t="s">
        <v>1655</v>
      </c>
      <c r="C1416">
        <f>0</f>
        <v>0</v>
      </c>
      <c r="D1416">
        <v>0.86417665221999995</v>
      </c>
      <c r="E1416">
        <v>20.065967016491701</v>
      </c>
    </row>
    <row r="1417" spans="1:5">
      <c r="A1417" t="s">
        <v>1654</v>
      </c>
      <c r="B1417" t="s">
        <v>1656</v>
      </c>
      <c r="C1417">
        <f>0</f>
        <v>0</v>
      </c>
      <c r="D1417">
        <v>0.86417665221999995</v>
      </c>
      <c r="E1417">
        <v>20.065967016491701</v>
      </c>
    </row>
    <row r="1418" spans="1:5">
      <c r="A1418" t="s">
        <v>1654</v>
      </c>
      <c r="B1418" t="s">
        <v>1657</v>
      </c>
      <c r="C1418">
        <f>0.0791169028233</f>
        <v>7.91169028233E-2</v>
      </c>
      <c r="D1418">
        <v>0.86417665221999995</v>
      </c>
      <c r="E1418">
        <v>20.065967016491701</v>
      </c>
    </row>
    <row r="1419" spans="1:5">
      <c r="A1419" t="s">
        <v>1654</v>
      </c>
      <c r="B1419" t="s">
        <v>1658</v>
      </c>
      <c r="C1419">
        <f>0</f>
        <v>0</v>
      </c>
      <c r="D1419">
        <v>0.86417665221999995</v>
      </c>
      <c r="E1419">
        <v>20.065967016491701</v>
      </c>
    </row>
    <row r="1420" spans="1:5">
      <c r="A1420" t="s">
        <v>1654</v>
      </c>
      <c r="B1420" t="s">
        <v>1659</v>
      </c>
      <c r="C1420">
        <f>0</f>
        <v>0</v>
      </c>
      <c r="D1420">
        <v>0.86417665221999995</v>
      </c>
      <c r="E1420">
        <v>20.065967016491701</v>
      </c>
    </row>
    <row r="1421" spans="1:5">
      <c r="A1421" t="s">
        <v>1654</v>
      </c>
      <c r="B1421" t="s">
        <v>1660</v>
      </c>
      <c r="C1421">
        <f>0.0182620732241</f>
        <v>1.8262073224099999E-2</v>
      </c>
      <c r="D1421">
        <v>0.86417665221999995</v>
      </c>
      <c r="E1421">
        <v>20.065967016491701</v>
      </c>
    </row>
    <row r="1422" spans="1:5">
      <c r="A1422" t="s">
        <v>1661</v>
      </c>
      <c r="B1422" t="s">
        <v>1662</v>
      </c>
      <c r="C1422">
        <v>0.184710983582</v>
      </c>
      <c r="D1422">
        <v>0.85053423595099997</v>
      </c>
      <c r="E1422">
        <v>3.5862068965517202</v>
      </c>
    </row>
    <row r="1423" spans="1:5">
      <c r="A1423" t="s">
        <v>1661</v>
      </c>
      <c r="B1423" t="s">
        <v>1663</v>
      </c>
      <c r="C1423">
        <f>0</f>
        <v>0</v>
      </c>
      <c r="D1423">
        <v>0.85053423595099997</v>
      </c>
      <c r="E1423">
        <v>3.5862068965517202</v>
      </c>
    </row>
    <row r="1424" spans="1:5">
      <c r="A1424" t="s">
        <v>1661</v>
      </c>
      <c r="B1424" t="s">
        <v>1664</v>
      </c>
      <c r="C1424">
        <f>0</f>
        <v>0</v>
      </c>
      <c r="D1424">
        <v>0.85053423595099997</v>
      </c>
      <c r="E1424">
        <v>3.5862068965517202</v>
      </c>
    </row>
    <row r="1425" spans="1:5">
      <c r="A1425" t="s">
        <v>1661</v>
      </c>
      <c r="B1425" t="s">
        <v>1665</v>
      </c>
      <c r="C1425">
        <f>0</f>
        <v>0</v>
      </c>
      <c r="D1425">
        <v>0.85053423595099997</v>
      </c>
      <c r="E1425">
        <v>3.5862068965517202</v>
      </c>
    </row>
    <row r="1426" spans="1:5">
      <c r="A1426" t="s">
        <v>1661</v>
      </c>
      <c r="B1426" t="s">
        <v>1666</v>
      </c>
      <c r="C1426">
        <f>0</f>
        <v>0</v>
      </c>
      <c r="D1426">
        <v>0.85053423595099997</v>
      </c>
      <c r="E1426">
        <v>3.5862068965517202</v>
      </c>
    </row>
    <row r="1427" spans="1:5">
      <c r="A1427" t="s">
        <v>1661</v>
      </c>
      <c r="B1427" t="s">
        <v>1667</v>
      </c>
      <c r="C1427">
        <f>0.0991005111181</f>
        <v>9.9100511118100004E-2</v>
      </c>
      <c r="D1427">
        <v>0.85053423595099997</v>
      </c>
      <c r="E1427">
        <v>3.5862068965517202</v>
      </c>
    </row>
    <row r="1428" spans="1:5">
      <c r="A1428" t="s">
        <v>1668</v>
      </c>
      <c r="B1428" t="s">
        <v>1669</v>
      </c>
      <c r="C1428">
        <v>0.177822458854</v>
      </c>
      <c r="D1428">
        <v>0.99451577646699996</v>
      </c>
      <c r="E1428">
        <v>13.997001499250301</v>
      </c>
    </row>
    <row r="1429" spans="1:5">
      <c r="A1429" t="s">
        <v>1668</v>
      </c>
      <c r="B1429" t="s">
        <v>1670</v>
      </c>
      <c r="C1429">
        <v>0</v>
      </c>
      <c r="D1429">
        <v>0.99451577646699996</v>
      </c>
      <c r="E1429">
        <v>13.997001499250301</v>
      </c>
    </row>
    <row r="1430" spans="1:5">
      <c r="A1430" t="s">
        <v>1668</v>
      </c>
      <c r="B1430" t="s">
        <v>1671</v>
      </c>
      <c r="C1430">
        <f>0</f>
        <v>0</v>
      </c>
      <c r="D1430">
        <v>0.99451577646699996</v>
      </c>
      <c r="E1430">
        <v>13.997001499250301</v>
      </c>
    </row>
    <row r="1431" spans="1:5">
      <c r="A1431" t="s">
        <v>1668</v>
      </c>
      <c r="B1431" t="s">
        <v>1672</v>
      </c>
      <c r="C1431">
        <v>8.7762387903899994E-2</v>
      </c>
      <c r="D1431">
        <v>0.99451577646699996</v>
      </c>
      <c r="E1431">
        <v>13.997001499250301</v>
      </c>
    </row>
    <row r="1432" spans="1:5">
      <c r="A1432" t="s">
        <v>1668</v>
      </c>
      <c r="B1432" t="s">
        <v>1673</v>
      </c>
      <c r="C1432">
        <v>0</v>
      </c>
      <c r="D1432">
        <v>0.99451577646699996</v>
      </c>
      <c r="E1432">
        <v>13.997001499250301</v>
      </c>
    </row>
    <row r="1433" spans="1:5">
      <c r="A1433" t="s">
        <v>1668</v>
      </c>
      <c r="B1433" t="s">
        <v>1674</v>
      </c>
      <c r="C1433">
        <v>0</v>
      </c>
      <c r="D1433">
        <v>0.99451577646699996</v>
      </c>
      <c r="E1433">
        <v>13.997001499250301</v>
      </c>
    </row>
    <row r="1434" spans="1:5">
      <c r="A1434" t="s">
        <v>1675</v>
      </c>
      <c r="B1434" t="s">
        <v>1676</v>
      </c>
      <c r="C1434">
        <f>0.243359971745</f>
        <v>0.24335997174499999</v>
      </c>
      <c r="D1434">
        <v>0.88263231962300004</v>
      </c>
      <c r="E1434">
        <v>12.7376311844077</v>
      </c>
    </row>
    <row r="1435" spans="1:5">
      <c r="A1435" t="s">
        <v>1675</v>
      </c>
      <c r="B1435" t="s">
        <v>1677</v>
      </c>
      <c r="C1435">
        <f>0</f>
        <v>0</v>
      </c>
      <c r="D1435">
        <v>0.88263231962300004</v>
      </c>
      <c r="E1435">
        <v>12.7376311844077</v>
      </c>
    </row>
    <row r="1436" spans="1:5">
      <c r="A1436" t="s">
        <v>1678</v>
      </c>
      <c r="B1436" t="s">
        <v>1679</v>
      </c>
      <c r="C1436">
        <f>0</f>
        <v>0</v>
      </c>
      <c r="D1436">
        <v>0.98305984394000001</v>
      </c>
      <c r="E1436">
        <v>8.7196401799100407</v>
      </c>
    </row>
    <row r="1437" spans="1:5">
      <c r="A1437" t="s">
        <v>1678</v>
      </c>
      <c r="B1437" t="s">
        <v>1680</v>
      </c>
      <c r="C1437">
        <f>0</f>
        <v>0</v>
      </c>
      <c r="D1437">
        <v>0.98305984394000001</v>
      </c>
      <c r="E1437">
        <v>8.7196401799100407</v>
      </c>
    </row>
    <row r="1438" spans="1:5">
      <c r="A1438" t="s">
        <v>1678</v>
      </c>
      <c r="B1438" t="s">
        <v>1681</v>
      </c>
      <c r="C1438">
        <f>0</f>
        <v>0</v>
      </c>
      <c r="D1438">
        <v>0.98305984394000001</v>
      </c>
      <c r="E1438">
        <v>8.7196401799100407</v>
      </c>
    </row>
    <row r="1439" spans="1:5">
      <c r="A1439" t="s">
        <v>1678</v>
      </c>
      <c r="B1439" t="s">
        <v>1682</v>
      </c>
      <c r="C1439">
        <f>0</f>
        <v>0</v>
      </c>
      <c r="D1439">
        <v>0.98305984394000001</v>
      </c>
      <c r="E1439">
        <v>8.7196401799100407</v>
      </c>
    </row>
    <row r="1440" spans="1:5">
      <c r="A1440" t="s">
        <v>1678</v>
      </c>
      <c r="B1440" t="s">
        <v>1683</v>
      </c>
      <c r="C1440">
        <f>0.105632615093</f>
        <v>0.105632615093</v>
      </c>
      <c r="D1440">
        <v>0.98305984394000001</v>
      </c>
      <c r="E1440">
        <v>8.7196401799100407</v>
      </c>
    </row>
    <row r="1441" spans="1:5">
      <c r="A1441" t="s">
        <v>1678</v>
      </c>
      <c r="B1441" t="s">
        <v>1684</v>
      </c>
      <c r="C1441">
        <f>0</f>
        <v>0</v>
      </c>
      <c r="D1441">
        <v>0.98305984394000001</v>
      </c>
      <c r="E1441">
        <v>8.7196401799100407</v>
      </c>
    </row>
    <row r="1442" spans="1:5">
      <c r="A1442" t="s">
        <v>1678</v>
      </c>
      <c r="B1442" t="s">
        <v>1685</v>
      </c>
      <c r="C1442">
        <v>0.52687859949299998</v>
      </c>
      <c r="D1442">
        <v>0.98305984394000001</v>
      </c>
      <c r="E1442">
        <v>8.7196401799100407</v>
      </c>
    </row>
    <row r="1443" spans="1:5">
      <c r="A1443" t="s">
        <v>1686</v>
      </c>
      <c r="B1443" t="s">
        <v>1687</v>
      </c>
      <c r="C1443">
        <v>0.47451085832500001</v>
      </c>
      <c r="D1443">
        <v>0.99142629292200002</v>
      </c>
      <c r="E1443">
        <v>5.4692653673163401</v>
      </c>
    </row>
    <row r="1444" spans="1:5">
      <c r="A1444" t="s">
        <v>1686</v>
      </c>
      <c r="B1444" t="s">
        <v>1688</v>
      </c>
      <c r="C1444">
        <f>0</f>
        <v>0</v>
      </c>
      <c r="D1444">
        <v>0.99142629292200002</v>
      </c>
      <c r="E1444">
        <v>5.4692653673163401</v>
      </c>
    </row>
    <row r="1445" spans="1:5">
      <c r="A1445" t="s">
        <v>1686</v>
      </c>
      <c r="B1445" t="s">
        <v>1689</v>
      </c>
      <c r="C1445">
        <v>0</v>
      </c>
      <c r="D1445">
        <v>0.99142629292200002</v>
      </c>
      <c r="E1445">
        <v>5.4692653673163401</v>
      </c>
    </row>
    <row r="1446" spans="1:5">
      <c r="A1446" t="s">
        <v>1686</v>
      </c>
      <c r="B1446" t="s">
        <v>1690</v>
      </c>
      <c r="C1446">
        <f>0</f>
        <v>0</v>
      </c>
      <c r="D1446">
        <v>0.99142629292200002</v>
      </c>
      <c r="E1446">
        <v>5.4692653673163401</v>
      </c>
    </row>
    <row r="1447" spans="1:5">
      <c r="A1447" t="s">
        <v>1686</v>
      </c>
      <c r="B1447" t="s">
        <v>1691</v>
      </c>
      <c r="C1447">
        <f>0</f>
        <v>0</v>
      </c>
      <c r="D1447">
        <v>0.99142629292200002</v>
      </c>
      <c r="E1447">
        <v>5.4692653673163401</v>
      </c>
    </row>
    <row r="1448" spans="1:5">
      <c r="A1448" t="s">
        <v>1686</v>
      </c>
      <c r="B1448" t="s">
        <v>1692</v>
      </c>
      <c r="C1448">
        <f>0</f>
        <v>0</v>
      </c>
      <c r="D1448">
        <v>0.99142629292200002</v>
      </c>
      <c r="E1448">
        <v>5.4692653673163401</v>
      </c>
    </row>
    <row r="1449" spans="1:5">
      <c r="A1449" t="s">
        <v>1693</v>
      </c>
      <c r="B1449" t="s">
        <v>1694</v>
      </c>
      <c r="C1449">
        <v>0</v>
      </c>
      <c r="D1449">
        <v>0.97846819032300003</v>
      </c>
      <c r="E1449">
        <v>0.215892053973013</v>
      </c>
    </row>
    <row r="1450" spans="1:5">
      <c r="A1450" t="s">
        <v>1693</v>
      </c>
      <c r="B1450" t="s">
        <v>1695</v>
      </c>
      <c r="C1450">
        <v>7.2728361906899998E-3</v>
      </c>
      <c r="D1450">
        <v>0.97846819032300003</v>
      </c>
      <c r="E1450">
        <v>0.215892053973013</v>
      </c>
    </row>
    <row r="1451" spans="1:5">
      <c r="A1451" t="s">
        <v>1693</v>
      </c>
      <c r="B1451" t="s">
        <v>1696</v>
      </c>
      <c r="C1451">
        <v>0</v>
      </c>
      <c r="D1451">
        <v>0.97846819032300003</v>
      </c>
      <c r="E1451">
        <v>0.215892053973013</v>
      </c>
    </row>
    <row r="1452" spans="1:5">
      <c r="A1452" t="s">
        <v>1693</v>
      </c>
      <c r="B1452" t="s">
        <v>1697</v>
      </c>
      <c r="C1452">
        <v>0.76477055759599999</v>
      </c>
      <c r="D1452">
        <v>0.97846819032300003</v>
      </c>
      <c r="E1452">
        <v>0.215892053973013</v>
      </c>
    </row>
    <row r="1453" spans="1:5">
      <c r="A1453" t="s">
        <v>1693</v>
      </c>
      <c r="B1453" t="s">
        <v>1698</v>
      </c>
      <c r="C1453">
        <v>0</v>
      </c>
      <c r="D1453">
        <v>0.97846819032300003</v>
      </c>
      <c r="E1453">
        <v>0.215892053973013</v>
      </c>
    </row>
    <row r="1454" spans="1:5">
      <c r="A1454" t="s">
        <v>1699</v>
      </c>
      <c r="B1454" t="s">
        <v>1700</v>
      </c>
      <c r="C1454">
        <v>0.37710587034699999</v>
      </c>
      <c r="D1454">
        <v>0.98807597040499995</v>
      </c>
      <c r="E1454">
        <v>13.445277361319301</v>
      </c>
    </row>
    <row r="1455" spans="1:5">
      <c r="A1455" t="s">
        <v>1699</v>
      </c>
      <c r="B1455" t="s">
        <v>1701</v>
      </c>
      <c r="C1455">
        <f>0</f>
        <v>0</v>
      </c>
      <c r="D1455">
        <v>0.98807597040499995</v>
      </c>
      <c r="E1455">
        <v>13.445277361319301</v>
      </c>
    </row>
    <row r="1456" spans="1:5">
      <c r="A1456" t="s">
        <v>1699</v>
      </c>
      <c r="B1456" t="s">
        <v>1702</v>
      </c>
      <c r="C1456">
        <f>0</f>
        <v>0</v>
      </c>
      <c r="D1456">
        <v>0.98807597040499995</v>
      </c>
      <c r="E1456">
        <v>13.445277361319301</v>
      </c>
    </row>
    <row r="1457" spans="1:5">
      <c r="A1457" t="s">
        <v>1699</v>
      </c>
      <c r="B1457" t="s">
        <v>1703</v>
      </c>
      <c r="C1457">
        <v>0</v>
      </c>
      <c r="D1457">
        <v>0.98807597040499995</v>
      </c>
      <c r="E1457">
        <v>13.445277361319301</v>
      </c>
    </row>
    <row r="1458" spans="1:5">
      <c r="A1458" t="s">
        <v>1699</v>
      </c>
      <c r="B1458" t="s">
        <v>1704</v>
      </c>
      <c r="C1458">
        <v>0</v>
      </c>
      <c r="D1458">
        <v>0.98807597040499995</v>
      </c>
      <c r="E1458">
        <v>13.445277361319301</v>
      </c>
    </row>
    <row r="1459" spans="1:5">
      <c r="A1459" t="s">
        <v>1699</v>
      </c>
      <c r="B1459" t="s">
        <v>1705</v>
      </c>
      <c r="C1459">
        <v>0</v>
      </c>
      <c r="D1459">
        <v>0.98807597040499995</v>
      </c>
      <c r="E1459">
        <v>13.445277361319301</v>
      </c>
    </row>
    <row r="1460" spans="1:5">
      <c r="A1460" t="s">
        <v>1706</v>
      </c>
      <c r="B1460" t="s">
        <v>1707</v>
      </c>
      <c r="C1460">
        <f>0.76244125226</f>
        <v>0.76244125226000004</v>
      </c>
      <c r="D1460">
        <v>0.96132556616499998</v>
      </c>
      <c r="E1460">
        <v>2.39880059970015</v>
      </c>
    </row>
    <row r="1461" spans="1:5">
      <c r="A1461" t="s">
        <v>1706</v>
      </c>
      <c r="B1461" t="s">
        <v>1708</v>
      </c>
      <c r="C1461">
        <v>0</v>
      </c>
      <c r="D1461">
        <v>0.96132556616499998</v>
      </c>
      <c r="E1461">
        <v>2.39880059970015</v>
      </c>
    </row>
    <row r="1462" spans="1:5">
      <c r="A1462" t="s">
        <v>1706</v>
      </c>
      <c r="B1462" t="s">
        <v>1709</v>
      </c>
      <c r="C1462">
        <f>0.374866403549</f>
        <v>0.37486640354900003</v>
      </c>
      <c r="D1462">
        <v>0.96132556616499998</v>
      </c>
      <c r="E1462">
        <v>2.39880059970015</v>
      </c>
    </row>
    <row r="1463" spans="1:5">
      <c r="A1463" t="s">
        <v>1706</v>
      </c>
      <c r="B1463" t="s">
        <v>1710</v>
      </c>
      <c r="C1463">
        <v>0</v>
      </c>
      <c r="D1463">
        <v>0.96132556616499998</v>
      </c>
      <c r="E1463">
        <v>2.39880059970015</v>
      </c>
    </row>
    <row r="1464" spans="1:5">
      <c r="A1464" t="s">
        <v>1711</v>
      </c>
      <c r="B1464" t="s">
        <v>1712</v>
      </c>
      <c r="C1464">
        <f>0</f>
        <v>0</v>
      </c>
      <c r="D1464" t="s">
        <v>106</v>
      </c>
      <c r="E1464">
        <v>12.7376311844077</v>
      </c>
    </row>
    <row r="1465" spans="1:5">
      <c r="A1465" t="s">
        <v>1711</v>
      </c>
      <c r="B1465" t="s">
        <v>1713</v>
      </c>
      <c r="C1465">
        <v>0</v>
      </c>
      <c r="D1465" t="s">
        <v>106</v>
      </c>
      <c r="E1465">
        <v>12.7376311844077</v>
      </c>
    </row>
    <row r="1466" spans="1:5">
      <c r="A1466" t="s">
        <v>1711</v>
      </c>
      <c r="B1466" t="s">
        <v>1714</v>
      </c>
      <c r="C1466">
        <v>0</v>
      </c>
      <c r="D1466" t="s">
        <v>106</v>
      </c>
      <c r="E1466">
        <v>12.7376311844077</v>
      </c>
    </row>
    <row r="1467" spans="1:5">
      <c r="A1467" t="s">
        <v>1711</v>
      </c>
      <c r="B1467" t="s">
        <v>1715</v>
      </c>
      <c r="C1467">
        <v>0</v>
      </c>
      <c r="D1467" t="s">
        <v>106</v>
      </c>
      <c r="E1467">
        <v>12.7376311844077</v>
      </c>
    </row>
    <row r="1468" spans="1:5">
      <c r="A1468" t="s">
        <v>1711</v>
      </c>
      <c r="B1468" t="s">
        <v>1716</v>
      </c>
      <c r="C1468">
        <v>0</v>
      </c>
      <c r="D1468" t="s">
        <v>106</v>
      </c>
      <c r="E1468">
        <v>12.7376311844077</v>
      </c>
    </row>
    <row r="1469" spans="1:5">
      <c r="A1469" t="s">
        <v>1711</v>
      </c>
      <c r="B1469" t="s">
        <v>1717</v>
      </c>
      <c r="C1469">
        <v>0</v>
      </c>
      <c r="D1469" t="s">
        <v>106</v>
      </c>
      <c r="E1469">
        <v>12.7376311844077</v>
      </c>
    </row>
    <row r="1470" spans="1:5">
      <c r="A1470" t="s">
        <v>1718</v>
      </c>
      <c r="B1470" t="s">
        <v>1719</v>
      </c>
      <c r="C1470">
        <v>0</v>
      </c>
      <c r="D1470">
        <v>0.93852644205199998</v>
      </c>
      <c r="E1470">
        <v>13.625187406296799</v>
      </c>
    </row>
    <row r="1471" spans="1:5">
      <c r="A1471" t="s">
        <v>1718</v>
      </c>
      <c r="B1471" t="s">
        <v>1720</v>
      </c>
      <c r="C1471">
        <f>0</f>
        <v>0</v>
      </c>
      <c r="D1471">
        <v>0.93852644205199998</v>
      </c>
      <c r="E1471">
        <v>13.625187406296799</v>
      </c>
    </row>
    <row r="1472" spans="1:5">
      <c r="A1472" t="s">
        <v>1718</v>
      </c>
      <c r="B1472" t="s">
        <v>1721</v>
      </c>
      <c r="C1472">
        <v>0</v>
      </c>
      <c r="D1472">
        <v>0.93852644205199998</v>
      </c>
      <c r="E1472">
        <v>13.625187406296799</v>
      </c>
    </row>
    <row r="1473" spans="1:5">
      <c r="A1473" t="s">
        <v>1718</v>
      </c>
      <c r="B1473" t="s">
        <v>1722</v>
      </c>
      <c r="C1473">
        <v>5.3708078173099999E-2</v>
      </c>
      <c r="D1473">
        <v>0.93852644205199998</v>
      </c>
      <c r="E1473">
        <v>13.625187406296799</v>
      </c>
    </row>
    <row r="1474" spans="1:5">
      <c r="A1474" t="s">
        <v>1718</v>
      </c>
      <c r="B1474" t="s">
        <v>1723</v>
      </c>
      <c r="C1474">
        <v>0</v>
      </c>
      <c r="D1474">
        <v>0.93852644205199998</v>
      </c>
      <c r="E1474">
        <v>13.625187406296799</v>
      </c>
    </row>
    <row r="1475" spans="1:5">
      <c r="A1475" t="s">
        <v>1718</v>
      </c>
      <c r="B1475" t="s">
        <v>1724</v>
      </c>
      <c r="C1475">
        <v>0</v>
      </c>
      <c r="D1475">
        <v>0.93852644205199998</v>
      </c>
      <c r="E1475">
        <v>13.625187406296799</v>
      </c>
    </row>
    <row r="1476" spans="1:5">
      <c r="A1476" t="s">
        <v>1718</v>
      </c>
      <c r="B1476" t="s">
        <v>1725</v>
      </c>
      <c r="C1476">
        <v>0</v>
      </c>
      <c r="D1476">
        <v>0.93852644205199998</v>
      </c>
      <c r="E1476">
        <v>13.625187406296799</v>
      </c>
    </row>
    <row r="1477" spans="1:5">
      <c r="A1477" t="s">
        <v>1718</v>
      </c>
      <c r="B1477" t="s">
        <v>1726</v>
      </c>
      <c r="C1477">
        <f>0</f>
        <v>0</v>
      </c>
      <c r="D1477">
        <v>0.93852644205199998</v>
      </c>
      <c r="E1477">
        <v>13.625187406296799</v>
      </c>
    </row>
    <row r="1478" spans="1:5">
      <c r="A1478" t="s">
        <v>1718</v>
      </c>
      <c r="B1478" t="s">
        <v>1727</v>
      </c>
      <c r="C1478">
        <v>0</v>
      </c>
      <c r="D1478">
        <v>0.93852644205199998</v>
      </c>
      <c r="E1478">
        <v>13.625187406296799</v>
      </c>
    </row>
    <row r="1479" spans="1:5">
      <c r="A1479" t="s">
        <v>1728</v>
      </c>
      <c r="B1479" t="s">
        <v>1729</v>
      </c>
      <c r="C1479">
        <v>0</v>
      </c>
      <c r="D1479" t="s">
        <v>106</v>
      </c>
      <c r="E1479">
        <v>1.6311844077961</v>
      </c>
    </row>
    <row r="1480" spans="1:5">
      <c r="A1480" t="s">
        <v>1728</v>
      </c>
      <c r="B1480" t="s">
        <v>1730</v>
      </c>
      <c r="C1480">
        <v>0</v>
      </c>
      <c r="D1480" t="s">
        <v>106</v>
      </c>
      <c r="E1480">
        <v>1.6311844077961</v>
      </c>
    </row>
    <row r="1481" spans="1:5">
      <c r="A1481" t="s">
        <v>1728</v>
      </c>
      <c r="B1481" t="s">
        <v>1731</v>
      </c>
      <c r="C1481">
        <v>0</v>
      </c>
      <c r="D1481" t="s">
        <v>106</v>
      </c>
      <c r="E1481">
        <v>1.6311844077961</v>
      </c>
    </row>
    <row r="1482" spans="1:5">
      <c r="A1482" t="s">
        <v>1728</v>
      </c>
      <c r="B1482" t="s">
        <v>1732</v>
      </c>
      <c r="C1482">
        <f>0</f>
        <v>0</v>
      </c>
      <c r="D1482" t="s">
        <v>106</v>
      </c>
      <c r="E1482">
        <v>1.6311844077961</v>
      </c>
    </row>
    <row r="1483" spans="1:5">
      <c r="A1483" t="s">
        <v>1728</v>
      </c>
      <c r="B1483" t="s">
        <v>1733</v>
      </c>
      <c r="C1483">
        <v>0</v>
      </c>
      <c r="D1483" t="s">
        <v>106</v>
      </c>
      <c r="E1483">
        <v>1.6311844077961</v>
      </c>
    </row>
    <row r="1484" spans="1:5">
      <c r="A1484" t="s">
        <v>1728</v>
      </c>
      <c r="B1484" t="s">
        <v>1734</v>
      </c>
      <c r="C1484">
        <v>0</v>
      </c>
      <c r="D1484" t="s">
        <v>106</v>
      </c>
      <c r="E1484">
        <v>1.6311844077961</v>
      </c>
    </row>
    <row r="1485" spans="1:5">
      <c r="A1485" t="s">
        <v>1735</v>
      </c>
      <c r="B1485" t="s">
        <v>1736</v>
      </c>
      <c r="C1485">
        <v>0</v>
      </c>
      <c r="D1485" t="s">
        <v>106</v>
      </c>
      <c r="E1485">
        <v>9.1634182908545707</v>
      </c>
    </row>
    <row r="1486" spans="1:5">
      <c r="A1486" t="s">
        <v>1735</v>
      </c>
      <c r="B1486" t="s">
        <v>1737</v>
      </c>
      <c r="C1486">
        <f>0</f>
        <v>0</v>
      </c>
      <c r="D1486" t="s">
        <v>106</v>
      </c>
      <c r="E1486">
        <v>9.1634182908545707</v>
      </c>
    </row>
    <row r="1487" spans="1:5">
      <c r="A1487" t="s">
        <v>1735</v>
      </c>
      <c r="B1487" t="s">
        <v>1738</v>
      </c>
      <c r="C1487">
        <v>0</v>
      </c>
      <c r="D1487" t="s">
        <v>106</v>
      </c>
      <c r="E1487">
        <v>9.1634182908545707</v>
      </c>
    </row>
    <row r="1488" spans="1:5">
      <c r="A1488" t="s">
        <v>1739</v>
      </c>
      <c r="B1488" t="s">
        <v>1740</v>
      </c>
      <c r="C1488">
        <f>0</f>
        <v>0</v>
      </c>
      <c r="D1488">
        <v>0.89424695656300002</v>
      </c>
      <c r="E1488">
        <v>1.2713643178410701</v>
      </c>
    </row>
    <row r="1489" spans="1:5">
      <c r="A1489" t="s">
        <v>1739</v>
      </c>
      <c r="B1489" t="s">
        <v>1741</v>
      </c>
      <c r="C1489">
        <f>0.0486898575031</f>
        <v>4.8689857503100002E-2</v>
      </c>
      <c r="D1489">
        <v>0.89424695656300002</v>
      </c>
      <c r="E1489">
        <v>1.2713643178410701</v>
      </c>
    </row>
    <row r="1490" spans="1:5">
      <c r="A1490" t="s">
        <v>1739</v>
      </c>
      <c r="B1490" t="s">
        <v>1742</v>
      </c>
      <c r="C1490">
        <f>0.0250064961258</f>
        <v>2.5006496125799998E-2</v>
      </c>
      <c r="D1490">
        <v>0.89424695656300002</v>
      </c>
      <c r="E1490">
        <v>1.2713643178410701</v>
      </c>
    </row>
    <row r="1491" spans="1:5">
      <c r="A1491" t="s">
        <v>1739</v>
      </c>
      <c r="B1491" t="s">
        <v>1743</v>
      </c>
      <c r="C1491">
        <v>0</v>
      </c>
      <c r="D1491">
        <v>0.89424695656300002</v>
      </c>
      <c r="E1491">
        <v>1.2713643178410701</v>
      </c>
    </row>
    <row r="1492" spans="1:5">
      <c r="A1492" t="s">
        <v>1739</v>
      </c>
      <c r="B1492" t="s">
        <v>1744</v>
      </c>
      <c r="C1492">
        <v>0</v>
      </c>
      <c r="D1492">
        <v>0.89424695656300002</v>
      </c>
      <c r="E1492">
        <v>1.2713643178410701</v>
      </c>
    </row>
    <row r="1493" spans="1:5">
      <c r="A1493" t="s">
        <v>1739</v>
      </c>
      <c r="B1493" t="s">
        <v>1745</v>
      </c>
      <c r="C1493">
        <f>0</f>
        <v>0</v>
      </c>
      <c r="D1493">
        <v>0.89424695656300002</v>
      </c>
      <c r="E1493">
        <v>1.2713643178410701</v>
      </c>
    </row>
    <row r="1494" spans="1:5">
      <c r="A1494" t="s">
        <v>1739</v>
      </c>
      <c r="B1494" t="s">
        <v>1746</v>
      </c>
      <c r="C1494">
        <f>0</f>
        <v>0</v>
      </c>
      <c r="D1494">
        <v>0.89424695656300002</v>
      </c>
      <c r="E1494">
        <v>1.2713643178410701</v>
      </c>
    </row>
    <row r="1495" spans="1:5">
      <c r="A1495" t="s">
        <v>1739</v>
      </c>
      <c r="B1495" t="s">
        <v>1747</v>
      </c>
      <c r="C1495">
        <f>0</f>
        <v>0</v>
      </c>
      <c r="D1495">
        <v>0.89424695656300002</v>
      </c>
      <c r="E1495">
        <v>1.2713643178410701</v>
      </c>
    </row>
    <row r="1496" spans="1:5">
      <c r="A1496" t="s">
        <v>1748</v>
      </c>
      <c r="B1496" t="s">
        <v>1749</v>
      </c>
      <c r="C1496">
        <f>0</f>
        <v>0</v>
      </c>
      <c r="D1496">
        <v>0.78079381941699999</v>
      </c>
      <c r="E1496">
        <v>20.509745127436201</v>
      </c>
    </row>
    <row r="1497" spans="1:5">
      <c r="A1497" t="s">
        <v>1748</v>
      </c>
      <c r="B1497" t="s">
        <v>1750</v>
      </c>
      <c r="C1497">
        <v>0</v>
      </c>
      <c r="D1497">
        <v>0.78079381941699999</v>
      </c>
      <c r="E1497">
        <v>20.509745127436201</v>
      </c>
    </row>
    <row r="1498" spans="1:5">
      <c r="A1498" t="s">
        <v>1751</v>
      </c>
      <c r="B1498" t="s">
        <v>1752</v>
      </c>
      <c r="C1498">
        <v>0.27572818169199997</v>
      </c>
      <c r="D1498">
        <v>0.96738396073900002</v>
      </c>
      <c r="E1498">
        <v>10.5547226386806</v>
      </c>
    </row>
    <row r="1499" spans="1:5">
      <c r="A1499" t="s">
        <v>1751</v>
      </c>
      <c r="B1499" t="s">
        <v>1753</v>
      </c>
      <c r="C1499">
        <v>0</v>
      </c>
      <c r="D1499">
        <v>0.96738396073900002</v>
      </c>
      <c r="E1499">
        <v>10.5547226386806</v>
      </c>
    </row>
    <row r="1500" spans="1:5">
      <c r="A1500" t="s">
        <v>1751</v>
      </c>
      <c r="B1500" t="s">
        <v>1754</v>
      </c>
      <c r="C1500">
        <f>0</f>
        <v>0</v>
      </c>
      <c r="D1500">
        <v>0.96738396073900002</v>
      </c>
      <c r="E1500">
        <v>10.5547226386806</v>
      </c>
    </row>
    <row r="1501" spans="1:5">
      <c r="A1501" t="s">
        <v>1751</v>
      </c>
      <c r="B1501" t="s">
        <v>1755</v>
      </c>
      <c r="C1501">
        <f>0</f>
        <v>0</v>
      </c>
      <c r="D1501">
        <v>0.96738396073900002</v>
      </c>
      <c r="E1501">
        <v>10.5547226386806</v>
      </c>
    </row>
    <row r="1502" spans="1:5">
      <c r="A1502" t="s">
        <v>1751</v>
      </c>
      <c r="B1502" t="s">
        <v>1756</v>
      </c>
      <c r="C1502">
        <v>0</v>
      </c>
      <c r="D1502">
        <v>0.96738396073900002</v>
      </c>
      <c r="E1502">
        <v>10.5547226386806</v>
      </c>
    </row>
    <row r="1503" spans="1:5">
      <c r="A1503" t="s">
        <v>1751</v>
      </c>
      <c r="B1503" t="s">
        <v>1757</v>
      </c>
      <c r="C1503">
        <v>0</v>
      </c>
      <c r="D1503">
        <v>0.96738396073900002</v>
      </c>
      <c r="E1503">
        <v>10.5547226386806</v>
      </c>
    </row>
    <row r="1504" spans="1:5">
      <c r="A1504" t="s">
        <v>1751</v>
      </c>
      <c r="B1504" t="s">
        <v>1758</v>
      </c>
      <c r="C1504">
        <v>0</v>
      </c>
      <c r="D1504">
        <v>0.96738396073900002</v>
      </c>
      <c r="E1504">
        <v>10.5547226386806</v>
      </c>
    </row>
    <row r="1505" spans="1:5">
      <c r="A1505" t="s">
        <v>1759</v>
      </c>
      <c r="B1505" t="s">
        <v>1760</v>
      </c>
      <c r="C1505">
        <v>0</v>
      </c>
      <c r="D1505">
        <v>0.95871480845000001</v>
      </c>
      <c r="E1505">
        <v>21.637181409295302</v>
      </c>
    </row>
    <row r="1506" spans="1:5">
      <c r="A1506" t="s">
        <v>1759</v>
      </c>
      <c r="B1506" t="s">
        <v>1761</v>
      </c>
      <c r="C1506">
        <f>0</f>
        <v>0</v>
      </c>
      <c r="D1506">
        <v>0.95871480845000001</v>
      </c>
      <c r="E1506">
        <v>21.637181409295302</v>
      </c>
    </row>
    <row r="1507" spans="1:5">
      <c r="A1507" t="s">
        <v>1759</v>
      </c>
      <c r="B1507" t="s">
        <v>1762</v>
      </c>
      <c r="C1507">
        <v>0</v>
      </c>
      <c r="D1507">
        <v>0.95871480845000001</v>
      </c>
      <c r="E1507">
        <v>21.637181409295302</v>
      </c>
    </row>
    <row r="1508" spans="1:5">
      <c r="A1508" t="s">
        <v>1759</v>
      </c>
      <c r="B1508" t="s">
        <v>1763</v>
      </c>
      <c r="C1508">
        <v>0</v>
      </c>
      <c r="D1508">
        <v>0.95871480845000001</v>
      </c>
      <c r="E1508">
        <v>21.637181409295302</v>
      </c>
    </row>
    <row r="1509" spans="1:5">
      <c r="A1509" t="s">
        <v>1759</v>
      </c>
      <c r="B1509" t="s">
        <v>1764</v>
      </c>
      <c r="C1509">
        <f>0</f>
        <v>0</v>
      </c>
      <c r="D1509">
        <v>0.95871480845000001</v>
      </c>
      <c r="E1509">
        <v>21.637181409295302</v>
      </c>
    </row>
    <row r="1510" spans="1:5">
      <c r="A1510" t="s">
        <v>1759</v>
      </c>
      <c r="B1510" t="s">
        <v>1765</v>
      </c>
      <c r="C1510">
        <v>0</v>
      </c>
      <c r="D1510">
        <v>0.95871480845000001</v>
      </c>
      <c r="E1510">
        <v>21.637181409295302</v>
      </c>
    </row>
    <row r="1511" spans="1:5">
      <c r="A1511" t="s">
        <v>1759</v>
      </c>
      <c r="B1511" t="s">
        <v>1766</v>
      </c>
      <c r="C1511">
        <v>0</v>
      </c>
      <c r="D1511">
        <v>0.95871480845000001</v>
      </c>
      <c r="E1511">
        <v>21.637181409295302</v>
      </c>
    </row>
    <row r="1512" spans="1:5">
      <c r="A1512" t="s">
        <v>1759</v>
      </c>
      <c r="B1512" t="s">
        <v>1767</v>
      </c>
      <c r="C1512">
        <f>0</f>
        <v>0</v>
      </c>
      <c r="D1512">
        <v>0.95871480845000001</v>
      </c>
      <c r="E1512">
        <v>21.637181409295302</v>
      </c>
    </row>
    <row r="1513" spans="1:5">
      <c r="A1513" t="s">
        <v>1759</v>
      </c>
      <c r="B1513" t="s">
        <v>1768</v>
      </c>
      <c r="C1513">
        <v>0</v>
      </c>
      <c r="D1513">
        <v>0.95871480845000001</v>
      </c>
      <c r="E1513">
        <v>21.637181409295302</v>
      </c>
    </row>
    <row r="1514" spans="1:5">
      <c r="A1514" t="s">
        <v>1759</v>
      </c>
      <c r="B1514" t="s">
        <v>1769</v>
      </c>
      <c r="C1514">
        <v>2.96796774081E-2</v>
      </c>
      <c r="D1514">
        <v>0.95871480845000001</v>
      </c>
      <c r="E1514">
        <v>21.637181409295302</v>
      </c>
    </row>
    <row r="1515" spans="1:5">
      <c r="A1515" t="s">
        <v>1759</v>
      </c>
      <c r="B1515" t="s">
        <v>1770</v>
      </c>
      <c r="C1515">
        <v>1.6450628050399999E-2</v>
      </c>
      <c r="D1515">
        <v>0.95871480845000001</v>
      </c>
      <c r="E1515">
        <v>21.637181409295302</v>
      </c>
    </row>
    <row r="1516" spans="1:5">
      <c r="A1516" t="s">
        <v>1759</v>
      </c>
      <c r="B1516" t="s">
        <v>1771</v>
      </c>
      <c r="C1516">
        <f>0</f>
        <v>0</v>
      </c>
      <c r="D1516">
        <v>0.95871480845000001</v>
      </c>
      <c r="E1516">
        <v>21.637181409295302</v>
      </c>
    </row>
    <row r="1517" spans="1:5">
      <c r="A1517" t="s">
        <v>1759</v>
      </c>
      <c r="B1517" t="s">
        <v>1772</v>
      </c>
      <c r="C1517">
        <v>0</v>
      </c>
      <c r="D1517">
        <v>0.95871480845000001</v>
      </c>
      <c r="E1517">
        <v>21.637181409295302</v>
      </c>
    </row>
    <row r="1518" spans="1:5">
      <c r="A1518" t="s">
        <v>1773</v>
      </c>
      <c r="B1518" t="s">
        <v>1774</v>
      </c>
      <c r="C1518">
        <f>0</f>
        <v>0</v>
      </c>
      <c r="D1518">
        <v>0.88632859126800001</v>
      </c>
      <c r="E1518">
        <v>24</v>
      </c>
    </row>
    <row r="1519" spans="1:5">
      <c r="A1519" t="s">
        <v>1773</v>
      </c>
      <c r="B1519" t="s">
        <v>1775</v>
      </c>
      <c r="C1519">
        <f>0</f>
        <v>0</v>
      </c>
      <c r="D1519">
        <v>0.88632859126800001</v>
      </c>
      <c r="E1519">
        <v>24</v>
      </c>
    </row>
    <row r="1520" spans="1:5">
      <c r="A1520" t="s">
        <v>1773</v>
      </c>
      <c r="B1520" t="s">
        <v>1776</v>
      </c>
      <c r="C1520">
        <f>0</f>
        <v>0</v>
      </c>
      <c r="D1520">
        <v>0.88632859126800001</v>
      </c>
      <c r="E1520">
        <v>24</v>
      </c>
    </row>
    <row r="1521" spans="1:5">
      <c r="A1521" t="s">
        <v>1773</v>
      </c>
      <c r="B1521" t="s">
        <v>1777</v>
      </c>
      <c r="C1521">
        <v>0</v>
      </c>
      <c r="D1521">
        <v>0.88632859126800001</v>
      </c>
      <c r="E1521">
        <v>24</v>
      </c>
    </row>
    <row r="1522" spans="1:5">
      <c r="A1522" t="s">
        <v>1773</v>
      </c>
      <c r="B1522" t="s">
        <v>1778</v>
      </c>
      <c r="C1522">
        <v>0</v>
      </c>
      <c r="D1522">
        <v>0.88632859126800001</v>
      </c>
      <c r="E1522">
        <v>24</v>
      </c>
    </row>
    <row r="1523" spans="1:5">
      <c r="A1523" t="s">
        <v>1773</v>
      </c>
      <c r="B1523" t="s">
        <v>1779</v>
      </c>
      <c r="C1523">
        <f>0</f>
        <v>0</v>
      </c>
      <c r="D1523">
        <v>0.88632859126800001</v>
      </c>
      <c r="E1523">
        <v>24</v>
      </c>
    </row>
    <row r="1524" spans="1:5">
      <c r="A1524" t="s">
        <v>1773</v>
      </c>
      <c r="B1524" t="s">
        <v>1780</v>
      </c>
      <c r="C1524">
        <v>0</v>
      </c>
      <c r="D1524">
        <v>0.88632859126800001</v>
      </c>
      <c r="E1524">
        <v>24</v>
      </c>
    </row>
    <row r="1525" spans="1:5">
      <c r="A1525" t="s">
        <v>1773</v>
      </c>
      <c r="B1525" t="s">
        <v>1781</v>
      </c>
      <c r="C1525">
        <f>0.0983544425065</f>
        <v>9.8354442506499995E-2</v>
      </c>
      <c r="D1525">
        <v>0.88632859126800001</v>
      </c>
      <c r="E1525">
        <v>24</v>
      </c>
    </row>
    <row r="1526" spans="1:5">
      <c r="A1526" t="s">
        <v>1773</v>
      </c>
      <c r="B1526" t="s">
        <v>1782</v>
      </c>
      <c r="C1526">
        <v>0</v>
      </c>
      <c r="D1526">
        <v>0.88632859126800001</v>
      </c>
      <c r="E1526">
        <v>24</v>
      </c>
    </row>
    <row r="1527" spans="1:5">
      <c r="A1527" t="s">
        <v>1773</v>
      </c>
      <c r="B1527" t="s">
        <v>1783</v>
      </c>
      <c r="C1527">
        <f>0</f>
        <v>0</v>
      </c>
      <c r="D1527">
        <v>0.88632859126800001</v>
      </c>
      <c r="E1527">
        <v>24</v>
      </c>
    </row>
    <row r="1528" spans="1:5">
      <c r="A1528" t="s">
        <v>1773</v>
      </c>
      <c r="B1528" t="s">
        <v>1784</v>
      </c>
      <c r="C1528">
        <f>0</f>
        <v>0</v>
      </c>
      <c r="D1528">
        <v>0.88632859126800001</v>
      </c>
      <c r="E1528">
        <v>24</v>
      </c>
    </row>
    <row r="1529" spans="1:5">
      <c r="A1529" t="s">
        <v>1773</v>
      </c>
      <c r="B1529" t="s">
        <v>1785</v>
      </c>
      <c r="C1529">
        <v>0</v>
      </c>
      <c r="D1529">
        <v>0.88632859126800001</v>
      </c>
      <c r="E1529">
        <v>24</v>
      </c>
    </row>
    <row r="1530" spans="1:5">
      <c r="A1530" t="s">
        <v>1786</v>
      </c>
      <c r="B1530" t="s">
        <v>1787</v>
      </c>
      <c r="C1530">
        <v>0</v>
      </c>
      <c r="D1530">
        <v>0.89808068659600004</v>
      </c>
      <c r="E1530">
        <v>12.5577211394302</v>
      </c>
    </row>
    <row r="1531" spans="1:5">
      <c r="A1531" t="s">
        <v>1786</v>
      </c>
      <c r="B1531" t="s">
        <v>1788</v>
      </c>
      <c r="C1531">
        <v>0</v>
      </c>
      <c r="D1531">
        <v>0.89808068659600004</v>
      </c>
      <c r="E1531">
        <v>12.5577211394302</v>
      </c>
    </row>
    <row r="1532" spans="1:5">
      <c r="A1532" t="s">
        <v>1786</v>
      </c>
      <c r="B1532" t="s">
        <v>1789</v>
      </c>
      <c r="C1532">
        <f>0</f>
        <v>0</v>
      </c>
      <c r="D1532">
        <v>0.89808068659600004</v>
      </c>
      <c r="E1532">
        <v>12.5577211394302</v>
      </c>
    </row>
    <row r="1533" spans="1:5">
      <c r="A1533" t="s">
        <v>1786</v>
      </c>
      <c r="B1533" t="s">
        <v>1790</v>
      </c>
      <c r="C1533">
        <v>4.56133012138E-2</v>
      </c>
      <c r="D1533">
        <v>0.89808068659600004</v>
      </c>
      <c r="E1533">
        <v>12.5577211394302</v>
      </c>
    </row>
    <row r="1534" spans="1:5">
      <c r="A1534" t="s">
        <v>1786</v>
      </c>
      <c r="B1534" t="s">
        <v>1791</v>
      </c>
      <c r="C1534">
        <v>0</v>
      </c>
      <c r="D1534">
        <v>0.89808068659600004</v>
      </c>
      <c r="E1534">
        <v>12.5577211394302</v>
      </c>
    </row>
    <row r="1535" spans="1:5">
      <c r="A1535" t="s">
        <v>1786</v>
      </c>
      <c r="B1535" t="s">
        <v>1792</v>
      </c>
      <c r="C1535">
        <v>0</v>
      </c>
      <c r="D1535">
        <v>0.89808068659600004</v>
      </c>
      <c r="E1535">
        <v>12.5577211394302</v>
      </c>
    </row>
    <row r="1536" spans="1:5">
      <c r="A1536" t="s">
        <v>1786</v>
      </c>
      <c r="B1536" t="s">
        <v>1793</v>
      </c>
      <c r="C1536">
        <v>0.122146981254</v>
      </c>
      <c r="D1536">
        <v>0.89808068659600004</v>
      </c>
      <c r="E1536">
        <v>12.5577211394302</v>
      </c>
    </row>
    <row r="1537" spans="1:5">
      <c r="A1537" t="s">
        <v>1794</v>
      </c>
      <c r="B1537" t="s">
        <v>1795</v>
      </c>
      <c r="C1537">
        <v>0</v>
      </c>
      <c r="D1537" t="s">
        <v>106</v>
      </c>
      <c r="E1537">
        <v>10.230884557721099</v>
      </c>
    </row>
    <row r="1538" spans="1:5">
      <c r="A1538" t="s">
        <v>1794</v>
      </c>
      <c r="B1538" t="s">
        <v>1796</v>
      </c>
      <c r="C1538">
        <f>0</f>
        <v>0</v>
      </c>
      <c r="D1538" t="s">
        <v>106</v>
      </c>
      <c r="E1538">
        <v>10.230884557721099</v>
      </c>
    </row>
    <row r="1539" spans="1:5">
      <c r="A1539" t="s">
        <v>1794</v>
      </c>
      <c r="B1539" t="s">
        <v>1797</v>
      </c>
      <c r="C1539">
        <f>0</f>
        <v>0</v>
      </c>
      <c r="D1539" t="s">
        <v>106</v>
      </c>
      <c r="E1539">
        <v>10.230884557721099</v>
      </c>
    </row>
    <row r="1540" spans="1:5">
      <c r="A1540" t="s">
        <v>1794</v>
      </c>
      <c r="B1540" t="s">
        <v>1798</v>
      </c>
      <c r="C1540">
        <f>0</f>
        <v>0</v>
      </c>
      <c r="D1540" t="s">
        <v>106</v>
      </c>
      <c r="E1540">
        <v>10.230884557721099</v>
      </c>
    </row>
    <row r="1541" spans="1:5">
      <c r="A1541" t="s">
        <v>1794</v>
      </c>
      <c r="B1541" t="s">
        <v>1799</v>
      </c>
      <c r="C1541">
        <f>0</f>
        <v>0</v>
      </c>
      <c r="D1541" t="s">
        <v>106</v>
      </c>
      <c r="E1541">
        <v>10.230884557721099</v>
      </c>
    </row>
    <row r="1542" spans="1:5">
      <c r="A1542" t="s">
        <v>1794</v>
      </c>
      <c r="B1542" t="s">
        <v>1800</v>
      </c>
      <c r="C1542">
        <f>0</f>
        <v>0</v>
      </c>
      <c r="D1542" t="s">
        <v>106</v>
      </c>
      <c r="E1542">
        <v>10.230884557721099</v>
      </c>
    </row>
    <row r="1543" spans="1:5">
      <c r="A1543" t="s">
        <v>1794</v>
      </c>
      <c r="B1543" t="s">
        <v>1801</v>
      </c>
      <c r="C1543">
        <v>0</v>
      </c>
      <c r="D1543" t="s">
        <v>106</v>
      </c>
      <c r="E1543">
        <v>10.230884557721099</v>
      </c>
    </row>
    <row r="1544" spans="1:5">
      <c r="A1544" t="s">
        <v>1794</v>
      </c>
      <c r="B1544" t="s">
        <v>1802</v>
      </c>
      <c r="C1544">
        <v>0</v>
      </c>
      <c r="D1544" t="s">
        <v>106</v>
      </c>
      <c r="E1544">
        <v>10.230884557721099</v>
      </c>
    </row>
    <row r="1545" spans="1:5">
      <c r="A1545" t="s">
        <v>1803</v>
      </c>
      <c r="B1545" t="s">
        <v>1804</v>
      </c>
      <c r="C1545">
        <f>0.0254912003729</f>
        <v>2.5491200372900001E-2</v>
      </c>
      <c r="D1545">
        <v>0.99299538837300005</v>
      </c>
      <c r="E1545">
        <v>0.73163418290854498</v>
      </c>
    </row>
    <row r="1546" spans="1:5">
      <c r="A1546" t="s">
        <v>1803</v>
      </c>
      <c r="B1546" t="s">
        <v>1805</v>
      </c>
      <c r="C1546">
        <f>0</f>
        <v>0</v>
      </c>
      <c r="D1546">
        <v>0.99299538837300005</v>
      </c>
      <c r="E1546">
        <v>0.73163418290854498</v>
      </c>
    </row>
    <row r="1547" spans="1:5">
      <c r="A1547" t="s">
        <v>1803</v>
      </c>
      <c r="B1547" t="s">
        <v>1806</v>
      </c>
      <c r="C1547">
        <v>0.56651388285899995</v>
      </c>
      <c r="D1547">
        <v>0.99299538837300005</v>
      </c>
      <c r="E1547">
        <v>0.73163418290854498</v>
      </c>
    </row>
    <row r="1548" spans="1:5">
      <c r="A1548" t="s">
        <v>1807</v>
      </c>
      <c r="B1548" t="s">
        <v>1808</v>
      </c>
      <c r="C1548">
        <v>0</v>
      </c>
      <c r="D1548" t="s">
        <v>106</v>
      </c>
      <c r="E1548">
        <v>16.491754122938499</v>
      </c>
    </row>
    <row r="1549" spans="1:5">
      <c r="A1549" t="s">
        <v>1807</v>
      </c>
      <c r="B1549" t="s">
        <v>1809</v>
      </c>
      <c r="C1549">
        <f>0</f>
        <v>0</v>
      </c>
      <c r="D1549" t="s">
        <v>106</v>
      </c>
      <c r="E1549">
        <v>16.491754122938499</v>
      </c>
    </row>
    <row r="1550" spans="1:5">
      <c r="A1550" t="s">
        <v>1807</v>
      </c>
      <c r="B1550" t="s">
        <v>1810</v>
      </c>
      <c r="C1550">
        <v>0</v>
      </c>
      <c r="D1550" t="s">
        <v>106</v>
      </c>
      <c r="E1550">
        <v>16.491754122938499</v>
      </c>
    </row>
    <row r="1551" spans="1:5">
      <c r="A1551" t="s">
        <v>1807</v>
      </c>
      <c r="B1551" t="s">
        <v>1811</v>
      </c>
      <c r="C1551">
        <v>0</v>
      </c>
      <c r="D1551" t="s">
        <v>106</v>
      </c>
      <c r="E1551">
        <v>16.491754122938499</v>
      </c>
    </row>
    <row r="1552" spans="1:5">
      <c r="A1552" t="s">
        <v>1807</v>
      </c>
      <c r="B1552" t="s">
        <v>1812</v>
      </c>
      <c r="C1552">
        <v>0</v>
      </c>
      <c r="D1552" t="s">
        <v>106</v>
      </c>
      <c r="E1552">
        <v>16.491754122938499</v>
      </c>
    </row>
    <row r="1553" spans="1:5">
      <c r="A1553" t="s">
        <v>1807</v>
      </c>
      <c r="B1553" t="s">
        <v>1813</v>
      </c>
      <c r="C1553">
        <v>0</v>
      </c>
      <c r="D1553" t="s">
        <v>106</v>
      </c>
      <c r="E1553">
        <v>16.491754122938499</v>
      </c>
    </row>
    <row r="1554" spans="1:5">
      <c r="A1554" t="s">
        <v>1807</v>
      </c>
      <c r="B1554" t="s">
        <v>1814</v>
      </c>
      <c r="C1554">
        <v>0</v>
      </c>
      <c r="D1554" t="s">
        <v>106</v>
      </c>
      <c r="E1554">
        <v>16.491754122938499</v>
      </c>
    </row>
    <row r="1555" spans="1:5">
      <c r="A1555" t="s">
        <v>1807</v>
      </c>
      <c r="B1555" t="s">
        <v>1815</v>
      </c>
      <c r="C1555">
        <v>0</v>
      </c>
      <c r="D1555" t="s">
        <v>106</v>
      </c>
      <c r="E1555">
        <v>16.491754122938499</v>
      </c>
    </row>
    <row r="1556" spans="1:5">
      <c r="A1556" t="s">
        <v>1807</v>
      </c>
      <c r="B1556" t="s">
        <v>1816</v>
      </c>
      <c r="C1556">
        <v>9.5855983649600005E-2</v>
      </c>
      <c r="D1556" t="s">
        <v>106</v>
      </c>
      <c r="E1556">
        <v>16.491754122938499</v>
      </c>
    </row>
    <row r="1557" spans="1:5">
      <c r="A1557" t="s">
        <v>1807</v>
      </c>
      <c r="B1557" t="s">
        <v>1817</v>
      </c>
      <c r="C1557">
        <v>0</v>
      </c>
      <c r="D1557" t="s">
        <v>106</v>
      </c>
      <c r="E1557">
        <v>16.491754122938499</v>
      </c>
    </row>
    <row r="1558" spans="1:5">
      <c r="A1558" t="s">
        <v>1807</v>
      </c>
      <c r="B1558" t="s">
        <v>1818</v>
      </c>
      <c r="C1558">
        <v>0</v>
      </c>
      <c r="D1558" t="s">
        <v>106</v>
      </c>
      <c r="E1558">
        <v>16.491754122938499</v>
      </c>
    </row>
    <row r="1559" spans="1:5">
      <c r="A1559" t="s">
        <v>1819</v>
      </c>
      <c r="B1559" t="s">
        <v>1820</v>
      </c>
      <c r="C1559">
        <v>0</v>
      </c>
      <c r="D1559">
        <v>0.94577307427299995</v>
      </c>
      <c r="E1559">
        <v>24</v>
      </c>
    </row>
    <row r="1560" spans="1:5">
      <c r="A1560" t="s">
        <v>1819</v>
      </c>
      <c r="B1560" t="s">
        <v>1821</v>
      </c>
      <c r="C1560">
        <f>0</f>
        <v>0</v>
      </c>
      <c r="D1560">
        <v>0.94577307427299995</v>
      </c>
      <c r="E1560">
        <v>24</v>
      </c>
    </row>
    <row r="1561" spans="1:5">
      <c r="A1561" t="s">
        <v>1819</v>
      </c>
      <c r="B1561" t="s">
        <v>1822</v>
      </c>
      <c r="C1561">
        <f>0</f>
        <v>0</v>
      </c>
      <c r="D1561">
        <v>0.94577307427299995</v>
      </c>
      <c r="E1561">
        <v>24</v>
      </c>
    </row>
    <row r="1562" spans="1:5">
      <c r="A1562" t="s">
        <v>1819</v>
      </c>
      <c r="B1562" t="s">
        <v>1823</v>
      </c>
      <c r="C1562">
        <f>0</f>
        <v>0</v>
      </c>
      <c r="D1562">
        <v>0.94577307427299995</v>
      </c>
      <c r="E1562">
        <v>24</v>
      </c>
    </row>
    <row r="1563" spans="1:5">
      <c r="A1563" t="s">
        <v>1819</v>
      </c>
      <c r="B1563" t="s">
        <v>1824</v>
      </c>
      <c r="C1563">
        <v>0</v>
      </c>
      <c r="D1563">
        <v>0.94577307427299995</v>
      </c>
      <c r="E1563">
        <v>24</v>
      </c>
    </row>
    <row r="1564" spans="1:5">
      <c r="A1564" t="s">
        <v>1819</v>
      </c>
      <c r="B1564" t="s">
        <v>1825</v>
      </c>
      <c r="C1564">
        <v>9.7567565149199995E-2</v>
      </c>
      <c r="D1564">
        <v>0.94577307427299995</v>
      </c>
      <c r="E1564">
        <v>24</v>
      </c>
    </row>
    <row r="1565" spans="1:5">
      <c r="A1565" t="s">
        <v>1826</v>
      </c>
      <c r="B1565" t="s">
        <v>1827</v>
      </c>
      <c r="C1565">
        <v>0</v>
      </c>
      <c r="D1565" t="s">
        <v>106</v>
      </c>
      <c r="E1565">
        <v>1.6311844077961</v>
      </c>
    </row>
    <row r="1566" spans="1:5">
      <c r="A1566" t="s">
        <v>1826</v>
      </c>
      <c r="B1566" t="s">
        <v>1828</v>
      </c>
      <c r="C1566">
        <v>0</v>
      </c>
      <c r="D1566" t="s">
        <v>106</v>
      </c>
      <c r="E1566">
        <v>1.6311844077961</v>
      </c>
    </row>
    <row r="1567" spans="1:5">
      <c r="A1567" t="s">
        <v>1826</v>
      </c>
      <c r="B1567" t="s">
        <v>1829</v>
      </c>
      <c r="C1567">
        <v>0</v>
      </c>
      <c r="D1567" t="s">
        <v>106</v>
      </c>
      <c r="E1567">
        <v>1.6311844077961</v>
      </c>
    </row>
    <row r="1568" spans="1:5">
      <c r="A1568" t="s">
        <v>1826</v>
      </c>
      <c r="B1568" t="s">
        <v>1830</v>
      </c>
      <c r="C1568">
        <v>0</v>
      </c>
      <c r="D1568" t="s">
        <v>106</v>
      </c>
      <c r="E1568">
        <v>1.6311844077961</v>
      </c>
    </row>
    <row r="1569" spans="1:5">
      <c r="A1569" t="s">
        <v>1831</v>
      </c>
      <c r="B1569" t="s">
        <v>1832</v>
      </c>
      <c r="C1569">
        <v>3.4834656444800001E-2</v>
      </c>
      <c r="D1569">
        <v>0.97603324382199996</v>
      </c>
      <c r="E1569">
        <v>11.5382308845577</v>
      </c>
    </row>
    <row r="1570" spans="1:5">
      <c r="A1570" t="s">
        <v>1831</v>
      </c>
      <c r="B1570" t="s">
        <v>1833</v>
      </c>
      <c r="C1570">
        <v>0</v>
      </c>
      <c r="D1570">
        <v>0.97603324382199996</v>
      </c>
      <c r="E1570">
        <v>11.5382308845577</v>
      </c>
    </row>
    <row r="1571" spans="1:5">
      <c r="A1571" t="s">
        <v>1831</v>
      </c>
      <c r="B1571" t="s">
        <v>1834</v>
      </c>
      <c r="C1571">
        <v>0</v>
      </c>
      <c r="D1571">
        <v>0.97603324382199996</v>
      </c>
      <c r="E1571">
        <v>11.5382308845577</v>
      </c>
    </row>
    <row r="1572" spans="1:5">
      <c r="A1572" t="s">
        <v>1831</v>
      </c>
      <c r="B1572" t="s">
        <v>1835</v>
      </c>
      <c r="C1572">
        <f>0</f>
        <v>0</v>
      </c>
      <c r="D1572">
        <v>0.97603324382199996</v>
      </c>
      <c r="E1572">
        <v>11.5382308845577</v>
      </c>
    </row>
    <row r="1573" spans="1:5">
      <c r="A1573" t="s">
        <v>1831</v>
      </c>
      <c r="B1573" t="s">
        <v>1836</v>
      </c>
      <c r="C1573">
        <v>0.19865545778099999</v>
      </c>
      <c r="D1573">
        <v>0.97603324382199996</v>
      </c>
      <c r="E1573">
        <v>11.5382308845577</v>
      </c>
    </row>
    <row r="1574" spans="1:5">
      <c r="A1574" t="s">
        <v>1831</v>
      </c>
      <c r="B1574" t="s">
        <v>1837</v>
      </c>
      <c r="C1574">
        <v>0</v>
      </c>
      <c r="D1574">
        <v>0.97603324382199996</v>
      </c>
      <c r="E1574">
        <v>11.5382308845577</v>
      </c>
    </row>
    <row r="1575" spans="1:5">
      <c r="A1575" t="s">
        <v>1831</v>
      </c>
      <c r="B1575" t="s">
        <v>1838</v>
      </c>
      <c r="C1575">
        <v>0</v>
      </c>
      <c r="D1575">
        <v>0.97603324382199996</v>
      </c>
      <c r="E1575">
        <v>11.5382308845577</v>
      </c>
    </row>
    <row r="1576" spans="1:5">
      <c r="A1576" t="s">
        <v>1831</v>
      </c>
      <c r="B1576" t="s">
        <v>1839</v>
      </c>
      <c r="C1576">
        <f>0</f>
        <v>0</v>
      </c>
      <c r="D1576">
        <v>0.97603324382199996</v>
      </c>
      <c r="E1576">
        <v>11.5382308845577</v>
      </c>
    </row>
    <row r="1577" spans="1:5">
      <c r="A1577" t="s">
        <v>1831</v>
      </c>
      <c r="B1577" t="s">
        <v>1840</v>
      </c>
      <c r="C1577">
        <v>0</v>
      </c>
      <c r="D1577">
        <v>0.97603324382199996</v>
      </c>
      <c r="E1577">
        <v>11.5382308845577</v>
      </c>
    </row>
    <row r="1578" spans="1:5">
      <c r="A1578" t="s">
        <v>1831</v>
      </c>
      <c r="B1578" t="s">
        <v>1841</v>
      </c>
      <c r="C1578">
        <v>0</v>
      </c>
      <c r="D1578">
        <v>0.97603324382199996</v>
      </c>
      <c r="E1578">
        <v>11.5382308845577</v>
      </c>
    </row>
    <row r="1579" spans="1:5">
      <c r="A1579" t="s">
        <v>1842</v>
      </c>
      <c r="B1579" t="s">
        <v>1843</v>
      </c>
      <c r="C1579">
        <v>0</v>
      </c>
      <c r="D1579">
        <v>0.97043578994400004</v>
      </c>
      <c r="E1579">
        <v>16.299850074962499</v>
      </c>
    </row>
    <row r="1580" spans="1:5">
      <c r="A1580" t="s">
        <v>1842</v>
      </c>
      <c r="B1580" t="s">
        <v>1844</v>
      </c>
      <c r="C1580">
        <v>0.29643135911599999</v>
      </c>
      <c r="D1580">
        <v>0.97043578994400004</v>
      </c>
      <c r="E1580">
        <v>16.299850074962499</v>
      </c>
    </row>
    <row r="1581" spans="1:5">
      <c r="A1581" t="s">
        <v>1842</v>
      </c>
      <c r="B1581" t="s">
        <v>1845</v>
      </c>
      <c r="C1581">
        <v>8.7855791917100003E-3</v>
      </c>
      <c r="D1581">
        <v>0.97043578994400004</v>
      </c>
      <c r="E1581">
        <v>16.299850074962499</v>
      </c>
    </row>
    <row r="1582" spans="1:5">
      <c r="A1582" t="s">
        <v>1842</v>
      </c>
      <c r="B1582" t="s">
        <v>1846</v>
      </c>
      <c r="C1582">
        <v>0</v>
      </c>
      <c r="D1582">
        <v>0.97043578994400004</v>
      </c>
      <c r="E1582">
        <v>16.299850074962499</v>
      </c>
    </row>
    <row r="1583" spans="1:5">
      <c r="A1583" t="s">
        <v>1842</v>
      </c>
      <c r="B1583" t="s">
        <v>1847</v>
      </c>
      <c r="C1583">
        <v>0</v>
      </c>
      <c r="D1583">
        <v>0.97043578994400004</v>
      </c>
      <c r="E1583">
        <v>16.299850074962499</v>
      </c>
    </row>
    <row r="1584" spans="1:5">
      <c r="A1584" t="s">
        <v>1842</v>
      </c>
      <c r="B1584" t="s">
        <v>1848</v>
      </c>
      <c r="C1584">
        <f>0</f>
        <v>0</v>
      </c>
      <c r="D1584">
        <v>0.97043578994400004</v>
      </c>
      <c r="E1584">
        <v>16.299850074962499</v>
      </c>
    </row>
    <row r="1585" spans="1:5">
      <c r="A1585" t="s">
        <v>1849</v>
      </c>
      <c r="B1585" t="s">
        <v>1850</v>
      </c>
      <c r="C1585">
        <v>0</v>
      </c>
      <c r="D1585">
        <v>0.99348756496400004</v>
      </c>
      <c r="E1585">
        <v>9.4632683658170897</v>
      </c>
    </row>
    <row r="1586" spans="1:5">
      <c r="A1586" t="s">
        <v>1849</v>
      </c>
      <c r="B1586" t="s">
        <v>1851</v>
      </c>
      <c r="C1586">
        <v>0.135278437104</v>
      </c>
      <c r="D1586">
        <v>0.99348756496400004</v>
      </c>
      <c r="E1586">
        <v>9.4632683658170897</v>
      </c>
    </row>
    <row r="1587" spans="1:5">
      <c r="A1587" t="s">
        <v>1849</v>
      </c>
      <c r="B1587" t="s">
        <v>1852</v>
      </c>
      <c r="C1587">
        <v>0</v>
      </c>
      <c r="D1587">
        <v>0.99348756496400004</v>
      </c>
      <c r="E1587">
        <v>9.4632683658170897</v>
      </c>
    </row>
    <row r="1588" spans="1:5">
      <c r="A1588" t="s">
        <v>1849</v>
      </c>
      <c r="B1588" t="s">
        <v>1853</v>
      </c>
      <c r="C1588">
        <f>0</f>
        <v>0</v>
      </c>
      <c r="D1588">
        <v>0.99348756496400004</v>
      </c>
      <c r="E1588">
        <v>9.4632683658170897</v>
      </c>
    </row>
    <row r="1589" spans="1:5">
      <c r="A1589" t="s">
        <v>1849</v>
      </c>
      <c r="B1589" t="s">
        <v>1854</v>
      </c>
      <c r="C1589">
        <v>0</v>
      </c>
      <c r="D1589">
        <v>0.99348756496400004</v>
      </c>
      <c r="E1589">
        <v>9.4632683658170897</v>
      </c>
    </row>
    <row r="1590" spans="1:5">
      <c r="A1590" t="s">
        <v>1849</v>
      </c>
      <c r="B1590" t="s">
        <v>1855</v>
      </c>
      <c r="C1590">
        <f>0</f>
        <v>0</v>
      </c>
      <c r="D1590">
        <v>0.99348756496400004</v>
      </c>
      <c r="E1590">
        <v>9.4632683658170897</v>
      </c>
    </row>
    <row r="1591" spans="1:5">
      <c r="A1591" t="s">
        <v>1849</v>
      </c>
      <c r="B1591" t="s">
        <v>1856</v>
      </c>
      <c r="C1591">
        <v>0.43698568395600002</v>
      </c>
      <c r="D1591">
        <v>0.99348756496400004</v>
      </c>
      <c r="E1591">
        <v>9.4632683658170897</v>
      </c>
    </row>
    <row r="1592" spans="1:5">
      <c r="A1592" t="s">
        <v>1857</v>
      </c>
      <c r="B1592" t="s">
        <v>1858</v>
      </c>
      <c r="C1592">
        <f>0.127169905891</f>
        <v>0.127169905891</v>
      </c>
      <c r="D1592">
        <v>0.48756121552199999</v>
      </c>
      <c r="E1592">
        <v>4.1739130434782599</v>
      </c>
    </row>
    <row r="1593" spans="1:5">
      <c r="A1593" t="s">
        <v>1857</v>
      </c>
      <c r="B1593" t="s">
        <v>1859</v>
      </c>
      <c r="C1593">
        <f>0</f>
        <v>0</v>
      </c>
      <c r="D1593">
        <v>0.48756121552199999</v>
      </c>
      <c r="E1593">
        <v>4.1739130434782599</v>
      </c>
    </row>
    <row r="1594" spans="1:5">
      <c r="A1594" t="s">
        <v>1857</v>
      </c>
      <c r="B1594" t="s">
        <v>1860</v>
      </c>
      <c r="C1594">
        <v>0</v>
      </c>
      <c r="D1594">
        <v>0.48756121552199999</v>
      </c>
      <c r="E1594">
        <v>4.1739130434782599</v>
      </c>
    </row>
    <row r="1595" spans="1:5">
      <c r="A1595" t="s">
        <v>1861</v>
      </c>
      <c r="B1595" t="s">
        <v>1862</v>
      </c>
      <c r="C1595">
        <v>0</v>
      </c>
      <c r="D1595" t="s">
        <v>106</v>
      </c>
      <c r="E1595">
        <v>1.00749625187406</v>
      </c>
    </row>
    <row r="1596" spans="1:5">
      <c r="A1596" t="s">
        <v>1861</v>
      </c>
      <c r="B1596" t="s">
        <v>1863</v>
      </c>
      <c r="C1596">
        <v>0</v>
      </c>
      <c r="D1596" t="s">
        <v>106</v>
      </c>
      <c r="E1596">
        <v>1.00749625187406</v>
      </c>
    </row>
    <row r="1597" spans="1:5">
      <c r="A1597" t="s">
        <v>1861</v>
      </c>
      <c r="B1597" t="s">
        <v>1864</v>
      </c>
      <c r="C1597">
        <v>0</v>
      </c>
      <c r="D1597" t="s">
        <v>106</v>
      </c>
      <c r="E1597">
        <v>1.00749625187406</v>
      </c>
    </row>
    <row r="1598" spans="1:5">
      <c r="A1598" t="s">
        <v>1861</v>
      </c>
      <c r="B1598" t="s">
        <v>1865</v>
      </c>
      <c r="C1598">
        <f>0</f>
        <v>0</v>
      </c>
      <c r="D1598" t="s">
        <v>106</v>
      </c>
      <c r="E1598">
        <v>1.00749625187406</v>
      </c>
    </row>
    <row r="1599" spans="1:5">
      <c r="A1599" t="s">
        <v>1861</v>
      </c>
      <c r="B1599" t="s">
        <v>1866</v>
      </c>
      <c r="C1599">
        <v>0</v>
      </c>
      <c r="D1599" t="s">
        <v>106</v>
      </c>
      <c r="E1599">
        <v>1.00749625187406</v>
      </c>
    </row>
    <row r="1600" spans="1:5">
      <c r="A1600" t="s">
        <v>1861</v>
      </c>
      <c r="B1600" t="s">
        <v>1867</v>
      </c>
      <c r="C1600">
        <f>0</f>
        <v>0</v>
      </c>
      <c r="D1600" t="s">
        <v>106</v>
      </c>
      <c r="E1600">
        <v>1.00749625187406</v>
      </c>
    </row>
    <row r="1601" spans="1:5">
      <c r="A1601" t="s">
        <v>1861</v>
      </c>
      <c r="B1601" t="s">
        <v>1868</v>
      </c>
      <c r="C1601">
        <f>0</f>
        <v>0</v>
      </c>
      <c r="D1601" t="s">
        <v>106</v>
      </c>
      <c r="E1601">
        <v>1.00749625187406</v>
      </c>
    </row>
    <row r="1602" spans="1:5">
      <c r="A1602" t="s">
        <v>1861</v>
      </c>
      <c r="B1602" t="s">
        <v>1869</v>
      </c>
      <c r="C1602">
        <f>0</f>
        <v>0</v>
      </c>
      <c r="D1602" t="s">
        <v>106</v>
      </c>
      <c r="E1602">
        <v>1.00749625187406</v>
      </c>
    </row>
    <row r="1603" spans="1:5">
      <c r="A1603" t="s">
        <v>1861</v>
      </c>
      <c r="B1603" t="s">
        <v>1870</v>
      </c>
      <c r="C1603">
        <v>0</v>
      </c>
      <c r="D1603" t="s">
        <v>106</v>
      </c>
      <c r="E1603">
        <v>1.00749625187406</v>
      </c>
    </row>
    <row r="1604" spans="1:5">
      <c r="A1604" t="s">
        <v>1861</v>
      </c>
      <c r="B1604" t="s">
        <v>1871</v>
      </c>
      <c r="C1604">
        <f>0</f>
        <v>0</v>
      </c>
      <c r="D1604" t="s">
        <v>106</v>
      </c>
      <c r="E1604">
        <v>1.00749625187406</v>
      </c>
    </row>
    <row r="1605" spans="1:5">
      <c r="A1605" t="s">
        <v>1861</v>
      </c>
      <c r="B1605" t="s">
        <v>1872</v>
      </c>
      <c r="C1605">
        <f>0</f>
        <v>0</v>
      </c>
      <c r="D1605" t="s">
        <v>106</v>
      </c>
      <c r="E1605">
        <v>1.00749625187406</v>
      </c>
    </row>
    <row r="1606" spans="1:5">
      <c r="A1606" t="s">
        <v>1861</v>
      </c>
      <c r="B1606" t="s">
        <v>1873</v>
      </c>
      <c r="C1606">
        <f>0</f>
        <v>0</v>
      </c>
      <c r="D1606" t="s">
        <v>106</v>
      </c>
      <c r="E1606">
        <v>1.00749625187406</v>
      </c>
    </row>
    <row r="1607" spans="1:5">
      <c r="A1607" t="s">
        <v>1861</v>
      </c>
      <c r="B1607" t="s">
        <v>1874</v>
      </c>
      <c r="C1607">
        <v>0</v>
      </c>
      <c r="D1607" t="s">
        <v>106</v>
      </c>
      <c r="E1607">
        <v>1.00749625187406</v>
      </c>
    </row>
    <row r="1608" spans="1:5">
      <c r="A1608" t="s">
        <v>1875</v>
      </c>
      <c r="B1608" t="s">
        <v>1876</v>
      </c>
      <c r="C1608">
        <f>0</f>
        <v>0</v>
      </c>
      <c r="D1608" t="s">
        <v>106</v>
      </c>
      <c r="E1608">
        <v>5.5772113943028403</v>
      </c>
    </row>
    <row r="1609" spans="1:5">
      <c r="A1609" t="s">
        <v>1875</v>
      </c>
      <c r="B1609" t="s">
        <v>1877</v>
      </c>
      <c r="C1609">
        <f>0</f>
        <v>0</v>
      </c>
      <c r="D1609" t="s">
        <v>106</v>
      </c>
      <c r="E1609">
        <v>5.5772113943028403</v>
      </c>
    </row>
    <row r="1610" spans="1:5">
      <c r="A1610" t="s">
        <v>1875</v>
      </c>
      <c r="B1610" t="s">
        <v>1878</v>
      </c>
      <c r="C1610">
        <f>0</f>
        <v>0</v>
      </c>
      <c r="D1610" t="s">
        <v>106</v>
      </c>
      <c r="E1610">
        <v>5.5772113943028403</v>
      </c>
    </row>
    <row r="1611" spans="1:5">
      <c r="A1611" t="s">
        <v>1875</v>
      </c>
      <c r="B1611" t="s">
        <v>1879</v>
      </c>
      <c r="C1611">
        <f>0</f>
        <v>0</v>
      </c>
      <c r="D1611" t="s">
        <v>106</v>
      </c>
      <c r="E1611">
        <v>5.5772113943028403</v>
      </c>
    </row>
    <row r="1612" spans="1:5">
      <c r="A1612" t="s">
        <v>1875</v>
      </c>
      <c r="B1612" t="s">
        <v>1880</v>
      </c>
      <c r="C1612">
        <f>0</f>
        <v>0</v>
      </c>
      <c r="D1612" t="s">
        <v>106</v>
      </c>
      <c r="E1612">
        <v>5.5772113943028403</v>
      </c>
    </row>
    <row r="1613" spans="1:5">
      <c r="A1613" t="s">
        <v>1875</v>
      </c>
      <c r="B1613" t="s">
        <v>1881</v>
      </c>
      <c r="C1613">
        <v>0</v>
      </c>
      <c r="D1613" t="s">
        <v>106</v>
      </c>
      <c r="E1613">
        <v>5.5772113943028403</v>
      </c>
    </row>
    <row r="1614" spans="1:5">
      <c r="A1614" t="s">
        <v>1875</v>
      </c>
      <c r="B1614" t="s">
        <v>1882</v>
      </c>
      <c r="C1614">
        <f>0</f>
        <v>0</v>
      </c>
      <c r="D1614" t="s">
        <v>106</v>
      </c>
      <c r="E1614">
        <v>5.5772113943028403</v>
      </c>
    </row>
    <row r="1615" spans="1:5">
      <c r="A1615" t="s">
        <v>1875</v>
      </c>
      <c r="B1615" t="s">
        <v>1883</v>
      </c>
      <c r="C1615">
        <f>0</f>
        <v>0</v>
      </c>
      <c r="D1615" t="s">
        <v>106</v>
      </c>
      <c r="E1615">
        <v>5.5772113943028403</v>
      </c>
    </row>
    <row r="1616" spans="1:5">
      <c r="A1616" t="s">
        <v>1875</v>
      </c>
      <c r="B1616" t="s">
        <v>1884</v>
      </c>
      <c r="C1616">
        <f>0</f>
        <v>0</v>
      </c>
      <c r="D1616" t="s">
        <v>106</v>
      </c>
      <c r="E1616">
        <v>5.5772113943028403</v>
      </c>
    </row>
    <row r="1617" spans="1:5">
      <c r="A1617" t="s">
        <v>1875</v>
      </c>
      <c r="B1617" t="s">
        <v>1885</v>
      </c>
      <c r="C1617">
        <v>0</v>
      </c>
      <c r="D1617" t="s">
        <v>106</v>
      </c>
      <c r="E1617">
        <v>5.5772113943028403</v>
      </c>
    </row>
    <row r="1618" spans="1:5">
      <c r="A1618" t="s">
        <v>1875</v>
      </c>
      <c r="B1618" t="s">
        <v>1886</v>
      </c>
      <c r="C1618">
        <f>0</f>
        <v>0</v>
      </c>
      <c r="D1618" t="s">
        <v>106</v>
      </c>
      <c r="E1618">
        <v>5.5772113943028403</v>
      </c>
    </row>
    <row r="1619" spans="1:5">
      <c r="A1619" t="s">
        <v>1875</v>
      </c>
      <c r="B1619" t="s">
        <v>1887</v>
      </c>
      <c r="C1619">
        <f>0</f>
        <v>0</v>
      </c>
      <c r="D1619" t="s">
        <v>106</v>
      </c>
      <c r="E1619">
        <v>5.5772113943028403</v>
      </c>
    </row>
    <row r="1620" spans="1:5">
      <c r="A1620" t="s">
        <v>1875</v>
      </c>
      <c r="B1620" t="s">
        <v>1888</v>
      </c>
      <c r="C1620">
        <f>0</f>
        <v>0</v>
      </c>
      <c r="D1620" t="s">
        <v>106</v>
      </c>
      <c r="E1620">
        <v>5.5772113943028403</v>
      </c>
    </row>
    <row r="1621" spans="1:5">
      <c r="A1621" t="s">
        <v>1889</v>
      </c>
      <c r="B1621" t="s">
        <v>1890</v>
      </c>
      <c r="C1621">
        <f>0.0656046625823</f>
        <v>6.5604662582299994E-2</v>
      </c>
      <c r="D1621" t="s">
        <v>106</v>
      </c>
      <c r="E1621">
        <v>24</v>
      </c>
    </row>
    <row r="1622" spans="1:5">
      <c r="A1622" t="s">
        <v>1889</v>
      </c>
      <c r="B1622" t="s">
        <v>1891</v>
      </c>
      <c r="C1622">
        <f>0.0595512925392</f>
        <v>5.9551292539200003E-2</v>
      </c>
      <c r="D1622" t="s">
        <v>106</v>
      </c>
      <c r="E1622">
        <v>24</v>
      </c>
    </row>
    <row r="1623" spans="1:5">
      <c r="A1623" t="s">
        <v>1889</v>
      </c>
      <c r="B1623" t="s">
        <v>1892</v>
      </c>
      <c r="C1623">
        <f>0</f>
        <v>0</v>
      </c>
      <c r="D1623" t="s">
        <v>106</v>
      </c>
      <c r="E1623">
        <v>24</v>
      </c>
    </row>
    <row r="1624" spans="1:5">
      <c r="A1624" t="s">
        <v>1893</v>
      </c>
      <c r="B1624" t="s">
        <v>1894</v>
      </c>
      <c r="C1624">
        <f>0</f>
        <v>0</v>
      </c>
      <c r="D1624" t="s">
        <v>106</v>
      </c>
      <c r="E1624">
        <v>0.86356821589205401</v>
      </c>
    </row>
    <row r="1625" spans="1:5">
      <c r="A1625" t="s">
        <v>1893</v>
      </c>
      <c r="B1625" t="s">
        <v>1895</v>
      </c>
      <c r="C1625">
        <f>0</f>
        <v>0</v>
      </c>
      <c r="D1625" t="s">
        <v>106</v>
      </c>
      <c r="E1625">
        <v>0.86356821589205401</v>
      </c>
    </row>
    <row r="1626" spans="1:5">
      <c r="A1626" t="s">
        <v>1893</v>
      </c>
      <c r="B1626" t="s">
        <v>1896</v>
      </c>
      <c r="C1626">
        <f>0</f>
        <v>0</v>
      </c>
      <c r="D1626" t="s">
        <v>106</v>
      </c>
      <c r="E1626">
        <v>0.86356821589205401</v>
      </c>
    </row>
    <row r="1627" spans="1:5">
      <c r="A1627" t="s">
        <v>1893</v>
      </c>
      <c r="B1627" t="s">
        <v>1897</v>
      </c>
      <c r="C1627">
        <f>0</f>
        <v>0</v>
      </c>
      <c r="D1627" t="s">
        <v>106</v>
      </c>
      <c r="E1627">
        <v>0.86356821589205401</v>
      </c>
    </row>
    <row r="1628" spans="1:5">
      <c r="A1628" t="s">
        <v>1893</v>
      </c>
      <c r="B1628" t="s">
        <v>1898</v>
      </c>
      <c r="C1628">
        <f>0</f>
        <v>0</v>
      </c>
      <c r="D1628" t="s">
        <v>106</v>
      </c>
      <c r="E1628">
        <v>0.86356821589205401</v>
      </c>
    </row>
    <row r="1629" spans="1:5">
      <c r="A1629" t="s">
        <v>1893</v>
      </c>
      <c r="B1629" t="s">
        <v>1899</v>
      </c>
      <c r="C1629">
        <v>0</v>
      </c>
      <c r="D1629" t="s">
        <v>106</v>
      </c>
      <c r="E1629">
        <v>0.86356821589205401</v>
      </c>
    </row>
    <row r="1630" spans="1:5">
      <c r="A1630" t="s">
        <v>1900</v>
      </c>
      <c r="B1630" t="s">
        <v>1901</v>
      </c>
      <c r="C1630">
        <f>0.00510418015009</f>
        <v>5.1041801500900002E-3</v>
      </c>
      <c r="D1630">
        <v>0.98653605874200001</v>
      </c>
      <c r="E1630">
        <v>23.280359820089899</v>
      </c>
    </row>
    <row r="1631" spans="1:5">
      <c r="A1631" t="s">
        <v>1900</v>
      </c>
      <c r="B1631" t="s">
        <v>1902</v>
      </c>
      <c r="C1631">
        <v>0</v>
      </c>
      <c r="D1631">
        <v>0.98653605874200001</v>
      </c>
      <c r="E1631">
        <v>23.280359820089899</v>
      </c>
    </row>
    <row r="1632" spans="1:5">
      <c r="A1632" t="s">
        <v>1900</v>
      </c>
      <c r="B1632" t="s">
        <v>1903</v>
      </c>
      <c r="C1632">
        <f>0</f>
        <v>0</v>
      </c>
      <c r="D1632">
        <v>0.98653605874200001</v>
      </c>
      <c r="E1632">
        <v>23.280359820089899</v>
      </c>
    </row>
    <row r="1633" spans="1:5">
      <c r="A1633" t="s">
        <v>1900</v>
      </c>
      <c r="B1633" t="s">
        <v>1904</v>
      </c>
      <c r="C1633">
        <f>0.16748381475</f>
        <v>0.16748381474999999</v>
      </c>
      <c r="D1633">
        <v>0.98653605874200001</v>
      </c>
      <c r="E1633">
        <v>23.280359820089899</v>
      </c>
    </row>
    <row r="1634" spans="1:5">
      <c r="A1634" t="s">
        <v>1905</v>
      </c>
      <c r="B1634" t="s">
        <v>1906</v>
      </c>
      <c r="C1634">
        <v>0.585872039053</v>
      </c>
      <c r="D1634" t="s">
        <v>106</v>
      </c>
      <c r="E1634">
        <v>4.7976011994003001</v>
      </c>
    </row>
    <row r="1635" spans="1:5">
      <c r="A1635" t="s">
        <v>1905</v>
      </c>
      <c r="B1635" t="s">
        <v>1907</v>
      </c>
      <c r="C1635">
        <f>0</f>
        <v>0</v>
      </c>
      <c r="D1635" t="s">
        <v>106</v>
      </c>
      <c r="E1635">
        <v>4.7976011994003001</v>
      </c>
    </row>
    <row r="1636" spans="1:5">
      <c r="A1636" t="s">
        <v>1905</v>
      </c>
      <c r="B1636" t="s">
        <v>1908</v>
      </c>
      <c r="C1636">
        <v>0.116245934932</v>
      </c>
      <c r="D1636" t="s">
        <v>106</v>
      </c>
      <c r="E1636">
        <v>4.7976011994003001</v>
      </c>
    </row>
    <row r="1637" spans="1:5">
      <c r="A1637" t="s">
        <v>1909</v>
      </c>
      <c r="B1637" t="s">
        <v>1910</v>
      </c>
      <c r="C1637">
        <v>6.3205640832000004E-2</v>
      </c>
      <c r="D1637">
        <v>0.95717342518600002</v>
      </c>
      <c r="E1637">
        <v>22.800599700149899</v>
      </c>
    </row>
    <row r="1638" spans="1:5">
      <c r="A1638" t="s">
        <v>1911</v>
      </c>
      <c r="B1638" t="s">
        <v>1912</v>
      </c>
      <c r="C1638">
        <f>0</f>
        <v>0</v>
      </c>
      <c r="D1638" t="s">
        <v>106</v>
      </c>
      <c r="E1638">
        <v>3.0464767616191901</v>
      </c>
    </row>
    <row r="1639" spans="1:5">
      <c r="A1639" t="s">
        <v>1911</v>
      </c>
      <c r="B1639" t="s">
        <v>1913</v>
      </c>
      <c r="C1639">
        <f>0</f>
        <v>0</v>
      </c>
      <c r="D1639" t="s">
        <v>106</v>
      </c>
      <c r="E1639">
        <v>3.0464767616191901</v>
      </c>
    </row>
    <row r="1640" spans="1:5">
      <c r="A1640" t="s">
        <v>1911</v>
      </c>
      <c r="B1640" t="s">
        <v>1914</v>
      </c>
      <c r="C1640">
        <f>0</f>
        <v>0</v>
      </c>
      <c r="D1640" t="s">
        <v>106</v>
      </c>
      <c r="E1640">
        <v>3.0464767616191901</v>
      </c>
    </row>
    <row r="1641" spans="1:5">
      <c r="A1641" t="s">
        <v>1911</v>
      </c>
      <c r="B1641" t="s">
        <v>1915</v>
      </c>
      <c r="C1641">
        <v>0</v>
      </c>
      <c r="D1641" t="s">
        <v>106</v>
      </c>
      <c r="E1641">
        <v>3.0464767616191901</v>
      </c>
    </row>
    <row r="1642" spans="1:5">
      <c r="A1642" t="s">
        <v>1911</v>
      </c>
      <c r="B1642" t="s">
        <v>1916</v>
      </c>
      <c r="C1642">
        <f>0</f>
        <v>0</v>
      </c>
      <c r="D1642" t="s">
        <v>106</v>
      </c>
      <c r="E1642">
        <v>3.0464767616191901</v>
      </c>
    </row>
    <row r="1643" spans="1:5">
      <c r="A1643" t="s">
        <v>1911</v>
      </c>
      <c r="B1643" t="s">
        <v>1917</v>
      </c>
      <c r="C1643">
        <f>0</f>
        <v>0</v>
      </c>
      <c r="D1643" t="s">
        <v>106</v>
      </c>
      <c r="E1643">
        <v>3.0464767616191901</v>
      </c>
    </row>
    <row r="1644" spans="1:5">
      <c r="A1644" t="s">
        <v>1911</v>
      </c>
      <c r="B1644" t="s">
        <v>1918</v>
      </c>
      <c r="C1644">
        <v>0</v>
      </c>
      <c r="D1644" t="s">
        <v>106</v>
      </c>
      <c r="E1644">
        <v>3.0464767616191901</v>
      </c>
    </row>
    <row r="1645" spans="1:5">
      <c r="A1645" t="s">
        <v>1919</v>
      </c>
      <c r="B1645" t="s">
        <v>1920</v>
      </c>
      <c r="C1645">
        <v>0.19536378172300001</v>
      </c>
      <c r="D1645">
        <v>0.96558411630600005</v>
      </c>
      <c r="E1645">
        <v>7.8680659670164896</v>
      </c>
    </row>
    <row r="1646" spans="1:5">
      <c r="A1646" t="s">
        <v>1919</v>
      </c>
      <c r="B1646" t="s">
        <v>1921</v>
      </c>
      <c r="C1646">
        <v>0</v>
      </c>
      <c r="D1646">
        <v>0.96558411630600005</v>
      </c>
      <c r="E1646">
        <v>7.8680659670164896</v>
      </c>
    </row>
    <row r="1647" spans="1:5">
      <c r="A1647" t="s">
        <v>1919</v>
      </c>
      <c r="B1647" t="s">
        <v>1922</v>
      </c>
      <c r="C1647">
        <f>0</f>
        <v>0</v>
      </c>
      <c r="D1647">
        <v>0.96558411630600005</v>
      </c>
      <c r="E1647">
        <v>7.8680659670164896</v>
      </c>
    </row>
    <row r="1648" spans="1:5">
      <c r="A1648" t="s">
        <v>1919</v>
      </c>
      <c r="B1648" t="s">
        <v>1923</v>
      </c>
      <c r="C1648">
        <v>0</v>
      </c>
      <c r="D1648">
        <v>0.96558411630600005</v>
      </c>
      <c r="E1648">
        <v>7.8680659670164896</v>
      </c>
    </row>
    <row r="1649" spans="1:5">
      <c r="A1649" t="s">
        <v>1919</v>
      </c>
      <c r="B1649" t="s">
        <v>1924</v>
      </c>
      <c r="C1649">
        <f>0</f>
        <v>0</v>
      </c>
      <c r="D1649">
        <v>0.96558411630600005</v>
      </c>
      <c r="E1649">
        <v>7.8680659670164896</v>
      </c>
    </row>
    <row r="1650" spans="1:5">
      <c r="A1650" t="s">
        <v>1919</v>
      </c>
      <c r="B1650" t="s">
        <v>1925</v>
      </c>
      <c r="C1650">
        <v>0</v>
      </c>
      <c r="D1650">
        <v>0.96558411630600005</v>
      </c>
      <c r="E1650">
        <v>7.8680659670164896</v>
      </c>
    </row>
    <row r="1651" spans="1:5">
      <c r="A1651" t="s">
        <v>1919</v>
      </c>
      <c r="B1651" t="s">
        <v>1926</v>
      </c>
      <c r="C1651">
        <f>0</f>
        <v>0</v>
      </c>
      <c r="D1651">
        <v>0.96558411630600005</v>
      </c>
      <c r="E1651">
        <v>7.8680659670164896</v>
      </c>
    </row>
    <row r="1652" spans="1:5">
      <c r="A1652" t="s">
        <v>1919</v>
      </c>
      <c r="B1652" t="s">
        <v>1927</v>
      </c>
      <c r="C1652">
        <v>0</v>
      </c>
      <c r="D1652">
        <v>0.96558411630600005</v>
      </c>
      <c r="E1652">
        <v>7.8680659670164896</v>
      </c>
    </row>
    <row r="1653" spans="1:5">
      <c r="A1653" t="s">
        <v>1919</v>
      </c>
      <c r="B1653" t="s">
        <v>1928</v>
      </c>
      <c r="C1653">
        <v>0</v>
      </c>
      <c r="D1653">
        <v>0.96558411630600005</v>
      </c>
      <c r="E1653">
        <v>7.8680659670164896</v>
      </c>
    </row>
    <row r="1654" spans="1:5">
      <c r="A1654" t="s">
        <v>1919</v>
      </c>
      <c r="B1654" t="s">
        <v>1929</v>
      </c>
      <c r="C1654">
        <v>0</v>
      </c>
      <c r="D1654">
        <v>0.96558411630600005</v>
      </c>
      <c r="E1654">
        <v>7.8680659670164896</v>
      </c>
    </row>
    <row r="1655" spans="1:5">
      <c r="A1655" t="s">
        <v>1919</v>
      </c>
      <c r="B1655" t="s">
        <v>1930</v>
      </c>
      <c r="C1655">
        <v>0</v>
      </c>
      <c r="D1655">
        <v>0.96558411630600005</v>
      </c>
      <c r="E1655">
        <v>7.8680659670164896</v>
      </c>
    </row>
    <row r="1656" spans="1:5">
      <c r="A1656" t="s">
        <v>1919</v>
      </c>
      <c r="B1656" t="s">
        <v>1931</v>
      </c>
      <c r="C1656">
        <v>0</v>
      </c>
      <c r="D1656">
        <v>0.96558411630600005</v>
      </c>
      <c r="E1656">
        <v>7.8680659670164896</v>
      </c>
    </row>
    <row r="1657" spans="1:5">
      <c r="A1657" t="s">
        <v>1919</v>
      </c>
      <c r="B1657" t="s">
        <v>1932</v>
      </c>
      <c r="C1657">
        <v>0</v>
      </c>
      <c r="D1657">
        <v>0.96558411630600005</v>
      </c>
      <c r="E1657">
        <v>7.8680659670164896</v>
      </c>
    </row>
    <row r="1658" spans="1:5">
      <c r="A1658" t="s">
        <v>1919</v>
      </c>
      <c r="B1658" t="s">
        <v>1933</v>
      </c>
      <c r="C1658">
        <v>0.242230351092</v>
      </c>
      <c r="D1658">
        <v>0.96558411630600005</v>
      </c>
      <c r="E1658">
        <v>7.8680659670164896</v>
      </c>
    </row>
    <row r="1659" spans="1:5">
      <c r="A1659" t="s">
        <v>1919</v>
      </c>
      <c r="B1659" t="s">
        <v>1934</v>
      </c>
      <c r="C1659">
        <f>0</f>
        <v>0</v>
      </c>
      <c r="D1659">
        <v>0.96558411630600005</v>
      </c>
      <c r="E1659">
        <v>7.8680659670164896</v>
      </c>
    </row>
    <row r="1660" spans="1:5">
      <c r="A1660" t="s">
        <v>1919</v>
      </c>
      <c r="B1660" t="s">
        <v>1935</v>
      </c>
      <c r="C1660">
        <v>0</v>
      </c>
      <c r="D1660">
        <v>0.96558411630600005</v>
      </c>
      <c r="E1660">
        <v>7.8680659670164896</v>
      </c>
    </row>
    <row r="1661" spans="1:5">
      <c r="A1661" t="s">
        <v>1919</v>
      </c>
      <c r="B1661" t="s">
        <v>1936</v>
      </c>
      <c r="C1661">
        <v>0</v>
      </c>
      <c r="D1661">
        <v>0.96558411630600005</v>
      </c>
      <c r="E1661">
        <v>7.8680659670164896</v>
      </c>
    </row>
    <row r="1662" spans="1:5">
      <c r="A1662" t="s">
        <v>1919</v>
      </c>
      <c r="B1662" t="s">
        <v>1937</v>
      </c>
      <c r="C1662">
        <v>0</v>
      </c>
      <c r="D1662">
        <v>0.96558411630600005</v>
      </c>
      <c r="E1662">
        <v>7.8680659670164896</v>
      </c>
    </row>
    <row r="1663" spans="1:5">
      <c r="A1663" t="s">
        <v>1938</v>
      </c>
      <c r="B1663" t="s">
        <v>1939</v>
      </c>
      <c r="C1663">
        <f>0.0537300802534</f>
        <v>5.3730080253400002E-2</v>
      </c>
      <c r="D1663">
        <v>0.88176408847900001</v>
      </c>
      <c r="E1663">
        <v>0.28785607196401702</v>
      </c>
    </row>
    <row r="1664" spans="1:5">
      <c r="A1664" t="s">
        <v>1938</v>
      </c>
      <c r="B1664" t="s">
        <v>1940</v>
      </c>
      <c r="C1664">
        <v>0.72606370368700002</v>
      </c>
      <c r="D1664">
        <v>0.88176408847900001</v>
      </c>
      <c r="E1664">
        <v>0.28785607196401702</v>
      </c>
    </row>
    <row r="1665" spans="1:5">
      <c r="A1665" t="s">
        <v>1941</v>
      </c>
      <c r="B1665" t="s">
        <v>1942</v>
      </c>
      <c r="C1665">
        <v>0.18102712988</v>
      </c>
      <c r="D1665">
        <v>0.82376178821599999</v>
      </c>
      <c r="E1665">
        <v>8.5757121439280297</v>
      </c>
    </row>
    <row r="1666" spans="1:5">
      <c r="A1666" t="s">
        <v>1941</v>
      </c>
      <c r="B1666" t="s">
        <v>1943</v>
      </c>
      <c r="C1666">
        <v>0</v>
      </c>
      <c r="D1666">
        <v>0.82376178821599999</v>
      </c>
      <c r="E1666">
        <v>8.5757121439280297</v>
      </c>
    </row>
    <row r="1667" spans="1:5">
      <c r="A1667" t="s">
        <v>1941</v>
      </c>
      <c r="B1667" t="s">
        <v>1944</v>
      </c>
      <c r="C1667">
        <v>8.7476703001700008E-3</v>
      </c>
      <c r="D1667">
        <v>0.82376178821599999</v>
      </c>
      <c r="E1667">
        <v>8.5757121439280297</v>
      </c>
    </row>
    <row r="1668" spans="1:5">
      <c r="A1668" t="s">
        <v>1945</v>
      </c>
      <c r="B1668" t="s">
        <v>1946</v>
      </c>
      <c r="C1668">
        <v>0</v>
      </c>
      <c r="D1668">
        <v>0.723491780232</v>
      </c>
      <c r="E1668">
        <v>24</v>
      </c>
    </row>
    <row r="1669" spans="1:5">
      <c r="A1669" t="s">
        <v>1945</v>
      </c>
      <c r="B1669" t="s">
        <v>1947</v>
      </c>
      <c r="C1669">
        <f>0.0367984186256</f>
        <v>3.6798418625600002E-2</v>
      </c>
      <c r="D1669">
        <v>0.723491780232</v>
      </c>
      <c r="E1669">
        <v>24</v>
      </c>
    </row>
    <row r="1670" spans="1:5">
      <c r="A1670" t="s">
        <v>1945</v>
      </c>
      <c r="B1670" t="s">
        <v>1948</v>
      </c>
      <c r="C1670">
        <f>0.0261183302529</f>
        <v>2.6118330252900002E-2</v>
      </c>
      <c r="D1670">
        <v>0.723491780232</v>
      </c>
      <c r="E1670">
        <v>24</v>
      </c>
    </row>
    <row r="1671" spans="1:5">
      <c r="A1671" t="s">
        <v>1945</v>
      </c>
      <c r="B1671" t="s">
        <v>1949</v>
      </c>
      <c r="C1671">
        <v>0</v>
      </c>
      <c r="D1671">
        <v>0.723491780232</v>
      </c>
      <c r="E1671">
        <v>24</v>
      </c>
    </row>
    <row r="1672" spans="1:5">
      <c r="A1672" t="s">
        <v>1950</v>
      </c>
      <c r="B1672" t="s">
        <v>1951</v>
      </c>
      <c r="C1672">
        <v>0</v>
      </c>
      <c r="D1672" t="s">
        <v>106</v>
      </c>
      <c r="E1672">
        <v>9.3073463268365799</v>
      </c>
    </row>
    <row r="1673" spans="1:5">
      <c r="A1673" t="s">
        <v>1950</v>
      </c>
      <c r="B1673" t="s">
        <v>1952</v>
      </c>
      <c r="C1673">
        <f>0</f>
        <v>0</v>
      </c>
      <c r="D1673" t="s">
        <v>106</v>
      </c>
      <c r="E1673">
        <v>9.3073463268365799</v>
      </c>
    </row>
    <row r="1674" spans="1:5">
      <c r="A1674" t="s">
        <v>1950</v>
      </c>
      <c r="B1674" t="s">
        <v>1953</v>
      </c>
      <c r="C1674">
        <f>0</f>
        <v>0</v>
      </c>
      <c r="D1674" t="s">
        <v>106</v>
      </c>
      <c r="E1674">
        <v>9.3073463268365799</v>
      </c>
    </row>
    <row r="1675" spans="1:5">
      <c r="A1675" t="s">
        <v>1950</v>
      </c>
      <c r="B1675" t="s">
        <v>1954</v>
      </c>
      <c r="C1675">
        <v>0</v>
      </c>
      <c r="D1675" t="s">
        <v>106</v>
      </c>
      <c r="E1675">
        <v>9.3073463268365799</v>
      </c>
    </row>
    <row r="1676" spans="1:5">
      <c r="A1676" t="s">
        <v>1950</v>
      </c>
      <c r="B1676" t="s">
        <v>1955</v>
      </c>
      <c r="C1676">
        <f>0</f>
        <v>0</v>
      </c>
      <c r="D1676" t="s">
        <v>106</v>
      </c>
      <c r="E1676">
        <v>9.3073463268365799</v>
      </c>
    </row>
    <row r="1677" spans="1:5">
      <c r="A1677" t="s">
        <v>1950</v>
      </c>
      <c r="B1677" t="s">
        <v>1956</v>
      </c>
      <c r="C1677">
        <f>0</f>
        <v>0</v>
      </c>
      <c r="D1677" t="s">
        <v>106</v>
      </c>
      <c r="E1677">
        <v>9.3073463268365799</v>
      </c>
    </row>
    <row r="1678" spans="1:5">
      <c r="A1678" t="s">
        <v>1950</v>
      </c>
      <c r="B1678" t="s">
        <v>1957</v>
      </c>
      <c r="C1678">
        <f>0</f>
        <v>0</v>
      </c>
      <c r="D1678" t="s">
        <v>106</v>
      </c>
      <c r="E1678">
        <v>9.3073463268365799</v>
      </c>
    </row>
    <row r="1679" spans="1:5">
      <c r="A1679" t="s">
        <v>1950</v>
      </c>
      <c r="B1679" t="s">
        <v>1958</v>
      </c>
      <c r="C1679">
        <v>0</v>
      </c>
      <c r="D1679" t="s">
        <v>106</v>
      </c>
      <c r="E1679">
        <v>9.3073463268365799</v>
      </c>
    </row>
    <row r="1680" spans="1:5">
      <c r="A1680" t="s">
        <v>1950</v>
      </c>
      <c r="B1680" t="s">
        <v>1959</v>
      </c>
      <c r="C1680">
        <f>0</f>
        <v>0</v>
      </c>
      <c r="D1680" t="s">
        <v>106</v>
      </c>
      <c r="E1680">
        <v>9.3073463268365799</v>
      </c>
    </row>
    <row r="1681" spans="1:5">
      <c r="A1681" t="s">
        <v>1950</v>
      </c>
      <c r="B1681" t="s">
        <v>1960</v>
      </c>
      <c r="C1681">
        <f>0</f>
        <v>0</v>
      </c>
      <c r="D1681" t="s">
        <v>106</v>
      </c>
      <c r="E1681">
        <v>9.3073463268365799</v>
      </c>
    </row>
    <row r="1682" spans="1:5">
      <c r="A1682" t="s">
        <v>1950</v>
      </c>
      <c r="B1682" t="s">
        <v>1961</v>
      </c>
      <c r="C1682">
        <v>0</v>
      </c>
      <c r="D1682" t="s">
        <v>106</v>
      </c>
      <c r="E1682">
        <v>9.3073463268365799</v>
      </c>
    </row>
    <row r="1683" spans="1:5">
      <c r="A1683" t="s">
        <v>1950</v>
      </c>
      <c r="B1683" t="s">
        <v>1962</v>
      </c>
      <c r="C1683">
        <v>0</v>
      </c>
      <c r="D1683" t="s">
        <v>106</v>
      </c>
      <c r="E1683">
        <v>9.3073463268365799</v>
      </c>
    </row>
    <row r="1684" spans="1:5">
      <c r="A1684" t="s">
        <v>1950</v>
      </c>
      <c r="B1684" t="s">
        <v>1963</v>
      </c>
      <c r="C1684">
        <f>0</f>
        <v>0</v>
      </c>
      <c r="D1684" t="s">
        <v>106</v>
      </c>
      <c r="E1684">
        <v>9.3073463268365799</v>
      </c>
    </row>
    <row r="1685" spans="1:5">
      <c r="A1685" t="s">
        <v>1950</v>
      </c>
      <c r="B1685" t="s">
        <v>1964</v>
      </c>
      <c r="C1685">
        <v>0</v>
      </c>
      <c r="D1685" t="s">
        <v>106</v>
      </c>
      <c r="E1685">
        <v>9.3073463268365799</v>
      </c>
    </row>
    <row r="1686" spans="1:5">
      <c r="A1686" t="s">
        <v>1965</v>
      </c>
      <c r="B1686" t="s">
        <v>1966</v>
      </c>
      <c r="C1686">
        <v>0.57561436320399995</v>
      </c>
      <c r="D1686">
        <v>0.97443439462899994</v>
      </c>
      <c r="E1686">
        <v>7.0644677661169402</v>
      </c>
    </row>
    <row r="1687" spans="1:5">
      <c r="A1687" t="s">
        <v>1965</v>
      </c>
      <c r="B1687" t="s">
        <v>1967</v>
      </c>
      <c r="C1687">
        <f>0.0987309205933</f>
        <v>9.8730920593300006E-2</v>
      </c>
      <c r="D1687">
        <v>0.97443439462899994</v>
      </c>
      <c r="E1687">
        <v>7.0644677661169402</v>
      </c>
    </row>
    <row r="1688" spans="1:5">
      <c r="A1688" t="s">
        <v>1965</v>
      </c>
      <c r="B1688" t="s">
        <v>1968</v>
      </c>
      <c r="C1688">
        <v>0</v>
      </c>
      <c r="D1688">
        <v>0.97443439462899994</v>
      </c>
      <c r="E1688">
        <v>7.0644677661169402</v>
      </c>
    </row>
    <row r="1689" spans="1:5">
      <c r="A1689" t="s">
        <v>1969</v>
      </c>
      <c r="B1689" t="s">
        <v>1970</v>
      </c>
      <c r="C1689">
        <f>0</f>
        <v>0</v>
      </c>
      <c r="D1689">
        <v>0.99648165821400003</v>
      </c>
      <c r="E1689">
        <v>24</v>
      </c>
    </row>
    <row r="1690" spans="1:5">
      <c r="A1690" t="s">
        <v>1969</v>
      </c>
      <c r="B1690" t="s">
        <v>1971</v>
      </c>
      <c r="C1690">
        <v>6.20260216812E-2</v>
      </c>
      <c r="D1690">
        <v>0.99648165821400003</v>
      </c>
      <c r="E1690">
        <v>24</v>
      </c>
    </row>
    <row r="1691" spans="1:5">
      <c r="A1691" t="s">
        <v>1969</v>
      </c>
      <c r="B1691" t="s">
        <v>1972</v>
      </c>
      <c r="C1691">
        <v>0</v>
      </c>
      <c r="D1691">
        <v>0.99648165821400003</v>
      </c>
      <c r="E1691">
        <v>24</v>
      </c>
    </row>
    <row r="1692" spans="1:5">
      <c r="A1692" t="s">
        <v>1969</v>
      </c>
      <c r="B1692" t="s">
        <v>1973</v>
      </c>
      <c r="C1692">
        <v>5.28019515345E-2</v>
      </c>
      <c r="D1692">
        <v>0.99648165821400003</v>
      </c>
      <c r="E1692">
        <v>24</v>
      </c>
    </row>
    <row r="1693" spans="1:5">
      <c r="A1693" t="s">
        <v>1969</v>
      </c>
      <c r="B1693" t="s">
        <v>1974</v>
      </c>
      <c r="C1693">
        <f>0</f>
        <v>0</v>
      </c>
      <c r="D1693">
        <v>0.99648165821400003</v>
      </c>
      <c r="E1693">
        <v>24</v>
      </c>
    </row>
    <row r="1694" spans="1:5">
      <c r="A1694" t="s">
        <v>1969</v>
      </c>
      <c r="B1694" t="s">
        <v>1975</v>
      </c>
      <c r="C1694">
        <v>0</v>
      </c>
      <c r="D1694">
        <v>0.99648165821400003</v>
      </c>
      <c r="E1694">
        <v>24</v>
      </c>
    </row>
    <row r="1695" spans="1:5">
      <c r="A1695" t="s">
        <v>1976</v>
      </c>
      <c r="B1695" t="s">
        <v>1977</v>
      </c>
      <c r="C1695">
        <f>0</f>
        <v>0</v>
      </c>
      <c r="D1695" t="s">
        <v>106</v>
      </c>
      <c r="E1695">
        <v>9.4632683658170897</v>
      </c>
    </row>
    <row r="1696" spans="1:5">
      <c r="A1696" t="s">
        <v>1976</v>
      </c>
      <c r="B1696" t="s">
        <v>1978</v>
      </c>
      <c r="C1696">
        <f>0</f>
        <v>0</v>
      </c>
      <c r="D1696" t="s">
        <v>106</v>
      </c>
      <c r="E1696">
        <v>9.4632683658170897</v>
      </c>
    </row>
    <row r="1697" spans="1:5">
      <c r="A1697" t="s">
        <v>1979</v>
      </c>
      <c r="B1697" t="s">
        <v>1980</v>
      </c>
      <c r="C1697">
        <v>0</v>
      </c>
      <c r="D1697">
        <v>0.88216204690599997</v>
      </c>
      <c r="E1697">
        <v>1.11544227886056</v>
      </c>
    </row>
    <row r="1698" spans="1:5">
      <c r="A1698" t="s">
        <v>1979</v>
      </c>
      <c r="B1698" t="s">
        <v>1981</v>
      </c>
      <c r="C1698">
        <v>0.254487536849</v>
      </c>
      <c r="D1698">
        <v>0.88216204690599997</v>
      </c>
      <c r="E1698">
        <v>1.11544227886056</v>
      </c>
    </row>
    <row r="1699" spans="1:5">
      <c r="A1699" t="s">
        <v>1979</v>
      </c>
      <c r="B1699" t="s">
        <v>1982</v>
      </c>
      <c r="C1699">
        <f>0</f>
        <v>0</v>
      </c>
      <c r="D1699">
        <v>0.88216204690599997</v>
      </c>
      <c r="E1699">
        <v>1.11544227886056</v>
      </c>
    </row>
    <row r="1700" spans="1:5">
      <c r="A1700" t="s">
        <v>1979</v>
      </c>
      <c r="B1700" t="s">
        <v>1983</v>
      </c>
      <c r="C1700">
        <f>0</f>
        <v>0</v>
      </c>
      <c r="D1700">
        <v>0.88216204690599997</v>
      </c>
      <c r="E1700">
        <v>1.11544227886056</v>
      </c>
    </row>
    <row r="1701" spans="1:5">
      <c r="A1701" t="s">
        <v>1979</v>
      </c>
      <c r="B1701" t="s">
        <v>1984</v>
      </c>
      <c r="C1701">
        <f>0</f>
        <v>0</v>
      </c>
      <c r="D1701">
        <v>0.88216204690599997</v>
      </c>
      <c r="E1701">
        <v>1.11544227886056</v>
      </c>
    </row>
    <row r="1702" spans="1:5">
      <c r="A1702" t="s">
        <v>1979</v>
      </c>
      <c r="B1702" t="s">
        <v>1985</v>
      </c>
      <c r="C1702">
        <v>0</v>
      </c>
      <c r="D1702">
        <v>0.88216204690599997</v>
      </c>
      <c r="E1702">
        <v>1.11544227886056</v>
      </c>
    </row>
    <row r="1703" spans="1:5">
      <c r="A1703" t="s">
        <v>1979</v>
      </c>
      <c r="B1703" t="s">
        <v>1986</v>
      </c>
      <c r="C1703">
        <f>0</f>
        <v>0</v>
      </c>
      <c r="D1703">
        <v>0.88216204690599997</v>
      </c>
      <c r="E1703">
        <v>1.11544227886056</v>
      </c>
    </row>
    <row r="1704" spans="1:5">
      <c r="A1704" t="s">
        <v>1979</v>
      </c>
      <c r="B1704" t="s">
        <v>1987</v>
      </c>
      <c r="C1704">
        <f>0</f>
        <v>0</v>
      </c>
      <c r="D1704">
        <v>0.88216204690599997</v>
      </c>
      <c r="E1704">
        <v>1.11544227886056</v>
      </c>
    </row>
    <row r="1705" spans="1:5">
      <c r="A1705" t="s">
        <v>1979</v>
      </c>
      <c r="B1705" t="s">
        <v>1988</v>
      </c>
      <c r="C1705">
        <v>0</v>
      </c>
      <c r="D1705">
        <v>0.88216204690599997</v>
      </c>
      <c r="E1705">
        <v>1.11544227886056</v>
      </c>
    </row>
    <row r="1706" spans="1:5">
      <c r="A1706" t="s">
        <v>1979</v>
      </c>
      <c r="B1706" t="s">
        <v>1989</v>
      </c>
      <c r="C1706">
        <f>0</f>
        <v>0</v>
      </c>
      <c r="D1706">
        <v>0.88216204690599997</v>
      </c>
      <c r="E1706">
        <v>1.11544227886056</v>
      </c>
    </row>
    <row r="1707" spans="1:5">
      <c r="A1707" t="s">
        <v>1979</v>
      </c>
      <c r="B1707" t="s">
        <v>1990</v>
      </c>
      <c r="C1707">
        <f>0</f>
        <v>0</v>
      </c>
      <c r="D1707">
        <v>0.88216204690599997</v>
      </c>
      <c r="E1707">
        <v>1.11544227886056</v>
      </c>
    </row>
    <row r="1708" spans="1:5">
      <c r="A1708" t="s">
        <v>1991</v>
      </c>
      <c r="B1708" t="s">
        <v>1992</v>
      </c>
      <c r="C1708">
        <f>0.645238743735</f>
        <v>0.64523874373500001</v>
      </c>
      <c r="D1708" t="s">
        <v>106</v>
      </c>
      <c r="E1708">
        <v>3.7781109445277301</v>
      </c>
    </row>
    <row r="1709" spans="1:5">
      <c r="A1709" t="s">
        <v>1991</v>
      </c>
      <c r="B1709" t="s">
        <v>1993</v>
      </c>
      <c r="C1709">
        <v>0.103567333333</v>
      </c>
      <c r="D1709" t="s">
        <v>106</v>
      </c>
      <c r="E1709">
        <v>3.7781109445277301</v>
      </c>
    </row>
    <row r="1710" spans="1:5">
      <c r="A1710" t="s">
        <v>1994</v>
      </c>
      <c r="B1710" t="s">
        <v>1995</v>
      </c>
      <c r="C1710">
        <v>0.34402530685400001</v>
      </c>
      <c r="D1710">
        <v>0.96135706323500003</v>
      </c>
      <c r="E1710">
        <v>8.8635682158920499</v>
      </c>
    </row>
    <row r="1711" spans="1:5">
      <c r="A1711" t="s">
        <v>1994</v>
      </c>
      <c r="B1711" t="s">
        <v>1996</v>
      </c>
      <c r="C1711">
        <f>0</f>
        <v>0</v>
      </c>
      <c r="D1711">
        <v>0.96135706323500003</v>
      </c>
      <c r="E1711">
        <v>8.8635682158920499</v>
      </c>
    </row>
    <row r="1712" spans="1:5">
      <c r="A1712" t="s">
        <v>1994</v>
      </c>
      <c r="B1712" t="s">
        <v>1997</v>
      </c>
      <c r="C1712">
        <v>0</v>
      </c>
      <c r="D1712">
        <v>0.96135706323500003</v>
      </c>
      <c r="E1712">
        <v>8.8635682158920499</v>
      </c>
    </row>
    <row r="1713" spans="1:5">
      <c r="A1713" t="s">
        <v>1994</v>
      </c>
      <c r="B1713" t="s">
        <v>1998</v>
      </c>
      <c r="C1713">
        <v>0</v>
      </c>
      <c r="D1713">
        <v>0.96135706323500003</v>
      </c>
      <c r="E1713">
        <v>8.8635682158920499</v>
      </c>
    </row>
    <row r="1714" spans="1:5">
      <c r="A1714" t="s">
        <v>1994</v>
      </c>
      <c r="B1714" t="s">
        <v>1999</v>
      </c>
      <c r="C1714">
        <f>0</f>
        <v>0</v>
      </c>
      <c r="D1714">
        <v>0.96135706323500003</v>
      </c>
      <c r="E1714">
        <v>8.8635682158920499</v>
      </c>
    </row>
    <row r="1715" spans="1:5">
      <c r="A1715" t="s">
        <v>1994</v>
      </c>
      <c r="B1715" t="s">
        <v>2000</v>
      </c>
      <c r="C1715">
        <v>0</v>
      </c>
      <c r="D1715">
        <v>0.96135706323500003</v>
      </c>
      <c r="E1715">
        <v>8.8635682158920499</v>
      </c>
    </row>
    <row r="1716" spans="1:5">
      <c r="A1716" t="s">
        <v>2001</v>
      </c>
      <c r="B1716" t="s">
        <v>2002</v>
      </c>
      <c r="C1716">
        <v>0.73230732207399996</v>
      </c>
      <c r="D1716">
        <v>0.911721086071</v>
      </c>
      <c r="E1716">
        <v>4.58170914542728</v>
      </c>
    </row>
    <row r="1717" spans="1:5">
      <c r="A1717" t="s">
        <v>2001</v>
      </c>
      <c r="B1717" t="s">
        <v>2003</v>
      </c>
      <c r="C1717">
        <v>2.67727135292E-2</v>
      </c>
      <c r="D1717">
        <v>0.911721086071</v>
      </c>
      <c r="E1717">
        <v>4.58170914542728</v>
      </c>
    </row>
    <row r="1718" spans="1:5">
      <c r="A1718" t="s">
        <v>2001</v>
      </c>
      <c r="B1718" t="s">
        <v>2004</v>
      </c>
      <c r="C1718">
        <v>0</v>
      </c>
      <c r="D1718">
        <v>0.911721086071</v>
      </c>
      <c r="E1718">
        <v>4.58170914542728</v>
      </c>
    </row>
    <row r="1719" spans="1:5">
      <c r="A1719" t="s">
        <v>2001</v>
      </c>
      <c r="B1719" t="s">
        <v>2005</v>
      </c>
      <c r="C1719">
        <f>0</f>
        <v>0</v>
      </c>
      <c r="D1719">
        <v>0.911721086071</v>
      </c>
      <c r="E1719">
        <v>4.58170914542728</v>
      </c>
    </row>
    <row r="1720" spans="1:5">
      <c r="A1720" t="s">
        <v>2006</v>
      </c>
      <c r="B1720" t="s">
        <v>2007</v>
      </c>
      <c r="C1720">
        <v>6.9803732243599995E-2</v>
      </c>
      <c r="D1720">
        <v>0.93936276246299999</v>
      </c>
      <c r="E1720">
        <v>24</v>
      </c>
    </row>
    <row r="1721" spans="1:5">
      <c r="A1721" t="s">
        <v>2006</v>
      </c>
      <c r="B1721" t="s">
        <v>2008</v>
      </c>
      <c r="C1721">
        <f>0</f>
        <v>0</v>
      </c>
      <c r="D1721">
        <v>0.93936276246299999</v>
      </c>
      <c r="E1721">
        <v>24</v>
      </c>
    </row>
    <row r="1722" spans="1:5">
      <c r="A1722" t="s">
        <v>2006</v>
      </c>
      <c r="B1722" t="s">
        <v>2009</v>
      </c>
      <c r="C1722">
        <f>0</f>
        <v>0</v>
      </c>
      <c r="D1722">
        <v>0.93936276246299999</v>
      </c>
      <c r="E1722">
        <v>24</v>
      </c>
    </row>
    <row r="1723" spans="1:5">
      <c r="A1723" t="s">
        <v>2006</v>
      </c>
      <c r="B1723" t="s">
        <v>2010</v>
      </c>
      <c r="C1723">
        <f>0</f>
        <v>0</v>
      </c>
      <c r="D1723">
        <v>0.93936276246299999</v>
      </c>
      <c r="E1723">
        <v>24</v>
      </c>
    </row>
    <row r="1724" spans="1:5">
      <c r="A1724" t="s">
        <v>2011</v>
      </c>
      <c r="B1724" t="s">
        <v>2012</v>
      </c>
      <c r="C1724">
        <f>0</f>
        <v>0</v>
      </c>
      <c r="D1724">
        <v>0.97966175915999998</v>
      </c>
      <c r="E1724">
        <v>20.509745127436201</v>
      </c>
    </row>
    <row r="1725" spans="1:5">
      <c r="A1725" t="s">
        <v>2011</v>
      </c>
      <c r="B1725" t="s">
        <v>2013</v>
      </c>
      <c r="C1725">
        <v>0</v>
      </c>
      <c r="D1725">
        <v>0.97966175915999998</v>
      </c>
      <c r="E1725">
        <v>20.509745127436201</v>
      </c>
    </row>
    <row r="1726" spans="1:5">
      <c r="A1726" t="s">
        <v>2011</v>
      </c>
      <c r="B1726" t="s">
        <v>2014</v>
      </c>
      <c r="C1726">
        <f>0</f>
        <v>0</v>
      </c>
      <c r="D1726">
        <v>0.97966175915999998</v>
      </c>
      <c r="E1726">
        <v>20.509745127436201</v>
      </c>
    </row>
    <row r="1727" spans="1:5">
      <c r="A1727" t="s">
        <v>2011</v>
      </c>
      <c r="B1727" t="s">
        <v>2015</v>
      </c>
      <c r="C1727">
        <v>0</v>
      </c>
      <c r="D1727">
        <v>0.97966175915999998</v>
      </c>
      <c r="E1727">
        <v>20.509745127436201</v>
      </c>
    </row>
    <row r="1728" spans="1:5">
      <c r="A1728" t="s">
        <v>2011</v>
      </c>
      <c r="B1728" t="s">
        <v>2016</v>
      </c>
      <c r="C1728">
        <f>0</f>
        <v>0</v>
      </c>
      <c r="D1728">
        <v>0.97966175915999998</v>
      </c>
      <c r="E1728">
        <v>20.509745127436201</v>
      </c>
    </row>
    <row r="1729" spans="1:5">
      <c r="A1729" t="s">
        <v>2017</v>
      </c>
      <c r="B1729" t="s">
        <v>2018</v>
      </c>
      <c r="C1729">
        <f>0</f>
        <v>0</v>
      </c>
      <c r="D1729">
        <v>0.967142740547</v>
      </c>
      <c r="E1729">
        <v>17.919040479760099</v>
      </c>
    </row>
    <row r="1730" spans="1:5">
      <c r="A1730" t="s">
        <v>2019</v>
      </c>
      <c r="B1730" t="s">
        <v>2020</v>
      </c>
      <c r="C1730">
        <v>0.63408264732300001</v>
      </c>
      <c r="D1730">
        <v>0.90651879382400002</v>
      </c>
      <c r="E1730">
        <v>8.1439280359820092</v>
      </c>
    </row>
    <row r="1731" spans="1:5">
      <c r="A1731" t="s">
        <v>2021</v>
      </c>
      <c r="B1731" t="s">
        <v>2022</v>
      </c>
      <c r="C1731">
        <f>0.0306481228633</f>
        <v>3.0648122863300001E-2</v>
      </c>
      <c r="D1731">
        <v>0.691412800715</v>
      </c>
      <c r="E1731">
        <v>9.1634182908545707</v>
      </c>
    </row>
    <row r="1732" spans="1:5">
      <c r="A1732" t="s">
        <v>2021</v>
      </c>
      <c r="B1732" t="s">
        <v>2023</v>
      </c>
      <c r="C1732">
        <f>0</f>
        <v>0</v>
      </c>
      <c r="D1732">
        <v>0.691412800715</v>
      </c>
      <c r="E1732">
        <v>9.1634182908545707</v>
      </c>
    </row>
    <row r="1733" spans="1:5">
      <c r="A1733" t="s">
        <v>2021</v>
      </c>
      <c r="B1733" t="s">
        <v>2024</v>
      </c>
      <c r="C1733">
        <v>0.209776599358</v>
      </c>
      <c r="D1733">
        <v>0.691412800715</v>
      </c>
      <c r="E1733">
        <v>9.1634182908545707</v>
      </c>
    </row>
    <row r="1734" spans="1:5">
      <c r="A1734" t="s">
        <v>2021</v>
      </c>
      <c r="B1734" t="s">
        <v>2025</v>
      </c>
      <c r="C1734">
        <f>0</f>
        <v>0</v>
      </c>
      <c r="D1734">
        <v>0.691412800715</v>
      </c>
      <c r="E1734">
        <v>9.1634182908545707</v>
      </c>
    </row>
    <row r="1735" spans="1:5">
      <c r="A1735" t="s">
        <v>2021</v>
      </c>
      <c r="B1735" t="s">
        <v>2026</v>
      </c>
      <c r="C1735">
        <f>0</f>
        <v>0</v>
      </c>
      <c r="D1735">
        <v>0.691412800715</v>
      </c>
      <c r="E1735">
        <v>9.1634182908545707</v>
      </c>
    </row>
    <row r="1736" spans="1:5">
      <c r="A1736" t="s">
        <v>2027</v>
      </c>
      <c r="B1736" t="s">
        <v>2028</v>
      </c>
      <c r="C1736">
        <f>0</f>
        <v>0</v>
      </c>
      <c r="D1736">
        <v>0.94147232153600002</v>
      </c>
      <c r="E1736">
        <v>3.0464767616191901</v>
      </c>
    </row>
    <row r="1737" spans="1:5">
      <c r="A1737" t="s">
        <v>2027</v>
      </c>
      <c r="B1737" t="s">
        <v>2029</v>
      </c>
      <c r="C1737">
        <f>0</f>
        <v>0</v>
      </c>
      <c r="D1737">
        <v>0.94147232153600002</v>
      </c>
      <c r="E1737">
        <v>3.0464767616191901</v>
      </c>
    </row>
    <row r="1738" spans="1:5">
      <c r="A1738" t="s">
        <v>2027</v>
      </c>
      <c r="B1738" t="s">
        <v>2030</v>
      </c>
      <c r="C1738">
        <v>0</v>
      </c>
      <c r="D1738">
        <v>0.94147232153600002</v>
      </c>
      <c r="E1738">
        <v>3.0464767616191901</v>
      </c>
    </row>
    <row r="1739" spans="1:5">
      <c r="A1739" t="s">
        <v>2027</v>
      </c>
      <c r="B1739" t="s">
        <v>2031</v>
      </c>
      <c r="C1739">
        <v>0.124981698138</v>
      </c>
      <c r="D1739">
        <v>0.94147232153600002</v>
      </c>
      <c r="E1739">
        <v>3.0464767616191901</v>
      </c>
    </row>
    <row r="1740" spans="1:5">
      <c r="A1740" t="s">
        <v>2032</v>
      </c>
      <c r="B1740" t="s">
        <v>2033</v>
      </c>
      <c r="C1740">
        <v>0.53965092257199998</v>
      </c>
      <c r="D1740">
        <v>0.98435433786100002</v>
      </c>
      <c r="E1740">
        <v>0.131934032983508</v>
      </c>
    </row>
    <row r="1741" spans="1:5">
      <c r="A1741" t="s">
        <v>2032</v>
      </c>
      <c r="B1741" t="s">
        <v>2034</v>
      </c>
      <c r="C1741">
        <f>-1.0815150335</f>
        <v>-1.0815150334999999</v>
      </c>
      <c r="D1741">
        <v>0.98435433786100002</v>
      </c>
      <c r="E1741">
        <v>0.131934032983508</v>
      </c>
    </row>
    <row r="1742" spans="1:5">
      <c r="A1742" t="s">
        <v>2035</v>
      </c>
      <c r="B1742" t="s">
        <v>2036</v>
      </c>
      <c r="C1742">
        <v>0</v>
      </c>
      <c r="D1742">
        <v>0.70938107081500001</v>
      </c>
      <c r="E1742">
        <v>12.3898050974512</v>
      </c>
    </row>
    <row r="1743" spans="1:5">
      <c r="A1743" t="s">
        <v>2035</v>
      </c>
      <c r="B1743" t="s">
        <v>2037</v>
      </c>
      <c r="C1743">
        <f>0</f>
        <v>0</v>
      </c>
      <c r="D1743">
        <v>0.70938107081500001</v>
      </c>
      <c r="E1743">
        <v>12.3898050974512</v>
      </c>
    </row>
    <row r="1744" spans="1:5">
      <c r="A1744" t="s">
        <v>2035</v>
      </c>
      <c r="B1744" t="s">
        <v>2038</v>
      </c>
      <c r="C1744">
        <f>0</f>
        <v>0</v>
      </c>
      <c r="D1744">
        <v>0.70938107081500001</v>
      </c>
      <c r="E1744">
        <v>12.3898050974512</v>
      </c>
    </row>
    <row r="1745" spans="1:5">
      <c r="A1745" t="s">
        <v>2035</v>
      </c>
      <c r="B1745" t="s">
        <v>2039</v>
      </c>
      <c r="C1745">
        <f>0</f>
        <v>0</v>
      </c>
      <c r="D1745">
        <v>0.70938107081500001</v>
      </c>
      <c r="E1745">
        <v>12.3898050974512</v>
      </c>
    </row>
    <row r="1746" spans="1:5">
      <c r="A1746" t="s">
        <v>2035</v>
      </c>
      <c r="B1746" t="s">
        <v>2040</v>
      </c>
      <c r="C1746">
        <v>5.8377792124200002E-2</v>
      </c>
      <c r="D1746">
        <v>0.70938107081500001</v>
      </c>
      <c r="E1746">
        <v>12.3898050974512</v>
      </c>
    </row>
    <row r="1747" spans="1:5">
      <c r="A1747" t="s">
        <v>2041</v>
      </c>
      <c r="B1747" t="s">
        <v>2042</v>
      </c>
      <c r="C1747">
        <v>0</v>
      </c>
      <c r="D1747">
        <v>0.98766011818699995</v>
      </c>
      <c r="E1747">
        <v>1.96701649175412</v>
      </c>
    </row>
    <row r="1748" spans="1:5">
      <c r="A1748" t="s">
        <v>2041</v>
      </c>
      <c r="B1748" t="s">
        <v>2043</v>
      </c>
      <c r="C1748">
        <v>0</v>
      </c>
      <c r="D1748">
        <v>0.98766011818699995</v>
      </c>
      <c r="E1748">
        <v>1.96701649175412</v>
      </c>
    </row>
    <row r="1749" spans="1:5">
      <c r="A1749" t="s">
        <v>2041</v>
      </c>
      <c r="B1749" t="s">
        <v>2044</v>
      </c>
      <c r="C1749">
        <v>0</v>
      </c>
      <c r="D1749">
        <v>0.98766011818699995</v>
      </c>
      <c r="E1749">
        <v>1.96701649175412</v>
      </c>
    </row>
    <row r="1750" spans="1:5">
      <c r="A1750" t="s">
        <v>2041</v>
      </c>
      <c r="B1750" t="s">
        <v>2045</v>
      </c>
      <c r="C1750">
        <v>0</v>
      </c>
      <c r="D1750">
        <v>0.98766011818699995</v>
      </c>
      <c r="E1750">
        <v>1.96701649175412</v>
      </c>
    </row>
    <row r="1751" spans="1:5">
      <c r="A1751" t="s">
        <v>2041</v>
      </c>
      <c r="B1751" t="s">
        <v>2046</v>
      </c>
      <c r="C1751">
        <f>0</f>
        <v>0</v>
      </c>
      <c r="D1751">
        <v>0.98766011818699995</v>
      </c>
      <c r="E1751">
        <v>1.96701649175412</v>
      </c>
    </row>
    <row r="1752" spans="1:5">
      <c r="A1752" t="s">
        <v>2041</v>
      </c>
      <c r="B1752" t="s">
        <v>2047</v>
      </c>
      <c r="C1752">
        <v>0</v>
      </c>
      <c r="D1752">
        <v>0.98766011818699995</v>
      </c>
      <c r="E1752">
        <v>1.96701649175412</v>
      </c>
    </row>
    <row r="1753" spans="1:5">
      <c r="A1753" t="s">
        <v>2041</v>
      </c>
      <c r="B1753" t="s">
        <v>2048</v>
      </c>
      <c r="C1753">
        <f>0</f>
        <v>0</v>
      </c>
      <c r="D1753">
        <v>0.98766011818699995</v>
      </c>
      <c r="E1753">
        <v>1.96701649175412</v>
      </c>
    </row>
    <row r="1754" spans="1:5">
      <c r="A1754" t="s">
        <v>2041</v>
      </c>
      <c r="B1754" t="s">
        <v>2049</v>
      </c>
      <c r="C1754">
        <v>0.154183330875</v>
      </c>
      <c r="D1754">
        <v>0.98766011818699995</v>
      </c>
      <c r="E1754">
        <v>1.96701649175412</v>
      </c>
    </row>
    <row r="1755" spans="1:5">
      <c r="A1755" t="s">
        <v>2041</v>
      </c>
      <c r="B1755" t="s">
        <v>2050</v>
      </c>
      <c r="C1755">
        <v>0</v>
      </c>
      <c r="D1755">
        <v>0.98766011818699995</v>
      </c>
      <c r="E1755">
        <v>1.96701649175412</v>
      </c>
    </row>
    <row r="1756" spans="1:5">
      <c r="A1756" t="s">
        <v>2041</v>
      </c>
      <c r="B1756" t="s">
        <v>2051</v>
      </c>
      <c r="C1756">
        <v>0</v>
      </c>
      <c r="D1756">
        <v>0.98766011818699995</v>
      </c>
      <c r="E1756">
        <v>1.96701649175412</v>
      </c>
    </row>
    <row r="1757" spans="1:5">
      <c r="A1757" t="s">
        <v>2052</v>
      </c>
      <c r="B1757" t="s">
        <v>2053</v>
      </c>
      <c r="C1757">
        <v>7.5567877046599993E-2</v>
      </c>
      <c r="D1757">
        <v>0.95504242338400003</v>
      </c>
      <c r="E1757">
        <v>13.997001499250301</v>
      </c>
    </row>
    <row r="1758" spans="1:5">
      <c r="A1758" t="s">
        <v>2052</v>
      </c>
      <c r="B1758" t="s">
        <v>2054</v>
      </c>
      <c r="C1758">
        <v>0</v>
      </c>
      <c r="D1758">
        <v>0.95504242338400003</v>
      </c>
      <c r="E1758">
        <v>13.997001499250301</v>
      </c>
    </row>
    <row r="1759" spans="1:5">
      <c r="A1759" t="s">
        <v>2052</v>
      </c>
      <c r="B1759" t="s">
        <v>2055</v>
      </c>
      <c r="C1759">
        <v>0</v>
      </c>
      <c r="D1759">
        <v>0.95504242338400003</v>
      </c>
      <c r="E1759">
        <v>13.997001499250301</v>
      </c>
    </row>
    <row r="1760" spans="1:5">
      <c r="A1760" t="s">
        <v>2052</v>
      </c>
      <c r="B1760" t="s">
        <v>2056</v>
      </c>
      <c r="C1760">
        <v>0.12330847315</v>
      </c>
      <c r="D1760">
        <v>0.95504242338400003</v>
      </c>
      <c r="E1760">
        <v>13.997001499250301</v>
      </c>
    </row>
    <row r="1761" spans="1:5">
      <c r="A1761" t="s">
        <v>2052</v>
      </c>
      <c r="B1761" t="s">
        <v>2057</v>
      </c>
      <c r="C1761">
        <f>0</f>
        <v>0</v>
      </c>
      <c r="D1761">
        <v>0.95504242338400003</v>
      </c>
      <c r="E1761">
        <v>13.997001499250301</v>
      </c>
    </row>
    <row r="1762" spans="1:5">
      <c r="A1762" t="s">
        <v>2052</v>
      </c>
      <c r="B1762" t="s">
        <v>2058</v>
      </c>
      <c r="C1762">
        <v>0</v>
      </c>
      <c r="D1762">
        <v>0.95504242338400003</v>
      </c>
      <c r="E1762">
        <v>13.997001499250301</v>
      </c>
    </row>
    <row r="1763" spans="1:5">
      <c r="A1763" t="s">
        <v>2052</v>
      </c>
      <c r="B1763" t="s">
        <v>2059</v>
      </c>
      <c r="C1763">
        <v>0</v>
      </c>
      <c r="D1763">
        <v>0.95504242338400003</v>
      </c>
      <c r="E1763">
        <v>13.997001499250301</v>
      </c>
    </row>
    <row r="1764" spans="1:5">
      <c r="A1764" t="s">
        <v>2052</v>
      </c>
      <c r="B1764" t="s">
        <v>2060</v>
      </c>
      <c r="C1764">
        <f>0</f>
        <v>0</v>
      </c>
      <c r="D1764">
        <v>0.95504242338400003</v>
      </c>
      <c r="E1764">
        <v>13.997001499250301</v>
      </c>
    </row>
    <row r="1765" spans="1:5">
      <c r="A1765" t="s">
        <v>2052</v>
      </c>
      <c r="B1765" t="s">
        <v>2061</v>
      </c>
      <c r="C1765">
        <v>0</v>
      </c>
      <c r="D1765">
        <v>0.95504242338400003</v>
      </c>
      <c r="E1765">
        <v>13.997001499250301</v>
      </c>
    </row>
    <row r="1766" spans="1:5">
      <c r="A1766" t="s">
        <v>2052</v>
      </c>
      <c r="B1766" t="s">
        <v>2062</v>
      </c>
      <c r="C1766">
        <v>0</v>
      </c>
      <c r="D1766">
        <v>0.95504242338400003</v>
      </c>
      <c r="E1766">
        <v>13.997001499250301</v>
      </c>
    </row>
    <row r="1767" spans="1:5">
      <c r="A1767" t="s">
        <v>2063</v>
      </c>
      <c r="B1767" t="s">
        <v>2064</v>
      </c>
      <c r="C1767">
        <f>0</f>
        <v>0</v>
      </c>
      <c r="D1767">
        <v>0.99527445582999996</v>
      </c>
      <c r="E1767">
        <v>1.6911544227886</v>
      </c>
    </row>
    <row r="1768" spans="1:5">
      <c r="A1768" t="s">
        <v>2063</v>
      </c>
      <c r="B1768" t="s">
        <v>2065</v>
      </c>
      <c r="C1768">
        <v>0.37364292219400003</v>
      </c>
      <c r="D1768">
        <v>0.99527445582999996</v>
      </c>
      <c r="E1768">
        <v>1.6911544227886</v>
      </c>
    </row>
    <row r="1769" spans="1:5">
      <c r="A1769" t="s">
        <v>2063</v>
      </c>
      <c r="B1769" t="s">
        <v>2066</v>
      </c>
      <c r="C1769">
        <f>0</f>
        <v>0</v>
      </c>
      <c r="D1769">
        <v>0.99527445582999996</v>
      </c>
      <c r="E1769">
        <v>1.6911544227886</v>
      </c>
    </row>
    <row r="1770" spans="1:5">
      <c r="A1770" t="s">
        <v>2063</v>
      </c>
      <c r="B1770" t="s">
        <v>2067</v>
      </c>
      <c r="C1770">
        <v>1.52477352617E-2</v>
      </c>
      <c r="D1770">
        <v>0.99527445582999996</v>
      </c>
      <c r="E1770">
        <v>1.6911544227886</v>
      </c>
    </row>
    <row r="1771" spans="1:5">
      <c r="A1771" t="s">
        <v>2063</v>
      </c>
      <c r="B1771" t="s">
        <v>2068</v>
      </c>
      <c r="C1771">
        <v>0</v>
      </c>
      <c r="D1771">
        <v>0.99527445582999996</v>
      </c>
      <c r="E1771">
        <v>1.6911544227886</v>
      </c>
    </row>
    <row r="1772" spans="1:5">
      <c r="A1772" t="s">
        <v>2063</v>
      </c>
      <c r="B1772" t="s">
        <v>2069</v>
      </c>
      <c r="C1772">
        <v>0</v>
      </c>
      <c r="D1772">
        <v>0.99527445582999996</v>
      </c>
      <c r="E1772">
        <v>1.6911544227886</v>
      </c>
    </row>
    <row r="1773" spans="1:5">
      <c r="A1773" t="s">
        <v>2070</v>
      </c>
      <c r="B1773" t="s">
        <v>2071</v>
      </c>
      <c r="C1773">
        <f>0</f>
        <v>0</v>
      </c>
      <c r="D1773">
        <v>0.94276078246700001</v>
      </c>
      <c r="E1773">
        <v>0.57571214392803505</v>
      </c>
    </row>
    <row r="1774" spans="1:5">
      <c r="A1774" t="s">
        <v>2070</v>
      </c>
      <c r="B1774" t="s">
        <v>2072</v>
      </c>
      <c r="C1774">
        <f>0.406647961739</f>
        <v>0.40664796173899997</v>
      </c>
      <c r="D1774">
        <v>0.94276078246700001</v>
      </c>
      <c r="E1774">
        <v>0.57571214392803505</v>
      </c>
    </row>
    <row r="1775" spans="1:5">
      <c r="A1775" t="s">
        <v>2070</v>
      </c>
      <c r="B1775" t="s">
        <v>2073</v>
      </c>
      <c r="C1775">
        <f>0.348242872265</f>
        <v>0.348242872265</v>
      </c>
      <c r="D1775">
        <v>0.94276078246700001</v>
      </c>
      <c r="E1775">
        <v>0.57571214392803505</v>
      </c>
    </row>
    <row r="1776" spans="1:5">
      <c r="A1776" t="s">
        <v>2070</v>
      </c>
      <c r="B1776" t="s">
        <v>2074</v>
      </c>
      <c r="C1776">
        <f>0</f>
        <v>0</v>
      </c>
      <c r="D1776">
        <v>0.94276078246700001</v>
      </c>
      <c r="E1776">
        <v>0.57571214392803505</v>
      </c>
    </row>
    <row r="1777" spans="1:5">
      <c r="A1777" t="s">
        <v>2075</v>
      </c>
      <c r="B1777" t="s">
        <v>2076</v>
      </c>
      <c r="C1777">
        <v>0.28047490411199999</v>
      </c>
      <c r="D1777" t="s">
        <v>106</v>
      </c>
      <c r="E1777">
        <v>3.3103448275862002</v>
      </c>
    </row>
    <row r="1778" spans="1:5">
      <c r="A1778" t="s">
        <v>2075</v>
      </c>
      <c r="B1778" t="s">
        <v>2077</v>
      </c>
      <c r="C1778">
        <v>0.19456823536000001</v>
      </c>
      <c r="D1778" t="s">
        <v>106</v>
      </c>
      <c r="E1778">
        <v>3.3103448275862002</v>
      </c>
    </row>
    <row r="1779" spans="1:5">
      <c r="A1779" t="s">
        <v>2075</v>
      </c>
      <c r="B1779" t="s">
        <v>2078</v>
      </c>
      <c r="C1779">
        <v>0</v>
      </c>
      <c r="D1779" t="s">
        <v>106</v>
      </c>
      <c r="E1779">
        <v>3.3103448275862002</v>
      </c>
    </row>
    <row r="1780" spans="1:5">
      <c r="A1780" t="s">
        <v>2079</v>
      </c>
      <c r="B1780" t="s">
        <v>2080</v>
      </c>
      <c r="C1780">
        <v>8.0769770992699996E-2</v>
      </c>
      <c r="D1780">
        <v>0.82714436384099999</v>
      </c>
      <c r="E1780">
        <v>5.3493253373313303</v>
      </c>
    </row>
    <row r="1781" spans="1:5">
      <c r="A1781" t="s">
        <v>2079</v>
      </c>
      <c r="B1781" t="s">
        <v>2081</v>
      </c>
      <c r="C1781">
        <v>0</v>
      </c>
      <c r="D1781">
        <v>0.82714436384099999</v>
      </c>
      <c r="E1781">
        <v>5.3493253373313303</v>
      </c>
    </row>
    <row r="1782" spans="1:5">
      <c r="A1782" t="s">
        <v>2079</v>
      </c>
      <c r="B1782" t="s">
        <v>2082</v>
      </c>
      <c r="C1782">
        <f>0.577345105676</f>
        <v>0.57734510567599995</v>
      </c>
      <c r="D1782">
        <v>0.82714436384099999</v>
      </c>
      <c r="E1782">
        <v>5.3493253373313303</v>
      </c>
    </row>
    <row r="1783" spans="1:5">
      <c r="A1783" t="s">
        <v>2083</v>
      </c>
      <c r="B1783" t="s">
        <v>2084</v>
      </c>
      <c r="C1783">
        <v>0</v>
      </c>
      <c r="D1783">
        <v>0.94778636813499995</v>
      </c>
      <c r="E1783">
        <v>21.8770614692653</v>
      </c>
    </row>
    <row r="1784" spans="1:5">
      <c r="A1784" t="s">
        <v>2083</v>
      </c>
      <c r="B1784" t="s">
        <v>2085</v>
      </c>
      <c r="C1784">
        <v>0</v>
      </c>
      <c r="D1784">
        <v>0.94778636813499995</v>
      </c>
      <c r="E1784">
        <v>21.8770614692653</v>
      </c>
    </row>
    <row r="1785" spans="1:5">
      <c r="A1785" t="s">
        <v>2083</v>
      </c>
      <c r="B1785" t="s">
        <v>2086</v>
      </c>
      <c r="C1785">
        <v>0</v>
      </c>
      <c r="D1785">
        <v>0.94778636813499995</v>
      </c>
      <c r="E1785">
        <v>21.8770614692653</v>
      </c>
    </row>
    <row r="1786" spans="1:5">
      <c r="A1786" t="s">
        <v>2083</v>
      </c>
      <c r="B1786" t="s">
        <v>2087</v>
      </c>
      <c r="C1786">
        <v>0</v>
      </c>
      <c r="D1786">
        <v>0.94778636813499995</v>
      </c>
      <c r="E1786">
        <v>21.8770614692653</v>
      </c>
    </row>
    <row r="1787" spans="1:5">
      <c r="A1787" t="s">
        <v>2083</v>
      </c>
      <c r="B1787" t="s">
        <v>2088</v>
      </c>
      <c r="C1787">
        <v>9.7829284752899995E-2</v>
      </c>
      <c r="D1787">
        <v>0.94778636813499995</v>
      </c>
      <c r="E1787">
        <v>21.8770614692653</v>
      </c>
    </row>
    <row r="1788" spans="1:5">
      <c r="A1788" t="s">
        <v>2089</v>
      </c>
      <c r="B1788" t="s">
        <v>2090</v>
      </c>
      <c r="C1788">
        <f>0</f>
        <v>0</v>
      </c>
      <c r="D1788">
        <v>0.86125193817199996</v>
      </c>
      <c r="E1788">
        <v>17.103448275862</v>
      </c>
    </row>
    <row r="1789" spans="1:5">
      <c r="A1789" t="s">
        <v>2089</v>
      </c>
      <c r="B1789" t="s">
        <v>2091</v>
      </c>
      <c r="C1789">
        <f>0</f>
        <v>0</v>
      </c>
      <c r="D1789">
        <v>0.86125193817199996</v>
      </c>
      <c r="E1789">
        <v>17.103448275862</v>
      </c>
    </row>
    <row r="1790" spans="1:5">
      <c r="A1790" t="s">
        <v>2092</v>
      </c>
      <c r="B1790" t="s">
        <v>2093</v>
      </c>
      <c r="C1790">
        <v>0</v>
      </c>
      <c r="D1790">
        <v>0.893735575251</v>
      </c>
      <c r="E1790">
        <v>23.7481259370314</v>
      </c>
    </row>
    <row r="1791" spans="1:5">
      <c r="A1791" t="s">
        <v>2092</v>
      </c>
      <c r="B1791" t="s">
        <v>2094</v>
      </c>
      <c r="C1791">
        <f>0</f>
        <v>0</v>
      </c>
      <c r="D1791">
        <v>0.893735575251</v>
      </c>
      <c r="E1791">
        <v>23.7481259370314</v>
      </c>
    </row>
    <row r="1792" spans="1:5">
      <c r="A1792" t="s">
        <v>2092</v>
      </c>
      <c r="B1792" t="s">
        <v>2095</v>
      </c>
      <c r="C1792">
        <f>0</f>
        <v>0</v>
      </c>
      <c r="D1792">
        <v>0.893735575251</v>
      </c>
      <c r="E1792">
        <v>23.7481259370314</v>
      </c>
    </row>
    <row r="1793" spans="1:5">
      <c r="A1793" t="s">
        <v>2092</v>
      </c>
      <c r="B1793" t="s">
        <v>2096</v>
      </c>
      <c r="C1793">
        <v>0</v>
      </c>
      <c r="D1793">
        <v>0.893735575251</v>
      </c>
      <c r="E1793">
        <v>23.7481259370314</v>
      </c>
    </row>
    <row r="1794" spans="1:5">
      <c r="A1794" t="s">
        <v>2092</v>
      </c>
      <c r="B1794" t="s">
        <v>2097</v>
      </c>
      <c r="C1794">
        <v>0</v>
      </c>
      <c r="D1794">
        <v>0.893735575251</v>
      </c>
      <c r="E1794">
        <v>23.7481259370314</v>
      </c>
    </row>
    <row r="1795" spans="1:5">
      <c r="A1795" t="s">
        <v>2098</v>
      </c>
      <c r="B1795" t="s">
        <v>2099</v>
      </c>
      <c r="C1795">
        <v>0</v>
      </c>
      <c r="D1795" t="s">
        <v>106</v>
      </c>
      <c r="E1795">
        <v>6.1769115442278801</v>
      </c>
    </row>
    <row r="1796" spans="1:5">
      <c r="A1796" t="s">
        <v>2098</v>
      </c>
      <c r="B1796" t="s">
        <v>2100</v>
      </c>
      <c r="C1796">
        <v>0</v>
      </c>
      <c r="D1796" t="s">
        <v>106</v>
      </c>
      <c r="E1796">
        <v>6.1769115442278801</v>
      </c>
    </row>
    <row r="1797" spans="1:5">
      <c r="A1797" t="s">
        <v>2098</v>
      </c>
      <c r="B1797" t="s">
        <v>2101</v>
      </c>
      <c r="C1797">
        <f>0</f>
        <v>0</v>
      </c>
      <c r="D1797" t="s">
        <v>106</v>
      </c>
      <c r="E1797">
        <v>6.1769115442278801</v>
      </c>
    </row>
    <row r="1798" spans="1:5">
      <c r="A1798" t="s">
        <v>2098</v>
      </c>
      <c r="B1798" t="s">
        <v>2102</v>
      </c>
      <c r="C1798">
        <v>0</v>
      </c>
      <c r="D1798" t="s">
        <v>106</v>
      </c>
      <c r="E1798">
        <v>6.1769115442278801</v>
      </c>
    </row>
    <row r="1799" spans="1:5">
      <c r="A1799" t="s">
        <v>2098</v>
      </c>
      <c r="B1799" t="s">
        <v>2103</v>
      </c>
      <c r="C1799">
        <v>0</v>
      </c>
      <c r="D1799" t="s">
        <v>106</v>
      </c>
      <c r="E1799">
        <v>6.1769115442278801</v>
      </c>
    </row>
    <row r="1800" spans="1:5">
      <c r="A1800" t="s">
        <v>2098</v>
      </c>
      <c r="B1800" t="s">
        <v>2104</v>
      </c>
      <c r="C1800">
        <v>0</v>
      </c>
      <c r="D1800" t="s">
        <v>106</v>
      </c>
      <c r="E1800">
        <v>6.1769115442278801</v>
      </c>
    </row>
    <row r="1801" spans="1:5">
      <c r="A1801" t="s">
        <v>2098</v>
      </c>
      <c r="B1801" t="s">
        <v>2105</v>
      </c>
      <c r="C1801">
        <f>0</f>
        <v>0</v>
      </c>
      <c r="D1801" t="s">
        <v>106</v>
      </c>
      <c r="E1801">
        <v>6.1769115442278801</v>
      </c>
    </row>
    <row r="1802" spans="1:5">
      <c r="A1802" t="s">
        <v>2098</v>
      </c>
      <c r="B1802" t="s">
        <v>2106</v>
      </c>
      <c r="C1802">
        <f>0</f>
        <v>0</v>
      </c>
      <c r="D1802" t="s">
        <v>106</v>
      </c>
      <c r="E1802">
        <v>6.1769115442278801</v>
      </c>
    </row>
    <row r="1803" spans="1:5">
      <c r="A1803" t="s">
        <v>2098</v>
      </c>
      <c r="B1803" t="s">
        <v>2107</v>
      </c>
      <c r="C1803">
        <f>0</f>
        <v>0</v>
      </c>
      <c r="D1803" t="s">
        <v>106</v>
      </c>
      <c r="E1803">
        <v>6.1769115442278801</v>
      </c>
    </row>
    <row r="1804" spans="1:5">
      <c r="A1804" t="s">
        <v>2098</v>
      </c>
      <c r="B1804" t="s">
        <v>2108</v>
      </c>
      <c r="C1804">
        <v>0</v>
      </c>
      <c r="D1804" t="s">
        <v>106</v>
      </c>
      <c r="E1804">
        <v>6.1769115442278801</v>
      </c>
    </row>
    <row r="1805" spans="1:5">
      <c r="A1805" t="s">
        <v>2098</v>
      </c>
      <c r="B1805" t="s">
        <v>2109</v>
      </c>
      <c r="C1805">
        <v>0</v>
      </c>
      <c r="D1805" t="s">
        <v>106</v>
      </c>
      <c r="E1805">
        <v>6.1769115442278801</v>
      </c>
    </row>
    <row r="1806" spans="1:5">
      <c r="A1806" t="s">
        <v>2110</v>
      </c>
      <c r="B1806" t="s">
        <v>2111</v>
      </c>
      <c r="C1806">
        <v>0</v>
      </c>
      <c r="D1806">
        <v>0.96819871690799997</v>
      </c>
      <c r="E1806">
        <v>24</v>
      </c>
    </row>
    <row r="1807" spans="1:5">
      <c r="A1807" t="s">
        <v>2110</v>
      </c>
      <c r="B1807" t="s">
        <v>2112</v>
      </c>
      <c r="C1807">
        <f>0.0112434948178</f>
        <v>1.1243494817799999E-2</v>
      </c>
      <c r="D1807">
        <v>0.96819871690799997</v>
      </c>
      <c r="E1807">
        <v>24</v>
      </c>
    </row>
    <row r="1808" spans="1:5">
      <c r="A1808" t="s">
        <v>2110</v>
      </c>
      <c r="B1808" t="s">
        <v>2113</v>
      </c>
      <c r="C1808">
        <v>0</v>
      </c>
      <c r="D1808">
        <v>0.96819871690799997</v>
      </c>
      <c r="E1808">
        <v>24</v>
      </c>
    </row>
    <row r="1809" spans="1:5">
      <c r="A1809" t="s">
        <v>2110</v>
      </c>
      <c r="B1809" t="s">
        <v>2114</v>
      </c>
      <c r="C1809">
        <v>0</v>
      </c>
      <c r="D1809">
        <v>0.96819871690799997</v>
      </c>
      <c r="E1809">
        <v>24</v>
      </c>
    </row>
    <row r="1810" spans="1:5">
      <c r="A1810" t="s">
        <v>2110</v>
      </c>
      <c r="B1810" t="s">
        <v>2115</v>
      </c>
      <c r="C1810">
        <f>0</f>
        <v>0</v>
      </c>
      <c r="D1810">
        <v>0.96819871690799997</v>
      </c>
      <c r="E1810">
        <v>24</v>
      </c>
    </row>
    <row r="1811" spans="1:5">
      <c r="A1811" t="s">
        <v>2110</v>
      </c>
      <c r="B1811" t="s">
        <v>2116</v>
      </c>
      <c r="C1811">
        <v>0</v>
      </c>
      <c r="D1811">
        <v>0.96819871690799997</v>
      </c>
      <c r="E1811">
        <v>24</v>
      </c>
    </row>
    <row r="1812" spans="1:5">
      <c r="A1812" t="s">
        <v>2110</v>
      </c>
      <c r="B1812" t="s">
        <v>2117</v>
      </c>
      <c r="C1812">
        <v>0</v>
      </c>
      <c r="D1812">
        <v>0.96819871690799997</v>
      </c>
      <c r="E1812">
        <v>24</v>
      </c>
    </row>
    <row r="1813" spans="1:5">
      <c r="A1813" t="s">
        <v>2110</v>
      </c>
      <c r="B1813" t="s">
        <v>2118</v>
      </c>
      <c r="C1813">
        <v>1.7167081754300002E-2</v>
      </c>
      <c r="D1813">
        <v>0.96819871690799997</v>
      </c>
      <c r="E1813">
        <v>24</v>
      </c>
    </row>
    <row r="1814" spans="1:5">
      <c r="A1814" t="s">
        <v>2119</v>
      </c>
      <c r="B1814" t="s">
        <v>2120</v>
      </c>
      <c r="C1814">
        <v>0</v>
      </c>
      <c r="D1814">
        <v>0.988306184915</v>
      </c>
      <c r="E1814">
        <v>5.1214392803598203</v>
      </c>
    </row>
    <row r="1815" spans="1:5">
      <c r="A1815" t="s">
        <v>2119</v>
      </c>
      <c r="B1815" t="s">
        <v>2121</v>
      </c>
      <c r="C1815">
        <v>0</v>
      </c>
      <c r="D1815">
        <v>0.988306184915</v>
      </c>
      <c r="E1815">
        <v>5.1214392803598203</v>
      </c>
    </row>
    <row r="1816" spans="1:5">
      <c r="A1816" t="s">
        <v>2122</v>
      </c>
      <c r="B1816" t="s">
        <v>2123</v>
      </c>
      <c r="C1816">
        <f>0.0359381011886</f>
        <v>3.5938101188599997E-2</v>
      </c>
      <c r="D1816">
        <v>0.95843373550699995</v>
      </c>
      <c r="E1816">
        <v>9.9190404797601204</v>
      </c>
    </row>
    <row r="1817" spans="1:5">
      <c r="A1817" t="s">
        <v>2122</v>
      </c>
      <c r="B1817" t="s">
        <v>2124</v>
      </c>
      <c r="C1817">
        <v>0.50759735997300004</v>
      </c>
      <c r="D1817">
        <v>0.95843373550699995</v>
      </c>
      <c r="E1817">
        <v>9.9190404797601204</v>
      </c>
    </row>
    <row r="1818" spans="1:5">
      <c r="A1818" t="s">
        <v>2122</v>
      </c>
      <c r="B1818" t="s">
        <v>2125</v>
      </c>
      <c r="C1818">
        <f>0.012461764771</f>
        <v>1.2461764771E-2</v>
      </c>
      <c r="D1818">
        <v>0.95843373550699995</v>
      </c>
      <c r="E1818">
        <v>9.9190404797601204</v>
      </c>
    </row>
    <row r="1819" spans="1:5">
      <c r="A1819" t="s">
        <v>2126</v>
      </c>
      <c r="B1819" t="s">
        <v>2127</v>
      </c>
      <c r="C1819">
        <v>0.87383202402500004</v>
      </c>
      <c r="D1819">
        <v>0.92162722587900003</v>
      </c>
      <c r="E1819">
        <v>5.4692653673163401</v>
      </c>
    </row>
    <row r="1820" spans="1:5">
      <c r="A1820" t="s">
        <v>2126</v>
      </c>
      <c r="B1820" t="s">
        <v>2128</v>
      </c>
      <c r="C1820">
        <f>0.129878659193</f>
        <v>0.12987865919300001</v>
      </c>
      <c r="D1820">
        <v>0.92162722587900003</v>
      </c>
      <c r="E1820">
        <v>5.4692653673163401</v>
      </c>
    </row>
    <row r="1821" spans="1:5">
      <c r="A1821" t="s">
        <v>2126</v>
      </c>
      <c r="B1821" t="s">
        <v>2129</v>
      </c>
      <c r="C1821">
        <v>0</v>
      </c>
      <c r="D1821">
        <v>0.92162722587900003</v>
      </c>
      <c r="E1821">
        <v>5.4692653673163401</v>
      </c>
    </row>
    <row r="1822" spans="1:5">
      <c r="A1822" t="s">
        <v>2130</v>
      </c>
      <c r="B1822" t="s">
        <v>2131</v>
      </c>
      <c r="C1822">
        <v>0</v>
      </c>
      <c r="D1822">
        <v>0.81246103135799996</v>
      </c>
      <c r="E1822">
        <v>19.6341829085457</v>
      </c>
    </row>
    <row r="1823" spans="1:5">
      <c r="A1823" t="s">
        <v>2130</v>
      </c>
      <c r="B1823" t="s">
        <v>2132</v>
      </c>
      <c r="C1823">
        <f>0</f>
        <v>0</v>
      </c>
      <c r="D1823">
        <v>0.81246103135799996</v>
      </c>
      <c r="E1823">
        <v>19.6341829085457</v>
      </c>
    </row>
    <row r="1824" spans="1:5">
      <c r="A1824" t="s">
        <v>2130</v>
      </c>
      <c r="B1824" t="s">
        <v>2133</v>
      </c>
      <c r="C1824">
        <v>0</v>
      </c>
      <c r="D1824">
        <v>0.81246103135799996</v>
      </c>
      <c r="E1824">
        <v>19.6341829085457</v>
      </c>
    </row>
    <row r="1825" spans="1:5">
      <c r="A1825" t="s">
        <v>2130</v>
      </c>
      <c r="B1825" t="s">
        <v>2134</v>
      </c>
      <c r="C1825">
        <v>0</v>
      </c>
      <c r="D1825">
        <v>0.81246103135799996</v>
      </c>
      <c r="E1825">
        <v>19.6341829085457</v>
      </c>
    </row>
    <row r="1826" spans="1:5">
      <c r="A1826" t="s">
        <v>2130</v>
      </c>
      <c r="B1826" t="s">
        <v>2135</v>
      </c>
      <c r="C1826">
        <f>0.0111821881166</f>
        <v>1.11821881166E-2</v>
      </c>
      <c r="D1826">
        <v>0.81246103135799996</v>
      </c>
      <c r="E1826">
        <v>19.6341829085457</v>
      </c>
    </row>
    <row r="1827" spans="1:5">
      <c r="A1827" t="s">
        <v>2130</v>
      </c>
      <c r="B1827" t="s">
        <v>2136</v>
      </c>
      <c r="C1827">
        <v>0</v>
      </c>
      <c r="D1827">
        <v>0.81246103135799996</v>
      </c>
      <c r="E1827">
        <v>19.6341829085457</v>
      </c>
    </row>
    <row r="1828" spans="1:5">
      <c r="A1828" t="s">
        <v>2130</v>
      </c>
      <c r="B1828" t="s">
        <v>2137</v>
      </c>
      <c r="C1828">
        <v>0</v>
      </c>
      <c r="D1828">
        <v>0.81246103135799996</v>
      </c>
      <c r="E1828">
        <v>19.6341829085457</v>
      </c>
    </row>
    <row r="1829" spans="1:5">
      <c r="A1829" t="s">
        <v>2130</v>
      </c>
      <c r="B1829" t="s">
        <v>2138</v>
      </c>
      <c r="C1829">
        <v>0</v>
      </c>
      <c r="D1829">
        <v>0.81246103135799996</v>
      </c>
      <c r="E1829">
        <v>19.6341829085457</v>
      </c>
    </row>
    <row r="1830" spans="1:5">
      <c r="A1830" t="s">
        <v>2130</v>
      </c>
      <c r="B1830" t="s">
        <v>2139</v>
      </c>
      <c r="C1830">
        <v>0.20123850022600001</v>
      </c>
      <c r="D1830">
        <v>0.81246103135799996</v>
      </c>
      <c r="E1830">
        <v>19.6341829085457</v>
      </c>
    </row>
    <row r="1831" spans="1:5">
      <c r="A1831" t="s">
        <v>2130</v>
      </c>
      <c r="B1831" t="s">
        <v>2140</v>
      </c>
      <c r="C1831">
        <v>0</v>
      </c>
      <c r="D1831">
        <v>0.81246103135799996</v>
      </c>
      <c r="E1831">
        <v>19.6341829085457</v>
      </c>
    </row>
    <row r="1832" spans="1:5">
      <c r="A1832" t="s">
        <v>2141</v>
      </c>
      <c r="B1832" t="s">
        <v>2142</v>
      </c>
      <c r="C1832">
        <v>0</v>
      </c>
      <c r="D1832">
        <v>0.96355588579399998</v>
      </c>
      <c r="E1832">
        <v>1.7631184407796101</v>
      </c>
    </row>
    <row r="1833" spans="1:5">
      <c r="A1833" t="s">
        <v>2141</v>
      </c>
      <c r="B1833" t="s">
        <v>2143</v>
      </c>
      <c r="C1833">
        <v>0.18698212842699999</v>
      </c>
      <c r="D1833">
        <v>0.96355588579399998</v>
      </c>
      <c r="E1833">
        <v>1.7631184407796101</v>
      </c>
    </row>
    <row r="1834" spans="1:5">
      <c r="A1834" t="s">
        <v>2141</v>
      </c>
      <c r="B1834" t="s">
        <v>2144</v>
      </c>
      <c r="C1834">
        <v>0</v>
      </c>
      <c r="D1834">
        <v>0.96355588579399998</v>
      </c>
      <c r="E1834">
        <v>1.7631184407796101</v>
      </c>
    </row>
    <row r="1835" spans="1:5">
      <c r="A1835" t="s">
        <v>2141</v>
      </c>
      <c r="B1835" t="s">
        <v>2145</v>
      </c>
      <c r="C1835">
        <v>0</v>
      </c>
      <c r="D1835">
        <v>0.96355588579399998</v>
      </c>
      <c r="E1835">
        <v>1.7631184407796101</v>
      </c>
    </row>
    <row r="1836" spans="1:5">
      <c r="A1836" t="s">
        <v>2141</v>
      </c>
      <c r="B1836" t="s">
        <v>2146</v>
      </c>
      <c r="C1836">
        <v>0</v>
      </c>
      <c r="D1836">
        <v>0.96355588579399998</v>
      </c>
      <c r="E1836">
        <v>1.7631184407796101</v>
      </c>
    </row>
    <row r="1837" spans="1:5">
      <c r="A1837" t="s">
        <v>2141</v>
      </c>
      <c r="B1837" t="s">
        <v>2147</v>
      </c>
      <c r="C1837">
        <v>0</v>
      </c>
      <c r="D1837">
        <v>0.96355588579399998</v>
      </c>
      <c r="E1837">
        <v>1.7631184407796101</v>
      </c>
    </row>
    <row r="1838" spans="1:5">
      <c r="A1838" t="s">
        <v>2141</v>
      </c>
      <c r="B1838" t="s">
        <v>2148</v>
      </c>
      <c r="C1838">
        <v>6.7858277034999998E-2</v>
      </c>
      <c r="D1838">
        <v>0.96355588579399998</v>
      </c>
      <c r="E1838">
        <v>1.7631184407796101</v>
      </c>
    </row>
    <row r="1839" spans="1:5">
      <c r="A1839" t="s">
        <v>2141</v>
      </c>
      <c r="B1839" t="s">
        <v>2149</v>
      </c>
      <c r="C1839">
        <f>0</f>
        <v>0</v>
      </c>
      <c r="D1839">
        <v>0.96355588579399998</v>
      </c>
      <c r="E1839">
        <v>1.7631184407796101</v>
      </c>
    </row>
    <row r="1840" spans="1:5">
      <c r="A1840" t="s">
        <v>2150</v>
      </c>
      <c r="B1840" t="s">
        <v>2151</v>
      </c>
      <c r="C1840">
        <f>0</f>
        <v>0</v>
      </c>
      <c r="D1840" t="s">
        <v>106</v>
      </c>
      <c r="E1840">
        <v>5.69715142428785</v>
      </c>
    </row>
    <row r="1841" spans="1:5">
      <c r="A1841" t="s">
        <v>2150</v>
      </c>
      <c r="B1841" t="s">
        <v>2152</v>
      </c>
      <c r="C1841">
        <f>0</f>
        <v>0</v>
      </c>
      <c r="D1841" t="s">
        <v>106</v>
      </c>
      <c r="E1841">
        <v>5.69715142428785</v>
      </c>
    </row>
    <row r="1842" spans="1:5">
      <c r="A1842" t="s">
        <v>2150</v>
      </c>
      <c r="B1842" t="s">
        <v>2153</v>
      </c>
      <c r="C1842">
        <f>0</f>
        <v>0</v>
      </c>
      <c r="D1842" t="s">
        <v>106</v>
      </c>
      <c r="E1842">
        <v>5.69715142428785</v>
      </c>
    </row>
    <row r="1843" spans="1:5">
      <c r="A1843" t="s">
        <v>2150</v>
      </c>
      <c r="B1843" t="s">
        <v>2154</v>
      </c>
      <c r="C1843">
        <f>0</f>
        <v>0</v>
      </c>
      <c r="D1843" t="s">
        <v>106</v>
      </c>
      <c r="E1843">
        <v>5.69715142428785</v>
      </c>
    </row>
    <row r="1844" spans="1:5">
      <c r="A1844" t="s">
        <v>2150</v>
      </c>
      <c r="B1844" t="s">
        <v>2155</v>
      </c>
      <c r="C1844">
        <f>0</f>
        <v>0</v>
      </c>
      <c r="D1844" t="s">
        <v>106</v>
      </c>
      <c r="E1844">
        <v>5.69715142428785</v>
      </c>
    </row>
    <row r="1845" spans="1:5">
      <c r="A1845" t="s">
        <v>2150</v>
      </c>
      <c r="B1845" t="s">
        <v>2156</v>
      </c>
      <c r="C1845">
        <v>0</v>
      </c>
      <c r="D1845" t="s">
        <v>106</v>
      </c>
      <c r="E1845">
        <v>5.69715142428785</v>
      </c>
    </row>
    <row r="1846" spans="1:5">
      <c r="A1846" t="s">
        <v>2150</v>
      </c>
      <c r="B1846" t="s">
        <v>2157</v>
      </c>
      <c r="C1846">
        <v>0</v>
      </c>
      <c r="D1846" t="s">
        <v>106</v>
      </c>
      <c r="E1846">
        <v>5.69715142428785</v>
      </c>
    </row>
    <row r="1847" spans="1:5">
      <c r="A1847" t="s">
        <v>2150</v>
      </c>
      <c r="B1847" t="s">
        <v>2158</v>
      </c>
      <c r="C1847">
        <v>0</v>
      </c>
      <c r="D1847" t="s">
        <v>106</v>
      </c>
      <c r="E1847">
        <v>5.69715142428785</v>
      </c>
    </row>
    <row r="1848" spans="1:5">
      <c r="A1848" t="s">
        <v>2150</v>
      </c>
      <c r="B1848" t="s">
        <v>2159</v>
      </c>
      <c r="C1848">
        <v>0</v>
      </c>
      <c r="D1848" t="s">
        <v>106</v>
      </c>
      <c r="E1848">
        <v>5.69715142428785</v>
      </c>
    </row>
    <row r="1849" spans="1:5">
      <c r="A1849" t="s">
        <v>2150</v>
      </c>
      <c r="B1849" t="s">
        <v>2160</v>
      </c>
      <c r="C1849">
        <f>0</f>
        <v>0</v>
      </c>
      <c r="D1849" t="s">
        <v>106</v>
      </c>
      <c r="E1849">
        <v>5.69715142428785</v>
      </c>
    </row>
    <row r="1850" spans="1:5">
      <c r="A1850" t="s">
        <v>2150</v>
      </c>
      <c r="B1850" t="s">
        <v>2161</v>
      </c>
      <c r="C1850">
        <f>0</f>
        <v>0</v>
      </c>
      <c r="D1850" t="s">
        <v>106</v>
      </c>
      <c r="E1850">
        <v>5.69715142428785</v>
      </c>
    </row>
    <row r="1851" spans="1:5">
      <c r="A1851" t="s">
        <v>2150</v>
      </c>
      <c r="B1851" t="s">
        <v>2162</v>
      </c>
      <c r="C1851">
        <v>0</v>
      </c>
      <c r="D1851" t="s">
        <v>106</v>
      </c>
      <c r="E1851">
        <v>5.69715142428785</v>
      </c>
    </row>
    <row r="1852" spans="1:5">
      <c r="A1852" t="s">
        <v>2150</v>
      </c>
      <c r="B1852" t="s">
        <v>2163</v>
      </c>
      <c r="C1852">
        <v>0</v>
      </c>
      <c r="D1852" t="s">
        <v>106</v>
      </c>
      <c r="E1852">
        <v>5.69715142428785</v>
      </c>
    </row>
    <row r="1853" spans="1:5">
      <c r="A1853" t="s">
        <v>2150</v>
      </c>
      <c r="B1853" t="s">
        <v>2164</v>
      </c>
      <c r="C1853">
        <v>0</v>
      </c>
      <c r="D1853" t="s">
        <v>106</v>
      </c>
      <c r="E1853">
        <v>5.69715142428785</v>
      </c>
    </row>
    <row r="1854" spans="1:5">
      <c r="A1854" t="s">
        <v>2165</v>
      </c>
      <c r="B1854" t="s">
        <v>2166</v>
      </c>
      <c r="C1854">
        <v>0</v>
      </c>
      <c r="D1854">
        <v>0.72013131540899999</v>
      </c>
      <c r="E1854">
        <v>16.491754122938499</v>
      </c>
    </row>
    <row r="1855" spans="1:5">
      <c r="A1855" t="s">
        <v>2165</v>
      </c>
      <c r="B1855" t="s">
        <v>2167</v>
      </c>
      <c r="C1855">
        <f>0</f>
        <v>0</v>
      </c>
      <c r="D1855">
        <v>0.72013131540899999</v>
      </c>
      <c r="E1855">
        <v>16.491754122938499</v>
      </c>
    </row>
    <row r="1856" spans="1:5">
      <c r="A1856" t="s">
        <v>2165</v>
      </c>
      <c r="B1856" t="s">
        <v>2168</v>
      </c>
      <c r="C1856">
        <f>0</f>
        <v>0</v>
      </c>
      <c r="D1856">
        <v>0.72013131540899999</v>
      </c>
      <c r="E1856">
        <v>16.491754122938499</v>
      </c>
    </row>
    <row r="1857" spans="1:5">
      <c r="A1857" t="s">
        <v>2169</v>
      </c>
      <c r="B1857" t="s">
        <v>2170</v>
      </c>
      <c r="C1857">
        <f>0</f>
        <v>0</v>
      </c>
      <c r="D1857" t="s">
        <v>106</v>
      </c>
      <c r="E1857">
        <v>10.710644677661101</v>
      </c>
    </row>
    <row r="1858" spans="1:5">
      <c r="A1858" t="s">
        <v>2169</v>
      </c>
      <c r="B1858" t="s">
        <v>2171</v>
      </c>
      <c r="C1858">
        <v>0</v>
      </c>
      <c r="D1858" t="s">
        <v>106</v>
      </c>
      <c r="E1858">
        <v>10.710644677661101</v>
      </c>
    </row>
    <row r="1859" spans="1:5">
      <c r="A1859" t="s">
        <v>2169</v>
      </c>
      <c r="B1859" t="s">
        <v>2172</v>
      </c>
      <c r="C1859">
        <f>0</f>
        <v>0</v>
      </c>
      <c r="D1859" t="s">
        <v>106</v>
      </c>
      <c r="E1859">
        <v>10.710644677661101</v>
      </c>
    </row>
    <row r="1860" spans="1:5">
      <c r="A1860" t="s">
        <v>2169</v>
      </c>
      <c r="B1860" t="s">
        <v>2173</v>
      </c>
      <c r="C1860">
        <f>0</f>
        <v>0</v>
      </c>
      <c r="D1860" t="s">
        <v>106</v>
      </c>
      <c r="E1860">
        <v>10.710644677661101</v>
      </c>
    </row>
    <row r="1861" spans="1:5">
      <c r="A1861" t="s">
        <v>2169</v>
      </c>
      <c r="B1861" t="s">
        <v>2174</v>
      </c>
      <c r="C1861">
        <f>0</f>
        <v>0</v>
      </c>
      <c r="D1861" t="s">
        <v>106</v>
      </c>
      <c r="E1861">
        <v>10.710644677661101</v>
      </c>
    </row>
    <row r="1862" spans="1:5">
      <c r="A1862" t="s">
        <v>2169</v>
      </c>
      <c r="B1862" t="s">
        <v>2175</v>
      </c>
      <c r="C1862">
        <f>0</f>
        <v>0</v>
      </c>
      <c r="D1862" t="s">
        <v>106</v>
      </c>
      <c r="E1862">
        <v>10.710644677661101</v>
      </c>
    </row>
    <row r="1863" spans="1:5">
      <c r="A1863" t="s">
        <v>2169</v>
      </c>
      <c r="B1863" t="s">
        <v>2176</v>
      </c>
      <c r="C1863">
        <f>0</f>
        <v>0</v>
      </c>
      <c r="D1863" t="s">
        <v>106</v>
      </c>
      <c r="E1863">
        <v>10.710644677661101</v>
      </c>
    </row>
    <row r="1864" spans="1:5">
      <c r="A1864" t="s">
        <v>2169</v>
      </c>
      <c r="B1864" t="s">
        <v>2177</v>
      </c>
      <c r="C1864">
        <f>0</f>
        <v>0</v>
      </c>
      <c r="D1864" t="s">
        <v>106</v>
      </c>
      <c r="E1864">
        <v>10.710644677661101</v>
      </c>
    </row>
    <row r="1865" spans="1:5">
      <c r="A1865" t="s">
        <v>2169</v>
      </c>
      <c r="B1865" t="s">
        <v>2178</v>
      </c>
      <c r="C1865">
        <f>0</f>
        <v>0</v>
      </c>
      <c r="D1865" t="s">
        <v>106</v>
      </c>
      <c r="E1865">
        <v>10.710644677661101</v>
      </c>
    </row>
    <row r="1866" spans="1:5">
      <c r="A1866" t="s">
        <v>2169</v>
      </c>
      <c r="B1866" t="s">
        <v>2179</v>
      </c>
      <c r="C1866">
        <f>0</f>
        <v>0</v>
      </c>
      <c r="D1866" t="s">
        <v>106</v>
      </c>
      <c r="E1866">
        <v>10.710644677661101</v>
      </c>
    </row>
    <row r="1867" spans="1:5">
      <c r="A1867" t="s">
        <v>2169</v>
      </c>
      <c r="B1867" t="s">
        <v>2180</v>
      </c>
      <c r="C1867">
        <f>0</f>
        <v>0</v>
      </c>
      <c r="D1867" t="s">
        <v>106</v>
      </c>
      <c r="E1867">
        <v>10.710644677661101</v>
      </c>
    </row>
    <row r="1868" spans="1:5">
      <c r="A1868" t="s">
        <v>2169</v>
      </c>
      <c r="B1868" t="s">
        <v>2181</v>
      </c>
      <c r="C1868">
        <f>0</f>
        <v>0</v>
      </c>
      <c r="D1868" t="s">
        <v>106</v>
      </c>
      <c r="E1868">
        <v>10.710644677661101</v>
      </c>
    </row>
    <row r="1869" spans="1:5">
      <c r="A1869" t="s">
        <v>2169</v>
      </c>
      <c r="B1869" t="s">
        <v>2182</v>
      </c>
      <c r="C1869">
        <f>0</f>
        <v>0</v>
      </c>
      <c r="D1869" t="s">
        <v>106</v>
      </c>
      <c r="E1869">
        <v>10.710644677661101</v>
      </c>
    </row>
    <row r="1870" spans="1:5">
      <c r="A1870" t="s">
        <v>2169</v>
      </c>
      <c r="B1870" t="s">
        <v>2183</v>
      </c>
      <c r="C1870">
        <f>0</f>
        <v>0</v>
      </c>
      <c r="D1870" t="s">
        <v>106</v>
      </c>
      <c r="E1870">
        <v>10.710644677661101</v>
      </c>
    </row>
    <row r="1871" spans="1:5">
      <c r="A1871" t="s">
        <v>2169</v>
      </c>
      <c r="B1871" t="s">
        <v>2184</v>
      </c>
      <c r="C1871">
        <f>0</f>
        <v>0</v>
      </c>
      <c r="D1871" t="s">
        <v>106</v>
      </c>
      <c r="E1871">
        <v>10.710644677661101</v>
      </c>
    </row>
    <row r="1872" spans="1:5">
      <c r="A1872" t="s">
        <v>2185</v>
      </c>
      <c r="B1872" t="s">
        <v>2186</v>
      </c>
      <c r="C1872">
        <v>0</v>
      </c>
      <c r="D1872">
        <v>0.84776469161000001</v>
      </c>
      <c r="E1872">
        <v>2.1709145427286298</v>
      </c>
    </row>
    <row r="1873" spans="1:5">
      <c r="A1873" t="s">
        <v>2185</v>
      </c>
      <c r="B1873" t="s">
        <v>2187</v>
      </c>
      <c r="C1873">
        <v>9.2737865001399994E-2</v>
      </c>
      <c r="D1873">
        <v>0.84776469161000001</v>
      </c>
      <c r="E1873">
        <v>2.1709145427286298</v>
      </c>
    </row>
    <row r="1874" spans="1:5">
      <c r="A1874" t="s">
        <v>2185</v>
      </c>
      <c r="B1874" t="s">
        <v>2188</v>
      </c>
      <c r="C1874">
        <v>0.16453920672399999</v>
      </c>
      <c r="D1874">
        <v>0.84776469161000001</v>
      </c>
      <c r="E1874">
        <v>2.1709145427286298</v>
      </c>
    </row>
    <row r="1875" spans="1:5">
      <c r="A1875" t="s">
        <v>2189</v>
      </c>
      <c r="B1875" t="s">
        <v>2190</v>
      </c>
      <c r="C1875">
        <f>0</f>
        <v>0</v>
      </c>
      <c r="D1875">
        <v>0.73273679790299995</v>
      </c>
      <c r="E1875">
        <v>1.39130434782608</v>
      </c>
    </row>
    <row r="1876" spans="1:5">
      <c r="A1876" t="s">
        <v>2189</v>
      </c>
      <c r="B1876" t="s">
        <v>2191</v>
      </c>
      <c r="C1876">
        <v>8.3688634613099999E-2</v>
      </c>
      <c r="D1876">
        <v>0.73273679790299995</v>
      </c>
      <c r="E1876">
        <v>1.39130434782608</v>
      </c>
    </row>
    <row r="1877" spans="1:5">
      <c r="A1877" t="s">
        <v>2189</v>
      </c>
      <c r="B1877" t="s">
        <v>2192</v>
      </c>
      <c r="C1877">
        <v>0</v>
      </c>
      <c r="D1877">
        <v>0.73273679790299995</v>
      </c>
      <c r="E1877">
        <v>1.39130434782608</v>
      </c>
    </row>
    <row r="1878" spans="1:5">
      <c r="A1878" t="s">
        <v>2193</v>
      </c>
      <c r="B1878" t="s">
        <v>2194</v>
      </c>
      <c r="C1878">
        <v>0.16669825567499999</v>
      </c>
      <c r="D1878">
        <v>0.77508399996699995</v>
      </c>
      <c r="E1878">
        <v>13.2653673163418</v>
      </c>
    </row>
    <row r="1879" spans="1:5">
      <c r="A1879" t="s">
        <v>2193</v>
      </c>
      <c r="B1879" t="s">
        <v>2195</v>
      </c>
      <c r="C1879">
        <v>0</v>
      </c>
      <c r="D1879">
        <v>0.77508399996699995</v>
      </c>
      <c r="E1879">
        <v>13.2653673163418</v>
      </c>
    </row>
    <row r="1880" spans="1:5">
      <c r="A1880" t="s">
        <v>2196</v>
      </c>
      <c r="B1880" t="s">
        <v>2197</v>
      </c>
      <c r="C1880">
        <v>0</v>
      </c>
      <c r="D1880" t="s">
        <v>106</v>
      </c>
      <c r="E1880">
        <v>23.280359820089899</v>
      </c>
    </row>
    <row r="1881" spans="1:5">
      <c r="A1881" t="s">
        <v>2196</v>
      </c>
      <c r="B1881" t="s">
        <v>2198</v>
      </c>
      <c r="C1881">
        <v>0</v>
      </c>
      <c r="D1881" t="s">
        <v>106</v>
      </c>
      <c r="E1881">
        <v>23.280359820089899</v>
      </c>
    </row>
    <row r="1882" spans="1:5">
      <c r="A1882" t="s">
        <v>2196</v>
      </c>
      <c r="B1882" t="s">
        <v>2199</v>
      </c>
      <c r="C1882">
        <v>0</v>
      </c>
      <c r="D1882" t="s">
        <v>106</v>
      </c>
      <c r="E1882">
        <v>23.280359820089899</v>
      </c>
    </row>
    <row r="1883" spans="1:5">
      <c r="A1883" t="s">
        <v>2196</v>
      </c>
      <c r="B1883" t="s">
        <v>2200</v>
      </c>
      <c r="C1883">
        <f>0</f>
        <v>0</v>
      </c>
      <c r="D1883" t="s">
        <v>106</v>
      </c>
      <c r="E1883">
        <v>23.280359820089899</v>
      </c>
    </row>
    <row r="1884" spans="1:5">
      <c r="A1884" t="s">
        <v>2196</v>
      </c>
      <c r="B1884" t="s">
        <v>2201</v>
      </c>
      <c r="C1884">
        <f>0</f>
        <v>0</v>
      </c>
      <c r="D1884" t="s">
        <v>106</v>
      </c>
      <c r="E1884">
        <v>23.280359820089899</v>
      </c>
    </row>
    <row r="1885" spans="1:5">
      <c r="A1885" t="s">
        <v>2196</v>
      </c>
      <c r="B1885" t="s">
        <v>2202</v>
      </c>
      <c r="C1885">
        <f>0</f>
        <v>0</v>
      </c>
      <c r="D1885" t="s">
        <v>106</v>
      </c>
      <c r="E1885">
        <v>23.280359820089899</v>
      </c>
    </row>
    <row r="1886" spans="1:5">
      <c r="A1886" t="s">
        <v>2196</v>
      </c>
      <c r="B1886" t="s">
        <v>2203</v>
      </c>
      <c r="C1886">
        <v>0</v>
      </c>
      <c r="D1886" t="s">
        <v>106</v>
      </c>
      <c r="E1886">
        <v>23.280359820089899</v>
      </c>
    </row>
    <row r="1887" spans="1:5">
      <c r="A1887" t="s">
        <v>2196</v>
      </c>
      <c r="B1887" t="s">
        <v>2204</v>
      </c>
      <c r="C1887">
        <v>0</v>
      </c>
      <c r="D1887" t="s">
        <v>106</v>
      </c>
      <c r="E1887">
        <v>23.280359820089899</v>
      </c>
    </row>
    <row r="1888" spans="1:5">
      <c r="A1888" t="s">
        <v>2196</v>
      </c>
      <c r="B1888" t="s">
        <v>2205</v>
      </c>
      <c r="C1888">
        <v>0</v>
      </c>
      <c r="D1888" t="s">
        <v>106</v>
      </c>
      <c r="E1888">
        <v>23.280359820089899</v>
      </c>
    </row>
    <row r="1889" spans="1:5">
      <c r="A1889" t="s">
        <v>2206</v>
      </c>
      <c r="B1889" t="s">
        <v>2207</v>
      </c>
      <c r="C1889">
        <v>0.75773175936899995</v>
      </c>
      <c r="D1889" t="s">
        <v>106</v>
      </c>
      <c r="E1889">
        <v>2.1709145427286298</v>
      </c>
    </row>
    <row r="1890" spans="1:5">
      <c r="A1890" t="s">
        <v>2208</v>
      </c>
      <c r="B1890" t="s">
        <v>2209</v>
      </c>
      <c r="C1890">
        <v>0.11767083810200001</v>
      </c>
      <c r="D1890">
        <v>0.90813872048599997</v>
      </c>
      <c r="E1890">
        <v>17.919040479760099</v>
      </c>
    </row>
    <row r="1891" spans="1:5">
      <c r="A1891" t="s">
        <v>2208</v>
      </c>
      <c r="B1891" t="s">
        <v>2210</v>
      </c>
      <c r="C1891">
        <f>0</f>
        <v>0</v>
      </c>
      <c r="D1891">
        <v>0.90813872048599997</v>
      </c>
      <c r="E1891">
        <v>17.919040479760099</v>
      </c>
    </row>
    <row r="1892" spans="1:5">
      <c r="A1892" t="s">
        <v>2208</v>
      </c>
      <c r="B1892" t="s">
        <v>2211</v>
      </c>
      <c r="C1892">
        <f>0</f>
        <v>0</v>
      </c>
      <c r="D1892">
        <v>0.90813872048599997</v>
      </c>
      <c r="E1892">
        <v>17.919040479760099</v>
      </c>
    </row>
    <row r="1893" spans="1:5">
      <c r="A1893" t="s">
        <v>2208</v>
      </c>
      <c r="B1893" t="s">
        <v>2212</v>
      </c>
      <c r="C1893">
        <v>0</v>
      </c>
      <c r="D1893">
        <v>0.90813872048599997</v>
      </c>
      <c r="E1893">
        <v>17.919040479760099</v>
      </c>
    </row>
    <row r="1894" spans="1:5">
      <c r="A1894" t="s">
        <v>2208</v>
      </c>
      <c r="B1894" t="s">
        <v>2213</v>
      </c>
      <c r="C1894">
        <v>0</v>
      </c>
      <c r="D1894">
        <v>0.90813872048599997</v>
      </c>
      <c r="E1894">
        <v>17.919040479760099</v>
      </c>
    </row>
    <row r="1895" spans="1:5">
      <c r="A1895" t="s">
        <v>2208</v>
      </c>
      <c r="B1895" t="s">
        <v>2214</v>
      </c>
      <c r="C1895">
        <v>0</v>
      </c>
      <c r="D1895">
        <v>0.90813872048599997</v>
      </c>
      <c r="E1895">
        <v>17.919040479760099</v>
      </c>
    </row>
    <row r="1896" spans="1:5">
      <c r="A1896" t="s">
        <v>2215</v>
      </c>
      <c r="B1896" t="s">
        <v>2216</v>
      </c>
      <c r="C1896">
        <v>0</v>
      </c>
      <c r="D1896">
        <v>0.39616155624600002</v>
      </c>
      <c r="E1896">
        <v>10.398800599700101</v>
      </c>
    </row>
    <row r="1897" spans="1:5">
      <c r="A1897" t="s">
        <v>2215</v>
      </c>
      <c r="B1897" t="s">
        <v>2217</v>
      </c>
      <c r="C1897">
        <v>5.46633754734E-2</v>
      </c>
      <c r="D1897">
        <v>0.39616155624600002</v>
      </c>
      <c r="E1897">
        <v>10.398800599700101</v>
      </c>
    </row>
    <row r="1898" spans="1:5">
      <c r="A1898" t="s">
        <v>2218</v>
      </c>
      <c r="B1898" t="s">
        <v>2219</v>
      </c>
      <c r="C1898">
        <v>4.1464078667500001E-2</v>
      </c>
      <c r="D1898">
        <v>0.59303615384700004</v>
      </c>
      <c r="E1898">
        <v>24</v>
      </c>
    </row>
    <row r="1899" spans="1:5">
      <c r="A1899" t="s">
        <v>2218</v>
      </c>
      <c r="B1899" t="s">
        <v>2220</v>
      </c>
      <c r="C1899">
        <v>0</v>
      </c>
      <c r="D1899">
        <v>0.59303615384700004</v>
      </c>
      <c r="E1899">
        <v>24</v>
      </c>
    </row>
    <row r="1900" spans="1:5">
      <c r="A1900" t="s">
        <v>2218</v>
      </c>
      <c r="B1900" t="s">
        <v>2221</v>
      </c>
      <c r="C1900">
        <f>0</f>
        <v>0</v>
      </c>
      <c r="D1900">
        <v>0.59303615384700004</v>
      </c>
      <c r="E1900">
        <v>24</v>
      </c>
    </row>
    <row r="1901" spans="1:5">
      <c r="A1901" t="s">
        <v>2218</v>
      </c>
      <c r="B1901" t="s">
        <v>2222</v>
      </c>
      <c r="C1901">
        <v>0</v>
      </c>
      <c r="D1901">
        <v>0.59303615384700004</v>
      </c>
      <c r="E1901">
        <v>24</v>
      </c>
    </row>
    <row r="1902" spans="1:5">
      <c r="A1902" t="s">
        <v>2218</v>
      </c>
      <c r="B1902" t="s">
        <v>2223</v>
      </c>
      <c r="C1902">
        <v>0</v>
      </c>
      <c r="D1902">
        <v>0.59303615384700004</v>
      </c>
      <c r="E1902">
        <v>24</v>
      </c>
    </row>
    <row r="1903" spans="1:5">
      <c r="A1903" t="s">
        <v>2218</v>
      </c>
      <c r="B1903" t="s">
        <v>2224</v>
      </c>
      <c r="C1903">
        <v>0</v>
      </c>
      <c r="D1903">
        <v>0.59303615384700004</v>
      </c>
      <c r="E1903">
        <v>24</v>
      </c>
    </row>
    <row r="1904" spans="1:5">
      <c r="A1904" t="s">
        <v>2218</v>
      </c>
      <c r="B1904" t="s">
        <v>2225</v>
      </c>
      <c r="C1904">
        <v>0</v>
      </c>
      <c r="D1904">
        <v>0.59303615384700004</v>
      </c>
      <c r="E1904">
        <v>24</v>
      </c>
    </row>
    <row r="1905" spans="1:5">
      <c r="A1905" t="s">
        <v>2218</v>
      </c>
      <c r="B1905" t="s">
        <v>2226</v>
      </c>
      <c r="C1905">
        <v>0</v>
      </c>
      <c r="D1905">
        <v>0.59303615384700004</v>
      </c>
      <c r="E1905">
        <v>24</v>
      </c>
    </row>
    <row r="1906" spans="1:5">
      <c r="A1906" t="s">
        <v>2218</v>
      </c>
      <c r="B1906" t="s">
        <v>2227</v>
      </c>
      <c r="C1906">
        <v>0</v>
      </c>
      <c r="D1906">
        <v>0.59303615384700004</v>
      </c>
      <c r="E1906">
        <v>24</v>
      </c>
    </row>
    <row r="1907" spans="1:5">
      <c r="A1907" t="s">
        <v>2228</v>
      </c>
      <c r="B1907" t="s">
        <v>2229</v>
      </c>
      <c r="C1907">
        <v>0</v>
      </c>
      <c r="D1907" t="s">
        <v>106</v>
      </c>
      <c r="E1907">
        <v>5.8170914542728598</v>
      </c>
    </row>
    <row r="1908" spans="1:5">
      <c r="A1908" t="s">
        <v>2228</v>
      </c>
      <c r="B1908" t="s">
        <v>2230</v>
      </c>
      <c r="C1908">
        <f>0</f>
        <v>0</v>
      </c>
      <c r="D1908" t="s">
        <v>106</v>
      </c>
      <c r="E1908">
        <v>5.8170914542728598</v>
      </c>
    </row>
    <row r="1909" spans="1:5">
      <c r="A1909" t="s">
        <v>2228</v>
      </c>
      <c r="B1909" t="s">
        <v>2231</v>
      </c>
      <c r="C1909">
        <v>0</v>
      </c>
      <c r="D1909" t="s">
        <v>106</v>
      </c>
      <c r="E1909">
        <v>5.8170914542728598</v>
      </c>
    </row>
    <row r="1910" spans="1:5">
      <c r="A1910" t="s">
        <v>2228</v>
      </c>
      <c r="B1910" t="s">
        <v>2232</v>
      </c>
      <c r="C1910">
        <v>0</v>
      </c>
      <c r="D1910" t="s">
        <v>106</v>
      </c>
      <c r="E1910">
        <v>5.8170914542728598</v>
      </c>
    </row>
    <row r="1911" spans="1:5">
      <c r="A1911" t="s">
        <v>2228</v>
      </c>
      <c r="B1911" t="s">
        <v>2233</v>
      </c>
      <c r="C1911">
        <f>0</f>
        <v>0</v>
      </c>
      <c r="D1911" t="s">
        <v>106</v>
      </c>
      <c r="E1911">
        <v>5.8170914542728598</v>
      </c>
    </row>
    <row r="1912" spans="1:5">
      <c r="A1912" t="s">
        <v>2228</v>
      </c>
      <c r="B1912" t="s">
        <v>2234</v>
      </c>
      <c r="C1912">
        <f>0</f>
        <v>0</v>
      </c>
      <c r="D1912" t="s">
        <v>106</v>
      </c>
      <c r="E1912">
        <v>5.8170914542728598</v>
      </c>
    </row>
    <row r="1913" spans="1:5">
      <c r="A1913" t="s">
        <v>2235</v>
      </c>
      <c r="B1913" t="s">
        <v>2236</v>
      </c>
      <c r="C1913">
        <v>0.32086259910699999</v>
      </c>
      <c r="D1913">
        <v>0.96132073923700001</v>
      </c>
      <c r="E1913">
        <v>0.23988005997001499</v>
      </c>
    </row>
    <row r="1914" spans="1:5">
      <c r="A1914" t="s">
        <v>2235</v>
      </c>
      <c r="B1914" t="s">
        <v>2237</v>
      </c>
      <c r="C1914">
        <f>0</f>
        <v>0</v>
      </c>
      <c r="D1914">
        <v>0.96132073923700001</v>
      </c>
      <c r="E1914">
        <v>0.23988005997001499</v>
      </c>
    </row>
    <row r="1915" spans="1:5">
      <c r="A1915" t="s">
        <v>2235</v>
      </c>
      <c r="B1915" t="s">
        <v>2238</v>
      </c>
      <c r="C1915">
        <f>0.948489934304</f>
        <v>0.94848993430399997</v>
      </c>
      <c r="D1915">
        <v>0.96132073923700001</v>
      </c>
      <c r="E1915">
        <v>0.23988005997001499</v>
      </c>
    </row>
    <row r="1916" spans="1:5">
      <c r="A1916" t="s">
        <v>2239</v>
      </c>
      <c r="B1916" t="s">
        <v>2240</v>
      </c>
      <c r="C1916">
        <v>0.31056009546699997</v>
      </c>
      <c r="D1916">
        <v>0.86118418560300003</v>
      </c>
      <c r="E1916">
        <v>1.57121439280359</v>
      </c>
    </row>
    <row r="1917" spans="1:5">
      <c r="A1917" t="s">
        <v>2239</v>
      </c>
      <c r="B1917" t="s">
        <v>2241</v>
      </c>
      <c r="C1917">
        <f>0</f>
        <v>0</v>
      </c>
      <c r="D1917">
        <v>0.86118418560300003</v>
      </c>
      <c r="E1917">
        <v>1.57121439280359</v>
      </c>
    </row>
    <row r="1918" spans="1:5">
      <c r="A1918" t="s">
        <v>2239</v>
      </c>
      <c r="B1918" t="s">
        <v>2242</v>
      </c>
      <c r="C1918">
        <f>0</f>
        <v>0</v>
      </c>
      <c r="D1918">
        <v>0.86118418560300003</v>
      </c>
      <c r="E1918">
        <v>1.57121439280359</v>
      </c>
    </row>
    <row r="1919" spans="1:5">
      <c r="A1919" t="s">
        <v>2239</v>
      </c>
      <c r="B1919" t="s">
        <v>2243</v>
      </c>
      <c r="C1919">
        <v>0</v>
      </c>
      <c r="D1919">
        <v>0.86118418560300003</v>
      </c>
      <c r="E1919">
        <v>1.57121439280359</v>
      </c>
    </row>
    <row r="1920" spans="1:5">
      <c r="A1920" t="s">
        <v>2244</v>
      </c>
      <c r="B1920" t="s">
        <v>2245</v>
      </c>
      <c r="C1920">
        <v>0.292229267593</v>
      </c>
      <c r="D1920">
        <v>0.97872136324299996</v>
      </c>
      <c r="E1920">
        <v>1.6311844077961</v>
      </c>
    </row>
    <row r="1921" spans="1:5">
      <c r="A1921" t="s">
        <v>2244</v>
      </c>
      <c r="B1921" t="s">
        <v>2246</v>
      </c>
      <c r="C1921">
        <v>0</v>
      </c>
      <c r="D1921">
        <v>0.97872136324299996</v>
      </c>
      <c r="E1921">
        <v>1.6311844077961</v>
      </c>
    </row>
    <row r="1922" spans="1:5">
      <c r="A1922" t="s">
        <v>2244</v>
      </c>
      <c r="B1922" t="s">
        <v>2247</v>
      </c>
      <c r="C1922">
        <v>0</v>
      </c>
      <c r="D1922">
        <v>0.97872136324299996</v>
      </c>
      <c r="E1922">
        <v>1.6311844077961</v>
      </c>
    </row>
    <row r="1923" spans="1:5">
      <c r="A1923" t="s">
        <v>2244</v>
      </c>
      <c r="B1923" t="s">
        <v>2248</v>
      </c>
      <c r="C1923">
        <f>0</f>
        <v>0</v>
      </c>
      <c r="D1923">
        <v>0.97872136324299996</v>
      </c>
      <c r="E1923">
        <v>1.6311844077961</v>
      </c>
    </row>
    <row r="1924" spans="1:5">
      <c r="A1924" t="s">
        <v>2244</v>
      </c>
      <c r="B1924" t="s">
        <v>2249</v>
      </c>
      <c r="C1924">
        <f>0.4914848926</f>
        <v>0.4914848926</v>
      </c>
      <c r="D1924">
        <v>0.97872136324299996</v>
      </c>
      <c r="E1924">
        <v>1.6311844077961</v>
      </c>
    </row>
    <row r="1925" spans="1:5">
      <c r="A1925" t="s">
        <v>2244</v>
      </c>
      <c r="B1925" t="s">
        <v>2250</v>
      </c>
      <c r="C1925">
        <v>0</v>
      </c>
      <c r="D1925">
        <v>0.97872136324299996</v>
      </c>
      <c r="E1925">
        <v>1.6311844077961</v>
      </c>
    </row>
    <row r="1926" spans="1:5">
      <c r="A1926" t="s">
        <v>2251</v>
      </c>
      <c r="B1926" t="s">
        <v>2252</v>
      </c>
      <c r="C1926">
        <v>0.17960419930999999</v>
      </c>
      <c r="D1926">
        <v>0.96531324847300004</v>
      </c>
      <c r="E1926">
        <v>3.3103448275862002</v>
      </c>
    </row>
    <row r="1927" spans="1:5">
      <c r="A1927" t="s">
        <v>2251</v>
      </c>
      <c r="B1927" t="s">
        <v>2253</v>
      </c>
      <c r="C1927">
        <v>0</v>
      </c>
      <c r="D1927">
        <v>0.96531324847300004</v>
      </c>
      <c r="E1927">
        <v>3.3103448275862002</v>
      </c>
    </row>
    <row r="1928" spans="1:5">
      <c r="A1928" t="s">
        <v>2251</v>
      </c>
      <c r="B1928" t="s">
        <v>2254</v>
      </c>
      <c r="C1928">
        <v>0</v>
      </c>
      <c r="D1928">
        <v>0.96531324847300004</v>
      </c>
      <c r="E1928">
        <v>3.3103448275862002</v>
      </c>
    </row>
    <row r="1929" spans="1:5">
      <c r="A1929" t="s">
        <v>2251</v>
      </c>
      <c r="B1929" t="s">
        <v>2255</v>
      </c>
      <c r="C1929">
        <v>0.229338424726</v>
      </c>
      <c r="D1929">
        <v>0.96531324847300004</v>
      </c>
      <c r="E1929">
        <v>3.3103448275862002</v>
      </c>
    </row>
    <row r="1930" spans="1:5">
      <c r="A1930" t="s">
        <v>2256</v>
      </c>
      <c r="B1930" t="s">
        <v>2257</v>
      </c>
      <c r="C1930">
        <v>0</v>
      </c>
      <c r="D1930">
        <v>0.99250618202399998</v>
      </c>
      <c r="E1930">
        <v>17.103448275862</v>
      </c>
    </row>
    <row r="1931" spans="1:5">
      <c r="A1931" t="s">
        <v>2256</v>
      </c>
      <c r="B1931" t="s">
        <v>2258</v>
      </c>
      <c r="C1931">
        <v>0</v>
      </c>
      <c r="D1931">
        <v>0.99250618202399998</v>
      </c>
      <c r="E1931">
        <v>17.103448275862</v>
      </c>
    </row>
    <row r="1932" spans="1:5">
      <c r="A1932" t="s">
        <v>2256</v>
      </c>
      <c r="B1932" t="s">
        <v>2259</v>
      </c>
      <c r="C1932">
        <v>0</v>
      </c>
      <c r="D1932">
        <v>0.99250618202399998</v>
      </c>
      <c r="E1932">
        <v>17.103448275862</v>
      </c>
    </row>
    <row r="1933" spans="1:5">
      <c r="A1933" t="s">
        <v>2256</v>
      </c>
      <c r="B1933" t="s">
        <v>2260</v>
      </c>
      <c r="C1933">
        <v>0</v>
      </c>
      <c r="D1933">
        <v>0.99250618202399998</v>
      </c>
      <c r="E1933">
        <v>17.103448275862</v>
      </c>
    </row>
    <row r="1934" spans="1:5">
      <c r="A1934" t="s">
        <v>2256</v>
      </c>
      <c r="B1934" t="s">
        <v>2261</v>
      </c>
      <c r="C1934">
        <v>0</v>
      </c>
      <c r="D1934">
        <v>0.99250618202399998</v>
      </c>
      <c r="E1934">
        <v>17.103448275862</v>
      </c>
    </row>
    <row r="1935" spans="1:5">
      <c r="A1935" t="s">
        <v>2262</v>
      </c>
      <c r="B1935" t="s">
        <v>2263</v>
      </c>
      <c r="C1935">
        <f>0.00987478601897</f>
        <v>9.8747860189699992E-3</v>
      </c>
      <c r="D1935">
        <v>0.93678922529099995</v>
      </c>
      <c r="E1935">
        <v>5.69715142428785</v>
      </c>
    </row>
    <row r="1936" spans="1:5">
      <c r="A1936" t="s">
        <v>2262</v>
      </c>
      <c r="B1936" t="s">
        <v>2264</v>
      </c>
      <c r="C1936">
        <v>0</v>
      </c>
      <c r="D1936">
        <v>0.93678922529099995</v>
      </c>
      <c r="E1936">
        <v>5.69715142428785</v>
      </c>
    </row>
    <row r="1937" spans="1:5">
      <c r="A1937" t="s">
        <v>2262</v>
      </c>
      <c r="B1937" t="s">
        <v>2265</v>
      </c>
      <c r="C1937">
        <v>0.158818546862</v>
      </c>
      <c r="D1937">
        <v>0.93678922529099995</v>
      </c>
      <c r="E1937">
        <v>5.69715142428785</v>
      </c>
    </row>
    <row r="1938" spans="1:5">
      <c r="A1938" t="s">
        <v>2262</v>
      </c>
      <c r="B1938" t="s">
        <v>2266</v>
      </c>
      <c r="C1938">
        <v>0</v>
      </c>
      <c r="D1938">
        <v>0.93678922529099995</v>
      </c>
      <c r="E1938">
        <v>5.69715142428785</v>
      </c>
    </row>
    <row r="1939" spans="1:5">
      <c r="A1939" t="s">
        <v>2262</v>
      </c>
      <c r="B1939" t="s">
        <v>2267</v>
      </c>
      <c r="C1939">
        <f>0</f>
        <v>0</v>
      </c>
      <c r="D1939">
        <v>0.93678922529099995</v>
      </c>
      <c r="E1939">
        <v>5.69715142428785</v>
      </c>
    </row>
    <row r="1940" spans="1:5">
      <c r="A1940" t="s">
        <v>2262</v>
      </c>
      <c r="B1940" t="s">
        <v>2268</v>
      </c>
      <c r="C1940">
        <f>0</f>
        <v>0</v>
      </c>
      <c r="D1940">
        <v>0.93678922529099995</v>
      </c>
      <c r="E1940">
        <v>5.69715142428785</v>
      </c>
    </row>
    <row r="1941" spans="1:5">
      <c r="A1941" t="s">
        <v>2269</v>
      </c>
      <c r="B1941" t="s">
        <v>2270</v>
      </c>
      <c r="C1941">
        <v>0.46300535195100001</v>
      </c>
      <c r="D1941">
        <v>0.92704654111100004</v>
      </c>
      <c r="E1941">
        <v>11.370314842578701</v>
      </c>
    </row>
    <row r="1942" spans="1:5">
      <c r="A1942" t="s">
        <v>2269</v>
      </c>
      <c r="B1942" t="s">
        <v>2271</v>
      </c>
      <c r="C1942">
        <v>0</v>
      </c>
      <c r="D1942">
        <v>0.92704654111100004</v>
      </c>
      <c r="E1942">
        <v>11.370314842578701</v>
      </c>
    </row>
    <row r="1943" spans="1:5">
      <c r="A1943" t="s">
        <v>2272</v>
      </c>
      <c r="B1943" t="s">
        <v>2273</v>
      </c>
      <c r="C1943">
        <v>0</v>
      </c>
      <c r="D1943" t="s">
        <v>106</v>
      </c>
      <c r="E1943">
        <v>12.5577211394302</v>
      </c>
    </row>
    <row r="1944" spans="1:5">
      <c r="A1944" t="s">
        <v>2272</v>
      </c>
      <c r="B1944" t="s">
        <v>2274</v>
      </c>
      <c r="C1944">
        <v>0</v>
      </c>
      <c r="D1944" t="s">
        <v>106</v>
      </c>
      <c r="E1944">
        <v>12.5577211394302</v>
      </c>
    </row>
    <row r="1945" spans="1:5">
      <c r="A1945" t="s">
        <v>2272</v>
      </c>
      <c r="B1945" t="s">
        <v>2275</v>
      </c>
      <c r="C1945">
        <f>0</f>
        <v>0</v>
      </c>
      <c r="D1945" t="s">
        <v>106</v>
      </c>
      <c r="E1945">
        <v>12.5577211394302</v>
      </c>
    </row>
    <row r="1946" spans="1:5">
      <c r="A1946" t="s">
        <v>2272</v>
      </c>
      <c r="B1946" t="s">
        <v>2276</v>
      </c>
      <c r="C1946">
        <f>0</f>
        <v>0</v>
      </c>
      <c r="D1946" t="s">
        <v>106</v>
      </c>
      <c r="E1946">
        <v>12.5577211394302</v>
      </c>
    </row>
    <row r="1947" spans="1:5">
      <c r="A1947" t="s">
        <v>2272</v>
      </c>
      <c r="B1947" t="s">
        <v>2277</v>
      </c>
      <c r="C1947">
        <v>0</v>
      </c>
      <c r="D1947" t="s">
        <v>106</v>
      </c>
      <c r="E1947">
        <v>12.5577211394302</v>
      </c>
    </row>
    <row r="1948" spans="1:5">
      <c r="A1948" t="s">
        <v>2278</v>
      </c>
      <c r="B1948" t="s">
        <v>2279</v>
      </c>
      <c r="C1948">
        <f>0</f>
        <v>0</v>
      </c>
      <c r="D1948">
        <v>0.71626164405299997</v>
      </c>
      <c r="E1948">
        <v>3.7781109445277301</v>
      </c>
    </row>
    <row r="1949" spans="1:5">
      <c r="A1949" t="s">
        <v>2280</v>
      </c>
      <c r="B1949" t="s">
        <v>2281</v>
      </c>
      <c r="C1949">
        <v>0</v>
      </c>
      <c r="D1949">
        <v>0.98772461041699999</v>
      </c>
      <c r="E1949">
        <v>2.0989505247376301</v>
      </c>
    </row>
    <row r="1950" spans="1:5">
      <c r="A1950" t="s">
        <v>2280</v>
      </c>
      <c r="B1950" t="s">
        <v>2282</v>
      </c>
      <c r="C1950">
        <v>0.121817523463</v>
      </c>
      <c r="D1950">
        <v>0.98772461041699999</v>
      </c>
      <c r="E1950">
        <v>2.0989505247376301</v>
      </c>
    </row>
    <row r="1951" spans="1:5">
      <c r="A1951" t="s">
        <v>2280</v>
      </c>
      <c r="B1951" t="s">
        <v>2283</v>
      </c>
      <c r="C1951">
        <f>0</f>
        <v>0</v>
      </c>
      <c r="D1951">
        <v>0.98772461041699999</v>
      </c>
      <c r="E1951">
        <v>2.0989505247376301</v>
      </c>
    </row>
    <row r="1952" spans="1:5">
      <c r="A1952" t="s">
        <v>2280</v>
      </c>
      <c r="B1952" t="s">
        <v>2284</v>
      </c>
      <c r="C1952">
        <v>0</v>
      </c>
      <c r="D1952">
        <v>0.98772461041699999</v>
      </c>
      <c r="E1952">
        <v>2.0989505247376301</v>
      </c>
    </row>
    <row r="1953" spans="1:5">
      <c r="A1953" t="s">
        <v>2280</v>
      </c>
      <c r="B1953" t="s">
        <v>2285</v>
      </c>
      <c r="C1953">
        <v>0</v>
      </c>
      <c r="D1953">
        <v>0.98772461041699999</v>
      </c>
      <c r="E1953">
        <v>2.0989505247376301</v>
      </c>
    </row>
    <row r="1954" spans="1:5">
      <c r="A1954" t="s">
        <v>2280</v>
      </c>
      <c r="B1954" t="s">
        <v>2286</v>
      </c>
      <c r="C1954">
        <v>0</v>
      </c>
      <c r="D1954">
        <v>0.98772461041699999</v>
      </c>
      <c r="E1954">
        <v>2.0989505247376301</v>
      </c>
    </row>
    <row r="1955" spans="1:5">
      <c r="A1955" t="s">
        <v>2280</v>
      </c>
      <c r="B1955" t="s">
        <v>2287</v>
      </c>
      <c r="C1955">
        <v>9.3854587839299994E-2</v>
      </c>
      <c r="D1955">
        <v>0.98772461041699999</v>
      </c>
      <c r="E1955">
        <v>2.0989505247376301</v>
      </c>
    </row>
    <row r="1956" spans="1:5">
      <c r="A1956" t="s">
        <v>2288</v>
      </c>
      <c r="B1956" t="s">
        <v>2289</v>
      </c>
      <c r="C1956">
        <v>0</v>
      </c>
      <c r="D1956" t="s">
        <v>106</v>
      </c>
      <c r="E1956">
        <v>19.4182908545727</v>
      </c>
    </row>
    <row r="1957" spans="1:5">
      <c r="A1957" t="s">
        <v>2288</v>
      </c>
      <c r="B1957" t="s">
        <v>2290</v>
      </c>
      <c r="C1957">
        <v>0</v>
      </c>
      <c r="D1957" t="s">
        <v>106</v>
      </c>
      <c r="E1957">
        <v>19.4182908545727</v>
      </c>
    </row>
    <row r="1958" spans="1:5">
      <c r="A1958" t="s">
        <v>2288</v>
      </c>
      <c r="B1958" t="s">
        <v>2291</v>
      </c>
      <c r="C1958">
        <v>0</v>
      </c>
      <c r="D1958" t="s">
        <v>106</v>
      </c>
      <c r="E1958">
        <v>19.4182908545727</v>
      </c>
    </row>
    <row r="1959" spans="1:5">
      <c r="A1959" t="s">
        <v>2288</v>
      </c>
      <c r="B1959" t="s">
        <v>2292</v>
      </c>
      <c r="C1959">
        <v>0</v>
      </c>
      <c r="D1959" t="s">
        <v>106</v>
      </c>
      <c r="E1959">
        <v>19.4182908545727</v>
      </c>
    </row>
    <row r="1960" spans="1:5">
      <c r="A1960" t="s">
        <v>2288</v>
      </c>
      <c r="B1960" t="s">
        <v>2293</v>
      </c>
      <c r="C1960">
        <v>0</v>
      </c>
      <c r="D1960" t="s">
        <v>106</v>
      </c>
      <c r="E1960">
        <v>19.4182908545727</v>
      </c>
    </row>
    <row r="1961" spans="1:5">
      <c r="A1961" t="s">
        <v>2294</v>
      </c>
      <c r="B1961" t="s">
        <v>2295</v>
      </c>
      <c r="C1961">
        <f>0</f>
        <v>0</v>
      </c>
      <c r="D1961" t="s">
        <v>106</v>
      </c>
      <c r="E1961">
        <v>16.095952023988001</v>
      </c>
    </row>
    <row r="1962" spans="1:5">
      <c r="A1962" t="s">
        <v>2294</v>
      </c>
      <c r="B1962" t="s">
        <v>2296</v>
      </c>
      <c r="C1962">
        <f>0</f>
        <v>0</v>
      </c>
      <c r="D1962" t="s">
        <v>106</v>
      </c>
      <c r="E1962">
        <v>16.095952023988001</v>
      </c>
    </row>
    <row r="1963" spans="1:5">
      <c r="A1963" t="s">
        <v>2294</v>
      </c>
      <c r="B1963" t="s">
        <v>2297</v>
      </c>
      <c r="C1963">
        <f>0</f>
        <v>0</v>
      </c>
      <c r="D1963" t="s">
        <v>106</v>
      </c>
      <c r="E1963">
        <v>16.095952023988001</v>
      </c>
    </row>
    <row r="1964" spans="1:5">
      <c r="A1964" t="s">
        <v>2294</v>
      </c>
      <c r="B1964" t="s">
        <v>2298</v>
      </c>
      <c r="C1964">
        <f>0</f>
        <v>0</v>
      </c>
      <c r="D1964" t="s">
        <v>106</v>
      </c>
      <c r="E1964">
        <v>16.095952023988001</v>
      </c>
    </row>
    <row r="1965" spans="1:5">
      <c r="A1965" t="s">
        <v>2299</v>
      </c>
      <c r="B1965" t="s">
        <v>2300</v>
      </c>
      <c r="C1965">
        <v>0</v>
      </c>
      <c r="D1965" t="s">
        <v>106</v>
      </c>
      <c r="E1965">
        <v>22.332833583208298</v>
      </c>
    </row>
    <row r="1966" spans="1:5">
      <c r="A1966" t="s">
        <v>2301</v>
      </c>
      <c r="B1966" t="s">
        <v>2302</v>
      </c>
      <c r="C1966">
        <f>0</f>
        <v>0</v>
      </c>
      <c r="D1966" t="s">
        <v>106</v>
      </c>
      <c r="E1966">
        <v>0.69565217391304301</v>
      </c>
    </row>
    <row r="1967" spans="1:5">
      <c r="A1967" t="s">
        <v>2301</v>
      </c>
      <c r="B1967" t="s">
        <v>2303</v>
      </c>
      <c r="C1967">
        <f>0</f>
        <v>0</v>
      </c>
      <c r="D1967" t="s">
        <v>106</v>
      </c>
      <c r="E1967">
        <v>0.69565217391304301</v>
      </c>
    </row>
    <row r="1968" spans="1:5">
      <c r="A1968" t="s">
        <v>2301</v>
      </c>
      <c r="B1968" t="s">
        <v>2304</v>
      </c>
      <c r="C1968">
        <f>0</f>
        <v>0</v>
      </c>
      <c r="D1968" t="s">
        <v>106</v>
      </c>
      <c r="E1968">
        <v>0.69565217391304301</v>
      </c>
    </row>
    <row r="1969" spans="1:5">
      <c r="A1969" t="s">
        <v>2301</v>
      </c>
      <c r="B1969" t="s">
        <v>2305</v>
      </c>
      <c r="C1969">
        <v>0</v>
      </c>
      <c r="D1969" t="s">
        <v>106</v>
      </c>
      <c r="E1969">
        <v>0.69565217391304301</v>
      </c>
    </row>
    <row r="1970" spans="1:5">
      <c r="A1970" t="s">
        <v>2301</v>
      </c>
      <c r="B1970" t="s">
        <v>2306</v>
      </c>
      <c r="C1970">
        <v>0</v>
      </c>
      <c r="D1970" t="s">
        <v>106</v>
      </c>
      <c r="E1970">
        <v>0.69565217391304301</v>
      </c>
    </row>
    <row r="1971" spans="1:5">
      <c r="A1971" t="s">
        <v>2301</v>
      </c>
      <c r="B1971" t="s">
        <v>2307</v>
      </c>
      <c r="C1971">
        <f>0</f>
        <v>0</v>
      </c>
      <c r="D1971" t="s">
        <v>106</v>
      </c>
      <c r="E1971">
        <v>0.69565217391304301</v>
      </c>
    </row>
    <row r="1972" spans="1:5">
      <c r="A1972" t="s">
        <v>2301</v>
      </c>
      <c r="B1972" t="s">
        <v>2308</v>
      </c>
      <c r="C1972">
        <f>0</f>
        <v>0</v>
      </c>
      <c r="D1972" t="s">
        <v>106</v>
      </c>
      <c r="E1972">
        <v>0.69565217391304301</v>
      </c>
    </row>
    <row r="1973" spans="1:5">
      <c r="A1973" t="s">
        <v>2301</v>
      </c>
      <c r="B1973" t="s">
        <v>2309</v>
      </c>
      <c r="C1973">
        <v>0</v>
      </c>
      <c r="D1973" t="s">
        <v>106</v>
      </c>
      <c r="E1973">
        <v>0.69565217391304301</v>
      </c>
    </row>
    <row r="1974" spans="1:5">
      <c r="A1974" t="s">
        <v>2301</v>
      </c>
      <c r="B1974" t="s">
        <v>2310</v>
      </c>
      <c r="C1974">
        <f>0</f>
        <v>0</v>
      </c>
      <c r="D1974" t="s">
        <v>106</v>
      </c>
      <c r="E1974">
        <v>0.69565217391304301</v>
      </c>
    </row>
    <row r="1975" spans="1:5">
      <c r="A1975" t="s">
        <v>2301</v>
      </c>
      <c r="B1975" t="s">
        <v>2311</v>
      </c>
      <c r="C1975">
        <v>0</v>
      </c>
      <c r="D1975" t="s">
        <v>106</v>
      </c>
      <c r="E1975">
        <v>0.69565217391304301</v>
      </c>
    </row>
    <row r="1976" spans="1:5">
      <c r="A1976" t="s">
        <v>2312</v>
      </c>
      <c r="B1976" t="s">
        <v>2313</v>
      </c>
      <c r="C1976">
        <v>0</v>
      </c>
      <c r="D1976">
        <v>0.93416746717800003</v>
      </c>
      <c r="E1976">
        <v>3.2263868065966999</v>
      </c>
    </row>
    <row r="1977" spans="1:5">
      <c r="A1977" t="s">
        <v>2314</v>
      </c>
      <c r="B1977" t="s">
        <v>2315</v>
      </c>
      <c r="C1977">
        <f>0</f>
        <v>0</v>
      </c>
      <c r="D1977" t="s">
        <v>106</v>
      </c>
      <c r="E1977">
        <v>4.58170914542728</v>
      </c>
    </row>
    <row r="1978" spans="1:5">
      <c r="A1978" t="s">
        <v>2314</v>
      </c>
      <c r="B1978" t="s">
        <v>2316</v>
      </c>
      <c r="C1978">
        <f>0.007301151966</f>
        <v>7.3011519660000001E-3</v>
      </c>
      <c r="D1978" t="s">
        <v>106</v>
      </c>
      <c r="E1978">
        <v>4.58170914542728</v>
      </c>
    </row>
    <row r="1979" spans="1:5">
      <c r="A1979" t="s">
        <v>2314</v>
      </c>
      <c r="B1979" t="s">
        <v>2317</v>
      </c>
      <c r="C1979">
        <v>0</v>
      </c>
      <c r="D1979" t="s">
        <v>106</v>
      </c>
      <c r="E1979">
        <v>4.58170914542728</v>
      </c>
    </row>
    <row r="1980" spans="1:5">
      <c r="A1980" t="s">
        <v>2314</v>
      </c>
      <c r="B1980" t="s">
        <v>2318</v>
      </c>
      <c r="C1980">
        <f>0.0412038809728</f>
        <v>4.1203880972799999E-2</v>
      </c>
      <c r="D1980" t="s">
        <v>106</v>
      </c>
      <c r="E1980">
        <v>4.58170914542728</v>
      </c>
    </row>
    <row r="1981" spans="1:5">
      <c r="A1981" t="s">
        <v>2314</v>
      </c>
      <c r="B1981" t="s">
        <v>2319</v>
      </c>
      <c r="C1981">
        <f>0</f>
        <v>0</v>
      </c>
      <c r="D1981" t="s">
        <v>106</v>
      </c>
      <c r="E1981">
        <v>4.58170914542728</v>
      </c>
    </row>
    <row r="1982" spans="1:5">
      <c r="A1982" t="s">
        <v>2314</v>
      </c>
      <c r="B1982" t="s">
        <v>2320</v>
      </c>
      <c r="C1982">
        <v>0</v>
      </c>
      <c r="D1982" t="s">
        <v>106</v>
      </c>
      <c r="E1982">
        <v>4.58170914542728</v>
      </c>
    </row>
    <row r="1983" spans="1:5">
      <c r="A1983" t="s">
        <v>2321</v>
      </c>
      <c r="B1983" t="s">
        <v>2322</v>
      </c>
      <c r="C1983">
        <f>0</f>
        <v>0</v>
      </c>
      <c r="D1983" t="s">
        <v>106</v>
      </c>
      <c r="E1983">
        <v>7.8680659670164896</v>
      </c>
    </row>
    <row r="1984" spans="1:5">
      <c r="A1984" t="s">
        <v>2321</v>
      </c>
      <c r="B1984" t="s">
        <v>2323</v>
      </c>
      <c r="C1984">
        <f>0</f>
        <v>0</v>
      </c>
      <c r="D1984" t="s">
        <v>106</v>
      </c>
      <c r="E1984">
        <v>7.8680659670164896</v>
      </c>
    </row>
    <row r="1985" spans="1:5">
      <c r="A1985" t="s">
        <v>2321</v>
      </c>
      <c r="B1985" t="s">
        <v>2324</v>
      </c>
      <c r="C1985">
        <v>0</v>
      </c>
      <c r="D1985" t="s">
        <v>106</v>
      </c>
      <c r="E1985">
        <v>7.8680659670164896</v>
      </c>
    </row>
    <row r="1986" spans="1:5">
      <c r="A1986" t="s">
        <v>2325</v>
      </c>
      <c r="B1986" t="s">
        <v>2326</v>
      </c>
      <c r="C1986">
        <v>0</v>
      </c>
      <c r="D1986">
        <v>0.76186707267999998</v>
      </c>
      <c r="E1986">
        <v>24</v>
      </c>
    </row>
    <row r="1987" spans="1:5">
      <c r="A1987" t="s">
        <v>2325</v>
      </c>
      <c r="B1987" t="s">
        <v>2327</v>
      </c>
      <c r="C1987">
        <v>2.4530674554000001E-2</v>
      </c>
      <c r="D1987">
        <v>0.76186707267999998</v>
      </c>
      <c r="E1987">
        <v>24</v>
      </c>
    </row>
    <row r="1988" spans="1:5">
      <c r="A1988" t="s">
        <v>2325</v>
      </c>
      <c r="B1988" t="s">
        <v>2328</v>
      </c>
      <c r="C1988">
        <f>0</f>
        <v>0</v>
      </c>
      <c r="D1988">
        <v>0.76186707267999998</v>
      </c>
      <c r="E1988">
        <v>24</v>
      </c>
    </row>
    <row r="1989" spans="1:5">
      <c r="A1989" t="s">
        <v>2325</v>
      </c>
      <c r="B1989" t="s">
        <v>2329</v>
      </c>
      <c r="C1989">
        <v>0.13116149085199999</v>
      </c>
      <c r="D1989">
        <v>0.76186707267999998</v>
      </c>
      <c r="E1989">
        <v>24</v>
      </c>
    </row>
    <row r="1990" spans="1:5">
      <c r="A1990" t="s">
        <v>2330</v>
      </c>
      <c r="B1990" t="s">
        <v>2331</v>
      </c>
      <c r="C1990">
        <f>0</f>
        <v>0</v>
      </c>
      <c r="D1990" t="s">
        <v>106</v>
      </c>
      <c r="E1990">
        <v>3.4902548725637099</v>
      </c>
    </row>
    <row r="1991" spans="1:5">
      <c r="A1991" t="s">
        <v>2330</v>
      </c>
      <c r="B1991" t="s">
        <v>2332</v>
      </c>
      <c r="C1991">
        <v>0.12565275268100001</v>
      </c>
      <c r="D1991" t="s">
        <v>106</v>
      </c>
      <c r="E1991">
        <v>3.4902548725637099</v>
      </c>
    </row>
    <row r="1992" spans="1:5">
      <c r="A1992" t="s">
        <v>2330</v>
      </c>
      <c r="B1992" t="s">
        <v>2333</v>
      </c>
      <c r="C1992">
        <v>0</v>
      </c>
      <c r="D1992" t="s">
        <v>106</v>
      </c>
      <c r="E1992">
        <v>3.4902548725637099</v>
      </c>
    </row>
    <row r="1993" spans="1:5">
      <c r="A1993" t="s">
        <v>2330</v>
      </c>
      <c r="B1993" t="s">
        <v>2334</v>
      </c>
      <c r="C1993">
        <f>0</f>
        <v>0</v>
      </c>
      <c r="D1993" t="s">
        <v>106</v>
      </c>
      <c r="E1993">
        <v>3.4902548725637099</v>
      </c>
    </row>
    <row r="1994" spans="1:5">
      <c r="A1994" t="s">
        <v>2330</v>
      </c>
      <c r="B1994" t="s">
        <v>2335</v>
      </c>
      <c r="C1994">
        <f>0</f>
        <v>0</v>
      </c>
      <c r="D1994" t="s">
        <v>106</v>
      </c>
      <c r="E1994">
        <v>3.4902548725637099</v>
      </c>
    </row>
    <row r="1995" spans="1:5">
      <c r="A1995" t="s">
        <v>2336</v>
      </c>
      <c r="B1995" t="s">
        <v>2337</v>
      </c>
      <c r="C1995">
        <v>0.53728491235099995</v>
      </c>
      <c r="D1995">
        <v>0.98963271293900001</v>
      </c>
      <c r="E1995">
        <v>4.58170914542728</v>
      </c>
    </row>
    <row r="1996" spans="1:5">
      <c r="A1996" t="s">
        <v>2336</v>
      </c>
      <c r="B1996" t="s">
        <v>2338</v>
      </c>
      <c r="C1996">
        <v>0.28878510916599998</v>
      </c>
      <c r="D1996">
        <v>0.98963271293900001</v>
      </c>
      <c r="E1996">
        <v>4.58170914542728</v>
      </c>
    </row>
    <row r="1997" spans="1:5">
      <c r="A1997" t="s">
        <v>2339</v>
      </c>
      <c r="B1997" t="s">
        <v>2340</v>
      </c>
      <c r="C1997">
        <v>0</v>
      </c>
      <c r="D1997">
        <v>0.99131761311599997</v>
      </c>
      <c r="E1997">
        <v>3.68215892053973</v>
      </c>
    </row>
    <row r="1998" spans="1:5">
      <c r="A1998" t="s">
        <v>2339</v>
      </c>
      <c r="B1998" t="s">
        <v>2341</v>
      </c>
      <c r="C1998">
        <v>0</v>
      </c>
      <c r="D1998">
        <v>0.99131761311599997</v>
      </c>
      <c r="E1998">
        <v>3.68215892053973</v>
      </c>
    </row>
    <row r="1999" spans="1:5">
      <c r="A1999" t="s">
        <v>2339</v>
      </c>
      <c r="B1999" t="s">
        <v>2342</v>
      </c>
      <c r="C1999">
        <f>0.155768150259</f>
        <v>0.15576815025900001</v>
      </c>
      <c r="D1999">
        <v>0.99131761311599997</v>
      </c>
      <c r="E1999">
        <v>3.68215892053973</v>
      </c>
    </row>
    <row r="2000" spans="1:5">
      <c r="A2000" t="s">
        <v>2343</v>
      </c>
      <c r="B2000" t="s">
        <v>2344</v>
      </c>
      <c r="C2000">
        <v>7.6579582158399995E-2</v>
      </c>
      <c r="D2000">
        <v>0.99398167837499996</v>
      </c>
      <c r="E2000">
        <v>8.4317841079460205</v>
      </c>
    </row>
    <row r="2001" spans="1:5">
      <c r="A2001" t="s">
        <v>2343</v>
      </c>
      <c r="B2001" t="s">
        <v>2345</v>
      </c>
      <c r="C2001">
        <v>0</v>
      </c>
      <c r="D2001">
        <v>0.99398167837499996</v>
      </c>
      <c r="E2001">
        <v>8.4317841079460205</v>
      </c>
    </row>
    <row r="2002" spans="1:5">
      <c r="A2002" t="s">
        <v>2343</v>
      </c>
      <c r="B2002" t="s">
        <v>2346</v>
      </c>
      <c r="C2002">
        <v>0.42061428650499999</v>
      </c>
      <c r="D2002">
        <v>0.99398167837499996</v>
      </c>
      <c r="E2002">
        <v>8.4317841079460205</v>
      </c>
    </row>
    <row r="2003" spans="1:5">
      <c r="A2003" t="s">
        <v>2343</v>
      </c>
      <c r="B2003" t="s">
        <v>2347</v>
      </c>
      <c r="C2003">
        <v>0</v>
      </c>
      <c r="D2003">
        <v>0.99398167837499996</v>
      </c>
      <c r="E2003">
        <v>8.4317841079460205</v>
      </c>
    </row>
    <row r="2004" spans="1:5">
      <c r="A2004" t="s">
        <v>2348</v>
      </c>
      <c r="B2004" t="s">
        <v>2349</v>
      </c>
      <c r="C2004">
        <f>0</f>
        <v>0</v>
      </c>
      <c r="D2004" t="s">
        <v>106</v>
      </c>
      <c r="E2004">
        <v>13.445277361319301</v>
      </c>
    </row>
    <row r="2005" spans="1:5">
      <c r="A2005" t="s">
        <v>2348</v>
      </c>
      <c r="B2005" t="s">
        <v>2350</v>
      </c>
      <c r="C2005">
        <f>0</f>
        <v>0</v>
      </c>
      <c r="D2005" t="s">
        <v>106</v>
      </c>
      <c r="E2005">
        <v>13.445277361319301</v>
      </c>
    </row>
    <row r="2006" spans="1:5">
      <c r="A2006" t="s">
        <v>2351</v>
      </c>
      <c r="B2006" t="s">
        <v>2352</v>
      </c>
      <c r="C2006">
        <f>0.0310883453817</f>
        <v>3.1088345381700001E-2</v>
      </c>
      <c r="D2006">
        <v>0.95913046127599999</v>
      </c>
      <c r="E2006">
        <v>14.176911544227799</v>
      </c>
    </row>
    <row r="2007" spans="1:5">
      <c r="A2007" t="s">
        <v>2351</v>
      </c>
      <c r="B2007" t="s">
        <v>2353</v>
      </c>
      <c r="C2007">
        <v>0.34573748141100002</v>
      </c>
      <c r="D2007">
        <v>0.95913046127599999</v>
      </c>
      <c r="E2007">
        <v>14.176911544227799</v>
      </c>
    </row>
    <row r="2008" spans="1:5">
      <c r="A2008" t="s">
        <v>2351</v>
      </c>
      <c r="B2008" t="s">
        <v>2354</v>
      </c>
      <c r="C2008">
        <f>0</f>
        <v>0</v>
      </c>
      <c r="D2008">
        <v>0.95913046127599999</v>
      </c>
      <c r="E2008">
        <v>14.176911544227799</v>
      </c>
    </row>
    <row r="2009" spans="1:5">
      <c r="A2009" t="s">
        <v>2355</v>
      </c>
      <c r="B2009" t="s">
        <v>2356</v>
      </c>
      <c r="C2009">
        <f>0</f>
        <v>0</v>
      </c>
      <c r="D2009">
        <v>0.76941436268999996</v>
      </c>
      <c r="E2009">
        <v>24</v>
      </c>
    </row>
    <row r="2010" spans="1:5">
      <c r="A2010" t="s">
        <v>2355</v>
      </c>
      <c r="B2010" t="s">
        <v>2357</v>
      </c>
      <c r="C2010">
        <f>0.0803671899661</f>
        <v>8.0367189966099997E-2</v>
      </c>
      <c r="D2010">
        <v>0.76941436268999996</v>
      </c>
      <c r="E2010">
        <v>24</v>
      </c>
    </row>
    <row r="2011" spans="1:5">
      <c r="A2011" t="s">
        <v>2355</v>
      </c>
      <c r="B2011" t="s">
        <v>2358</v>
      </c>
      <c r="C2011">
        <v>0</v>
      </c>
      <c r="D2011">
        <v>0.76941436268999996</v>
      </c>
      <c r="E2011">
        <v>24</v>
      </c>
    </row>
    <row r="2012" spans="1:5">
      <c r="A2012" t="s">
        <v>2355</v>
      </c>
      <c r="B2012" t="s">
        <v>2359</v>
      </c>
      <c r="C2012">
        <f>0.0538127457097</f>
        <v>5.3812745709700002E-2</v>
      </c>
      <c r="D2012">
        <v>0.76941436268999996</v>
      </c>
      <c r="E2012">
        <v>24</v>
      </c>
    </row>
    <row r="2013" spans="1:5">
      <c r="A2013" t="s">
        <v>2355</v>
      </c>
      <c r="B2013" t="s">
        <v>2360</v>
      </c>
      <c r="C2013">
        <v>0</v>
      </c>
      <c r="D2013">
        <v>0.76941436268999996</v>
      </c>
      <c r="E2013">
        <v>24</v>
      </c>
    </row>
    <row r="2014" spans="1:5">
      <c r="A2014" t="s">
        <v>2361</v>
      </c>
      <c r="B2014" t="s">
        <v>2362</v>
      </c>
      <c r="C2014">
        <f>0</f>
        <v>0</v>
      </c>
      <c r="D2014" t="s">
        <v>106</v>
      </c>
      <c r="E2014">
        <v>24</v>
      </c>
    </row>
    <row r="2015" spans="1:5">
      <c r="A2015" t="s">
        <v>2361</v>
      </c>
      <c r="B2015" t="s">
        <v>2363</v>
      </c>
      <c r="C2015">
        <f>0</f>
        <v>0</v>
      </c>
      <c r="D2015" t="s">
        <v>106</v>
      </c>
      <c r="E2015">
        <v>24</v>
      </c>
    </row>
    <row r="2016" spans="1:5">
      <c r="A2016" t="s">
        <v>2361</v>
      </c>
      <c r="B2016" t="s">
        <v>2364</v>
      </c>
      <c r="C2016">
        <v>0</v>
      </c>
      <c r="D2016" t="s">
        <v>106</v>
      </c>
      <c r="E2016">
        <v>24</v>
      </c>
    </row>
    <row r="2017" spans="1:5">
      <c r="A2017" t="s">
        <v>2361</v>
      </c>
      <c r="B2017" t="s">
        <v>2365</v>
      </c>
      <c r="C2017">
        <f>0</f>
        <v>0</v>
      </c>
      <c r="D2017" t="s">
        <v>106</v>
      </c>
      <c r="E2017">
        <v>24</v>
      </c>
    </row>
    <row r="2018" spans="1:5">
      <c r="A2018" t="s">
        <v>2366</v>
      </c>
      <c r="B2018" t="s">
        <v>2367</v>
      </c>
      <c r="C2018">
        <v>0</v>
      </c>
      <c r="D2018" t="s">
        <v>106</v>
      </c>
      <c r="E2018">
        <v>22.800599700149899</v>
      </c>
    </row>
    <row r="2019" spans="1:5">
      <c r="A2019" t="s">
        <v>2366</v>
      </c>
      <c r="B2019" t="s">
        <v>2368</v>
      </c>
      <c r="C2019">
        <v>0.155222675074</v>
      </c>
      <c r="D2019" t="s">
        <v>106</v>
      </c>
      <c r="E2019">
        <v>22.800599700149899</v>
      </c>
    </row>
    <row r="2020" spans="1:5">
      <c r="A2020" t="s">
        <v>2366</v>
      </c>
      <c r="B2020" t="s">
        <v>2369</v>
      </c>
      <c r="C2020">
        <v>0</v>
      </c>
      <c r="D2020" t="s">
        <v>106</v>
      </c>
      <c r="E2020">
        <v>22.800599700149899</v>
      </c>
    </row>
    <row r="2021" spans="1:5">
      <c r="A2021" t="s">
        <v>2366</v>
      </c>
      <c r="B2021" t="s">
        <v>2370</v>
      </c>
      <c r="C2021">
        <f>0</f>
        <v>0</v>
      </c>
      <c r="D2021" t="s">
        <v>106</v>
      </c>
      <c r="E2021">
        <v>22.800599700149899</v>
      </c>
    </row>
    <row r="2022" spans="1:5">
      <c r="A2022" t="s">
        <v>2371</v>
      </c>
      <c r="B2022" t="s">
        <v>2372</v>
      </c>
      <c r="C2022">
        <v>0</v>
      </c>
      <c r="D2022">
        <v>0.54246560411900002</v>
      </c>
      <c r="E2022">
        <v>24</v>
      </c>
    </row>
    <row r="2023" spans="1:5">
      <c r="A2023" t="s">
        <v>2371</v>
      </c>
      <c r="B2023" t="s">
        <v>2373</v>
      </c>
      <c r="C2023">
        <f>0</f>
        <v>0</v>
      </c>
      <c r="D2023">
        <v>0.54246560411900002</v>
      </c>
      <c r="E2023">
        <v>24</v>
      </c>
    </row>
    <row r="2024" spans="1:5">
      <c r="A2024" t="s">
        <v>2371</v>
      </c>
      <c r="B2024" t="s">
        <v>2374</v>
      </c>
      <c r="C2024">
        <v>0.14294911004899999</v>
      </c>
      <c r="D2024">
        <v>0.54246560411900002</v>
      </c>
      <c r="E2024">
        <v>24</v>
      </c>
    </row>
    <row r="2025" spans="1:5">
      <c r="A2025" t="s">
        <v>2375</v>
      </c>
      <c r="B2025" t="s">
        <v>2376</v>
      </c>
      <c r="C2025">
        <v>4.8949043757600001E-2</v>
      </c>
      <c r="D2025">
        <v>0.83688995618399997</v>
      </c>
      <c r="E2025">
        <v>2.1709145427286298</v>
      </c>
    </row>
    <row r="2026" spans="1:5">
      <c r="A2026" t="s">
        <v>2375</v>
      </c>
      <c r="B2026" t="s">
        <v>2377</v>
      </c>
      <c r="C2026">
        <f>0</f>
        <v>0</v>
      </c>
      <c r="D2026">
        <v>0.83688995618399997</v>
      </c>
      <c r="E2026">
        <v>2.1709145427286298</v>
      </c>
    </row>
    <row r="2027" spans="1:5">
      <c r="A2027" t="s">
        <v>2375</v>
      </c>
      <c r="B2027" t="s">
        <v>2378</v>
      </c>
      <c r="C2027">
        <v>1.0346398509400001E-3</v>
      </c>
      <c r="D2027">
        <v>0.83688995618399997</v>
      </c>
      <c r="E2027">
        <v>2.1709145427286298</v>
      </c>
    </row>
    <row r="2028" spans="1:5">
      <c r="A2028" t="s">
        <v>2379</v>
      </c>
      <c r="B2028" t="s">
        <v>2380</v>
      </c>
      <c r="C2028">
        <v>4.4214240011499997E-2</v>
      </c>
      <c r="D2028" t="s">
        <v>106</v>
      </c>
      <c r="E2028">
        <v>24</v>
      </c>
    </row>
    <row r="2029" spans="1:5">
      <c r="A2029" t="s">
        <v>2379</v>
      </c>
      <c r="B2029" t="s">
        <v>2381</v>
      </c>
      <c r="C2029">
        <f>0</f>
        <v>0</v>
      </c>
      <c r="D2029" t="s">
        <v>106</v>
      </c>
      <c r="E2029">
        <v>24</v>
      </c>
    </row>
    <row r="2030" spans="1:5">
      <c r="A2030" t="s">
        <v>2379</v>
      </c>
      <c r="B2030" t="s">
        <v>2382</v>
      </c>
      <c r="C2030">
        <v>0</v>
      </c>
      <c r="D2030" t="s">
        <v>106</v>
      </c>
      <c r="E2030">
        <v>24</v>
      </c>
    </row>
    <row r="2031" spans="1:5">
      <c r="A2031" t="s">
        <v>2383</v>
      </c>
      <c r="B2031" t="s">
        <v>2384</v>
      </c>
      <c r="C2031">
        <v>4.8921344386200001E-2</v>
      </c>
      <c r="D2031">
        <v>0.63000153830399996</v>
      </c>
      <c r="E2031">
        <v>0.91154422788605605</v>
      </c>
    </row>
    <row r="2032" spans="1:5">
      <c r="A2032" t="s">
        <v>2385</v>
      </c>
      <c r="B2032" t="s">
        <v>2386</v>
      </c>
      <c r="C2032">
        <v>0.42996235392900001</v>
      </c>
      <c r="D2032">
        <v>0.97512960593300002</v>
      </c>
      <c r="E2032">
        <v>9.4632683658170897</v>
      </c>
    </row>
    <row r="2033" spans="1:5">
      <c r="A2033" t="s">
        <v>2385</v>
      </c>
      <c r="B2033" t="s">
        <v>2387</v>
      </c>
      <c r="C2033">
        <v>0</v>
      </c>
      <c r="D2033">
        <v>0.97512960593300002</v>
      </c>
      <c r="E2033">
        <v>9.4632683658170897</v>
      </c>
    </row>
    <row r="2034" spans="1:5">
      <c r="A2034" t="s">
        <v>2385</v>
      </c>
      <c r="B2034" t="s">
        <v>2388</v>
      </c>
      <c r="C2034">
        <v>0</v>
      </c>
      <c r="D2034">
        <v>0.97512960593300002</v>
      </c>
      <c r="E2034">
        <v>9.4632683658170897</v>
      </c>
    </row>
    <row r="2035" spans="1:5">
      <c r="A2035" t="s">
        <v>2385</v>
      </c>
      <c r="B2035" t="s">
        <v>2389</v>
      </c>
      <c r="C2035">
        <v>0</v>
      </c>
      <c r="D2035">
        <v>0.97512960593300002</v>
      </c>
      <c r="E2035">
        <v>9.4632683658170897</v>
      </c>
    </row>
    <row r="2036" spans="1:5">
      <c r="A2036" t="s">
        <v>2385</v>
      </c>
      <c r="B2036" t="s">
        <v>2390</v>
      </c>
      <c r="C2036">
        <v>0</v>
      </c>
      <c r="D2036">
        <v>0.97512960593300002</v>
      </c>
      <c r="E2036">
        <v>9.4632683658170897</v>
      </c>
    </row>
    <row r="2037" spans="1:5">
      <c r="A2037" t="s">
        <v>2385</v>
      </c>
      <c r="B2037" t="s">
        <v>2391</v>
      </c>
      <c r="C2037">
        <f>0</f>
        <v>0</v>
      </c>
      <c r="D2037">
        <v>0.97512960593300002</v>
      </c>
      <c r="E2037">
        <v>9.4632683658170897</v>
      </c>
    </row>
    <row r="2038" spans="1:5">
      <c r="A2038" t="s">
        <v>2385</v>
      </c>
      <c r="B2038" t="s">
        <v>2392</v>
      </c>
      <c r="C2038">
        <v>0</v>
      </c>
      <c r="D2038">
        <v>0.97512960593300002</v>
      </c>
      <c r="E2038">
        <v>9.4632683658170897</v>
      </c>
    </row>
    <row r="2039" spans="1:5">
      <c r="A2039" t="s">
        <v>2385</v>
      </c>
      <c r="B2039" t="s">
        <v>2393</v>
      </c>
      <c r="C2039">
        <f>0</f>
        <v>0</v>
      </c>
      <c r="D2039">
        <v>0.97512960593300002</v>
      </c>
      <c r="E2039">
        <v>9.4632683658170897</v>
      </c>
    </row>
    <row r="2040" spans="1:5">
      <c r="A2040" t="s">
        <v>2394</v>
      </c>
      <c r="B2040" t="s">
        <v>2395</v>
      </c>
      <c r="C2040">
        <v>0</v>
      </c>
      <c r="D2040">
        <v>0.98928515589699995</v>
      </c>
      <c r="E2040">
        <v>10.398800599700101</v>
      </c>
    </row>
    <row r="2041" spans="1:5">
      <c r="A2041" t="s">
        <v>2394</v>
      </c>
      <c r="B2041" t="s">
        <v>2396</v>
      </c>
      <c r="C2041">
        <f>0</f>
        <v>0</v>
      </c>
      <c r="D2041">
        <v>0.98928515589699995</v>
      </c>
      <c r="E2041">
        <v>10.398800599700101</v>
      </c>
    </row>
    <row r="2042" spans="1:5">
      <c r="A2042" t="s">
        <v>2394</v>
      </c>
      <c r="B2042" t="s">
        <v>2397</v>
      </c>
      <c r="C2042">
        <v>0.46001473636599999</v>
      </c>
      <c r="D2042">
        <v>0.98928515589699995</v>
      </c>
      <c r="E2042">
        <v>10.398800599700101</v>
      </c>
    </row>
    <row r="2043" spans="1:5">
      <c r="A2043" t="s">
        <v>2394</v>
      </c>
      <c r="B2043" t="s">
        <v>2398</v>
      </c>
      <c r="C2043">
        <f>0.0525546096454</f>
        <v>5.2554609645399999E-2</v>
      </c>
      <c r="D2043">
        <v>0.98928515589699995</v>
      </c>
      <c r="E2043">
        <v>10.398800599700101</v>
      </c>
    </row>
    <row r="2044" spans="1:5">
      <c r="A2044" t="s">
        <v>2399</v>
      </c>
      <c r="B2044" t="s">
        <v>2400</v>
      </c>
      <c r="C2044">
        <v>0</v>
      </c>
      <c r="D2044" t="s">
        <v>106</v>
      </c>
      <c r="E2044">
        <v>0.86356821589205401</v>
      </c>
    </row>
    <row r="2045" spans="1:5">
      <c r="A2045" t="s">
        <v>2399</v>
      </c>
      <c r="B2045" t="s">
        <v>2401</v>
      </c>
      <c r="C2045">
        <f>0</f>
        <v>0</v>
      </c>
      <c r="D2045" t="s">
        <v>106</v>
      </c>
      <c r="E2045">
        <v>0.86356821589205401</v>
      </c>
    </row>
    <row r="2046" spans="1:5">
      <c r="A2046" t="s">
        <v>2399</v>
      </c>
      <c r="B2046" t="s">
        <v>2402</v>
      </c>
      <c r="C2046">
        <v>0</v>
      </c>
      <c r="D2046" t="s">
        <v>106</v>
      </c>
      <c r="E2046">
        <v>0.86356821589205401</v>
      </c>
    </row>
    <row r="2047" spans="1:5">
      <c r="A2047" t="s">
        <v>2403</v>
      </c>
      <c r="B2047" t="s">
        <v>2404</v>
      </c>
      <c r="C2047">
        <f>0</f>
        <v>0</v>
      </c>
      <c r="D2047">
        <v>0.91383801142099996</v>
      </c>
      <c r="E2047">
        <v>1.57121439280359</v>
      </c>
    </row>
    <row r="2048" spans="1:5">
      <c r="A2048" t="s">
        <v>2403</v>
      </c>
      <c r="B2048" t="s">
        <v>2405</v>
      </c>
      <c r="C2048">
        <v>0.21426257008399999</v>
      </c>
      <c r="D2048">
        <v>0.91383801142099996</v>
      </c>
      <c r="E2048">
        <v>1.57121439280359</v>
      </c>
    </row>
    <row r="2049" spans="1:5">
      <c r="A2049" t="s">
        <v>2403</v>
      </c>
      <c r="B2049" t="s">
        <v>2406</v>
      </c>
      <c r="C2049">
        <f>0</f>
        <v>0</v>
      </c>
      <c r="D2049">
        <v>0.91383801142099996</v>
      </c>
      <c r="E2049">
        <v>1.57121439280359</v>
      </c>
    </row>
    <row r="2050" spans="1:5">
      <c r="A2050" t="s">
        <v>2403</v>
      </c>
      <c r="B2050" t="s">
        <v>2407</v>
      </c>
      <c r="C2050">
        <v>0</v>
      </c>
      <c r="D2050">
        <v>0.91383801142099996</v>
      </c>
      <c r="E2050">
        <v>1.57121439280359</v>
      </c>
    </row>
    <row r="2051" spans="1:5">
      <c r="A2051" t="s">
        <v>2408</v>
      </c>
      <c r="B2051" t="s">
        <v>2409</v>
      </c>
      <c r="C2051">
        <v>3.10589826399E-2</v>
      </c>
      <c r="D2051">
        <v>0.94264128874499997</v>
      </c>
      <c r="E2051">
        <v>15.5082458770614</v>
      </c>
    </row>
    <row r="2052" spans="1:5">
      <c r="A2052" t="s">
        <v>2408</v>
      </c>
      <c r="B2052" t="s">
        <v>2410</v>
      </c>
      <c r="C2052">
        <f>0.267967141874</f>
        <v>0.267967141874</v>
      </c>
      <c r="D2052">
        <v>0.94264128874499997</v>
      </c>
      <c r="E2052">
        <v>15.5082458770614</v>
      </c>
    </row>
    <row r="2053" spans="1:5">
      <c r="A2053" t="s">
        <v>2411</v>
      </c>
      <c r="B2053" t="s">
        <v>2412</v>
      </c>
      <c r="C2053">
        <v>0.23531479127900001</v>
      </c>
      <c r="D2053">
        <v>0.132539227482</v>
      </c>
      <c r="E2053">
        <v>4.9055472263868003</v>
      </c>
    </row>
    <row r="2054" spans="1:5">
      <c r="A2054" t="s">
        <v>2411</v>
      </c>
      <c r="B2054" t="s">
        <v>2413</v>
      </c>
      <c r="C2054">
        <v>0</v>
      </c>
      <c r="D2054">
        <v>0.132539227482</v>
      </c>
      <c r="E2054">
        <v>4.9055472263868003</v>
      </c>
    </row>
    <row r="2055" spans="1:5">
      <c r="A2055" t="s">
        <v>2411</v>
      </c>
      <c r="B2055" t="s">
        <v>2414</v>
      </c>
      <c r="C2055">
        <v>0</v>
      </c>
      <c r="D2055">
        <v>0.132539227482</v>
      </c>
      <c r="E2055">
        <v>4.9055472263868003</v>
      </c>
    </row>
    <row r="2056" spans="1:5">
      <c r="A2056" t="s">
        <v>2415</v>
      </c>
      <c r="B2056" t="s">
        <v>2416</v>
      </c>
      <c r="C2056">
        <v>0</v>
      </c>
      <c r="D2056" t="s">
        <v>106</v>
      </c>
      <c r="E2056">
        <v>12.0419790104947</v>
      </c>
    </row>
    <row r="2057" spans="1:5">
      <c r="A2057" t="s">
        <v>2415</v>
      </c>
      <c r="B2057" t="s">
        <v>2417</v>
      </c>
      <c r="C2057">
        <v>0</v>
      </c>
      <c r="D2057" t="s">
        <v>106</v>
      </c>
      <c r="E2057">
        <v>12.0419790104947</v>
      </c>
    </row>
    <row r="2058" spans="1:5">
      <c r="A2058" t="s">
        <v>2415</v>
      </c>
      <c r="B2058" t="s">
        <v>2418</v>
      </c>
      <c r="C2058">
        <v>0</v>
      </c>
      <c r="D2058" t="s">
        <v>106</v>
      </c>
      <c r="E2058">
        <v>12.0419790104947</v>
      </c>
    </row>
    <row r="2059" spans="1:5">
      <c r="A2059" t="s">
        <v>2415</v>
      </c>
      <c r="B2059" t="s">
        <v>2419</v>
      </c>
      <c r="C2059">
        <f>0</f>
        <v>0</v>
      </c>
      <c r="D2059" t="s">
        <v>106</v>
      </c>
      <c r="E2059">
        <v>12.0419790104947</v>
      </c>
    </row>
    <row r="2060" spans="1:5">
      <c r="A2060" t="s">
        <v>2415</v>
      </c>
      <c r="B2060" t="s">
        <v>2420</v>
      </c>
      <c r="C2060">
        <f>0</f>
        <v>0</v>
      </c>
      <c r="D2060" t="s">
        <v>106</v>
      </c>
      <c r="E2060">
        <v>12.0419790104947</v>
      </c>
    </row>
    <row r="2061" spans="1:5">
      <c r="A2061" t="s">
        <v>2421</v>
      </c>
      <c r="B2061" t="s">
        <v>2422</v>
      </c>
      <c r="C2061">
        <f>0</f>
        <v>0</v>
      </c>
      <c r="D2061">
        <v>0.85860266074500002</v>
      </c>
      <c r="E2061">
        <v>5.4692653673163401</v>
      </c>
    </row>
    <row r="2062" spans="1:5">
      <c r="A2062" t="s">
        <v>2421</v>
      </c>
      <c r="B2062" t="s">
        <v>2423</v>
      </c>
      <c r="C2062">
        <f>0</f>
        <v>0</v>
      </c>
      <c r="D2062">
        <v>0.85860266074500002</v>
      </c>
      <c r="E2062">
        <v>5.4692653673163401</v>
      </c>
    </row>
    <row r="2063" spans="1:5">
      <c r="A2063" t="s">
        <v>2421</v>
      </c>
      <c r="B2063" t="s">
        <v>2424</v>
      </c>
      <c r="C2063">
        <f>0</f>
        <v>0</v>
      </c>
      <c r="D2063">
        <v>0.85860266074500002</v>
      </c>
      <c r="E2063">
        <v>5.4692653673163401</v>
      </c>
    </row>
    <row r="2064" spans="1:5">
      <c r="A2064" t="s">
        <v>2425</v>
      </c>
      <c r="B2064" t="s">
        <v>2426</v>
      </c>
      <c r="C2064">
        <v>0</v>
      </c>
      <c r="D2064">
        <v>0.97835780636900005</v>
      </c>
      <c r="E2064">
        <v>4.0659670164917499</v>
      </c>
    </row>
    <row r="2065" spans="1:5">
      <c r="A2065" t="s">
        <v>2425</v>
      </c>
      <c r="B2065" t="s">
        <v>2427</v>
      </c>
      <c r="C2065">
        <v>0</v>
      </c>
      <c r="D2065">
        <v>0.97835780636900005</v>
      </c>
      <c r="E2065">
        <v>4.0659670164917499</v>
      </c>
    </row>
    <row r="2066" spans="1:5">
      <c r="A2066" t="s">
        <v>2425</v>
      </c>
      <c r="B2066" t="s">
        <v>2428</v>
      </c>
      <c r="C2066">
        <f>0</f>
        <v>0</v>
      </c>
      <c r="D2066">
        <v>0.97835780636900005</v>
      </c>
      <c r="E2066">
        <v>4.0659670164917499</v>
      </c>
    </row>
    <row r="2067" spans="1:5">
      <c r="A2067" t="s">
        <v>2425</v>
      </c>
      <c r="B2067" t="s">
        <v>2429</v>
      </c>
      <c r="C2067">
        <v>0</v>
      </c>
      <c r="D2067">
        <v>0.97835780636900005</v>
      </c>
      <c r="E2067">
        <v>4.0659670164917499</v>
      </c>
    </row>
    <row r="2068" spans="1:5">
      <c r="A2068" t="s">
        <v>2425</v>
      </c>
      <c r="B2068" t="s">
        <v>2430</v>
      </c>
      <c r="C2068">
        <v>0</v>
      </c>
      <c r="D2068">
        <v>0.97835780636900005</v>
      </c>
      <c r="E2068">
        <v>4.0659670164917499</v>
      </c>
    </row>
    <row r="2069" spans="1:5">
      <c r="A2069" t="s">
        <v>2425</v>
      </c>
      <c r="B2069" t="s">
        <v>2431</v>
      </c>
      <c r="C2069">
        <v>0</v>
      </c>
      <c r="D2069">
        <v>0.97835780636900005</v>
      </c>
      <c r="E2069">
        <v>4.0659670164917499</v>
      </c>
    </row>
    <row r="2070" spans="1:5">
      <c r="A2070" t="s">
        <v>2425</v>
      </c>
      <c r="B2070" t="s">
        <v>2432</v>
      </c>
      <c r="C2070">
        <v>0</v>
      </c>
      <c r="D2070">
        <v>0.97835780636900005</v>
      </c>
      <c r="E2070">
        <v>4.0659670164917499</v>
      </c>
    </row>
    <row r="2071" spans="1:5">
      <c r="A2071" t="s">
        <v>2425</v>
      </c>
      <c r="B2071" t="s">
        <v>2433</v>
      </c>
      <c r="C2071">
        <f>0</f>
        <v>0</v>
      </c>
      <c r="D2071">
        <v>0.97835780636900005</v>
      </c>
      <c r="E2071">
        <v>4.0659670164917499</v>
      </c>
    </row>
    <row r="2072" spans="1:5">
      <c r="A2072" t="s">
        <v>2434</v>
      </c>
      <c r="B2072" t="s">
        <v>2435</v>
      </c>
      <c r="C2072">
        <v>0.154850757885</v>
      </c>
      <c r="D2072">
        <v>0.95216276566699998</v>
      </c>
      <c r="E2072">
        <v>1.7631184407796101</v>
      </c>
    </row>
    <row r="2073" spans="1:5">
      <c r="A2073" t="s">
        <v>2434</v>
      </c>
      <c r="B2073" t="s">
        <v>2436</v>
      </c>
      <c r="C2073">
        <f>0</f>
        <v>0</v>
      </c>
      <c r="D2073">
        <v>0.95216276566699998</v>
      </c>
      <c r="E2073">
        <v>1.7631184407796101</v>
      </c>
    </row>
    <row r="2074" spans="1:5">
      <c r="A2074" t="s">
        <v>2434</v>
      </c>
      <c r="B2074" t="s">
        <v>2437</v>
      </c>
      <c r="C2074">
        <f>0</f>
        <v>0</v>
      </c>
      <c r="D2074">
        <v>0.95216276566699998</v>
      </c>
      <c r="E2074">
        <v>1.7631184407796101</v>
      </c>
    </row>
    <row r="2075" spans="1:5">
      <c r="A2075" t="s">
        <v>2434</v>
      </c>
      <c r="B2075" t="s">
        <v>2438</v>
      </c>
      <c r="C2075">
        <f>0</f>
        <v>0</v>
      </c>
      <c r="D2075">
        <v>0.95216276566699998</v>
      </c>
      <c r="E2075">
        <v>1.7631184407796101</v>
      </c>
    </row>
    <row r="2076" spans="1:5">
      <c r="A2076" t="s">
        <v>2434</v>
      </c>
      <c r="B2076" t="s">
        <v>2439</v>
      </c>
      <c r="C2076">
        <f>0</f>
        <v>0</v>
      </c>
      <c r="D2076">
        <v>0.95216276566699998</v>
      </c>
      <c r="E2076">
        <v>1.7631184407796101</v>
      </c>
    </row>
    <row r="2077" spans="1:5">
      <c r="A2077" t="s">
        <v>2434</v>
      </c>
      <c r="B2077" t="s">
        <v>2440</v>
      </c>
      <c r="C2077">
        <v>0</v>
      </c>
      <c r="D2077">
        <v>0.95216276566699998</v>
      </c>
      <c r="E2077">
        <v>1.7631184407796101</v>
      </c>
    </row>
    <row r="2078" spans="1:5">
      <c r="A2078" t="s">
        <v>2441</v>
      </c>
      <c r="B2078" t="s">
        <v>2442</v>
      </c>
      <c r="C2078">
        <f>0</f>
        <v>0</v>
      </c>
      <c r="D2078">
        <v>0.88833753760699996</v>
      </c>
      <c r="E2078">
        <v>1.45127436281859</v>
      </c>
    </row>
    <row r="2079" spans="1:5">
      <c r="A2079" t="s">
        <v>2441</v>
      </c>
      <c r="B2079" t="s">
        <v>2443</v>
      </c>
      <c r="C2079">
        <f>0</f>
        <v>0</v>
      </c>
      <c r="D2079">
        <v>0.88833753760699996</v>
      </c>
      <c r="E2079">
        <v>1.45127436281859</v>
      </c>
    </row>
    <row r="2080" spans="1:5">
      <c r="A2080" t="s">
        <v>2441</v>
      </c>
      <c r="B2080" t="s">
        <v>2444</v>
      </c>
      <c r="C2080">
        <v>0</v>
      </c>
      <c r="D2080">
        <v>0.88833753760699996</v>
      </c>
      <c r="E2080">
        <v>1.45127436281859</v>
      </c>
    </row>
    <row r="2081" spans="1:5">
      <c r="A2081" t="s">
        <v>2441</v>
      </c>
      <c r="B2081" t="s">
        <v>2445</v>
      </c>
      <c r="C2081">
        <v>8.2427676801800007E-2</v>
      </c>
      <c r="D2081">
        <v>0.88833753760699996</v>
      </c>
      <c r="E2081">
        <v>1.45127436281859</v>
      </c>
    </row>
    <row r="2082" spans="1:5">
      <c r="A2082" t="s">
        <v>2441</v>
      </c>
      <c r="B2082" t="s">
        <v>2446</v>
      </c>
      <c r="C2082">
        <v>0.12034535845700001</v>
      </c>
      <c r="D2082">
        <v>0.88833753760699996</v>
      </c>
      <c r="E2082">
        <v>1.45127436281859</v>
      </c>
    </row>
    <row r="2083" spans="1:5">
      <c r="A2083" t="s">
        <v>2447</v>
      </c>
      <c r="B2083" t="s">
        <v>2448</v>
      </c>
      <c r="C2083">
        <f>0.115951170954</f>
        <v>0.115951170954</v>
      </c>
      <c r="D2083">
        <v>0.90971375157199996</v>
      </c>
      <c r="E2083">
        <v>14.5487256371814</v>
      </c>
    </row>
    <row r="2084" spans="1:5">
      <c r="A2084" t="s">
        <v>2447</v>
      </c>
      <c r="B2084" t="s">
        <v>2449</v>
      </c>
      <c r="C2084">
        <v>0.167740095743</v>
      </c>
      <c r="D2084">
        <v>0.90971375157199996</v>
      </c>
      <c r="E2084">
        <v>14.5487256371814</v>
      </c>
    </row>
    <row r="2085" spans="1:5">
      <c r="A2085" t="s">
        <v>2447</v>
      </c>
      <c r="B2085" t="s">
        <v>2450</v>
      </c>
      <c r="C2085">
        <v>0</v>
      </c>
      <c r="D2085">
        <v>0.90971375157199996</v>
      </c>
      <c r="E2085">
        <v>14.5487256371814</v>
      </c>
    </row>
    <row r="2086" spans="1:5">
      <c r="A2086" t="s">
        <v>2451</v>
      </c>
      <c r="B2086" t="s">
        <v>2452</v>
      </c>
      <c r="C2086">
        <v>0</v>
      </c>
      <c r="D2086">
        <v>0.50797910270000002</v>
      </c>
      <c r="E2086">
        <v>4.4737631184407798</v>
      </c>
    </row>
    <row r="2087" spans="1:5">
      <c r="A2087" t="s">
        <v>2451</v>
      </c>
      <c r="B2087" t="s">
        <v>2453</v>
      </c>
      <c r="C2087">
        <v>0</v>
      </c>
      <c r="D2087">
        <v>0.50797910270000002</v>
      </c>
      <c r="E2087">
        <v>4.4737631184407798</v>
      </c>
    </row>
    <row r="2088" spans="1:5">
      <c r="A2088" t="s">
        <v>2451</v>
      </c>
      <c r="B2088" t="s">
        <v>2454</v>
      </c>
      <c r="C2088">
        <v>0</v>
      </c>
      <c r="D2088">
        <v>0.50797910270000002</v>
      </c>
      <c r="E2088">
        <v>4.4737631184407798</v>
      </c>
    </row>
    <row r="2089" spans="1:5">
      <c r="A2089" t="s">
        <v>2451</v>
      </c>
      <c r="B2089" t="s">
        <v>2455</v>
      </c>
      <c r="C2089">
        <v>0</v>
      </c>
      <c r="D2089">
        <v>0.50797910270000002</v>
      </c>
      <c r="E2089">
        <v>4.4737631184407798</v>
      </c>
    </row>
    <row r="2090" spans="1:5">
      <c r="A2090" t="s">
        <v>2451</v>
      </c>
      <c r="B2090" t="s">
        <v>2456</v>
      </c>
      <c r="C2090">
        <f>0</f>
        <v>0</v>
      </c>
      <c r="D2090">
        <v>0.50797910270000002</v>
      </c>
      <c r="E2090">
        <v>4.4737631184407798</v>
      </c>
    </row>
    <row r="2091" spans="1:5">
      <c r="A2091" t="s">
        <v>2451</v>
      </c>
      <c r="B2091" t="s">
        <v>2457</v>
      </c>
      <c r="C2091">
        <f>0</f>
        <v>0</v>
      </c>
      <c r="D2091">
        <v>0.50797910270000002</v>
      </c>
      <c r="E2091">
        <v>4.4737631184407798</v>
      </c>
    </row>
    <row r="2092" spans="1:5">
      <c r="A2092" t="s">
        <v>2451</v>
      </c>
      <c r="B2092" t="s">
        <v>2458</v>
      </c>
      <c r="C2092">
        <v>0</v>
      </c>
      <c r="D2092">
        <v>0.50797910270000002</v>
      </c>
      <c r="E2092">
        <v>4.4737631184407798</v>
      </c>
    </row>
    <row r="2093" spans="1:5">
      <c r="A2093" t="s">
        <v>2459</v>
      </c>
      <c r="B2093" t="s">
        <v>2460</v>
      </c>
      <c r="C2093">
        <v>0</v>
      </c>
      <c r="D2093">
        <v>0.83145223075700003</v>
      </c>
      <c r="E2093">
        <v>13.0854572713643</v>
      </c>
    </row>
    <row r="2094" spans="1:5">
      <c r="A2094" t="s">
        <v>2459</v>
      </c>
      <c r="B2094" t="s">
        <v>2461</v>
      </c>
      <c r="C2094">
        <v>0.14111391977400001</v>
      </c>
      <c r="D2094">
        <v>0.83145223075700003</v>
      </c>
      <c r="E2094">
        <v>13.0854572713643</v>
      </c>
    </row>
    <row r="2095" spans="1:5">
      <c r="A2095" t="s">
        <v>2462</v>
      </c>
      <c r="B2095" t="s">
        <v>2463</v>
      </c>
      <c r="C2095">
        <v>5.39552472532E-2</v>
      </c>
      <c r="D2095" t="s">
        <v>106</v>
      </c>
      <c r="E2095">
        <v>24</v>
      </c>
    </row>
    <row r="2096" spans="1:5">
      <c r="A2096" t="s">
        <v>2462</v>
      </c>
      <c r="B2096" t="s">
        <v>2464</v>
      </c>
      <c r="C2096">
        <v>0.18948805513399999</v>
      </c>
      <c r="D2096" t="s">
        <v>106</v>
      </c>
      <c r="E2096">
        <v>24</v>
      </c>
    </row>
    <row r="2097" spans="1:5">
      <c r="A2097" t="s">
        <v>2462</v>
      </c>
      <c r="B2097" t="s">
        <v>2465</v>
      </c>
      <c r="C2097">
        <v>0</v>
      </c>
      <c r="D2097" t="s">
        <v>106</v>
      </c>
      <c r="E2097">
        <v>24</v>
      </c>
    </row>
    <row r="2098" spans="1:5">
      <c r="A2098" t="s">
        <v>2462</v>
      </c>
      <c r="B2098" t="s">
        <v>2466</v>
      </c>
      <c r="C2098">
        <f>0</f>
        <v>0</v>
      </c>
      <c r="D2098" t="s">
        <v>106</v>
      </c>
      <c r="E2098">
        <v>24</v>
      </c>
    </row>
    <row r="2099" spans="1:5">
      <c r="A2099" t="s">
        <v>2462</v>
      </c>
      <c r="B2099" t="s">
        <v>2467</v>
      </c>
      <c r="C2099">
        <f>0</f>
        <v>0</v>
      </c>
      <c r="D2099" t="s">
        <v>106</v>
      </c>
      <c r="E2099">
        <v>24</v>
      </c>
    </row>
    <row r="2100" spans="1:5">
      <c r="A2100" t="s">
        <v>2468</v>
      </c>
      <c r="B2100" t="s">
        <v>2469</v>
      </c>
      <c r="C2100">
        <v>0.72207029293699998</v>
      </c>
      <c r="D2100">
        <v>0.86758071186999997</v>
      </c>
      <c r="E2100">
        <v>0.46776611694152898</v>
      </c>
    </row>
    <row r="2101" spans="1:5">
      <c r="A2101" t="s">
        <v>2470</v>
      </c>
      <c r="B2101" t="s">
        <v>2471</v>
      </c>
      <c r="C2101">
        <f>0</f>
        <v>0</v>
      </c>
      <c r="D2101">
        <v>0.82165573733099995</v>
      </c>
      <c r="E2101">
        <v>4.1739130434782599</v>
      </c>
    </row>
    <row r="2102" spans="1:5">
      <c r="A2102" t="s">
        <v>2470</v>
      </c>
      <c r="B2102" t="s">
        <v>2472</v>
      </c>
      <c r="C2102">
        <v>0</v>
      </c>
      <c r="D2102">
        <v>0.82165573733099995</v>
      </c>
      <c r="E2102">
        <v>4.1739130434782599</v>
      </c>
    </row>
    <row r="2103" spans="1:5">
      <c r="A2103" t="s">
        <v>2470</v>
      </c>
      <c r="B2103" t="s">
        <v>2473</v>
      </c>
      <c r="C2103">
        <v>0</v>
      </c>
      <c r="D2103">
        <v>0.82165573733099995</v>
      </c>
      <c r="E2103">
        <v>4.1739130434782599</v>
      </c>
    </row>
    <row r="2104" spans="1:5">
      <c r="A2104" t="s">
        <v>2470</v>
      </c>
      <c r="B2104" t="s">
        <v>2474</v>
      </c>
      <c r="C2104">
        <v>0.126430891845</v>
      </c>
      <c r="D2104">
        <v>0.82165573733099995</v>
      </c>
      <c r="E2104">
        <v>4.1739130434782599</v>
      </c>
    </row>
    <row r="2105" spans="1:5">
      <c r="A2105" t="s">
        <v>2470</v>
      </c>
      <c r="B2105" t="s">
        <v>2475</v>
      </c>
      <c r="C2105">
        <v>0</v>
      </c>
      <c r="D2105">
        <v>0.82165573733099995</v>
      </c>
      <c r="E2105">
        <v>4.1739130434782599</v>
      </c>
    </row>
    <row r="2106" spans="1:5">
      <c r="A2106" t="s">
        <v>2470</v>
      </c>
      <c r="B2106" t="s">
        <v>2476</v>
      </c>
      <c r="C2106">
        <v>0</v>
      </c>
      <c r="D2106">
        <v>0.82165573733099995</v>
      </c>
      <c r="E2106">
        <v>4.1739130434782599</v>
      </c>
    </row>
    <row r="2107" spans="1:5">
      <c r="A2107" t="s">
        <v>2470</v>
      </c>
      <c r="B2107" t="s">
        <v>2477</v>
      </c>
      <c r="C2107">
        <v>0</v>
      </c>
      <c r="D2107">
        <v>0.82165573733099995</v>
      </c>
      <c r="E2107">
        <v>4.1739130434782599</v>
      </c>
    </row>
    <row r="2108" spans="1:5">
      <c r="A2108" t="s">
        <v>2470</v>
      </c>
      <c r="B2108" t="s">
        <v>2478</v>
      </c>
      <c r="C2108">
        <f>0</f>
        <v>0</v>
      </c>
      <c r="D2108">
        <v>0.82165573733099995</v>
      </c>
      <c r="E2108">
        <v>4.1739130434782599</v>
      </c>
    </row>
    <row r="2109" spans="1:5">
      <c r="A2109" t="s">
        <v>2470</v>
      </c>
      <c r="B2109" t="s">
        <v>2479</v>
      </c>
      <c r="C2109">
        <v>0</v>
      </c>
      <c r="D2109">
        <v>0.82165573733099995</v>
      </c>
      <c r="E2109">
        <v>4.1739130434782599</v>
      </c>
    </row>
    <row r="2110" spans="1:5">
      <c r="A2110" t="s">
        <v>2470</v>
      </c>
      <c r="B2110" t="s">
        <v>2480</v>
      </c>
      <c r="C2110">
        <v>0</v>
      </c>
      <c r="D2110">
        <v>0.82165573733099995</v>
      </c>
      <c r="E2110">
        <v>4.1739130434782599</v>
      </c>
    </row>
    <row r="2111" spans="1:5">
      <c r="A2111" t="s">
        <v>2470</v>
      </c>
      <c r="B2111" t="s">
        <v>2481</v>
      </c>
      <c r="C2111">
        <v>0</v>
      </c>
      <c r="D2111">
        <v>0.82165573733099995</v>
      </c>
      <c r="E2111">
        <v>4.1739130434782599</v>
      </c>
    </row>
    <row r="2112" spans="1:5">
      <c r="A2112" t="s">
        <v>2482</v>
      </c>
      <c r="B2112" t="s">
        <v>2483</v>
      </c>
      <c r="C2112">
        <f>0</f>
        <v>0</v>
      </c>
      <c r="D2112" t="s">
        <v>106</v>
      </c>
      <c r="E2112">
        <v>16.899550224887498</v>
      </c>
    </row>
    <row r="2113" spans="1:5">
      <c r="A2113" t="s">
        <v>2482</v>
      </c>
      <c r="B2113" t="s">
        <v>2484</v>
      </c>
      <c r="C2113">
        <f>0.0294888185144</f>
        <v>2.9488818514399998E-2</v>
      </c>
      <c r="D2113" t="s">
        <v>106</v>
      </c>
      <c r="E2113">
        <v>16.899550224887498</v>
      </c>
    </row>
    <row r="2114" spans="1:5">
      <c r="A2114" t="s">
        <v>2482</v>
      </c>
      <c r="B2114" t="s">
        <v>2485</v>
      </c>
      <c r="C2114">
        <f>0</f>
        <v>0</v>
      </c>
      <c r="D2114" t="s">
        <v>106</v>
      </c>
      <c r="E2114">
        <v>16.899550224887498</v>
      </c>
    </row>
    <row r="2115" spans="1:5">
      <c r="A2115" t="s">
        <v>2482</v>
      </c>
      <c r="B2115" t="s">
        <v>2486</v>
      </c>
      <c r="C2115">
        <f>0.113181492753</f>
        <v>0.113181492753</v>
      </c>
      <c r="D2115" t="s">
        <v>106</v>
      </c>
      <c r="E2115">
        <v>16.899550224887498</v>
      </c>
    </row>
    <row r="2116" spans="1:5">
      <c r="A2116" t="s">
        <v>2482</v>
      </c>
      <c r="B2116" t="s">
        <v>2487</v>
      </c>
      <c r="C2116">
        <f>0</f>
        <v>0</v>
      </c>
      <c r="D2116" t="s">
        <v>106</v>
      </c>
      <c r="E2116">
        <v>16.899550224887498</v>
      </c>
    </row>
    <row r="2117" spans="1:5">
      <c r="A2117" t="s">
        <v>2482</v>
      </c>
      <c r="B2117" t="s">
        <v>2488</v>
      </c>
      <c r="C2117">
        <v>0</v>
      </c>
      <c r="D2117" t="s">
        <v>106</v>
      </c>
      <c r="E2117">
        <v>16.899550224887498</v>
      </c>
    </row>
    <row r="2118" spans="1:5">
      <c r="A2118" t="s">
        <v>2482</v>
      </c>
      <c r="B2118" t="s">
        <v>2489</v>
      </c>
      <c r="C2118">
        <f>0</f>
        <v>0</v>
      </c>
      <c r="D2118" t="s">
        <v>106</v>
      </c>
      <c r="E2118">
        <v>16.899550224887498</v>
      </c>
    </row>
    <row r="2119" spans="1:5">
      <c r="A2119" t="s">
        <v>2482</v>
      </c>
      <c r="B2119" t="s">
        <v>2490</v>
      </c>
      <c r="C2119">
        <f>0</f>
        <v>0</v>
      </c>
      <c r="D2119" t="s">
        <v>106</v>
      </c>
      <c r="E2119">
        <v>16.899550224887498</v>
      </c>
    </row>
    <row r="2120" spans="1:5">
      <c r="A2120" t="s">
        <v>2482</v>
      </c>
      <c r="B2120" t="s">
        <v>2491</v>
      </c>
      <c r="C2120">
        <v>0</v>
      </c>
      <c r="D2120" t="s">
        <v>106</v>
      </c>
      <c r="E2120">
        <v>16.899550224887498</v>
      </c>
    </row>
    <row r="2121" spans="1:5">
      <c r="A2121" t="s">
        <v>2482</v>
      </c>
      <c r="B2121" t="s">
        <v>2492</v>
      </c>
      <c r="C2121">
        <v>0</v>
      </c>
      <c r="D2121" t="s">
        <v>106</v>
      </c>
      <c r="E2121">
        <v>16.899550224887498</v>
      </c>
    </row>
    <row r="2122" spans="1:5">
      <c r="A2122" t="s">
        <v>2482</v>
      </c>
      <c r="B2122" t="s">
        <v>2493</v>
      </c>
      <c r="C2122">
        <f>0</f>
        <v>0</v>
      </c>
      <c r="D2122" t="s">
        <v>106</v>
      </c>
      <c r="E2122">
        <v>16.899550224887498</v>
      </c>
    </row>
    <row r="2123" spans="1:5">
      <c r="A2123" t="s">
        <v>2482</v>
      </c>
      <c r="B2123" t="s">
        <v>2494</v>
      </c>
      <c r="C2123">
        <v>0</v>
      </c>
      <c r="D2123" t="s">
        <v>106</v>
      </c>
      <c r="E2123">
        <v>16.899550224887498</v>
      </c>
    </row>
    <row r="2124" spans="1:5">
      <c r="A2124" t="s">
        <v>2495</v>
      </c>
      <c r="B2124" t="s">
        <v>2496</v>
      </c>
      <c r="C2124">
        <v>0</v>
      </c>
      <c r="D2124">
        <v>0.99855085768200003</v>
      </c>
      <c r="E2124">
        <v>2.8785607196401801</v>
      </c>
    </row>
    <row r="2125" spans="1:5">
      <c r="A2125" t="s">
        <v>2495</v>
      </c>
      <c r="B2125" t="s">
        <v>2497</v>
      </c>
      <c r="C2125">
        <v>0</v>
      </c>
      <c r="D2125">
        <v>0.99855085768200003</v>
      </c>
      <c r="E2125">
        <v>2.8785607196401801</v>
      </c>
    </row>
    <row r="2126" spans="1:5">
      <c r="A2126" t="s">
        <v>2495</v>
      </c>
      <c r="B2126" t="s">
        <v>2498</v>
      </c>
      <c r="C2126">
        <f>0.061002131109</f>
        <v>6.1002131108999998E-2</v>
      </c>
      <c r="D2126">
        <v>0.99855085768200003</v>
      </c>
      <c r="E2126">
        <v>2.8785607196401801</v>
      </c>
    </row>
    <row r="2127" spans="1:5">
      <c r="A2127" t="s">
        <v>2495</v>
      </c>
      <c r="B2127" t="s">
        <v>2499</v>
      </c>
      <c r="C2127">
        <v>0</v>
      </c>
      <c r="D2127">
        <v>0.99855085768200003</v>
      </c>
      <c r="E2127">
        <v>2.8785607196401801</v>
      </c>
    </row>
    <row r="2128" spans="1:5">
      <c r="A2128" t="s">
        <v>2495</v>
      </c>
      <c r="B2128" t="s">
        <v>2500</v>
      </c>
      <c r="C2128">
        <v>0.31933731846899999</v>
      </c>
      <c r="D2128">
        <v>0.99855085768200003</v>
      </c>
      <c r="E2128">
        <v>2.8785607196401801</v>
      </c>
    </row>
    <row r="2129" spans="1:5">
      <c r="A2129" t="s">
        <v>2501</v>
      </c>
      <c r="B2129" t="s">
        <v>2502</v>
      </c>
      <c r="C2129">
        <f>0</f>
        <v>0</v>
      </c>
      <c r="D2129" t="s">
        <v>106</v>
      </c>
      <c r="E2129">
        <v>5.8170914542728598</v>
      </c>
    </row>
    <row r="2130" spans="1:5">
      <c r="A2130" t="s">
        <v>2501</v>
      </c>
      <c r="B2130" t="s">
        <v>2503</v>
      </c>
      <c r="C2130">
        <v>0</v>
      </c>
      <c r="D2130" t="s">
        <v>106</v>
      </c>
      <c r="E2130">
        <v>5.8170914542728598</v>
      </c>
    </row>
    <row r="2131" spans="1:5">
      <c r="A2131" t="s">
        <v>2501</v>
      </c>
      <c r="B2131" t="s">
        <v>2504</v>
      </c>
      <c r="C2131">
        <v>0</v>
      </c>
      <c r="D2131" t="s">
        <v>106</v>
      </c>
      <c r="E2131">
        <v>5.8170914542728598</v>
      </c>
    </row>
    <row r="2132" spans="1:5">
      <c r="A2132" t="s">
        <v>2501</v>
      </c>
      <c r="B2132" t="s">
        <v>2505</v>
      </c>
      <c r="C2132">
        <v>0</v>
      </c>
      <c r="D2132" t="s">
        <v>106</v>
      </c>
      <c r="E2132">
        <v>5.8170914542728598</v>
      </c>
    </row>
    <row r="2133" spans="1:5">
      <c r="A2133" t="s">
        <v>2506</v>
      </c>
      <c r="B2133" t="s">
        <v>2507</v>
      </c>
      <c r="C2133">
        <v>0.50411797401299996</v>
      </c>
      <c r="D2133">
        <v>0.957830561049</v>
      </c>
      <c r="E2133">
        <v>0.77961019490254801</v>
      </c>
    </row>
    <row r="2134" spans="1:5">
      <c r="A2134" t="s">
        <v>2506</v>
      </c>
      <c r="B2134" t="s">
        <v>2508</v>
      </c>
      <c r="C2134">
        <v>6.7839244958700001E-2</v>
      </c>
      <c r="D2134">
        <v>0.957830561049</v>
      </c>
      <c r="E2134">
        <v>0.77961019490254801</v>
      </c>
    </row>
    <row r="2135" spans="1:5">
      <c r="A2135" t="s">
        <v>2509</v>
      </c>
      <c r="B2135" t="s">
        <v>2510</v>
      </c>
      <c r="C2135">
        <v>0</v>
      </c>
      <c r="D2135" t="s">
        <v>106</v>
      </c>
      <c r="E2135">
        <v>24</v>
      </c>
    </row>
    <row r="2136" spans="1:5">
      <c r="A2136" t="s">
        <v>2509</v>
      </c>
      <c r="B2136" t="s">
        <v>2511</v>
      </c>
      <c r="C2136">
        <v>9.4390964311399997E-2</v>
      </c>
      <c r="D2136" t="s">
        <v>106</v>
      </c>
      <c r="E2136">
        <v>24</v>
      </c>
    </row>
    <row r="2137" spans="1:5">
      <c r="A2137" t="s">
        <v>2509</v>
      </c>
      <c r="B2137" t="s">
        <v>2512</v>
      </c>
      <c r="C2137">
        <f>0.0633313289682</f>
        <v>6.3331328968199999E-2</v>
      </c>
      <c r="D2137" t="s">
        <v>106</v>
      </c>
      <c r="E2137">
        <v>24</v>
      </c>
    </row>
    <row r="2138" spans="1:5">
      <c r="A2138" t="s">
        <v>2509</v>
      </c>
      <c r="B2138" t="s">
        <v>2513</v>
      </c>
      <c r="C2138">
        <f>0</f>
        <v>0</v>
      </c>
      <c r="D2138" t="s">
        <v>106</v>
      </c>
      <c r="E2138">
        <v>24</v>
      </c>
    </row>
    <row r="2139" spans="1:5">
      <c r="A2139" t="s">
        <v>2514</v>
      </c>
      <c r="B2139" t="s">
        <v>2515</v>
      </c>
      <c r="C2139">
        <v>0</v>
      </c>
      <c r="D2139">
        <v>0.82209999539699996</v>
      </c>
      <c r="E2139">
        <v>24</v>
      </c>
    </row>
    <row r="2140" spans="1:5">
      <c r="A2140" t="s">
        <v>2514</v>
      </c>
      <c r="B2140" t="s">
        <v>2516</v>
      </c>
      <c r="C2140">
        <f>0</f>
        <v>0</v>
      </c>
      <c r="D2140">
        <v>0.82209999539699996</v>
      </c>
      <c r="E2140">
        <v>24</v>
      </c>
    </row>
    <row r="2141" spans="1:5">
      <c r="A2141" t="s">
        <v>2514</v>
      </c>
      <c r="B2141" t="s">
        <v>2517</v>
      </c>
      <c r="C2141">
        <v>0</v>
      </c>
      <c r="D2141">
        <v>0.82209999539699996</v>
      </c>
      <c r="E2141">
        <v>24</v>
      </c>
    </row>
    <row r="2142" spans="1:5">
      <c r="A2142" t="s">
        <v>2514</v>
      </c>
      <c r="B2142" t="s">
        <v>2518</v>
      </c>
      <c r="C2142">
        <v>0</v>
      </c>
      <c r="D2142">
        <v>0.82209999539699996</v>
      </c>
      <c r="E2142">
        <v>24</v>
      </c>
    </row>
    <row r="2143" spans="1:5">
      <c r="A2143" t="s">
        <v>2514</v>
      </c>
      <c r="B2143" t="s">
        <v>2519</v>
      </c>
      <c r="C2143">
        <f>0</f>
        <v>0</v>
      </c>
      <c r="D2143">
        <v>0.82209999539699996</v>
      </c>
      <c r="E2143">
        <v>24</v>
      </c>
    </row>
    <row r="2144" spans="1:5">
      <c r="A2144" t="s">
        <v>2514</v>
      </c>
      <c r="B2144" t="s">
        <v>2520</v>
      </c>
      <c r="C2144">
        <v>0</v>
      </c>
      <c r="D2144">
        <v>0.82209999539699996</v>
      </c>
      <c r="E2144">
        <v>24</v>
      </c>
    </row>
    <row r="2145" spans="1:5">
      <c r="A2145" t="s">
        <v>2514</v>
      </c>
      <c r="B2145" t="s">
        <v>2521</v>
      </c>
      <c r="C2145">
        <v>0</v>
      </c>
      <c r="D2145">
        <v>0.82209999539699996</v>
      </c>
      <c r="E2145">
        <v>24</v>
      </c>
    </row>
    <row r="2146" spans="1:5">
      <c r="A2146" t="s">
        <v>2522</v>
      </c>
      <c r="B2146" t="s">
        <v>2523</v>
      </c>
      <c r="C2146">
        <v>0</v>
      </c>
      <c r="D2146" t="s">
        <v>106</v>
      </c>
      <c r="E2146">
        <v>3.13043478260869</v>
      </c>
    </row>
    <row r="2147" spans="1:5">
      <c r="A2147" t="s">
        <v>2522</v>
      </c>
      <c r="B2147" t="s">
        <v>2524</v>
      </c>
      <c r="C2147">
        <v>0</v>
      </c>
      <c r="D2147" t="s">
        <v>106</v>
      </c>
      <c r="E2147">
        <v>3.13043478260869</v>
      </c>
    </row>
    <row r="2148" spans="1:5">
      <c r="A2148" t="s">
        <v>2522</v>
      </c>
      <c r="B2148" t="s">
        <v>2525</v>
      </c>
      <c r="C2148">
        <v>0</v>
      </c>
      <c r="D2148" t="s">
        <v>106</v>
      </c>
      <c r="E2148">
        <v>3.13043478260869</v>
      </c>
    </row>
    <row r="2149" spans="1:5">
      <c r="A2149" t="s">
        <v>2522</v>
      </c>
      <c r="B2149" t="s">
        <v>2526</v>
      </c>
      <c r="C2149">
        <f>0</f>
        <v>0</v>
      </c>
      <c r="D2149" t="s">
        <v>106</v>
      </c>
      <c r="E2149">
        <v>3.13043478260869</v>
      </c>
    </row>
    <row r="2150" spans="1:5">
      <c r="A2150" t="s">
        <v>2522</v>
      </c>
      <c r="B2150" t="s">
        <v>2527</v>
      </c>
      <c r="C2150">
        <f>0</f>
        <v>0</v>
      </c>
      <c r="D2150" t="s">
        <v>106</v>
      </c>
      <c r="E2150">
        <v>3.13043478260869</v>
      </c>
    </row>
    <row r="2151" spans="1:5">
      <c r="A2151" t="s">
        <v>2522</v>
      </c>
      <c r="B2151" t="s">
        <v>2528</v>
      </c>
      <c r="C2151">
        <f>0</f>
        <v>0</v>
      </c>
      <c r="D2151" t="s">
        <v>106</v>
      </c>
      <c r="E2151">
        <v>3.13043478260869</v>
      </c>
    </row>
    <row r="2152" spans="1:5">
      <c r="A2152" t="s">
        <v>2522</v>
      </c>
      <c r="B2152" t="s">
        <v>2529</v>
      </c>
      <c r="C2152">
        <v>0</v>
      </c>
      <c r="D2152" t="s">
        <v>106</v>
      </c>
      <c r="E2152">
        <v>3.13043478260869</v>
      </c>
    </row>
    <row r="2153" spans="1:5">
      <c r="A2153" t="s">
        <v>2530</v>
      </c>
      <c r="B2153" t="s">
        <v>2531</v>
      </c>
      <c r="C2153">
        <v>0.142816809175</v>
      </c>
      <c r="D2153">
        <v>0.96348762597500004</v>
      </c>
      <c r="E2153">
        <v>0.82758620689655105</v>
      </c>
    </row>
    <row r="2154" spans="1:5">
      <c r="A2154" t="s">
        <v>2530</v>
      </c>
      <c r="B2154" t="s">
        <v>2532</v>
      </c>
      <c r="C2154">
        <f>0.471436828343</f>
        <v>0.47143682834299999</v>
      </c>
      <c r="D2154">
        <v>0.96348762597500004</v>
      </c>
      <c r="E2154">
        <v>0.82758620689655105</v>
      </c>
    </row>
    <row r="2155" spans="1:5">
      <c r="A2155" t="s">
        <v>2533</v>
      </c>
      <c r="B2155" t="s">
        <v>2534</v>
      </c>
      <c r="C2155">
        <v>7.4651057276899996E-2</v>
      </c>
      <c r="D2155" t="s">
        <v>106</v>
      </c>
      <c r="E2155">
        <v>19.850074962518701</v>
      </c>
    </row>
    <row r="2156" spans="1:5">
      <c r="A2156" t="s">
        <v>2533</v>
      </c>
      <c r="B2156" t="s">
        <v>2535</v>
      </c>
      <c r="C2156">
        <v>0</v>
      </c>
      <c r="D2156" t="s">
        <v>106</v>
      </c>
      <c r="E2156">
        <v>19.850074962518701</v>
      </c>
    </row>
    <row r="2157" spans="1:5">
      <c r="A2157" t="s">
        <v>2533</v>
      </c>
      <c r="B2157" t="s">
        <v>2536</v>
      </c>
      <c r="C2157">
        <v>0</v>
      </c>
      <c r="D2157" t="s">
        <v>106</v>
      </c>
      <c r="E2157">
        <v>19.850074962518701</v>
      </c>
    </row>
    <row r="2158" spans="1:5">
      <c r="A2158" t="s">
        <v>2533</v>
      </c>
      <c r="B2158" t="s">
        <v>2537</v>
      </c>
      <c r="C2158">
        <f>0</f>
        <v>0</v>
      </c>
      <c r="D2158" t="s">
        <v>106</v>
      </c>
      <c r="E2158">
        <v>19.850074962518701</v>
      </c>
    </row>
    <row r="2159" spans="1:5">
      <c r="A2159" t="s">
        <v>2533</v>
      </c>
      <c r="B2159" t="s">
        <v>2538</v>
      </c>
      <c r="C2159">
        <v>0</v>
      </c>
      <c r="D2159" t="s">
        <v>106</v>
      </c>
      <c r="E2159">
        <v>19.850074962518701</v>
      </c>
    </row>
    <row r="2160" spans="1:5">
      <c r="A2160" t="s">
        <v>2533</v>
      </c>
      <c r="B2160" t="s">
        <v>2539</v>
      </c>
      <c r="C2160">
        <f>0</f>
        <v>0</v>
      </c>
      <c r="D2160" t="s">
        <v>106</v>
      </c>
      <c r="E2160">
        <v>19.850074962518701</v>
      </c>
    </row>
    <row r="2161" spans="1:5">
      <c r="A2161" t="s">
        <v>2533</v>
      </c>
      <c r="B2161" t="s">
        <v>2540</v>
      </c>
      <c r="C2161">
        <f>0</f>
        <v>0</v>
      </c>
      <c r="D2161" t="s">
        <v>106</v>
      </c>
      <c r="E2161">
        <v>19.850074962518701</v>
      </c>
    </row>
    <row r="2162" spans="1:5">
      <c r="A2162" t="s">
        <v>2533</v>
      </c>
      <c r="B2162" t="s">
        <v>2541</v>
      </c>
      <c r="C2162">
        <f>0</f>
        <v>0</v>
      </c>
      <c r="D2162" t="s">
        <v>106</v>
      </c>
      <c r="E2162">
        <v>19.850074962518701</v>
      </c>
    </row>
    <row r="2163" spans="1:5">
      <c r="A2163" t="s">
        <v>2533</v>
      </c>
      <c r="B2163" t="s">
        <v>2542</v>
      </c>
      <c r="C2163">
        <v>4.7284800309000001E-2</v>
      </c>
      <c r="D2163" t="s">
        <v>106</v>
      </c>
      <c r="E2163">
        <v>19.850074962518701</v>
      </c>
    </row>
    <row r="2164" spans="1:5">
      <c r="A2164" t="s">
        <v>2533</v>
      </c>
      <c r="B2164" t="s">
        <v>2543</v>
      </c>
      <c r="C2164">
        <f>0</f>
        <v>0</v>
      </c>
      <c r="D2164" t="s">
        <v>106</v>
      </c>
      <c r="E2164">
        <v>19.850074962518701</v>
      </c>
    </row>
    <row r="2165" spans="1:5">
      <c r="A2165" t="s">
        <v>2544</v>
      </c>
      <c r="B2165" t="s">
        <v>2545</v>
      </c>
      <c r="C2165">
        <v>0.14545941706400001</v>
      </c>
      <c r="D2165">
        <v>0.94381134055000004</v>
      </c>
      <c r="E2165">
        <v>9.9190404797601204</v>
      </c>
    </row>
    <row r="2166" spans="1:5">
      <c r="A2166" t="s">
        <v>2544</v>
      </c>
      <c r="B2166" t="s">
        <v>2546</v>
      </c>
      <c r="C2166">
        <v>0</v>
      </c>
      <c r="D2166">
        <v>0.94381134055000004</v>
      </c>
      <c r="E2166">
        <v>9.9190404797601204</v>
      </c>
    </row>
    <row r="2167" spans="1:5">
      <c r="A2167" t="s">
        <v>2544</v>
      </c>
      <c r="B2167" t="s">
        <v>2547</v>
      </c>
      <c r="C2167">
        <f>0</f>
        <v>0</v>
      </c>
      <c r="D2167">
        <v>0.94381134055000004</v>
      </c>
      <c r="E2167">
        <v>9.9190404797601204</v>
      </c>
    </row>
    <row r="2168" spans="1:5">
      <c r="A2168" t="s">
        <v>2544</v>
      </c>
      <c r="B2168" t="s">
        <v>2548</v>
      </c>
      <c r="C2168">
        <v>0</v>
      </c>
      <c r="D2168">
        <v>0.94381134055000004</v>
      </c>
      <c r="E2168">
        <v>9.9190404797601204</v>
      </c>
    </row>
    <row r="2169" spans="1:5">
      <c r="A2169" t="s">
        <v>2544</v>
      </c>
      <c r="B2169" t="s">
        <v>2549</v>
      </c>
      <c r="C2169">
        <v>0</v>
      </c>
      <c r="D2169">
        <v>0.94381134055000004</v>
      </c>
      <c r="E2169">
        <v>9.9190404797601204</v>
      </c>
    </row>
    <row r="2170" spans="1:5">
      <c r="A2170" t="s">
        <v>2544</v>
      </c>
      <c r="B2170" t="s">
        <v>2550</v>
      </c>
      <c r="C2170">
        <v>0</v>
      </c>
      <c r="D2170">
        <v>0.94381134055000004</v>
      </c>
      <c r="E2170">
        <v>9.9190404797601204</v>
      </c>
    </row>
    <row r="2171" spans="1:5">
      <c r="A2171" t="s">
        <v>2544</v>
      </c>
      <c r="B2171" t="s">
        <v>2551</v>
      </c>
      <c r="C2171">
        <v>0.20007461908800001</v>
      </c>
      <c r="D2171">
        <v>0.94381134055000004</v>
      </c>
      <c r="E2171">
        <v>9.9190404797601204</v>
      </c>
    </row>
    <row r="2172" spans="1:5">
      <c r="A2172" t="s">
        <v>2544</v>
      </c>
      <c r="B2172" t="s">
        <v>2552</v>
      </c>
      <c r="C2172">
        <v>0</v>
      </c>
      <c r="D2172">
        <v>0.94381134055000004</v>
      </c>
      <c r="E2172">
        <v>9.9190404797601204</v>
      </c>
    </row>
    <row r="2173" spans="1:5">
      <c r="A2173" t="s">
        <v>2544</v>
      </c>
      <c r="B2173" t="s">
        <v>2553</v>
      </c>
      <c r="C2173">
        <v>0</v>
      </c>
      <c r="D2173">
        <v>0.94381134055000004</v>
      </c>
      <c r="E2173">
        <v>9.9190404797601204</v>
      </c>
    </row>
    <row r="2174" spans="1:5">
      <c r="A2174" t="s">
        <v>2554</v>
      </c>
      <c r="B2174" t="s">
        <v>2555</v>
      </c>
      <c r="C2174">
        <f>0</f>
        <v>0</v>
      </c>
      <c r="D2174">
        <v>0.962528312341</v>
      </c>
      <c r="E2174">
        <v>0.46776611694152898</v>
      </c>
    </row>
    <row r="2175" spans="1:5">
      <c r="A2175" t="s">
        <v>2554</v>
      </c>
      <c r="B2175" t="s">
        <v>2556</v>
      </c>
      <c r="C2175">
        <v>0</v>
      </c>
      <c r="D2175">
        <v>0.962528312341</v>
      </c>
      <c r="E2175">
        <v>0.46776611694152898</v>
      </c>
    </row>
    <row r="2176" spans="1:5">
      <c r="A2176" t="s">
        <v>2554</v>
      </c>
      <c r="B2176" t="s">
        <v>2557</v>
      </c>
      <c r="C2176">
        <f>0.26029720071</f>
        <v>0.26029720071000001</v>
      </c>
      <c r="D2176">
        <v>0.962528312341</v>
      </c>
      <c r="E2176">
        <v>0.46776611694152898</v>
      </c>
    </row>
    <row r="2177" spans="1:5">
      <c r="A2177" t="s">
        <v>2554</v>
      </c>
      <c r="B2177" t="s">
        <v>2558</v>
      </c>
      <c r="C2177">
        <v>0</v>
      </c>
      <c r="D2177">
        <v>0.962528312341</v>
      </c>
      <c r="E2177">
        <v>0.46776611694152898</v>
      </c>
    </row>
    <row r="2178" spans="1:5">
      <c r="A2178" t="s">
        <v>2554</v>
      </c>
      <c r="B2178" t="s">
        <v>2559</v>
      </c>
      <c r="C2178">
        <f>0</f>
        <v>0</v>
      </c>
      <c r="D2178">
        <v>0.962528312341</v>
      </c>
      <c r="E2178">
        <v>0.46776611694152898</v>
      </c>
    </row>
    <row r="2179" spans="1:5">
      <c r="A2179" t="s">
        <v>2554</v>
      </c>
      <c r="B2179" t="s">
        <v>2560</v>
      </c>
      <c r="C2179">
        <f>0.286879578661</f>
        <v>0.286879578661</v>
      </c>
      <c r="D2179">
        <v>0.962528312341</v>
      </c>
      <c r="E2179">
        <v>0.46776611694152898</v>
      </c>
    </row>
    <row r="2180" spans="1:5">
      <c r="A2180" t="s">
        <v>2554</v>
      </c>
      <c r="B2180" t="s">
        <v>2561</v>
      </c>
      <c r="C2180">
        <f>0</f>
        <v>0</v>
      </c>
      <c r="D2180">
        <v>0.962528312341</v>
      </c>
      <c r="E2180">
        <v>0.46776611694152898</v>
      </c>
    </row>
    <row r="2181" spans="1:5">
      <c r="A2181" t="s">
        <v>2554</v>
      </c>
      <c r="B2181" t="s">
        <v>2562</v>
      </c>
      <c r="C2181">
        <f>0</f>
        <v>0</v>
      </c>
      <c r="D2181">
        <v>0.962528312341</v>
      </c>
      <c r="E2181">
        <v>0.46776611694152898</v>
      </c>
    </row>
    <row r="2182" spans="1:5">
      <c r="A2182" t="s">
        <v>2563</v>
      </c>
      <c r="B2182" t="s">
        <v>2564</v>
      </c>
      <c r="C2182">
        <v>0</v>
      </c>
      <c r="D2182">
        <v>0.71293415476800004</v>
      </c>
      <c r="E2182">
        <v>6.9325337331334298</v>
      </c>
    </row>
    <row r="2183" spans="1:5">
      <c r="A2183" t="s">
        <v>2563</v>
      </c>
      <c r="B2183" t="s">
        <v>2565</v>
      </c>
      <c r="C2183">
        <f>0</f>
        <v>0</v>
      </c>
      <c r="D2183">
        <v>0.71293415476800004</v>
      </c>
      <c r="E2183">
        <v>6.9325337331334298</v>
      </c>
    </row>
    <row r="2184" spans="1:5">
      <c r="A2184" t="s">
        <v>2563</v>
      </c>
      <c r="B2184" t="s">
        <v>2566</v>
      </c>
      <c r="C2184">
        <v>0</v>
      </c>
      <c r="D2184">
        <v>0.71293415476800004</v>
      </c>
      <c r="E2184">
        <v>6.9325337331334298</v>
      </c>
    </row>
    <row r="2185" spans="1:5">
      <c r="A2185" t="s">
        <v>2563</v>
      </c>
      <c r="B2185" t="s">
        <v>2567</v>
      </c>
      <c r="C2185">
        <f>0</f>
        <v>0</v>
      </c>
      <c r="D2185">
        <v>0.71293415476800004</v>
      </c>
      <c r="E2185">
        <v>6.9325337331334298</v>
      </c>
    </row>
    <row r="2186" spans="1:5">
      <c r="A2186" t="s">
        <v>2563</v>
      </c>
      <c r="B2186" t="s">
        <v>2568</v>
      </c>
      <c r="C2186">
        <v>0</v>
      </c>
      <c r="D2186">
        <v>0.71293415476800004</v>
      </c>
      <c r="E2186">
        <v>6.9325337331334298</v>
      </c>
    </row>
    <row r="2187" spans="1:5">
      <c r="A2187" t="s">
        <v>2563</v>
      </c>
      <c r="B2187" t="s">
        <v>2569</v>
      </c>
      <c r="C2187">
        <f>0</f>
        <v>0</v>
      </c>
      <c r="D2187">
        <v>0.71293415476800004</v>
      </c>
      <c r="E2187">
        <v>6.9325337331334298</v>
      </c>
    </row>
    <row r="2188" spans="1:5">
      <c r="A2188" t="s">
        <v>2570</v>
      </c>
      <c r="B2188" t="s">
        <v>2571</v>
      </c>
      <c r="C2188">
        <f>0</f>
        <v>0</v>
      </c>
      <c r="D2188">
        <v>0.916915916321</v>
      </c>
      <c r="E2188">
        <v>14.9325337331334</v>
      </c>
    </row>
    <row r="2189" spans="1:5">
      <c r="A2189" t="s">
        <v>2570</v>
      </c>
      <c r="B2189" t="s">
        <v>2572</v>
      </c>
      <c r="C2189">
        <v>0.102270560457</v>
      </c>
      <c r="D2189">
        <v>0.916915916321</v>
      </c>
      <c r="E2189">
        <v>14.9325337331334</v>
      </c>
    </row>
    <row r="2190" spans="1:5">
      <c r="A2190" t="s">
        <v>2570</v>
      </c>
      <c r="B2190" t="s">
        <v>2573</v>
      </c>
      <c r="C2190">
        <f>0.146340832428</f>
        <v>0.146340832428</v>
      </c>
      <c r="D2190">
        <v>0.916915916321</v>
      </c>
      <c r="E2190">
        <v>14.9325337331334</v>
      </c>
    </row>
    <row r="2191" spans="1:5">
      <c r="A2191" t="s">
        <v>2574</v>
      </c>
      <c r="B2191" t="s">
        <v>2575</v>
      </c>
      <c r="C2191">
        <f>0</f>
        <v>0</v>
      </c>
      <c r="D2191">
        <v>0.75422566923400003</v>
      </c>
      <c r="E2191">
        <v>6.9325337331334298</v>
      </c>
    </row>
    <row r="2192" spans="1:5">
      <c r="A2192" t="s">
        <v>2574</v>
      </c>
      <c r="B2192" t="s">
        <v>2576</v>
      </c>
      <c r="C2192">
        <f>0</f>
        <v>0</v>
      </c>
      <c r="D2192">
        <v>0.75422566923400003</v>
      </c>
      <c r="E2192">
        <v>6.9325337331334298</v>
      </c>
    </row>
    <row r="2193" spans="1:5">
      <c r="A2193" t="s">
        <v>2574</v>
      </c>
      <c r="B2193" t="s">
        <v>2577</v>
      </c>
      <c r="C2193">
        <v>0</v>
      </c>
      <c r="D2193">
        <v>0.75422566923400003</v>
      </c>
      <c r="E2193">
        <v>6.9325337331334298</v>
      </c>
    </row>
    <row r="2194" spans="1:5">
      <c r="A2194" t="s">
        <v>2574</v>
      </c>
      <c r="B2194" t="s">
        <v>2578</v>
      </c>
      <c r="C2194">
        <f>0.0501201910606</f>
        <v>5.0120191060599999E-2</v>
      </c>
      <c r="D2194">
        <v>0.75422566923400003</v>
      </c>
      <c r="E2194">
        <v>6.9325337331334298</v>
      </c>
    </row>
    <row r="2195" spans="1:5">
      <c r="A2195" t="s">
        <v>2574</v>
      </c>
      <c r="B2195" t="s">
        <v>2579</v>
      </c>
      <c r="C2195">
        <f>0</f>
        <v>0</v>
      </c>
      <c r="D2195">
        <v>0.75422566923400003</v>
      </c>
      <c r="E2195">
        <v>6.9325337331334298</v>
      </c>
    </row>
    <row r="2196" spans="1:5">
      <c r="A2196" t="s">
        <v>2574</v>
      </c>
      <c r="B2196" t="s">
        <v>2580</v>
      </c>
      <c r="C2196">
        <v>0</v>
      </c>
      <c r="D2196">
        <v>0.75422566923400003</v>
      </c>
      <c r="E2196">
        <v>6.9325337331334298</v>
      </c>
    </row>
    <row r="2197" spans="1:5">
      <c r="A2197" t="s">
        <v>2581</v>
      </c>
      <c r="B2197" t="s">
        <v>2582</v>
      </c>
      <c r="C2197">
        <v>2.8275691548400001E-2</v>
      </c>
      <c r="D2197">
        <v>0.74667397393400003</v>
      </c>
      <c r="E2197">
        <v>24</v>
      </c>
    </row>
    <row r="2198" spans="1:5">
      <c r="A2198" t="s">
        <v>2581</v>
      </c>
      <c r="B2198" t="s">
        <v>2583</v>
      </c>
      <c r="C2198">
        <v>0</v>
      </c>
      <c r="D2198">
        <v>0.74667397393400003</v>
      </c>
      <c r="E2198">
        <v>24</v>
      </c>
    </row>
    <row r="2199" spans="1:5">
      <c r="A2199" t="s">
        <v>2581</v>
      </c>
      <c r="B2199" t="s">
        <v>2584</v>
      </c>
      <c r="C2199">
        <v>6.7891292163099999E-3</v>
      </c>
      <c r="D2199">
        <v>0.74667397393400003</v>
      </c>
      <c r="E2199">
        <v>24</v>
      </c>
    </row>
    <row r="2200" spans="1:5">
      <c r="A2200" t="s">
        <v>2581</v>
      </c>
      <c r="B2200" t="s">
        <v>2585</v>
      </c>
      <c r="C2200">
        <v>0</v>
      </c>
      <c r="D2200">
        <v>0.74667397393400003</v>
      </c>
      <c r="E2200">
        <v>24</v>
      </c>
    </row>
    <row r="2201" spans="1:5">
      <c r="A2201" t="s">
        <v>2586</v>
      </c>
      <c r="B2201" t="s">
        <v>2587</v>
      </c>
      <c r="C2201">
        <f>0</f>
        <v>0</v>
      </c>
      <c r="D2201">
        <v>0.570863843599</v>
      </c>
      <c r="E2201">
        <v>7.7361319340329802</v>
      </c>
    </row>
    <row r="2202" spans="1:5">
      <c r="A2202" t="s">
        <v>2586</v>
      </c>
      <c r="B2202" t="s">
        <v>2588</v>
      </c>
      <c r="C2202">
        <f>0</f>
        <v>0</v>
      </c>
      <c r="D2202">
        <v>0.570863843599</v>
      </c>
      <c r="E2202">
        <v>7.7361319340329802</v>
      </c>
    </row>
    <row r="2203" spans="1:5">
      <c r="A2203" t="s">
        <v>2586</v>
      </c>
      <c r="B2203" t="s">
        <v>2589</v>
      </c>
      <c r="C2203">
        <v>3.4228590777200002E-2</v>
      </c>
      <c r="D2203">
        <v>0.570863843599</v>
      </c>
      <c r="E2203">
        <v>7.7361319340329802</v>
      </c>
    </row>
    <row r="2204" spans="1:5">
      <c r="A2204" t="s">
        <v>2586</v>
      </c>
      <c r="B2204" t="s">
        <v>2590</v>
      </c>
      <c r="C2204">
        <f>0</f>
        <v>0</v>
      </c>
      <c r="D2204">
        <v>0.570863843599</v>
      </c>
      <c r="E2204">
        <v>7.7361319340329802</v>
      </c>
    </row>
    <row r="2205" spans="1:5">
      <c r="A2205" t="s">
        <v>2586</v>
      </c>
      <c r="B2205" t="s">
        <v>2591</v>
      </c>
      <c r="C2205">
        <v>0.1041948436</v>
      </c>
      <c r="D2205">
        <v>0.570863843599</v>
      </c>
      <c r="E2205">
        <v>7.7361319340329802</v>
      </c>
    </row>
    <row r="2206" spans="1:5">
      <c r="A2206" t="s">
        <v>2592</v>
      </c>
      <c r="B2206" t="s">
        <v>2593</v>
      </c>
      <c r="C2206">
        <f>0</f>
        <v>0</v>
      </c>
      <c r="D2206" t="s">
        <v>106</v>
      </c>
      <c r="E2206">
        <v>5.1214392803598203</v>
      </c>
    </row>
    <row r="2207" spans="1:5">
      <c r="A2207" t="s">
        <v>2592</v>
      </c>
      <c r="B2207" t="s">
        <v>2594</v>
      </c>
      <c r="C2207">
        <f>0.114843052895</f>
        <v>0.11484305289500001</v>
      </c>
      <c r="D2207" t="s">
        <v>106</v>
      </c>
      <c r="E2207">
        <v>5.1214392803598203</v>
      </c>
    </row>
    <row r="2208" spans="1:5">
      <c r="A2208" t="s">
        <v>2592</v>
      </c>
      <c r="B2208" t="s">
        <v>2595</v>
      </c>
      <c r="C2208">
        <v>0</v>
      </c>
      <c r="D2208" t="s">
        <v>106</v>
      </c>
      <c r="E2208">
        <v>5.1214392803598203</v>
      </c>
    </row>
    <row r="2209" spans="1:5">
      <c r="A2209" t="s">
        <v>2596</v>
      </c>
      <c r="B2209" t="s">
        <v>2597</v>
      </c>
      <c r="C2209">
        <v>0</v>
      </c>
      <c r="D2209">
        <v>0.91824701766299999</v>
      </c>
      <c r="E2209">
        <v>0.91154422788605605</v>
      </c>
    </row>
    <row r="2210" spans="1:5">
      <c r="A2210" t="s">
        <v>2596</v>
      </c>
      <c r="B2210" t="s">
        <v>2598</v>
      </c>
      <c r="C2210">
        <v>0</v>
      </c>
      <c r="D2210">
        <v>0.91824701766299999</v>
      </c>
      <c r="E2210">
        <v>0.91154422788605605</v>
      </c>
    </row>
    <row r="2211" spans="1:5">
      <c r="A2211" t="s">
        <v>2596</v>
      </c>
      <c r="B2211" t="s">
        <v>2599</v>
      </c>
      <c r="C2211">
        <f>0.209147965446</f>
        <v>0.20914796544600001</v>
      </c>
      <c r="D2211">
        <v>0.91824701766299999</v>
      </c>
      <c r="E2211">
        <v>0.91154422788605605</v>
      </c>
    </row>
    <row r="2212" spans="1:5">
      <c r="A2212" t="s">
        <v>2596</v>
      </c>
      <c r="B2212" t="s">
        <v>2600</v>
      </c>
      <c r="C2212">
        <f>0</f>
        <v>0</v>
      </c>
      <c r="D2212">
        <v>0.91824701766299999</v>
      </c>
      <c r="E2212">
        <v>0.91154422788605605</v>
      </c>
    </row>
    <row r="2213" spans="1:5">
      <c r="A2213" t="s">
        <v>2596</v>
      </c>
      <c r="B2213" t="s">
        <v>2601</v>
      </c>
      <c r="C2213">
        <v>0</v>
      </c>
      <c r="D2213">
        <v>0.91824701766299999</v>
      </c>
      <c r="E2213">
        <v>0.91154422788605605</v>
      </c>
    </row>
    <row r="2214" spans="1:5">
      <c r="A2214" t="s">
        <v>2596</v>
      </c>
      <c r="B2214" t="s">
        <v>2602</v>
      </c>
      <c r="C2214">
        <v>0</v>
      </c>
      <c r="D2214">
        <v>0.91824701766299999</v>
      </c>
      <c r="E2214">
        <v>0.91154422788605605</v>
      </c>
    </row>
    <row r="2215" spans="1:5">
      <c r="A2215" t="s">
        <v>2596</v>
      </c>
      <c r="B2215" t="s">
        <v>2603</v>
      </c>
      <c r="C2215">
        <f>0</f>
        <v>0</v>
      </c>
      <c r="D2215">
        <v>0.91824701766299999</v>
      </c>
      <c r="E2215">
        <v>0.91154422788605605</v>
      </c>
    </row>
    <row r="2216" spans="1:5">
      <c r="A2216" t="s">
        <v>2604</v>
      </c>
      <c r="B2216" t="s">
        <v>2605</v>
      </c>
      <c r="C2216">
        <v>0.73005760572900003</v>
      </c>
      <c r="D2216">
        <v>0.94094220653000005</v>
      </c>
      <c r="E2216">
        <v>5.5772113943028403</v>
      </c>
    </row>
    <row r="2217" spans="1:5">
      <c r="A2217" t="s">
        <v>2604</v>
      </c>
      <c r="B2217" t="s">
        <v>2606</v>
      </c>
      <c r="C2217">
        <v>9.7395474042399996E-2</v>
      </c>
      <c r="D2217">
        <v>0.94094220653000005</v>
      </c>
      <c r="E2217">
        <v>5.5772113943028403</v>
      </c>
    </row>
    <row r="2218" spans="1:5">
      <c r="A2218" t="s">
        <v>2607</v>
      </c>
      <c r="B2218" t="s">
        <v>2608</v>
      </c>
      <c r="C2218">
        <v>0</v>
      </c>
      <c r="D2218" t="s">
        <v>106</v>
      </c>
      <c r="E2218">
        <v>5.8170914542728598</v>
      </c>
    </row>
    <row r="2219" spans="1:5">
      <c r="A2219" t="s">
        <v>2607</v>
      </c>
      <c r="B2219" t="s">
        <v>2609</v>
      </c>
      <c r="C2219">
        <v>0</v>
      </c>
      <c r="D2219" t="s">
        <v>106</v>
      </c>
      <c r="E2219">
        <v>5.8170914542728598</v>
      </c>
    </row>
    <row r="2220" spans="1:5">
      <c r="A2220" t="s">
        <v>2607</v>
      </c>
      <c r="B2220" t="s">
        <v>2610</v>
      </c>
      <c r="C2220">
        <f>0</f>
        <v>0</v>
      </c>
      <c r="D2220" t="s">
        <v>106</v>
      </c>
      <c r="E2220">
        <v>5.8170914542728598</v>
      </c>
    </row>
    <row r="2221" spans="1:5">
      <c r="A2221" t="s">
        <v>2607</v>
      </c>
      <c r="B2221" t="s">
        <v>2611</v>
      </c>
      <c r="C2221">
        <v>0</v>
      </c>
      <c r="D2221" t="s">
        <v>106</v>
      </c>
      <c r="E2221">
        <v>5.8170914542728598</v>
      </c>
    </row>
    <row r="2222" spans="1:5">
      <c r="A2222" t="s">
        <v>2607</v>
      </c>
      <c r="B2222" t="s">
        <v>2612</v>
      </c>
      <c r="C2222">
        <v>0</v>
      </c>
      <c r="D2222" t="s">
        <v>106</v>
      </c>
      <c r="E2222">
        <v>5.8170914542728598</v>
      </c>
    </row>
    <row r="2223" spans="1:5">
      <c r="A2223" t="s">
        <v>2607</v>
      </c>
      <c r="B2223" t="s">
        <v>2613</v>
      </c>
      <c r="C2223">
        <f>0</f>
        <v>0</v>
      </c>
      <c r="D2223" t="s">
        <v>106</v>
      </c>
      <c r="E2223">
        <v>5.8170914542728598</v>
      </c>
    </row>
    <row r="2224" spans="1:5">
      <c r="A2224" t="s">
        <v>2607</v>
      </c>
      <c r="B2224" t="s">
        <v>2614</v>
      </c>
      <c r="C2224">
        <v>0</v>
      </c>
      <c r="D2224" t="s">
        <v>106</v>
      </c>
      <c r="E2224">
        <v>5.8170914542728598</v>
      </c>
    </row>
    <row r="2225" spans="1:5">
      <c r="A2225" t="s">
        <v>2607</v>
      </c>
      <c r="B2225" t="s">
        <v>2615</v>
      </c>
      <c r="C2225">
        <v>0</v>
      </c>
      <c r="D2225" t="s">
        <v>106</v>
      </c>
      <c r="E2225">
        <v>5.8170914542728598</v>
      </c>
    </row>
    <row r="2226" spans="1:5">
      <c r="A2226" t="s">
        <v>2607</v>
      </c>
      <c r="B2226" t="s">
        <v>2616</v>
      </c>
      <c r="C2226">
        <v>0</v>
      </c>
      <c r="D2226" t="s">
        <v>106</v>
      </c>
      <c r="E2226">
        <v>5.8170914542728598</v>
      </c>
    </row>
    <row r="2227" spans="1:5">
      <c r="A2227" t="s">
        <v>2607</v>
      </c>
      <c r="B2227" t="s">
        <v>2617</v>
      </c>
      <c r="C2227">
        <v>0</v>
      </c>
      <c r="D2227" t="s">
        <v>106</v>
      </c>
      <c r="E2227">
        <v>5.8170914542728598</v>
      </c>
    </row>
    <row r="2228" spans="1:5">
      <c r="A2228" t="s">
        <v>2618</v>
      </c>
      <c r="B2228" t="s">
        <v>2619</v>
      </c>
      <c r="C2228">
        <f>0</f>
        <v>0</v>
      </c>
      <c r="D2228">
        <v>0.98494874712299996</v>
      </c>
      <c r="E2228">
        <v>0.91154422788605605</v>
      </c>
    </row>
    <row r="2229" spans="1:5">
      <c r="A2229" t="s">
        <v>2618</v>
      </c>
      <c r="B2229" t="s">
        <v>2620</v>
      </c>
      <c r="C2229">
        <v>0.264756117066</v>
      </c>
      <c r="D2229">
        <v>0.98494874712299996</v>
      </c>
      <c r="E2229">
        <v>0.91154422788605605</v>
      </c>
    </row>
    <row r="2230" spans="1:5">
      <c r="A2230" t="s">
        <v>2618</v>
      </c>
      <c r="B2230" t="s">
        <v>2621</v>
      </c>
      <c r="C2230">
        <f>0</f>
        <v>0</v>
      </c>
      <c r="D2230">
        <v>0.98494874712299996</v>
      </c>
      <c r="E2230">
        <v>0.91154422788605605</v>
      </c>
    </row>
    <row r="2231" spans="1:5">
      <c r="A2231" t="s">
        <v>2618</v>
      </c>
      <c r="B2231" t="s">
        <v>2622</v>
      </c>
      <c r="C2231">
        <v>0.240064175435</v>
      </c>
      <c r="D2231">
        <v>0.98494874712299996</v>
      </c>
      <c r="E2231">
        <v>0.91154422788605605</v>
      </c>
    </row>
    <row r="2232" spans="1:5">
      <c r="A2232" t="s">
        <v>2618</v>
      </c>
      <c r="B2232" t="s">
        <v>2623</v>
      </c>
      <c r="C2232">
        <f>0</f>
        <v>0</v>
      </c>
      <c r="D2232">
        <v>0.98494874712299996</v>
      </c>
      <c r="E2232">
        <v>0.91154422788605605</v>
      </c>
    </row>
    <row r="2233" spans="1:5">
      <c r="A2233" t="s">
        <v>2624</v>
      </c>
      <c r="B2233" t="s">
        <v>2625</v>
      </c>
      <c r="C2233">
        <f>0.0900010789185</f>
        <v>9.0001078918499997E-2</v>
      </c>
      <c r="D2233">
        <v>0.98240719994900005</v>
      </c>
      <c r="E2233">
        <v>4.7976011994003001</v>
      </c>
    </row>
    <row r="2234" spans="1:5">
      <c r="A2234" t="s">
        <v>2624</v>
      </c>
      <c r="B2234" t="s">
        <v>2626</v>
      </c>
      <c r="C2234">
        <f>0.0859800753847</f>
        <v>8.5980075384699997E-2</v>
      </c>
      <c r="D2234">
        <v>0.98240719994900005</v>
      </c>
      <c r="E2234">
        <v>4.7976011994003001</v>
      </c>
    </row>
    <row r="2235" spans="1:5">
      <c r="A2235" t="s">
        <v>2627</v>
      </c>
      <c r="B2235" t="s">
        <v>2628</v>
      </c>
      <c r="C2235">
        <v>0</v>
      </c>
      <c r="D2235">
        <v>0.99459818976900005</v>
      </c>
      <c r="E2235">
        <v>6.0569715142428704</v>
      </c>
    </row>
    <row r="2236" spans="1:5">
      <c r="A2236" t="s">
        <v>2627</v>
      </c>
      <c r="B2236" t="s">
        <v>2629</v>
      </c>
      <c r="C2236">
        <f>0.0280168122471</f>
        <v>2.8016812247099999E-2</v>
      </c>
      <c r="D2236">
        <v>0.99459818976900005</v>
      </c>
      <c r="E2236">
        <v>6.0569715142428704</v>
      </c>
    </row>
    <row r="2237" spans="1:5">
      <c r="A2237" t="s">
        <v>2627</v>
      </c>
      <c r="B2237" t="s">
        <v>2630</v>
      </c>
      <c r="C2237">
        <v>0</v>
      </c>
      <c r="D2237">
        <v>0.99459818976900005</v>
      </c>
      <c r="E2237">
        <v>6.0569715142428704</v>
      </c>
    </row>
    <row r="2238" spans="1:5">
      <c r="A2238" t="s">
        <v>2627</v>
      </c>
      <c r="B2238" t="s">
        <v>2631</v>
      </c>
      <c r="C2238">
        <f>0</f>
        <v>0</v>
      </c>
      <c r="D2238">
        <v>0.99459818976900005</v>
      </c>
      <c r="E2238">
        <v>6.0569715142428704</v>
      </c>
    </row>
    <row r="2239" spans="1:5">
      <c r="A2239" t="s">
        <v>2627</v>
      </c>
      <c r="B2239" t="s">
        <v>2632</v>
      </c>
      <c r="C2239">
        <v>0</v>
      </c>
      <c r="D2239">
        <v>0.99459818976900005</v>
      </c>
      <c r="E2239">
        <v>6.0569715142428704</v>
      </c>
    </row>
    <row r="2240" spans="1:5">
      <c r="A2240" t="s">
        <v>2627</v>
      </c>
      <c r="B2240" t="s">
        <v>2633</v>
      </c>
      <c r="C2240">
        <f>0.117697831637</f>
        <v>0.117697831637</v>
      </c>
      <c r="D2240">
        <v>0.99459818976900005</v>
      </c>
      <c r="E2240">
        <v>6.0569715142428704</v>
      </c>
    </row>
    <row r="2241" spans="1:5">
      <c r="A2241" t="s">
        <v>2634</v>
      </c>
      <c r="B2241" t="s">
        <v>2635</v>
      </c>
      <c r="C2241">
        <v>1.2901738483799999E-2</v>
      </c>
      <c r="D2241">
        <v>0.95732236309800001</v>
      </c>
      <c r="E2241">
        <v>23.7481259370314</v>
      </c>
    </row>
    <row r="2242" spans="1:5">
      <c r="A2242" t="s">
        <v>2634</v>
      </c>
      <c r="B2242" t="s">
        <v>2636</v>
      </c>
      <c r="C2242">
        <v>3.9194883337299999E-3</v>
      </c>
      <c r="D2242">
        <v>0.95732236309800001</v>
      </c>
      <c r="E2242">
        <v>23.7481259370314</v>
      </c>
    </row>
    <row r="2243" spans="1:5">
      <c r="A2243" t="s">
        <v>2634</v>
      </c>
      <c r="B2243" t="s">
        <v>2637</v>
      </c>
      <c r="C2243">
        <v>0</v>
      </c>
      <c r="D2243">
        <v>0.95732236309800001</v>
      </c>
      <c r="E2243">
        <v>23.7481259370314</v>
      </c>
    </row>
    <row r="2244" spans="1:5">
      <c r="A2244" t="s">
        <v>2634</v>
      </c>
      <c r="B2244" t="s">
        <v>2638</v>
      </c>
      <c r="C2244">
        <v>0</v>
      </c>
      <c r="D2244">
        <v>0.95732236309800001</v>
      </c>
      <c r="E2244">
        <v>23.7481259370314</v>
      </c>
    </row>
    <row r="2245" spans="1:5">
      <c r="A2245" t="s">
        <v>2634</v>
      </c>
      <c r="B2245" t="s">
        <v>2639</v>
      </c>
      <c r="C2245">
        <v>0</v>
      </c>
      <c r="D2245">
        <v>0.95732236309800001</v>
      </c>
      <c r="E2245">
        <v>23.7481259370314</v>
      </c>
    </row>
    <row r="2246" spans="1:5">
      <c r="A2246" t="s">
        <v>2640</v>
      </c>
      <c r="B2246" t="s">
        <v>2641</v>
      </c>
      <c r="C2246">
        <v>0.112972580648</v>
      </c>
      <c r="D2246">
        <v>0.76825299943000003</v>
      </c>
      <c r="E2246">
        <v>19.4182908545727</v>
      </c>
    </row>
    <row r="2247" spans="1:5">
      <c r="A2247" t="s">
        <v>2640</v>
      </c>
      <c r="B2247" t="s">
        <v>2642</v>
      </c>
      <c r="C2247">
        <v>6.6209760860499997E-2</v>
      </c>
      <c r="D2247">
        <v>0.76825299943000003</v>
      </c>
      <c r="E2247">
        <v>19.4182908545727</v>
      </c>
    </row>
    <row r="2248" spans="1:5">
      <c r="A2248" t="s">
        <v>2643</v>
      </c>
      <c r="B2248" t="s">
        <v>2644</v>
      </c>
      <c r="C2248">
        <v>0</v>
      </c>
      <c r="D2248">
        <v>0.918558766917</v>
      </c>
      <c r="E2248">
        <v>13.2653673163418</v>
      </c>
    </row>
    <row r="2249" spans="1:5">
      <c r="A2249" t="s">
        <v>2643</v>
      </c>
      <c r="B2249" t="s">
        <v>2645</v>
      </c>
      <c r="C2249">
        <f>0</f>
        <v>0</v>
      </c>
      <c r="D2249">
        <v>0.918558766917</v>
      </c>
      <c r="E2249">
        <v>13.2653673163418</v>
      </c>
    </row>
    <row r="2250" spans="1:5">
      <c r="A2250" t="s">
        <v>2643</v>
      </c>
      <c r="B2250" t="s">
        <v>2646</v>
      </c>
      <c r="C2250">
        <f>0</f>
        <v>0</v>
      </c>
      <c r="D2250">
        <v>0.918558766917</v>
      </c>
      <c r="E2250">
        <v>13.2653673163418</v>
      </c>
    </row>
    <row r="2251" spans="1:5">
      <c r="A2251" t="s">
        <v>2643</v>
      </c>
      <c r="B2251" t="s">
        <v>2647</v>
      </c>
      <c r="C2251">
        <v>0</v>
      </c>
      <c r="D2251">
        <v>0.918558766917</v>
      </c>
      <c r="E2251">
        <v>13.2653673163418</v>
      </c>
    </row>
    <row r="2252" spans="1:5">
      <c r="A2252" t="s">
        <v>2643</v>
      </c>
      <c r="B2252" t="s">
        <v>2648</v>
      </c>
      <c r="C2252">
        <f>0</f>
        <v>0</v>
      </c>
      <c r="D2252">
        <v>0.918558766917</v>
      </c>
      <c r="E2252">
        <v>13.2653673163418</v>
      </c>
    </row>
    <row r="2253" spans="1:5">
      <c r="A2253" t="s">
        <v>2643</v>
      </c>
      <c r="B2253" t="s">
        <v>2649</v>
      </c>
      <c r="C2253">
        <v>0</v>
      </c>
      <c r="D2253">
        <v>0.918558766917</v>
      </c>
      <c r="E2253">
        <v>13.2653673163418</v>
      </c>
    </row>
    <row r="2254" spans="1:5">
      <c r="A2254" t="s">
        <v>2643</v>
      </c>
      <c r="B2254" t="s">
        <v>2650</v>
      </c>
      <c r="C2254">
        <f>0</f>
        <v>0</v>
      </c>
      <c r="D2254">
        <v>0.918558766917</v>
      </c>
      <c r="E2254">
        <v>13.2653673163418</v>
      </c>
    </row>
    <row r="2255" spans="1:5">
      <c r="A2255" t="s">
        <v>2643</v>
      </c>
      <c r="B2255" t="s">
        <v>2651</v>
      </c>
      <c r="C2255">
        <v>0</v>
      </c>
      <c r="D2255">
        <v>0.918558766917</v>
      </c>
      <c r="E2255">
        <v>13.2653673163418</v>
      </c>
    </row>
    <row r="2256" spans="1:5">
      <c r="A2256" t="s">
        <v>2643</v>
      </c>
      <c r="B2256" t="s">
        <v>2652</v>
      </c>
      <c r="C2256">
        <v>0</v>
      </c>
      <c r="D2256">
        <v>0.918558766917</v>
      </c>
      <c r="E2256">
        <v>13.2653673163418</v>
      </c>
    </row>
    <row r="2257" spans="1:5">
      <c r="A2257" t="s">
        <v>2643</v>
      </c>
      <c r="B2257" t="s">
        <v>2653</v>
      </c>
      <c r="C2257">
        <v>0</v>
      </c>
      <c r="D2257">
        <v>0.918558766917</v>
      </c>
      <c r="E2257">
        <v>13.2653673163418</v>
      </c>
    </row>
    <row r="2258" spans="1:5">
      <c r="A2258" t="s">
        <v>2643</v>
      </c>
      <c r="B2258" t="s">
        <v>2654</v>
      </c>
      <c r="C2258">
        <v>0</v>
      </c>
      <c r="D2258">
        <v>0.918558766917</v>
      </c>
      <c r="E2258">
        <v>13.2653673163418</v>
      </c>
    </row>
    <row r="2259" spans="1:5">
      <c r="A2259" t="s">
        <v>2643</v>
      </c>
      <c r="B2259" t="s">
        <v>2655</v>
      </c>
      <c r="C2259">
        <v>0</v>
      </c>
      <c r="D2259">
        <v>0.918558766917</v>
      </c>
      <c r="E2259">
        <v>13.2653673163418</v>
      </c>
    </row>
    <row r="2260" spans="1:5">
      <c r="A2260" t="s">
        <v>2643</v>
      </c>
      <c r="B2260" t="s">
        <v>2656</v>
      </c>
      <c r="C2260">
        <v>0</v>
      </c>
      <c r="D2260">
        <v>0.918558766917</v>
      </c>
      <c r="E2260">
        <v>13.2653673163418</v>
      </c>
    </row>
    <row r="2261" spans="1:5">
      <c r="A2261" t="s">
        <v>2643</v>
      </c>
      <c r="B2261" t="s">
        <v>2657</v>
      </c>
      <c r="C2261">
        <v>0</v>
      </c>
      <c r="D2261">
        <v>0.918558766917</v>
      </c>
      <c r="E2261">
        <v>13.2653673163418</v>
      </c>
    </row>
    <row r="2262" spans="1:5">
      <c r="A2262" t="s">
        <v>2643</v>
      </c>
      <c r="B2262" t="s">
        <v>2658</v>
      </c>
      <c r="C2262">
        <v>0</v>
      </c>
      <c r="D2262">
        <v>0.918558766917</v>
      </c>
      <c r="E2262">
        <v>13.2653673163418</v>
      </c>
    </row>
    <row r="2263" spans="1:5">
      <c r="A2263" t="s">
        <v>2643</v>
      </c>
      <c r="B2263" t="s">
        <v>2659</v>
      </c>
      <c r="C2263">
        <f>0.0532980410059</f>
        <v>5.32980410059E-2</v>
      </c>
      <c r="D2263">
        <v>0.918558766917</v>
      </c>
      <c r="E2263">
        <v>13.2653673163418</v>
      </c>
    </row>
    <row r="2264" spans="1:5">
      <c r="A2264" t="s">
        <v>2643</v>
      </c>
      <c r="B2264" t="s">
        <v>2660</v>
      </c>
      <c r="C2264">
        <v>0</v>
      </c>
      <c r="D2264">
        <v>0.918558766917</v>
      </c>
      <c r="E2264">
        <v>13.2653673163418</v>
      </c>
    </row>
    <row r="2265" spans="1:5">
      <c r="A2265" t="s">
        <v>2643</v>
      </c>
      <c r="B2265" t="s">
        <v>2661</v>
      </c>
      <c r="C2265">
        <v>0</v>
      </c>
      <c r="D2265">
        <v>0.918558766917</v>
      </c>
      <c r="E2265">
        <v>13.2653673163418</v>
      </c>
    </row>
    <row r="2266" spans="1:5">
      <c r="A2266" t="s">
        <v>2643</v>
      </c>
      <c r="B2266" t="s">
        <v>2662</v>
      </c>
      <c r="C2266">
        <v>0</v>
      </c>
      <c r="D2266">
        <v>0.918558766917</v>
      </c>
      <c r="E2266">
        <v>13.2653673163418</v>
      </c>
    </row>
    <row r="2267" spans="1:5">
      <c r="A2267" t="s">
        <v>2643</v>
      </c>
      <c r="B2267" t="s">
        <v>2663</v>
      </c>
      <c r="C2267">
        <f>0</f>
        <v>0</v>
      </c>
      <c r="D2267">
        <v>0.918558766917</v>
      </c>
      <c r="E2267">
        <v>13.2653673163418</v>
      </c>
    </row>
    <row r="2268" spans="1:5">
      <c r="A2268" t="s">
        <v>2643</v>
      </c>
      <c r="B2268" t="s">
        <v>2664</v>
      </c>
      <c r="C2268">
        <v>0</v>
      </c>
      <c r="D2268">
        <v>0.918558766917</v>
      </c>
      <c r="E2268">
        <v>13.2653673163418</v>
      </c>
    </row>
    <row r="2269" spans="1:5">
      <c r="A2269" t="s">
        <v>2665</v>
      </c>
      <c r="B2269" t="s">
        <v>2666</v>
      </c>
      <c r="C2269">
        <f>0</f>
        <v>0</v>
      </c>
      <c r="D2269">
        <v>0.89483372878199996</v>
      </c>
      <c r="E2269">
        <v>0</v>
      </c>
    </row>
    <row r="2270" spans="1:5">
      <c r="A2270" t="s">
        <v>2665</v>
      </c>
      <c r="B2270" t="s">
        <v>2667</v>
      </c>
      <c r="C2270">
        <v>0.443411055449</v>
      </c>
      <c r="D2270">
        <v>0.89483372878199996</v>
      </c>
      <c r="E2270">
        <v>0</v>
      </c>
    </row>
    <row r="2271" spans="1:5">
      <c r="A2271" t="s">
        <v>2665</v>
      </c>
      <c r="B2271" t="s">
        <v>2668</v>
      </c>
      <c r="C2271">
        <v>0</v>
      </c>
      <c r="D2271">
        <v>0.89483372878199996</v>
      </c>
      <c r="E2271">
        <v>0</v>
      </c>
    </row>
    <row r="2272" spans="1:5">
      <c r="A2272" t="s">
        <v>2669</v>
      </c>
      <c r="B2272" t="s">
        <v>2670</v>
      </c>
      <c r="C2272">
        <v>0</v>
      </c>
      <c r="D2272">
        <v>0.82414402678900001</v>
      </c>
      <c r="E2272">
        <v>23.508245877061398</v>
      </c>
    </row>
    <row r="2273" spans="1:5">
      <c r="A2273" t="s">
        <v>2669</v>
      </c>
      <c r="B2273" t="s">
        <v>2671</v>
      </c>
      <c r="C2273">
        <v>0</v>
      </c>
      <c r="D2273">
        <v>0.82414402678900001</v>
      </c>
      <c r="E2273">
        <v>23.508245877061398</v>
      </c>
    </row>
    <row r="2274" spans="1:5">
      <c r="A2274" t="s">
        <v>2669</v>
      </c>
      <c r="B2274" t="s">
        <v>2672</v>
      </c>
      <c r="C2274">
        <f>0</f>
        <v>0</v>
      </c>
      <c r="D2274">
        <v>0.82414402678900001</v>
      </c>
      <c r="E2274">
        <v>23.508245877061398</v>
      </c>
    </row>
    <row r="2275" spans="1:5">
      <c r="A2275" t="s">
        <v>2669</v>
      </c>
      <c r="B2275" t="s">
        <v>2673</v>
      </c>
      <c r="C2275">
        <f>0</f>
        <v>0</v>
      </c>
      <c r="D2275">
        <v>0.82414402678900001</v>
      </c>
      <c r="E2275">
        <v>23.508245877061398</v>
      </c>
    </row>
    <row r="2276" spans="1:5">
      <c r="A2276" t="s">
        <v>2669</v>
      </c>
      <c r="B2276" t="s">
        <v>2674</v>
      </c>
      <c r="C2276">
        <v>0</v>
      </c>
      <c r="D2276">
        <v>0.82414402678900001</v>
      </c>
      <c r="E2276">
        <v>23.508245877061398</v>
      </c>
    </row>
    <row r="2277" spans="1:5">
      <c r="A2277" t="s">
        <v>2669</v>
      </c>
      <c r="B2277" t="s">
        <v>2675</v>
      </c>
      <c r="C2277">
        <v>5.75677002257E-2</v>
      </c>
      <c r="D2277">
        <v>0.82414402678900001</v>
      </c>
      <c r="E2277">
        <v>23.508245877061398</v>
      </c>
    </row>
    <row r="2278" spans="1:5">
      <c r="A2278" t="s">
        <v>2669</v>
      </c>
      <c r="B2278" t="s">
        <v>2676</v>
      </c>
      <c r="C2278">
        <v>0</v>
      </c>
      <c r="D2278">
        <v>0.82414402678900001</v>
      </c>
      <c r="E2278">
        <v>23.508245877061398</v>
      </c>
    </row>
    <row r="2279" spans="1:5">
      <c r="A2279" t="s">
        <v>2669</v>
      </c>
      <c r="B2279" t="s">
        <v>2677</v>
      </c>
      <c r="C2279">
        <v>7.4982607388299996E-2</v>
      </c>
      <c r="D2279">
        <v>0.82414402678900001</v>
      </c>
      <c r="E2279">
        <v>23.508245877061398</v>
      </c>
    </row>
    <row r="2280" spans="1:5">
      <c r="A2280" t="s">
        <v>2669</v>
      </c>
      <c r="B2280" t="s">
        <v>2678</v>
      </c>
      <c r="C2280">
        <f>0</f>
        <v>0</v>
      </c>
      <c r="D2280">
        <v>0.82414402678900001</v>
      </c>
      <c r="E2280">
        <v>23.508245877061398</v>
      </c>
    </row>
    <row r="2281" spans="1:5">
      <c r="A2281" t="s">
        <v>2669</v>
      </c>
      <c r="B2281" t="s">
        <v>2679</v>
      </c>
      <c r="C2281">
        <f>0</f>
        <v>0</v>
      </c>
      <c r="D2281">
        <v>0.82414402678900001</v>
      </c>
      <c r="E2281">
        <v>23.508245877061398</v>
      </c>
    </row>
    <row r="2282" spans="1:5">
      <c r="A2282" t="s">
        <v>2669</v>
      </c>
      <c r="B2282" t="s">
        <v>2680</v>
      </c>
      <c r="C2282">
        <v>0</v>
      </c>
      <c r="D2282">
        <v>0.82414402678900001</v>
      </c>
      <c r="E2282">
        <v>23.508245877061398</v>
      </c>
    </row>
    <row r="2283" spans="1:5">
      <c r="A2283" t="s">
        <v>2669</v>
      </c>
      <c r="B2283" t="s">
        <v>2681</v>
      </c>
      <c r="C2283">
        <f>0</f>
        <v>0</v>
      </c>
      <c r="D2283">
        <v>0.82414402678900001</v>
      </c>
      <c r="E2283">
        <v>23.508245877061398</v>
      </c>
    </row>
    <row r="2284" spans="1:5">
      <c r="A2284" t="s">
        <v>2669</v>
      </c>
      <c r="B2284" t="s">
        <v>2682</v>
      </c>
      <c r="C2284">
        <f>0</f>
        <v>0</v>
      </c>
      <c r="D2284">
        <v>0.82414402678900001</v>
      </c>
      <c r="E2284">
        <v>23.508245877061398</v>
      </c>
    </row>
    <row r="2285" spans="1:5">
      <c r="A2285" t="s">
        <v>2669</v>
      </c>
      <c r="B2285" t="s">
        <v>2683</v>
      </c>
      <c r="C2285">
        <f>0</f>
        <v>0</v>
      </c>
      <c r="D2285">
        <v>0.82414402678900001</v>
      </c>
      <c r="E2285">
        <v>23.508245877061398</v>
      </c>
    </row>
    <row r="2286" spans="1:5">
      <c r="A2286" t="s">
        <v>2669</v>
      </c>
      <c r="B2286" t="s">
        <v>2684</v>
      </c>
      <c r="C2286">
        <v>0</v>
      </c>
      <c r="D2286">
        <v>0.82414402678900001</v>
      </c>
      <c r="E2286">
        <v>23.508245877061398</v>
      </c>
    </row>
    <row r="2287" spans="1:5">
      <c r="A2287" t="s">
        <v>2669</v>
      </c>
      <c r="B2287" t="s">
        <v>2685</v>
      </c>
      <c r="C2287">
        <v>0</v>
      </c>
      <c r="D2287">
        <v>0.82414402678900001</v>
      </c>
      <c r="E2287">
        <v>23.508245877061398</v>
      </c>
    </row>
    <row r="2288" spans="1:5">
      <c r="A2288" t="s">
        <v>2669</v>
      </c>
      <c r="B2288" t="s">
        <v>2686</v>
      </c>
      <c r="C2288">
        <f>0</f>
        <v>0</v>
      </c>
      <c r="D2288">
        <v>0.82414402678900001</v>
      </c>
      <c r="E2288">
        <v>23.508245877061398</v>
      </c>
    </row>
    <row r="2289" spans="1:5">
      <c r="A2289" t="s">
        <v>2669</v>
      </c>
      <c r="B2289" t="s">
        <v>2687</v>
      </c>
      <c r="C2289">
        <f>0</f>
        <v>0</v>
      </c>
      <c r="D2289">
        <v>0.82414402678900001</v>
      </c>
      <c r="E2289">
        <v>23.508245877061398</v>
      </c>
    </row>
    <row r="2290" spans="1:5">
      <c r="A2290" t="s">
        <v>2669</v>
      </c>
      <c r="B2290" t="s">
        <v>2688</v>
      </c>
      <c r="C2290">
        <f>0</f>
        <v>0</v>
      </c>
      <c r="D2290">
        <v>0.82414402678900001</v>
      </c>
      <c r="E2290">
        <v>23.508245877061398</v>
      </c>
    </row>
    <row r="2291" spans="1:5">
      <c r="A2291" t="s">
        <v>2669</v>
      </c>
      <c r="B2291" t="s">
        <v>2689</v>
      </c>
      <c r="C2291">
        <v>0</v>
      </c>
      <c r="D2291">
        <v>0.82414402678900001</v>
      </c>
      <c r="E2291">
        <v>23.508245877061398</v>
      </c>
    </row>
    <row r="2292" spans="1:5">
      <c r="A2292" t="s">
        <v>2690</v>
      </c>
      <c r="B2292" t="s">
        <v>2691</v>
      </c>
      <c r="C2292">
        <f>0</f>
        <v>0</v>
      </c>
      <c r="D2292" t="s">
        <v>106</v>
      </c>
      <c r="E2292">
        <v>24</v>
      </c>
    </row>
    <row r="2293" spans="1:5">
      <c r="A2293" t="s">
        <v>2690</v>
      </c>
      <c r="B2293" t="s">
        <v>2692</v>
      </c>
      <c r="C2293">
        <v>0</v>
      </c>
      <c r="D2293" t="s">
        <v>106</v>
      </c>
      <c r="E2293">
        <v>24</v>
      </c>
    </row>
    <row r="2294" spans="1:5">
      <c r="A2294" t="s">
        <v>2690</v>
      </c>
      <c r="B2294" t="s">
        <v>2693</v>
      </c>
      <c r="C2294">
        <f>0</f>
        <v>0</v>
      </c>
      <c r="D2294" t="s">
        <v>106</v>
      </c>
      <c r="E2294">
        <v>24</v>
      </c>
    </row>
    <row r="2295" spans="1:5">
      <c r="A2295" t="s">
        <v>2690</v>
      </c>
      <c r="B2295" t="s">
        <v>2694</v>
      </c>
      <c r="C2295">
        <v>0</v>
      </c>
      <c r="D2295" t="s">
        <v>106</v>
      </c>
      <c r="E2295">
        <v>24</v>
      </c>
    </row>
    <row r="2296" spans="1:5">
      <c r="A2296" t="s">
        <v>2690</v>
      </c>
      <c r="B2296" t="s">
        <v>2695</v>
      </c>
      <c r="C2296">
        <f>0</f>
        <v>0</v>
      </c>
      <c r="D2296" t="s">
        <v>106</v>
      </c>
      <c r="E2296">
        <v>24</v>
      </c>
    </row>
    <row r="2297" spans="1:5">
      <c r="A2297" t="s">
        <v>2690</v>
      </c>
      <c r="B2297" t="s">
        <v>2696</v>
      </c>
      <c r="C2297">
        <v>0</v>
      </c>
      <c r="D2297" t="s">
        <v>106</v>
      </c>
      <c r="E2297">
        <v>24</v>
      </c>
    </row>
    <row r="2298" spans="1:5">
      <c r="A2298" t="s">
        <v>2690</v>
      </c>
      <c r="B2298" t="s">
        <v>2697</v>
      </c>
      <c r="C2298">
        <v>0</v>
      </c>
      <c r="D2298" t="s">
        <v>106</v>
      </c>
      <c r="E2298">
        <v>24</v>
      </c>
    </row>
    <row r="2299" spans="1:5">
      <c r="A2299" t="s">
        <v>2690</v>
      </c>
      <c r="B2299" t="s">
        <v>2698</v>
      </c>
      <c r="C2299">
        <f>0</f>
        <v>0</v>
      </c>
      <c r="D2299" t="s">
        <v>106</v>
      </c>
      <c r="E2299">
        <v>24</v>
      </c>
    </row>
    <row r="2300" spans="1:5">
      <c r="A2300" t="s">
        <v>2699</v>
      </c>
      <c r="B2300" t="s">
        <v>2700</v>
      </c>
      <c r="C2300">
        <v>0</v>
      </c>
      <c r="D2300">
        <v>0.85787324529999998</v>
      </c>
      <c r="E2300">
        <v>3.0464767616191901</v>
      </c>
    </row>
    <row r="2301" spans="1:5">
      <c r="A2301" t="s">
        <v>2699</v>
      </c>
      <c r="B2301" t="s">
        <v>2701</v>
      </c>
      <c r="C2301">
        <f>0</f>
        <v>0</v>
      </c>
      <c r="D2301">
        <v>0.85787324529999998</v>
      </c>
      <c r="E2301">
        <v>3.0464767616191901</v>
      </c>
    </row>
    <row r="2302" spans="1:5">
      <c r="A2302" t="s">
        <v>2699</v>
      </c>
      <c r="B2302" t="s">
        <v>2702</v>
      </c>
      <c r="C2302">
        <v>0</v>
      </c>
      <c r="D2302">
        <v>0.85787324529999998</v>
      </c>
      <c r="E2302">
        <v>3.0464767616191901</v>
      </c>
    </row>
    <row r="2303" spans="1:5">
      <c r="A2303" t="s">
        <v>2699</v>
      </c>
      <c r="B2303" t="s">
        <v>2703</v>
      </c>
      <c r="C2303">
        <v>0</v>
      </c>
      <c r="D2303">
        <v>0.85787324529999998</v>
      </c>
      <c r="E2303">
        <v>3.0464767616191901</v>
      </c>
    </row>
    <row r="2304" spans="1:5">
      <c r="A2304" t="s">
        <v>2699</v>
      </c>
      <c r="B2304" t="s">
        <v>2704</v>
      </c>
      <c r="C2304">
        <v>6.6464357766699997E-2</v>
      </c>
      <c r="D2304">
        <v>0.85787324529999998</v>
      </c>
      <c r="E2304">
        <v>3.0464767616191901</v>
      </c>
    </row>
    <row r="2305" spans="1:5">
      <c r="A2305" t="s">
        <v>2699</v>
      </c>
      <c r="B2305" t="s">
        <v>2705</v>
      </c>
      <c r="C2305">
        <f>0</f>
        <v>0</v>
      </c>
      <c r="D2305">
        <v>0.85787324529999998</v>
      </c>
      <c r="E2305">
        <v>3.0464767616191901</v>
      </c>
    </row>
    <row r="2306" spans="1:5">
      <c r="A2306" t="s">
        <v>2699</v>
      </c>
      <c r="B2306" t="s">
        <v>2706</v>
      </c>
      <c r="C2306">
        <f>0</f>
        <v>0</v>
      </c>
      <c r="D2306">
        <v>0.85787324529999998</v>
      </c>
      <c r="E2306">
        <v>3.0464767616191901</v>
      </c>
    </row>
    <row r="2307" spans="1:5">
      <c r="A2307" t="s">
        <v>2699</v>
      </c>
      <c r="B2307" t="s">
        <v>2707</v>
      </c>
      <c r="C2307">
        <f>0</f>
        <v>0</v>
      </c>
      <c r="D2307">
        <v>0.85787324529999998</v>
      </c>
      <c r="E2307">
        <v>3.0464767616191901</v>
      </c>
    </row>
    <row r="2308" spans="1:5">
      <c r="A2308" t="s">
        <v>2699</v>
      </c>
      <c r="B2308" t="s">
        <v>2708</v>
      </c>
      <c r="C2308">
        <v>4.1862804588599999E-2</v>
      </c>
      <c r="D2308">
        <v>0.85787324529999998</v>
      </c>
      <c r="E2308">
        <v>3.0464767616191901</v>
      </c>
    </row>
    <row r="2309" spans="1:5">
      <c r="A2309" t="s">
        <v>2699</v>
      </c>
      <c r="B2309" t="s">
        <v>2709</v>
      </c>
      <c r="C2309">
        <f>0</f>
        <v>0</v>
      </c>
      <c r="D2309">
        <v>0.85787324529999998</v>
      </c>
      <c r="E2309">
        <v>3.0464767616191901</v>
      </c>
    </row>
    <row r="2310" spans="1:5">
      <c r="A2310" t="s">
        <v>2699</v>
      </c>
      <c r="B2310" t="s">
        <v>2710</v>
      </c>
      <c r="C2310">
        <f>0</f>
        <v>0</v>
      </c>
      <c r="D2310">
        <v>0.85787324529999998</v>
      </c>
      <c r="E2310">
        <v>3.0464767616191901</v>
      </c>
    </row>
    <row r="2311" spans="1:5">
      <c r="A2311" t="s">
        <v>2699</v>
      </c>
      <c r="B2311" t="s">
        <v>2711</v>
      </c>
      <c r="C2311">
        <f>0</f>
        <v>0</v>
      </c>
      <c r="D2311">
        <v>0.85787324529999998</v>
      </c>
      <c r="E2311">
        <v>3.0464767616191901</v>
      </c>
    </row>
    <row r="2312" spans="1:5">
      <c r="A2312" t="s">
        <v>2699</v>
      </c>
      <c r="B2312" t="s">
        <v>2712</v>
      </c>
      <c r="C2312">
        <f>0</f>
        <v>0</v>
      </c>
      <c r="D2312">
        <v>0.85787324529999998</v>
      </c>
      <c r="E2312">
        <v>3.0464767616191901</v>
      </c>
    </row>
    <row r="2313" spans="1:5">
      <c r="A2313" t="s">
        <v>2713</v>
      </c>
      <c r="B2313" t="s">
        <v>2714</v>
      </c>
      <c r="C2313">
        <f>0</f>
        <v>0</v>
      </c>
      <c r="D2313">
        <v>0.90874179888700002</v>
      </c>
      <c r="E2313">
        <v>0.503748125937031</v>
      </c>
    </row>
    <row r="2314" spans="1:5">
      <c r="A2314" t="s">
        <v>2713</v>
      </c>
      <c r="B2314" t="s">
        <v>2715</v>
      </c>
      <c r="C2314">
        <f>0.346066873443</f>
        <v>0.34606687344300002</v>
      </c>
      <c r="D2314">
        <v>0.90874179888700002</v>
      </c>
      <c r="E2314">
        <v>0.503748125937031</v>
      </c>
    </row>
    <row r="2315" spans="1:5">
      <c r="A2315" t="s">
        <v>2713</v>
      </c>
      <c r="B2315" t="s">
        <v>2716</v>
      </c>
      <c r="C2315">
        <f>0</f>
        <v>0</v>
      </c>
      <c r="D2315">
        <v>0.90874179888700002</v>
      </c>
      <c r="E2315">
        <v>0.503748125937031</v>
      </c>
    </row>
    <row r="2316" spans="1:5">
      <c r="A2316" t="s">
        <v>2717</v>
      </c>
      <c r="B2316" t="s">
        <v>2718</v>
      </c>
      <c r="C2316">
        <f>0.120008451868</f>
        <v>0.12000845186799999</v>
      </c>
      <c r="D2316">
        <v>0.96228900989800004</v>
      </c>
      <c r="E2316">
        <v>15.904047976011899</v>
      </c>
    </row>
    <row r="2317" spans="1:5">
      <c r="A2317" t="s">
        <v>2717</v>
      </c>
      <c r="B2317" t="s">
        <v>2719</v>
      </c>
      <c r="C2317">
        <v>0.104743741414</v>
      </c>
      <c r="D2317">
        <v>0.96228900989800004</v>
      </c>
      <c r="E2317">
        <v>15.904047976011899</v>
      </c>
    </row>
    <row r="2318" spans="1:5">
      <c r="A2318" t="s">
        <v>2717</v>
      </c>
      <c r="B2318" t="s">
        <v>2720</v>
      </c>
      <c r="C2318">
        <v>0</v>
      </c>
      <c r="D2318">
        <v>0.96228900989800004</v>
      </c>
      <c r="E2318">
        <v>15.904047976011899</v>
      </c>
    </row>
    <row r="2319" spans="1:5">
      <c r="A2319" t="s">
        <v>2717</v>
      </c>
      <c r="B2319" t="s">
        <v>2721</v>
      </c>
      <c r="C2319">
        <v>0</v>
      </c>
      <c r="D2319">
        <v>0.96228900989800004</v>
      </c>
      <c r="E2319">
        <v>15.904047976011899</v>
      </c>
    </row>
    <row r="2320" spans="1:5">
      <c r="A2320" t="s">
        <v>2717</v>
      </c>
      <c r="B2320" t="s">
        <v>2722</v>
      </c>
      <c r="C2320">
        <v>0</v>
      </c>
      <c r="D2320">
        <v>0.96228900989800004</v>
      </c>
      <c r="E2320">
        <v>15.904047976011899</v>
      </c>
    </row>
    <row r="2321" spans="1:5">
      <c r="A2321" t="s">
        <v>2717</v>
      </c>
      <c r="B2321" t="s">
        <v>2723</v>
      </c>
      <c r="C2321">
        <v>0</v>
      </c>
      <c r="D2321">
        <v>0.96228900989800004</v>
      </c>
      <c r="E2321">
        <v>15.904047976011899</v>
      </c>
    </row>
    <row r="2322" spans="1:5">
      <c r="A2322" t="s">
        <v>2717</v>
      </c>
      <c r="B2322" t="s">
        <v>2724</v>
      </c>
      <c r="C2322">
        <v>0</v>
      </c>
      <c r="D2322">
        <v>0.96228900989800004</v>
      </c>
      <c r="E2322">
        <v>15.904047976011899</v>
      </c>
    </row>
    <row r="2323" spans="1:5">
      <c r="A2323" t="s">
        <v>2717</v>
      </c>
      <c r="B2323" t="s">
        <v>2725</v>
      </c>
      <c r="C2323">
        <v>0</v>
      </c>
      <c r="D2323">
        <v>0.96228900989800004</v>
      </c>
      <c r="E2323">
        <v>15.904047976011899</v>
      </c>
    </row>
    <row r="2324" spans="1:5">
      <c r="A2324" t="s">
        <v>2717</v>
      </c>
      <c r="B2324" t="s">
        <v>2726</v>
      </c>
      <c r="C2324">
        <v>0</v>
      </c>
      <c r="D2324">
        <v>0.96228900989800004</v>
      </c>
      <c r="E2324">
        <v>15.904047976011899</v>
      </c>
    </row>
    <row r="2325" spans="1:5">
      <c r="A2325" t="s">
        <v>2727</v>
      </c>
      <c r="B2325" t="s">
        <v>2728</v>
      </c>
      <c r="C2325">
        <v>9.2260125148899991E-3</v>
      </c>
      <c r="D2325">
        <v>0.61631751154600001</v>
      </c>
      <c r="E2325">
        <v>1.6911544227886</v>
      </c>
    </row>
    <row r="2326" spans="1:5">
      <c r="A2326" t="s">
        <v>2727</v>
      </c>
      <c r="B2326" t="s">
        <v>2729</v>
      </c>
      <c r="C2326">
        <f>0</f>
        <v>0</v>
      </c>
      <c r="D2326">
        <v>0.61631751154600001</v>
      </c>
      <c r="E2326">
        <v>1.6911544227886</v>
      </c>
    </row>
    <row r="2327" spans="1:5">
      <c r="A2327" t="s">
        <v>2727</v>
      </c>
      <c r="B2327" t="s">
        <v>2730</v>
      </c>
      <c r="C2327">
        <v>0</v>
      </c>
      <c r="D2327">
        <v>0.61631751154600001</v>
      </c>
      <c r="E2327">
        <v>1.6911544227886</v>
      </c>
    </row>
    <row r="2328" spans="1:5">
      <c r="A2328" t="s">
        <v>2727</v>
      </c>
      <c r="B2328" t="s">
        <v>2731</v>
      </c>
      <c r="C2328">
        <v>0</v>
      </c>
      <c r="D2328">
        <v>0.61631751154600001</v>
      </c>
      <c r="E2328">
        <v>1.6911544227886</v>
      </c>
    </row>
    <row r="2329" spans="1:5">
      <c r="A2329" t="s">
        <v>2727</v>
      </c>
      <c r="B2329" t="s">
        <v>2732</v>
      </c>
      <c r="C2329">
        <f>0</f>
        <v>0</v>
      </c>
      <c r="D2329">
        <v>0.61631751154600001</v>
      </c>
      <c r="E2329">
        <v>1.6911544227886</v>
      </c>
    </row>
    <row r="2330" spans="1:5">
      <c r="A2330" t="s">
        <v>2733</v>
      </c>
      <c r="B2330" t="s">
        <v>2734</v>
      </c>
      <c r="C2330">
        <v>7.7078358742400002E-2</v>
      </c>
      <c r="D2330">
        <v>0.96007474041300001</v>
      </c>
      <c r="E2330">
        <v>0.19190404797601199</v>
      </c>
    </row>
    <row r="2331" spans="1:5">
      <c r="A2331" t="s">
        <v>2733</v>
      </c>
      <c r="B2331" t="s">
        <v>2735</v>
      </c>
      <c r="C2331">
        <v>0</v>
      </c>
      <c r="D2331">
        <v>0.96007474041300001</v>
      </c>
      <c r="E2331">
        <v>0.19190404797601199</v>
      </c>
    </row>
    <row r="2332" spans="1:5">
      <c r="A2332" t="s">
        <v>2733</v>
      </c>
      <c r="B2332" t="s">
        <v>2736</v>
      </c>
      <c r="C2332">
        <f>0</f>
        <v>0</v>
      </c>
      <c r="D2332">
        <v>0.96007474041300001</v>
      </c>
      <c r="E2332">
        <v>0.19190404797601199</v>
      </c>
    </row>
    <row r="2333" spans="1:5">
      <c r="A2333" t="s">
        <v>2733</v>
      </c>
      <c r="B2333" t="s">
        <v>2737</v>
      </c>
      <c r="C2333">
        <f>0</f>
        <v>0</v>
      </c>
      <c r="D2333">
        <v>0.96007474041300001</v>
      </c>
      <c r="E2333">
        <v>0.19190404797601199</v>
      </c>
    </row>
    <row r="2334" spans="1:5">
      <c r="A2334" t="s">
        <v>2733</v>
      </c>
      <c r="B2334" t="s">
        <v>2738</v>
      </c>
      <c r="C2334">
        <v>0</v>
      </c>
      <c r="D2334">
        <v>0.96007474041300001</v>
      </c>
      <c r="E2334">
        <v>0.19190404797601199</v>
      </c>
    </row>
    <row r="2335" spans="1:5">
      <c r="A2335" t="s">
        <v>2733</v>
      </c>
      <c r="B2335" t="s">
        <v>2739</v>
      </c>
      <c r="C2335">
        <f>0.707885814955</f>
        <v>0.70788581495500003</v>
      </c>
      <c r="D2335">
        <v>0.96007474041300001</v>
      </c>
      <c r="E2335">
        <v>0.19190404797601199</v>
      </c>
    </row>
    <row r="2336" spans="1:5">
      <c r="A2336" t="s">
        <v>2740</v>
      </c>
      <c r="B2336" t="s">
        <v>2741</v>
      </c>
      <c r="C2336">
        <v>0.102864859117</v>
      </c>
      <c r="D2336">
        <v>0.91068450706000004</v>
      </c>
      <c r="E2336">
        <v>8.1439280359820092</v>
      </c>
    </row>
    <row r="2337" spans="1:5">
      <c r="A2337" t="s">
        <v>2740</v>
      </c>
      <c r="B2337" t="s">
        <v>2742</v>
      </c>
      <c r="C2337">
        <v>0</v>
      </c>
      <c r="D2337">
        <v>0.91068450706000004</v>
      </c>
      <c r="E2337">
        <v>8.1439280359820092</v>
      </c>
    </row>
    <row r="2338" spans="1:5">
      <c r="A2338" t="s">
        <v>2740</v>
      </c>
      <c r="B2338" t="s">
        <v>2743</v>
      </c>
      <c r="C2338">
        <v>0</v>
      </c>
      <c r="D2338">
        <v>0.91068450706000004</v>
      </c>
      <c r="E2338">
        <v>8.1439280359820092</v>
      </c>
    </row>
    <row r="2339" spans="1:5">
      <c r="A2339" t="s">
        <v>2740</v>
      </c>
      <c r="B2339" t="s">
        <v>2744</v>
      </c>
      <c r="C2339">
        <v>0</v>
      </c>
      <c r="D2339">
        <v>0.91068450706000004</v>
      </c>
      <c r="E2339">
        <v>8.1439280359820092</v>
      </c>
    </row>
    <row r="2340" spans="1:5">
      <c r="A2340" t="s">
        <v>2740</v>
      </c>
      <c r="B2340" t="s">
        <v>2745</v>
      </c>
      <c r="C2340">
        <f>0</f>
        <v>0</v>
      </c>
      <c r="D2340">
        <v>0.91068450706000004</v>
      </c>
      <c r="E2340">
        <v>8.1439280359820092</v>
      </c>
    </row>
    <row r="2341" spans="1:5">
      <c r="A2341" t="s">
        <v>2740</v>
      </c>
      <c r="B2341" t="s">
        <v>2746</v>
      </c>
      <c r="C2341">
        <v>0</v>
      </c>
      <c r="D2341">
        <v>0.91068450706000004</v>
      </c>
      <c r="E2341">
        <v>8.1439280359820092</v>
      </c>
    </row>
    <row r="2342" spans="1:5">
      <c r="A2342" t="s">
        <v>2740</v>
      </c>
      <c r="B2342" t="s">
        <v>2747</v>
      </c>
      <c r="C2342">
        <f>0</f>
        <v>0</v>
      </c>
      <c r="D2342">
        <v>0.91068450706000004</v>
      </c>
      <c r="E2342">
        <v>8.1439280359820092</v>
      </c>
    </row>
    <row r="2343" spans="1:5">
      <c r="A2343" t="s">
        <v>2740</v>
      </c>
      <c r="B2343" t="s">
        <v>2748</v>
      </c>
      <c r="C2343">
        <v>0</v>
      </c>
      <c r="D2343">
        <v>0.91068450706000004</v>
      </c>
      <c r="E2343">
        <v>8.1439280359820092</v>
      </c>
    </row>
    <row r="2344" spans="1:5">
      <c r="A2344" t="s">
        <v>2749</v>
      </c>
      <c r="B2344" t="s">
        <v>2750</v>
      </c>
      <c r="C2344">
        <v>0</v>
      </c>
      <c r="D2344" t="s">
        <v>106</v>
      </c>
      <c r="E2344">
        <v>17.511244377811</v>
      </c>
    </row>
    <row r="2345" spans="1:5">
      <c r="A2345" t="s">
        <v>2749</v>
      </c>
      <c r="B2345" t="s">
        <v>2751</v>
      </c>
      <c r="C2345">
        <v>0</v>
      </c>
      <c r="D2345" t="s">
        <v>106</v>
      </c>
      <c r="E2345">
        <v>17.511244377811</v>
      </c>
    </row>
    <row r="2346" spans="1:5">
      <c r="A2346" t="s">
        <v>2752</v>
      </c>
      <c r="B2346" t="s">
        <v>2753</v>
      </c>
      <c r="C2346">
        <f>0</f>
        <v>0</v>
      </c>
      <c r="D2346">
        <v>0.786842860363</v>
      </c>
      <c r="E2346">
        <v>19.4182908545727</v>
      </c>
    </row>
    <row r="2347" spans="1:5">
      <c r="A2347" t="s">
        <v>2752</v>
      </c>
      <c r="B2347" t="s">
        <v>2754</v>
      </c>
      <c r="C2347">
        <f>0</f>
        <v>0</v>
      </c>
      <c r="D2347">
        <v>0.786842860363</v>
      </c>
      <c r="E2347">
        <v>19.4182908545727</v>
      </c>
    </row>
    <row r="2348" spans="1:5">
      <c r="A2348" t="s">
        <v>2752</v>
      </c>
      <c r="B2348" t="s">
        <v>2755</v>
      </c>
      <c r="C2348">
        <v>0</v>
      </c>
      <c r="D2348">
        <v>0.786842860363</v>
      </c>
      <c r="E2348">
        <v>19.4182908545727</v>
      </c>
    </row>
    <row r="2349" spans="1:5">
      <c r="A2349" t="s">
        <v>2752</v>
      </c>
      <c r="B2349" t="s">
        <v>2756</v>
      </c>
      <c r="C2349">
        <v>0</v>
      </c>
      <c r="D2349">
        <v>0.786842860363</v>
      </c>
      <c r="E2349">
        <v>19.4182908545727</v>
      </c>
    </row>
    <row r="2350" spans="1:5">
      <c r="A2350" t="s">
        <v>2752</v>
      </c>
      <c r="B2350" t="s">
        <v>2757</v>
      </c>
      <c r="C2350">
        <v>0</v>
      </c>
      <c r="D2350">
        <v>0.786842860363</v>
      </c>
      <c r="E2350">
        <v>19.4182908545727</v>
      </c>
    </row>
    <row r="2351" spans="1:5">
      <c r="A2351" t="s">
        <v>2752</v>
      </c>
      <c r="B2351" t="s">
        <v>2758</v>
      </c>
      <c r="C2351">
        <f>0.0196278031548</f>
        <v>1.9627803154799998E-2</v>
      </c>
      <c r="D2351">
        <v>0.786842860363</v>
      </c>
      <c r="E2351">
        <v>19.4182908545727</v>
      </c>
    </row>
    <row r="2352" spans="1:5">
      <c r="A2352" t="s">
        <v>2752</v>
      </c>
      <c r="B2352" t="s">
        <v>2759</v>
      </c>
      <c r="C2352">
        <f>0</f>
        <v>0</v>
      </c>
      <c r="D2352">
        <v>0.786842860363</v>
      </c>
      <c r="E2352">
        <v>19.4182908545727</v>
      </c>
    </row>
    <row r="2353" spans="1:5">
      <c r="A2353" t="s">
        <v>2760</v>
      </c>
      <c r="B2353" t="s">
        <v>2761</v>
      </c>
      <c r="C2353">
        <f>0.00539061067933</f>
        <v>5.3906106793299999E-3</v>
      </c>
      <c r="D2353">
        <v>0.98478642490900004</v>
      </c>
      <c r="E2353">
        <v>7.5922038980509701</v>
      </c>
    </row>
    <row r="2354" spans="1:5">
      <c r="A2354" t="s">
        <v>2760</v>
      </c>
      <c r="B2354" t="s">
        <v>2762</v>
      </c>
      <c r="C2354">
        <f>0</f>
        <v>0</v>
      </c>
      <c r="D2354">
        <v>0.98478642490900004</v>
      </c>
      <c r="E2354">
        <v>7.5922038980509701</v>
      </c>
    </row>
    <row r="2355" spans="1:5">
      <c r="A2355" t="s">
        <v>2760</v>
      </c>
      <c r="B2355" t="s">
        <v>2763</v>
      </c>
      <c r="C2355">
        <v>0</v>
      </c>
      <c r="D2355">
        <v>0.98478642490900004</v>
      </c>
      <c r="E2355">
        <v>7.5922038980509701</v>
      </c>
    </row>
    <row r="2356" spans="1:5">
      <c r="A2356" t="s">
        <v>2760</v>
      </c>
      <c r="B2356" t="s">
        <v>2764</v>
      </c>
      <c r="C2356">
        <f>0</f>
        <v>0</v>
      </c>
      <c r="D2356">
        <v>0.98478642490900004</v>
      </c>
      <c r="E2356">
        <v>7.5922038980509701</v>
      </c>
    </row>
    <row r="2357" spans="1:5">
      <c r="A2357" t="s">
        <v>2760</v>
      </c>
      <c r="B2357" t="s">
        <v>2765</v>
      </c>
      <c r="C2357">
        <v>0</v>
      </c>
      <c r="D2357">
        <v>0.98478642490900004</v>
      </c>
      <c r="E2357">
        <v>7.5922038980509701</v>
      </c>
    </row>
    <row r="2358" spans="1:5">
      <c r="A2358" t="s">
        <v>2760</v>
      </c>
      <c r="B2358" t="s">
        <v>2766</v>
      </c>
      <c r="C2358">
        <f>0</f>
        <v>0</v>
      </c>
      <c r="D2358">
        <v>0.98478642490900004</v>
      </c>
      <c r="E2358">
        <v>7.5922038980509701</v>
      </c>
    </row>
    <row r="2359" spans="1:5">
      <c r="A2359" t="s">
        <v>2760</v>
      </c>
      <c r="B2359" t="s">
        <v>2767</v>
      </c>
      <c r="C2359">
        <f>0.0183483146557</f>
        <v>1.8348314655699999E-2</v>
      </c>
      <c r="D2359">
        <v>0.98478642490900004</v>
      </c>
      <c r="E2359">
        <v>7.5922038980509701</v>
      </c>
    </row>
    <row r="2360" spans="1:5">
      <c r="A2360" t="s">
        <v>2768</v>
      </c>
      <c r="B2360" t="s">
        <v>2769</v>
      </c>
      <c r="C2360">
        <v>0</v>
      </c>
      <c r="D2360">
        <v>0.88943372074000004</v>
      </c>
      <c r="E2360">
        <v>6.0569715142428704</v>
      </c>
    </row>
    <row r="2361" spans="1:5">
      <c r="A2361" t="s">
        <v>2768</v>
      </c>
      <c r="B2361" t="s">
        <v>2770</v>
      </c>
      <c r="C2361">
        <v>0</v>
      </c>
      <c r="D2361">
        <v>0.88943372074000004</v>
      </c>
      <c r="E2361">
        <v>6.0569715142428704</v>
      </c>
    </row>
    <row r="2362" spans="1:5">
      <c r="A2362" t="s">
        <v>2768</v>
      </c>
      <c r="B2362" t="s">
        <v>2771</v>
      </c>
      <c r="C2362">
        <f>0</f>
        <v>0</v>
      </c>
      <c r="D2362">
        <v>0.88943372074000004</v>
      </c>
      <c r="E2362">
        <v>6.0569715142428704</v>
      </c>
    </row>
    <row r="2363" spans="1:5">
      <c r="A2363" t="s">
        <v>2772</v>
      </c>
      <c r="B2363" t="s">
        <v>2773</v>
      </c>
      <c r="C2363">
        <v>0</v>
      </c>
      <c r="D2363">
        <v>0.64736210830399998</v>
      </c>
      <c r="E2363">
        <v>11.0344827586206</v>
      </c>
    </row>
    <row r="2364" spans="1:5">
      <c r="A2364" t="s">
        <v>2772</v>
      </c>
      <c r="B2364" t="s">
        <v>2774</v>
      </c>
      <c r="C2364">
        <f>0</f>
        <v>0</v>
      </c>
      <c r="D2364">
        <v>0.64736210830399998</v>
      </c>
      <c r="E2364">
        <v>11.0344827586206</v>
      </c>
    </row>
    <row r="2365" spans="1:5">
      <c r="A2365" t="s">
        <v>2772</v>
      </c>
      <c r="B2365" t="s">
        <v>2775</v>
      </c>
      <c r="C2365">
        <f>0</f>
        <v>0</v>
      </c>
      <c r="D2365">
        <v>0.64736210830399998</v>
      </c>
      <c r="E2365">
        <v>11.0344827586206</v>
      </c>
    </row>
    <row r="2366" spans="1:5">
      <c r="A2366" t="s">
        <v>2772</v>
      </c>
      <c r="B2366" t="s">
        <v>2776</v>
      </c>
      <c r="C2366">
        <f>0</f>
        <v>0</v>
      </c>
      <c r="D2366">
        <v>0.64736210830399998</v>
      </c>
      <c r="E2366">
        <v>11.0344827586206</v>
      </c>
    </row>
    <row r="2367" spans="1:5">
      <c r="A2367" t="s">
        <v>2772</v>
      </c>
      <c r="B2367" t="s">
        <v>2777</v>
      </c>
      <c r="C2367">
        <v>0</v>
      </c>
      <c r="D2367">
        <v>0.64736210830399998</v>
      </c>
      <c r="E2367">
        <v>11.0344827586206</v>
      </c>
    </row>
    <row r="2368" spans="1:5">
      <c r="A2368" t="s">
        <v>2772</v>
      </c>
      <c r="B2368" t="s">
        <v>2778</v>
      </c>
      <c r="C2368">
        <v>0</v>
      </c>
      <c r="D2368">
        <v>0.64736210830399998</v>
      </c>
      <c r="E2368">
        <v>11.0344827586206</v>
      </c>
    </row>
    <row r="2369" spans="1:5">
      <c r="A2369" t="s">
        <v>2772</v>
      </c>
      <c r="B2369" t="s">
        <v>2779</v>
      </c>
      <c r="C2369">
        <v>0</v>
      </c>
      <c r="D2369">
        <v>0.64736210830399998</v>
      </c>
      <c r="E2369">
        <v>11.0344827586206</v>
      </c>
    </row>
    <row r="2370" spans="1:5">
      <c r="A2370" t="s">
        <v>2772</v>
      </c>
      <c r="B2370" t="s">
        <v>2780</v>
      </c>
      <c r="C2370">
        <v>0</v>
      </c>
      <c r="D2370">
        <v>0.64736210830399998</v>
      </c>
      <c r="E2370">
        <v>11.0344827586206</v>
      </c>
    </row>
    <row r="2371" spans="1:5">
      <c r="A2371" t="s">
        <v>2772</v>
      </c>
      <c r="B2371" t="s">
        <v>2781</v>
      </c>
      <c r="C2371">
        <v>0</v>
      </c>
      <c r="D2371">
        <v>0.64736210830399998</v>
      </c>
      <c r="E2371">
        <v>11.0344827586206</v>
      </c>
    </row>
    <row r="2372" spans="1:5">
      <c r="A2372" t="s">
        <v>2772</v>
      </c>
      <c r="B2372" t="s">
        <v>2782</v>
      </c>
      <c r="C2372">
        <v>3.7526443222699997E-2</v>
      </c>
      <c r="D2372">
        <v>0.64736210830399998</v>
      </c>
      <c r="E2372">
        <v>11.0344827586206</v>
      </c>
    </row>
    <row r="2373" spans="1:5">
      <c r="A2373" t="s">
        <v>2772</v>
      </c>
      <c r="B2373" t="s">
        <v>2783</v>
      </c>
      <c r="C2373">
        <v>0</v>
      </c>
      <c r="D2373">
        <v>0.64736210830399998</v>
      </c>
      <c r="E2373">
        <v>11.0344827586206</v>
      </c>
    </row>
    <row r="2374" spans="1:5">
      <c r="A2374" t="s">
        <v>2784</v>
      </c>
      <c r="B2374" t="s">
        <v>2785</v>
      </c>
      <c r="C2374">
        <v>0</v>
      </c>
      <c r="D2374">
        <v>0.79087865116900002</v>
      </c>
      <c r="E2374">
        <v>4.1739130434782599</v>
      </c>
    </row>
    <row r="2375" spans="1:5">
      <c r="A2375" t="s">
        <v>2784</v>
      </c>
      <c r="B2375" t="s">
        <v>2786</v>
      </c>
      <c r="C2375">
        <v>0.10095573775400001</v>
      </c>
      <c r="D2375">
        <v>0.79087865116900002</v>
      </c>
      <c r="E2375">
        <v>4.1739130434782599</v>
      </c>
    </row>
    <row r="2376" spans="1:5">
      <c r="A2376" t="s">
        <v>2784</v>
      </c>
      <c r="B2376" t="s">
        <v>2787</v>
      </c>
      <c r="C2376">
        <f>0.0155153878656</f>
        <v>1.55153878656E-2</v>
      </c>
      <c r="D2376">
        <v>0.79087865116900002</v>
      </c>
      <c r="E2376">
        <v>4.1739130434782599</v>
      </c>
    </row>
    <row r="2377" spans="1:5">
      <c r="A2377" t="s">
        <v>2788</v>
      </c>
      <c r="B2377" t="s">
        <v>2789</v>
      </c>
      <c r="C2377">
        <f>0</f>
        <v>0</v>
      </c>
      <c r="D2377">
        <v>0.70326949827100005</v>
      </c>
      <c r="E2377">
        <v>24</v>
      </c>
    </row>
    <row r="2378" spans="1:5">
      <c r="A2378" t="s">
        <v>2788</v>
      </c>
      <c r="B2378" t="s">
        <v>2790</v>
      </c>
      <c r="C2378">
        <f>0</f>
        <v>0</v>
      </c>
      <c r="D2378">
        <v>0.70326949827100005</v>
      </c>
      <c r="E2378">
        <v>24</v>
      </c>
    </row>
    <row r="2379" spans="1:5">
      <c r="A2379" t="s">
        <v>2788</v>
      </c>
      <c r="B2379" t="s">
        <v>2791</v>
      </c>
      <c r="C2379">
        <v>0</v>
      </c>
      <c r="D2379">
        <v>0.70326949827100005</v>
      </c>
      <c r="E2379">
        <v>24</v>
      </c>
    </row>
    <row r="2380" spans="1:5">
      <c r="A2380" t="s">
        <v>2788</v>
      </c>
      <c r="B2380" t="s">
        <v>2792</v>
      </c>
      <c r="C2380">
        <v>0</v>
      </c>
      <c r="D2380">
        <v>0.70326949827100005</v>
      </c>
      <c r="E2380">
        <v>24</v>
      </c>
    </row>
    <row r="2381" spans="1:5">
      <c r="A2381" t="s">
        <v>2788</v>
      </c>
      <c r="B2381" t="s">
        <v>2793</v>
      </c>
      <c r="C2381">
        <v>2.2881260748499999E-2</v>
      </c>
      <c r="D2381">
        <v>0.70326949827100005</v>
      </c>
      <c r="E2381">
        <v>24</v>
      </c>
    </row>
    <row r="2382" spans="1:5">
      <c r="A2382" t="s">
        <v>2788</v>
      </c>
      <c r="B2382" t="s">
        <v>2794</v>
      </c>
      <c r="C2382">
        <f>0</f>
        <v>0</v>
      </c>
      <c r="D2382">
        <v>0.70326949827100005</v>
      </c>
      <c r="E2382">
        <v>24</v>
      </c>
    </row>
    <row r="2383" spans="1:5">
      <c r="A2383" t="s">
        <v>2788</v>
      </c>
      <c r="B2383" t="s">
        <v>2795</v>
      </c>
      <c r="C2383">
        <v>0</v>
      </c>
      <c r="D2383">
        <v>0.70326949827100005</v>
      </c>
      <c r="E2383">
        <v>24</v>
      </c>
    </row>
    <row r="2384" spans="1:5">
      <c r="A2384" t="s">
        <v>2788</v>
      </c>
      <c r="B2384" t="s">
        <v>2796</v>
      </c>
      <c r="C2384">
        <v>0</v>
      </c>
      <c r="D2384">
        <v>0.70326949827100005</v>
      </c>
      <c r="E2384">
        <v>24</v>
      </c>
    </row>
    <row r="2385" spans="1:5">
      <c r="A2385" t="s">
        <v>2788</v>
      </c>
      <c r="B2385" t="s">
        <v>2797</v>
      </c>
      <c r="C2385">
        <v>0</v>
      </c>
      <c r="D2385">
        <v>0.70326949827100005</v>
      </c>
      <c r="E2385">
        <v>24</v>
      </c>
    </row>
    <row r="2386" spans="1:5">
      <c r="A2386" t="s">
        <v>2788</v>
      </c>
      <c r="B2386" t="s">
        <v>2798</v>
      </c>
      <c r="C2386">
        <f>0.0848059390553</f>
        <v>8.4805939055299998E-2</v>
      </c>
      <c r="D2386">
        <v>0.70326949827100005</v>
      </c>
      <c r="E2386">
        <v>24</v>
      </c>
    </row>
    <row r="2387" spans="1:5">
      <c r="A2387" t="s">
        <v>2788</v>
      </c>
      <c r="B2387" t="s">
        <v>2799</v>
      </c>
      <c r="C2387">
        <f>0</f>
        <v>0</v>
      </c>
      <c r="D2387">
        <v>0.70326949827100005</v>
      </c>
      <c r="E2387">
        <v>24</v>
      </c>
    </row>
    <row r="2388" spans="1:5">
      <c r="A2388" t="s">
        <v>2788</v>
      </c>
      <c r="B2388" t="s">
        <v>2800</v>
      </c>
      <c r="C2388">
        <f>0</f>
        <v>0</v>
      </c>
      <c r="D2388">
        <v>0.70326949827100005</v>
      </c>
      <c r="E2388">
        <v>24</v>
      </c>
    </row>
    <row r="2389" spans="1:5">
      <c r="A2389" t="s">
        <v>2801</v>
      </c>
      <c r="B2389" t="s">
        <v>2802</v>
      </c>
      <c r="C2389">
        <v>0.26918540129399998</v>
      </c>
      <c r="D2389">
        <v>0.83438348455599998</v>
      </c>
      <c r="E2389">
        <v>13.625187406296799</v>
      </c>
    </row>
    <row r="2390" spans="1:5">
      <c r="A2390" t="s">
        <v>2801</v>
      </c>
      <c r="B2390" t="s">
        <v>2803</v>
      </c>
      <c r="C2390">
        <v>0</v>
      </c>
      <c r="D2390">
        <v>0.83438348455599998</v>
      </c>
      <c r="E2390">
        <v>13.625187406296799</v>
      </c>
    </row>
    <row r="2391" spans="1:5">
      <c r="A2391" t="s">
        <v>2804</v>
      </c>
      <c r="B2391" t="s">
        <v>2805</v>
      </c>
      <c r="C2391">
        <f>0</f>
        <v>0</v>
      </c>
      <c r="D2391" t="s">
        <v>106</v>
      </c>
      <c r="E2391">
        <v>9.9190404797601204</v>
      </c>
    </row>
    <row r="2392" spans="1:5">
      <c r="A2392" t="s">
        <v>2804</v>
      </c>
      <c r="B2392" t="s">
        <v>2806</v>
      </c>
      <c r="C2392">
        <f>0</f>
        <v>0</v>
      </c>
      <c r="D2392" t="s">
        <v>106</v>
      </c>
      <c r="E2392">
        <v>9.9190404797601204</v>
      </c>
    </row>
    <row r="2393" spans="1:5">
      <c r="A2393" t="s">
        <v>2804</v>
      </c>
      <c r="B2393" t="s">
        <v>2807</v>
      </c>
      <c r="C2393">
        <v>0</v>
      </c>
      <c r="D2393" t="s">
        <v>106</v>
      </c>
      <c r="E2393">
        <v>9.9190404797601204</v>
      </c>
    </row>
    <row r="2394" spans="1:5">
      <c r="A2394" t="s">
        <v>2804</v>
      </c>
      <c r="B2394" t="s">
        <v>2808</v>
      </c>
      <c r="C2394">
        <f>0</f>
        <v>0</v>
      </c>
      <c r="D2394" t="s">
        <v>106</v>
      </c>
      <c r="E2394">
        <v>9.9190404797601204</v>
      </c>
    </row>
    <row r="2395" spans="1:5">
      <c r="A2395" t="s">
        <v>2804</v>
      </c>
      <c r="B2395" t="s">
        <v>2809</v>
      </c>
      <c r="C2395">
        <f>0</f>
        <v>0</v>
      </c>
      <c r="D2395" t="s">
        <v>106</v>
      </c>
      <c r="E2395">
        <v>9.9190404797601204</v>
      </c>
    </row>
    <row r="2396" spans="1:5">
      <c r="A2396" t="s">
        <v>2810</v>
      </c>
      <c r="B2396" t="s">
        <v>2811</v>
      </c>
      <c r="C2396">
        <v>5.9540241031600001E-2</v>
      </c>
      <c r="D2396">
        <v>0.99753440468700005</v>
      </c>
      <c r="E2396">
        <v>4.58170914542728</v>
      </c>
    </row>
    <row r="2397" spans="1:5">
      <c r="A2397" t="s">
        <v>2810</v>
      </c>
      <c r="B2397" t="s">
        <v>2812</v>
      </c>
      <c r="C2397">
        <v>9.0469537995999993E-2</v>
      </c>
      <c r="D2397">
        <v>0.99753440468700005</v>
      </c>
      <c r="E2397">
        <v>4.58170914542728</v>
      </c>
    </row>
    <row r="2398" spans="1:5">
      <c r="A2398" t="s">
        <v>2810</v>
      </c>
      <c r="B2398" t="s">
        <v>2813</v>
      </c>
      <c r="C2398">
        <f>0</f>
        <v>0</v>
      </c>
      <c r="D2398">
        <v>0.99753440468700005</v>
      </c>
      <c r="E2398">
        <v>4.58170914542728</v>
      </c>
    </row>
    <row r="2399" spans="1:5">
      <c r="A2399" t="s">
        <v>2810</v>
      </c>
      <c r="B2399" t="s">
        <v>2814</v>
      </c>
      <c r="C2399">
        <f>0</f>
        <v>0</v>
      </c>
      <c r="D2399">
        <v>0.99753440468700005</v>
      </c>
      <c r="E2399">
        <v>4.58170914542728</v>
      </c>
    </row>
    <row r="2400" spans="1:5">
      <c r="A2400" t="s">
        <v>2810</v>
      </c>
      <c r="B2400" t="s">
        <v>2815</v>
      </c>
      <c r="C2400">
        <v>0</v>
      </c>
      <c r="D2400">
        <v>0.99753440468700005</v>
      </c>
      <c r="E2400">
        <v>4.58170914542728</v>
      </c>
    </row>
    <row r="2401" spans="1:5">
      <c r="A2401" t="s">
        <v>2816</v>
      </c>
      <c r="B2401" t="s">
        <v>2817</v>
      </c>
      <c r="C2401">
        <f>0</f>
        <v>0</v>
      </c>
      <c r="D2401" t="s">
        <v>106</v>
      </c>
      <c r="E2401">
        <v>24</v>
      </c>
    </row>
    <row r="2402" spans="1:5">
      <c r="A2402" t="s">
        <v>2816</v>
      </c>
      <c r="B2402" t="s">
        <v>2818</v>
      </c>
      <c r="C2402">
        <f>0.0565087588985</f>
        <v>5.6508758898500003E-2</v>
      </c>
      <c r="D2402" t="s">
        <v>106</v>
      </c>
      <c r="E2402">
        <v>24</v>
      </c>
    </row>
    <row r="2403" spans="1:5">
      <c r="A2403" t="s">
        <v>2816</v>
      </c>
      <c r="B2403" t="s">
        <v>2819</v>
      </c>
      <c r="C2403">
        <v>0</v>
      </c>
      <c r="D2403" t="s">
        <v>106</v>
      </c>
      <c r="E2403">
        <v>24</v>
      </c>
    </row>
    <row r="2404" spans="1:5">
      <c r="A2404" t="s">
        <v>2816</v>
      </c>
      <c r="B2404" t="s">
        <v>2820</v>
      </c>
      <c r="C2404">
        <f>0</f>
        <v>0</v>
      </c>
      <c r="D2404" t="s">
        <v>106</v>
      </c>
      <c r="E2404">
        <v>24</v>
      </c>
    </row>
    <row r="2405" spans="1:5">
      <c r="A2405" t="s">
        <v>2816</v>
      </c>
      <c r="B2405" t="s">
        <v>2821</v>
      </c>
      <c r="C2405">
        <f>0</f>
        <v>0</v>
      </c>
      <c r="D2405" t="s">
        <v>106</v>
      </c>
      <c r="E2405">
        <v>24</v>
      </c>
    </row>
    <row r="2406" spans="1:5">
      <c r="A2406" t="s">
        <v>2816</v>
      </c>
      <c r="B2406" t="s">
        <v>2822</v>
      </c>
      <c r="C2406">
        <f>0</f>
        <v>0</v>
      </c>
      <c r="D2406" t="s">
        <v>106</v>
      </c>
      <c r="E2406">
        <v>24</v>
      </c>
    </row>
    <row r="2407" spans="1:5">
      <c r="A2407" t="s">
        <v>2816</v>
      </c>
      <c r="B2407" t="s">
        <v>2823</v>
      </c>
      <c r="C2407">
        <f>0</f>
        <v>0</v>
      </c>
      <c r="D2407" t="s">
        <v>106</v>
      </c>
      <c r="E2407">
        <v>24</v>
      </c>
    </row>
    <row r="2408" spans="1:5">
      <c r="A2408" t="s">
        <v>2816</v>
      </c>
      <c r="B2408" t="s">
        <v>2824</v>
      </c>
      <c r="C2408">
        <f>0.0404904431213</f>
        <v>4.0490443121299999E-2</v>
      </c>
      <c r="D2408" t="s">
        <v>106</v>
      </c>
      <c r="E2408">
        <v>24</v>
      </c>
    </row>
    <row r="2409" spans="1:5">
      <c r="A2409" t="s">
        <v>2816</v>
      </c>
      <c r="B2409" t="s">
        <v>2825</v>
      </c>
      <c r="C2409">
        <f>0</f>
        <v>0</v>
      </c>
      <c r="D2409" t="s">
        <v>106</v>
      </c>
      <c r="E2409">
        <v>24</v>
      </c>
    </row>
    <row r="2410" spans="1:5">
      <c r="A2410" t="s">
        <v>2816</v>
      </c>
      <c r="B2410" t="s">
        <v>2826</v>
      </c>
      <c r="C2410">
        <f>0</f>
        <v>0</v>
      </c>
      <c r="D2410" t="s">
        <v>106</v>
      </c>
      <c r="E2410">
        <v>24</v>
      </c>
    </row>
    <row r="2411" spans="1:5">
      <c r="A2411" t="s">
        <v>2816</v>
      </c>
      <c r="B2411" t="s">
        <v>2827</v>
      </c>
      <c r="C2411">
        <f>0</f>
        <v>0</v>
      </c>
      <c r="D2411" t="s">
        <v>106</v>
      </c>
      <c r="E2411">
        <v>24</v>
      </c>
    </row>
    <row r="2412" spans="1:5">
      <c r="A2412" t="s">
        <v>2828</v>
      </c>
      <c r="B2412" t="s">
        <v>2829</v>
      </c>
      <c r="C2412">
        <v>0</v>
      </c>
      <c r="D2412" t="s">
        <v>106</v>
      </c>
      <c r="E2412">
        <v>10.230884557721099</v>
      </c>
    </row>
    <row r="2413" spans="1:5">
      <c r="A2413" t="s">
        <v>2828</v>
      </c>
      <c r="B2413" t="s">
        <v>2830</v>
      </c>
      <c r="C2413">
        <v>0</v>
      </c>
      <c r="D2413" t="s">
        <v>106</v>
      </c>
      <c r="E2413">
        <v>10.230884557721099</v>
      </c>
    </row>
    <row r="2414" spans="1:5">
      <c r="A2414" t="s">
        <v>2828</v>
      </c>
      <c r="B2414" t="s">
        <v>2831</v>
      </c>
      <c r="C2414">
        <f>0</f>
        <v>0</v>
      </c>
      <c r="D2414" t="s">
        <v>106</v>
      </c>
      <c r="E2414">
        <v>10.230884557721099</v>
      </c>
    </row>
    <row r="2415" spans="1:5">
      <c r="A2415" t="s">
        <v>2828</v>
      </c>
      <c r="B2415" t="s">
        <v>2832</v>
      </c>
      <c r="C2415">
        <v>0</v>
      </c>
      <c r="D2415" t="s">
        <v>106</v>
      </c>
      <c r="E2415">
        <v>10.230884557721099</v>
      </c>
    </row>
    <row r="2416" spans="1:5">
      <c r="A2416" t="s">
        <v>2828</v>
      </c>
      <c r="B2416" t="s">
        <v>2833</v>
      </c>
      <c r="C2416">
        <v>0</v>
      </c>
      <c r="D2416" t="s">
        <v>106</v>
      </c>
      <c r="E2416">
        <v>10.230884557721099</v>
      </c>
    </row>
    <row r="2417" spans="1:5">
      <c r="A2417" t="s">
        <v>2828</v>
      </c>
      <c r="B2417" t="s">
        <v>2834</v>
      </c>
      <c r="C2417">
        <v>0</v>
      </c>
      <c r="D2417" t="s">
        <v>106</v>
      </c>
      <c r="E2417">
        <v>10.230884557721099</v>
      </c>
    </row>
    <row r="2418" spans="1:5">
      <c r="A2418" t="s">
        <v>2828</v>
      </c>
      <c r="B2418" t="s">
        <v>2835</v>
      </c>
      <c r="C2418">
        <f>0</f>
        <v>0</v>
      </c>
      <c r="D2418" t="s">
        <v>106</v>
      </c>
      <c r="E2418">
        <v>10.230884557721099</v>
      </c>
    </row>
    <row r="2419" spans="1:5">
      <c r="A2419" t="s">
        <v>2828</v>
      </c>
      <c r="B2419" t="s">
        <v>2836</v>
      </c>
      <c r="C2419">
        <v>0</v>
      </c>
      <c r="D2419" t="s">
        <v>106</v>
      </c>
      <c r="E2419">
        <v>10.230884557721099</v>
      </c>
    </row>
    <row r="2420" spans="1:5">
      <c r="A2420" t="s">
        <v>2828</v>
      </c>
      <c r="B2420" t="s">
        <v>2837</v>
      </c>
      <c r="C2420">
        <v>0</v>
      </c>
      <c r="D2420" t="s">
        <v>106</v>
      </c>
      <c r="E2420">
        <v>10.230884557721099</v>
      </c>
    </row>
    <row r="2421" spans="1:5">
      <c r="A2421" t="s">
        <v>2828</v>
      </c>
      <c r="B2421" t="s">
        <v>2838</v>
      </c>
      <c r="C2421">
        <f>0</f>
        <v>0</v>
      </c>
      <c r="D2421" t="s">
        <v>106</v>
      </c>
      <c r="E2421">
        <v>10.230884557721099</v>
      </c>
    </row>
    <row r="2422" spans="1:5">
      <c r="A2422" t="s">
        <v>2828</v>
      </c>
      <c r="B2422" t="s">
        <v>2839</v>
      </c>
      <c r="C2422">
        <f>0</f>
        <v>0</v>
      </c>
      <c r="D2422" t="s">
        <v>106</v>
      </c>
      <c r="E2422">
        <v>10.230884557721099</v>
      </c>
    </row>
    <row r="2423" spans="1:5">
      <c r="A2423" t="s">
        <v>2828</v>
      </c>
      <c r="B2423" t="s">
        <v>2840</v>
      </c>
      <c r="C2423">
        <f>0</f>
        <v>0</v>
      </c>
      <c r="D2423" t="s">
        <v>106</v>
      </c>
      <c r="E2423">
        <v>10.230884557721099</v>
      </c>
    </row>
    <row r="2424" spans="1:5">
      <c r="A2424" t="s">
        <v>2828</v>
      </c>
      <c r="B2424" t="s">
        <v>2841</v>
      </c>
      <c r="C2424">
        <v>0</v>
      </c>
      <c r="D2424" t="s">
        <v>106</v>
      </c>
      <c r="E2424">
        <v>10.230884557721099</v>
      </c>
    </row>
    <row r="2425" spans="1:5">
      <c r="A2425" t="s">
        <v>2842</v>
      </c>
      <c r="B2425" t="s">
        <v>2843</v>
      </c>
      <c r="C2425">
        <v>0.56330387800000004</v>
      </c>
      <c r="D2425">
        <v>0.98163116084299995</v>
      </c>
      <c r="E2425">
        <v>1.45127436281859</v>
      </c>
    </row>
    <row r="2426" spans="1:5">
      <c r="A2426" t="s">
        <v>2844</v>
      </c>
      <c r="B2426" t="s">
        <v>2845</v>
      </c>
      <c r="C2426">
        <v>0.22035233227000001</v>
      </c>
      <c r="D2426">
        <v>0.81806232743999996</v>
      </c>
      <c r="E2426">
        <v>15.5082458770614</v>
      </c>
    </row>
    <row r="2427" spans="1:5">
      <c r="A2427" t="s">
        <v>2846</v>
      </c>
      <c r="B2427" t="s">
        <v>2847</v>
      </c>
      <c r="C2427">
        <f>0.567936899986</f>
        <v>0.56793689998600005</v>
      </c>
      <c r="D2427">
        <v>0.797766725432</v>
      </c>
      <c r="E2427">
        <v>1.51124437781109</v>
      </c>
    </row>
    <row r="2428" spans="1:5">
      <c r="A2428" t="s">
        <v>2848</v>
      </c>
      <c r="B2428" t="s">
        <v>2849</v>
      </c>
      <c r="C2428">
        <v>0</v>
      </c>
      <c r="D2428">
        <v>0.96689137738999997</v>
      </c>
      <c r="E2428">
        <v>12.2098950524737</v>
      </c>
    </row>
    <row r="2429" spans="1:5">
      <c r="A2429" t="s">
        <v>2848</v>
      </c>
      <c r="B2429" t="s">
        <v>2850</v>
      </c>
      <c r="C2429">
        <v>1.85145204566E-2</v>
      </c>
      <c r="D2429">
        <v>0.96689137738999997</v>
      </c>
      <c r="E2429">
        <v>12.2098950524737</v>
      </c>
    </row>
    <row r="2430" spans="1:5">
      <c r="A2430" t="s">
        <v>2848</v>
      </c>
      <c r="B2430" t="s">
        <v>2851</v>
      </c>
      <c r="C2430">
        <f>0</f>
        <v>0</v>
      </c>
      <c r="D2430">
        <v>0.96689137738999997</v>
      </c>
      <c r="E2430">
        <v>12.2098950524737</v>
      </c>
    </row>
    <row r="2431" spans="1:5">
      <c r="A2431" t="s">
        <v>2848</v>
      </c>
      <c r="B2431" t="s">
        <v>2852</v>
      </c>
      <c r="C2431">
        <v>0.12532334992800001</v>
      </c>
      <c r="D2431">
        <v>0.96689137738999997</v>
      </c>
      <c r="E2431">
        <v>12.2098950524737</v>
      </c>
    </row>
    <row r="2432" spans="1:5">
      <c r="A2432" t="s">
        <v>2848</v>
      </c>
      <c r="B2432" t="s">
        <v>2853</v>
      </c>
      <c r="C2432">
        <v>0</v>
      </c>
      <c r="D2432">
        <v>0.96689137738999997</v>
      </c>
      <c r="E2432">
        <v>12.2098950524737</v>
      </c>
    </row>
    <row r="2433" spans="1:5">
      <c r="A2433" t="s">
        <v>2848</v>
      </c>
      <c r="B2433" t="s">
        <v>2854</v>
      </c>
      <c r="C2433">
        <f>0</f>
        <v>0</v>
      </c>
      <c r="D2433">
        <v>0.96689137738999997</v>
      </c>
      <c r="E2433">
        <v>12.2098950524737</v>
      </c>
    </row>
    <row r="2434" spans="1:5">
      <c r="A2434" t="s">
        <v>2848</v>
      </c>
      <c r="B2434" t="s">
        <v>2855</v>
      </c>
      <c r="C2434">
        <f>0</f>
        <v>0</v>
      </c>
      <c r="D2434">
        <v>0.96689137738999997</v>
      </c>
      <c r="E2434">
        <v>12.2098950524737</v>
      </c>
    </row>
    <row r="2435" spans="1:5">
      <c r="A2435" t="s">
        <v>2848</v>
      </c>
      <c r="B2435" t="s">
        <v>2856</v>
      </c>
      <c r="C2435">
        <f>0</f>
        <v>0</v>
      </c>
      <c r="D2435">
        <v>0.96689137738999997</v>
      </c>
      <c r="E2435">
        <v>12.2098950524737</v>
      </c>
    </row>
    <row r="2436" spans="1:5">
      <c r="A2436" t="s">
        <v>2848</v>
      </c>
      <c r="B2436" t="s">
        <v>2857</v>
      </c>
      <c r="C2436">
        <f>0</f>
        <v>0</v>
      </c>
      <c r="D2436">
        <v>0.96689137738999997</v>
      </c>
      <c r="E2436">
        <v>12.2098950524737</v>
      </c>
    </row>
    <row r="2437" spans="1:5">
      <c r="A2437" t="s">
        <v>2848</v>
      </c>
      <c r="B2437" t="s">
        <v>2858</v>
      </c>
      <c r="C2437">
        <f>0</f>
        <v>0</v>
      </c>
      <c r="D2437">
        <v>0.96689137738999997</v>
      </c>
      <c r="E2437">
        <v>12.2098950524737</v>
      </c>
    </row>
    <row r="2438" spans="1:5">
      <c r="A2438" t="s">
        <v>2859</v>
      </c>
      <c r="B2438" t="s">
        <v>2860</v>
      </c>
      <c r="C2438">
        <v>1.4819442594999999E-2</v>
      </c>
      <c r="D2438">
        <v>0.92609907941699998</v>
      </c>
      <c r="E2438">
        <v>3.68215892053973</v>
      </c>
    </row>
    <row r="2439" spans="1:5">
      <c r="A2439" t="s">
        <v>2859</v>
      </c>
      <c r="B2439" t="s">
        <v>2861</v>
      </c>
      <c r="C2439">
        <v>0.19474449495900001</v>
      </c>
      <c r="D2439">
        <v>0.92609907941699998</v>
      </c>
      <c r="E2439">
        <v>3.68215892053973</v>
      </c>
    </row>
    <row r="2440" spans="1:5">
      <c r="A2440" t="s">
        <v>2859</v>
      </c>
      <c r="B2440" t="s">
        <v>2862</v>
      </c>
      <c r="C2440">
        <f>0</f>
        <v>0</v>
      </c>
      <c r="D2440">
        <v>0.92609907941699998</v>
      </c>
      <c r="E2440">
        <v>3.68215892053973</v>
      </c>
    </row>
    <row r="2441" spans="1:5">
      <c r="A2441" t="s">
        <v>2863</v>
      </c>
      <c r="B2441" t="s">
        <v>2864</v>
      </c>
      <c r="C2441">
        <f>0</f>
        <v>0</v>
      </c>
      <c r="D2441">
        <v>0.86710801126100001</v>
      </c>
      <c r="E2441">
        <v>11.370314842578701</v>
      </c>
    </row>
    <row r="2442" spans="1:5">
      <c r="A2442" t="s">
        <v>2863</v>
      </c>
      <c r="B2442" t="s">
        <v>2865</v>
      </c>
      <c r="C2442">
        <v>0</v>
      </c>
      <c r="D2442">
        <v>0.86710801126100001</v>
      </c>
      <c r="E2442">
        <v>11.370314842578701</v>
      </c>
    </row>
    <row r="2443" spans="1:5">
      <c r="A2443" t="s">
        <v>2863</v>
      </c>
      <c r="B2443" t="s">
        <v>2866</v>
      </c>
      <c r="C2443">
        <v>0</v>
      </c>
      <c r="D2443">
        <v>0.86710801126100001</v>
      </c>
      <c r="E2443">
        <v>11.370314842578701</v>
      </c>
    </row>
    <row r="2444" spans="1:5">
      <c r="A2444" t="s">
        <v>2863</v>
      </c>
      <c r="B2444" t="s">
        <v>2867</v>
      </c>
      <c r="C2444">
        <f>0.181147335996</f>
        <v>0.181147335996</v>
      </c>
      <c r="D2444">
        <v>0.86710801126100001</v>
      </c>
      <c r="E2444">
        <v>11.370314842578701</v>
      </c>
    </row>
    <row r="2445" spans="1:5">
      <c r="A2445" t="s">
        <v>2863</v>
      </c>
      <c r="B2445" t="s">
        <v>2868</v>
      </c>
      <c r="C2445">
        <f>0</f>
        <v>0</v>
      </c>
      <c r="D2445">
        <v>0.86710801126100001</v>
      </c>
      <c r="E2445">
        <v>11.370314842578701</v>
      </c>
    </row>
    <row r="2446" spans="1:5">
      <c r="A2446" t="s">
        <v>2863</v>
      </c>
      <c r="B2446" t="s">
        <v>2869</v>
      </c>
      <c r="C2446">
        <f>0</f>
        <v>0</v>
      </c>
      <c r="D2446">
        <v>0.86710801126100001</v>
      </c>
      <c r="E2446">
        <v>11.370314842578701</v>
      </c>
    </row>
    <row r="2447" spans="1:5">
      <c r="A2447" t="s">
        <v>2863</v>
      </c>
      <c r="B2447" t="s">
        <v>2870</v>
      </c>
      <c r="C2447">
        <v>0</v>
      </c>
      <c r="D2447">
        <v>0.86710801126100001</v>
      </c>
      <c r="E2447">
        <v>11.370314842578701</v>
      </c>
    </row>
    <row r="2448" spans="1:5">
      <c r="A2448" t="s">
        <v>2863</v>
      </c>
      <c r="B2448" t="s">
        <v>2871</v>
      </c>
      <c r="C2448">
        <f>0</f>
        <v>0</v>
      </c>
      <c r="D2448">
        <v>0.86710801126100001</v>
      </c>
      <c r="E2448">
        <v>11.370314842578701</v>
      </c>
    </row>
    <row r="2449" spans="1:5">
      <c r="A2449" t="s">
        <v>2863</v>
      </c>
      <c r="B2449" t="s">
        <v>2872</v>
      </c>
      <c r="C2449">
        <f>0</f>
        <v>0</v>
      </c>
      <c r="D2449">
        <v>0.86710801126100001</v>
      </c>
      <c r="E2449">
        <v>11.370314842578701</v>
      </c>
    </row>
    <row r="2450" spans="1:5">
      <c r="A2450" t="s">
        <v>2873</v>
      </c>
      <c r="B2450" t="s">
        <v>2874</v>
      </c>
      <c r="C2450">
        <v>0.26101084665300001</v>
      </c>
      <c r="D2450" t="s">
        <v>106</v>
      </c>
      <c r="E2450">
        <v>6.9325337331334298</v>
      </c>
    </row>
    <row r="2451" spans="1:5">
      <c r="A2451" t="s">
        <v>2873</v>
      </c>
      <c r="B2451" t="s">
        <v>2875</v>
      </c>
      <c r="C2451">
        <v>7.3937234247799993E-2</v>
      </c>
      <c r="D2451" t="s">
        <v>106</v>
      </c>
      <c r="E2451">
        <v>6.9325337331334298</v>
      </c>
    </row>
    <row r="2452" spans="1:5">
      <c r="A2452" t="s">
        <v>2873</v>
      </c>
      <c r="B2452" t="s">
        <v>2876</v>
      </c>
      <c r="C2452">
        <v>0</v>
      </c>
      <c r="D2452" t="s">
        <v>106</v>
      </c>
      <c r="E2452">
        <v>6.9325337331334298</v>
      </c>
    </row>
    <row r="2453" spans="1:5">
      <c r="A2453" t="s">
        <v>2873</v>
      </c>
      <c r="B2453" t="s">
        <v>2877</v>
      </c>
      <c r="C2453">
        <v>0</v>
      </c>
      <c r="D2453" t="s">
        <v>106</v>
      </c>
      <c r="E2453">
        <v>6.9325337331334298</v>
      </c>
    </row>
    <row r="2454" spans="1:5">
      <c r="A2454" t="s">
        <v>2878</v>
      </c>
      <c r="B2454" t="s">
        <v>2879</v>
      </c>
      <c r="C2454">
        <v>6.4755624948300006E-2</v>
      </c>
      <c r="D2454">
        <v>0.98559985470900002</v>
      </c>
      <c r="E2454">
        <v>10.398800599700101</v>
      </c>
    </row>
    <row r="2455" spans="1:5">
      <c r="A2455" t="s">
        <v>2878</v>
      </c>
      <c r="B2455" t="s">
        <v>2880</v>
      </c>
      <c r="C2455">
        <f>0</f>
        <v>0</v>
      </c>
      <c r="D2455">
        <v>0.98559985470900002</v>
      </c>
      <c r="E2455">
        <v>10.398800599700101</v>
      </c>
    </row>
    <row r="2456" spans="1:5">
      <c r="A2456" t="s">
        <v>2878</v>
      </c>
      <c r="B2456" t="s">
        <v>2881</v>
      </c>
      <c r="C2456">
        <v>0</v>
      </c>
      <c r="D2456">
        <v>0.98559985470900002</v>
      </c>
      <c r="E2456">
        <v>10.398800599700101</v>
      </c>
    </row>
    <row r="2457" spans="1:5">
      <c r="A2457" t="s">
        <v>2878</v>
      </c>
      <c r="B2457" t="s">
        <v>2882</v>
      </c>
      <c r="C2457">
        <v>0.28718190714000003</v>
      </c>
      <c r="D2457">
        <v>0.98559985470900002</v>
      </c>
      <c r="E2457">
        <v>10.398800599700101</v>
      </c>
    </row>
    <row r="2458" spans="1:5">
      <c r="A2458" t="s">
        <v>2883</v>
      </c>
      <c r="B2458" t="s">
        <v>2884</v>
      </c>
      <c r="C2458">
        <f>0.0410949399931</f>
        <v>4.1094939993100002E-2</v>
      </c>
      <c r="D2458">
        <v>0.67875905464499997</v>
      </c>
      <c r="E2458">
        <v>5.9370314842578704</v>
      </c>
    </row>
    <row r="2459" spans="1:5">
      <c r="A2459" t="s">
        <v>2885</v>
      </c>
      <c r="B2459" t="s">
        <v>2886</v>
      </c>
      <c r="C2459">
        <v>7.5877140282199995E-2</v>
      </c>
      <c r="D2459">
        <v>0.98298588487500005</v>
      </c>
      <c r="E2459">
        <v>17.103448275862</v>
      </c>
    </row>
    <row r="2460" spans="1:5">
      <c r="A2460" t="s">
        <v>2885</v>
      </c>
      <c r="B2460" t="s">
        <v>2887</v>
      </c>
      <c r="C2460">
        <f>0</f>
        <v>0</v>
      </c>
      <c r="D2460">
        <v>0.98298588487500005</v>
      </c>
      <c r="E2460">
        <v>17.103448275862</v>
      </c>
    </row>
    <row r="2461" spans="1:5">
      <c r="A2461" t="s">
        <v>2885</v>
      </c>
      <c r="B2461" t="s">
        <v>2888</v>
      </c>
      <c r="C2461">
        <f>0</f>
        <v>0</v>
      </c>
      <c r="D2461">
        <v>0.98298588487500005</v>
      </c>
      <c r="E2461">
        <v>17.103448275862</v>
      </c>
    </row>
    <row r="2462" spans="1:5">
      <c r="A2462" t="s">
        <v>2885</v>
      </c>
      <c r="B2462" t="s">
        <v>2889</v>
      </c>
      <c r="C2462">
        <f>0</f>
        <v>0</v>
      </c>
      <c r="D2462">
        <v>0.98298588487500005</v>
      </c>
      <c r="E2462">
        <v>17.103448275862</v>
      </c>
    </row>
    <row r="2463" spans="1:5">
      <c r="A2463" t="s">
        <v>2885</v>
      </c>
      <c r="B2463" t="s">
        <v>2890</v>
      </c>
      <c r="C2463">
        <f>0</f>
        <v>0</v>
      </c>
      <c r="D2463">
        <v>0.98298588487500005</v>
      </c>
      <c r="E2463">
        <v>17.103448275862</v>
      </c>
    </row>
    <row r="2464" spans="1:5">
      <c r="A2464" t="s">
        <v>2885</v>
      </c>
      <c r="B2464" t="s">
        <v>2891</v>
      </c>
      <c r="C2464">
        <f>0</f>
        <v>0</v>
      </c>
      <c r="D2464">
        <v>0.98298588487500005</v>
      </c>
      <c r="E2464">
        <v>17.103448275862</v>
      </c>
    </row>
    <row r="2465" spans="1:5">
      <c r="A2465" t="s">
        <v>2885</v>
      </c>
      <c r="B2465" t="s">
        <v>2892</v>
      </c>
      <c r="C2465">
        <f>0</f>
        <v>0</v>
      </c>
      <c r="D2465">
        <v>0.98298588487500005</v>
      </c>
      <c r="E2465">
        <v>17.103448275862</v>
      </c>
    </row>
    <row r="2466" spans="1:5">
      <c r="A2466" t="s">
        <v>2885</v>
      </c>
      <c r="B2466" t="s">
        <v>2893</v>
      </c>
      <c r="C2466">
        <f>0.0588424862755</f>
        <v>5.8842486275499997E-2</v>
      </c>
      <c r="D2466">
        <v>0.98298588487500005</v>
      </c>
      <c r="E2466">
        <v>17.103448275862</v>
      </c>
    </row>
    <row r="2467" spans="1:5">
      <c r="A2467" t="s">
        <v>2894</v>
      </c>
      <c r="B2467" t="s">
        <v>2895</v>
      </c>
      <c r="C2467">
        <f>0</f>
        <v>0</v>
      </c>
      <c r="D2467" t="s">
        <v>106</v>
      </c>
      <c r="E2467">
        <v>18.770614692653599</v>
      </c>
    </row>
    <row r="2468" spans="1:5">
      <c r="A2468" t="s">
        <v>2894</v>
      </c>
      <c r="B2468" t="s">
        <v>2896</v>
      </c>
      <c r="C2468">
        <v>0.23016085989000001</v>
      </c>
      <c r="D2468" t="s">
        <v>106</v>
      </c>
      <c r="E2468">
        <v>18.770614692653599</v>
      </c>
    </row>
    <row r="2469" spans="1:5">
      <c r="A2469" t="s">
        <v>2897</v>
      </c>
      <c r="B2469" t="s">
        <v>2898</v>
      </c>
      <c r="C2469">
        <v>0</v>
      </c>
      <c r="D2469">
        <v>0.92806798405500002</v>
      </c>
      <c r="E2469">
        <v>8.1439280359820092</v>
      </c>
    </row>
    <row r="2470" spans="1:5">
      <c r="A2470" t="s">
        <v>2897</v>
      </c>
      <c r="B2470" t="s">
        <v>2899</v>
      </c>
      <c r="C2470">
        <v>0</v>
      </c>
      <c r="D2470">
        <v>0.92806798405500002</v>
      </c>
      <c r="E2470">
        <v>8.1439280359820092</v>
      </c>
    </row>
    <row r="2471" spans="1:5">
      <c r="A2471" t="s">
        <v>2897</v>
      </c>
      <c r="B2471" t="s">
        <v>2900</v>
      </c>
      <c r="C2471">
        <v>0</v>
      </c>
      <c r="D2471">
        <v>0.92806798405500002</v>
      </c>
      <c r="E2471">
        <v>8.1439280359820092</v>
      </c>
    </row>
    <row r="2472" spans="1:5">
      <c r="A2472" t="s">
        <v>2897</v>
      </c>
      <c r="B2472" t="s">
        <v>2901</v>
      </c>
      <c r="C2472">
        <f>0.369654173147</f>
        <v>0.369654173147</v>
      </c>
      <c r="D2472">
        <v>0.92806798405500002</v>
      </c>
      <c r="E2472">
        <v>8.1439280359820092</v>
      </c>
    </row>
    <row r="2473" spans="1:5">
      <c r="A2473" t="s">
        <v>2897</v>
      </c>
      <c r="B2473" t="s">
        <v>2902</v>
      </c>
      <c r="C2473">
        <v>0</v>
      </c>
      <c r="D2473">
        <v>0.92806798405500002</v>
      </c>
      <c r="E2473">
        <v>8.1439280359820092</v>
      </c>
    </row>
    <row r="2474" spans="1:5">
      <c r="A2474" t="s">
        <v>2897</v>
      </c>
      <c r="B2474" t="s">
        <v>2903</v>
      </c>
      <c r="C2474">
        <f>0</f>
        <v>0</v>
      </c>
      <c r="D2474">
        <v>0.92806798405500002</v>
      </c>
      <c r="E2474">
        <v>8.1439280359820092</v>
      </c>
    </row>
    <row r="2475" spans="1:5">
      <c r="A2475" t="s">
        <v>2897</v>
      </c>
      <c r="B2475" t="s">
        <v>2904</v>
      </c>
      <c r="C2475">
        <v>0</v>
      </c>
      <c r="D2475">
        <v>0.92806798405500002</v>
      </c>
      <c r="E2475">
        <v>8.1439280359820092</v>
      </c>
    </row>
    <row r="2476" spans="1:5">
      <c r="A2476" t="s">
        <v>2897</v>
      </c>
      <c r="B2476" t="s">
        <v>2905</v>
      </c>
      <c r="C2476">
        <f>0</f>
        <v>0</v>
      </c>
      <c r="D2476">
        <v>0.92806798405500002</v>
      </c>
      <c r="E2476">
        <v>8.1439280359820092</v>
      </c>
    </row>
    <row r="2477" spans="1:5">
      <c r="A2477" t="s">
        <v>2906</v>
      </c>
      <c r="B2477" t="s">
        <v>2907</v>
      </c>
      <c r="C2477">
        <v>4.66033719336E-2</v>
      </c>
      <c r="D2477">
        <v>0.92263148739800005</v>
      </c>
      <c r="E2477">
        <v>4.58170914542728</v>
      </c>
    </row>
    <row r="2478" spans="1:5">
      <c r="A2478" t="s">
        <v>2906</v>
      </c>
      <c r="B2478" t="s">
        <v>2908</v>
      </c>
      <c r="C2478">
        <f>0</f>
        <v>0</v>
      </c>
      <c r="D2478">
        <v>0.92263148739800005</v>
      </c>
      <c r="E2478">
        <v>4.58170914542728</v>
      </c>
    </row>
    <row r="2479" spans="1:5">
      <c r="A2479" t="s">
        <v>2909</v>
      </c>
      <c r="B2479" t="s">
        <v>2910</v>
      </c>
      <c r="C2479">
        <f>0</f>
        <v>0</v>
      </c>
      <c r="D2479">
        <v>0.87979613905300003</v>
      </c>
      <c r="E2479">
        <v>14.5487256371814</v>
      </c>
    </row>
    <row r="2480" spans="1:5">
      <c r="A2480" t="s">
        <v>2909</v>
      </c>
      <c r="B2480" t="s">
        <v>2911</v>
      </c>
      <c r="C2480">
        <v>0</v>
      </c>
      <c r="D2480">
        <v>0.87979613905300003</v>
      </c>
      <c r="E2480">
        <v>14.5487256371814</v>
      </c>
    </row>
    <row r="2481" spans="1:5">
      <c r="A2481" t="s">
        <v>2909</v>
      </c>
      <c r="B2481" t="s">
        <v>2912</v>
      </c>
      <c r="C2481">
        <f>0</f>
        <v>0</v>
      </c>
      <c r="D2481">
        <v>0.87979613905300003</v>
      </c>
      <c r="E2481">
        <v>14.5487256371814</v>
      </c>
    </row>
    <row r="2482" spans="1:5">
      <c r="A2482" t="s">
        <v>2909</v>
      </c>
      <c r="B2482" t="s">
        <v>2913</v>
      </c>
      <c r="C2482">
        <v>0.10514515571499999</v>
      </c>
      <c r="D2482">
        <v>0.87979613905300003</v>
      </c>
      <c r="E2482">
        <v>14.5487256371814</v>
      </c>
    </row>
    <row r="2483" spans="1:5">
      <c r="A2483" t="s">
        <v>2909</v>
      </c>
      <c r="B2483" t="s">
        <v>2914</v>
      </c>
      <c r="C2483">
        <f>0</f>
        <v>0</v>
      </c>
      <c r="D2483">
        <v>0.87979613905300003</v>
      </c>
      <c r="E2483">
        <v>14.5487256371814</v>
      </c>
    </row>
    <row r="2484" spans="1:5">
      <c r="A2484" t="s">
        <v>2909</v>
      </c>
      <c r="B2484" t="s">
        <v>2915</v>
      </c>
      <c r="C2484">
        <v>0</v>
      </c>
      <c r="D2484">
        <v>0.87979613905300003</v>
      </c>
      <c r="E2484">
        <v>14.5487256371814</v>
      </c>
    </row>
    <row r="2485" spans="1:5">
      <c r="A2485" t="s">
        <v>2909</v>
      </c>
      <c r="B2485" t="s">
        <v>2916</v>
      </c>
      <c r="C2485">
        <v>0</v>
      </c>
      <c r="D2485">
        <v>0.87979613905300003</v>
      </c>
      <c r="E2485">
        <v>14.5487256371814</v>
      </c>
    </row>
    <row r="2486" spans="1:5">
      <c r="A2486" t="s">
        <v>2909</v>
      </c>
      <c r="B2486" t="s">
        <v>2917</v>
      </c>
      <c r="C2486">
        <v>0</v>
      </c>
      <c r="D2486">
        <v>0.87979613905300003</v>
      </c>
      <c r="E2486">
        <v>14.5487256371814</v>
      </c>
    </row>
    <row r="2487" spans="1:5">
      <c r="A2487" t="s">
        <v>2918</v>
      </c>
      <c r="B2487" t="s">
        <v>2919</v>
      </c>
      <c r="C2487">
        <v>0.26073523148400002</v>
      </c>
      <c r="D2487">
        <v>0.98050617410399998</v>
      </c>
      <c r="E2487">
        <v>11.8740629685157</v>
      </c>
    </row>
    <row r="2488" spans="1:5">
      <c r="A2488" t="s">
        <v>2918</v>
      </c>
      <c r="B2488" t="s">
        <v>2920</v>
      </c>
      <c r="C2488">
        <v>0</v>
      </c>
      <c r="D2488">
        <v>0.98050617410399998</v>
      </c>
      <c r="E2488">
        <v>11.8740629685157</v>
      </c>
    </row>
    <row r="2489" spans="1:5">
      <c r="A2489" t="s">
        <v>2918</v>
      </c>
      <c r="B2489" t="s">
        <v>2921</v>
      </c>
      <c r="C2489">
        <v>0</v>
      </c>
      <c r="D2489">
        <v>0.98050617410399998</v>
      </c>
      <c r="E2489">
        <v>11.8740629685157</v>
      </c>
    </row>
    <row r="2490" spans="1:5">
      <c r="A2490" t="s">
        <v>2918</v>
      </c>
      <c r="B2490" t="s">
        <v>2922</v>
      </c>
      <c r="C2490">
        <v>0.200453056144</v>
      </c>
      <c r="D2490">
        <v>0.98050617410399998</v>
      </c>
      <c r="E2490">
        <v>11.8740629685157</v>
      </c>
    </row>
    <row r="2491" spans="1:5">
      <c r="A2491" t="s">
        <v>2923</v>
      </c>
      <c r="B2491" t="s">
        <v>2924</v>
      </c>
      <c r="C2491">
        <v>0</v>
      </c>
      <c r="D2491">
        <v>0.99479287868300004</v>
      </c>
      <c r="E2491">
        <v>4.68965517241379</v>
      </c>
    </row>
    <row r="2492" spans="1:5">
      <c r="A2492" t="s">
        <v>2925</v>
      </c>
      <c r="B2492" t="s">
        <v>2926</v>
      </c>
      <c r="C2492">
        <f>0</f>
        <v>0</v>
      </c>
      <c r="D2492" t="s">
        <v>106</v>
      </c>
      <c r="E2492">
        <v>8.4317841079460205</v>
      </c>
    </row>
    <row r="2493" spans="1:5">
      <c r="A2493" t="s">
        <v>2925</v>
      </c>
      <c r="B2493" t="s">
        <v>2927</v>
      </c>
      <c r="C2493">
        <f>0</f>
        <v>0</v>
      </c>
      <c r="D2493" t="s">
        <v>106</v>
      </c>
      <c r="E2493">
        <v>8.4317841079460205</v>
      </c>
    </row>
    <row r="2494" spans="1:5">
      <c r="A2494" t="s">
        <v>2925</v>
      </c>
      <c r="B2494" t="s">
        <v>2928</v>
      </c>
      <c r="C2494">
        <v>0</v>
      </c>
      <c r="D2494" t="s">
        <v>106</v>
      </c>
      <c r="E2494">
        <v>8.4317841079460205</v>
      </c>
    </row>
    <row r="2495" spans="1:5">
      <c r="A2495" t="s">
        <v>2925</v>
      </c>
      <c r="B2495" t="s">
        <v>2929</v>
      </c>
      <c r="C2495">
        <f>0</f>
        <v>0</v>
      </c>
      <c r="D2495" t="s">
        <v>106</v>
      </c>
      <c r="E2495">
        <v>8.4317841079460205</v>
      </c>
    </row>
    <row r="2496" spans="1:5">
      <c r="A2496" t="s">
        <v>2925</v>
      </c>
      <c r="B2496" t="s">
        <v>2930</v>
      </c>
      <c r="C2496">
        <v>0</v>
      </c>
      <c r="D2496" t="s">
        <v>106</v>
      </c>
      <c r="E2496">
        <v>8.4317841079460205</v>
      </c>
    </row>
    <row r="2497" spans="1:5">
      <c r="A2497" t="s">
        <v>2925</v>
      </c>
      <c r="B2497" t="s">
        <v>2931</v>
      </c>
      <c r="C2497">
        <f>0</f>
        <v>0</v>
      </c>
      <c r="D2497" t="s">
        <v>106</v>
      </c>
      <c r="E2497">
        <v>8.4317841079460205</v>
      </c>
    </row>
    <row r="2498" spans="1:5">
      <c r="A2498" t="s">
        <v>2925</v>
      </c>
      <c r="B2498" t="s">
        <v>2932</v>
      </c>
      <c r="C2498">
        <f>0</f>
        <v>0</v>
      </c>
      <c r="D2498" t="s">
        <v>106</v>
      </c>
      <c r="E2498">
        <v>8.4317841079460205</v>
      </c>
    </row>
    <row r="2499" spans="1:5">
      <c r="A2499" t="s">
        <v>2925</v>
      </c>
      <c r="B2499" t="s">
        <v>2933</v>
      </c>
      <c r="C2499">
        <f>0</f>
        <v>0</v>
      </c>
      <c r="D2499" t="s">
        <v>106</v>
      </c>
      <c r="E2499">
        <v>8.4317841079460205</v>
      </c>
    </row>
    <row r="2500" spans="1:5">
      <c r="A2500" t="s">
        <v>2925</v>
      </c>
      <c r="B2500" t="s">
        <v>2934</v>
      </c>
      <c r="C2500">
        <f>0</f>
        <v>0</v>
      </c>
      <c r="D2500" t="s">
        <v>106</v>
      </c>
      <c r="E2500">
        <v>8.4317841079460205</v>
      </c>
    </row>
    <row r="2501" spans="1:5">
      <c r="A2501" t="s">
        <v>2925</v>
      </c>
      <c r="B2501" t="s">
        <v>2935</v>
      </c>
      <c r="C2501">
        <f>0</f>
        <v>0</v>
      </c>
      <c r="D2501" t="s">
        <v>106</v>
      </c>
      <c r="E2501">
        <v>8.4317841079460205</v>
      </c>
    </row>
    <row r="2502" spans="1:5">
      <c r="A2502" t="s">
        <v>2936</v>
      </c>
      <c r="B2502" t="s">
        <v>2937</v>
      </c>
      <c r="C2502">
        <v>0.21524623894100001</v>
      </c>
      <c r="D2502">
        <v>0.95938002948000001</v>
      </c>
      <c r="E2502">
        <v>12.3898050974512</v>
      </c>
    </row>
    <row r="2503" spans="1:5">
      <c r="A2503" t="s">
        <v>2936</v>
      </c>
      <c r="B2503" t="s">
        <v>2938</v>
      </c>
      <c r="C2503">
        <v>4.6465546091800002E-2</v>
      </c>
      <c r="D2503">
        <v>0.95938002948000001</v>
      </c>
      <c r="E2503">
        <v>12.3898050974512</v>
      </c>
    </row>
    <row r="2504" spans="1:5">
      <c r="A2504" t="s">
        <v>2939</v>
      </c>
      <c r="B2504" t="s">
        <v>2940</v>
      </c>
      <c r="C2504">
        <v>0.48188360615800002</v>
      </c>
      <c r="D2504">
        <v>0.86400489840700001</v>
      </c>
      <c r="E2504">
        <v>0</v>
      </c>
    </row>
    <row r="2505" spans="1:5">
      <c r="A2505" t="s">
        <v>2941</v>
      </c>
      <c r="B2505" t="s">
        <v>2942</v>
      </c>
      <c r="C2505">
        <f>0</f>
        <v>0</v>
      </c>
      <c r="D2505" t="s">
        <v>106</v>
      </c>
      <c r="E2505">
        <v>2.96251874062968</v>
      </c>
    </row>
    <row r="2506" spans="1:5">
      <c r="A2506" t="s">
        <v>2941</v>
      </c>
      <c r="B2506" t="s">
        <v>2943</v>
      </c>
      <c r="C2506">
        <v>0</v>
      </c>
      <c r="D2506" t="s">
        <v>106</v>
      </c>
      <c r="E2506">
        <v>2.96251874062968</v>
      </c>
    </row>
    <row r="2507" spans="1:5">
      <c r="A2507" t="s">
        <v>2941</v>
      </c>
      <c r="B2507" t="s">
        <v>2944</v>
      </c>
      <c r="C2507">
        <v>0</v>
      </c>
      <c r="D2507" t="s">
        <v>106</v>
      </c>
      <c r="E2507">
        <v>2.96251874062968</v>
      </c>
    </row>
    <row r="2508" spans="1:5">
      <c r="A2508" t="s">
        <v>2941</v>
      </c>
      <c r="B2508" t="s">
        <v>2945</v>
      </c>
      <c r="C2508">
        <f>0</f>
        <v>0</v>
      </c>
      <c r="D2508" t="s">
        <v>106</v>
      </c>
      <c r="E2508">
        <v>2.96251874062968</v>
      </c>
    </row>
    <row r="2509" spans="1:5">
      <c r="A2509" t="s">
        <v>2941</v>
      </c>
      <c r="B2509" t="s">
        <v>2946</v>
      </c>
      <c r="C2509">
        <v>0</v>
      </c>
      <c r="D2509" t="s">
        <v>106</v>
      </c>
      <c r="E2509">
        <v>2.96251874062968</v>
      </c>
    </row>
    <row r="2510" spans="1:5">
      <c r="A2510" t="s">
        <v>2941</v>
      </c>
      <c r="B2510" t="s">
        <v>2947</v>
      </c>
      <c r="C2510">
        <f>0</f>
        <v>0</v>
      </c>
      <c r="D2510" t="s">
        <v>106</v>
      </c>
      <c r="E2510">
        <v>2.96251874062968</v>
      </c>
    </row>
    <row r="2511" spans="1:5">
      <c r="A2511" t="s">
        <v>2948</v>
      </c>
      <c r="B2511" t="s">
        <v>2949</v>
      </c>
      <c r="C2511">
        <v>0.17003190784800001</v>
      </c>
      <c r="D2511">
        <v>0.824437649991</v>
      </c>
      <c r="E2511">
        <v>16.299850074962499</v>
      </c>
    </row>
    <row r="2512" spans="1:5">
      <c r="A2512" t="s">
        <v>2948</v>
      </c>
      <c r="B2512" t="s">
        <v>2950</v>
      </c>
      <c r="C2512">
        <v>0</v>
      </c>
      <c r="D2512">
        <v>0.824437649991</v>
      </c>
      <c r="E2512">
        <v>16.299850074962499</v>
      </c>
    </row>
    <row r="2513" spans="1:5">
      <c r="A2513" t="s">
        <v>2948</v>
      </c>
      <c r="B2513" t="s">
        <v>2951</v>
      </c>
      <c r="C2513">
        <v>0</v>
      </c>
      <c r="D2513">
        <v>0.824437649991</v>
      </c>
      <c r="E2513">
        <v>16.299850074962499</v>
      </c>
    </row>
    <row r="2514" spans="1:5">
      <c r="A2514" t="s">
        <v>2948</v>
      </c>
      <c r="B2514" t="s">
        <v>2952</v>
      </c>
      <c r="C2514">
        <v>0</v>
      </c>
      <c r="D2514">
        <v>0.824437649991</v>
      </c>
      <c r="E2514">
        <v>16.299850074962499</v>
      </c>
    </row>
    <row r="2515" spans="1:5">
      <c r="A2515" t="s">
        <v>2953</v>
      </c>
      <c r="B2515" t="s">
        <v>2954</v>
      </c>
      <c r="C2515">
        <v>4.6534303580300002E-2</v>
      </c>
      <c r="D2515" t="s">
        <v>106</v>
      </c>
      <c r="E2515">
        <v>24</v>
      </c>
    </row>
    <row r="2516" spans="1:5">
      <c r="A2516" t="s">
        <v>2953</v>
      </c>
      <c r="B2516" t="s">
        <v>2955</v>
      </c>
      <c r="C2516">
        <v>0</v>
      </c>
      <c r="D2516" t="s">
        <v>106</v>
      </c>
      <c r="E2516">
        <v>24</v>
      </c>
    </row>
    <row r="2517" spans="1:5">
      <c r="A2517" t="s">
        <v>2953</v>
      </c>
      <c r="B2517" t="s">
        <v>2956</v>
      </c>
      <c r="C2517">
        <f>0.144283364495</f>
        <v>0.14428336449500001</v>
      </c>
      <c r="D2517" t="s">
        <v>106</v>
      </c>
      <c r="E2517">
        <v>24</v>
      </c>
    </row>
    <row r="2518" spans="1:5">
      <c r="A2518" t="s">
        <v>2953</v>
      </c>
      <c r="B2518" t="s">
        <v>2957</v>
      </c>
      <c r="C2518">
        <v>0</v>
      </c>
      <c r="D2518" t="s">
        <v>106</v>
      </c>
      <c r="E2518">
        <v>24</v>
      </c>
    </row>
    <row r="2519" spans="1:5">
      <c r="A2519" t="s">
        <v>2953</v>
      </c>
      <c r="B2519" t="s">
        <v>2958</v>
      </c>
      <c r="C2519">
        <f>0</f>
        <v>0</v>
      </c>
      <c r="D2519" t="s">
        <v>106</v>
      </c>
      <c r="E2519">
        <v>24</v>
      </c>
    </row>
    <row r="2520" spans="1:5">
      <c r="A2520" t="s">
        <v>2953</v>
      </c>
      <c r="B2520" t="s">
        <v>2959</v>
      </c>
      <c r="C2520">
        <f>0</f>
        <v>0</v>
      </c>
      <c r="D2520" t="s">
        <v>106</v>
      </c>
      <c r="E2520">
        <v>24</v>
      </c>
    </row>
    <row r="2521" spans="1:5">
      <c r="A2521" t="s">
        <v>2960</v>
      </c>
      <c r="B2521" t="s">
        <v>2961</v>
      </c>
      <c r="C2521">
        <f>0.0172333813343</f>
        <v>1.72333813343E-2</v>
      </c>
      <c r="D2521" t="s">
        <v>106</v>
      </c>
      <c r="E2521">
        <v>24</v>
      </c>
    </row>
    <row r="2522" spans="1:5">
      <c r="A2522" t="s">
        <v>2960</v>
      </c>
      <c r="B2522" t="s">
        <v>2962</v>
      </c>
      <c r="C2522">
        <f>0</f>
        <v>0</v>
      </c>
      <c r="D2522" t="s">
        <v>106</v>
      </c>
      <c r="E2522">
        <v>24</v>
      </c>
    </row>
    <row r="2523" spans="1:5">
      <c r="A2523" t="s">
        <v>2960</v>
      </c>
      <c r="B2523" t="s">
        <v>2963</v>
      </c>
      <c r="C2523">
        <f>0</f>
        <v>0</v>
      </c>
      <c r="D2523" t="s">
        <v>106</v>
      </c>
      <c r="E2523">
        <v>24</v>
      </c>
    </row>
    <row r="2524" spans="1:5">
      <c r="A2524" t="s">
        <v>2960</v>
      </c>
      <c r="B2524" t="s">
        <v>2964</v>
      </c>
      <c r="C2524">
        <f>0</f>
        <v>0</v>
      </c>
      <c r="D2524" t="s">
        <v>106</v>
      </c>
      <c r="E2524">
        <v>24</v>
      </c>
    </row>
    <row r="2525" spans="1:5">
      <c r="A2525" t="s">
        <v>2965</v>
      </c>
      <c r="B2525" t="s">
        <v>2966</v>
      </c>
      <c r="C2525">
        <v>0</v>
      </c>
      <c r="D2525">
        <v>0.92916816437100003</v>
      </c>
      <c r="E2525">
        <v>4.0659670164917499</v>
      </c>
    </row>
    <row r="2526" spans="1:5">
      <c r="A2526" t="s">
        <v>2965</v>
      </c>
      <c r="B2526" t="s">
        <v>2967</v>
      </c>
      <c r="C2526">
        <v>0</v>
      </c>
      <c r="D2526">
        <v>0.92916816437100003</v>
      </c>
      <c r="E2526">
        <v>4.0659670164917499</v>
      </c>
    </row>
    <row r="2527" spans="1:5">
      <c r="A2527" t="s">
        <v>2965</v>
      </c>
      <c r="B2527" t="s">
        <v>2968</v>
      </c>
      <c r="C2527">
        <f>0</f>
        <v>0</v>
      </c>
      <c r="D2527">
        <v>0.92916816437100003</v>
      </c>
      <c r="E2527">
        <v>4.0659670164917499</v>
      </c>
    </row>
    <row r="2528" spans="1:5">
      <c r="A2528" t="s">
        <v>2965</v>
      </c>
      <c r="B2528" t="s">
        <v>2969</v>
      </c>
      <c r="C2528">
        <v>0.16298344340599999</v>
      </c>
      <c r="D2528">
        <v>0.92916816437100003</v>
      </c>
      <c r="E2528">
        <v>4.0659670164917499</v>
      </c>
    </row>
    <row r="2529" spans="1:5">
      <c r="A2529" t="s">
        <v>2965</v>
      </c>
      <c r="B2529" t="s">
        <v>2970</v>
      </c>
      <c r="C2529">
        <v>0</v>
      </c>
      <c r="D2529">
        <v>0.92916816437100003</v>
      </c>
      <c r="E2529">
        <v>4.0659670164917499</v>
      </c>
    </row>
    <row r="2530" spans="1:5">
      <c r="A2530" t="s">
        <v>2965</v>
      </c>
      <c r="B2530" t="s">
        <v>2971</v>
      </c>
      <c r="C2530">
        <v>0.40768732996899998</v>
      </c>
      <c r="D2530">
        <v>0.92916816437100003</v>
      </c>
      <c r="E2530">
        <v>4.0659670164917499</v>
      </c>
    </row>
    <row r="2531" spans="1:5">
      <c r="A2531" t="s">
        <v>2965</v>
      </c>
      <c r="B2531" t="s">
        <v>2972</v>
      </c>
      <c r="C2531">
        <v>0</v>
      </c>
      <c r="D2531">
        <v>0.92916816437100003</v>
      </c>
      <c r="E2531">
        <v>4.0659670164917499</v>
      </c>
    </row>
    <row r="2532" spans="1:5">
      <c r="A2532" t="s">
        <v>2973</v>
      </c>
      <c r="B2532" t="s">
        <v>2974</v>
      </c>
      <c r="C2532">
        <v>6.5751644733999998E-2</v>
      </c>
      <c r="D2532">
        <v>0.90490487294599997</v>
      </c>
      <c r="E2532">
        <v>19.6341829085457</v>
      </c>
    </row>
    <row r="2533" spans="1:5">
      <c r="A2533" t="s">
        <v>2973</v>
      </c>
      <c r="B2533" t="s">
        <v>2975</v>
      </c>
      <c r="C2533">
        <v>0</v>
      </c>
      <c r="D2533">
        <v>0.90490487294599997</v>
      </c>
      <c r="E2533">
        <v>19.6341829085457</v>
      </c>
    </row>
    <row r="2534" spans="1:5">
      <c r="A2534" t="s">
        <v>2973</v>
      </c>
      <c r="B2534" t="s">
        <v>2976</v>
      </c>
      <c r="C2534">
        <f>0</f>
        <v>0</v>
      </c>
      <c r="D2534">
        <v>0.90490487294599997</v>
      </c>
      <c r="E2534">
        <v>19.6341829085457</v>
      </c>
    </row>
    <row r="2535" spans="1:5">
      <c r="A2535" t="s">
        <v>2973</v>
      </c>
      <c r="B2535" t="s">
        <v>2977</v>
      </c>
      <c r="C2535">
        <f>0</f>
        <v>0</v>
      </c>
      <c r="D2535">
        <v>0.90490487294599997</v>
      </c>
      <c r="E2535">
        <v>19.6341829085457</v>
      </c>
    </row>
    <row r="2536" spans="1:5">
      <c r="A2536" t="s">
        <v>2978</v>
      </c>
      <c r="B2536" t="s">
        <v>2979</v>
      </c>
      <c r="C2536">
        <v>0.57910008339499996</v>
      </c>
      <c r="D2536">
        <v>0.975288805152</v>
      </c>
      <c r="E2536">
        <v>8.4317841079460205</v>
      </c>
    </row>
    <row r="2537" spans="1:5">
      <c r="A2537" t="s">
        <v>2980</v>
      </c>
      <c r="B2537" t="s">
        <v>2981</v>
      </c>
      <c r="C2537">
        <v>0</v>
      </c>
      <c r="D2537">
        <v>0.83815039065499997</v>
      </c>
      <c r="E2537">
        <v>8.2878560719640095</v>
      </c>
    </row>
    <row r="2538" spans="1:5">
      <c r="A2538" t="s">
        <v>2980</v>
      </c>
      <c r="B2538" t="s">
        <v>2982</v>
      </c>
      <c r="C2538">
        <v>4.6034520769399997E-2</v>
      </c>
      <c r="D2538">
        <v>0.83815039065499997</v>
      </c>
      <c r="E2538">
        <v>8.2878560719640095</v>
      </c>
    </row>
    <row r="2539" spans="1:5">
      <c r="A2539" t="s">
        <v>2980</v>
      </c>
      <c r="B2539" t="s">
        <v>2983</v>
      </c>
      <c r="C2539">
        <f>0</f>
        <v>0</v>
      </c>
      <c r="D2539">
        <v>0.83815039065499997</v>
      </c>
      <c r="E2539">
        <v>8.2878560719640095</v>
      </c>
    </row>
    <row r="2540" spans="1:5">
      <c r="A2540" t="s">
        <v>2980</v>
      </c>
      <c r="B2540" t="s">
        <v>2984</v>
      </c>
      <c r="C2540">
        <f>0</f>
        <v>0</v>
      </c>
      <c r="D2540">
        <v>0.83815039065499997</v>
      </c>
      <c r="E2540">
        <v>8.2878560719640095</v>
      </c>
    </row>
    <row r="2541" spans="1:5">
      <c r="A2541" t="s">
        <v>2980</v>
      </c>
      <c r="B2541" t="s">
        <v>2985</v>
      </c>
      <c r="C2541">
        <v>0</v>
      </c>
      <c r="D2541">
        <v>0.83815039065499997</v>
      </c>
      <c r="E2541">
        <v>8.2878560719640095</v>
      </c>
    </row>
    <row r="2542" spans="1:5">
      <c r="A2542" t="s">
        <v>2980</v>
      </c>
      <c r="B2542" t="s">
        <v>2986</v>
      </c>
      <c r="C2542">
        <v>3.0940376227000001E-2</v>
      </c>
      <c r="D2542">
        <v>0.83815039065499997</v>
      </c>
      <c r="E2542">
        <v>8.2878560719640095</v>
      </c>
    </row>
    <row r="2543" spans="1:5">
      <c r="A2543" t="s">
        <v>2980</v>
      </c>
      <c r="B2543" t="s">
        <v>2987</v>
      </c>
      <c r="C2543">
        <v>0</v>
      </c>
      <c r="D2543">
        <v>0.83815039065499997</v>
      </c>
      <c r="E2543">
        <v>8.2878560719640095</v>
      </c>
    </row>
    <row r="2544" spans="1:5">
      <c r="A2544" t="s">
        <v>2980</v>
      </c>
      <c r="B2544" t="s">
        <v>2988</v>
      </c>
      <c r="C2544">
        <f>0</f>
        <v>0</v>
      </c>
      <c r="D2544">
        <v>0.83815039065499997</v>
      </c>
      <c r="E2544">
        <v>8.2878560719640095</v>
      </c>
    </row>
    <row r="2545" spans="1:5">
      <c r="A2545" t="s">
        <v>2980</v>
      </c>
      <c r="B2545" t="s">
        <v>2989</v>
      </c>
      <c r="C2545">
        <v>0</v>
      </c>
      <c r="D2545">
        <v>0.83815039065499997</v>
      </c>
      <c r="E2545">
        <v>8.2878560719640095</v>
      </c>
    </row>
    <row r="2546" spans="1:5">
      <c r="A2546" t="s">
        <v>2980</v>
      </c>
      <c r="B2546" t="s">
        <v>2990</v>
      </c>
      <c r="C2546">
        <f>0</f>
        <v>0</v>
      </c>
      <c r="D2546">
        <v>0.83815039065499997</v>
      </c>
      <c r="E2546">
        <v>8.2878560719640095</v>
      </c>
    </row>
    <row r="2547" spans="1:5">
      <c r="A2547" t="s">
        <v>2980</v>
      </c>
      <c r="B2547" t="s">
        <v>2991</v>
      </c>
      <c r="C2547">
        <v>0</v>
      </c>
      <c r="D2547">
        <v>0.83815039065499997</v>
      </c>
      <c r="E2547">
        <v>8.2878560719640095</v>
      </c>
    </row>
    <row r="2548" spans="1:5">
      <c r="A2548" t="s">
        <v>2980</v>
      </c>
      <c r="B2548" t="s">
        <v>2992</v>
      </c>
      <c r="C2548">
        <v>0</v>
      </c>
      <c r="D2548">
        <v>0.83815039065499997</v>
      </c>
      <c r="E2548">
        <v>8.2878560719640095</v>
      </c>
    </row>
    <row r="2549" spans="1:5">
      <c r="A2549" t="s">
        <v>2980</v>
      </c>
      <c r="B2549" t="s">
        <v>2993</v>
      </c>
      <c r="C2549">
        <v>0</v>
      </c>
      <c r="D2549">
        <v>0.83815039065499997</v>
      </c>
      <c r="E2549">
        <v>8.2878560719640095</v>
      </c>
    </row>
    <row r="2550" spans="1:5">
      <c r="A2550" t="s">
        <v>2980</v>
      </c>
      <c r="B2550" t="s">
        <v>2994</v>
      </c>
      <c r="C2550">
        <v>0</v>
      </c>
      <c r="D2550">
        <v>0.83815039065499997</v>
      </c>
      <c r="E2550">
        <v>8.2878560719640095</v>
      </c>
    </row>
    <row r="2551" spans="1:5">
      <c r="A2551" t="s">
        <v>2980</v>
      </c>
      <c r="B2551" t="s">
        <v>2995</v>
      </c>
      <c r="C2551">
        <f>0</f>
        <v>0</v>
      </c>
      <c r="D2551">
        <v>0.83815039065499997</v>
      </c>
      <c r="E2551">
        <v>8.2878560719640095</v>
      </c>
    </row>
    <row r="2552" spans="1:5">
      <c r="A2552" t="s">
        <v>2980</v>
      </c>
      <c r="B2552" t="s">
        <v>2996</v>
      </c>
      <c r="C2552">
        <v>0</v>
      </c>
      <c r="D2552">
        <v>0.83815039065499997</v>
      </c>
      <c r="E2552">
        <v>8.2878560719640095</v>
      </c>
    </row>
    <row r="2553" spans="1:5">
      <c r="A2553" t="s">
        <v>2997</v>
      </c>
      <c r="B2553" t="s">
        <v>2998</v>
      </c>
      <c r="C2553">
        <v>0</v>
      </c>
      <c r="D2553">
        <v>0.99065027060300004</v>
      </c>
      <c r="E2553">
        <v>6.8005997001499203</v>
      </c>
    </row>
    <row r="2554" spans="1:5">
      <c r="A2554" t="s">
        <v>2997</v>
      </c>
      <c r="B2554" t="s">
        <v>2999</v>
      </c>
      <c r="C2554">
        <v>0.16223535513199999</v>
      </c>
      <c r="D2554">
        <v>0.99065027060300004</v>
      </c>
      <c r="E2554">
        <v>6.8005997001499203</v>
      </c>
    </row>
    <row r="2555" spans="1:5">
      <c r="A2555" t="s">
        <v>2997</v>
      </c>
      <c r="B2555" t="s">
        <v>3000</v>
      </c>
      <c r="C2555">
        <v>0</v>
      </c>
      <c r="D2555">
        <v>0.99065027060300004</v>
      </c>
      <c r="E2555">
        <v>6.8005997001499203</v>
      </c>
    </row>
    <row r="2556" spans="1:5">
      <c r="A2556" t="s">
        <v>2997</v>
      </c>
      <c r="B2556" t="s">
        <v>3001</v>
      </c>
      <c r="C2556">
        <f>0</f>
        <v>0</v>
      </c>
      <c r="D2556">
        <v>0.99065027060300004</v>
      </c>
      <c r="E2556">
        <v>6.8005997001499203</v>
      </c>
    </row>
    <row r="2557" spans="1:5">
      <c r="A2557" t="s">
        <v>2997</v>
      </c>
      <c r="B2557" t="s">
        <v>3002</v>
      </c>
      <c r="C2557">
        <f>0</f>
        <v>0</v>
      </c>
      <c r="D2557">
        <v>0.99065027060300004</v>
      </c>
      <c r="E2557">
        <v>6.8005997001499203</v>
      </c>
    </row>
    <row r="2558" spans="1:5">
      <c r="A2558" t="s">
        <v>2997</v>
      </c>
      <c r="B2558" t="s">
        <v>3003</v>
      </c>
      <c r="C2558">
        <v>0</v>
      </c>
      <c r="D2558">
        <v>0.99065027060300004</v>
      </c>
      <c r="E2558">
        <v>6.8005997001499203</v>
      </c>
    </row>
    <row r="2559" spans="1:5">
      <c r="A2559" t="s">
        <v>2997</v>
      </c>
      <c r="B2559" t="s">
        <v>3004</v>
      </c>
      <c r="C2559">
        <f>0</f>
        <v>0</v>
      </c>
      <c r="D2559">
        <v>0.99065027060300004</v>
      </c>
      <c r="E2559">
        <v>6.8005997001499203</v>
      </c>
    </row>
    <row r="2560" spans="1:5">
      <c r="A2560" t="s">
        <v>3005</v>
      </c>
      <c r="B2560" t="s">
        <v>3006</v>
      </c>
      <c r="C2560">
        <f>0.01790985089</f>
        <v>1.7909850889999999E-2</v>
      </c>
      <c r="D2560">
        <v>0.91919001750700002</v>
      </c>
      <c r="E2560">
        <v>23.508245877061398</v>
      </c>
    </row>
    <row r="2561" spans="1:5">
      <c r="A2561" t="s">
        <v>3007</v>
      </c>
      <c r="B2561" t="s">
        <v>3008</v>
      </c>
      <c r="C2561">
        <v>0</v>
      </c>
      <c r="D2561" t="s">
        <v>106</v>
      </c>
      <c r="E2561">
        <v>2.96251874062968</v>
      </c>
    </row>
    <row r="2562" spans="1:5">
      <c r="A2562" t="s">
        <v>3007</v>
      </c>
      <c r="B2562" t="s">
        <v>3009</v>
      </c>
      <c r="C2562">
        <f>0</f>
        <v>0</v>
      </c>
      <c r="D2562" t="s">
        <v>106</v>
      </c>
      <c r="E2562">
        <v>2.96251874062968</v>
      </c>
    </row>
    <row r="2563" spans="1:5">
      <c r="A2563" t="s">
        <v>3007</v>
      </c>
      <c r="B2563" t="s">
        <v>3010</v>
      </c>
      <c r="C2563">
        <f>0</f>
        <v>0</v>
      </c>
      <c r="D2563" t="s">
        <v>106</v>
      </c>
      <c r="E2563">
        <v>2.96251874062968</v>
      </c>
    </row>
    <row r="2564" spans="1:5">
      <c r="A2564" t="s">
        <v>3007</v>
      </c>
      <c r="B2564" t="s">
        <v>3011</v>
      </c>
      <c r="C2564">
        <v>0</v>
      </c>
      <c r="D2564" t="s">
        <v>106</v>
      </c>
      <c r="E2564">
        <v>2.96251874062968</v>
      </c>
    </row>
    <row r="2565" spans="1:5">
      <c r="A2565" t="s">
        <v>3007</v>
      </c>
      <c r="B2565" t="s">
        <v>3012</v>
      </c>
      <c r="C2565">
        <f>0</f>
        <v>0</v>
      </c>
      <c r="D2565" t="s">
        <v>106</v>
      </c>
      <c r="E2565">
        <v>2.96251874062968</v>
      </c>
    </row>
    <row r="2566" spans="1:5">
      <c r="A2566" t="s">
        <v>3013</v>
      </c>
      <c r="B2566" t="s">
        <v>3014</v>
      </c>
      <c r="C2566">
        <v>0</v>
      </c>
      <c r="D2566">
        <v>0.87976480925599998</v>
      </c>
      <c r="E2566">
        <v>1.6911544227886</v>
      </c>
    </row>
    <row r="2567" spans="1:5">
      <c r="A2567" t="s">
        <v>3013</v>
      </c>
      <c r="B2567" t="s">
        <v>3015</v>
      </c>
      <c r="C2567">
        <f>0</f>
        <v>0</v>
      </c>
      <c r="D2567">
        <v>0.87976480925599998</v>
      </c>
      <c r="E2567">
        <v>1.6911544227886</v>
      </c>
    </row>
    <row r="2568" spans="1:5">
      <c r="A2568" t="s">
        <v>3013</v>
      </c>
      <c r="B2568" t="s">
        <v>3016</v>
      </c>
      <c r="C2568">
        <v>0</v>
      </c>
      <c r="D2568">
        <v>0.87976480925599998</v>
      </c>
      <c r="E2568">
        <v>1.6911544227886</v>
      </c>
    </row>
    <row r="2569" spans="1:5">
      <c r="A2569" t="s">
        <v>3013</v>
      </c>
      <c r="B2569" t="s">
        <v>3017</v>
      </c>
      <c r="C2569">
        <v>0</v>
      </c>
      <c r="D2569">
        <v>0.87976480925599998</v>
      </c>
      <c r="E2569">
        <v>1.6911544227886</v>
      </c>
    </row>
    <row r="2570" spans="1:5">
      <c r="A2570" t="s">
        <v>3013</v>
      </c>
      <c r="B2570" t="s">
        <v>3018</v>
      </c>
      <c r="C2570">
        <v>0</v>
      </c>
      <c r="D2570">
        <v>0.87976480925599998</v>
      </c>
      <c r="E2570">
        <v>1.6911544227886</v>
      </c>
    </row>
    <row r="2571" spans="1:5">
      <c r="A2571" t="s">
        <v>3013</v>
      </c>
      <c r="B2571" t="s">
        <v>3019</v>
      </c>
      <c r="C2571">
        <v>0.105549719057</v>
      </c>
      <c r="D2571">
        <v>0.87976480925599998</v>
      </c>
      <c r="E2571">
        <v>1.6911544227886</v>
      </c>
    </row>
    <row r="2572" spans="1:5">
      <c r="A2572" t="s">
        <v>3013</v>
      </c>
      <c r="B2572" t="s">
        <v>3020</v>
      </c>
      <c r="C2572">
        <v>0</v>
      </c>
      <c r="D2572">
        <v>0.87976480925599998</v>
      </c>
      <c r="E2572">
        <v>1.6911544227886</v>
      </c>
    </row>
    <row r="2573" spans="1:5">
      <c r="A2573" t="s">
        <v>3013</v>
      </c>
      <c r="B2573" t="s">
        <v>3021</v>
      </c>
      <c r="C2573">
        <v>2.2178511828E-2</v>
      </c>
      <c r="D2573">
        <v>0.87976480925599998</v>
      </c>
      <c r="E2573">
        <v>1.6911544227886</v>
      </c>
    </row>
    <row r="2574" spans="1:5">
      <c r="A2574" t="s">
        <v>3013</v>
      </c>
      <c r="B2574" t="s">
        <v>3022</v>
      </c>
      <c r="C2574">
        <f>0</f>
        <v>0</v>
      </c>
      <c r="D2574">
        <v>0.87976480925599998</v>
      </c>
      <c r="E2574">
        <v>1.6911544227886</v>
      </c>
    </row>
    <row r="2575" spans="1:5">
      <c r="A2575" t="s">
        <v>3013</v>
      </c>
      <c r="B2575" t="s">
        <v>3023</v>
      </c>
      <c r="C2575">
        <f>0</f>
        <v>0</v>
      </c>
      <c r="D2575">
        <v>0.87976480925599998</v>
      </c>
      <c r="E2575">
        <v>1.6911544227886</v>
      </c>
    </row>
    <row r="2576" spans="1:5">
      <c r="A2576" t="s">
        <v>3013</v>
      </c>
      <c r="B2576" t="s">
        <v>3024</v>
      </c>
      <c r="C2576">
        <v>0</v>
      </c>
      <c r="D2576">
        <v>0.87976480925599998</v>
      </c>
      <c r="E2576">
        <v>1.6911544227886</v>
      </c>
    </row>
    <row r="2577" spans="1:5">
      <c r="A2577" t="s">
        <v>3013</v>
      </c>
      <c r="B2577" t="s">
        <v>3025</v>
      </c>
      <c r="C2577">
        <v>0</v>
      </c>
      <c r="D2577">
        <v>0.87976480925599998</v>
      </c>
      <c r="E2577">
        <v>1.6911544227886</v>
      </c>
    </row>
    <row r="2578" spans="1:5">
      <c r="A2578" t="s">
        <v>3013</v>
      </c>
      <c r="B2578" t="s">
        <v>3026</v>
      </c>
      <c r="C2578">
        <v>0</v>
      </c>
      <c r="D2578">
        <v>0.87976480925599998</v>
      </c>
      <c r="E2578">
        <v>1.6911544227886</v>
      </c>
    </row>
    <row r="2579" spans="1:5">
      <c r="A2579" t="s">
        <v>3013</v>
      </c>
      <c r="B2579" t="s">
        <v>3027</v>
      </c>
      <c r="C2579">
        <v>0</v>
      </c>
      <c r="D2579">
        <v>0.87976480925599998</v>
      </c>
      <c r="E2579">
        <v>1.6911544227886</v>
      </c>
    </row>
    <row r="2580" spans="1:5">
      <c r="A2580" t="s">
        <v>3013</v>
      </c>
      <c r="B2580" t="s">
        <v>3028</v>
      </c>
      <c r="C2580">
        <f>0</f>
        <v>0</v>
      </c>
      <c r="D2580">
        <v>0.87976480925599998</v>
      </c>
      <c r="E2580">
        <v>1.6911544227886</v>
      </c>
    </row>
    <row r="2581" spans="1:5">
      <c r="A2581" t="s">
        <v>3013</v>
      </c>
      <c r="B2581" t="s">
        <v>3029</v>
      </c>
      <c r="C2581">
        <v>0</v>
      </c>
      <c r="D2581">
        <v>0.87976480925599998</v>
      </c>
      <c r="E2581">
        <v>1.6911544227886</v>
      </c>
    </row>
    <row r="2582" spans="1:5">
      <c r="A2582" t="s">
        <v>3013</v>
      </c>
      <c r="B2582" t="s">
        <v>3030</v>
      </c>
      <c r="C2582">
        <v>0</v>
      </c>
      <c r="D2582">
        <v>0.87976480925599998</v>
      </c>
      <c r="E2582">
        <v>1.6911544227886</v>
      </c>
    </row>
    <row r="2583" spans="1:5">
      <c r="A2583" t="s">
        <v>3013</v>
      </c>
      <c r="B2583" t="s">
        <v>3031</v>
      </c>
      <c r="C2583">
        <v>0</v>
      </c>
      <c r="D2583">
        <v>0.87976480925599998</v>
      </c>
      <c r="E2583">
        <v>1.6911544227886</v>
      </c>
    </row>
    <row r="2584" spans="1:5">
      <c r="A2584" t="s">
        <v>3013</v>
      </c>
      <c r="B2584" t="s">
        <v>3032</v>
      </c>
      <c r="C2584">
        <v>0</v>
      </c>
      <c r="D2584">
        <v>0.87976480925599998</v>
      </c>
      <c r="E2584">
        <v>1.6911544227886</v>
      </c>
    </row>
    <row r="2585" spans="1:5">
      <c r="A2585" t="s">
        <v>3013</v>
      </c>
      <c r="B2585" t="s">
        <v>3033</v>
      </c>
      <c r="C2585">
        <v>0</v>
      </c>
      <c r="D2585">
        <v>0.87976480925599998</v>
      </c>
      <c r="E2585">
        <v>1.6911544227886</v>
      </c>
    </row>
    <row r="2586" spans="1:5">
      <c r="A2586" t="s">
        <v>3013</v>
      </c>
      <c r="B2586" t="s">
        <v>3034</v>
      </c>
      <c r="C2586">
        <f>0</f>
        <v>0</v>
      </c>
      <c r="D2586">
        <v>0.87976480925599998</v>
      </c>
      <c r="E2586">
        <v>1.6911544227886</v>
      </c>
    </row>
    <row r="2587" spans="1:5">
      <c r="A2587" t="s">
        <v>3013</v>
      </c>
      <c r="B2587" t="s">
        <v>3035</v>
      </c>
      <c r="C2587">
        <v>0</v>
      </c>
      <c r="D2587">
        <v>0.87976480925599998</v>
      </c>
      <c r="E2587">
        <v>1.6911544227886</v>
      </c>
    </row>
    <row r="2588" spans="1:5">
      <c r="A2588" t="s">
        <v>3013</v>
      </c>
      <c r="B2588" t="s">
        <v>3036</v>
      </c>
      <c r="C2588">
        <v>0</v>
      </c>
      <c r="D2588">
        <v>0.87976480925599998</v>
      </c>
      <c r="E2588">
        <v>1.6911544227886</v>
      </c>
    </row>
    <row r="2589" spans="1:5">
      <c r="A2589" t="s">
        <v>3013</v>
      </c>
      <c r="B2589" t="s">
        <v>3037</v>
      </c>
      <c r="C2589">
        <v>0</v>
      </c>
      <c r="D2589">
        <v>0.87976480925599998</v>
      </c>
      <c r="E2589">
        <v>1.6911544227886</v>
      </c>
    </row>
    <row r="2590" spans="1:5">
      <c r="A2590" t="s">
        <v>3013</v>
      </c>
      <c r="B2590" t="s">
        <v>3038</v>
      </c>
      <c r="C2590">
        <v>0</v>
      </c>
      <c r="D2590">
        <v>0.87976480925599998</v>
      </c>
      <c r="E2590">
        <v>1.6911544227886</v>
      </c>
    </row>
    <row r="2591" spans="1:5">
      <c r="A2591" t="s">
        <v>3013</v>
      </c>
      <c r="B2591" t="s">
        <v>3039</v>
      </c>
      <c r="C2591">
        <f>0</f>
        <v>0</v>
      </c>
      <c r="D2591">
        <v>0.87976480925599998</v>
      </c>
      <c r="E2591">
        <v>1.6911544227886</v>
      </c>
    </row>
    <row r="2592" spans="1:5">
      <c r="A2592" t="s">
        <v>3013</v>
      </c>
      <c r="B2592" t="s">
        <v>3040</v>
      </c>
      <c r="C2592">
        <v>0</v>
      </c>
      <c r="D2592">
        <v>0.87976480925599998</v>
      </c>
      <c r="E2592">
        <v>1.6911544227886</v>
      </c>
    </row>
    <row r="2593" spans="1:5">
      <c r="A2593" t="s">
        <v>3041</v>
      </c>
      <c r="B2593" t="s">
        <v>3042</v>
      </c>
      <c r="C2593">
        <v>0.13567333010900001</v>
      </c>
      <c r="D2593">
        <v>0.98261316833800005</v>
      </c>
      <c r="E2593">
        <v>21.637181409295302</v>
      </c>
    </row>
    <row r="2594" spans="1:5">
      <c r="A2594" t="s">
        <v>3041</v>
      </c>
      <c r="B2594" t="s">
        <v>3043</v>
      </c>
      <c r="C2594">
        <f>0</f>
        <v>0</v>
      </c>
      <c r="D2594">
        <v>0.98261316833800005</v>
      </c>
      <c r="E2594">
        <v>21.637181409295302</v>
      </c>
    </row>
    <row r="2595" spans="1:5">
      <c r="A2595" t="s">
        <v>3041</v>
      </c>
      <c r="B2595" t="s">
        <v>3044</v>
      </c>
      <c r="C2595">
        <v>0</v>
      </c>
      <c r="D2595">
        <v>0.98261316833800005</v>
      </c>
      <c r="E2595">
        <v>21.637181409295302</v>
      </c>
    </row>
    <row r="2596" spans="1:5">
      <c r="A2596" t="s">
        <v>3041</v>
      </c>
      <c r="B2596" t="s">
        <v>3045</v>
      </c>
      <c r="C2596">
        <f>0</f>
        <v>0</v>
      </c>
      <c r="D2596">
        <v>0.98261316833800005</v>
      </c>
      <c r="E2596">
        <v>21.637181409295302</v>
      </c>
    </row>
    <row r="2597" spans="1:5">
      <c r="A2597" t="s">
        <v>3046</v>
      </c>
      <c r="B2597" t="s">
        <v>3047</v>
      </c>
      <c r="C2597">
        <v>0.148734655874</v>
      </c>
      <c r="D2597" t="s">
        <v>106</v>
      </c>
      <c r="E2597">
        <v>24</v>
      </c>
    </row>
    <row r="2598" spans="1:5">
      <c r="A2598" t="s">
        <v>3046</v>
      </c>
      <c r="B2598" t="s">
        <v>3048</v>
      </c>
      <c r="C2598">
        <v>1.14241593055E-2</v>
      </c>
      <c r="D2598" t="s">
        <v>106</v>
      </c>
      <c r="E2598">
        <v>24</v>
      </c>
    </row>
    <row r="2599" spans="1:5">
      <c r="A2599" t="s">
        <v>3046</v>
      </c>
      <c r="B2599" t="s">
        <v>3049</v>
      </c>
      <c r="C2599">
        <f>0</f>
        <v>0</v>
      </c>
      <c r="D2599" t="s">
        <v>106</v>
      </c>
      <c r="E2599">
        <v>24</v>
      </c>
    </row>
    <row r="2600" spans="1:5">
      <c r="A2600" t="s">
        <v>3046</v>
      </c>
      <c r="B2600" t="s">
        <v>3050</v>
      </c>
      <c r="C2600">
        <v>0</v>
      </c>
      <c r="D2600" t="s">
        <v>106</v>
      </c>
      <c r="E2600">
        <v>24</v>
      </c>
    </row>
    <row r="2601" spans="1:5">
      <c r="A2601" t="s">
        <v>3046</v>
      </c>
      <c r="B2601" t="s">
        <v>3051</v>
      </c>
      <c r="C2601">
        <v>0</v>
      </c>
      <c r="D2601" t="s">
        <v>106</v>
      </c>
      <c r="E2601">
        <v>24</v>
      </c>
    </row>
    <row r="2602" spans="1:5">
      <c r="A2602" t="s">
        <v>3052</v>
      </c>
      <c r="B2602" t="s">
        <v>3053</v>
      </c>
      <c r="C2602">
        <v>1.06527736346E-2</v>
      </c>
      <c r="D2602">
        <v>0.99557396941099996</v>
      </c>
      <c r="E2602">
        <v>1.00749625187406</v>
      </c>
    </row>
    <row r="2603" spans="1:5">
      <c r="A2603" t="s">
        <v>3052</v>
      </c>
      <c r="B2603" t="s">
        <v>3054</v>
      </c>
      <c r="C2603">
        <v>0</v>
      </c>
      <c r="D2603">
        <v>0.99557396941099996</v>
      </c>
      <c r="E2603">
        <v>1.00749625187406</v>
      </c>
    </row>
    <row r="2604" spans="1:5">
      <c r="A2604" t="s">
        <v>3052</v>
      </c>
      <c r="B2604" t="s">
        <v>3055</v>
      </c>
      <c r="C2604">
        <v>0</v>
      </c>
      <c r="D2604">
        <v>0.99557396941099996</v>
      </c>
      <c r="E2604">
        <v>1.00749625187406</v>
      </c>
    </row>
    <row r="2605" spans="1:5">
      <c r="A2605" t="s">
        <v>3052</v>
      </c>
      <c r="B2605" t="s">
        <v>3056</v>
      </c>
      <c r="C2605">
        <v>0</v>
      </c>
      <c r="D2605">
        <v>0.99557396941099996</v>
      </c>
      <c r="E2605">
        <v>1.00749625187406</v>
      </c>
    </row>
    <row r="2606" spans="1:5">
      <c r="A2606" t="s">
        <v>3052</v>
      </c>
      <c r="B2606" t="s">
        <v>3057</v>
      </c>
      <c r="C2606">
        <v>0</v>
      </c>
      <c r="D2606">
        <v>0.99557396941099996</v>
      </c>
      <c r="E2606">
        <v>1.00749625187406</v>
      </c>
    </row>
    <row r="2607" spans="1:5">
      <c r="A2607" t="s">
        <v>3052</v>
      </c>
      <c r="B2607" t="s">
        <v>3058</v>
      </c>
      <c r="C2607">
        <v>0</v>
      </c>
      <c r="D2607">
        <v>0.99557396941099996</v>
      </c>
      <c r="E2607">
        <v>1.00749625187406</v>
      </c>
    </row>
    <row r="2608" spans="1:5">
      <c r="A2608" t="s">
        <v>3052</v>
      </c>
      <c r="B2608" t="s">
        <v>3059</v>
      </c>
      <c r="C2608">
        <v>0.145638234664</v>
      </c>
      <c r="D2608">
        <v>0.99557396941099996</v>
      </c>
      <c r="E2608">
        <v>1.00749625187406</v>
      </c>
    </row>
    <row r="2609" spans="1:5">
      <c r="A2609" t="s">
        <v>3060</v>
      </c>
      <c r="B2609" t="s">
        <v>3061</v>
      </c>
      <c r="C2609">
        <v>0.19135387819399999</v>
      </c>
      <c r="D2609" t="s">
        <v>106</v>
      </c>
      <c r="E2609">
        <v>5.1214392803598203</v>
      </c>
    </row>
    <row r="2610" spans="1:5">
      <c r="A2610" t="s">
        <v>3060</v>
      </c>
      <c r="B2610" t="s">
        <v>3062</v>
      </c>
      <c r="C2610">
        <f>0.0620452158657</f>
        <v>6.2045215865699999E-2</v>
      </c>
      <c r="D2610" t="s">
        <v>106</v>
      </c>
      <c r="E2610">
        <v>5.1214392803598203</v>
      </c>
    </row>
    <row r="2611" spans="1:5">
      <c r="A2611" t="s">
        <v>3060</v>
      </c>
      <c r="B2611" t="s">
        <v>3063</v>
      </c>
      <c r="C2611">
        <v>0</v>
      </c>
      <c r="D2611" t="s">
        <v>106</v>
      </c>
      <c r="E2611">
        <v>5.1214392803598203</v>
      </c>
    </row>
    <row r="2612" spans="1:5">
      <c r="A2612" t="s">
        <v>3064</v>
      </c>
      <c r="B2612" t="s">
        <v>3065</v>
      </c>
      <c r="C2612">
        <f>0</f>
        <v>0</v>
      </c>
      <c r="D2612">
        <v>0.18900788738999999</v>
      </c>
      <c r="E2612">
        <v>19.6341829085457</v>
      </c>
    </row>
    <row r="2613" spans="1:5">
      <c r="A2613" t="s">
        <v>3064</v>
      </c>
      <c r="B2613" t="s">
        <v>3066</v>
      </c>
      <c r="C2613">
        <f>0</f>
        <v>0</v>
      </c>
      <c r="D2613">
        <v>0.18900788738999999</v>
      </c>
      <c r="E2613">
        <v>19.6341829085457</v>
      </c>
    </row>
    <row r="2614" spans="1:5">
      <c r="A2614" t="s">
        <v>3067</v>
      </c>
      <c r="B2614" t="s">
        <v>3068</v>
      </c>
      <c r="C2614">
        <v>0</v>
      </c>
      <c r="D2614">
        <v>0.97583853072299997</v>
      </c>
      <c r="E2614">
        <v>4.0659670164917499</v>
      </c>
    </row>
    <row r="2615" spans="1:5">
      <c r="A2615" t="s">
        <v>3067</v>
      </c>
      <c r="B2615" t="s">
        <v>3069</v>
      </c>
      <c r="C2615">
        <v>0</v>
      </c>
      <c r="D2615">
        <v>0.97583853072299997</v>
      </c>
      <c r="E2615">
        <v>4.0659670164917499</v>
      </c>
    </row>
    <row r="2616" spans="1:5">
      <c r="A2616" t="s">
        <v>3067</v>
      </c>
      <c r="B2616" t="s">
        <v>3070</v>
      </c>
      <c r="C2616">
        <v>0</v>
      </c>
      <c r="D2616">
        <v>0.97583853072299997</v>
      </c>
      <c r="E2616">
        <v>4.0659670164917499</v>
      </c>
    </row>
    <row r="2617" spans="1:5">
      <c r="A2617" t="s">
        <v>3067</v>
      </c>
      <c r="B2617" t="s">
        <v>3071</v>
      </c>
      <c r="C2617">
        <f>0</f>
        <v>0</v>
      </c>
      <c r="D2617">
        <v>0.97583853072299997</v>
      </c>
      <c r="E2617">
        <v>4.0659670164917499</v>
      </c>
    </row>
    <row r="2618" spans="1:5">
      <c r="A2618" t="s">
        <v>3072</v>
      </c>
      <c r="B2618" t="s">
        <v>3073</v>
      </c>
      <c r="C2618">
        <f>0</f>
        <v>0</v>
      </c>
      <c r="D2618">
        <v>0.98714771018699998</v>
      </c>
      <c r="E2618">
        <v>4.9055472263868003</v>
      </c>
    </row>
    <row r="2619" spans="1:5">
      <c r="A2619" t="s">
        <v>3072</v>
      </c>
      <c r="B2619" t="s">
        <v>3074</v>
      </c>
      <c r="C2619">
        <f>0</f>
        <v>0</v>
      </c>
      <c r="D2619">
        <v>0.98714771018699998</v>
      </c>
      <c r="E2619">
        <v>4.9055472263868003</v>
      </c>
    </row>
    <row r="2620" spans="1:5">
      <c r="A2620" t="s">
        <v>3072</v>
      </c>
      <c r="B2620" t="s">
        <v>3075</v>
      </c>
      <c r="C2620">
        <v>0</v>
      </c>
      <c r="D2620">
        <v>0.98714771018699998</v>
      </c>
      <c r="E2620">
        <v>4.9055472263868003</v>
      </c>
    </row>
    <row r="2621" spans="1:5">
      <c r="A2621" t="s">
        <v>3072</v>
      </c>
      <c r="B2621" t="s">
        <v>3076</v>
      </c>
      <c r="C2621">
        <v>0</v>
      </c>
      <c r="D2621">
        <v>0.98714771018699998</v>
      </c>
      <c r="E2621">
        <v>4.9055472263868003</v>
      </c>
    </row>
    <row r="2622" spans="1:5">
      <c r="A2622" t="s">
        <v>3072</v>
      </c>
      <c r="B2622" t="s">
        <v>3077</v>
      </c>
      <c r="C2622">
        <f>0</f>
        <v>0</v>
      </c>
      <c r="D2622">
        <v>0.98714771018699998</v>
      </c>
      <c r="E2622">
        <v>4.9055472263868003</v>
      </c>
    </row>
    <row r="2623" spans="1:5">
      <c r="A2623" t="s">
        <v>3072</v>
      </c>
      <c r="B2623" t="s">
        <v>3078</v>
      </c>
      <c r="C2623">
        <f>0</f>
        <v>0</v>
      </c>
      <c r="D2623">
        <v>0.98714771018699998</v>
      </c>
      <c r="E2623">
        <v>4.9055472263868003</v>
      </c>
    </row>
    <row r="2624" spans="1:5">
      <c r="A2624" t="s">
        <v>3072</v>
      </c>
      <c r="B2624" t="s">
        <v>3079</v>
      </c>
      <c r="C2624">
        <f>0</f>
        <v>0</v>
      </c>
      <c r="D2624">
        <v>0.98714771018699998</v>
      </c>
      <c r="E2624">
        <v>4.9055472263868003</v>
      </c>
    </row>
    <row r="2625" spans="1:5">
      <c r="A2625" t="s">
        <v>3080</v>
      </c>
      <c r="B2625" t="s">
        <v>3081</v>
      </c>
      <c r="C2625">
        <f>0</f>
        <v>0</v>
      </c>
      <c r="D2625">
        <v>0.97383834549500004</v>
      </c>
      <c r="E2625">
        <v>12.9175412293853</v>
      </c>
    </row>
    <row r="2626" spans="1:5">
      <c r="A2626" t="s">
        <v>3080</v>
      </c>
      <c r="B2626" t="s">
        <v>3082</v>
      </c>
      <c r="C2626">
        <f>0</f>
        <v>0</v>
      </c>
      <c r="D2626">
        <v>0.97383834549500004</v>
      </c>
      <c r="E2626">
        <v>12.9175412293853</v>
      </c>
    </row>
    <row r="2627" spans="1:5">
      <c r="A2627" t="s">
        <v>3080</v>
      </c>
      <c r="B2627" t="s">
        <v>3083</v>
      </c>
      <c r="C2627">
        <f>0</f>
        <v>0</v>
      </c>
      <c r="D2627">
        <v>0.97383834549500004</v>
      </c>
      <c r="E2627">
        <v>12.9175412293853</v>
      </c>
    </row>
    <row r="2628" spans="1:5">
      <c r="A2628" t="s">
        <v>3080</v>
      </c>
      <c r="B2628" t="s">
        <v>3084</v>
      </c>
      <c r="C2628">
        <f>0.188013401093</f>
        <v>0.18801340109299999</v>
      </c>
      <c r="D2628">
        <v>0.97383834549500004</v>
      </c>
      <c r="E2628">
        <v>12.9175412293853</v>
      </c>
    </row>
    <row r="2629" spans="1:5">
      <c r="A2629" t="s">
        <v>3080</v>
      </c>
      <c r="B2629" t="s">
        <v>3085</v>
      </c>
      <c r="C2629">
        <v>0</v>
      </c>
      <c r="D2629">
        <v>0.97383834549500004</v>
      </c>
      <c r="E2629">
        <v>12.9175412293853</v>
      </c>
    </row>
    <row r="2630" spans="1:5">
      <c r="A2630" t="s">
        <v>3080</v>
      </c>
      <c r="B2630" t="s">
        <v>3086</v>
      </c>
      <c r="C2630">
        <v>0.20797219768700001</v>
      </c>
      <c r="D2630">
        <v>0.97383834549500004</v>
      </c>
      <c r="E2630">
        <v>12.9175412293853</v>
      </c>
    </row>
    <row r="2631" spans="1:5">
      <c r="A2631" t="s">
        <v>3080</v>
      </c>
      <c r="B2631" t="s">
        <v>3087</v>
      </c>
      <c r="C2631">
        <v>0</v>
      </c>
      <c r="D2631">
        <v>0.97383834549500004</v>
      </c>
      <c r="E2631">
        <v>12.9175412293853</v>
      </c>
    </row>
    <row r="2632" spans="1:5">
      <c r="A2632" t="s">
        <v>3088</v>
      </c>
      <c r="B2632" t="s">
        <v>3089</v>
      </c>
      <c r="C2632">
        <v>0</v>
      </c>
      <c r="D2632" t="s">
        <v>106</v>
      </c>
      <c r="E2632">
        <v>16.095952023988001</v>
      </c>
    </row>
    <row r="2633" spans="1:5">
      <c r="A2633" t="s">
        <v>3090</v>
      </c>
      <c r="B2633" t="s">
        <v>3091</v>
      </c>
      <c r="C2633">
        <v>0</v>
      </c>
      <c r="D2633">
        <v>0.85197342223700001</v>
      </c>
      <c r="E2633">
        <v>5.5772113943028403</v>
      </c>
    </row>
    <row r="2634" spans="1:5">
      <c r="A2634" t="s">
        <v>3090</v>
      </c>
      <c r="B2634" t="s">
        <v>3092</v>
      </c>
      <c r="C2634">
        <f>0</f>
        <v>0</v>
      </c>
      <c r="D2634">
        <v>0.85197342223700001</v>
      </c>
      <c r="E2634">
        <v>5.5772113943028403</v>
      </c>
    </row>
    <row r="2635" spans="1:5">
      <c r="A2635" t="s">
        <v>3090</v>
      </c>
      <c r="B2635" t="s">
        <v>3093</v>
      </c>
      <c r="C2635">
        <v>0</v>
      </c>
      <c r="D2635">
        <v>0.85197342223700001</v>
      </c>
      <c r="E2635">
        <v>5.5772113943028403</v>
      </c>
    </row>
    <row r="2636" spans="1:5">
      <c r="A2636" t="s">
        <v>3090</v>
      </c>
      <c r="B2636" t="s">
        <v>3094</v>
      </c>
      <c r="C2636">
        <v>0.132361491277</v>
      </c>
      <c r="D2636">
        <v>0.85197342223700001</v>
      </c>
      <c r="E2636">
        <v>5.5772113943028403</v>
      </c>
    </row>
    <row r="2637" spans="1:5">
      <c r="A2637" t="s">
        <v>3095</v>
      </c>
      <c r="B2637" t="s">
        <v>3096</v>
      </c>
      <c r="C2637">
        <v>0</v>
      </c>
      <c r="D2637" t="s">
        <v>106</v>
      </c>
      <c r="E2637">
        <v>2.8785607196401801</v>
      </c>
    </row>
    <row r="2638" spans="1:5">
      <c r="A2638" t="s">
        <v>3097</v>
      </c>
      <c r="B2638" t="s">
        <v>3098</v>
      </c>
      <c r="C2638">
        <f>0</f>
        <v>0</v>
      </c>
      <c r="D2638" t="s">
        <v>106</v>
      </c>
      <c r="E2638">
        <v>7.1964017991004496</v>
      </c>
    </row>
    <row r="2639" spans="1:5">
      <c r="A2639" t="s">
        <v>3097</v>
      </c>
      <c r="B2639" t="s">
        <v>3099</v>
      </c>
      <c r="C2639">
        <v>0</v>
      </c>
      <c r="D2639" t="s">
        <v>106</v>
      </c>
      <c r="E2639">
        <v>7.1964017991004496</v>
      </c>
    </row>
    <row r="2640" spans="1:5">
      <c r="A2640" t="s">
        <v>3097</v>
      </c>
      <c r="B2640" t="s">
        <v>3100</v>
      </c>
      <c r="C2640">
        <f>0</f>
        <v>0</v>
      </c>
      <c r="D2640" t="s">
        <v>106</v>
      </c>
      <c r="E2640">
        <v>7.1964017991004496</v>
      </c>
    </row>
    <row r="2641" spans="1:5">
      <c r="A2641" t="s">
        <v>3097</v>
      </c>
      <c r="B2641" t="s">
        <v>3101</v>
      </c>
      <c r="C2641">
        <v>0</v>
      </c>
      <c r="D2641" t="s">
        <v>106</v>
      </c>
      <c r="E2641">
        <v>7.1964017991004496</v>
      </c>
    </row>
    <row r="2642" spans="1:5">
      <c r="A2642" t="s">
        <v>3097</v>
      </c>
      <c r="B2642" t="s">
        <v>3102</v>
      </c>
      <c r="C2642">
        <f>0</f>
        <v>0</v>
      </c>
      <c r="D2642" t="s">
        <v>106</v>
      </c>
      <c r="E2642">
        <v>7.1964017991004496</v>
      </c>
    </row>
    <row r="2643" spans="1:5">
      <c r="A2643" t="s">
        <v>3097</v>
      </c>
      <c r="B2643" t="s">
        <v>3103</v>
      </c>
      <c r="C2643">
        <f>0</f>
        <v>0</v>
      </c>
      <c r="D2643" t="s">
        <v>106</v>
      </c>
      <c r="E2643">
        <v>7.1964017991004496</v>
      </c>
    </row>
    <row r="2644" spans="1:5">
      <c r="A2644" t="s">
        <v>3097</v>
      </c>
      <c r="B2644" t="s">
        <v>3104</v>
      </c>
      <c r="C2644">
        <f>0</f>
        <v>0</v>
      </c>
      <c r="D2644" t="s">
        <v>106</v>
      </c>
      <c r="E2644">
        <v>7.1964017991004496</v>
      </c>
    </row>
    <row r="2645" spans="1:5">
      <c r="A2645" t="s">
        <v>3105</v>
      </c>
      <c r="B2645" t="s">
        <v>3106</v>
      </c>
      <c r="C2645">
        <v>0.99493225118700002</v>
      </c>
      <c r="D2645">
        <v>0.99191860729900005</v>
      </c>
      <c r="E2645">
        <v>3.5862068965517202</v>
      </c>
    </row>
    <row r="2646" spans="1:5">
      <c r="A2646" t="s">
        <v>3105</v>
      </c>
      <c r="B2646" t="s">
        <v>3107</v>
      </c>
      <c r="C2646">
        <f>-1.35105635204</f>
        <v>-1.3510563520400001</v>
      </c>
      <c r="D2646">
        <v>0.99191860729900005</v>
      </c>
      <c r="E2646">
        <v>3.5862068965517202</v>
      </c>
    </row>
    <row r="2647" spans="1:5">
      <c r="A2647" t="s">
        <v>3108</v>
      </c>
      <c r="B2647" t="s">
        <v>3109</v>
      </c>
      <c r="C2647">
        <v>0</v>
      </c>
      <c r="D2647">
        <v>0.99940791428800002</v>
      </c>
      <c r="E2647">
        <v>1.39130434782608</v>
      </c>
    </row>
    <row r="2648" spans="1:5">
      <c r="A2648" t="s">
        <v>3108</v>
      </c>
      <c r="B2648" t="s">
        <v>3110</v>
      </c>
      <c r="C2648">
        <v>0</v>
      </c>
      <c r="D2648">
        <v>0.99940791428800002</v>
      </c>
      <c r="E2648">
        <v>1.39130434782608</v>
      </c>
    </row>
    <row r="2649" spans="1:5">
      <c r="A2649" t="s">
        <v>3108</v>
      </c>
      <c r="B2649" t="s">
        <v>3111</v>
      </c>
      <c r="C2649">
        <v>0.231293780719</v>
      </c>
      <c r="D2649">
        <v>0.99940791428800002</v>
      </c>
      <c r="E2649">
        <v>1.39130434782608</v>
      </c>
    </row>
    <row r="2650" spans="1:5">
      <c r="A2650" t="s">
        <v>3108</v>
      </c>
      <c r="B2650" t="s">
        <v>3112</v>
      </c>
      <c r="C2650">
        <v>0</v>
      </c>
      <c r="D2650">
        <v>0.99940791428800002</v>
      </c>
      <c r="E2650">
        <v>1.39130434782608</v>
      </c>
    </row>
    <row r="2651" spans="1:5">
      <c r="A2651" t="s">
        <v>3108</v>
      </c>
      <c r="B2651" t="s">
        <v>3113</v>
      </c>
      <c r="C2651">
        <f>0</f>
        <v>0</v>
      </c>
      <c r="D2651">
        <v>0.99940791428800002</v>
      </c>
      <c r="E2651">
        <v>1.39130434782608</v>
      </c>
    </row>
    <row r="2652" spans="1:5">
      <c r="A2652" t="s">
        <v>3108</v>
      </c>
      <c r="B2652" t="s">
        <v>3114</v>
      </c>
      <c r="C2652">
        <v>0</v>
      </c>
      <c r="D2652">
        <v>0.99940791428800002</v>
      </c>
      <c r="E2652">
        <v>1.39130434782608</v>
      </c>
    </row>
    <row r="2653" spans="1:5">
      <c r="A2653" t="s">
        <v>3108</v>
      </c>
      <c r="B2653" t="s">
        <v>3115</v>
      </c>
      <c r="C2653">
        <v>0</v>
      </c>
      <c r="D2653">
        <v>0.99940791428800002</v>
      </c>
      <c r="E2653">
        <v>1.39130434782608</v>
      </c>
    </row>
    <row r="2654" spans="1:5">
      <c r="A2654" t="s">
        <v>3108</v>
      </c>
      <c r="B2654" t="s">
        <v>3116</v>
      </c>
      <c r="C2654">
        <v>0.28708312070499997</v>
      </c>
      <c r="D2654">
        <v>0.99940791428800002</v>
      </c>
      <c r="E2654">
        <v>1.39130434782608</v>
      </c>
    </row>
    <row r="2655" spans="1:5">
      <c r="A2655" t="s">
        <v>3117</v>
      </c>
      <c r="B2655" t="s">
        <v>3118</v>
      </c>
      <c r="C2655">
        <f>0</f>
        <v>0</v>
      </c>
      <c r="D2655" t="s">
        <v>106</v>
      </c>
      <c r="E2655">
        <v>24</v>
      </c>
    </row>
    <row r="2656" spans="1:5">
      <c r="A2656" t="s">
        <v>3117</v>
      </c>
      <c r="B2656" t="s">
        <v>3119</v>
      </c>
      <c r="C2656">
        <v>5.7971632617000002E-2</v>
      </c>
      <c r="D2656" t="s">
        <v>106</v>
      </c>
      <c r="E2656">
        <v>24</v>
      </c>
    </row>
    <row r="2657" spans="1:5">
      <c r="A2657" t="s">
        <v>3117</v>
      </c>
      <c r="B2657" t="s">
        <v>3120</v>
      </c>
      <c r="C2657">
        <v>0</v>
      </c>
      <c r="D2657" t="s">
        <v>106</v>
      </c>
      <c r="E2657">
        <v>24</v>
      </c>
    </row>
    <row r="2658" spans="1:5">
      <c r="A2658" t="s">
        <v>3117</v>
      </c>
      <c r="B2658" t="s">
        <v>3121</v>
      </c>
      <c r="C2658">
        <v>0</v>
      </c>
      <c r="D2658" t="s">
        <v>106</v>
      </c>
      <c r="E2658">
        <v>24</v>
      </c>
    </row>
    <row r="2659" spans="1:5">
      <c r="A2659" t="s">
        <v>3117</v>
      </c>
      <c r="B2659" t="s">
        <v>3122</v>
      </c>
      <c r="C2659">
        <f>0.109075044949</f>
        <v>0.109075044949</v>
      </c>
      <c r="D2659" t="s">
        <v>106</v>
      </c>
      <c r="E2659">
        <v>24</v>
      </c>
    </row>
    <row r="2660" spans="1:5">
      <c r="A2660" t="s">
        <v>3123</v>
      </c>
      <c r="B2660" t="s">
        <v>3124</v>
      </c>
      <c r="C2660">
        <v>0</v>
      </c>
      <c r="D2660">
        <v>0.95382281676900005</v>
      </c>
      <c r="E2660">
        <v>1.00749625187406</v>
      </c>
    </row>
    <row r="2661" spans="1:5">
      <c r="A2661" t="s">
        <v>3123</v>
      </c>
      <c r="B2661" t="s">
        <v>3125</v>
      </c>
      <c r="C2661">
        <v>0.28599174856199999</v>
      </c>
      <c r="D2661">
        <v>0.95382281676900005</v>
      </c>
      <c r="E2661">
        <v>1.00749625187406</v>
      </c>
    </row>
    <row r="2662" spans="1:5">
      <c r="A2662" t="s">
        <v>3123</v>
      </c>
      <c r="B2662" t="s">
        <v>3126</v>
      </c>
      <c r="C2662">
        <f>0.557913450442</f>
        <v>0.55791345044200003</v>
      </c>
      <c r="D2662">
        <v>0.95382281676900005</v>
      </c>
      <c r="E2662">
        <v>1.00749625187406</v>
      </c>
    </row>
    <row r="2663" spans="1:5">
      <c r="A2663" t="s">
        <v>3123</v>
      </c>
      <c r="B2663" t="s">
        <v>3127</v>
      </c>
      <c r="C2663">
        <v>0</v>
      </c>
      <c r="D2663">
        <v>0.95382281676900005</v>
      </c>
      <c r="E2663">
        <v>1.00749625187406</v>
      </c>
    </row>
    <row r="2664" spans="1:5">
      <c r="A2664" t="s">
        <v>3123</v>
      </c>
      <c r="B2664" t="s">
        <v>3128</v>
      </c>
      <c r="C2664">
        <v>0</v>
      </c>
      <c r="D2664">
        <v>0.95382281676900005</v>
      </c>
      <c r="E2664">
        <v>1.00749625187406</v>
      </c>
    </row>
    <row r="2665" spans="1:5">
      <c r="A2665" t="s">
        <v>3129</v>
      </c>
      <c r="B2665" t="s">
        <v>3130</v>
      </c>
      <c r="C2665">
        <f>0.00206599135669</f>
        <v>2.0659913566900001E-3</v>
      </c>
      <c r="D2665" t="s">
        <v>106</v>
      </c>
      <c r="E2665">
        <v>22.5727136431784</v>
      </c>
    </row>
    <row r="2666" spans="1:5">
      <c r="A2666" t="s">
        <v>3129</v>
      </c>
      <c r="B2666" t="s">
        <v>3131</v>
      </c>
      <c r="C2666">
        <v>0</v>
      </c>
      <c r="D2666" t="s">
        <v>106</v>
      </c>
      <c r="E2666">
        <v>22.5727136431784</v>
      </c>
    </row>
    <row r="2667" spans="1:5">
      <c r="A2667" t="s">
        <v>3129</v>
      </c>
      <c r="B2667" t="s">
        <v>3132</v>
      </c>
      <c r="C2667">
        <v>5.4855735014300001E-2</v>
      </c>
      <c r="D2667" t="s">
        <v>106</v>
      </c>
      <c r="E2667">
        <v>22.5727136431784</v>
      </c>
    </row>
    <row r="2668" spans="1:5">
      <c r="A2668" t="s">
        <v>3129</v>
      </c>
      <c r="B2668" t="s">
        <v>3133</v>
      </c>
      <c r="C2668">
        <v>0</v>
      </c>
      <c r="D2668" t="s">
        <v>106</v>
      </c>
      <c r="E2668">
        <v>22.5727136431784</v>
      </c>
    </row>
    <row r="2669" spans="1:5">
      <c r="A2669" t="s">
        <v>3134</v>
      </c>
      <c r="B2669" t="s">
        <v>3135</v>
      </c>
      <c r="C2669">
        <f>0</f>
        <v>0</v>
      </c>
      <c r="D2669">
        <v>0.98837332388999999</v>
      </c>
      <c r="E2669">
        <v>9.3073463268365799</v>
      </c>
    </row>
    <row r="2670" spans="1:5">
      <c r="A2670" t="s">
        <v>3134</v>
      </c>
      <c r="B2670" t="s">
        <v>3136</v>
      </c>
      <c r="C2670">
        <f>0</f>
        <v>0</v>
      </c>
      <c r="D2670">
        <v>0.98837332388999999</v>
      </c>
      <c r="E2670">
        <v>9.3073463268365799</v>
      </c>
    </row>
    <row r="2671" spans="1:5">
      <c r="A2671" t="s">
        <v>3134</v>
      </c>
      <c r="B2671" t="s">
        <v>3137</v>
      </c>
      <c r="C2671">
        <f>0</f>
        <v>0</v>
      </c>
      <c r="D2671">
        <v>0.98837332388999999</v>
      </c>
      <c r="E2671">
        <v>9.3073463268365799</v>
      </c>
    </row>
    <row r="2672" spans="1:5">
      <c r="A2672" t="s">
        <v>3134</v>
      </c>
      <c r="B2672" t="s">
        <v>3138</v>
      </c>
      <c r="C2672">
        <f>0</f>
        <v>0</v>
      </c>
      <c r="D2672">
        <v>0.98837332388999999</v>
      </c>
      <c r="E2672">
        <v>9.3073463268365799</v>
      </c>
    </row>
    <row r="2673" spans="1:5">
      <c r="A2673" t="s">
        <v>3134</v>
      </c>
      <c r="B2673" t="s">
        <v>3139</v>
      </c>
      <c r="C2673">
        <f>0.287806038273</f>
        <v>0.287806038273</v>
      </c>
      <c r="D2673">
        <v>0.98837332388999999</v>
      </c>
      <c r="E2673">
        <v>9.3073463268365799</v>
      </c>
    </row>
    <row r="2674" spans="1:5">
      <c r="A2674" t="s">
        <v>3134</v>
      </c>
      <c r="B2674" t="s">
        <v>3140</v>
      </c>
      <c r="C2674">
        <f>0.0256500692162</f>
        <v>2.56500692162E-2</v>
      </c>
      <c r="D2674">
        <v>0.98837332388999999</v>
      </c>
      <c r="E2674">
        <v>9.3073463268365799</v>
      </c>
    </row>
    <row r="2675" spans="1:5">
      <c r="A2675" t="s">
        <v>3134</v>
      </c>
      <c r="B2675" t="s">
        <v>3141</v>
      </c>
      <c r="C2675">
        <v>0</v>
      </c>
      <c r="D2675">
        <v>0.98837332388999999</v>
      </c>
      <c r="E2675">
        <v>9.3073463268365799</v>
      </c>
    </row>
    <row r="2676" spans="1:5">
      <c r="A2676" t="s">
        <v>3134</v>
      </c>
      <c r="B2676" t="s">
        <v>3142</v>
      </c>
      <c r="C2676">
        <v>0</v>
      </c>
      <c r="D2676">
        <v>0.98837332388999999</v>
      </c>
      <c r="E2676">
        <v>9.3073463268365799</v>
      </c>
    </row>
    <row r="2677" spans="1:5">
      <c r="A2677" t="s">
        <v>3134</v>
      </c>
      <c r="B2677" t="s">
        <v>3143</v>
      </c>
      <c r="C2677">
        <f>0</f>
        <v>0</v>
      </c>
      <c r="D2677">
        <v>0.98837332388999999</v>
      </c>
      <c r="E2677">
        <v>9.3073463268365799</v>
      </c>
    </row>
    <row r="2678" spans="1:5">
      <c r="A2678" t="s">
        <v>3134</v>
      </c>
      <c r="B2678" t="s">
        <v>3144</v>
      </c>
      <c r="C2678">
        <f>0</f>
        <v>0</v>
      </c>
      <c r="D2678">
        <v>0.98837332388999999</v>
      </c>
      <c r="E2678">
        <v>9.3073463268365799</v>
      </c>
    </row>
    <row r="2679" spans="1:5">
      <c r="A2679" t="s">
        <v>3145</v>
      </c>
      <c r="B2679" t="s">
        <v>3146</v>
      </c>
      <c r="C2679">
        <v>0</v>
      </c>
      <c r="D2679">
        <v>0.99255890445399997</v>
      </c>
      <c r="E2679">
        <v>24</v>
      </c>
    </row>
    <row r="2680" spans="1:5">
      <c r="A2680" t="s">
        <v>3145</v>
      </c>
      <c r="B2680" t="s">
        <v>3147</v>
      </c>
      <c r="C2680">
        <f>0</f>
        <v>0</v>
      </c>
      <c r="D2680">
        <v>0.99255890445399997</v>
      </c>
      <c r="E2680">
        <v>24</v>
      </c>
    </row>
    <row r="2681" spans="1:5">
      <c r="A2681" t="s">
        <v>3145</v>
      </c>
      <c r="B2681" t="s">
        <v>3148</v>
      </c>
      <c r="C2681">
        <v>0</v>
      </c>
      <c r="D2681">
        <v>0.99255890445399997</v>
      </c>
      <c r="E2681">
        <v>24</v>
      </c>
    </row>
    <row r="2682" spans="1:5">
      <c r="A2682" t="s">
        <v>3145</v>
      </c>
      <c r="B2682" t="s">
        <v>3149</v>
      </c>
      <c r="C2682">
        <v>3.5436095211800002E-2</v>
      </c>
      <c r="D2682">
        <v>0.99255890445399997</v>
      </c>
      <c r="E2682">
        <v>24</v>
      </c>
    </row>
    <row r="2683" spans="1:5">
      <c r="A2683" t="s">
        <v>3145</v>
      </c>
      <c r="B2683" t="s">
        <v>3150</v>
      </c>
      <c r="C2683">
        <v>0</v>
      </c>
      <c r="D2683">
        <v>0.99255890445399997</v>
      </c>
      <c r="E2683">
        <v>24</v>
      </c>
    </row>
    <row r="2684" spans="1:5">
      <c r="A2684" t="s">
        <v>3145</v>
      </c>
      <c r="B2684" t="s">
        <v>3151</v>
      </c>
      <c r="C2684">
        <v>2.9611619835700001E-2</v>
      </c>
      <c r="D2684">
        <v>0.99255890445399997</v>
      </c>
      <c r="E2684">
        <v>24</v>
      </c>
    </row>
    <row r="2685" spans="1:5">
      <c r="A2685" t="s">
        <v>3145</v>
      </c>
      <c r="B2685" t="s">
        <v>3152</v>
      </c>
      <c r="C2685">
        <f>0</f>
        <v>0</v>
      </c>
      <c r="D2685">
        <v>0.99255890445399997</v>
      </c>
      <c r="E2685">
        <v>24</v>
      </c>
    </row>
    <row r="2686" spans="1:5">
      <c r="A2686" t="s">
        <v>3145</v>
      </c>
      <c r="B2686" t="s">
        <v>3153</v>
      </c>
      <c r="C2686">
        <v>0</v>
      </c>
      <c r="D2686">
        <v>0.99255890445399997</v>
      </c>
      <c r="E2686">
        <v>24</v>
      </c>
    </row>
    <row r="2687" spans="1:5">
      <c r="A2687" t="s">
        <v>3154</v>
      </c>
      <c r="B2687" t="s">
        <v>3155</v>
      </c>
      <c r="C2687">
        <v>0</v>
      </c>
      <c r="D2687" t="s">
        <v>106</v>
      </c>
      <c r="E2687">
        <v>11.0344827586206</v>
      </c>
    </row>
    <row r="2688" spans="1:5">
      <c r="A2688" t="s">
        <v>3154</v>
      </c>
      <c r="B2688" t="s">
        <v>3156</v>
      </c>
      <c r="C2688">
        <v>0</v>
      </c>
      <c r="D2688" t="s">
        <v>106</v>
      </c>
      <c r="E2688">
        <v>11.0344827586206</v>
      </c>
    </row>
    <row r="2689" spans="1:5">
      <c r="A2689" t="s">
        <v>3154</v>
      </c>
      <c r="B2689" t="s">
        <v>3157</v>
      </c>
      <c r="C2689">
        <v>0</v>
      </c>
      <c r="D2689" t="s">
        <v>106</v>
      </c>
      <c r="E2689">
        <v>11.0344827586206</v>
      </c>
    </row>
    <row r="2690" spans="1:5">
      <c r="A2690" t="s">
        <v>3154</v>
      </c>
      <c r="B2690" t="s">
        <v>3158</v>
      </c>
      <c r="C2690">
        <v>0</v>
      </c>
      <c r="D2690" t="s">
        <v>106</v>
      </c>
      <c r="E2690">
        <v>11.0344827586206</v>
      </c>
    </row>
    <row r="2691" spans="1:5">
      <c r="A2691" t="s">
        <v>3154</v>
      </c>
      <c r="B2691" t="s">
        <v>3159</v>
      </c>
      <c r="C2691">
        <f>0</f>
        <v>0</v>
      </c>
      <c r="D2691" t="s">
        <v>106</v>
      </c>
      <c r="E2691">
        <v>11.0344827586206</v>
      </c>
    </row>
    <row r="2692" spans="1:5">
      <c r="A2692" t="s">
        <v>3154</v>
      </c>
      <c r="B2692" t="s">
        <v>3160</v>
      </c>
      <c r="C2692">
        <v>0</v>
      </c>
      <c r="D2692" t="s">
        <v>106</v>
      </c>
      <c r="E2692">
        <v>11.0344827586206</v>
      </c>
    </row>
    <row r="2693" spans="1:5">
      <c r="A2693" t="s">
        <v>3154</v>
      </c>
      <c r="B2693" t="s">
        <v>3161</v>
      </c>
      <c r="C2693">
        <v>0</v>
      </c>
      <c r="D2693" t="s">
        <v>106</v>
      </c>
      <c r="E2693">
        <v>11.0344827586206</v>
      </c>
    </row>
    <row r="2694" spans="1:5">
      <c r="A2694" t="s">
        <v>3162</v>
      </c>
      <c r="B2694" t="s">
        <v>3163</v>
      </c>
      <c r="C2694">
        <v>0</v>
      </c>
      <c r="D2694" t="s">
        <v>106</v>
      </c>
      <c r="E2694">
        <v>14.176911544227799</v>
      </c>
    </row>
    <row r="2695" spans="1:5">
      <c r="A2695" t="s">
        <v>3162</v>
      </c>
      <c r="B2695" t="s">
        <v>3164</v>
      </c>
      <c r="C2695">
        <f>0</f>
        <v>0</v>
      </c>
      <c r="D2695" t="s">
        <v>106</v>
      </c>
      <c r="E2695">
        <v>14.176911544227799</v>
      </c>
    </row>
    <row r="2696" spans="1:5">
      <c r="A2696" t="s">
        <v>3165</v>
      </c>
      <c r="B2696" t="s">
        <v>3166</v>
      </c>
      <c r="C2696">
        <v>0.454568607884</v>
      </c>
      <c r="D2696">
        <v>0.97851163018200005</v>
      </c>
      <c r="E2696">
        <v>9.9190404797601204</v>
      </c>
    </row>
    <row r="2697" spans="1:5">
      <c r="A2697" t="s">
        <v>3165</v>
      </c>
      <c r="B2697" t="s">
        <v>3167</v>
      </c>
      <c r="C2697">
        <v>0</v>
      </c>
      <c r="D2697">
        <v>0.97851163018200005</v>
      </c>
      <c r="E2697">
        <v>9.9190404797601204</v>
      </c>
    </row>
    <row r="2698" spans="1:5">
      <c r="A2698" t="s">
        <v>3165</v>
      </c>
      <c r="B2698" t="s">
        <v>3168</v>
      </c>
      <c r="C2698">
        <f>0</f>
        <v>0</v>
      </c>
      <c r="D2698">
        <v>0.97851163018200005</v>
      </c>
      <c r="E2698">
        <v>9.9190404797601204</v>
      </c>
    </row>
    <row r="2699" spans="1:5">
      <c r="A2699" t="s">
        <v>3165</v>
      </c>
      <c r="B2699" t="s">
        <v>3169</v>
      </c>
      <c r="C2699">
        <f>0</f>
        <v>0</v>
      </c>
      <c r="D2699">
        <v>0.97851163018200005</v>
      </c>
      <c r="E2699">
        <v>9.9190404797601204</v>
      </c>
    </row>
    <row r="2700" spans="1:5">
      <c r="A2700" t="s">
        <v>3165</v>
      </c>
      <c r="B2700" t="s">
        <v>3170</v>
      </c>
      <c r="C2700">
        <f>0</f>
        <v>0</v>
      </c>
      <c r="D2700">
        <v>0.97851163018200005</v>
      </c>
      <c r="E2700">
        <v>9.9190404797601204</v>
      </c>
    </row>
    <row r="2701" spans="1:5">
      <c r="A2701" t="s">
        <v>3171</v>
      </c>
      <c r="B2701" t="s">
        <v>3172</v>
      </c>
      <c r="C2701">
        <v>0</v>
      </c>
      <c r="D2701">
        <v>0.98918243520500004</v>
      </c>
      <c r="E2701">
        <v>7.4602698650674597</v>
      </c>
    </row>
    <row r="2702" spans="1:5">
      <c r="A2702" t="s">
        <v>3171</v>
      </c>
      <c r="B2702" t="s">
        <v>3173</v>
      </c>
      <c r="C2702">
        <v>0.79518810830499997</v>
      </c>
      <c r="D2702">
        <v>0.98918243520500004</v>
      </c>
      <c r="E2702">
        <v>7.4602698650674597</v>
      </c>
    </row>
    <row r="2703" spans="1:5">
      <c r="A2703" t="s">
        <v>3171</v>
      </c>
      <c r="B2703" t="s">
        <v>3174</v>
      </c>
      <c r="C2703">
        <f>0</f>
        <v>0</v>
      </c>
      <c r="D2703">
        <v>0.98918243520500004</v>
      </c>
      <c r="E2703">
        <v>7.4602698650674597</v>
      </c>
    </row>
    <row r="2704" spans="1:5">
      <c r="A2704" t="s">
        <v>3171</v>
      </c>
      <c r="B2704" t="s">
        <v>3175</v>
      </c>
      <c r="C2704">
        <v>0</v>
      </c>
      <c r="D2704">
        <v>0.98918243520500004</v>
      </c>
      <c r="E2704">
        <v>7.4602698650674597</v>
      </c>
    </row>
    <row r="2705" spans="1:5">
      <c r="A2705" t="s">
        <v>3171</v>
      </c>
      <c r="B2705" t="s">
        <v>3176</v>
      </c>
      <c r="C2705">
        <f>0</f>
        <v>0</v>
      </c>
      <c r="D2705">
        <v>0.98918243520500004</v>
      </c>
      <c r="E2705">
        <v>7.4602698650674597</v>
      </c>
    </row>
    <row r="2706" spans="1:5">
      <c r="A2706" t="s">
        <v>3171</v>
      </c>
      <c r="B2706" t="s">
        <v>3177</v>
      </c>
      <c r="C2706">
        <f>0.0243690524119</f>
        <v>2.4369052411899999E-2</v>
      </c>
      <c r="D2706">
        <v>0.98918243520500004</v>
      </c>
      <c r="E2706">
        <v>7.4602698650674597</v>
      </c>
    </row>
    <row r="2707" spans="1:5">
      <c r="A2707" t="s">
        <v>3171</v>
      </c>
      <c r="B2707" t="s">
        <v>3178</v>
      </c>
      <c r="C2707">
        <f>0</f>
        <v>0</v>
      </c>
      <c r="D2707">
        <v>0.98918243520500004</v>
      </c>
      <c r="E2707">
        <v>7.4602698650674597</v>
      </c>
    </row>
    <row r="2708" spans="1:5">
      <c r="A2708" t="s">
        <v>3171</v>
      </c>
      <c r="B2708" t="s">
        <v>3179</v>
      </c>
      <c r="C2708">
        <f>0</f>
        <v>0</v>
      </c>
      <c r="D2708">
        <v>0.98918243520500004</v>
      </c>
      <c r="E2708">
        <v>7.4602698650674597</v>
      </c>
    </row>
    <row r="2709" spans="1:5">
      <c r="A2709" t="s">
        <v>3171</v>
      </c>
      <c r="B2709" t="s">
        <v>3180</v>
      </c>
      <c r="C2709">
        <v>0</v>
      </c>
      <c r="D2709">
        <v>0.98918243520500004</v>
      </c>
      <c r="E2709">
        <v>7.4602698650674597</v>
      </c>
    </row>
    <row r="2710" spans="1:5">
      <c r="A2710" t="s">
        <v>3181</v>
      </c>
      <c r="B2710" t="s">
        <v>3182</v>
      </c>
      <c r="C2710">
        <v>0</v>
      </c>
      <c r="D2710">
        <v>0.76665582691900003</v>
      </c>
      <c r="E2710">
        <v>18.554722638680602</v>
      </c>
    </row>
    <row r="2711" spans="1:5">
      <c r="A2711" t="s">
        <v>3181</v>
      </c>
      <c r="B2711" t="s">
        <v>3183</v>
      </c>
      <c r="C2711">
        <v>7.8370647492100001E-2</v>
      </c>
      <c r="D2711">
        <v>0.76665582691900003</v>
      </c>
      <c r="E2711">
        <v>18.554722638680602</v>
      </c>
    </row>
    <row r="2712" spans="1:5">
      <c r="A2712" t="s">
        <v>3181</v>
      </c>
      <c r="B2712" t="s">
        <v>3184</v>
      </c>
      <c r="C2712">
        <v>0</v>
      </c>
      <c r="D2712">
        <v>0.76665582691900003</v>
      </c>
      <c r="E2712">
        <v>18.554722638680602</v>
      </c>
    </row>
    <row r="2713" spans="1:5">
      <c r="A2713" t="s">
        <v>3185</v>
      </c>
      <c r="B2713" t="s">
        <v>3186</v>
      </c>
      <c r="C2713">
        <v>0</v>
      </c>
      <c r="D2713" t="s">
        <v>106</v>
      </c>
      <c r="E2713">
        <v>11.202398800599701</v>
      </c>
    </row>
    <row r="2714" spans="1:5">
      <c r="A2714" t="s">
        <v>3185</v>
      </c>
      <c r="B2714" t="s">
        <v>3187</v>
      </c>
      <c r="C2714">
        <f>0</f>
        <v>0</v>
      </c>
      <c r="D2714" t="s">
        <v>106</v>
      </c>
      <c r="E2714">
        <v>11.202398800599701</v>
      </c>
    </row>
    <row r="2715" spans="1:5">
      <c r="A2715" t="s">
        <v>3185</v>
      </c>
      <c r="B2715" t="s">
        <v>3188</v>
      </c>
      <c r="C2715">
        <f>0</f>
        <v>0</v>
      </c>
      <c r="D2715" t="s">
        <v>106</v>
      </c>
      <c r="E2715">
        <v>11.202398800599701</v>
      </c>
    </row>
    <row r="2716" spans="1:5">
      <c r="A2716" t="s">
        <v>3185</v>
      </c>
      <c r="B2716" t="s">
        <v>3189</v>
      </c>
      <c r="C2716">
        <f>0</f>
        <v>0</v>
      </c>
      <c r="D2716" t="s">
        <v>106</v>
      </c>
      <c r="E2716">
        <v>11.202398800599701</v>
      </c>
    </row>
    <row r="2717" spans="1:5">
      <c r="A2717" t="s">
        <v>3185</v>
      </c>
      <c r="B2717" t="s">
        <v>3190</v>
      </c>
      <c r="C2717">
        <f>0</f>
        <v>0</v>
      </c>
      <c r="D2717" t="s">
        <v>106</v>
      </c>
      <c r="E2717">
        <v>11.202398800599701</v>
      </c>
    </row>
    <row r="2718" spans="1:5">
      <c r="A2718" t="s">
        <v>3191</v>
      </c>
      <c r="B2718" t="s">
        <v>3192</v>
      </c>
      <c r="C2718">
        <v>0</v>
      </c>
      <c r="D2718">
        <v>0.684361997276</v>
      </c>
      <c r="E2718">
        <v>4.1739130434782599</v>
      </c>
    </row>
    <row r="2719" spans="1:5">
      <c r="A2719" t="s">
        <v>3191</v>
      </c>
      <c r="B2719" t="s">
        <v>3193</v>
      </c>
      <c r="C2719">
        <v>0</v>
      </c>
      <c r="D2719">
        <v>0.684361997276</v>
      </c>
      <c r="E2719">
        <v>4.1739130434782599</v>
      </c>
    </row>
    <row r="2720" spans="1:5">
      <c r="A2720" t="s">
        <v>3191</v>
      </c>
      <c r="B2720" t="s">
        <v>3194</v>
      </c>
      <c r="C2720">
        <v>0</v>
      </c>
      <c r="D2720">
        <v>0.684361997276</v>
      </c>
      <c r="E2720">
        <v>4.1739130434782599</v>
      </c>
    </row>
    <row r="2721" spans="1:5">
      <c r="A2721" t="s">
        <v>3191</v>
      </c>
      <c r="B2721" t="s">
        <v>3195</v>
      </c>
      <c r="C2721">
        <v>0</v>
      </c>
      <c r="D2721">
        <v>0.684361997276</v>
      </c>
      <c r="E2721">
        <v>4.1739130434782599</v>
      </c>
    </row>
    <row r="2722" spans="1:5">
      <c r="A2722" t="s">
        <v>3191</v>
      </c>
      <c r="B2722" t="s">
        <v>3196</v>
      </c>
      <c r="C2722">
        <v>8.0498243160899999E-2</v>
      </c>
      <c r="D2722">
        <v>0.684361997276</v>
      </c>
      <c r="E2722">
        <v>4.1739130434782599</v>
      </c>
    </row>
    <row r="2723" spans="1:5">
      <c r="A2723" t="s">
        <v>3197</v>
      </c>
      <c r="B2723" t="s">
        <v>3198</v>
      </c>
      <c r="C2723">
        <v>0</v>
      </c>
      <c r="D2723" t="s">
        <v>106</v>
      </c>
      <c r="E2723">
        <v>13.625187406296799</v>
      </c>
    </row>
    <row r="2724" spans="1:5">
      <c r="A2724" t="s">
        <v>3197</v>
      </c>
      <c r="B2724" t="s">
        <v>3199</v>
      </c>
      <c r="C2724">
        <v>0</v>
      </c>
      <c r="D2724" t="s">
        <v>106</v>
      </c>
      <c r="E2724">
        <v>13.625187406296799</v>
      </c>
    </row>
    <row r="2725" spans="1:5">
      <c r="A2725" t="s">
        <v>3197</v>
      </c>
      <c r="B2725" t="s">
        <v>3200</v>
      </c>
      <c r="C2725">
        <v>0</v>
      </c>
      <c r="D2725" t="s">
        <v>106</v>
      </c>
      <c r="E2725">
        <v>13.625187406296799</v>
      </c>
    </row>
    <row r="2726" spans="1:5">
      <c r="A2726" t="s">
        <v>3197</v>
      </c>
      <c r="B2726" t="s">
        <v>3201</v>
      </c>
      <c r="C2726">
        <v>0</v>
      </c>
      <c r="D2726" t="s">
        <v>106</v>
      </c>
      <c r="E2726">
        <v>13.625187406296799</v>
      </c>
    </row>
    <row r="2727" spans="1:5">
      <c r="A2727" t="s">
        <v>3197</v>
      </c>
      <c r="B2727" t="s">
        <v>3202</v>
      </c>
      <c r="C2727">
        <v>0</v>
      </c>
      <c r="D2727" t="s">
        <v>106</v>
      </c>
      <c r="E2727">
        <v>13.625187406296799</v>
      </c>
    </row>
    <row r="2728" spans="1:5">
      <c r="A2728" t="s">
        <v>3197</v>
      </c>
      <c r="B2728" t="s">
        <v>3203</v>
      </c>
      <c r="C2728">
        <f>0</f>
        <v>0</v>
      </c>
      <c r="D2728" t="s">
        <v>106</v>
      </c>
      <c r="E2728">
        <v>13.625187406296799</v>
      </c>
    </row>
    <row r="2729" spans="1:5">
      <c r="A2729" t="s">
        <v>3197</v>
      </c>
      <c r="B2729" t="s">
        <v>3204</v>
      </c>
      <c r="C2729">
        <f>0</f>
        <v>0</v>
      </c>
      <c r="D2729" t="s">
        <v>106</v>
      </c>
      <c r="E2729">
        <v>13.625187406296799</v>
      </c>
    </row>
    <row r="2730" spans="1:5">
      <c r="A2730" t="s">
        <v>3197</v>
      </c>
      <c r="B2730" t="s">
        <v>3205</v>
      </c>
      <c r="C2730">
        <v>0</v>
      </c>
      <c r="D2730" t="s">
        <v>106</v>
      </c>
      <c r="E2730">
        <v>13.625187406296799</v>
      </c>
    </row>
    <row r="2731" spans="1:5">
      <c r="A2731" t="s">
        <v>3197</v>
      </c>
      <c r="B2731" t="s">
        <v>3206</v>
      </c>
      <c r="C2731">
        <v>0</v>
      </c>
      <c r="D2731" t="s">
        <v>106</v>
      </c>
      <c r="E2731">
        <v>13.625187406296799</v>
      </c>
    </row>
    <row r="2732" spans="1:5">
      <c r="A2732" t="s">
        <v>3197</v>
      </c>
      <c r="B2732" t="s">
        <v>3207</v>
      </c>
      <c r="C2732">
        <f>0</f>
        <v>0</v>
      </c>
      <c r="D2732" t="s">
        <v>106</v>
      </c>
      <c r="E2732">
        <v>13.625187406296799</v>
      </c>
    </row>
    <row r="2733" spans="1:5">
      <c r="A2733" t="s">
        <v>3197</v>
      </c>
      <c r="B2733" t="s">
        <v>3208</v>
      </c>
      <c r="C2733">
        <v>0</v>
      </c>
      <c r="D2733" t="s">
        <v>106</v>
      </c>
      <c r="E2733">
        <v>13.625187406296799</v>
      </c>
    </row>
    <row r="2734" spans="1:5">
      <c r="A2734" t="s">
        <v>3209</v>
      </c>
      <c r="B2734" t="s">
        <v>3210</v>
      </c>
      <c r="C2734">
        <f>0</f>
        <v>0</v>
      </c>
      <c r="D2734">
        <v>0.99351977790199997</v>
      </c>
      <c r="E2734">
        <v>4.1739130434782599</v>
      </c>
    </row>
    <row r="2735" spans="1:5">
      <c r="A2735" t="s">
        <v>3209</v>
      </c>
      <c r="B2735" t="s">
        <v>3211</v>
      </c>
      <c r="C2735">
        <v>0.35145413077999998</v>
      </c>
      <c r="D2735">
        <v>0.99351977790199997</v>
      </c>
      <c r="E2735">
        <v>4.1739130434782599</v>
      </c>
    </row>
    <row r="2736" spans="1:5">
      <c r="A2736" t="s">
        <v>3209</v>
      </c>
      <c r="B2736" t="s">
        <v>3212</v>
      </c>
      <c r="C2736">
        <v>0.27858410331799999</v>
      </c>
      <c r="D2736">
        <v>0.99351977790199997</v>
      </c>
      <c r="E2736">
        <v>4.1739130434782599</v>
      </c>
    </row>
    <row r="2737" spans="1:5">
      <c r="A2737" t="s">
        <v>3213</v>
      </c>
      <c r="B2737" t="s">
        <v>3214</v>
      </c>
      <c r="C2737">
        <f>0</f>
        <v>0</v>
      </c>
      <c r="D2737">
        <v>0.95733898328300004</v>
      </c>
      <c r="E2737">
        <v>6.8005997001499203</v>
      </c>
    </row>
    <row r="2738" spans="1:5">
      <c r="A2738" t="s">
        <v>3213</v>
      </c>
      <c r="B2738" t="s">
        <v>3215</v>
      </c>
      <c r="C2738">
        <f>0</f>
        <v>0</v>
      </c>
      <c r="D2738">
        <v>0.95733898328300004</v>
      </c>
      <c r="E2738">
        <v>6.8005997001499203</v>
      </c>
    </row>
    <row r="2739" spans="1:5">
      <c r="A2739" t="s">
        <v>3213</v>
      </c>
      <c r="B2739" t="s">
        <v>3216</v>
      </c>
      <c r="C2739">
        <f>0.30760662936</f>
        <v>0.30760662935999999</v>
      </c>
      <c r="D2739">
        <v>0.95733898328300004</v>
      </c>
      <c r="E2739">
        <v>6.8005997001499203</v>
      </c>
    </row>
    <row r="2740" spans="1:5">
      <c r="A2740" t="s">
        <v>3213</v>
      </c>
      <c r="B2740" t="s">
        <v>3217</v>
      </c>
      <c r="C2740">
        <f>0</f>
        <v>0</v>
      </c>
      <c r="D2740">
        <v>0.95733898328300004</v>
      </c>
      <c r="E2740">
        <v>6.8005997001499203</v>
      </c>
    </row>
    <row r="2741" spans="1:5">
      <c r="A2741" t="s">
        <v>3213</v>
      </c>
      <c r="B2741" t="s">
        <v>3218</v>
      </c>
      <c r="C2741">
        <f>0</f>
        <v>0</v>
      </c>
      <c r="D2741">
        <v>0.95733898328300004</v>
      </c>
      <c r="E2741">
        <v>6.8005997001499203</v>
      </c>
    </row>
    <row r="2742" spans="1:5">
      <c r="A2742" t="s">
        <v>3213</v>
      </c>
      <c r="B2742" t="s">
        <v>3219</v>
      </c>
      <c r="C2742">
        <v>0</v>
      </c>
      <c r="D2742">
        <v>0.95733898328300004</v>
      </c>
      <c r="E2742">
        <v>6.8005997001499203</v>
      </c>
    </row>
    <row r="2743" spans="1:5">
      <c r="A2743" t="s">
        <v>3213</v>
      </c>
      <c r="B2743" t="s">
        <v>3220</v>
      </c>
      <c r="C2743">
        <f>0</f>
        <v>0</v>
      </c>
      <c r="D2743">
        <v>0.95733898328300004</v>
      </c>
      <c r="E2743">
        <v>6.8005997001499203</v>
      </c>
    </row>
    <row r="2744" spans="1:5">
      <c r="A2744" t="s">
        <v>3213</v>
      </c>
      <c r="B2744" t="s">
        <v>3221</v>
      </c>
      <c r="C2744">
        <f>0.056822872996</f>
        <v>5.6822872996000001E-2</v>
      </c>
      <c r="D2744">
        <v>0.95733898328300004</v>
      </c>
      <c r="E2744">
        <v>6.8005997001499203</v>
      </c>
    </row>
    <row r="2745" spans="1:5">
      <c r="A2745" t="s">
        <v>3222</v>
      </c>
      <c r="B2745" t="s">
        <v>3223</v>
      </c>
      <c r="C2745">
        <v>0</v>
      </c>
      <c r="D2745">
        <v>0.94537884811299999</v>
      </c>
      <c r="E2745">
        <v>5.1214392803598203</v>
      </c>
    </row>
    <row r="2746" spans="1:5">
      <c r="A2746" t="s">
        <v>3222</v>
      </c>
      <c r="B2746" t="s">
        <v>3224</v>
      </c>
      <c r="C2746">
        <f>0</f>
        <v>0</v>
      </c>
      <c r="D2746">
        <v>0.94537884811299999</v>
      </c>
      <c r="E2746">
        <v>5.1214392803598203</v>
      </c>
    </row>
    <row r="2747" spans="1:5">
      <c r="A2747" t="s">
        <v>3222</v>
      </c>
      <c r="B2747" t="s">
        <v>3225</v>
      </c>
      <c r="C2747">
        <v>0</v>
      </c>
      <c r="D2747">
        <v>0.94537884811299999</v>
      </c>
      <c r="E2747">
        <v>5.1214392803598203</v>
      </c>
    </row>
    <row r="2748" spans="1:5">
      <c r="A2748" t="s">
        <v>3222</v>
      </c>
      <c r="B2748" t="s">
        <v>3226</v>
      </c>
      <c r="C2748">
        <f>0</f>
        <v>0</v>
      </c>
      <c r="D2748">
        <v>0.94537884811299999</v>
      </c>
      <c r="E2748">
        <v>5.1214392803598203</v>
      </c>
    </row>
    <row r="2749" spans="1:5">
      <c r="A2749" t="s">
        <v>3222</v>
      </c>
      <c r="B2749" t="s">
        <v>3227</v>
      </c>
      <c r="C2749">
        <v>0.14677513468299999</v>
      </c>
      <c r="D2749">
        <v>0.94537884811299999</v>
      </c>
      <c r="E2749">
        <v>5.1214392803598203</v>
      </c>
    </row>
    <row r="2750" spans="1:5">
      <c r="A2750" t="s">
        <v>3222</v>
      </c>
      <c r="B2750" t="s">
        <v>3228</v>
      </c>
      <c r="C2750">
        <v>0.475213182713</v>
      </c>
      <c r="D2750">
        <v>0.94537884811299999</v>
      </c>
      <c r="E2750">
        <v>5.1214392803598203</v>
      </c>
    </row>
    <row r="2751" spans="1:5">
      <c r="A2751" t="s">
        <v>3222</v>
      </c>
      <c r="B2751" t="s">
        <v>3229</v>
      </c>
      <c r="C2751">
        <v>0</v>
      </c>
      <c r="D2751">
        <v>0.94537884811299999</v>
      </c>
      <c r="E2751">
        <v>5.1214392803598203</v>
      </c>
    </row>
    <row r="2752" spans="1:5">
      <c r="A2752" t="s">
        <v>3230</v>
      </c>
      <c r="B2752" t="s">
        <v>3231</v>
      </c>
      <c r="C2752">
        <v>0</v>
      </c>
      <c r="D2752" t="s">
        <v>106</v>
      </c>
      <c r="E2752">
        <v>4.9055472263868003</v>
      </c>
    </row>
    <row r="2753" spans="1:5">
      <c r="A2753" t="s">
        <v>3230</v>
      </c>
      <c r="B2753" t="s">
        <v>3232</v>
      </c>
      <c r="C2753">
        <f>0.0253989585123</f>
        <v>2.53989585123E-2</v>
      </c>
      <c r="D2753" t="s">
        <v>106</v>
      </c>
      <c r="E2753">
        <v>4.9055472263868003</v>
      </c>
    </row>
    <row r="2754" spans="1:5">
      <c r="A2754" t="s">
        <v>3230</v>
      </c>
      <c r="B2754" t="s">
        <v>3233</v>
      </c>
      <c r="C2754">
        <v>0</v>
      </c>
      <c r="D2754" t="s">
        <v>106</v>
      </c>
      <c r="E2754">
        <v>4.9055472263868003</v>
      </c>
    </row>
    <row r="2755" spans="1:5">
      <c r="A2755" t="s">
        <v>3230</v>
      </c>
      <c r="B2755" t="s">
        <v>3234</v>
      </c>
      <c r="C2755">
        <f>0</f>
        <v>0</v>
      </c>
      <c r="D2755" t="s">
        <v>106</v>
      </c>
      <c r="E2755">
        <v>4.9055472263868003</v>
      </c>
    </row>
    <row r="2756" spans="1:5">
      <c r="A2756" t="s">
        <v>3230</v>
      </c>
      <c r="B2756" t="s">
        <v>3235</v>
      </c>
      <c r="C2756">
        <f>0.336801894769</f>
        <v>0.33680189476900002</v>
      </c>
      <c r="D2756" t="s">
        <v>106</v>
      </c>
      <c r="E2756">
        <v>4.9055472263868003</v>
      </c>
    </row>
    <row r="2757" spans="1:5">
      <c r="A2757" t="s">
        <v>3236</v>
      </c>
      <c r="B2757" t="s">
        <v>3237</v>
      </c>
      <c r="C2757">
        <v>0.43683892876800001</v>
      </c>
      <c r="D2757">
        <v>0.89429634617999998</v>
      </c>
      <c r="E2757">
        <v>0.61169415292353801</v>
      </c>
    </row>
    <row r="2758" spans="1:5">
      <c r="A2758" t="s">
        <v>3236</v>
      </c>
      <c r="B2758" t="s">
        <v>3238</v>
      </c>
      <c r="C2758">
        <v>0</v>
      </c>
      <c r="D2758">
        <v>0.89429634617999998</v>
      </c>
      <c r="E2758">
        <v>0.61169415292353801</v>
      </c>
    </row>
    <row r="2759" spans="1:5">
      <c r="A2759" t="s">
        <v>3236</v>
      </c>
      <c r="B2759" t="s">
        <v>3239</v>
      </c>
      <c r="C2759">
        <v>0</v>
      </c>
      <c r="D2759">
        <v>0.89429634617999998</v>
      </c>
      <c r="E2759">
        <v>0.61169415292353801</v>
      </c>
    </row>
    <row r="2760" spans="1:5">
      <c r="A2760" t="s">
        <v>3236</v>
      </c>
      <c r="B2760" t="s">
        <v>3240</v>
      </c>
      <c r="C2760">
        <v>0</v>
      </c>
      <c r="D2760">
        <v>0.89429634617999998</v>
      </c>
      <c r="E2760">
        <v>0.61169415292353801</v>
      </c>
    </row>
    <row r="2761" spans="1:5">
      <c r="A2761" t="s">
        <v>3236</v>
      </c>
      <c r="B2761" t="s">
        <v>3241</v>
      </c>
      <c r="C2761">
        <v>0</v>
      </c>
      <c r="D2761">
        <v>0.89429634617999998</v>
      </c>
      <c r="E2761">
        <v>0.61169415292353801</v>
      </c>
    </row>
    <row r="2762" spans="1:5">
      <c r="A2762" t="s">
        <v>3242</v>
      </c>
      <c r="B2762" t="s">
        <v>3243</v>
      </c>
      <c r="C2762">
        <v>0.341512672691</v>
      </c>
      <c r="D2762">
        <v>0.97547814440199998</v>
      </c>
      <c r="E2762">
        <v>15.316341829085401</v>
      </c>
    </row>
    <row r="2763" spans="1:5">
      <c r="A2763" t="s">
        <v>3242</v>
      </c>
      <c r="B2763" t="s">
        <v>3244</v>
      </c>
      <c r="C2763">
        <f>0</f>
        <v>0</v>
      </c>
      <c r="D2763">
        <v>0.97547814440199998</v>
      </c>
      <c r="E2763">
        <v>15.316341829085401</v>
      </c>
    </row>
    <row r="2764" spans="1:5">
      <c r="A2764" t="s">
        <v>3242</v>
      </c>
      <c r="B2764" t="s">
        <v>3245</v>
      </c>
      <c r="C2764">
        <f>0.0340583587453</f>
        <v>3.4058358745299999E-2</v>
      </c>
      <c r="D2764">
        <v>0.97547814440199998</v>
      </c>
      <c r="E2764">
        <v>15.316341829085401</v>
      </c>
    </row>
    <row r="2765" spans="1:5">
      <c r="A2765" t="s">
        <v>3242</v>
      </c>
      <c r="B2765" t="s">
        <v>3246</v>
      </c>
      <c r="C2765">
        <v>0</v>
      </c>
      <c r="D2765">
        <v>0.97547814440199998</v>
      </c>
      <c r="E2765">
        <v>15.316341829085401</v>
      </c>
    </row>
    <row r="2766" spans="1:5">
      <c r="A2766" t="s">
        <v>3242</v>
      </c>
      <c r="B2766" t="s">
        <v>3247</v>
      </c>
      <c r="C2766">
        <v>0</v>
      </c>
      <c r="D2766">
        <v>0.97547814440199998</v>
      </c>
      <c r="E2766">
        <v>15.316341829085401</v>
      </c>
    </row>
    <row r="2767" spans="1:5">
      <c r="A2767" t="s">
        <v>3242</v>
      </c>
      <c r="B2767" t="s">
        <v>3248</v>
      </c>
      <c r="C2767">
        <f>0</f>
        <v>0</v>
      </c>
      <c r="D2767">
        <v>0.97547814440199998</v>
      </c>
      <c r="E2767">
        <v>15.316341829085401</v>
      </c>
    </row>
    <row r="2768" spans="1:5">
      <c r="A2768" t="s">
        <v>3249</v>
      </c>
      <c r="B2768" t="s">
        <v>3250</v>
      </c>
      <c r="C2768">
        <v>0.303255318587</v>
      </c>
      <c r="D2768">
        <v>0.97269198740200002</v>
      </c>
      <c r="E2768">
        <v>0.69565217391304301</v>
      </c>
    </row>
    <row r="2769" spans="1:5">
      <c r="A2769" t="s">
        <v>3249</v>
      </c>
      <c r="B2769" t="s">
        <v>3251</v>
      </c>
      <c r="C2769">
        <v>0</v>
      </c>
      <c r="D2769">
        <v>0.97269198740200002</v>
      </c>
      <c r="E2769">
        <v>0.69565217391304301</v>
      </c>
    </row>
    <row r="2770" spans="1:5">
      <c r="A2770" t="s">
        <v>3249</v>
      </c>
      <c r="B2770" t="s">
        <v>3252</v>
      </c>
      <c r="C2770">
        <v>0.35266242125800001</v>
      </c>
      <c r="D2770">
        <v>0.97269198740200002</v>
      </c>
      <c r="E2770">
        <v>0.69565217391304301</v>
      </c>
    </row>
    <row r="2771" spans="1:5">
      <c r="A2771" t="s">
        <v>3253</v>
      </c>
      <c r="B2771" t="s">
        <v>3254</v>
      </c>
      <c r="C2771">
        <v>0</v>
      </c>
      <c r="D2771">
        <v>0.970907935936</v>
      </c>
      <c r="E2771">
        <v>12.2098950524737</v>
      </c>
    </row>
    <row r="2772" spans="1:5">
      <c r="A2772" t="s">
        <v>3253</v>
      </c>
      <c r="B2772" t="s">
        <v>3255</v>
      </c>
      <c r="C2772">
        <v>0</v>
      </c>
      <c r="D2772">
        <v>0.970907935936</v>
      </c>
      <c r="E2772">
        <v>12.2098950524737</v>
      </c>
    </row>
    <row r="2773" spans="1:5">
      <c r="A2773" t="s">
        <v>3253</v>
      </c>
      <c r="B2773" t="s">
        <v>3256</v>
      </c>
      <c r="C2773">
        <v>0</v>
      </c>
      <c r="D2773">
        <v>0.970907935936</v>
      </c>
      <c r="E2773">
        <v>12.2098950524737</v>
      </c>
    </row>
    <row r="2774" spans="1:5">
      <c r="A2774" t="s">
        <v>3253</v>
      </c>
      <c r="B2774" t="s">
        <v>3257</v>
      </c>
      <c r="C2774">
        <v>0</v>
      </c>
      <c r="D2774">
        <v>0.970907935936</v>
      </c>
      <c r="E2774">
        <v>12.2098950524737</v>
      </c>
    </row>
    <row r="2775" spans="1:5">
      <c r="A2775" t="s">
        <v>3253</v>
      </c>
      <c r="B2775" t="s">
        <v>3258</v>
      </c>
      <c r="C2775">
        <v>0.16862790422099999</v>
      </c>
      <c r="D2775">
        <v>0.970907935936</v>
      </c>
      <c r="E2775">
        <v>12.2098950524737</v>
      </c>
    </row>
    <row r="2776" spans="1:5">
      <c r="A2776" t="s">
        <v>3253</v>
      </c>
      <c r="B2776" t="s">
        <v>3259</v>
      </c>
      <c r="C2776">
        <f>0</f>
        <v>0</v>
      </c>
      <c r="D2776">
        <v>0.970907935936</v>
      </c>
      <c r="E2776">
        <v>12.2098950524737</v>
      </c>
    </row>
    <row r="2777" spans="1:5">
      <c r="A2777" t="s">
        <v>3253</v>
      </c>
      <c r="B2777" t="s">
        <v>3260</v>
      </c>
      <c r="C2777">
        <f>0</f>
        <v>0</v>
      </c>
      <c r="D2777">
        <v>0.970907935936</v>
      </c>
      <c r="E2777">
        <v>12.2098950524737</v>
      </c>
    </row>
    <row r="2778" spans="1:5">
      <c r="A2778" t="s">
        <v>3253</v>
      </c>
      <c r="B2778" t="s">
        <v>3261</v>
      </c>
      <c r="C2778">
        <v>0.123579558623</v>
      </c>
      <c r="D2778">
        <v>0.970907935936</v>
      </c>
      <c r="E2778">
        <v>12.2098950524737</v>
      </c>
    </row>
    <row r="2779" spans="1:5">
      <c r="A2779" t="s">
        <v>3253</v>
      </c>
      <c r="B2779" t="s">
        <v>3262</v>
      </c>
      <c r="C2779">
        <v>0</v>
      </c>
      <c r="D2779">
        <v>0.970907935936</v>
      </c>
      <c r="E2779">
        <v>12.2098950524737</v>
      </c>
    </row>
    <row r="2780" spans="1:5">
      <c r="A2780" t="s">
        <v>3253</v>
      </c>
      <c r="B2780" t="s">
        <v>3263</v>
      </c>
      <c r="C2780">
        <v>0</v>
      </c>
      <c r="D2780">
        <v>0.970907935936</v>
      </c>
      <c r="E2780">
        <v>12.2098950524737</v>
      </c>
    </row>
    <row r="2781" spans="1:5">
      <c r="A2781" t="s">
        <v>3253</v>
      </c>
      <c r="B2781" t="s">
        <v>3264</v>
      </c>
      <c r="C2781">
        <f>0</f>
        <v>0</v>
      </c>
      <c r="D2781">
        <v>0.970907935936</v>
      </c>
      <c r="E2781">
        <v>12.2098950524737</v>
      </c>
    </row>
    <row r="2782" spans="1:5">
      <c r="A2782" t="s">
        <v>3253</v>
      </c>
      <c r="B2782" t="s">
        <v>3265</v>
      </c>
      <c r="C2782">
        <v>0</v>
      </c>
      <c r="D2782">
        <v>0.970907935936</v>
      </c>
      <c r="E2782">
        <v>12.2098950524737</v>
      </c>
    </row>
    <row r="2783" spans="1:5">
      <c r="A2783" t="s">
        <v>3266</v>
      </c>
      <c r="B2783" t="s">
        <v>3267</v>
      </c>
      <c r="C2783">
        <v>0</v>
      </c>
      <c r="D2783" t="s">
        <v>106</v>
      </c>
      <c r="E2783">
        <v>7.7361319340329802</v>
      </c>
    </row>
    <row r="2784" spans="1:5">
      <c r="A2784" t="s">
        <v>3266</v>
      </c>
      <c r="B2784" t="s">
        <v>3268</v>
      </c>
      <c r="C2784">
        <v>0</v>
      </c>
      <c r="D2784" t="s">
        <v>106</v>
      </c>
      <c r="E2784">
        <v>7.7361319340329802</v>
      </c>
    </row>
    <row r="2785" spans="1:5">
      <c r="A2785" t="s">
        <v>3266</v>
      </c>
      <c r="B2785" t="s">
        <v>3269</v>
      </c>
      <c r="C2785">
        <f>0</f>
        <v>0</v>
      </c>
      <c r="D2785" t="s">
        <v>106</v>
      </c>
      <c r="E2785">
        <v>7.7361319340329802</v>
      </c>
    </row>
    <row r="2786" spans="1:5">
      <c r="A2786" t="s">
        <v>3266</v>
      </c>
      <c r="B2786" t="s">
        <v>3270</v>
      </c>
      <c r="C2786">
        <v>0</v>
      </c>
      <c r="D2786" t="s">
        <v>106</v>
      </c>
      <c r="E2786">
        <v>7.7361319340329802</v>
      </c>
    </row>
    <row r="2787" spans="1:5">
      <c r="A2787" t="s">
        <v>3266</v>
      </c>
      <c r="B2787" t="s">
        <v>3271</v>
      </c>
      <c r="C2787">
        <v>0</v>
      </c>
      <c r="D2787" t="s">
        <v>106</v>
      </c>
      <c r="E2787">
        <v>7.7361319340329802</v>
      </c>
    </row>
    <row r="2788" spans="1:5">
      <c r="A2788" t="s">
        <v>3266</v>
      </c>
      <c r="B2788" t="s">
        <v>3272</v>
      </c>
      <c r="C2788">
        <v>0</v>
      </c>
      <c r="D2788" t="s">
        <v>106</v>
      </c>
      <c r="E2788">
        <v>7.7361319340329802</v>
      </c>
    </row>
    <row r="2789" spans="1:5">
      <c r="A2789" t="s">
        <v>3266</v>
      </c>
      <c r="B2789" t="s">
        <v>3273</v>
      </c>
      <c r="C2789">
        <v>0</v>
      </c>
      <c r="D2789" t="s">
        <v>106</v>
      </c>
      <c r="E2789">
        <v>7.7361319340329802</v>
      </c>
    </row>
    <row r="2790" spans="1:5">
      <c r="A2790" t="s">
        <v>3266</v>
      </c>
      <c r="B2790" t="s">
        <v>3274</v>
      </c>
      <c r="C2790">
        <v>0</v>
      </c>
      <c r="D2790" t="s">
        <v>106</v>
      </c>
      <c r="E2790">
        <v>7.7361319340329802</v>
      </c>
    </row>
    <row r="2791" spans="1:5">
      <c r="A2791" t="s">
        <v>3266</v>
      </c>
      <c r="B2791" t="s">
        <v>3275</v>
      </c>
      <c r="C2791">
        <v>0</v>
      </c>
      <c r="D2791" t="s">
        <v>106</v>
      </c>
      <c r="E2791">
        <v>7.7361319340329802</v>
      </c>
    </row>
    <row r="2792" spans="1:5">
      <c r="A2792" t="s">
        <v>3266</v>
      </c>
      <c r="B2792" t="s">
        <v>3276</v>
      </c>
      <c r="C2792">
        <f>0</f>
        <v>0</v>
      </c>
      <c r="D2792" t="s">
        <v>106</v>
      </c>
      <c r="E2792">
        <v>7.7361319340329802</v>
      </c>
    </row>
    <row r="2793" spans="1:5">
      <c r="A2793" t="s">
        <v>3277</v>
      </c>
      <c r="B2793" t="s">
        <v>3278</v>
      </c>
      <c r="C2793">
        <v>0.14078778437</v>
      </c>
      <c r="D2793">
        <v>0.63021693117800004</v>
      </c>
      <c r="E2793">
        <v>15.904047976011899</v>
      </c>
    </row>
    <row r="2794" spans="1:5">
      <c r="A2794" t="s">
        <v>3279</v>
      </c>
      <c r="B2794" t="s">
        <v>3280</v>
      </c>
      <c r="C2794">
        <f>0</f>
        <v>0</v>
      </c>
      <c r="D2794" t="s">
        <v>106</v>
      </c>
      <c r="E2794">
        <v>23.280359820089899</v>
      </c>
    </row>
    <row r="2795" spans="1:5">
      <c r="A2795" t="s">
        <v>3279</v>
      </c>
      <c r="B2795" t="s">
        <v>3281</v>
      </c>
      <c r="C2795">
        <v>0</v>
      </c>
      <c r="D2795" t="s">
        <v>106</v>
      </c>
      <c r="E2795">
        <v>23.280359820089899</v>
      </c>
    </row>
    <row r="2796" spans="1:5">
      <c r="A2796" t="s">
        <v>3279</v>
      </c>
      <c r="B2796" t="s">
        <v>3282</v>
      </c>
      <c r="C2796">
        <f>0</f>
        <v>0</v>
      </c>
      <c r="D2796" t="s">
        <v>106</v>
      </c>
      <c r="E2796">
        <v>23.280359820089899</v>
      </c>
    </row>
    <row r="2797" spans="1:5">
      <c r="A2797" t="s">
        <v>3279</v>
      </c>
      <c r="B2797" t="s">
        <v>3283</v>
      </c>
      <c r="C2797">
        <f>0</f>
        <v>0</v>
      </c>
      <c r="D2797" t="s">
        <v>106</v>
      </c>
      <c r="E2797">
        <v>23.280359820089899</v>
      </c>
    </row>
    <row r="2798" spans="1:5">
      <c r="A2798" t="s">
        <v>3284</v>
      </c>
      <c r="B2798" t="s">
        <v>3285</v>
      </c>
      <c r="C2798">
        <v>0.55751434585399995</v>
      </c>
      <c r="D2798">
        <v>0.969624680889</v>
      </c>
      <c r="E2798">
        <v>0</v>
      </c>
    </row>
    <row r="2799" spans="1:5">
      <c r="A2799" t="s">
        <v>3284</v>
      </c>
      <c r="B2799" t="s">
        <v>3286</v>
      </c>
      <c r="C2799">
        <f>0.0542281705633</f>
        <v>5.4228170563300003E-2</v>
      </c>
      <c r="D2799">
        <v>0.969624680889</v>
      </c>
      <c r="E2799">
        <v>0</v>
      </c>
    </row>
    <row r="2800" spans="1:5">
      <c r="A2800" t="s">
        <v>3284</v>
      </c>
      <c r="B2800" t="s">
        <v>3287</v>
      </c>
      <c r="C2800">
        <v>0</v>
      </c>
      <c r="D2800">
        <v>0.969624680889</v>
      </c>
      <c r="E2800">
        <v>0</v>
      </c>
    </row>
    <row r="2801" spans="1:5">
      <c r="A2801" t="s">
        <v>3288</v>
      </c>
      <c r="B2801" t="s">
        <v>3289</v>
      </c>
      <c r="C2801">
        <f>0</f>
        <v>0</v>
      </c>
      <c r="D2801">
        <v>0.953859530904</v>
      </c>
      <c r="E2801">
        <v>10.710644677661101</v>
      </c>
    </row>
    <row r="2802" spans="1:5">
      <c r="A2802" t="s">
        <v>3288</v>
      </c>
      <c r="B2802" t="s">
        <v>3290</v>
      </c>
      <c r="C2802">
        <f>0.30603880468</f>
        <v>0.30603880468</v>
      </c>
      <c r="D2802">
        <v>0.953859530904</v>
      </c>
      <c r="E2802">
        <v>10.710644677661101</v>
      </c>
    </row>
    <row r="2803" spans="1:5">
      <c r="A2803" t="s">
        <v>3288</v>
      </c>
      <c r="B2803" t="s">
        <v>3291</v>
      </c>
      <c r="C2803">
        <f>0</f>
        <v>0</v>
      </c>
      <c r="D2803">
        <v>0.953859530904</v>
      </c>
      <c r="E2803">
        <v>10.710644677661101</v>
      </c>
    </row>
    <row r="2804" spans="1:5">
      <c r="A2804" t="s">
        <v>3288</v>
      </c>
      <c r="B2804" t="s">
        <v>3292</v>
      </c>
      <c r="C2804">
        <v>3.8657555009599998E-2</v>
      </c>
      <c r="D2804">
        <v>0.953859530904</v>
      </c>
      <c r="E2804">
        <v>10.710644677661101</v>
      </c>
    </row>
    <row r="2805" spans="1:5">
      <c r="A2805" t="s">
        <v>3288</v>
      </c>
      <c r="B2805" t="s">
        <v>3293</v>
      </c>
      <c r="C2805">
        <v>0</v>
      </c>
      <c r="D2805">
        <v>0.953859530904</v>
      </c>
      <c r="E2805">
        <v>10.710644677661101</v>
      </c>
    </row>
    <row r="2806" spans="1:5">
      <c r="A2806" t="s">
        <v>3294</v>
      </c>
      <c r="B2806" t="s">
        <v>3295</v>
      </c>
      <c r="C2806">
        <f>0</f>
        <v>0</v>
      </c>
      <c r="D2806" t="s">
        <v>106</v>
      </c>
      <c r="E2806">
        <v>2.39880059970015</v>
      </c>
    </row>
    <row r="2807" spans="1:5">
      <c r="A2807" t="s">
        <v>3294</v>
      </c>
      <c r="B2807" t="s">
        <v>3296</v>
      </c>
      <c r="C2807">
        <v>0.46161898525799999</v>
      </c>
      <c r="D2807" t="s">
        <v>106</v>
      </c>
      <c r="E2807">
        <v>2.39880059970015</v>
      </c>
    </row>
    <row r="2808" spans="1:5">
      <c r="A2808" t="s">
        <v>3294</v>
      </c>
      <c r="B2808" t="s">
        <v>3297</v>
      </c>
      <c r="C2808">
        <v>0</v>
      </c>
      <c r="D2808" t="s">
        <v>106</v>
      </c>
      <c r="E2808">
        <v>2.39880059970015</v>
      </c>
    </row>
    <row r="2809" spans="1:5">
      <c r="A2809" t="s">
        <v>3294</v>
      </c>
      <c r="B2809" t="s">
        <v>3298</v>
      </c>
      <c r="C2809">
        <f>0</f>
        <v>0</v>
      </c>
      <c r="D2809" t="s">
        <v>106</v>
      </c>
      <c r="E2809">
        <v>2.39880059970015</v>
      </c>
    </row>
    <row r="2810" spans="1:5">
      <c r="A2810" t="s">
        <v>3294</v>
      </c>
      <c r="B2810" t="s">
        <v>3299</v>
      </c>
      <c r="C2810">
        <v>0</v>
      </c>
      <c r="D2810" t="s">
        <v>106</v>
      </c>
      <c r="E2810">
        <v>2.39880059970015</v>
      </c>
    </row>
    <row r="2811" spans="1:5">
      <c r="A2811" t="s">
        <v>3294</v>
      </c>
      <c r="B2811" t="s">
        <v>3300</v>
      </c>
      <c r="C2811">
        <f>0</f>
        <v>0</v>
      </c>
      <c r="D2811" t="s">
        <v>106</v>
      </c>
      <c r="E2811">
        <v>2.39880059970015</v>
      </c>
    </row>
    <row r="2812" spans="1:5">
      <c r="A2812" t="s">
        <v>3294</v>
      </c>
      <c r="B2812" t="s">
        <v>3301</v>
      </c>
      <c r="C2812">
        <f>0</f>
        <v>0</v>
      </c>
      <c r="D2812" t="s">
        <v>106</v>
      </c>
      <c r="E2812">
        <v>2.39880059970015</v>
      </c>
    </row>
    <row r="2813" spans="1:5">
      <c r="A2813" t="s">
        <v>3294</v>
      </c>
      <c r="B2813" t="s">
        <v>3302</v>
      </c>
      <c r="C2813">
        <v>0</v>
      </c>
      <c r="D2813" t="s">
        <v>106</v>
      </c>
      <c r="E2813">
        <v>2.39880059970015</v>
      </c>
    </row>
    <row r="2814" spans="1:5">
      <c r="A2814" t="s">
        <v>3294</v>
      </c>
      <c r="B2814" t="s">
        <v>3303</v>
      </c>
      <c r="C2814">
        <f>0</f>
        <v>0</v>
      </c>
      <c r="D2814" t="s">
        <v>106</v>
      </c>
      <c r="E2814">
        <v>2.39880059970015</v>
      </c>
    </row>
    <row r="2815" spans="1:5">
      <c r="A2815" t="s">
        <v>3294</v>
      </c>
      <c r="B2815" t="s">
        <v>3304</v>
      </c>
      <c r="C2815">
        <f>0</f>
        <v>0</v>
      </c>
      <c r="D2815" t="s">
        <v>106</v>
      </c>
      <c r="E2815">
        <v>2.39880059970015</v>
      </c>
    </row>
    <row r="2816" spans="1:5">
      <c r="A2816" t="s">
        <v>3294</v>
      </c>
      <c r="B2816" t="s">
        <v>3305</v>
      </c>
      <c r="C2816">
        <f>0</f>
        <v>0</v>
      </c>
      <c r="D2816" t="s">
        <v>106</v>
      </c>
      <c r="E2816">
        <v>2.39880059970015</v>
      </c>
    </row>
    <row r="2817" spans="1:5">
      <c r="A2817" t="s">
        <v>3294</v>
      </c>
      <c r="B2817" t="s">
        <v>3306</v>
      </c>
      <c r="C2817">
        <v>0</v>
      </c>
      <c r="D2817" t="s">
        <v>106</v>
      </c>
      <c r="E2817">
        <v>2.39880059970015</v>
      </c>
    </row>
    <row r="2818" spans="1:5">
      <c r="A2818" t="s">
        <v>3294</v>
      </c>
      <c r="B2818" t="s">
        <v>3307</v>
      </c>
      <c r="C2818">
        <f>0</f>
        <v>0</v>
      </c>
      <c r="D2818" t="s">
        <v>106</v>
      </c>
      <c r="E2818">
        <v>2.39880059970015</v>
      </c>
    </row>
    <row r="2819" spans="1:5">
      <c r="A2819" t="s">
        <v>3294</v>
      </c>
      <c r="B2819" t="s">
        <v>3308</v>
      </c>
      <c r="C2819">
        <v>0</v>
      </c>
      <c r="D2819" t="s">
        <v>106</v>
      </c>
      <c r="E2819">
        <v>2.39880059970015</v>
      </c>
    </row>
    <row r="2820" spans="1:5">
      <c r="A2820" t="s">
        <v>3294</v>
      </c>
      <c r="B2820" t="s">
        <v>3309</v>
      </c>
      <c r="C2820">
        <v>0</v>
      </c>
      <c r="D2820" t="s">
        <v>106</v>
      </c>
      <c r="E2820">
        <v>2.39880059970015</v>
      </c>
    </row>
    <row r="2821" spans="1:5">
      <c r="A2821" t="s">
        <v>3294</v>
      </c>
      <c r="B2821" t="s">
        <v>3310</v>
      </c>
      <c r="C2821">
        <v>0</v>
      </c>
      <c r="D2821" t="s">
        <v>106</v>
      </c>
      <c r="E2821">
        <v>2.39880059970015</v>
      </c>
    </row>
    <row r="2822" spans="1:5">
      <c r="A2822" t="s">
        <v>3294</v>
      </c>
      <c r="B2822" t="s">
        <v>3311</v>
      </c>
      <c r="C2822">
        <v>1.79516933091E-2</v>
      </c>
      <c r="D2822" t="s">
        <v>106</v>
      </c>
      <c r="E2822">
        <v>2.39880059970015</v>
      </c>
    </row>
    <row r="2823" spans="1:5">
      <c r="A2823" t="s">
        <v>3294</v>
      </c>
      <c r="B2823" t="s">
        <v>3312</v>
      </c>
      <c r="C2823">
        <f>0</f>
        <v>0</v>
      </c>
      <c r="D2823" t="s">
        <v>106</v>
      </c>
      <c r="E2823">
        <v>2.39880059970015</v>
      </c>
    </row>
    <row r="2824" spans="1:5">
      <c r="A2824" t="s">
        <v>3313</v>
      </c>
      <c r="B2824" t="s">
        <v>3314</v>
      </c>
      <c r="C2824">
        <v>0</v>
      </c>
      <c r="D2824">
        <v>0.87966083562499997</v>
      </c>
      <c r="E2824">
        <v>19.850074962518701</v>
      </c>
    </row>
    <row r="2825" spans="1:5">
      <c r="A2825" t="s">
        <v>3313</v>
      </c>
      <c r="B2825" t="s">
        <v>3315</v>
      </c>
      <c r="C2825">
        <v>0</v>
      </c>
      <c r="D2825">
        <v>0.87966083562499997</v>
      </c>
      <c r="E2825">
        <v>19.850074962518701</v>
      </c>
    </row>
    <row r="2826" spans="1:5">
      <c r="A2826" t="s">
        <v>3313</v>
      </c>
      <c r="B2826" t="s">
        <v>3316</v>
      </c>
      <c r="C2826">
        <v>0</v>
      </c>
      <c r="D2826">
        <v>0.87966083562499997</v>
      </c>
      <c r="E2826">
        <v>19.850074962518701</v>
      </c>
    </row>
    <row r="2827" spans="1:5">
      <c r="A2827" t="s">
        <v>3313</v>
      </c>
      <c r="B2827" t="s">
        <v>3317</v>
      </c>
      <c r="C2827">
        <v>0</v>
      </c>
      <c r="D2827">
        <v>0.87966083562499997</v>
      </c>
      <c r="E2827">
        <v>19.850074962518701</v>
      </c>
    </row>
    <row r="2828" spans="1:5">
      <c r="A2828" t="s">
        <v>3313</v>
      </c>
      <c r="B2828" t="s">
        <v>3318</v>
      </c>
      <c r="C2828">
        <v>0</v>
      </c>
      <c r="D2828">
        <v>0.87966083562499997</v>
      </c>
      <c r="E2828">
        <v>19.850074962518701</v>
      </c>
    </row>
    <row r="2829" spans="1:5">
      <c r="A2829" t="s">
        <v>3313</v>
      </c>
      <c r="B2829" t="s">
        <v>3319</v>
      </c>
      <c r="C2829">
        <v>0</v>
      </c>
      <c r="D2829">
        <v>0.87966083562499997</v>
      </c>
      <c r="E2829">
        <v>19.850074962518701</v>
      </c>
    </row>
    <row r="2830" spans="1:5">
      <c r="A2830" t="s">
        <v>3313</v>
      </c>
      <c r="B2830" t="s">
        <v>3320</v>
      </c>
      <c r="C2830">
        <v>0</v>
      </c>
      <c r="D2830">
        <v>0.87966083562499997</v>
      </c>
      <c r="E2830">
        <v>19.850074962518701</v>
      </c>
    </row>
    <row r="2831" spans="1:5">
      <c r="A2831" t="s">
        <v>3321</v>
      </c>
      <c r="B2831" t="s">
        <v>3322</v>
      </c>
      <c r="C2831">
        <v>7.8342372881400002E-2</v>
      </c>
      <c r="D2831" t="s">
        <v>106</v>
      </c>
      <c r="E2831">
        <v>19.4182908545727</v>
      </c>
    </row>
    <row r="2832" spans="1:5">
      <c r="A2832" t="s">
        <v>3321</v>
      </c>
      <c r="B2832" t="s">
        <v>3323</v>
      </c>
      <c r="C2832">
        <f>0</f>
        <v>0</v>
      </c>
      <c r="D2832" t="s">
        <v>106</v>
      </c>
      <c r="E2832">
        <v>19.4182908545727</v>
      </c>
    </row>
    <row r="2833" spans="1:5">
      <c r="A2833" t="s">
        <v>3321</v>
      </c>
      <c r="B2833" t="s">
        <v>3324</v>
      </c>
      <c r="C2833">
        <f>0.00471494459809</f>
        <v>4.7149445980899998E-3</v>
      </c>
      <c r="D2833" t="s">
        <v>106</v>
      </c>
      <c r="E2833">
        <v>19.4182908545727</v>
      </c>
    </row>
    <row r="2834" spans="1:5">
      <c r="A2834" t="s">
        <v>3321</v>
      </c>
      <c r="B2834" t="s">
        <v>3325</v>
      </c>
      <c r="C2834">
        <f>0</f>
        <v>0</v>
      </c>
      <c r="D2834" t="s">
        <v>106</v>
      </c>
      <c r="E2834">
        <v>19.4182908545727</v>
      </c>
    </row>
    <row r="2835" spans="1:5">
      <c r="A2835" t="s">
        <v>3321</v>
      </c>
      <c r="B2835" t="s">
        <v>3326</v>
      </c>
      <c r="C2835">
        <f>0.0299430113737</f>
        <v>2.99430113737E-2</v>
      </c>
      <c r="D2835" t="s">
        <v>106</v>
      </c>
      <c r="E2835">
        <v>19.4182908545727</v>
      </c>
    </row>
    <row r="2836" spans="1:5">
      <c r="A2836" t="s">
        <v>3321</v>
      </c>
      <c r="B2836" t="s">
        <v>3327</v>
      </c>
      <c r="C2836">
        <f>0</f>
        <v>0</v>
      </c>
      <c r="D2836" t="s">
        <v>106</v>
      </c>
      <c r="E2836">
        <v>19.4182908545727</v>
      </c>
    </row>
    <row r="2837" spans="1:5">
      <c r="A2837" t="s">
        <v>3328</v>
      </c>
      <c r="B2837" t="s">
        <v>3329</v>
      </c>
      <c r="C2837">
        <f>0.0357867871719</f>
        <v>3.5786787171900002E-2</v>
      </c>
      <c r="D2837">
        <v>0.97425732638499996</v>
      </c>
      <c r="E2837">
        <v>1.51124437781109</v>
      </c>
    </row>
    <row r="2838" spans="1:5">
      <c r="A2838" t="s">
        <v>3328</v>
      </c>
      <c r="B2838" t="s">
        <v>3330</v>
      </c>
      <c r="C2838">
        <v>1.0329654103899999</v>
      </c>
      <c r="D2838">
        <v>0.97425732638499996</v>
      </c>
      <c r="E2838">
        <v>1.51124437781109</v>
      </c>
    </row>
    <row r="2839" spans="1:5">
      <c r="A2839" t="s">
        <v>3331</v>
      </c>
      <c r="B2839" t="s">
        <v>3332</v>
      </c>
      <c r="C2839">
        <f>0</f>
        <v>0</v>
      </c>
      <c r="D2839" t="s">
        <v>106</v>
      </c>
      <c r="E2839">
        <v>0.77961019490254801</v>
      </c>
    </row>
    <row r="2840" spans="1:5">
      <c r="A2840" t="s">
        <v>3331</v>
      </c>
      <c r="B2840" t="s">
        <v>3333</v>
      </c>
      <c r="C2840">
        <v>0</v>
      </c>
      <c r="D2840" t="s">
        <v>106</v>
      </c>
      <c r="E2840">
        <v>0.77961019490254801</v>
      </c>
    </row>
    <row r="2841" spans="1:5">
      <c r="A2841" t="s">
        <v>3331</v>
      </c>
      <c r="B2841" t="s">
        <v>3334</v>
      </c>
      <c r="C2841">
        <v>0</v>
      </c>
      <c r="D2841" t="s">
        <v>106</v>
      </c>
      <c r="E2841">
        <v>0.77961019490254801</v>
      </c>
    </row>
    <row r="2842" spans="1:5">
      <c r="A2842" t="s">
        <v>3331</v>
      </c>
      <c r="B2842" t="s">
        <v>3335</v>
      </c>
      <c r="C2842">
        <v>0</v>
      </c>
      <c r="D2842" t="s">
        <v>106</v>
      </c>
      <c r="E2842">
        <v>0.77961019490254801</v>
      </c>
    </row>
    <row r="2843" spans="1:5">
      <c r="A2843" t="s">
        <v>3331</v>
      </c>
      <c r="B2843" t="s">
        <v>3336</v>
      </c>
      <c r="C2843">
        <v>0</v>
      </c>
      <c r="D2843" t="s">
        <v>106</v>
      </c>
      <c r="E2843">
        <v>0.77961019490254801</v>
      </c>
    </row>
    <row r="2844" spans="1:5">
      <c r="A2844" t="s">
        <v>3331</v>
      </c>
      <c r="B2844" t="s">
        <v>3337</v>
      </c>
      <c r="C2844">
        <f>0</f>
        <v>0</v>
      </c>
      <c r="D2844" t="s">
        <v>106</v>
      </c>
      <c r="E2844">
        <v>0.77961019490254801</v>
      </c>
    </row>
    <row r="2845" spans="1:5">
      <c r="A2845" t="s">
        <v>3331</v>
      </c>
      <c r="B2845" t="s">
        <v>3338</v>
      </c>
      <c r="C2845">
        <f>0</f>
        <v>0</v>
      </c>
      <c r="D2845" t="s">
        <v>106</v>
      </c>
      <c r="E2845">
        <v>0.77961019490254801</v>
      </c>
    </row>
    <row r="2846" spans="1:5">
      <c r="A2846" t="s">
        <v>3331</v>
      </c>
      <c r="B2846" t="s">
        <v>3339</v>
      </c>
      <c r="C2846">
        <v>0</v>
      </c>
      <c r="D2846" t="s">
        <v>106</v>
      </c>
      <c r="E2846">
        <v>0.77961019490254801</v>
      </c>
    </row>
    <row r="2847" spans="1:5">
      <c r="A2847" t="s">
        <v>3331</v>
      </c>
      <c r="B2847" t="s">
        <v>3340</v>
      </c>
      <c r="C2847">
        <v>0</v>
      </c>
      <c r="D2847" t="s">
        <v>106</v>
      </c>
      <c r="E2847">
        <v>0.77961019490254801</v>
      </c>
    </row>
    <row r="2848" spans="1:5">
      <c r="A2848" t="s">
        <v>3331</v>
      </c>
      <c r="B2848" t="s">
        <v>3341</v>
      </c>
      <c r="C2848">
        <v>0</v>
      </c>
      <c r="D2848" t="s">
        <v>106</v>
      </c>
      <c r="E2848">
        <v>0.77961019490254801</v>
      </c>
    </row>
    <row r="2849" spans="1:5">
      <c r="A2849" t="s">
        <v>3331</v>
      </c>
      <c r="B2849" t="s">
        <v>3342</v>
      </c>
      <c r="C2849">
        <v>0</v>
      </c>
      <c r="D2849" t="s">
        <v>106</v>
      </c>
      <c r="E2849">
        <v>0.77961019490254801</v>
      </c>
    </row>
    <row r="2850" spans="1:5">
      <c r="A2850" t="s">
        <v>3331</v>
      </c>
      <c r="B2850" t="s">
        <v>3343</v>
      </c>
      <c r="C2850">
        <f>0</f>
        <v>0</v>
      </c>
      <c r="D2850" t="s">
        <v>106</v>
      </c>
      <c r="E2850">
        <v>0.77961019490254801</v>
      </c>
    </row>
    <row r="2851" spans="1:5">
      <c r="A2851" t="s">
        <v>3344</v>
      </c>
      <c r="B2851" t="s">
        <v>3345</v>
      </c>
      <c r="C2851">
        <v>0.22905342253800001</v>
      </c>
      <c r="D2851">
        <v>0.95173256120799998</v>
      </c>
      <c r="E2851">
        <v>4.3778110944527704</v>
      </c>
    </row>
    <row r="2852" spans="1:5">
      <c r="A2852" t="s">
        <v>3344</v>
      </c>
      <c r="B2852" t="s">
        <v>3346</v>
      </c>
      <c r="C2852">
        <v>0</v>
      </c>
      <c r="D2852">
        <v>0.95173256120799998</v>
      </c>
      <c r="E2852">
        <v>4.3778110944527704</v>
      </c>
    </row>
    <row r="2853" spans="1:5">
      <c r="A2853" t="s">
        <v>3344</v>
      </c>
      <c r="B2853" t="s">
        <v>3347</v>
      </c>
      <c r="C2853">
        <v>0</v>
      </c>
      <c r="D2853">
        <v>0.95173256120799998</v>
      </c>
      <c r="E2853">
        <v>4.3778110944527704</v>
      </c>
    </row>
    <row r="2854" spans="1:5">
      <c r="A2854" t="s">
        <v>3344</v>
      </c>
      <c r="B2854" t="s">
        <v>3348</v>
      </c>
      <c r="C2854">
        <v>0</v>
      </c>
      <c r="D2854">
        <v>0.95173256120799998</v>
      </c>
      <c r="E2854">
        <v>4.3778110944527704</v>
      </c>
    </row>
    <row r="2855" spans="1:5">
      <c r="A2855" t="s">
        <v>3344</v>
      </c>
      <c r="B2855" t="s">
        <v>3349</v>
      </c>
      <c r="C2855">
        <v>0</v>
      </c>
      <c r="D2855">
        <v>0.95173256120799998</v>
      </c>
      <c r="E2855">
        <v>4.3778110944527704</v>
      </c>
    </row>
    <row r="2856" spans="1:5">
      <c r="A2856" t="s">
        <v>3344</v>
      </c>
      <c r="B2856" t="s">
        <v>3350</v>
      </c>
      <c r="C2856">
        <v>5.5230370624500001E-2</v>
      </c>
      <c r="D2856">
        <v>0.95173256120799998</v>
      </c>
      <c r="E2856">
        <v>4.3778110944527704</v>
      </c>
    </row>
    <row r="2857" spans="1:5">
      <c r="A2857" t="s">
        <v>3344</v>
      </c>
      <c r="B2857" t="s">
        <v>3351</v>
      </c>
      <c r="C2857">
        <v>0</v>
      </c>
      <c r="D2857">
        <v>0.95173256120799998</v>
      </c>
      <c r="E2857">
        <v>4.3778110944527704</v>
      </c>
    </row>
    <row r="2858" spans="1:5">
      <c r="A2858" t="s">
        <v>3352</v>
      </c>
      <c r="B2858" t="s">
        <v>3353</v>
      </c>
      <c r="C2858">
        <f>0.115279909387</f>
        <v>0.115279909387</v>
      </c>
      <c r="D2858">
        <v>0.98216791142799997</v>
      </c>
      <c r="E2858">
        <v>24</v>
      </c>
    </row>
    <row r="2859" spans="1:5">
      <c r="A2859" t="s">
        <v>3352</v>
      </c>
      <c r="B2859" t="s">
        <v>3354</v>
      </c>
      <c r="C2859">
        <f>0</f>
        <v>0</v>
      </c>
      <c r="D2859">
        <v>0.98216791142799997</v>
      </c>
      <c r="E2859">
        <v>24</v>
      </c>
    </row>
    <row r="2860" spans="1:5">
      <c r="A2860" t="s">
        <v>3352</v>
      </c>
      <c r="B2860" t="s">
        <v>3355</v>
      </c>
      <c r="C2860">
        <v>8.6111674885199996E-2</v>
      </c>
      <c r="D2860">
        <v>0.98216791142799997</v>
      </c>
      <c r="E2860">
        <v>24</v>
      </c>
    </row>
    <row r="2861" spans="1:5">
      <c r="A2861" t="s">
        <v>3356</v>
      </c>
      <c r="B2861" t="s">
        <v>3357</v>
      </c>
      <c r="C2861">
        <f>0.135754616878</f>
        <v>0.135754616878</v>
      </c>
      <c r="D2861" t="s">
        <v>106</v>
      </c>
      <c r="E2861">
        <v>24</v>
      </c>
    </row>
    <row r="2862" spans="1:5">
      <c r="A2862" t="s">
        <v>3356</v>
      </c>
      <c r="B2862" t="s">
        <v>3358</v>
      </c>
      <c r="C2862">
        <v>0</v>
      </c>
      <c r="D2862" t="s">
        <v>106</v>
      </c>
      <c r="E2862">
        <v>24</v>
      </c>
    </row>
    <row r="2863" spans="1:5">
      <c r="A2863" t="s">
        <v>3356</v>
      </c>
      <c r="B2863" t="s">
        <v>3359</v>
      </c>
      <c r="C2863">
        <v>0</v>
      </c>
      <c r="D2863" t="s">
        <v>106</v>
      </c>
      <c r="E2863">
        <v>24</v>
      </c>
    </row>
    <row r="2864" spans="1:5">
      <c r="A2864" t="s">
        <v>3356</v>
      </c>
      <c r="B2864" t="s">
        <v>3360</v>
      </c>
      <c r="C2864">
        <f>0.00704132211664</f>
        <v>7.0413221166399998E-3</v>
      </c>
      <c r="D2864" t="s">
        <v>106</v>
      </c>
      <c r="E2864">
        <v>24</v>
      </c>
    </row>
    <row r="2865" spans="1:5">
      <c r="A2865" t="s">
        <v>3356</v>
      </c>
      <c r="B2865" t="s">
        <v>3361</v>
      </c>
      <c r="C2865">
        <v>0</v>
      </c>
      <c r="D2865" t="s">
        <v>106</v>
      </c>
      <c r="E2865">
        <v>24</v>
      </c>
    </row>
    <row r="2866" spans="1:5">
      <c r="A2866" t="s">
        <v>3356</v>
      </c>
      <c r="B2866" t="s">
        <v>3362</v>
      </c>
      <c r="C2866">
        <f>0</f>
        <v>0</v>
      </c>
      <c r="D2866" t="s">
        <v>106</v>
      </c>
      <c r="E2866">
        <v>24</v>
      </c>
    </row>
    <row r="2867" spans="1:5">
      <c r="A2867" t="s">
        <v>3356</v>
      </c>
      <c r="B2867" t="s">
        <v>3363</v>
      </c>
      <c r="C2867">
        <f>0</f>
        <v>0</v>
      </c>
      <c r="D2867" t="s">
        <v>106</v>
      </c>
      <c r="E2867">
        <v>24</v>
      </c>
    </row>
    <row r="2868" spans="1:5">
      <c r="A2868" t="s">
        <v>3356</v>
      </c>
      <c r="B2868" t="s">
        <v>3364</v>
      </c>
      <c r="C2868">
        <f>0</f>
        <v>0</v>
      </c>
      <c r="D2868" t="s">
        <v>106</v>
      </c>
      <c r="E2868">
        <v>24</v>
      </c>
    </row>
    <row r="2869" spans="1:5">
      <c r="A2869" t="s">
        <v>3365</v>
      </c>
      <c r="B2869" t="s">
        <v>3366</v>
      </c>
      <c r="C2869">
        <v>0</v>
      </c>
      <c r="D2869">
        <v>0.98934426092000005</v>
      </c>
      <c r="E2869">
        <v>24</v>
      </c>
    </row>
    <row r="2870" spans="1:5">
      <c r="A2870" t="s">
        <v>3365</v>
      </c>
      <c r="B2870" t="s">
        <v>3367</v>
      </c>
      <c r="C2870">
        <v>0</v>
      </c>
      <c r="D2870">
        <v>0.98934426092000005</v>
      </c>
      <c r="E2870">
        <v>24</v>
      </c>
    </row>
    <row r="2871" spans="1:5">
      <c r="A2871" t="s">
        <v>3365</v>
      </c>
      <c r="B2871" t="s">
        <v>3368</v>
      </c>
      <c r="C2871">
        <v>0</v>
      </c>
      <c r="D2871">
        <v>0.98934426092000005</v>
      </c>
      <c r="E2871">
        <v>24</v>
      </c>
    </row>
    <row r="2872" spans="1:5">
      <c r="A2872" t="s">
        <v>3365</v>
      </c>
      <c r="B2872" t="s">
        <v>3369</v>
      </c>
      <c r="C2872">
        <v>0</v>
      </c>
      <c r="D2872">
        <v>0.98934426092000005</v>
      </c>
      <c r="E2872">
        <v>24</v>
      </c>
    </row>
    <row r="2873" spans="1:5">
      <c r="A2873" t="s">
        <v>3365</v>
      </c>
      <c r="B2873" t="s">
        <v>3370</v>
      </c>
      <c r="C2873">
        <v>0</v>
      </c>
      <c r="D2873">
        <v>0.98934426092000005</v>
      </c>
      <c r="E2873">
        <v>24</v>
      </c>
    </row>
    <row r="2874" spans="1:5">
      <c r="A2874" t="s">
        <v>3365</v>
      </c>
      <c r="B2874" t="s">
        <v>3371</v>
      </c>
      <c r="C2874">
        <f>0</f>
        <v>0</v>
      </c>
      <c r="D2874">
        <v>0.98934426092000005</v>
      </c>
      <c r="E2874">
        <v>24</v>
      </c>
    </row>
    <row r="2875" spans="1:5">
      <c r="A2875" t="s">
        <v>3365</v>
      </c>
      <c r="B2875" t="s">
        <v>3372</v>
      </c>
      <c r="C2875">
        <v>0.140337963511</v>
      </c>
      <c r="D2875">
        <v>0.98934426092000005</v>
      </c>
      <c r="E2875">
        <v>24</v>
      </c>
    </row>
    <row r="2876" spans="1:5">
      <c r="A2876" t="s">
        <v>3365</v>
      </c>
      <c r="B2876" t="s">
        <v>3373</v>
      </c>
      <c r="C2876">
        <v>0</v>
      </c>
      <c r="D2876">
        <v>0.98934426092000005</v>
      </c>
      <c r="E2876">
        <v>24</v>
      </c>
    </row>
    <row r="2877" spans="1:5">
      <c r="A2877" t="s">
        <v>3365</v>
      </c>
      <c r="B2877" t="s">
        <v>3374</v>
      </c>
      <c r="C2877">
        <f>0</f>
        <v>0</v>
      </c>
      <c r="D2877">
        <v>0.98934426092000005</v>
      </c>
      <c r="E2877">
        <v>24</v>
      </c>
    </row>
    <row r="2878" spans="1:5">
      <c r="A2878" t="s">
        <v>3375</v>
      </c>
      <c r="B2878" t="s">
        <v>3376</v>
      </c>
      <c r="C2878">
        <f>0.123594706403</f>
        <v>0.12359470640299999</v>
      </c>
      <c r="D2878">
        <v>0.34950317789500002</v>
      </c>
      <c r="E2878">
        <v>11.7061469265367</v>
      </c>
    </row>
    <row r="2879" spans="1:5">
      <c r="A2879" t="s">
        <v>3377</v>
      </c>
      <c r="B2879" t="s">
        <v>3378</v>
      </c>
      <c r="C2879">
        <f>0</f>
        <v>0</v>
      </c>
      <c r="D2879">
        <v>0.78187787572199996</v>
      </c>
      <c r="E2879">
        <v>5.5772113943028403</v>
      </c>
    </row>
    <row r="2880" spans="1:5">
      <c r="A2880" t="s">
        <v>3377</v>
      </c>
      <c r="B2880" t="s">
        <v>3379</v>
      </c>
      <c r="C2880">
        <f>0.102832287447</f>
        <v>0.102832287447</v>
      </c>
      <c r="D2880">
        <v>0.78187787572199996</v>
      </c>
      <c r="E2880">
        <v>5.5772113943028403</v>
      </c>
    </row>
    <row r="2881" spans="1:5">
      <c r="A2881" t="s">
        <v>3377</v>
      </c>
      <c r="B2881" t="s">
        <v>3380</v>
      </c>
      <c r="C2881">
        <f>0</f>
        <v>0</v>
      </c>
      <c r="D2881">
        <v>0.78187787572199996</v>
      </c>
      <c r="E2881">
        <v>5.5772113943028403</v>
      </c>
    </row>
    <row r="2882" spans="1:5">
      <c r="A2882" t="s">
        <v>3377</v>
      </c>
      <c r="B2882" t="s">
        <v>3381</v>
      </c>
      <c r="C2882">
        <f>0</f>
        <v>0</v>
      </c>
      <c r="D2882">
        <v>0.78187787572199996</v>
      </c>
      <c r="E2882">
        <v>5.5772113943028403</v>
      </c>
    </row>
    <row r="2883" spans="1:5">
      <c r="A2883" t="s">
        <v>3377</v>
      </c>
      <c r="B2883" t="s">
        <v>3382</v>
      </c>
      <c r="C2883">
        <f>0</f>
        <v>0</v>
      </c>
      <c r="D2883">
        <v>0.78187787572199996</v>
      </c>
      <c r="E2883">
        <v>5.5772113943028403</v>
      </c>
    </row>
    <row r="2884" spans="1:5">
      <c r="A2884" t="s">
        <v>3383</v>
      </c>
      <c r="B2884" t="s">
        <v>3384</v>
      </c>
      <c r="C2884">
        <v>0</v>
      </c>
      <c r="D2884">
        <v>0.95930540443000001</v>
      </c>
      <c r="E2884">
        <v>1.51124437781109</v>
      </c>
    </row>
    <row r="2885" spans="1:5">
      <c r="A2885" t="s">
        <v>3383</v>
      </c>
      <c r="B2885" t="s">
        <v>3385</v>
      </c>
      <c r="C2885">
        <v>0</v>
      </c>
      <c r="D2885">
        <v>0.95930540443000001</v>
      </c>
      <c r="E2885">
        <v>1.51124437781109</v>
      </c>
    </row>
    <row r="2886" spans="1:5">
      <c r="A2886" t="s">
        <v>3383</v>
      </c>
      <c r="B2886" t="s">
        <v>3386</v>
      </c>
      <c r="C2886">
        <f>0</f>
        <v>0</v>
      </c>
      <c r="D2886">
        <v>0.95930540443000001</v>
      </c>
      <c r="E2886">
        <v>1.51124437781109</v>
      </c>
    </row>
    <row r="2887" spans="1:5">
      <c r="A2887" t="s">
        <v>3383</v>
      </c>
      <c r="B2887" t="s">
        <v>3387</v>
      </c>
      <c r="C2887">
        <v>0</v>
      </c>
      <c r="D2887">
        <v>0.95930540443000001</v>
      </c>
      <c r="E2887">
        <v>1.51124437781109</v>
      </c>
    </row>
    <row r="2888" spans="1:5">
      <c r="A2888" t="s">
        <v>3383</v>
      </c>
      <c r="B2888" t="s">
        <v>3388</v>
      </c>
      <c r="C2888">
        <f>0</f>
        <v>0</v>
      </c>
      <c r="D2888">
        <v>0.95930540443000001</v>
      </c>
      <c r="E2888">
        <v>1.51124437781109</v>
      </c>
    </row>
    <row r="2889" spans="1:5">
      <c r="A2889" t="s">
        <v>3383</v>
      </c>
      <c r="B2889" t="s">
        <v>3389</v>
      </c>
      <c r="C2889">
        <v>0</v>
      </c>
      <c r="D2889">
        <v>0.95930540443000001</v>
      </c>
      <c r="E2889">
        <v>1.51124437781109</v>
      </c>
    </row>
    <row r="2890" spans="1:5">
      <c r="A2890" t="s">
        <v>3383</v>
      </c>
      <c r="B2890" t="s">
        <v>3390</v>
      </c>
      <c r="C2890">
        <f>0</f>
        <v>0</v>
      </c>
      <c r="D2890">
        <v>0.95930540443000001</v>
      </c>
      <c r="E2890">
        <v>1.51124437781109</v>
      </c>
    </row>
    <row r="2891" spans="1:5">
      <c r="A2891" t="s">
        <v>3383</v>
      </c>
      <c r="B2891" t="s">
        <v>3391</v>
      </c>
      <c r="C2891">
        <v>0</v>
      </c>
      <c r="D2891">
        <v>0.95930540443000001</v>
      </c>
      <c r="E2891">
        <v>1.51124437781109</v>
      </c>
    </row>
    <row r="2892" spans="1:5">
      <c r="A2892" t="s">
        <v>3383</v>
      </c>
      <c r="B2892" t="s">
        <v>3392</v>
      </c>
      <c r="C2892">
        <v>0</v>
      </c>
      <c r="D2892">
        <v>0.95930540443000001</v>
      </c>
      <c r="E2892">
        <v>1.51124437781109</v>
      </c>
    </row>
    <row r="2893" spans="1:5">
      <c r="A2893" t="s">
        <v>3383</v>
      </c>
      <c r="B2893" t="s">
        <v>3393</v>
      </c>
      <c r="C2893">
        <v>0</v>
      </c>
      <c r="D2893">
        <v>0.95930540443000001</v>
      </c>
      <c r="E2893">
        <v>1.51124437781109</v>
      </c>
    </row>
    <row r="2894" spans="1:5">
      <c r="A2894" t="s">
        <v>3383</v>
      </c>
      <c r="B2894" t="s">
        <v>3394</v>
      </c>
      <c r="C2894">
        <v>0</v>
      </c>
      <c r="D2894">
        <v>0.95930540443000001</v>
      </c>
      <c r="E2894">
        <v>1.51124437781109</v>
      </c>
    </row>
    <row r="2895" spans="1:5">
      <c r="A2895" t="s">
        <v>3383</v>
      </c>
      <c r="B2895" t="s">
        <v>3395</v>
      </c>
      <c r="C2895">
        <v>4.6335796000799997E-2</v>
      </c>
      <c r="D2895">
        <v>0.95930540443000001</v>
      </c>
      <c r="E2895">
        <v>1.51124437781109</v>
      </c>
    </row>
    <row r="2896" spans="1:5">
      <c r="A2896" t="s">
        <v>3383</v>
      </c>
      <c r="B2896" t="s">
        <v>3396</v>
      </c>
      <c r="C2896">
        <v>0.131530780593</v>
      </c>
      <c r="D2896">
        <v>0.95930540443000001</v>
      </c>
      <c r="E2896">
        <v>1.51124437781109</v>
      </c>
    </row>
    <row r="2897" spans="1:5">
      <c r="A2897" t="s">
        <v>3383</v>
      </c>
      <c r="B2897" t="s">
        <v>3397</v>
      </c>
      <c r="C2897">
        <v>0</v>
      </c>
      <c r="D2897">
        <v>0.95930540443000001</v>
      </c>
      <c r="E2897">
        <v>1.51124437781109</v>
      </c>
    </row>
    <row r="2898" spans="1:5">
      <c r="A2898" t="s">
        <v>3383</v>
      </c>
      <c r="B2898" t="s">
        <v>3398</v>
      </c>
      <c r="C2898">
        <v>0</v>
      </c>
      <c r="D2898">
        <v>0.95930540443000001</v>
      </c>
      <c r="E2898">
        <v>1.51124437781109</v>
      </c>
    </row>
    <row r="2899" spans="1:5">
      <c r="A2899" t="s">
        <v>3399</v>
      </c>
      <c r="B2899" t="s">
        <v>3400</v>
      </c>
      <c r="C2899">
        <v>0</v>
      </c>
      <c r="D2899">
        <v>0.898135426525</v>
      </c>
      <c r="E2899">
        <v>9.9190404797601204</v>
      </c>
    </row>
    <row r="2900" spans="1:5">
      <c r="A2900" t="s">
        <v>3399</v>
      </c>
      <c r="B2900" t="s">
        <v>3401</v>
      </c>
      <c r="C2900">
        <f>0</f>
        <v>0</v>
      </c>
      <c r="D2900">
        <v>0.898135426525</v>
      </c>
      <c r="E2900">
        <v>9.9190404797601204</v>
      </c>
    </row>
    <row r="2901" spans="1:5">
      <c r="A2901" t="s">
        <v>3399</v>
      </c>
      <c r="B2901" t="s">
        <v>3402</v>
      </c>
      <c r="C2901">
        <f>0</f>
        <v>0</v>
      </c>
      <c r="D2901">
        <v>0.898135426525</v>
      </c>
      <c r="E2901">
        <v>9.9190404797601204</v>
      </c>
    </row>
    <row r="2902" spans="1:5">
      <c r="A2902" t="s">
        <v>3399</v>
      </c>
      <c r="B2902" t="s">
        <v>3403</v>
      </c>
      <c r="C2902">
        <v>0.214188910619</v>
      </c>
      <c r="D2902">
        <v>0.898135426525</v>
      </c>
      <c r="E2902">
        <v>9.9190404797601204</v>
      </c>
    </row>
    <row r="2903" spans="1:5">
      <c r="A2903" t="s">
        <v>3399</v>
      </c>
      <c r="B2903" t="s">
        <v>3404</v>
      </c>
      <c r="C2903">
        <v>0</v>
      </c>
      <c r="D2903">
        <v>0.898135426525</v>
      </c>
      <c r="E2903">
        <v>9.9190404797601204</v>
      </c>
    </row>
    <row r="2904" spans="1:5">
      <c r="A2904" t="s">
        <v>3399</v>
      </c>
      <c r="B2904" t="s">
        <v>3405</v>
      </c>
      <c r="C2904">
        <v>0.1303478488</v>
      </c>
      <c r="D2904">
        <v>0.898135426525</v>
      </c>
      <c r="E2904">
        <v>9.9190404797601204</v>
      </c>
    </row>
    <row r="2905" spans="1:5">
      <c r="A2905" t="s">
        <v>3399</v>
      </c>
      <c r="B2905" t="s">
        <v>3406</v>
      </c>
      <c r="C2905">
        <f>0</f>
        <v>0</v>
      </c>
      <c r="D2905">
        <v>0.898135426525</v>
      </c>
      <c r="E2905">
        <v>9.9190404797601204</v>
      </c>
    </row>
    <row r="2906" spans="1:5">
      <c r="A2906" t="s">
        <v>3399</v>
      </c>
      <c r="B2906" t="s">
        <v>3407</v>
      </c>
      <c r="C2906">
        <v>0</v>
      </c>
      <c r="D2906">
        <v>0.898135426525</v>
      </c>
      <c r="E2906">
        <v>9.9190404797601204</v>
      </c>
    </row>
    <row r="2907" spans="1:5">
      <c r="A2907" t="s">
        <v>3408</v>
      </c>
      <c r="B2907" t="s">
        <v>3409</v>
      </c>
      <c r="C2907">
        <v>0</v>
      </c>
      <c r="D2907" t="s">
        <v>106</v>
      </c>
      <c r="E2907">
        <v>11.5382308845577</v>
      </c>
    </row>
    <row r="2908" spans="1:5">
      <c r="A2908" t="s">
        <v>3410</v>
      </c>
      <c r="B2908" t="s">
        <v>3411</v>
      </c>
      <c r="C2908">
        <v>0.25553785606099999</v>
      </c>
      <c r="D2908">
        <v>0.99083834671600002</v>
      </c>
      <c r="E2908">
        <v>5.69715142428785</v>
      </c>
    </row>
    <row r="2909" spans="1:5">
      <c r="A2909" t="s">
        <v>3410</v>
      </c>
      <c r="B2909" t="s">
        <v>3412</v>
      </c>
      <c r="C2909">
        <v>0.496135412474</v>
      </c>
      <c r="D2909">
        <v>0.99083834671600002</v>
      </c>
      <c r="E2909">
        <v>5.69715142428785</v>
      </c>
    </row>
    <row r="2910" spans="1:5">
      <c r="A2910" t="s">
        <v>3410</v>
      </c>
      <c r="B2910" t="s">
        <v>3413</v>
      </c>
      <c r="C2910">
        <v>0</v>
      </c>
      <c r="D2910">
        <v>0.99083834671600002</v>
      </c>
      <c r="E2910">
        <v>5.69715142428785</v>
      </c>
    </row>
    <row r="2911" spans="1:5">
      <c r="A2911" t="s">
        <v>3410</v>
      </c>
      <c r="B2911" t="s">
        <v>3414</v>
      </c>
      <c r="C2911">
        <v>0</v>
      </c>
      <c r="D2911">
        <v>0.99083834671600002</v>
      </c>
      <c r="E2911">
        <v>5.69715142428785</v>
      </c>
    </row>
    <row r="2912" spans="1:5">
      <c r="A2912" t="s">
        <v>3410</v>
      </c>
      <c r="B2912" t="s">
        <v>3415</v>
      </c>
      <c r="C2912">
        <f>0</f>
        <v>0</v>
      </c>
      <c r="D2912">
        <v>0.99083834671600002</v>
      </c>
      <c r="E2912">
        <v>5.69715142428785</v>
      </c>
    </row>
    <row r="2913" spans="1:5">
      <c r="A2913" t="s">
        <v>3410</v>
      </c>
      <c r="B2913" t="s">
        <v>3416</v>
      </c>
      <c r="C2913">
        <v>0</v>
      </c>
      <c r="D2913">
        <v>0.99083834671600002</v>
      </c>
      <c r="E2913">
        <v>5.69715142428785</v>
      </c>
    </row>
    <row r="2914" spans="1:5">
      <c r="A2914" t="s">
        <v>3410</v>
      </c>
      <c r="B2914" t="s">
        <v>3417</v>
      </c>
      <c r="C2914">
        <f>0</f>
        <v>0</v>
      </c>
      <c r="D2914">
        <v>0.99083834671600002</v>
      </c>
      <c r="E2914">
        <v>5.69715142428785</v>
      </c>
    </row>
    <row r="2915" spans="1:5">
      <c r="A2915" t="s">
        <v>3410</v>
      </c>
      <c r="B2915" t="s">
        <v>3418</v>
      </c>
      <c r="C2915">
        <f>0</f>
        <v>0</v>
      </c>
      <c r="D2915">
        <v>0.99083834671600002</v>
      </c>
      <c r="E2915">
        <v>5.69715142428785</v>
      </c>
    </row>
    <row r="2916" spans="1:5">
      <c r="A2916" t="s">
        <v>3410</v>
      </c>
      <c r="B2916" t="s">
        <v>3419</v>
      </c>
      <c r="C2916">
        <v>0</v>
      </c>
      <c r="D2916">
        <v>0.99083834671600002</v>
      </c>
      <c r="E2916">
        <v>5.69715142428785</v>
      </c>
    </row>
    <row r="2917" spans="1:5">
      <c r="A2917" t="s">
        <v>3410</v>
      </c>
      <c r="B2917" t="s">
        <v>3420</v>
      </c>
      <c r="C2917">
        <f>0</f>
        <v>0</v>
      </c>
      <c r="D2917">
        <v>0.99083834671600002</v>
      </c>
      <c r="E2917">
        <v>5.69715142428785</v>
      </c>
    </row>
    <row r="2918" spans="1:5">
      <c r="A2918" t="s">
        <v>3421</v>
      </c>
      <c r="B2918" t="s">
        <v>3422</v>
      </c>
      <c r="C2918">
        <v>0</v>
      </c>
      <c r="D2918" t="s">
        <v>106</v>
      </c>
      <c r="E2918">
        <v>3.68215892053973</v>
      </c>
    </row>
    <row r="2919" spans="1:5">
      <c r="A2919" t="s">
        <v>3421</v>
      </c>
      <c r="B2919" t="s">
        <v>3423</v>
      </c>
      <c r="C2919">
        <f>0</f>
        <v>0</v>
      </c>
      <c r="D2919" t="s">
        <v>106</v>
      </c>
      <c r="E2919">
        <v>3.68215892053973</v>
      </c>
    </row>
    <row r="2920" spans="1:5">
      <c r="A2920" t="s">
        <v>3421</v>
      </c>
      <c r="B2920" t="s">
        <v>3424</v>
      </c>
      <c r="C2920">
        <v>0</v>
      </c>
      <c r="D2920" t="s">
        <v>106</v>
      </c>
      <c r="E2920">
        <v>3.68215892053973</v>
      </c>
    </row>
    <row r="2921" spans="1:5">
      <c r="A2921" t="s">
        <v>3421</v>
      </c>
      <c r="B2921" t="s">
        <v>3425</v>
      </c>
      <c r="C2921">
        <f>0</f>
        <v>0</v>
      </c>
      <c r="D2921" t="s">
        <v>106</v>
      </c>
      <c r="E2921">
        <v>3.68215892053973</v>
      </c>
    </row>
    <row r="2922" spans="1:5">
      <c r="A2922" t="s">
        <v>3421</v>
      </c>
      <c r="B2922" t="s">
        <v>3426</v>
      </c>
      <c r="C2922">
        <v>0</v>
      </c>
      <c r="D2922" t="s">
        <v>106</v>
      </c>
      <c r="E2922">
        <v>3.68215892053973</v>
      </c>
    </row>
    <row r="2923" spans="1:5">
      <c r="A2923" t="s">
        <v>3421</v>
      </c>
      <c r="B2923" t="s">
        <v>3427</v>
      </c>
      <c r="C2923">
        <v>0</v>
      </c>
      <c r="D2923" t="s">
        <v>106</v>
      </c>
      <c r="E2923">
        <v>3.68215892053973</v>
      </c>
    </row>
    <row r="2924" spans="1:5">
      <c r="A2924" t="s">
        <v>3428</v>
      </c>
      <c r="B2924" t="s">
        <v>3429</v>
      </c>
      <c r="C2924">
        <f>0</f>
        <v>0</v>
      </c>
      <c r="D2924">
        <v>0.83037537154700003</v>
      </c>
      <c r="E2924">
        <v>24</v>
      </c>
    </row>
    <row r="2925" spans="1:5">
      <c r="A2925" t="s">
        <v>3428</v>
      </c>
      <c r="B2925" t="s">
        <v>3430</v>
      </c>
      <c r="C2925">
        <f>0</f>
        <v>0</v>
      </c>
      <c r="D2925">
        <v>0.83037537154700003</v>
      </c>
      <c r="E2925">
        <v>24</v>
      </c>
    </row>
    <row r="2926" spans="1:5">
      <c r="A2926" t="s">
        <v>3428</v>
      </c>
      <c r="B2926" t="s">
        <v>3431</v>
      </c>
      <c r="C2926">
        <f>0</f>
        <v>0</v>
      </c>
      <c r="D2926">
        <v>0.83037537154700003</v>
      </c>
      <c r="E2926">
        <v>24</v>
      </c>
    </row>
    <row r="2927" spans="1:5">
      <c r="A2927" t="s">
        <v>3428</v>
      </c>
      <c r="B2927" t="s">
        <v>3432</v>
      </c>
      <c r="C2927">
        <f>0</f>
        <v>0</v>
      </c>
      <c r="D2927">
        <v>0.83037537154700003</v>
      </c>
      <c r="E2927">
        <v>24</v>
      </c>
    </row>
    <row r="2928" spans="1:5">
      <c r="A2928" t="s">
        <v>3428</v>
      </c>
      <c r="B2928" t="s">
        <v>3433</v>
      </c>
      <c r="C2928">
        <f>0</f>
        <v>0</v>
      </c>
      <c r="D2928">
        <v>0.83037537154700003</v>
      </c>
      <c r="E2928">
        <v>24</v>
      </c>
    </row>
    <row r="2929" spans="1:5">
      <c r="A2929" t="s">
        <v>3428</v>
      </c>
      <c r="B2929" t="s">
        <v>3434</v>
      </c>
      <c r="C2929">
        <f>0</f>
        <v>0</v>
      </c>
      <c r="D2929">
        <v>0.83037537154700003</v>
      </c>
      <c r="E2929">
        <v>24</v>
      </c>
    </row>
    <row r="2930" spans="1:5">
      <c r="A2930" t="s">
        <v>3428</v>
      </c>
      <c r="B2930" t="s">
        <v>3435</v>
      </c>
      <c r="C2930">
        <f>0</f>
        <v>0</v>
      </c>
      <c r="D2930">
        <v>0.83037537154700003</v>
      </c>
      <c r="E2930">
        <v>24</v>
      </c>
    </row>
    <row r="2931" spans="1:5">
      <c r="A2931" t="s">
        <v>3436</v>
      </c>
      <c r="B2931" t="s">
        <v>3437</v>
      </c>
      <c r="C2931">
        <f>0.198819324614</f>
        <v>0.19881932461400001</v>
      </c>
      <c r="D2931">
        <v>0.48743976399299999</v>
      </c>
      <c r="E2931">
        <v>1.00749625187406</v>
      </c>
    </row>
    <row r="2932" spans="1:5">
      <c r="A2932" t="s">
        <v>3438</v>
      </c>
      <c r="B2932" t="s">
        <v>3439</v>
      </c>
      <c r="C2932">
        <v>6.5219652451199997E-2</v>
      </c>
      <c r="D2932">
        <v>0.84455574294500002</v>
      </c>
      <c r="E2932">
        <v>19.1904047976012</v>
      </c>
    </row>
    <row r="2933" spans="1:5">
      <c r="A2933" t="s">
        <v>3438</v>
      </c>
      <c r="B2933" t="s">
        <v>3440</v>
      </c>
      <c r="C2933">
        <v>0</v>
      </c>
      <c r="D2933">
        <v>0.84455574294500002</v>
      </c>
      <c r="E2933">
        <v>19.1904047976012</v>
      </c>
    </row>
    <row r="2934" spans="1:5">
      <c r="A2934" t="s">
        <v>3438</v>
      </c>
      <c r="B2934" t="s">
        <v>3441</v>
      </c>
      <c r="C2934">
        <v>0</v>
      </c>
      <c r="D2934">
        <v>0.84455574294500002</v>
      </c>
      <c r="E2934">
        <v>19.1904047976012</v>
      </c>
    </row>
    <row r="2935" spans="1:5">
      <c r="A2935" t="s">
        <v>3438</v>
      </c>
      <c r="B2935" t="s">
        <v>3442</v>
      </c>
      <c r="C2935">
        <v>0</v>
      </c>
      <c r="D2935">
        <v>0.84455574294500002</v>
      </c>
      <c r="E2935">
        <v>19.1904047976012</v>
      </c>
    </row>
    <row r="2936" spans="1:5">
      <c r="A2936" t="s">
        <v>3438</v>
      </c>
      <c r="B2936" t="s">
        <v>3443</v>
      </c>
      <c r="C2936">
        <v>0</v>
      </c>
      <c r="D2936">
        <v>0.84455574294500002</v>
      </c>
      <c r="E2936">
        <v>19.1904047976012</v>
      </c>
    </row>
    <row r="2937" spans="1:5">
      <c r="A2937" t="s">
        <v>3438</v>
      </c>
      <c r="B2937" t="s">
        <v>3444</v>
      </c>
      <c r="C2937">
        <v>0</v>
      </c>
      <c r="D2937">
        <v>0.84455574294500002</v>
      </c>
      <c r="E2937">
        <v>19.1904047976012</v>
      </c>
    </row>
    <row r="2938" spans="1:5">
      <c r="A2938" t="s">
        <v>3438</v>
      </c>
      <c r="B2938" t="s">
        <v>3445</v>
      </c>
      <c r="C2938">
        <v>3.78443413933E-2</v>
      </c>
      <c r="D2938">
        <v>0.84455574294500002</v>
      </c>
      <c r="E2938">
        <v>19.1904047976012</v>
      </c>
    </row>
    <row r="2939" spans="1:5">
      <c r="A2939" t="s">
        <v>3438</v>
      </c>
      <c r="B2939" t="s">
        <v>3446</v>
      </c>
      <c r="C2939">
        <v>0</v>
      </c>
      <c r="D2939">
        <v>0.84455574294500002</v>
      </c>
      <c r="E2939">
        <v>19.1904047976012</v>
      </c>
    </row>
    <row r="2940" spans="1:5">
      <c r="A2940" t="s">
        <v>3447</v>
      </c>
      <c r="B2940" t="s">
        <v>3448</v>
      </c>
      <c r="C2940">
        <v>0.22883257874099999</v>
      </c>
      <c r="D2940">
        <v>0.90734689474100005</v>
      </c>
      <c r="E2940">
        <v>11.202398800599701</v>
      </c>
    </row>
    <row r="2941" spans="1:5">
      <c r="A2941" t="s">
        <v>3447</v>
      </c>
      <c r="B2941" t="s">
        <v>3449</v>
      </c>
      <c r="C2941">
        <f>0</f>
        <v>0</v>
      </c>
      <c r="D2941">
        <v>0.90734689474100005</v>
      </c>
      <c r="E2941">
        <v>11.202398800599701</v>
      </c>
    </row>
    <row r="2942" spans="1:5">
      <c r="A2942" t="s">
        <v>3447</v>
      </c>
      <c r="B2942" t="s">
        <v>3450</v>
      </c>
      <c r="C2942">
        <v>0</v>
      </c>
      <c r="D2942">
        <v>0.90734689474100005</v>
      </c>
      <c r="E2942">
        <v>11.202398800599701</v>
      </c>
    </row>
    <row r="2943" spans="1:5">
      <c r="A2943" t="s">
        <v>3451</v>
      </c>
      <c r="B2943" t="s">
        <v>3452</v>
      </c>
      <c r="C2943">
        <f>0</f>
        <v>0</v>
      </c>
      <c r="D2943">
        <v>0.86957096114200005</v>
      </c>
      <c r="E2943">
        <v>2.3268365817091401</v>
      </c>
    </row>
    <row r="2944" spans="1:5">
      <c r="A2944" t="s">
        <v>3451</v>
      </c>
      <c r="B2944" t="s">
        <v>3453</v>
      </c>
      <c r="C2944">
        <f>0.5370936265</f>
        <v>0.53709362650000003</v>
      </c>
      <c r="D2944">
        <v>0.86957096114200005</v>
      </c>
      <c r="E2944">
        <v>2.3268365817091401</v>
      </c>
    </row>
    <row r="2945" spans="1:5">
      <c r="A2945" t="s">
        <v>3454</v>
      </c>
      <c r="B2945" t="s">
        <v>3455</v>
      </c>
      <c r="C2945">
        <v>1.1209620094400001E-3</v>
      </c>
      <c r="D2945">
        <v>0.75743882217500003</v>
      </c>
      <c r="E2945">
        <v>14.740629685157399</v>
      </c>
    </row>
    <row r="2946" spans="1:5">
      <c r="A2946" t="s">
        <v>3454</v>
      </c>
      <c r="B2946" t="s">
        <v>3456</v>
      </c>
      <c r="C2946">
        <v>5.5040552028199997E-2</v>
      </c>
      <c r="D2946">
        <v>0.75743882217500003</v>
      </c>
      <c r="E2946">
        <v>14.740629685157399</v>
      </c>
    </row>
    <row r="2947" spans="1:5">
      <c r="A2947" t="s">
        <v>3454</v>
      </c>
      <c r="B2947" t="s">
        <v>3457</v>
      </c>
      <c r="C2947">
        <v>0</v>
      </c>
      <c r="D2947">
        <v>0.75743882217500003</v>
      </c>
      <c r="E2947">
        <v>14.740629685157399</v>
      </c>
    </row>
    <row r="2948" spans="1:5">
      <c r="A2948" t="s">
        <v>3454</v>
      </c>
      <c r="B2948" t="s">
        <v>3458</v>
      </c>
      <c r="C2948">
        <v>0</v>
      </c>
      <c r="D2948">
        <v>0.75743882217500003</v>
      </c>
      <c r="E2948">
        <v>14.740629685157399</v>
      </c>
    </row>
    <row r="2949" spans="1:5">
      <c r="A2949" t="s">
        <v>3454</v>
      </c>
      <c r="B2949" t="s">
        <v>3459</v>
      </c>
      <c r="C2949">
        <f>0</f>
        <v>0</v>
      </c>
      <c r="D2949">
        <v>0.75743882217500003</v>
      </c>
      <c r="E2949">
        <v>14.740629685157399</v>
      </c>
    </row>
    <row r="2950" spans="1:5">
      <c r="A2950" t="s">
        <v>3454</v>
      </c>
      <c r="B2950" t="s">
        <v>3460</v>
      </c>
      <c r="C2950">
        <f>0</f>
        <v>0</v>
      </c>
      <c r="D2950">
        <v>0.75743882217500003</v>
      </c>
      <c r="E2950">
        <v>14.740629685157399</v>
      </c>
    </row>
    <row r="2951" spans="1:5">
      <c r="A2951" t="s">
        <v>3461</v>
      </c>
      <c r="B2951" t="s">
        <v>3462</v>
      </c>
      <c r="C2951">
        <v>0.45262678693500003</v>
      </c>
      <c r="D2951" t="s">
        <v>106</v>
      </c>
      <c r="E2951">
        <v>6.2968515742128899</v>
      </c>
    </row>
    <row r="2952" spans="1:5">
      <c r="A2952" t="s">
        <v>3461</v>
      </c>
      <c r="B2952" t="s">
        <v>3463</v>
      </c>
      <c r="C2952">
        <v>0.459926260704</v>
      </c>
      <c r="D2952" t="s">
        <v>106</v>
      </c>
      <c r="E2952">
        <v>6.2968515742128899</v>
      </c>
    </row>
    <row r="2953" spans="1:5">
      <c r="A2953" t="s">
        <v>3461</v>
      </c>
      <c r="B2953" t="s">
        <v>3464</v>
      </c>
      <c r="C2953">
        <v>0</v>
      </c>
      <c r="D2953" t="s">
        <v>106</v>
      </c>
      <c r="E2953">
        <v>6.2968515742128899</v>
      </c>
    </row>
    <row r="2954" spans="1:5">
      <c r="A2954" t="s">
        <v>3461</v>
      </c>
      <c r="B2954" t="s">
        <v>3465</v>
      </c>
      <c r="C2954">
        <f>0</f>
        <v>0</v>
      </c>
      <c r="D2954" t="s">
        <v>106</v>
      </c>
      <c r="E2954">
        <v>6.2968515742128899</v>
      </c>
    </row>
    <row r="2955" spans="1:5">
      <c r="A2955" t="s">
        <v>3461</v>
      </c>
      <c r="B2955" t="s">
        <v>3466</v>
      </c>
      <c r="C2955">
        <v>0</v>
      </c>
      <c r="D2955" t="s">
        <v>106</v>
      </c>
      <c r="E2955">
        <v>6.2968515742128899</v>
      </c>
    </row>
    <row r="2956" spans="1:5">
      <c r="A2956" t="s">
        <v>3467</v>
      </c>
      <c r="B2956" t="s">
        <v>3468</v>
      </c>
      <c r="C2956">
        <v>0</v>
      </c>
      <c r="D2956" t="s">
        <v>106</v>
      </c>
      <c r="E2956">
        <v>4.2698650674662604</v>
      </c>
    </row>
    <row r="2957" spans="1:5">
      <c r="A2957" t="s">
        <v>3467</v>
      </c>
      <c r="B2957" t="s">
        <v>3469</v>
      </c>
      <c r="C2957">
        <f>0</f>
        <v>0</v>
      </c>
      <c r="D2957" t="s">
        <v>106</v>
      </c>
      <c r="E2957">
        <v>4.2698650674662604</v>
      </c>
    </row>
    <row r="2958" spans="1:5">
      <c r="A2958" t="s">
        <v>3467</v>
      </c>
      <c r="B2958" t="s">
        <v>3470</v>
      </c>
      <c r="C2958">
        <v>0</v>
      </c>
      <c r="D2958" t="s">
        <v>106</v>
      </c>
      <c r="E2958">
        <v>4.2698650674662604</v>
      </c>
    </row>
    <row r="2959" spans="1:5">
      <c r="A2959" t="s">
        <v>3467</v>
      </c>
      <c r="B2959" t="s">
        <v>3471</v>
      </c>
      <c r="C2959">
        <v>0</v>
      </c>
      <c r="D2959" t="s">
        <v>106</v>
      </c>
      <c r="E2959">
        <v>4.2698650674662604</v>
      </c>
    </row>
    <row r="2960" spans="1:5">
      <c r="A2960" t="s">
        <v>3467</v>
      </c>
      <c r="B2960" t="s">
        <v>3472</v>
      </c>
      <c r="C2960">
        <f>0</f>
        <v>0</v>
      </c>
      <c r="D2960" t="s">
        <v>106</v>
      </c>
      <c r="E2960">
        <v>4.2698650674662604</v>
      </c>
    </row>
    <row r="2961" spans="1:5">
      <c r="A2961" t="s">
        <v>3467</v>
      </c>
      <c r="B2961" t="s">
        <v>3473</v>
      </c>
      <c r="C2961">
        <v>0</v>
      </c>
      <c r="D2961" t="s">
        <v>106</v>
      </c>
      <c r="E2961">
        <v>4.2698650674662604</v>
      </c>
    </row>
    <row r="2962" spans="1:5">
      <c r="A2962" t="s">
        <v>3467</v>
      </c>
      <c r="B2962" t="s">
        <v>3474</v>
      </c>
      <c r="C2962">
        <v>0</v>
      </c>
      <c r="D2962" t="s">
        <v>106</v>
      </c>
      <c r="E2962">
        <v>4.2698650674662604</v>
      </c>
    </row>
    <row r="2963" spans="1:5">
      <c r="A2963" t="s">
        <v>3467</v>
      </c>
      <c r="B2963" t="s">
        <v>3475</v>
      </c>
      <c r="C2963">
        <f>0</f>
        <v>0</v>
      </c>
      <c r="D2963" t="s">
        <v>106</v>
      </c>
      <c r="E2963">
        <v>4.2698650674662604</v>
      </c>
    </row>
    <row r="2964" spans="1:5">
      <c r="A2964" t="s">
        <v>3467</v>
      </c>
      <c r="B2964" t="s">
        <v>3476</v>
      </c>
      <c r="C2964">
        <f>0</f>
        <v>0</v>
      </c>
      <c r="D2964" t="s">
        <v>106</v>
      </c>
      <c r="E2964">
        <v>4.2698650674662604</v>
      </c>
    </row>
    <row r="2965" spans="1:5">
      <c r="A2965" t="s">
        <v>3467</v>
      </c>
      <c r="B2965" t="s">
        <v>3477</v>
      </c>
      <c r="C2965">
        <f>0</f>
        <v>0</v>
      </c>
      <c r="D2965" t="s">
        <v>106</v>
      </c>
      <c r="E2965">
        <v>4.2698650674662604</v>
      </c>
    </row>
    <row r="2966" spans="1:5">
      <c r="A2966" t="s">
        <v>3478</v>
      </c>
      <c r="B2966" t="s">
        <v>3479</v>
      </c>
      <c r="C2966">
        <v>0.144265935367</v>
      </c>
      <c r="D2966">
        <v>0.83995598447800002</v>
      </c>
      <c r="E2966">
        <v>20.065967016491701</v>
      </c>
    </row>
    <row r="2967" spans="1:5">
      <c r="A2967" t="s">
        <v>3478</v>
      </c>
      <c r="B2967" t="s">
        <v>3480</v>
      </c>
      <c r="C2967">
        <f>0.00247934261368</f>
        <v>2.4793426136799999E-3</v>
      </c>
      <c r="D2967">
        <v>0.83995598447800002</v>
      </c>
      <c r="E2967">
        <v>20.065967016491701</v>
      </c>
    </row>
    <row r="2968" spans="1:5">
      <c r="A2968" t="s">
        <v>3478</v>
      </c>
      <c r="B2968" t="s">
        <v>3481</v>
      </c>
      <c r="C2968">
        <v>0</v>
      </c>
      <c r="D2968">
        <v>0.83995598447800002</v>
      </c>
      <c r="E2968">
        <v>20.065967016491701</v>
      </c>
    </row>
    <row r="2969" spans="1:5">
      <c r="A2969" t="s">
        <v>3482</v>
      </c>
      <c r="B2969" t="s">
        <v>3483</v>
      </c>
      <c r="C2969">
        <v>0.12002615418</v>
      </c>
      <c r="D2969" t="s">
        <v>106</v>
      </c>
      <c r="E2969">
        <v>4.58170914542728</v>
      </c>
    </row>
    <row r="2970" spans="1:5">
      <c r="A2970" t="s">
        <v>3484</v>
      </c>
      <c r="B2970" t="s">
        <v>3485</v>
      </c>
      <c r="C2970">
        <f>0</f>
        <v>0</v>
      </c>
      <c r="D2970">
        <v>0.95831322015700005</v>
      </c>
      <c r="E2970">
        <v>5.3493253373313303</v>
      </c>
    </row>
    <row r="2971" spans="1:5">
      <c r="A2971" t="s">
        <v>3484</v>
      </c>
      <c r="B2971" t="s">
        <v>3486</v>
      </c>
      <c r="C2971">
        <f>0.0323384015487</f>
        <v>3.2338401548699998E-2</v>
      </c>
      <c r="D2971">
        <v>0.95831322015700005</v>
      </c>
      <c r="E2971">
        <v>5.3493253373313303</v>
      </c>
    </row>
    <row r="2972" spans="1:5">
      <c r="A2972" t="s">
        <v>3484</v>
      </c>
      <c r="B2972" t="s">
        <v>3487</v>
      </c>
      <c r="C2972">
        <f>0</f>
        <v>0</v>
      </c>
      <c r="D2972">
        <v>0.95831322015700005</v>
      </c>
      <c r="E2972">
        <v>5.3493253373313303</v>
      </c>
    </row>
    <row r="2973" spans="1:5">
      <c r="A2973" t="s">
        <v>3484</v>
      </c>
      <c r="B2973" t="s">
        <v>3488</v>
      </c>
      <c r="C2973">
        <f>0.0109840394314</f>
        <v>1.09840394314E-2</v>
      </c>
      <c r="D2973">
        <v>0.95831322015700005</v>
      </c>
      <c r="E2973">
        <v>5.3493253373313303</v>
      </c>
    </row>
    <row r="2974" spans="1:5">
      <c r="A2974" t="s">
        <v>3484</v>
      </c>
      <c r="B2974" t="s">
        <v>3489</v>
      </c>
      <c r="C2974">
        <f>0</f>
        <v>0</v>
      </c>
      <c r="D2974">
        <v>0.95831322015700005</v>
      </c>
      <c r="E2974">
        <v>5.3493253373313303</v>
      </c>
    </row>
    <row r="2975" spans="1:5">
      <c r="A2975" t="s">
        <v>3490</v>
      </c>
      <c r="B2975" t="s">
        <v>3491</v>
      </c>
      <c r="C2975">
        <f>0</f>
        <v>0</v>
      </c>
      <c r="D2975">
        <v>0.91619244342799999</v>
      </c>
      <c r="E2975">
        <v>3.97001499250374</v>
      </c>
    </row>
    <row r="2976" spans="1:5">
      <c r="A2976" t="s">
        <v>3490</v>
      </c>
      <c r="B2976" t="s">
        <v>3492</v>
      </c>
      <c r="C2976">
        <v>0</v>
      </c>
      <c r="D2976">
        <v>0.91619244342799999</v>
      </c>
      <c r="E2976">
        <v>3.97001499250374</v>
      </c>
    </row>
    <row r="2977" spans="1:5">
      <c r="A2977" t="s">
        <v>3490</v>
      </c>
      <c r="B2977" t="s">
        <v>3493</v>
      </c>
      <c r="C2977">
        <f>0</f>
        <v>0</v>
      </c>
      <c r="D2977">
        <v>0.91619244342799999</v>
      </c>
      <c r="E2977">
        <v>3.97001499250374</v>
      </c>
    </row>
    <row r="2978" spans="1:5">
      <c r="A2978" t="s">
        <v>3490</v>
      </c>
      <c r="B2978" t="s">
        <v>3494</v>
      </c>
      <c r="C2978">
        <f>0</f>
        <v>0</v>
      </c>
      <c r="D2978">
        <v>0.91619244342799999</v>
      </c>
      <c r="E2978">
        <v>3.97001499250374</v>
      </c>
    </row>
    <row r="2979" spans="1:5">
      <c r="A2979" t="s">
        <v>3490</v>
      </c>
      <c r="B2979" t="s">
        <v>3495</v>
      </c>
      <c r="C2979">
        <v>9.7043560606599993E-2</v>
      </c>
      <c r="D2979">
        <v>0.91619244342799999</v>
      </c>
      <c r="E2979">
        <v>3.97001499250374</v>
      </c>
    </row>
    <row r="2980" spans="1:5">
      <c r="A2980" t="s">
        <v>3496</v>
      </c>
      <c r="B2980" t="s">
        <v>3497</v>
      </c>
      <c r="C2980">
        <v>0</v>
      </c>
      <c r="D2980">
        <v>0.88854555383900002</v>
      </c>
      <c r="E2980">
        <v>24</v>
      </c>
    </row>
    <row r="2981" spans="1:5">
      <c r="A2981" t="s">
        <v>3496</v>
      </c>
      <c r="B2981" t="s">
        <v>3498</v>
      </c>
      <c r="C2981">
        <v>0</v>
      </c>
      <c r="D2981">
        <v>0.88854555383900002</v>
      </c>
      <c r="E2981">
        <v>24</v>
      </c>
    </row>
    <row r="2982" spans="1:5">
      <c r="A2982" t="s">
        <v>3496</v>
      </c>
      <c r="B2982" t="s">
        <v>3499</v>
      </c>
      <c r="C2982">
        <v>0</v>
      </c>
      <c r="D2982">
        <v>0.88854555383900002</v>
      </c>
      <c r="E2982">
        <v>24</v>
      </c>
    </row>
    <row r="2983" spans="1:5">
      <c r="A2983" t="s">
        <v>3496</v>
      </c>
      <c r="B2983" t="s">
        <v>3500</v>
      </c>
      <c r="C2983">
        <v>0</v>
      </c>
      <c r="D2983">
        <v>0.88854555383900002</v>
      </c>
      <c r="E2983">
        <v>24</v>
      </c>
    </row>
    <row r="2984" spans="1:5">
      <c r="A2984" t="s">
        <v>3496</v>
      </c>
      <c r="B2984" t="s">
        <v>3501</v>
      </c>
      <c r="C2984">
        <v>0</v>
      </c>
      <c r="D2984">
        <v>0.88854555383900002</v>
      </c>
      <c r="E2984">
        <v>24</v>
      </c>
    </row>
    <row r="2985" spans="1:5">
      <c r="A2985" t="s">
        <v>3502</v>
      </c>
      <c r="B2985" t="s">
        <v>3503</v>
      </c>
      <c r="C2985">
        <v>0.23174029421799999</v>
      </c>
      <c r="D2985">
        <v>0.65573302289299995</v>
      </c>
      <c r="E2985">
        <v>10.878560719640101</v>
      </c>
    </row>
    <row r="2986" spans="1:5">
      <c r="A2986" t="s">
        <v>3502</v>
      </c>
      <c r="B2986" t="s">
        <v>3504</v>
      </c>
      <c r="C2986">
        <v>0</v>
      </c>
      <c r="D2986">
        <v>0.65573302289299995</v>
      </c>
      <c r="E2986">
        <v>10.878560719640101</v>
      </c>
    </row>
    <row r="2987" spans="1:5">
      <c r="A2987" t="s">
        <v>3505</v>
      </c>
      <c r="B2987" t="s">
        <v>3506</v>
      </c>
      <c r="C2987">
        <v>0.248307306443</v>
      </c>
      <c r="D2987">
        <v>0.95657774261899997</v>
      </c>
      <c r="E2987">
        <v>16.899550224887498</v>
      </c>
    </row>
    <row r="2988" spans="1:5">
      <c r="A2988" t="s">
        <v>3505</v>
      </c>
      <c r="B2988" t="s">
        <v>3507</v>
      </c>
      <c r="C2988">
        <f>0</f>
        <v>0</v>
      </c>
      <c r="D2988">
        <v>0.95657774261899997</v>
      </c>
      <c r="E2988">
        <v>16.899550224887498</v>
      </c>
    </row>
    <row r="2989" spans="1:5">
      <c r="A2989" t="s">
        <v>3505</v>
      </c>
      <c r="B2989" t="s">
        <v>3508</v>
      </c>
      <c r="C2989">
        <v>0</v>
      </c>
      <c r="D2989">
        <v>0.95657774261899997</v>
      </c>
      <c r="E2989">
        <v>16.899550224887498</v>
      </c>
    </row>
    <row r="2990" spans="1:5">
      <c r="A2990" t="s">
        <v>3505</v>
      </c>
      <c r="B2990" t="s">
        <v>3509</v>
      </c>
      <c r="C2990">
        <f>0</f>
        <v>0</v>
      </c>
      <c r="D2990">
        <v>0.95657774261899997</v>
      </c>
      <c r="E2990">
        <v>16.899550224887498</v>
      </c>
    </row>
    <row r="2991" spans="1:5">
      <c r="A2991" t="s">
        <v>3505</v>
      </c>
      <c r="B2991" t="s">
        <v>3510</v>
      </c>
      <c r="C2991">
        <v>0</v>
      </c>
      <c r="D2991">
        <v>0.95657774261899997</v>
      </c>
      <c r="E2991">
        <v>16.899550224887498</v>
      </c>
    </row>
    <row r="2992" spans="1:5">
      <c r="A2992" t="s">
        <v>3511</v>
      </c>
      <c r="B2992" t="s">
        <v>3512</v>
      </c>
      <c r="C2992">
        <f>0</f>
        <v>0</v>
      </c>
      <c r="D2992">
        <v>0.84607127894400003</v>
      </c>
      <c r="E2992">
        <v>4.2698650674662604</v>
      </c>
    </row>
    <row r="2993" spans="1:5">
      <c r="A2993" t="s">
        <v>3511</v>
      </c>
      <c r="B2993" t="s">
        <v>3513</v>
      </c>
      <c r="C2993">
        <v>0.109143703087</v>
      </c>
      <c r="D2993">
        <v>0.84607127894400003</v>
      </c>
      <c r="E2993">
        <v>4.2698650674662604</v>
      </c>
    </row>
    <row r="2994" spans="1:5">
      <c r="A2994" t="s">
        <v>3511</v>
      </c>
      <c r="B2994" t="s">
        <v>3514</v>
      </c>
      <c r="C2994">
        <v>9.0587523623500005E-2</v>
      </c>
      <c r="D2994">
        <v>0.84607127894400003</v>
      </c>
      <c r="E2994">
        <v>4.2698650674662604</v>
      </c>
    </row>
    <row r="2995" spans="1:5">
      <c r="A2995" t="s">
        <v>3515</v>
      </c>
      <c r="B2995" t="s">
        <v>3516</v>
      </c>
      <c r="C2995">
        <v>9.6476380488200002E-4</v>
      </c>
      <c r="D2995">
        <v>0.91539745987999999</v>
      </c>
      <c r="E2995">
        <v>10.0749625187406</v>
      </c>
    </row>
    <row r="2996" spans="1:5">
      <c r="A2996" t="s">
        <v>3515</v>
      </c>
      <c r="B2996" t="s">
        <v>3517</v>
      </c>
      <c r="C2996">
        <v>0</v>
      </c>
      <c r="D2996">
        <v>0.91539745987999999</v>
      </c>
      <c r="E2996">
        <v>10.0749625187406</v>
      </c>
    </row>
    <row r="2997" spans="1:5">
      <c r="A2997" t="s">
        <v>3515</v>
      </c>
      <c r="B2997" t="s">
        <v>3518</v>
      </c>
      <c r="C2997">
        <f>0</f>
        <v>0</v>
      </c>
      <c r="D2997">
        <v>0.91539745987999999</v>
      </c>
      <c r="E2997">
        <v>10.0749625187406</v>
      </c>
    </row>
    <row r="2998" spans="1:5">
      <c r="A2998" t="s">
        <v>3515</v>
      </c>
      <c r="B2998" t="s">
        <v>3519</v>
      </c>
      <c r="C2998">
        <f>0</f>
        <v>0</v>
      </c>
      <c r="D2998">
        <v>0.91539745987999999</v>
      </c>
      <c r="E2998">
        <v>10.0749625187406</v>
      </c>
    </row>
    <row r="2999" spans="1:5">
      <c r="A2999" t="s">
        <v>3515</v>
      </c>
      <c r="B2999" t="s">
        <v>3520</v>
      </c>
      <c r="C2999">
        <f>0</f>
        <v>0</v>
      </c>
      <c r="D2999">
        <v>0.91539745987999999</v>
      </c>
      <c r="E2999">
        <v>10.0749625187406</v>
      </c>
    </row>
    <row r="3000" spans="1:5">
      <c r="A3000" t="s">
        <v>3515</v>
      </c>
      <c r="B3000" t="s">
        <v>3521</v>
      </c>
      <c r="C3000">
        <f>0</f>
        <v>0</v>
      </c>
      <c r="D3000">
        <v>0.91539745987999999</v>
      </c>
      <c r="E3000">
        <v>10.0749625187406</v>
      </c>
    </row>
    <row r="3001" spans="1:5">
      <c r="A3001" t="s">
        <v>3515</v>
      </c>
      <c r="B3001" t="s">
        <v>3522</v>
      </c>
      <c r="C3001">
        <f>0</f>
        <v>0</v>
      </c>
      <c r="D3001">
        <v>0.91539745987999999</v>
      </c>
      <c r="E3001">
        <v>10.0749625187406</v>
      </c>
    </row>
    <row r="3002" spans="1:5">
      <c r="A3002" t="s">
        <v>3515</v>
      </c>
      <c r="B3002" t="s">
        <v>3523</v>
      </c>
      <c r="C3002">
        <f>0</f>
        <v>0</v>
      </c>
      <c r="D3002">
        <v>0.91539745987999999</v>
      </c>
      <c r="E3002">
        <v>10.0749625187406</v>
      </c>
    </row>
    <row r="3003" spans="1:5">
      <c r="A3003" t="s">
        <v>3515</v>
      </c>
      <c r="B3003" t="s">
        <v>3524</v>
      </c>
      <c r="C3003">
        <f>0</f>
        <v>0</v>
      </c>
      <c r="D3003">
        <v>0.91539745987999999</v>
      </c>
      <c r="E3003">
        <v>10.0749625187406</v>
      </c>
    </row>
    <row r="3004" spans="1:5">
      <c r="A3004" t="s">
        <v>3515</v>
      </c>
      <c r="B3004" t="s">
        <v>3525</v>
      </c>
      <c r="C3004">
        <v>0</v>
      </c>
      <c r="D3004">
        <v>0.91539745987999999</v>
      </c>
      <c r="E3004">
        <v>10.0749625187406</v>
      </c>
    </row>
    <row r="3005" spans="1:5">
      <c r="A3005" t="s">
        <v>3515</v>
      </c>
      <c r="B3005" t="s">
        <v>3526</v>
      </c>
      <c r="C3005">
        <f>0.229096193245</f>
        <v>0.229096193245</v>
      </c>
      <c r="D3005">
        <v>0.91539745987999999</v>
      </c>
      <c r="E3005">
        <v>10.0749625187406</v>
      </c>
    </row>
    <row r="3006" spans="1:5">
      <c r="A3006" t="s">
        <v>3515</v>
      </c>
      <c r="B3006" t="s">
        <v>3527</v>
      </c>
      <c r="C3006">
        <v>0</v>
      </c>
      <c r="D3006">
        <v>0.91539745987999999</v>
      </c>
      <c r="E3006">
        <v>10.0749625187406</v>
      </c>
    </row>
    <row r="3007" spans="1:5">
      <c r="A3007" t="s">
        <v>3515</v>
      </c>
      <c r="B3007" t="s">
        <v>3528</v>
      </c>
      <c r="C3007">
        <f>0</f>
        <v>0</v>
      </c>
      <c r="D3007">
        <v>0.91539745987999999</v>
      </c>
      <c r="E3007">
        <v>10.0749625187406</v>
      </c>
    </row>
    <row r="3008" spans="1:5">
      <c r="A3008" t="s">
        <v>3515</v>
      </c>
      <c r="B3008" t="s">
        <v>3529</v>
      </c>
      <c r="C3008">
        <f>0</f>
        <v>0</v>
      </c>
      <c r="D3008">
        <v>0.91539745987999999</v>
      </c>
      <c r="E3008">
        <v>10.0749625187406</v>
      </c>
    </row>
    <row r="3009" spans="1:5">
      <c r="A3009" t="s">
        <v>3515</v>
      </c>
      <c r="B3009" t="s">
        <v>3530</v>
      </c>
      <c r="C3009">
        <f>0</f>
        <v>0</v>
      </c>
      <c r="D3009">
        <v>0.91539745987999999</v>
      </c>
      <c r="E3009">
        <v>10.0749625187406</v>
      </c>
    </row>
    <row r="3010" spans="1:5">
      <c r="A3010" t="s">
        <v>3515</v>
      </c>
      <c r="B3010" t="s">
        <v>3531</v>
      </c>
      <c r="C3010">
        <v>0</v>
      </c>
      <c r="D3010">
        <v>0.91539745987999999</v>
      </c>
      <c r="E3010">
        <v>10.0749625187406</v>
      </c>
    </row>
    <row r="3011" spans="1:5">
      <c r="A3011" t="s">
        <v>3515</v>
      </c>
      <c r="B3011" t="s">
        <v>3532</v>
      </c>
      <c r="C3011">
        <v>0</v>
      </c>
      <c r="D3011">
        <v>0.91539745987999999</v>
      </c>
      <c r="E3011">
        <v>10.0749625187406</v>
      </c>
    </row>
    <row r="3012" spans="1:5">
      <c r="A3012" t="s">
        <v>3515</v>
      </c>
      <c r="B3012" t="s">
        <v>3533</v>
      </c>
      <c r="C3012">
        <f>0</f>
        <v>0</v>
      </c>
      <c r="D3012">
        <v>0.91539745987999999</v>
      </c>
      <c r="E3012">
        <v>10.0749625187406</v>
      </c>
    </row>
    <row r="3013" spans="1:5">
      <c r="A3013" t="s">
        <v>3515</v>
      </c>
      <c r="B3013" t="s">
        <v>3534</v>
      </c>
      <c r="C3013">
        <f>0</f>
        <v>0</v>
      </c>
      <c r="D3013">
        <v>0.91539745987999999</v>
      </c>
      <c r="E3013">
        <v>10.0749625187406</v>
      </c>
    </row>
    <row r="3014" spans="1:5">
      <c r="A3014" t="s">
        <v>3515</v>
      </c>
      <c r="B3014" t="s">
        <v>3535</v>
      </c>
      <c r="C3014">
        <v>0</v>
      </c>
      <c r="D3014">
        <v>0.91539745987999999</v>
      </c>
      <c r="E3014">
        <v>10.0749625187406</v>
      </c>
    </row>
    <row r="3015" spans="1:5">
      <c r="A3015" t="s">
        <v>3536</v>
      </c>
      <c r="B3015" t="s">
        <v>3537</v>
      </c>
      <c r="C3015">
        <f>0</f>
        <v>0</v>
      </c>
      <c r="D3015" t="s">
        <v>106</v>
      </c>
      <c r="E3015">
        <v>5.5772113943028403</v>
      </c>
    </row>
    <row r="3016" spans="1:5">
      <c r="A3016" t="s">
        <v>3538</v>
      </c>
      <c r="B3016" t="s">
        <v>3539</v>
      </c>
      <c r="C3016">
        <f>0</f>
        <v>0</v>
      </c>
      <c r="D3016">
        <v>0.96914858056700004</v>
      </c>
      <c r="E3016">
        <v>14.740629685157399</v>
      </c>
    </row>
    <row r="3017" spans="1:5">
      <c r="A3017" t="s">
        <v>3538</v>
      </c>
      <c r="B3017" t="s">
        <v>3540</v>
      </c>
      <c r="C3017">
        <v>0</v>
      </c>
      <c r="D3017">
        <v>0.96914858056700004</v>
      </c>
      <c r="E3017">
        <v>14.740629685157399</v>
      </c>
    </row>
    <row r="3018" spans="1:5">
      <c r="A3018" t="s">
        <v>3538</v>
      </c>
      <c r="B3018" t="s">
        <v>3541</v>
      </c>
      <c r="C3018">
        <f>0.099111414536</f>
        <v>9.9111414536000003E-2</v>
      </c>
      <c r="D3018">
        <v>0.96914858056700004</v>
      </c>
      <c r="E3018">
        <v>14.740629685157399</v>
      </c>
    </row>
    <row r="3019" spans="1:5">
      <c r="A3019" t="s">
        <v>3538</v>
      </c>
      <c r="B3019" t="s">
        <v>3542</v>
      </c>
      <c r="C3019">
        <v>0</v>
      </c>
      <c r="D3019">
        <v>0.96914858056700004</v>
      </c>
      <c r="E3019">
        <v>14.740629685157399</v>
      </c>
    </row>
    <row r="3020" spans="1:5">
      <c r="A3020" t="s">
        <v>3538</v>
      </c>
      <c r="B3020" t="s">
        <v>3543</v>
      </c>
      <c r="C3020">
        <v>0</v>
      </c>
      <c r="D3020">
        <v>0.96914858056700004</v>
      </c>
      <c r="E3020">
        <v>14.740629685157399</v>
      </c>
    </row>
    <row r="3021" spans="1:5">
      <c r="A3021" t="s">
        <v>3538</v>
      </c>
      <c r="B3021" t="s">
        <v>3544</v>
      </c>
      <c r="C3021">
        <v>0.154808897621</v>
      </c>
      <c r="D3021">
        <v>0.96914858056700004</v>
      </c>
      <c r="E3021">
        <v>14.740629685157399</v>
      </c>
    </row>
    <row r="3022" spans="1:5">
      <c r="A3022" t="s">
        <v>3538</v>
      </c>
      <c r="B3022" t="s">
        <v>3545</v>
      </c>
      <c r="C3022">
        <v>0</v>
      </c>
      <c r="D3022">
        <v>0.96914858056700004</v>
      </c>
      <c r="E3022">
        <v>14.740629685157399</v>
      </c>
    </row>
    <row r="3023" spans="1:5">
      <c r="A3023" t="s">
        <v>3546</v>
      </c>
      <c r="B3023" t="s">
        <v>3547</v>
      </c>
      <c r="C3023">
        <v>3.7513645415500001E-2</v>
      </c>
      <c r="D3023">
        <v>0.989209783329</v>
      </c>
      <c r="E3023">
        <v>5.2413793103448203</v>
      </c>
    </row>
    <row r="3024" spans="1:5">
      <c r="A3024" t="s">
        <v>3546</v>
      </c>
      <c r="B3024" t="s">
        <v>3548</v>
      </c>
      <c r="C3024">
        <v>0</v>
      </c>
      <c r="D3024">
        <v>0.989209783329</v>
      </c>
      <c r="E3024">
        <v>5.2413793103448203</v>
      </c>
    </row>
    <row r="3025" spans="1:5">
      <c r="A3025" t="s">
        <v>3546</v>
      </c>
      <c r="B3025" t="s">
        <v>3549</v>
      </c>
      <c r="C3025">
        <v>0</v>
      </c>
      <c r="D3025">
        <v>0.989209783329</v>
      </c>
      <c r="E3025">
        <v>5.2413793103448203</v>
      </c>
    </row>
    <row r="3026" spans="1:5">
      <c r="A3026" t="s">
        <v>3546</v>
      </c>
      <c r="B3026" t="s">
        <v>3550</v>
      </c>
      <c r="C3026">
        <v>0</v>
      </c>
      <c r="D3026">
        <v>0.989209783329</v>
      </c>
      <c r="E3026">
        <v>5.2413793103448203</v>
      </c>
    </row>
    <row r="3027" spans="1:5">
      <c r="A3027" t="s">
        <v>3546</v>
      </c>
      <c r="B3027" t="s">
        <v>3551</v>
      </c>
      <c r="C3027">
        <v>0</v>
      </c>
      <c r="D3027">
        <v>0.989209783329</v>
      </c>
      <c r="E3027">
        <v>5.2413793103448203</v>
      </c>
    </row>
    <row r="3028" spans="1:5">
      <c r="A3028" t="s">
        <v>3546</v>
      </c>
      <c r="B3028" t="s">
        <v>3552</v>
      </c>
      <c r="C3028">
        <v>0</v>
      </c>
      <c r="D3028">
        <v>0.989209783329</v>
      </c>
      <c r="E3028">
        <v>5.2413793103448203</v>
      </c>
    </row>
    <row r="3029" spans="1:5">
      <c r="A3029" t="s">
        <v>3546</v>
      </c>
      <c r="B3029" t="s">
        <v>3553</v>
      </c>
      <c r="C3029">
        <f>0</f>
        <v>0</v>
      </c>
      <c r="D3029">
        <v>0.989209783329</v>
      </c>
      <c r="E3029">
        <v>5.2413793103448203</v>
      </c>
    </row>
    <row r="3030" spans="1:5">
      <c r="A3030" t="s">
        <v>3546</v>
      </c>
      <c r="B3030" t="s">
        <v>3554</v>
      </c>
      <c r="C3030">
        <f>0</f>
        <v>0</v>
      </c>
      <c r="D3030">
        <v>0.989209783329</v>
      </c>
      <c r="E3030">
        <v>5.2413793103448203</v>
      </c>
    </row>
    <row r="3031" spans="1:5">
      <c r="A3031" t="s">
        <v>3546</v>
      </c>
      <c r="B3031" t="s">
        <v>3555</v>
      </c>
      <c r="C3031">
        <f>0</f>
        <v>0</v>
      </c>
      <c r="D3031">
        <v>0.989209783329</v>
      </c>
      <c r="E3031">
        <v>5.2413793103448203</v>
      </c>
    </row>
    <row r="3032" spans="1:5">
      <c r="A3032" t="s">
        <v>3546</v>
      </c>
      <c r="B3032" t="s">
        <v>3556</v>
      </c>
      <c r="C3032">
        <f>0</f>
        <v>0</v>
      </c>
      <c r="D3032">
        <v>0.989209783329</v>
      </c>
      <c r="E3032">
        <v>5.2413793103448203</v>
      </c>
    </row>
    <row r="3033" spans="1:5">
      <c r="A3033" t="s">
        <v>3546</v>
      </c>
      <c r="B3033" t="s">
        <v>3557</v>
      </c>
      <c r="C3033">
        <v>0</v>
      </c>
      <c r="D3033">
        <v>0.989209783329</v>
      </c>
      <c r="E3033">
        <v>5.2413793103448203</v>
      </c>
    </row>
    <row r="3034" spans="1:5">
      <c r="A3034" t="s">
        <v>3558</v>
      </c>
      <c r="B3034" t="s">
        <v>3559</v>
      </c>
      <c r="C3034">
        <v>6.1028542895800002E-3</v>
      </c>
      <c r="D3034">
        <v>0.94332569200100003</v>
      </c>
      <c r="E3034">
        <v>24</v>
      </c>
    </row>
    <row r="3035" spans="1:5">
      <c r="A3035" t="s">
        <v>3558</v>
      </c>
      <c r="B3035" t="s">
        <v>3560</v>
      </c>
      <c r="C3035">
        <f>0</f>
        <v>0</v>
      </c>
      <c r="D3035">
        <v>0.94332569200100003</v>
      </c>
      <c r="E3035">
        <v>24</v>
      </c>
    </row>
    <row r="3036" spans="1:5">
      <c r="A3036" t="s">
        <v>3558</v>
      </c>
      <c r="B3036" t="s">
        <v>3561</v>
      </c>
      <c r="C3036">
        <v>0</v>
      </c>
      <c r="D3036">
        <v>0.94332569200100003</v>
      </c>
      <c r="E3036">
        <v>24</v>
      </c>
    </row>
    <row r="3037" spans="1:5">
      <c r="A3037" t="s">
        <v>3558</v>
      </c>
      <c r="B3037" t="s">
        <v>3562</v>
      </c>
      <c r="C3037">
        <f>0</f>
        <v>0</v>
      </c>
      <c r="D3037">
        <v>0.94332569200100003</v>
      </c>
      <c r="E3037">
        <v>24</v>
      </c>
    </row>
    <row r="3038" spans="1:5">
      <c r="A3038" t="s">
        <v>3558</v>
      </c>
      <c r="B3038" t="s">
        <v>3563</v>
      </c>
      <c r="C3038">
        <v>0</v>
      </c>
      <c r="D3038">
        <v>0.94332569200100003</v>
      </c>
      <c r="E3038">
        <v>24</v>
      </c>
    </row>
    <row r="3039" spans="1:5">
      <c r="A3039" t="s">
        <v>3558</v>
      </c>
      <c r="B3039" t="s">
        <v>3564</v>
      </c>
      <c r="C3039">
        <f>0.0965710023623</f>
        <v>9.6571002362299999E-2</v>
      </c>
      <c r="D3039">
        <v>0.94332569200100003</v>
      </c>
      <c r="E3039">
        <v>24</v>
      </c>
    </row>
    <row r="3040" spans="1:5">
      <c r="A3040" t="s">
        <v>3565</v>
      </c>
      <c r="B3040" t="s">
        <v>3566</v>
      </c>
      <c r="C3040">
        <f>0</f>
        <v>0</v>
      </c>
      <c r="D3040" t="s">
        <v>106</v>
      </c>
      <c r="E3040">
        <v>24</v>
      </c>
    </row>
    <row r="3041" spans="1:5">
      <c r="A3041" t="s">
        <v>3565</v>
      </c>
      <c r="B3041" t="s">
        <v>3567</v>
      </c>
      <c r="C3041">
        <f>0</f>
        <v>0</v>
      </c>
      <c r="D3041" t="s">
        <v>106</v>
      </c>
      <c r="E3041">
        <v>24</v>
      </c>
    </row>
    <row r="3042" spans="1:5">
      <c r="A3042" t="s">
        <v>3565</v>
      </c>
      <c r="B3042" t="s">
        <v>3568</v>
      </c>
      <c r="C3042">
        <v>0</v>
      </c>
      <c r="D3042" t="s">
        <v>106</v>
      </c>
      <c r="E3042">
        <v>24</v>
      </c>
    </row>
    <row r="3043" spans="1:5">
      <c r="A3043" t="s">
        <v>3565</v>
      </c>
      <c r="B3043" t="s">
        <v>3569</v>
      </c>
      <c r="C3043">
        <f>0</f>
        <v>0</v>
      </c>
      <c r="D3043" t="s">
        <v>106</v>
      </c>
      <c r="E3043">
        <v>24</v>
      </c>
    </row>
    <row r="3044" spans="1:5">
      <c r="A3044" t="s">
        <v>3565</v>
      </c>
      <c r="B3044" t="s">
        <v>3570</v>
      </c>
      <c r="C3044">
        <f>0</f>
        <v>0</v>
      </c>
      <c r="D3044" t="s">
        <v>106</v>
      </c>
      <c r="E3044">
        <v>24</v>
      </c>
    </row>
    <row r="3045" spans="1:5">
      <c r="A3045" t="s">
        <v>3571</v>
      </c>
      <c r="B3045" t="s">
        <v>3572</v>
      </c>
      <c r="C3045">
        <v>0.54569898491900004</v>
      </c>
      <c r="D3045">
        <v>0.89225898667100001</v>
      </c>
      <c r="E3045">
        <v>11.8740629685157</v>
      </c>
    </row>
    <row r="3046" spans="1:5">
      <c r="A3046" t="s">
        <v>3571</v>
      </c>
      <c r="B3046" t="s">
        <v>3573</v>
      </c>
      <c r="C3046">
        <v>0</v>
      </c>
      <c r="D3046">
        <v>0.89225898667100001</v>
      </c>
      <c r="E3046">
        <v>11.8740629685157</v>
      </c>
    </row>
    <row r="3047" spans="1:5">
      <c r="A3047" t="s">
        <v>3571</v>
      </c>
      <c r="B3047" t="s">
        <v>3574</v>
      </c>
      <c r="C3047">
        <f>0</f>
        <v>0</v>
      </c>
      <c r="D3047">
        <v>0.89225898667100001</v>
      </c>
      <c r="E3047">
        <v>11.8740629685157</v>
      </c>
    </row>
    <row r="3048" spans="1:5">
      <c r="A3048" t="s">
        <v>3571</v>
      </c>
      <c r="B3048" t="s">
        <v>3575</v>
      </c>
      <c r="C3048">
        <f>0.0648238188419</f>
        <v>6.4823818841899999E-2</v>
      </c>
      <c r="D3048">
        <v>0.89225898667100001</v>
      </c>
      <c r="E3048">
        <v>11.8740629685157</v>
      </c>
    </row>
    <row r="3049" spans="1:5">
      <c r="A3049" t="s">
        <v>3576</v>
      </c>
      <c r="B3049" t="s">
        <v>3577</v>
      </c>
      <c r="C3049">
        <f>0.163736443077</f>
        <v>0.163736443077</v>
      </c>
      <c r="D3049">
        <v>0.90444990359400002</v>
      </c>
      <c r="E3049">
        <v>11.202398800599701</v>
      </c>
    </row>
    <row r="3050" spans="1:5">
      <c r="A3050" t="s">
        <v>3576</v>
      </c>
      <c r="B3050" t="s">
        <v>3578</v>
      </c>
      <c r="C3050">
        <f>0.147350929609</f>
        <v>0.14735092960900001</v>
      </c>
      <c r="D3050">
        <v>0.90444990359400002</v>
      </c>
      <c r="E3050">
        <v>11.202398800599701</v>
      </c>
    </row>
    <row r="3051" spans="1:5">
      <c r="A3051" t="s">
        <v>3579</v>
      </c>
      <c r="B3051" t="s">
        <v>3580</v>
      </c>
      <c r="C3051">
        <f>0</f>
        <v>0</v>
      </c>
      <c r="D3051" t="s">
        <v>106</v>
      </c>
      <c r="E3051">
        <v>3.13043478260869</v>
      </c>
    </row>
    <row r="3052" spans="1:5">
      <c r="A3052" t="s">
        <v>3579</v>
      </c>
      <c r="B3052" t="s">
        <v>3581</v>
      </c>
      <c r="C3052">
        <v>0</v>
      </c>
      <c r="D3052" t="s">
        <v>106</v>
      </c>
      <c r="E3052">
        <v>3.13043478260869</v>
      </c>
    </row>
    <row r="3053" spans="1:5">
      <c r="A3053" t="s">
        <v>3579</v>
      </c>
      <c r="B3053" t="s">
        <v>3582</v>
      </c>
      <c r="C3053">
        <v>0</v>
      </c>
      <c r="D3053" t="s">
        <v>106</v>
      </c>
      <c r="E3053">
        <v>3.13043478260869</v>
      </c>
    </row>
    <row r="3054" spans="1:5">
      <c r="A3054" t="s">
        <v>3579</v>
      </c>
      <c r="B3054" t="s">
        <v>3583</v>
      </c>
      <c r="C3054">
        <f>0</f>
        <v>0</v>
      </c>
      <c r="D3054" t="s">
        <v>106</v>
      </c>
      <c r="E3054">
        <v>3.13043478260869</v>
      </c>
    </row>
    <row r="3055" spans="1:5">
      <c r="A3055" t="s">
        <v>3579</v>
      </c>
      <c r="B3055" t="s">
        <v>3584</v>
      </c>
      <c r="C3055">
        <f>0</f>
        <v>0</v>
      </c>
      <c r="D3055" t="s">
        <v>106</v>
      </c>
      <c r="E3055">
        <v>3.13043478260869</v>
      </c>
    </row>
    <row r="3056" spans="1:5">
      <c r="A3056" t="s">
        <v>3579</v>
      </c>
      <c r="B3056" t="s">
        <v>3585</v>
      </c>
      <c r="C3056">
        <f>0</f>
        <v>0</v>
      </c>
      <c r="D3056" t="s">
        <v>106</v>
      </c>
      <c r="E3056">
        <v>3.13043478260869</v>
      </c>
    </row>
    <row r="3057" spans="1:5">
      <c r="A3057" t="s">
        <v>3579</v>
      </c>
      <c r="B3057" t="s">
        <v>3586</v>
      </c>
      <c r="C3057">
        <v>0</v>
      </c>
      <c r="D3057" t="s">
        <v>106</v>
      </c>
      <c r="E3057">
        <v>3.13043478260869</v>
      </c>
    </row>
    <row r="3058" spans="1:5">
      <c r="A3058" t="s">
        <v>3579</v>
      </c>
      <c r="B3058" t="s">
        <v>3587</v>
      </c>
      <c r="C3058">
        <f>0</f>
        <v>0</v>
      </c>
      <c r="D3058" t="s">
        <v>106</v>
      </c>
      <c r="E3058">
        <v>3.13043478260869</v>
      </c>
    </row>
    <row r="3059" spans="1:5">
      <c r="A3059" t="s">
        <v>3579</v>
      </c>
      <c r="B3059" t="s">
        <v>3588</v>
      </c>
      <c r="C3059">
        <f>0</f>
        <v>0</v>
      </c>
      <c r="D3059" t="s">
        <v>106</v>
      </c>
      <c r="E3059">
        <v>3.13043478260869</v>
      </c>
    </row>
    <row r="3060" spans="1:5">
      <c r="A3060" t="s">
        <v>3579</v>
      </c>
      <c r="B3060" t="s">
        <v>3589</v>
      </c>
      <c r="C3060">
        <f>0</f>
        <v>0</v>
      </c>
      <c r="D3060" t="s">
        <v>106</v>
      </c>
      <c r="E3060">
        <v>3.13043478260869</v>
      </c>
    </row>
    <row r="3061" spans="1:5">
      <c r="A3061" t="s">
        <v>3579</v>
      </c>
      <c r="B3061" t="s">
        <v>3590</v>
      </c>
      <c r="C3061">
        <f>0</f>
        <v>0</v>
      </c>
      <c r="D3061" t="s">
        <v>106</v>
      </c>
      <c r="E3061">
        <v>3.13043478260869</v>
      </c>
    </row>
    <row r="3062" spans="1:5">
      <c r="A3062" t="s">
        <v>3579</v>
      </c>
      <c r="B3062" t="s">
        <v>3591</v>
      </c>
      <c r="C3062">
        <f>0</f>
        <v>0</v>
      </c>
      <c r="D3062" t="s">
        <v>106</v>
      </c>
      <c r="E3062">
        <v>3.13043478260869</v>
      </c>
    </row>
    <row r="3063" spans="1:5">
      <c r="A3063" t="s">
        <v>3592</v>
      </c>
      <c r="B3063" t="s">
        <v>3593</v>
      </c>
      <c r="C3063">
        <f>0.00142119650198</f>
        <v>1.4211965019800001E-3</v>
      </c>
      <c r="D3063">
        <v>0.86888741947100001</v>
      </c>
      <c r="E3063">
        <v>13.445277361319301</v>
      </c>
    </row>
    <row r="3064" spans="1:5">
      <c r="A3064" t="s">
        <v>3592</v>
      </c>
      <c r="B3064" t="s">
        <v>3594</v>
      </c>
      <c r="C3064">
        <f>0</f>
        <v>0</v>
      </c>
      <c r="D3064">
        <v>0.86888741947100001</v>
      </c>
      <c r="E3064">
        <v>13.445277361319301</v>
      </c>
    </row>
    <row r="3065" spans="1:5">
      <c r="A3065" t="s">
        <v>3592</v>
      </c>
      <c r="B3065" t="s">
        <v>3595</v>
      </c>
      <c r="C3065">
        <v>0</v>
      </c>
      <c r="D3065">
        <v>0.86888741947100001</v>
      </c>
      <c r="E3065">
        <v>13.445277361319301</v>
      </c>
    </row>
    <row r="3066" spans="1:5">
      <c r="A3066" t="s">
        <v>3592</v>
      </c>
      <c r="B3066" t="s">
        <v>3596</v>
      </c>
      <c r="C3066">
        <v>0</v>
      </c>
      <c r="D3066">
        <v>0.86888741947100001</v>
      </c>
      <c r="E3066">
        <v>13.445277361319301</v>
      </c>
    </row>
    <row r="3067" spans="1:5">
      <c r="A3067" t="s">
        <v>3592</v>
      </c>
      <c r="B3067" t="s">
        <v>3597</v>
      </c>
      <c r="C3067">
        <f>0.0407693339222</f>
        <v>4.0769333922200002E-2</v>
      </c>
      <c r="D3067">
        <v>0.86888741947100001</v>
      </c>
      <c r="E3067">
        <v>13.445277361319301</v>
      </c>
    </row>
    <row r="3068" spans="1:5">
      <c r="A3068" t="s">
        <v>3598</v>
      </c>
      <c r="B3068" t="s">
        <v>3599</v>
      </c>
      <c r="C3068">
        <f>0.052509055568</f>
        <v>5.2509055568E-2</v>
      </c>
      <c r="D3068" t="s">
        <v>106</v>
      </c>
      <c r="E3068">
        <v>24</v>
      </c>
    </row>
    <row r="3069" spans="1:5">
      <c r="A3069" t="s">
        <v>3600</v>
      </c>
      <c r="B3069" t="s">
        <v>3601</v>
      </c>
      <c r="C3069">
        <v>0</v>
      </c>
      <c r="D3069">
        <v>0.96887767274900005</v>
      </c>
      <c r="E3069">
        <v>18.554722638680602</v>
      </c>
    </row>
    <row r="3070" spans="1:5">
      <c r="A3070" t="s">
        <v>3600</v>
      </c>
      <c r="B3070" t="s">
        <v>3602</v>
      </c>
      <c r="C3070">
        <v>0.184040490354</v>
      </c>
      <c r="D3070">
        <v>0.96887767274900005</v>
      </c>
      <c r="E3070">
        <v>18.554722638680602</v>
      </c>
    </row>
    <row r="3071" spans="1:5">
      <c r="A3071" t="s">
        <v>3600</v>
      </c>
      <c r="B3071" t="s">
        <v>3603</v>
      </c>
      <c r="C3071">
        <v>0</v>
      </c>
      <c r="D3071">
        <v>0.96887767274900005</v>
      </c>
      <c r="E3071">
        <v>18.554722638680602</v>
      </c>
    </row>
    <row r="3072" spans="1:5">
      <c r="A3072" t="s">
        <v>3604</v>
      </c>
      <c r="B3072" t="s">
        <v>3605</v>
      </c>
      <c r="C3072">
        <v>5.1624932589299996E-3</v>
      </c>
      <c r="D3072" t="s">
        <v>106</v>
      </c>
      <c r="E3072">
        <v>24</v>
      </c>
    </row>
    <row r="3073" spans="1:5">
      <c r="A3073" t="s">
        <v>3604</v>
      </c>
      <c r="B3073" t="s">
        <v>3606</v>
      </c>
      <c r="C3073">
        <v>1.47902196807E-2</v>
      </c>
      <c r="D3073" t="s">
        <v>106</v>
      </c>
      <c r="E3073">
        <v>24</v>
      </c>
    </row>
    <row r="3074" spans="1:5">
      <c r="A3074" t="s">
        <v>3604</v>
      </c>
      <c r="B3074" t="s">
        <v>3607</v>
      </c>
      <c r="C3074">
        <v>0</v>
      </c>
      <c r="D3074" t="s">
        <v>106</v>
      </c>
      <c r="E3074">
        <v>24</v>
      </c>
    </row>
    <row r="3075" spans="1:5">
      <c r="A3075" t="s">
        <v>3604</v>
      </c>
      <c r="B3075" t="s">
        <v>3608</v>
      </c>
      <c r="C3075">
        <v>0</v>
      </c>
      <c r="D3075" t="s">
        <v>106</v>
      </c>
      <c r="E3075">
        <v>24</v>
      </c>
    </row>
    <row r="3076" spans="1:5">
      <c r="A3076" t="s">
        <v>3604</v>
      </c>
      <c r="B3076" t="s">
        <v>3609</v>
      </c>
      <c r="C3076">
        <f>0</f>
        <v>0</v>
      </c>
      <c r="D3076" t="s">
        <v>106</v>
      </c>
      <c r="E3076">
        <v>24</v>
      </c>
    </row>
    <row r="3077" spans="1:5">
      <c r="A3077" t="s">
        <v>3604</v>
      </c>
      <c r="B3077" t="s">
        <v>3610</v>
      </c>
      <c r="C3077">
        <v>0</v>
      </c>
      <c r="D3077" t="s">
        <v>106</v>
      </c>
      <c r="E3077">
        <v>24</v>
      </c>
    </row>
    <row r="3078" spans="1:5">
      <c r="A3078" t="s">
        <v>3604</v>
      </c>
      <c r="B3078" t="s">
        <v>3611</v>
      </c>
      <c r="C3078">
        <v>0</v>
      </c>
      <c r="D3078" t="s">
        <v>106</v>
      </c>
      <c r="E3078">
        <v>24</v>
      </c>
    </row>
    <row r="3079" spans="1:5">
      <c r="A3079" t="s">
        <v>3604</v>
      </c>
      <c r="B3079" t="s">
        <v>3612</v>
      </c>
      <c r="C3079">
        <v>0</v>
      </c>
      <c r="D3079" t="s">
        <v>106</v>
      </c>
      <c r="E3079">
        <v>24</v>
      </c>
    </row>
    <row r="3080" spans="1:5">
      <c r="A3080" t="s">
        <v>3604</v>
      </c>
      <c r="B3080" t="s">
        <v>3613</v>
      </c>
      <c r="C3080">
        <v>0</v>
      </c>
      <c r="D3080" t="s">
        <v>106</v>
      </c>
      <c r="E3080">
        <v>24</v>
      </c>
    </row>
    <row r="3081" spans="1:5">
      <c r="A3081" t="s">
        <v>3604</v>
      </c>
      <c r="B3081" t="s">
        <v>3614</v>
      </c>
      <c r="C3081">
        <v>0</v>
      </c>
      <c r="D3081" t="s">
        <v>106</v>
      </c>
      <c r="E3081">
        <v>24</v>
      </c>
    </row>
    <row r="3082" spans="1:5">
      <c r="A3082" t="s">
        <v>3615</v>
      </c>
      <c r="B3082" t="s">
        <v>3616</v>
      </c>
      <c r="C3082">
        <v>0.11558060936300001</v>
      </c>
      <c r="D3082">
        <v>0.79401615163200001</v>
      </c>
      <c r="E3082">
        <v>24</v>
      </c>
    </row>
    <row r="3083" spans="1:5">
      <c r="A3083" t="s">
        <v>3615</v>
      </c>
      <c r="B3083" t="s">
        <v>3617</v>
      </c>
      <c r="C3083">
        <v>0</v>
      </c>
      <c r="D3083">
        <v>0.79401615163200001</v>
      </c>
      <c r="E3083">
        <v>24</v>
      </c>
    </row>
    <row r="3084" spans="1:5">
      <c r="A3084" t="s">
        <v>3615</v>
      </c>
      <c r="B3084" t="s">
        <v>3618</v>
      </c>
      <c r="C3084">
        <f>0</f>
        <v>0</v>
      </c>
      <c r="D3084">
        <v>0.79401615163200001</v>
      </c>
      <c r="E3084">
        <v>24</v>
      </c>
    </row>
    <row r="3085" spans="1:5">
      <c r="A3085" t="s">
        <v>3619</v>
      </c>
      <c r="B3085" t="s">
        <v>3620</v>
      </c>
      <c r="C3085">
        <f>0.310471037873</f>
        <v>0.31047103787300001</v>
      </c>
      <c r="D3085">
        <v>0.92922573696800004</v>
      </c>
      <c r="E3085">
        <v>1.8230884557721101</v>
      </c>
    </row>
    <row r="3086" spans="1:5">
      <c r="A3086" t="s">
        <v>3619</v>
      </c>
      <c r="B3086" t="s">
        <v>3621</v>
      </c>
      <c r="C3086">
        <v>0.30896955759700001</v>
      </c>
      <c r="D3086">
        <v>0.92922573696800004</v>
      </c>
      <c r="E3086">
        <v>1.8230884557721101</v>
      </c>
    </row>
    <row r="3087" spans="1:5">
      <c r="A3087" t="s">
        <v>3622</v>
      </c>
      <c r="B3087" t="s">
        <v>3623</v>
      </c>
      <c r="C3087">
        <v>0.118231866283</v>
      </c>
      <c r="D3087">
        <v>0.96196306194000003</v>
      </c>
      <c r="E3087">
        <v>13.997001499250301</v>
      </c>
    </row>
    <row r="3088" spans="1:5">
      <c r="A3088" t="s">
        <v>3622</v>
      </c>
      <c r="B3088" t="s">
        <v>3624</v>
      </c>
      <c r="C3088">
        <v>0.12408977729499999</v>
      </c>
      <c r="D3088">
        <v>0.96196306194000003</v>
      </c>
      <c r="E3088">
        <v>13.997001499250301</v>
      </c>
    </row>
    <row r="3089" spans="1:5">
      <c r="A3089" t="s">
        <v>3622</v>
      </c>
      <c r="B3089" t="s">
        <v>3625</v>
      </c>
      <c r="C3089">
        <v>0</v>
      </c>
      <c r="D3089">
        <v>0.96196306194000003</v>
      </c>
      <c r="E3089">
        <v>13.997001499250301</v>
      </c>
    </row>
    <row r="3090" spans="1:5">
      <c r="A3090" t="s">
        <v>3622</v>
      </c>
      <c r="B3090" t="s">
        <v>3626</v>
      </c>
      <c r="C3090">
        <v>0</v>
      </c>
      <c r="D3090">
        <v>0.96196306194000003</v>
      </c>
      <c r="E3090">
        <v>13.997001499250301</v>
      </c>
    </row>
    <row r="3091" spans="1:5">
      <c r="A3091" t="s">
        <v>3622</v>
      </c>
      <c r="B3091" t="s">
        <v>3627</v>
      </c>
      <c r="C3091">
        <f>0</f>
        <v>0</v>
      </c>
      <c r="D3091">
        <v>0.96196306194000003</v>
      </c>
      <c r="E3091">
        <v>13.997001499250301</v>
      </c>
    </row>
    <row r="3092" spans="1:5">
      <c r="A3092" t="s">
        <v>3628</v>
      </c>
      <c r="B3092" t="s">
        <v>3629</v>
      </c>
      <c r="C3092">
        <v>0.26607835192599999</v>
      </c>
      <c r="D3092">
        <v>0.97925444362299996</v>
      </c>
      <c r="E3092">
        <v>14.3688155922038</v>
      </c>
    </row>
    <row r="3093" spans="1:5">
      <c r="A3093" t="s">
        <v>3628</v>
      </c>
      <c r="B3093" t="s">
        <v>3630</v>
      </c>
      <c r="C3093">
        <f>0</f>
        <v>0</v>
      </c>
      <c r="D3093">
        <v>0.97925444362299996</v>
      </c>
      <c r="E3093">
        <v>14.3688155922038</v>
      </c>
    </row>
    <row r="3094" spans="1:5">
      <c r="A3094" t="s">
        <v>3628</v>
      </c>
      <c r="B3094" t="s">
        <v>3631</v>
      </c>
      <c r="C3094">
        <f>0</f>
        <v>0</v>
      </c>
      <c r="D3094">
        <v>0.97925444362299996</v>
      </c>
      <c r="E3094">
        <v>14.3688155922038</v>
      </c>
    </row>
    <row r="3095" spans="1:5">
      <c r="A3095" t="s">
        <v>3628</v>
      </c>
      <c r="B3095" t="s">
        <v>3632</v>
      </c>
      <c r="C3095">
        <v>0</v>
      </c>
      <c r="D3095">
        <v>0.97925444362299996</v>
      </c>
      <c r="E3095">
        <v>14.3688155922038</v>
      </c>
    </row>
    <row r="3096" spans="1:5">
      <c r="A3096" t="s">
        <v>3628</v>
      </c>
      <c r="B3096" t="s">
        <v>3633</v>
      </c>
      <c r="C3096">
        <f>0</f>
        <v>0</v>
      </c>
      <c r="D3096">
        <v>0.97925444362299996</v>
      </c>
      <c r="E3096">
        <v>14.3688155922038</v>
      </c>
    </row>
    <row r="3097" spans="1:5">
      <c r="A3097" t="s">
        <v>3628</v>
      </c>
      <c r="B3097" t="s">
        <v>3634</v>
      </c>
      <c r="C3097">
        <f>0</f>
        <v>0</v>
      </c>
      <c r="D3097">
        <v>0.97925444362299996</v>
      </c>
      <c r="E3097">
        <v>14.3688155922038</v>
      </c>
    </row>
    <row r="3098" spans="1:5">
      <c r="A3098" t="s">
        <v>3635</v>
      </c>
      <c r="B3098" t="s">
        <v>3636</v>
      </c>
      <c r="C3098">
        <f>0</f>
        <v>0</v>
      </c>
      <c r="D3098" t="s">
        <v>106</v>
      </c>
      <c r="E3098">
        <v>22.332833583208298</v>
      </c>
    </row>
    <row r="3099" spans="1:5">
      <c r="A3099" t="s">
        <v>3635</v>
      </c>
      <c r="B3099" t="s">
        <v>3637</v>
      </c>
      <c r="C3099">
        <f>0</f>
        <v>0</v>
      </c>
      <c r="D3099" t="s">
        <v>106</v>
      </c>
      <c r="E3099">
        <v>22.332833583208298</v>
      </c>
    </row>
    <row r="3100" spans="1:5">
      <c r="A3100" t="s">
        <v>3635</v>
      </c>
      <c r="B3100" t="s">
        <v>3638</v>
      </c>
      <c r="C3100">
        <f>0</f>
        <v>0</v>
      </c>
      <c r="D3100" t="s">
        <v>106</v>
      </c>
      <c r="E3100">
        <v>22.332833583208298</v>
      </c>
    </row>
    <row r="3101" spans="1:5">
      <c r="A3101" t="s">
        <v>3635</v>
      </c>
      <c r="B3101" t="s">
        <v>3639</v>
      </c>
      <c r="C3101">
        <v>0</v>
      </c>
      <c r="D3101" t="s">
        <v>106</v>
      </c>
      <c r="E3101">
        <v>22.332833583208298</v>
      </c>
    </row>
    <row r="3102" spans="1:5">
      <c r="A3102" t="s">
        <v>3635</v>
      </c>
      <c r="B3102" t="s">
        <v>3640</v>
      </c>
      <c r="C3102">
        <f>0</f>
        <v>0</v>
      </c>
      <c r="D3102" t="s">
        <v>106</v>
      </c>
      <c r="E3102">
        <v>22.332833583208298</v>
      </c>
    </row>
    <row r="3103" spans="1:5">
      <c r="A3103" t="s">
        <v>3635</v>
      </c>
      <c r="B3103" t="s">
        <v>3641</v>
      </c>
      <c r="C3103">
        <f>0</f>
        <v>0</v>
      </c>
      <c r="D3103" t="s">
        <v>106</v>
      </c>
      <c r="E3103">
        <v>22.332833583208298</v>
      </c>
    </row>
    <row r="3104" spans="1:5">
      <c r="A3104" t="s">
        <v>3635</v>
      </c>
      <c r="B3104" t="s">
        <v>3642</v>
      </c>
      <c r="C3104">
        <f>0</f>
        <v>0</v>
      </c>
      <c r="D3104" t="s">
        <v>106</v>
      </c>
      <c r="E3104">
        <v>22.332833583208298</v>
      </c>
    </row>
    <row r="3105" spans="1:5">
      <c r="A3105" t="s">
        <v>3635</v>
      </c>
      <c r="B3105" t="s">
        <v>3643</v>
      </c>
      <c r="C3105">
        <f>0</f>
        <v>0</v>
      </c>
      <c r="D3105" t="s">
        <v>106</v>
      </c>
      <c r="E3105">
        <v>22.332833583208298</v>
      </c>
    </row>
    <row r="3106" spans="1:5">
      <c r="A3106" t="s">
        <v>3635</v>
      </c>
      <c r="B3106" t="s">
        <v>3644</v>
      </c>
      <c r="C3106">
        <v>0</v>
      </c>
      <c r="D3106" t="s">
        <v>106</v>
      </c>
      <c r="E3106">
        <v>22.332833583208298</v>
      </c>
    </row>
    <row r="3107" spans="1:5">
      <c r="A3107" t="s">
        <v>3635</v>
      </c>
      <c r="B3107" t="s">
        <v>3645</v>
      </c>
      <c r="C3107">
        <f>0</f>
        <v>0</v>
      </c>
      <c r="D3107" t="s">
        <v>106</v>
      </c>
      <c r="E3107">
        <v>22.332833583208298</v>
      </c>
    </row>
    <row r="3108" spans="1:5">
      <c r="A3108" t="s">
        <v>3635</v>
      </c>
      <c r="B3108" t="s">
        <v>3646</v>
      </c>
      <c r="C3108">
        <f>0</f>
        <v>0</v>
      </c>
      <c r="D3108" t="s">
        <v>106</v>
      </c>
      <c r="E3108">
        <v>22.332833583208298</v>
      </c>
    </row>
    <row r="3109" spans="1:5">
      <c r="A3109" t="s">
        <v>3635</v>
      </c>
      <c r="B3109" t="s">
        <v>3647</v>
      </c>
      <c r="C3109">
        <f>0</f>
        <v>0</v>
      </c>
      <c r="D3109" t="s">
        <v>106</v>
      </c>
      <c r="E3109">
        <v>22.332833583208298</v>
      </c>
    </row>
    <row r="3110" spans="1:5">
      <c r="A3110" t="s">
        <v>3635</v>
      </c>
      <c r="B3110" t="s">
        <v>3648</v>
      </c>
      <c r="C3110">
        <f>0</f>
        <v>0</v>
      </c>
      <c r="D3110" t="s">
        <v>106</v>
      </c>
      <c r="E3110">
        <v>22.332833583208298</v>
      </c>
    </row>
    <row r="3111" spans="1:5">
      <c r="A3111" t="s">
        <v>3635</v>
      </c>
      <c r="B3111" t="s">
        <v>3649</v>
      </c>
      <c r="C3111">
        <v>0</v>
      </c>
      <c r="D3111" t="s">
        <v>106</v>
      </c>
      <c r="E3111">
        <v>22.332833583208298</v>
      </c>
    </row>
    <row r="3112" spans="1:5">
      <c r="A3112" t="s">
        <v>3635</v>
      </c>
      <c r="B3112" t="s">
        <v>3650</v>
      </c>
      <c r="C3112">
        <v>0</v>
      </c>
      <c r="D3112" t="s">
        <v>106</v>
      </c>
      <c r="E3112">
        <v>22.332833583208298</v>
      </c>
    </row>
    <row r="3113" spans="1:5">
      <c r="A3113" t="s">
        <v>3635</v>
      </c>
      <c r="B3113" t="s">
        <v>3651</v>
      </c>
      <c r="C3113">
        <f>0</f>
        <v>0</v>
      </c>
      <c r="D3113" t="s">
        <v>106</v>
      </c>
      <c r="E3113">
        <v>22.332833583208298</v>
      </c>
    </row>
    <row r="3114" spans="1:5">
      <c r="A3114" t="s">
        <v>3635</v>
      </c>
      <c r="B3114" t="s">
        <v>3652</v>
      </c>
      <c r="C3114">
        <f>0</f>
        <v>0</v>
      </c>
      <c r="D3114" t="s">
        <v>106</v>
      </c>
      <c r="E3114">
        <v>22.332833583208298</v>
      </c>
    </row>
    <row r="3115" spans="1:5">
      <c r="A3115" t="s">
        <v>3635</v>
      </c>
      <c r="B3115" t="s">
        <v>3653</v>
      </c>
      <c r="C3115">
        <v>0</v>
      </c>
      <c r="D3115" t="s">
        <v>106</v>
      </c>
      <c r="E3115">
        <v>22.332833583208298</v>
      </c>
    </row>
    <row r="3116" spans="1:5">
      <c r="A3116" t="s">
        <v>3635</v>
      </c>
      <c r="B3116" t="s">
        <v>3654</v>
      </c>
      <c r="C3116">
        <f>0</f>
        <v>0</v>
      </c>
      <c r="D3116" t="s">
        <v>106</v>
      </c>
      <c r="E3116">
        <v>22.332833583208298</v>
      </c>
    </row>
    <row r="3117" spans="1:5">
      <c r="A3117" t="s">
        <v>3635</v>
      </c>
      <c r="B3117" t="s">
        <v>3655</v>
      </c>
      <c r="C3117">
        <v>0</v>
      </c>
      <c r="D3117" t="s">
        <v>106</v>
      </c>
      <c r="E3117">
        <v>22.332833583208298</v>
      </c>
    </row>
    <row r="3118" spans="1:5">
      <c r="A3118" t="s">
        <v>3635</v>
      </c>
      <c r="B3118" t="s">
        <v>3656</v>
      </c>
      <c r="C3118">
        <v>0</v>
      </c>
      <c r="D3118" t="s">
        <v>106</v>
      </c>
      <c r="E3118">
        <v>22.332833583208298</v>
      </c>
    </row>
    <row r="3119" spans="1:5">
      <c r="A3119" t="s">
        <v>3657</v>
      </c>
      <c r="B3119" t="s">
        <v>3658</v>
      </c>
      <c r="C3119">
        <v>0</v>
      </c>
      <c r="D3119">
        <v>0.96155332254899994</v>
      </c>
      <c r="E3119">
        <v>1.89505247376311</v>
      </c>
    </row>
    <row r="3120" spans="1:5">
      <c r="A3120" t="s">
        <v>3657</v>
      </c>
      <c r="B3120" t="s">
        <v>3659</v>
      </c>
      <c r="C3120">
        <v>0.70831680148800003</v>
      </c>
      <c r="D3120">
        <v>0.96155332254899994</v>
      </c>
      <c r="E3120">
        <v>1.89505247376311</v>
      </c>
    </row>
    <row r="3121" spans="1:5">
      <c r="A3121" t="s">
        <v>3657</v>
      </c>
      <c r="B3121" t="s">
        <v>3660</v>
      </c>
      <c r="C3121">
        <v>0</v>
      </c>
      <c r="D3121">
        <v>0.96155332254899994</v>
      </c>
      <c r="E3121">
        <v>1.89505247376311</v>
      </c>
    </row>
    <row r="3122" spans="1:5">
      <c r="A3122" t="s">
        <v>3657</v>
      </c>
      <c r="B3122" t="s">
        <v>3661</v>
      </c>
      <c r="C3122">
        <v>0</v>
      </c>
      <c r="D3122">
        <v>0.96155332254899994</v>
      </c>
      <c r="E3122">
        <v>1.89505247376311</v>
      </c>
    </row>
    <row r="3123" spans="1:5">
      <c r="A3123" t="s">
        <v>3657</v>
      </c>
      <c r="B3123" t="s">
        <v>3662</v>
      </c>
      <c r="C3123">
        <v>0</v>
      </c>
      <c r="D3123">
        <v>0.96155332254899994</v>
      </c>
      <c r="E3123">
        <v>1.89505247376311</v>
      </c>
    </row>
    <row r="3124" spans="1:5">
      <c r="A3124" t="s">
        <v>3663</v>
      </c>
      <c r="B3124" t="s">
        <v>3664</v>
      </c>
      <c r="C3124">
        <f>0</f>
        <v>0</v>
      </c>
      <c r="D3124">
        <v>0.93794457857500002</v>
      </c>
      <c r="E3124">
        <v>1.6911544227886</v>
      </c>
    </row>
    <row r="3125" spans="1:5">
      <c r="A3125" t="s">
        <v>3663</v>
      </c>
      <c r="B3125" t="s">
        <v>3665</v>
      </c>
      <c r="C3125">
        <v>0</v>
      </c>
      <c r="D3125">
        <v>0.93794457857500002</v>
      </c>
      <c r="E3125">
        <v>1.6911544227886</v>
      </c>
    </row>
    <row r="3126" spans="1:5">
      <c r="A3126" t="s">
        <v>3663</v>
      </c>
      <c r="B3126" t="s">
        <v>3666</v>
      </c>
      <c r="C3126">
        <f>0</f>
        <v>0</v>
      </c>
      <c r="D3126">
        <v>0.93794457857500002</v>
      </c>
      <c r="E3126">
        <v>1.6911544227886</v>
      </c>
    </row>
    <row r="3127" spans="1:5">
      <c r="A3127" t="s">
        <v>3663</v>
      </c>
      <c r="B3127" t="s">
        <v>3667</v>
      </c>
      <c r="C3127">
        <f>0.145992924201</f>
        <v>0.14599292420099999</v>
      </c>
      <c r="D3127">
        <v>0.93794457857500002</v>
      </c>
      <c r="E3127">
        <v>1.6911544227886</v>
      </c>
    </row>
    <row r="3128" spans="1:5">
      <c r="A3128" t="s">
        <v>3663</v>
      </c>
      <c r="B3128" t="s">
        <v>3668</v>
      </c>
      <c r="C3128">
        <f>0.195121291644</f>
        <v>0.19512129164399999</v>
      </c>
      <c r="D3128">
        <v>0.93794457857500002</v>
      </c>
      <c r="E3128">
        <v>1.6911544227886</v>
      </c>
    </row>
    <row r="3129" spans="1:5">
      <c r="A3129" t="s">
        <v>3663</v>
      </c>
      <c r="B3129" t="s">
        <v>3669</v>
      </c>
      <c r="C3129">
        <f>0</f>
        <v>0</v>
      </c>
      <c r="D3129">
        <v>0.93794457857500002</v>
      </c>
      <c r="E3129">
        <v>1.6911544227886</v>
      </c>
    </row>
    <row r="3130" spans="1:5">
      <c r="A3130" t="s">
        <v>3663</v>
      </c>
      <c r="B3130" t="s">
        <v>3670</v>
      </c>
      <c r="C3130">
        <f>0</f>
        <v>0</v>
      </c>
      <c r="D3130">
        <v>0.93794457857500002</v>
      </c>
      <c r="E3130">
        <v>1.6911544227886</v>
      </c>
    </row>
    <row r="3131" spans="1:5">
      <c r="A3131" t="s">
        <v>3663</v>
      </c>
      <c r="B3131" t="s">
        <v>3671</v>
      </c>
      <c r="C3131">
        <f>0</f>
        <v>0</v>
      </c>
      <c r="D3131">
        <v>0.93794457857500002</v>
      </c>
      <c r="E3131">
        <v>1.6911544227886</v>
      </c>
    </row>
    <row r="3132" spans="1:5">
      <c r="A3132" t="s">
        <v>3672</v>
      </c>
      <c r="B3132" t="s">
        <v>3673</v>
      </c>
      <c r="C3132">
        <f>0</f>
        <v>0</v>
      </c>
      <c r="D3132" t="s">
        <v>106</v>
      </c>
      <c r="E3132">
        <v>22.332833583208298</v>
      </c>
    </row>
    <row r="3133" spans="1:5">
      <c r="A3133" t="s">
        <v>3672</v>
      </c>
      <c r="B3133" t="s">
        <v>3674</v>
      </c>
      <c r="C3133">
        <f>0</f>
        <v>0</v>
      </c>
      <c r="D3133" t="s">
        <v>106</v>
      </c>
      <c r="E3133">
        <v>22.332833583208298</v>
      </c>
    </row>
    <row r="3134" spans="1:5">
      <c r="A3134" t="s">
        <v>3672</v>
      </c>
      <c r="B3134" t="s">
        <v>3675</v>
      </c>
      <c r="C3134">
        <f>0</f>
        <v>0</v>
      </c>
      <c r="D3134" t="s">
        <v>106</v>
      </c>
      <c r="E3134">
        <v>22.332833583208298</v>
      </c>
    </row>
    <row r="3135" spans="1:5">
      <c r="A3135" t="s">
        <v>3672</v>
      </c>
      <c r="B3135" t="s">
        <v>3676</v>
      </c>
      <c r="C3135">
        <v>0</v>
      </c>
      <c r="D3135" t="s">
        <v>106</v>
      </c>
      <c r="E3135">
        <v>22.332833583208298</v>
      </c>
    </row>
    <row r="3136" spans="1:5">
      <c r="A3136" t="s">
        <v>3672</v>
      </c>
      <c r="B3136" t="s">
        <v>3677</v>
      </c>
      <c r="C3136">
        <v>0</v>
      </c>
      <c r="D3136" t="s">
        <v>106</v>
      </c>
      <c r="E3136">
        <v>22.332833583208298</v>
      </c>
    </row>
    <row r="3137" spans="1:5">
      <c r="A3137" t="s">
        <v>3672</v>
      </c>
      <c r="B3137" t="s">
        <v>3678</v>
      </c>
      <c r="C3137">
        <v>0</v>
      </c>
      <c r="D3137" t="s">
        <v>106</v>
      </c>
      <c r="E3137">
        <v>22.332833583208298</v>
      </c>
    </row>
    <row r="3138" spans="1:5">
      <c r="A3138" t="s">
        <v>3672</v>
      </c>
      <c r="B3138" t="s">
        <v>3679</v>
      </c>
      <c r="C3138">
        <f>0</f>
        <v>0</v>
      </c>
      <c r="D3138" t="s">
        <v>106</v>
      </c>
      <c r="E3138">
        <v>22.332833583208298</v>
      </c>
    </row>
    <row r="3139" spans="1:5">
      <c r="A3139" t="s">
        <v>3672</v>
      </c>
      <c r="B3139" t="s">
        <v>3680</v>
      </c>
      <c r="C3139">
        <f>0</f>
        <v>0</v>
      </c>
      <c r="D3139" t="s">
        <v>106</v>
      </c>
      <c r="E3139">
        <v>22.332833583208298</v>
      </c>
    </row>
    <row r="3140" spans="1:5">
      <c r="A3140" t="s">
        <v>3681</v>
      </c>
      <c r="B3140" t="s">
        <v>3682</v>
      </c>
      <c r="C3140">
        <v>9.4173755918400007E-2</v>
      </c>
      <c r="D3140">
        <v>0.95661978498900002</v>
      </c>
      <c r="E3140">
        <v>5.69715142428785</v>
      </c>
    </row>
    <row r="3141" spans="1:5">
      <c r="A3141" t="s">
        <v>3683</v>
      </c>
      <c r="B3141" t="s">
        <v>3684</v>
      </c>
      <c r="C3141">
        <v>0.112891952504</v>
      </c>
      <c r="D3141">
        <v>0.81406047357099998</v>
      </c>
      <c r="E3141">
        <v>1.06746626686656</v>
      </c>
    </row>
    <row r="3142" spans="1:5">
      <c r="A3142" t="s">
        <v>3683</v>
      </c>
      <c r="B3142" t="s">
        <v>3685</v>
      </c>
      <c r="C3142">
        <f>0.050980617459</f>
        <v>5.0980617458999997E-2</v>
      </c>
      <c r="D3142">
        <v>0.81406047357099998</v>
      </c>
      <c r="E3142">
        <v>1.06746626686656</v>
      </c>
    </row>
    <row r="3143" spans="1:5">
      <c r="A3143" t="s">
        <v>3683</v>
      </c>
      <c r="B3143" t="s">
        <v>3686</v>
      </c>
      <c r="C3143">
        <v>0</v>
      </c>
      <c r="D3143">
        <v>0.81406047357099998</v>
      </c>
      <c r="E3143">
        <v>1.06746626686656</v>
      </c>
    </row>
    <row r="3144" spans="1:5">
      <c r="A3144" t="s">
        <v>3687</v>
      </c>
      <c r="B3144" t="s">
        <v>3688</v>
      </c>
      <c r="C3144">
        <f>0</f>
        <v>0</v>
      </c>
      <c r="D3144" t="s">
        <v>106</v>
      </c>
      <c r="E3144">
        <v>8.1439280359820092</v>
      </c>
    </row>
    <row r="3145" spans="1:5">
      <c r="A3145" t="s">
        <v>3687</v>
      </c>
      <c r="B3145" t="s">
        <v>3689</v>
      </c>
      <c r="C3145">
        <f>0</f>
        <v>0</v>
      </c>
      <c r="D3145" t="s">
        <v>106</v>
      </c>
      <c r="E3145">
        <v>8.1439280359820092</v>
      </c>
    </row>
    <row r="3146" spans="1:5">
      <c r="A3146" t="s">
        <v>3687</v>
      </c>
      <c r="B3146" t="s">
        <v>3690</v>
      </c>
      <c r="C3146">
        <f>0</f>
        <v>0</v>
      </c>
      <c r="D3146" t="s">
        <v>106</v>
      </c>
      <c r="E3146">
        <v>8.1439280359820092</v>
      </c>
    </row>
    <row r="3147" spans="1:5">
      <c r="A3147" t="s">
        <v>3687</v>
      </c>
      <c r="B3147" t="s">
        <v>3691</v>
      </c>
      <c r="C3147">
        <f>0</f>
        <v>0</v>
      </c>
      <c r="D3147" t="s">
        <v>106</v>
      </c>
      <c r="E3147">
        <v>8.1439280359820092</v>
      </c>
    </row>
    <row r="3148" spans="1:5">
      <c r="A3148" t="s">
        <v>3692</v>
      </c>
      <c r="B3148" t="s">
        <v>3693</v>
      </c>
      <c r="C3148">
        <v>8.9906981411399994E-2</v>
      </c>
      <c r="D3148">
        <v>0.99629248343099996</v>
      </c>
      <c r="E3148">
        <v>11.370314842578701</v>
      </c>
    </row>
    <row r="3149" spans="1:5">
      <c r="A3149" t="s">
        <v>3692</v>
      </c>
      <c r="B3149" t="s">
        <v>3694</v>
      </c>
      <c r="C3149">
        <v>0</v>
      </c>
      <c r="D3149">
        <v>0.99629248343099996</v>
      </c>
      <c r="E3149">
        <v>11.370314842578701</v>
      </c>
    </row>
    <row r="3150" spans="1:5">
      <c r="A3150" t="s">
        <v>3692</v>
      </c>
      <c r="B3150" t="s">
        <v>3695</v>
      </c>
      <c r="C3150">
        <v>0</v>
      </c>
      <c r="D3150">
        <v>0.99629248343099996</v>
      </c>
      <c r="E3150">
        <v>11.370314842578701</v>
      </c>
    </row>
    <row r="3151" spans="1:5">
      <c r="A3151" t="s">
        <v>3692</v>
      </c>
      <c r="B3151" t="s">
        <v>3696</v>
      </c>
      <c r="C3151">
        <v>0</v>
      </c>
      <c r="D3151">
        <v>0.99629248343099996</v>
      </c>
      <c r="E3151">
        <v>11.370314842578701</v>
      </c>
    </row>
    <row r="3152" spans="1:5">
      <c r="A3152" t="s">
        <v>3692</v>
      </c>
      <c r="B3152" t="s">
        <v>3697</v>
      </c>
      <c r="C3152">
        <f>0</f>
        <v>0</v>
      </c>
      <c r="D3152">
        <v>0.99629248343099996</v>
      </c>
      <c r="E3152">
        <v>11.370314842578701</v>
      </c>
    </row>
    <row r="3153" spans="1:5">
      <c r="A3153" t="s">
        <v>3692</v>
      </c>
      <c r="B3153" t="s">
        <v>3698</v>
      </c>
      <c r="C3153">
        <v>0</v>
      </c>
      <c r="D3153">
        <v>0.99629248343099996</v>
      </c>
      <c r="E3153">
        <v>11.370314842578701</v>
      </c>
    </row>
    <row r="3154" spans="1:5">
      <c r="A3154" t="s">
        <v>3692</v>
      </c>
      <c r="B3154" t="s">
        <v>3699</v>
      </c>
      <c r="C3154">
        <v>0</v>
      </c>
      <c r="D3154">
        <v>0.99629248343099996</v>
      </c>
      <c r="E3154">
        <v>11.370314842578701</v>
      </c>
    </row>
    <row r="3155" spans="1:5">
      <c r="A3155" t="s">
        <v>3692</v>
      </c>
      <c r="B3155" t="s">
        <v>3700</v>
      </c>
      <c r="C3155">
        <v>0</v>
      </c>
      <c r="D3155">
        <v>0.99629248343099996</v>
      </c>
      <c r="E3155">
        <v>11.370314842578701</v>
      </c>
    </row>
    <row r="3156" spans="1:5">
      <c r="A3156" t="s">
        <v>3692</v>
      </c>
      <c r="B3156" t="s">
        <v>3701</v>
      </c>
      <c r="C3156">
        <v>0</v>
      </c>
      <c r="D3156">
        <v>0.99629248343099996</v>
      </c>
      <c r="E3156">
        <v>11.370314842578701</v>
      </c>
    </row>
    <row r="3157" spans="1:5">
      <c r="A3157" t="s">
        <v>3692</v>
      </c>
      <c r="B3157" t="s">
        <v>3702</v>
      </c>
      <c r="C3157">
        <v>0.15690032831600001</v>
      </c>
      <c r="D3157">
        <v>0.99629248343099996</v>
      </c>
      <c r="E3157">
        <v>11.370314842578701</v>
      </c>
    </row>
    <row r="3158" spans="1:5">
      <c r="A3158" t="s">
        <v>3692</v>
      </c>
      <c r="B3158" t="s">
        <v>3703</v>
      </c>
      <c r="C3158">
        <v>0</v>
      </c>
      <c r="D3158">
        <v>0.99629248343099996</v>
      </c>
      <c r="E3158">
        <v>11.370314842578701</v>
      </c>
    </row>
    <row r="3159" spans="1:5">
      <c r="A3159" t="s">
        <v>3704</v>
      </c>
      <c r="B3159" t="s">
        <v>3705</v>
      </c>
      <c r="C3159">
        <v>0</v>
      </c>
      <c r="D3159" t="s">
        <v>106</v>
      </c>
      <c r="E3159">
        <v>24</v>
      </c>
    </row>
    <row r="3160" spans="1:5">
      <c r="A3160" t="s">
        <v>3704</v>
      </c>
      <c r="B3160" t="s">
        <v>3706</v>
      </c>
      <c r="C3160">
        <v>5.1317901790299998E-2</v>
      </c>
      <c r="D3160" t="s">
        <v>106</v>
      </c>
      <c r="E3160">
        <v>24</v>
      </c>
    </row>
    <row r="3161" spans="1:5">
      <c r="A3161" t="s">
        <v>3704</v>
      </c>
      <c r="B3161" t="s">
        <v>3707</v>
      </c>
      <c r="C3161">
        <v>0</v>
      </c>
      <c r="D3161" t="s">
        <v>106</v>
      </c>
      <c r="E3161">
        <v>24</v>
      </c>
    </row>
    <row r="3162" spans="1:5">
      <c r="A3162" t="s">
        <v>3704</v>
      </c>
      <c r="B3162" t="s">
        <v>3708</v>
      </c>
      <c r="C3162">
        <v>0</v>
      </c>
      <c r="D3162" t="s">
        <v>106</v>
      </c>
      <c r="E3162">
        <v>24</v>
      </c>
    </row>
    <row r="3163" spans="1:5">
      <c r="A3163" t="s">
        <v>3709</v>
      </c>
      <c r="B3163" t="s">
        <v>3710</v>
      </c>
      <c r="C3163">
        <v>0</v>
      </c>
      <c r="D3163" t="s">
        <v>106</v>
      </c>
      <c r="E3163">
        <v>9.7631184407796106</v>
      </c>
    </row>
    <row r="3164" spans="1:5">
      <c r="A3164" t="s">
        <v>3709</v>
      </c>
      <c r="B3164" t="s">
        <v>3711</v>
      </c>
      <c r="C3164">
        <f>0</f>
        <v>0</v>
      </c>
      <c r="D3164" t="s">
        <v>106</v>
      </c>
      <c r="E3164">
        <v>9.7631184407796106</v>
      </c>
    </row>
    <row r="3165" spans="1:5">
      <c r="A3165" t="s">
        <v>3709</v>
      </c>
      <c r="B3165" t="s">
        <v>3712</v>
      </c>
      <c r="C3165">
        <f>0</f>
        <v>0</v>
      </c>
      <c r="D3165" t="s">
        <v>106</v>
      </c>
      <c r="E3165">
        <v>9.7631184407796106</v>
      </c>
    </row>
    <row r="3166" spans="1:5">
      <c r="A3166" t="s">
        <v>3709</v>
      </c>
      <c r="B3166" t="s">
        <v>3713</v>
      </c>
      <c r="C3166">
        <v>0</v>
      </c>
      <c r="D3166" t="s">
        <v>106</v>
      </c>
      <c r="E3166">
        <v>9.7631184407796106</v>
      </c>
    </row>
    <row r="3167" spans="1:5">
      <c r="A3167" t="s">
        <v>3714</v>
      </c>
      <c r="B3167" t="s">
        <v>3715</v>
      </c>
      <c r="C3167">
        <v>0.19243229972100001</v>
      </c>
      <c r="D3167">
        <v>0.66956347190800003</v>
      </c>
      <c r="E3167">
        <v>4.7976011994003001</v>
      </c>
    </row>
    <row r="3168" spans="1:5">
      <c r="A3168" t="s">
        <v>3716</v>
      </c>
      <c r="B3168" t="s">
        <v>3717</v>
      </c>
      <c r="C3168">
        <v>1.52644848919E-2</v>
      </c>
      <c r="D3168">
        <v>0.63948961232199997</v>
      </c>
      <c r="E3168">
        <v>7.5922038980509701</v>
      </c>
    </row>
    <row r="3169" spans="1:5">
      <c r="A3169" t="s">
        <v>3716</v>
      </c>
      <c r="B3169" t="s">
        <v>3718</v>
      </c>
      <c r="C3169">
        <f>0</f>
        <v>0</v>
      </c>
      <c r="D3169">
        <v>0.63948961232199997</v>
      </c>
      <c r="E3169">
        <v>7.5922038980509701</v>
      </c>
    </row>
    <row r="3170" spans="1:5">
      <c r="A3170" t="s">
        <v>3716</v>
      </c>
      <c r="B3170" t="s">
        <v>3719</v>
      </c>
      <c r="C3170">
        <v>0</v>
      </c>
      <c r="D3170">
        <v>0.63948961232199997</v>
      </c>
      <c r="E3170">
        <v>7.5922038980509701</v>
      </c>
    </row>
    <row r="3171" spans="1:5">
      <c r="A3171" t="s">
        <v>3720</v>
      </c>
      <c r="B3171" t="s">
        <v>3721</v>
      </c>
      <c r="C3171">
        <v>0.82090567920699997</v>
      </c>
      <c r="D3171">
        <v>0.99037115553300004</v>
      </c>
      <c r="E3171">
        <v>0.82758620689655105</v>
      </c>
    </row>
    <row r="3172" spans="1:5">
      <c r="A3172" t="s">
        <v>3720</v>
      </c>
      <c r="B3172" t="s">
        <v>3722</v>
      </c>
      <c r="C3172">
        <v>0.23018974919599999</v>
      </c>
      <c r="D3172">
        <v>0.99037115553300004</v>
      </c>
      <c r="E3172">
        <v>0.82758620689655105</v>
      </c>
    </row>
    <row r="3173" spans="1:5">
      <c r="A3173" t="s">
        <v>3720</v>
      </c>
      <c r="B3173" t="s">
        <v>3723</v>
      </c>
      <c r="C3173">
        <f>0</f>
        <v>0</v>
      </c>
      <c r="D3173">
        <v>0.99037115553300004</v>
      </c>
      <c r="E3173">
        <v>0.82758620689655105</v>
      </c>
    </row>
    <row r="3174" spans="1:5">
      <c r="A3174" t="s">
        <v>3724</v>
      </c>
      <c r="B3174" t="s">
        <v>3725</v>
      </c>
      <c r="C3174">
        <v>0</v>
      </c>
      <c r="D3174" t="s">
        <v>106</v>
      </c>
      <c r="E3174">
        <v>12.2098950524737</v>
      </c>
    </row>
    <row r="3175" spans="1:5">
      <c r="A3175" t="s">
        <v>3724</v>
      </c>
      <c r="B3175" t="s">
        <v>3726</v>
      </c>
      <c r="C3175">
        <f>0</f>
        <v>0</v>
      </c>
      <c r="D3175" t="s">
        <v>106</v>
      </c>
      <c r="E3175">
        <v>12.2098950524737</v>
      </c>
    </row>
    <row r="3176" spans="1:5">
      <c r="A3176" t="s">
        <v>3724</v>
      </c>
      <c r="B3176" t="s">
        <v>3727</v>
      </c>
      <c r="C3176">
        <f>0</f>
        <v>0</v>
      </c>
      <c r="D3176" t="s">
        <v>106</v>
      </c>
      <c r="E3176">
        <v>12.2098950524737</v>
      </c>
    </row>
    <row r="3177" spans="1:5">
      <c r="A3177" t="s">
        <v>3728</v>
      </c>
      <c r="B3177" t="s">
        <v>3729</v>
      </c>
      <c r="C3177">
        <v>0</v>
      </c>
      <c r="D3177" t="s">
        <v>106</v>
      </c>
      <c r="E3177">
        <v>2.79460269865067</v>
      </c>
    </row>
    <row r="3178" spans="1:5">
      <c r="A3178" t="s">
        <v>3730</v>
      </c>
      <c r="B3178" t="s">
        <v>3731</v>
      </c>
      <c r="C3178">
        <v>5.1161051134300001E-2</v>
      </c>
      <c r="D3178">
        <v>0.77743347905299998</v>
      </c>
      <c r="E3178">
        <v>11.5382308845577</v>
      </c>
    </row>
    <row r="3179" spans="1:5">
      <c r="A3179" t="s">
        <v>3732</v>
      </c>
      <c r="B3179" t="s">
        <v>3733</v>
      </c>
      <c r="C3179">
        <f>0</f>
        <v>0</v>
      </c>
      <c r="D3179" t="s">
        <v>106</v>
      </c>
      <c r="E3179">
        <v>12.5577211394302</v>
      </c>
    </row>
    <row r="3180" spans="1:5">
      <c r="A3180" t="s">
        <v>3732</v>
      </c>
      <c r="B3180" t="s">
        <v>3734</v>
      </c>
      <c r="C3180">
        <f>0</f>
        <v>0</v>
      </c>
      <c r="D3180" t="s">
        <v>106</v>
      </c>
      <c r="E3180">
        <v>12.5577211394302</v>
      </c>
    </row>
    <row r="3181" spans="1:5">
      <c r="A3181" t="s">
        <v>3735</v>
      </c>
      <c r="B3181" t="s">
        <v>3736</v>
      </c>
      <c r="C3181">
        <f>0</f>
        <v>0</v>
      </c>
      <c r="D3181" t="s">
        <v>106</v>
      </c>
      <c r="E3181">
        <v>2.2548725637181399</v>
      </c>
    </row>
    <row r="3182" spans="1:5">
      <c r="A3182" t="s">
        <v>3735</v>
      </c>
      <c r="B3182" t="s">
        <v>3737</v>
      </c>
      <c r="C3182">
        <v>0</v>
      </c>
      <c r="D3182" t="s">
        <v>106</v>
      </c>
      <c r="E3182">
        <v>2.2548725637181399</v>
      </c>
    </row>
    <row r="3183" spans="1:5">
      <c r="A3183" t="s">
        <v>3735</v>
      </c>
      <c r="B3183" t="s">
        <v>3738</v>
      </c>
      <c r="C3183">
        <f>0</f>
        <v>0</v>
      </c>
      <c r="D3183" t="s">
        <v>106</v>
      </c>
      <c r="E3183">
        <v>2.2548725637181399</v>
      </c>
    </row>
    <row r="3184" spans="1:5">
      <c r="A3184" t="s">
        <v>3735</v>
      </c>
      <c r="B3184" t="s">
        <v>3739</v>
      </c>
      <c r="C3184">
        <f>0</f>
        <v>0</v>
      </c>
      <c r="D3184" t="s">
        <v>106</v>
      </c>
      <c r="E3184">
        <v>2.2548725637181399</v>
      </c>
    </row>
    <row r="3185" spans="1:5">
      <c r="A3185" t="s">
        <v>3735</v>
      </c>
      <c r="B3185" t="s">
        <v>3740</v>
      </c>
      <c r="C3185">
        <v>0</v>
      </c>
      <c r="D3185" t="s">
        <v>106</v>
      </c>
      <c r="E3185">
        <v>2.2548725637181399</v>
      </c>
    </row>
    <row r="3186" spans="1:5">
      <c r="A3186" t="s">
        <v>3735</v>
      </c>
      <c r="B3186" t="s">
        <v>3741</v>
      </c>
      <c r="C3186">
        <f>0</f>
        <v>0</v>
      </c>
      <c r="D3186" t="s">
        <v>106</v>
      </c>
      <c r="E3186">
        <v>2.2548725637181399</v>
      </c>
    </row>
    <row r="3187" spans="1:5">
      <c r="A3187" t="s">
        <v>3742</v>
      </c>
      <c r="B3187" t="s">
        <v>3743</v>
      </c>
      <c r="C3187">
        <v>0</v>
      </c>
      <c r="D3187">
        <v>0.98393010007000004</v>
      </c>
      <c r="E3187">
        <v>24</v>
      </c>
    </row>
    <row r="3188" spans="1:5">
      <c r="A3188" t="s">
        <v>3742</v>
      </c>
      <c r="B3188" t="s">
        <v>3744</v>
      </c>
      <c r="C3188">
        <v>7.6569904754499998E-2</v>
      </c>
      <c r="D3188">
        <v>0.98393010007000004</v>
      </c>
      <c r="E3188">
        <v>24</v>
      </c>
    </row>
    <row r="3189" spans="1:5">
      <c r="A3189" t="s">
        <v>3742</v>
      </c>
      <c r="B3189" t="s">
        <v>3745</v>
      </c>
      <c r="C3189">
        <f>0</f>
        <v>0</v>
      </c>
      <c r="D3189">
        <v>0.98393010007000004</v>
      </c>
      <c r="E3189">
        <v>24</v>
      </c>
    </row>
    <row r="3190" spans="1:5">
      <c r="A3190" t="s">
        <v>3742</v>
      </c>
      <c r="B3190" t="s">
        <v>3746</v>
      </c>
      <c r="C3190">
        <f>0</f>
        <v>0</v>
      </c>
      <c r="D3190">
        <v>0.98393010007000004</v>
      </c>
      <c r="E3190">
        <v>24</v>
      </c>
    </row>
    <row r="3191" spans="1:5">
      <c r="A3191" t="s">
        <v>3742</v>
      </c>
      <c r="B3191" t="s">
        <v>3747</v>
      </c>
      <c r="C3191">
        <f>0.0996039847772</f>
        <v>9.9603984777200005E-2</v>
      </c>
      <c r="D3191">
        <v>0.98393010007000004</v>
      </c>
      <c r="E3191">
        <v>24</v>
      </c>
    </row>
    <row r="3192" spans="1:5">
      <c r="A3192" t="s">
        <v>3742</v>
      </c>
      <c r="B3192" t="s">
        <v>3748</v>
      </c>
      <c r="C3192">
        <v>0</v>
      </c>
      <c r="D3192">
        <v>0.98393010007000004</v>
      </c>
      <c r="E3192">
        <v>24</v>
      </c>
    </row>
    <row r="3193" spans="1:5">
      <c r="A3193" t="s">
        <v>3742</v>
      </c>
      <c r="B3193" t="s">
        <v>3749</v>
      </c>
      <c r="C3193">
        <f>0</f>
        <v>0</v>
      </c>
      <c r="D3193">
        <v>0.98393010007000004</v>
      </c>
      <c r="E3193">
        <v>24</v>
      </c>
    </row>
    <row r="3194" spans="1:5">
      <c r="A3194" t="s">
        <v>3750</v>
      </c>
      <c r="B3194" t="s">
        <v>3751</v>
      </c>
      <c r="C3194">
        <v>0</v>
      </c>
      <c r="D3194">
        <v>0.96146833468799997</v>
      </c>
      <c r="E3194">
        <v>12.2098950524737</v>
      </c>
    </row>
    <row r="3195" spans="1:5">
      <c r="A3195" t="s">
        <v>3750</v>
      </c>
      <c r="B3195" t="s">
        <v>3752</v>
      </c>
      <c r="C3195">
        <v>0</v>
      </c>
      <c r="D3195">
        <v>0.96146833468799997</v>
      </c>
      <c r="E3195">
        <v>12.2098950524737</v>
      </c>
    </row>
    <row r="3196" spans="1:5">
      <c r="A3196" t="s">
        <v>3750</v>
      </c>
      <c r="B3196" t="s">
        <v>3753</v>
      </c>
      <c r="C3196">
        <v>0</v>
      </c>
      <c r="D3196">
        <v>0.96146833468799997</v>
      </c>
      <c r="E3196">
        <v>12.2098950524737</v>
      </c>
    </row>
    <row r="3197" spans="1:5">
      <c r="A3197" t="s">
        <v>3750</v>
      </c>
      <c r="B3197" t="s">
        <v>3754</v>
      </c>
      <c r="C3197">
        <v>0.37109146729499998</v>
      </c>
      <c r="D3197">
        <v>0.96146833468799997</v>
      </c>
      <c r="E3197">
        <v>12.2098950524737</v>
      </c>
    </row>
    <row r="3198" spans="1:5">
      <c r="A3198" t="s">
        <v>3750</v>
      </c>
      <c r="B3198" t="s">
        <v>3755</v>
      </c>
      <c r="C3198">
        <f>0</f>
        <v>0</v>
      </c>
      <c r="D3198">
        <v>0.96146833468799997</v>
      </c>
      <c r="E3198">
        <v>12.2098950524737</v>
      </c>
    </row>
    <row r="3199" spans="1:5">
      <c r="A3199" t="s">
        <v>3750</v>
      </c>
      <c r="B3199" t="s">
        <v>3756</v>
      </c>
      <c r="C3199">
        <v>0</v>
      </c>
      <c r="D3199">
        <v>0.96146833468799997</v>
      </c>
      <c r="E3199">
        <v>12.2098950524737</v>
      </c>
    </row>
    <row r="3200" spans="1:5">
      <c r="A3200" t="s">
        <v>3757</v>
      </c>
      <c r="B3200" t="s">
        <v>3758</v>
      </c>
      <c r="C3200">
        <v>0</v>
      </c>
      <c r="D3200">
        <v>0.95618479898999997</v>
      </c>
      <c r="E3200">
        <v>15.700149925037399</v>
      </c>
    </row>
    <row r="3201" spans="1:5">
      <c r="A3201" t="s">
        <v>3757</v>
      </c>
      <c r="B3201" t="s">
        <v>3759</v>
      </c>
      <c r="C3201">
        <f>0.126590381274</f>
        <v>0.12659038127399999</v>
      </c>
      <c r="D3201">
        <v>0.95618479898999997</v>
      </c>
      <c r="E3201">
        <v>15.700149925037399</v>
      </c>
    </row>
    <row r="3202" spans="1:5">
      <c r="A3202" t="s">
        <v>3757</v>
      </c>
      <c r="B3202" t="s">
        <v>3760</v>
      </c>
      <c r="C3202">
        <f>0.106408480177</f>
        <v>0.106408480177</v>
      </c>
      <c r="D3202">
        <v>0.95618479898999997</v>
      </c>
      <c r="E3202">
        <v>15.700149925037399</v>
      </c>
    </row>
    <row r="3203" spans="1:5">
      <c r="A3203" t="s">
        <v>3757</v>
      </c>
      <c r="B3203" t="s">
        <v>3761</v>
      </c>
      <c r="C3203">
        <f>0</f>
        <v>0</v>
      </c>
      <c r="D3203">
        <v>0.95618479898999997</v>
      </c>
      <c r="E3203">
        <v>15.700149925037399</v>
      </c>
    </row>
    <row r="3204" spans="1:5">
      <c r="A3204" t="s">
        <v>3757</v>
      </c>
      <c r="B3204" t="s">
        <v>3762</v>
      </c>
      <c r="C3204">
        <f>0</f>
        <v>0</v>
      </c>
      <c r="D3204">
        <v>0.95618479898999997</v>
      </c>
      <c r="E3204">
        <v>15.700149925037399</v>
      </c>
    </row>
    <row r="3205" spans="1:5">
      <c r="A3205" t="s">
        <v>3763</v>
      </c>
      <c r="B3205" t="s">
        <v>3764</v>
      </c>
      <c r="C3205">
        <f>0</f>
        <v>0</v>
      </c>
      <c r="D3205">
        <v>0.92827408751600005</v>
      </c>
      <c r="E3205">
        <v>0.65967016491754105</v>
      </c>
    </row>
    <row r="3206" spans="1:5">
      <c r="A3206" t="s">
        <v>3763</v>
      </c>
      <c r="B3206" t="s">
        <v>3765</v>
      </c>
      <c r="C3206">
        <f>0</f>
        <v>0</v>
      </c>
      <c r="D3206">
        <v>0.92827408751600005</v>
      </c>
      <c r="E3206">
        <v>0.65967016491754105</v>
      </c>
    </row>
    <row r="3207" spans="1:5">
      <c r="A3207" t="s">
        <v>3763</v>
      </c>
      <c r="B3207" t="s">
        <v>3766</v>
      </c>
      <c r="C3207">
        <v>0</v>
      </c>
      <c r="D3207">
        <v>0.92827408751600005</v>
      </c>
      <c r="E3207">
        <v>0.65967016491754105</v>
      </c>
    </row>
    <row r="3208" spans="1:5">
      <c r="A3208" t="s">
        <v>3763</v>
      </c>
      <c r="B3208" t="s">
        <v>3767</v>
      </c>
      <c r="C3208">
        <v>0.69774324190299997</v>
      </c>
      <c r="D3208">
        <v>0.92827408751600005</v>
      </c>
      <c r="E3208">
        <v>0.65967016491754105</v>
      </c>
    </row>
    <row r="3209" spans="1:5">
      <c r="A3209" t="s">
        <v>3768</v>
      </c>
      <c r="B3209" t="s">
        <v>3769</v>
      </c>
      <c r="C3209">
        <v>0</v>
      </c>
      <c r="D3209">
        <v>0.492516608839</v>
      </c>
      <c r="E3209">
        <v>5.3493253373313303</v>
      </c>
    </row>
    <row r="3210" spans="1:5">
      <c r="A3210" t="s">
        <v>3768</v>
      </c>
      <c r="B3210" t="s">
        <v>3770</v>
      </c>
      <c r="C3210">
        <f>0.0130319466321</f>
        <v>1.30319466321E-2</v>
      </c>
      <c r="D3210">
        <v>0.492516608839</v>
      </c>
      <c r="E3210">
        <v>5.3493253373313303</v>
      </c>
    </row>
    <row r="3211" spans="1:5">
      <c r="A3211" t="s">
        <v>3768</v>
      </c>
      <c r="B3211" t="s">
        <v>3771</v>
      </c>
      <c r="C3211">
        <f>0</f>
        <v>0</v>
      </c>
      <c r="D3211">
        <v>0.492516608839</v>
      </c>
      <c r="E3211">
        <v>5.3493253373313303</v>
      </c>
    </row>
    <row r="3212" spans="1:5">
      <c r="A3212" t="s">
        <v>3772</v>
      </c>
      <c r="B3212" t="s">
        <v>3773</v>
      </c>
      <c r="C3212">
        <f>0</f>
        <v>0</v>
      </c>
      <c r="D3212">
        <v>0.778413116736</v>
      </c>
      <c r="E3212">
        <v>1.6311844077961</v>
      </c>
    </row>
    <row r="3213" spans="1:5">
      <c r="A3213" t="s">
        <v>3772</v>
      </c>
      <c r="B3213" t="s">
        <v>3774</v>
      </c>
      <c r="C3213">
        <v>0</v>
      </c>
      <c r="D3213">
        <v>0.778413116736</v>
      </c>
      <c r="E3213">
        <v>1.6311844077961</v>
      </c>
    </row>
    <row r="3214" spans="1:5">
      <c r="A3214" t="s">
        <v>3772</v>
      </c>
      <c r="B3214" t="s">
        <v>3775</v>
      </c>
      <c r="C3214">
        <f>0</f>
        <v>0</v>
      </c>
      <c r="D3214">
        <v>0.778413116736</v>
      </c>
      <c r="E3214">
        <v>1.6311844077961</v>
      </c>
    </row>
    <row r="3215" spans="1:5">
      <c r="A3215" t="s">
        <v>3772</v>
      </c>
      <c r="B3215" t="s">
        <v>3776</v>
      </c>
      <c r="C3215">
        <v>0</v>
      </c>
      <c r="D3215">
        <v>0.778413116736</v>
      </c>
      <c r="E3215">
        <v>1.6311844077961</v>
      </c>
    </row>
    <row r="3216" spans="1:5">
      <c r="A3216" t="s">
        <v>3772</v>
      </c>
      <c r="B3216" t="s">
        <v>3777</v>
      </c>
      <c r="C3216">
        <f>0</f>
        <v>0</v>
      </c>
      <c r="D3216">
        <v>0.778413116736</v>
      </c>
      <c r="E3216">
        <v>1.6311844077961</v>
      </c>
    </row>
    <row r="3217" spans="1:5">
      <c r="A3217" t="s">
        <v>3772</v>
      </c>
      <c r="B3217" t="s">
        <v>3778</v>
      </c>
      <c r="C3217">
        <f>0.00597148243685</f>
        <v>5.9714824368499999E-3</v>
      </c>
      <c r="D3217">
        <v>0.778413116736</v>
      </c>
      <c r="E3217">
        <v>1.6311844077961</v>
      </c>
    </row>
    <row r="3218" spans="1:5">
      <c r="A3218" t="s">
        <v>3772</v>
      </c>
      <c r="B3218" t="s">
        <v>3779</v>
      </c>
      <c r="C3218">
        <f>0.0109369905853</f>
        <v>1.09369905853E-2</v>
      </c>
      <c r="D3218">
        <v>0.778413116736</v>
      </c>
      <c r="E3218">
        <v>1.6311844077961</v>
      </c>
    </row>
    <row r="3219" spans="1:5">
      <c r="A3219" t="s">
        <v>3772</v>
      </c>
      <c r="B3219" t="s">
        <v>3780</v>
      </c>
      <c r="C3219">
        <v>0</v>
      </c>
      <c r="D3219">
        <v>0.778413116736</v>
      </c>
      <c r="E3219">
        <v>1.6311844077961</v>
      </c>
    </row>
    <row r="3220" spans="1:5">
      <c r="A3220" t="s">
        <v>3772</v>
      </c>
      <c r="B3220" t="s">
        <v>3781</v>
      </c>
      <c r="C3220">
        <v>0</v>
      </c>
      <c r="D3220">
        <v>0.778413116736</v>
      </c>
      <c r="E3220">
        <v>1.6311844077961</v>
      </c>
    </row>
    <row r="3221" spans="1:5">
      <c r="A3221" t="s">
        <v>3782</v>
      </c>
      <c r="B3221" t="s">
        <v>3783</v>
      </c>
      <c r="C3221">
        <v>0</v>
      </c>
      <c r="D3221" t="s">
        <v>106</v>
      </c>
      <c r="E3221">
        <v>1.00749625187406</v>
      </c>
    </row>
    <row r="3222" spans="1:5">
      <c r="A3222" t="s">
        <v>3782</v>
      </c>
      <c r="B3222" t="s">
        <v>3784</v>
      </c>
      <c r="C3222">
        <v>0</v>
      </c>
      <c r="D3222" t="s">
        <v>106</v>
      </c>
      <c r="E3222">
        <v>1.00749625187406</v>
      </c>
    </row>
    <row r="3223" spans="1:5">
      <c r="A3223" t="s">
        <v>3782</v>
      </c>
      <c r="B3223" t="s">
        <v>3785</v>
      </c>
      <c r="C3223">
        <v>0</v>
      </c>
      <c r="D3223" t="s">
        <v>106</v>
      </c>
      <c r="E3223">
        <v>1.00749625187406</v>
      </c>
    </row>
    <row r="3224" spans="1:5">
      <c r="A3224" t="s">
        <v>3782</v>
      </c>
      <c r="B3224" t="s">
        <v>3786</v>
      </c>
      <c r="C3224">
        <v>0</v>
      </c>
      <c r="D3224" t="s">
        <v>106</v>
      </c>
      <c r="E3224">
        <v>1.00749625187406</v>
      </c>
    </row>
    <row r="3225" spans="1:5">
      <c r="A3225" t="s">
        <v>3782</v>
      </c>
      <c r="B3225" t="s">
        <v>3787</v>
      </c>
      <c r="C3225">
        <v>0</v>
      </c>
      <c r="D3225" t="s">
        <v>106</v>
      </c>
      <c r="E3225">
        <v>1.00749625187406</v>
      </c>
    </row>
    <row r="3226" spans="1:5">
      <c r="A3226" t="s">
        <v>3782</v>
      </c>
      <c r="B3226" t="s">
        <v>3788</v>
      </c>
      <c r="C3226">
        <f>0</f>
        <v>0</v>
      </c>
      <c r="D3226" t="s">
        <v>106</v>
      </c>
      <c r="E3226">
        <v>1.00749625187406</v>
      </c>
    </row>
    <row r="3227" spans="1:5">
      <c r="A3227" t="s">
        <v>3782</v>
      </c>
      <c r="B3227" t="s">
        <v>3789</v>
      </c>
      <c r="C3227">
        <f>0</f>
        <v>0</v>
      </c>
      <c r="D3227" t="s">
        <v>106</v>
      </c>
      <c r="E3227">
        <v>1.00749625187406</v>
      </c>
    </row>
    <row r="3228" spans="1:5">
      <c r="A3228" t="s">
        <v>3782</v>
      </c>
      <c r="B3228" t="s">
        <v>3790</v>
      </c>
      <c r="C3228">
        <v>0</v>
      </c>
      <c r="D3228" t="s">
        <v>106</v>
      </c>
      <c r="E3228">
        <v>1.00749625187406</v>
      </c>
    </row>
    <row r="3229" spans="1:5">
      <c r="A3229" t="s">
        <v>3782</v>
      </c>
      <c r="B3229" t="s">
        <v>3791</v>
      </c>
      <c r="C3229">
        <v>0</v>
      </c>
      <c r="D3229" t="s">
        <v>106</v>
      </c>
      <c r="E3229">
        <v>1.00749625187406</v>
      </c>
    </row>
    <row r="3230" spans="1:5">
      <c r="A3230" t="s">
        <v>3782</v>
      </c>
      <c r="B3230" t="s">
        <v>3792</v>
      </c>
      <c r="C3230">
        <v>0</v>
      </c>
      <c r="D3230" t="s">
        <v>106</v>
      </c>
      <c r="E3230">
        <v>1.00749625187406</v>
      </c>
    </row>
    <row r="3231" spans="1:5">
      <c r="A3231" t="s">
        <v>3793</v>
      </c>
      <c r="B3231" t="s">
        <v>3794</v>
      </c>
      <c r="C3231">
        <f>0.0617342763475</f>
        <v>6.1734276347499999E-2</v>
      </c>
      <c r="D3231">
        <v>0.92458653820299996</v>
      </c>
      <c r="E3231">
        <v>3.2263868065966999</v>
      </c>
    </row>
    <row r="3232" spans="1:5">
      <c r="A3232" t="s">
        <v>3793</v>
      </c>
      <c r="B3232" t="s">
        <v>3795</v>
      </c>
      <c r="C3232">
        <v>0</v>
      </c>
      <c r="D3232">
        <v>0.92458653820299996</v>
      </c>
      <c r="E3232">
        <v>3.2263868065966999</v>
      </c>
    </row>
    <row r="3233" spans="1:5">
      <c r="A3233" t="s">
        <v>3793</v>
      </c>
      <c r="B3233" t="s">
        <v>3796</v>
      </c>
      <c r="C3233">
        <f>0</f>
        <v>0</v>
      </c>
      <c r="D3233">
        <v>0.92458653820299996</v>
      </c>
      <c r="E3233">
        <v>3.2263868065966999</v>
      </c>
    </row>
    <row r="3234" spans="1:5">
      <c r="A3234" t="s">
        <v>3793</v>
      </c>
      <c r="B3234" t="s">
        <v>3797</v>
      </c>
      <c r="C3234">
        <v>0</v>
      </c>
      <c r="D3234">
        <v>0.92458653820299996</v>
      </c>
      <c r="E3234">
        <v>3.2263868065966999</v>
      </c>
    </row>
    <row r="3235" spans="1:5">
      <c r="A3235" t="s">
        <v>3793</v>
      </c>
      <c r="B3235" t="s">
        <v>3798</v>
      </c>
      <c r="C3235">
        <v>0</v>
      </c>
      <c r="D3235">
        <v>0.92458653820299996</v>
      </c>
      <c r="E3235">
        <v>3.2263868065966999</v>
      </c>
    </row>
    <row r="3236" spans="1:5">
      <c r="A3236" t="s">
        <v>3793</v>
      </c>
      <c r="B3236" t="s">
        <v>3799</v>
      </c>
      <c r="C3236">
        <v>0</v>
      </c>
      <c r="D3236">
        <v>0.92458653820299996</v>
      </c>
      <c r="E3236">
        <v>3.2263868065966999</v>
      </c>
    </row>
    <row r="3237" spans="1:5">
      <c r="A3237" t="s">
        <v>3800</v>
      </c>
      <c r="B3237" t="s">
        <v>3801</v>
      </c>
      <c r="C3237">
        <f>0</f>
        <v>0</v>
      </c>
      <c r="D3237" t="s">
        <v>106</v>
      </c>
      <c r="E3237">
        <v>24</v>
      </c>
    </row>
    <row r="3238" spans="1:5">
      <c r="A3238" t="s">
        <v>3802</v>
      </c>
      <c r="B3238" t="s">
        <v>3803</v>
      </c>
      <c r="C3238">
        <v>4.8452241591800003E-3</v>
      </c>
      <c r="D3238">
        <v>0.48692551818899998</v>
      </c>
      <c r="E3238">
        <v>4.4737631184407798</v>
      </c>
    </row>
    <row r="3239" spans="1:5">
      <c r="A3239" t="s">
        <v>3802</v>
      </c>
      <c r="B3239" t="s">
        <v>3804</v>
      </c>
      <c r="C3239">
        <f>0</f>
        <v>0</v>
      </c>
      <c r="D3239">
        <v>0.48692551818899998</v>
      </c>
      <c r="E3239">
        <v>4.4737631184407798</v>
      </c>
    </row>
    <row r="3240" spans="1:5">
      <c r="A3240" t="s">
        <v>3802</v>
      </c>
      <c r="B3240" t="s">
        <v>3805</v>
      </c>
      <c r="C3240">
        <v>0</v>
      </c>
      <c r="D3240">
        <v>0.48692551818899998</v>
      </c>
      <c r="E3240">
        <v>4.4737631184407798</v>
      </c>
    </row>
    <row r="3241" spans="1:5">
      <c r="A3241" t="s">
        <v>3802</v>
      </c>
      <c r="B3241" t="s">
        <v>3806</v>
      </c>
      <c r="C3241">
        <f>0</f>
        <v>0</v>
      </c>
      <c r="D3241">
        <v>0.48692551818899998</v>
      </c>
      <c r="E3241">
        <v>4.4737631184407798</v>
      </c>
    </row>
    <row r="3242" spans="1:5">
      <c r="A3242" t="s">
        <v>3802</v>
      </c>
      <c r="B3242" t="s">
        <v>3807</v>
      </c>
      <c r="C3242">
        <v>0</v>
      </c>
      <c r="D3242">
        <v>0.48692551818899998</v>
      </c>
      <c r="E3242">
        <v>4.4737631184407798</v>
      </c>
    </row>
    <row r="3243" spans="1:5">
      <c r="A3243" t="s">
        <v>3802</v>
      </c>
      <c r="B3243" t="s">
        <v>3808</v>
      </c>
      <c r="C3243">
        <v>0</v>
      </c>
      <c r="D3243">
        <v>0.48692551818899998</v>
      </c>
      <c r="E3243">
        <v>4.4737631184407798</v>
      </c>
    </row>
    <row r="3244" spans="1:5">
      <c r="A3244" t="s">
        <v>3802</v>
      </c>
      <c r="B3244" t="s">
        <v>3809</v>
      </c>
      <c r="C3244">
        <v>0</v>
      </c>
      <c r="D3244">
        <v>0.48692551818899998</v>
      </c>
      <c r="E3244">
        <v>4.4737631184407798</v>
      </c>
    </row>
    <row r="3245" spans="1:5">
      <c r="A3245" t="s">
        <v>3810</v>
      </c>
      <c r="B3245" t="s">
        <v>3811</v>
      </c>
      <c r="C3245">
        <v>0</v>
      </c>
      <c r="D3245">
        <v>0.996134291033</v>
      </c>
      <c r="E3245">
        <v>1.96701649175412</v>
      </c>
    </row>
    <row r="3246" spans="1:5">
      <c r="A3246" t="s">
        <v>3810</v>
      </c>
      <c r="B3246" t="s">
        <v>3812</v>
      </c>
      <c r="C3246">
        <v>0</v>
      </c>
      <c r="D3246">
        <v>0.996134291033</v>
      </c>
      <c r="E3246">
        <v>1.96701649175412</v>
      </c>
    </row>
    <row r="3247" spans="1:5">
      <c r="A3247" t="s">
        <v>3810</v>
      </c>
      <c r="B3247" t="s">
        <v>3813</v>
      </c>
      <c r="C3247">
        <v>0</v>
      </c>
      <c r="D3247">
        <v>0.996134291033</v>
      </c>
      <c r="E3247">
        <v>1.96701649175412</v>
      </c>
    </row>
    <row r="3248" spans="1:5">
      <c r="A3248" t="s">
        <v>3810</v>
      </c>
      <c r="B3248" t="s">
        <v>3814</v>
      </c>
      <c r="C3248">
        <v>0</v>
      </c>
      <c r="D3248">
        <v>0.996134291033</v>
      </c>
      <c r="E3248">
        <v>1.96701649175412</v>
      </c>
    </row>
    <row r="3249" spans="1:5">
      <c r="A3249" t="s">
        <v>3810</v>
      </c>
      <c r="B3249" t="s">
        <v>3815</v>
      </c>
      <c r="C3249">
        <v>0.231405661446</v>
      </c>
      <c r="D3249">
        <v>0.996134291033</v>
      </c>
      <c r="E3249">
        <v>1.96701649175412</v>
      </c>
    </row>
    <row r="3250" spans="1:5">
      <c r="A3250" t="s">
        <v>3810</v>
      </c>
      <c r="B3250" t="s">
        <v>3816</v>
      </c>
      <c r="C3250">
        <v>0.168971466342</v>
      </c>
      <c r="D3250">
        <v>0.996134291033</v>
      </c>
      <c r="E3250">
        <v>1.96701649175412</v>
      </c>
    </row>
    <row r="3251" spans="1:5">
      <c r="A3251" t="s">
        <v>3810</v>
      </c>
      <c r="B3251" t="s">
        <v>3817</v>
      </c>
      <c r="C3251">
        <v>0</v>
      </c>
      <c r="D3251">
        <v>0.996134291033</v>
      </c>
      <c r="E3251">
        <v>1.96701649175412</v>
      </c>
    </row>
    <row r="3252" spans="1:5">
      <c r="A3252" t="s">
        <v>3810</v>
      </c>
      <c r="B3252" t="s">
        <v>3818</v>
      </c>
      <c r="C3252">
        <v>0</v>
      </c>
      <c r="D3252">
        <v>0.996134291033</v>
      </c>
      <c r="E3252">
        <v>1.96701649175412</v>
      </c>
    </row>
    <row r="3253" spans="1:5">
      <c r="A3253" t="s">
        <v>3810</v>
      </c>
      <c r="B3253" t="s">
        <v>3819</v>
      </c>
      <c r="C3253">
        <v>0</v>
      </c>
      <c r="D3253">
        <v>0.996134291033</v>
      </c>
      <c r="E3253">
        <v>1.96701649175412</v>
      </c>
    </row>
    <row r="3254" spans="1:5">
      <c r="A3254" t="s">
        <v>3820</v>
      </c>
      <c r="B3254" t="s">
        <v>3821</v>
      </c>
      <c r="C3254">
        <v>0</v>
      </c>
      <c r="D3254">
        <v>0.86868867107900005</v>
      </c>
      <c r="E3254">
        <v>1.51124437781109</v>
      </c>
    </row>
    <row r="3255" spans="1:5">
      <c r="A3255" t="s">
        <v>3820</v>
      </c>
      <c r="B3255" t="s">
        <v>3822</v>
      </c>
      <c r="C3255">
        <f>0</f>
        <v>0</v>
      </c>
      <c r="D3255">
        <v>0.86868867107900005</v>
      </c>
      <c r="E3255">
        <v>1.51124437781109</v>
      </c>
    </row>
    <row r="3256" spans="1:5">
      <c r="A3256" t="s">
        <v>3820</v>
      </c>
      <c r="B3256" t="s">
        <v>3823</v>
      </c>
      <c r="C3256">
        <f>0</f>
        <v>0</v>
      </c>
      <c r="D3256">
        <v>0.86868867107900005</v>
      </c>
      <c r="E3256">
        <v>1.51124437781109</v>
      </c>
    </row>
    <row r="3257" spans="1:5">
      <c r="A3257" t="s">
        <v>3820</v>
      </c>
      <c r="B3257" t="s">
        <v>3824</v>
      </c>
      <c r="C3257">
        <f>0</f>
        <v>0</v>
      </c>
      <c r="D3257">
        <v>0.86868867107900005</v>
      </c>
      <c r="E3257">
        <v>1.51124437781109</v>
      </c>
    </row>
    <row r="3258" spans="1:5">
      <c r="A3258" t="s">
        <v>3820</v>
      </c>
      <c r="B3258" t="s">
        <v>3825</v>
      </c>
      <c r="C3258">
        <f>0</f>
        <v>0</v>
      </c>
      <c r="D3258">
        <v>0.86868867107900005</v>
      </c>
      <c r="E3258">
        <v>1.51124437781109</v>
      </c>
    </row>
    <row r="3259" spans="1:5">
      <c r="A3259" t="s">
        <v>3820</v>
      </c>
      <c r="B3259" t="s">
        <v>3826</v>
      </c>
      <c r="C3259">
        <v>0</v>
      </c>
      <c r="D3259">
        <v>0.86868867107900005</v>
      </c>
      <c r="E3259">
        <v>1.51124437781109</v>
      </c>
    </row>
    <row r="3260" spans="1:5">
      <c r="A3260" t="s">
        <v>3820</v>
      </c>
      <c r="B3260" t="s">
        <v>3827</v>
      </c>
      <c r="C3260">
        <f>0</f>
        <v>0</v>
      </c>
      <c r="D3260">
        <v>0.86868867107900005</v>
      </c>
      <c r="E3260">
        <v>1.51124437781109</v>
      </c>
    </row>
    <row r="3261" spans="1:5">
      <c r="A3261" t="s">
        <v>3820</v>
      </c>
      <c r="B3261" t="s">
        <v>3828</v>
      </c>
      <c r="C3261">
        <v>2.7087363661200001E-2</v>
      </c>
      <c r="D3261">
        <v>0.86868867107900005</v>
      </c>
      <c r="E3261">
        <v>1.51124437781109</v>
      </c>
    </row>
    <row r="3262" spans="1:5">
      <c r="A3262" t="s">
        <v>3820</v>
      </c>
      <c r="B3262" t="s">
        <v>3829</v>
      </c>
      <c r="C3262">
        <v>4.1075562931000002E-2</v>
      </c>
      <c r="D3262">
        <v>0.86868867107900005</v>
      </c>
      <c r="E3262">
        <v>1.51124437781109</v>
      </c>
    </row>
    <row r="3263" spans="1:5">
      <c r="A3263" t="s">
        <v>3820</v>
      </c>
      <c r="B3263" t="s">
        <v>3830</v>
      </c>
      <c r="C3263">
        <v>0</v>
      </c>
      <c r="D3263">
        <v>0.86868867107900005</v>
      </c>
      <c r="E3263">
        <v>1.51124437781109</v>
      </c>
    </row>
    <row r="3264" spans="1:5">
      <c r="A3264" t="s">
        <v>3831</v>
      </c>
      <c r="B3264" t="s">
        <v>3832</v>
      </c>
      <c r="C3264">
        <v>6.4916077361799995E-2</v>
      </c>
      <c r="D3264" t="s">
        <v>106</v>
      </c>
      <c r="E3264">
        <v>24</v>
      </c>
    </row>
    <row r="3265" spans="1:5">
      <c r="A3265" t="s">
        <v>3833</v>
      </c>
      <c r="B3265" t="s">
        <v>3834</v>
      </c>
      <c r="C3265">
        <v>4.4792531584399999E-4</v>
      </c>
      <c r="D3265" t="s">
        <v>106</v>
      </c>
      <c r="E3265">
        <v>23.508245877061398</v>
      </c>
    </row>
    <row r="3266" spans="1:5">
      <c r="A3266" t="s">
        <v>3833</v>
      </c>
      <c r="B3266" t="s">
        <v>3835</v>
      </c>
      <c r="C3266">
        <f>0.00724023130523</f>
        <v>7.2402313052299999E-3</v>
      </c>
      <c r="D3266" t="s">
        <v>106</v>
      </c>
      <c r="E3266">
        <v>23.508245877061398</v>
      </c>
    </row>
    <row r="3267" spans="1:5">
      <c r="A3267" t="s">
        <v>3836</v>
      </c>
      <c r="B3267" t="s">
        <v>3837</v>
      </c>
      <c r="C3267">
        <v>0</v>
      </c>
      <c r="D3267" t="s">
        <v>106</v>
      </c>
      <c r="E3267">
        <v>13.2653673163418</v>
      </c>
    </row>
    <row r="3268" spans="1:5">
      <c r="A3268" t="s">
        <v>3836</v>
      </c>
      <c r="B3268" t="s">
        <v>3838</v>
      </c>
      <c r="C3268">
        <v>0</v>
      </c>
      <c r="D3268" t="s">
        <v>106</v>
      </c>
      <c r="E3268">
        <v>13.2653673163418</v>
      </c>
    </row>
    <row r="3269" spans="1:5">
      <c r="A3269" t="s">
        <v>3836</v>
      </c>
      <c r="B3269" t="s">
        <v>3839</v>
      </c>
      <c r="C3269">
        <v>0</v>
      </c>
      <c r="D3269" t="s">
        <v>106</v>
      </c>
      <c r="E3269">
        <v>13.2653673163418</v>
      </c>
    </row>
    <row r="3270" spans="1:5">
      <c r="A3270" t="s">
        <v>3836</v>
      </c>
      <c r="B3270" t="s">
        <v>3840</v>
      </c>
      <c r="C3270">
        <v>0</v>
      </c>
      <c r="D3270" t="s">
        <v>106</v>
      </c>
      <c r="E3270">
        <v>13.2653673163418</v>
      </c>
    </row>
    <row r="3271" spans="1:5">
      <c r="A3271" t="s">
        <v>3836</v>
      </c>
      <c r="B3271" t="s">
        <v>3841</v>
      </c>
      <c r="C3271">
        <v>0</v>
      </c>
      <c r="D3271" t="s">
        <v>106</v>
      </c>
      <c r="E3271">
        <v>13.2653673163418</v>
      </c>
    </row>
    <row r="3272" spans="1:5">
      <c r="A3272" t="s">
        <v>3842</v>
      </c>
      <c r="B3272" t="s">
        <v>3843</v>
      </c>
      <c r="C3272">
        <v>0</v>
      </c>
      <c r="D3272" t="s">
        <v>106</v>
      </c>
      <c r="E3272">
        <v>24</v>
      </c>
    </row>
    <row r="3273" spans="1:5">
      <c r="A3273" t="s">
        <v>3842</v>
      </c>
      <c r="B3273" t="s">
        <v>3844</v>
      </c>
      <c r="C3273">
        <v>0</v>
      </c>
      <c r="D3273" t="s">
        <v>106</v>
      </c>
      <c r="E3273">
        <v>24</v>
      </c>
    </row>
    <row r="3274" spans="1:5">
      <c r="A3274" t="s">
        <v>3845</v>
      </c>
      <c r="B3274" t="s">
        <v>3846</v>
      </c>
      <c r="C3274">
        <f>0.455877020749</f>
        <v>0.45587702074899999</v>
      </c>
      <c r="D3274">
        <v>0.95007330212499996</v>
      </c>
      <c r="E3274">
        <v>0.31184407796101898</v>
      </c>
    </row>
    <row r="3275" spans="1:5">
      <c r="A3275" t="s">
        <v>3845</v>
      </c>
      <c r="B3275" t="s">
        <v>3847</v>
      </c>
      <c r="C3275">
        <v>1.8161373560099999E-2</v>
      </c>
      <c r="D3275">
        <v>0.95007330212499996</v>
      </c>
      <c r="E3275">
        <v>0.31184407796101898</v>
      </c>
    </row>
    <row r="3276" spans="1:5">
      <c r="A3276" t="s">
        <v>3848</v>
      </c>
      <c r="B3276" t="s">
        <v>3849</v>
      </c>
      <c r="C3276">
        <f>0.0564412862018</f>
        <v>5.6441286201800001E-2</v>
      </c>
      <c r="D3276">
        <v>0.97391732762700001</v>
      </c>
      <c r="E3276">
        <v>24</v>
      </c>
    </row>
    <row r="3277" spans="1:5">
      <c r="A3277" t="s">
        <v>3848</v>
      </c>
      <c r="B3277" t="s">
        <v>3850</v>
      </c>
      <c r="C3277">
        <v>0</v>
      </c>
      <c r="D3277">
        <v>0.97391732762700001</v>
      </c>
      <c r="E3277">
        <v>24</v>
      </c>
    </row>
    <row r="3278" spans="1:5">
      <c r="A3278" t="s">
        <v>3848</v>
      </c>
      <c r="B3278" t="s">
        <v>3851</v>
      </c>
      <c r="C3278">
        <v>2.1052530338499999E-2</v>
      </c>
      <c r="D3278">
        <v>0.97391732762700001</v>
      </c>
      <c r="E3278">
        <v>24</v>
      </c>
    </row>
    <row r="3279" spans="1:5">
      <c r="A3279" t="s">
        <v>3848</v>
      </c>
      <c r="B3279" t="s">
        <v>3852</v>
      </c>
      <c r="C3279">
        <v>0</v>
      </c>
      <c r="D3279">
        <v>0.97391732762700001</v>
      </c>
      <c r="E3279">
        <v>24</v>
      </c>
    </row>
    <row r="3280" spans="1:5">
      <c r="A3280" t="s">
        <v>3853</v>
      </c>
      <c r="B3280" t="s">
        <v>3854</v>
      </c>
      <c r="C3280">
        <v>0.43945091522399998</v>
      </c>
      <c r="D3280">
        <v>0.97132608504700002</v>
      </c>
      <c r="E3280">
        <v>2.0269865067466202</v>
      </c>
    </row>
    <row r="3281" spans="1:5">
      <c r="A3281" t="s">
        <v>3853</v>
      </c>
      <c r="B3281" t="s">
        <v>3855</v>
      </c>
      <c r="C3281">
        <f>0.35319693867</f>
        <v>0.35319693867000002</v>
      </c>
      <c r="D3281">
        <v>0.97132608504700002</v>
      </c>
      <c r="E3281">
        <v>2.0269865067466202</v>
      </c>
    </row>
    <row r="3282" spans="1:5">
      <c r="A3282" t="s">
        <v>3856</v>
      </c>
      <c r="B3282" t="s">
        <v>3857</v>
      </c>
      <c r="C3282">
        <f>0</f>
        <v>0</v>
      </c>
      <c r="D3282">
        <v>0.73408552871199995</v>
      </c>
      <c r="E3282">
        <v>10.398800599700101</v>
      </c>
    </row>
    <row r="3283" spans="1:5">
      <c r="A3283" t="s">
        <v>3856</v>
      </c>
      <c r="B3283" t="s">
        <v>3858</v>
      </c>
      <c r="C3283">
        <v>0</v>
      </c>
      <c r="D3283">
        <v>0.73408552871199995</v>
      </c>
      <c r="E3283">
        <v>10.398800599700101</v>
      </c>
    </row>
    <row r="3284" spans="1:5">
      <c r="A3284" t="s">
        <v>3856</v>
      </c>
      <c r="B3284" t="s">
        <v>3859</v>
      </c>
      <c r="C3284">
        <f>0</f>
        <v>0</v>
      </c>
      <c r="D3284">
        <v>0.73408552871199995</v>
      </c>
      <c r="E3284">
        <v>10.398800599700101</v>
      </c>
    </row>
    <row r="3285" spans="1:5">
      <c r="A3285" t="s">
        <v>3856</v>
      </c>
      <c r="B3285" t="s">
        <v>3860</v>
      </c>
      <c r="C3285">
        <v>0</v>
      </c>
      <c r="D3285">
        <v>0.73408552871199995</v>
      </c>
      <c r="E3285">
        <v>10.398800599700101</v>
      </c>
    </row>
    <row r="3286" spans="1:5">
      <c r="A3286" t="s">
        <v>3856</v>
      </c>
      <c r="B3286" t="s">
        <v>3861</v>
      </c>
      <c r="C3286">
        <v>0</v>
      </c>
      <c r="D3286">
        <v>0.73408552871199995</v>
      </c>
      <c r="E3286">
        <v>10.398800599700101</v>
      </c>
    </row>
    <row r="3287" spans="1:5">
      <c r="A3287" t="s">
        <v>3856</v>
      </c>
      <c r="B3287" t="s">
        <v>3862</v>
      </c>
      <c r="C3287">
        <v>0</v>
      </c>
      <c r="D3287">
        <v>0.73408552871199995</v>
      </c>
      <c r="E3287">
        <v>10.398800599700101</v>
      </c>
    </row>
    <row r="3288" spans="1:5">
      <c r="A3288" t="s">
        <v>3856</v>
      </c>
      <c r="B3288" t="s">
        <v>3863</v>
      </c>
      <c r="C3288">
        <v>0</v>
      </c>
      <c r="D3288">
        <v>0.73408552871199995</v>
      </c>
      <c r="E3288">
        <v>10.398800599700101</v>
      </c>
    </row>
    <row r="3289" spans="1:5">
      <c r="A3289" t="s">
        <v>3856</v>
      </c>
      <c r="B3289" t="s">
        <v>3864</v>
      </c>
      <c r="C3289">
        <f>0.0217430657569</f>
        <v>2.17430657569E-2</v>
      </c>
      <c r="D3289">
        <v>0.73408552871199995</v>
      </c>
      <c r="E3289">
        <v>10.398800599700101</v>
      </c>
    </row>
    <row r="3290" spans="1:5">
      <c r="A3290" t="s">
        <v>3865</v>
      </c>
      <c r="B3290" t="s">
        <v>3866</v>
      </c>
      <c r="C3290">
        <v>0.67918272537500002</v>
      </c>
      <c r="D3290">
        <v>0.72741729081700002</v>
      </c>
      <c r="E3290">
        <v>5.2413793103448203</v>
      </c>
    </row>
    <row r="3291" spans="1:5">
      <c r="A3291" t="s">
        <v>3865</v>
      </c>
      <c r="B3291" t="s">
        <v>3867</v>
      </c>
      <c r="C3291">
        <f>0</f>
        <v>0</v>
      </c>
      <c r="D3291">
        <v>0.72741729081700002</v>
      </c>
      <c r="E3291">
        <v>5.2413793103448203</v>
      </c>
    </row>
    <row r="3292" spans="1:5">
      <c r="A3292" t="s">
        <v>3865</v>
      </c>
      <c r="B3292" t="s">
        <v>3868</v>
      </c>
      <c r="C3292">
        <f>0.0966336329869</f>
        <v>9.6633632986900003E-2</v>
      </c>
      <c r="D3292">
        <v>0.72741729081700002</v>
      </c>
      <c r="E3292">
        <v>5.2413793103448203</v>
      </c>
    </row>
    <row r="3293" spans="1:5">
      <c r="A3293" t="s">
        <v>3865</v>
      </c>
      <c r="B3293" t="s">
        <v>3869</v>
      </c>
      <c r="C3293">
        <v>0</v>
      </c>
      <c r="D3293">
        <v>0.72741729081700002</v>
      </c>
      <c r="E3293">
        <v>5.2413793103448203</v>
      </c>
    </row>
    <row r="3294" spans="1:5">
      <c r="A3294" t="s">
        <v>3870</v>
      </c>
      <c r="B3294" t="s">
        <v>3871</v>
      </c>
      <c r="C3294">
        <v>0</v>
      </c>
      <c r="D3294">
        <v>0.96914445046300002</v>
      </c>
      <c r="E3294">
        <v>1.51124437781109</v>
      </c>
    </row>
    <row r="3295" spans="1:5">
      <c r="A3295" t="s">
        <v>3870</v>
      </c>
      <c r="B3295" t="s">
        <v>3872</v>
      </c>
      <c r="C3295">
        <v>4.8350733726400003E-2</v>
      </c>
      <c r="D3295">
        <v>0.96914445046300002</v>
      </c>
      <c r="E3295">
        <v>1.51124437781109</v>
      </c>
    </row>
    <row r="3296" spans="1:5">
      <c r="A3296" t="s">
        <v>3870</v>
      </c>
      <c r="B3296" t="s">
        <v>3873</v>
      </c>
      <c r="C3296">
        <f>0</f>
        <v>0</v>
      </c>
      <c r="D3296">
        <v>0.96914445046300002</v>
      </c>
      <c r="E3296">
        <v>1.51124437781109</v>
      </c>
    </row>
    <row r="3297" spans="1:5">
      <c r="A3297" t="s">
        <v>3870</v>
      </c>
      <c r="B3297" t="s">
        <v>3874</v>
      </c>
      <c r="C3297">
        <v>0</v>
      </c>
      <c r="D3297">
        <v>0.96914445046300002</v>
      </c>
      <c r="E3297">
        <v>1.51124437781109</v>
      </c>
    </row>
    <row r="3298" spans="1:5">
      <c r="A3298" t="s">
        <v>3870</v>
      </c>
      <c r="B3298" t="s">
        <v>3875</v>
      </c>
      <c r="C3298">
        <v>0</v>
      </c>
      <c r="D3298">
        <v>0.96914445046300002</v>
      </c>
      <c r="E3298">
        <v>1.51124437781109</v>
      </c>
    </row>
    <row r="3299" spans="1:5">
      <c r="A3299" t="s">
        <v>3870</v>
      </c>
      <c r="B3299" t="s">
        <v>3876</v>
      </c>
      <c r="C3299">
        <v>5.9777054543299998E-2</v>
      </c>
      <c r="D3299">
        <v>0.96914445046300002</v>
      </c>
      <c r="E3299">
        <v>1.51124437781109</v>
      </c>
    </row>
    <row r="3300" spans="1:5">
      <c r="A3300" t="s">
        <v>3877</v>
      </c>
      <c r="B3300" t="s">
        <v>3878</v>
      </c>
      <c r="C3300">
        <v>0</v>
      </c>
      <c r="D3300" t="s">
        <v>106</v>
      </c>
      <c r="E3300">
        <v>5.5772113943028403</v>
      </c>
    </row>
    <row r="3301" spans="1:5">
      <c r="A3301" t="s">
        <v>3879</v>
      </c>
      <c r="B3301" t="s">
        <v>3880</v>
      </c>
      <c r="C3301">
        <v>1.0167603811700001E-3</v>
      </c>
      <c r="D3301" t="s">
        <v>106</v>
      </c>
      <c r="E3301">
        <v>24</v>
      </c>
    </row>
    <row r="3302" spans="1:5">
      <c r="A3302" t="s">
        <v>3879</v>
      </c>
      <c r="B3302" t="s">
        <v>3881</v>
      </c>
      <c r="C3302">
        <v>2.71103600029E-2</v>
      </c>
      <c r="D3302" t="s">
        <v>106</v>
      </c>
      <c r="E3302">
        <v>24</v>
      </c>
    </row>
    <row r="3303" spans="1:5">
      <c r="A3303" t="s">
        <v>3882</v>
      </c>
      <c r="B3303" t="s">
        <v>3883</v>
      </c>
      <c r="C3303">
        <v>0</v>
      </c>
      <c r="D3303">
        <v>0.98863275793500005</v>
      </c>
      <c r="E3303">
        <v>1.00749625187406</v>
      </c>
    </row>
    <row r="3304" spans="1:5">
      <c r="A3304" t="s">
        <v>3882</v>
      </c>
      <c r="B3304" t="s">
        <v>3884</v>
      </c>
      <c r="C3304">
        <v>0.70960412471599998</v>
      </c>
      <c r="D3304">
        <v>0.98863275793500005</v>
      </c>
      <c r="E3304">
        <v>1.00749625187406</v>
      </c>
    </row>
    <row r="3305" spans="1:5">
      <c r="A3305" t="s">
        <v>3885</v>
      </c>
      <c r="B3305" t="s">
        <v>3886</v>
      </c>
      <c r="C3305">
        <v>0</v>
      </c>
      <c r="D3305" t="s">
        <v>106</v>
      </c>
      <c r="E3305">
        <v>1.2713643178410701</v>
      </c>
    </row>
    <row r="3306" spans="1:5">
      <c r="A3306" t="s">
        <v>3885</v>
      </c>
      <c r="B3306" t="s">
        <v>3887</v>
      </c>
      <c r="C3306">
        <v>0</v>
      </c>
      <c r="D3306" t="s">
        <v>106</v>
      </c>
      <c r="E3306">
        <v>1.2713643178410701</v>
      </c>
    </row>
    <row r="3307" spans="1:5">
      <c r="A3307" t="s">
        <v>3885</v>
      </c>
      <c r="B3307" t="s">
        <v>3888</v>
      </c>
      <c r="C3307">
        <f>0</f>
        <v>0</v>
      </c>
      <c r="D3307" t="s">
        <v>106</v>
      </c>
      <c r="E3307">
        <v>1.2713643178410701</v>
      </c>
    </row>
    <row r="3308" spans="1:5">
      <c r="A3308" t="s">
        <v>3885</v>
      </c>
      <c r="B3308" t="s">
        <v>3889</v>
      </c>
      <c r="C3308">
        <f>0</f>
        <v>0</v>
      </c>
      <c r="D3308" t="s">
        <v>106</v>
      </c>
      <c r="E3308">
        <v>1.2713643178410701</v>
      </c>
    </row>
    <row r="3309" spans="1:5">
      <c r="A3309" t="s">
        <v>3885</v>
      </c>
      <c r="B3309" t="s">
        <v>3890</v>
      </c>
      <c r="C3309">
        <f>0</f>
        <v>0</v>
      </c>
      <c r="D3309" t="s">
        <v>106</v>
      </c>
      <c r="E3309">
        <v>1.2713643178410701</v>
      </c>
    </row>
    <row r="3310" spans="1:5">
      <c r="A3310" t="s">
        <v>3885</v>
      </c>
      <c r="B3310" t="s">
        <v>3891</v>
      </c>
      <c r="C3310">
        <v>0</v>
      </c>
      <c r="D3310" t="s">
        <v>106</v>
      </c>
      <c r="E3310">
        <v>1.2713643178410701</v>
      </c>
    </row>
    <row r="3311" spans="1:5">
      <c r="A3311" t="s">
        <v>3885</v>
      </c>
      <c r="B3311" t="s">
        <v>3892</v>
      </c>
      <c r="C3311">
        <v>0</v>
      </c>
      <c r="D3311" t="s">
        <v>106</v>
      </c>
      <c r="E3311">
        <v>1.2713643178410701</v>
      </c>
    </row>
    <row r="3312" spans="1:5">
      <c r="A3312" t="s">
        <v>3885</v>
      </c>
      <c r="B3312" t="s">
        <v>3893</v>
      </c>
      <c r="C3312">
        <f>0</f>
        <v>0</v>
      </c>
      <c r="D3312" t="s">
        <v>106</v>
      </c>
      <c r="E3312">
        <v>1.2713643178410701</v>
      </c>
    </row>
    <row r="3313" spans="1:5">
      <c r="A3313" t="s">
        <v>3885</v>
      </c>
      <c r="B3313" t="s">
        <v>3894</v>
      </c>
      <c r="C3313">
        <f>0</f>
        <v>0</v>
      </c>
      <c r="D3313" t="s">
        <v>106</v>
      </c>
      <c r="E3313">
        <v>1.2713643178410701</v>
      </c>
    </row>
    <row r="3314" spans="1:5">
      <c r="A3314" t="s">
        <v>3885</v>
      </c>
      <c r="B3314" t="s">
        <v>3895</v>
      </c>
      <c r="C3314">
        <v>0</v>
      </c>
      <c r="D3314" t="s">
        <v>106</v>
      </c>
      <c r="E3314">
        <v>1.2713643178410701</v>
      </c>
    </row>
    <row r="3315" spans="1:5">
      <c r="A3315" t="s">
        <v>3885</v>
      </c>
      <c r="B3315" t="s">
        <v>3896</v>
      </c>
      <c r="C3315">
        <v>0</v>
      </c>
      <c r="D3315" t="s">
        <v>106</v>
      </c>
      <c r="E3315">
        <v>1.2713643178410701</v>
      </c>
    </row>
    <row r="3316" spans="1:5">
      <c r="A3316" t="s">
        <v>3885</v>
      </c>
      <c r="B3316" t="s">
        <v>3897</v>
      </c>
      <c r="C3316">
        <v>0</v>
      </c>
      <c r="D3316" t="s">
        <v>106</v>
      </c>
      <c r="E3316">
        <v>1.2713643178410701</v>
      </c>
    </row>
    <row r="3317" spans="1:5">
      <c r="A3317" t="s">
        <v>3898</v>
      </c>
      <c r="B3317" t="s">
        <v>3899</v>
      </c>
      <c r="C3317">
        <v>2.95136955632E-2</v>
      </c>
      <c r="D3317">
        <v>0.69368102481799998</v>
      </c>
      <c r="E3317">
        <v>13.997001499250301</v>
      </c>
    </row>
    <row r="3318" spans="1:5">
      <c r="A3318" t="s">
        <v>3898</v>
      </c>
      <c r="B3318" t="s">
        <v>3900</v>
      </c>
      <c r="C3318">
        <v>0</v>
      </c>
      <c r="D3318">
        <v>0.69368102481799998</v>
      </c>
      <c r="E3318">
        <v>13.997001499250301</v>
      </c>
    </row>
    <row r="3319" spans="1:5">
      <c r="A3319" t="s">
        <v>3901</v>
      </c>
      <c r="B3319" t="s">
        <v>3902</v>
      </c>
      <c r="C3319">
        <f>0</f>
        <v>0</v>
      </c>
      <c r="D3319">
        <v>0.67162555424899995</v>
      </c>
      <c r="E3319">
        <v>7.5922038980509701</v>
      </c>
    </row>
    <row r="3320" spans="1:5">
      <c r="A3320" t="s">
        <v>3901</v>
      </c>
      <c r="B3320" t="s">
        <v>3903</v>
      </c>
      <c r="C3320">
        <f>0.0284823233972</f>
        <v>2.8482323397199999E-2</v>
      </c>
      <c r="D3320">
        <v>0.67162555424899995</v>
      </c>
      <c r="E3320">
        <v>7.5922038980509701</v>
      </c>
    </row>
    <row r="3321" spans="1:5">
      <c r="A3321" t="s">
        <v>3901</v>
      </c>
      <c r="B3321" t="s">
        <v>3904</v>
      </c>
      <c r="C3321">
        <f>0</f>
        <v>0</v>
      </c>
      <c r="D3321">
        <v>0.67162555424899995</v>
      </c>
      <c r="E3321">
        <v>7.5922038980509701</v>
      </c>
    </row>
    <row r="3322" spans="1:5">
      <c r="A3322" t="s">
        <v>3901</v>
      </c>
      <c r="B3322" t="s">
        <v>3905</v>
      </c>
      <c r="C3322">
        <f>0</f>
        <v>0</v>
      </c>
      <c r="D3322">
        <v>0.67162555424899995</v>
      </c>
      <c r="E3322">
        <v>7.5922038980509701</v>
      </c>
    </row>
    <row r="3323" spans="1:5">
      <c r="A3323" t="s">
        <v>3906</v>
      </c>
      <c r="B3323" t="s">
        <v>3907</v>
      </c>
      <c r="C3323">
        <v>0</v>
      </c>
      <c r="D3323" t="s">
        <v>106</v>
      </c>
      <c r="E3323">
        <v>17.307346326836502</v>
      </c>
    </row>
    <row r="3324" spans="1:5">
      <c r="A3324" t="s">
        <v>3906</v>
      </c>
      <c r="B3324" t="s">
        <v>3908</v>
      </c>
      <c r="C3324">
        <v>0</v>
      </c>
      <c r="D3324" t="s">
        <v>106</v>
      </c>
      <c r="E3324">
        <v>17.307346326836502</v>
      </c>
    </row>
    <row r="3325" spans="1:5">
      <c r="A3325" t="s">
        <v>3906</v>
      </c>
      <c r="B3325" t="s">
        <v>3909</v>
      </c>
      <c r="C3325">
        <v>1.6003754462099999E-2</v>
      </c>
      <c r="D3325" t="s">
        <v>106</v>
      </c>
      <c r="E3325">
        <v>17.307346326836502</v>
      </c>
    </row>
    <row r="3326" spans="1:5">
      <c r="A3326" t="s">
        <v>3906</v>
      </c>
      <c r="B3326" t="s">
        <v>3910</v>
      </c>
      <c r="C3326">
        <v>0.15007343649999999</v>
      </c>
      <c r="D3326" t="s">
        <v>106</v>
      </c>
      <c r="E3326">
        <v>17.307346326836502</v>
      </c>
    </row>
    <row r="3327" spans="1:5">
      <c r="A3327" t="s">
        <v>3911</v>
      </c>
      <c r="B3327" t="s">
        <v>3912</v>
      </c>
      <c r="C3327">
        <v>0</v>
      </c>
      <c r="D3327" t="s">
        <v>106</v>
      </c>
      <c r="E3327">
        <v>3.2263868065966999</v>
      </c>
    </row>
    <row r="3328" spans="1:5">
      <c r="A3328" t="s">
        <v>3911</v>
      </c>
      <c r="B3328" t="s">
        <v>3913</v>
      </c>
      <c r="C3328">
        <v>0</v>
      </c>
      <c r="D3328" t="s">
        <v>106</v>
      </c>
      <c r="E3328">
        <v>3.2263868065966999</v>
      </c>
    </row>
    <row r="3329" spans="1:5">
      <c r="A3329" t="s">
        <v>3911</v>
      </c>
      <c r="B3329" t="s">
        <v>3914</v>
      </c>
      <c r="C3329">
        <v>0</v>
      </c>
      <c r="D3329" t="s">
        <v>106</v>
      </c>
      <c r="E3329">
        <v>3.2263868065966999</v>
      </c>
    </row>
    <row r="3330" spans="1:5">
      <c r="A3330" t="s">
        <v>3911</v>
      </c>
      <c r="B3330" t="s">
        <v>3915</v>
      </c>
      <c r="C3330">
        <v>0</v>
      </c>
      <c r="D3330" t="s">
        <v>106</v>
      </c>
      <c r="E3330">
        <v>3.2263868065966999</v>
      </c>
    </row>
    <row r="3331" spans="1:5">
      <c r="A3331" t="s">
        <v>3911</v>
      </c>
      <c r="B3331" t="s">
        <v>3916</v>
      </c>
      <c r="C3331">
        <v>0</v>
      </c>
      <c r="D3331" t="s">
        <v>106</v>
      </c>
      <c r="E3331">
        <v>3.2263868065966999</v>
      </c>
    </row>
    <row r="3332" spans="1:5">
      <c r="A3332" t="s">
        <v>3911</v>
      </c>
      <c r="B3332" t="s">
        <v>3917</v>
      </c>
      <c r="C3332">
        <v>0</v>
      </c>
      <c r="D3332" t="s">
        <v>106</v>
      </c>
      <c r="E3332">
        <v>3.2263868065966999</v>
      </c>
    </row>
    <row r="3333" spans="1:5">
      <c r="A3333" t="s">
        <v>3911</v>
      </c>
      <c r="B3333" t="s">
        <v>3918</v>
      </c>
      <c r="C3333">
        <v>0</v>
      </c>
      <c r="D3333" t="s">
        <v>106</v>
      </c>
      <c r="E3333">
        <v>3.2263868065966999</v>
      </c>
    </row>
    <row r="3334" spans="1:5">
      <c r="A3334" t="s">
        <v>3911</v>
      </c>
      <c r="B3334" t="s">
        <v>3919</v>
      </c>
      <c r="C3334">
        <v>0</v>
      </c>
      <c r="D3334" t="s">
        <v>106</v>
      </c>
      <c r="E3334">
        <v>3.2263868065966999</v>
      </c>
    </row>
    <row r="3335" spans="1:5">
      <c r="A3335" t="s">
        <v>3911</v>
      </c>
      <c r="B3335" t="s">
        <v>3920</v>
      </c>
      <c r="C3335">
        <v>8.5634240750300003E-2</v>
      </c>
      <c r="D3335" t="s">
        <v>106</v>
      </c>
      <c r="E3335">
        <v>3.2263868065966999</v>
      </c>
    </row>
    <row r="3336" spans="1:5">
      <c r="A3336" t="s">
        <v>3911</v>
      </c>
      <c r="B3336" t="s">
        <v>3921</v>
      </c>
      <c r="C3336">
        <v>0</v>
      </c>
      <c r="D3336" t="s">
        <v>106</v>
      </c>
      <c r="E3336">
        <v>3.2263868065966999</v>
      </c>
    </row>
    <row r="3337" spans="1:5">
      <c r="A3337" t="s">
        <v>3911</v>
      </c>
      <c r="B3337" t="s">
        <v>3922</v>
      </c>
      <c r="C3337">
        <v>0</v>
      </c>
      <c r="D3337" t="s">
        <v>106</v>
      </c>
      <c r="E3337">
        <v>3.2263868065966999</v>
      </c>
    </row>
    <row r="3338" spans="1:5">
      <c r="A3338" t="s">
        <v>3911</v>
      </c>
      <c r="B3338" t="s">
        <v>3923</v>
      </c>
      <c r="C3338">
        <f>0</f>
        <v>0</v>
      </c>
      <c r="D3338" t="s">
        <v>106</v>
      </c>
      <c r="E3338">
        <v>3.2263868065966999</v>
      </c>
    </row>
    <row r="3339" spans="1:5">
      <c r="A3339" t="s">
        <v>3924</v>
      </c>
      <c r="B3339" t="s">
        <v>3925</v>
      </c>
      <c r="C3339">
        <v>0</v>
      </c>
      <c r="D3339" t="s">
        <v>106</v>
      </c>
      <c r="E3339">
        <v>17.103448275862</v>
      </c>
    </row>
    <row r="3340" spans="1:5">
      <c r="A3340" t="s">
        <v>3926</v>
      </c>
      <c r="B3340" t="s">
        <v>3927</v>
      </c>
      <c r="C3340">
        <f>0</f>
        <v>0</v>
      </c>
      <c r="D3340">
        <v>0.74397464432000004</v>
      </c>
      <c r="E3340">
        <v>5.8170914542728598</v>
      </c>
    </row>
    <row r="3341" spans="1:5">
      <c r="A3341" t="s">
        <v>3926</v>
      </c>
      <c r="B3341" t="s">
        <v>3928</v>
      </c>
      <c r="C3341">
        <f>0</f>
        <v>0</v>
      </c>
      <c r="D3341">
        <v>0.74397464432000004</v>
      </c>
      <c r="E3341">
        <v>5.8170914542728598</v>
      </c>
    </row>
    <row r="3342" spans="1:5">
      <c r="A3342" t="s">
        <v>3926</v>
      </c>
      <c r="B3342" t="s">
        <v>3929</v>
      </c>
      <c r="C3342">
        <f>0</f>
        <v>0</v>
      </c>
      <c r="D3342">
        <v>0.74397464432000004</v>
      </c>
      <c r="E3342">
        <v>5.8170914542728598</v>
      </c>
    </row>
    <row r="3343" spans="1:5">
      <c r="A3343" t="s">
        <v>3926</v>
      </c>
      <c r="B3343" t="s">
        <v>3930</v>
      </c>
      <c r="C3343">
        <f>0.019692259043</f>
        <v>1.9692259043E-2</v>
      </c>
      <c r="D3343">
        <v>0.74397464432000004</v>
      </c>
      <c r="E3343">
        <v>5.8170914542728598</v>
      </c>
    </row>
    <row r="3344" spans="1:5">
      <c r="A3344" t="s">
        <v>3926</v>
      </c>
      <c r="B3344" t="s">
        <v>3931</v>
      </c>
      <c r="C3344">
        <v>0</v>
      </c>
      <c r="D3344">
        <v>0.74397464432000004</v>
      </c>
      <c r="E3344">
        <v>5.8170914542728598</v>
      </c>
    </row>
    <row r="3345" spans="1:5">
      <c r="A3345" t="s">
        <v>3932</v>
      </c>
      <c r="B3345" t="s">
        <v>3933</v>
      </c>
      <c r="C3345">
        <v>8.7094453729699997E-2</v>
      </c>
      <c r="D3345">
        <v>0.99182763394399998</v>
      </c>
      <c r="E3345">
        <v>4.7976011994003001</v>
      </c>
    </row>
    <row r="3346" spans="1:5">
      <c r="A3346" t="s">
        <v>3932</v>
      </c>
      <c r="B3346" t="s">
        <v>3934</v>
      </c>
      <c r="C3346">
        <f>0</f>
        <v>0</v>
      </c>
      <c r="D3346">
        <v>0.99182763394399998</v>
      </c>
      <c r="E3346">
        <v>4.7976011994003001</v>
      </c>
    </row>
    <row r="3347" spans="1:5">
      <c r="A3347" t="s">
        <v>3932</v>
      </c>
      <c r="B3347" t="s">
        <v>3935</v>
      </c>
      <c r="C3347">
        <v>0</v>
      </c>
      <c r="D3347">
        <v>0.99182763394399998</v>
      </c>
      <c r="E3347">
        <v>4.7976011994003001</v>
      </c>
    </row>
    <row r="3348" spans="1:5">
      <c r="A3348" t="s">
        <v>3936</v>
      </c>
      <c r="B3348" t="s">
        <v>3937</v>
      </c>
      <c r="C3348">
        <f>0</f>
        <v>0</v>
      </c>
      <c r="D3348">
        <v>0.860104155343</v>
      </c>
      <c r="E3348">
        <v>0.503748125937031</v>
      </c>
    </row>
    <row r="3349" spans="1:5">
      <c r="A3349" t="s">
        <v>3936</v>
      </c>
      <c r="B3349" t="s">
        <v>3938</v>
      </c>
      <c r="C3349">
        <v>0</v>
      </c>
      <c r="D3349">
        <v>0.860104155343</v>
      </c>
      <c r="E3349">
        <v>0.503748125937031</v>
      </c>
    </row>
    <row r="3350" spans="1:5">
      <c r="A3350" t="s">
        <v>3936</v>
      </c>
      <c r="B3350" t="s">
        <v>3939</v>
      </c>
      <c r="C3350">
        <f>0.375883769103</f>
        <v>0.37588376910299998</v>
      </c>
      <c r="D3350">
        <v>0.860104155343</v>
      </c>
      <c r="E3350">
        <v>0.503748125937031</v>
      </c>
    </row>
    <row r="3351" spans="1:5">
      <c r="A3351" t="s">
        <v>3936</v>
      </c>
      <c r="B3351" t="s">
        <v>3940</v>
      </c>
      <c r="C3351">
        <f>0.24220347702</f>
        <v>0.24220347702</v>
      </c>
      <c r="D3351">
        <v>0.860104155343</v>
      </c>
      <c r="E3351">
        <v>0.503748125937031</v>
      </c>
    </row>
    <row r="3352" spans="1:5">
      <c r="A3352" t="s">
        <v>3941</v>
      </c>
      <c r="B3352" t="s">
        <v>3942</v>
      </c>
      <c r="C3352">
        <f>0</f>
        <v>0</v>
      </c>
      <c r="D3352" t="s">
        <v>106</v>
      </c>
      <c r="E3352">
        <v>12.3898050974512</v>
      </c>
    </row>
    <row r="3353" spans="1:5">
      <c r="A3353" t="s">
        <v>3941</v>
      </c>
      <c r="B3353" t="s">
        <v>3943</v>
      </c>
      <c r="C3353">
        <v>0</v>
      </c>
      <c r="D3353" t="s">
        <v>106</v>
      </c>
      <c r="E3353">
        <v>12.3898050974512</v>
      </c>
    </row>
    <row r="3354" spans="1:5">
      <c r="A3354" t="s">
        <v>3941</v>
      </c>
      <c r="B3354" t="s">
        <v>3944</v>
      </c>
      <c r="C3354">
        <v>0</v>
      </c>
      <c r="D3354" t="s">
        <v>106</v>
      </c>
      <c r="E3354">
        <v>12.3898050974512</v>
      </c>
    </row>
    <row r="3355" spans="1:5">
      <c r="A3355" t="s">
        <v>3945</v>
      </c>
      <c r="B3355" t="s">
        <v>3946</v>
      </c>
      <c r="C3355">
        <f>0</f>
        <v>0</v>
      </c>
      <c r="D3355">
        <v>0.89509377089099995</v>
      </c>
      <c r="E3355">
        <v>20.509745127436201</v>
      </c>
    </row>
    <row r="3356" spans="1:5">
      <c r="A3356" t="s">
        <v>3945</v>
      </c>
      <c r="B3356" t="s">
        <v>3947</v>
      </c>
      <c r="C3356">
        <v>0</v>
      </c>
      <c r="D3356">
        <v>0.89509377089099995</v>
      </c>
      <c r="E3356">
        <v>20.509745127436201</v>
      </c>
    </row>
    <row r="3357" spans="1:5">
      <c r="A3357" t="s">
        <v>3945</v>
      </c>
      <c r="B3357" t="s">
        <v>3948</v>
      </c>
      <c r="C3357">
        <v>0</v>
      </c>
      <c r="D3357">
        <v>0.89509377089099995</v>
      </c>
      <c r="E3357">
        <v>20.509745127436201</v>
      </c>
    </row>
    <row r="3358" spans="1:5">
      <c r="A3358" t="s">
        <v>3945</v>
      </c>
      <c r="B3358" t="s">
        <v>3949</v>
      </c>
      <c r="C3358">
        <v>0</v>
      </c>
      <c r="D3358">
        <v>0.89509377089099995</v>
      </c>
      <c r="E3358">
        <v>20.509745127436201</v>
      </c>
    </row>
    <row r="3359" spans="1:5">
      <c r="A3359" t="s">
        <v>3945</v>
      </c>
      <c r="B3359" t="s">
        <v>3950</v>
      </c>
      <c r="C3359">
        <f>0</f>
        <v>0</v>
      </c>
      <c r="D3359">
        <v>0.89509377089099995</v>
      </c>
      <c r="E3359">
        <v>20.509745127436201</v>
      </c>
    </row>
    <row r="3360" spans="1:5">
      <c r="A3360" t="s">
        <v>3945</v>
      </c>
      <c r="B3360" t="s">
        <v>3951</v>
      </c>
      <c r="C3360">
        <v>0</v>
      </c>
      <c r="D3360">
        <v>0.89509377089099995</v>
      </c>
      <c r="E3360">
        <v>20.509745127436201</v>
      </c>
    </row>
    <row r="3361" spans="1:5">
      <c r="A3361" t="s">
        <v>3945</v>
      </c>
      <c r="B3361" t="s">
        <v>3952</v>
      </c>
      <c r="C3361">
        <f>0</f>
        <v>0</v>
      </c>
      <c r="D3361">
        <v>0.89509377089099995</v>
      </c>
      <c r="E3361">
        <v>20.509745127436201</v>
      </c>
    </row>
    <row r="3362" spans="1:5">
      <c r="A3362" t="s">
        <v>3945</v>
      </c>
      <c r="B3362" t="s">
        <v>3953</v>
      </c>
      <c r="C3362">
        <f>0</f>
        <v>0</v>
      </c>
      <c r="D3362">
        <v>0.89509377089099995</v>
      </c>
      <c r="E3362">
        <v>20.509745127436201</v>
      </c>
    </row>
    <row r="3363" spans="1:5">
      <c r="A3363" t="s">
        <v>3945</v>
      </c>
      <c r="B3363" t="s">
        <v>3954</v>
      </c>
      <c r="C3363">
        <v>0</v>
      </c>
      <c r="D3363">
        <v>0.89509377089099995</v>
      </c>
      <c r="E3363">
        <v>20.509745127436201</v>
      </c>
    </row>
    <row r="3364" spans="1:5">
      <c r="A3364" t="s">
        <v>3945</v>
      </c>
      <c r="B3364" t="s">
        <v>3955</v>
      </c>
      <c r="C3364">
        <v>0</v>
      </c>
      <c r="D3364">
        <v>0.89509377089099995</v>
      </c>
      <c r="E3364">
        <v>20.509745127436201</v>
      </c>
    </row>
    <row r="3365" spans="1:5">
      <c r="A3365" t="s">
        <v>3945</v>
      </c>
      <c r="B3365" t="s">
        <v>3956</v>
      </c>
      <c r="C3365">
        <f>0</f>
        <v>0</v>
      </c>
      <c r="D3365">
        <v>0.89509377089099995</v>
      </c>
      <c r="E3365">
        <v>20.509745127436201</v>
      </c>
    </row>
    <row r="3366" spans="1:5">
      <c r="A3366" t="s">
        <v>3945</v>
      </c>
      <c r="B3366" t="s">
        <v>3957</v>
      </c>
      <c r="C3366">
        <v>0</v>
      </c>
      <c r="D3366">
        <v>0.89509377089099995</v>
      </c>
      <c r="E3366">
        <v>20.509745127436201</v>
      </c>
    </row>
    <row r="3367" spans="1:5">
      <c r="A3367" t="s">
        <v>3945</v>
      </c>
      <c r="B3367" t="s">
        <v>3958</v>
      </c>
      <c r="C3367">
        <f>0</f>
        <v>0</v>
      </c>
      <c r="D3367">
        <v>0.89509377089099995</v>
      </c>
      <c r="E3367">
        <v>20.509745127436201</v>
      </c>
    </row>
    <row r="3368" spans="1:5">
      <c r="A3368" t="s">
        <v>3945</v>
      </c>
      <c r="B3368" t="s">
        <v>3959</v>
      </c>
      <c r="C3368">
        <f>0</f>
        <v>0</v>
      </c>
      <c r="D3368">
        <v>0.89509377089099995</v>
      </c>
      <c r="E3368">
        <v>20.509745127436201</v>
      </c>
    </row>
    <row r="3369" spans="1:5">
      <c r="A3369" t="s">
        <v>3945</v>
      </c>
      <c r="B3369" t="s">
        <v>3960</v>
      </c>
      <c r="C3369">
        <f>0</f>
        <v>0</v>
      </c>
      <c r="D3369">
        <v>0.89509377089099995</v>
      </c>
      <c r="E3369">
        <v>20.509745127436201</v>
      </c>
    </row>
    <row r="3370" spans="1:5">
      <c r="A3370" t="s">
        <v>3961</v>
      </c>
      <c r="B3370" t="s">
        <v>3962</v>
      </c>
      <c r="C3370">
        <f>0.187878627302</f>
        <v>0.187878627302</v>
      </c>
      <c r="D3370" t="s">
        <v>106</v>
      </c>
      <c r="E3370">
        <v>24</v>
      </c>
    </row>
    <row r="3371" spans="1:5">
      <c r="A3371" t="s">
        <v>3963</v>
      </c>
      <c r="B3371" t="s">
        <v>3964</v>
      </c>
      <c r="C3371">
        <f>0</f>
        <v>0</v>
      </c>
      <c r="D3371">
        <v>0.99698086407399999</v>
      </c>
      <c r="E3371">
        <v>3.2263868065966999</v>
      </c>
    </row>
    <row r="3372" spans="1:5">
      <c r="A3372" t="s">
        <v>3965</v>
      </c>
      <c r="B3372" t="s">
        <v>3966</v>
      </c>
      <c r="C3372">
        <v>0</v>
      </c>
      <c r="D3372" t="s">
        <v>106</v>
      </c>
      <c r="E3372">
        <v>5.3493253373313303</v>
      </c>
    </row>
    <row r="3373" spans="1:5">
      <c r="A3373" t="s">
        <v>3965</v>
      </c>
      <c r="B3373" t="s">
        <v>3967</v>
      </c>
      <c r="C3373">
        <v>0</v>
      </c>
      <c r="D3373" t="s">
        <v>106</v>
      </c>
      <c r="E3373">
        <v>5.3493253373313303</v>
      </c>
    </row>
    <row r="3374" spans="1:5">
      <c r="A3374" t="s">
        <v>3965</v>
      </c>
      <c r="B3374" t="s">
        <v>3968</v>
      </c>
      <c r="C3374">
        <f>0</f>
        <v>0</v>
      </c>
      <c r="D3374" t="s">
        <v>106</v>
      </c>
      <c r="E3374">
        <v>5.3493253373313303</v>
      </c>
    </row>
    <row r="3375" spans="1:5">
      <c r="A3375" t="s">
        <v>3965</v>
      </c>
      <c r="B3375" t="s">
        <v>3969</v>
      </c>
      <c r="C3375">
        <v>0</v>
      </c>
      <c r="D3375" t="s">
        <v>106</v>
      </c>
      <c r="E3375">
        <v>5.3493253373313303</v>
      </c>
    </row>
    <row r="3376" spans="1:5">
      <c r="A3376" t="s">
        <v>3965</v>
      </c>
      <c r="B3376" t="s">
        <v>3970</v>
      </c>
      <c r="C3376">
        <v>0</v>
      </c>
      <c r="D3376" t="s">
        <v>106</v>
      </c>
      <c r="E3376">
        <v>5.3493253373313303</v>
      </c>
    </row>
    <row r="3377" spans="1:5">
      <c r="A3377" t="s">
        <v>3971</v>
      </c>
      <c r="B3377" t="s">
        <v>3972</v>
      </c>
      <c r="C3377">
        <v>0</v>
      </c>
      <c r="D3377">
        <v>0.80911805932500003</v>
      </c>
      <c r="E3377">
        <v>15.904047976011899</v>
      </c>
    </row>
    <row r="3378" spans="1:5">
      <c r="A3378" t="s">
        <v>3971</v>
      </c>
      <c r="B3378" t="s">
        <v>3973</v>
      </c>
      <c r="C3378">
        <v>0</v>
      </c>
      <c r="D3378">
        <v>0.80911805932500003</v>
      </c>
      <c r="E3378">
        <v>15.904047976011899</v>
      </c>
    </row>
    <row r="3379" spans="1:5">
      <c r="A3379" t="s">
        <v>3971</v>
      </c>
      <c r="B3379" t="s">
        <v>3974</v>
      </c>
      <c r="C3379">
        <f>0</f>
        <v>0</v>
      </c>
      <c r="D3379">
        <v>0.80911805932500003</v>
      </c>
      <c r="E3379">
        <v>15.904047976011899</v>
      </c>
    </row>
    <row r="3380" spans="1:5">
      <c r="A3380" t="s">
        <v>3971</v>
      </c>
      <c r="B3380" t="s">
        <v>3975</v>
      </c>
      <c r="C3380">
        <f>0</f>
        <v>0</v>
      </c>
      <c r="D3380">
        <v>0.80911805932500003</v>
      </c>
      <c r="E3380">
        <v>15.904047976011899</v>
      </c>
    </row>
    <row r="3381" spans="1:5">
      <c r="A3381" t="s">
        <v>3971</v>
      </c>
      <c r="B3381" t="s">
        <v>3976</v>
      </c>
      <c r="C3381">
        <f>0</f>
        <v>0</v>
      </c>
      <c r="D3381">
        <v>0.80911805932500003</v>
      </c>
      <c r="E3381">
        <v>15.904047976011899</v>
      </c>
    </row>
    <row r="3382" spans="1:5">
      <c r="A3382" t="s">
        <v>3971</v>
      </c>
      <c r="B3382" t="s">
        <v>3977</v>
      </c>
      <c r="C3382">
        <f>0</f>
        <v>0</v>
      </c>
      <c r="D3382">
        <v>0.80911805932500003</v>
      </c>
      <c r="E3382">
        <v>15.904047976011899</v>
      </c>
    </row>
    <row r="3383" spans="1:5">
      <c r="A3383" t="s">
        <v>3971</v>
      </c>
      <c r="B3383" t="s">
        <v>3978</v>
      </c>
      <c r="C3383">
        <f>0.194730563617</f>
        <v>0.194730563617</v>
      </c>
      <c r="D3383">
        <v>0.80911805932500003</v>
      </c>
      <c r="E3383">
        <v>15.904047976011899</v>
      </c>
    </row>
    <row r="3384" spans="1:5">
      <c r="A3384" t="s">
        <v>3971</v>
      </c>
      <c r="B3384" t="s">
        <v>3979</v>
      </c>
      <c r="C3384">
        <v>0</v>
      </c>
      <c r="D3384">
        <v>0.80911805932500003</v>
      </c>
      <c r="E3384">
        <v>15.904047976011899</v>
      </c>
    </row>
    <row r="3385" spans="1:5">
      <c r="A3385" t="s">
        <v>3971</v>
      </c>
      <c r="B3385" t="s">
        <v>3980</v>
      </c>
      <c r="C3385">
        <f>0</f>
        <v>0</v>
      </c>
      <c r="D3385">
        <v>0.80911805932500003</v>
      </c>
      <c r="E3385">
        <v>15.904047976011899</v>
      </c>
    </row>
    <row r="3386" spans="1:5">
      <c r="A3386" t="s">
        <v>3971</v>
      </c>
      <c r="B3386" t="s">
        <v>3981</v>
      </c>
      <c r="C3386">
        <v>0</v>
      </c>
      <c r="D3386">
        <v>0.80911805932500003</v>
      </c>
      <c r="E3386">
        <v>15.904047976011899</v>
      </c>
    </row>
    <row r="3387" spans="1:5">
      <c r="A3387" t="s">
        <v>3982</v>
      </c>
      <c r="B3387" t="s">
        <v>3983</v>
      </c>
      <c r="C3387">
        <v>0</v>
      </c>
      <c r="D3387" t="s">
        <v>106</v>
      </c>
      <c r="E3387">
        <v>15.5082458770614</v>
      </c>
    </row>
    <row r="3388" spans="1:5">
      <c r="A3388" t="s">
        <v>3982</v>
      </c>
      <c r="B3388" t="s">
        <v>3984</v>
      </c>
      <c r="C3388">
        <f>0</f>
        <v>0</v>
      </c>
      <c r="D3388" t="s">
        <v>106</v>
      </c>
      <c r="E3388">
        <v>15.5082458770614</v>
      </c>
    </row>
    <row r="3389" spans="1:5">
      <c r="A3389" t="s">
        <v>3982</v>
      </c>
      <c r="B3389" t="s">
        <v>3985</v>
      </c>
      <c r="C3389">
        <v>0</v>
      </c>
      <c r="D3389" t="s">
        <v>106</v>
      </c>
      <c r="E3389">
        <v>15.5082458770614</v>
      </c>
    </row>
    <row r="3390" spans="1:5">
      <c r="A3390" t="s">
        <v>3982</v>
      </c>
      <c r="B3390" t="s">
        <v>3986</v>
      </c>
      <c r="C3390">
        <f>0</f>
        <v>0</v>
      </c>
      <c r="D3390" t="s">
        <v>106</v>
      </c>
      <c r="E3390">
        <v>15.5082458770614</v>
      </c>
    </row>
    <row r="3391" spans="1:5">
      <c r="A3391" t="s">
        <v>3987</v>
      </c>
      <c r="B3391" t="s">
        <v>3988</v>
      </c>
      <c r="C3391">
        <f>0.00785377098598</f>
        <v>7.8537709859800003E-3</v>
      </c>
      <c r="D3391">
        <v>0.73842129810500001</v>
      </c>
      <c r="E3391">
        <v>2.96251874062968</v>
      </c>
    </row>
    <row r="3392" spans="1:5">
      <c r="A3392" t="s">
        <v>3987</v>
      </c>
      <c r="B3392" t="s">
        <v>3989</v>
      </c>
      <c r="C3392">
        <v>0</v>
      </c>
      <c r="D3392">
        <v>0.73842129810500001</v>
      </c>
      <c r="E3392">
        <v>2.96251874062968</v>
      </c>
    </row>
    <row r="3393" spans="1:5">
      <c r="A3393" t="s">
        <v>3987</v>
      </c>
      <c r="B3393" t="s">
        <v>3990</v>
      </c>
      <c r="C3393">
        <f>0</f>
        <v>0</v>
      </c>
      <c r="D3393">
        <v>0.73842129810500001</v>
      </c>
      <c r="E3393">
        <v>2.96251874062968</v>
      </c>
    </row>
    <row r="3394" spans="1:5">
      <c r="A3394" t="s">
        <v>3987</v>
      </c>
      <c r="B3394" t="s">
        <v>3991</v>
      </c>
      <c r="C3394">
        <f>0</f>
        <v>0</v>
      </c>
      <c r="D3394">
        <v>0.73842129810500001</v>
      </c>
      <c r="E3394">
        <v>2.96251874062968</v>
      </c>
    </row>
    <row r="3395" spans="1:5">
      <c r="A3395" t="s">
        <v>3987</v>
      </c>
      <c r="B3395" t="s">
        <v>3992</v>
      </c>
      <c r="C3395">
        <f>0</f>
        <v>0</v>
      </c>
      <c r="D3395">
        <v>0.73842129810500001</v>
      </c>
      <c r="E3395">
        <v>2.96251874062968</v>
      </c>
    </row>
    <row r="3396" spans="1:5">
      <c r="A3396" t="s">
        <v>3987</v>
      </c>
      <c r="B3396" t="s">
        <v>3993</v>
      </c>
      <c r="C3396">
        <v>0</v>
      </c>
      <c r="D3396">
        <v>0.73842129810500001</v>
      </c>
      <c r="E3396">
        <v>2.96251874062968</v>
      </c>
    </row>
    <row r="3397" spans="1:5">
      <c r="A3397" t="s">
        <v>3994</v>
      </c>
      <c r="B3397" t="s">
        <v>3995</v>
      </c>
      <c r="C3397">
        <v>0.12653087814399999</v>
      </c>
      <c r="D3397">
        <v>0.99824944330300003</v>
      </c>
      <c r="E3397">
        <v>12.2098950524737</v>
      </c>
    </row>
    <row r="3398" spans="1:5">
      <c r="A3398" t="s">
        <v>3994</v>
      </c>
      <c r="B3398" t="s">
        <v>3996</v>
      </c>
      <c r="C3398">
        <v>0</v>
      </c>
      <c r="D3398">
        <v>0.99824944330300003</v>
      </c>
      <c r="E3398">
        <v>12.2098950524737</v>
      </c>
    </row>
    <row r="3399" spans="1:5">
      <c r="A3399" t="s">
        <v>3994</v>
      </c>
      <c r="B3399" t="s">
        <v>3997</v>
      </c>
      <c r="C3399">
        <v>0.41599337139800002</v>
      </c>
      <c r="D3399">
        <v>0.99824944330300003</v>
      </c>
      <c r="E3399">
        <v>12.2098950524737</v>
      </c>
    </row>
    <row r="3400" spans="1:5">
      <c r="A3400" t="s">
        <v>3994</v>
      </c>
      <c r="B3400" t="s">
        <v>3998</v>
      </c>
      <c r="C3400">
        <v>0</v>
      </c>
      <c r="D3400">
        <v>0.99824944330300003</v>
      </c>
      <c r="E3400">
        <v>12.2098950524737</v>
      </c>
    </row>
    <row r="3401" spans="1:5">
      <c r="A3401" t="s">
        <v>3994</v>
      </c>
      <c r="B3401" t="s">
        <v>3999</v>
      </c>
      <c r="C3401">
        <v>0</v>
      </c>
      <c r="D3401">
        <v>0.99824944330300003</v>
      </c>
      <c r="E3401">
        <v>12.2098950524737</v>
      </c>
    </row>
    <row r="3402" spans="1:5">
      <c r="A3402" t="s">
        <v>3994</v>
      </c>
      <c r="B3402" t="s">
        <v>4000</v>
      </c>
      <c r="C3402">
        <v>0</v>
      </c>
      <c r="D3402">
        <v>0.99824944330300003</v>
      </c>
      <c r="E3402">
        <v>12.2098950524737</v>
      </c>
    </row>
    <row r="3403" spans="1:5">
      <c r="A3403" t="s">
        <v>4001</v>
      </c>
      <c r="B3403" t="s">
        <v>4002</v>
      </c>
      <c r="C3403">
        <v>0</v>
      </c>
      <c r="D3403" t="s">
        <v>106</v>
      </c>
      <c r="E3403">
        <v>20.965517241379299</v>
      </c>
    </row>
    <row r="3404" spans="1:5">
      <c r="A3404" t="s">
        <v>4001</v>
      </c>
      <c r="B3404" t="s">
        <v>4003</v>
      </c>
      <c r="C3404">
        <v>0</v>
      </c>
      <c r="D3404" t="s">
        <v>106</v>
      </c>
      <c r="E3404">
        <v>20.965517241379299</v>
      </c>
    </row>
    <row r="3405" spans="1:5">
      <c r="A3405" t="s">
        <v>4001</v>
      </c>
      <c r="B3405" t="s">
        <v>4004</v>
      </c>
      <c r="C3405">
        <v>0</v>
      </c>
      <c r="D3405" t="s">
        <v>106</v>
      </c>
      <c r="E3405">
        <v>20.965517241379299</v>
      </c>
    </row>
    <row r="3406" spans="1:5">
      <c r="A3406" t="s">
        <v>4005</v>
      </c>
      <c r="B3406" t="s">
        <v>4006</v>
      </c>
      <c r="C3406">
        <f>0</f>
        <v>0</v>
      </c>
      <c r="D3406">
        <v>0.99774595730500004</v>
      </c>
      <c r="E3406">
        <v>4.58170914542728</v>
      </c>
    </row>
    <row r="3407" spans="1:5">
      <c r="A3407" t="s">
        <v>4005</v>
      </c>
      <c r="B3407" t="s">
        <v>4007</v>
      </c>
      <c r="C3407">
        <f>0</f>
        <v>0</v>
      </c>
      <c r="D3407">
        <v>0.99774595730500004</v>
      </c>
      <c r="E3407">
        <v>4.58170914542728</v>
      </c>
    </row>
    <row r="3408" spans="1:5">
      <c r="A3408" t="s">
        <v>4008</v>
      </c>
      <c r="B3408" t="s">
        <v>4009</v>
      </c>
      <c r="C3408">
        <v>0</v>
      </c>
      <c r="D3408" t="s">
        <v>106</v>
      </c>
      <c r="E3408">
        <v>3.13043478260869</v>
      </c>
    </row>
    <row r="3409" spans="1:5">
      <c r="A3409" t="s">
        <v>4008</v>
      </c>
      <c r="B3409" t="s">
        <v>4010</v>
      </c>
      <c r="C3409">
        <f>0</f>
        <v>0</v>
      </c>
      <c r="D3409" t="s">
        <v>106</v>
      </c>
      <c r="E3409">
        <v>3.13043478260869</v>
      </c>
    </row>
    <row r="3410" spans="1:5">
      <c r="A3410" t="s">
        <v>4011</v>
      </c>
      <c r="B3410" t="s">
        <v>4012</v>
      </c>
      <c r="C3410">
        <f>0</f>
        <v>0</v>
      </c>
      <c r="D3410" t="s">
        <v>106</v>
      </c>
      <c r="E3410">
        <v>7.7361319340329802</v>
      </c>
    </row>
    <row r="3411" spans="1:5">
      <c r="A3411" t="s">
        <v>4011</v>
      </c>
      <c r="B3411" t="s">
        <v>4013</v>
      </c>
      <c r="C3411">
        <v>0</v>
      </c>
      <c r="D3411" t="s">
        <v>106</v>
      </c>
      <c r="E3411">
        <v>7.7361319340329802</v>
      </c>
    </row>
    <row r="3412" spans="1:5">
      <c r="A3412" t="s">
        <v>4011</v>
      </c>
      <c r="B3412" t="s">
        <v>4014</v>
      </c>
      <c r="C3412">
        <f>0</f>
        <v>0</v>
      </c>
      <c r="D3412" t="s">
        <v>106</v>
      </c>
      <c r="E3412">
        <v>7.7361319340329802</v>
      </c>
    </row>
    <row r="3413" spans="1:5">
      <c r="A3413" t="s">
        <v>4011</v>
      </c>
      <c r="B3413" t="s">
        <v>4015</v>
      </c>
      <c r="C3413">
        <f>0</f>
        <v>0</v>
      </c>
      <c r="D3413" t="s">
        <v>106</v>
      </c>
      <c r="E3413">
        <v>7.7361319340329802</v>
      </c>
    </row>
    <row r="3414" spans="1:5">
      <c r="A3414" t="s">
        <v>4011</v>
      </c>
      <c r="B3414" t="s">
        <v>4016</v>
      </c>
      <c r="C3414">
        <v>0</v>
      </c>
      <c r="D3414" t="s">
        <v>106</v>
      </c>
      <c r="E3414">
        <v>7.7361319340329802</v>
      </c>
    </row>
    <row r="3415" spans="1:5">
      <c r="A3415" t="s">
        <v>4011</v>
      </c>
      <c r="B3415" t="s">
        <v>4017</v>
      </c>
      <c r="C3415">
        <v>0</v>
      </c>
      <c r="D3415" t="s">
        <v>106</v>
      </c>
      <c r="E3415">
        <v>7.7361319340329802</v>
      </c>
    </row>
    <row r="3416" spans="1:5">
      <c r="A3416" t="s">
        <v>4011</v>
      </c>
      <c r="B3416" t="s">
        <v>4018</v>
      </c>
      <c r="C3416">
        <f>0</f>
        <v>0</v>
      </c>
      <c r="D3416" t="s">
        <v>106</v>
      </c>
      <c r="E3416">
        <v>7.7361319340329802</v>
      </c>
    </row>
    <row r="3417" spans="1:5">
      <c r="A3417" t="s">
        <v>4019</v>
      </c>
      <c r="B3417" t="s">
        <v>4020</v>
      </c>
      <c r="C3417">
        <v>0</v>
      </c>
      <c r="D3417">
        <v>0.99748667529699997</v>
      </c>
      <c r="E3417">
        <v>10.710644677661101</v>
      </c>
    </row>
    <row r="3418" spans="1:5">
      <c r="A3418" t="s">
        <v>4019</v>
      </c>
      <c r="B3418" t="s">
        <v>4021</v>
      </c>
      <c r="C3418">
        <v>0</v>
      </c>
      <c r="D3418">
        <v>0.99748667529699997</v>
      </c>
      <c r="E3418">
        <v>10.710644677661101</v>
      </c>
    </row>
    <row r="3419" spans="1:5">
      <c r="A3419" t="s">
        <v>4019</v>
      </c>
      <c r="B3419" t="s">
        <v>4022</v>
      </c>
      <c r="C3419">
        <v>0.11213949395</v>
      </c>
      <c r="D3419">
        <v>0.99748667529699997</v>
      </c>
      <c r="E3419">
        <v>10.710644677661101</v>
      </c>
    </row>
    <row r="3420" spans="1:5">
      <c r="A3420" t="s">
        <v>4019</v>
      </c>
      <c r="B3420" t="s">
        <v>4023</v>
      </c>
      <c r="C3420">
        <f>0</f>
        <v>0</v>
      </c>
      <c r="D3420">
        <v>0.99748667529699997</v>
      </c>
      <c r="E3420">
        <v>10.710644677661101</v>
      </c>
    </row>
    <row r="3421" spans="1:5">
      <c r="A3421" t="s">
        <v>4019</v>
      </c>
      <c r="B3421" t="s">
        <v>4024</v>
      </c>
      <c r="C3421">
        <v>0</v>
      </c>
      <c r="D3421">
        <v>0.99748667529699997</v>
      </c>
      <c r="E3421">
        <v>10.710644677661101</v>
      </c>
    </row>
    <row r="3422" spans="1:5">
      <c r="A3422" t="s">
        <v>4019</v>
      </c>
      <c r="B3422" t="s">
        <v>4025</v>
      </c>
      <c r="C3422">
        <v>0</v>
      </c>
      <c r="D3422">
        <v>0.99748667529699997</v>
      </c>
      <c r="E3422">
        <v>10.710644677661101</v>
      </c>
    </row>
    <row r="3423" spans="1:5">
      <c r="A3423" t="s">
        <v>4019</v>
      </c>
      <c r="B3423" t="s">
        <v>4026</v>
      </c>
      <c r="C3423">
        <f>0</f>
        <v>0</v>
      </c>
      <c r="D3423">
        <v>0.99748667529699997</v>
      </c>
      <c r="E3423">
        <v>10.710644677661101</v>
      </c>
    </row>
    <row r="3424" spans="1:5">
      <c r="A3424" t="s">
        <v>4019</v>
      </c>
      <c r="B3424" t="s">
        <v>4027</v>
      </c>
      <c r="C3424">
        <v>0</v>
      </c>
      <c r="D3424">
        <v>0.99748667529699997</v>
      </c>
      <c r="E3424">
        <v>10.710644677661101</v>
      </c>
    </row>
    <row r="3425" spans="1:5">
      <c r="A3425" t="s">
        <v>4019</v>
      </c>
      <c r="B3425" t="s">
        <v>4028</v>
      </c>
      <c r="C3425">
        <v>0</v>
      </c>
      <c r="D3425">
        <v>0.99748667529699997</v>
      </c>
      <c r="E3425">
        <v>10.710644677661101</v>
      </c>
    </row>
    <row r="3426" spans="1:5">
      <c r="A3426" t="s">
        <v>4019</v>
      </c>
      <c r="B3426" t="s">
        <v>4029</v>
      </c>
      <c r="C3426">
        <f>0</f>
        <v>0</v>
      </c>
      <c r="D3426">
        <v>0.99748667529699997</v>
      </c>
      <c r="E3426">
        <v>10.710644677661101</v>
      </c>
    </row>
    <row r="3427" spans="1:5">
      <c r="A3427" t="s">
        <v>4019</v>
      </c>
      <c r="B3427" t="s">
        <v>4030</v>
      </c>
      <c r="C3427">
        <v>0.12694332312199999</v>
      </c>
      <c r="D3427">
        <v>0.99748667529699997</v>
      </c>
      <c r="E3427">
        <v>10.710644677661101</v>
      </c>
    </row>
    <row r="3428" spans="1:5">
      <c r="A3428" t="s">
        <v>4019</v>
      </c>
      <c r="B3428" t="s">
        <v>4031</v>
      </c>
      <c r="C3428">
        <v>0</v>
      </c>
      <c r="D3428">
        <v>0.99748667529699997</v>
      </c>
      <c r="E3428">
        <v>10.710644677661101</v>
      </c>
    </row>
    <row r="3429" spans="1:5">
      <c r="A3429" t="s">
        <v>4019</v>
      </c>
      <c r="B3429" t="s">
        <v>4032</v>
      </c>
      <c r="C3429">
        <v>0</v>
      </c>
      <c r="D3429">
        <v>0.99748667529699997</v>
      </c>
      <c r="E3429">
        <v>10.710644677661101</v>
      </c>
    </row>
    <row r="3430" spans="1:5">
      <c r="A3430" t="s">
        <v>4033</v>
      </c>
      <c r="B3430" t="s">
        <v>4034</v>
      </c>
      <c r="C3430">
        <v>0</v>
      </c>
      <c r="D3430" t="s">
        <v>106</v>
      </c>
      <c r="E3430">
        <v>18.1349325337331</v>
      </c>
    </row>
    <row r="3431" spans="1:5">
      <c r="A3431" t="s">
        <v>4033</v>
      </c>
      <c r="B3431" t="s">
        <v>4035</v>
      </c>
      <c r="C3431">
        <v>0</v>
      </c>
      <c r="D3431" t="s">
        <v>106</v>
      </c>
      <c r="E3431">
        <v>18.1349325337331</v>
      </c>
    </row>
    <row r="3432" spans="1:5">
      <c r="A3432" t="s">
        <v>4033</v>
      </c>
      <c r="B3432" t="s">
        <v>4036</v>
      </c>
      <c r="C3432">
        <v>0</v>
      </c>
      <c r="D3432" t="s">
        <v>106</v>
      </c>
      <c r="E3432">
        <v>18.1349325337331</v>
      </c>
    </row>
    <row r="3433" spans="1:5">
      <c r="A3433" t="s">
        <v>4033</v>
      </c>
      <c r="B3433" t="s">
        <v>4037</v>
      </c>
      <c r="C3433">
        <v>0</v>
      </c>
      <c r="D3433" t="s">
        <v>106</v>
      </c>
      <c r="E3433">
        <v>18.1349325337331</v>
      </c>
    </row>
    <row r="3434" spans="1:5">
      <c r="A3434" t="s">
        <v>4033</v>
      </c>
      <c r="B3434" t="s">
        <v>4038</v>
      </c>
      <c r="C3434">
        <v>0</v>
      </c>
      <c r="D3434" t="s">
        <v>106</v>
      </c>
      <c r="E3434">
        <v>18.1349325337331</v>
      </c>
    </row>
    <row r="3435" spans="1:5">
      <c r="A3435" t="s">
        <v>4033</v>
      </c>
      <c r="B3435" t="s">
        <v>4039</v>
      </c>
      <c r="C3435">
        <v>0</v>
      </c>
      <c r="D3435" t="s">
        <v>106</v>
      </c>
      <c r="E3435">
        <v>18.1349325337331</v>
      </c>
    </row>
    <row r="3436" spans="1:5">
      <c r="A3436" t="s">
        <v>4033</v>
      </c>
      <c r="B3436" t="s">
        <v>4040</v>
      </c>
      <c r="C3436">
        <v>0</v>
      </c>
      <c r="D3436" t="s">
        <v>106</v>
      </c>
      <c r="E3436">
        <v>18.1349325337331</v>
      </c>
    </row>
    <row r="3437" spans="1:5">
      <c r="A3437" t="s">
        <v>4033</v>
      </c>
      <c r="B3437" t="s">
        <v>4041</v>
      </c>
      <c r="C3437">
        <v>0</v>
      </c>
      <c r="D3437" t="s">
        <v>106</v>
      </c>
      <c r="E3437">
        <v>18.1349325337331</v>
      </c>
    </row>
    <row r="3438" spans="1:5">
      <c r="A3438" t="s">
        <v>4033</v>
      </c>
      <c r="B3438" t="s">
        <v>4042</v>
      </c>
      <c r="C3438">
        <v>5.5906928828600003E-2</v>
      </c>
      <c r="D3438" t="s">
        <v>106</v>
      </c>
      <c r="E3438">
        <v>18.1349325337331</v>
      </c>
    </row>
    <row r="3439" spans="1:5">
      <c r="A3439" t="s">
        <v>4033</v>
      </c>
      <c r="B3439" t="s">
        <v>4043</v>
      </c>
      <c r="C3439">
        <v>0</v>
      </c>
      <c r="D3439" t="s">
        <v>106</v>
      </c>
      <c r="E3439">
        <v>18.1349325337331</v>
      </c>
    </row>
    <row r="3440" spans="1:5">
      <c r="A3440" t="s">
        <v>4033</v>
      </c>
      <c r="B3440" t="s">
        <v>4044</v>
      </c>
      <c r="C3440">
        <v>0</v>
      </c>
      <c r="D3440" t="s">
        <v>106</v>
      </c>
      <c r="E3440">
        <v>18.1349325337331</v>
      </c>
    </row>
    <row r="3441" spans="1:5">
      <c r="A3441" t="s">
        <v>4033</v>
      </c>
      <c r="B3441" t="s">
        <v>4045</v>
      </c>
      <c r="C3441">
        <f>0</f>
        <v>0</v>
      </c>
      <c r="D3441" t="s">
        <v>106</v>
      </c>
      <c r="E3441">
        <v>18.1349325337331</v>
      </c>
    </row>
    <row r="3442" spans="1:5">
      <c r="A3442" t="s">
        <v>4033</v>
      </c>
      <c r="B3442" t="s">
        <v>4046</v>
      </c>
      <c r="C3442">
        <f>0</f>
        <v>0</v>
      </c>
      <c r="D3442" t="s">
        <v>106</v>
      </c>
      <c r="E3442">
        <v>18.1349325337331</v>
      </c>
    </row>
    <row r="3443" spans="1:5">
      <c r="A3443" t="s">
        <v>4033</v>
      </c>
      <c r="B3443" t="s">
        <v>4047</v>
      </c>
      <c r="C3443">
        <v>0</v>
      </c>
      <c r="D3443" t="s">
        <v>106</v>
      </c>
      <c r="E3443">
        <v>18.1349325337331</v>
      </c>
    </row>
    <row r="3444" spans="1:5">
      <c r="A3444" t="s">
        <v>4033</v>
      </c>
      <c r="B3444" t="s">
        <v>4048</v>
      </c>
      <c r="C3444">
        <v>0</v>
      </c>
      <c r="D3444" t="s">
        <v>106</v>
      </c>
      <c r="E3444">
        <v>18.1349325337331</v>
      </c>
    </row>
    <row r="3445" spans="1:5">
      <c r="A3445" t="s">
        <v>4033</v>
      </c>
      <c r="B3445" t="s">
        <v>4049</v>
      </c>
      <c r="C3445">
        <v>0</v>
      </c>
      <c r="D3445" t="s">
        <v>106</v>
      </c>
      <c r="E3445">
        <v>18.1349325337331</v>
      </c>
    </row>
    <row r="3446" spans="1:5">
      <c r="A3446" t="s">
        <v>4033</v>
      </c>
      <c r="B3446" t="s">
        <v>4050</v>
      </c>
      <c r="C3446">
        <f>0</f>
        <v>0</v>
      </c>
      <c r="D3446" t="s">
        <v>106</v>
      </c>
      <c r="E3446">
        <v>18.1349325337331</v>
      </c>
    </row>
    <row r="3447" spans="1:5">
      <c r="A3447" t="s">
        <v>4033</v>
      </c>
      <c r="B3447" t="s">
        <v>4051</v>
      </c>
      <c r="C3447">
        <v>2.68743429507E-2</v>
      </c>
      <c r="D3447" t="s">
        <v>106</v>
      </c>
      <c r="E3447">
        <v>18.1349325337331</v>
      </c>
    </row>
    <row r="3448" spans="1:5">
      <c r="A3448" t="s">
        <v>4052</v>
      </c>
      <c r="B3448" t="s">
        <v>3988</v>
      </c>
      <c r="C3448">
        <f>0</f>
        <v>0</v>
      </c>
      <c r="D3448" t="s">
        <v>106</v>
      </c>
      <c r="E3448">
        <v>1.00749625187406</v>
      </c>
    </row>
    <row r="3449" spans="1:5">
      <c r="A3449" t="s">
        <v>4052</v>
      </c>
      <c r="B3449" t="s">
        <v>3989</v>
      </c>
      <c r="C3449">
        <v>0</v>
      </c>
      <c r="D3449" t="s">
        <v>106</v>
      </c>
      <c r="E3449">
        <v>1.00749625187406</v>
      </c>
    </row>
    <row r="3450" spans="1:5">
      <c r="A3450" t="s">
        <v>4052</v>
      </c>
      <c r="B3450" t="s">
        <v>3990</v>
      </c>
      <c r="C3450">
        <f>0</f>
        <v>0</v>
      </c>
      <c r="D3450" t="s">
        <v>106</v>
      </c>
      <c r="E3450">
        <v>1.00749625187406</v>
      </c>
    </row>
    <row r="3451" spans="1:5">
      <c r="A3451" t="s">
        <v>4052</v>
      </c>
      <c r="B3451" t="s">
        <v>3991</v>
      </c>
      <c r="C3451">
        <f>0</f>
        <v>0</v>
      </c>
      <c r="D3451" t="s">
        <v>106</v>
      </c>
      <c r="E3451">
        <v>1.00749625187406</v>
      </c>
    </row>
    <row r="3452" spans="1:5">
      <c r="A3452" t="s">
        <v>4052</v>
      </c>
      <c r="B3452" t="s">
        <v>3992</v>
      </c>
      <c r="C3452">
        <f>0</f>
        <v>0</v>
      </c>
      <c r="D3452" t="s">
        <v>106</v>
      </c>
      <c r="E3452">
        <v>1.00749625187406</v>
      </c>
    </row>
    <row r="3453" spans="1:5">
      <c r="A3453" t="s">
        <v>4052</v>
      </c>
      <c r="B3453" t="s">
        <v>3993</v>
      </c>
      <c r="C3453">
        <v>0</v>
      </c>
      <c r="D3453" t="s">
        <v>106</v>
      </c>
      <c r="E3453">
        <v>1.00749625187406</v>
      </c>
    </row>
    <row r="3454" spans="1:5">
      <c r="A3454" t="s">
        <v>4053</v>
      </c>
      <c r="B3454" t="s">
        <v>4054</v>
      </c>
      <c r="C3454">
        <v>0.15014016439899999</v>
      </c>
      <c r="D3454">
        <v>0.999606155504</v>
      </c>
      <c r="E3454">
        <v>12.5577211394302</v>
      </c>
    </row>
    <row r="3455" spans="1:5">
      <c r="A3455" t="s">
        <v>4053</v>
      </c>
      <c r="B3455" t="s">
        <v>4055</v>
      </c>
      <c r="C3455">
        <f>0</f>
        <v>0</v>
      </c>
      <c r="D3455">
        <v>0.999606155504</v>
      </c>
      <c r="E3455">
        <v>12.5577211394302</v>
      </c>
    </row>
    <row r="3456" spans="1:5">
      <c r="A3456" t="s">
        <v>4053</v>
      </c>
      <c r="B3456" t="s">
        <v>4056</v>
      </c>
      <c r="C3456">
        <v>0</v>
      </c>
      <c r="D3456">
        <v>0.999606155504</v>
      </c>
      <c r="E3456">
        <v>12.5577211394302</v>
      </c>
    </row>
    <row r="3457" spans="1:5">
      <c r="A3457" t="s">
        <v>4053</v>
      </c>
      <c r="B3457" t="s">
        <v>4057</v>
      </c>
      <c r="C3457">
        <v>0</v>
      </c>
      <c r="D3457">
        <v>0.999606155504</v>
      </c>
      <c r="E3457">
        <v>12.5577211394302</v>
      </c>
    </row>
    <row r="3458" spans="1:5">
      <c r="A3458" t="s">
        <v>4053</v>
      </c>
      <c r="B3458" t="s">
        <v>4058</v>
      </c>
      <c r="C3458">
        <v>0</v>
      </c>
      <c r="D3458">
        <v>0.999606155504</v>
      </c>
      <c r="E3458">
        <v>12.5577211394302</v>
      </c>
    </row>
    <row r="3459" spans="1:5">
      <c r="A3459" t="s">
        <v>4053</v>
      </c>
      <c r="B3459" t="s">
        <v>4059</v>
      </c>
      <c r="C3459">
        <f>0</f>
        <v>0</v>
      </c>
      <c r="D3459">
        <v>0.999606155504</v>
      </c>
      <c r="E3459">
        <v>12.5577211394302</v>
      </c>
    </row>
    <row r="3460" spans="1:5">
      <c r="A3460" t="s">
        <v>4053</v>
      </c>
      <c r="B3460" t="s">
        <v>4060</v>
      </c>
      <c r="C3460">
        <v>0</v>
      </c>
      <c r="D3460">
        <v>0.999606155504</v>
      </c>
      <c r="E3460">
        <v>12.5577211394302</v>
      </c>
    </row>
    <row r="3461" spans="1:5">
      <c r="A3461" t="s">
        <v>4053</v>
      </c>
      <c r="B3461" t="s">
        <v>4061</v>
      </c>
      <c r="C3461">
        <v>0</v>
      </c>
      <c r="D3461">
        <v>0.999606155504</v>
      </c>
      <c r="E3461">
        <v>12.5577211394302</v>
      </c>
    </row>
    <row r="3462" spans="1:5">
      <c r="A3462" t="s">
        <v>4053</v>
      </c>
      <c r="B3462" t="s">
        <v>4062</v>
      </c>
      <c r="C3462">
        <v>0</v>
      </c>
      <c r="D3462">
        <v>0.999606155504</v>
      </c>
      <c r="E3462">
        <v>12.5577211394302</v>
      </c>
    </row>
    <row r="3463" spans="1:5">
      <c r="A3463" t="s">
        <v>4053</v>
      </c>
      <c r="B3463" t="s">
        <v>4063</v>
      </c>
      <c r="C3463">
        <v>0</v>
      </c>
      <c r="D3463">
        <v>0.999606155504</v>
      </c>
      <c r="E3463">
        <v>12.5577211394302</v>
      </c>
    </row>
    <row r="3464" spans="1:5">
      <c r="A3464" t="s">
        <v>4053</v>
      </c>
      <c r="B3464" t="s">
        <v>4064</v>
      </c>
      <c r="C3464">
        <f>0</f>
        <v>0</v>
      </c>
      <c r="D3464">
        <v>0.999606155504</v>
      </c>
      <c r="E3464">
        <v>12.5577211394302</v>
      </c>
    </row>
    <row r="3465" spans="1:5">
      <c r="A3465" t="s">
        <v>4053</v>
      </c>
      <c r="B3465" t="s">
        <v>4065</v>
      </c>
      <c r="C3465">
        <v>0</v>
      </c>
      <c r="D3465">
        <v>0.999606155504</v>
      </c>
      <c r="E3465">
        <v>12.5577211394302</v>
      </c>
    </row>
    <row r="3466" spans="1:5">
      <c r="A3466" t="s">
        <v>4053</v>
      </c>
      <c r="B3466" t="s">
        <v>4066</v>
      </c>
      <c r="C3466">
        <v>0</v>
      </c>
      <c r="D3466">
        <v>0.999606155504</v>
      </c>
      <c r="E3466">
        <v>12.5577211394302</v>
      </c>
    </row>
    <row r="3467" spans="1:5">
      <c r="A3467" t="s">
        <v>4053</v>
      </c>
      <c r="B3467" t="s">
        <v>4067</v>
      </c>
      <c r="C3467">
        <v>0</v>
      </c>
      <c r="D3467">
        <v>0.999606155504</v>
      </c>
      <c r="E3467">
        <v>12.5577211394302</v>
      </c>
    </row>
    <row r="3468" spans="1:5">
      <c r="A3468" t="s">
        <v>4053</v>
      </c>
      <c r="B3468" t="s">
        <v>4068</v>
      </c>
      <c r="C3468">
        <v>0</v>
      </c>
      <c r="D3468">
        <v>0.999606155504</v>
      </c>
      <c r="E3468">
        <v>12.5577211394302</v>
      </c>
    </row>
    <row r="3469" spans="1:5">
      <c r="A3469" t="s">
        <v>4053</v>
      </c>
      <c r="B3469" t="s">
        <v>4069</v>
      </c>
      <c r="C3469">
        <v>0</v>
      </c>
      <c r="D3469">
        <v>0.999606155504</v>
      </c>
      <c r="E3469">
        <v>12.5577211394302</v>
      </c>
    </row>
    <row r="3470" spans="1:5">
      <c r="A3470" t="s">
        <v>4053</v>
      </c>
      <c r="B3470" t="s">
        <v>4070</v>
      </c>
      <c r="C3470">
        <v>0</v>
      </c>
      <c r="D3470">
        <v>0.999606155504</v>
      </c>
      <c r="E3470">
        <v>12.5577211394302</v>
      </c>
    </row>
    <row r="3471" spans="1:5">
      <c r="A3471" t="s">
        <v>4053</v>
      </c>
      <c r="B3471" t="s">
        <v>4071</v>
      </c>
      <c r="C3471">
        <v>0</v>
      </c>
      <c r="D3471">
        <v>0.999606155504</v>
      </c>
      <c r="E3471">
        <v>12.5577211394302</v>
      </c>
    </row>
    <row r="3472" spans="1:5">
      <c r="A3472" t="s">
        <v>4053</v>
      </c>
      <c r="B3472" t="s">
        <v>4072</v>
      </c>
      <c r="C3472">
        <v>0</v>
      </c>
      <c r="D3472">
        <v>0.999606155504</v>
      </c>
      <c r="E3472">
        <v>12.5577211394302</v>
      </c>
    </row>
    <row r="3473" spans="1:5">
      <c r="A3473" t="s">
        <v>4053</v>
      </c>
      <c r="B3473" t="s">
        <v>4073</v>
      </c>
      <c r="C3473">
        <v>0</v>
      </c>
      <c r="D3473">
        <v>0.999606155504</v>
      </c>
      <c r="E3473">
        <v>12.5577211394302</v>
      </c>
    </row>
    <row r="3474" spans="1:5">
      <c r="A3474" t="s">
        <v>4053</v>
      </c>
      <c r="B3474" t="s">
        <v>4074</v>
      </c>
      <c r="C3474">
        <f>0</f>
        <v>0</v>
      </c>
      <c r="D3474">
        <v>0.999606155504</v>
      </c>
      <c r="E3474">
        <v>12.5577211394302</v>
      </c>
    </row>
    <row r="3475" spans="1:5">
      <c r="A3475" t="s">
        <v>4075</v>
      </c>
      <c r="B3475" t="s">
        <v>4076</v>
      </c>
      <c r="C3475">
        <v>4.8898102363400003E-2</v>
      </c>
      <c r="D3475" t="s">
        <v>106</v>
      </c>
      <c r="E3475">
        <v>24</v>
      </c>
    </row>
    <row r="3476" spans="1:5">
      <c r="A3476" t="s">
        <v>4077</v>
      </c>
      <c r="B3476" t="s">
        <v>4078</v>
      </c>
      <c r="C3476">
        <v>0</v>
      </c>
      <c r="D3476">
        <v>0.92627337630600004</v>
      </c>
      <c r="E3476">
        <v>6.0569715142428704</v>
      </c>
    </row>
    <row r="3477" spans="1:5">
      <c r="A3477" t="s">
        <v>4077</v>
      </c>
      <c r="B3477" t="s">
        <v>4079</v>
      </c>
      <c r="C3477">
        <f>0</f>
        <v>0</v>
      </c>
      <c r="D3477">
        <v>0.92627337630600004</v>
      </c>
      <c r="E3477">
        <v>6.0569715142428704</v>
      </c>
    </row>
    <row r="3478" spans="1:5">
      <c r="A3478" t="s">
        <v>4077</v>
      </c>
      <c r="B3478" t="s">
        <v>4080</v>
      </c>
      <c r="C3478">
        <f>0</f>
        <v>0</v>
      </c>
      <c r="D3478">
        <v>0.92627337630600004</v>
      </c>
      <c r="E3478">
        <v>6.0569715142428704</v>
      </c>
    </row>
    <row r="3479" spans="1:5">
      <c r="A3479" t="s">
        <v>4077</v>
      </c>
      <c r="B3479" t="s">
        <v>4081</v>
      </c>
      <c r="C3479">
        <v>0</v>
      </c>
      <c r="D3479">
        <v>0.92627337630600004</v>
      </c>
      <c r="E3479">
        <v>6.0569715142428704</v>
      </c>
    </row>
    <row r="3480" spans="1:5">
      <c r="A3480" t="s">
        <v>4082</v>
      </c>
      <c r="B3480" t="s">
        <v>4083</v>
      </c>
      <c r="C3480">
        <v>0</v>
      </c>
      <c r="D3480" t="s">
        <v>106</v>
      </c>
      <c r="E3480">
        <v>15.5082458770614</v>
      </c>
    </row>
    <row r="3481" spans="1:5">
      <c r="A3481" t="s">
        <v>4082</v>
      </c>
      <c r="B3481" t="s">
        <v>4084</v>
      </c>
      <c r="C3481">
        <v>0</v>
      </c>
      <c r="D3481" t="s">
        <v>106</v>
      </c>
      <c r="E3481">
        <v>15.5082458770614</v>
      </c>
    </row>
    <row r="3482" spans="1:5">
      <c r="A3482" t="s">
        <v>4082</v>
      </c>
      <c r="B3482" t="s">
        <v>4085</v>
      </c>
      <c r="C3482">
        <v>0</v>
      </c>
      <c r="D3482" t="s">
        <v>106</v>
      </c>
      <c r="E3482">
        <v>15.5082458770614</v>
      </c>
    </row>
    <row r="3483" spans="1:5">
      <c r="A3483" t="s">
        <v>4086</v>
      </c>
      <c r="B3483" t="s">
        <v>4087</v>
      </c>
      <c r="C3483">
        <f>0.0441331313193</f>
        <v>4.4133131319300002E-2</v>
      </c>
      <c r="D3483" t="s">
        <v>106</v>
      </c>
      <c r="E3483">
        <v>24</v>
      </c>
    </row>
    <row r="3484" spans="1:5">
      <c r="A3484" t="s">
        <v>4086</v>
      </c>
      <c r="B3484" t="s">
        <v>4088</v>
      </c>
      <c r="C3484">
        <f>0</f>
        <v>0</v>
      </c>
      <c r="D3484" t="s">
        <v>106</v>
      </c>
      <c r="E3484">
        <v>24</v>
      </c>
    </row>
    <row r="3485" spans="1:5">
      <c r="A3485" t="s">
        <v>4086</v>
      </c>
      <c r="B3485" t="s">
        <v>4089</v>
      </c>
      <c r="C3485">
        <v>0</v>
      </c>
      <c r="D3485" t="s">
        <v>106</v>
      </c>
      <c r="E3485">
        <v>24</v>
      </c>
    </row>
    <row r="3486" spans="1:5">
      <c r="A3486" t="s">
        <v>4090</v>
      </c>
      <c r="B3486" t="s">
        <v>4091</v>
      </c>
      <c r="C3486">
        <v>3.95973814765E-2</v>
      </c>
      <c r="D3486">
        <v>0.67876489740599999</v>
      </c>
      <c r="E3486">
        <v>12.2098950524737</v>
      </c>
    </row>
    <row r="3487" spans="1:5">
      <c r="A3487" t="s">
        <v>4092</v>
      </c>
      <c r="B3487" t="s">
        <v>4093</v>
      </c>
      <c r="C3487">
        <v>0</v>
      </c>
      <c r="D3487">
        <v>0.88365676249000003</v>
      </c>
      <c r="E3487">
        <v>1.39130434782608</v>
      </c>
    </row>
    <row r="3488" spans="1:5">
      <c r="A3488" t="s">
        <v>4092</v>
      </c>
      <c r="B3488" t="s">
        <v>4094</v>
      </c>
      <c r="C3488">
        <v>0</v>
      </c>
      <c r="D3488">
        <v>0.88365676249000003</v>
      </c>
      <c r="E3488">
        <v>1.39130434782608</v>
      </c>
    </row>
    <row r="3489" spans="1:5">
      <c r="A3489" t="s">
        <v>4092</v>
      </c>
      <c r="B3489" t="s">
        <v>4095</v>
      </c>
      <c r="C3489">
        <v>0</v>
      </c>
      <c r="D3489">
        <v>0.88365676249000003</v>
      </c>
      <c r="E3489">
        <v>1.39130434782608</v>
      </c>
    </row>
    <row r="3490" spans="1:5">
      <c r="A3490" t="s">
        <v>4092</v>
      </c>
      <c r="B3490" t="s">
        <v>4096</v>
      </c>
      <c r="C3490">
        <v>0</v>
      </c>
      <c r="D3490">
        <v>0.88365676249000003</v>
      </c>
      <c r="E3490">
        <v>1.39130434782608</v>
      </c>
    </row>
    <row r="3491" spans="1:5">
      <c r="A3491" t="s">
        <v>4092</v>
      </c>
      <c r="B3491" t="s">
        <v>4097</v>
      </c>
      <c r="C3491">
        <v>0</v>
      </c>
      <c r="D3491">
        <v>0.88365676249000003</v>
      </c>
      <c r="E3491">
        <v>1.39130434782608</v>
      </c>
    </row>
    <row r="3492" spans="1:5">
      <c r="A3492" t="s">
        <v>4092</v>
      </c>
      <c r="B3492" t="s">
        <v>4098</v>
      </c>
      <c r="C3492">
        <v>0.13042749816099999</v>
      </c>
      <c r="D3492">
        <v>0.88365676249000003</v>
      </c>
      <c r="E3492">
        <v>1.39130434782608</v>
      </c>
    </row>
    <row r="3493" spans="1:5">
      <c r="A3493" t="s">
        <v>4092</v>
      </c>
      <c r="B3493" t="s">
        <v>4099</v>
      </c>
      <c r="C3493">
        <v>0</v>
      </c>
      <c r="D3493">
        <v>0.88365676249000003</v>
      </c>
      <c r="E3493">
        <v>1.39130434782608</v>
      </c>
    </row>
    <row r="3494" spans="1:5">
      <c r="A3494" t="s">
        <v>4100</v>
      </c>
      <c r="B3494" t="s">
        <v>4101</v>
      </c>
      <c r="C3494">
        <v>0.35530319094599999</v>
      </c>
      <c r="D3494">
        <v>0.94569670232900005</v>
      </c>
      <c r="E3494">
        <v>11.8740629685157</v>
      </c>
    </row>
    <row r="3495" spans="1:5">
      <c r="A3495" t="s">
        <v>4102</v>
      </c>
      <c r="B3495" t="s">
        <v>4103</v>
      </c>
      <c r="C3495">
        <v>0</v>
      </c>
      <c r="D3495" t="s">
        <v>106</v>
      </c>
      <c r="E3495">
        <v>23.040479760119901</v>
      </c>
    </row>
    <row r="3496" spans="1:5">
      <c r="A3496" t="s">
        <v>4102</v>
      </c>
      <c r="B3496" t="s">
        <v>4104</v>
      </c>
      <c r="C3496">
        <v>0</v>
      </c>
      <c r="D3496" t="s">
        <v>106</v>
      </c>
      <c r="E3496">
        <v>23.040479760119901</v>
      </c>
    </row>
    <row r="3497" spans="1:5">
      <c r="A3497" t="s">
        <v>4102</v>
      </c>
      <c r="B3497" t="s">
        <v>4105</v>
      </c>
      <c r="C3497">
        <v>0</v>
      </c>
      <c r="D3497" t="s">
        <v>106</v>
      </c>
      <c r="E3497">
        <v>23.040479760119901</v>
      </c>
    </row>
    <row r="3498" spans="1:5">
      <c r="A3498" t="s">
        <v>4102</v>
      </c>
      <c r="B3498" t="s">
        <v>4106</v>
      </c>
      <c r="C3498">
        <v>0</v>
      </c>
      <c r="D3498" t="s">
        <v>106</v>
      </c>
      <c r="E3498">
        <v>23.040479760119901</v>
      </c>
    </row>
    <row r="3499" spans="1:5">
      <c r="A3499" t="s">
        <v>4102</v>
      </c>
      <c r="B3499" t="s">
        <v>4107</v>
      </c>
      <c r="C3499">
        <v>0</v>
      </c>
      <c r="D3499" t="s">
        <v>106</v>
      </c>
      <c r="E3499">
        <v>23.040479760119901</v>
      </c>
    </row>
    <row r="3500" spans="1:5">
      <c r="A3500" t="s">
        <v>4108</v>
      </c>
      <c r="B3500" t="s">
        <v>4109</v>
      </c>
      <c r="C3500">
        <f>0</f>
        <v>0</v>
      </c>
      <c r="D3500" t="s">
        <v>106</v>
      </c>
      <c r="E3500">
        <v>13.997001499250301</v>
      </c>
    </row>
    <row r="3501" spans="1:5">
      <c r="A3501" t="s">
        <v>4108</v>
      </c>
      <c r="B3501" t="s">
        <v>4110</v>
      </c>
      <c r="C3501">
        <v>0</v>
      </c>
      <c r="D3501" t="s">
        <v>106</v>
      </c>
      <c r="E3501">
        <v>13.997001499250301</v>
      </c>
    </row>
    <row r="3502" spans="1:5">
      <c r="A3502" t="s">
        <v>4108</v>
      </c>
      <c r="B3502" t="s">
        <v>4111</v>
      </c>
      <c r="C3502">
        <f>0</f>
        <v>0</v>
      </c>
      <c r="D3502" t="s">
        <v>106</v>
      </c>
      <c r="E3502">
        <v>13.997001499250301</v>
      </c>
    </row>
    <row r="3503" spans="1:5">
      <c r="A3503" t="s">
        <v>4112</v>
      </c>
      <c r="B3503" t="s">
        <v>4113</v>
      </c>
      <c r="C3503">
        <f>0</f>
        <v>0</v>
      </c>
      <c r="D3503" t="s">
        <v>106</v>
      </c>
      <c r="E3503">
        <v>10.0749625187406</v>
      </c>
    </row>
    <row r="3504" spans="1:5">
      <c r="A3504" t="s">
        <v>4112</v>
      </c>
      <c r="B3504" t="s">
        <v>4114</v>
      </c>
      <c r="C3504">
        <v>0</v>
      </c>
      <c r="D3504" t="s">
        <v>106</v>
      </c>
      <c r="E3504">
        <v>10.0749625187406</v>
      </c>
    </row>
    <row r="3505" spans="1:5">
      <c r="A3505" t="s">
        <v>4112</v>
      </c>
      <c r="B3505" t="s">
        <v>4115</v>
      </c>
      <c r="C3505">
        <f>0</f>
        <v>0</v>
      </c>
      <c r="D3505" t="s">
        <v>106</v>
      </c>
      <c r="E3505">
        <v>10.0749625187406</v>
      </c>
    </row>
    <row r="3506" spans="1:5">
      <c r="A3506" t="s">
        <v>4112</v>
      </c>
      <c r="B3506" t="s">
        <v>4116</v>
      </c>
      <c r="C3506">
        <f>0</f>
        <v>0</v>
      </c>
      <c r="D3506" t="s">
        <v>106</v>
      </c>
      <c r="E3506">
        <v>10.0749625187406</v>
      </c>
    </row>
    <row r="3507" spans="1:5">
      <c r="A3507" t="s">
        <v>4117</v>
      </c>
      <c r="B3507" t="s">
        <v>4118</v>
      </c>
      <c r="C3507">
        <v>0</v>
      </c>
      <c r="D3507" t="s">
        <v>106</v>
      </c>
      <c r="E3507">
        <v>13.2653673163418</v>
      </c>
    </row>
    <row r="3508" spans="1:5">
      <c r="A3508" t="s">
        <v>4117</v>
      </c>
      <c r="B3508" t="s">
        <v>4119</v>
      </c>
      <c r="C3508">
        <f>0</f>
        <v>0</v>
      </c>
      <c r="D3508" t="s">
        <v>106</v>
      </c>
      <c r="E3508">
        <v>13.2653673163418</v>
      </c>
    </row>
    <row r="3509" spans="1:5">
      <c r="A3509" t="s">
        <v>4117</v>
      </c>
      <c r="B3509" t="s">
        <v>4120</v>
      </c>
      <c r="C3509">
        <f>0</f>
        <v>0</v>
      </c>
      <c r="D3509" t="s">
        <v>106</v>
      </c>
      <c r="E3509">
        <v>13.2653673163418</v>
      </c>
    </row>
    <row r="3510" spans="1:5">
      <c r="A3510" t="s">
        <v>4117</v>
      </c>
      <c r="B3510" t="s">
        <v>4121</v>
      </c>
      <c r="C3510">
        <f>0</f>
        <v>0</v>
      </c>
      <c r="D3510" t="s">
        <v>106</v>
      </c>
      <c r="E3510">
        <v>13.2653673163418</v>
      </c>
    </row>
    <row r="3511" spans="1:5">
      <c r="A3511" t="s">
        <v>4122</v>
      </c>
      <c r="B3511" t="s">
        <v>4123</v>
      </c>
      <c r="C3511">
        <v>0.13254542283500001</v>
      </c>
      <c r="D3511">
        <v>0.99353189560599997</v>
      </c>
      <c r="E3511">
        <v>24</v>
      </c>
    </row>
    <row r="3512" spans="1:5">
      <c r="A3512" t="s">
        <v>4124</v>
      </c>
      <c r="B3512" t="s">
        <v>4125</v>
      </c>
      <c r="C3512">
        <v>0</v>
      </c>
      <c r="D3512">
        <v>0.89000334977899997</v>
      </c>
      <c r="E3512">
        <v>11.7061469265367</v>
      </c>
    </row>
    <row r="3513" spans="1:5">
      <c r="A3513" t="s">
        <v>4124</v>
      </c>
      <c r="B3513" t="s">
        <v>4126</v>
      </c>
      <c r="C3513">
        <v>2.8799214729099999E-2</v>
      </c>
      <c r="D3513">
        <v>0.89000334977899997</v>
      </c>
      <c r="E3513">
        <v>11.7061469265367</v>
      </c>
    </row>
    <row r="3514" spans="1:5">
      <c r="A3514" t="s">
        <v>4124</v>
      </c>
      <c r="B3514" t="s">
        <v>4127</v>
      </c>
      <c r="C3514">
        <v>3.2813964000900003E-2</v>
      </c>
      <c r="D3514">
        <v>0.89000334977899997</v>
      </c>
      <c r="E3514">
        <v>11.7061469265367</v>
      </c>
    </row>
    <row r="3515" spans="1:5">
      <c r="A3515" t="s">
        <v>4124</v>
      </c>
      <c r="B3515" t="s">
        <v>4128</v>
      </c>
      <c r="C3515">
        <v>0</v>
      </c>
      <c r="D3515">
        <v>0.89000334977899997</v>
      </c>
      <c r="E3515">
        <v>11.7061469265367</v>
      </c>
    </row>
    <row r="3516" spans="1:5">
      <c r="A3516" t="s">
        <v>4124</v>
      </c>
      <c r="B3516" t="s">
        <v>4129</v>
      </c>
      <c r="C3516">
        <v>0</v>
      </c>
      <c r="D3516">
        <v>0.89000334977899997</v>
      </c>
      <c r="E3516">
        <v>11.7061469265367</v>
      </c>
    </row>
    <row r="3517" spans="1:5">
      <c r="A3517" t="s">
        <v>4124</v>
      </c>
      <c r="B3517" t="s">
        <v>4130</v>
      </c>
      <c r="C3517">
        <v>0</v>
      </c>
      <c r="D3517">
        <v>0.89000334977899997</v>
      </c>
      <c r="E3517">
        <v>11.7061469265367</v>
      </c>
    </row>
    <row r="3518" spans="1:5">
      <c r="A3518" t="s">
        <v>4124</v>
      </c>
      <c r="B3518" t="s">
        <v>4131</v>
      </c>
      <c r="C3518">
        <v>0</v>
      </c>
      <c r="D3518">
        <v>0.89000334977899997</v>
      </c>
      <c r="E3518">
        <v>11.7061469265367</v>
      </c>
    </row>
    <row r="3519" spans="1:5">
      <c r="A3519" t="s">
        <v>4132</v>
      </c>
      <c r="B3519" t="s">
        <v>4133</v>
      </c>
      <c r="C3519">
        <f>0</f>
        <v>0</v>
      </c>
      <c r="D3519" t="s">
        <v>106</v>
      </c>
      <c r="E3519">
        <v>1.45127436281859</v>
      </c>
    </row>
    <row r="3520" spans="1:5">
      <c r="A3520" t="s">
        <v>4132</v>
      </c>
      <c r="B3520" t="s">
        <v>4134</v>
      </c>
      <c r="C3520">
        <f>0</f>
        <v>0</v>
      </c>
      <c r="D3520" t="s">
        <v>106</v>
      </c>
      <c r="E3520">
        <v>1.45127436281859</v>
      </c>
    </row>
    <row r="3521" spans="1:5">
      <c r="A3521" t="s">
        <v>4132</v>
      </c>
      <c r="B3521" t="s">
        <v>4135</v>
      </c>
      <c r="C3521">
        <v>0</v>
      </c>
      <c r="D3521" t="s">
        <v>106</v>
      </c>
      <c r="E3521">
        <v>1.45127436281859</v>
      </c>
    </row>
    <row r="3522" spans="1:5">
      <c r="A3522" t="s">
        <v>4136</v>
      </c>
      <c r="B3522" t="s">
        <v>4137</v>
      </c>
      <c r="C3522">
        <v>0</v>
      </c>
      <c r="D3522">
        <v>0.99080258806699995</v>
      </c>
      <c r="E3522">
        <v>4.4737631184407798</v>
      </c>
    </row>
    <row r="3523" spans="1:5">
      <c r="A3523" t="s">
        <v>4136</v>
      </c>
      <c r="B3523" t="s">
        <v>4138</v>
      </c>
      <c r="C3523">
        <v>0</v>
      </c>
      <c r="D3523">
        <v>0.99080258806699995</v>
      </c>
      <c r="E3523">
        <v>4.4737631184407798</v>
      </c>
    </row>
    <row r="3524" spans="1:5">
      <c r="A3524" t="s">
        <v>4136</v>
      </c>
      <c r="B3524" t="s">
        <v>4139</v>
      </c>
      <c r="C3524">
        <v>4.3934249619500002E-2</v>
      </c>
      <c r="D3524">
        <v>0.99080258806699995</v>
      </c>
      <c r="E3524">
        <v>4.4737631184407798</v>
      </c>
    </row>
    <row r="3525" spans="1:5">
      <c r="A3525" t="s">
        <v>4136</v>
      </c>
      <c r="B3525" t="s">
        <v>4140</v>
      </c>
      <c r="C3525">
        <v>0</v>
      </c>
      <c r="D3525">
        <v>0.99080258806699995</v>
      </c>
      <c r="E3525">
        <v>4.4737631184407798</v>
      </c>
    </row>
    <row r="3526" spans="1:5">
      <c r="A3526" t="s">
        <v>4136</v>
      </c>
      <c r="B3526" t="s">
        <v>4141</v>
      </c>
      <c r="C3526">
        <f>0</f>
        <v>0</v>
      </c>
      <c r="D3526">
        <v>0.99080258806699995</v>
      </c>
      <c r="E3526">
        <v>4.4737631184407798</v>
      </c>
    </row>
    <row r="3527" spans="1:5">
      <c r="A3527" t="s">
        <v>4136</v>
      </c>
      <c r="B3527" t="s">
        <v>4142</v>
      </c>
      <c r="C3527">
        <v>6.6456777550199997E-3</v>
      </c>
      <c r="D3527">
        <v>0.99080258806699995</v>
      </c>
      <c r="E3527">
        <v>4.4737631184407798</v>
      </c>
    </row>
    <row r="3528" spans="1:5">
      <c r="A3528" t="s">
        <v>4136</v>
      </c>
      <c r="B3528" t="s">
        <v>4143</v>
      </c>
      <c r="C3528">
        <v>0</v>
      </c>
      <c r="D3528">
        <v>0.99080258806699995</v>
      </c>
      <c r="E3528">
        <v>4.4737631184407798</v>
      </c>
    </row>
    <row r="3529" spans="1:5">
      <c r="A3529" t="s">
        <v>4136</v>
      </c>
      <c r="B3529" t="s">
        <v>4144</v>
      </c>
      <c r="C3529">
        <f>0</f>
        <v>0</v>
      </c>
      <c r="D3529">
        <v>0.99080258806699995</v>
      </c>
      <c r="E3529">
        <v>4.4737631184407798</v>
      </c>
    </row>
    <row r="3530" spans="1:5">
      <c r="A3530" t="s">
        <v>4136</v>
      </c>
      <c r="B3530" t="s">
        <v>4145</v>
      </c>
      <c r="C3530">
        <v>0</v>
      </c>
      <c r="D3530">
        <v>0.99080258806699995</v>
      </c>
      <c r="E3530">
        <v>4.4737631184407798</v>
      </c>
    </row>
    <row r="3531" spans="1:5">
      <c r="A3531" t="s">
        <v>4136</v>
      </c>
      <c r="B3531" t="s">
        <v>4146</v>
      </c>
      <c r="C3531">
        <v>0</v>
      </c>
      <c r="D3531">
        <v>0.99080258806699995</v>
      </c>
      <c r="E3531">
        <v>4.4737631184407798</v>
      </c>
    </row>
    <row r="3532" spans="1:5">
      <c r="A3532" t="s">
        <v>4147</v>
      </c>
      <c r="B3532" t="s">
        <v>4148</v>
      </c>
      <c r="C3532">
        <v>0</v>
      </c>
      <c r="D3532" t="s">
        <v>106</v>
      </c>
      <c r="E3532">
        <v>5.8170914542728598</v>
      </c>
    </row>
    <row r="3533" spans="1:5">
      <c r="A3533" t="s">
        <v>4147</v>
      </c>
      <c r="B3533" t="s">
        <v>4149</v>
      </c>
      <c r="C3533">
        <f>0</f>
        <v>0</v>
      </c>
      <c r="D3533" t="s">
        <v>106</v>
      </c>
      <c r="E3533">
        <v>5.8170914542728598</v>
      </c>
    </row>
    <row r="3534" spans="1:5">
      <c r="A3534" t="s">
        <v>4147</v>
      </c>
      <c r="B3534" t="s">
        <v>4150</v>
      </c>
      <c r="C3534">
        <v>0</v>
      </c>
      <c r="D3534" t="s">
        <v>106</v>
      </c>
      <c r="E3534">
        <v>5.8170914542728598</v>
      </c>
    </row>
    <row r="3535" spans="1:5">
      <c r="A3535" t="s">
        <v>4147</v>
      </c>
      <c r="B3535" t="s">
        <v>4151</v>
      </c>
      <c r="C3535">
        <v>0</v>
      </c>
      <c r="D3535" t="s">
        <v>106</v>
      </c>
      <c r="E3535">
        <v>5.8170914542728598</v>
      </c>
    </row>
    <row r="3536" spans="1:5">
      <c r="A3536" t="s">
        <v>4147</v>
      </c>
      <c r="B3536" t="s">
        <v>4152</v>
      </c>
      <c r="C3536">
        <v>0</v>
      </c>
      <c r="D3536" t="s">
        <v>106</v>
      </c>
      <c r="E3536">
        <v>5.8170914542728598</v>
      </c>
    </row>
    <row r="3537" spans="1:5">
      <c r="A3537" t="s">
        <v>4147</v>
      </c>
      <c r="B3537" t="s">
        <v>4153</v>
      </c>
      <c r="C3537">
        <v>0</v>
      </c>
      <c r="D3537" t="s">
        <v>106</v>
      </c>
      <c r="E3537">
        <v>5.8170914542728598</v>
      </c>
    </row>
    <row r="3538" spans="1:5">
      <c r="A3538" t="s">
        <v>4147</v>
      </c>
      <c r="B3538" t="s">
        <v>4154</v>
      </c>
      <c r="C3538">
        <f>0</f>
        <v>0</v>
      </c>
      <c r="D3538" t="s">
        <v>106</v>
      </c>
      <c r="E3538">
        <v>5.8170914542728598</v>
      </c>
    </row>
    <row r="3539" spans="1:5">
      <c r="A3539" t="s">
        <v>4155</v>
      </c>
      <c r="B3539" t="s">
        <v>4156</v>
      </c>
      <c r="C3539">
        <v>0.46598563732800002</v>
      </c>
      <c r="D3539">
        <v>0.83245071739200005</v>
      </c>
      <c r="E3539">
        <v>1.6311844077961</v>
      </c>
    </row>
    <row r="3540" spans="1:5">
      <c r="A3540" t="s">
        <v>4157</v>
      </c>
      <c r="B3540" t="s">
        <v>4158</v>
      </c>
      <c r="C3540">
        <v>0.106606187492</v>
      </c>
      <c r="D3540">
        <v>0.97404352552200002</v>
      </c>
      <c r="E3540">
        <v>5.8170914542728598</v>
      </c>
    </row>
    <row r="3541" spans="1:5">
      <c r="A3541" t="s">
        <v>4157</v>
      </c>
      <c r="B3541" t="s">
        <v>4159</v>
      </c>
      <c r="C3541">
        <v>0.11024582556199999</v>
      </c>
      <c r="D3541">
        <v>0.97404352552200002</v>
      </c>
      <c r="E3541">
        <v>5.8170914542728598</v>
      </c>
    </row>
    <row r="3542" spans="1:5">
      <c r="A3542" t="s">
        <v>4160</v>
      </c>
      <c r="B3542" t="s">
        <v>4161</v>
      </c>
      <c r="C3542">
        <v>0.201036976285</v>
      </c>
      <c r="D3542">
        <v>0.91568079343200004</v>
      </c>
      <c r="E3542">
        <v>1.2713643178410701</v>
      </c>
    </row>
    <row r="3543" spans="1:5">
      <c r="A3543" t="s">
        <v>4160</v>
      </c>
      <c r="B3543" t="s">
        <v>4162</v>
      </c>
      <c r="C3543">
        <v>0</v>
      </c>
      <c r="D3543">
        <v>0.91568079343200004</v>
      </c>
      <c r="E3543">
        <v>1.2713643178410701</v>
      </c>
    </row>
    <row r="3544" spans="1:5">
      <c r="A3544" t="s">
        <v>4160</v>
      </c>
      <c r="B3544" t="s">
        <v>4163</v>
      </c>
      <c r="C3544">
        <v>0.19755714905399999</v>
      </c>
      <c r="D3544">
        <v>0.91568079343200004</v>
      </c>
      <c r="E3544">
        <v>1.2713643178410701</v>
      </c>
    </row>
    <row r="3545" spans="1:5">
      <c r="A3545" t="s">
        <v>4160</v>
      </c>
      <c r="B3545" t="s">
        <v>4164</v>
      </c>
      <c r="C3545">
        <v>0</v>
      </c>
      <c r="D3545">
        <v>0.91568079343200004</v>
      </c>
      <c r="E3545">
        <v>1.2713643178410701</v>
      </c>
    </row>
    <row r="3546" spans="1:5">
      <c r="A3546" t="s">
        <v>4165</v>
      </c>
      <c r="B3546" t="s">
        <v>4166</v>
      </c>
      <c r="C3546">
        <v>0</v>
      </c>
      <c r="D3546" t="s">
        <v>106</v>
      </c>
      <c r="E3546">
        <v>1.6911544227886</v>
      </c>
    </row>
    <row r="3547" spans="1:5">
      <c r="A3547" t="s">
        <v>4167</v>
      </c>
      <c r="B3547" t="s">
        <v>4168</v>
      </c>
      <c r="C3547">
        <f>0</f>
        <v>0</v>
      </c>
      <c r="D3547">
        <v>0.67031817048800002</v>
      </c>
      <c r="E3547">
        <v>11.202398800599701</v>
      </c>
    </row>
    <row r="3548" spans="1:5">
      <c r="A3548" t="s">
        <v>4167</v>
      </c>
      <c r="B3548" t="s">
        <v>4169</v>
      </c>
      <c r="C3548">
        <f>0</f>
        <v>0</v>
      </c>
      <c r="D3548">
        <v>0.67031817048800002</v>
      </c>
      <c r="E3548">
        <v>11.202398800599701</v>
      </c>
    </row>
    <row r="3549" spans="1:5">
      <c r="A3549" t="s">
        <v>4167</v>
      </c>
      <c r="B3549" t="s">
        <v>4170</v>
      </c>
      <c r="C3549">
        <f>0.0615064245611</f>
        <v>6.1506424561099997E-2</v>
      </c>
      <c r="D3549">
        <v>0.67031817048800002</v>
      </c>
      <c r="E3549">
        <v>11.202398800599701</v>
      </c>
    </row>
    <row r="3550" spans="1:5">
      <c r="A3550" t="s">
        <v>4167</v>
      </c>
      <c r="B3550" t="s">
        <v>4171</v>
      </c>
      <c r="C3550">
        <f>0.250122775486</f>
        <v>0.25012277548599998</v>
      </c>
      <c r="D3550">
        <v>0.67031817048800002</v>
      </c>
      <c r="E3550">
        <v>11.202398800599701</v>
      </c>
    </row>
    <row r="3551" spans="1:5">
      <c r="A3551" t="s">
        <v>4172</v>
      </c>
      <c r="B3551" t="s">
        <v>4173</v>
      </c>
      <c r="C3551">
        <v>0.59545568872800003</v>
      </c>
      <c r="D3551">
        <v>0.79198075383900002</v>
      </c>
      <c r="E3551">
        <v>1.6911544227886</v>
      </c>
    </row>
    <row r="3552" spans="1:5">
      <c r="A3552" t="s">
        <v>4174</v>
      </c>
      <c r="B3552" t="s">
        <v>4175</v>
      </c>
      <c r="C3552">
        <v>0.259120001446</v>
      </c>
      <c r="D3552">
        <v>0.99545794212399996</v>
      </c>
      <c r="E3552">
        <v>3.97001499250374</v>
      </c>
    </row>
    <row r="3553" spans="1:5">
      <c r="A3553" t="s">
        <v>4176</v>
      </c>
      <c r="B3553" t="s">
        <v>4177</v>
      </c>
      <c r="C3553">
        <v>0</v>
      </c>
      <c r="D3553">
        <v>0.56126588082999995</v>
      </c>
      <c r="E3553">
        <v>6.5487256371814002</v>
      </c>
    </row>
    <row r="3554" spans="1:5">
      <c r="A3554" t="s">
        <v>4176</v>
      </c>
      <c r="B3554" t="s">
        <v>4178</v>
      </c>
      <c r="C3554">
        <v>0.33227473746699998</v>
      </c>
      <c r="D3554">
        <v>0.56126588082999995</v>
      </c>
      <c r="E3554">
        <v>6.5487256371814002</v>
      </c>
    </row>
    <row r="3555" spans="1:5">
      <c r="A3555" t="s">
        <v>4176</v>
      </c>
      <c r="B3555" t="s">
        <v>4179</v>
      </c>
      <c r="C3555">
        <v>0.29595206029999999</v>
      </c>
      <c r="D3555">
        <v>0.56126588082999995</v>
      </c>
      <c r="E3555">
        <v>6.5487256371814002</v>
      </c>
    </row>
    <row r="3556" spans="1:5">
      <c r="A3556" t="s">
        <v>4180</v>
      </c>
      <c r="B3556" t="s">
        <v>4181</v>
      </c>
      <c r="C3556">
        <v>0.45376225227799999</v>
      </c>
      <c r="D3556">
        <v>0.96911610121900005</v>
      </c>
      <c r="E3556">
        <v>2.0269865067466202</v>
      </c>
    </row>
    <row r="3557" spans="1:5">
      <c r="A3557" t="s">
        <v>4180</v>
      </c>
      <c r="B3557" t="s">
        <v>4182</v>
      </c>
      <c r="C3557">
        <v>0</v>
      </c>
      <c r="D3557">
        <v>0.96911610121900005</v>
      </c>
      <c r="E3557">
        <v>2.0269865067466202</v>
      </c>
    </row>
    <row r="3558" spans="1:5">
      <c r="A3558" t="s">
        <v>4180</v>
      </c>
      <c r="B3558" t="s">
        <v>4183</v>
      </c>
      <c r="C3558">
        <f>0</f>
        <v>0</v>
      </c>
      <c r="D3558">
        <v>0.96911610121900005</v>
      </c>
      <c r="E3558">
        <v>2.0269865067466202</v>
      </c>
    </row>
    <row r="3559" spans="1:5">
      <c r="A3559" t="s">
        <v>4180</v>
      </c>
      <c r="B3559" t="s">
        <v>4184</v>
      </c>
      <c r="C3559">
        <f>0.263513036326</f>
        <v>0.26351303632599998</v>
      </c>
      <c r="D3559">
        <v>0.96911610121900005</v>
      </c>
      <c r="E3559">
        <v>2.0269865067466202</v>
      </c>
    </row>
    <row r="3560" spans="1:5">
      <c r="A3560" t="s">
        <v>4180</v>
      </c>
      <c r="B3560" t="s">
        <v>4185</v>
      </c>
      <c r="C3560">
        <f>0</f>
        <v>0</v>
      </c>
      <c r="D3560">
        <v>0.96911610121900005</v>
      </c>
      <c r="E3560">
        <v>2.0269865067466202</v>
      </c>
    </row>
    <row r="3561" spans="1:5">
      <c r="A3561" t="s">
        <v>4180</v>
      </c>
      <c r="B3561" t="s">
        <v>4186</v>
      </c>
      <c r="C3561">
        <f>0</f>
        <v>0</v>
      </c>
      <c r="D3561">
        <v>0.96911610121900005</v>
      </c>
      <c r="E3561">
        <v>2.0269865067466202</v>
      </c>
    </row>
    <row r="3562" spans="1:5">
      <c r="A3562" t="s">
        <v>4180</v>
      </c>
      <c r="B3562" t="s">
        <v>4187</v>
      </c>
      <c r="C3562">
        <f>0</f>
        <v>0</v>
      </c>
      <c r="D3562">
        <v>0.96911610121900005</v>
      </c>
      <c r="E3562">
        <v>2.0269865067466202</v>
      </c>
    </row>
    <row r="3563" spans="1:5">
      <c r="A3563" t="s">
        <v>4180</v>
      </c>
      <c r="B3563" t="s">
        <v>4188</v>
      </c>
      <c r="C3563">
        <f>0</f>
        <v>0</v>
      </c>
      <c r="D3563">
        <v>0.96911610121900005</v>
      </c>
      <c r="E3563">
        <v>2.0269865067466202</v>
      </c>
    </row>
    <row r="3564" spans="1:5">
      <c r="A3564" t="s">
        <v>4180</v>
      </c>
      <c r="B3564" t="s">
        <v>4189</v>
      </c>
      <c r="C3564">
        <v>0</v>
      </c>
      <c r="D3564">
        <v>0.96911610121900005</v>
      </c>
      <c r="E3564">
        <v>2.0269865067466202</v>
      </c>
    </row>
    <row r="3565" spans="1:5">
      <c r="A3565" t="s">
        <v>4190</v>
      </c>
      <c r="B3565" t="s">
        <v>4191</v>
      </c>
      <c r="C3565">
        <f>0.0166141506598</f>
        <v>1.66141506598E-2</v>
      </c>
      <c r="D3565">
        <v>0.62033843417800005</v>
      </c>
      <c r="E3565">
        <v>3.3103448275862002</v>
      </c>
    </row>
    <row r="3566" spans="1:5">
      <c r="A3566" t="s">
        <v>4190</v>
      </c>
      <c r="B3566" t="s">
        <v>4192</v>
      </c>
      <c r="C3566">
        <f>0</f>
        <v>0</v>
      </c>
      <c r="D3566">
        <v>0.62033843417800005</v>
      </c>
      <c r="E3566">
        <v>3.3103448275862002</v>
      </c>
    </row>
    <row r="3567" spans="1:5">
      <c r="A3567" t="s">
        <v>4190</v>
      </c>
      <c r="B3567" t="s">
        <v>4193</v>
      </c>
      <c r="C3567">
        <f>0.00310764174025</f>
        <v>3.1076417402500001E-3</v>
      </c>
      <c r="D3567">
        <v>0.62033843417800005</v>
      </c>
      <c r="E3567">
        <v>3.3103448275862002</v>
      </c>
    </row>
    <row r="3568" spans="1:5">
      <c r="A3568" t="s">
        <v>4190</v>
      </c>
      <c r="B3568" t="s">
        <v>4194</v>
      </c>
      <c r="C3568">
        <f>0</f>
        <v>0</v>
      </c>
      <c r="D3568">
        <v>0.62033843417800005</v>
      </c>
      <c r="E3568">
        <v>3.3103448275862002</v>
      </c>
    </row>
    <row r="3569" spans="1:5">
      <c r="A3569" t="s">
        <v>4190</v>
      </c>
      <c r="B3569" t="s">
        <v>4195</v>
      </c>
      <c r="C3569">
        <f>0</f>
        <v>0</v>
      </c>
      <c r="D3569">
        <v>0.62033843417800005</v>
      </c>
      <c r="E3569">
        <v>3.3103448275862002</v>
      </c>
    </row>
    <row r="3570" spans="1:5">
      <c r="A3570" t="s">
        <v>4196</v>
      </c>
      <c r="B3570" t="s">
        <v>4197</v>
      </c>
      <c r="C3570">
        <v>0</v>
      </c>
      <c r="D3570">
        <v>0.91960881301200004</v>
      </c>
      <c r="E3570">
        <v>10.5547226386806</v>
      </c>
    </row>
    <row r="3571" spans="1:5">
      <c r="A3571" t="s">
        <v>4196</v>
      </c>
      <c r="B3571" t="s">
        <v>4198</v>
      </c>
      <c r="C3571">
        <f>0</f>
        <v>0</v>
      </c>
      <c r="D3571">
        <v>0.91960881301200004</v>
      </c>
      <c r="E3571">
        <v>10.5547226386806</v>
      </c>
    </row>
    <row r="3572" spans="1:5">
      <c r="A3572" t="s">
        <v>4196</v>
      </c>
      <c r="B3572" t="s">
        <v>4199</v>
      </c>
      <c r="C3572">
        <v>7.1568773176300005E-2</v>
      </c>
      <c r="D3572">
        <v>0.91960881301200004</v>
      </c>
      <c r="E3572">
        <v>10.5547226386806</v>
      </c>
    </row>
    <row r="3573" spans="1:5">
      <c r="A3573" t="s">
        <v>4196</v>
      </c>
      <c r="B3573" t="s">
        <v>4200</v>
      </c>
      <c r="C3573">
        <v>5.6088930687000001E-2</v>
      </c>
      <c r="D3573">
        <v>0.91960881301200004</v>
      </c>
      <c r="E3573">
        <v>10.5547226386806</v>
      </c>
    </row>
    <row r="3574" spans="1:5">
      <c r="A3574" t="s">
        <v>4196</v>
      </c>
      <c r="B3574" t="s">
        <v>4201</v>
      </c>
      <c r="C3574">
        <v>0</v>
      </c>
      <c r="D3574">
        <v>0.91960881301200004</v>
      </c>
      <c r="E3574">
        <v>10.5547226386806</v>
      </c>
    </row>
    <row r="3575" spans="1:5">
      <c r="A3575" t="s">
        <v>4196</v>
      </c>
      <c r="B3575" t="s">
        <v>4202</v>
      </c>
      <c r="C3575">
        <v>0</v>
      </c>
      <c r="D3575">
        <v>0.91960881301200004</v>
      </c>
      <c r="E3575">
        <v>10.5547226386806</v>
      </c>
    </row>
    <row r="3576" spans="1:5">
      <c r="A3576" t="s">
        <v>4196</v>
      </c>
      <c r="B3576" t="s">
        <v>4203</v>
      </c>
      <c r="C3576">
        <f>0</f>
        <v>0</v>
      </c>
      <c r="D3576">
        <v>0.91960881301200004</v>
      </c>
      <c r="E3576">
        <v>10.5547226386806</v>
      </c>
    </row>
    <row r="3577" spans="1:5">
      <c r="A3577" t="s">
        <v>4196</v>
      </c>
      <c r="B3577" t="s">
        <v>4204</v>
      </c>
      <c r="C3577">
        <v>0</v>
      </c>
      <c r="D3577">
        <v>0.91960881301200004</v>
      </c>
      <c r="E3577">
        <v>10.5547226386806</v>
      </c>
    </row>
    <row r="3578" spans="1:5">
      <c r="A3578" t="s">
        <v>4196</v>
      </c>
      <c r="B3578" t="s">
        <v>4205</v>
      </c>
      <c r="C3578">
        <v>0</v>
      </c>
      <c r="D3578">
        <v>0.91960881301200004</v>
      </c>
      <c r="E3578">
        <v>10.5547226386806</v>
      </c>
    </row>
    <row r="3579" spans="1:5">
      <c r="A3579" t="s">
        <v>4196</v>
      </c>
      <c r="B3579" t="s">
        <v>4206</v>
      </c>
      <c r="C3579">
        <f>0</f>
        <v>0</v>
      </c>
      <c r="D3579">
        <v>0.91960881301200004</v>
      </c>
      <c r="E3579">
        <v>10.5547226386806</v>
      </c>
    </row>
    <row r="3580" spans="1:5">
      <c r="A3580" t="s">
        <v>4196</v>
      </c>
      <c r="B3580" t="s">
        <v>4207</v>
      </c>
      <c r="C3580">
        <v>0</v>
      </c>
      <c r="D3580">
        <v>0.91960881301200004</v>
      </c>
      <c r="E3580">
        <v>10.5547226386806</v>
      </c>
    </row>
    <row r="3581" spans="1:5">
      <c r="A3581" t="s">
        <v>4196</v>
      </c>
      <c r="B3581" t="s">
        <v>4208</v>
      </c>
      <c r="C3581">
        <v>0</v>
      </c>
      <c r="D3581">
        <v>0.91960881301200004</v>
      </c>
      <c r="E3581">
        <v>10.5547226386806</v>
      </c>
    </row>
    <row r="3582" spans="1:5">
      <c r="A3582" t="s">
        <v>4196</v>
      </c>
      <c r="B3582" t="s">
        <v>4209</v>
      </c>
      <c r="C3582">
        <f>0</f>
        <v>0</v>
      </c>
      <c r="D3582">
        <v>0.91960881301200004</v>
      </c>
      <c r="E3582">
        <v>10.5547226386806</v>
      </c>
    </row>
    <row r="3583" spans="1:5">
      <c r="A3583" t="s">
        <v>4196</v>
      </c>
      <c r="B3583" t="s">
        <v>4210</v>
      </c>
      <c r="C3583">
        <v>0</v>
      </c>
      <c r="D3583">
        <v>0.91960881301200004</v>
      </c>
      <c r="E3583">
        <v>10.5547226386806</v>
      </c>
    </row>
    <row r="3584" spans="1:5">
      <c r="A3584" t="s">
        <v>4211</v>
      </c>
      <c r="B3584" t="s">
        <v>4212</v>
      </c>
      <c r="C3584">
        <v>0</v>
      </c>
      <c r="D3584" t="s">
        <v>106</v>
      </c>
      <c r="E3584">
        <v>13.2653673163418</v>
      </c>
    </row>
    <row r="3585" spans="1:5">
      <c r="A3585" t="s">
        <v>4213</v>
      </c>
      <c r="B3585" t="s">
        <v>4214</v>
      </c>
      <c r="C3585">
        <v>0</v>
      </c>
      <c r="D3585" t="s">
        <v>106</v>
      </c>
      <c r="E3585">
        <v>4.3778110944527704</v>
      </c>
    </row>
    <row r="3586" spans="1:5">
      <c r="A3586" t="s">
        <v>4215</v>
      </c>
      <c r="B3586" t="s">
        <v>4216</v>
      </c>
      <c r="C3586">
        <v>0</v>
      </c>
      <c r="D3586">
        <v>0.98574687583800003</v>
      </c>
      <c r="E3586">
        <v>11.202398800599701</v>
      </c>
    </row>
    <row r="3587" spans="1:5">
      <c r="A3587" t="s">
        <v>4215</v>
      </c>
      <c r="B3587" t="s">
        <v>4217</v>
      </c>
      <c r="C3587">
        <v>0</v>
      </c>
      <c r="D3587">
        <v>0.98574687583800003</v>
      </c>
      <c r="E3587">
        <v>11.202398800599701</v>
      </c>
    </row>
    <row r="3588" spans="1:5">
      <c r="A3588" t="s">
        <v>4215</v>
      </c>
      <c r="B3588" t="s">
        <v>4218</v>
      </c>
      <c r="C3588">
        <v>0</v>
      </c>
      <c r="D3588">
        <v>0.98574687583800003</v>
      </c>
      <c r="E3588">
        <v>11.202398800599701</v>
      </c>
    </row>
    <row r="3589" spans="1:5">
      <c r="A3589" t="s">
        <v>4215</v>
      </c>
      <c r="B3589" t="s">
        <v>4219</v>
      </c>
      <c r="C3589">
        <v>0</v>
      </c>
      <c r="D3589">
        <v>0.98574687583800003</v>
      </c>
      <c r="E3589">
        <v>11.202398800599701</v>
      </c>
    </row>
    <row r="3590" spans="1:5">
      <c r="A3590" t="s">
        <v>4215</v>
      </c>
      <c r="B3590" t="s">
        <v>4220</v>
      </c>
      <c r="C3590">
        <f>0</f>
        <v>0</v>
      </c>
      <c r="D3590">
        <v>0.98574687583800003</v>
      </c>
      <c r="E3590">
        <v>11.202398800599701</v>
      </c>
    </row>
    <row r="3591" spans="1:5">
      <c r="A3591" t="s">
        <v>4215</v>
      </c>
      <c r="B3591" t="s">
        <v>4221</v>
      </c>
      <c r="C3591">
        <f>0</f>
        <v>0</v>
      </c>
      <c r="D3591">
        <v>0.98574687583800003</v>
      </c>
      <c r="E3591">
        <v>11.202398800599701</v>
      </c>
    </row>
    <row r="3592" spans="1:5">
      <c r="A3592" t="s">
        <v>4215</v>
      </c>
      <c r="B3592" t="s">
        <v>4222</v>
      </c>
      <c r="C3592">
        <v>8.5508795704700005E-2</v>
      </c>
      <c r="D3592">
        <v>0.98574687583800003</v>
      </c>
      <c r="E3592">
        <v>11.202398800599701</v>
      </c>
    </row>
    <row r="3593" spans="1:5">
      <c r="A3593" t="s">
        <v>4215</v>
      </c>
      <c r="B3593" t="s">
        <v>4223</v>
      </c>
      <c r="C3593">
        <v>0.19656057640399999</v>
      </c>
      <c r="D3593">
        <v>0.98574687583800003</v>
      </c>
      <c r="E3593">
        <v>11.202398800599701</v>
      </c>
    </row>
    <row r="3594" spans="1:5">
      <c r="A3594" t="s">
        <v>4215</v>
      </c>
      <c r="B3594" t="s">
        <v>4224</v>
      </c>
      <c r="C3594">
        <v>0</v>
      </c>
      <c r="D3594">
        <v>0.98574687583800003</v>
      </c>
      <c r="E3594">
        <v>11.202398800599701</v>
      </c>
    </row>
    <row r="3595" spans="1:5">
      <c r="A3595" t="s">
        <v>4215</v>
      </c>
      <c r="B3595" t="s">
        <v>4225</v>
      </c>
      <c r="C3595">
        <f>0</f>
        <v>0</v>
      </c>
      <c r="D3595">
        <v>0.98574687583800003</v>
      </c>
      <c r="E3595">
        <v>11.202398800599701</v>
      </c>
    </row>
    <row r="3596" spans="1:5">
      <c r="A3596" t="s">
        <v>4215</v>
      </c>
      <c r="B3596" t="s">
        <v>4226</v>
      </c>
      <c r="C3596">
        <v>0</v>
      </c>
      <c r="D3596">
        <v>0.98574687583800003</v>
      </c>
      <c r="E3596">
        <v>11.202398800599701</v>
      </c>
    </row>
    <row r="3597" spans="1:5">
      <c r="A3597" t="s">
        <v>4215</v>
      </c>
      <c r="B3597" t="s">
        <v>4227</v>
      </c>
      <c r="C3597">
        <f>0</f>
        <v>0</v>
      </c>
      <c r="D3597">
        <v>0.98574687583800003</v>
      </c>
      <c r="E3597">
        <v>11.202398800599701</v>
      </c>
    </row>
    <row r="3598" spans="1:5">
      <c r="A3598" t="s">
        <v>4215</v>
      </c>
      <c r="B3598" t="s">
        <v>4228</v>
      </c>
      <c r="C3598">
        <f>0</f>
        <v>0</v>
      </c>
      <c r="D3598">
        <v>0.98574687583800003</v>
      </c>
      <c r="E3598">
        <v>11.202398800599701</v>
      </c>
    </row>
    <row r="3599" spans="1:5">
      <c r="A3599" t="s">
        <v>4229</v>
      </c>
      <c r="B3599" t="s">
        <v>4230</v>
      </c>
      <c r="C3599">
        <v>0</v>
      </c>
      <c r="D3599" t="s">
        <v>106</v>
      </c>
      <c r="E3599">
        <v>4.1739130434782599</v>
      </c>
    </row>
    <row r="3600" spans="1:5">
      <c r="A3600" t="s">
        <v>4231</v>
      </c>
      <c r="B3600" t="s">
        <v>4232</v>
      </c>
      <c r="C3600">
        <v>0</v>
      </c>
      <c r="D3600">
        <v>0.98204671245399999</v>
      </c>
      <c r="E3600">
        <v>9.9190404797601204</v>
      </c>
    </row>
    <row r="3601" spans="1:5">
      <c r="A3601" t="s">
        <v>4231</v>
      </c>
      <c r="B3601" t="s">
        <v>4233</v>
      </c>
      <c r="C3601">
        <f>0</f>
        <v>0</v>
      </c>
      <c r="D3601">
        <v>0.98204671245399999</v>
      </c>
      <c r="E3601">
        <v>9.9190404797601204</v>
      </c>
    </row>
    <row r="3602" spans="1:5">
      <c r="A3602" t="s">
        <v>4231</v>
      </c>
      <c r="B3602" t="s">
        <v>4234</v>
      </c>
      <c r="C3602">
        <v>0</v>
      </c>
      <c r="D3602">
        <v>0.98204671245399999</v>
      </c>
      <c r="E3602">
        <v>9.9190404797601204</v>
      </c>
    </row>
    <row r="3603" spans="1:5">
      <c r="A3603" t="s">
        <v>4231</v>
      </c>
      <c r="B3603" t="s">
        <v>4235</v>
      </c>
      <c r="C3603">
        <v>0</v>
      </c>
      <c r="D3603">
        <v>0.98204671245399999</v>
      </c>
      <c r="E3603">
        <v>9.9190404797601204</v>
      </c>
    </row>
    <row r="3604" spans="1:5">
      <c r="A3604" t="s">
        <v>4231</v>
      </c>
      <c r="B3604" t="s">
        <v>4236</v>
      </c>
      <c r="C3604">
        <v>0</v>
      </c>
      <c r="D3604">
        <v>0.98204671245399999</v>
      </c>
      <c r="E3604">
        <v>9.9190404797601204</v>
      </c>
    </row>
    <row r="3605" spans="1:5">
      <c r="A3605" t="s">
        <v>4231</v>
      </c>
      <c r="B3605" t="s">
        <v>4237</v>
      </c>
      <c r="C3605">
        <v>8.14330605087E-2</v>
      </c>
      <c r="D3605">
        <v>0.98204671245399999</v>
      </c>
      <c r="E3605">
        <v>9.9190404797601204</v>
      </c>
    </row>
    <row r="3606" spans="1:5">
      <c r="A3606" t="s">
        <v>4231</v>
      </c>
      <c r="B3606" t="s">
        <v>4238</v>
      </c>
      <c r="C3606">
        <v>0</v>
      </c>
      <c r="D3606">
        <v>0.98204671245399999</v>
      </c>
      <c r="E3606">
        <v>9.9190404797601204</v>
      </c>
    </row>
    <row r="3607" spans="1:5">
      <c r="A3607" t="s">
        <v>4231</v>
      </c>
      <c r="B3607" t="s">
        <v>4239</v>
      </c>
      <c r="C3607">
        <v>1.41889666041E-2</v>
      </c>
      <c r="D3607">
        <v>0.98204671245399999</v>
      </c>
      <c r="E3607">
        <v>9.9190404797601204</v>
      </c>
    </row>
    <row r="3608" spans="1:5">
      <c r="A3608" t="s">
        <v>4231</v>
      </c>
      <c r="B3608" t="s">
        <v>4240</v>
      </c>
      <c r="C3608">
        <v>0</v>
      </c>
      <c r="D3608">
        <v>0.98204671245399999</v>
      </c>
      <c r="E3608">
        <v>9.9190404797601204</v>
      </c>
    </row>
    <row r="3609" spans="1:5">
      <c r="A3609" t="s">
        <v>4241</v>
      </c>
      <c r="B3609" t="s">
        <v>4242</v>
      </c>
      <c r="C3609">
        <v>0.24640538359700001</v>
      </c>
      <c r="D3609">
        <v>0.97383579693699995</v>
      </c>
      <c r="E3609">
        <v>2.0269865067466202</v>
      </c>
    </row>
    <row r="3610" spans="1:5">
      <c r="A3610" t="s">
        <v>4241</v>
      </c>
      <c r="B3610" t="s">
        <v>4243</v>
      </c>
      <c r="C3610">
        <v>0</v>
      </c>
      <c r="D3610">
        <v>0.97383579693699995</v>
      </c>
      <c r="E3610">
        <v>2.0269865067466202</v>
      </c>
    </row>
    <row r="3611" spans="1:5">
      <c r="A3611" t="s">
        <v>4241</v>
      </c>
      <c r="B3611" t="s">
        <v>4244</v>
      </c>
      <c r="C3611">
        <v>0</v>
      </c>
      <c r="D3611">
        <v>0.97383579693699995</v>
      </c>
      <c r="E3611">
        <v>2.0269865067466202</v>
      </c>
    </row>
    <row r="3612" spans="1:5">
      <c r="A3612" t="s">
        <v>4241</v>
      </c>
      <c r="B3612" t="s">
        <v>4245</v>
      </c>
      <c r="C3612">
        <v>0</v>
      </c>
      <c r="D3612">
        <v>0.97383579693699995</v>
      </c>
      <c r="E3612">
        <v>2.0269865067466202</v>
      </c>
    </row>
    <row r="3613" spans="1:5">
      <c r="A3613" t="s">
        <v>4246</v>
      </c>
      <c r="B3613" t="s">
        <v>4247</v>
      </c>
      <c r="C3613">
        <f>0</f>
        <v>0</v>
      </c>
      <c r="D3613">
        <v>0.93278515751400004</v>
      </c>
      <c r="E3613">
        <v>8.1439280359820092</v>
      </c>
    </row>
    <row r="3614" spans="1:5">
      <c r="A3614" t="s">
        <v>4246</v>
      </c>
      <c r="B3614" t="s">
        <v>4248</v>
      </c>
      <c r="C3614">
        <f>0</f>
        <v>0</v>
      </c>
      <c r="D3614">
        <v>0.93278515751400004</v>
      </c>
      <c r="E3614">
        <v>8.1439280359820092</v>
      </c>
    </row>
    <row r="3615" spans="1:5">
      <c r="A3615" t="s">
        <v>4246</v>
      </c>
      <c r="B3615" t="s">
        <v>4249</v>
      </c>
      <c r="C3615">
        <f>0</f>
        <v>0</v>
      </c>
      <c r="D3615">
        <v>0.93278515751400004</v>
      </c>
      <c r="E3615">
        <v>8.1439280359820092</v>
      </c>
    </row>
    <row r="3616" spans="1:5">
      <c r="A3616" t="s">
        <v>4246</v>
      </c>
      <c r="B3616" t="s">
        <v>4250</v>
      </c>
      <c r="C3616">
        <f>0</f>
        <v>0</v>
      </c>
      <c r="D3616">
        <v>0.93278515751400004</v>
      </c>
      <c r="E3616">
        <v>8.1439280359820092</v>
      </c>
    </row>
    <row r="3617" spans="1:5">
      <c r="A3617" t="s">
        <v>4246</v>
      </c>
      <c r="B3617" t="s">
        <v>4251</v>
      </c>
      <c r="C3617">
        <f>0.0590564633379</f>
        <v>5.9056463337900003E-2</v>
      </c>
      <c r="D3617">
        <v>0.93278515751400004</v>
      </c>
      <c r="E3617">
        <v>8.1439280359820092</v>
      </c>
    </row>
    <row r="3618" spans="1:5">
      <c r="A3618" t="s">
        <v>4246</v>
      </c>
      <c r="B3618" t="s">
        <v>4252</v>
      </c>
      <c r="C3618">
        <f>0.0611896183155</f>
        <v>6.1189618315500002E-2</v>
      </c>
      <c r="D3618">
        <v>0.93278515751400004</v>
      </c>
      <c r="E3618">
        <v>8.1439280359820092</v>
      </c>
    </row>
    <row r="3619" spans="1:5">
      <c r="A3619" t="s">
        <v>4253</v>
      </c>
      <c r="B3619" t="s">
        <v>4254</v>
      </c>
      <c r="C3619">
        <v>0</v>
      </c>
      <c r="D3619">
        <v>0.77154390690700003</v>
      </c>
      <c r="E3619">
        <v>19.6341829085457</v>
      </c>
    </row>
    <row r="3620" spans="1:5">
      <c r="A3620" t="s">
        <v>4253</v>
      </c>
      <c r="B3620" t="s">
        <v>4255</v>
      </c>
      <c r="C3620">
        <v>0</v>
      </c>
      <c r="D3620">
        <v>0.77154390690700003</v>
      </c>
      <c r="E3620">
        <v>19.6341829085457</v>
      </c>
    </row>
    <row r="3621" spans="1:5">
      <c r="A3621" t="s">
        <v>4253</v>
      </c>
      <c r="B3621" t="s">
        <v>4256</v>
      </c>
      <c r="C3621">
        <f>0</f>
        <v>0</v>
      </c>
      <c r="D3621">
        <v>0.77154390690700003</v>
      </c>
      <c r="E3621">
        <v>19.6341829085457</v>
      </c>
    </row>
    <row r="3622" spans="1:5">
      <c r="A3622" t="s">
        <v>4253</v>
      </c>
      <c r="B3622" t="s">
        <v>4257</v>
      </c>
      <c r="C3622">
        <v>6.5826959660599996E-2</v>
      </c>
      <c r="D3622">
        <v>0.77154390690700003</v>
      </c>
      <c r="E3622">
        <v>19.6341829085457</v>
      </c>
    </row>
    <row r="3623" spans="1:5">
      <c r="A3623" t="s">
        <v>4253</v>
      </c>
      <c r="B3623" t="s">
        <v>4258</v>
      </c>
      <c r="C3623">
        <v>0</v>
      </c>
      <c r="D3623">
        <v>0.77154390690700003</v>
      </c>
      <c r="E3623">
        <v>19.6341829085457</v>
      </c>
    </row>
    <row r="3624" spans="1:5">
      <c r="A3624" t="s">
        <v>4259</v>
      </c>
      <c r="B3624" t="s">
        <v>4260</v>
      </c>
      <c r="C3624">
        <v>0</v>
      </c>
      <c r="D3624">
        <v>0.99700493523099998</v>
      </c>
      <c r="E3624">
        <v>18.770614692653599</v>
      </c>
    </row>
    <row r="3625" spans="1:5">
      <c r="A3625" t="s">
        <v>4259</v>
      </c>
      <c r="B3625" t="s">
        <v>4261</v>
      </c>
      <c r="C3625">
        <f>0</f>
        <v>0</v>
      </c>
      <c r="D3625">
        <v>0.99700493523099998</v>
      </c>
      <c r="E3625">
        <v>18.770614692653599</v>
      </c>
    </row>
    <row r="3626" spans="1:5">
      <c r="A3626" t="s">
        <v>4259</v>
      </c>
      <c r="B3626" t="s">
        <v>4262</v>
      </c>
      <c r="C3626">
        <f>0</f>
        <v>0</v>
      </c>
      <c r="D3626">
        <v>0.99700493523099998</v>
      </c>
      <c r="E3626">
        <v>18.770614692653599</v>
      </c>
    </row>
    <row r="3627" spans="1:5">
      <c r="A3627" t="s">
        <v>4259</v>
      </c>
      <c r="B3627" t="s">
        <v>4263</v>
      </c>
      <c r="C3627">
        <v>0</v>
      </c>
      <c r="D3627">
        <v>0.99700493523099998</v>
      </c>
      <c r="E3627">
        <v>18.770614692653599</v>
      </c>
    </row>
    <row r="3628" spans="1:5">
      <c r="A3628" t="s">
        <v>4259</v>
      </c>
      <c r="B3628" t="s">
        <v>4264</v>
      </c>
      <c r="C3628">
        <v>0</v>
      </c>
      <c r="D3628">
        <v>0.99700493523099998</v>
      </c>
      <c r="E3628">
        <v>18.770614692653599</v>
      </c>
    </row>
    <row r="3629" spans="1:5">
      <c r="A3629" t="s">
        <v>4259</v>
      </c>
      <c r="B3629" t="s">
        <v>4265</v>
      </c>
      <c r="C3629">
        <f>0</f>
        <v>0</v>
      </c>
      <c r="D3629">
        <v>0.99700493523099998</v>
      </c>
      <c r="E3629">
        <v>18.770614692653599</v>
      </c>
    </row>
    <row r="3630" spans="1:5">
      <c r="A3630" t="s">
        <v>4259</v>
      </c>
      <c r="B3630" t="s">
        <v>4266</v>
      </c>
      <c r="C3630">
        <v>0</v>
      </c>
      <c r="D3630">
        <v>0.99700493523099998</v>
      </c>
      <c r="E3630">
        <v>18.770614692653599</v>
      </c>
    </row>
    <row r="3631" spans="1:5">
      <c r="A3631" t="s">
        <v>4259</v>
      </c>
      <c r="B3631" t="s">
        <v>4267</v>
      </c>
      <c r="C3631">
        <f>0</f>
        <v>0</v>
      </c>
      <c r="D3631">
        <v>0.99700493523099998</v>
      </c>
      <c r="E3631">
        <v>18.770614692653599</v>
      </c>
    </row>
    <row r="3632" spans="1:5">
      <c r="A3632" t="s">
        <v>4259</v>
      </c>
      <c r="B3632" t="s">
        <v>4268</v>
      </c>
      <c r="C3632">
        <f>0</f>
        <v>0</v>
      </c>
      <c r="D3632">
        <v>0.99700493523099998</v>
      </c>
      <c r="E3632">
        <v>18.770614692653599</v>
      </c>
    </row>
    <row r="3633" spans="1:5">
      <c r="A3633" t="s">
        <v>4259</v>
      </c>
      <c r="B3633" t="s">
        <v>4269</v>
      </c>
      <c r="C3633">
        <v>0</v>
      </c>
      <c r="D3633">
        <v>0.99700493523099998</v>
      </c>
      <c r="E3633">
        <v>18.770614692653599</v>
      </c>
    </row>
    <row r="3634" spans="1:5">
      <c r="A3634" t="s">
        <v>4259</v>
      </c>
      <c r="B3634" t="s">
        <v>4270</v>
      </c>
      <c r="C3634">
        <v>0</v>
      </c>
      <c r="D3634">
        <v>0.99700493523099998</v>
      </c>
      <c r="E3634">
        <v>18.770614692653599</v>
      </c>
    </row>
    <row r="3635" spans="1:5">
      <c r="A3635" t="s">
        <v>4259</v>
      </c>
      <c r="B3635" t="s">
        <v>4271</v>
      </c>
      <c r="C3635">
        <f>0</f>
        <v>0</v>
      </c>
      <c r="D3635">
        <v>0.99700493523099998</v>
      </c>
      <c r="E3635">
        <v>18.770614692653599</v>
      </c>
    </row>
    <row r="3636" spans="1:5">
      <c r="A3636" t="s">
        <v>4272</v>
      </c>
      <c r="B3636" t="s">
        <v>4273</v>
      </c>
      <c r="C3636">
        <v>0</v>
      </c>
      <c r="D3636" t="s">
        <v>106</v>
      </c>
      <c r="E3636">
        <v>16.491754122938499</v>
      </c>
    </row>
    <row r="3637" spans="1:5">
      <c r="A3637" t="s">
        <v>4274</v>
      </c>
      <c r="B3637" t="s">
        <v>4275</v>
      </c>
      <c r="C3637">
        <v>8.4508295719700005E-2</v>
      </c>
      <c r="D3637">
        <v>0.99089270197500001</v>
      </c>
      <c r="E3637">
        <v>15.700149925037399</v>
      </c>
    </row>
    <row r="3638" spans="1:5">
      <c r="A3638" t="s">
        <v>4274</v>
      </c>
      <c r="B3638" t="s">
        <v>4276</v>
      </c>
      <c r="C3638">
        <v>0</v>
      </c>
      <c r="D3638">
        <v>0.99089270197500001</v>
      </c>
      <c r="E3638">
        <v>15.700149925037399</v>
      </c>
    </row>
    <row r="3639" spans="1:5">
      <c r="A3639" t="s">
        <v>4274</v>
      </c>
      <c r="B3639" t="s">
        <v>4277</v>
      </c>
      <c r="C3639">
        <f>0</f>
        <v>0</v>
      </c>
      <c r="D3639">
        <v>0.99089270197500001</v>
      </c>
      <c r="E3639">
        <v>15.700149925037399</v>
      </c>
    </row>
    <row r="3640" spans="1:5">
      <c r="A3640" t="s">
        <v>4274</v>
      </c>
      <c r="B3640" t="s">
        <v>4278</v>
      </c>
      <c r="C3640">
        <f>0</f>
        <v>0</v>
      </c>
      <c r="D3640">
        <v>0.99089270197500001</v>
      </c>
      <c r="E3640">
        <v>15.700149925037399</v>
      </c>
    </row>
    <row r="3641" spans="1:5">
      <c r="A3641" t="s">
        <v>4274</v>
      </c>
      <c r="B3641" t="s">
        <v>4279</v>
      </c>
      <c r="C3641">
        <v>0</v>
      </c>
      <c r="D3641">
        <v>0.99089270197500001</v>
      </c>
      <c r="E3641">
        <v>15.700149925037399</v>
      </c>
    </row>
    <row r="3642" spans="1:5">
      <c r="A3642" t="s">
        <v>4274</v>
      </c>
      <c r="B3642" t="s">
        <v>4280</v>
      </c>
      <c r="C3642">
        <v>0</v>
      </c>
      <c r="D3642">
        <v>0.99089270197500001</v>
      </c>
      <c r="E3642">
        <v>15.700149925037399</v>
      </c>
    </row>
    <row r="3643" spans="1:5">
      <c r="A3643" t="s">
        <v>4274</v>
      </c>
      <c r="B3643" t="s">
        <v>4281</v>
      </c>
      <c r="C3643">
        <v>0</v>
      </c>
      <c r="D3643">
        <v>0.99089270197500001</v>
      </c>
      <c r="E3643">
        <v>15.700149925037399</v>
      </c>
    </row>
    <row r="3644" spans="1:5">
      <c r="A3644" t="s">
        <v>4274</v>
      </c>
      <c r="B3644" t="s">
        <v>4282</v>
      </c>
      <c r="C3644">
        <f>0</f>
        <v>0</v>
      </c>
      <c r="D3644">
        <v>0.99089270197500001</v>
      </c>
      <c r="E3644">
        <v>15.700149925037399</v>
      </c>
    </row>
    <row r="3645" spans="1:5">
      <c r="A3645" t="s">
        <v>4274</v>
      </c>
      <c r="B3645" t="s">
        <v>4283</v>
      </c>
      <c r="C3645">
        <v>0</v>
      </c>
      <c r="D3645">
        <v>0.99089270197500001</v>
      </c>
      <c r="E3645">
        <v>15.700149925037399</v>
      </c>
    </row>
    <row r="3646" spans="1:5">
      <c r="A3646" t="s">
        <v>4274</v>
      </c>
      <c r="B3646" t="s">
        <v>4284</v>
      </c>
      <c r="C3646">
        <v>0</v>
      </c>
      <c r="D3646">
        <v>0.99089270197500001</v>
      </c>
      <c r="E3646">
        <v>15.700149925037399</v>
      </c>
    </row>
    <row r="3647" spans="1:5">
      <c r="A3647" t="s">
        <v>4274</v>
      </c>
      <c r="B3647" t="s">
        <v>4285</v>
      </c>
      <c r="C3647">
        <v>0</v>
      </c>
      <c r="D3647">
        <v>0.99089270197500001</v>
      </c>
      <c r="E3647">
        <v>15.700149925037399</v>
      </c>
    </row>
    <row r="3648" spans="1:5">
      <c r="A3648" t="s">
        <v>4274</v>
      </c>
      <c r="B3648" t="s">
        <v>4286</v>
      </c>
      <c r="C3648">
        <v>0</v>
      </c>
      <c r="D3648">
        <v>0.99089270197500001</v>
      </c>
      <c r="E3648">
        <v>15.700149925037399</v>
      </c>
    </row>
    <row r="3649" spans="1:5">
      <c r="A3649" t="s">
        <v>4274</v>
      </c>
      <c r="B3649" t="s">
        <v>4287</v>
      </c>
      <c r="C3649">
        <v>0</v>
      </c>
      <c r="D3649">
        <v>0.99089270197500001</v>
      </c>
      <c r="E3649">
        <v>15.700149925037399</v>
      </c>
    </row>
    <row r="3650" spans="1:5">
      <c r="A3650" t="s">
        <v>4274</v>
      </c>
      <c r="B3650" t="s">
        <v>4288</v>
      </c>
      <c r="C3650">
        <v>0</v>
      </c>
      <c r="D3650">
        <v>0.99089270197500001</v>
      </c>
      <c r="E3650">
        <v>15.700149925037399</v>
      </c>
    </row>
    <row r="3651" spans="1:5">
      <c r="A3651" t="s">
        <v>4274</v>
      </c>
      <c r="B3651" t="s">
        <v>4289</v>
      </c>
      <c r="C3651">
        <f>0</f>
        <v>0</v>
      </c>
      <c r="D3651">
        <v>0.99089270197500001</v>
      </c>
      <c r="E3651">
        <v>15.700149925037399</v>
      </c>
    </row>
    <row r="3652" spans="1:5">
      <c r="A3652" t="s">
        <v>4274</v>
      </c>
      <c r="B3652" t="s">
        <v>4290</v>
      </c>
      <c r="C3652">
        <f>0</f>
        <v>0</v>
      </c>
      <c r="D3652">
        <v>0.99089270197500001</v>
      </c>
      <c r="E3652">
        <v>15.700149925037399</v>
      </c>
    </row>
    <row r="3653" spans="1:5">
      <c r="A3653" t="s">
        <v>4274</v>
      </c>
      <c r="B3653" t="s">
        <v>4291</v>
      </c>
      <c r="C3653">
        <v>0</v>
      </c>
      <c r="D3653">
        <v>0.99089270197500001</v>
      </c>
      <c r="E3653">
        <v>15.700149925037399</v>
      </c>
    </row>
    <row r="3654" spans="1:5">
      <c r="A3654" t="s">
        <v>4274</v>
      </c>
      <c r="B3654" t="s">
        <v>4292</v>
      </c>
      <c r="C3654">
        <v>1.06854133292E-2</v>
      </c>
      <c r="D3654">
        <v>0.99089270197500001</v>
      </c>
      <c r="E3654">
        <v>15.700149925037399</v>
      </c>
    </row>
    <row r="3655" spans="1:5">
      <c r="A3655" t="s">
        <v>4274</v>
      </c>
      <c r="B3655" t="s">
        <v>4293</v>
      </c>
      <c r="C3655">
        <v>0</v>
      </c>
      <c r="D3655">
        <v>0.99089270197500001</v>
      </c>
      <c r="E3655">
        <v>15.700149925037399</v>
      </c>
    </row>
    <row r="3656" spans="1:5">
      <c r="A3656" t="s">
        <v>4294</v>
      </c>
      <c r="B3656" t="s">
        <v>4295</v>
      </c>
      <c r="C3656">
        <f>0.700496871158</f>
        <v>0.70049687115799997</v>
      </c>
      <c r="D3656">
        <v>0.98297853615499997</v>
      </c>
      <c r="E3656">
        <v>1.45127436281859</v>
      </c>
    </row>
    <row r="3657" spans="1:5">
      <c r="A3657" t="s">
        <v>4294</v>
      </c>
      <c r="B3657" t="s">
        <v>4296</v>
      </c>
      <c r="C3657">
        <v>0.73310910851900002</v>
      </c>
      <c r="D3657">
        <v>0.98297853615499997</v>
      </c>
      <c r="E3657">
        <v>1.45127436281859</v>
      </c>
    </row>
    <row r="3658" spans="1:5">
      <c r="A3658" t="s">
        <v>4297</v>
      </c>
      <c r="B3658" t="s">
        <v>4298</v>
      </c>
      <c r="C3658">
        <v>0</v>
      </c>
      <c r="D3658" t="s">
        <v>106</v>
      </c>
      <c r="E3658">
        <v>16.695652173913</v>
      </c>
    </row>
    <row r="3659" spans="1:5">
      <c r="A3659" t="s">
        <v>4297</v>
      </c>
      <c r="B3659" t="s">
        <v>4299</v>
      </c>
      <c r="C3659">
        <v>0</v>
      </c>
      <c r="D3659" t="s">
        <v>106</v>
      </c>
      <c r="E3659">
        <v>16.695652173913</v>
      </c>
    </row>
    <row r="3660" spans="1:5">
      <c r="A3660" t="s">
        <v>4297</v>
      </c>
      <c r="B3660" t="s">
        <v>4300</v>
      </c>
      <c r="C3660">
        <v>0</v>
      </c>
      <c r="D3660" t="s">
        <v>106</v>
      </c>
      <c r="E3660">
        <v>16.695652173913</v>
      </c>
    </row>
    <row r="3661" spans="1:5">
      <c r="A3661" t="s">
        <v>4297</v>
      </c>
      <c r="B3661" t="s">
        <v>4301</v>
      </c>
      <c r="C3661">
        <v>3.0090678916000001E-2</v>
      </c>
      <c r="D3661" t="s">
        <v>106</v>
      </c>
      <c r="E3661">
        <v>16.695652173913</v>
      </c>
    </row>
    <row r="3662" spans="1:5">
      <c r="A3662" t="s">
        <v>4297</v>
      </c>
      <c r="B3662" t="s">
        <v>4302</v>
      </c>
      <c r="C3662">
        <v>0</v>
      </c>
      <c r="D3662" t="s">
        <v>106</v>
      </c>
      <c r="E3662">
        <v>16.695652173913</v>
      </c>
    </row>
    <row r="3663" spans="1:5">
      <c r="A3663" t="s">
        <v>4297</v>
      </c>
      <c r="B3663" t="s">
        <v>4303</v>
      </c>
      <c r="C3663">
        <v>0.116460913628</v>
      </c>
      <c r="D3663" t="s">
        <v>106</v>
      </c>
      <c r="E3663">
        <v>16.695652173913</v>
      </c>
    </row>
    <row r="3664" spans="1:5">
      <c r="A3664" t="s">
        <v>4304</v>
      </c>
      <c r="B3664" t="s">
        <v>4305</v>
      </c>
      <c r="C3664">
        <v>0</v>
      </c>
      <c r="D3664" t="s">
        <v>106</v>
      </c>
      <c r="E3664">
        <v>11.202398800599701</v>
      </c>
    </row>
    <row r="3665" spans="1:5">
      <c r="A3665" t="s">
        <v>4304</v>
      </c>
      <c r="B3665" t="s">
        <v>4306</v>
      </c>
      <c r="C3665">
        <f>0</f>
        <v>0</v>
      </c>
      <c r="D3665" t="s">
        <v>106</v>
      </c>
      <c r="E3665">
        <v>11.202398800599701</v>
      </c>
    </row>
    <row r="3666" spans="1:5">
      <c r="A3666" t="s">
        <v>4304</v>
      </c>
      <c r="B3666" t="s">
        <v>4307</v>
      </c>
      <c r="C3666">
        <v>0</v>
      </c>
      <c r="D3666" t="s">
        <v>106</v>
      </c>
      <c r="E3666">
        <v>11.202398800599701</v>
      </c>
    </row>
    <row r="3667" spans="1:5">
      <c r="A3667" t="s">
        <v>4304</v>
      </c>
      <c r="B3667" t="s">
        <v>4308</v>
      </c>
      <c r="C3667">
        <f>0</f>
        <v>0</v>
      </c>
      <c r="D3667" t="s">
        <v>106</v>
      </c>
      <c r="E3667">
        <v>11.202398800599701</v>
      </c>
    </row>
    <row r="3668" spans="1:5">
      <c r="A3668" t="s">
        <v>4304</v>
      </c>
      <c r="B3668" t="s">
        <v>4309</v>
      </c>
      <c r="C3668">
        <v>0</v>
      </c>
      <c r="D3668" t="s">
        <v>106</v>
      </c>
      <c r="E3668">
        <v>11.202398800599701</v>
      </c>
    </row>
    <row r="3669" spans="1:5">
      <c r="A3669" t="s">
        <v>4310</v>
      </c>
      <c r="B3669" t="s">
        <v>4311</v>
      </c>
      <c r="C3669">
        <f>0</f>
        <v>0</v>
      </c>
      <c r="D3669" t="s">
        <v>106</v>
      </c>
      <c r="E3669">
        <v>1.89505247376311</v>
      </c>
    </row>
    <row r="3670" spans="1:5">
      <c r="A3670" t="s">
        <v>4310</v>
      </c>
      <c r="B3670" t="s">
        <v>4312</v>
      </c>
      <c r="C3670">
        <f>0</f>
        <v>0</v>
      </c>
      <c r="D3670" t="s">
        <v>106</v>
      </c>
      <c r="E3670">
        <v>1.89505247376311</v>
      </c>
    </row>
    <row r="3671" spans="1:5">
      <c r="A3671" t="s">
        <v>4313</v>
      </c>
      <c r="B3671" t="s">
        <v>4314</v>
      </c>
      <c r="C3671">
        <v>0</v>
      </c>
      <c r="D3671">
        <v>0.92049872754700002</v>
      </c>
      <c r="E3671">
        <v>24</v>
      </c>
    </row>
    <row r="3672" spans="1:5">
      <c r="A3672" t="s">
        <v>4313</v>
      </c>
      <c r="B3672" t="s">
        <v>4315</v>
      </c>
      <c r="C3672">
        <v>0</v>
      </c>
      <c r="D3672">
        <v>0.92049872754700002</v>
      </c>
      <c r="E3672">
        <v>24</v>
      </c>
    </row>
    <row r="3673" spans="1:5">
      <c r="A3673" t="s">
        <v>4316</v>
      </c>
      <c r="B3673" t="s">
        <v>4317</v>
      </c>
      <c r="C3673">
        <v>0</v>
      </c>
      <c r="D3673">
        <v>0.95822924919600005</v>
      </c>
      <c r="E3673">
        <v>6.4287856071964002</v>
      </c>
    </row>
    <row r="3674" spans="1:5">
      <c r="A3674" t="s">
        <v>4316</v>
      </c>
      <c r="B3674" t="s">
        <v>4318</v>
      </c>
      <c r="C3674">
        <f>0</f>
        <v>0</v>
      </c>
      <c r="D3674">
        <v>0.95822924919600005</v>
      </c>
      <c r="E3674">
        <v>6.4287856071964002</v>
      </c>
    </row>
    <row r="3675" spans="1:5">
      <c r="A3675" t="s">
        <v>4316</v>
      </c>
      <c r="B3675" t="s">
        <v>4319</v>
      </c>
      <c r="C3675">
        <f>0.438816829717</f>
        <v>0.43881682971699998</v>
      </c>
      <c r="D3675">
        <v>0.95822924919600005</v>
      </c>
      <c r="E3675">
        <v>6.4287856071964002</v>
      </c>
    </row>
    <row r="3676" spans="1:5">
      <c r="A3676" t="s">
        <v>4316</v>
      </c>
      <c r="B3676" t="s">
        <v>4320</v>
      </c>
      <c r="C3676">
        <f>0</f>
        <v>0</v>
      </c>
      <c r="D3676">
        <v>0.95822924919600005</v>
      </c>
      <c r="E3676">
        <v>6.4287856071964002</v>
      </c>
    </row>
    <row r="3677" spans="1:5">
      <c r="A3677" t="s">
        <v>4316</v>
      </c>
      <c r="B3677" t="s">
        <v>4321</v>
      </c>
      <c r="C3677">
        <v>1.11461117133E-3</v>
      </c>
      <c r="D3677">
        <v>0.95822924919600005</v>
      </c>
      <c r="E3677">
        <v>6.4287856071964002</v>
      </c>
    </row>
    <row r="3678" spans="1:5">
      <c r="A3678" t="s">
        <v>4322</v>
      </c>
      <c r="B3678" t="s">
        <v>4323</v>
      </c>
      <c r="C3678">
        <v>6.6275365959300003E-2</v>
      </c>
      <c r="D3678">
        <v>0.78972870353799995</v>
      </c>
      <c r="E3678">
        <v>24</v>
      </c>
    </row>
    <row r="3679" spans="1:5">
      <c r="A3679" t="s">
        <v>4324</v>
      </c>
      <c r="B3679" t="s">
        <v>4325</v>
      </c>
      <c r="C3679">
        <f>0.180872329486</f>
        <v>0.18087232948599999</v>
      </c>
      <c r="D3679">
        <v>0.99857690140900002</v>
      </c>
      <c r="E3679">
        <v>24</v>
      </c>
    </row>
    <row r="3680" spans="1:5">
      <c r="A3680" t="s">
        <v>4326</v>
      </c>
      <c r="B3680" t="s">
        <v>4327</v>
      </c>
      <c r="C3680">
        <v>8.9472524477300003E-2</v>
      </c>
      <c r="D3680" t="s">
        <v>106</v>
      </c>
      <c r="E3680">
        <v>24</v>
      </c>
    </row>
    <row r="3681" spans="1:5">
      <c r="A3681" t="s">
        <v>4326</v>
      </c>
      <c r="B3681" t="s">
        <v>4328</v>
      </c>
      <c r="C3681">
        <v>0</v>
      </c>
      <c r="D3681" t="s">
        <v>106</v>
      </c>
      <c r="E3681">
        <v>24</v>
      </c>
    </row>
    <row r="3682" spans="1:5">
      <c r="A3682" t="s">
        <v>4326</v>
      </c>
      <c r="B3682" t="s">
        <v>4329</v>
      </c>
      <c r="C3682">
        <v>0</v>
      </c>
      <c r="D3682" t="s">
        <v>106</v>
      </c>
      <c r="E3682">
        <v>24</v>
      </c>
    </row>
    <row r="3683" spans="1:5">
      <c r="A3683" t="s">
        <v>4326</v>
      </c>
      <c r="B3683" t="s">
        <v>4330</v>
      </c>
      <c r="C3683">
        <v>0</v>
      </c>
      <c r="D3683" t="s">
        <v>106</v>
      </c>
      <c r="E3683">
        <v>24</v>
      </c>
    </row>
    <row r="3684" spans="1:5">
      <c r="A3684" t="s">
        <v>4326</v>
      </c>
      <c r="B3684" t="s">
        <v>4331</v>
      </c>
      <c r="C3684">
        <v>0</v>
      </c>
      <c r="D3684" t="s">
        <v>106</v>
      </c>
      <c r="E3684">
        <v>24</v>
      </c>
    </row>
    <row r="3685" spans="1:5">
      <c r="A3685" t="s">
        <v>4326</v>
      </c>
      <c r="B3685" t="s">
        <v>4332</v>
      </c>
      <c r="C3685">
        <v>0</v>
      </c>
      <c r="D3685" t="s">
        <v>106</v>
      </c>
      <c r="E3685">
        <v>24</v>
      </c>
    </row>
    <row r="3686" spans="1:5">
      <c r="A3686" t="s">
        <v>4326</v>
      </c>
      <c r="B3686" t="s">
        <v>4333</v>
      </c>
      <c r="C3686">
        <f>0</f>
        <v>0</v>
      </c>
      <c r="D3686" t="s">
        <v>106</v>
      </c>
      <c r="E3686">
        <v>24</v>
      </c>
    </row>
    <row r="3687" spans="1:5">
      <c r="A3687" t="s">
        <v>4326</v>
      </c>
      <c r="B3687" t="s">
        <v>4334</v>
      </c>
      <c r="C3687">
        <v>0</v>
      </c>
      <c r="D3687" t="s">
        <v>106</v>
      </c>
      <c r="E3687">
        <v>24</v>
      </c>
    </row>
    <row r="3688" spans="1:5">
      <c r="A3688" t="s">
        <v>4326</v>
      </c>
      <c r="B3688" t="s">
        <v>4335</v>
      </c>
      <c r="C3688">
        <v>8.2534309259999994E-2</v>
      </c>
      <c r="D3688" t="s">
        <v>106</v>
      </c>
      <c r="E3688">
        <v>24</v>
      </c>
    </row>
    <row r="3689" spans="1:5">
      <c r="A3689" t="s">
        <v>4326</v>
      </c>
      <c r="B3689" t="s">
        <v>4336</v>
      </c>
      <c r="C3689">
        <v>0</v>
      </c>
      <c r="D3689" t="s">
        <v>106</v>
      </c>
      <c r="E3689">
        <v>24</v>
      </c>
    </row>
    <row r="3690" spans="1:5">
      <c r="A3690" t="s">
        <v>4337</v>
      </c>
      <c r="B3690" t="s">
        <v>4338</v>
      </c>
      <c r="C3690">
        <f>0</f>
        <v>0</v>
      </c>
      <c r="D3690">
        <v>0.99337224460700002</v>
      </c>
      <c r="E3690">
        <v>0.503748125937031</v>
      </c>
    </row>
    <row r="3691" spans="1:5">
      <c r="A3691" t="s">
        <v>4337</v>
      </c>
      <c r="B3691" t="s">
        <v>4339</v>
      </c>
      <c r="C3691">
        <f>0</f>
        <v>0</v>
      </c>
      <c r="D3691">
        <v>0.99337224460700002</v>
      </c>
      <c r="E3691">
        <v>0.503748125937031</v>
      </c>
    </row>
    <row r="3692" spans="1:5">
      <c r="A3692" t="s">
        <v>4337</v>
      </c>
      <c r="B3692" t="s">
        <v>4340</v>
      </c>
      <c r="C3692">
        <f>0.334627937052</f>
        <v>0.334627937052</v>
      </c>
      <c r="D3692">
        <v>0.99337224460700002</v>
      </c>
      <c r="E3692">
        <v>0.503748125937031</v>
      </c>
    </row>
    <row r="3693" spans="1:5">
      <c r="A3693" t="s">
        <v>4337</v>
      </c>
      <c r="B3693" t="s">
        <v>4341</v>
      </c>
      <c r="C3693">
        <f>0</f>
        <v>0</v>
      </c>
      <c r="D3693">
        <v>0.99337224460700002</v>
      </c>
      <c r="E3693">
        <v>0.503748125937031</v>
      </c>
    </row>
    <row r="3694" spans="1:5">
      <c r="A3694" t="s">
        <v>4337</v>
      </c>
      <c r="B3694" t="s">
        <v>4342</v>
      </c>
      <c r="C3694">
        <f>0.141948562522</f>
        <v>0.141948562522</v>
      </c>
      <c r="D3694">
        <v>0.99337224460700002</v>
      </c>
      <c r="E3694">
        <v>0.503748125937031</v>
      </c>
    </row>
    <row r="3695" spans="1:5">
      <c r="A3695" t="s">
        <v>4337</v>
      </c>
      <c r="B3695" t="s">
        <v>4343</v>
      </c>
      <c r="C3695">
        <f>0</f>
        <v>0</v>
      </c>
      <c r="D3695">
        <v>0.99337224460700002</v>
      </c>
      <c r="E3695">
        <v>0.503748125937031</v>
      </c>
    </row>
    <row r="3696" spans="1:5">
      <c r="A3696" t="s">
        <v>4337</v>
      </c>
      <c r="B3696" t="s">
        <v>4344</v>
      </c>
      <c r="C3696">
        <f>0</f>
        <v>0</v>
      </c>
      <c r="D3696">
        <v>0.99337224460700002</v>
      </c>
      <c r="E3696">
        <v>0.503748125937031</v>
      </c>
    </row>
    <row r="3697" spans="1:5">
      <c r="A3697" t="s">
        <v>4345</v>
      </c>
      <c r="B3697" t="s">
        <v>4346</v>
      </c>
      <c r="C3697">
        <f>0</f>
        <v>0</v>
      </c>
      <c r="D3697">
        <v>0.91428968445500003</v>
      </c>
      <c r="E3697">
        <v>8.0119940029985006</v>
      </c>
    </row>
    <row r="3698" spans="1:5">
      <c r="A3698" t="s">
        <v>4345</v>
      </c>
      <c r="B3698" t="s">
        <v>4347</v>
      </c>
      <c r="C3698">
        <f>0.0314826717984</f>
        <v>3.1482671798400003E-2</v>
      </c>
      <c r="D3698">
        <v>0.91428968445500003</v>
      </c>
      <c r="E3698">
        <v>8.0119940029985006</v>
      </c>
    </row>
    <row r="3699" spans="1:5">
      <c r="A3699" t="s">
        <v>4345</v>
      </c>
      <c r="B3699" t="s">
        <v>4348</v>
      </c>
      <c r="C3699">
        <f>0.0189554079581</f>
        <v>1.8955407958099999E-2</v>
      </c>
      <c r="D3699">
        <v>0.91428968445500003</v>
      </c>
      <c r="E3699">
        <v>8.0119940029985006</v>
      </c>
    </row>
    <row r="3700" spans="1:5">
      <c r="A3700" t="s">
        <v>4345</v>
      </c>
      <c r="B3700" t="s">
        <v>4349</v>
      </c>
      <c r="C3700">
        <f>0</f>
        <v>0</v>
      </c>
      <c r="D3700">
        <v>0.91428968445500003</v>
      </c>
      <c r="E3700">
        <v>8.0119940029985006</v>
      </c>
    </row>
    <row r="3701" spans="1:5">
      <c r="A3701" t="s">
        <v>4350</v>
      </c>
      <c r="B3701" t="s">
        <v>4351</v>
      </c>
      <c r="C3701">
        <f>0</f>
        <v>0</v>
      </c>
      <c r="D3701">
        <v>0.85154850394500003</v>
      </c>
      <c r="E3701">
        <v>8.8635682158920499</v>
      </c>
    </row>
    <row r="3702" spans="1:5">
      <c r="A3702" t="s">
        <v>4350</v>
      </c>
      <c r="B3702" t="s">
        <v>4352</v>
      </c>
      <c r="C3702">
        <f>0</f>
        <v>0</v>
      </c>
      <c r="D3702">
        <v>0.85154850394500003</v>
      </c>
      <c r="E3702">
        <v>8.8635682158920499</v>
      </c>
    </row>
    <row r="3703" spans="1:5">
      <c r="A3703" t="s">
        <v>4350</v>
      </c>
      <c r="B3703" t="s">
        <v>4353</v>
      </c>
      <c r="C3703">
        <f>0</f>
        <v>0</v>
      </c>
      <c r="D3703">
        <v>0.85154850394500003</v>
      </c>
      <c r="E3703">
        <v>8.8635682158920499</v>
      </c>
    </row>
    <row r="3704" spans="1:5">
      <c r="A3704" t="s">
        <v>4350</v>
      </c>
      <c r="B3704" t="s">
        <v>4354</v>
      </c>
      <c r="C3704">
        <f>0.0777304357072</f>
        <v>7.7730435707199994E-2</v>
      </c>
      <c r="D3704">
        <v>0.85154850394500003</v>
      </c>
      <c r="E3704">
        <v>8.8635682158920499</v>
      </c>
    </row>
    <row r="3705" spans="1:5">
      <c r="A3705" t="s">
        <v>4350</v>
      </c>
      <c r="B3705" t="s">
        <v>4355</v>
      </c>
      <c r="C3705">
        <f>0</f>
        <v>0</v>
      </c>
      <c r="D3705">
        <v>0.85154850394500003</v>
      </c>
      <c r="E3705">
        <v>8.8635682158920499</v>
      </c>
    </row>
    <row r="3706" spans="1:5">
      <c r="A3706" t="s">
        <v>4350</v>
      </c>
      <c r="B3706" t="s">
        <v>4356</v>
      </c>
      <c r="C3706">
        <f>0</f>
        <v>0</v>
      </c>
      <c r="D3706">
        <v>0.85154850394500003</v>
      </c>
      <c r="E3706">
        <v>8.8635682158920499</v>
      </c>
    </row>
    <row r="3707" spans="1:5">
      <c r="A3707" t="s">
        <v>4357</v>
      </c>
      <c r="B3707" t="s">
        <v>4358</v>
      </c>
      <c r="C3707">
        <v>0.22843482933299999</v>
      </c>
      <c r="D3707">
        <v>0.94693447691099997</v>
      </c>
      <c r="E3707">
        <v>1.8230884557721101</v>
      </c>
    </row>
    <row r="3708" spans="1:5">
      <c r="A3708" t="s">
        <v>4357</v>
      </c>
      <c r="B3708" t="s">
        <v>4359</v>
      </c>
      <c r="C3708">
        <v>5.13409374517E-2</v>
      </c>
      <c r="D3708">
        <v>0.94693447691099997</v>
      </c>
      <c r="E3708">
        <v>1.8230884557721101</v>
      </c>
    </row>
    <row r="3709" spans="1:5">
      <c r="A3709" t="s">
        <v>4357</v>
      </c>
      <c r="B3709" t="s">
        <v>4360</v>
      </c>
      <c r="C3709">
        <v>0</v>
      </c>
      <c r="D3709">
        <v>0.94693447691099997</v>
      </c>
      <c r="E3709">
        <v>1.8230884557721101</v>
      </c>
    </row>
    <row r="3710" spans="1:5">
      <c r="A3710" t="s">
        <v>4361</v>
      </c>
      <c r="B3710" t="s">
        <v>4362</v>
      </c>
      <c r="C3710">
        <v>0.58181089732900004</v>
      </c>
      <c r="D3710">
        <v>0.99614358155600002</v>
      </c>
      <c r="E3710">
        <v>12.9175412293853</v>
      </c>
    </row>
    <row r="3711" spans="1:5">
      <c r="A3711" t="s">
        <v>4361</v>
      </c>
      <c r="B3711" t="s">
        <v>4363</v>
      </c>
      <c r="C3711">
        <v>3.7764700686599997E-2</v>
      </c>
      <c r="D3711">
        <v>0.99614358155600002</v>
      </c>
      <c r="E3711">
        <v>12.9175412293853</v>
      </c>
    </row>
    <row r="3712" spans="1:5">
      <c r="A3712" t="s">
        <v>4364</v>
      </c>
      <c r="B3712" t="s">
        <v>4365</v>
      </c>
      <c r="C3712">
        <v>0.22741660116000001</v>
      </c>
      <c r="D3712">
        <v>0.76794641302400002</v>
      </c>
      <c r="E3712">
        <v>24</v>
      </c>
    </row>
    <row r="3713" spans="1:5">
      <c r="A3713" t="s">
        <v>4364</v>
      </c>
      <c r="B3713" t="s">
        <v>4366</v>
      </c>
      <c r="C3713">
        <v>0</v>
      </c>
      <c r="D3713">
        <v>0.76794641302400002</v>
      </c>
      <c r="E3713">
        <v>24</v>
      </c>
    </row>
    <row r="3714" spans="1:5">
      <c r="A3714" t="s">
        <v>4364</v>
      </c>
      <c r="B3714" t="s">
        <v>4367</v>
      </c>
      <c r="C3714">
        <f>0.00197366779794</f>
        <v>1.9736677979399998E-3</v>
      </c>
      <c r="D3714">
        <v>0.76794641302400002</v>
      </c>
      <c r="E3714">
        <v>24</v>
      </c>
    </row>
    <row r="3715" spans="1:5">
      <c r="A3715" t="s">
        <v>4368</v>
      </c>
      <c r="B3715" t="s">
        <v>4369</v>
      </c>
      <c r="C3715">
        <v>7.9526879416599999E-2</v>
      </c>
      <c r="D3715">
        <v>0.98477198585100001</v>
      </c>
      <c r="E3715">
        <v>6.1769115442278801</v>
      </c>
    </row>
    <row r="3716" spans="1:5">
      <c r="A3716" t="s">
        <v>4370</v>
      </c>
      <c r="B3716" t="s">
        <v>4371</v>
      </c>
      <c r="C3716">
        <v>1.18940448807E-2</v>
      </c>
      <c r="D3716" t="s">
        <v>106</v>
      </c>
      <c r="E3716">
        <v>24</v>
      </c>
    </row>
    <row r="3717" spans="1:5">
      <c r="A3717" t="s">
        <v>4370</v>
      </c>
      <c r="B3717" t="s">
        <v>4372</v>
      </c>
      <c r="C3717">
        <v>0</v>
      </c>
      <c r="D3717" t="s">
        <v>106</v>
      </c>
      <c r="E3717">
        <v>24</v>
      </c>
    </row>
    <row r="3718" spans="1:5">
      <c r="A3718" t="s">
        <v>4370</v>
      </c>
      <c r="B3718" t="s">
        <v>4373</v>
      </c>
      <c r="C3718">
        <f>0</f>
        <v>0</v>
      </c>
      <c r="D3718" t="s">
        <v>106</v>
      </c>
      <c r="E3718">
        <v>24</v>
      </c>
    </row>
    <row r="3719" spans="1:5">
      <c r="A3719" t="s">
        <v>4370</v>
      </c>
      <c r="B3719" t="s">
        <v>4374</v>
      </c>
      <c r="C3719">
        <f>0</f>
        <v>0</v>
      </c>
      <c r="D3719" t="s">
        <v>106</v>
      </c>
      <c r="E3719">
        <v>24</v>
      </c>
    </row>
    <row r="3720" spans="1:5">
      <c r="A3720" t="s">
        <v>4370</v>
      </c>
      <c r="B3720" t="s">
        <v>4375</v>
      </c>
      <c r="C3720">
        <v>0.110290583973</v>
      </c>
      <c r="D3720" t="s">
        <v>106</v>
      </c>
      <c r="E3720">
        <v>24</v>
      </c>
    </row>
    <row r="3721" spans="1:5">
      <c r="A3721" t="s">
        <v>4370</v>
      </c>
      <c r="B3721" t="s">
        <v>4376</v>
      </c>
      <c r="C3721">
        <v>0</v>
      </c>
      <c r="D3721" t="s">
        <v>106</v>
      </c>
      <c r="E3721">
        <v>24</v>
      </c>
    </row>
    <row r="3722" spans="1:5">
      <c r="A3722" t="s">
        <v>4377</v>
      </c>
      <c r="B3722" t="s">
        <v>4378</v>
      </c>
      <c r="C3722">
        <f>0.416148341774</f>
        <v>0.41614834177400001</v>
      </c>
      <c r="D3722">
        <v>0.91912317468000004</v>
      </c>
      <c r="E3722">
        <v>0.73163418290854498</v>
      </c>
    </row>
    <row r="3723" spans="1:5">
      <c r="A3723" t="s">
        <v>4377</v>
      </c>
      <c r="B3723" t="s">
        <v>4379</v>
      </c>
      <c r="C3723">
        <f>0</f>
        <v>0</v>
      </c>
      <c r="D3723">
        <v>0.91912317468000004</v>
      </c>
      <c r="E3723">
        <v>0.73163418290854498</v>
      </c>
    </row>
    <row r="3724" spans="1:5">
      <c r="A3724" t="s">
        <v>4377</v>
      </c>
      <c r="B3724" t="s">
        <v>4380</v>
      </c>
      <c r="C3724">
        <v>0</v>
      </c>
      <c r="D3724">
        <v>0.91912317468000004</v>
      </c>
      <c r="E3724">
        <v>0.73163418290854498</v>
      </c>
    </row>
    <row r="3725" spans="1:5">
      <c r="A3725" t="s">
        <v>4377</v>
      </c>
      <c r="B3725" t="s">
        <v>4381</v>
      </c>
      <c r="C3725">
        <f>0</f>
        <v>0</v>
      </c>
      <c r="D3725">
        <v>0.91912317468000004</v>
      </c>
      <c r="E3725">
        <v>0.73163418290854498</v>
      </c>
    </row>
    <row r="3726" spans="1:5">
      <c r="A3726" t="s">
        <v>4377</v>
      </c>
      <c r="B3726" t="s">
        <v>4382</v>
      </c>
      <c r="C3726">
        <v>0</v>
      </c>
      <c r="D3726">
        <v>0.91912317468000004</v>
      </c>
      <c r="E3726">
        <v>0.73163418290854498</v>
      </c>
    </row>
    <row r="3727" spans="1:5">
      <c r="A3727" t="s">
        <v>4377</v>
      </c>
      <c r="B3727" t="s">
        <v>4383</v>
      </c>
      <c r="C3727">
        <f>0</f>
        <v>0</v>
      </c>
      <c r="D3727">
        <v>0.91912317468000004</v>
      </c>
      <c r="E3727">
        <v>0.73163418290854498</v>
      </c>
    </row>
    <row r="3728" spans="1:5">
      <c r="A3728" t="s">
        <v>4377</v>
      </c>
      <c r="B3728" t="s">
        <v>4384</v>
      </c>
      <c r="C3728">
        <v>0</v>
      </c>
      <c r="D3728">
        <v>0.91912317468000004</v>
      </c>
      <c r="E3728">
        <v>0.73163418290854498</v>
      </c>
    </row>
    <row r="3729" spans="1:5">
      <c r="A3729" t="s">
        <v>4377</v>
      </c>
      <c r="B3729" t="s">
        <v>4385</v>
      </c>
      <c r="C3729">
        <f>0</f>
        <v>0</v>
      </c>
      <c r="D3729">
        <v>0.91912317468000004</v>
      </c>
      <c r="E3729">
        <v>0.73163418290854498</v>
      </c>
    </row>
    <row r="3730" spans="1:5">
      <c r="A3730" t="s">
        <v>4386</v>
      </c>
      <c r="B3730" t="s">
        <v>4387</v>
      </c>
      <c r="C3730">
        <f>0</f>
        <v>0</v>
      </c>
      <c r="D3730" t="s">
        <v>106</v>
      </c>
      <c r="E3730">
        <v>5.8170914542728598</v>
      </c>
    </row>
    <row r="3731" spans="1:5">
      <c r="A3731" t="s">
        <v>4386</v>
      </c>
      <c r="B3731" t="s">
        <v>4388</v>
      </c>
      <c r="C3731">
        <f>0</f>
        <v>0</v>
      </c>
      <c r="D3731" t="s">
        <v>106</v>
      </c>
      <c r="E3731">
        <v>5.8170914542728598</v>
      </c>
    </row>
    <row r="3732" spans="1:5">
      <c r="A3732" t="s">
        <v>4386</v>
      </c>
      <c r="B3732" t="s">
        <v>4389</v>
      </c>
      <c r="C3732">
        <v>0</v>
      </c>
      <c r="D3732" t="s">
        <v>106</v>
      </c>
      <c r="E3732">
        <v>5.8170914542728598</v>
      </c>
    </row>
    <row r="3733" spans="1:5">
      <c r="A3733" t="s">
        <v>4386</v>
      </c>
      <c r="B3733" t="s">
        <v>4390</v>
      </c>
      <c r="C3733">
        <v>0</v>
      </c>
      <c r="D3733" t="s">
        <v>106</v>
      </c>
      <c r="E3733">
        <v>5.8170914542728598</v>
      </c>
    </row>
    <row r="3734" spans="1:5">
      <c r="A3734" t="s">
        <v>4386</v>
      </c>
      <c r="B3734" t="s">
        <v>4391</v>
      </c>
      <c r="C3734">
        <v>0</v>
      </c>
      <c r="D3734" t="s">
        <v>106</v>
      </c>
      <c r="E3734">
        <v>5.8170914542728598</v>
      </c>
    </row>
    <row r="3735" spans="1:5">
      <c r="A3735" t="s">
        <v>4386</v>
      </c>
      <c r="B3735" t="s">
        <v>4392</v>
      </c>
      <c r="C3735">
        <v>0</v>
      </c>
      <c r="D3735" t="s">
        <v>106</v>
      </c>
      <c r="E3735">
        <v>5.8170914542728598</v>
      </c>
    </row>
    <row r="3736" spans="1:5">
      <c r="A3736" t="s">
        <v>4386</v>
      </c>
      <c r="B3736" t="s">
        <v>4393</v>
      </c>
      <c r="C3736">
        <f>0</f>
        <v>0</v>
      </c>
      <c r="D3736" t="s">
        <v>106</v>
      </c>
      <c r="E3736">
        <v>5.8170914542728598</v>
      </c>
    </row>
    <row r="3737" spans="1:5">
      <c r="A3737" t="s">
        <v>4386</v>
      </c>
      <c r="B3737" t="s">
        <v>4394</v>
      </c>
      <c r="C3737">
        <v>0</v>
      </c>
      <c r="D3737" t="s">
        <v>106</v>
      </c>
      <c r="E3737">
        <v>5.8170914542728598</v>
      </c>
    </row>
    <row r="3738" spans="1:5">
      <c r="A3738" t="s">
        <v>4386</v>
      </c>
      <c r="B3738" t="s">
        <v>4395</v>
      </c>
      <c r="C3738">
        <v>0</v>
      </c>
      <c r="D3738" t="s">
        <v>106</v>
      </c>
      <c r="E3738">
        <v>5.8170914542728598</v>
      </c>
    </row>
    <row r="3739" spans="1:5">
      <c r="A3739" t="s">
        <v>4396</v>
      </c>
      <c r="B3739" t="s">
        <v>4397</v>
      </c>
      <c r="C3739">
        <f>0.263090933405</f>
        <v>0.263090933405</v>
      </c>
      <c r="D3739">
        <v>0.82513179663900005</v>
      </c>
      <c r="E3739">
        <v>5.9370314842578704</v>
      </c>
    </row>
    <row r="3740" spans="1:5">
      <c r="A3740" t="s">
        <v>4396</v>
      </c>
      <c r="B3740" t="s">
        <v>4398</v>
      </c>
      <c r="C3740">
        <v>0</v>
      </c>
      <c r="D3740">
        <v>0.82513179663900005</v>
      </c>
      <c r="E3740">
        <v>5.9370314842578704</v>
      </c>
    </row>
    <row r="3741" spans="1:5">
      <c r="A3741" t="s">
        <v>4396</v>
      </c>
      <c r="B3741" t="s">
        <v>4399</v>
      </c>
      <c r="C3741">
        <f>0</f>
        <v>0</v>
      </c>
      <c r="D3741">
        <v>0.82513179663900005</v>
      </c>
      <c r="E3741">
        <v>5.9370314842578704</v>
      </c>
    </row>
    <row r="3742" spans="1:5">
      <c r="A3742" t="s">
        <v>4396</v>
      </c>
      <c r="B3742" t="s">
        <v>4400</v>
      </c>
      <c r="C3742">
        <f>0.0264417784233</f>
        <v>2.6441778423299998E-2</v>
      </c>
      <c r="D3742">
        <v>0.82513179663900005</v>
      </c>
      <c r="E3742">
        <v>5.9370314842578704</v>
      </c>
    </row>
    <row r="3743" spans="1:5">
      <c r="A3743" t="s">
        <v>4396</v>
      </c>
      <c r="B3743" t="s">
        <v>4401</v>
      </c>
      <c r="C3743">
        <f>0</f>
        <v>0</v>
      </c>
      <c r="D3743">
        <v>0.82513179663900005</v>
      </c>
      <c r="E3743">
        <v>5.9370314842578704</v>
      </c>
    </row>
    <row r="3744" spans="1:5">
      <c r="A3744" t="s">
        <v>4396</v>
      </c>
      <c r="B3744" t="s">
        <v>4402</v>
      </c>
      <c r="C3744">
        <f>0</f>
        <v>0</v>
      </c>
      <c r="D3744">
        <v>0.82513179663900005</v>
      </c>
      <c r="E3744">
        <v>5.9370314842578704</v>
      </c>
    </row>
    <row r="3745" spans="1:5">
      <c r="A3745" t="s">
        <v>4396</v>
      </c>
      <c r="B3745" t="s">
        <v>4403</v>
      </c>
      <c r="C3745">
        <f>0</f>
        <v>0</v>
      </c>
      <c r="D3745">
        <v>0.82513179663900005</v>
      </c>
      <c r="E3745">
        <v>5.9370314842578704</v>
      </c>
    </row>
    <row r="3746" spans="1:5">
      <c r="A3746" t="s">
        <v>4396</v>
      </c>
      <c r="B3746" t="s">
        <v>4404</v>
      </c>
      <c r="C3746">
        <f>0</f>
        <v>0</v>
      </c>
      <c r="D3746">
        <v>0.82513179663900005</v>
      </c>
      <c r="E3746">
        <v>5.9370314842578704</v>
      </c>
    </row>
    <row r="3747" spans="1:5">
      <c r="A3747" t="s">
        <v>4396</v>
      </c>
      <c r="B3747" t="s">
        <v>4405</v>
      </c>
      <c r="C3747">
        <f>0</f>
        <v>0</v>
      </c>
      <c r="D3747">
        <v>0.82513179663900005</v>
      </c>
      <c r="E3747">
        <v>5.9370314842578704</v>
      </c>
    </row>
    <row r="3748" spans="1:5">
      <c r="A3748" t="s">
        <v>4396</v>
      </c>
      <c r="B3748" t="s">
        <v>4406</v>
      </c>
      <c r="C3748">
        <f>0</f>
        <v>0</v>
      </c>
      <c r="D3748">
        <v>0.82513179663900005</v>
      </c>
      <c r="E3748">
        <v>5.9370314842578704</v>
      </c>
    </row>
    <row r="3749" spans="1:5">
      <c r="A3749" t="s">
        <v>4396</v>
      </c>
      <c r="B3749" t="s">
        <v>4407</v>
      </c>
      <c r="C3749">
        <f>0</f>
        <v>0</v>
      </c>
      <c r="D3749">
        <v>0.82513179663900005</v>
      </c>
      <c r="E3749">
        <v>5.9370314842578704</v>
      </c>
    </row>
    <row r="3750" spans="1:5">
      <c r="A3750" t="s">
        <v>4396</v>
      </c>
      <c r="B3750" t="s">
        <v>4408</v>
      </c>
      <c r="C3750">
        <f>0</f>
        <v>0</v>
      </c>
      <c r="D3750">
        <v>0.82513179663900005</v>
      </c>
      <c r="E3750">
        <v>5.9370314842578704</v>
      </c>
    </row>
    <row r="3751" spans="1:5">
      <c r="A3751" t="s">
        <v>4409</v>
      </c>
      <c r="B3751" t="s">
        <v>4410</v>
      </c>
      <c r="C3751">
        <v>0.17252784264400001</v>
      </c>
      <c r="D3751">
        <v>0.77874207821800001</v>
      </c>
      <c r="E3751">
        <v>16.095952023988001</v>
      </c>
    </row>
    <row r="3752" spans="1:5">
      <c r="A3752" t="s">
        <v>4411</v>
      </c>
      <c r="B3752" t="s">
        <v>4412</v>
      </c>
      <c r="C3752">
        <v>0.17527697975699999</v>
      </c>
      <c r="D3752" t="s">
        <v>106</v>
      </c>
      <c r="E3752">
        <v>3.2263868065966999</v>
      </c>
    </row>
    <row r="3753" spans="1:5">
      <c r="A3753" t="s">
        <v>4413</v>
      </c>
      <c r="B3753" t="s">
        <v>4414</v>
      </c>
      <c r="C3753">
        <f>0</f>
        <v>0</v>
      </c>
      <c r="D3753" t="s">
        <v>106</v>
      </c>
      <c r="E3753">
        <v>4.3778110944527704</v>
      </c>
    </row>
    <row r="3754" spans="1:5">
      <c r="A3754" t="s">
        <v>4413</v>
      </c>
      <c r="B3754" t="s">
        <v>4415</v>
      </c>
      <c r="C3754">
        <f>0</f>
        <v>0</v>
      </c>
      <c r="D3754" t="s">
        <v>106</v>
      </c>
      <c r="E3754">
        <v>4.3778110944527704</v>
      </c>
    </row>
    <row r="3755" spans="1:5">
      <c r="A3755" t="s">
        <v>4413</v>
      </c>
      <c r="B3755" t="s">
        <v>4416</v>
      </c>
      <c r="C3755">
        <v>0</v>
      </c>
      <c r="D3755" t="s">
        <v>106</v>
      </c>
      <c r="E3755">
        <v>4.3778110944527704</v>
      </c>
    </row>
    <row r="3756" spans="1:5">
      <c r="A3756" t="s">
        <v>4413</v>
      </c>
      <c r="B3756" t="s">
        <v>4417</v>
      </c>
      <c r="C3756">
        <v>0</v>
      </c>
      <c r="D3756" t="s">
        <v>106</v>
      </c>
      <c r="E3756">
        <v>4.3778110944527704</v>
      </c>
    </row>
    <row r="3757" spans="1:5">
      <c r="A3757" t="s">
        <v>4413</v>
      </c>
      <c r="B3757" t="s">
        <v>4418</v>
      </c>
      <c r="C3757">
        <v>0</v>
      </c>
      <c r="D3757" t="s">
        <v>106</v>
      </c>
      <c r="E3757">
        <v>4.3778110944527704</v>
      </c>
    </row>
    <row r="3758" spans="1:5">
      <c r="A3758" t="s">
        <v>4413</v>
      </c>
      <c r="B3758" t="s">
        <v>4419</v>
      </c>
      <c r="C3758">
        <v>0</v>
      </c>
      <c r="D3758" t="s">
        <v>106</v>
      </c>
      <c r="E3758">
        <v>4.3778110944527704</v>
      </c>
    </row>
    <row r="3759" spans="1:5">
      <c r="A3759" t="s">
        <v>4413</v>
      </c>
      <c r="B3759" t="s">
        <v>4420</v>
      </c>
      <c r="C3759">
        <v>0</v>
      </c>
      <c r="D3759" t="s">
        <v>106</v>
      </c>
      <c r="E3759">
        <v>4.3778110944527704</v>
      </c>
    </row>
    <row r="3760" spans="1:5">
      <c r="A3760" t="s">
        <v>4413</v>
      </c>
      <c r="B3760" t="s">
        <v>4421</v>
      </c>
      <c r="C3760">
        <v>0</v>
      </c>
      <c r="D3760" t="s">
        <v>106</v>
      </c>
      <c r="E3760">
        <v>4.3778110944527704</v>
      </c>
    </row>
    <row r="3761" spans="1:5">
      <c r="A3761" t="s">
        <v>4413</v>
      </c>
      <c r="B3761" t="s">
        <v>4422</v>
      </c>
      <c r="C3761">
        <v>0</v>
      </c>
      <c r="D3761" t="s">
        <v>106</v>
      </c>
      <c r="E3761">
        <v>4.3778110944527704</v>
      </c>
    </row>
    <row r="3762" spans="1:5">
      <c r="A3762" t="s">
        <v>4413</v>
      </c>
      <c r="B3762" t="s">
        <v>4423</v>
      </c>
      <c r="C3762">
        <v>0</v>
      </c>
      <c r="D3762" t="s">
        <v>106</v>
      </c>
      <c r="E3762">
        <v>4.3778110944527704</v>
      </c>
    </row>
    <row r="3763" spans="1:5">
      <c r="A3763" t="s">
        <v>4413</v>
      </c>
      <c r="B3763" t="s">
        <v>4424</v>
      </c>
      <c r="C3763">
        <v>0</v>
      </c>
      <c r="D3763" t="s">
        <v>106</v>
      </c>
      <c r="E3763">
        <v>4.3778110944527704</v>
      </c>
    </row>
    <row r="3764" spans="1:5">
      <c r="A3764" t="s">
        <v>4413</v>
      </c>
      <c r="B3764" t="s">
        <v>4425</v>
      </c>
      <c r="C3764">
        <v>0</v>
      </c>
      <c r="D3764" t="s">
        <v>106</v>
      </c>
      <c r="E3764">
        <v>4.3778110944527704</v>
      </c>
    </row>
    <row r="3765" spans="1:5">
      <c r="A3765" t="s">
        <v>4413</v>
      </c>
      <c r="B3765" t="s">
        <v>4426</v>
      </c>
      <c r="C3765">
        <v>0</v>
      </c>
      <c r="D3765" t="s">
        <v>106</v>
      </c>
      <c r="E3765">
        <v>4.3778110944527704</v>
      </c>
    </row>
    <row r="3766" spans="1:5">
      <c r="A3766" t="s">
        <v>4413</v>
      </c>
      <c r="B3766" t="s">
        <v>4427</v>
      </c>
      <c r="C3766">
        <f>0</f>
        <v>0</v>
      </c>
      <c r="D3766" t="s">
        <v>106</v>
      </c>
      <c r="E3766">
        <v>4.3778110944527704</v>
      </c>
    </row>
    <row r="3767" spans="1:5">
      <c r="A3767" t="s">
        <v>4413</v>
      </c>
      <c r="B3767" t="s">
        <v>4428</v>
      </c>
      <c r="C3767">
        <v>0</v>
      </c>
      <c r="D3767" t="s">
        <v>106</v>
      </c>
      <c r="E3767">
        <v>4.3778110944527704</v>
      </c>
    </row>
    <row r="3768" spans="1:5">
      <c r="A3768" t="s">
        <v>4413</v>
      </c>
      <c r="B3768" t="s">
        <v>4429</v>
      </c>
      <c r="C3768">
        <v>0</v>
      </c>
      <c r="D3768" t="s">
        <v>106</v>
      </c>
      <c r="E3768">
        <v>4.3778110944527704</v>
      </c>
    </row>
    <row r="3769" spans="1:5">
      <c r="A3769" t="s">
        <v>4430</v>
      </c>
      <c r="B3769" t="s">
        <v>4431</v>
      </c>
      <c r="C3769">
        <v>0</v>
      </c>
      <c r="D3769" t="s">
        <v>106</v>
      </c>
      <c r="E3769">
        <v>2.7106446776611599</v>
      </c>
    </row>
    <row r="3770" spans="1:5">
      <c r="A3770" t="s">
        <v>4430</v>
      </c>
      <c r="B3770" t="s">
        <v>4432</v>
      </c>
      <c r="C3770">
        <v>0.14947244941900001</v>
      </c>
      <c r="D3770" t="s">
        <v>106</v>
      </c>
      <c r="E3770">
        <v>2.7106446776611599</v>
      </c>
    </row>
    <row r="3771" spans="1:5">
      <c r="A3771" t="s">
        <v>4430</v>
      </c>
      <c r="B3771" t="s">
        <v>4433</v>
      </c>
      <c r="C3771">
        <v>1.1406219448699999E-2</v>
      </c>
      <c r="D3771" t="s">
        <v>106</v>
      </c>
      <c r="E3771">
        <v>2.7106446776611599</v>
      </c>
    </row>
    <row r="3772" spans="1:5">
      <c r="A3772" t="s">
        <v>4434</v>
      </c>
      <c r="B3772" t="s">
        <v>4435</v>
      </c>
      <c r="C3772">
        <v>0</v>
      </c>
      <c r="D3772">
        <v>0.99545153447599999</v>
      </c>
      <c r="E3772">
        <v>23.508245877061398</v>
      </c>
    </row>
    <row r="3773" spans="1:5">
      <c r="A3773" t="s">
        <v>4434</v>
      </c>
      <c r="B3773" t="s">
        <v>4436</v>
      </c>
      <c r="C3773">
        <f>0</f>
        <v>0</v>
      </c>
      <c r="D3773">
        <v>0.99545153447599999</v>
      </c>
      <c r="E3773">
        <v>23.508245877061398</v>
      </c>
    </row>
    <row r="3774" spans="1:5">
      <c r="A3774" t="s">
        <v>4434</v>
      </c>
      <c r="B3774" t="s">
        <v>4437</v>
      </c>
      <c r="C3774">
        <f>0.0140620850678</f>
        <v>1.40620850678E-2</v>
      </c>
      <c r="D3774">
        <v>0.99545153447599999</v>
      </c>
      <c r="E3774">
        <v>23.508245877061398</v>
      </c>
    </row>
    <row r="3775" spans="1:5">
      <c r="A3775" t="s">
        <v>4434</v>
      </c>
      <c r="B3775" t="s">
        <v>4438</v>
      </c>
      <c r="C3775">
        <f>0.133702180609</f>
        <v>0.13370218060899999</v>
      </c>
      <c r="D3775">
        <v>0.99545153447599999</v>
      </c>
      <c r="E3775">
        <v>23.508245877061398</v>
      </c>
    </row>
    <row r="3776" spans="1:5">
      <c r="A3776" t="s">
        <v>4434</v>
      </c>
      <c r="B3776" t="s">
        <v>4439</v>
      </c>
      <c r="C3776">
        <v>0</v>
      </c>
      <c r="D3776">
        <v>0.99545153447599999</v>
      </c>
      <c r="E3776">
        <v>23.508245877061398</v>
      </c>
    </row>
    <row r="3777" spans="1:5">
      <c r="A3777" t="s">
        <v>4434</v>
      </c>
      <c r="B3777" t="s">
        <v>4440</v>
      </c>
      <c r="C3777">
        <f>0</f>
        <v>0</v>
      </c>
      <c r="D3777">
        <v>0.99545153447599999</v>
      </c>
      <c r="E3777">
        <v>23.508245877061398</v>
      </c>
    </row>
    <row r="3778" spans="1:5">
      <c r="A3778" t="s">
        <v>4434</v>
      </c>
      <c r="B3778" t="s">
        <v>4441</v>
      </c>
      <c r="C3778">
        <v>0</v>
      </c>
      <c r="D3778">
        <v>0.99545153447599999</v>
      </c>
      <c r="E3778">
        <v>23.508245877061398</v>
      </c>
    </row>
    <row r="3779" spans="1:5">
      <c r="A3779" t="s">
        <v>4434</v>
      </c>
      <c r="B3779" t="s">
        <v>4442</v>
      </c>
      <c r="C3779">
        <v>0</v>
      </c>
      <c r="D3779">
        <v>0.99545153447599999</v>
      </c>
      <c r="E3779">
        <v>23.508245877061398</v>
      </c>
    </row>
    <row r="3780" spans="1:5">
      <c r="A3780" t="s">
        <v>4434</v>
      </c>
      <c r="B3780" t="s">
        <v>4443</v>
      </c>
      <c r="C3780">
        <f>0</f>
        <v>0</v>
      </c>
      <c r="D3780">
        <v>0.99545153447599999</v>
      </c>
      <c r="E3780">
        <v>23.508245877061398</v>
      </c>
    </row>
    <row r="3781" spans="1:5">
      <c r="A3781" t="s">
        <v>4434</v>
      </c>
      <c r="B3781" t="s">
        <v>4444</v>
      </c>
      <c r="C3781">
        <v>0</v>
      </c>
      <c r="D3781">
        <v>0.99545153447599999</v>
      </c>
      <c r="E3781">
        <v>23.508245877061398</v>
      </c>
    </row>
    <row r="3782" spans="1:5">
      <c r="A3782" t="s">
        <v>4434</v>
      </c>
      <c r="B3782" t="s">
        <v>4445</v>
      </c>
      <c r="C3782">
        <v>0</v>
      </c>
      <c r="D3782">
        <v>0.99545153447599999</v>
      </c>
      <c r="E3782">
        <v>23.508245877061398</v>
      </c>
    </row>
    <row r="3783" spans="1:5">
      <c r="A3783" t="s">
        <v>4434</v>
      </c>
      <c r="B3783" t="s">
        <v>4446</v>
      </c>
      <c r="C3783">
        <f>0</f>
        <v>0</v>
      </c>
      <c r="D3783">
        <v>0.99545153447599999</v>
      </c>
      <c r="E3783">
        <v>23.508245877061398</v>
      </c>
    </row>
    <row r="3784" spans="1:5">
      <c r="A3784" t="s">
        <v>4434</v>
      </c>
      <c r="B3784" t="s">
        <v>4447</v>
      </c>
      <c r="C3784">
        <v>0</v>
      </c>
      <c r="D3784">
        <v>0.99545153447599999</v>
      </c>
      <c r="E3784">
        <v>23.508245877061398</v>
      </c>
    </row>
    <row r="3785" spans="1:5">
      <c r="A3785" t="s">
        <v>4434</v>
      </c>
      <c r="B3785" t="s">
        <v>4448</v>
      </c>
      <c r="C3785">
        <f>0</f>
        <v>0</v>
      </c>
      <c r="D3785">
        <v>0.99545153447599999</v>
      </c>
      <c r="E3785">
        <v>23.508245877061398</v>
      </c>
    </row>
    <row r="3786" spans="1:5">
      <c r="A3786" t="s">
        <v>4434</v>
      </c>
      <c r="B3786" t="s">
        <v>4449</v>
      </c>
      <c r="C3786">
        <v>0</v>
      </c>
      <c r="D3786">
        <v>0.99545153447599999</v>
      </c>
      <c r="E3786">
        <v>23.508245877061398</v>
      </c>
    </row>
    <row r="3787" spans="1:5">
      <c r="A3787" t="s">
        <v>4434</v>
      </c>
      <c r="B3787" t="s">
        <v>4450</v>
      </c>
      <c r="C3787">
        <v>0</v>
      </c>
      <c r="D3787">
        <v>0.99545153447599999</v>
      </c>
      <c r="E3787">
        <v>23.508245877061398</v>
      </c>
    </row>
    <row r="3788" spans="1:5">
      <c r="A3788" t="s">
        <v>4434</v>
      </c>
      <c r="B3788" t="s">
        <v>4451</v>
      </c>
      <c r="C3788">
        <f>0</f>
        <v>0</v>
      </c>
      <c r="D3788">
        <v>0.99545153447599999</v>
      </c>
      <c r="E3788">
        <v>23.508245877061398</v>
      </c>
    </row>
    <row r="3789" spans="1:5">
      <c r="A3789" t="s">
        <v>4452</v>
      </c>
      <c r="B3789" t="s">
        <v>4453</v>
      </c>
      <c r="C3789">
        <v>0.15127107636699999</v>
      </c>
      <c r="D3789">
        <v>0.43672696155000001</v>
      </c>
      <c r="E3789">
        <v>0.86356821589205401</v>
      </c>
    </row>
    <row r="3790" spans="1:5">
      <c r="A3790" t="s">
        <v>4454</v>
      </c>
      <c r="B3790" t="s">
        <v>4455</v>
      </c>
      <c r="C3790">
        <v>0.19698530587800001</v>
      </c>
      <c r="D3790">
        <v>0.74544014217499999</v>
      </c>
      <c r="E3790">
        <v>20.065967016491701</v>
      </c>
    </row>
    <row r="3791" spans="1:5">
      <c r="A3791" t="s">
        <v>4454</v>
      </c>
      <c r="B3791" t="s">
        <v>4456</v>
      </c>
      <c r="C3791">
        <f>0</f>
        <v>0</v>
      </c>
      <c r="D3791">
        <v>0.74544014217499999</v>
      </c>
      <c r="E3791">
        <v>20.065967016491701</v>
      </c>
    </row>
    <row r="3792" spans="1:5">
      <c r="A3792" t="s">
        <v>4454</v>
      </c>
      <c r="B3792" t="s">
        <v>4457</v>
      </c>
      <c r="C3792">
        <v>1.32119876754E-2</v>
      </c>
      <c r="D3792">
        <v>0.74544014217499999</v>
      </c>
      <c r="E3792">
        <v>20.065967016491701</v>
      </c>
    </row>
    <row r="3793" spans="1:5">
      <c r="A3793" t="s">
        <v>4454</v>
      </c>
      <c r="B3793" t="s">
        <v>4458</v>
      </c>
      <c r="C3793">
        <v>0</v>
      </c>
      <c r="D3793">
        <v>0.74544014217499999</v>
      </c>
      <c r="E3793">
        <v>20.065967016491701</v>
      </c>
    </row>
    <row r="3794" spans="1:5">
      <c r="A3794" t="s">
        <v>4459</v>
      </c>
      <c r="B3794" t="s">
        <v>4460</v>
      </c>
      <c r="C3794">
        <v>3.6060907310900003E-2</v>
      </c>
      <c r="D3794">
        <v>0.88585939287500004</v>
      </c>
      <c r="E3794">
        <v>6.1769115442278801</v>
      </c>
    </row>
    <row r="3795" spans="1:5">
      <c r="A3795" t="s">
        <v>4461</v>
      </c>
      <c r="B3795" t="s">
        <v>4462</v>
      </c>
      <c r="C3795">
        <f>0</f>
        <v>0</v>
      </c>
      <c r="D3795" t="s">
        <v>106</v>
      </c>
      <c r="E3795">
        <v>24</v>
      </c>
    </row>
    <row r="3796" spans="1:5">
      <c r="A3796" t="s">
        <v>4461</v>
      </c>
      <c r="B3796" t="s">
        <v>4463</v>
      </c>
      <c r="C3796">
        <v>0</v>
      </c>
      <c r="D3796" t="s">
        <v>106</v>
      </c>
      <c r="E3796">
        <v>24</v>
      </c>
    </row>
    <row r="3797" spans="1:5">
      <c r="A3797" t="s">
        <v>4461</v>
      </c>
      <c r="B3797" t="s">
        <v>4464</v>
      </c>
      <c r="C3797">
        <v>0</v>
      </c>
      <c r="D3797" t="s">
        <v>106</v>
      </c>
      <c r="E3797">
        <v>24</v>
      </c>
    </row>
    <row r="3798" spans="1:5">
      <c r="A3798" t="s">
        <v>4461</v>
      </c>
      <c r="B3798" t="s">
        <v>4465</v>
      </c>
      <c r="C3798">
        <v>7.64313307486E-3</v>
      </c>
      <c r="D3798" t="s">
        <v>106</v>
      </c>
      <c r="E3798">
        <v>24</v>
      </c>
    </row>
    <row r="3799" spans="1:5">
      <c r="A3799" t="s">
        <v>4461</v>
      </c>
      <c r="B3799" t="s">
        <v>4466</v>
      </c>
      <c r="C3799">
        <v>0</v>
      </c>
      <c r="D3799" t="s">
        <v>106</v>
      </c>
      <c r="E3799">
        <v>24</v>
      </c>
    </row>
    <row r="3800" spans="1:5">
      <c r="A3800" t="s">
        <v>4461</v>
      </c>
      <c r="B3800" t="s">
        <v>4467</v>
      </c>
      <c r="C3800">
        <v>0</v>
      </c>
      <c r="D3800" t="s">
        <v>106</v>
      </c>
      <c r="E3800">
        <v>24</v>
      </c>
    </row>
    <row r="3801" spans="1:5">
      <c r="A3801" t="s">
        <v>4461</v>
      </c>
      <c r="B3801" t="s">
        <v>4468</v>
      </c>
      <c r="C3801">
        <v>0</v>
      </c>
      <c r="D3801" t="s">
        <v>106</v>
      </c>
      <c r="E3801">
        <v>24</v>
      </c>
    </row>
    <row r="3802" spans="1:5">
      <c r="A3802" t="s">
        <v>4469</v>
      </c>
      <c r="B3802" t="s">
        <v>4470</v>
      </c>
      <c r="C3802">
        <v>0.33854498871299998</v>
      </c>
      <c r="D3802">
        <v>0.99204329295799998</v>
      </c>
      <c r="E3802">
        <v>9.3073463268365799</v>
      </c>
    </row>
    <row r="3803" spans="1:5">
      <c r="A3803" t="s">
        <v>4469</v>
      </c>
      <c r="B3803" t="s">
        <v>4471</v>
      </c>
      <c r="C3803">
        <f>0</f>
        <v>0</v>
      </c>
      <c r="D3803">
        <v>0.99204329295799998</v>
      </c>
      <c r="E3803">
        <v>9.3073463268365799</v>
      </c>
    </row>
    <row r="3804" spans="1:5">
      <c r="A3804" t="s">
        <v>4469</v>
      </c>
      <c r="B3804" t="s">
        <v>4472</v>
      </c>
      <c r="C3804">
        <v>0</v>
      </c>
      <c r="D3804">
        <v>0.99204329295799998</v>
      </c>
      <c r="E3804">
        <v>9.3073463268365799</v>
      </c>
    </row>
    <row r="3805" spans="1:5">
      <c r="A3805" t="s">
        <v>4469</v>
      </c>
      <c r="B3805" t="s">
        <v>4473</v>
      </c>
      <c r="C3805">
        <f>0</f>
        <v>0</v>
      </c>
      <c r="D3805">
        <v>0.99204329295799998</v>
      </c>
      <c r="E3805">
        <v>9.3073463268365799</v>
      </c>
    </row>
    <row r="3806" spans="1:5">
      <c r="A3806" t="s">
        <v>4469</v>
      </c>
      <c r="B3806" t="s">
        <v>4474</v>
      </c>
      <c r="C3806">
        <v>0.197790903002</v>
      </c>
      <c r="D3806">
        <v>0.99204329295799998</v>
      </c>
      <c r="E3806">
        <v>9.3073463268365799</v>
      </c>
    </row>
    <row r="3807" spans="1:5">
      <c r="A3807" t="s">
        <v>4469</v>
      </c>
      <c r="B3807" t="s">
        <v>4475</v>
      </c>
      <c r="C3807">
        <v>0</v>
      </c>
      <c r="D3807">
        <v>0.99204329295799998</v>
      </c>
      <c r="E3807">
        <v>9.3073463268365799</v>
      </c>
    </row>
    <row r="3808" spans="1:5">
      <c r="A3808" t="s">
        <v>4476</v>
      </c>
      <c r="B3808" t="s">
        <v>4477</v>
      </c>
      <c r="C3808">
        <f>0</f>
        <v>0</v>
      </c>
      <c r="D3808">
        <v>0.97977450217100004</v>
      </c>
      <c r="E3808">
        <v>15.316341829085401</v>
      </c>
    </row>
    <row r="3809" spans="1:5">
      <c r="A3809" t="s">
        <v>4476</v>
      </c>
      <c r="B3809" t="s">
        <v>4478</v>
      </c>
      <c r="C3809">
        <f>0</f>
        <v>0</v>
      </c>
      <c r="D3809">
        <v>0.97977450217100004</v>
      </c>
      <c r="E3809">
        <v>15.316341829085401</v>
      </c>
    </row>
    <row r="3810" spans="1:5">
      <c r="A3810" t="s">
        <v>4476</v>
      </c>
      <c r="B3810" t="s">
        <v>4479</v>
      </c>
      <c r="C3810">
        <v>0</v>
      </c>
      <c r="D3810">
        <v>0.97977450217100004</v>
      </c>
      <c r="E3810">
        <v>15.316341829085401</v>
      </c>
    </row>
    <row r="3811" spans="1:5">
      <c r="A3811" t="s">
        <v>4476</v>
      </c>
      <c r="B3811" t="s">
        <v>4480</v>
      </c>
      <c r="C3811">
        <f>0</f>
        <v>0</v>
      </c>
      <c r="D3811">
        <v>0.97977450217100004</v>
      </c>
      <c r="E3811">
        <v>15.316341829085401</v>
      </c>
    </row>
    <row r="3812" spans="1:5">
      <c r="A3812" t="s">
        <v>4476</v>
      </c>
      <c r="B3812" t="s">
        <v>4481</v>
      </c>
      <c r="C3812">
        <f>0</f>
        <v>0</v>
      </c>
      <c r="D3812">
        <v>0.97977450217100004</v>
      </c>
      <c r="E3812">
        <v>15.316341829085401</v>
      </c>
    </row>
    <row r="3813" spans="1:5">
      <c r="A3813" t="s">
        <v>4476</v>
      </c>
      <c r="B3813" t="s">
        <v>4482</v>
      </c>
      <c r="C3813">
        <f>0.0929751267068</f>
        <v>9.2975126706799999E-2</v>
      </c>
      <c r="D3813">
        <v>0.97977450217100004</v>
      </c>
      <c r="E3813">
        <v>15.316341829085401</v>
      </c>
    </row>
    <row r="3814" spans="1:5">
      <c r="A3814" t="s">
        <v>4476</v>
      </c>
      <c r="B3814" t="s">
        <v>4483</v>
      </c>
      <c r="C3814">
        <f>0</f>
        <v>0</v>
      </c>
      <c r="D3814">
        <v>0.97977450217100004</v>
      </c>
      <c r="E3814">
        <v>15.316341829085401</v>
      </c>
    </row>
    <row r="3815" spans="1:5">
      <c r="A3815" t="s">
        <v>4476</v>
      </c>
      <c r="B3815" t="s">
        <v>4484</v>
      </c>
      <c r="C3815">
        <v>6.7308758130300003E-2</v>
      </c>
      <c r="D3815">
        <v>0.97977450217100004</v>
      </c>
      <c r="E3815">
        <v>15.316341829085401</v>
      </c>
    </row>
    <row r="3816" spans="1:5">
      <c r="A3816" t="s">
        <v>4485</v>
      </c>
      <c r="B3816" t="s">
        <v>4486</v>
      </c>
      <c r="C3816">
        <v>0</v>
      </c>
      <c r="D3816">
        <v>0.62490959159399995</v>
      </c>
      <c r="E3816">
        <v>6.0569715142428704</v>
      </c>
    </row>
    <row r="3817" spans="1:5">
      <c r="A3817" t="s">
        <v>4485</v>
      </c>
      <c r="B3817" t="s">
        <v>4487</v>
      </c>
      <c r="C3817">
        <v>0</v>
      </c>
      <c r="D3817">
        <v>0.62490959159399995</v>
      </c>
      <c r="E3817">
        <v>6.0569715142428704</v>
      </c>
    </row>
    <row r="3818" spans="1:5">
      <c r="A3818" t="s">
        <v>4488</v>
      </c>
      <c r="B3818" t="s">
        <v>4489</v>
      </c>
      <c r="C3818">
        <f>0.311486562335</f>
        <v>0.31148656233499999</v>
      </c>
      <c r="D3818">
        <v>0.97458617601599995</v>
      </c>
      <c r="E3818">
        <v>8.8635682158920499</v>
      </c>
    </row>
    <row r="3819" spans="1:5">
      <c r="A3819" t="s">
        <v>4488</v>
      </c>
      <c r="B3819" t="s">
        <v>4490</v>
      </c>
      <c r="C3819">
        <f>0.0249124248504</f>
        <v>2.4912424850399999E-2</v>
      </c>
      <c r="D3819">
        <v>0.97458617601599995</v>
      </c>
      <c r="E3819">
        <v>8.8635682158920499</v>
      </c>
    </row>
    <row r="3820" spans="1:5">
      <c r="A3820" t="s">
        <v>4488</v>
      </c>
      <c r="B3820" t="s">
        <v>4491</v>
      </c>
      <c r="C3820">
        <f>0</f>
        <v>0</v>
      </c>
      <c r="D3820">
        <v>0.97458617601599995</v>
      </c>
      <c r="E3820">
        <v>8.8635682158920499</v>
      </c>
    </row>
    <row r="3821" spans="1:5">
      <c r="A3821" t="s">
        <v>4488</v>
      </c>
      <c r="B3821" t="s">
        <v>4492</v>
      </c>
      <c r="C3821">
        <v>0</v>
      </c>
      <c r="D3821">
        <v>0.97458617601599995</v>
      </c>
      <c r="E3821">
        <v>8.8635682158920499</v>
      </c>
    </row>
    <row r="3822" spans="1:5">
      <c r="A3822" t="s">
        <v>4488</v>
      </c>
      <c r="B3822" t="s">
        <v>4493</v>
      </c>
      <c r="C3822">
        <f>0</f>
        <v>0</v>
      </c>
      <c r="D3822">
        <v>0.97458617601599995</v>
      </c>
      <c r="E3822">
        <v>8.8635682158920499</v>
      </c>
    </row>
    <row r="3823" spans="1:5">
      <c r="A3823" t="s">
        <v>4488</v>
      </c>
      <c r="B3823" t="s">
        <v>4494</v>
      </c>
      <c r="C3823">
        <f>0</f>
        <v>0</v>
      </c>
      <c r="D3823">
        <v>0.97458617601599995</v>
      </c>
      <c r="E3823">
        <v>8.8635682158920499</v>
      </c>
    </row>
    <row r="3824" spans="1:5">
      <c r="A3824" t="s">
        <v>4488</v>
      </c>
      <c r="B3824" t="s">
        <v>4495</v>
      </c>
      <c r="C3824">
        <v>0</v>
      </c>
      <c r="D3824">
        <v>0.97458617601599995</v>
      </c>
      <c r="E3824">
        <v>8.8635682158920499</v>
      </c>
    </row>
    <row r="3825" spans="1:5">
      <c r="A3825" t="s">
        <v>4488</v>
      </c>
      <c r="B3825" t="s">
        <v>4496</v>
      </c>
      <c r="C3825">
        <f>0</f>
        <v>0</v>
      </c>
      <c r="D3825">
        <v>0.97458617601599995</v>
      </c>
      <c r="E3825">
        <v>8.8635682158920499</v>
      </c>
    </row>
    <row r="3826" spans="1:5">
      <c r="A3826" t="s">
        <v>4497</v>
      </c>
      <c r="B3826" t="s">
        <v>4498</v>
      </c>
      <c r="C3826">
        <v>8.1157954844999994E-3</v>
      </c>
      <c r="D3826">
        <v>0.87557536460399998</v>
      </c>
      <c r="E3826">
        <v>24</v>
      </c>
    </row>
    <row r="3827" spans="1:5">
      <c r="A3827" t="s">
        <v>4499</v>
      </c>
      <c r="B3827" t="s">
        <v>4500</v>
      </c>
      <c r="C3827">
        <v>0.70710019756099995</v>
      </c>
      <c r="D3827">
        <v>0.99924081586400004</v>
      </c>
      <c r="E3827">
        <v>5.69715142428785</v>
      </c>
    </row>
    <row r="3828" spans="1:5">
      <c r="A3828" t="s">
        <v>4499</v>
      </c>
      <c r="B3828" t="s">
        <v>4501</v>
      </c>
      <c r="C3828">
        <v>0</v>
      </c>
      <c r="D3828">
        <v>0.99924081586400004</v>
      </c>
      <c r="E3828">
        <v>5.69715142428785</v>
      </c>
    </row>
    <row r="3829" spans="1:5">
      <c r="A3829" t="s">
        <v>4499</v>
      </c>
      <c r="B3829" t="s">
        <v>4502</v>
      </c>
      <c r="C3829">
        <f>0</f>
        <v>0</v>
      </c>
      <c r="D3829">
        <v>0.99924081586400004</v>
      </c>
      <c r="E3829">
        <v>5.69715142428785</v>
      </c>
    </row>
    <row r="3830" spans="1:5">
      <c r="A3830" t="s">
        <v>4499</v>
      </c>
      <c r="B3830" t="s">
        <v>4503</v>
      </c>
      <c r="C3830">
        <v>4.7661374257800003E-2</v>
      </c>
      <c r="D3830">
        <v>0.99924081586400004</v>
      </c>
      <c r="E3830">
        <v>5.69715142428785</v>
      </c>
    </row>
    <row r="3831" spans="1:5">
      <c r="A3831" t="s">
        <v>4504</v>
      </c>
      <c r="B3831" t="s">
        <v>4505</v>
      </c>
      <c r="C3831">
        <f>0.126585727793</f>
        <v>0.12658572779300001</v>
      </c>
      <c r="D3831" t="s">
        <v>106</v>
      </c>
      <c r="E3831">
        <v>24</v>
      </c>
    </row>
    <row r="3832" spans="1:5">
      <c r="A3832" t="s">
        <v>4504</v>
      </c>
      <c r="B3832" t="s">
        <v>4506</v>
      </c>
      <c r="C3832">
        <f>0.0132212682129</f>
        <v>1.3221268212899999E-2</v>
      </c>
      <c r="D3832" t="s">
        <v>106</v>
      </c>
      <c r="E3832">
        <v>24</v>
      </c>
    </row>
    <row r="3833" spans="1:5">
      <c r="A3833" t="s">
        <v>4504</v>
      </c>
      <c r="B3833" t="s">
        <v>4507</v>
      </c>
      <c r="C3833">
        <v>0</v>
      </c>
      <c r="D3833" t="s">
        <v>106</v>
      </c>
      <c r="E3833">
        <v>24</v>
      </c>
    </row>
    <row r="3834" spans="1:5">
      <c r="A3834" t="s">
        <v>4504</v>
      </c>
      <c r="B3834" t="s">
        <v>4508</v>
      </c>
      <c r="C3834">
        <f>0</f>
        <v>0</v>
      </c>
      <c r="D3834" t="s">
        <v>106</v>
      </c>
      <c r="E3834">
        <v>24</v>
      </c>
    </row>
    <row r="3835" spans="1:5">
      <c r="A3835" t="s">
        <v>4504</v>
      </c>
      <c r="B3835" t="s">
        <v>4509</v>
      </c>
      <c r="C3835">
        <v>0</v>
      </c>
      <c r="D3835" t="s">
        <v>106</v>
      </c>
      <c r="E3835">
        <v>24</v>
      </c>
    </row>
    <row r="3836" spans="1:5">
      <c r="A3836" t="s">
        <v>4504</v>
      </c>
      <c r="B3836" t="s">
        <v>4510</v>
      </c>
      <c r="C3836">
        <v>0</v>
      </c>
      <c r="D3836" t="s">
        <v>106</v>
      </c>
      <c r="E3836">
        <v>24</v>
      </c>
    </row>
    <row r="3837" spans="1:5">
      <c r="A3837" t="s">
        <v>4504</v>
      </c>
      <c r="B3837" t="s">
        <v>4511</v>
      </c>
      <c r="C3837">
        <f>0</f>
        <v>0</v>
      </c>
      <c r="D3837" t="s">
        <v>106</v>
      </c>
      <c r="E3837">
        <v>24</v>
      </c>
    </row>
    <row r="3838" spans="1:5">
      <c r="A3838" t="s">
        <v>4504</v>
      </c>
      <c r="B3838" t="s">
        <v>4512</v>
      </c>
      <c r="C3838">
        <f>0</f>
        <v>0</v>
      </c>
      <c r="D3838" t="s">
        <v>106</v>
      </c>
      <c r="E3838">
        <v>24</v>
      </c>
    </row>
    <row r="3839" spans="1:5">
      <c r="A3839" t="s">
        <v>4504</v>
      </c>
      <c r="B3839" t="s">
        <v>4513</v>
      </c>
      <c r="C3839">
        <v>0</v>
      </c>
      <c r="D3839" t="s">
        <v>106</v>
      </c>
      <c r="E3839">
        <v>24</v>
      </c>
    </row>
    <row r="3840" spans="1:5">
      <c r="A3840" t="s">
        <v>4504</v>
      </c>
      <c r="B3840" t="s">
        <v>4514</v>
      </c>
      <c r="C3840">
        <v>0</v>
      </c>
      <c r="D3840" t="s">
        <v>106</v>
      </c>
      <c r="E3840">
        <v>24</v>
      </c>
    </row>
    <row r="3841" spans="1:5">
      <c r="A3841" t="s">
        <v>4504</v>
      </c>
      <c r="B3841" t="s">
        <v>4515</v>
      </c>
      <c r="C3841">
        <f>0</f>
        <v>0</v>
      </c>
      <c r="D3841" t="s">
        <v>106</v>
      </c>
      <c r="E3841">
        <v>24</v>
      </c>
    </row>
    <row r="3842" spans="1:5">
      <c r="A3842" t="s">
        <v>4516</v>
      </c>
      <c r="B3842" t="s">
        <v>4338</v>
      </c>
      <c r="C3842">
        <f>0</f>
        <v>0</v>
      </c>
      <c r="D3842" t="s">
        <v>106</v>
      </c>
      <c r="E3842">
        <v>10.0749625187406</v>
      </c>
    </row>
    <row r="3843" spans="1:5">
      <c r="A3843" t="s">
        <v>4516</v>
      </c>
      <c r="B3843" t="s">
        <v>4339</v>
      </c>
      <c r="C3843">
        <v>0</v>
      </c>
      <c r="D3843" t="s">
        <v>106</v>
      </c>
      <c r="E3843">
        <v>10.0749625187406</v>
      </c>
    </row>
    <row r="3844" spans="1:5">
      <c r="A3844" t="s">
        <v>4516</v>
      </c>
      <c r="B3844" t="s">
        <v>4340</v>
      </c>
      <c r="C3844">
        <f>0</f>
        <v>0</v>
      </c>
      <c r="D3844" t="s">
        <v>106</v>
      </c>
      <c r="E3844">
        <v>10.0749625187406</v>
      </c>
    </row>
    <row r="3845" spans="1:5">
      <c r="A3845" t="s">
        <v>4516</v>
      </c>
      <c r="B3845" t="s">
        <v>4341</v>
      </c>
      <c r="C3845">
        <v>0</v>
      </c>
      <c r="D3845" t="s">
        <v>106</v>
      </c>
      <c r="E3845">
        <v>10.0749625187406</v>
      </c>
    </row>
    <row r="3846" spans="1:5">
      <c r="A3846" t="s">
        <v>4516</v>
      </c>
      <c r="B3846" t="s">
        <v>4342</v>
      </c>
      <c r="C3846">
        <f>0</f>
        <v>0</v>
      </c>
      <c r="D3846" t="s">
        <v>106</v>
      </c>
      <c r="E3846">
        <v>10.0749625187406</v>
      </c>
    </row>
    <row r="3847" spans="1:5">
      <c r="A3847" t="s">
        <v>4516</v>
      </c>
      <c r="B3847" t="s">
        <v>4343</v>
      </c>
      <c r="C3847">
        <f>0</f>
        <v>0</v>
      </c>
      <c r="D3847" t="s">
        <v>106</v>
      </c>
      <c r="E3847">
        <v>10.0749625187406</v>
      </c>
    </row>
    <row r="3848" spans="1:5">
      <c r="A3848" t="s">
        <v>4516</v>
      </c>
      <c r="B3848" t="s">
        <v>4344</v>
      </c>
      <c r="C3848">
        <f>0</f>
        <v>0</v>
      </c>
      <c r="D3848" t="s">
        <v>106</v>
      </c>
      <c r="E3848">
        <v>10.0749625187406</v>
      </c>
    </row>
    <row r="3849" spans="1:5">
      <c r="A3849" t="s">
        <v>4517</v>
      </c>
      <c r="B3849" t="s">
        <v>4518</v>
      </c>
      <c r="C3849">
        <f>0</f>
        <v>0</v>
      </c>
      <c r="D3849" t="s">
        <v>106</v>
      </c>
      <c r="E3849">
        <v>1.8230884557721101</v>
      </c>
    </row>
    <row r="3850" spans="1:5">
      <c r="A3850" t="s">
        <v>4517</v>
      </c>
      <c r="B3850" t="s">
        <v>4519</v>
      </c>
      <c r="C3850">
        <v>0</v>
      </c>
      <c r="D3850" t="s">
        <v>106</v>
      </c>
      <c r="E3850">
        <v>1.8230884557721101</v>
      </c>
    </row>
    <row r="3851" spans="1:5">
      <c r="A3851" t="s">
        <v>4517</v>
      </c>
      <c r="B3851" t="s">
        <v>4520</v>
      </c>
      <c r="C3851">
        <v>0</v>
      </c>
      <c r="D3851" t="s">
        <v>106</v>
      </c>
      <c r="E3851">
        <v>1.8230884557721101</v>
      </c>
    </row>
    <row r="3852" spans="1:5">
      <c r="A3852" t="s">
        <v>4517</v>
      </c>
      <c r="B3852" t="s">
        <v>4521</v>
      </c>
      <c r="C3852">
        <v>0</v>
      </c>
      <c r="D3852" t="s">
        <v>106</v>
      </c>
      <c r="E3852">
        <v>1.8230884557721101</v>
      </c>
    </row>
    <row r="3853" spans="1:5">
      <c r="A3853" t="s">
        <v>4517</v>
      </c>
      <c r="B3853" t="s">
        <v>4522</v>
      </c>
      <c r="C3853">
        <f>0</f>
        <v>0</v>
      </c>
      <c r="D3853" t="s">
        <v>106</v>
      </c>
      <c r="E3853">
        <v>1.8230884557721101</v>
      </c>
    </row>
    <row r="3854" spans="1:5">
      <c r="A3854" t="s">
        <v>4517</v>
      </c>
      <c r="B3854" t="s">
        <v>4523</v>
      </c>
      <c r="C3854">
        <f>0</f>
        <v>0</v>
      </c>
      <c r="D3854" t="s">
        <v>106</v>
      </c>
      <c r="E3854">
        <v>1.8230884557721101</v>
      </c>
    </row>
    <row r="3855" spans="1:5">
      <c r="A3855" t="s">
        <v>4524</v>
      </c>
      <c r="B3855" t="s">
        <v>4525</v>
      </c>
      <c r="C3855">
        <v>0</v>
      </c>
      <c r="D3855" t="s">
        <v>106</v>
      </c>
      <c r="E3855">
        <v>24</v>
      </c>
    </row>
    <row r="3856" spans="1:5">
      <c r="A3856" t="s">
        <v>4524</v>
      </c>
      <c r="B3856" t="s">
        <v>4526</v>
      </c>
      <c r="C3856">
        <f>0</f>
        <v>0</v>
      </c>
      <c r="D3856" t="s">
        <v>106</v>
      </c>
      <c r="E3856">
        <v>24</v>
      </c>
    </row>
    <row r="3857" spans="1:5">
      <c r="A3857" t="s">
        <v>4527</v>
      </c>
      <c r="B3857" t="s">
        <v>4528</v>
      </c>
      <c r="C3857">
        <f>0</f>
        <v>0</v>
      </c>
      <c r="D3857" t="s">
        <v>106</v>
      </c>
      <c r="E3857">
        <v>0.503748125937031</v>
      </c>
    </row>
    <row r="3858" spans="1:5">
      <c r="A3858" t="s">
        <v>4527</v>
      </c>
      <c r="B3858" t="s">
        <v>4529</v>
      </c>
      <c r="C3858">
        <f>0</f>
        <v>0</v>
      </c>
      <c r="D3858" t="s">
        <v>106</v>
      </c>
      <c r="E3858">
        <v>0.503748125937031</v>
      </c>
    </row>
    <row r="3859" spans="1:5">
      <c r="A3859" t="s">
        <v>4527</v>
      </c>
      <c r="B3859" t="s">
        <v>4530</v>
      </c>
      <c r="C3859">
        <f>0</f>
        <v>0</v>
      </c>
      <c r="D3859" t="s">
        <v>106</v>
      </c>
      <c r="E3859">
        <v>0.503748125937031</v>
      </c>
    </row>
    <row r="3860" spans="1:5">
      <c r="A3860" t="s">
        <v>4527</v>
      </c>
      <c r="B3860" t="s">
        <v>4531</v>
      </c>
      <c r="C3860">
        <f>0</f>
        <v>0</v>
      </c>
      <c r="D3860" t="s">
        <v>106</v>
      </c>
      <c r="E3860">
        <v>0.503748125937031</v>
      </c>
    </row>
    <row r="3861" spans="1:5">
      <c r="A3861" t="s">
        <v>4527</v>
      </c>
      <c r="B3861" t="s">
        <v>4532</v>
      </c>
      <c r="C3861">
        <f>0</f>
        <v>0</v>
      </c>
      <c r="D3861" t="s">
        <v>106</v>
      </c>
      <c r="E3861">
        <v>0.503748125937031</v>
      </c>
    </row>
    <row r="3862" spans="1:5">
      <c r="A3862" t="s">
        <v>4527</v>
      </c>
      <c r="B3862" t="s">
        <v>4533</v>
      </c>
      <c r="C3862">
        <f>0</f>
        <v>0</v>
      </c>
      <c r="D3862" t="s">
        <v>106</v>
      </c>
      <c r="E3862">
        <v>0.503748125937031</v>
      </c>
    </row>
    <row r="3863" spans="1:5">
      <c r="A3863" t="s">
        <v>4527</v>
      </c>
      <c r="B3863" t="s">
        <v>4534</v>
      </c>
      <c r="C3863">
        <v>0</v>
      </c>
      <c r="D3863" t="s">
        <v>106</v>
      </c>
      <c r="E3863">
        <v>0.503748125937031</v>
      </c>
    </row>
    <row r="3864" spans="1:5">
      <c r="A3864" t="s">
        <v>4527</v>
      </c>
      <c r="B3864" t="s">
        <v>4535</v>
      </c>
      <c r="C3864">
        <v>0</v>
      </c>
      <c r="D3864" t="s">
        <v>106</v>
      </c>
      <c r="E3864">
        <v>0.503748125937031</v>
      </c>
    </row>
    <row r="3865" spans="1:5">
      <c r="A3865" t="s">
        <v>4527</v>
      </c>
      <c r="B3865" t="s">
        <v>4536</v>
      </c>
      <c r="C3865">
        <f>0</f>
        <v>0</v>
      </c>
      <c r="D3865" t="s">
        <v>106</v>
      </c>
      <c r="E3865">
        <v>0.503748125937031</v>
      </c>
    </row>
    <row r="3866" spans="1:5">
      <c r="A3866" t="s">
        <v>4527</v>
      </c>
      <c r="B3866" t="s">
        <v>4537</v>
      </c>
      <c r="C3866">
        <v>0</v>
      </c>
      <c r="D3866" t="s">
        <v>106</v>
      </c>
      <c r="E3866">
        <v>0.503748125937031</v>
      </c>
    </row>
    <row r="3867" spans="1:5">
      <c r="A3867" t="s">
        <v>4527</v>
      </c>
      <c r="B3867" t="s">
        <v>4538</v>
      </c>
      <c r="C3867">
        <f>0</f>
        <v>0</v>
      </c>
      <c r="D3867" t="s">
        <v>106</v>
      </c>
      <c r="E3867">
        <v>0.503748125937031</v>
      </c>
    </row>
    <row r="3868" spans="1:5">
      <c r="A3868" t="s">
        <v>4527</v>
      </c>
      <c r="B3868" t="s">
        <v>4539</v>
      </c>
      <c r="C3868">
        <f>0</f>
        <v>0</v>
      </c>
      <c r="D3868" t="s">
        <v>106</v>
      </c>
      <c r="E3868">
        <v>0.503748125937031</v>
      </c>
    </row>
    <row r="3869" spans="1:5">
      <c r="A3869" t="s">
        <v>4527</v>
      </c>
      <c r="B3869" t="s">
        <v>4540</v>
      </c>
      <c r="C3869">
        <f>0</f>
        <v>0</v>
      </c>
      <c r="D3869" t="s">
        <v>106</v>
      </c>
      <c r="E3869">
        <v>0.503748125937031</v>
      </c>
    </row>
    <row r="3870" spans="1:5">
      <c r="A3870" t="s">
        <v>4527</v>
      </c>
      <c r="B3870" t="s">
        <v>4541</v>
      </c>
      <c r="C3870">
        <f>0</f>
        <v>0</v>
      </c>
      <c r="D3870" t="s">
        <v>106</v>
      </c>
      <c r="E3870">
        <v>0.503748125937031</v>
      </c>
    </row>
    <row r="3871" spans="1:5">
      <c r="A3871" t="s">
        <v>4527</v>
      </c>
      <c r="B3871" t="s">
        <v>4542</v>
      </c>
      <c r="C3871">
        <f>0</f>
        <v>0</v>
      </c>
      <c r="D3871" t="s">
        <v>106</v>
      </c>
      <c r="E3871">
        <v>0.503748125937031</v>
      </c>
    </row>
    <row r="3872" spans="1:5">
      <c r="A3872" t="s">
        <v>4527</v>
      </c>
      <c r="B3872" t="s">
        <v>4543</v>
      </c>
      <c r="C3872">
        <v>0</v>
      </c>
      <c r="D3872" t="s">
        <v>106</v>
      </c>
      <c r="E3872">
        <v>0.503748125937031</v>
      </c>
    </row>
    <row r="3873" spans="1:5">
      <c r="A3873" t="s">
        <v>4527</v>
      </c>
      <c r="B3873" t="s">
        <v>4544</v>
      </c>
      <c r="C3873">
        <f>0</f>
        <v>0</v>
      </c>
      <c r="D3873" t="s">
        <v>106</v>
      </c>
      <c r="E3873">
        <v>0.503748125937031</v>
      </c>
    </row>
    <row r="3874" spans="1:5">
      <c r="A3874" t="s">
        <v>4527</v>
      </c>
      <c r="B3874" t="s">
        <v>4545</v>
      </c>
      <c r="C3874">
        <f>0</f>
        <v>0</v>
      </c>
      <c r="D3874" t="s">
        <v>106</v>
      </c>
      <c r="E3874">
        <v>0.503748125937031</v>
      </c>
    </row>
    <row r="3875" spans="1:5">
      <c r="A3875" t="s">
        <v>4527</v>
      </c>
      <c r="B3875" t="s">
        <v>4546</v>
      </c>
      <c r="C3875">
        <f>0</f>
        <v>0</v>
      </c>
      <c r="D3875" t="s">
        <v>106</v>
      </c>
      <c r="E3875">
        <v>0.503748125937031</v>
      </c>
    </row>
    <row r="3876" spans="1:5">
      <c r="A3876" t="s">
        <v>4527</v>
      </c>
      <c r="B3876" t="s">
        <v>4547</v>
      </c>
      <c r="C3876">
        <v>0</v>
      </c>
      <c r="D3876" t="s">
        <v>106</v>
      </c>
      <c r="E3876">
        <v>0.503748125937031</v>
      </c>
    </row>
    <row r="3877" spans="1:5">
      <c r="A3877" t="s">
        <v>4548</v>
      </c>
      <c r="B3877" t="s">
        <v>4549</v>
      </c>
      <c r="C3877">
        <v>0</v>
      </c>
      <c r="D3877">
        <v>0.80809884992799996</v>
      </c>
      <c r="E3877">
        <v>4.3778110944527704</v>
      </c>
    </row>
    <row r="3878" spans="1:5">
      <c r="A3878" t="s">
        <v>4548</v>
      </c>
      <c r="B3878" t="s">
        <v>4550</v>
      </c>
      <c r="C3878">
        <f>0</f>
        <v>0</v>
      </c>
      <c r="D3878">
        <v>0.80809884992799996</v>
      </c>
      <c r="E3878">
        <v>4.3778110944527704</v>
      </c>
    </row>
    <row r="3879" spans="1:5">
      <c r="A3879" t="s">
        <v>4548</v>
      </c>
      <c r="B3879" t="s">
        <v>4551</v>
      </c>
      <c r="C3879">
        <v>0</v>
      </c>
      <c r="D3879">
        <v>0.80809884992799996</v>
      </c>
      <c r="E3879">
        <v>4.3778110944527704</v>
      </c>
    </row>
    <row r="3880" spans="1:5">
      <c r="A3880" t="s">
        <v>4548</v>
      </c>
      <c r="B3880" t="s">
        <v>4552</v>
      </c>
      <c r="C3880">
        <f>0</f>
        <v>0</v>
      </c>
      <c r="D3880">
        <v>0.80809884992799996</v>
      </c>
      <c r="E3880">
        <v>4.3778110944527704</v>
      </c>
    </row>
    <row r="3881" spans="1:5">
      <c r="A3881" t="s">
        <v>4548</v>
      </c>
      <c r="B3881" t="s">
        <v>4553</v>
      </c>
      <c r="C3881">
        <v>0</v>
      </c>
      <c r="D3881">
        <v>0.80809884992799996</v>
      </c>
      <c r="E3881">
        <v>4.3778110944527704</v>
      </c>
    </row>
    <row r="3882" spans="1:5">
      <c r="A3882" t="s">
        <v>4548</v>
      </c>
      <c r="B3882" t="s">
        <v>4554</v>
      </c>
      <c r="C3882">
        <v>0</v>
      </c>
      <c r="D3882">
        <v>0.80809884992799996</v>
      </c>
      <c r="E3882">
        <v>4.3778110944527704</v>
      </c>
    </row>
    <row r="3883" spans="1:5">
      <c r="A3883" t="s">
        <v>4548</v>
      </c>
      <c r="B3883" t="s">
        <v>4555</v>
      </c>
      <c r="C3883">
        <v>0</v>
      </c>
      <c r="D3883">
        <v>0.80809884992799996</v>
      </c>
      <c r="E3883">
        <v>4.3778110944527704</v>
      </c>
    </row>
    <row r="3884" spans="1:5">
      <c r="A3884" t="s">
        <v>4548</v>
      </c>
      <c r="B3884" t="s">
        <v>4556</v>
      </c>
      <c r="C3884">
        <f>0</f>
        <v>0</v>
      </c>
      <c r="D3884">
        <v>0.80809884992799996</v>
      </c>
      <c r="E3884">
        <v>4.3778110944527704</v>
      </c>
    </row>
    <row r="3885" spans="1:5">
      <c r="A3885" t="s">
        <v>4548</v>
      </c>
      <c r="B3885" t="s">
        <v>4557</v>
      </c>
      <c r="C3885">
        <v>0</v>
      </c>
      <c r="D3885">
        <v>0.80809884992799996</v>
      </c>
      <c r="E3885">
        <v>4.3778110944527704</v>
      </c>
    </row>
    <row r="3886" spans="1:5">
      <c r="A3886" t="s">
        <v>4548</v>
      </c>
      <c r="B3886" t="s">
        <v>4558</v>
      </c>
      <c r="C3886">
        <v>0</v>
      </c>
      <c r="D3886">
        <v>0.80809884992799996</v>
      </c>
      <c r="E3886">
        <v>4.3778110944527704</v>
      </c>
    </row>
    <row r="3887" spans="1:5">
      <c r="A3887" t="s">
        <v>4548</v>
      </c>
      <c r="B3887" t="s">
        <v>4559</v>
      </c>
      <c r="C3887">
        <v>0</v>
      </c>
      <c r="D3887">
        <v>0.80809884992799996</v>
      </c>
      <c r="E3887">
        <v>4.3778110944527704</v>
      </c>
    </row>
    <row r="3888" spans="1:5">
      <c r="A3888" t="s">
        <v>4548</v>
      </c>
      <c r="B3888" t="s">
        <v>4560</v>
      </c>
      <c r="C3888">
        <v>0</v>
      </c>
      <c r="D3888">
        <v>0.80809884992799996</v>
      </c>
      <c r="E3888">
        <v>4.3778110944527704</v>
      </c>
    </row>
    <row r="3889" spans="1:5">
      <c r="A3889" t="s">
        <v>4548</v>
      </c>
      <c r="B3889" t="s">
        <v>4561</v>
      </c>
      <c r="C3889">
        <v>1.38497037813E-2</v>
      </c>
      <c r="D3889">
        <v>0.80809884992799996</v>
      </c>
      <c r="E3889">
        <v>4.3778110944527704</v>
      </c>
    </row>
    <row r="3890" spans="1:5">
      <c r="A3890" t="s">
        <v>4562</v>
      </c>
      <c r="B3890" t="s">
        <v>4563</v>
      </c>
      <c r="C3890">
        <v>0.18974939647799999</v>
      </c>
      <c r="D3890" t="s">
        <v>106</v>
      </c>
      <c r="E3890">
        <v>24</v>
      </c>
    </row>
    <row r="3891" spans="1:5">
      <c r="A3891" t="s">
        <v>4562</v>
      </c>
      <c r="B3891" t="s">
        <v>4564</v>
      </c>
      <c r="C3891">
        <f>0.00638174137047</f>
        <v>6.38174137047E-3</v>
      </c>
      <c r="D3891" t="s">
        <v>106</v>
      </c>
      <c r="E3891">
        <v>24</v>
      </c>
    </row>
    <row r="3892" spans="1:5">
      <c r="A3892" t="s">
        <v>4562</v>
      </c>
      <c r="B3892" t="s">
        <v>4565</v>
      </c>
      <c r="C3892">
        <v>0</v>
      </c>
      <c r="D3892" t="s">
        <v>106</v>
      </c>
      <c r="E3892">
        <v>24</v>
      </c>
    </row>
    <row r="3893" spans="1:5">
      <c r="A3893" t="s">
        <v>4562</v>
      </c>
      <c r="B3893" t="s">
        <v>4566</v>
      </c>
      <c r="C3893">
        <f>0</f>
        <v>0</v>
      </c>
      <c r="D3893" t="s">
        <v>106</v>
      </c>
      <c r="E3893">
        <v>24</v>
      </c>
    </row>
    <row r="3894" spans="1:5">
      <c r="A3894" t="s">
        <v>4562</v>
      </c>
      <c r="B3894" t="s">
        <v>4567</v>
      </c>
      <c r="C3894">
        <f>0</f>
        <v>0</v>
      </c>
      <c r="D3894" t="s">
        <v>106</v>
      </c>
      <c r="E3894">
        <v>24</v>
      </c>
    </row>
    <row r="3895" spans="1:5">
      <c r="A3895" t="s">
        <v>4568</v>
      </c>
      <c r="B3895" t="s">
        <v>4569</v>
      </c>
      <c r="C3895">
        <v>0.10333676605</v>
      </c>
      <c r="D3895">
        <v>0.933515435241</v>
      </c>
      <c r="E3895">
        <v>21.637181409295302</v>
      </c>
    </row>
    <row r="3896" spans="1:5">
      <c r="A3896" t="s">
        <v>4568</v>
      </c>
      <c r="B3896" t="s">
        <v>4570</v>
      </c>
      <c r="C3896">
        <v>1.6592823234099999E-2</v>
      </c>
      <c r="D3896">
        <v>0.933515435241</v>
      </c>
      <c r="E3896">
        <v>21.637181409295302</v>
      </c>
    </row>
    <row r="3897" spans="1:5">
      <c r="A3897" t="s">
        <v>4568</v>
      </c>
      <c r="B3897" t="s">
        <v>4571</v>
      </c>
      <c r="C3897">
        <f>0</f>
        <v>0</v>
      </c>
      <c r="D3897">
        <v>0.933515435241</v>
      </c>
      <c r="E3897">
        <v>21.637181409295302</v>
      </c>
    </row>
    <row r="3898" spans="1:5">
      <c r="A3898" t="s">
        <v>4568</v>
      </c>
      <c r="B3898" t="s">
        <v>4572</v>
      </c>
      <c r="C3898">
        <f>0</f>
        <v>0</v>
      </c>
      <c r="D3898">
        <v>0.933515435241</v>
      </c>
      <c r="E3898">
        <v>21.637181409295302</v>
      </c>
    </row>
    <row r="3899" spans="1:5">
      <c r="A3899" t="s">
        <v>4573</v>
      </c>
      <c r="B3899" t="s">
        <v>4574</v>
      </c>
      <c r="C3899">
        <f>0</f>
        <v>0</v>
      </c>
      <c r="D3899" t="s">
        <v>106</v>
      </c>
      <c r="E3899">
        <v>1.89505247376311</v>
      </c>
    </row>
    <row r="3900" spans="1:5">
      <c r="A3900" t="s">
        <v>4573</v>
      </c>
      <c r="B3900" t="s">
        <v>4575</v>
      </c>
      <c r="C3900">
        <f>0</f>
        <v>0</v>
      </c>
      <c r="D3900" t="s">
        <v>106</v>
      </c>
      <c r="E3900">
        <v>1.89505247376311</v>
      </c>
    </row>
    <row r="3901" spans="1:5">
      <c r="A3901" t="s">
        <v>4573</v>
      </c>
      <c r="B3901" t="s">
        <v>4576</v>
      </c>
      <c r="C3901">
        <f>0</f>
        <v>0</v>
      </c>
      <c r="D3901" t="s">
        <v>106</v>
      </c>
      <c r="E3901">
        <v>1.89505247376311</v>
      </c>
    </row>
    <row r="3902" spans="1:5">
      <c r="A3902" t="s">
        <v>4573</v>
      </c>
      <c r="B3902" t="s">
        <v>4577</v>
      </c>
      <c r="C3902">
        <v>0</v>
      </c>
      <c r="D3902" t="s">
        <v>106</v>
      </c>
      <c r="E3902">
        <v>1.89505247376311</v>
      </c>
    </row>
    <row r="3903" spans="1:5">
      <c r="A3903" t="s">
        <v>4578</v>
      </c>
      <c r="B3903" t="s">
        <v>4579</v>
      </c>
      <c r="C3903">
        <v>0.18923722864299999</v>
      </c>
      <c r="D3903">
        <v>0.98495519067199999</v>
      </c>
      <c r="E3903">
        <v>9.9190404797601204</v>
      </c>
    </row>
    <row r="3904" spans="1:5">
      <c r="A3904" t="s">
        <v>4578</v>
      </c>
      <c r="B3904" t="s">
        <v>4580</v>
      </c>
      <c r="C3904">
        <v>2.4953392242400001E-2</v>
      </c>
      <c r="D3904">
        <v>0.98495519067199999</v>
      </c>
      <c r="E3904">
        <v>9.9190404797601204</v>
      </c>
    </row>
    <row r="3905" spans="1:5">
      <c r="A3905" t="s">
        <v>4578</v>
      </c>
      <c r="B3905" t="s">
        <v>4581</v>
      </c>
      <c r="C3905">
        <v>0</v>
      </c>
      <c r="D3905">
        <v>0.98495519067199999</v>
      </c>
      <c r="E3905">
        <v>9.9190404797601204</v>
      </c>
    </row>
    <row r="3906" spans="1:5">
      <c r="A3906" t="s">
        <v>4578</v>
      </c>
      <c r="B3906" t="s">
        <v>4582</v>
      </c>
      <c r="C3906">
        <v>0</v>
      </c>
      <c r="D3906">
        <v>0.98495519067199999</v>
      </c>
      <c r="E3906">
        <v>9.9190404797601204</v>
      </c>
    </row>
    <row r="3907" spans="1:5">
      <c r="A3907" t="s">
        <v>4578</v>
      </c>
      <c r="B3907" t="s">
        <v>4583</v>
      </c>
      <c r="C3907">
        <v>0</v>
      </c>
      <c r="D3907">
        <v>0.98495519067199999</v>
      </c>
      <c r="E3907">
        <v>9.9190404797601204</v>
      </c>
    </row>
    <row r="3908" spans="1:5">
      <c r="A3908" t="s">
        <v>4578</v>
      </c>
      <c r="B3908" t="s">
        <v>4584</v>
      </c>
      <c r="C3908">
        <v>0</v>
      </c>
      <c r="D3908">
        <v>0.98495519067199999</v>
      </c>
      <c r="E3908">
        <v>9.9190404797601204</v>
      </c>
    </row>
    <row r="3909" spans="1:5">
      <c r="A3909" t="s">
        <v>4585</v>
      </c>
      <c r="B3909" t="s">
        <v>4586</v>
      </c>
      <c r="C3909">
        <v>0.26039138280500002</v>
      </c>
      <c r="D3909">
        <v>0.88445978726899999</v>
      </c>
      <c r="E3909">
        <v>0.86356821589205401</v>
      </c>
    </row>
    <row r="3910" spans="1:5">
      <c r="A3910" t="s">
        <v>4587</v>
      </c>
      <c r="B3910" t="s">
        <v>4588</v>
      </c>
      <c r="C3910">
        <v>0</v>
      </c>
      <c r="D3910">
        <v>0.96235257666200003</v>
      </c>
      <c r="E3910">
        <v>9.9190404797601204</v>
      </c>
    </row>
    <row r="3911" spans="1:5">
      <c r="A3911" t="s">
        <v>4587</v>
      </c>
      <c r="B3911" t="s">
        <v>4589</v>
      </c>
      <c r="C3911">
        <v>0</v>
      </c>
      <c r="D3911">
        <v>0.96235257666200003</v>
      </c>
      <c r="E3911">
        <v>9.9190404797601204</v>
      </c>
    </row>
    <row r="3912" spans="1:5">
      <c r="A3912" t="s">
        <v>4587</v>
      </c>
      <c r="B3912" t="s">
        <v>4590</v>
      </c>
      <c r="C3912">
        <v>0</v>
      </c>
      <c r="D3912">
        <v>0.96235257666200003</v>
      </c>
      <c r="E3912">
        <v>9.9190404797601204</v>
      </c>
    </row>
    <row r="3913" spans="1:5">
      <c r="A3913" t="s">
        <v>4587</v>
      </c>
      <c r="B3913" t="s">
        <v>4591</v>
      </c>
      <c r="C3913">
        <v>0.112241805199</v>
      </c>
      <c r="D3913">
        <v>0.96235257666200003</v>
      </c>
      <c r="E3913">
        <v>9.9190404797601204</v>
      </c>
    </row>
    <row r="3914" spans="1:5">
      <c r="A3914" t="s">
        <v>4587</v>
      </c>
      <c r="B3914" t="s">
        <v>4592</v>
      </c>
      <c r="C3914">
        <v>0.214210162988</v>
      </c>
      <c r="D3914">
        <v>0.96235257666200003</v>
      </c>
      <c r="E3914">
        <v>9.9190404797601204</v>
      </c>
    </row>
    <row r="3915" spans="1:5">
      <c r="A3915" t="s">
        <v>4593</v>
      </c>
      <c r="B3915" t="s">
        <v>4594</v>
      </c>
      <c r="C3915">
        <v>0</v>
      </c>
      <c r="D3915">
        <v>0.76750310391800003</v>
      </c>
      <c r="E3915">
        <v>9.3073463268365799</v>
      </c>
    </row>
    <row r="3916" spans="1:5">
      <c r="A3916" t="s">
        <v>4593</v>
      </c>
      <c r="B3916" t="s">
        <v>4595</v>
      </c>
      <c r="C3916">
        <v>9.0954605518100001E-2</v>
      </c>
      <c r="D3916">
        <v>0.76750310391800003</v>
      </c>
      <c r="E3916">
        <v>9.3073463268365799</v>
      </c>
    </row>
    <row r="3917" spans="1:5">
      <c r="A3917" t="s">
        <v>4596</v>
      </c>
      <c r="B3917" t="s">
        <v>4597</v>
      </c>
      <c r="C3917">
        <v>0</v>
      </c>
      <c r="D3917" t="s">
        <v>106</v>
      </c>
      <c r="E3917">
        <v>1.00749625187406</v>
      </c>
    </row>
    <row r="3918" spans="1:5">
      <c r="A3918" t="s">
        <v>4596</v>
      </c>
      <c r="B3918" t="s">
        <v>4598</v>
      </c>
      <c r="C3918">
        <f>0</f>
        <v>0</v>
      </c>
      <c r="D3918" t="s">
        <v>106</v>
      </c>
      <c r="E3918">
        <v>1.00749625187406</v>
      </c>
    </row>
    <row r="3919" spans="1:5">
      <c r="A3919" t="s">
        <v>4596</v>
      </c>
      <c r="B3919" t="s">
        <v>4599</v>
      </c>
      <c r="C3919">
        <v>0</v>
      </c>
      <c r="D3919" t="s">
        <v>106</v>
      </c>
      <c r="E3919">
        <v>1.00749625187406</v>
      </c>
    </row>
    <row r="3920" spans="1:5">
      <c r="A3920" t="s">
        <v>4596</v>
      </c>
      <c r="B3920" t="s">
        <v>4600</v>
      </c>
      <c r="C3920">
        <f>0</f>
        <v>0</v>
      </c>
      <c r="D3920" t="s">
        <v>106</v>
      </c>
      <c r="E3920">
        <v>1.00749625187406</v>
      </c>
    </row>
    <row r="3921" spans="1:5">
      <c r="A3921" t="s">
        <v>4596</v>
      </c>
      <c r="B3921" t="s">
        <v>4601</v>
      </c>
      <c r="C3921">
        <f>0</f>
        <v>0</v>
      </c>
      <c r="D3921" t="s">
        <v>106</v>
      </c>
      <c r="E3921">
        <v>1.00749625187406</v>
      </c>
    </row>
    <row r="3922" spans="1:5">
      <c r="A3922" t="s">
        <v>4596</v>
      </c>
      <c r="B3922" t="s">
        <v>4602</v>
      </c>
      <c r="C3922">
        <v>0</v>
      </c>
      <c r="D3922" t="s">
        <v>106</v>
      </c>
      <c r="E3922">
        <v>1.00749625187406</v>
      </c>
    </row>
    <row r="3923" spans="1:5">
      <c r="A3923" t="s">
        <v>4596</v>
      </c>
      <c r="B3923" t="s">
        <v>4603</v>
      </c>
      <c r="C3923">
        <v>0</v>
      </c>
      <c r="D3923" t="s">
        <v>106</v>
      </c>
      <c r="E3923">
        <v>1.00749625187406</v>
      </c>
    </row>
    <row r="3924" spans="1:5">
      <c r="A3924" t="s">
        <v>4596</v>
      </c>
      <c r="B3924" t="s">
        <v>4604</v>
      </c>
      <c r="C3924">
        <v>0</v>
      </c>
      <c r="D3924" t="s">
        <v>106</v>
      </c>
      <c r="E3924">
        <v>1.00749625187406</v>
      </c>
    </row>
    <row r="3925" spans="1:5">
      <c r="A3925" t="s">
        <v>4596</v>
      </c>
      <c r="B3925" t="s">
        <v>4605</v>
      </c>
      <c r="C3925">
        <v>0</v>
      </c>
      <c r="D3925" t="s">
        <v>106</v>
      </c>
      <c r="E3925">
        <v>1.00749625187406</v>
      </c>
    </row>
    <row r="3926" spans="1:5">
      <c r="A3926" t="s">
        <v>4596</v>
      </c>
      <c r="B3926" t="s">
        <v>4606</v>
      </c>
      <c r="C3926">
        <v>0</v>
      </c>
      <c r="D3926" t="s">
        <v>106</v>
      </c>
      <c r="E3926">
        <v>1.00749625187406</v>
      </c>
    </row>
    <row r="3927" spans="1:5">
      <c r="A3927" t="s">
        <v>4596</v>
      </c>
      <c r="B3927" t="s">
        <v>4607</v>
      </c>
      <c r="C3927">
        <v>0</v>
      </c>
      <c r="D3927" t="s">
        <v>106</v>
      </c>
      <c r="E3927">
        <v>1.00749625187406</v>
      </c>
    </row>
    <row r="3928" spans="1:5">
      <c r="A3928" t="s">
        <v>4608</v>
      </c>
      <c r="B3928" t="s">
        <v>4609</v>
      </c>
      <c r="C3928">
        <v>0</v>
      </c>
      <c r="D3928">
        <v>0.99454796802199996</v>
      </c>
      <c r="E3928">
        <v>12.0419790104947</v>
      </c>
    </row>
    <row r="3929" spans="1:5">
      <c r="A3929" t="s">
        <v>4608</v>
      </c>
      <c r="B3929" t="s">
        <v>4610</v>
      </c>
      <c r="C3929">
        <v>0.14466903507000001</v>
      </c>
      <c r="D3929">
        <v>0.99454796802199996</v>
      </c>
      <c r="E3929">
        <v>12.0419790104947</v>
      </c>
    </row>
    <row r="3930" spans="1:5">
      <c r="A3930" t="s">
        <v>4608</v>
      </c>
      <c r="B3930" t="s">
        <v>4611</v>
      </c>
      <c r="C3930">
        <v>0</v>
      </c>
      <c r="D3930">
        <v>0.99454796802199996</v>
      </c>
      <c r="E3930">
        <v>12.0419790104947</v>
      </c>
    </row>
    <row r="3931" spans="1:5">
      <c r="A3931" t="s">
        <v>4608</v>
      </c>
      <c r="B3931" t="s">
        <v>4612</v>
      </c>
      <c r="C3931">
        <v>0.29781729865399997</v>
      </c>
      <c r="D3931">
        <v>0.99454796802199996</v>
      </c>
      <c r="E3931">
        <v>12.0419790104947</v>
      </c>
    </row>
    <row r="3932" spans="1:5">
      <c r="A3932" t="s">
        <v>4608</v>
      </c>
      <c r="B3932" t="s">
        <v>4613</v>
      </c>
      <c r="C3932">
        <v>0</v>
      </c>
      <c r="D3932">
        <v>0.99454796802199996</v>
      </c>
      <c r="E3932">
        <v>12.0419790104947</v>
      </c>
    </row>
    <row r="3933" spans="1:5">
      <c r="A3933" t="s">
        <v>4608</v>
      </c>
      <c r="B3933" t="s">
        <v>4614</v>
      </c>
      <c r="C3933">
        <v>0</v>
      </c>
      <c r="D3933">
        <v>0.99454796802199996</v>
      </c>
      <c r="E3933">
        <v>12.0419790104947</v>
      </c>
    </row>
    <row r="3934" spans="1:5">
      <c r="A3934" t="s">
        <v>4615</v>
      </c>
      <c r="B3934" t="s">
        <v>4616</v>
      </c>
      <c r="C3934">
        <f>0</f>
        <v>0</v>
      </c>
      <c r="D3934" t="s">
        <v>106</v>
      </c>
      <c r="E3934">
        <v>2.0269865067466202</v>
      </c>
    </row>
    <row r="3935" spans="1:5">
      <c r="A3935" t="s">
        <v>4615</v>
      </c>
      <c r="B3935" t="s">
        <v>4617</v>
      </c>
      <c r="C3935">
        <f>0</f>
        <v>0</v>
      </c>
      <c r="D3935" t="s">
        <v>106</v>
      </c>
      <c r="E3935">
        <v>2.0269865067466202</v>
      </c>
    </row>
    <row r="3936" spans="1:5">
      <c r="A3936" t="s">
        <v>4615</v>
      </c>
      <c r="B3936" t="s">
        <v>4618</v>
      </c>
      <c r="C3936">
        <f>0</f>
        <v>0</v>
      </c>
      <c r="D3936" t="s">
        <v>106</v>
      </c>
      <c r="E3936">
        <v>2.0269865067466202</v>
      </c>
    </row>
    <row r="3937" spans="1:5">
      <c r="A3937" t="s">
        <v>4615</v>
      </c>
      <c r="B3937" t="s">
        <v>4619</v>
      </c>
      <c r="C3937">
        <f>0</f>
        <v>0</v>
      </c>
      <c r="D3937" t="s">
        <v>106</v>
      </c>
      <c r="E3937">
        <v>2.0269865067466202</v>
      </c>
    </row>
    <row r="3938" spans="1:5">
      <c r="A3938" t="s">
        <v>4615</v>
      </c>
      <c r="B3938" t="s">
        <v>4620</v>
      </c>
      <c r="C3938">
        <f>0</f>
        <v>0</v>
      </c>
      <c r="D3938" t="s">
        <v>106</v>
      </c>
      <c r="E3938">
        <v>2.0269865067466202</v>
      </c>
    </row>
    <row r="3939" spans="1:5">
      <c r="A3939" t="s">
        <v>4615</v>
      </c>
      <c r="B3939" t="s">
        <v>4621</v>
      </c>
      <c r="C3939">
        <f>0</f>
        <v>0</v>
      </c>
      <c r="D3939" t="s">
        <v>106</v>
      </c>
      <c r="E3939">
        <v>2.0269865067466202</v>
      </c>
    </row>
    <row r="3940" spans="1:5">
      <c r="A3940" t="s">
        <v>4615</v>
      </c>
      <c r="B3940" t="s">
        <v>4622</v>
      </c>
      <c r="C3940">
        <v>0</v>
      </c>
      <c r="D3940" t="s">
        <v>106</v>
      </c>
      <c r="E3940">
        <v>2.0269865067466202</v>
      </c>
    </row>
    <row r="3941" spans="1:5">
      <c r="A3941" t="s">
        <v>4615</v>
      </c>
      <c r="B3941" t="s">
        <v>4623</v>
      </c>
      <c r="C3941">
        <v>0</v>
      </c>
      <c r="D3941" t="s">
        <v>106</v>
      </c>
      <c r="E3941">
        <v>2.0269865067466202</v>
      </c>
    </row>
    <row r="3942" spans="1:5">
      <c r="A3942" t="s">
        <v>4615</v>
      </c>
      <c r="B3942" t="s">
        <v>4624</v>
      </c>
      <c r="C3942">
        <f>0</f>
        <v>0</v>
      </c>
      <c r="D3942" t="s">
        <v>106</v>
      </c>
      <c r="E3942">
        <v>2.0269865067466202</v>
      </c>
    </row>
    <row r="3943" spans="1:5">
      <c r="A3943" t="s">
        <v>4625</v>
      </c>
      <c r="B3943" t="s">
        <v>4626</v>
      </c>
      <c r="C3943">
        <f>0</f>
        <v>0</v>
      </c>
      <c r="D3943" t="s">
        <v>106</v>
      </c>
      <c r="E3943">
        <v>5.1214392803598203</v>
      </c>
    </row>
    <row r="3944" spans="1:5">
      <c r="A3944" t="s">
        <v>4625</v>
      </c>
      <c r="B3944" t="s">
        <v>4627</v>
      </c>
      <c r="C3944">
        <f>0</f>
        <v>0</v>
      </c>
      <c r="D3944" t="s">
        <v>106</v>
      </c>
      <c r="E3944">
        <v>5.1214392803598203</v>
      </c>
    </row>
    <row r="3945" spans="1:5">
      <c r="A3945" t="s">
        <v>4625</v>
      </c>
      <c r="B3945" t="s">
        <v>4628</v>
      </c>
      <c r="C3945">
        <v>0</v>
      </c>
      <c r="D3945" t="s">
        <v>106</v>
      </c>
      <c r="E3945">
        <v>5.1214392803598203</v>
      </c>
    </row>
    <row r="3946" spans="1:5">
      <c r="A3946" t="s">
        <v>4625</v>
      </c>
      <c r="B3946" t="s">
        <v>4629</v>
      </c>
      <c r="C3946">
        <f>0</f>
        <v>0</v>
      </c>
      <c r="D3946" t="s">
        <v>106</v>
      </c>
      <c r="E3946">
        <v>5.1214392803598203</v>
      </c>
    </row>
    <row r="3947" spans="1:5">
      <c r="A3947" t="s">
        <v>4625</v>
      </c>
      <c r="B3947" t="s">
        <v>4630</v>
      </c>
      <c r="C3947">
        <v>0</v>
      </c>
      <c r="D3947" t="s">
        <v>106</v>
      </c>
      <c r="E3947">
        <v>5.1214392803598203</v>
      </c>
    </row>
    <row r="3948" spans="1:5">
      <c r="A3948" t="s">
        <v>4625</v>
      </c>
      <c r="B3948" t="s">
        <v>4631</v>
      </c>
      <c r="C3948">
        <v>1.2557957096400001E-2</v>
      </c>
      <c r="D3948" t="s">
        <v>106</v>
      </c>
      <c r="E3948">
        <v>5.1214392803598203</v>
      </c>
    </row>
    <row r="3949" spans="1:5">
      <c r="A3949" t="s">
        <v>4625</v>
      </c>
      <c r="B3949" t="s">
        <v>4632</v>
      </c>
      <c r="C3949">
        <v>0</v>
      </c>
      <c r="D3949" t="s">
        <v>106</v>
      </c>
      <c r="E3949">
        <v>5.1214392803598203</v>
      </c>
    </row>
    <row r="3950" spans="1:5">
      <c r="A3950" t="s">
        <v>4625</v>
      </c>
      <c r="B3950" t="s">
        <v>4633</v>
      </c>
      <c r="C3950">
        <f>0</f>
        <v>0</v>
      </c>
      <c r="D3950" t="s">
        <v>106</v>
      </c>
      <c r="E3950">
        <v>5.1214392803598203</v>
      </c>
    </row>
    <row r="3951" spans="1:5">
      <c r="A3951" t="s">
        <v>4625</v>
      </c>
      <c r="B3951" t="s">
        <v>4634</v>
      </c>
      <c r="C3951">
        <v>0</v>
      </c>
      <c r="D3951" t="s">
        <v>106</v>
      </c>
      <c r="E3951">
        <v>5.1214392803598203</v>
      </c>
    </row>
    <row r="3952" spans="1:5">
      <c r="A3952" t="s">
        <v>4625</v>
      </c>
      <c r="B3952" t="s">
        <v>4635</v>
      </c>
      <c r="C3952">
        <f>0</f>
        <v>0</v>
      </c>
      <c r="D3952" t="s">
        <v>106</v>
      </c>
      <c r="E3952">
        <v>5.1214392803598203</v>
      </c>
    </row>
    <row r="3953" spans="1:5">
      <c r="A3953" t="s">
        <v>4625</v>
      </c>
      <c r="B3953" t="s">
        <v>4636</v>
      </c>
      <c r="C3953">
        <v>0</v>
      </c>
      <c r="D3953" t="s">
        <v>106</v>
      </c>
      <c r="E3953">
        <v>5.1214392803598203</v>
      </c>
    </row>
    <row r="3954" spans="1:5">
      <c r="A3954" t="s">
        <v>4625</v>
      </c>
      <c r="B3954" t="s">
        <v>4637</v>
      </c>
      <c r="C3954">
        <f>0</f>
        <v>0</v>
      </c>
      <c r="D3954" t="s">
        <v>106</v>
      </c>
      <c r="E3954">
        <v>5.1214392803598203</v>
      </c>
    </row>
    <row r="3955" spans="1:5">
      <c r="A3955" t="s">
        <v>4625</v>
      </c>
      <c r="B3955" t="s">
        <v>4638</v>
      </c>
      <c r="C3955">
        <v>2.3617399836699999E-3</v>
      </c>
      <c r="D3955" t="s">
        <v>106</v>
      </c>
      <c r="E3955">
        <v>5.1214392803598203</v>
      </c>
    </row>
    <row r="3956" spans="1:5">
      <c r="A3956" t="s">
        <v>4625</v>
      </c>
      <c r="B3956" t="s">
        <v>4639</v>
      </c>
      <c r="C3956">
        <v>0</v>
      </c>
      <c r="D3956" t="s">
        <v>106</v>
      </c>
      <c r="E3956">
        <v>5.1214392803598203</v>
      </c>
    </row>
    <row r="3957" spans="1:5">
      <c r="A3957" t="s">
        <v>4640</v>
      </c>
      <c r="B3957" t="s">
        <v>4641</v>
      </c>
      <c r="C3957">
        <v>0</v>
      </c>
      <c r="D3957">
        <v>0.97621979485800003</v>
      </c>
      <c r="E3957">
        <v>4.3778110944527704</v>
      </c>
    </row>
    <row r="3958" spans="1:5">
      <c r="A3958" t="s">
        <v>4640</v>
      </c>
      <c r="B3958" t="s">
        <v>4642</v>
      </c>
      <c r="C3958">
        <v>0</v>
      </c>
      <c r="D3958">
        <v>0.97621979485800003</v>
      </c>
      <c r="E3958">
        <v>4.3778110944527704</v>
      </c>
    </row>
    <row r="3959" spans="1:5">
      <c r="A3959" t="s">
        <v>4640</v>
      </c>
      <c r="B3959" t="s">
        <v>4643</v>
      </c>
      <c r="C3959">
        <v>0</v>
      </c>
      <c r="D3959">
        <v>0.97621979485800003</v>
      </c>
      <c r="E3959">
        <v>4.3778110944527704</v>
      </c>
    </row>
    <row r="3960" spans="1:5">
      <c r="A3960" t="s">
        <v>4640</v>
      </c>
      <c r="B3960" t="s">
        <v>4644</v>
      </c>
      <c r="C3960">
        <f>0</f>
        <v>0</v>
      </c>
      <c r="D3960">
        <v>0.97621979485800003</v>
      </c>
      <c r="E3960">
        <v>4.3778110944527704</v>
      </c>
    </row>
    <row r="3961" spans="1:5">
      <c r="A3961" t="s">
        <v>4640</v>
      </c>
      <c r="B3961" t="s">
        <v>4645</v>
      </c>
      <c r="C3961">
        <v>0</v>
      </c>
      <c r="D3961">
        <v>0.97621979485800003</v>
      </c>
      <c r="E3961">
        <v>4.3778110944527704</v>
      </c>
    </row>
    <row r="3962" spans="1:5">
      <c r="A3962" t="s">
        <v>4640</v>
      </c>
      <c r="B3962" t="s">
        <v>4646</v>
      </c>
      <c r="C3962">
        <v>0</v>
      </c>
      <c r="D3962">
        <v>0.97621979485800003</v>
      </c>
      <c r="E3962">
        <v>4.3778110944527704</v>
      </c>
    </row>
    <row r="3963" spans="1:5">
      <c r="A3963" t="s">
        <v>4640</v>
      </c>
      <c r="B3963" t="s">
        <v>4647</v>
      </c>
      <c r="C3963">
        <f>0.0476080821291</f>
        <v>4.7608082129099998E-2</v>
      </c>
      <c r="D3963">
        <v>0.97621979485800003</v>
      </c>
      <c r="E3963">
        <v>4.3778110944527704</v>
      </c>
    </row>
    <row r="3964" spans="1:5">
      <c r="A3964" t="s">
        <v>4640</v>
      </c>
      <c r="B3964" t="s">
        <v>4648</v>
      </c>
      <c r="C3964">
        <v>0</v>
      </c>
      <c r="D3964">
        <v>0.97621979485800003</v>
      </c>
      <c r="E3964">
        <v>4.3778110944527704</v>
      </c>
    </row>
    <row r="3965" spans="1:5">
      <c r="A3965" t="s">
        <v>4640</v>
      </c>
      <c r="B3965" t="s">
        <v>4649</v>
      </c>
      <c r="C3965">
        <v>0.464127217328</v>
      </c>
      <c r="D3965">
        <v>0.97621979485800003</v>
      </c>
      <c r="E3965">
        <v>4.3778110944527704</v>
      </c>
    </row>
    <row r="3966" spans="1:5">
      <c r="A3966" t="s">
        <v>4640</v>
      </c>
      <c r="B3966" t="s">
        <v>4650</v>
      </c>
      <c r="C3966">
        <f>0</f>
        <v>0</v>
      </c>
      <c r="D3966">
        <v>0.97621979485800003</v>
      </c>
      <c r="E3966">
        <v>4.3778110944527704</v>
      </c>
    </row>
    <row r="3967" spans="1:5">
      <c r="A3967" t="s">
        <v>4651</v>
      </c>
      <c r="B3967" t="s">
        <v>4652</v>
      </c>
      <c r="C3967">
        <f>0</f>
        <v>0</v>
      </c>
      <c r="D3967">
        <v>0.98987728751600002</v>
      </c>
      <c r="E3967">
        <v>19.850074962518701</v>
      </c>
    </row>
    <row r="3968" spans="1:5">
      <c r="A3968" t="s">
        <v>4651</v>
      </c>
      <c r="B3968" t="s">
        <v>4653</v>
      </c>
      <c r="C3968">
        <f>0</f>
        <v>0</v>
      </c>
      <c r="D3968">
        <v>0.98987728751600002</v>
      </c>
      <c r="E3968">
        <v>19.850074962518701</v>
      </c>
    </row>
    <row r="3969" spans="1:5">
      <c r="A3969" t="s">
        <v>4651</v>
      </c>
      <c r="B3969" t="s">
        <v>4654</v>
      </c>
      <c r="C3969">
        <f>0</f>
        <v>0</v>
      </c>
      <c r="D3969">
        <v>0.98987728751600002</v>
      </c>
      <c r="E3969">
        <v>19.850074962518701</v>
      </c>
    </row>
    <row r="3970" spans="1:5">
      <c r="A3970" t="s">
        <v>4651</v>
      </c>
      <c r="B3970" t="s">
        <v>4655</v>
      </c>
      <c r="C3970">
        <f>0</f>
        <v>0</v>
      </c>
      <c r="D3970">
        <v>0.98987728751600002</v>
      </c>
      <c r="E3970">
        <v>19.850074962518701</v>
      </c>
    </row>
    <row r="3971" spans="1:5">
      <c r="A3971" t="s">
        <v>4651</v>
      </c>
      <c r="B3971" t="s">
        <v>4656</v>
      </c>
      <c r="C3971">
        <f>0</f>
        <v>0</v>
      </c>
      <c r="D3971">
        <v>0.98987728751600002</v>
      </c>
      <c r="E3971">
        <v>19.850074962518701</v>
      </c>
    </row>
    <row r="3972" spans="1:5">
      <c r="A3972" t="s">
        <v>4651</v>
      </c>
      <c r="B3972" t="s">
        <v>4657</v>
      </c>
      <c r="C3972">
        <f>0</f>
        <v>0</v>
      </c>
      <c r="D3972">
        <v>0.98987728751600002</v>
      </c>
      <c r="E3972">
        <v>19.850074962518701</v>
      </c>
    </row>
    <row r="3973" spans="1:5">
      <c r="A3973" t="s">
        <v>4651</v>
      </c>
      <c r="B3973" t="s">
        <v>4658</v>
      </c>
      <c r="C3973">
        <v>0</v>
      </c>
      <c r="D3973">
        <v>0.98987728751600002</v>
      </c>
      <c r="E3973">
        <v>19.850074962518701</v>
      </c>
    </row>
    <row r="3974" spans="1:5">
      <c r="A3974" t="s">
        <v>4651</v>
      </c>
      <c r="B3974" t="s">
        <v>4659</v>
      </c>
      <c r="C3974">
        <f>0</f>
        <v>0</v>
      </c>
      <c r="D3974">
        <v>0.98987728751600002</v>
      </c>
      <c r="E3974">
        <v>19.850074962518701</v>
      </c>
    </row>
    <row r="3975" spans="1:5">
      <c r="A3975" t="s">
        <v>4651</v>
      </c>
      <c r="B3975" t="s">
        <v>4660</v>
      </c>
      <c r="C3975">
        <f>0</f>
        <v>0</v>
      </c>
      <c r="D3975">
        <v>0.98987728751600002</v>
      </c>
      <c r="E3975">
        <v>19.850074962518701</v>
      </c>
    </row>
    <row r="3976" spans="1:5">
      <c r="A3976" t="s">
        <v>4651</v>
      </c>
      <c r="B3976" t="s">
        <v>4661</v>
      </c>
      <c r="C3976">
        <v>0</v>
      </c>
      <c r="D3976">
        <v>0.98987728751600002</v>
      </c>
      <c r="E3976">
        <v>19.850074962518701</v>
      </c>
    </row>
    <row r="3977" spans="1:5">
      <c r="A3977" t="s">
        <v>4651</v>
      </c>
      <c r="B3977" t="s">
        <v>4662</v>
      </c>
      <c r="C3977">
        <v>0</v>
      </c>
      <c r="D3977">
        <v>0.98987728751600002</v>
      </c>
      <c r="E3977">
        <v>19.850074962518701</v>
      </c>
    </row>
    <row r="3978" spans="1:5">
      <c r="A3978" t="s">
        <v>4651</v>
      </c>
      <c r="B3978" t="s">
        <v>4663</v>
      </c>
      <c r="C3978">
        <v>0</v>
      </c>
      <c r="D3978">
        <v>0.98987728751600002</v>
      </c>
      <c r="E3978">
        <v>19.850074962518701</v>
      </c>
    </row>
    <row r="3979" spans="1:5">
      <c r="A3979" t="s">
        <v>4651</v>
      </c>
      <c r="B3979" t="s">
        <v>4664</v>
      </c>
      <c r="C3979">
        <v>0</v>
      </c>
      <c r="D3979">
        <v>0.98987728751600002</v>
      </c>
      <c r="E3979">
        <v>19.850074962518701</v>
      </c>
    </row>
    <row r="3980" spans="1:5">
      <c r="A3980" t="s">
        <v>4651</v>
      </c>
      <c r="B3980" t="s">
        <v>4665</v>
      </c>
      <c r="C3980">
        <v>0</v>
      </c>
      <c r="D3980">
        <v>0.98987728751600002</v>
      </c>
      <c r="E3980">
        <v>19.850074962518701</v>
      </c>
    </row>
    <row r="3981" spans="1:5">
      <c r="A3981" t="s">
        <v>4651</v>
      </c>
      <c r="B3981" t="s">
        <v>4666</v>
      </c>
      <c r="C3981">
        <f>0</f>
        <v>0</v>
      </c>
      <c r="D3981">
        <v>0.98987728751600002</v>
      </c>
      <c r="E3981">
        <v>19.850074962518701</v>
      </c>
    </row>
    <row r="3982" spans="1:5">
      <c r="A3982" t="s">
        <v>4667</v>
      </c>
      <c r="B3982" t="s">
        <v>4668</v>
      </c>
      <c r="C3982">
        <v>0</v>
      </c>
      <c r="D3982">
        <v>0.90117092514599995</v>
      </c>
      <c r="E3982">
        <v>4.7976011994003001</v>
      </c>
    </row>
    <row r="3983" spans="1:5">
      <c r="A3983" t="s">
        <v>4667</v>
      </c>
      <c r="B3983" t="s">
        <v>4669</v>
      </c>
      <c r="C3983">
        <v>0</v>
      </c>
      <c r="D3983">
        <v>0.90117092514599995</v>
      </c>
      <c r="E3983">
        <v>4.7976011994003001</v>
      </c>
    </row>
    <row r="3984" spans="1:5">
      <c r="A3984" t="s">
        <v>4667</v>
      </c>
      <c r="B3984" t="s">
        <v>4670</v>
      </c>
      <c r="C3984">
        <f>0</f>
        <v>0</v>
      </c>
      <c r="D3984">
        <v>0.90117092514599995</v>
      </c>
      <c r="E3984">
        <v>4.7976011994003001</v>
      </c>
    </row>
    <row r="3985" spans="1:5">
      <c r="A3985" t="s">
        <v>4667</v>
      </c>
      <c r="B3985" t="s">
        <v>4671</v>
      </c>
      <c r="C3985">
        <v>0</v>
      </c>
      <c r="D3985">
        <v>0.90117092514599995</v>
      </c>
      <c r="E3985">
        <v>4.7976011994003001</v>
      </c>
    </row>
    <row r="3986" spans="1:5">
      <c r="A3986" t="s">
        <v>4667</v>
      </c>
      <c r="B3986" t="s">
        <v>4672</v>
      </c>
      <c r="C3986">
        <v>0</v>
      </c>
      <c r="D3986">
        <v>0.90117092514599995</v>
      </c>
      <c r="E3986">
        <v>4.7976011994003001</v>
      </c>
    </row>
    <row r="3987" spans="1:5">
      <c r="A3987" t="s">
        <v>4667</v>
      </c>
      <c r="B3987" t="s">
        <v>4673</v>
      </c>
      <c r="C3987">
        <f>0</f>
        <v>0</v>
      </c>
      <c r="D3987">
        <v>0.90117092514599995</v>
      </c>
      <c r="E3987">
        <v>4.7976011994003001</v>
      </c>
    </row>
    <row r="3988" spans="1:5">
      <c r="A3988" t="s">
        <v>4667</v>
      </c>
      <c r="B3988" t="s">
        <v>4674</v>
      </c>
      <c r="C3988">
        <f>0</f>
        <v>0</v>
      </c>
      <c r="D3988">
        <v>0.90117092514599995</v>
      </c>
      <c r="E3988">
        <v>4.7976011994003001</v>
      </c>
    </row>
    <row r="3989" spans="1:5">
      <c r="A3989" t="s">
        <v>4667</v>
      </c>
      <c r="B3989" t="s">
        <v>4675</v>
      </c>
      <c r="C3989">
        <v>0</v>
      </c>
      <c r="D3989">
        <v>0.90117092514599995</v>
      </c>
      <c r="E3989">
        <v>4.7976011994003001</v>
      </c>
    </row>
    <row r="3990" spans="1:5">
      <c r="A3990" t="s">
        <v>4667</v>
      </c>
      <c r="B3990" t="s">
        <v>4676</v>
      </c>
      <c r="C3990">
        <f>0.328238713946</f>
        <v>0.32823871394600002</v>
      </c>
      <c r="D3990">
        <v>0.90117092514599995</v>
      </c>
      <c r="E3990">
        <v>4.7976011994003001</v>
      </c>
    </row>
    <row r="3991" spans="1:5">
      <c r="A3991" t="s">
        <v>4667</v>
      </c>
      <c r="B3991" t="s">
        <v>4677</v>
      </c>
      <c r="C3991">
        <v>0</v>
      </c>
      <c r="D3991">
        <v>0.90117092514599995</v>
      </c>
      <c r="E3991">
        <v>4.7976011994003001</v>
      </c>
    </row>
    <row r="3992" spans="1:5">
      <c r="A3992" t="s">
        <v>4667</v>
      </c>
      <c r="B3992" t="s">
        <v>4678</v>
      </c>
      <c r="C3992">
        <f>0.208457230004</f>
        <v>0.20845723000399999</v>
      </c>
      <c r="D3992">
        <v>0.90117092514599995</v>
      </c>
      <c r="E3992">
        <v>4.7976011994003001</v>
      </c>
    </row>
    <row r="3993" spans="1:5">
      <c r="A3993" t="s">
        <v>4667</v>
      </c>
      <c r="B3993" t="s">
        <v>4679</v>
      </c>
      <c r="C3993">
        <v>0</v>
      </c>
      <c r="D3993">
        <v>0.90117092514599995</v>
      </c>
      <c r="E3993">
        <v>4.7976011994003001</v>
      </c>
    </row>
    <row r="3994" spans="1:5">
      <c r="A3994" t="s">
        <v>4667</v>
      </c>
      <c r="B3994" t="s">
        <v>4680</v>
      </c>
      <c r="C3994">
        <v>0</v>
      </c>
      <c r="D3994">
        <v>0.90117092514599995</v>
      </c>
      <c r="E3994">
        <v>4.7976011994003001</v>
      </c>
    </row>
    <row r="3995" spans="1:5">
      <c r="A3995" t="s">
        <v>4667</v>
      </c>
      <c r="B3995" t="s">
        <v>4681</v>
      </c>
      <c r="C3995">
        <v>0</v>
      </c>
      <c r="D3995">
        <v>0.90117092514599995</v>
      </c>
      <c r="E3995">
        <v>4.7976011994003001</v>
      </c>
    </row>
    <row r="3996" spans="1:5">
      <c r="A3996" t="s">
        <v>4667</v>
      </c>
      <c r="B3996" t="s">
        <v>4682</v>
      </c>
      <c r="C3996">
        <v>0</v>
      </c>
      <c r="D3996">
        <v>0.90117092514599995</v>
      </c>
      <c r="E3996">
        <v>4.7976011994003001</v>
      </c>
    </row>
    <row r="3997" spans="1:5">
      <c r="A3997" t="s">
        <v>4683</v>
      </c>
      <c r="B3997" t="s">
        <v>4684</v>
      </c>
      <c r="C3997">
        <f>0</f>
        <v>0</v>
      </c>
      <c r="D3997">
        <v>0.91332804597399997</v>
      </c>
      <c r="E3997">
        <v>16.695652173913</v>
      </c>
    </row>
    <row r="3998" spans="1:5">
      <c r="A3998" t="s">
        <v>4683</v>
      </c>
      <c r="B3998" t="s">
        <v>4685</v>
      </c>
      <c r="C3998">
        <v>7.55359957096E-3</v>
      </c>
      <c r="D3998">
        <v>0.91332804597399997</v>
      </c>
      <c r="E3998">
        <v>16.695652173913</v>
      </c>
    </row>
    <row r="3999" spans="1:5">
      <c r="A3999" t="s">
        <v>4683</v>
      </c>
      <c r="B3999" t="s">
        <v>4686</v>
      </c>
      <c r="C3999">
        <v>0</v>
      </c>
      <c r="D3999">
        <v>0.91332804597399997</v>
      </c>
      <c r="E3999">
        <v>16.695652173913</v>
      </c>
    </row>
    <row r="4000" spans="1:5">
      <c r="A4000" t="s">
        <v>4683</v>
      </c>
      <c r="B4000" t="s">
        <v>4687</v>
      </c>
      <c r="C4000">
        <f>0.313991291746</f>
        <v>0.31399129174599999</v>
      </c>
      <c r="D4000">
        <v>0.91332804597399997</v>
      </c>
      <c r="E4000">
        <v>16.695652173913</v>
      </c>
    </row>
    <row r="4001" spans="1:5">
      <c r="A4001" t="s">
        <v>4683</v>
      </c>
      <c r="B4001" t="s">
        <v>4688</v>
      </c>
      <c r="C4001">
        <f>0</f>
        <v>0</v>
      </c>
      <c r="D4001">
        <v>0.91332804597399997</v>
      </c>
      <c r="E4001">
        <v>16.695652173913</v>
      </c>
    </row>
    <row r="4002" spans="1:5">
      <c r="A4002" t="s">
        <v>4683</v>
      </c>
      <c r="B4002" t="s">
        <v>4689</v>
      </c>
      <c r="C4002">
        <f>0</f>
        <v>0</v>
      </c>
      <c r="D4002">
        <v>0.91332804597399997</v>
      </c>
      <c r="E4002">
        <v>16.695652173913</v>
      </c>
    </row>
    <row r="4003" spans="1:5">
      <c r="A4003" t="s">
        <v>4683</v>
      </c>
      <c r="B4003" t="s">
        <v>4690</v>
      </c>
      <c r="C4003">
        <f>0</f>
        <v>0</v>
      </c>
      <c r="D4003">
        <v>0.91332804597399997</v>
      </c>
      <c r="E4003">
        <v>16.695652173913</v>
      </c>
    </row>
    <row r="4004" spans="1:5">
      <c r="A4004" t="s">
        <v>4683</v>
      </c>
      <c r="B4004" t="s">
        <v>4691</v>
      </c>
      <c r="C4004">
        <f>0</f>
        <v>0</v>
      </c>
      <c r="D4004">
        <v>0.91332804597399997</v>
      </c>
      <c r="E4004">
        <v>16.695652173913</v>
      </c>
    </row>
    <row r="4005" spans="1:5">
      <c r="A4005" t="s">
        <v>4692</v>
      </c>
      <c r="B4005" t="s">
        <v>4693</v>
      </c>
      <c r="C4005">
        <v>0</v>
      </c>
      <c r="D4005">
        <v>0.98136939245099997</v>
      </c>
      <c r="E4005">
        <v>10.230884557721099</v>
      </c>
    </row>
    <row r="4006" spans="1:5">
      <c r="A4006" t="s">
        <v>4692</v>
      </c>
      <c r="B4006" t="s">
        <v>4694</v>
      </c>
      <c r="C4006">
        <v>0.209051450364</v>
      </c>
      <c r="D4006">
        <v>0.98136939245099997</v>
      </c>
      <c r="E4006">
        <v>10.230884557721099</v>
      </c>
    </row>
    <row r="4007" spans="1:5">
      <c r="A4007" t="s">
        <v>4692</v>
      </c>
      <c r="B4007" t="s">
        <v>4695</v>
      </c>
      <c r="C4007">
        <f>0</f>
        <v>0</v>
      </c>
      <c r="D4007">
        <v>0.98136939245099997</v>
      </c>
      <c r="E4007">
        <v>10.230884557721099</v>
      </c>
    </row>
    <row r="4008" spans="1:5">
      <c r="A4008" t="s">
        <v>4692</v>
      </c>
      <c r="B4008" t="s">
        <v>4696</v>
      </c>
      <c r="C4008">
        <v>0</v>
      </c>
      <c r="D4008">
        <v>0.98136939245099997</v>
      </c>
      <c r="E4008">
        <v>10.230884557721099</v>
      </c>
    </row>
    <row r="4009" spans="1:5">
      <c r="A4009" t="s">
        <v>4692</v>
      </c>
      <c r="B4009" t="s">
        <v>4697</v>
      </c>
      <c r="C4009">
        <v>0.13764869082200001</v>
      </c>
      <c r="D4009">
        <v>0.98136939245099997</v>
      </c>
      <c r="E4009">
        <v>10.230884557721099</v>
      </c>
    </row>
    <row r="4010" spans="1:5">
      <c r="A4010" t="s">
        <v>4692</v>
      </c>
      <c r="B4010" t="s">
        <v>4698</v>
      </c>
      <c r="C4010">
        <v>0</v>
      </c>
      <c r="D4010">
        <v>0.98136939245099997</v>
      </c>
      <c r="E4010">
        <v>10.230884557721099</v>
      </c>
    </row>
    <row r="4011" spans="1:5">
      <c r="A4011" t="s">
        <v>4692</v>
      </c>
      <c r="B4011" t="s">
        <v>4699</v>
      </c>
      <c r="C4011">
        <v>0</v>
      </c>
      <c r="D4011">
        <v>0.98136939245099997</v>
      </c>
      <c r="E4011">
        <v>10.230884557721099</v>
      </c>
    </row>
    <row r="4012" spans="1:5">
      <c r="A4012" t="s">
        <v>4700</v>
      </c>
      <c r="B4012" t="s">
        <v>4701</v>
      </c>
      <c r="C4012">
        <v>0</v>
      </c>
      <c r="D4012" t="s">
        <v>106</v>
      </c>
      <c r="E4012">
        <v>21.409295352323799</v>
      </c>
    </row>
    <row r="4013" spans="1:5">
      <c r="A4013" t="s">
        <v>4702</v>
      </c>
      <c r="B4013" t="s">
        <v>4703</v>
      </c>
      <c r="C4013">
        <f>0</f>
        <v>0</v>
      </c>
      <c r="D4013" t="s">
        <v>106</v>
      </c>
      <c r="E4013">
        <v>21.181409295352299</v>
      </c>
    </row>
    <row r="4014" spans="1:5">
      <c r="A4014" t="s">
        <v>4702</v>
      </c>
      <c r="B4014" t="s">
        <v>4704</v>
      </c>
      <c r="C4014">
        <f>0</f>
        <v>0</v>
      </c>
      <c r="D4014" t="s">
        <v>106</v>
      </c>
      <c r="E4014">
        <v>21.181409295352299</v>
      </c>
    </row>
    <row r="4015" spans="1:5">
      <c r="A4015" t="s">
        <v>4705</v>
      </c>
      <c r="B4015" t="s">
        <v>4706</v>
      </c>
      <c r="C4015">
        <f>0</f>
        <v>0</v>
      </c>
      <c r="D4015">
        <v>0.96063609042200004</v>
      </c>
      <c r="E4015">
        <v>12.3898050974512</v>
      </c>
    </row>
    <row r="4016" spans="1:5">
      <c r="A4016" t="s">
        <v>4705</v>
      </c>
      <c r="B4016" t="s">
        <v>4707</v>
      </c>
      <c r="C4016">
        <f>0</f>
        <v>0</v>
      </c>
      <c r="D4016">
        <v>0.96063609042200004</v>
      </c>
      <c r="E4016">
        <v>12.3898050974512</v>
      </c>
    </row>
    <row r="4017" spans="1:5">
      <c r="A4017" t="s">
        <v>4705</v>
      </c>
      <c r="B4017" t="s">
        <v>4708</v>
      </c>
      <c r="C4017">
        <v>0</v>
      </c>
      <c r="D4017">
        <v>0.96063609042200004</v>
      </c>
      <c r="E4017">
        <v>12.3898050974512</v>
      </c>
    </row>
    <row r="4018" spans="1:5">
      <c r="A4018" t="s">
        <v>4705</v>
      </c>
      <c r="B4018" t="s">
        <v>4709</v>
      </c>
      <c r="C4018">
        <f>0</f>
        <v>0</v>
      </c>
      <c r="D4018">
        <v>0.96063609042200004</v>
      </c>
      <c r="E4018">
        <v>12.3898050974512</v>
      </c>
    </row>
    <row r="4019" spans="1:5">
      <c r="A4019" t="s">
        <v>4705</v>
      </c>
      <c r="B4019" t="s">
        <v>4710</v>
      </c>
      <c r="C4019">
        <v>0</v>
      </c>
      <c r="D4019">
        <v>0.96063609042200004</v>
      </c>
      <c r="E4019">
        <v>12.3898050974512</v>
      </c>
    </row>
    <row r="4020" spans="1:5">
      <c r="A4020" t="s">
        <v>4705</v>
      </c>
      <c r="B4020" t="s">
        <v>4711</v>
      </c>
      <c r="C4020">
        <f>0</f>
        <v>0</v>
      </c>
      <c r="D4020">
        <v>0.96063609042200004</v>
      </c>
      <c r="E4020">
        <v>12.3898050974512</v>
      </c>
    </row>
    <row r="4021" spans="1:5">
      <c r="A4021" t="s">
        <v>4705</v>
      </c>
      <c r="B4021" t="s">
        <v>4712</v>
      </c>
      <c r="C4021">
        <f>0</f>
        <v>0</v>
      </c>
      <c r="D4021">
        <v>0.96063609042200004</v>
      </c>
      <c r="E4021">
        <v>12.3898050974512</v>
      </c>
    </row>
    <row r="4022" spans="1:5">
      <c r="A4022" t="s">
        <v>4705</v>
      </c>
      <c r="B4022" t="s">
        <v>4713</v>
      </c>
      <c r="C4022">
        <f>0</f>
        <v>0</v>
      </c>
      <c r="D4022">
        <v>0.96063609042200004</v>
      </c>
      <c r="E4022">
        <v>12.3898050974512</v>
      </c>
    </row>
    <row r="4023" spans="1:5">
      <c r="A4023" t="s">
        <v>4705</v>
      </c>
      <c r="B4023" t="s">
        <v>4714</v>
      </c>
      <c r="C4023">
        <v>0</v>
      </c>
      <c r="D4023">
        <v>0.96063609042200004</v>
      </c>
      <c r="E4023">
        <v>12.3898050974512</v>
      </c>
    </row>
    <row r="4024" spans="1:5">
      <c r="A4024" t="s">
        <v>4705</v>
      </c>
      <c r="B4024" t="s">
        <v>4715</v>
      </c>
      <c r="C4024">
        <v>2.1266396394900001E-2</v>
      </c>
      <c r="D4024">
        <v>0.96063609042200004</v>
      </c>
      <c r="E4024">
        <v>12.3898050974512</v>
      </c>
    </row>
    <row r="4025" spans="1:5">
      <c r="A4025" t="s">
        <v>4705</v>
      </c>
      <c r="B4025" t="s">
        <v>4716</v>
      </c>
      <c r="C4025">
        <v>0</v>
      </c>
      <c r="D4025">
        <v>0.96063609042200004</v>
      </c>
      <c r="E4025">
        <v>12.3898050974512</v>
      </c>
    </row>
    <row r="4026" spans="1:5">
      <c r="A4026" t="s">
        <v>4705</v>
      </c>
      <c r="B4026" t="s">
        <v>4717</v>
      </c>
      <c r="C4026">
        <f>0</f>
        <v>0</v>
      </c>
      <c r="D4026">
        <v>0.96063609042200004</v>
      </c>
      <c r="E4026">
        <v>12.3898050974512</v>
      </c>
    </row>
    <row r="4027" spans="1:5">
      <c r="A4027" t="s">
        <v>4705</v>
      </c>
      <c r="B4027" t="s">
        <v>4718</v>
      </c>
      <c r="C4027">
        <v>0</v>
      </c>
      <c r="D4027">
        <v>0.96063609042200004</v>
      </c>
      <c r="E4027">
        <v>12.3898050974512</v>
      </c>
    </row>
    <row r="4028" spans="1:5">
      <c r="A4028" t="s">
        <v>4705</v>
      </c>
      <c r="B4028" t="s">
        <v>4719</v>
      </c>
      <c r="C4028">
        <v>0</v>
      </c>
      <c r="D4028">
        <v>0.96063609042200004</v>
      </c>
      <c r="E4028">
        <v>12.3898050974512</v>
      </c>
    </row>
    <row r="4029" spans="1:5">
      <c r="A4029" t="s">
        <v>4705</v>
      </c>
      <c r="B4029" t="s">
        <v>4720</v>
      </c>
      <c r="C4029">
        <v>8.3312721603500006E-2</v>
      </c>
      <c r="D4029">
        <v>0.96063609042200004</v>
      </c>
      <c r="E4029">
        <v>12.3898050974512</v>
      </c>
    </row>
    <row r="4030" spans="1:5">
      <c r="A4030" t="s">
        <v>4705</v>
      </c>
      <c r="B4030" t="s">
        <v>4721</v>
      </c>
      <c r="C4030">
        <f>0</f>
        <v>0</v>
      </c>
      <c r="D4030">
        <v>0.96063609042200004</v>
      </c>
      <c r="E4030">
        <v>12.3898050974512</v>
      </c>
    </row>
    <row r="4031" spans="1:5">
      <c r="A4031" t="s">
        <v>4705</v>
      </c>
      <c r="B4031" t="s">
        <v>4722</v>
      </c>
      <c r="C4031">
        <f>0</f>
        <v>0</v>
      </c>
      <c r="D4031">
        <v>0.96063609042200004</v>
      </c>
      <c r="E4031">
        <v>12.3898050974512</v>
      </c>
    </row>
    <row r="4032" spans="1:5">
      <c r="A4032" t="s">
        <v>4705</v>
      </c>
      <c r="B4032" t="s">
        <v>4723</v>
      </c>
      <c r="C4032">
        <f>0</f>
        <v>0</v>
      </c>
      <c r="D4032">
        <v>0.96063609042200004</v>
      </c>
      <c r="E4032">
        <v>12.3898050974512</v>
      </c>
    </row>
    <row r="4033" spans="1:5">
      <c r="A4033" t="s">
        <v>4705</v>
      </c>
      <c r="B4033" t="s">
        <v>4724</v>
      </c>
      <c r="C4033">
        <v>0</v>
      </c>
      <c r="D4033">
        <v>0.96063609042200004</v>
      </c>
      <c r="E4033">
        <v>12.3898050974512</v>
      </c>
    </row>
    <row r="4034" spans="1:5">
      <c r="A4034" t="s">
        <v>4725</v>
      </c>
      <c r="B4034" t="s">
        <v>4726</v>
      </c>
      <c r="C4034">
        <v>0</v>
      </c>
      <c r="D4034">
        <v>0.95337830452000005</v>
      </c>
      <c r="E4034">
        <v>19.850074962518701</v>
      </c>
    </row>
    <row r="4035" spans="1:5">
      <c r="A4035" t="s">
        <v>4727</v>
      </c>
      <c r="B4035" t="s">
        <v>4728</v>
      </c>
      <c r="C4035">
        <v>0</v>
      </c>
      <c r="D4035">
        <v>0.93357869107199998</v>
      </c>
      <c r="E4035">
        <v>15.1244377811094</v>
      </c>
    </row>
    <row r="4036" spans="1:5">
      <c r="A4036" t="s">
        <v>4727</v>
      </c>
      <c r="B4036" t="s">
        <v>4729</v>
      </c>
      <c r="C4036">
        <v>0</v>
      </c>
      <c r="D4036">
        <v>0.93357869107199998</v>
      </c>
      <c r="E4036">
        <v>15.1244377811094</v>
      </c>
    </row>
    <row r="4037" spans="1:5">
      <c r="A4037" t="s">
        <v>4727</v>
      </c>
      <c r="B4037" t="s">
        <v>4730</v>
      </c>
      <c r="C4037">
        <f>0</f>
        <v>0</v>
      </c>
      <c r="D4037">
        <v>0.93357869107199998</v>
      </c>
      <c r="E4037">
        <v>15.1244377811094</v>
      </c>
    </row>
    <row r="4038" spans="1:5">
      <c r="A4038" t="s">
        <v>4727</v>
      </c>
      <c r="B4038" t="s">
        <v>4731</v>
      </c>
      <c r="C4038">
        <f>0.131646854846</f>
        <v>0.131646854846</v>
      </c>
      <c r="D4038">
        <v>0.93357869107199998</v>
      </c>
      <c r="E4038">
        <v>15.1244377811094</v>
      </c>
    </row>
    <row r="4039" spans="1:5">
      <c r="A4039" t="s">
        <v>4732</v>
      </c>
      <c r="B4039" t="s">
        <v>4733</v>
      </c>
      <c r="C4039">
        <v>0</v>
      </c>
      <c r="D4039" t="s">
        <v>106</v>
      </c>
      <c r="E4039">
        <v>15.5082458770614</v>
      </c>
    </row>
    <row r="4040" spans="1:5">
      <c r="A4040" t="s">
        <v>4732</v>
      </c>
      <c r="B4040" t="s">
        <v>4734</v>
      </c>
      <c r="C4040">
        <v>0</v>
      </c>
      <c r="D4040" t="s">
        <v>106</v>
      </c>
      <c r="E4040">
        <v>15.5082458770614</v>
      </c>
    </row>
    <row r="4041" spans="1:5">
      <c r="A4041" t="s">
        <v>4732</v>
      </c>
      <c r="B4041" t="s">
        <v>4735</v>
      </c>
      <c r="C4041">
        <v>0</v>
      </c>
      <c r="D4041" t="s">
        <v>106</v>
      </c>
      <c r="E4041">
        <v>15.5082458770614</v>
      </c>
    </row>
    <row r="4042" spans="1:5">
      <c r="A4042" t="s">
        <v>4732</v>
      </c>
      <c r="B4042" t="s">
        <v>4736</v>
      </c>
      <c r="C4042">
        <v>0</v>
      </c>
      <c r="D4042" t="s">
        <v>106</v>
      </c>
      <c r="E4042">
        <v>15.5082458770614</v>
      </c>
    </row>
    <row r="4043" spans="1:5">
      <c r="A4043" t="s">
        <v>4732</v>
      </c>
      <c r="B4043" t="s">
        <v>4737</v>
      </c>
      <c r="C4043">
        <f>0</f>
        <v>0</v>
      </c>
      <c r="D4043" t="s">
        <v>106</v>
      </c>
      <c r="E4043">
        <v>15.5082458770614</v>
      </c>
    </row>
    <row r="4044" spans="1:5">
      <c r="A4044" t="s">
        <v>4732</v>
      </c>
      <c r="B4044" t="s">
        <v>4738</v>
      </c>
      <c r="C4044">
        <v>0</v>
      </c>
      <c r="D4044" t="s">
        <v>106</v>
      </c>
      <c r="E4044">
        <v>15.5082458770614</v>
      </c>
    </row>
    <row r="4045" spans="1:5">
      <c r="A4045" t="s">
        <v>4739</v>
      </c>
      <c r="B4045" t="s">
        <v>4740</v>
      </c>
      <c r="C4045">
        <v>0</v>
      </c>
      <c r="D4045">
        <v>0.88661376934699998</v>
      </c>
      <c r="E4045">
        <v>2.1709145427286298</v>
      </c>
    </row>
    <row r="4046" spans="1:5">
      <c r="A4046" t="s">
        <v>4739</v>
      </c>
      <c r="B4046" t="s">
        <v>4741</v>
      </c>
      <c r="C4046">
        <f>0</f>
        <v>0</v>
      </c>
      <c r="D4046">
        <v>0.88661376934699998</v>
      </c>
      <c r="E4046">
        <v>2.1709145427286298</v>
      </c>
    </row>
    <row r="4047" spans="1:5">
      <c r="A4047" t="s">
        <v>4739</v>
      </c>
      <c r="B4047" t="s">
        <v>4742</v>
      </c>
      <c r="C4047">
        <v>0</v>
      </c>
      <c r="D4047">
        <v>0.88661376934699998</v>
      </c>
      <c r="E4047">
        <v>2.1709145427286298</v>
      </c>
    </row>
    <row r="4048" spans="1:5">
      <c r="A4048" t="s">
        <v>4739</v>
      </c>
      <c r="B4048" t="s">
        <v>4743</v>
      </c>
      <c r="C4048">
        <v>0</v>
      </c>
      <c r="D4048">
        <v>0.88661376934699998</v>
      </c>
      <c r="E4048">
        <v>2.1709145427286298</v>
      </c>
    </row>
    <row r="4049" spans="1:5">
      <c r="A4049" t="s">
        <v>4739</v>
      </c>
      <c r="B4049" t="s">
        <v>4744</v>
      </c>
      <c r="C4049">
        <v>0</v>
      </c>
      <c r="D4049">
        <v>0.88661376934699998</v>
      </c>
      <c r="E4049">
        <v>2.1709145427286298</v>
      </c>
    </row>
    <row r="4050" spans="1:5">
      <c r="A4050" t="s">
        <v>4739</v>
      </c>
      <c r="B4050" t="s">
        <v>4745</v>
      </c>
      <c r="C4050">
        <v>0</v>
      </c>
      <c r="D4050">
        <v>0.88661376934699998</v>
      </c>
      <c r="E4050">
        <v>2.1709145427286298</v>
      </c>
    </row>
    <row r="4051" spans="1:5">
      <c r="A4051" t="s">
        <v>4739</v>
      </c>
      <c r="B4051" t="s">
        <v>4746</v>
      </c>
      <c r="C4051">
        <v>0</v>
      </c>
      <c r="D4051">
        <v>0.88661376934699998</v>
      </c>
      <c r="E4051">
        <v>2.1709145427286298</v>
      </c>
    </row>
    <row r="4052" spans="1:5">
      <c r="A4052" t="s">
        <v>4739</v>
      </c>
      <c r="B4052" t="s">
        <v>4747</v>
      </c>
      <c r="C4052">
        <v>0</v>
      </c>
      <c r="D4052">
        <v>0.88661376934699998</v>
      </c>
      <c r="E4052">
        <v>2.1709145427286298</v>
      </c>
    </row>
    <row r="4053" spans="1:5">
      <c r="A4053" t="s">
        <v>4739</v>
      </c>
      <c r="B4053" t="s">
        <v>4748</v>
      </c>
      <c r="C4053">
        <v>0</v>
      </c>
      <c r="D4053">
        <v>0.88661376934699998</v>
      </c>
      <c r="E4053">
        <v>2.1709145427286298</v>
      </c>
    </row>
    <row r="4054" spans="1:5">
      <c r="A4054" t="s">
        <v>4739</v>
      </c>
      <c r="B4054" t="s">
        <v>4749</v>
      </c>
      <c r="C4054">
        <v>0</v>
      </c>
      <c r="D4054">
        <v>0.88661376934699998</v>
      </c>
      <c r="E4054">
        <v>2.1709145427286298</v>
      </c>
    </row>
    <row r="4055" spans="1:5">
      <c r="A4055" t="s">
        <v>4739</v>
      </c>
      <c r="B4055" t="s">
        <v>4750</v>
      </c>
      <c r="C4055">
        <v>0</v>
      </c>
      <c r="D4055">
        <v>0.88661376934699998</v>
      </c>
      <c r="E4055">
        <v>2.1709145427286298</v>
      </c>
    </row>
    <row r="4056" spans="1:5">
      <c r="A4056" t="s">
        <v>4739</v>
      </c>
      <c r="B4056" t="s">
        <v>4751</v>
      </c>
      <c r="C4056">
        <v>0</v>
      </c>
      <c r="D4056">
        <v>0.88661376934699998</v>
      </c>
      <c r="E4056">
        <v>2.1709145427286298</v>
      </c>
    </row>
    <row r="4057" spans="1:5">
      <c r="A4057" t="s">
        <v>4739</v>
      </c>
      <c r="B4057" t="s">
        <v>4752</v>
      </c>
      <c r="C4057">
        <v>0</v>
      </c>
      <c r="D4057">
        <v>0.88661376934699998</v>
      </c>
      <c r="E4057">
        <v>2.1709145427286298</v>
      </c>
    </row>
    <row r="4058" spans="1:5">
      <c r="A4058" t="s">
        <v>4739</v>
      </c>
      <c r="B4058" t="s">
        <v>4753</v>
      </c>
      <c r="C4058">
        <v>0</v>
      </c>
      <c r="D4058">
        <v>0.88661376934699998</v>
      </c>
      <c r="E4058">
        <v>2.1709145427286298</v>
      </c>
    </row>
    <row r="4059" spans="1:5">
      <c r="A4059" t="s">
        <v>4739</v>
      </c>
      <c r="B4059" t="s">
        <v>4754</v>
      </c>
      <c r="C4059">
        <v>0</v>
      </c>
      <c r="D4059">
        <v>0.88661376934699998</v>
      </c>
      <c r="E4059">
        <v>2.1709145427286298</v>
      </c>
    </row>
    <row r="4060" spans="1:5">
      <c r="A4060" t="s">
        <v>4739</v>
      </c>
      <c r="B4060" t="s">
        <v>4755</v>
      </c>
      <c r="C4060">
        <v>0</v>
      </c>
      <c r="D4060">
        <v>0.88661376934699998</v>
      </c>
      <c r="E4060">
        <v>2.1709145427286298</v>
      </c>
    </row>
    <row r="4061" spans="1:5">
      <c r="A4061" t="s">
        <v>4739</v>
      </c>
      <c r="B4061" t="s">
        <v>4756</v>
      </c>
      <c r="C4061">
        <v>0</v>
      </c>
      <c r="D4061">
        <v>0.88661376934699998</v>
      </c>
      <c r="E4061">
        <v>2.1709145427286298</v>
      </c>
    </row>
    <row r="4062" spans="1:5">
      <c r="A4062" t="s">
        <v>4757</v>
      </c>
      <c r="B4062" t="s">
        <v>4758</v>
      </c>
      <c r="C4062">
        <f>0</f>
        <v>0</v>
      </c>
      <c r="D4062">
        <v>0.99382978319299997</v>
      </c>
      <c r="E4062">
        <v>3.5862068965517202</v>
      </c>
    </row>
    <row r="4063" spans="1:5">
      <c r="A4063" t="s">
        <v>4757</v>
      </c>
      <c r="B4063" t="s">
        <v>4759</v>
      </c>
      <c r="C4063">
        <f>0</f>
        <v>0</v>
      </c>
      <c r="D4063">
        <v>0.99382978319299997</v>
      </c>
      <c r="E4063">
        <v>3.5862068965517202</v>
      </c>
    </row>
    <row r="4064" spans="1:5">
      <c r="A4064" t="s">
        <v>4757</v>
      </c>
      <c r="B4064" t="s">
        <v>4760</v>
      </c>
      <c r="C4064">
        <f>0</f>
        <v>0</v>
      </c>
      <c r="D4064">
        <v>0.99382978319299997</v>
      </c>
      <c r="E4064">
        <v>3.5862068965517202</v>
      </c>
    </row>
    <row r="4065" spans="1:5">
      <c r="A4065" t="s">
        <v>4757</v>
      </c>
      <c r="B4065" t="s">
        <v>4761</v>
      </c>
      <c r="C4065">
        <f>0</f>
        <v>0</v>
      </c>
      <c r="D4065">
        <v>0.99382978319299997</v>
      </c>
      <c r="E4065">
        <v>3.5862068965517202</v>
      </c>
    </row>
    <row r="4066" spans="1:5">
      <c r="A4066" t="s">
        <v>4757</v>
      </c>
      <c r="B4066" t="s">
        <v>4762</v>
      </c>
      <c r="C4066">
        <f>0</f>
        <v>0</v>
      </c>
      <c r="D4066">
        <v>0.99382978319299997</v>
      </c>
      <c r="E4066">
        <v>3.5862068965517202</v>
      </c>
    </row>
    <row r="4067" spans="1:5">
      <c r="A4067" t="s">
        <v>4757</v>
      </c>
      <c r="B4067" t="s">
        <v>4763</v>
      </c>
      <c r="C4067">
        <v>0</v>
      </c>
      <c r="D4067">
        <v>0.99382978319299997</v>
      </c>
      <c r="E4067">
        <v>3.5862068965517202</v>
      </c>
    </row>
    <row r="4068" spans="1:5">
      <c r="A4068" t="s">
        <v>4757</v>
      </c>
      <c r="B4068" t="s">
        <v>4764</v>
      </c>
      <c r="C4068">
        <v>0</v>
      </c>
      <c r="D4068">
        <v>0.99382978319299997</v>
      </c>
      <c r="E4068">
        <v>3.5862068965517202</v>
      </c>
    </row>
    <row r="4069" spans="1:5">
      <c r="A4069" t="s">
        <v>4757</v>
      </c>
      <c r="B4069" t="s">
        <v>4765</v>
      </c>
      <c r="C4069">
        <v>0</v>
      </c>
      <c r="D4069">
        <v>0.99382978319299997</v>
      </c>
      <c r="E4069">
        <v>3.5862068965517202</v>
      </c>
    </row>
    <row r="4070" spans="1:5">
      <c r="A4070" t="s">
        <v>4757</v>
      </c>
      <c r="B4070" t="s">
        <v>4766</v>
      </c>
      <c r="C4070">
        <v>0</v>
      </c>
      <c r="D4070">
        <v>0.99382978319299997</v>
      </c>
      <c r="E4070">
        <v>3.5862068965517202</v>
      </c>
    </row>
    <row r="4071" spans="1:5">
      <c r="A4071" t="s">
        <v>4757</v>
      </c>
      <c r="B4071" t="s">
        <v>4767</v>
      </c>
      <c r="C4071">
        <v>0</v>
      </c>
      <c r="D4071">
        <v>0.99382978319299997</v>
      </c>
      <c r="E4071">
        <v>3.5862068965517202</v>
      </c>
    </row>
    <row r="4072" spans="1:5">
      <c r="A4072" t="s">
        <v>4757</v>
      </c>
      <c r="B4072" t="s">
        <v>4768</v>
      </c>
      <c r="C4072">
        <f>0</f>
        <v>0</v>
      </c>
      <c r="D4072">
        <v>0.99382978319299997</v>
      </c>
      <c r="E4072">
        <v>3.5862068965517202</v>
      </c>
    </row>
    <row r="4073" spans="1:5">
      <c r="A4073" t="s">
        <v>4757</v>
      </c>
      <c r="B4073" t="s">
        <v>4769</v>
      </c>
      <c r="C4073">
        <f>0</f>
        <v>0</v>
      </c>
      <c r="D4073">
        <v>0.99382978319299997</v>
      </c>
      <c r="E4073">
        <v>3.5862068965517202</v>
      </c>
    </row>
    <row r="4074" spans="1:5">
      <c r="A4074" t="s">
        <v>4757</v>
      </c>
      <c r="B4074" t="s">
        <v>4770</v>
      </c>
      <c r="C4074">
        <f>0</f>
        <v>0</v>
      </c>
      <c r="D4074">
        <v>0.99382978319299997</v>
      </c>
      <c r="E4074">
        <v>3.5862068965517202</v>
      </c>
    </row>
    <row r="4075" spans="1:5">
      <c r="A4075" t="s">
        <v>4757</v>
      </c>
      <c r="B4075" t="s">
        <v>4771</v>
      </c>
      <c r="C4075">
        <v>0</v>
      </c>
      <c r="D4075">
        <v>0.99382978319299997</v>
      </c>
      <c r="E4075">
        <v>3.5862068965517202</v>
      </c>
    </row>
    <row r="4076" spans="1:5">
      <c r="A4076" t="s">
        <v>4757</v>
      </c>
      <c r="B4076" t="s">
        <v>4772</v>
      </c>
      <c r="C4076">
        <v>0</v>
      </c>
      <c r="D4076">
        <v>0.99382978319299997</v>
      </c>
      <c r="E4076">
        <v>3.5862068965517202</v>
      </c>
    </row>
    <row r="4077" spans="1:5">
      <c r="A4077" t="s">
        <v>4757</v>
      </c>
      <c r="B4077" t="s">
        <v>4773</v>
      </c>
      <c r="C4077">
        <v>0</v>
      </c>
      <c r="D4077">
        <v>0.99382978319299997</v>
      </c>
      <c r="E4077">
        <v>3.5862068965517202</v>
      </c>
    </row>
    <row r="4078" spans="1:5">
      <c r="A4078" t="s">
        <v>4774</v>
      </c>
      <c r="B4078" t="s">
        <v>4775</v>
      </c>
      <c r="C4078">
        <v>0.235627699666</v>
      </c>
      <c r="D4078">
        <v>0.96018658419500003</v>
      </c>
      <c r="E4078">
        <v>13.8170914542728</v>
      </c>
    </row>
    <row r="4079" spans="1:5">
      <c r="A4079" t="s">
        <v>4774</v>
      </c>
      <c r="B4079" t="s">
        <v>4776</v>
      </c>
      <c r="C4079">
        <v>0</v>
      </c>
      <c r="D4079">
        <v>0.96018658419500003</v>
      </c>
      <c r="E4079">
        <v>13.8170914542728</v>
      </c>
    </row>
    <row r="4080" spans="1:5">
      <c r="A4080" t="s">
        <v>4774</v>
      </c>
      <c r="B4080" t="s">
        <v>4777</v>
      </c>
      <c r="C4080">
        <v>0</v>
      </c>
      <c r="D4080">
        <v>0.96018658419500003</v>
      </c>
      <c r="E4080">
        <v>13.8170914542728</v>
      </c>
    </row>
    <row r="4081" spans="1:5">
      <c r="A4081" t="s">
        <v>4774</v>
      </c>
      <c r="B4081" t="s">
        <v>4778</v>
      </c>
      <c r="C4081">
        <v>8.95417250286E-3</v>
      </c>
      <c r="D4081">
        <v>0.96018658419500003</v>
      </c>
      <c r="E4081">
        <v>13.8170914542728</v>
      </c>
    </row>
    <row r="4082" spans="1:5">
      <c r="A4082" t="s">
        <v>4779</v>
      </c>
      <c r="B4082" t="s">
        <v>4780</v>
      </c>
      <c r="C4082">
        <f>0.0753858738541</f>
        <v>7.5385873854100005E-2</v>
      </c>
      <c r="D4082">
        <v>0.897768168117</v>
      </c>
      <c r="E4082">
        <v>14.740629685157399</v>
      </c>
    </row>
    <row r="4083" spans="1:5">
      <c r="A4083" t="s">
        <v>4779</v>
      </c>
      <c r="B4083" t="s">
        <v>4781</v>
      </c>
      <c r="C4083">
        <v>0</v>
      </c>
      <c r="D4083">
        <v>0.897768168117</v>
      </c>
      <c r="E4083">
        <v>14.740629685157399</v>
      </c>
    </row>
    <row r="4084" spans="1:5">
      <c r="A4084" t="s">
        <v>4779</v>
      </c>
      <c r="B4084" t="s">
        <v>4782</v>
      </c>
      <c r="C4084">
        <f>0.0110237268562</f>
        <v>1.1023726856200001E-2</v>
      </c>
      <c r="D4084">
        <v>0.897768168117</v>
      </c>
      <c r="E4084">
        <v>14.740629685157399</v>
      </c>
    </row>
    <row r="4085" spans="1:5">
      <c r="A4085" t="s">
        <v>4783</v>
      </c>
      <c r="B4085" t="s">
        <v>4784</v>
      </c>
      <c r="C4085">
        <f>0.217045517193</f>
        <v>0.217045517193</v>
      </c>
      <c r="D4085">
        <v>0.98711476644899998</v>
      </c>
      <c r="E4085">
        <v>8.0119940029985006</v>
      </c>
    </row>
    <row r="4086" spans="1:5">
      <c r="A4086" t="s">
        <v>4783</v>
      </c>
      <c r="B4086" t="s">
        <v>4785</v>
      </c>
      <c r="C4086">
        <f>0</f>
        <v>0</v>
      </c>
      <c r="D4086">
        <v>0.98711476644899998</v>
      </c>
      <c r="E4086">
        <v>8.0119940029985006</v>
      </c>
    </row>
    <row r="4087" spans="1:5">
      <c r="A4087" t="s">
        <v>4783</v>
      </c>
      <c r="B4087" t="s">
        <v>4786</v>
      </c>
      <c r="C4087">
        <v>0</v>
      </c>
      <c r="D4087">
        <v>0.98711476644899998</v>
      </c>
      <c r="E4087">
        <v>8.0119940029985006</v>
      </c>
    </row>
    <row r="4088" spans="1:5">
      <c r="A4088" t="s">
        <v>4783</v>
      </c>
      <c r="B4088" t="s">
        <v>4787</v>
      </c>
      <c r="C4088">
        <f>0</f>
        <v>0</v>
      </c>
      <c r="D4088">
        <v>0.98711476644899998</v>
      </c>
      <c r="E4088">
        <v>8.0119940029985006</v>
      </c>
    </row>
    <row r="4089" spans="1:5">
      <c r="A4089" t="s">
        <v>4783</v>
      </c>
      <c r="B4089" t="s">
        <v>4788</v>
      </c>
      <c r="C4089">
        <v>0</v>
      </c>
      <c r="D4089">
        <v>0.98711476644899998</v>
      </c>
      <c r="E4089">
        <v>8.0119940029985006</v>
      </c>
    </row>
    <row r="4090" spans="1:5">
      <c r="A4090" t="s">
        <v>4783</v>
      </c>
      <c r="B4090" t="s">
        <v>4789</v>
      </c>
      <c r="C4090">
        <v>0</v>
      </c>
      <c r="D4090">
        <v>0.98711476644899998</v>
      </c>
      <c r="E4090">
        <v>8.0119940029985006</v>
      </c>
    </row>
    <row r="4091" spans="1:5">
      <c r="A4091" t="s">
        <v>4783</v>
      </c>
      <c r="B4091" t="s">
        <v>4790</v>
      </c>
      <c r="C4091">
        <f>0.132111546778</f>
        <v>0.13211154677799999</v>
      </c>
      <c r="D4091">
        <v>0.98711476644899998</v>
      </c>
      <c r="E4091">
        <v>8.0119940029985006</v>
      </c>
    </row>
    <row r="4092" spans="1:5">
      <c r="A4092" t="s">
        <v>4783</v>
      </c>
      <c r="B4092" t="s">
        <v>4791</v>
      </c>
      <c r="C4092">
        <f>0</f>
        <v>0</v>
      </c>
      <c r="D4092">
        <v>0.98711476644899998</v>
      </c>
      <c r="E4092">
        <v>8.0119940029985006</v>
      </c>
    </row>
    <row r="4093" spans="1:5">
      <c r="A4093" t="s">
        <v>4783</v>
      </c>
      <c r="B4093" t="s">
        <v>4792</v>
      </c>
      <c r="C4093">
        <v>0</v>
      </c>
      <c r="D4093">
        <v>0.98711476644899998</v>
      </c>
      <c r="E4093">
        <v>8.0119940029985006</v>
      </c>
    </row>
    <row r="4094" spans="1:5">
      <c r="A4094" t="s">
        <v>4783</v>
      </c>
      <c r="B4094" t="s">
        <v>4793</v>
      </c>
      <c r="C4094">
        <f>0</f>
        <v>0</v>
      </c>
      <c r="D4094">
        <v>0.98711476644899998</v>
      </c>
      <c r="E4094">
        <v>8.0119940029985006</v>
      </c>
    </row>
    <row r="4095" spans="1:5">
      <c r="A4095" t="s">
        <v>4794</v>
      </c>
      <c r="B4095" t="s">
        <v>4795</v>
      </c>
      <c r="C4095">
        <v>1.0165212769300001</v>
      </c>
      <c r="D4095">
        <v>0.99860703500600001</v>
      </c>
      <c r="E4095">
        <v>0.34782608695652101</v>
      </c>
    </row>
    <row r="4096" spans="1:5">
      <c r="A4096" t="s">
        <v>4794</v>
      </c>
      <c r="B4096" t="s">
        <v>4796</v>
      </c>
      <c r="C4096">
        <f>0</f>
        <v>0</v>
      </c>
      <c r="D4096">
        <v>0.99860703500600001</v>
      </c>
      <c r="E4096">
        <v>0.34782608695652101</v>
      </c>
    </row>
    <row r="4097" spans="1:5">
      <c r="A4097" t="s">
        <v>4794</v>
      </c>
      <c r="B4097" t="s">
        <v>4797</v>
      </c>
      <c r="C4097">
        <v>0.25004214289299997</v>
      </c>
      <c r="D4097">
        <v>0.99860703500600001</v>
      </c>
      <c r="E4097">
        <v>0.34782608695652101</v>
      </c>
    </row>
    <row r="4098" spans="1:5">
      <c r="A4098" t="s">
        <v>4794</v>
      </c>
      <c r="B4098" t="s">
        <v>4798</v>
      </c>
      <c r="C4098">
        <v>0</v>
      </c>
      <c r="D4098">
        <v>0.99860703500600001</v>
      </c>
      <c r="E4098">
        <v>0.34782608695652101</v>
      </c>
    </row>
    <row r="4099" spans="1:5">
      <c r="A4099" t="s">
        <v>4794</v>
      </c>
      <c r="B4099" t="s">
        <v>4799</v>
      </c>
      <c r="C4099">
        <v>0</v>
      </c>
      <c r="D4099">
        <v>0.99860703500600001</v>
      </c>
      <c r="E4099">
        <v>0.34782608695652101</v>
      </c>
    </row>
    <row r="4100" spans="1:5">
      <c r="A4100" t="s">
        <v>4800</v>
      </c>
      <c r="B4100" t="s">
        <v>4801</v>
      </c>
      <c r="C4100">
        <f>0</f>
        <v>0</v>
      </c>
      <c r="D4100">
        <v>0.98162349255000003</v>
      </c>
      <c r="E4100">
        <v>24</v>
      </c>
    </row>
    <row r="4101" spans="1:5">
      <c r="A4101" t="s">
        <v>4800</v>
      </c>
      <c r="B4101" t="s">
        <v>4802</v>
      </c>
      <c r="C4101">
        <f>0.0566515714737</f>
        <v>5.6651571473700001E-2</v>
      </c>
      <c r="D4101">
        <v>0.98162349255000003</v>
      </c>
      <c r="E4101">
        <v>24</v>
      </c>
    </row>
    <row r="4102" spans="1:5">
      <c r="A4102" t="s">
        <v>4800</v>
      </c>
      <c r="B4102" t="s">
        <v>4803</v>
      </c>
      <c r="C4102">
        <f>0.041307038263</f>
        <v>4.1307038263000001E-2</v>
      </c>
      <c r="D4102">
        <v>0.98162349255000003</v>
      </c>
      <c r="E4102">
        <v>24</v>
      </c>
    </row>
    <row r="4103" spans="1:5">
      <c r="A4103" t="s">
        <v>4804</v>
      </c>
      <c r="B4103" t="s">
        <v>4805</v>
      </c>
      <c r="C4103">
        <v>0</v>
      </c>
      <c r="D4103">
        <v>0.99091965298100004</v>
      </c>
      <c r="E4103">
        <v>24</v>
      </c>
    </row>
    <row r="4104" spans="1:5">
      <c r="A4104" t="s">
        <v>4804</v>
      </c>
      <c r="B4104" t="s">
        <v>4806</v>
      </c>
      <c r="C4104">
        <v>0</v>
      </c>
      <c r="D4104">
        <v>0.99091965298100004</v>
      </c>
      <c r="E4104">
        <v>24</v>
      </c>
    </row>
    <row r="4105" spans="1:5">
      <c r="A4105" t="s">
        <v>4804</v>
      </c>
      <c r="B4105" t="s">
        <v>4807</v>
      </c>
      <c r="C4105">
        <v>0</v>
      </c>
      <c r="D4105">
        <v>0.99091965298100004</v>
      </c>
      <c r="E4105">
        <v>24</v>
      </c>
    </row>
    <row r="4106" spans="1:5">
      <c r="A4106" t="s">
        <v>4808</v>
      </c>
      <c r="B4106" t="s">
        <v>4809</v>
      </c>
      <c r="C4106">
        <v>0</v>
      </c>
      <c r="D4106" t="s">
        <v>106</v>
      </c>
      <c r="E4106">
        <v>10.5547226386806</v>
      </c>
    </row>
    <row r="4107" spans="1:5">
      <c r="A4107" t="s">
        <v>4808</v>
      </c>
      <c r="B4107" t="s">
        <v>4810</v>
      </c>
      <c r="C4107">
        <v>0</v>
      </c>
      <c r="D4107" t="s">
        <v>106</v>
      </c>
      <c r="E4107">
        <v>10.5547226386806</v>
      </c>
    </row>
    <row r="4108" spans="1:5">
      <c r="A4108" t="s">
        <v>4808</v>
      </c>
      <c r="B4108" t="s">
        <v>4811</v>
      </c>
      <c r="C4108">
        <v>0</v>
      </c>
      <c r="D4108" t="s">
        <v>106</v>
      </c>
      <c r="E4108">
        <v>10.5547226386806</v>
      </c>
    </row>
    <row r="4109" spans="1:5">
      <c r="A4109" t="s">
        <v>4808</v>
      </c>
      <c r="B4109" t="s">
        <v>4812</v>
      </c>
      <c r="C4109">
        <v>0</v>
      </c>
      <c r="D4109" t="s">
        <v>106</v>
      </c>
      <c r="E4109">
        <v>10.5547226386806</v>
      </c>
    </row>
    <row r="4110" spans="1:5">
      <c r="A4110" t="s">
        <v>4808</v>
      </c>
      <c r="B4110" t="s">
        <v>4813</v>
      </c>
      <c r="C4110">
        <v>0</v>
      </c>
      <c r="D4110" t="s">
        <v>106</v>
      </c>
      <c r="E4110">
        <v>10.5547226386806</v>
      </c>
    </row>
    <row r="4111" spans="1:5">
      <c r="A4111" t="s">
        <v>4814</v>
      </c>
      <c r="B4111" t="s">
        <v>4815</v>
      </c>
      <c r="C4111">
        <v>3.4861035888900001E-2</v>
      </c>
      <c r="D4111">
        <v>0.93938807534199997</v>
      </c>
      <c r="E4111">
        <v>14.3688155922038</v>
      </c>
    </row>
    <row r="4112" spans="1:5">
      <c r="A4112" t="s">
        <v>4814</v>
      </c>
      <c r="B4112" t="s">
        <v>4816</v>
      </c>
      <c r="C4112">
        <v>0</v>
      </c>
      <c r="D4112">
        <v>0.93938807534199997</v>
      </c>
      <c r="E4112">
        <v>14.3688155922038</v>
      </c>
    </row>
    <row r="4113" spans="1:5">
      <c r="A4113" t="s">
        <v>4814</v>
      </c>
      <c r="B4113" t="s">
        <v>4817</v>
      </c>
      <c r="C4113">
        <v>0</v>
      </c>
      <c r="D4113">
        <v>0.93938807534199997</v>
      </c>
      <c r="E4113">
        <v>14.3688155922038</v>
      </c>
    </row>
    <row r="4114" spans="1:5">
      <c r="A4114" t="s">
        <v>4814</v>
      </c>
      <c r="B4114" t="s">
        <v>4818</v>
      </c>
      <c r="C4114">
        <v>9.4735796677700004E-2</v>
      </c>
      <c r="D4114">
        <v>0.93938807534199997</v>
      </c>
      <c r="E4114">
        <v>14.3688155922038</v>
      </c>
    </row>
    <row r="4115" spans="1:5">
      <c r="A4115" t="s">
        <v>4814</v>
      </c>
      <c r="B4115" t="s">
        <v>4819</v>
      </c>
      <c r="C4115">
        <v>0</v>
      </c>
      <c r="D4115">
        <v>0.93938807534199997</v>
      </c>
      <c r="E4115">
        <v>14.3688155922038</v>
      </c>
    </row>
    <row r="4116" spans="1:5">
      <c r="A4116" t="s">
        <v>4820</v>
      </c>
      <c r="B4116" t="s">
        <v>4821</v>
      </c>
      <c r="C4116">
        <v>0</v>
      </c>
      <c r="D4116">
        <v>0.87308708347800001</v>
      </c>
      <c r="E4116">
        <v>9.6191904047975996</v>
      </c>
    </row>
    <row r="4117" spans="1:5">
      <c r="A4117" t="s">
        <v>4820</v>
      </c>
      <c r="B4117" t="s">
        <v>4822</v>
      </c>
      <c r="C4117">
        <f>0</f>
        <v>0</v>
      </c>
      <c r="D4117">
        <v>0.87308708347800001</v>
      </c>
      <c r="E4117">
        <v>9.6191904047975996</v>
      </c>
    </row>
    <row r="4118" spans="1:5">
      <c r="A4118" t="s">
        <v>4820</v>
      </c>
      <c r="B4118" t="s">
        <v>4823</v>
      </c>
      <c r="C4118">
        <v>0</v>
      </c>
      <c r="D4118">
        <v>0.87308708347800001</v>
      </c>
      <c r="E4118">
        <v>9.6191904047975996</v>
      </c>
    </row>
    <row r="4119" spans="1:5">
      <c r="A4119" t="s">
        <v>4820</v>
      </c>
      <c r="B4119" t="s">
        <v>4824</v>
      </c>
      <c r="C4119">
        <v>0</v>
      </c>
      <c r="D4119">
        <v>0.87308708347800001</v>
      </c>
      <c r="E4119">
        <v>9.6191904047975996</v>
      </c>
    </row>
    <row r="4120" spans="1:5">
      <c r="A4120" t="s">
        <v>4820</v>
      </c>
      <c r="B4120" t="s">
        <v>4825</v>
      </c>
      <c r="C4120">
        <v>0</v>
      </c>
      <c r="D4120">
        <v>0.87308708347800001</v>
      </c>
      <c r="E4120">
        <v>9.6191904047975996</v>
      </c>
    </row>
    <row r="4121" spans="1:5">
      <c r="A4121" t="s">
        <v>4820</v>
      </c>
      <c r="B4121" t="s">
        <v>4826</v>
      </c>
      <c r="C4121">
        <v>0</v>
      </c>
      <c r="D4121">
        <v>0.87308708347800001</v>
      </c>
      <c r="E4121">
        <v>9.6191904047975996</v>
      </c>
    </row>
    <row r="4122" spans="1:5">
      <c r="A4122" t="s">
        <v>4820</v>
      </c>
      <c r="B4122" t="s">
        <v>4827</v>
      </c>
      <c r="C4122">
        <v>0</v>
      </c>
      <c r="D4122">
        <v>0.87308708347800001</v>
      </c>
      <c r="E4122">
        <v>9.6191904047975996</v>
      </c>
    </row>
    <row r="4123" spans="1:5">
      <c r="A4123" t="s">
        <v>4820</v>
      </c>
      <c r="B4123" t="s">
        <v>4828</v>
      </c>
      <c r="C4123">
        <v>0</v>
      </c>
      <c r="D4123">
        <v>0.87308708347800001</v>
      </c>
      <c r="E4123">
        <v>9.6191904047975996</v>
      </c>
    </row>
    <row r="4124" spans="1:5">
      <c r="A4124" t="s">
        <v>4820</v>
      </c>
      <c r="B4124" t="s">
        <v>4829</v>
      </c>
      <c r="C4124">
        <f>0</f>
        <v>0</v>
      </c>
      <c r="D4124">
        <v>0.87308708347800001</v>
      </c>
      <c r="E4124">
        <v>9.6191904047975996</v>
      </c>
    </row>
    <row r="4125" spans="1:5">
      <c r="A4125" t="s">
        <v>4820</v>
      </c>
      <c r="B4125" t="s">
        <v>4830</v>
      </c>
      <c r="C4125">
        <v>0</v>
      </c>
      <c r="D4125">
        <v>0.87308708347800001</v>
      </c>
      <c r="E4125">
        <v>9.6191904047975996</v>
      </c>
    </row>
    <row r="4126" spans="1:5">
      <c r="A4126" t="s">
        <v>4820</v>
      </c>
      <c r="B4126" t="s">
        <v>4831</v>
      </c>
      <c r="C4126">
        <v>0</v>
      </c>
      <c r="D4126">
        <v>0.87308708347800001</v>
      </c>
      <c r="E4126">
        <v>9.6191904047975996</v>
      </c>
    </row>
    <row r="4127" spans="1:5">
      <c r="A4127" t="s">
        <v>4820</v>
      </c>
      <c r="B4127" t="s">
        <v>4832</v>
      </c>
      <c r="C4127">
        <v>6.1567259127100003E-2</v>
      </c>
      <c r="D4127">
        <v>0.87308708347800001</v>
      </c>
      <c r="E4127">
        <v>9.6191904047975996</v>
      </c>
    </row>
    <row r="4128" spans="1:5">
      <c r="A4128" t="s">
        <v>4820</v>
      </c>
      <c r="B4128" t="s">
        <v>4833</v>
      </c>
      <c r="C4128">
        <v>0</v>
      </c>
      <c r="D4128">
        <v>0.87308708347800001</v>
      </c>
      <c r="E4128">
        <v>9.6191904047975996</v>
      </c>
    </row>
    <row r="4129" spans="1:5">
      <c r="A4129" t="s">
        <v>4820</v>
      </c>
      <c r="B4129" t="s">
        <v>4834</v>
      </c>
      <c r="C4129">
        <f>0</f>
        <v>0</v>
      </c>
      <c r="D4129">
        <v>0.87308708347800001</v>
      </c>
      <c r="E4129">
        <v>9.6191904047975996</v>
      </c>
    </row>
    <row r="4130" spans="1:5">
      <c r="A4130" t="s">
        <v>4820</v>
      </c>
      <c r="B4130" t="s">
        <v>4835</v>
      </c>
      <c r="C4130">
        <v>0</v>
      </c>
      <c r="D4130">
        <v>0.87308708347800001</v>
      </c>
      <c r="E4130">
        <v>9.6191904047975996</v>
      </c>
    </row>
    <row r="4131" spans="1:5">
      <c r="A4131" t="s">
        <v>4820</v>
      </c>
      <c r="B4131" t="s">
        <v>4836</v>
      </c>
      <c r="C4131">
        <v>0</v>
      </c>
      <c r="D4131">
        <v>0.87308708347800001</v>
      </c>
      <c r="E4131">
        <v>9.6191904047975996</v>
      </c>
    </row>
    <row r="4132" spans="1:5">
      <c r="A4132" t="s">
        <v>4820</v>
      </c>
      <c r="B4132" t="s">
        <v>4837</v>
      </c>
      <c r="C4132">
        <v>0</v>
      </c>
      <c r="D4132">
        <v>0.87308708347800001</v>
      </c>
      <c r="E4132">
        <v>9.6191904047975996</v>
      </c>
    </row>
    <row r="4133" spans="1:5">
      <c r="A4133" t="s">
        <v>4820</v>
      </c>
      <c r="B4133" t="s">
        <v>4838</v>
      </c>
      <c r="C4133">
        <f>0</f>
        <v>0</v>
      </c>
      <c r="D4133">
        <v>0.87308708347800001</v>
      </c>
      <c r="E4133">
        <v>9.6191904047975996</v>
      </c>
    </row>
    <row r="4134" spans="1:5">
      <c r="A4134" t="s">
        <v>4839</v>
      </c>
      <c r="B4134" t="s">
        <v>4840</v>
      </c>
      <c r="C4134">
        <v>0</v>
      </c>
      <c r="D4134">
        <v>0.93631964014500002</v>
      </c>
      <c r="E4134">
        <v>5.1214392803598203</v>
      </c>
    </row>
    <row r="4135" spans="1:5">
      <c r="A4135" t="s">
        <v>4839</v>
      </c>
      <c r="B4135" t="s">
        <v>4841</v>
      </c>
      <c r="C4135">
        <v>0.45744635824800001</v>
      </c>
      <c r="D4135">
        <v>0.93631964014500002</v>
      </c>
      <c r="E4135">
        <v>5.1214392803598203</v>
      </c>
    </row>
    <row r="4136" spans="1:5">
      <c r="A4136" t="s">
        <v>4839</v>
      </c>
      <c r="B4136" t="s">
        <v>4842</v>
      </c>
      <c r="C4136">
        <f>0</f>
        <v>0</v>
      </c>
      <c r="D4136">
        <v>0.93631964014500002</v>
      </c>
      <c r="E4136">
        <v>5.1214392803598203</v>
      </c>
    </row>
    <row r="4137" spans="1:5">
      <c r="A4137" t="s">
        <v>4839</v>
      </c>
      <c r="B4137" t="s">
        <v>4843</v>
      </c>
      <c r="C4137">
        <v>0</v>
      </c>
      <c r="D4137">
        <v>0.93631964014500002</v>
      </c>
      <c r="E4137">
        <v>5.1214392803598203</v>
      </c>
    </row>
    <row r="4138" spans="1:5">
      <c r="A4138" t="s">
        <v>4839</v>
      </c>
      <c r="B4138" t="s">
        <v>4844</v>
      </c>
      <c r="C4138">
        <v>5.0468950309100001E-2</v>
      </c>
      <c r="D4138">
        <v>0.93631964014500002</v>
      </c>
      <c r="E4138">
        <v>5.1214392803598203</v>
      </c>
    </row>
    <row r="4139" spans="1:5">
      <c r="A4139" t="s">
        <v>4839</v>
      </c>
      <c r="B4139" t="s">
        <v>4845</v>
      </c>
      <c r="C4139">
        <v>0</v>
      </c>
      <c r="D4139">
        <v>0.93631964014500002</v>
      </c>
      <c r="E4139">
        <v>5.1214392803598203</v>
      </c>
    </row>
    <row r="4140" spans="1:5">
      <c r="A4140" t="s">
        <v>4839</v>
      </c>
      <c r="B4140" t="s">
        <v>4846</v>
      </c>
      <c r="C4140">
        <v>0</v>
      </c>
      <c r="D4140">
        <v>0.93631964014500002</v>
      </c>
      <c r="E4140">
        <v>5.1214392803598203</v>
      </c>
    </row>
    <row r="4141" spans="1:5">
      <c r="A4141" t="s">
        <v>4847</v>
      </c>
      <c r="B4141" t="s">
        <v>4848</v>
      </c>
      <c r="C4141">
        <v>0</v>
      </c>
      <c r="D4141">
        <v>0.99034371873000004</v>
      </c>
      <c r="E4141">
        <v>16.095952023988001</v>
      </c>
    </row>
    <row r="4142" spans="1:5">
      <c r="A4142" t="s">
        <v>4847</v>
      </c>
      <c r="B4142" t="s">
        <v>4849</v>
      </c>
      <c r="C4142">
        <v>0</v>
      </c>
      <c r="D4142">
        <v>0.99034371873000004</v>
      </c>
      <c r="E4142">
        <v>16.095952023988001</v>
      </c>
    </row>
    <row r="4143" spans="1:5">
      <c r="A4143" t="s">
        <v>4847</v>
      </c>
      <c r="B4143" t="s">
        <v>4850</v>
      </c>
      <c r="C4143">
        <f>0</f>
        <v>0</v>
      </c>
      <c r="D4143">
        <v>0.99034371873000004</v>
      </c>
      <c r="E4143">
        <v>16.095952023988001</v>
      </c>
    </row>
    <row r="4144" spans="1:5">
      <c r="A4144" t="s">
        <v>4847</v>
      </c>
      <c r="B4144" t="s">
        <v>4851</v>
      </c>
      <c r="C4144">
        <v>0</v>
      </c>
      <c r="D4144">
        <v>0.99034371873000004</v>
      </c>
      <c r="E4144">
        <v>16.095952023988001</v>
      </c>
    </row>
    <row r="4145" spans="1:5">
      <c r="A4145" t="s">
        <v>4847</v>
      </c>
      <c r="B4145" t="s">
        <v>4852</v>
      </c>
      <c r="C4145">
        <v>0</v>
      </c>
      <c r="D4145">
        <v>0.99034371873000004</v>
      </c>
      <c r="E4145">
        <v>16.095952023988001</v>
      </c>
    </row>
    <row r="4146" spans="1:5">
      <c r="A4146" t="s">
        <v>4847</v>
      </c>
      <c r="B4146" t="s">
        <v>4853</v>
      </c>
      <c r="C4146">
        <v>0</v>
      </c>
      <c r="D4146">
        <v>0.99034371873000004</v>
      </c>
      <c r="E4146">
        <v>16.095952023988001</v>
      </c>
    </row>
    <row r="4147" spans="1:5">
      <c r="A4147" t="s">
        <v>4847</v>
      </c>
      <c r="B4147" t="s">
        <v>4854</v>
      </c>
      <c r="C4147">
        <v>0</v>
      </c>
      <c r="D4147">
        <v>0.99034371873000004</v>
      </c>
      <c r="E4147">
        <v>16.095952023988001</v>
      </c>
    </row>
    <row r="4148" spans="1:5">
      <c r="A4148" t="s">
        <v>4847</v>
      </c>
      <c r="B4148" t="s">
        <v>4855</v>
      </c>
      <c r="C4148">
        <v>0</v>
      </c>
      <c r="D4148">
        <v>0.99034371873000004</v>
      </c>
      <c r="E4148">
        <v>16.095952023988001</v>
      </c>
    </row>
    <row r="4149" spans="1:5">
      <c r="A4149" t="s">
        <v>4847</v>
      </c>
      <c r="B4149" t="s">
        <v>4856</v>
      </c>
      <c r="C4149">
        <v>0</v>
      </c>
      <c r="D4149">
        <v>0.99034371873000004</v>
      </c>
      <c r="E4149">
        <v>16.095952023988001</v>
      </c>
    </row>
    <row r="4150" spans="1:5">
      <c r="A4150" t="s">
        <v>4847</v>
      </c>
      <c r="B4150" t="s">
        <v>4857</v>
      </c>
      <c r="C4150">
        <f>0</f>
        <v>0</v>
      </c>
      <c r="D4150">
        <v>0.99034371873000004</v>
      </c>
      <c r="E4150">
        <v>16.095952023988001</v>
      </c>
    </row>
    <row r="4151" spans="1:5">
      <c r="A4151" t="s">
        <v>4847</v>
      </c>
      <c r="B4151" t="s">
        <v>4858</v>
      </c>
      <c r="C4151">
        <v>0</v>
      </c>
      <c r="D4151">
        <v>0.99034371873000004</v>
      </c>
      <c r="E4151">
        <v>16.095952023988001</v>
      </c>
    </row>
    <row r="4152" spans="1:5">
      <c r="A4152" t="s">
        <v>4847</v>
      </c>
      <c r="B4152" t="s">
        <v>4859</v>
      </c>
      <c r="C4152">
        <f>0</f>
        <v>0</v>
      </c>
      <c r="D4152">
        <v>0.99034371873000004</v>
      </c>
      <c r="E4152">
        <v>16.095952023988001</v>
      </c>
    </row>
    <row r="4153" spans="1:5">
      <c r="A4153" t="s">
        <v>4847</v>
      </c>
      <c r="B4153" t="s">
        <v>4860</v>
      </c>
      <c r="C4153">
        <f>0.0902452479471</f>
        <v>9.0245247947099996E-2</v>
      </c>
      <c r="D4153">
        <v>0.99034371873000004</v>
      </c>
      <c r="E4153">
        <v>16.095952023988001</v>
      </c>
    </row>
    <row r="4154" spans="1:5">
      <c r="A4154" t="s">
        <v>4847</v>
      </c>
      <c r="B4154" t="s">
        <v>4861</v>
      </c>
      <c r="C4154">
        <v>0</v>
      </c>
      <c r="D4154">
        <v>0.99034371873000004</v>
      </c>
      <c r="E4154">
        <v>16.095952023988001</v>
      </c>
    </row>
    <row r="4155" spans="1:5">
      <c r="A4155" t="s">
        <v>4847</v>
      </c>
      <c r="B4155" t="s">
        <v>4862</v>
      </c>
      <c r="C4155">
        <v>4.9064218016300003E-2</v>
      </c>
      <c r="D4155">
        <v>0.99034371873000004</v>
      </c>
      <c r="E4155">
        <v>16.095952023988001</v>
      </c>
    </row>
    <row r="4156" spans="1:5">
      <c r="A4156" t="s">
        <v>4847</v>
      </c>
      <c r="B4156" t="s">
        <v>4863</v>
      </c>
      <c r="C4156">
        <f>0</f>
        <v>0</v>
      </c>
      <c r="D4156">
        <v>0.99034371873000004</v>
      </c>
      <c r="E4156">
        <v>16.095952023988001</v>
      </c>
    </row>
    <row r="4157" spans="1:5">
      <c r="A4157" t="s">
        <v>4847</v>
      </c>
      <c r="B4157" t="s">
        <v>4864</v>
      </c>
      <c r="C4157">
        <v>0</v>
      </c>
      <c r="D4157">
        <v>0.99034371873000004</v>
      </c>
      <c r="E4157">
        <v>16.095952023988001</v>
      </c>
    </row>
    <row r="4158" spans="1:5">
      <c r="A4158" t="s">
        <v>4847</v>
      </c>
      <c r="B4158" t="s">
        <v>4865</v>
      </c>
      <c r="C4158">
        <v>0</v>
      </c>
      <c r="D4158">
        <v>0.99034371873000004</v>
      </c>
      <c r="E4158">
        <v>16.095952023988001</v>
      </c>
    </row>
    <row r="4159" spans="1:5">
      <c r="A4159" t="s">
        <v>4847</v>
      </c>
      <c r="B4159" t="s">
        <v>4866</v>
      </c>
      <c r="C4159">
        <v>0</v>
      </c>
      <c r="D4159">
        <v>0.99034371873000004</v>
      </c>
      <c r="E4159">
        <v>16.095952023988001</v>
      </c>
    </row>
    <row r="4160" spans="1:5">
      <c r="A4160" t="s">
        <v>4847</v>
      </c>
      <c r="B4160" t="s">
        <v>4867</v>
      </c>
      <c r="C4160">
        <v>0</v>
      </c>
      <c r="D4160">
        <v>0.99034371873000004</v>
      </c>
      <c r="E4160">
        <v>16.095952023988001</v>
      </c>
    </row>
    <row r="4161" spans="1:5">
      <c r="A4161" t="s">
        <v>4847</v>
      </c>
      <c r="B4161" t="s">
        <v>4868</v>
      </c>
      <c r="C4161">
        <v>0</v>
      </c>
      <c r="D4161">
        <v>0.99034371873000004</v>
      </c>
      <c r="E4161">
        <v>16.095952023988001</v>
      </c>
    </row>
    <row r="4162" spans="1:5">
      <c r="A4162" t="s">
        <v>4847</v>
      </c>
      <c r="B4162" t="s">
        <v>4869</v>
      </c>
      <c r="C4162">
        <v>0</v>
      </c>
      <c r="D4162">
        <v>0.99034371873000004</v>
      </c>
      <c r="E4162">
        <v>16.095952023988001</v>
      </c>
    </row>
    <row r="4163" spans="1:5">
      <c r="A4163" t="s">
        <v>4870</v>
      </c>
      <c r="B4163" t="s">
        <v>4871</v>
      </c>
      <c r="C4163">
        <v>0</v>
      </c>
      <c r="D4163" t="s">
        <v>106</v>
      </c>
      <c r="E4163">
        <v>0.77961019490254801</v>
      </c>
    </row>
    <row r="4164" spans="1:5">
      <c r="A4164" t="s">
        <v>4870</v>
      </c>
      <c r="B4164" t="s">
        <v>4872</v>
      </c>
      <c r="C4164">
        <v>0</v>
      </c>
      <c r="D4164" t="s">
        <v>106</v>
      </c>
      <c r="E4164">
        <v>0.77961019490254801</v>
      </c>
    </row>
    <row r="4165" spans="1:5">
      <c r="A4165" t="s">
        <v>4870</v>
      </c>
      <c r="B4165" t="s">
        <v>4873</v>
      </c>
      <c r="C4165">
        <v>0</v>
      </c>
      <c r="D4165" t="s">
        <v>106</v>
      </c>
      <c r="E4165">
        <v>0.77961019490254801</v>
      </c>
    </row>
    <row r="4166" spans="1:5">
      <c r="A4166" t="s">
        <v>4870</v>
      </c>
      <c r="B4166" t="s">
        <v>4874</v>
      </c>
      <c r="C4166">
        <v>0</v>
      </c>
      <c r="D4166" t="s">
        <v>106</v>
      </c>
      <c r="E4166">
        <v>0.77961019490254801</v>
      </c>
    </row>
    <row r="4167" spans="1:5">
      <c r="A4167" t="s">
        <v>4870</v>
      </c>
      <c r="B4167" t="s">
        <v>4875</v>
      </c>
      <c r="C4167">
        <v>0</v>
      </c>
      <c r="D4167" t="s">
        <v>106</v>
      </c>
      <c r="E4167">
        <v>0.77961019490254801</v>
      </c>
    </row>
    <row r="4168" spans="1:5">
      <c r="A4168" t="s">
        <v>4876</v>
      </c>
      <c r="B4168" t="s">
        <v>4877</v>
      </c>
      <c r="C4168">
        <v>0</v>
      </c>
      <c r="D4168">
        <v>0.97397772535299998</v>
      </c>
      <c r="E4168">
        <v>5.3493253373313303</v>
      </c>
    </row>
    <row r="4169" spans="1:5">
      <c r="A4169" t="s">
        <v>4876</v>
      </c>
      <c r="B4169" t="s">
        <v>4878</v>
      </c>
      <c r="C4169">
        <v>9.1827969404700005E-2</v>
      </c>
      <c r="D4169">
        <v>0.97397772535299998</v>
      </c>
      <c r="E4169">
        <v>5.3493253373313303</v>
      </c>
    </row>
    <row r="4170" spans="1:5">
      <c r="A4170" t="s">
        <v>4879</v>
      </c>
      <c r="B4170" t="s">
        <v>4880</v>
      </c>
      <c r="C4170">
        <f>0</f>
        <v>0</v>
      </c>
      <c r="D4170" t="s">
        <v>106</v>
      </c>
      <c r="E4170">
        <v>18.770614692653599</v>
      </c>
    </row>
    <row r="4171" spans="1:5">
      <c r="A4171" t="s">
        <v>4879</v>
      </c>
      <c r="B4171" t="s">
        <v>4881</v>
      </c>
      <c r="C4171">
        <f>0</f>
        <v>0</v>
      </c>
      <c r="D4171" t="s">
        <v>106</v>
      </c>
      <c r="E4171">
        <v>18.770614692653599</v>
      </c>
    </row>
    <row r="4172" spans="1:5">
      <c r="A4172" t="s">
        <v>4879</v>
      </c>
      <c r="B4172" t="s">
        <v>4882</v>
      </c>
      <c r="C4172">
        <v>0</v>
      </c>
      <c r="D4172" t="s">
        <v>106</v>
      </c>
      <c r="E4172">
        <v>18.770614692653599</v>
      </c>
    </row>
    <row r="4173" spans="1:5">
      <c r="A4173" t="s">
        <v>4879</v>
      </c>
      <c r="B4173" t="s">
        <v>4883</v>
      </c>
      <c r="C4173">
        <f>0</f>
        <v>0</v>
      </c>
      <c r="D4173" t="s">
        <v>106</v>
      </c>
      <c r="E4173">
        <v>18.770614692653599</v>
      </c>
    </row>
    <row r="4174" spans="1:5">
      <c r="A4174" t="s">
        <v>4879</v>
      </c>
      <c r="B4174" t="s">
        <v>4884</v>
      </c>
      <c r="C4174">
        <f>0</f>
        <v>0</v>
      </c>
      <c r="D4174" t="s">
        <v>106</v>
      </c>
      <c r="E4174">
        <v>18.770614692653599</v>
      </c>
    </row>
    <row r="4175" spans="1:5">
      <c r="A4175" t="s">
        <v>4879</v>
      </c>
      <c r="B4175" t="s">
        <v>4885</v>
      </c>
      <c r="C4175">
        <f>0</f>
        <v>0</v>
      </c>
      <c r="D4175" t="s">
        <v>106</v>
      </c>
      <c r="E4175">
        <v>18.770614692653599</v>
      </c>
    </row>
    <row r="4176" spans="1:5">
      <c r="A4176" t="s">
        <v>4879</v>
      </c>
      <c r="B4176" t="s">
        <v>4886</v>
      </c>
      <c r="C4176">
        <v>0</v>
      </c>
      <c r="D4176" t="s">
        <v>106</v>
      </c>
      <c r="E4176">
        <v>18.770614692653599</v>
      </c>
    </row>
    <row r="4177" spans="1:5">
      <c r="A4177" t="s">
        <v>4879</v>
      </c>
      <c r="B4177" t="s">
        <v>4887</v>
      </c>
      <c r="C4177">
        <v>0</v>
      </c>
      <c r="D4177" t="s">
        <v>106</v>
      </c>
      <c r="E4177">
        <v>18.770614692653599</v>
      </c>
    </row>
    <row r="4178" spans="1:5">
      <c r="A4178" t="s">
        <v>4879</v>
      </c>
      <c r="B4178" t="s">
        <v>4888</v>
      </c>
      <c r="C4178">
        <f>0</f>
        <v>0</v>
      </c>
      <c r="D4178" t="s">
        <v>106</v>
      </c>
      <c r="E4178">
        <v>18.770614692653599</v>
      </c>
    </row>
    <row r="4179" spans="1:5">
      <c r="A4179" t="s">
        <v>4879</v>
      </c>
      <c r="B4179" t="s">
        <v>4889</v>
      </c>
      <c r="C4179">
        <v>0</v>
      </c>
      <c r="D4179" t="s">
        <v>106</v>
      </c>
      <c r="E4179">
        <v>18.770614692653599</v>
      </c>
    </row>
    <row r="4180" spans="1:5">
      <c r="A4180" t="s">
        <v>4879</v>
      </c>
      <c r="B4180" t="s">
        <v>4890</v>
      </c>
      <c r="C4180">
        <f>0</f>
        <v>0</v>
      </c>
      <c r="D4180" t="s">
        <v>106</v>
      </c>
      <c r="E4180">
        <v>18.770614692653599</v>
      </c>
    </row>
    <row r="4181" spans="1:5">
      <c r="A4181" t="s">
        <v>4879</v>
      </c>
      <c r="B4181" t="s">
        <v>4891</v>
      </c>
      <c r="C4181">
        <f>0</f>
        <v>0</v>
      </c>
      <c r="D4181" t="s">
        <v>106</v>
      </c>
      <c r="E4181">
        <v>18.770614692653599</v>
      </c>
    </row>
    <row r="4182" spans="1:5">
      <c r="A4182" t="s">
        <v>4879</v>
      </c>
      <c r="B4182" t="s">
        <v>4892</v>
      </c>
      <c r="C4182">
        <f>0</f>
        <v>0</v>
      </c>
      <c r="D4182" t="s">
        <v>106</v>
      </c>
      <c r="E4182">
        <v>18.770614692653599</v>
      </c>
    </row>
    <row r="4183" spans="1:5">
      <c r="A4183" t="s">
        <v>4893</v>
      </c>
      <c r="B4183" t="s">
        <v>4894</v>
      </c>
      <c r="C4183">
        <f>0.136160147059</f>
        <v>0.13616014705900001</v>
      </c>
      <c r="D4183">
        <v>0.96181404720999997</v>
      </c>
      <c r="E4183">
        <v>12.5577211394302</v>
      </c>
    </row>
    <row r="4184" spans="1:5">
      <c r="A4184" t="s">
        <v>4893</v>
      </c>
      <c r="B4184" t="s">
        <v>4895</v>
      </c>
      <c r="C4184">
        <f>0</f>
        <v>0</v>
      </c>
      <c r="D4184">
        <v>0.96181404720999997</v>
      </c>
      <c r="E4184">
        <v>12.5577211394302</v>
      </c>
    </row>
    <row r="4185" spans="1:5">
      <c r="A4185" t="s">
        <v>4893</v>
      </c>
      <c r="B4185" t="s">
        <v>4896</v>
      </c>
      <c r="C4185">
        <v>0.15114335290100001</v>
      </c>
      <c r="D4185">
        <v>0.96181404720999997</v>
      </c>
      <c r="E4185">
        <v>12.5577211394302</v>
      </c>
    </row>
    <row r="4186" spans="1:5">
      <c r="A4186" t="s">
        <v>4893</v>
      </c>
      <c r="B4186" t="s">
        <v>4897</v>
      </c>
      <c r="C4186">
        <v>0</v>
      </c>
      <c r="D4186">
        <v>0.96181404720999997</v>
      </c>
      <c r="E4186">
        <v>12.5577211394302</v>
      </c>
    </row>
    <row r="4187" spans="1:5">
      <c r="A4187" t="s">
        <v>4898</v>
      </c>
      <c r="B4187" t="s">
        <v>4899</v>
      </c>
      <c r="C4187">
        <v>0</v>
      </c>
      <c r="D4187">
        <v>0.71034095008999998</v>
      </c>
      <c r="E4187">
        <v>3.5862068965517202</v>
      </c>
    </row>
    <row r="4188" spans="1:5">
      <c r="A4188" t="s">
        <v>4898</v>
      </c>
      <c r="B4188" t="s">
        <v>4900</v>
      </c>
      <c r="C4188">
        <f>0</f>
        <v>0</v>
      </c>
      <c r="D4188">
        <v>0.71034095008999998</v>
      </c>
      <c r="E4188">
        <v>3.5862068965517202</v>
      </c>
    </row>
    <row r="4189" spans="1:5">
      <c r="A4189" t="s">
        <v>4898</v>
      </c>
      <c r="B4189" t="s">
        <v>4901</v>
      </c>
      <c r="C4189">
        <f>0</f>
        <v>0</v>
      </c>
      <c r="D4189">
        <v>0.71034095008999998</v>
      </c>
      <c r="E4189">
        <v>3.5862068965517202</v>
      </c>
    </row>
    <row r="4190" spans="1:5">
      <c r="A4190" t="s">
        <v>4898</v>
      </c>
      <c r="B4190" t="s">
        <v>4902</v>
      </c>
      <c r="C4190">
        <v>0</v>
      </c>
      <c r="D4190">
        <v>0.71034095008999998</v>
      </c>
      <c r="E4190">
        <v>3.5862068965517202</v>
      </c>
    </row>
    <row r="4191" spans="1:5">
      <c r="A4191" t="s">
        <v>4898</v>
      </c>
      <c r="B4191" t="s">
        <v>4903</v>
      </c>
      <c r="C4191">
        <f>0</f>
        <v>0</v>
      </c>
      <c r="D4191">
        <v>0.71034095008999998</v>
      </c>
      <c r="E4191">
        <v>3.5862068965517202</v>
      </c>
    </row>
    <row r="4192" spans="1:5">
      <c r="A4192" t="s">
        <v>4898</v>
      </c>
      <c r="B4192" t="s">
        <v>4904</v>
      </c>
      <c r="C4192">
        <f>0</f>
        <v>0</v>
      </c>
      <c r="D4192">
        <v>0.71034095008999998</v>
      </c>
      <c r="E4192">
        <v>3.5862068965517202</v>
      </c>
    </row>
    <row r="4193" spans="1:5">
      <c r="A4193" t="s">
        <v>4898</v>
      </c>
      <c r="B4193" t="s">
        <v>4905</v>
      </c>
      <c r="C4193">
        <f>0.103043284006</f>
        <v>0.103043284006</v>
      </c>
      <c r="D4193">
        <v>0.71034095008999998</v>
      </c>
      <c r="E4193">
        <v>3.5862068965517202</v>
      </c>
    </row>
    <row r="4194" spans="1:5">
      <c r="A4194" t="s">
        <v>4898</v>
      </c>
      <c r="B4194" t="s">
        <v>4906</v>
      </c>
      <c r="C4194">
        <f>0.0231204760206</f>
        <v>2.3120476020599998E-2</v>
      </c>
      <c r="D4194">
        <v>0.71034095008999998</v>
      </c>
      <c r="E4194">
        <v>3.5862068965517202</v>
      </c>
    </row>
    <row r="4195" spans="1:5">
      <c r="A4195" t="s">
        <v>4907</v>
      </c>
      <c r="B4195" t="s">
        <v>4908</v>
      </c>
      <c r="C4195">
        <v>0</v>
      </c>
      <c r="D4195">
        <v>0.93107944062000003</v>
      </c>
      <c r="E4195">
        <v>9.1634182908545707</v>
      </c>
    </row>
    <row r="4196" spans="1:5">
      <c r="A4196" t="s">
        <v>4907</v>
      </c>
      <c r="B4196" t="s">
        <v>4909</v>
      </c>
      <c r="C4196">
        <v>0</v>
      </c>
      <c r="D4196">
        <v>0.93107944062000003</v>
      </c>
      <c r="E4196">
        <v>9.1634182908545707</v>
      </c>
    </row>
    <row r="4197" spans="1:5">
      <c r="A4197" t="s">
        <v>4907</v>
      </c>
      <c r="B4197" t="s">
        <v>4910</v>
      </c>
      <c r="C4197">
        <f>0</f>
        <v>0</v>
      </c>
      <c r="D4197">
        <v>0.93107944062000003</v>
      </c>
      <c r="E4197">
        <v>9.1634182908545707</v>
      </c>
    </row>
    <row r="4198" spans="1:5">
      <c r="A4198" t="s">
        <v>4907</v>
      </c>
      <c r="B4198" t="s">
        <v>4911</v>
      </c>
      <c r="C4198">
        <f>0</f>
        <v>0</v>
      </c>
      <c r="D4198">
        <v>0.93107944062000003</v>
      </c>
      <c r="E4198">
        <v>9.1634182908545707</v>
      </c>
    </row>
    <row r="4199" spans="1:5">
      <c r="A4199" t="s">
        <v>4907</v>
      </c>
      <c r="B4199" t="s">
        <v>4912</v>
      </c>
      <c r="C4199">
        <f>0.0198229667759</f>
        <v>1.9822966775900001E-2</v>
      </c>
      <c r="D4199">
        <v>0.93107944062000003</v>
      </c>
      <c r="E4199">
        <v>9.1634182908545707</v>
      </c>
    </row>
    <row r="4200" spans="1:5">
      <c r="A4200" t="s">
        <v>4907</v>
      </c>
      <c r="B4200" t="s">
        <v>4913</v>
      </c>
      <c r="C4200">
        <f>0</f>
        <v>0</v>
      </c>
      <c r="D4200">
        <v>0.93107944062000003</v>
      </c>
      <c r="E4200">
        <v>9.1634182908545707</v>
      </c>
    </row>
    <row r="4201" spans="1:5">
      <c r="A4201" t="s">
        <v>4907</v>
      </c>
      <c r="B4201" t="s">
        <v>4914</v>
      </c>
      <c r="C4201">
        <f>0</f>
        <v>0</v>
      </c>
      <c r="D4201">
        <v>0.93107944062000003</v>
      </c>
      <c r="E4201">
        <v>9.1634182908545707</v>
      </c>
    </row>
    <row r="4202" spans="1:5">
      <c r="A4202" t="s">
        <v>4907</v>
      </c>
      <c r="B4202" t="s">
        <v>4915</v>
      </c>
      <c r="C4202">
        <f>0.0464303803917</f>
        <v>4.6430380391699999E-2</v>
      </c>
      <c r="D4202">
        <v>0.93107944062000003</v>
      </c>
      <c r="E4202">
        <v>9.1634182908545707</v>
      </c>
    </row>
    <row r="4203" spans="1:5">
      <c r="A4203" t="s">
        <v>4916</v>
      </c>
      <c r="B4203" t="s">
        <v>4917</v>
      </c>
      <c r="C4203">
        <v>0</v>
      </c>
      <c r="D4203">
        <v>0.95774978673599998</v>
      </c>
      <c r="E4203">
        <v>0.23988005997001499</v>
      </c>
    </row>
    <row r="4204" spans="1:5">
      <c r="A4204" t="s">
        <v>4916</v>
      </c>
      <c r="B4204" t="s">
        <v>4918</v>
      </c>
      <c r="C4204">
        <f>0</f>
        <v>0</v>
      </c>
      <c r="D4204">
        <v>0.95774978673599998</v>
      </c>
      <c r="E4204">
        <v>0.23988005997001499</v>
      </c>
    </row>
    <row r="4205" spans="1:5">
      <c r="A4205" t="s">
        <v>4916</v>
      </c>
      <c r="B4205" t="s">
        <v>4919</v>
      </c>
      <c r="C4205">
        <v>4.2548723091899998E-2</v>
      </c>
      <c r="D4205">
        <v>0.95774978673599998</v>
      </c>
      <c r="E4205">
        <v>0.23988005997001499</v>
      </c>
    </row>
    <row r="4206" spans="1:5">
      <c r="A4206" t="s">
        <v>4916</v>
      </c>
      <c r="B4206" t="s">
        <v>4920</v>
      </c>
      <c r="C4206">
        <v>0</v>
      </c>
      <c r="D4206">
        <v>0.95774978673599998</v>
      </c>
      <c r="E4206">
        <v>0.23988005997001499</v>
      </c>
    </row>
    <row r="4207" spans="1:5">
      <c r="A4207" t="s">
        <v>4916</v>
      </c>
      <c r="B4207" t="s">
        <v>4921</v>
      </c>
      <c r="C4207">
        <f>0</f>
        <v>0</v>
      </c>
      <c r="D4207">
        <v>0.95774978673599998</v>
      </c>
      <c r="E4207">
        <v>0.23988005997001499</v>
      </c>
    </row>
    <row r="4208" spans="1:5">
      <c r="A4208" t="s">
        <v>4916</v>
      </c>
      <c r="B4208" t="s">
        <v>4922</v>
      </c>
      <c r="C4208">
        <v>0</v>
      </c>
      <c r="D4208">
        <v>0.95774978673599998</v>
      </c>
      <c r="E4208">
        <v>0.23988005997001499</v>
      </c>
    </row>
    <row r="4209" spans="1:5">
      <c r="A4209" t="s">
        <v>4916</v>
      </c>
      <c r="B4209" t="s">
        <v>4923</v>
      </c>
      <c r="C4209">
        <v>0.120663441659</v>
      </c>
      <c r="D4209">
        <v>0.95774978673599998</v>
      </c>
      <c r="E4209">
        <v>0.23988005997001499</v>
      </c>
    </row>
    <row r="4210" spans="1:5">
      <c r="A4210" t="s">
        <v>4916</v>
      </c>
      <c r="B4210" t="s">
        <v>4924</v>
      </c>
      <c r="C4210">
        <v>0</v>
      </c>
      <c r="D4210">
        <v>0.95774978673599998</v>
      </c>
      <c r="E4210">
        <v>0.23988005997001499</v>
      </c>
    </row>
    <row r="4211" spans="1:5">
      <c r="A4211" t="s">
        <v>4925</v>
      </c>
      <c r="B4211" t="s">
        <v>4926</v>
      </c>
      <c r="C4211">
        <v>0</v>
      </c>
      <c r="D4211" t="s">
        <v>106</v>
      </c>
      <c r="E4211">
        <v>17.307346326836502</v>
      </c>
    </row>
    <row r="4212" spans="1:5">
      <c r="A4212" t="s">
        <v>4925</v>
      </c>
      <c r="B4212" t="s">
        <v>4927</v>
      </c>
      <c r="C4212">
        <v>0</v>
      </c>
      <c r="D4212" t="s">
        <v>106</v>
      </c>
      <c r="E4212">
        <v>17.307346326836502</v>
      </c>
    </row>
    <row r="4213" spans="1:5">
      <c r="A4213" t="s">
        <v>4925</v>
      </c>
      <c r="B4213" t="s">
        <v>4928</v>
      </c>
      <c r="C4213">
        <v>0</v>
      </c>
      <c r="D4213" t="s">
        <v>106</v>
      </c>
      <c r="E4213">
        <v>17.307346326836502</v>
      </c>
    </row>
    <row r="4214" spans="1:5">
      <c r="A4214" t="s">
        <v>4925</v>
      </c>
      <c r="B4214" t="s">
        <v>4929</v>
      </c>
      <c r="C4214">
        <v>0</v>
      </c>
      <c r="D4214" t="s">
        <v>106</v>
      </c>
      <c r="E4214">
        <v>17.307346326836502</v>
      </c>
    </row>
    <row r="4215" spans="1:5">
      <c r="A4215" t="s">
        <v>4925</v>
      </c>
      <c r="B4215" t="s">
        <v>4930</v>
      </c>
      <c r="C4215">
        <v>0</v>
      </c>
      <c r="D4215" t="s">
        <v>106</v>
      </c>
      <c r="E4215">
        <v>17.307346326836502</v>
      </c>
    </row>
    <row r="4216" spans="1:5">
      <c r="A4216" t="s">
        <v>4925</v>
      </c>
      <c r="B4216" t="s">
        <v>4931</v>
      </c>
      <c r="C4216">
        <v>0</v>
      </c>
      <c r="D4216" t="s">
        <v>106</v>
      </c>
      <c r="E4216">
        <v>17.307346326836502</v>
      </c>
    </row>
    <row r="4217" spans="1:5">
      <c r="A4217" t="s">
        <v>4925</v>
      </c>
      <c r="B4217" t="s">
        <v>4932</v>
      </c>
      <c r="C4217">
        <v>0</v>
      </c>
      <c r="D4217" t="s">
        <v>106</v>
      </c>
      <c r="E4217">
        <v>17.307346326836502</v>
      </c>
    </row>
    <row r="4218" spans="1:5">
      <c r="A4218" t="s">
        <v>4925</v>
      </c>
      <c r="B4218" t="s">
        <v>4933</v>
      </c>
      <c r="C4218">
        <f>0</f>
        <v>0</v>
      </c>
      <c r="D4218" t="s">
        <v>106</v>
      </c>
      <c r="E4218">
        <v>17.307346326836502</v>
      </c>
    </row>
    <row r="4219" spans="1:5">
      <c r="A4219" t="s">
        <v>4925</v>
      </c>
      <c r="B4219" t="s">
        <v>4934</v>
      </c>
      <c r="C4219">
        <v>0.21408902378</v>
      </c>
      <c r="D4219" t="s">
        <v>106</v>
      </c>
      <c r="E4219">
        <v>17.307346326836502</v>
      </c>
    </row>
    <row r="4220" spans="1:5">
      <c r="A4220" t="s">
        <v>4925</v>
      </c>
      <c r="B4220" t="s">
        <v>4935</v>
      </c>
      <c r="C4220">
        <f>0</f>
        <v>0</v>
      </c>
      <c r="D4220" t="s">
        <v>106</v>
      </c>
      <c r="E4220">
        <v>17.307346326836502</v>
      </c>
    </row>
    <row r="4221" spans="1:5">
      <c r="A4221" t="s">
        <v>4925</v>
      </c>
      <c r="B4221" t="s">
        <v>4936</v>
      </c>
      <c r="C4221">
        <v>0</v>
      </c>
      <c r="D4221" t="s">
        <v>106</v>
      </c>
      <c r="E4221">
        <v>17.307346326836502</v>
      </c>
    </row>
    <row r="4222" spans="1:5">
      <c r="A4222" t="s">
        <v>4925</v>
      </c>
      <c r="B4222" t="s">
        <v>4937</v>
      </c>
      <c r="C4222">
        <v>8.9820919813099996E-3</v>
      </c>
      <c r="D4222" t="s">
        <v>106</v>
      </c>
      <c r="E4222">
        <v>17.307346326836502</v>
      </c>
    </row>
    <row r="4223" spans="1:5">
      <c r="A4223" t="s">
        <v>4938</v>
      </c>
      <c r="B4223" t="s">
        <v>4939</v>
      </c>
      <c r="C4223">
        <v>0.37282622191499998</v>
      </c>
      <c r="D4223">
        <v>0.98960545010500001</v>
      </c>
      <c r="E4223">
        <v>5.0134932533733103</v>
      </c>
    </row>
    <row r="4224" spans="1:5">
      <c r="A4224" t="s">
        <v>4938</v>
      </c>
      <c r="B4224" t="s">
        <v>4940</v>
      </c>
      <c r="C4224">
        <v>0.30294860749899999</v>
      </c>
      <c r="D4224">
        <v>0.98960545010500001</v>
      </c>
      <c r="E4224">
        <v>5.0134932533733103</v>
      </c>
    </row>
    <row r="4225" spans="1:5">
      <c r="A4225" t="s">
        <v>4938</v>
      </c>
      <c r="B4225" t="s">
        <v>4941</v>
      </c>
      <c r="C4225">
        <f>0</f>
        <v>0</v>
      </c>
      <c r="D4225">
        <v>0.98960545010500001</v>
      </c>
      <c r="E4225">
        <v>5.0134932533733103</v>
      </c>
    </row>
    <row r="4226" spans="1:5">
      <c r="A4226" t="s">
        <v>4942</v>
      </c>
      <c r="B4226" t="s">
        <v>4943</v>
      </c>
      <c r="C4226">
        <v>0</v>
      </c>
      <c r="D4226">
        <v>0.78419601074800005</v>
      </c>
      <c r="E4226">
        <v>13.0854572713643</v>
      </c>
    </row>
    <row r="4227" spans="1:5">
      <c r="A4227" t="s">
        <v>4942</v>
      </c>
      <c r="B4227" t="s">
        <v>4944</v>
      </c>
      <c r="C4227">
        <v>0</v>
      </c>
      <c r="D4227">
        <v>0.78419601074800005</v>
      </c>
      <c r="E4227">
        <v>13.0854572713643</v>
      </c>
    </row>
    <row r="4228" spans="1:5">
      <c r="A4228" t="s">
        <v>4942</v>
      </c>
      <c r="B4228" t="s">
        <v>4945</v>
      </c>
      <c r="C4228">
        <f>0.00547330780887</f>
        <v>5.4733078088699998E-3</v>
      </c>
      <c r="D4228">
        <v>0.78419601074800005</v>
      </c>
      <c r="E4228">
        <v>13.0854572713643</v>
      </c>
    </row>
    <row r="4229" spans="1:5">
      <c r="A4229" t="s">
        <v>4942</v>
      </c>
      <c r="B4229" t="s">
        <v>4946</v>
      </c>
      <c r="C4229">
        <v>0</v>
      </c>
      <c r="D4229">
        <v>0.78419601074800005</v>
      </c>
      <c r="E4229">
        <v>13.0854572713643</v>
      </c>
    </row>
    <row r="4230" spans="1:5">
      <c r="A4230" t="s">
        <v>4942</v>
      </c>
      <c r="B4230" t="s">
        <v>4947</v>
      </c>
      <c r="C4230">
        <f>0</f>
        <v>0</v>
      </c>
      <c r="D4230">
        <v>0.78419601074800005</v>
      </c>
      <c r="E4230">
        <v>13.0854572713643</v>
      </c>
    </row>
    <row r="4231" spans="1:5">
      <c r="A4231" t="s">
        <v>4942</v>
      </c>
      <c r="B4231" t="s">
        <v>4948</v>
      </c>
      <c r="C4231">
        <f>0.0310381834619</f>
        <v>3.1038183461900001E-2</v>
      </c>
      <c r="D4231">
        <v>0.78419601074800005</v>
      </c>
      <c r="E4231">
        <v>13.0854572713643</v>
      </c>
    </row>
    <row r="4232" spans="1:5">
      <c r="A4232" t="s">
        <v>4949</v>
      </c>
      <c r="B4232" t="s">
        <v>4950</v>
      </c>
      <c r="C4232">
        <v>0</v>
      </c>
      <c r="D4232">
        <v>0.98444329274800002</v>
      </c>
      <c r="E4232">
        <v>19.850074962518701</v>
      </c>
    </row>
    <row r="4233" spans="1:5">
      <c r="A4233" t="s">
        <v>4951</v>
      </c>
      <c r="B4233" t="s">
        <v>4952</v>
      </c>
      <c r="C4233">
        <v>0.15383909138999999</v>
      </c>
      <c r="D4233">
        <v>0.86521857307700001</v>
      </c>
      <c r="E4233">
        <v>5.3493253373313303</v>
      </c>
    </row>
    <row r="4234" spans="1:5">
      <c r="A4234" t="s">
        <v>4951</v>
      </c>
      <c r="B4234" t="s">
        <v>4953</v>
      </c>
      <c r="C4234">
        <f>0</f>
        <v>0</v>
      </c>
      <c r="D4234">
        <v>0.86521857307700001</v>
      </c>
      <c r="E4234">
        <v>5.3493253373313303</v>
      </c>
    </row>
    <row r="4235" spans="1:5">
      <c r="A4235" t="s">
        <v>4951</v>
      </c>
      <c r="B4235" t="s">
        <v>4954</v>
      </c>
      <c r="C4235">
        <v>1.0092883671200001E-2</v>
      </c>
      <c r="D4235">
        <v>0.86521857307700001</v>
      </c>
      <c r="E4235">
        <v>5.3493253373313303</v>
      </c>
    </row>
    <row r="4236" spans="1:5">
      <c r="A4236" t="s">
        <v>4955</v>
      </c>
      <c r="B4236" t="s">
        <v>4956</v>
      </c>
      <c r="C4236">
        <f>0</f>
        <v>0</v>
      </c>
      <c r="D4236">
        <v>0.32402252690700001</v>
      </c>
      <c r="E4236">
        <v>9.9190404797601204</v>
      </c>
    </row>
    <row r="4237" spans="1:5">
      <c r="A4237" t="s">
        <v>4955</v>
      </c>
      <c r="B4237" t="s">
        <v>4957</v>
      </c>
      <c r="C4237">
        <v>2.66924909987E-2</v>
      </c>
      <c r="D4237">
        <v>0.32402252690700001</v>
      </c>
      <c r="E4237">
        <v>9.9190404797601204</v>
      </c>
    </row>
    <row r="4238" spans="1:5">
      <c r="A4238" t="s">
        <v>4958</v>
      </c>
      <c r="B4238" t="s">
        <v>4959</v>
      </c>
      <c r="C4238">
        <v>1.07975742275E-2</v>
      </c>
      <c r="D4238" t="s">
        <v>106</v>
      </c>
      <c r="E4238">
        <v>6.0569715142428704</v>
      </c>
    </row>
    <row r="4239" spans="1:5">
      <c r="A4239" t="s">
        <v>4960</v>
      </c>
      <c r="B4239" t="s">
        <v>4961</v>
      </c>
      <c r="C4239">
        <f>0.000315494352491</f>
        <v>3.1549435249100002E-4</v>
      </c>
      <c r="D4239">
        <v>0.48117502396900003</v>
      </c>
      <c r="E4239">
        <v>24</v>
      </c>
    </row>
    <row r="4240" spans="1:5">
      <c r="A4240" t="s">
        <v>4960</v>
      </c>
      <c r="B4240" t="s">
        <v>4962</v>
      </c>
      <c r="C4240">
        <f>0</f>
        <v>0</v>
      </c>
      <c r="D4240">
        <v>0.48117502396900003</v>
      </c>
      <c r="E4240">
        <v>24</v>
      </c>
    </row>
    <row r="4241" spans="1:5">
      <c r="A4241" t="s">
        <v>4960</v>
      </c>
      <c r="B4241" t="s">
        <v>4963</v>
      </c>
      <c r="C4241">
        <v>1.5978323508800001E-2</v>
      </c>
      <c r="D4241">
        <v>0.48117502396900003</v>
      </c>
      <c r="E4241">
        <v>24</v>
      </c>
    </row>
    <row r="4242" spans="1:5">
      <c r="A4242" t="s">
        <v>4960</v>
      </c>
      <c r="B4242" t="s">
        <v>4964</v>
      </c>
      <c r="C4242">
        <v>0</v>
      </c>
      <c r="D4242">
        <v>0.48117502396900003</v>
      </c>
      <c r="E4242">
        <v>24</v>
      </c>
    </row>
    <row r="4243" spans="1:5">
      <c r="A4243" t="s">
        <v>4965</v>
      </c>
      <c r="B4243" t="s">
        <v>4966</v>
      </c>
      <c r="C4243">
        <v>0</v>
      </c>
      <c r="D4243">
        <v>0.96644137492600002</v>
      </c>
      <c r="E4243">
        <v>3.13043478260869</v>
      </c>
    </row>
    <row r="4244" spans="1:5">
      <c r="A4244" t="s">
        <v>4965</v>
      </c>
      <c r="B4244" t="s">
        <v>4967</v>
      </c>
      <c r="C4244">
        <v>0.26819154420500002</v>
      </c>
      <c r="D4244">
        <v>0.96644137492600002</v>
      </c>
      <c r="E4244">
        <v>3.13043478260869</v>
      </c>
    </row>
    <row r="4245" spans="1:5">
      <c r="A4245" t="s">
        <v>4965</v>
      </c>
      <c r="B4245" t="s">
        <v>4968</v>
      </c>
      <c r="C4245">
        <f>0</f>
        <v>0</v>
      </c>
      <c r="D4245">
        <v>0.96644137492600002</v>
      </c>
      <c r="E4245">
        <v>3.13043478260869</v>
      </c>
    </row>
    <row r="4246" spans="1:5">
      <c r="A4246" t="s">
        <v>4965</v>
      </c>
      <c r="B4246" t="s">
        <v>4969</v>
      </c>
      <c r="C4246">
        <v>0</v>
      </c>
      <c r="D4246">
        <v>0.96644137492600002</v>
      </c>
      <c r="E4246">
        <v>3.13043478260869</v>
      </c>
    </row>
    <row r="4247" spans="1:5">
      <c r="A4247" t="s">
        <v>4965</v>
      </c>
      <c r="B4247" t="s">
        <v>4970</v>
      </c>
      <c r="C4247">
        <v>0</v>
      </c>
      <c r="D4247">
        <v>0.96644137492600002</v>
      </c>
      <c r="E4247">
        <v>3.13043478260869</v>
      </c>
    </row>
    <row r="4248" spans="1:5">
      <c r="A4248" t="s">
        <v>4965</v>
      </c>
      <c r="B4248" t="s">
        <v>4971</v>
      </c>
      <c r="C4248">
        <v>0</v>
      </c>
      <c r="D4248">
        <v>0.96644137492600002</v>
      </c>
      <c r="E4248">
        <v>3.13043478260869</v>
      </c>
    </row>
    <row r="4249" spans="1:5">
      <c r="A4249" t="s">
        <v>4965</v>
      </c>
      <c r="B4249" t="s">
        <v>4972</v>
      </c>
      <c r="C4249">
        <v>0</v>
      </c>
      <c r="D4249">
        <v>0.96644137492600002</v>
      </c>
      <c r="E4249">
        <v>3.13043478260869</v>
      </c>
    </row>
    <row r="4250" spans="1:5">
      <c r="A4250" t="s">
        <v>4965</v>
      </c>
      <c r="B4250" t="s">
        <v>4973</v>
      </c>
      <c r="C4250">
        <v>0</v>
      </c>
      <c r="D4250">
        <v>0.96644137492600002</v>
      </c>
      <c r="E4250">
        <v>3.13043478260869</v>
      </c>
    </row>
    <row r="4251" spans="1:5">
      <c r="A4251" t="s">
        <v>4965</v>
      </c>
      <c r="B4251" t="s">
        <v>4974</v>
      </c>
      <c r="C4251">
        <v>8.1984752087399995E-3</v>
      </c>
      <c r="D4251">
        <v>0.96644137492600002</v>
      </c>
      <c r="E4251">
        <v>3.13043478260869</v>
      </c>
    </row>
    <row r="4252" spans="1:5">
      <c r="A4252" t="s">
        <v>4965</v>
      </c>
      <c r="B4252" t="s">
        <v>4975</v>
      </c>
      <c r="C4252">
        <v>0</v>
      </c>
      <c r="D4252">
        <v>0.96644137492600002</v>
      </c>
      <c r="E4252">
        <v>3.13043478260869</v>
      </c>
    </row>
    <row r="4253" spans="1:5">
      <c r="A4253" t="s">
        <v>4965</v>
      </c>
      <c r="B4253" t="s">
        <v>4976</v>
      </c>
      <c r="C4253">
        <f>0</f>
        <v>0</v>
      </c>
      <c r="D4253">
        <v>0.96644137492600002</v>
      </c>
      <c r="E4253">
        <v>3.13043478260869</v>
      </c>
    </row>
    <row r="4254" spans="1:5">
      <c r="A4254" t="s">
        <v>4977</v>
      </c>
      <c r="B4254" t="s">
        <v>4978</v>
      </c>
      <c r="C4254">
        <v>8.6831427464800007E-2</v>
      </c>
      <c r="D4254">
        <v>0.98931484987899998</v>
      </c>
      <c r="E4254">
        <v>15.316341829085401</v>
      </c>
    </row>
    <row r="4255" spans="1:5">
      <c r="A4255" t="s">
        <v>4977</v>
      </c>
      <c r="B4255" t="s">
        <v>4979</v>
      </c>
      <c r="C4255">
        <v>4.5128021804200003E-2</v>
      </c>
      <c r="D4255">
        <v>0.98931484987899998</v>
      </c>
      <c r="E4255">
        <v>15.316341829085401</v>
      </c>
    </row>
    <row r="4256" spans="1:5">
      <c r="A4256" t="s">
        <v>4977</v>
      </c>
      <c r="B4256" t="s">
        <v>4980</v>
      </c>
      <c r="C4256">
        <f>0</f>
        <v>0</v>
      </c>
      <c r="D4256">
        <v>0.98931484987899998</v>
      </c>
      <c r="E4256">
        <v>15.316341829085401</v>
      </c>
    </row>
    <row r="4257" spans="1:5">
      <c r="A4257" t="s">
        <v>4981</v>
      </c>
      <c r="B4257" t="s">
        <v>4982</v>
      </c>
      <c r="C4257">
        <v>0</v>
      </c>
      <c r="D4257" t="s">
        <v>106</v>
      </c>
      <c r="E4257">
        <v>0.95952023988005997</v>
      </c>
    </row>
    <row r="4258" spans="1:5">
      <c r="A4258" t="s">
        <v>4981</v>
      </c>
      <c r="B4258" t="s">
        <v>4983</v>
      </c>
      <c r="C4258">
        <v>0</v>
      </c>
      <c r="D4258" t="s">
        <v>106</v>
      </c>
      <c r="E4258">
        <v>0.95952023988005997</v>
      </c>
    </row>
    <row r="4259" spans="1:5">
      <c r="A4259" t="s">
        <v>4981</v>
      </c>
      <c r="B4259" t="s">
        <v>4984</v>
      </c>
      <c r="C4259">
        <f>0</f>
        <v>0</v>
      </c>
      <c r="D4259" t="s">
        <v>106</v>
      </c>
      <c r="E4259">
        <v>0.95952023988005997</v>
      </c>
    </row>
    <row r="4260" spans="1:5">
      <c r="A4260" t="s">
        <v>4981</v>
      </c>
      <c r="B4260" t="s">
        <v>4985</v>
      </c>
      <c r="C4260">
        <v>0</v>
      </c>
      <c r="D4260" t="s">
        <v>106</v>
      </c>
      <c r="E4260">
        <v>0.95952023988005997</v>
      </c>
    </row>
    <row r="4261" spans="1:5">
      <c r="A4261" t="s">
        <v>4981</v>
      </c>
      <c r="B4261" t="s">
        <v>4986</v>
      </c>
      <c r="C4261">
        <v>0</v>
      </c>
      <c r="D4261" t="s">
        <v>106</v>
      </c>
      <c r="E4261">
        <v>0.95952023988005997</v>
      </c>
    </row>
    <row r="4262" spans="1:5">
      <c r="A4262" t="s">
        <v>4981</v>
      </c>
      <c r="B4262" t="s">
        <v>4987</v>
      </c>
      <c r="C4262">
        <v>0</v>
      </c>
      <c r="D4262" t="s">
        <v>106</v>
      </c>
      <c r="E4262">
        <v>0.95952023988005997</v>
      </c>
    </row>
    <row r="4263" spans="1:5">
      <c r="A4263" t="s">
        <v>4981</v>
      </c>
      <c r="B4263" t="s">
        <v>4988</v>
      </c>
      <c r="C4263">
        <f>0</f>
        <v>0</v>
      </c>
      <c r="D4263" t="s">
        <v>106</v>
      </c>
      <c r="E4263">
        <v>0.95952023988005997</v>
      </c>
    </row>
    <row r="4264" spans="1:5">
      <c r="A4264" t="s">
        <v>4981</v>
      </c>
      <c r="B4264" t="s">
        <v>4989</v>
      </c>
      <c r="C4264">
        <v>0</v>
      </c>
      <c r="D4264" t="s">
        <v>106</v>
      </c>
      <c r="E4264">
        <v>0.95952023988005997</v>
      </c>
    </row>
    <row r="4265" spans="1:5">
      <c r="A4265" t="s">
        <v>4981</v>
      </c>
      <c r="B4265" t="s">
        <v>4990</v>
      </c>
      <c r="C4265">
        <f>0</f>
        <v>0</v>
      </c>
      <c r="D4265" t="s">
        <v>106</v>
      </c>
      <c r="E4265">
        <v>0.95952023988005997</v>
      </c>
    </row>
    <row r="4266" spans="1:5">
      <c r="A4266" t="s">
        <v>4981</v>
      </c>
      <c r="B4266" t="s">
        <v>4991</v>
      </c>
      <c r="C4266">
        <f>0</f>
        <v>0</v>
      </c>
      <c r="D4266" t="s">
        <v>106</v>
      </c>
      <c r="E4266">
        <v>0.95952023988005997</v>
      </c>
    </row>
    <row r="4267" spans="1:5">
      <c r="A4267" t="s">
        <v>4992</v>
      </c>
      <c r="B4267" t="s">
        <v>4993</v>
      </c>
      <c r="C4267">
        <f>0</f>
        <v>0</v>
      </c>
      <c r="D4267">
        <v>0.93550339803799998</v>
      </c>
      <c r="E4267">
        <v>2.1709145427286298</v>
      </c>
    </row>
    <row r="4268" spans="1:5">
      <c r="A4268" t="s">
        <v>4992</v>
      </c>
      <c r="B4268" t="s">
        <v>4994</v>
      </c>
      <c r="C4268">
        <v>0</v>
      </c>
      <c r="D4268">
        <v>0.93550339803799998</v>
      </c>
      <c r="E4268">
        <v>2.1709145427286298</v>
      </c>
    </row>
    <row r="4269" spans="1:5">
      <c r="A4269" t="s">
        <v>4992</v>
      </c>
      <c r="B4269" t="s">
        <v>4995</v>
      </c>
      <c r="C4269">
        <v>0</v>
      </c>
      <c r="D4269">
        <v>0.93550339803799998</v>
      </c>
      <c r="E4269">
        <v>2.1709145427286298</v>
      </c>
    </row>
    <row r="4270" spans="1:5">
      <c r="A4270" t="s">
        <v>4992</v>
      </c>
      <c r="B4270" t="s">
        <v>4996</v>
      </c>
      <c r="C4270">
        <v>0.80917667848200003</v>
      </c>
      <c r="D4270">
        <v>0.93550339803799998</v>
      </c>
      <c r="E4270">
        <v>2.1709145427286298</v>
      </c>
    </row>
    <row r="4271" spans="1:5">
      <c r="A4271" t="s">
        <v>4992</v>
      </c>
      <c r="B4271" t="s">
        <v>4997</v>
      </c>
      <c r="C4271">
        <v>0</v>
      </c>
      <c r="D4271">
        <v>0.93550339803799998</v>
      </c>
      <c r="E4271">
        <v>2.1709145427286298</v>
      </c>
    </row>
    <row r="4272" spans="1:5">
      <c r="A4272" t="s">
        <v>4992</v>
      </c>
      <c r="B4272" t="s">
        <v>4998</v>
      </c>
      <c r="C4272">
        <f>0</f>
        <v>0</v>
      </c>
      <c r="D4272">
        <v>0.93550339803799998</v>
      </c>
      <c r="E4272">
        <v>2.1709145427286298</v>
      </c>
    </row>
    <row r="4273" spans="1:5">
      <c r="A4273" t="s">
        <v>4992</v>
      </c>
      <c r="B4273" t="s">
        <v>4999</v>
      </c>
      <c r="C4273">
        <f>0</f>
        <v>0</v>
      </c>
      <c r="D4273">
        <v>0.93550339803799998</v>
      </c>
      <c r="E4273">
        <v>2.1709145427286298</v>
      </c>
    </row>
    <row r="4274" spans="1:5">
      <c r="A4274" t="s">
        <v>4992</v>
      </c>
      <c r="B4274" t="s">
        <v>5000</v>
      </c>
      <c r="C4274">
        <v>0</v>
      </c>
      <c r="D4274">
        <v>0.93550339803799998</v>
      </c>
      <c r="E4274">
        <v>2.1709145427286298</v>
      </c>
    </row>
    <row r="4275" spans="1:5">
      <c r="A4275" t="s">
        <v>4992</v>
      </c>
      <c r="B4275" t="s">
        <v>5001</v>
      </c>
      <c r="C4275">
        <f>0</f>
        <v>0</v>
      </c>
      <c r="D4275">
        <v>0.93550339803799998</v>
      </c>
      <c r="E4275">
        <v>2.1709145427286298</v>
      </c>
    </row>
    <row r="4276" spans="1:5">
      <c r="A4276" t="s">
        <v>4992</v>
      </c>
      <c r="B4276" t="s">
        <v>5002</v>
      </c>
      <c r="C4276">
        <f>0.228186176945</f>
        <v>0.22818617694500001</v>
      </c>
      <c r="D4276">
        <v>0.93550339803799998</v>
      </c>
      <c r="E4276">
        <v>2.1709145427286298</v>
      </c>
    </row>
    <row r="4277" spans="1:5">
      <c r="A4277" t="s">
        <v>5003</v>
      </c>
      <c r="B4277" t="s">
        <v>5004</v>
      </c>
      <c r="C4277">
        <v>0</v>
      </c>
      <c r="D4277">
        <v>0.75264548330799996</v>
      </c>
      <c r="E4277">
        <v>24</v>
      </c>
    </row>
    <row r="4278" spans="1:5">
      <c r="A4278" t="s">
        <v>5003</v>
      </c>
      <c r="B4278" t="s">
        <v>5005</v>
      </c>
      <c r="C4278">
        <v>0</v>
      </c>
      <c r="D4278">
        <v>0.75264548330799996</v>
      </c>
      <c r="E4278">
        <v>24</v>
      </c>
    </row>
    <row r="4279" spans="1:5">
      <c r="A4279" t="s">
        <v>5003</v>
      </c>
      <c r="B4279" t="s">
        <v>5006</v>
      </c>
      <c r="C4279">
        <v>0</v>
      </c>
      <c r="D4279">
        <v>0.75264548330799996</v>
      </c>
      <c r="E4279">
        <v>24</v>
      </c>
    </row>
    <row r="4280" spans="1:5">
      <c r="A4280" t="s">
        <v>5003</v>
      </c>
      <c r="B4280" t="s">
        <v>5007</v>
      </c>
      <c r="C4280">
        <v>0</v>
      </c>
      <c r="D4280">
        <v>0.75264548330799996</v>
      </c>
      <c r="E4280">
        <v>24</v>
      </c>
    </row>
    <row r="4281" spans="1:5">
      <c r="A4281" t="s">
        <v>5003</v>
      </c>
      <c r="B4281" t="s">
        <v>5008</v>
      </c>
      <c r="C4281">
        <v>0</v>
      </c>
      <c r="D4281">
        <v>0.75264548330799996</v>
      </c>
      <c r="E4281">
        <v>24</v>
      </c>
    </row>
    <row r="4282" spans="1:5">
      <c r="A4282" t="s">
        <v>5003</v>
      </c>
      <c r="B4282" t="s">
        <v>5009</v>
      </c>
      <c r="C4282">
        <v>0</v>
      </c>
      <c r="D4282">
        <v>0.75264548330799996</v>
      </c>
      <c r="E4282">
        <v>24</v>
      </c>
    </row>
    <row r="4283" spans="1:5">
      <c r="A4283" t="s">
        <v>5003</v>
      </c>
      <c r="B4283" t="s">
        <v>5010</v>
      </c>
      <c r="C4283">
        <v>0</v>
      </c>
      <c r="D4283">
        <v>0.75264548330799996</v>
      </c>
      <c r="E4283">
        <v>24</v>
      </c>
    </row>
    <row r="4284" spans="1:5">
      <c r="A4284" t="s">
        <v>5003</v>
      </c>
      <c r="B4284" t="s">
        <v>5011</v>
      </c>
      <c r="C4284">
        <v>0</v>
      </c>
      <c r="D4284">
        <v>0.75264548330799996</v>
      </c>
      <c r="E4284">
        <v>24</v>
      </c>
    </row>
    <row r="4285" spans="1:5">
      <c r="A4285" t="s">
        <v>5012</v>
      </c>
      <c r="B4285" t="s">
        <v>5013</v>
      </c>
      <c r="C4285">
        <f>0</f>
        <v>0</v>
      </c>
      <c r="D4285">
        <v>0.99896780034300003</v>
      </c>
      <c r="E4285">
        <v>0.95952023988005997</v>
      </c>
    </row>
    <row r="4286" spans="1:5">
      <c r="A4286" t="s">
        <v>5012</v>
      </c>
      <c r="B4286" t="s">
        <v>5014</v>
      </c>
      <c r="C4286">
        <v>0</v>
      </c>
      <c r="D4286">
        <v>0.99896780034300003</v>
      </c>
      <c r="E4286">
        <v>0.95952023988005997</v>
      </c>
    </row>
    <row r="4287" spans="1:5">
      <c r="A4287" t="s">
        <v>5012</v>
      </c>
      <c r="B4287" t="s">
        <v>5015</v>
      </c>
      <c r="C4287">
        <f>0</f>
        <v>0</v>
      </c>
      <c r="D4287">
        <v>0.99896780034300003</v>
      </c>
      <c r="E4287">
        <v>0.95952023988005997</v>
      </c>
    </row>
    <row r="4288" spans="1:5">
      <c r="A4288" t="s">
        <v>5012</v>
      </c>
      <c r="B4288" t="s">
        <v>5016</v>
      </c>
      <c r="C4288">
        <v>0.58483848443399999</v>
      </c>
      <c r="D4288">
        <v>0.99896780034300003</v>
      </c>
      <c r="E4288">
        <v>0.95952023988005997</v>
      </c>
    </row>
    <row r="4289" spans="1:5">
      <c r="A4289" t="s">
        <v>5012</v>
      </c>
      <c r="B4289" t="s">
        <v>5017</v>
      </c>
      <c r="C4289">
        <f>0.000673008163936</f>
        <v>6.7300816393599998E-4</v>
      </c>
      <c r="D4289">
        <v>0.99896780034300003</v>
      </c>
      <c r="E4289">
        <v>0.95952023988005997</v>
      </c>
    </row>
    <row r="4290" spans="1:5">
      <c r="A4290" t="s">
        <v>5012</v>
      </c>
      <c r="B4290" t="s">
        <v>5018</v>
      </c>
      <c r="C4290">
        <f>0</f>
        <v>0</v>
      </c>
      <c r="D4290">
        <v>0.99896780034300003</v>
      </c>
      <c r="E4290">
        <v>0.95952023988005997</v>
      </c>
    </row>
    <row r="4291" spans="1:5">
      <c r="A4291" t="s">
        <v>5012</v>
      </c>
      <c r="B4291" t="s">
        <v>5019</v>
      </c>
      <c r="C4291">
        <f>0</f>
        <v>0</v>
      </c>
      <c r="D4291">
        <v>0.99896780034300003</v>
      </c>
      <c r="E4291">
        <v>0.95952023988005997</v>
      </c>
    </row>
    <row r="4292" spans="1:5">
      <c r="A4292" t="s">
        <v>5012</v>
      </c>
      <c r="B4292" t="s">
        <v>5020</v>
      </c>
      <c r="C4292">
        <f>0.0988620099672</f>
        <v>9.8862009967200001E-2</v>
      </c>
      <c r="D4292">
        <v>0.99896780034300003</v>
      </c>
      <c r="E4292">
        <v>0.95952023988005997</v>
      </c>
    </row>
    <row r="4293" spans="1:5">
      <c r="A4293" t="s">
        <v>5012</v>
      </c>
      <c r="B4293" t="s">
        <v>5021</v>
      </c>
      <c r="C4293">
        <f>0</f>
        <v>0</v>
      </c>
      <c r="D4293">
        <v>0.99896780034300003</v>
      </c>
      <c r="E4293">
        <v>0.95952023988005997</v>
      </c>
    </row>
    <row r="4294" spans="1:5">
      <c r="A4294" t="s">
        <v>5012</v>
      </c>
      <c r="B4294" t="s">
        <v>5022</v>
      </c>
      <c r="C4294">
        <v>0</v>
      </c>
      <c r="D4294">
        <v>0.99896780034300003</v>
      </c>
      <c r="E4294">
        <v>0.95952023988005997</v>
      </c>
    </row>
    <row r="4295" spans="1:5">
      <c r="A4295" t="s">
        <v>5023</v>
      </c>
      <c r="B4295" t="s">
        <v>5024</v>
      </c>
      <c r="C4295">
        <f>0</f>
        <v>0</v>
      </c>
      <c r="D4295" t="s">
        <v>106</v>
      </c>
      <c r="E4295">
        <v>0.40779610194902499</v>
      </c>
    </row>
    <row r="4296" spans="1:5">
      <c r="A4296" t="s">
        <v>5025</v>
      </c>
      <c r="B4296" t="s">
        <v>5026</v>
      </c>
      <c r="C4296">
        <f>0.376045224278</f>
        <v>0.37604522427800002</v>
      </c>
      <c r="D4296">
        <v>0.96730903243599997</v>
      </c>
      <c r="E4296">
        <v>3.7781109445277301</v>
      </c>
    </row>
    <row r="4297" spans="1:5">
      <c r="A4297" t="s">
        <v>5025</v>
      </c>
      <c r="B4297" t="s">
        <v>5027</v>
      </c>
      <c r="C4297">
        <v>0</v>
      </c>
      <c r="D4297">
        <v>0.96730903243599997</v>
      </c>
      <c r="E4297">
        <v>3.7781109445277301</v>
      </c>
    </row>
    <row r="4298" spans="1:5">
      <c r="A4298" t="s">
        <v>5025</v>
      </c>
      <c r="B4298" t="s">
        <v>5028</v>
      </c>
      <c r="C4298">
        <v>7.4061988697899997E-3</v>
      </c>
      <c r="D4298">
        <v>0.96730903243599997</v>
      </c>
      <c r="E4298">
        <v>3.7781109445277301</v>
      </c>
    </row>
    <row r="4299" spans="1:5">
      <c r="A4299" t="s">
        <v>5025</v>
      </c>
      <c r="B4299" t="s">
        <v>5029</v>
      </c>
      <c r="C4299">
        <f>0</f>
        <v>0</v>
      </c>
      <c r="D4299">
        <v>0.96730903243599997</v>
      </c>
      <c r="E4299">
        <v>3.7781109445277301</v>
      </c>
    </row>
    <row r="4300" spans="1:5">
      <c r="A4300" t="s">
        <v>5025</v>
      </c>
      <c r="B4300" t="s">
        <v>5030</v>
      </c>
      <c r="C4300">
        <v>0</v>
      </c>
      <c r="D4300">
        <v>0.96730903243599997</v>
      </c>
      <c r="E4300">
        <v>3.7781109445277301</v>
      </c>
    </row>
    <row r="4301" spans="1:5">
      <c r="A4301" t="s">
        <v>5025</v>
      </c>
      <c r="B4301" t="s">
        <v>5031</v>
      </c>
      <c r="C4301">
        <v>0</v>
      </c>
      <c r="D4301">
        <v>0.96730903243599997</v>
      </c>
      <c r="E4301">
        <v>3.7781109445277301</v>
      </c>
    </row>
    <row r="4302" spans="1:5">
      <c r="A4302" t="s">
        <v>5032</v>
      </c>
      <c r="B4302" t="s">
        <v>5033</v>
      </c>
      <c r="C4302">
        <f>0</f>
        <v>0</v>
      </c>
      <c r="D4302">
        <v>0.99430762214000001</v>
      </c>
      <c r="E4302">
        <v>1.6311844077961</v>
      </c>
    </row>
    <row r="4303" spans="1:5">
      <c r="A4303" t="s">
        <v>5032</v>
      </c>
      <c r="B4303" t="s">
        <v>5034</v>
      </c>
      <c r="C4303">
        <f>0</f>
        <v>0</v>
      </c>
      <c r="D4303">
        <v>0.99430762214000001</v>
      </c>
      <c r="E4303">
        <v>1.6311844077961</v>
      </c>
    </row>
    <row r="4304" spans="1:5">
      <c r="A4304" t="s">
        <v>5032</v>
      </c>
      <c r="B4304" t="s">
        <v>5035</v>
      </c>
      <c r="C4304">
        <v>0</v>
      </c>
      <c r="D4304">
        <v>0.99430762214000001</v>
      </c>
      <c r="E4304">
        <v>1.6311844077961</v>
      </c>
    </row>
    <row r="4305" spans="1:5">
      <c r="A4305" t="s">
        <v>5032</v>
      </c>
      <c r="B4305" t="s">
        <v>5036</v>
      </c>
      <c r="C4305">
        <v>0.30958324646099999</v>
      </c>
      <c r="D4305">
        <v>0.99430762214000001</v>
      </c>
      <c r="E4305">
        <v>1.6311844077961</v>
      </c>
    </row>
    <row r="4306" spans="1:5">
      <c r="A4306" t="s">
        <v>5032</v>
      </c>
      <c r="B4306" t="s">
        <v>5037</v>
      </c>
      <c r="C4306">
        <v>0.31843670777999999</v>
      </c>
      <c r="D4306">
        <v>0.99430762214000001</v>
      </c>
      <c r="E4306">
        <v>1.6311844077961</v>
      </c>
    </row>
    <row r="4307" spans="1:5">
      <c r="A4307" t="s">
        <v>5032</v>
      </c>
      <c r="B4307" t="s">
        <v>5038</v>
      </c>
      <c r="C4307">
        <v>0</v>
      </c>
      <c r="D4307">
        <v>0.99430762214000001</v>
      </c>
      <c r="E4307">
        <v>1.6311844077961</v>
      </c>
    </row>
    <row r="4308" spans="1:5">
      <c r="A4308" t="s">
        <v>5032</v>
      </c>
      <c r="B4308" t="s">
        <v>5039</v>
      </c>
      <c r="C4308">
        <f>0</f>
        <v>0</v>
      </c>
      <c r="D4308">
        <v>0.99430762214000001</v>
      </c>
      <c r="E4308">
        <v>1.6311844077961</v>
      </c>
    </row>
    <row r="4309" spans="1:5">
      <c r="A4309" t="s">
        <v>5032</v>
      </c>
      <c r="B4309" t="s">
        <v>5040</v>
      </c>
      <c r="C4309">
        <v>0</v>
      </c>
      <c r="D4309">
        <v>0.99430762214000001</v>
      </c>
      <c r="E4309">
        <v>1.6311844077961</v>
      </c>
    </row>
    <row r="4310" spans="1:5">
      <c r="A4310" t="s">
        <v>5032</v>
      </c>
      <c r="B4310" t="s">
        <v>5041</v>
      </c>
      <c r="C4310">
        <f>0</f>
        <v>0</v>
      </c>
      <c r="D4310">
        <v>0.99430762214000001</v>
      </c>
      <c r="E4310">
        <v>1.6311844077961</v>
      </c>
    </row>
    <row r="4311" spans="1:5">
      <c r="A4311" t="s">
        <v>5042</v>
      </c>
      <c r="B4311" t="s">
        <v>5043</v>
      </c>
      <c r="C4311">
        <v>0.49024291246700002</v>
      </c>
      <c r="D4311">
        <v>0.98906479552000004</v>
      </c>
      <c r="E4311">
        <v>5.2413793103448203</v>
      </c>
    </row>
    <row r="4312" spans="1:5">
      <c r="A4312" t="s">
        <v>5042</v>
      </c>
      <c r="B4312" t="s">
        <v>5044</v>
      </c>
      <c r="C4312">
        <v>0</v>
      </c>
      <c r="D4312">
        <v>0.98906479552000004</v>
      </c>
      <c r="E4312">
        <v>5.2413793103448203</v>
      </c>
    </row>
    <row r="4313" spans="1:5">
      <c r="A4313" t="s">
        <v>5042</v>
      </c>
      <c r="B4313" t="s">
        <v>5045</v>
      </c>
      <c r="C4313">
        <v>0</v>
      </c>
      <c r="D4313">
        <v>0.98906479552000004</v>
      </c>
      <c r="E4313">
        <v>5.2413793103448203</v>
      </c>
    </row>
    <row r="4314" spans="1:5">
      <c r="A4314" t="s">
        <v>5042</v>
      </c>
      <c r="B4314" t="s">
        <v>5046</v>
      </c>
      <c r="C4314">
        <v>0</v>
      </c>
      <c r="D4314">
        <v>0.98906479552000004</v>
      </c>
      <c r="E4314">
        <v>5.2413793103448203</v>
      </c>
    </row>
    <row r="4315" spans="1:5">
      <c r="A4315" t="s">
        <v>5042</v>
      </c>
      <c r="B4315" t="s">
        <v>5047</v>
      </c>
      <c r="C4315">
        <f>0</f>
        <v>0</v>
      </c>
      <c r="D4315">
        <v>0.98906479552000004</v>
      </c>
      <c r="E4315">
        <v>5.2413793103448203</v>
      </c>
    </row>
    <row r="4316" spans="1:5">
      <c r="A4316" t="s">
        <v>5042</v>
      </c>
      <c r="B4316" t="s">
        <v>5048</v>
      </c>
      <c r="C4316">
        <v>0</v>
      </c>
      <c r="D4316">
        <v>0.98906479552000004</v>
      </c>
      <c r="E4316">
        <v>5.2413793103448203</v>
      </c>
    </row>
    <row r="4317" spans="1:5">
      <c r="A4317" t="s">
        <v>5042</v>
      </c>
      <c r="B4317" t="s">
        <v>5049</v>
      </c>
      <c r="C4317">
        <v>0</v>
      </c>
      <c r="D4317">
        <v>0.98906479552000004</v>
      </c>
      <c r="E4317">
        <v>5.2413793103448203</v>
      </c>
    </row>
    <row r="4318" spans="1:5">
      <c r="A4318" t="s">
        <v>5042</v>
      </c>
      <c r="B4318" t="s">
        <v>5050</v>
      </c>
      <c r="C4318">
        <v>0</v>
      </c>
      <c r="D4318">
        <v>0.98906479552000004</v>
      </c>
      <c r="E4318">
        <v>5.2413793103448203</v>
      </c>
    </row>
    <row r="4319" spans="1:5">
      <c r="A4319" t="s">
        <v>5051</v>
      </c>
      <c r="B4319" t="s">
        <v>5052</v>
      </c>
      <c r="C4319">
        <f>0</f>
        <v>0</v>
      </c>
      <c r="D4319" t="s">
        <v>106</v>
      </c>
      <c r="E4319">
        <v>1.89505247376311</v>
      </c>
    </row>
    <row r="4320" spans="1:5">
      <c r="A4320" t="s">
        <v>5051</v>
      </c>
      <c r="B4320" t="s">
        <v>5053</v>
      </c>
      <c r="C4320">
        <v>0</v>
      </c>
      <c r="D4320" t="s">
        <v>106</v>
      </c>
      <c r="E4320">
        <v>1.89505247376311</v>
      </c>
    </row>
    <row r="4321" spans="1:5">
      <c r="A4321" t="s">
        <v>5051</v>
      </c>
      <c r="B4321" t="s">
        <v>5054</v>
      </c>
      <c r="C4321">
        <v>0</v>
      </c>
      <c r="D4321" t="s">
        <v>106</v>
      </c>
      <c r="E4321">
        <v>1.89505247376311</v>
      </c>
    </row>
    <row r="4322" spans="1:5">
      <c r="A4322" t="s">
        <v>5051</v>
      </c>
      <c r="B4322" t="s">
        <v>5055</v>
      </c>
      <c r="C4322">
        <f>0</f>
        <v>0</v>
      </c>
      <c r="D4322" t="s">
        <v>106</v>
      </c>
      <c r="E4322">
        <v>1.89505247376311</v>
      </c>
    </row>
    <row r="4323" spans="1:5">
      <c r="A4323" t="s">
        <v>5051</v>
      </c>
      <c r="B4323" t="s">
        <v>5056</v>
      </c>
      <c r="C4323">
        <v>0</v>
      </c>
      <c r="D4323" t="s">
        <v>106</v>
      </c>
      <c r="E4323">
        <v>1.89505247376311</v>
      </c>
    </row>
    <row r="4324" spans="1:5">
      <c r="A4324" t="s">
        <v>5051</v>
      </c>
      <c r="B4324" t="s">
        <v>5057</v>
      </c>
      <c r="C4324">
        <v>0</v>
      </c>
      <c r="D4324" t="s">
        <v>106</v>
      </c>
      <c r="E4324">
        <v>1.89505247376311</v>
      </c>
    </row>
    <row r="4325" spans="1:5">
      <c r="A4325" t="s">
        <v>5051</v>
      </c>
      <c r="B4325" t="s">
        <v>5058</v>
      </c>
      <c r="C4325">
        <v>0</v>
      </c>
      <c r="D4325" t="s">
        <v>106</v>
      </c>
      <c r="E4325">
        <v>1.89505247376311</v>
      </c>
    </row>
    <row r="4326" spans="1:5">
      <c r="A4326" t="s">
        <v>5059</v>
      </c>
      <c r="B4326" t="s">
        <v>5060</v>
      </c>
      <c r="C4326">
        <f>0</f>
        <v>0</v>
      </c>
      <c r="D4326">
        <v>0.92434549749899997</v>
      </c>
      <c r="E4326">
        <v>24</v>
      </c>
    </row>
    <row r="4327" spans="1:5">
      <c r="A4327" t="s">
        <v>5059</v>
      </c>
      <c r="B4327" t="s">
        <v>5061</v>
      </c>
      <c r="C4327">
        <f>0</f>
        <v>0</v>
      </c>
      <c r="D4327">
        <v>0.92434549749899997</v>
      </c>
      <c r="E4327">
        <v>24</v>
      </c>
    </row>
    <row r="4328" spans="1:5">
      <c r="A4328" t="s">
        <v>5059</v>
      </c>
      <c r="B4328" t="s">
        <v>5062</v>
      </c>
      <c r="C4328">
        <f>0</f>
        <v>0</v>
      </c>
      <c r="D4328">
        <v>0.92434549749899997</v>
      </c>
      <c r="E4328">
        <v>24</v>
      </c>
    </row>
    <row r="4329" spans="1:5">
      <c r="A4329" t="s">
        <v>5059</v>
      </c>
      <c r="B4329" t="s">
        <v>5063</v>
      </c>
      <c r="C4329">
        <f>0</f>
        <v>0</v>
      </c>
      <c r="D4329">
        <v>0.92434549749899997</v>
      </c>
      <c r="E4329">
        <v>24</v>
      </c>
    </row>
    <row r="4330" spans="1:5">
      <c r="A4330" t="s">
        <v>5059</v>
      </c>
      <c r="B4330" t="s">
        <v>5064</v>
      </c>
      <c r="C4330">
        <v>0</v>
      </c>
      <c r="D4330">
        <v>0.92434549749899997</v>
      </c>
      <c r="E4330">
        <v>24</v>
      </c>
    </row>
    <row r="4331" spans="1:5">
      <c r="A4331" t="s">
        <v>5059</v>
      </c>
      <c r="B4331" t="s">
        <v>5065</v>
      </c>
      <c r="C4331">
        <f>0</f>
        <v>0</v>
      </c>
      <c r="D4331">
        <v>0.92434549749899997</v>
      </c>
      <c r="E4331">
        <v>24</v>
      </c>
    </row>
    <row r="4332" spans="1:5">
      <c r="A4332" t="s">
        <v>5059</v>
      </c>
      <c r="B4332" t="s">
        <v>5066</v>
      </c>
      <c r="C4332">
        <v>0</v>
      </c>
      <c r="D4332">
        <v>0.92434549749899997</v>
      </c>
      <c r="E4332">
        <v>24</v>
      </c>
    </row>
    <row r="4333" spans="1:5">
      <c r="A4333" t="s">
        <v>5059</v>
      </c>
      <c r="B4333" t="s">
        <v>5067</v>
      </c>
      <c r="C4333">
        <v>0</v>
      </c>
      <c r="D4333">
        <v>0.92434549749899997</v>
      </c>
      <c r="E4333">
        <v>24</v>
      </c>
    </row>
    <row r="4334" spans="1:5">
      <c r="A4334" t="s">
        <v>5059</v>
      </c>
      <c r="B4334" t="s">
        <v>5068</v>
      </c>
      <c r="C4334">
        <f>0</f>
        <v>0</v>
      </c>
      <c r="D4334">
        <v>0.92434549749899997</v>
      </c>
      <c r="E4334">
        <v>24</v>
      </c>
    </row>
    <row r="4335" spans="1:5">
      <c r="A4335" t="s">
        <v>5059</v>
      </c>
      <c r="B4335" t="s">
        <v>5069</v>
      </c>
      <c r="C4335">
        <f>0.000276030923847</f>
        <v>2.7603092384700001E-4</v>
      </c>
      <c r="D4335">
        <v>0.92434549749899997</v>
      </c>
      <c r="E4335">
        <v>24</v>
      </c>
    </row>
    <row r="4336" spans="1:5">
      <c r="A4336" t="s">
        <v>5070</v>
      </c>
      <c r="B4336" t="s">
        <v>5071</v>
      </c>
      <c r="C4336">
        <v>0</v>
      </c>
      <c r="D4336">
        <v>0.85685125864900002</v>
      </c>
      <c r="E4336">
        <v>2.1709145427286298</v>
      </c>
    </row>
    <row r="4337" spans="1:5">
      <c r="A4337" t="s">
        <v>5070</v>
      </c>
      <c r="B4337" t="s">
        <v>5072</v>
      </c>
      <c r="C4337">
        <v>0</v>
      </c>
      <c r="D4337">
        <v>0.85685125864900002</v>
      </c>
      <c r="E4337">
        <v>2.1709145427286298</v>
      </c>
    </row>
    <row r="4338" spans="1:5">
      <c r="A4338" t="s">
        <v>5070</v>
      </c>
      <c r="B4338" t="s">
        <v>5073</v>
      </c>
      <c r="C4338">
        <v>0</v>
      </c>
      <c r="D4338">
        <v>0.85685125864900002</v>
      </c>
      <c r="E4338">
        <v>2.1709145427286298</v>
      </c>
    </row>
    <row r="4339" spans="1:5">
      <c r="A4339" t="s">
        <v>5070</v>
      </c>
      <c r="B4339" t="s">
        <v>5074</v>
      </c>
      <c r="C4339">
        <f>0</f>
        <v>0</v>
      </c>
      <c r="D4339">
        <v>0.85685125864900002</v>
      </c>
      <c r="E4339">
        <v>2.1709145427286298</v>
      </c>
    </row>
    <row r="4340" spans="1:5">
      <c r="A4340" t="s">
        <v>5070</v>
      </c>
      <c r="B4340" t="s">
        <v>5075</v>
      </c>
      <c r="C4340">
        <f>0</f>
        <v>0</v>
      </c>
      <c r="D4340">
        <v>0.85685125864900002</v>
      </c>
      <c r="E4340">
        <v>2.1709145427286298</v>
      </c>
    </row>
    <row r="4341" spans="1:5">
      <c r="A4341" t="s">
        <v>5070</v>
      </c>
      <c r="B4341" t="s">
        <v>5076</v>
      </c>
      <c r="C4341">
        <v>0</v>
      </c>
      <c r="D4341">
        <v>0.85685125864900002</v>
      </c>
      <c r="E4341">
        <v>2.1709145427286298</v>
      </c>
    </row>
    <row r="4342" spans="1:5">
      <c r="A4342" t="s">
        <v>5070</v>
      </c>
      <c r="B4342" t="s">
        <v>5077</v>
      </c>
      <c r="C4342">
        <v>0</v>
      </c>
      <c r="D4342">
        <v>0.85685125864900002</v>
      </c>
      <c r="E4342">
        <v>2.1709145427286298</v>
      </c>
    </row>
    <row r="4343" spans="1:5">
      <c r="A4343" t="s">
        <v>5070</v>
      </c>
      <c r="B4343" t="s">
        <v>5078</v>
      </c>
      <c r="C4343">
        <f>0</f>
        <v>0</v>
      </c>
      <c r="D4343">
        <v>0.85685125864900002</v>
      </c>
      <c r="E4343">
        <v>2.1709145427286298</v>
      </c>
    </row>
    <row r="4344" spans="1:5">
      <c r="A4344" t="s">
        <v>5070</v>
      </c>
      <c r="B4344" t="s">
        <v>5079</v>
      </c>
      <c r="C4344">
        <v>0</v>
      </c>
      <c r="D4344">
        <v>0.85685125864900002</v>
      </c>
      <c r="E4344">
        <v>2.1709145427286298</v>
      </c>
    </row>
    <row r="4345" spans="1:5">
      <c r="A4345" t="s">
        <v>5070</v>
      </c>
      <c r="B4345" t="s">
        <v>5080</v>
      </c>
      <c r="C4345">
        <v>9.6742457076900004E-2</v>
      </c>
      <c r="D4345">
        <v>0.85685125864900002</v>
      </c>
      <c r="E4345">
        <v>2.1709145427286298</v>
      </c>
    </row>
    <row r="4346" spans="1:5">
      <c r="A4346" t="s">
        <v>5070</v>
      </c>
      <c r="B4346" t="s">
        <v>5081</v>
      </c>
      <c r="C4346">
        <v>0</v>
      </c>
      <c r="D4346">
        <v>0.85685125864900002</v>
      </c>
      <c r="E4346">
        <v>2.1709145427286298</v>
      </c>
    </row>
    <row r="4347" spans="1:5">
      <c r="A4347" t="s">
        <v>5070</v>
      </c>
      <c r="B4347" t="s">
        <v>5082</v>
      </c>
      <c r="C4347">
        <v>0</v>
      </c>
      <c r="D4347">
        <v>0.85685125864900002</v>
      </c>
      <c r="E4347">
        <v>2.1709145427286298</v>
      </c>
    </row>
    <row r="4348" spans="1:5">
      <c r="A4348" t="s">
        <v>5070</v>
      </c>
      <c r="B4348" t="s">
        <v>5083</v>
      </c>
      <c r="C4348">
        <v>0</v>
      </c>
      <c r="D4348">
        <v>0.85685125864900002</v>
      </c>
      <c r="E4348">
        <v>2.1709145427286298</v>
      </c>
    </row>
    <row r="4349" spans="1:5">
      <c r="A4349" t="s">
        <v>5070</v>
      </c>
      <c r="B4349" t="s">
        <v>5084</v>
      </c>
      <c r="C4349">
        <v>4.9551326998000002E-2</v>
      </c>
      <c r="D4349">
        <v>0.85685125864900002</v>
      </c>
      <c r="E4349">
        <v>2.1709145427286298</v>
      </c>
    </row>
    <row r="4350" spans="1:5">
      <c r="A4350" t="s">
        <v>5085</v>
      </c>
      <c r="B4350" t="s">
        <v>5086</v>
      </c>
      <c r="C4350">
        <v>0</v>
      </c>
      <c r="D4350">
        <v>0.79472212208699999</v>
      </c>
      <c r="E4350">
        <v>2.8785607196401801</v>
      </c>
    </row>
    <row r="4351" spans="1:5">
      <c r="A4351" t="s">
        <v>5085</v>
      </c>
      <c r="B4351" t="s">
        <v>5087</v>
      </c>
      <c r="C4351">
        <f>0</f>
        <v>0</v>
      </c>
      <c r="D4351">
        <v>0.79472212208699999</v>
      </c>
      <c r="E4351">
        <v>2.8785607196401801</v>
      </c>
    </row>
    <row r="4352" spans="1:5">
      <c r="A4352" t="s">
        <v>5085</v>
      </c>
      <c r="B4352" t="s">
        <v>5088</v>
      </c>
      <c r="C4352">
        <v>8.0511458092699995E-2</v>
      </c>
      <c r="D4352">
        <v>0.79472212208699999</v>
      </c>
      <c r="E4352">
        <v>2.8785607196401801</v>
      </c>
    </row>
    <row r="4353" spans="1:5">
      <c r="A4353" t="s">
        <v>5085</v>
      </c>
      <c r="B4353" t="s">
        <v>5089</v>
      </c>
      <c r="C4353">
        <v>0</v>
      </c>
      <c r="D4353">
        <v>0.79472212208699999</v>
      </c>
      <c r="E4353">
        <v>2.8785607196401801</v>
      </c>
    </row>
    <row r="4354" spans="1:5">
      <c r="A4354" t="s">
        <v>5085</v>
      </c>
      <c r="B4354" t="s">
        <v>5090</v>
      </c>
      <c r="C4354">
        <f>0</f>
        <v>0</v>
      </c>
      <c r="D4354">
        <v>0.79472212208699999</v>
      </c>
      <c r="E4354">
        <v>2.8785607196401801</v>
      </c>
    </row>
    <row r="4355" spans="1:5">
      <c r="A4355" t="s">
        <v>5085</v>
      </c>
      <c r="B4355" t="s">
        <v>5091</v>
      </c>
      <c r="C4355">
        <f>0</f>
        <v>0</v>
      </c>
      <c r="D4355">
        <v>0.79472212208699999</v>
      </c>
      <c r="E4355">
        <v>2.8785607196401801</v>
      </c>
    </row>
    <row r="4356" spans="1:5">
      <c r="A4356" t="s">
        <v>5092</v>
      </c>
      <c r="B4356" t="s">
        <v>5093</v>
      </c>
      <c r="C4356">
        <v>0</v>
      </c>
      <c r="D4356" t="s">
        <v>106</v>
      </c>
      <c r="E4356">
        <v>24</v>
      </c>
    </row>
    <row r="4357" spans="1:5">
      <c r="A4357" t="s">
        <v>5092</v>
      </c>
      <c r="B4357" t="s">
        <v>5094</v>
      </c>
      <c r="C4357">
        <v>0</v>
      </c>
      <c r="D4357" t="s">
        <v>106</v>
      </c>
      <c r="E4357">
        <v>24</v>
      </c>
    </row>
    <row r="4358" spans="1:5">
      <c r="A4358" t="s">
        <v>5092</v>
      </c>
      <c r="B4358" t="s">
        <v>5095</v>
      </c>
      <c r="C4358">
        <f>0</f>
        <v>0</v>
      </c>
      <c r="D4358" t="s">
        <v>106</v>
      </c>
      <c r="E4358">
        <v>24</v>
      </c>
    </row>
    <row r="4359" spans="1:5">
      <c r="A4359" t="s">
        <v>5092</v>
      </c>
      <c r="B4359" t="s">
        <v>5096</v>
      </c>
      <c r="C4359">
        <v>1.6845184669699999E-4</v>
      </c>
      <c r="D4359" t="s">
        <v>106</v>
      </c>
      <c r="E4359">
        <v>24</v>
      </c>
    </row>
    <row r="4360" spans="1:5">
      <c r="A4360" t="s">
        <v>5092</v>
      </c>
      <c r="B4360" t="s">
        <v>5097</v>
      </c>
      <c r="C4360">
        <v>0</v>
      </c>
      <c r="D4360" t="s">
        <v>106</v>
      </c>
      <c r="E4360">
        <v>24</v>
      </c>
    </row>
    <row r="4361" spans="1:5">
      <c r="A4361" t="s">
        <v>5092</v>
      </c>
      <c r="B4361" t="s">
        <v>5098</v>
      </c>
      <c r="C4361">
        <v>3.3437926521700002E-2</v>
      </c>
      <c r="D4361" t="s">
        <v>106</v>
      </c>
      <c r="E4361">
        <v>24</v>
      </c>
    </row>
    <row r="4362" spans="1:5">
      <c r="A4362" t="s">
        <v>5099</v>
      </c>
      <c r="B4362" t="s">
        <v>5100</v>
      </c>
      <c r="C4362">
        <v>0.38675659630499998</v>
      </c>
      <c r="D4362">
        <v>0.58882123029699995</v>
      </c>
      <c r="E4362">
        <v>2.79460269865067</v>
      </c>
    </row>
    <row r="4363" spans="1:5">
      <c r="A4363" t="s">
        <v>5099</v>
      </c>
      <c r="B4363" t="s">
        <v>5101</v>
      </c>
      <c r="C4363">
        <f>0</f>
        <v>0</v>
      </c>
      <c r="D4363">
        <v>0.58882123029699995</v>
      </c>
      <c r="E4363">
        <v>2.79460269865067</v>
      </c>
    </row>
    <row r="4364" spans="1:5">
      <c r="A4364" t="s">
        <v>5099</v>
      </c>
      <c r="B4364" t="s">
        <v>5102</v>
      </c>
      <c r="C4364">
        <f>0</f>
        <v>0</v>
      </c>
      <c r="D4364">
        <v>0.58882123029699995</v>
      </c>
      <c r="E4364">
        <v>2.79460269865067</v>
      </c>
    </row>
    <row r="4365" spans="1:5">
      <c r="A4365" t="s">
        <v>5099</v>
      </c>
      <c r="B4365" t="s">
        <v>5103</v>
      </c>
      <c r="C4365">
        <v>7.9888092180200002E-2</v>
      </c>
      <c r="D4365">
        <v>0.58882123029699995</v>
      </c>
      <c r="E4365">
        <v>2.79460269865067</v>
      </c>
    </row>
    <row r="4366" spans="1:5">
      <c r="A4366" t="s">
        <v>5104</v>
      </c>
      <c r="B4366" t="s">
        <v>5105</v>
      </c>
      <c r="C4366">
        <v>0.19795163325500001</v>
      </c>
      <c r="D4366">
        <v>0.689620135882</v>
      </c>
      <c r="E4366">
        <v>11.0344827586206</v>
      </c>
    </row>
    <row r="4367" spans="1:5">
      <c r="A4367" t="s">
        <v>5104</v>
      </c>
      <c r="B4367" t="s">
        <v>5106</v>
      </c>
      <c r="C4367">
        <f>0</f>
        <v>0</v>
      </c>
      <c r="D4367">
        <v>0.689620135882</v>
      </c>
      <c r="E4367">
        <v>11.0344827586206</v>
      </c>
    </row>
    <row r="4368" spans="1:5">
      <c r="A4368" t="s">
        <v>5107</v>
      </c>
      <c r="B4368" t="s">
        <v>5108</v>
      </c>
      <c r="C4368">
        <v>2.7323302068000001E-3</v>
      </c>
      <c r="D4368">
        <v>0.90993444863999995</v>
      </c>
      <c r="E4368">
        <v>0.73163418290854498</v>
      </c>
    </row>
    <row r="4369" spans="1:5">
      <c r="A4369" t="s">
        <v>5107</v>
      </c>
      <c r="B4369" t="s">
        <v>5109</v>
      </c>
      <c r="C4369">
        <f>0</f>
        <v>0</v>
      </c>
      <c r="D4369">
        <v>0.90993444863999995</v>
      </c>
      <c r="E4369">
        <v>0.73163418290854498</v>
      </c>
    </row>
    <row r="4370" spans="1:5">
      <c r="A4370" t="s">
        <v>5107</v>
      </c>
      <c r="B4370" t="s">
        <v>5110</v>
      </c>
      <c r="C4370">
        <v>0</v>
      </c>
      <c r="D4370">
        <v>0.90993444863999995</v>
      </c>
      <c r="E4370">
        <v>0.73163418290854498</v>
      </c>
    </row>
    <row r="4371" spans="1:5">
      <c r="A4371" t="s">
        <v>5107</v>
      </c>
      <c r="B4371" t="s">
        <v>5111</v>
      </c>
      <c r="C4371">
        <v>0</v>
      </c>
      <c r="D4371">
        <v>0.90993444863999995</v>
      </c>
      <c r="E4371">
        <v>0.73163418290854498</v>
      </c>
    </row>
    <row r="4372" spans="1:5">
      <c r="A4372" t="s">
        <v>5107</v>
      </c>
      <c r="B4372" t="s">
        <v>5112</v>
      </c>
      <c r="C4372">
        <v>0</v>
      </c>
      <c r="D4372">
        <v>0.90993444863999995</v>
      </c>
      <c r="E4372">
        <v>0.73163418290854498</v>
      </c>
    </row>
    <row r="4373" spans="1:5">
      <c r="A4373" t="s">
        <v>5107</v>
      </c>
      <c r="B4373" t="s">
        <v>5113</v>
      </c>
      <c r="C4373">
        <v>0</v>
      </c>
      <c r="D4373">
        <v>0.90993444863999995</v>
      </c>
      <c r="E4373">
        <v>0.73163418290854498</v>
      </c>
    </row>
    <row r="4374" spans="1:5">
      <c r="A4374" t="s">
        <v>5114</v>
      </c>
      <c r="B4374" t="s">
        <v>5115</v>
      </c>
      <c r="C4374">
        <f>0</f>
        <v>0</v>
      </c>
      <c r="D4374">
        <v>0.99385811408299995</v>
      </c>
      <c r="E4374">
        <v>0.31184407796101898</v>
      </c>
    </row>
    <row r="4375" spans="1:5">
      <c r="A4375" t="s">
        <v>5114</v>
      </c>
      <c r="B4375" t="s">
        <v>5116</v>
      </c>
      <c r="C4375">
        <v>0</v>
      </c>
      <c r="D4375">
        <v>0.99385811408299995</v>
      </c>
      <c r="E4375">
        <v>0.31184407796101898</v>
      </c>
    </row>
    <row r="4376" spans="1:5">
      <c r="A4376" t="s">
        <v>5114</v>
      </c>
      <c r="B4376" t="s">
        <v>5117</v>
      </c>
      <c r="C4376">
        <v>0</v>
      </c>
      <c r="D4376">
        <v>0.99385811408299995</v>
      </c>
      <c r="E4376">
        <v>0.31184407796101898</v>
      </c>
    </row>
    <row r="4377" spans="1:5">
      <c r="A4377" t="s">
        <v>5114</v>
      </c>
      <c r="B4377" t="s">
        <v>5118</v>
      </c>
      <c r="C4377">
        <v>0</v>
      </c>
      <c r="D4377">
        <v>0.99385811408299995</v>
      </c>
      <c r="E4377">
        <v>0.31184407796101898</v>
      </c>
    </row>
    <row r="4378" spans="1:5">
      <c r="A4378" t="s">
        <v>5114</v>
      </c>
      <c r="B4378" t="s">
        <v>5119</v>
      </c>
      <c r="C4378">
        <v>8.8820938258200005E-2</v>
      </c>
      <c r="D4378">
        <v>0.99385811408299995</v>
      </c>
      <c r="E4378">
        <v>0.31184407796101898</v>
      </c>
    </row>
    <row r="4379" spans="1:5">
      <c r="A4379" t="s">
        <v>5114</v>
      </c>
      <c r="B4379" t="s">
        <v>5120</v>
      </c>
      <c r="C4379">
        <v>0</v>
      </c>
      <c r="D4379">
        <v>0.99385811408299995</v>
      </c>
      <c r="E4379">
        <v>0.31184407796101898</v>
      </c>
    </row>
    <row r="4380" spans="1:5">
      <c r="A4380" t="s">
        <v>5114</v>
      </c>
      <c r="B4380" t="s">
        <v>5121</v>
      </c>
      <c r="C4380">
        <v>0.52758535298300002</v>
      </c>
      <c r="D4380">
        <v>0.99385811408299995</v>
      </c>
      <c r="E4380">
        <v>0.31184407796101898</v>
      </c>
    </row>
    <row r="4381" spans="1:5">
      <c r="A4381" t="s">
        <v>5122</v>
      </c>
      <c r="B4381" t="s">
        <v>5123</v>
      </c>
      <c r="C4381">
        <v>0</v>
      </c>
      <c r="D4381" t="s">
        <v>106</v>
      </c>
      <c r="E4381">
        <v>17.511244377811</v>
      </c>
    </row>
    <row r="4382" spans="1:5">
      <c r="A4382" t="s">
        <v>5122</v>
      </c>
      <c r="B4382" t="s">
        <v>5124</v>
      </c>
      <c r="C4382">
        <v>0</v>
      </c>
      <c r="D4382" t="s">
        <v>106</v>
      </c>
      <c r="E4382">
        <v>17.511244377811</v>
      </c>
    </row>
    <row r="4383" spans="1:5">
      <c r="A4383" t="s">
        <v>5122</v>
      </c>
      <c r="B4383" t="s">
        <v>5125</v>
      </c>
      <c r="C4383">
        <f>0</f>
        <v>0</v>
      </c>
      <c r="D4383" t="s">
        <v>106</v>
      </c>
      <c r="E4383">
        <v>17.511244377811</v>
      </c>
    </row>
    <row r="4384" spans="1:5">
      <c r="A4384" t="s">
        <v>5122</v>
      </c>
      <c r="B4384" t="s">
        <v>5126</v>
      </c>
      <c r="C4384">
        <v>0</v>
      </c>
      <c r="D4384" t="s">
        <v>106</v>
      </c>
      <c r="E4384">
        <v>17.511244377811</v>
      </c>
    </row>
    <row r="4385" spans="1:5">
      <c r="A4385" t="s">
        <v>5122</v>
      </c>
      <c r="B4385" t="s">
        <v>5127</v>
      </c>
      <c r="C4385">
        <v>0</v>
      </c>
      <c r="D4385" t="s">
        <v>106</v>
      </c>
      <c r="E4385">
        <v>17.511244377811</v>
      </c>
    </row>
    <row r="4386" spans="1:5">
      <c r="A4386" t="s">
        <v>5122</v>
      </c>
      <c r="B4386" t="s">
        <v>5128</v>
      </c>
      <c r="C4386">
        <v>0</v>
      </c>
      <c r="D4386" t="s">
        <v>106</v>
      </c>
      <c r="E4386">
        <v>17.511244377811</v>
      </c>
    </row>
    <row r="4387" spans="1:5">
      <c r="A4387" t="s">
        <v>5122</v>
      </c>
      <c r="B4387" t="s">
        <v>5129</v>
      </c>
      <c r="C4387">
        <v>0</v>
      </c>
      <c r="D4387" t="s">
        <v>106</v>
      </c>
      <c r="E4387">
        <v>17.511244377811</v>
      </c>
    </row>
    <row r="4388" spans="1:5">
      <c r="A4388" t="s">
        <v>5122</v>
      </c>
      <c r="B4388" t="s">
        <v>5130</v>
      </c>
      <c r="C4388">
        <f>0.0579559769985</f>
        <v>5.7955976998499997E-2</v>
      </c>
      <c r="D4388" t="s">
        <v>106</v>
      </c>
      <c r="E4388">
        <v>17.511244377811</v>
      </c>
    </row>
    <row r="4389" spans="1:5">
      <c r="A4389" t="s">
        <v>5131</v>
      </c>
      <c r="B4389" t="s">
        <v>5132</v>
      </c>
      <c r="C4389">
        <v>0</v>
      </c>
      <c r="D4389" t="s">
        <v>106</v>
      </c>
      <c r="E4389">
        <v>3.0464767616191901</v>
      </c>
    </row>
    <row r="4390" spans="1:5">
      <c r="A4390" t="s">
        <v>5131</v>
      </c>
      <c r="B4390" t="s">
        <v>5133</v>
      </c>
      <c r="C4390">
        <v>0</v>
      </c>
      <c r="D4390" t="s">
        <v>106</v>
      </c>
      <c r="E4390">
        <v>3.0464767616191901</v>
      </c>
    </row>
    <row r="4391" spans="1:5">
      <c r="A4391" t="s">
        <v>5134</v>
      </c>
      <c r="B4391" t="s">
        <v>5135</v>
      </c>
      <c r="C4391">
        <f>0</f>
        <v>0</v>
      </c>
      <c r="D4391">
        <v>0.98642036114499998</v>
      </c>
      <c r="E4391">
        <v>1.57121439280359</v>
      </c>
    </row>
    <row r="4392" spans="1:5">
      <c r="A4392" t="s">
        <v>5134</v>
      </c>
      <c r="B4392" t="s">
        <v>5136</v>
      </c>
      <c r="C4392">
        <f>0</f>
        <v>0</v>
      </c>
      <c r="D4392">
        <v>0.98642036114499998</v>
      </c>
      <c r="E4392">
        <v>1.57121439280359</v>
      </c>
    </row>
    <row r="4393" spans="1:5">
      <c r="A4393" t="s">
        <v>5134</v>
      </c>
      <c r="B4393" t="s">
        <v>5137</v>
      </c>
      <c r="C4393">
        <f>0.636373743877</f>
        <v>0.63637374387699996</v>
      </c>
      <c r="D4393">
        <v>0.98642036114499998</v>
      </c>
      <c r="E4393">
        <v>1.57121439280359</v>
      </c>
    </row>
    <row r="4394" spans="1:5">
      <c r="A4394" t="s">
        <v>5134</v>
      </c>
      <c r="B4394" t="s">
        <v>5138</v>
      </c>
      <c r="C4394">
        <v>6.3014457952900005E-2</v>
      </c>
      <c r="D4394">
        <v>0.98642036114499998</v>
      </c>
      <c r="E4394">
        <v>1.57121439280359</v>
      </c>
    </row>
    <row r="4395" spans="1:5">
      <c r="A4395" t="s">
        <v>5134</v>
      </c>
      <c r="B4395" t="s">
        <v>5139</v>
      </c>
      <c r="C4395">
        <f>0</f>
        <v>0</v>
      </c>
      <c r="D4395">
        <v>0.98642036114499998</v>
      </c>
      <c r="E4395">
        <v>1.57121439280359</v>
      </c>
    </row>
    <row r="4396" spans="1:5">
      <c r="A4396" t="s">
        <v>5140</v>
      </c>
      <c r="B4396" t="s">
        <v>5141</v>
      </c>
      <c r="C4396">
        <f>0</f>
        <v>0</v>
      </c>
      <c r="D4396">
        <v>0.96335317972800005</v>
      </c>
      <c r="E4396">
        <v>6.0569715142428704</v>
      </c>
    </row>
    <row r="4397" spans="1:5">
      <c r="A4397" t="s">
        <v>5140</v>
      </c>
      <c r="B4397" t="s">
        <v>5142</v>
      </c>
      <c r="C4397">
        <f>0</f>
        <v>0</v>
      </c>
      <c r="D4397">
        <v>0.96335317972800005</v>
      </c>
      <c r="E4397">
        <v>6.0569715142428704</v>
      </c>
    </row>
    <row r="4398" spans="1:5">
      <c r="A4398" t="s">
        <v>5140</v>
      </c>
      <c r="B4398" t="s">
        <v>5143</v>
      </c>
      <c r="C4398">
        <v>0</v>
      </c>
      <c r="D4398">
        <v>0.96335317972800005</v>
      </c>
      <c r="E4398">
        <v>6.0569715142428704</v>
      </c>
    </row>
    <row r="4399" spans="1:5">
      <c r="A4399" t="s">
        <v>5140</v>
      </c>
      <c r="B4399" t="s">
        <v>5144</v>
      </c>
      <c r="C4399">
        <v>0</v>
      </c>
      <c r="D4399">
        <v>0.96335317972800005</v>
      </c>
      <c r="E4399">
        <v>6.0569715142428704</v>
      </c>
    </row>
    <row r="4400" spans="1:5">
      <c r="A4400" t="s">
        <v>5140</v>
      </c>
      <c r="B4400" t="s">
        <v>5145</v>
      </c>
      <c r="C4400">
        <v>0</v>
      </c>
      <c r="D4400">
        <v>0.96335317972800005</v>
      </c>
      <c r="E4400">
        <v>6.0569715142428704</v>
      </c>
    </row>
    <row r="4401" spans="1:5">
      <c r="A4401" t="s">
        <v>5140</v>
      </c>
      <c r="B4401" t="s">
        <v>5146</v>
      </c>
      <c r="C4401">
        <v>0</v>
      </c>
      <c r="D4401">
        <v>0.96335317972800005</v>
      </c>
      <c r="E4401">
        <v>6.0569715142428704</v>
      </c>
    </row>
    <row r="4402" spans="1:5">
      <c r="A4402" t="s">
        <v>5140</v>
      </c>
      <c r="B4402" t="s">
        <v>5147</v>
      </c>
      <c r="C4402">
        <v>0</v>
      </c>
      <c r="D4402">
        <v>0.96335317972800005</v>
      </c>
      <c r="E4402">
        <v>6.0569715142428704</v>
      </c>
    </row>
    <row r="4403" spans="1:5">
      <c r="A4403" t="s">
        <v>5148</v>
      </c>
      <c r="B4403" t="s">
        <v>5149</v>
      </c>
      <c r="C4403">
        <v>0</v>
      </c>
      <c r="D4403" t="s">
        <v>106</v>
      </c>
      <c r="E4403">
        <v>1.00749625187406</v>
      </c>
    </row>
    <row r="4404" spans="1:5">
      <c r="A4404" t="s">
        <v>5148</v>
      </c>
      <c r="B4404" t="s">
        <v>5150</v>
      </c>
      <c r="C4404">
        <v>0</v>
      </c>
      <c r="D4404" t="s">
        <v>106</v>
      </c>
      <c r="E4404">
        <v>1.00749625187406</v>
      </c>
    </row>
    <row r="4405" spans="1:5">
      <c r="A4405" t="s">
        <v>5151</v>
      </c>
      <c r="B4405" t="s">
        <v>5152</v>
      </c>
      <c r="C4405">
        <f>0</f>
        <v>0</v>
      </c>
      <c r="D4405" t="s">
        <v>106</v>
      </c>
      <c r="E4405">
        <v>19.4182908545727</v>
      </c>
    </row>
    <row r="4406" spans="1:5">
      <c r="A4406" t="s">
        <v>5151</v>
      </c>
      <c r="B4406" t="s">
        <v>5153</v>
      </c>
      <c r="C4406">
        <v>0</v>
      </c>
      <c r="D4406" t="s">
        <v>106</v>
      </c>
      <c r="E4406">
        <v>19.4182908545727</v>
      </c>
    </row>
    <row r="4407" spans="1:5">
      <c r="A4407" t="s">
        <v>5151</v>
      </c>
      <c r="B4407" t="s">
        <v>5154</v>
      </c>
      <c r="C4407">
        <v>8.4956301000699997E-3</v>
      </c>
      <c r="D4407" t="s">
        <v>106</v>
      </c>
      <c r="E4407">
        <v>19.4182908545727</v>
      </c>
    </row>
    <row r="4408" spans="1:5">
      <c r="A4408" t="s">
        <v>5151</v>
      </c>
      <c r="B4408" t="s">
        <v>5155</v>
      </c>
      <c r="C4408">
        <v>0</v>
      </c>
      <c r="D4408" t="s">
        <v>106</v>
      </c>
      <c r="E4408">
        <v>19.4182908545727</v>
      </c>
    </row>
    <row r="4409" spans="1:5">
      <c r="A4409" t="s">
        <v>5151</v>
      </c>
      <c r="B4409" t="s">
        <v>5156</v>
      </c>
      <c r="C4409" s="1">
        <v>1.50598913919E-5</v>
      </c>
      <c r="D4409" t="s">
        <v>106</v>
      </c>
      <c r="E4409">
        <v>19.4182908545727</v>
      </c>
    </row>
    <row r="4410" spans="1:5">
      <c r="A4410" t="s">
        <v>5151</v>
      </c>
      <c r="B4410" t="s">
        <v>5157</v>
      </c>
      <c r="C4410">
        <v>0</v>
      </c>
      <c r="D4410" t="s">
        <v>106</v>
      </c>
      <c r="E4410">
        <v>19.4182908545727</v>
      </c>
    </row>
    <row r="4411" spans="1:5">
      <c r="A4411" t="s">
        <v>5158</v>
      </c>
      <c r="B4411" t="s">
        <v>5159</v>
      </c>
      <c r="C4411">
        <v>0</v>
      </c>
      <c r="D4411" t="s">
        <v>106</v>
      </c>
      <c r="E4411">
        <v>4.3778110944527704</v>
      </c>
    </row>
    <row r="4412" spans="1:5">
      <c r="A4412" t="s">
        <v>5158</v>
      </c>
      <c r="B4412" t="s">
        <v>5160</v>
      </c>
      <c r="C4412">
        <v>0</v>
      </c>
      <c r="D4412" t="s">
        <v>106</v>
      </c>
      <c r="E4412">
        <v>4.3778110944527704</v>
      </c>
    </row>
    <row r="4413" spans="1:5">
      <c r="A4413" t="s">
        <v>5158</v>
      </c>
      <c r="B4413" t="s">
        <v>5161</v>
      </c>
      <c r="C4413">
        <v>0</v>
      </c>
      <c r="D4413" t="s">
        <v>106</v>
      </c>
      <c r="E4413">
        <v>4.3778110944527704</v>
      </c>
    </row>
    <row r="4414" spans="1:5">
      <c r="A4414" t="s">
        <v>5158</v>
      </c>
      <c r="B4414" t="s">
        <v>5162</v>
      </c>
      <c r="C4414">
        <v>0</v>
      </c>
      <c r="D4414" t="s">
        <v>106</v>
      </c>
      <c r="E4414">
        <v>4.3778110944527704</v>
      </c>
    </row>
    <row r="4415" spans="1:5">
      <c r="A4415" t="s">
        <v>5158</v>
      </c>
      <c r="B4415" t="s">
        <v>5163</v>
      </c>
      <c r="C4415">
        <f>0</f>
        <v>0</v>
      </c>
      <c r="D4415" t="s">
        <v>106</v>
      </c>
      <c r="E4415">
        <v>4.3778110944527704</v>
      </c>
    </row>
    <row r="4416" spans="1:5">
      <c r="A4416" t="s">
        <v>5158</v>
      </c>
      <c r="B4416" t="s">
        <v>5164</v>
      </c>
      <c r="C4416">
        <v>0</v>
      </c>
      <c r="D4416" t="s">
        <v>106</v>
      </c>
      <c r="E4416">
        <v>4.3778110944527704</v>
      </c>
    </row>
    <row r="4417" spans="1:5">
      <c r="A4417" t="s">
        <v>5158</v>
      </c>
      <c r="B4417" t="s">
        <v>5165</v>
      </c>
      <c r="C4417">
        <v>0</v>
      </c>
      <c r="D4417" t="s">
        <v>106</v>
      </c>
      <c r="E4417">
        <v>4.3778110944527704</v>
      </c>
    </row>
    <row r="4418" spans="1:5">
      <c r="A4418" t="s">
        <v>5158</v>
      </c>
      <c r="B4418" t="s">
        <v>5166</v>
      </c>
      <c r="C4418">
        <f>0</f>
        <v>0</v>
      </c>
      <c r="D4418" t="s">
        <v>106</v>
      </c>
      <c r="E4418">
        <v>4.3778110944527704</v>
      </c>
    </row>
    <row r="4419" spans="1:5">
      <c r="A4419" t="s">
        <v>5158</v>
      </c>
      <c r="B4419" t="s">
        <v>5167</v>
      </c>
      <c r="C4419">
        <v>0</v>
      </c>
      <c r="D4419" t="s">
        <v>106</v>
      </c>
      <c r="E4419">
        <v>4.3778110944527704</v>
      </c>
    </row>
    <row r="4420" spans="1:5">
      <c r="A4420" t="s">
        <v>5158</v>
      </c>
      <c r="B4420" t="s">
        <v>5168</v>
      </c>
      <c r="C4420">
        <f>0</f>
        <v>0</v>
      </c>
      <c r="D4420" t="s">
        <v>106</v>
      </c>
      <c r="E4420">
        <v>4.3778110944527704</v>
      </c>
    </row>
    <row r="4421" spans="1:5">
      <c r="A4421" t="s">
        <v>5158</v>
      </c>
      <c r="B4421" t="s">
        <v>5169</v>
      </c>
      <c r="C4421">
        <v>0</v>
      </c>
      <c r="D4421" t="s">
        <v>106</v>
      </c>
      <c r="E4421">
        <v>4.3778110944527704</v>
      </c>
    </row>
    <row r="4422" spans="1:5">
      <c r="A4422" t="s">
        <v>5170</v>
      </c>
      <c r="B4422" t="s">
        <v>5171</v>
      </c>
      <c r="C4422">
        <v>0</v>
      </c>
      <c r="D4422">
        <v>0.98146604893599998</v>
      </c>
      <c r="E4422">
        <v>0.82758620689655105</v>
      </c>
    </row>
    <row r="4423" spans="1:5">
      <c r="A4423" t="s">
        <v>5170</v>
      </c>
      <c r="B4423" t="s">
        <v>5172</v>
      </c>
      <c r="C4423">
        <v>0</v>
      </c>
      <c r="D4423">
        <v>0.98146604893599998</v>
      </c>
      <c r="E4423">
        <v>0.82758620689655105</v>
      </c>
    </row>
    <row r="4424" spans="1:5">
      <c r="A4424" t="s">
        <v>5170</v>
      </c>
      <c r="B4424" t="s">
        <v>5173</v>
      </c>
      <c r="C4424">
        <v>0</v>
      </c>
      <c r="D4424">
        <v>0.98146604893599998</v>
      </c>
      <c r="E4424">
        <v>0.82758620689655105</v>
      </c>
    </row>
    <row r="4425" spans="1:5">
      <c r="A4425" t="s">
        <v>5170</v>
      </c>
      <c r="B4425" t="s">
        <v>5174</v>
      </c>
      <c r="C4425">
        <v>0</v>
      </c>
      <c r="D4425">
        <v>0.98146604893599998</v>
      </c>
      <c r="E4425">
        <v>0.82758620689655105</v>
      </c>
    </row>
    <row r="4426" spans="1:5">
      <c r="A4426" t="s">
        <v>5170</v>
      </c>
      <c r="B4426" t="s">
        <v>5175</v>
      </c>
      <c r="C4426">
        <v>0.198320907657</v>
      </c>
      <c r="D4426">
        <v>0.98146604893599998</v>
      </c>
      <c r="E4426">
        <v>0.82758620689655105</v>
      </c>
    </row>
    <row r="4427" spans="1:5">
      <c r="A4427" t="s">
        <v>5170</v>
      </c>
      <c r="B4427" t="s">
        <v>5176</v>
      </c>
      <c r="C4427">
        <v>0</v>
      </c>
      <c r="D4427">
        <v>0.98146604893599998</v>
      </c>
      <c r="E4427">
        <v>0.82758620689655105</v>
      </c>
    </row>
    <row r="4428" spans="1:5">
      <c r="A4428" t="s">
        <v>5170</v>
      </c>
      <c r="B4428" t="s">
        <v>5177</v>
      </c>
      <c r="C4428">
        <v>0</v>
      </c>
      <c r="D4428">
        <v>0.98146604893599998</v>
      </c>
      <c r="E4428">
        <v>0.82758620689655105</v>
      </c>
    </row>
    <row r="4429" spans="1:5">
      <c r="A4429" t="s">
        <v>5170</v>
      </c>
      <c r="B4429" t="s">
        <v>5178</v>
      </c>
      <c r="C4429">
        <f>0</f>
        <v>0</v>
      </c>
      <c r="D4429">
        <v>0.98146604893599998</v>
      </c>
      <c r="E4429">
        <v>0.82758620689655105</v>
      </c>
    </row>
    <row r="4430" spans="1:5">
      <c r="A4430" t="s">
        <v>5170</v>
      </c>
      <c r="B4430" t="s">
        <v>5179</v>
      </c>
      <c r="C4430">
        <f>0</f>
        <v>0</v>
      </c>
      <c r="D4430">
        <v>0.98146604893599998</v>
      </c>
      <c r="E4430">
        <v>0.82758620689655105</v>
      </c>
    </row>
    <row r="4431" spans="1:5">
      <c r="A4431" t="s">
        <v>5170</v>
      </c>
      <c r="B4431" t="s">
        <v>5180</v>
      </c>
      <c r="C4431">
        <v>0</v>
      </c>
      <c r="D4431">
        <v>0.98146604893599998</v>
      </c>
      <c r="E4431">
        <v>0.82758620689655105</v>
      </c>
    </row>
    <row r="4432" spans="1:5">
      <c r="A4432" t="s">
        <v>5170</v>
      </c>
      <c r="B4432" t="s">
        <v>5181</v>
      </c>
      <c r="C4432">
        <f>0.0066594247282</f>
        <v>6.6594247282E-3</v>
      </c>
      <c r="D4432">
        <v>0.98146604893599998</v>
      </c>
      <c r="E4432">
        <v>0.82758620689655105</v>
      </c>
    </row>
    <row r="4433" spans="1:5">
      <c r="A4433" t="s">
        <v>5170</v>
      </c>
      <c r="B4433" t="s">
        <v>5182</v>
      </c>
      <c r="C4433">
        <f>0</f>
        <v>0</v>
      </c>
      <c r="D4433">
        <v>0.98146604893599998</v>
      </c>
      <c r="E4433">
        <v>0.82758620689655105</v>
      </c>
    </row>
    <row r="4434" spans="1:5">
      <c r="A4434" t="s">
        <v>5183</v>
      </c>
      <c r="B4434" t="s">
        <v>5184</v>
      </c>
      <c r="C4434">
        <v>0.105618403958</v>
      </c>
      <c r="D4434">
        <v>0.82895114543000004</v>
      </c>
      <c r="E4434">
        <v>3.0464767616191901</v>
      </c>
    </row>
    <row r="4435" spans="1:5">
      <c r="A4435" t="s">
        <v>5183</v>
      </c>
      <c r="B4435" t="s">
        <v>5185</v>
      </c>
      <c r="C4435">
        <v>0</v>
      </c>
      <c r="D4435">
        <v>0.82895114543000004</v>
      </c>
      <c r="E4435">
        <v>3.0464767616191901</v>
      </c>
    </row>
    <row r="4436" spans="1:5">
      <c r="A4436" t="s">
        <v>5183</v>
      </c>
      <c r="B4436" t="s">
        <v>5186</v>
      </c>
      <c r="C4436">
        <v>0</v>
      </c>
      <c r="D4436">
        <v>0.82895114543000004</v>
      </c>
      <c r="E4436">
        <v>3.0464767616191901</v>
      </c>
    </row>
    <row r="4437" spans="1:5">
      <c r="A4437" t="s">
        <v>5183</v>
      </c>
      <c r="B4437" t="s">
        <v>5187</v>
      </c>
      <c r="C4437">
        <v>0</v>
      </c>
      <c r="D4437">
        <v>0.82895114543000004</v>
      </c>
      <c r="E4437">
        <v>3.0464767616191901</v>
      </c>
    </row>
    <row r="4438" spans="1:5">
      <c r="A4438" t="s">
        <v>5183</v>
      </c>
      <c r="B4438" t="s">
        <v>5188</v>
      </c>
      <c r="C4438">
        <v>0</v>
      </c>
      <c r="D4438">
        <v>0.82895114543000004</v>
      </c>
      <c r="E4438">
        <v>3.0464767616191901</v>
      </c>
    </row>
    <row r="4439" spans="1:5">
      <c r="A4439" t="s">
        <v>5183</v>
      </c>
      <c r="B4439" t="s">
        <v>5189</v>
      </c>
      <c r="C4439">
        <v>2.65756233111E-2</v>
      </c>
      <c r="D4439">
        <v>0.82895114543000004</v>
      </c>
      <c r="E4439">
        <v>3.0464767616191901</v>
      </c>
    </row>
    <row r="4440" spans="1:5">
      <c r="A4440" t="s">
        <v>5183</v>
      </c>
      <c r="B4440" t="s">
        <v>5190</v>
      </c>
      <c r="C4440">
        <f>0</f>
        <v>0</v>
      </c>
      <c r="D4440">
        <v>0.82895114543000004</v>
      </c>
      <c r="E4440">
        <v>3.0464767616191901</v>
      </c>
    </row>
    <row r="4441" spans="1:5">
      <c r="A4441" t="s">
        <v>5191</v>
      </c>
      <c r="B4441" t="s">
        <v>5192</v>
      </c>
      <c r="C4441">
        <f>0</f>
        <v>0</v>
      </c>
      <c r="D4441">
        <v>0.89988764365200002</v>
      </c>
      <c r="E4441">
        <v>0.503748125937031</v>
      </c>
    </row>
    <row r="4442" spans="1:5">
      <c r="A4442" t="s">
        <v>5191</v>
      </c>
      <c r="B4442" t="s">
        <v>5193</v>
      </c>
      <c r="C4442">
        <f>0</f>
        <v>0</v>
      </c>
      <c r="D4442">
        <v>0.89988764365200002</v>
      </c>
      <c r="E4442">
        <v>0.503748125937031</v>
      </c>
    </row>
    <row r="4443" spans="1:5">
      <c r="A4443" t="s">
        <v>5191</v>
      </c>
      <c r="B4443" t="s">
        <v>5194</v>
      </c>
      <c r="C4443">
        <v>0</v>
      </c>
      <c r="D4443">
        <v>0.89988764365200002</v>
      </c>
      <c r="E4443">
        <v>0.503748125937031</v>
      </c>
    </row>
    <row r="4444" spans="1:5">
      <c r="A4444" t="s">
        <v>5191</v>
      </c>
      <c r="B4444" t="s">
        <v>5195</v>
      </c>
      <c r="C4444">
        <v>0</v>
      </c>
      <c r="D4444">
        <v>0.89988764365200002</v>
      </c>
      <c r="E4444">
        <v>0.503748125937031</v>
      </c>
    </row>
    <row r="4445" spans="1:5">
      <c r="A4445" t="s">
        <v>5191</v>
      </c>
      <c r="B4445" t="s">
        <v>5196</v>
      </c>
      <c r="C4445">
        <f>0.326543230832</f>
        <v>0.32654323083199999</v>
      </c>
      <c r="D4445">
        <v>0.89988764365200002</v>
      </c>
      <c r="E4445">
        <v>0.503748125937031</v>
      </c>
    </row>
    <row r="4446" spans="1:5">
      <c r="A4446" t="s">
        <v>5191</v>
      </c>
      <c r="B4446" t="s">
        <v>5197</v>
      </c>
      <c r="C4446">
        <v>0</v>
      </c>
      <c r="D4446">
        <v>0.89988764365200002</v>
      </c>
      <c r="E4446">
        <v>0.503748125937031</v>
      </c>
    </row>
    <row r="4447" spans="1:5">
      <c r="A4447" t="s">
        <v>5191</v>
      </c>
      <c r="B4447" t="s">
        <v>5198</v>
      </c>
      <c r="C4447">
        <v>3.00085360724E-3</v>
      </c>
      <c r="D4447">
        <v>0.89988764365200002</v>
      </c>
      <c r="E4447">
        <v>0.503748125937031</v>
      </c>
    </row>
    <row r="4448" spans="1:5">
      <c r="A4448" t="s">
        <v>5191</v>
      </c>
      <c r="B4448" t="s">
        <v>5199</v>
      </c>
      <c r="C4448">
        <v>0</v>
      </c>
      <c r="D4448">
        <v>0.89988764365200002</v>
      </c>
      <c r="E4448">
        <v>0.503748125937031</v>
      </c>
    </row>
    <row r="4449" spans="1:5">
      <c r="A4449" t="s">
        <v>5191</v>
      </c>
      <c r="B4449" t="s">
        <v>5200</v>
      </c>
      <c r="C4449">
        <v>0</v>
      </c>
      <c r="D4449">
        <v>0.89988764365200002</v>
      </c>
      <c r="E4449">
        <v>0.503748125937031</v>
      </c>
    </row>
    <row r="4450" spans="1:5">
      <c r="A4450" t="s">
        <v>5191</v>
      </c>
      <c r="B4450" t="s">
        <v>5201</v>
      </c>
      <c r="C4450">
        <v>0</v>
      </c>
      <c r="D4450">
        <v>0.89988764365200002</v>
      </c>
      <c r="E4450">
        <v>0.503748125937031</v>
      </c>
    </row>
    <row r="4451" spans="1:5">
      <c r="A4451" t="s">
        <v>5191</v>
      </c>
      <c r="B4451" t="s">
        <v>5202</v>
      </c>
      <c r="C4451">
        <v>0</v>
      </c>
      <c r="D4451">
        <v>0.89988764365200002</v>
      </c>
      <c r="E4451">
        <v>0.503748125937031</v>
      </c>
    </row>
    <row r="4452" spans="1:5">
      <c r="A4452" t="s">
        <v>5203</v>
      </c>
      <c r="B4452" t="s">
        <v>5204</v>
      </c>
      <c r="C4452">
        <v>0.44484461755100002</v>
      </c>
      <c r="D4452">
        <v>0.869276187541</v>
      </c>
      <c r="E4452">
        <v>8.7196401799100407</v>
      </c>
    </row>
    <row r="4453" spans="1:5">
      <c r="A4453" t="s">
        <v>5203</v>
      </c>
      <c r="B4453" t="s">
        <v>5205</v>
      </c>
      <c r="C4453">
        <v>0</v>
      </c>
      <c r="D4453">
        <v>0.869276187541</v>
      </c>
      <c r="E4453">
        <v>8.7196401799100407</v>
      </c>
    </row>
    <row r="4454" spans="1:5">
      <c r="A4454" t="s">
        <v>5203</v>
      </c>
      <c r="B4454" t="s">
        <v>5206</v>
      </c>
      <c r="C4454">
        <f>0.0572615354625</f>
        <v>5.7261535462499999E-2</v>
      </c>
      <c r="D4454">
        <v>0.869276187541</v>
      </c>
      <c r="E4454">
        <v>8.7196401799100407</v>
      </c>
    </row>
    <row r="4455" spans="1:5">
      <c r="A4455" t="s">
        <v>5203</v>
      </c>
      <c r="B4455" t="s">
        <v>5207</v>
      </c>
      <c r="C4455">
        <f>0</f>
        <v>0</v>
      </c>
      <c r="D4455">
        <v>0.869276187541</v>
      </c>
      <c r="E4455">
        <v>8.7196401799100407</v>
      </c>
    </row>
    <row r="4456" spans="1:5">
      <c r="A4456" t="s">
        <v>5208</v>
      </c>
      <c r="B4456" t="s">
        <v>5209</v>
      </c>
      <c r="C4456">
        <v>0</v>
      </c>
      <c r="D4456">
        <v>0.97687069909799995</v>
      </c>
      <c r="E4456">
        <v>8.1439280359820092</v>
      </c>
    </row>
    <row r="4457" spans="1:5">
      <c r="A4457" t="s">
        <v>5208</v>
      </c>
      <c r="B4457" t="s">
        <v>5210</v>
      </c>
      <c r="C4457">
        <v>0</v>
      </c>
      <c r="D4457">
        <v>0.97687069909799995</v>
      </c>
      <c r="E4457">
        <v>8.1439280359820092</v>
      </c>
    </row>
    <row r="4458" spans="1:5">
      <c r="A4458" t="s">
        <v>5208</v>
      </c>
      <c r="B4458" t="s">
        <v>5211</v>
      </c>
      <c r="C4458">
        <f>0.144568471379</f>
        <v>0.144568471379</v>
      </c>
      <c r="D4458">
        <v>0.97687069909799995</v>
      </c>
      <c r="E4458">
        <v>8.1439280359820092</v>
      </c>
    </row>
    <row r="4459" spans="1:5">
      <c r="A4459" t="s">
        <v>5208</v>
      </c>
      <c r="B4459" t="s">
        <v>5212</v>
      </c>
      <c r="C4459">
        <v>6.4094264289299999E-2</v>
      </c>
      <c r="D4459">
        <v>0.97687069909799995</v>
      </c>
      <c r="E4459">
        <v>8.1439280359820092</v>
      </c>
    </row>
    <row r="4460" spans="1:5">
      <c r="A4460" t="s">
        <v>5213</v>
      </c>
      <c r="B4460" t="s">
        <v>5214</v>
      </c>
      <c r="C4460">
        <v>0</v>
      </c>
      <c r="D4460">
        <v>0.50088162133900005</v>
      </c>
      <c r="E4460">
        <v>24</v>
      </c>
    </row>
    <row r="4461" spans="1:5">
      <c r="A4461" t="s">
        <v>5213</v>
      </c>
      <c r="B4461" t="s">
        <v>5215</v>
      </c>
      <c r="C4461">
        <v>0</v>
      </c>
      <c r="D4461">
        <v>0.50088162133900005</v>
      </c>
      <c r="E4461">
        <v>24</v>
      </c>
    </row>
    <row r="4462" spans="1:5">
      <c r="A4462" t="s">
        <v>5213</v>
      </c>
      <c r="B4462" t="s">
        <v>5216</v>
      </c>
      <c r="C4462">
        <v>0.14922442873700001</v>
      </c>
      <c r="D4462">
        <v>0.50088162133900005</v>
      </c>
      <c r="E4462">
        <v>24</v>
      </c>
    </row>
    <row r="4463" spans="1:5">
      <c r="A4463" t="s">
        <v>5213</v>
      </c>
      <c r="B4463" t="s">
        <v>5217</v>
      </c>
      <c r="C4463">
        <v>0</v>
      </c>
      <c r="D4463">
        <v>0.50088162133900005</v>
      </c>
      <c r="E4463">
        <v>24</v>
      </c>
    </row>
    <row r="4464" spans="1:5">
      <c r="A4464" t="s">
        <v>5213</v>
      </c>
      <c r="B4464" t="s">
        <v>5218</v>
      </c>
      <c r="C4464">
        <f>0</f>
        <v>0</v>
      </c>
      <c r="D4464">
        <v>0.50088162133900005</v>
      </c>
      <c r="E4464">
        <v>24</v>
      </c>
    </row>
    <row r="4465" spans="1:5">
      <c r="A4465" t="s">
        <v>5213</v>
      </c>
      <c r="B4465" t="s">
        <v>5219</v>
      </c>
      <c r="C4465">
        <v>0</v>
      </c>
      <c r="D4465">
        <v>0.50088162133900005</v>
      </c>
      <c r="E4465">
        <v>24</v>
      </c>
    </row>
    <row r="4466" spans="1:5">
      <c r="A4466" t="s">
        <v>5213</v>
      </c>
      <c r="B4466" t="s">
        <v>5220</v>
      </c>
      <c r="C4466">
        <v>0</v>
      </c>
      <c r="D4466">
        <v>0.50088162133900005</v>
      </c>
      <c r="E4466">
        <v>24</v>
      </c>
    </row>
    <row r="4467" spans="1:5">
      <c r="A4467" t="s">
        <v>5213</v>
      </c>
      <c r="B4467" t="s">
        <v>5221</v>
      </c>
      <c r="C4467">
        <v>0</v>
      </c>
      <c r="D4467">
        <v>0.50088162133900005</v>
      </c>
      <c r="E4467">
        <v>24</v>
      </c>
    </row>
    <row r="4468" spans="1:5">
      <c r="A4468" t="s">
        <v>5222</v>
      </c>
      <c r="B4468" t="s">
        <v>5223</v>
      </c>
      <c r="C4468">
        <v>0.196616392078</v>
      </c>
      <c r="D4468">
        <v>0.89862871326399996</v>
      </c>
      <c r="E4468">
        <v>24</v>
      </c>
    </row>
    <row r="4469" spans="1:5">
      <c r="A4469" t="s">
        <v>5222</v>
      </c>
      <c r="B4469" t="s">
        <v>5224</v>
      </c>
      <c r="C4469">
        <v>1.53735511243E-2</v>
      </c>
      <c r="D4469">
        <v>0.89862871326399996</v>
      </c>
      <c r="E4469">
        <v>24</v>
      </c>
    </row>
    <row r="4470" spans="1:5">
      <c r="A4470" t="s">
        <v>5225</v>
      </c>
      <c r="B4470" t="s">
        <v>5226</v>
      </c>
      <c r="C4470">
        <v>0</v>
      </c>
      <c r="D4470">
        <v>0.98744681423900005</v>
      </c>
      <c r="E4470">
        <v>24</v>
      </c>
    </row>
    <row r="4471" spans="1:5">
      <c r="A4471" t="s">
        <v>5227</v>
      </c>
      <c r="B4471" t="s">
        <v>5228</v>
      </c>
      <c r="C4471">
        <v>0</v>
      </c>
      <c r="D4471">
        <v>0.67950281476300001</v>
      </c>
      <c r="E4471">
        <v>19.850074962518701</v>
      </c>
    </row>
    <row r="4472" spans="1:5">
      <c r="A4472" t="s">
        <v>5227</v>
      </c>
      <c r="B4472" t="s">
        <v>5229</v>
      </c>
      <c r="C4472">
        <v>0</v>
      </c>
      <c r="D4472">
        <v>0.67950281476300001</v>
      </c>
      <c r="E4472">
        <v>19.850074962518701</v>
      </c>
    </row>
    <row r="4473" spans="1:5">
      <c r="A4473" t="s">
        <v>5230</v>
      </c>
      <c r="B4473" t="s">
        <v>5231</v>
      </c>
      <c r="C4473">
        <f>0</f>
        <v>0</v>
      </c>
      <c r="D4473">
        <v>0.858759024062</v>
      </c>
      <c r="E4473">
        <v>6.2968515742128899</v>
      </c>
    </row>
    <row r="4474" spans="1:5">
      <c r="A4474" t="s">
        <v>5230</v>
      </c>
      <c r="B4474" t="s">
        <v>5232</v>
      </c>
      <c r="C4474">
        <v>5.2180525146200002E-2</v>
      </c>
      <c r="D4474">
        <v>0.858759024062</v>
      </c>
      <c r="E4474">
        <v>6.2968515742128899</v>
      </c>
    </row>
    <row r="4475" spans="1:5">
      <c r="A4475" t="s">
        <v>5230</v>
      </c>
      <c r="B4475" t="s">
        <v>5233</v>
      </c>
      <c r="C4475">
        <f>0</f>
        <v>0</v>
      </c>
      <c r="D4475">
        <v>0.858759024062</v>
      </c>
      <c r="E4475">
        <v>6.2968515742128899</v>
      </c>
    </row>
    <row r="4476" spans="1:5">
      <c r="A4476" t="s">
        <v>5234</v>
      </c>
      <c r="B4476" t="s">
        <v>5235</v>
      </c>
      <c r="C4476">
        <f>0</f>
        <v>0</v>
      </c>
      <c r="D4476">
        <v>0.948617318589</v>
      </c>
      <c r="E4476">
        <v>3.68215892053973</v>
      </c>
    </row>
    <row r="4477" spans="1:5">
      <c r="A4477" t="s">
        <v>5234</v>
      </c>
      <c r="B4477" t="s">
        <v>5236</v>
      </c>
      <c r="C4477">
        <f>0</f>
        <v>0</v>
      </c>
      <c r="D4477">
        <v>0.948617318589</v>
      </c>
      <c r="E4477">
        <v>3.68215892053973</v>
      </c>
    </row>
    <row r="4478" spans="1:5">
      <c r="A4478" t="s">
        <v>5234</v>
      </c>
      <c r="B4478" t="s">
        <v>5237</v>
      </c>
      <c r="C4478">
        <v>0</v>
      </c>
      <c r="D4478">
        <v>0.948617318589</v>
      </c>
      <c r="E4478">
        <v>3.68215892053973</v>
      </c>
    </row>
    <row r="4479" spans="1:5">
      <c r="A4479" t="s">
        <v>5234</v>
      </c>
      <c r="B4479" t="s">
        <v>5238</v>
      </c>
      <c r="C4479">
        <v>0</v>
      </c>
      <c r="D4479">
        <v>0.948617318589</v>
      </c>
      <c r="E4479">
        <v>3.68215892053973</v>
      </c>
    </row>
    <row r="4480" spans="1:5">
      <c r="A4480" t="s">
        <v>5234</v>
      </c>
      <c r="B4480" t="s">
        <v>5239</v>
      </c>
      <c r="C4480">
        <v>0</v>
      </c>
      <c r="D4480">
        <v>0.948617318589</v>
      </c>
      <c r="E4480">
        <v>3.68215892053973</v>
      </c>
    </row>
    <row r="4481" spans="1:5">
      <c r="A4481" t="s">
        <v>5234</v>
      </c>
      <c r="B4481" t="s">
        <v>5240</v>
      </c>
      <c r="C4481">
        <v>0</v>
      </c>
      <c r="D4481">
        <v>0.948617318589</v>
      </c>
      <c r="E4481">
        <v>3.68215892053973</v>
      </c>
    </row>
    <row r="4482" spans="1:5">
      <c r="A4482" t="s">
        <v>5234</v>
      </c>
      <c r="B4482" t="s">
        <v>5241</v>
      </c>
      <c r="C4482">
        <v>0</v>
      </c>
      <c r="D4482">
        <v>0.948617318589</v>
      </c>
      <c r="E4482">
        <v>3.68215892053973</v>
      </c>
    </row>
    <row r="4483" spans="1:5">
      <c r="A4483" t="s">
        <v>5234</v>
      </c>
      <c r="B4483" t="s">
        <v>5242</v>
      </c>
      <c r="C4483">
        <v>0</v>
      </c>
      <c r="D4483">
        <v>0.948617318589</v>
      </c>
      <c r="E4483">
        <v>3.68215892053973</v>
      </c>
    </row>
    <row r="4484" spans="1:5">
      <c r="A4484" t="s">
        <v>5243</v>
      </c>
      <c r="B4484" t="s">
        <v>5244</v>
      </c>
      <c r="C4484">
        <v>1.5616937607500001E-2</v>
      </c>
      <c r="D4484" t="s">
        <v>106</v>
      </c>
      <c r="E4484">
        <v>19.4182908545727</v>
      </c>
    </row>
    <row r="4485" spans="1:5">
      <c r="A4485" t="s">
        <v>5243</v>
      </c>
      <c r="B4485" t="s">
        <v>5245</v>
      </c>
      <c r="C4485">
        <v>5.4543437647400002E-2</v>
      </c>
      <c r="D4485" t="s">
        <v>106</v>
      </c>
      <c r="E4485">
        <v>19.4182908545727</v>
      </c>
    </row>
    <row r="4486" spans="1:5">
      <c r="A4486" t="s">
        <v>5243</v>
      </c>
      <c r="B4486" t="s">
        <v>5246</v>
      </c>
      <c r="C4486">
        <v>0</v>
      </c>
      <c r="D4486" t="s">
        <v>106</v>
      </c>
      <c r="E4486">
        <v>19.4182908545727</v>
      </c>
    </row>
    <row r="4487" spans="1:5">
      <c r="A4487" t="s">
        <v>5243</v>
      </c>
      <c r="B4487" t="s">
        <v>5247</v>
      </c>
      <c r="C4487">
        <v>0</v>
      </c>
      <c r="D4487" t="s">
        <v>106</v>
      </c>
      <c r="E4487">
        <v>19.4182908545727</v>
      </c>
    </row>
    <row r="4488" spans="1:5">
      <c r="A4488" t="s">
        <v>5243</v>
      </c>
      <c r="B4488" t="s">
        <v>5248</v>
      </c>
      <c r="C4488">
        <v>0</v>
      </c>
      <c r="D4488" t="s">
        <v>106</v>
      </c>
      <c r="E4488">
        <v>19.4182908545727</v>
      </c>
    </row>
    <row r="4489" spans="1:5">
      <c r="A4489" t="s">
        <v>5243</v>
      </c>
      <c r="B4489" t="s">
        <v>5249</v>
      </c>
      <c r="C4489">
        <v>0</v>
      </c>
      <c r="D4489" t="s">
        <v>106</v>
      </c>
      <c r="E4489">
        <v>19.4182908545727</v>
      </c>
    </row>
    <row r="4490" spans="1:5">
      <c r="A4490" t="s">
        <v>5243</v>
      </c>
      <c r="B4490" t="s">
        <v>5250</v>
      </c>
      <c r="C4490">
        <v>0</v>
      </c>
      <c r="D4490" t="s">
        <v>106</v>
      </c>
      <c r="E4490">
        <v>19.4182908545727</v>
      </c>
    </row>
    <row r="4491" spans="1:5">
      <c r="A4491" t="s">
        <v>5251</v>
      </c>
      <c r="B4491" t="s">
        <v>5252</v>
      </c>
      <c r="C4491">
        <f>0.0623249514089</f>
        <v>6.2324951408900001E-2</v>
      </c>
      <c r="D4491" t="s">
        <v>106</v>
      </c>
      <c r="E4491">
        <v>24</v>
      </c>
    </row>
    <row r="4492" spans="1:5">
      <c r="A4492" t="s">
        <v>5253</v>
      </c>
      <c r="B4492" t="s">
        <v>5254</v>
      </c>
      <c r="C4492">
        <v>3.3508211975E-2</v>
      </c>
      <c r="D4492">
        <v>0.77029195809200002</v>
      </c>
      <c r="E4492">
        <v>22.332833583208298</v>
      </c>
    </row>
    <row r="4493" spans="1:5">
      <c r="A4493" t="s">
        <v>5253</v>
      </c>
      <c r="B4493" t="s">
        <v>5255</v>
      </c>
      <c r="C4493">
        <v>0</v>
      </c>
      <c r="D4493">
        <v>0.77029195809200002</v>
      </c>
      <c r="E4493">
        <v>22.332833583208298</v>
      </c>
    </row>
    <row r="4494" spans="1:5">
      <c r="A4494" t="s">
        <v>5253</v>
      </c>
      <c r="B4494" t="s">
        <v>5256</v>
      </c>
      <c r="C4494">
        <v>0</v>
      </c>
      <c r="D4494">
        <v>0.77029195809200002</v>
      </c>
      <c r="E4494">
        <v>22.332833583208298</v>
      </c>
    </row>
    <row r="4495" spans="1:5">
      <c r="A4495" t="s">
        <v>5257</v>
      </c>
      <c r="B4495" t="s">
        <v>5258</v>
      </c>
      <c r="C4495">
        <f>0</f>
        <v>0</v>
      </c>
      <c r="D4495">
        <v>0.95239702046700003</v>
      </c>
      <c r="E4495">
        <v>1.89505247376311</v>
      </c>
    </row>
    <row r="4496" spans="1:5">
      <c r="A4496" t="s">
        <v>5257</v>
      </c>
      <c r="B4496" t="s">
        <v>5259</v>
      </c>
      <c r="C4496">
        <f>0.0744140403126</f>
        <v>7.4414040312600002E-2</v>
      </c>
      <c r="D4496">
        <v>0.95239702046700003</v>
      </c>
      <c r="E4496">
        <v>1.89505247376311</v>
      </c>
    </row>
    <row r="4497" spans="1:5">
      <c r="A4497" t="s">
        <v>5257</v>
      </c>
      <c r="B4497" t="s">
        <v>5260</v>
      </c>
      <c r="C4497">
        <f>0</f>
        <v>0</v>
      </c>
      <c r="D4497">
        <v>0.95239702046700003</v>
      </c>
      <c r="E4497">
        <v>1.89505247376311</v>
      </c>
    </row>
    <row r="4498" spans="1:5">
      <c r="A4498" t="s">
        <v>5257</v>
      </c>
      <c r="B4498" t="s">
        <v>5261</v>
      </c>
      <c r="C4498">
        <f>0</f>
        <v>0</v>
      </c>
      <c r="D4498">
        <v>0.95239702046700003</v>
      </c>
      <c r="E4498">
        <v>1.89505247376311</v>
      </c>
    </row>
    <row r="4499" spans="1:5">
      <c r="A4499" t="s">
        <v>5257</v>
      </c>
      <c r="B4499" t="s">
        <v>5262</v>
      </c>
      <c r="C4499">
        <f>0.198990468949</f>
        <v>0.19899046894899999</v>
      </c>
      <c r="D4499">
        <v>0.95239702046700003</v>
      </c>
      <c r="E4499">
        <v>1.89505247376311</v>
      </c>
    </row>
    <row r="4500" spans="1:5">
      <c r="A4500" t="s">
        <v>5263</v>
      </c>
      <c r="B4500" t="s">
        <v>5264</v>
      </c>
      <c r="C4500">
        <v>0</v>
      </c>
      <c r="D4500" t="s">
        <v>106</v>
      </c>
      <c r="E4500">
        <v>24</v>
      </c>
    </row>
    <row r="4501" spans="1:5">
      <c r="A4501" t="s">
        <v>5263</v>
      </c>
      <c r="B4501" t="s">
        <v>5265</v>
      </c>
      <c r="C4501">
        <v>0</v>
      </c>
      <c r="D4501" t="s">
        <v>106</v>
      </c>
      <c r="E4501">
        <v>24</v>
      </c>
    </row>
    <row r="4502" spans="1:5">
      <c r="A4502" t="s">
        <v>5263</v>
      </c>
      <c r="B4502" t="s">
        <v>5266</v>
      </c>
      <c r="C4502">
        <v>0</v>
      </c>
      <c r="D4502" t="s">
        <v>106</v>
      </c>
      <c r="E4502">
        <v>24</v>
      </c>
    </row>
    <row r="4503" spans="1:5">
      <c r="A4503" t="s">
        <v>5263</v>
      </c>
      <c r="B4503" t="s">
        <v>5267</v>
      </c>
      <c r="C4503">
        <v>0</v>
      </c>
      <c r="D4503" t="s">
        <v>106</v>
      </c>
      <c r="E4503">
        <v>24</v>
      </c>
    </row>
    <row r="4504" spans="1:5">
      <c r="A4504" t="s">
        <v>5263</v>
      </c>
      <c r="B4504" t="s">
        <v>5268</v>
      </c>
      <c r="C4504">
        <v>4.2648349340299999E-2</v>
      </c>
      <c r="D4504" t="s">
        <v>106</v>
      </c>
      <c r="E4504">
        <v>24</v>
      </c>
    </row>
    <row r="4505" spans="1:5">
      <c r="A4505" t="s">
        <v>5269</v>
      </c>
      <c r="B4505" t="s">
        <v>5270</v>
      </c>
      <c r="C4505">
        <f>0</f>
        <v>0</v>
      </c>
      <c r="D4505">
        <v>0.96286972743900001</v>
      </c>
      <c r="E4505">
        <v>15.5082458770614</v>
      </c>
    </row>
    <row r="4506" spans="1:5">
      <c r="A4506" t="s">
        <v>5269</v>
      </c>
      <c r="B4506" t="s">
        <v>5271</v>
      </c>
      <c r="C4506">
        <f>0</f>
        <v>0</v>
      </c>
      <c r="D4506">
        <v>0.96286972743900001</v>
      </c>
      <c r="E4506">
        <v>15.5082458770614</v>
      </c>
    </row>
    <row r="4507" spans="1:5">
      <c r="A4507" t="s">
        <v>5269</v>
      </c>
      <c r="B4507" t="s">
        <v>5272</v>
      </c>
      <c r="C4507">
        <f>0.29652247414</f>
        <v>0.29652247413999999</v>
      </c>
      <c r="D4507">
        <v>0.96286972743900001</v>
      </c>
      <c r="E4507">
        <v>15.5082458770614</v>
      </c>
    </row>
    <row r="4508" spans="1:5">
      <c r="A4508" t="s">
        <v>5269</v>
      </c>
      <c r="B4508" t="s">
        <v>5273</v>
      </c>
      <c r="C4508">
        <f>0</f>
        <v>0</v>
      </c>
      <c r="D4508">
        <v>0.96286972743900001</v>
      </c>
      <c r="E4508">
        <v>15.5082458770614</v>
      </c>
    </row>
    <row r="4509" spans="1:5">
      <c r="A4509" t="s">
        <v>5269</v>
      </c>
      <c r="B4509" t="s">
        <v>5274</v>
      </c>
      <c r="C4509">
        <v>2.5821550887999999E-2</v>
      </c>
      <c r="D4509">
        <v>0.96286972743900001</v>
      </c>
      <c r="E4509">
        <v>15.5082458770614</v>
      </c>
    </row>
    <row r="4510" spans="1:5">
      <c r="A4510" t="s">
        <v>5269</v>
      </c>
      <c r="B4510" t="s">
        <v>5275</v>
      </c>
      <c r="C4510">
        <v>0</v>
      </c>
      <c r="D4510">
        <v>0.96286972743900001</v>
      </c>
      <c r="E4510">
        <v>15.5082458770614</v>
      </c>
    </row>
    <row r="4511" spans="1:5">
      <c r="A4511" t="s">
        <v>5269</v>
      </c>
      <c r="B4511" t="s">
        <v>5276</v>
      </c>
      <c r="C4511">
        <v>0</v>
      </c>
      <c r="D4511">
        <v>0.96286972743900001</v>
      </c>
      <c r="E4511">
        <v>15.5082458770614</v>
      </c>
    </row>
    <row r="4512" spans="1:5">
      <c r="A4512" t="s">
        <v>5269</v>
      </c>
      <c r="B4512" t="s">
        <v>5277</v>
      </c>
      <c r="C4512">
        <f>0</f>
        <v>0</v>
      </c>
      <c r="D4512">
        <v>0.96286972743900001</v>
      </c>
      <c r="E4512">
        <v>15.5082458770614</v>
      </c>
    </row>
    <row r="4513" spans="1:5">
      <c r="A4513" t="s">
        <v>5278</v>
      </c>
      <c r="B4513" t="s">
        <v>5270</v>
      </c>
      <c r="C4513">
        <f>0</f>
        <v>0</v>
      </c>
      <c r="D4513" t="s">
        <v>106</v>
      </c>
      <c r="E4513">
        <v>1.96701649175412</v>
      </c>
    </row>
    <row r="4514" spans="1:5">
      <c r="A4514" t="s">
        <v>5278</v>
      </c>
      <c r="B4514" t="s">
        <v>5271</v>
      </c>
      <c r="C4514">
        <f>0</f>
        <v>0</v>
      </c>
      <c r="D4514" t="s">
        <v>106</v>
      </c>
      <c r="E4514">
        <v>1.96701649175412</v>
      </c>
    </row>
    <row r="4515" spans="1:5">
      <c r="A4515" t="s">
        <v>5278</v>
      </c>
      <c r="B4515" t="s">
        <v>5272</v>
      </c>
      <c r="C4515">
        <f>0</f>
        <v>0</v>
      </c>
      <c r="D4515" t="s">
        <v>106</v>
      </c>
      <c r="E4515">
        <v>1.96701649175412</v>
      </c>
    </row>
    <row r="4516" spans="1:5">
      <c r="A4516" t="s">
        <v>5278</v>
      </c>
      <c r="B4516" t="s">
        <v>5273</v>
      </c>
      <c r="C4516">
        <f>0</f>
        <v>0</v>
      </c>
      <c r="D4516" t="s">
        <v>106</v>
      </c>
      <c r="E4516">
        <v>1.96701649175412</v>
      </c>
    </row>
    <row r="4517" spans="1:5">
      <c r="A4517" t="s">
        <v>5278</v>
      </c>
      <c r="B4517" t="s">
        <v>5274</v>
      </c>
      <c r="C4517">
        <v>0</v>
      </c>
      <c r="D4517" t="s">
        <v>106</v>
      </c>
      <c r="E4517">
        <v>1.96701649175412</v>
      </c>
    </row>
    <row r="4518" spans="1:5">
      <c r="A4518" t="s">
        <v>5278</v>
      </c>
      <c r="B4518" t="s">
        <v>5275</v>
      </c>
      <c r="C4518">
        <v>0</v>
      </c>
      <c r="D4518" t="s">
        <v>106</v>
      </c>
      <c r="E4518">
        <v>1.96701649175412</v>
      </c>
    </row>
    <row r="4519" spans="1:5">
      <c r="A4519" t="s">
        <v>5278</v>
      </c>
      <c r="B4519" t="s">
        <v>5276</v>
      </c>
      <c r="C4519">
        <v>0</v>
      </c>
      <c r="D4519" t="s">
        <v>106</v>
      </c>
      <c r="E4519">
        <v>1.96701649175412</v>
      </c>
    </row>
    <row r="4520" spans="1:5">
      <c r="A4520" t="s">
        <v>5278</v>
      </c>
      <c r="B4520" t="s">
        <v>5277</v>
      </c>
      <c r="C4520">
        <f>0</f>
        <v>0</v>
      </c>
      <c r="D4520" t="s">
        <v>106</v>
      </c>
      <c r="E4520">
        <v>1.96701649175412</v>
      </c>
    </row>
    <row r="4521" spans="1:5">
      <c r="A4521" t="s">
        <v>5279</v>
      </c>
      <c r="B4521" t="s">
        <v>5280</v>
      </c>
      <c r="C4521">
        <f>0.129161117672</f>
        <v>0.129161117672</v>
      </c>
      <c r="D4521">
        <v>0.97377322674900002</v>
      </c>
      <c r="E4521">
        <v>23.040479760119901</v>
      </c>
    </row>
    <row r="4522" spans="1:5">
      <c r="A4522" t="s">
        <v>5279</v>
      </c>
      <c r="B4522" t="s">
        <v>5281</v>
      </c>
      <c r="C4522">
        <v>4.7584634234900003E-2</v>
      </c>
      <c r="D4522">
        <v>0.97377322674900002</v>
      </c>
      <c r="E4522">
        <v>23.040479760119901</v>
      </c>
    </row>
    <row r="4523" spans="1:5">
      <c r="A4523" t="s">
        <v>5279</v>
      </c>
      <c r="B4523" t="s">
        <v>5282</v>
      </c>
      <c r="C4523">
        <f>0</f>
        <v>0</v>
      </c>
      <c r="D4523">
        <v>0.97377322674900002</v>
      </c>
      <c r="E4523">
        <v>23.040479760119901</v>
      </c>
    </row>
    <row r="4524" spans="1:5">
      <c r="A4524" t="s">
        <v>5279</v>
      </c>
      <c r="B4524" t="s">
        <v>5283</v>
      </c>
      <c r="C4524">
        <v>0</v>
      </c>
      <c r="D4524">
        <v>0.97377322674900002</v>
      </c>
      <c r="E4524">
        <v>23.040479760119901</v>
      </c>
    </row>
    <row r="4525" spans="1:5">
      <c r="A4525" t="s">
        <v>5279</v>
      </c>
      <c r="B4525" t="s">
        <v>5284</v>
      </c>
      <c r="C4525">
        <v>0</v>
      </c>
      <c r="D4525">
        <v>0.97377322674900002</v>
      </c>
      <c r="E4525">
        <v>23.040479760119901</v>
      </c>
    </row>
    <row r="4526" spans="1:5">
      <c r="A4526" t="s">
        <v>5279</v>
      </c>
      <c r="B4526" t="s">
        <v>5285</v>
      </c>
      <c r="C4526">
        <v>0</v>
      </c>
      <c r="D4526">
        <v>0.97377322674900002</v>
      </c>
      <c r="E4526">
        <v>23.040479760119901</v>
      </c>
    </row>
    <row r="4527" spans="1:5">
      <c r="A4527" t="s">
        <v>5286</v>
      </c>
      <c r="B4527" t="s">
        <v>5287</v>
      </c>
      <c r="C4527">
        <v>0.26998009027499997</v>
      </c>
      <c r="D4527">
        <v>0.79248803170100002</v>
      </c>
      <c r="E4527">
        <v>3.7781109445277301</v>
      </c>
    </row>
    <row r="4528" spans="1:5">
      <c r="A4528" t="s">
        <v>5288</v>
      </c>
      <c r="B4528" t="s">
        <v>5289</v>
      </c>
      <c r="C4528">
        <f>0.321924674881</f>
        <v>0.32192467488100002</v>
      </c>
      <c r="D4528" t="s">
        <v>106</v>
      </c>
      <c r="E4528">
        <v>3.2263868065966999</v>
      </c>
    </row>
    <row r="4529" spans="1:5">
      <c r="A4529" t="s">
        <v>5288</v>
      </c>
      <c r="B4529" t="s">
        <v>5290</v>
      </c>
      <c r="C4529">
        <v>0</v>
      </c>
      <c r="D4529" t="s">
        <v>106</v>
      </c>
      <c r="E4529">
        <v>3.2263868065966999</v>
      </c>
    </row>
    <row r="4530" spans="1:5">
      <c r="A4530" t="s">
        <v>5291</v>
      </c>
      <c r="B4530" t="s">
        <v>5292</v>
      </c>
      <c r="C4530">
        <v>0</v>
      </c>
      <c r="D4530" t="s">
        <v>106</v>
      </c>
      <c r="E4530">
        <v>2.96251874062968</v>
      </c>
    </row>
    <row r="4531" spans="1:5">
      <c r="A4531" t="s">
        <v>5291</v>
      </c>
      <c r="B4531" t="s">
        <v>5293</v>
      </c>
      <c r="C4531">
        <v>0</v>
      </c>
      <c r="D4531" t="s">
        <v>106</v>
      </c>
      <c r="E4531">
        <v>2.96251874062968</v>
      </c>
    </row>
    <row r="4532" spans="1:5">
      <c r="A4532" t="s">
        <v>5291</v>
      </c>
      <c r="B4532" t="s">
        <v>5294</v>
      </c>
      <c r="C4532">
        <v>0</v>
      </c>
      <c r="D4532" t="s">
        <v>106</v>
      </c>
      <c r="E4532">
        <v>2.96251874062968</v>
      </c>
    </row>
    <row r="4533" spans="1:5">
      <c r="A4533" t="s">
        <v>5295</v>
      </c>
      <c r="B4533" t="s">
        <v>5296</v>
      </c>
      <c r="C4533">
        <v>9.8580616655399994E-2</v>
      </c>
      <c r="D4533">
        <v>0.396173442371</v>
      </c>
      <c r="E4533">
        <v>1.33133433283358</v>
      </c>
    </row>
    <row r="4534" spans="1:5">
      <c r="A4534" t="s">
        <v>5297</v>
      </c>
      <c r="B4534" t="s">
        <v>5298</v>
      </c>
      <c r="C4534">
        <f>0</f>
        <v>0</v>
      </c>
      <c r="D4534">
        <v>0.74105954322199996</v>
      </c>
      <c r="E4534">
        <v>12.9175412293853</v>
      </c>
    </row>
    <row r="4535" spans="1:5">
      <c r="A4535" t="s">
        <v>5297</v>
      </c>
      <c r="B4535" t="s">
        <v>5299</v>
      </c>
      <c r="C4535">
        <f>0.098454037728</f>
        <v>9.8454037728000002E-2</v>
      </c>
      <c r="D4535">
        <v>0.74105954322199996</v>
      </c>
      <c r="E4535">
        <v>12.9175412293853</v>
      </c>
    </row>
    <row r="4536" spans="1:5">
      <c r="A4536" t="s">
        <v>5300</v>
      </c>
      <c r="B4536" t="s">
        <v>5301</v>
      </c>
      <c r="C4536">
        <v>0</v>
      </c>
      <c r="D4536">
        <v>0.88537831170699999</v>
      </c>
      <c r="E4536">
        <v>22.5727136431784</v>
      </c>
    </row>
    <row r="4537" spans="1:5">
      <c r="A4537" t="s">
        <v>5300</v>
      </c>
      <c r="B4537" t="s">
        <v>5302</v>
      </c>
      <c r="C4537">
        <v>0.19870600795599999</v>
      </c>
      <c r="D4537">
        <v>0.88537831170699999</v>
      </c>
      <c r="E4537">
        <v>22.5727136431784</v>
      </c>
    </row>
    <row r="4538" spans="1:5">
      <c r="A4538" t="s">
        <v>5300</v>
      </c>
      <c r="B4538" t="s">
        <v>5303</v>
      </c>
      <c r="C4538">
        <v>0</v>
      </c>
      <c r="D4538">
        <v>0.88537831170699999</v>
      </c>
      <c r="E4538">
        <v>22.5727136431784</v>
      </c>
    </row>
    <row r="4539" spans="1:5">
      <c r="A4539" t="s">
        <v>5300</v>
      </c>
      <c r="B4539" t="s">
        <v>5304</v>
      </c>
      <c r="C4539">
        <v>0</v>
      </c>
      <c r="D4539">
        <v>0.88537831170699999</v>
      </c>
      <c r="E4539">
        <v>22.5727136431784</v>
      </c>
    </row>
    <row r="4540" spans="1:5">
      <c r="A4540" t="s">
        <v>5300</v>
      </c>
      <c r="B4540" t="s">
        <v>5305</v>
      </c>
      <c r="C4540">
        <f>0.0244156158687</f>
        <v>2.4415615868699999E-2</v>
      </c>
      <c r="D4540">
        <v>0.88537831170699999</v>
      </c>
      <c r="E4540">
        <v>22.5727136431784</v>
      </c>
    </row>
    <row r="4541" spans="1:5">
      <c r="A4541" t="s">
        <v>5300</v>
      </c>
      <c r="B4541" t="s">
        <v>5306</v>
      </c>
      <c r="C4541">
        <v>0</v>
      </c>
      <c r="D4541">
        <v>0.88537831170699999</v>
      </c>
      <c r="E4541">
        <v>22.5727136431784</v>
      </c>
    </row>
    <row r="4542" spans="1:5">
      <c r="A4542" t="s">
        <v>5300</v>
      </c>
      <c r="B4542" t="s">
        <v>5307</v>
      </c>
      <c r="C4542">
        <f>0</f>
        <v>0</v>
      </c>
      <c r="D4542">
        <v>0.88537831170699999</v>
      </c>
      <c r="E4542">
        <v>22.5727136431784</v>
      </c>
    </row>
    <row r="4543" spans="1:5">
      <c r="A4543" t="s">
        <v>5308</v>
      </c>
      <c r="B4543" t="s">
        <v>5309</v>
      </c>
      <c r="C4543">
        <v>0</v>
      </c>
      <c r="D4543">
        <v>0.98263760519300003</v>
      </c>
      <c r="E4543">
        <v>7.8680659670164896</v>
      </c>
    </row>
    <row r="4544" spans="1:5">
      <c r="A4544" t="s">
        <v>5308</v>
      </c>
      <c r="B4544" t="s">
        <v>5310</v>
      </c>
      <c r="C4544">
        <f>0</f>
        <v>0</v>
      </c>
      <c r="D4544">
        <v>0.98263760519300003</v>
      </c>
      <c r="E4544">
        <v>7.8680659670164896</v>
      </c>
    </row>
    <row r="4545" spans="1:5">
      <c r="A4545" t="s">
        <v>5308</v>
      </c>
      <c r="B4545" t="s">
        <v>5311</v>
      </c>
      <c r="C4545">
        <f>0</f>
        <v>0</v>
      </c>
      <c r="D4545">
        <v>0.98263760519300003</v>
      </c>
      <c r="E4545">
        <v>7.8680659670164896</v>
      </c>
    </row>
    <row r="4546" spans="1:5">
      <c r="A4546" t="s">
        <v>5308</v>
      </c>
      <c r="B4546" t="s">
        <v>5312</v>
      </c>
      <c r="C4546">
        <f>0</f>
        <v>0</v>
      </c>
      <c r="D4546">
        <v>0.98263760519300003</v>
      </c>
      <c r="E4546">
        <v>7.8680659670164896</v>
      </c>
    </row>
    <row r="4547" spans="1:5">
      <c r="A4547" t="s">
        <v>5308</v>
      </c>
      <c r="B4547" t="s">
        <v>5313</v>
      </c>
      <c r="C4547">
        <f>0.474988403513</f>
        <v>0.47498840351299998</v>
      </c>
      <c r="D4547">
        <v>0.98263760519300003</v>
      </c>
      <c r="E4547">
        <v>7.8680659670164896</v>
      </c>
    </row>
    <row r="4548" spans="1:5">
      <c r="A4548" t="s">
        <v>5308</v>
      </c>
      <c r="B4548" t="s">
        <v>5314</v>
      </c>
      <c r="C4548">
        <f>0</f>
        <v>0</v>
      </c>
      <c r="D4548">
        <v>0.98263760519300003</v>
      </c>
      <c r="E4548">
        <v>7.8680659670164896</v>
      </c>
    </row>
    <row r="4549" spans="1:5">
      <c r="A4549" t="s">
        <v>5308</v>
      </c>
      <c r="B4549" t="s">
        <v>5315</v>
      </c>
      <c r="C4549">
        <v>0</v>
      </c>
      <c r="D4549">
        <v>0.98263760519300003</v>
      </c>
      <c r="E4549">
        <v>7.8680659670164896</v>
      </c>
    </row>
    <row r="4550" spans="1:5">
      <c r="A4550" t="s">
        <v>5316</v>
      </c>
      <c r="B4550" t="s">
        <v>5317</v>
      </c>
      <c r="C4550">
        <f>0</f>
        <v>0</v>
      </c>
      <c r="D4550">
        <v>0.99653333318899995</v>
      </c>
      <c r="E4550">
        <v>3.0464767616191901</v>
      </c>
    </row>
    <row r="4551" spans="1:5">
      <c r="A4551" t="s">
        <v>5316</v>
      </c>
      <c r="B4551" t="s">
        <v>5318</v>
      </c>
      <c r="C4551">
        <v>0.36058995577500003</v>
      </c>
      <c r="D4551">
        <v>0.99653333318899995</v>
      </c>
      <c r="E4551">
        <v>3.0464767616191901</v>
      </c>
    </row>
    <row r="4552" spans="1:5">
      <c r="A4552" t="s">
        <v>5316</v>
      </c>
      <c r="B4552" t="s">
        <v>5319</v>
      </c>
      <c r="C4552">
        <v>0</v>
      </c>
      <c r="D4552">
        <v>0.99653333318899995</v>
      </c>
      <c r="E4552">
        <v>3.0464767616191901</v>
      </c>
    </row>
    <row r="4553" spans="1:5">
      <c r="A4553" t="s">
        <v>5316</v>
      </c>
      <c r="B4553" t="s">
        <v>5320</v>
      </c>
      <c r="C4553">
        <v>0</v>
      </c>
      <c r="D4553">
        <v>0.99653333318899995</v>
      </c>
      <c r="E4553">
        <v>3.0464767616191901</v>
      </c>
    </row>
    <row r="4554" spans="1:5">
      <c r="A4554" t="s">
        <v>5316</v>
      </c>
      <c r="B4554" t="s">
        <v>5321</v>
      </c>
      <c r="C4554">
        <v>0</v>
      </c>
      <c r="D4554">
        <v>0.99653333318899995</v>
      </c>
      <c r="E4554">
        <v>3.0464767616191901</v>
      </c>
    </row>
    <row r="4555" spans="1:5">
      <c r="A4555" t="s">
        <v>5316</v>
      </c>
      <c r="B4555" t="s">
        <v>5322</v>
      </c>
      <c r="C4555">
        <f>0</f>
        <v>0</v>
      </c>
      <c r="D4555">
        <v>0.99653333318899995</v>
      </c>
      <c r="E4555">
        <v>3.0464767616191901</v>
      </c>
    </row>
    <row r="4556" spans="1:5">
      <c r="A4556" t="s">
        <v>5316</v>
      </c>
      <c r="B4556" t="s">
        <v>5323</v>
      </c>
      <c r="C4556">
        <f>0</f>
        <v>0</v>
      </c>
      <c r="D4556">
        <v>0.99653333318899995</v>
      </c>
      <c r="E4556">
        <v>3.0464767616191901</v>
      </c>
    </row>
    <row r="4557" spans="1:5">
      <c r="A4557" t="s">
        <v>5316</v>
      </c>
      <c r="B4557" t="s">
        <v>5324</v>
      </c>
      <c r="C4557">
        <v>9.7098002477600004E-2</v>
      </c>
      <c r="D4557">
        <v>0.99653333318899995</v>
      </c>
      <c r="E4557">
        <v>3.0464767616191901</v>
      </c>
    </row>
    <row r="4558" spans="1:5">
      <c r="A4558" t="s">
        <v>5325</v>
      </c>
      <c r="B4558" t="s">
        <v>5326</v>
      </c>
      <c r="C4558">
        <v>0</v>
      </c>
      <c r="D4558">
        <v>0.99614677222400005</v>
      </c>
      <c r="E4558">
        <v>2.7106446776611599</v>
      </c>
    </row>
    <row r="4559" spans="1:5">
      <c r="A4559" t="s">
        <v>5325</v>
      </c>
      <c r="B4559" t="s">
        <v>5327</v>
      </c>
      <c r="C4559">
        <v>0</v>
      </c>
      <c r="D4559">
        <v>0.99614677222400005</v>
      </c>
      <c r="E4559">
        <v>2.7106446776611599</v>
      </c>
    </row>
    <row r="4560" spans="1:5">
      <c r="A4560" t="s">
        <v>5328</v>
      </c>
      <c r="B4560" t="s">
        <v>5329</v>
      </c>
      <c r="C4560">
        <f>0.236078977526</f>
        <v>0.23607897752599999</v>
      </c>
      <c r="D4560">
        <v>0.97390224903</v>
      </c>
      <c r="E4560">
        <v>4.7976011994003001</v>
      </c>
    </row>
    <row r="4561" spans="1:5">
      <c r="A4561" t="s">
        <v>5328</v>
      </c>
      <c r="B4561" t="s">
        <v>5330</v>
      </c>
      <c r="C4561">
        <f>0</f>
        <v>0</v>
      </c>
      <c r="D4561">
        <v>0.97390224903</v>
      </c>
      <c r="E4561">
        <v>4.7976011994003001</v>
      </c>
    </row>
    <row r="4562" spans="1:5">
      <c r="A4562" t="s">
        <v>5328</v>
      </c>
      <c r="B4562" t="s">
        <v>5331</v>
      </c>
      <c r="C4562">
        <f>0</f>
        <v>0</v>
      </c>
      <c r="D4562">
        <v>0.97390224903</v>
      </c>
      <c r="E4562">
        <v>4.7976011994003001</v>
      </c>
    </row>
    <row r="4563" spans="1:5">
      <c r="A4563" t="s">
        <v>5328</v>
      </c>
      <c r="B4563" t="s">
        <v>5332</v>
      </c>
      <c r="C4563">
        <f>0</f>
        <v>0</v>
      </c>
      <c r="D4563">
        <v>0.97390224903</v>
      </c>
      <c r="E4563">
        <v>4.7976011994003001</v>
      </c>
    </row>
    <row r="4564" spans="1:5">
      <c r="A4564" t="s">
        <v>5328</v>
      </c>
      <c r="B4564" t="s">
        <v>5333</v>
      </c>
      <c r="C4564">
        <f>0</f>
        <v>0</v>
      </c>
      <c r="D4564">
        <v>0.97390224903</v>
      </c>
      <c r="E4564">
        <v>4.7976011994003001</v>
      </c>
    </row>
    <row r="4565" spans="1:5">
      <c r="A4565" t="s">
        <v>5328</v>
      </c>
      <c r="B4565" t="s">
        <v>5334</v>
      </c>
      <c r="C4565">
        <f>0</f>
        <v>0</v>
      </c>
      <c r="D4565">
        <v>0.97390224903</v>
      </c>
      <c r="E4565">
        <v>4.7976011994003001</v>
      </c>
    </row>
    <row r="4566" spans="1:5">
      <c r="A4566" t="s">
        <v>5328</v>
      </c>
      <c r="B4566" t="s">
        <v>5335</v>
      </c>
      <c r="C4566">
        <f>0</f>
        <v>0</v>
      </c>
      <c r="D4566">
        <v>0.97390224903</v>
      </c>
      <c r="E4566">
        <v>4.7976011994003001</v>
      </c>
    </row>
    <row r="4567" spans="1:5">
      <c r="A4567" t="s">
        <v>5328</v>
      </c>
      <c r="B4567" t="s">
        <v>5336</v>
      </c>
      <c r="C4567">
        <f>0</f>
        <v>0</v>
      </c>
      <c r="D4567">
        <v>0.97390224903</v>
      </c>
      <c r="E4567">
        <v>4.7976011994003001</v>
      </c>
    </row>
    <row r="4568" spans="1:5">
      <c r="A4568" t="s">
        <v>5328</v>
      </c>
      <c r="B4568" t="s">
        <v>5337</v>
      </c>
      <c r="C4568">
        <f>0.0212549973279</f>
        <v>2.12549973279E-2</v>
      </c>
      <c r="D4568">
        <v>0.97390224903</v>
      </c>
      <c r="E4568">
        <v>4.7976011994003001</v>
      </c>
    </row>
    <row r="4569" spans="1:5">
      <c r="A4569" t="s">
        <v>5338</v>
      </c>
      <c r="B4569" t="s">
        <v>5339</v>
      </c>
      <c r="C4569">
        <v>0.142162157259</v>
      </c>
      <c r="D4569">
        <v>0.98797070492299999</v>
      </c>
      <c r="E4569">
        <v>1.96701649175412</v>
      </c>
    </row>
    <row r="4570" spans="1:5">
      <c r="A4570" t="s">
        <v>5338</v>
      </c>
      <c r="B4570" t="s">
        <v>5340</v>
      </c>
      <c r="C4570">
        <f>0</f>
        <v>0</v>
      </c>
      <c r="D4570">
        <v>0.98797070492299999</v>
      </c>
      <c r="E4570">
        <v>1.96701649175412</v>
      </c>
    </row>
    <row r="4571" spans="1:5">
      <c r="A4571" t="s">
        <v>5338</v>
      </c>
      <c r="B4571" t="s">
        <v>5341</v>
      </c>
      <c r="C4571">
        <f>0</f>
        <v>0</v>
      </c>
      <c r="D4571">
        <v>0.98797070492299999</v>
      </c>
      <c r="E4571">
        <v>1.96701649175412</v>
      </c>
    </row>
    <row r="4572" spans="1:5">
      <c r="A4572" t="s">
        <v>5338</v>
      </c>
      <c r="B4572" t="s">
        <v>5342</v>
      </c>
      <c r="C4572">
        <v>0.77897317401099997</v>
      </c>
      <c r="D4572">
        <v>0.98797070492299999</v>
      </c>
      <c r="E4572">
        <v>1.96701649175412</v>
      </c>
    </row>
    <row r="4573" spans="1:5">
      <c r="A4573" t="s">
        <v>5343</v>
      </c>
      <c r="B4573" t="s">
        <v>5344</v>
      </c>
      <c r="C4573">
        <v>4.3828474062600001E-2</v>
      </c>
      <c r="D4573">
        <v>0.53094776176199998</v>
      </c>
      <c r="E4573">
        <v>9.3073463268365799</v>
      </c>
    </row>
    <row r="4574" spans="1:5">
      <c r="A4574" t="s">
        <v>5345</v>
      </c>
      <c r="B4574" t="s">
        <v>5346</v>
      </c>
      <c r="C4574">
        <v>0</v>
      </c>
      <c r="D4574" t="s">
        <v>106</v>
      </c>
      <c r="E4574">
        <v>1.51124437781109</v>
      </c>
    </row>
    <row r="4575" spans="1:5">
      <c r="A4575" t="s">
        <v>5345</v>
      </c>
      <c r="B4575" t="s">
        <v>5347</v>
      </c>
      <c r="C4575">
        <v>0</v>
      </c>
      <c r="D4575" t="s">
        <v>106</v>
      </c>
      <c r="E4575">
        <v>1.51124437781109</v>
      </c>
    </row>
    <row r="4576" spans="1:5">
      <c r="A4576" t="s">
        <v>5345</v>
      </c>
      <c r="B4576" t="s">
        <v>5348</v>
      </c>
      <c r="C4576">
        <f>0</f>
        <v>0</v>
      </c>
      <c r="D4576" t="s">
        <v>106</v>
      </c>
      <c r="E4576">
        <v>1.51124437781109</v>
      </c>
    </row>
    <row r="4577" spans="1:5">
      <c r="A4577" t="s">
        <v>5349</v>
      </c>
      <c r="B4577" t="s">
        <v>5350</v>
      </c>
      <c r="C4577">
        <v>0</v>
      </c>
      <c r="D4577">
        <v>0.84572804629499998</v>
      </c>
      <c r="E4577">
        <v>7.7361319340329802</v>
      </c>
    </row>
    <row r="4578" spans="1:5">
      <c r="A4578" t="s">
        <v>5349</v>
      </c>
      <c r="B4578" t="s">
        <v>5351</v>
      </c>
      <c r="C4578">
        <v>0.13760858374900001</v>
      </c>
      <c r="D4578">
        <v>0.84572804629499998</v>
      </c>
      <c r="E4578">
        <v>7.7361319340329802</v>
      </c>
    </row>
    <row r="4579" spans="1:5">
      <c r="A4579" t="s">
        <v>5349</v>
      </c>
      <c r="B4579" t="s">
        <v>5352</v>
      </c>
      <c r="C4579">
        <v>0</v>
      </c>
      <c r="D4579">
        <v>0.84572804629499998</v>
      </c>
      <c r="E4579">
        <v>7.7361319340329802</v>
      </c>
    </row>
    <row r="4580" spans="1:5">
      <c r="A4580" t="s">
        <v>5353</v>
      </c>
      <c r="B4580" t="s">
        <v>5354</v>
      </c>
      <c r="C4580">
        <f>0</f>
        <v>0</v>
      </c>
      <c r="D4580">
        <v>0.92119644470700002</v>
      </c>
      <c r="E4580">
        <v>12.2098950524737</v>
      </c>
    </row>
    <row r="4581" spans="1:5">
      <c r="A4581" t="s">
        <v>5353</v>
      </c>
      <c r="B4581" t="s">
        <v>5355</v>
      </c>
      <c r="C4581">
        <v>2.2006090642000001E-2</v>
      </c>
      <c r="D4581">
        <v>0.92119644470700002</v>
      </c>
      <c r="E4581">
        <v>12.2098950524737</v>
      </c>
    </row>
    <row r="4582" spans="1:5">
      <c r="A4582" t="s">
        <v>5353</v>
      </c>
      <c r="B4582" t="s">
        <v>5356</v>
      </c>
      <c r="C4582">
        <v>0.263438222394</v>
      </c>
      <c r="D4582">
        <v>0.92119644470700002</v>
      </c>
      <c r="E4582">
        <v>12.2098950524737</v>
      </c>
    </row>
    <row r="4583" spans="1:5">
      <c r="A4583" t="s">
        <v>5357</v>
      </c>
      <c r="B4583" t="s">
        <v>5358</v>
      </c>
      <c r="C4583">
        <f>0</f>
        <v>0</v>
      </c>
      <c r="D4583">
        <v>0.48602153553600003</v>
      </c>
      <c r="E4583">
        <v>19.6341829085457</v>
      </c>
    </row>
    <row r="4584" spans="1:5">
      <c r="A4584" t="s">
        <v>5357</v>
      </c>
      <c r="B4584" t="s">
        <v>5359</v>
      </c>
      <c r="C4584">
        <f>0</f>
        <v>0</v>
      </c>
      <c r="D4584">
        <v>0.48602153553600003</v>
      </c>
      <c r="E4584">
        <v>19.6341829085457</v>
      </c>
    </row>
    <row r="4585" spans="1:5">
      <c r="A4585" t="s">
        <v>5357</v>
      </c>
      <c r="B4585" t="s">
        <v>5360</v>
      </c>
      <c r="C4585">
        <v>0</v>
      </c>
      <c r="D4585">
        <v>0.48602153553600003</v>
      </c>
      <c r="E4585">
        <v>19.6341829085457</v>
      </c>
    </row>
    <row r="4586" spans="1:5">
      <c r="A4586" t="s">
        <v>5357</v>
      </c>
      <c r="B4586" t="s">
        <v>5361</v>
      </c>
      <c r="C4586">
        <f>0</f>
        <v>0</v>
      </c>
      <c r="D4586">
        <v>0.48602153553600003</v>
      </c>
      <c r="E4586">
        <v>19.6341829085457</v>
      </c>
    </row>
    <row r="4587" spans="1:5">
      <c r="A4587" t="s">
        <v>5357</v>
      </c>
      <c r="B4587" t="s">
        <v>5362</v>
      </c>
      <c r="C4587">
        <f>0</f>
        <v>0</v>
      </c>
      <c r="D4587">
        <v>0.48602153553600003</v>
      </c>
      <c r="E4587">
        <v>19.6341829085457</v>
      </c>
    </row>
    <row r="4588" spans="1:5">
      <c r="A4588" t="s">
        <v>5357</v>
      </c>
      <c r="B4588" t="s">
        <v>5363</v>
      </c>
      <c r="C4588">
        <v>0</v>
      </c>
      <c r="D4588">
        <v>0.48602153553600003</v>
      </c>
      <c r="E4588">
        <v>19.6341829085457</v>
      </c>
    </row>
    <row r="4589" spans="1:5">
      <c r="A4589" t="s">
        <v>5357</v>
      </c>
      <c r="B4589" t="s">
        <v>5364</v>
      </c>
      <c r="C4589">
        <v>0</v>
      </c>
      <c r="D4589">
        <v>0.48602153553600003</v>
      </c>
      <c r="E4589">
        <v>19.6341829085457</v>
      </c>
    </row>
    <row r="4590" spans="1:5">
      <c r="A4590" t="s">
        <v>5357</v>
      </c>
      <c r="B4590" t="s">
        <v>5365</v>
      </c>
      <c r="C4590">
        <v>0</v>
      </c>
      <c r="D4590">
        <v>0.48602153553600003</v>
      </c>
      <c r="E4590">
        <v>19.6341829085457</v>
      </c>
    </row>
    <row r="4591" spans="1:5">
      <c r="A4591" t="s">
        <v>5357</v>
      </c>
      <c r="B4591" t="s">
        <v>5366</v>
      </c>
      <c r="C4591">
        <v>0</v>
      </c>
      <c r="D4591">
        <v>0.48602153553600003</v>
      </c>
      <c r="E4591">
        <v>19.6341829085457</v>
      </c>
    </row>
    <row r="4592" spans="1:5">
      <c r="A4592" t="s">
        <v>5357</v>
      </c>
      <c r="B4592" t="s">
        <v>5367</v>
      </c>
      <c r="C4592">
        <f>0</f>
        <v>0</v>
      </c>
      <c r="D4592">
        <v>0.48602153553600003</v>
      </c>
      <c r="E4592">
        <v>19.6341829085457</v>
      </c>
    </row>
    <row r="4593" spans="1:5">
      <c r="A4593" t="s">
        <v>5357</v>
      </c>
      <c r="B4593" t="s">
        <v>5368</v>
      </c>
      <c r="C4593">
        <f>0</f>
        <v>0</v>
      </c>
      <c r="D4593">
        <v>0.48602153553600003</v>
      </c>
      <c r="E4593">
        <v>19.6341829085457</v>
      </c>
    </row>
    <row r="4594" spans="1:5">
      <c r="A4594" t="s">
        <v>5357</v>
      </c>
      <c r="B4594" t="s">
        <v>5369</v>
      </c>
      <c r="C4594">
        <f>0</f>
        <v>0</v>
      </c>
      <c r="D4594">
        <v>0.48602153553600003</v>
      </c>
      <c r="E4594">
        <v>19.6341829085457</v>
      </c>
    </row>
    <row r="4595" spans="1:5">
      <c r="A4595" t="s">
        <v>5357</v>
      </c>
      <c r="B4595" t="s">
        <v>5370</v>
      </c>
      <c r="C4595">
        <f>0</f>
        <v>0</v>
      </c>
      <c r="D4595">
        <v>0.48602153553600003</v>
      </c>
      <c r="E4595">
        <v>19.6341829085457</v>
      </c>
    </row>
    <row r="4596" spans="1:5">
      <c r="A4596" t="s">
        <v>5357</v>
      </c>
      <c r="B4596" t="s">
        <v>5371</v>
      </c>
      <c r="C4596">
        <v>6.3853168658699999E-2</v>
      </c>
      <c r="D4596">
        <v>0.48602153553600003</v>
      </c>
      <c r="E4596">
        <v>19.6341829085457</v>
      </c>
    </row>
    <row r="4597" spans="1:5">
      <c r="A4597" t="s">
        <v>5357</v>
      </c>
      <c r="B4597" t="s">
        <v>5372</v>
      </c>
      <c r="C4597">
        <v>0</v>
      </c>
      <c r="D4597">
        <v>0.48602153553600003</v>
      </c>
      <c r="E4597">
        <v>19.6341829085457</v>
      </c>
    </row>
    <row r="4598" spans="1:5">
      <c r="A4598" t="s">
        <v>5373</v>
      </c>
      <c r="B4598" t="s">
        <v>5374</v>
      </c>
      <c r="C4598">
        <v>0</v>
      </c>
      <c r="D4598">
        <v>0.97564852684900005</v>
      </c>
      <c r="E4598">
        <v>11.8740629685157</v>
      </c>
    </row>
    <row r="4599" spans="1:5">
      <c r="A4599" t="s">
        <v>5373</v>
      </c>
      <c r="B4599" t="s">
        <v>5375</v>
      </c>
      <c r="C4599">
        <f>0.23232873227</f>
        <v>0.23232873227</v>
      </c>
      <c r="D4599">
        <v>0.97564852684900005</v>
      </c>
      <c r="E4599">
        <v>11.8740629685157</v>
      </c>
    </row>
    <row r="4600" spans="1:5">
      <c r="A4600" t="s">
        <v>5373</v>
      </c>
      <c r="B4600" t="s">
        <v>5376</v>
      </c>
      <c r="C4600">
        <v>0</v>
      </c>
      <c r="D4600">
        <v>0.97564852684900005</v>
      </c>
      <c r="E4600">
        <v>11.8740629685157</v>
      </c>
    </row>
    <row r="4601" spans="1:5">
      <c r="A4601" t="s">
        <v>5373</v>
      </c>
      <c r="B4601" t="s">
        <v>5377</v>
      </c>
      <c r="C4601">
        <v>0</v>
      </c>
      <c r="D4601">
        <v>0.97564852684900005</v>
      </c>
      <c r="E4601">
        <v>11.8740629685157</v>
      </c>
    </row>
    <row r="4602" spans="1:5">
      <c r="A4602" t="s">
        <v>5373</v>
      </c>
      <c r="B4602" t="s">
        <v>5378</v>
      </c>
      <c r="C4602">
        <f>0</f>
        <v>0</v>
      </c>
      <c r="D4602">
        <v>0.97564852684900005</v>
      </c>
      <c r="E4602">
        <v>11.8740629685157</v>
      </c>
    </row>
    <row r="4603" spans="1:5">
      <c r="A4603" t="s">
        <v>5373</v>
      </c>
      <c r="B4603" t="s">
        <v>5379</v>
      </c>
      <c r="C4603">
        <v>0</v>
      </c>
      <c r="D4603">
        <v>0.97564852684900005</v>
      </c>
      <c r="E4603">
        <v>11.8740629685157</v>
      </c>
    </row>
    <row r="4604" spans="1:5">
      <c r="A4604" t="s">
        <v>5373</v>
      </c>
      <c r="B4604" t="s">
        <v>5380</v>
      </c>
      <c r="C4604">
        <v>0</v>
      </c>
      <c r="D4604">
        <v>0.97564852684900005</v>
      </c>
      <c r="E4604">
        <v>11.8740629685157</v>
      </c>
    </row>
    <row r="4605" spans="1:5">
      <c r="A4605" t="s">
        <v>5373</v>
      </c>
      <c r="B4605" t="s">
        <v>5381</v>
      </c>
      <c r="C4605">
        <v>0</v>
      </c>
      <c r="D4605">
        <v>0.97564852684900005</v>
      </c>
      <c r="E4605">
        <v>11.8740629685157</v>
      </c>
    </row>
    <row r="4606" spans="1:5">
      <c r="A4606" t="s">
        <v>5373</v>
      </c>
      <c r="B4606" t="s">
        <v>5382</v>
      </c>
      <c r="C4606">
        <f>0.0142942414695</f>
        <v>1.4294241469500001E-2</v>
      </c>
      <c r="D4606">
        <v>0.97564852684900005</v>
      </c>
      <c r="E4606">
        <v>11.8740629685157</v>
      </c>
    </row>
    <row r="4607" spans="1:5">
      <c r="A4607" t="s">
        <v>5383</v>
      </c>
      <c r="B4607" t="s">
        <v>5384</v>
      </c>
      <c r="C4607">
        <f>0</f>
        <v>0</v>
      </c>
      <c r="D4607" t="s">
        <v>106</v>
      </c>
      <c r="E4607">
        <v>5.69715142428785</v>
      </c>
    </row>
    <row r="4608" spans="1:5">
      <c r="A4608" t="s">
        <v>5383</v>
      </c>
      <c r="B4608" t="s">
        <v>5385</v>
      </c>
      <c r="C4608">
        <f>0</f>
        <v>0</v>
      </c>
      <c r="D4608" t="s">
        <v>106</v>
      </c>
      <c r="E4608">
        <v>5.69715142428785</v>
      </c>
    </row>
    <row r="4609" spans="1:5">
      <c r="A4609" t="s">
        <v>5383</v>
      </c>
      <c r="B4609" t="s">
        <v>5386</v>
      </c>
      <c r="C4609">
        <v>0</v>
      </c>
      <c r="D4609" t="s">
        <v>106</v>
      </c>
      <c r="E4609">
        <v>5.69715142428785</v>
      </c>
    </row>
    <row r="4610" spans="1:5">
      <c r="A4610" t="s">
        <v>5387</v>
      </c>
      <c r="B4610" t="s">
        <v>5388</v>
      </c>
      <c r="C4610">
        <v>0</v>
      </c>
      <c r="D4610">
        <v>0.68874319106699999</v>
      </c>
      <c r="E4610">
        <v>24</v>
      </c>
    </row>
    <row r="4611" spans="1:5">
      <c r="A4611" t="s">
        <v>5387</v>
      </c>
      <c r="B4611" t="s">
        <v>5389</v>
      </c>
      <c r="C4611">
        <v>6.5576298907100003E-3</v>
      </c>
      <c r="D4611">
        <v>0.68874319106699999</v>
      </c>
      <c r="E4611">
        <v>24</v>
      </c>
    </row>
    <row r="4612" spans="1:5">
      <c r="A4612" t="s">
        <v>5387</v>
      </c>
      <c r="B4612" t="s">
        <v>5390</v>
      </c>
      <c r="C4612">
        <v>0</v>
      </c>
      <c r="D4612">
        <v>0.68874319106699999</v>
      </c>
      <c r="E4612">
        <v>24</v>
      </c>
    </row>
    <row r="4613" spans="1:5">
      <c r="A4613" t="s">
        <v>5387</v>
      </c>
      <c r="B4613" t="s">
        <v>5391</v>
      </c>
      <c r="C4613">
        <v>1.6523506726899999E-2</v>
      </c>
      <c r="D4613">
        <v>0.68874319106699999</v>
      </c>
      <c r="E4613">
        <v>24</v>
      </c>
    </row>
    <row r="4614" spans="1:5">
      <c r="A4614" t="s">
        <v>5387</v>
      </c>
      <c r="B4614" t="s">
        <v>5392</v>
      </c>
      <c r="C4614">
        <v>0</v>
      </c>
      <c r="D4614">
        <v>0.68874319106699999</v>
      </c>
      <c r="E4614">
        <v>24</v>
      </c>
    </row>
    <row r="4615" spans="1:5">
      <c r="A4615" t="s">
        <v>5393</v>
      </c>
      <c r="B4615" t="s">
        <v>5394</v>
      </c>
      <c r="C4615">
        <v>0</v>
      </c>
      <c r="D4615">
        <v>0.89246856516100004</v>
      </c>
      <c r="E4615">
        <v>5.0134932533733103</v>
      </c>
    </row>
    <row r="4616" spans="1:5">
      <c r="A4616" t="s">
        <v>5393</v>
      </c>
      <c r="B4616" t="s">
        <v>5395</v>
      </c>
      <c r="C4616">
        <v>0</v>
      </c>
      <c r="D4616">
        <v>0.89246856516100004</v>
      </c>
      <c r="E4616">
        <v>5.0134932533733103</v>
      </c>
    </row>
    <row r="4617" spans="1:5">
      <c r="A4617" t="s">
        <v>5393</v>
      </c>
      <c r="B4617" t="s">
        <v>5396</v>
      </c>
      <c r="C4617">
        <v>0</v>
      </c>
      <c r="D4617">
        <v>0.89246856516100004</v>
      </c>
      <c r="E4617">
        <v>5.0134932533733103</v>
      </c>
    </row>
    <row r="4618" spans="1:5">
      <c r="A4618" t="s">
        <v>5393</v>
      </c>
      <c r="B4618" t="s">
        <v>5397</v>
      </c>
      <c r="C4618">
        <v>8.8481655540200002E-2</v>
      </c>
      <c r="D4618">
        <v>0.89246856516100004</v>
      </c>
      <c r="E4618">
        <v>5.0134932533733103</v>
      </c>
    </row>
    <row r="4619" spans="1:5">
      <c r="A4619" t="s">
        <v>5393</v>
      </c>
      <c r="B4619" t="s">
        <v>5398</v>
      </c>
      <c r="C4619">
        <v>0</v>
      </c>
      <c r="D4619">
        <v>0.89246856516100004</v>
      </c>
      <c r="E4619">
        <v>5.0134932533733103</v>
      </c>
    </row>
    <row r="4620" spans="1:5">
      <c r="A4620" t="s">
        <v>5393</v>
      </c>
      <c r="B4620" t="s">
        <v>5399</v>
      </c>
      <c r="C4620">
        <f>0</f>
        <v>0</v>
      </c>
      <c r="D4620">
        <v>0.89246856516100004</v>
      </c>
      <c r="E4620">
        <v>5.0134932533733103</v>
      </c>
    </row>
    <row r="4621" spans="1:5">
      <c r="A4621" t="s">
        <v>5393</v>
      </c>
      <c r="B4621" t="s">
        <v>5400</v>
      </c>
      <c r="C4621">
        <f>0</f>
        <v>0</v>
      </c>
      <c r="D4621">
        <v>0.89246856516100004</v>
      </c>
      <c r="E4621">
        <v>5.0134932533733103</v>
      </c>
    </row>
    <row r="4622" spans="1:5">
      <c r="A4622" t="s">
        <v>5393</v>
      </c>
      <c r="B4622" t="s">
        <v>5401</v>
      </c>
      <c r="C4622">
        <v>0</v>
      </c>
      <c r="D4622">
        <v>0.89246856516100004</v>
      </c>
      <c r="E4622">
        <v>5.0134932533733103</v>
      </c>
    </row>
    <row r="4623" spans="1:5">
      <c r="A4623" t="s">
        <v>5393</v>
      </c>
      <c r="B4623" t="s">
        <v>5402</v>
      </c>
      <c r="C4623">
        <v>0</v>
      </c>
      <c r="D4623">
        <v>0.89246856516100004</v>
      </c>
      <c r="E4623">
        <v>5.0134932533733103</v>
      </c>
    </row>
    <row r="4624" spans="1:5">
      <c r="A4624" t="s">
        <v>5393</v>
      </c>
      <c r="B4624" t="s">
        <v>5403</v>
      </c>
      <c r="C4624">
        <v>0.30512311995000002</v>
      </c>
      <c r="D4624">
        <v>0.89246856516100004</v>
      </c>
      <c r="E4624">
        <v>5.0134932533733103</v>
      </c>
    </row>
    <row r="4625" spans="1:5">
      <c r="A4625" t="s">
        <v>5393</v>
      </c>
      <c r="B4625" t="s">
        <v>5404</v>
      </c>
      <c r="C4625">
        <v>0</v>
      </c>
      <c r="D4625">
        <v>0.89246856516100004</v>
      </c>
      <c r="E4625">
        <v>5.0134932533733103</v>
      </c>
    </row>
    <row r="4626" spans="1:5">
      <c r="A4626" t="s">
        <v>5405</v>
      </c>
      <c r="B4626" t="s">
        <v>5406</v>
      </c>
      <c r="C4626">
        <f>0</f>
        <v>0</v>
      </c>
      <c r="D4626">
        <v>0.89873577682299999</v>
      </c>
      <c r="E4626">
        <v>6.9325337331334298</v>
      </c>
    </row>
    <row r="4627" spans="1:5">
      <c r="A4627" t="s">
        <v>5407</v>
      </c>
      <c r="B4627" t="s">
        <v>5408</v>
      </c>
      <c r="C4627">
        <v>0</v>
      </c>
      <c r="D4627" t="s">
        <v>106</v>
      </c>
      <c r="E4627">
        <v>15.1244377811094</v>
      </c>
    </row>
    <row r="4628" spans="1:5">
      <c r="A4628" t="s">
        <v>5407</v>
      </c>
      <c r="B4628" t="s">
        <v>5409</v>
      </c>
      <c r="C4628">
        <v>0</v>
      </c>
      <c r="D4628" t="s">
        <v>106</v>
      </c>
      <c r="E4628">
        <v>15.1244377811094</v>
      </c>
    </row>
    <row r="4629" spans="1:5">
      <c r="A4629" t="s">
        <v>5407</v>
      </c>
      <c r="B4629" t="s">
        <v>5410</v>
      </c>
      <c r="C4629">
        <f>0</f>
        <v>0</v>
      </c>
      <c r="D4629" t="s">
        <v>106</v>
      </c>
      <c r="E4629">
        <v>15.1244377811094</v>
      </c>
    </row>
    <row r="4630" spans="1:5">
      <c r="A4630" t="s">
        <v>5407</v>
      </c>
      <c r="B4630" t="s">
        <v>5411</v>
      </c>
      <c r="C4630">
        <v>0</v>
      </c>
      <c r="D4630" t="s">
        <v>106</v>
      </c>
      <c r="E4630">
        <v>15.1244377811094</v>
      </c>
    </row>
    <row r="4631" spans="1:5">
      <c r="A4631" t="s">
        <v>5407</v>
      </c>
      <c r="B4631" t="s">
        <v>5412</v>
      </c>
      <c r="C4631">
        <v>0</v>
      </c>
      <c r="D4631" t="s">
        <v>106</v>
      </c>
      <c r="E4631">
        <v>15.1244377811094</v>
      </c>
    </row>
    <row r="4632" spans="1:5">
      <c r="A4632" t="s">
        <v>5407</v>
      </c>
      <c r="B4632" t="s">
        <v>5413</v>
      </c>
      <c r="C4632">
        <f>0</f>
        <v>0</v>
      </c>
      <c r="D4632" t="s">
        <v>106</v>
      </c>
      <c r="E4632">
        <v>15.1244377811094</v>
      </c>
    </row>
    <row r="4633" spans="1:5">
      <c r="A4633" t="s">
        <v>5407</v>
      </c>
      <c r="B4633" t="s">
        <v>5414</v>
      </c>
      <c r="C4633">
        <v>0</v>
      </c>
      <c r="D4633" t="s">
        <v>106</v>
      </c>
      <c r="E4633">
        <v>15.1244377811094</v>
      </c>
    </row>
    <row r="4634" spans="1:5">
      <c r="A4634" t="s">
        <v>5415</v>
      </c>
      <c r="B4634" t="s">
        <v>5416</v>
      </c>
      <c r="C4634">
        <v>0</v>
      </c>
      <c r="D4634">
        <v>0.99525201811499997</v>
      </c>
      <c r="E4634">
        <v>1.6311844077961</v>
      </c>
    </row>
    <row r="4635" spans="1:5">
      <c r="A4635" t="s">
        <v>5415</v>
      </c>
      <c r="B4635" t="s">
        <v>5417</v>
      </c>
      <c r="C4635">
        <v>0</v>
      </c>
      <c r="D4635">
        <v>0.99525201811499997</v>
      </c>
      <c r="E4635">
        <v>1.6311844077961</v>
      </c>
    </row>
    <row r="4636" spans="1:5">
      <c r="A4636" t="s">
        <v>5415</v>
      </c>
      <c r="B4636" t="s">
        <v>5418</v>
      </c>
      <c r="C4636">
        <v>2.91639933372E-2</v>
      </c>
      <c r="D4636">
        <v>0.99525201811499997</v>
      </c>
      <c r="E4636">
        <v>1.6311844077961</v>
      </c>
    </row>
    <row r="4637" spans="1:5">
      <c r="A4637" t="s">
        <v>5415</v>
      </c>
      <c r="B4637" t="s">
        <v>5419</v>
      </c>
      <c r="C4637">
        <f>0</f>
        <v>0</v>
      </c>
      <c r="D4637">
        <v>0.99525201811499997</v>
      </c>
      <c r="E4637">
        <v>1.6311844077961</v>
      </c>
    </row>
    <row r="4638" spans="1:5">
      <c r="A4638" t="s">
        <v>5415</v>
      </c>
      <c r="B4638" t="s">
        <v>5420</v>
      </c>
      <c r="C4638">
        <v>0</v>
      </c>
      <c r="D4638">
        <v>0.99525201811499997</v>
      </c>
      <c r="E4638">
        <v>1.6311844077961</v>
      </c>
    </row>
    <row r="4639" spans="1:5">
      <c r="A4639" t="s">
        <v>5415</v>
      </c>
      <c r="B4639" t="s">
        <v>5421</v>
      </c>
      <c r="C4639">
        <v>0</v>
      </c>
      <c r="D4639">
        <v>0.99525201811499997</v>
      </c>
      <c r="E4639">
        <v>1.6311844077961</v>
      </c>
    </row>
    <row r="4640" spans="1:5">
      <c r="A4640" t="s">
        <v>5415</v>
      </c>
      <c r="B4640" t="s">
        <v>5422</v>
      </c>
      <c r="C4640">
        <v>0</v>
      </c>
      <c r="D4640">
        <v>0.99525201811499997</v>
      </c>
      <c r="E4640">
        <v>1.6311844077961</v>
      </c>
    </row>
    <row r="4641" spans="1:5">
      <c r="A4641" t="s">
        <v>5415</v>
      </c>
      <c r="B4641" t="s">
        <v>5423</v>
      </c>
      <c r="C4641">
        <v>0</v>
      </c>
      <c r="D4641">
        <v>0.99525201811499997</v>
      </c>
      <c r="E4641">
        <v>1.6311844077961</v>
      </c>
    </row>
    <row r="4642" spans="1:5">
      <c r="A4642" t="s">
        <v>5415</v>
      </c>
      <c r="B4642" t="s">
        <v>5424</v>
      </c>
      <c r="C4642">
        <v>0</v>
      </c>
      <c r="D4642">
        <v>0.99525201811499997</v>
      </c>
      <c r="E4642">
        <v>1.6311844077961</v>
      </c>
    </row>
    <row r="4643" spans="1:5">
      <c r="A4643" t="s">
        <v>5415</v>
      </c>
      <c r="B4643" t="s">
        <v>5425</v>
      </c>
      <c r="C4643">
        <v>0</v>
      </c>
      <c r="D4643">
        <v>0.99525201811499997</v>
      </c>
      <c r="E4643">
        <v>1.6311844077961</v>
      </c>
    </row>
    <row r="4644" spans="1:5">
      <c r="A4644" t="s">
        <v>5415</v>
      </c>
      <c r="B4644" t="s">
        <v>5426</v>
      </c>
      <c r="C4644">
        <v>0</v>
      </c>
      <c r="D4644">
        <v>0.99525201811499997</v>
      </c>
      <c r="E4644">
        <v>1.6311844077961</v>
      </c>
    </row>
    <row r="4645" spans="1:5">
      <c r="A4645" t="s">
        <v>5415</v>
      </c>
      <c r="B4645" t="s">
        <v>5427</v>
      </c>
      <c r="C4645">
        <f>0</f>
        <v>0</v>
      </c>
      <c r="D4645">
        <v>0.99525201811499997</v>
      </c>
      <c r="E4645">
        <v>1.6311844077961</v>
      </c>
    </row>
    <row r="4646" spans="1:5">
      <c r="A4646" t="s">
        <v>5415</v>
      </c>
      <c r="B4646" t="s">
        <v>5428</v>
      </c>
      <c r="C4646">
        <v>0</v>
      </c>
      <c r="D4646">
        <v>0.99525201811499997</v>
      </c>
      <c r="E4646">
        <v>1.6311844077961</v>
      </c>
    </row>
    <row r="4647" spans="1:5">
      <c r="A4647" t="s">
        <v>5415</v>
      </c>
      <c r="B4647" t="s">
        <v>5429</v>
      </c>
      <c r="C4647">
        <v>0</v>
      </c>
      <c r="D4647">
        <v>0.99525201811499997</v>
      </c>
      <c r="E4647">
        <v>1.6311844077961</v>
      </c>
    </row>
    <row r="4648" spans="1:5">
      <c r="A4648" t="s">
        <v>5415</v>
      </c>
      <c r="B4648" t="s">
        <v>5430</v>
      </c>
      <c r="C4648">
        <v>0.496681427673</v>
      </c>
      <c r="D4648">
        <v>0.99525201811499997</v>
      </c>
      <c r="E4648">
        <v>1.6311844077961</v>
      </c>
    </row>
    <row r="4649" spans="1:5">
      <c r="A4649" t="s">
        <v>5415</v>
      </c>
      <c r="B4649" t="s">
        <v>5431</v>
      </c>
      <c r="C4649">
        <v>0</v>
      </c>
      <c r="D4649">
        <v>0.99525201811499997</v>
      </c>
      <c r="E4649">
        <v>1.6311844077961</v>
      </c>
    </row>
    <row r="4650" spans="1:5">
      <c r="A4650" t="s">
        <v>5415</v>
      </c>
      <c r="B4650" t="s">
        <v>5432</v>
      </c>
      <c r="C4650">
        <v>0</v>
      </c>
      <c r="D4650">
        <v>0.99525201811499997</v>
      </c>
      <c r="E4650">
        <v>1.6311844077961</v>
      </c>
    </row>
    <row r="4651" spans="1:5">
      <c r="A4651" t="s">
        <v>5415</v>
      </c>
      <c r="B4651" t="s">
        <v>5433</v>
      </c>
      <c r="C4651">
        <v>0</v>
      </c>
      <c r="D4651">
        <v>0.99525201811499997</v>
      </c>
      <c r="E4651">
        <v>1.6311844077961</v>
      </c>
    </row>
    <row r="4652" spans="1:5">
      <c r="A4652" t="s">
        <v>5434</v>
      </c>
      <c r="B4652" t="s">
        <v>5435</v>
      </c>
      <c r="C4652">
        <v>0</v>
      </c>
      <c r="D4652" t="s">
        <v>106</v>
      </c>
      <c r="E4652">
        <v>24</v>
      </c>
    </row>
    <row r="4653" spans="1:5">
      <c r="A4653" t="s">
        <v>5434</v>
      </c>
      <c r="B4653" t="s">
        <v>5436</v>
      </c>
      <c r="C4653">
        <f>0</f>
        <v>0</v>
      </c>
      <c r="D4653" t="s">
        <v>106</v>
      </c>
      <c r="E4653">
        <v>24</v>
      </c>
    </row>
    <row r="4654" spans="1:5">
      <c r="A4654" t="s">
        <v>5434</v>
      </c>
      <c r="B4654" t="s">
        <v>5437</v>
      </c>
      <c r="C4654">
        <v>0</v>
      </c>
      <c r="D4654" t="s">
        <v>106</v>
      </c>
      <c r="E4654">
        <v>24</v>
      </c>
    </row>
    <row r="4655" spans="1:5">
      <c r="A4655" t="s">
        <v>5434</v>
      </c>
      <c r="B4655" t="s">
        <v>5438</v>
      </c>
      <c r="C4655">
        <v>0</v>
      </c>
      <c r="D4655" t="s">
        <v>106</v>
      </c>
      <c r="E4655">
        <v>24</v>
      </c>
    </row>
    <row r="4656" spans="1:5">
      <c r="A4656" t="s">
        <v>5434</v>
      </c>
      <c r="B4656" t="s">
        <v>5439</v>
      </c>
      <c r="C4656">
        <f>0</f>
        <v>0</v>
      </c>
      <c r="D4656" t="s">
        <v>106</v>
      </c>
      <c r="E4656">
        <v>24</v>
      </c>
    </row>
    <row r="4657" spans="1:5">
      <c r="A4657" t="s">
        <v>5440</v>
      </c>
      <c r="B4657" t="s">
        <v>5441</v>
      </c>
      <c r="C4657">
        <v>0</v>
      </c>
      <c r="D4657">
        <v>0.84049762231299996</v>
      </c>
      <c r="E4657">
        <v>1.51124437781109</v>
      </c>
    </row>
    <row r="4658" spans="1:5">
      <c r="A4658" t="s">
        <v>5440</v>
      </c>
      <c r="B4658" t="s">
        <v>5442</v>
      </c>
      <c r="C4658">
        <v>0</v>
      </c>
      <c r="D4658">
        <v>0.84049762231299996</v>
      </c>
      <c r="E4658">
        <v>1.51124437781109</v>
      </c>
    </row>
    <row r="4659" spans="1:5">
      <c r="A4659" t="s">
        <v>5440</v>
      </c>
      <c r="B4659" t="s">
        <v>5443</v>
      </c>
      <c r="C4659">
        <v>0</v>
      </c>
      <c r="D4659">
        <v>0.84049762231299996</v>
      </c>
      <c r="E4659">
        <v>1.51124437781109</v>
      </c>
    </row>
    <row r="4660" spans="1:5">
      <c r="A4660" t="s">
        <v>5440</v>
      </c>
      <c r="B4660" t="s">
        <v>5444</v>
      </c>
      <c r="C4660">
        <v>0</v>
      </c>
      <c r="D4660">
        <v>0.84049762231299996</v>
      </c>
      <c r="E4660">
        <v>1.51124437781109</v>
      </c>
    </row>
    <row r="4661" spans="1:5">
      <c r="A4661" t="s">
        <v>5440</v>
      </c>
      <c r="B4661" t="s">
        <v>5445</v>
      </c>
      <c r="C4661">
        <v>0</v>
      </c>
      <c r="D4661">
        <v>0.84049762231299996</v>
      </c>
      <c r="E4661">
        <v>1.51124437781109</v>
      </c>
    </row>
    <row r="4662" spans="1:5">
      <c r="A4662" t="s">
        <v>5440</v>
      </c>
      <c r="B4662" t="s">
        <v>5446</v>
      </c>
      <c r="C4662">
        <v>0</v>
      </c>
      <c r="D4662">
        <v>0.84049762231299996</v>
      </c>
      <c r="E4662">
        <v>1.51124437781109</v>
      </c>
    </row>
    <row r="4663" spans="1:5">
      <c r="A4663" t="s">
        <v>5440</v>
      </c>
      <c r="B4663" t="s">
        <v>5447</v>
      </c>
      <c r="C4663">
        <v>0</v>
      </c>
      <c r="D4663">
        <v>0.84049762231299996</v>
      </c>
      <c r="E4663">
        <v>1.51124437781109</v>
      </c>
    </row>
    <row r="4664" spans="1:5">
      <c r="A4664" t="s">
        <v>5440</v>
      </c>
      <c r="B4664" t="s">
        <v>5448</v>
      </c>
      <c r="C4664">
        <v>0</v>
      </c>
      <c r="D4664">
        <v>0.84049762231299996</v>
      </c>
      <c r="E4664">
        <v>1.51124437781109</v>
      </c>
    </row>
    <row r="4665" spans="1:5">
      <c r="A4665" t="s">
        <v>5440</v>
      </c>
      <c r="B4665" t="s">
        <v>5449</v>
      </c>
      <c r="C4665">
        <v>7.2685666754100001E-2</v>
      </c>
      <c r="D4665">
        <v>0.84049762231299996</v>
      </c>
      <c r="E4665">
        <v>1.51124437781109</v>
      </c>
    </row>
    <row r="4666" spans="1:5">
      <c r="A4666" t="s">
        <v>5440</v>
      </c>
      <c r="B4666" t="s">
        <v>5450</v>
      </c>
      <c r="C4666">
        <v>0</v>
      </c>
      <c r="D4666">
        <v>0.84049762231299996</v>
      </c>
      <c r="E4666">
        <v>1.51124437781109</v>
      </c>
    </row>
    <row r="4667" spans="1:5">
      <c r="A4667" t="s">
        <v>5451</v>
      </c>
      <c r="B4667" t="s">
        <v>5452</v>
      </c>
      <c r="C4667">
        <v>0</v>
      </c>
      <c r="D4667">
        <v>0.99784034042799996</v>
      </c>
      <c r="E4667">
        <v>9.0194902548725597</v>
      </c>
    </row>
    <row r="4668" spans="1:5">
      <c r="A4668" t="s">
        <v>5451</v>
      </c>
      <c r="B4668" t="s">
        <v>5453</v>
      </c>
      <c r="C4668">
        <f>0</f>
        <v>0</v>
      </c>
      <c r="D4668">
        <v>0.99784034042799996</v>
      </c>
      <c r="E4668">
        <v>9.0194902548725597</v>
      </c>
    </row>
    <row r="4669" spans="1:5">
      <c r="A4669" t="s">
        <v>5451</v>
      </c>
      <c r="B4669" t="s">
        <v>5454</v>
      </c>
      <c r="C4669">
        <v>9.3659831166000004E-2</v>
      </c>
      <c r="D4669">
        <v>0.99784034042799996</v>
      </c>
      <c r="E4669">
        <v>9.0194902548725597</v>
      </c>
    </row>
    <row r="4670" spans="1:5">
      <c r="A4670" t="s">
        <v>5451</v>
      </c>
      <c r="B4670" t="s">
        <v>5455</v>
      </c>
      <c r="C4670">
        <v>0</v>
      </c>
      <c r="D4670">
        <v>0.99784034042799996</v>
      </c>
      <c r="E4670">
        <v>9.0194902548725597</v>
      </c>
    </row>
    <row r="4671" spans="1:5">
      <c r="A4671" t="s">
        <v>5451</v>
      </c>
      <c r="B4671" t="s">
        <v>5456</v>
      </c>
      <c r="C4671">
        <v>0.25401217552900002</v>
      </c>
      <c r="D4671">
        <v>0.99784034042799996</v>
      </c>
      <c r="E4671">
        <v>9.0194902548725597</v>
      </c>
    </row>
    <row r="4672" spans="1:5">
      <c r="A4672" t="s">
        <v>5451</v>
      </c>
      <c r="B4672" t="s">
        <v>5457</v>
      </c>
      <c r="C4672">
        <v>0</v>
      </c>
      <c r="D4672">
        <v>0.99784034042799996</v>
      </c>
      <c r="E4672">
        <v>9.0194902548725597</v>
      </c>
    </row>
    <row r="4673" spans="1:5">
      <c r="A4673" t="s">
        <v>5451</v>
      </c>
      <c r="B4673" t="s">
        <v>5458</v>
      </c>
      <c r="C4673">
        <v>0</v>
      </c>
      <c r="D4673">
        <v>0.99784034042799996</v>
      </c>
      <c r="E4673">
        <v>9.0194902548725597</v>
      </c>
    </row>
    <row r="4674" spans="1:5">
      <c r="A4674" t="s">
        <v>5451</v>
      </c>
      <c r="B4674" t="s">
        <v>5459</v>
      </c>
      <c r="C4674">
        <v>0</v>
      </c>
      <c r="D4674">
        <v>0.99784034042799996</v>
      </c>
      <c r="E4674">
        <v>9.0194902548725597</v>
      </c>
    </row>
    <row r="4675" spans="1:5">
      <c r="A4675" t="s">
        <v>5460</v>
      </c>
      <c r="B4675" t="s">
        <v>5461</v>
      </c>
      <c r="C4675">
        <v>0</v>
      </c>
      <c r="D4675" t="s">
        <v>106</v>
      </c>
      <c r="E4675">
        <v>12.7376311844077</v>
      </c>
    </row>
    <row r="4676" spans="1:5">
      <c r="A4676" t="s">
        <v>5460</v>
      </c>
      <c r="B4676" t="s">
        <v>5462</v>
      </c>
      <c r="C4676">
        <f>0</f>
        <v>0</v>
      </c>
      <c r="D4676" t="s">
        <v>106</v>
      </c>
      <c r="E4676">
        <v>12.7376311844077</v>
      </c>
    </row>
    <row r="4677" spans="1:5">
      <c r="A4677" t="s">
        <v>5463</v>
      </c>
      <c r="B4677" t="s">
        <v>5464</v>
      </c>
      <c r="C4677">
        <f>0.232150948086</f>
        <v>0.23215094808600001</v>
      </c>
      <c r="D4677">
        <v>0.88059727758899997</v>
      </c>
      <c r="E4677">
        <v>6.8005997001499203</v>
      </c>
    </row>
    <row r="4678" spans="1:5">
      <c r="A4678" t="s">
        <v>5463</v>
      </c>
      <c r="B4678" t="s">
        <v>5465</v>
      </c>
      <c r="C4678">
        <v>0.481980047563</v>
      </c>
      <c r="D4678">
        <v>0.88059727758899997</v>
      </c>
      <c r="E4678">
        <v>6.8005997001499203</v>
      </c>
    </row>
    <row r="4679" spans="1:5">
      <c r="A4679" t="s">
        <v>5463</v>
      </c>
      <c r="B4679" t="s">
        <v>5466</v>
      </c>
      <c r="C4679">
        <f>0</f>
        <v>0</v>
      </c>
      <c r="D4679">
        <v>0.88059727758899997</v>
      </c>
      <c r="E4679">
        <v>6.8005997001499203</v>
      </c>
    </row>
    <row r="4680" spans="1:5">
      <c r="A4680" t="s">
        <v>5463</v>
      </c>
      <c r="B4680" t="s">
        <v>5467</v>
      </c>
      <c r="C4680">
        <v>0</v>
      </c>
      <c r="D4680">
        <v>0.88059727758899997</v>
      </c>
      <c r="E4680">
        <v>6.8005997001499203</v>
      </c>
    </row>
    <row r="4681" spans="1:5">
      <c r="A4681" t="s">
        <v>5463</v>
      </c>
      <c r="B4681" t="s">
        <v>5468</v>
      </c>
      <c r="C4681">
        <v>0</v>
      </c>
      <c r="D4681">
        <v>0.88059727758899997</v>
      </c>
      <c r="E4681">
        <v>6.8005997001499203</v>
      </c>
    </row>
    <row r="4682" spans="1:5">
      <c r="A4682" t="s">
        <v>5463</v>
      </c>
      <c r="B4682" t="s">
        <v>5469</v>
      </c>
      <c r="C4682">
        <v>0</v>
      </c>
      <c r="D4682">
        <v>0.88059727758899997</v>
      </c>
      <c r="E4682">
        <v>6.8005997001499203</v>
      </c>
    </row>
    <row r="4683" spans="1:5">
      <c r="A4683" t="s">
        <v>5470</v>
      </c>
      <c r="B4683" t="s">
        <v>5471</v>
      </c>
      <c r="C4683">
        <v>0</v>
      </c>
      <c r="D4683">
        <v>0.84719597914300004</v>
      </c>
      <c r="E4683">
        <v>4.58170914542728</v>
      </c>
    </row>
    <row r="4684" spans="1:5">
      <c r="A4684" t="s">
        <v>5470</v>
      </c>
      <c r="B4684" t="s">
        <v>5472</v>
      </c>
      <c r="C4684">
        <v>0</v>
      </c>
      <c r="D4684">
        <v>0.84719597914300004</v>
      </c>
      <c r="E4684">
        <v>4.58170914542728</v>
      </c>
    </row>
    <row r="4685" spans="1:5">
      <c r="A4685" t="s">
        <v>5470</v>
      </c>
      <c r="B4685" t="s">
        <v>5473</v>
      </c>
      <c r="C4685">
        <v>0</v>
      </c>
      <c r="D4685">
        <v>0.84719597914300004</v>
      </c>
      <c r="E4685">
        <v>4.58170914542728</v>
      </c>
    </row>
    <row r="4686" spans="1:5">
      <c r="A4686" t="s">
        <v>5474</v>
      </c>
      <c r="B4686" t="s">
        <v>5475</v>
      </c>
      <c r="C4686">
        <v>0</v>
      </c>
      <c r="D4686" t="s">
        <v>106</v>
      </c>
      <c r="E4686">
        <v>22.5727136431784</v>
      </c>
    </row>
    <row r="4687" spans="1:5">
      <c r="A4687" t="s">
        <v>5474</v>
      </c>
      <c r="B4687" t="s">
        <v>5476</v>
      </c>
      <c r="C4687">
        <v>0</v>
      </c>
      <c r="D4687" t="s">
        <v>106</v>
      </c>
      <c r="E4687">
        <v>22.5727136431784</v>
      </c>
    </row>
    <row r="4688" spans="1:5">
      <c r="A4688" t="s">
        <v>5474</v>
      </c>
      <c r="B4688" t="s">
        <v>5477</v>
      </c>
      <c r="C4688">
        <v>0</v>
      </c>
      <c r="D4688" t="s">
        <v>106</v>
      </c>
      <c r="E4688">
        <v>22.5727136431784</v>
      </c>
    </row>
    <row r="4689" spans="1:5">
      <c r="A4689" t="s">
        <v>5474</v>
      </c>
      <c r="B4689" t="s">
        <v>5478</v>
      </c>
      <c r="C4689">
        <v>0</v>
      </c>
      <c r="D4689" t="s">
        <v>106</v>
      </c>
      <c r="E4689">
        <v>22.5727136431784</v>
      </c>
    </row>
    <row r="4690" spans="1:5">
      <c r="A4690" t="s">
        <v>5474</v>
      </c>
      <c r="B4690" t="s">
        <v>5479</v>
      </c>
      <c r="C4690">
        <v>6.4102814773599999E-3</v>
      </c>
      <c r="D4690" t="s">
        <v>106</v>
      </c>
      <c r="E4690">
        <v>22.5727136431784</v>
      </c>
    </row>
    <row r="4691" spans="1:5">
      <c r="A4691" t="s">
        <v>5480</v>
      </c>
      <c r="B4691" t="s">
        <v>5481</v>
      </c>
      <c r="C4691">
        <v>0</v>
      </c>
      <c r="D4691">
        <v>0.89918250877799999</v>
      </c>
      <c r="E4691">
        <v>4.68965517241379</v>
      </c>
    </row>
    <row r="4692" spans="1:5">
      <c r="A4692" t="s">
        <v>5480</v>
      </c>
      <c r="B4692" t="s">
        <v>5482</v>
      </c>
      <c r="C4692">
        <f>0</f>
        <v>0</v>
      </c>
      <c r="D4692">
        <v>0.89918250877799999</v>
      </c>
      <c r="E4692">
        <v>4.68965517241379</v>
      </c>
    </row>
    <row r="4693" spans="1:5">
      <c r="A4693" t="s">
        <v>5480</v>
      </c>
      <c r="B4693" t="s">
        <v>5483</v>
      </c>
      <c r="C4693">
        <v>0</v>
      </c>
      <c r="D4693">
        <v>0.89918250877799999</v>
      </c>
      <c r="E4693">
        <v>4.68965517241379</v>
      </c>
    </row>
    <row r="4694" spans="1:5">
      <c r="A4694" t="s">
        <v>5480</v>
      </c>
      <c r="B4694" t="s">
        <v>5484</v>
      </c>
      <c r="C4694">
        <f>0</f>
        <v>0</v>
      </c>
      <c r="D4694">
        <v>0.89918250877799999</v>
      </c>
      <c r="E4694">
        <v>4.68965517241379</v>
      </c>
    </row>
    <row r="4695" spans="1:5">
      <c r="A4695" t="s">
        <v>5480</v>
      </c>
      <c r="B4695" t="s">
        <v>5485</v>
      </c>
      <c r="C4695">
        <v>0</v>
      </c>
      <c r="D4695">
        <v>0.89918250877799999</v>
      </c>
      <c r="E4695">
        <v>4.68965517241379</v>
      </c>
    </row>
    <row r="4696" spans="1:5">
      <c r="A4696" t="s">
        <v>5486</v>
      </c>
      <c r="B4696" t="s">
        <v>5487</v>
      </c>
      <c r="C4696">
        <f>0.187551235901</f>
        <v>0.18755123590100001</v>
      </c>
      <c r="D4696">
        <v>0.99864172131700002</v>
      </c>
      <c r="E4696">
        <v>0.69565217391304301</v>
      </c>
    </row>
    <row r="4697" spans="1:5">
      <c r="A4697" t="s">
        <v>5486</v>
      </c>
      <c r="B4697" t="s">
        <v>5488</v>
      </c>
      <c r="C4697">
        <f>0.35381050364</f>
        <v>0.35381050364</v>
      </c>
      <c r="D4697">
        <v>0.99864172131700002</v>
      </c>
      <c r="E4697">
        <v>0.69565217391304301</v>
      </c>
    </row>
    <row r="4698" spans="1:5">
      <c r="A4698" t="s">
        <v>5489</v>
      </c>
      <c r="B4698" t="s">
        <v>5490</v>
      </c>
      <c r="C4698">
        <v>0</v>
      </c>
      <c r="D4698">
        <v>0.75953356086299995</v>
      </c>
      <c r="E4698">
        <v>24</v>
      </c>
    </row>
    <row r="4699" spans="1:5">
      <c r="A4699" t="s">
        <v>5489</v>
      </c>
      <c r="B4699" t="s">
        <v>5491</v>
      </c>
      <c r="C4699">
        <f>0.0369176863385</f>
        <v>3.6917686338499997E-2</v>
      </c>
      <c r="D4699">
        <v>0.75953356086299995</v>
      </c>
      <c r="E4699">
        <v>24</v>
      </c>
    </row>
    <row r="4700" spans="1:5">
      <c r="A4700" t="s">
        <v>5489</v>
      </c>
      <c r="B4700" t="s">
        <v>5492</v>
      </c>
      <c r="C4700">
        <v>0</v>
      </c>
      <c r="D4700">
        <v>0.75953356086299995</v>
      </c>
      <c r="E4700">
        <v>24</v>
      </c>
    </row>
    <row r="4701" spans="1:5">
      <c r="A4701" t="s">
        <v>5489</v>
      </c>
      <c r="B4701" t="s">
        <v>5493</v>
      </c>
      <c r="C4701">
        <v>0</v>
      </c>
      <c r="D4701">
        <v>0.75953356086299995</v>
      </c>
      <c r="E4701">
        <v>24</v>
      </c>
    </row>
    <row r="4702" spans="1:5">
      <c r="A4702" t="s">
        <v>5489</v>
      </c>
      <c r="B4702" t="s">
        <v>5494</v>
      </c>
      <c r="C4702">
        <v>0</v>
      </c>
      <c r="D4702">
        <v>0.75953356086299995</v>
      </c>
      <c r="E4702">
        <v>24</v>
      </c>
    </row>
    <row r="4703" spans="1:5">
      <c r="A4703" t="s">
        <v>5489</v>
      </c>
      <c r="B4703" t="s">
        <v>5495</v>
      </c>
      <c r="C4703">
        <v>4.0188913398099997E-2</v>
      </c>
      <c r="D4703">
        <v>0.75953356086299995</v>
      </c>
      <c r="E4703">
        <v>24</v>
      </c>
    </row>
    <row r="4704" spans="1:5">
      <c r="A4704" t="s">
        <v>5489</v>
      </c>
      <c r="B4704" t="s">
        <v>5496</v>
      </c>
      <c r="C4704">
        <v>0</v>
      </c>
      <c r="D4704">
        <v>0.75953356086299995</v>
      </c>
      <c r="E4704">
        <v>24</v>
      </c>
    </row>
    <row r="4705" spans="1:5">
      <c r="A4705" t="s">
        <v>5489</v>
      </c>
      <c r="B4705" t="s">
        <v>5497</v>
      </c>
      <c r="C4705">
        <v>0</v>
      </c>
      <c r="D4705">
        <v>0.75953356086299995</v>
      </c>
      <c r="E4705">
        <v>24</v>
      </c>
    </row>
    <row r="4706" spans="1:5">
      <c r="A4706" t="s">
        <v>5489</v>
      </c>
      <c r="B4706" t="s">
        <v>5498</v>
      </c>
      <c r="C4706">
        <v>0</v>
      </c>
      <c r="D4706">
        <v>0.75953356086299995</v>
      </c>
      <c r="E4706">
        <v>24</v>
      </c>
    </row>
    <row r="4707" spans="1:5">
      <c r="A4707" t="s">
        <v>5489</v>
      </c>
      <c r="B4707" t="s">
        <v>5499</v>
      </c>
      <c r="C4707">
        <v>0</v>
      </c>
      <c r="D4707">
        <v>0.75953356086299995</v>
      </c>
      <c r="E4707">
        <v>24</v>
      </c>
    </row>
    <row r="4708" spans="1:5">
      <c r="A4708" t="s">
        <v>5500</v>
      </c>
      <c r="B4708" t="s">
        <v>5501</v>
      </c>
      <c r="C4708">
        <f>0</f>
        <v>0</v>
      </c>
      <c r="D4708" t="s">
        <v>106</v>
      </c>
      <c r="E4708">
        <v>22.800599700149899</v>
      </c>
    </row>
    <row r="4709" spans="1:5">
      <c r="A4709" t="s">
        <v>5500</v>
      </c>
      <c r="B4709" t="s">
        <v>5502</v>
      </c>
      <c r="C4709">
        <v>0.101739352384</v>
      </c>
      <c r="D4709" t="s">
        <v>106</v>
      </c>
      <c r="E4709">
        <v>22.800599700149899</v>
      </c>
    </row>
    <row r="4710" spans="1:5">
      <c r="A4710" t="s">
        <v>5500</v>
      </c>
      <c r="B4710" t="s">
        <v>5503</v>
      </c>
      <c r="C4710">
        <f>0</f>
        <v>0</v>
      </c>
      <c r="D4710" t="s">
        <v>106</v>
      </c>
      <c r="E4710">
        <v>22.800599700149899</v>
      </c>
    </row>
    <row r="4711" spans="1:5">
      <c r="A4711" t="s">
        <v>5504</v>
      </c>
      <c r="B4711" t="s">
        <v>5505</v>
      </c>
      <c r="C4711">
        <f>0.0155532442147</f>
        <v>1.55532442147E-2</v>
      </c>
      <c r="D4711" t="s">
        <v>106</v>
      </c>
      <c r="E4711">
        <v>6.8005997001499203</v>
      </c>
    </row>
    <row r="4712" spans="1:5">
      <c r="A4712" t="s">
        <v>5504</v>
      </c>
      <c r="B4712" t="s">
        <v>5506</v>
      </c>
      <c r="C4712">
        <v>0</v>
      </c>
      <c r="D4712" t="s">
        <v>106</v>
      </c>
      <c r="E4712">
        <v>6.8005997001499203</v>
      </c>
    </row>
    <row r="4713" spans="1:5">
      <c r="A4713" t="s">
        <v>5504</v>
      </c>
      <c r="B4713" t="s">
        <v>5507</v>
      </c>
      <c r="C4713">
        <v>0</v>
      </c>
      <c r="D4713" t="s">
        <v>106</v>
      </c>
      <c r="E4713">
        <v>6.8005997001499203</v>
      </c>
    </row>
    <row r="4714" spans="1:5">
      <c r="A4714" t="s">
        <v>5504</v>
      </c>
      <c r="B4714" t="s">
        <v>5508</v>
      </c>
      <c r="C4714">
        <f>0.11695523988</f>
        <v>0.11695523988000001</v>
      </c>
      <c r="D4714" t="s">
        <v>106</v>
      </c>
      <c r="E4714">
        <v>6.8005997001499203</v>
      </c>
    </row>
    <row r="4715" spans="1:5">
      <c r="A4715" t="s">
        <v>5504</v>
      </c>
      <c r="B4715" t="s">
        <v>5509</v>
      </c>
      <c r="C4715">
        <v>0</v>
      </c>
      <c r="D4715" t="s">
        <v>106</v>
      </c>
      <c r="E4715">
        <v>6.8005997001499203</v>
      </c>
    </row>
    <row r="4716" spans="1:5">
      <c r="A4716" t="s">
        <v>5504</v>
      </c>
      <c r="B4716" t="s">
        <v>5510</v>
      </c>
      <c r="C4716">
        <v>0</v>
      </c>
      <c r="D4716" t="s">
        <v>106</v>
      </c>
      <c r="E4716">
        <v>6.8005997001499203</v>
      </c>
    </row>
    <row r="4717" spans="1:5">
      <c r="A4717" t="s">
        <v>5504</v>
      </c>
      <c r="B4717" t="s">
        <v>5511</v>
      </c>
      <c r="C4717">
        <f>0</f>
        <v>0</v>
      </c>
      <c r="D4717" t="s">
        <v>106</v>
      </c>
      <c r="E4717">
        <v>6.8005997001499203</v>
      </c>
    </row>
    <row r="4718" spans="1:5">
      <c r="A4718" t="s">
        <v>5504</v>
      </c>
      <c r="B4718" t="s">
        <v>5512</v>
      </c>
      <c r="C4718">
        <f>0</f>
        <v>0</v>
      </c>
      <c r="D4718" t="s">
        <v>106</v>
      </c>
      <c r="E4718">
        <v>6.8005997001499203</v>
      </c>
    </row>
    <row r="4719" spans="1:5">
      <c r="A4719" t="s">
        <v>5504</v>
      </c>
      <c r="B4719" t="s">
        <v>5513</v>
      </c>
      <c r="C4719">
        <f>0</f>
        <v>0</v>
      </c>
      <c r="D4719" t="s">
        <v>106</v>
      </c>
      <c r="E4719">
        <v>6.8005997001499203</v>
      </c>
    </row>
    <row r="4720" spans="1:5">
      <c r="A4720" t="s">
        <v>5504</v>
      </c>
      <c r="B4720" t="s">
        <v>5514</v>
      </c>
      <c r="C4720">
        <v>0</v>
      </c>
      <c r="D4720" t="s">
        <v>106</v>
      </c>
      <c r="E4720">
        <v>6.8005997001499203</v>
      </c>
    </row>
    <row r="4721" spans="1:5">
      <c r="A4721" t="s">
        <v>5504</v>
      </c>
      <c r="B4721" t="s">
        <v>5515</v>
      </c>
      <c r="C4721">
        <f>0</f>
        <v>0</v>
      </c>
      <c r="D4721" t="s">
        <v>106</v>
      </c>
      <c r="E4721">
        <v>6.8005997001499203</v>
      </c>
    </row>
    <row r="4722" spans="1:5">
      <c r="A4722" t="s">
        <v>5516</v>
      </c>
      <c r="B4722" t="s">
        <v>5517</v>
      </c>
      <c r="C4722">
        <v>0.53061950084599996</v>
      </c>
      <c r="D4722">
        <v>0.91396853576899995</v>
      </c>
      <c r="E4722">
        <v>13.625187406296799</v>
      </c>
    </row>
    <row r="4723" spans="1:5">
      <c r="A4723" t="s">
        <v>5518</v>
      </c>
      <c r="B4723" t="s">
        <v>5519</v>
      </c>
      <c r="C4723">
        <f>0</f>
        <v>0</v>
      </c>
      <c r="D4723" t="s">
        <v>106</v>
      </c>
      <c r="E4723">
        <v>0.86356821589205401</v>
      </c>
    </row>
    <row r="4724" spans="1:5">
      <c r="A4724" t="s">
        <v>5518</v>
      </c>
      <c r="B4724" t="s">
        <v>5520</v>
      </c>
      <c r="C4724">
        <v>0</v>
      </c>
      <c r="D4724" t="s">
        <v>106</v>
      </c>
      <c r="E4724">
        <v>0.86356821589205401</v>
      </c>
    </row>
    <row r="4725" spans="1:5">
      <c r="A4725" t="s">
        <v>5521</v>
      </c>
      <c r="B4725" t="s">
        <v>5522</v>
      </c>
      <c r="C4725">
        <v>0</v>
      </c>
      <c r="D4725" t="s">
        <v>106</v>
      </c>
      <c r="E4725">
        <v>17.103448275862</v>
      </c>
    </row>
    <row r="4726" spans="1:5">
      <c r="A4726" t="s">
        <v>5521</v>
      </c>
      <c r="B4726" t="s">
        <v>5523</v>
      </c>
      <c r="C4726">
        <v>6.7525444947600004E-3</v>
      </c>
      <c r="D4726" t="s">
        <v>106</v>
      </c>
      <c r="E4726">
        <v>17.103448275862</v>
      </c>
    </row>
    <row r="4727" spans="1:5">
      <c r="A4727" t="s">
        <v>5521</v>
      </c>
      <c r="B4727" t="s">
        <v>5524</v>
      </c>
      <c r="C4727">
        <v>0</v>
      </c>
      <c r="D4727" t="s">
        <v>106</v>
      </c>
      <c r="E4727">
        <v>17.103448275862</v>
      </c>
    </row>
    <row r="4728" spans="1:5">
      <c r="A4728" t="s">
        <v>5521</v>
      </c>
      <c r="B4728" t="s">
        <v>5525</v>
      </c>
      <c r="C4728">
        <v>4.6011580839599997E-2</v>
      </c>
      <c r="D4728" t="s">
        <v>106</v>
      </c>
      <c r="E4728">
        <v>17.103448275862</v>
      </c>
    </row>
    <row r="4729" spans="1:5">
      <c r="A4729" t="s">
        <v>5521</v>
      </c>
      <c r="B4729" t="s">
        <v>5526</v>
      </c>
      <c r="C4729">
        <v>0</v>
      </c>
      <c r="D4729" t="s">
        <v>106</v>
      </c>
      <c r="E4729">
        <v>17.103448275862</v>
      </c>
    </row>
    <row r="4730" spans="1:5">
      <c r="A4730" t="s">
        <v>5521</v>
      </c>
      <c r="B4730" t="s">
        <v>5527</v>
      </c>
      <c r="C4730">
        <v>0</v>
      </c>
      <c r="D4730" t="s">
        <v>106</v>
      </c>
      <c r="E4730">
        <v>17.103448275862</v>
      </c>
    </row>
    <row r="4731" spans="1:5">
      <c r="A4731" t="s">
        <v>5521</v>
      </c>
      <c r="B4731" t="s">
        <v>5528</v>
      </c>
      <c r="C4731">
        <v>0</v>
      </c>
      <c r="D4731" t="s">
        <v>106</v>
      </c>
      <c r="E4731">
        <v>17.103448275862</v>
      </c>
    </row>
    <row r="4732" spans="1:5">
      <c r="A4732" t="s">
        <v>5521</v>
      </c>
      <c r="B4732" t="s">
        <v>5529</v>
      </c>
      <c r="C4732">
        <v>0</v>
      </c>
      <c r="D4732" t="s">
        <v>106</v>
      </c>
      <c r="E4732">
        <v>17.103448275862</v>
      </c>
    </row>
    <row r="4733" spans="1:5">
      <c r="A4733" t="s">
        <v>5530</v>
      </c>
      <c r="B4733" t="s">
        <v>5531</v>
      </c>
      <c r="C4733">
        <v>0.28483053006699999</v>
      </c>
      <c r="D4733">
        <v>0.96037439681400005</v>
      </c>
      <c r="E4733">
        <v>11.8740629685157</v>
      </c>
    </row>
    <row r="4734" spans="1:5">
      <c r="A4734" t="s">
        <v>5530</v>
      </c>
      <c r="B4734" t="s">
        <v>5532</v>
      </c>
      <c r="C4734">
        <f>0.163168946632</f>
        <v>0.16316894663199999</v>
      </c>
      <c r="D4734">
        <v>0.96037439681400005</v>
      </c>
      <c r="E4734">
        <v>11.8740629685157</v>
      </c>
    </row>
    <row r="4735" spans="1:5">
      <c r="A4735" t="s">
        <v>5530</v>
      </c>
      <c r="B4735" t="s">
        <v>5533</v>
      </c>
      <c r="C4735">
        <f>0</f>
        <v>0</v>
      </c>
      <c r="D4735">
        <v>0.96037439681400005</v>
      </c>
      <c r="E4735">
        <v>11.8740629685157</v>
      </c>
    </row>
    <row r="4736" spans="1:5">
      <c r="A4736" t="s">
        <v>5534</v>
      </c>
      <c r="B4736" t="s">
        <v>5535</v>
      </c>
      <c r="C4736">
        <v>0</v>
      </c>
      <c r="D4736" t="s">
        <v>106</v>
      </c>
      <c r="E4736">
        <v>14.740629685157399</v>
      </c>
    </row>
    <row r="4737" spans="1:5">
      <c r="A4737" t="s">
        <v>5534</v>
      </c>
      <c r="B4737" t="s">
        <v>5536</v>
      </c>
      <c r="C4737">
        <v>0</v>
      </c>
      <c r="D4737" t="s">
        <v>106</v>
      </c>
      <c r="E4737">
        <v>14.740629685157399</v>
      </c>
    </row>
    <row r="4738" spans="1:5">
      <c r="A4738" t="s">
        <v>5534</v>
      </c>
      <c r="B4738" t="s">
        <v>5537</v>
      </c>
      <c r="C4738">
        <v>0</v>
      </c>
      <c r="D4738" t="s">
        <v>106</v>
      </c>
      <c r="E4738">
        <v>14.740629685157399</v>
      </c>
    </row>
    <row r="4739" spans="1:5">
      <c r="A4739" t="s">
        <v>5538</v>
      </c>
      <c r="B4739" t="s">
        <v>5539</v>
      </c>
      <c r="C4739">
        <f>0</f>
        <v>0</v>
      </c>
      <c r="D4739">
        <v>0.99571507503099999</v>
      </c>
      <c r="E4739">
        <v>6.0569715142428704</v>
      </c>
    </row>
    <row r="4740" spans="1:5">
      <c r="A4740" t="s">
        <v>5538</v>
      </c>
      <c r="B4740" t="s">
        <v>5540</v>
      </c>
      <c r="C4740">
        <f>0.0191815235225</f>
        <v>1.9181523522500001E-2</v>
      </c>
      <c r="D4740">
        <v>0.99571507503099999</v>
      </c>
      <c r="E4740">
        <v>6.0569715142428704</v>
      </c>
    </row>
    <row r="4741" spans="1:5">
      <c r="A4741" t="s">
        <v>5538</v>
      </c>
      <c r="B4741" t="s">
        <v>5541</v>
      </c>
      <c r="C4741">
        <v>0</v>
      </c>
      <c r="D4741">
        <v>0.99571507503099999</v>
      </c>
      <c r="E4741">
        <v>6.0569715142428704</v>
      </c>
    </row>
    <row r="4742" spans="1:5">
      <c r="A4742" t="s">
        <v>5538</v>
      </c>
      <c r="B4742" t="s">
        <v>5542</v>
      </c>
      <c r="C4742">
        <f>0.00172411151726</f>
        <v>1.72411151726E-3</v>
      </c>
      <c r="D4742">
        <v>0.99571507503099999</v>
      </c>
      <c r="E4742">
        <v>6.0569715142428704</v>
      </c>
    </row>
    <row r="4743" spans="1:5">
      <c r="A4743" t="s">
        <v>5543</v>
      </c>
      <c r="B4743" t="s">
        <v>5544</v>
      </c>
      <c r="C4743">
        <v>8.0705539016799999E-2</v>
      </c>
      <c r="D4743">
        <v>0.50048855995599995</v>
      </c>
      <c r="E4743">
        <v>20.509745127436201</v>
      </c>
    </row>
    <row r="4744" spans="1:5">
      <c r="A4744" t="s">
        <v>5543</v>
      </c>
      <c r="B4744" t="s">
        <v>5545</v>
      </c>
      <c r="C4744">
        <v>0</v>
      </c>
      <c r="D4744">
        <v>0.50048855995599995</v>
      </c>
      <c r="E4744">
        <v>20.509745127436201</v>
      </c>
    </row>
    <row r="4745" spans="1:5">
      <c r="A4745" t="s">
        <v>5543</v>
      </c>
      <c r="B4745" t="s">
        <v>5546</v>
      </c>
      <c r="C4745">
        <v>0</v>
      </c>
      <c r="D4745">
        <v>0.50048855995599995</v>
      </c>
      <c r="E4745">
        <v>20.509745127436201</v>
      </c>
    </row>
    <row r="4746" spans="1:5">
      <c r="A4746" t="s">
        <v>5543</v>
      </c>
      <c r="B4746" t="s">
        <v>5547</v>
      </c>
      <c r="C4746">
        <v>5.8775539188700002E-2</v>
      </c>
      <c r="D4746">
        <v>0.50048855995599995</v>
      </c>
      <c r="E4746">
        <v>20.509745127436201</v>
      </c>
    </row>
    <row r="4747" spans="1:5">
      <c r="A4747" t="s">
        <v>5543</v>
      </c>
      <c r="B4747" t="s">
        <v>5548</v>
      </c>
      <c r="C4747">
        <v>0</v>
      </c>
      <c r="D4747">
        <v>0.50048855995599995</v>
      </c>
      <c r="E4747">
        <v>20.509745127436201</v>
      </c>
    </row>
    <row r="4748" spans="1:5">
      <c r="A4748" t="s">
        <v>5543</v>
      </c>
      <c r="B4748" t="s">
        <v>5549</v>
      </c>
      <c r="C4748">
        <v>0</v>
      </c>
      <c r="D4748">
        <v>0.50048855995599995</v>
      </c>
      <c r="E4748">
        <v>20.509745127436201</v>
      </c>
    </row>
    <row r="4749" spans="1:5">
      <c r="A4749" t="s">
        <v>5543</v>
      </c>
      <c r="B4749" t="s">
        <v>5550</v>
      </c>
      <c r="C4749">
        <v>0</v>
      </c>
      <c r="D4749">
        <v>0.50048855995599995</v>
      </c>
      <c r="E4749">
        <v>20.509745127436201</v>
      </c>
    </row>
    <row r="4750" spans="1:5">
      <c r="A4750" t="s">
        <v>5543</v>
      </c>
      <c r="B4750" t="s">
        <v>5551</v>
      </c>
      <c r="C4750">
        <v>0</v>
      </c>
      <c r="D4750">
        <v>0.50048855995599995</v>
      </c>
      <c r="E4750">
        <v>20.509745127436201</v>
      </c>
    </row>
    <row r="4751" spans="1:5">
      <c r="A4751" t="s">
        <v>5543</v>
      </c>
      <c r="B4751" t="s">
        <v>5552</v>
      </c>
      <c r="C4751">
        <v>0</v>
      </c>
      <c r="D4751">
        <v>0.50048855995599995</v>
      </c>
      <c r="E4751">
        <v>20.509745127436201</v>
      </c>
    </row>
    <row r="4752" spans="1:5">
      <c r="A4752" t="s">
        <v>5543</v>
      </c>
      <c r="B4752" t="s">
        <v>5553</v>
      </c>
      <c r="C4752">
        <f>0</f>
        <v>0</v>
      </c>
      <c r="D4752">
        <v>0.50048855995599995</v>
      </c>
      <c r="E4752">
        <v>20.509745127436201</v>
      </c>
    </row>
    <row r="4753" spans="1:5">
      <c r="A4753" t="s">
        <v>5543</v>
      </c>
      <c r="B4753" t="s">
        <v>5554</v>
      </c>
      <c r="C4753">
        <v>0</v>
      </c>
      <c r="D4753">
        <v>0.50048855995599995</v>
      </c>
      <c r="E4753">
        <v>20.509745127436201</v>
      </c>
    </row>
    <row r="4754" spans="1:5">
      <c r="A4754" t="s">
        <v>5555</v>
      </c>
      <c r="B4754" t="s">
        <v>5556</v>
      </c>
      <c r="C4754">
        <v>9.9455724442900004E-2</v>
      </c>
      <c r="D4754">
        <v>0.73038644233000005</v>
      </c>
      <c r="E4754">
        <v>4.3778110944527704</v>
      </c>
    </row>
    <row r="4755" spans="1:5">
      <c r="A4755" t="s">
        <v>5557</v>
      </c>
      <c r="B4755" t="s">
        <v>5558</v>
      </c>
      <c r="C4755">
        <f>0</f>
        <v>0</v>
      </c>
      <c r="D4755" t="s">
        <v>106</v>
      </c>
      <c r="E4755">
        <v>1.00749625187406</v>
      </c>
    </row>
    <row r="4756" spans="1:5">
      <c r="A4756" t="s">
        <v>5557</v>
      </c>
      <c r="B4756" t="s">
        <v>5559</v>
      </c>
      <c r="C4756">
        <v>0</v>
      </c>
      <c r="D4756" t="s">
        <v>106</v>
      </c>
      <c r="E4756">
        <v>1.00749625187406</v>
      </c>
    </row>
    <row r="4757" spans="1:5">
      <c r="A4757" t="s">
        <v>5557</v>
      </c>
      <c r="B4757" t="s">
        <v>5560</v>
      </c>
      <c r="C4757">
        <f>0</f>
        <v>0</v>
      </c>
      <c r="D4757" t="s">
        <v>106</v>
      </c>
      <c r="E4757">
        <v>1.00749625187406</v>
      </c>
    </row>
    <row r="4758" spans="1:5">
      <c r="A4758" t="s">
        <v>5557</v>
      </c>
      <c r="B4758" t="s">
        <v>5561</v>
      </c>
      <c r="C4758">
        <v>0</v>
      </c>
      <c r="D4758" t="s">
        <v>106</v>
      </c>
      <c r="E4758">
        <v>1.00749625187406</v>
      </c>
    </row>
    <row r="4759" spans="1:5">
      <c r="A4759" t="s">
        <v>5562</v>
      </c>
      <c r="B4759" t="s">
        <v>5563</v>
      </c>
      <c r="C4759">
        <f>0</f>
        <v>0</v>
      </c>
      <c r="D4759" t="s">
        <v>106</v>
      </c>
      <c r="E4759">
        <v>8.7196401799100407</v>
      </c>
    </row>
    <row r="4760" spans="1:5">
      <c r="A4760" t="s">
        <v>5562</v>
      </c>
      <c r="B4760" t="s">
        <v>5564</v>
      </c>
      <c r="C4760">
        <v>0</v>
      </c>
      <c r="D4760" t="s">
        <v>106</v>
      </c>
      <c r="E4760">
        <v>8.7196401799100407</v>
      </c>
    </row>
    <row r="4761" spans="1:5">
      <c r="A4761" t="s">
        <v>5562</v>
      </c>
      <c r="B4761" t="s">
        <v>5565</v>
      </c>
      <c r="C4761">
        <v>0</v>
      </c>
      <c r="D4761" t="s">
        <v>106</v>
      </c>
      <c r="E4761">
        <v>8.7196401799100407</v>
      </c>
    </row>
    <row r="4762" spans="1:5">
      <c r="A4762" t="s">
        <v>5562</v>
      </c>
      <c r="B4762" t="s">
        <v>5566</v>
      </c>
      <c r="C4762">
        <f>0</f>
        <v>0</v>
      </c>
      <c r="D4762" t="s">
        <v>106</v>
      </c>
      <c r="E4762">
        <v>8.7196401799100407</v>
      </c>
    </row>
    <row r="4763" spans="1:5">
      <c r="A4763" t="s">
        <v>5562</v>
      </c>
      <c r="B4763" t="s">
        <v>5567</v>
      </c>
      <c r="C4763">
        <f>0</f>
        <v>0</v>
      </c>
      <c r="D4763" t="s">
        <v>106</v>
      </c>
      <c r="E4763">
        <v>8.7196401799100407</v>
      </c>
    </row>
    <row r="4764" spans="1:5">
      <c r="A4764" t="s">
        <v>5562</v>
      </c>
      <c r="B4764" t="s">
        <v>5568</v>
      </c>
      <c r="C4764">
        <v>0</v>
      </c>
      <c r="D4764" t="s">
        <v>106</v>
      </c>
      <c r="E4764">
        <v>8.7196401799100407</v>
      </c>
    </row>
    <row r="4765" spans="1:5">
      <c r="A4765" t="s">
        <v>5562</v>
      </c>
      <c r="B4765" t="s">
        <v>5569</v>
      </c>
      <c r="C4765">
        <v>0</v>
      </c>
      <c r="D4765" t="s">
        <v>106</v>
      </c>
      <c r="E4765">
        <v>8.7196401799100407</v>
      </c>
    </row>
    <row r="4766" spans="1:5">
      <c r="A4766" t="s">
        <v>5562</v>
      </c>
      <c r="B4766" t="s">
        <v>5570</v>
      </c>
      <c r="C4766">
        <f>0</f>
        <v>0</v>
      </c>
      <c r="D4766" t="s">
        <v>106</v>
      </c>
      <c r="E4766">
        <v>8.7196401799100407</v>
      </c>
    </row>
    <row r="4767" spans="1:5">
      <c r="A4767" t="s">
        <v>5562</v>
      </c>
      <c r="B4767" t="s">
        <v>5571</v>
      </c>
      <c r="C4767">
        <v>0</v>
      </c>
      <c r="D4767" t="s">
        <v>106</v>
      </c>
      <c r="E4767">
        <v>8.7196401799100407</v>
      </c>
    </row>
    <row r="4768" spans="1:5">
      <c r="A4768" t="s">
        <v>5572</v>
      </c>
      <c r="B4768" t="s">
        <v>5573</v>
      </c>
      <c r="C4768">
        <v>0</v>
      </c>
      <c r="D4768">
        <v>0.99818050933699998</v>
      </c>
      <c r="E4768">
        <v>10.710644677661101</v>
      </c>
    </row>
    <row r="4769" spans="1:5">
      <c r="A4769" t="s">
        <v>5572</v>
      </c>
      <c r="B4769" t="s">
        <v>5574</v>
      </c>
      <c r="C4769">
        <f>0</f>
        <v>0</v>
      </c>
      <c r="D4769">
        <v>0.99818050933699998</v>
      </c>
      <c r="E4769">
        <v>10.710644677661101</v>
      </c>
    </row>
    <row r="4770" spans="1:5">
      <c r="A4770" t="s">
        <v>5572</v>
      </c>
      <c r="B4770" t="s">
        <v>5575</v>
      </c>
      <c r="C4770">
        <v>0</v>
      </c>
      <c r="D4770">
        <v>0.99818050933699998</v>
      </c>
      <c r="E4770">
        <v>10.710644677661101</v>
      </c>
    </row>
    <row r="4771" spans="1:5">
      <c r="A4771" t="s">
        <v>5572</v>
      </c>
      <c r="B4771" t="s">
        <v>5576</v>
      </c>
      <c r="C4771">
        <v>0</v>
      </c>
      <c r="D4771">
        <v>0.99818050933699998</v>
      </c>
      <c r="E4771">
        <v>10.710644677661101</v>
      </c>
    </row>
    <row r="4772" spans="1:5">
      <c r="A4772" t="s">
        <v>5572</v>
      </c>
      <c r="B4772" t="s">
        <v>5577</v>
      </c>
      <c r="C4772">
        <v>0</v>
      </c>
      <c r="D4772">
        <v>0.99818050933699998</v>
      </c>
      <c r="E4772">
        <v>10.710644677661101</v>
      </c>
    </row>
    <row r="4773" spans="1:5">
      <c r="A4773" t="s">
        <v>5572</v>
      </c>
      <c r="B4773" t="s">
        <v>5578</v>
      </c>
      <c r="C4773">
        <v>0.41564769330200002</v>
      </c>
      <c r="D4773">
        <v>0.99818050933699998</v>
      </c>
      <c r="E4773">
        <v>10.710644677661101</v>
      </c>
    </row>
    <row r="4774" spans="1:5">
      <c r="A4774" t="s">
        <v>5572</v>
      </c>
      <c r="B4774" t="s">
        <v>5579</v>
      </c>
      <c r="C4774">
        <v>0</v>
      </c>
      <c r="D4774">
        <v>0.99818050933699998</v>
      </c>
      <c r="E4774">
        <v>10.710644677661101</v>
      </c>
    </row>
    <row r="4775" spans="1:5">
      <c r="A4775" t="s">
        <v>5572</v>
      </c>
      <c r="B4775" t="s">
        <v>5580</v>
      </c>
      <c r="C4775">
        <v>0.37291292891700001</v>
      </c>
      <c r="D4775">
        <v>0.99818050933699998</v>
      </c>
      <c r="E4775">
        <v>10.710644677661101</v>
      </c>
    </row>
    <row r="4776" spans="1:5">
      <c r="A4776" t="s">
        <v>5581</v>
      </c>
      <c r="B4776" t="s">
        <v>5582</v>
      </c>
      <c r="C4776">
        <f>0.181272615107</f>
        <v>0.18127261510699999</v>
      </c>
      <c r="D4776">
        <v>0.86688314495899998</v>
      </c>
      <c r="E4776">
        <v>21.409295352323799</v>
      </c>
    </row>
    <row r="4777" spans="1:5">
      <c r="A4777" t="s">
        <v>5583</v>
      </c>
      <c r="B4777" t="s">
        <v>5584</v>
      </c>
      <c r="C4777">
        <v>0</v>
      </c>
      <c r="D4777">
        <v>0.97843669770300001</v>
      </c>
      <c r="E4777">
        <v>17.919040479760099</v>
      </c>
    </row>
    <row r="4778" spans="1:5">
      <c r="A4778" t="s">
        <v>5583</v>
      </c>
      <c r="B4778" t="s">
        <v>5585</v>
      </c>
      <c r="C4778">
        <v>0.226455205435</v>
      </c>
      <c r="D4778">
        <v>0.97843669770300001</v>
      </c>
      <c r="E4778">
        <v>17.919040479760099</v>
      </c>
    </row>
    <row r="4779" spans="1:5">
      <c r="A4779" t="s">
        <v>5583</v>
      </c>
      <c r="B4779" t="s">
        <v>5586</v>
      </c>
      <c r="C4779">
        <f>0.0191283926851</f>
        <v>1.9128392685099999E-2</v>
      </c>
      <c r="D4779">
        <v>0.97843669770300001</v>
      </c>
      <c r="E4779">
        <v>17.919040479760099</v>
      </c>
    </row>
    <row r="4780" spans="1:5">
      <c r="A4780" t="s">
        <v>5587</v>
      </c>
      <c r="B4780" t="s">
        <v>5588</v>
      </c>
      <c r="C4780">
        <f>0</f>
        <v>0</v>
      </c>
      <c r="D4780">
        <v>0.98631558299099997</v>
      </c>
      <c r="E4780">
        <v>2.7106446776611599</v>
      </c>
    </row>
    <row r="4781" spans="1:5">
      <c r="A4781" t="s">
        <v>5587</v>
      </c>
      <c r="B4781" t="s">
        <v>5589</v>
      </c>
      <c r="C4781">
        <f>0.121852313165</f>
        <v>0.121852313165</v>
      </c>
      <c r="D4781">
        <v>0.98631558299099997</v>
      </c>
      <c r="E4781">
        <v>2.7106446776611599</v>
      </c>
    </row>
    <row r="4782" spans="1:5">
      <c r="A4782" t="s">
        <v>5587</v>
      </c>
      <c r="B4782" t="s">
        <v>5590</v>
      </c>
      <c r="C4782">
        <f>0</f>
        <v>0</v>
      </c>
      <c r="D4782">
        <v>0.98631558299099997</v>
      </c>
      <c r="E4782">
        <v>2.7106446776611599</v>
      </c>
    </row>
    <row r="4783" spans="1:5">
      <c r="A4783" t="s">
        <v>5587</v>
      </c>
      <c r="B4783" t="s">
        <v>5591</v>
      </c>
      <c r="C4783">
        <f>0</f>
        <v>0</v>
      </c>
      <c r="D4783">
        <v>0.98631558299099997</v>
      </c>
      <c r="E4783">
        <v>2.7106446776611599</v>
      </c>
    </row>
    <row r="4784" spans="1:5">
      <c r="A4784" t="s">
        <v>5587</v>
      </c>
      <c r="B4784" t="s">
        <v>5592</v>
      </c>
      <c r="C4784">
        <v>0</v>
      </c>
      <c r="D4784">
        <v>0.98631558299099997</v>
      </c>
      <c r="E4784">
        <v>2.7106446776611599</v>
      </c>
    </row>
    <row r="4785" spans="1:5">
      <c r="A4785" t="s">
        <v>5587</v>
      </c>
      <c r="B4785" t="s">
        <v>5593</v>
      </c>
      <c r="C4785">
        <f>0</f>
        <v>0</v>
      </c>
      <c r="D4785">
        <v>0.98631558299099997</v>
      </c>
      <c r="E4785">
        <v>2.7106446776611599</v>
      </c>
    </row>
    <row r="4786" spans="1:5">
      <c r="A4786" t="s">
        <v>5587</v>
      </c>
      <c r="B4786" t="s">
        <v>5594</v>
      </c>
      <c r="C4786">
        <f>0</f>
        <v>0</v>
      </c>
      <c r="D4786">
        <v>0.98631558299099997</v>
      </c>
      <c r="E4786">
        <v>2.7106446776611599</v>
      </c>
    </row>
    <row r="4787" spans="1:5">
      <c r="A4787" t="s">
        <v>5587</v>
      </c>
      <c r="B4787" t="s">
        <v>5595</v>
      </c>
      <c r="C4787">
        <f>0</f>
        <v>0</v>
      </c>
      <c r="D4787">
        <v>0.98631558299099997</v>
      </c>
      <c r="E4787">
        <v>2.7106446776611599</v>
      </c>
    </row>
    <row r="4788" spans="1:5">
      <c r="A4788" t="s">
        <v>5587</v>
      </c>
      <c r="B4788" t="s">
        <v>5596</v>
      </c>
      <c r="C4788">
        <v>0.53062268013500002</v>
      </c>
      <c r="D4788">
        <v>0.98631558299099997</v>
      </c>
      <c r="E4788">
        <v>2.7106446776611599</v>
      </c>
    </row>
    <row r="4789" spans="1:5">
      <c r="A4789" t="s">
        <v>5587</v>
      </c>
      <c r="B4789" t="s">
        <v>5597</v>
      </c>
      <c r="C4789">
        <f>0</f>
        <v>0</v>
      </c>
      <c r="D4789">
        <v>0.98631558299099997</v>
      </c>
      <c r="E4789">
        <v>2.7106446776611599</v>
      </c>
    </row>
    <row r="4790" spans="1:5">
      <c r="A4790" t="s">
        <v>5587</v>
      </c>
      <c r="B4790" t="s">
        <v>5598</v>
      </c>
      <c r="C4790">
        <f>0</f>
        <v>0</v>
      </c>
      <c r="D4790">
        <v>0.98631558299099997</v>
      </c>
      <c r="E4790">
        <v>2.7106446776611599</v>
      </c>
    </row>
    <row r="4791" spans="1:5">
      <c r="A4791" t="s">
        <v>5587</v>
      </c>
      <c r="B4791" t="s">
        <v>5599</v>
      </c>
      <c r="C4791">
        <f>0</f>
        <v>0</v>
      </c>
      <c r="D4791">
        <v>0.98631558299099997</v>
      </c>
      <c r="E4791">
        <v>2.7106446776611599</v>
      </c>
    </row>
    <row r="4792" spans="1:5">
      <c r="A4792" t="s">
        <v>5587</v>
      </c>
      <c r="B4792" t="s">
        <v>5600</v>
      </c>
      <c r="C4792">
        <f>0</f>
        <v>0</v>
      </c>
      <c r="D4792">
        <v>0.98631558299099997</v>
      </c>
      <c r="E4792">
        <v>2.7106446776611599</v>
      </c>
    </row>
    <row r="4793" spans="1:5">
      <c r="A4793" t="s">
        <v>5587</v>
      </c>
      <c r="B4793" t="s">
        <v>5601</v>
      </c>
      <c r="C4793">
        <f>0</f>
        <v>0</v>
      </c>
      <c r="D4793">
        <v>0.98631558299099997</v>
      </c>
      <c r="E4793">
        <v>2.7106446776611599</v>
      </c>
    </row>
    <row r="4794" spans="1:5">
      <c r="A4794" t="s">
        <v>5587</v>
      </c>
      <c r="B4794" t="s">
        <v>5602</v>
      </c>
      <c r="C4794">
        <f>0</f>
        <v>0</v>
      </c>
      <c r="D4794">
        <v>0.98631558299099997</v>
      </c>
      <c r="E4794">
        <v>2.7106446776611599</v>
      </c>
    </row>
    <row r="4795" spans="1:5">
      <c r="A4795" t="s">
        <v>5587</v>
      </c>
      <c r="B4795" t="s">
        <v>5603</v>
      </c>
      <c r="C4795">
        <f>0</f>
        <v>0</v>
      </c>
      <c r="D4795">
        <v>0.98631558299099997</v>
      </c>
      <c r="E4795">
        <v>2.7106446776611599</v>
      </c>
    </row>
    <row r="4796" spans="1:5">
      <c r="A4796" t="s">
        <v>5587</v>
      </c>
      <c r="B4796" t="s">
        <v>5604</v>
      </c>
      <c r="C4796">
        <v>0</v>
      </c>
      <c r="D4796">
        <v>0.98631558299099997</v>
      </c>
      <c r="E4796">
        <v>2.7106446776611599</v>
      </c>
    </row>
    <row r="4797" spans="1:5">
      <c r="A4797" t="s">
        <v>5587</v>
      </c>
      <c r="B4797" t="s">
        <v>5605</v>
      </c>
      <c r="C4797">
        <f>0</f>
        <v>0</v>
      </c>
      <c r="D4797">
        <v>0.98631558299099997</v>
      </c>
      <c r="E4797">
        <v>2.7106446776611599</v>
      </c>
    </row>
    <row r="4798" spans="1:5">
      <c r="A4798" t="s">
        <v>5606</v>
      </c>
      <c r="B4798" t="s">
        <v>5607</v>
      </c>
      <c r="C4798">
        <v>2.17714660666E-2</v>
      </c>
      <c r="D4798">
        <v>0.99987778557899998</v>
      </c>
      <c r="E4798">
        <v>1.89505247376311</v>
      </c>
    </row>
    <row r="4799" spans="1:5">
      <c r="A4799" t="s">
        <v>5606</v>
      </c>
      <c r="B4799" t="s">
        <v>5608</v>
      </c>
      <c r="C4799">
        <v>0.14763309616799999</v>
      </c>
      <c r="D4799">
        <v>0.99987778557899998</v>
      </c>
      <c r="E4799">
        <v>1.89505247376311</v>
      </c>
    </row>
    <row r="4800" spans="1:5">
      <c r="A4800" t="s">
        <v>5609</v>
      </c>
      <c r="B4800" t="s">
        <v>5610</v>
      </c>
      <c r="C4800">
        <v>0</v>
      </c>
      <c r="D4800">
        <v>0.97070634075499995</v>
      </c>
      <c r="E4800">
        <v>11.0344827586206</v>
      </c>
    </row>
    <row r="4801" spans="1:5">
      <c r="A4801" t="s">
        <v>5609</v>
      </c>
      <c r="B4801" t="s">
        <v>5611</v>
      </c>
      <c r="C4801">
        <v>0</v>
      </c>
      <c r="D4801">
        <v>0.97070634075499995</v>
      </c>
      <c r="E4801">
        <v>11.0344827586206</v>
      </c>
    </row>
    <row r="4802" spans="1:5">
      <c r="A4802" t="s">
        <v>5609</v>
      </c>
      <c r="B4802" t="s">
        <v>5612</v>
      </c>
      <c r="C4802">
        <v>0</v>
      </c>
      <c r="D4802">
        <v>0.97070634075499995</v>
      </c>
      <c r="E4802">
        <v>11.0344827586206</v>
      </c>
    </row>
    <row r="4803" spans="1:5">
      <c r="A4803" t="s">
        <v>5609</v>
      </c>
      <c r="B4803" t="s">
        <v>5613</v>
      </c>
      <c r="C4803">
        <v>0</v>
      </c>
      <c r="D4803">
        <v>0.97070634075499995</v>
      </c>
      <c r="E4803">
        <v>11.0344827586206</v>
      </c>
    </row>
    <row r="4804" spans="1:5">
      <c r="A4804" t="s">
        <v>5609</v>
      </c>
      <c r="B4804" t="s">
        <v>5614</v>
      </c>
      <c r="C4804">
        <v>0.36897874511700002</v>
      </c>
      <c r="D4804">
        <v>0.97070634075499995</v>
      </c>
      <c r="E4804">
        <v>11.0344827586206</v>
      </c>
    </row>
    <row r="4805" spans="1:5">
      <c r="A4805" t="s">
        <v>5609</v>
      </c>
      <c r="B4805" t="s">
        <v>5615</v>
      </c>
      <c r="C4805">
        <f>0</f>
        <v>0</v>
      </c>
      <c r="D4805">
        <v>0.97070634075499995</v>
      </c>
      <c r="E4805">
        <v>11.0344827586206</v>
      </c>
    </row>
    <row r="4806" spans="1:5">
      <c r="A4806" t="s">
        <v>5609</v>
      </c>
      <c r="B4806" t="s">
        <v>5616</v>
      </c>
      <c r="C4806">
        <f>0.0196650564679</f>
        <v>1.96650564679E-2</v>
      </c>
      <c r="D4806">
        <v>0.97070634075499995</v>
      </c>
      <c r="E4806">
        <v>11.0344827586206</v>
      </c>
    </row>
    <row r="4807" spans="1:5">
      <c r="A4807" t="s">
        <v>5609</v>
      </c>
      <c r="B4807" t="s">
        <v>5617</v>
      </c>
      <c r="C4807">
        <f>0</f>
        <v>0</v>
      </c>
      <c r="D4807">
        <v>0.97070634075499995</v>
      </c>
      <c r="E4807">
        <v>11.0344827586206</v>
      </c>
    </row>
    <row r="4808" spans="1:5">
      <c r="A4808" t="s">
        <v>5609</v>
      </c>
      <c r="B4808" t="s">
        <v>5618</v>
      </c>
      <c r="C4808">
        <v>0</v>
      </c>
      <c r="D4808">
        <v>0.97070634075499995</v>
      </c>
      <c r="E4808">
        <v>11.0344827586206</v>
      </c>
    </row>
    <row r="4809" spans="1:5">
      <c r="A4809" t="s">
        <v>5619</v>
      </c>
      <c r="B4809" t="s">
        <v>5620</v>
      </c>
      <c r="C4809">
        <f>0.43675731796</f>
        <v>0.43675731796</v>
      </c>
      <c r="D4809">
        <v>0.96175606993700002</v>
      </c>
      <c r="E4809">
        <v>1.00749625187406</v>
      </c>
    </row>
    <row r="4810" spans="1:5">
      <c r="A4810" t="s">
        <v>5619</v>
      </c>
      <c r="B4810" t="s">
        <v>5621</v>
      </c>
      <c r="C4810">
        <v>5.1725842265099999E-2</v>
      </c>
      <c r="D4810">
        <v>0.96175606993700002</v>
      </c>
      <c r="E4810">
        <v>1.00749625187406</v>
      </c>
    </row>
    <row r="4811" spans="1:5">
      <c r="A4811" t="s">
        <v>5622</v>
      </c>
      <c r="B4811" t="s">
        <v>5623</v>
      </c>
      <c r="C4811">
        <v>2.7018898584000001E-2</v>
      </c>
      <c r="D4811">
        <v>0.96894904091199996</v>
      </c>
      <c r="E4811">
        <v>15.316341829085401</v>
      </c>
    </row>
    <row r="4812" spans="1:5">
      <c r="A4812" t="s">
        <v>5622</v>
      </c>
      <c r="B4812" t="s">
        <v>5624</v>
      </c>
      <c r="C4812">
        <f>0.344054774872</f>
        <v>0.34405477487199998</v>
      </c>
      <c r="D4812">
        <v>0.96894904091199996</v>
      </c>
      <c r="E4812">
        <v>15.316341829085401</v>
      </c>
    </row>
    <row r="4813" spans="1:5">
      <c r="A4813" t="s">
        <v>5622</v>
      </c>
      <c r="B4813" t="s">
        <v>5625</v>
      </c>
      <c r="C4813">
        <f>0</f>
        <v>0</v>
      </c>
      <c r="D4813">
        <v>0.96894904091199996</v>
      </c>
      <c r="E4813">
        <v>15.316341829085401</v>
      </c>
    </row>
    <row r="4814" spans="1:5">
      <c r="A4814" t="s">
        <v>5626</v>
      </c>
      <c r="B4814" t="s">
        <v>5627</v>
      </c>
      <c r="C4814">
        <v>0.87009257021899999</v>
      </c>
      <c r="D4814">
        <v>0.96454950765500003</v>
      </c>
      <c r="E4814">
        <v>1.6911544227886</v>
      </c>
    </row>
    <row r="4815" spans="1:5">
      <c r="A4815" t="s">
        <v>5626</v>
      </c>
      <c r="B4815" t="s">
        <v>5628</v>
      </c>
      <c r="C4815">
        <f>0</f>
        <v>0</v>
      </c>
      <c r="D4815">
        <v>0.96454950765500003</v>
      </c>
      <c r="E4815">
        <v>1.6911544227886</v>
      </c>
    </row>
    <row r="4816" spans="1:5">
      <c r="A4816" t="s">
        <v>5629</v>
      </c>
      <c r="B4816" t="s">
        <v>5630</v>
      </c>
      <c r="C4816">
        <v>0</v>
      </c>
      <c r="D4816">
        <v>0.77686412790199999</v>
      </c>
      <c r="E4816">
        <v>6.6806596701649097</v>
      </c>
    </row>
    <row r="4817" spans="1:5">
      <c r="A4817" t="s">
        <v>5629</v>
      </c>
      <c r="B4817" t="s">
        <v>5631</v>
      </c>
      <c r="C4817">
        <v>4.4944954784999998E-2</v>
      </c>
      <c r="D4817">
        <v>0.77686412790199999</v>
      </c>
      <c r="E4817">
        <v>6.6806596701649097</v>
      </c>
    </row>
    <row r="4818" spans="1:5">
      <c r="A4818" t="s">
        <v>5629</v>
      </c>
      <c r="B4818" t="s">
        <v>5632</v>
      </c>
      <c r="C4818">
        <v>0</v>
      </c>
      <c r="D4818">
        <v>0.77686412790199999</v>
      </c>
      <c r="E4818">
        <v>6.6806596701649097</v>
      </c>
    </row>
    <row r="4819" spans="1:5">
      <c r="A4819" t="s">
        <v>5629</v>
      </c>
      <c r="B4819" t="s">
        <v>5633</v>
      </c>
      <c r="C4819">
        <v>0</v>
      </c>
      <c r="D4819">
        <v>0.77686412790199999</v>
      </c>
      <c r="E4819">
        <v>6.6806596701649097</v>
      </c>
    </row>
    <row r="4820" spans="1:5">
      <c r="A4820" t="s">
        <v>5629</v>
      </c>
      <c r="B4820" t="s">
        <v>5634</v>
      </c>
      <c r="C4820">
        <v>0</v>
      </c>
      <c r="D4820">
        <v>0.77686412790199999</v>
      </c>
      <c r="E4820">
        <v>6.6806596701649097</v>
      </c>
    </row>
    <row r="4821" spans="1:5">
      <c r="A4821" t="s">
        <v>5629</v>
      </c>
      <c r="B4821" t="s">
        <v>5635</v>
      </c>
      <c r="C4821">
        <f>0</f>
        <v>0</v>
      </c>
      <c r="D4821">
        <v>0.77686412790199999</v>
      </c>
      <c r="E4821">
        <v>6.6806596701649097</v>
      </c>
    </row>
    <row r="4822" spans="1:5">
      <c r="A4822" t="s">
        <v>5629</v>
      </c>
      <c r="B4822" t="s">
        <v>5636</v>
      </c>
      <c r="C4822">
        <v>5.6791420547299999E-2</v>
      </c>
      <c r="D4822">
        <v>0.77686412790199999</v>
      </c>
      <c r="E4822">
        <v>6.6806596701649097</v>
      </c>
    </row>
    <row r="4823" spans="1:5">
      <c r="A4823" t="s">
        <v>5629</v>
      </c>
      <c r="B4823" t="s">
        <v>5637</v>
      </c>
      <c r="C4823">
        <v>0</v>
      </c>
      <c r="D4823">
        <v>0.77686412790199999</v>
      </c>
      <c r="E4823">
        <v>6.6806596701649097</v>
      </c>
    </row>
    <row r="4824" spans="1:5">
      <c r="A4824" t="s">
        <v>5629</v>
      </c>
      <c r="B4824" t="s">
        <v>5638</v>
      </c>
      <c r="C4824">
        <v>0</v>
      </c>
      <c r="D4824">
        <v>0.77686412790199999</v>
      </c>
      <c r="E4824">
        <v>6.6806596701649097</v>
      </c>
    </row>
    <row r="4825" spans="1:5">
      <c r="A4825" t="s">
        <v>5629</v>
      </c>
      <c r="B4825" t="s">
        <v>5639</v>
      </c>
      <c r="C4825">
        <v>0</v>
      </c>
      <c r="D4825">
        <v>0.77686412790199999</v>
      </c>
      <c r="E4825">
        <v>6.6806596701649097</v>
      </c>
    </row>
    <row r="4826" spans="1:5">
      <c r="A4826" t="s">
        <v>5629</v>
      </c>
      <c r="B4826" t="s">
        <v>5640</v>
      </c>
      <c r="C4826">
        <v>0</v>
      </c>
      <c r="D4826">
        <v>0.77686412790199999</v>
      </c>
      <c r="E4826">
        <v>6.6806596701649097</v>
      </c>
    </row>
    <row r="4827" spans="1:5">
      <c r="A4827" t="s">
        <v>5629</v>
      </c>
      <c r="B4827" t="s">
        <v>5641</v>
      </c>
      <c r="C4827">
        <v>0</v>
      </c>
      <c r="D4827">
        <v>0.77686412790199999</v>
      </c>
      <c r="E4827">
        <v>6.6806596701649097</v>
      </c>
    </row>
    <row r="4828" spans="1:5">
      <c r="A4828" t="s">
        <v>5642</v>
      </c>
      <c r="B4828" t="s">
        <v>5643</v>
      </c>
      <c r="C4828">
        <v>0</v>
      </c>
      <c r="D4828">
        <v>0.91444875077300003</v>
      </c>
      <c r="E4828">
        <v>0.91154422788605605</v>
      </c>
    </row>
    <row r="4829" spans="1:5">
      <c r="A4829" t="s">
        <v>5642</v>
      </c>
      <c r="B4829" t="s">
        <v>5644</v>
      </c>
      <c r="C4829">
        <f>0</f>
        <v>0</v>
      </c>
      <c r="D4829">
        <v>0.91444875077300003</v>
      </c>
      <c r="E4829">
        <v>0.91154422788605605</v>
      </c>
    </row>
    <row r="4830" spans="1:5">
      <c r="A4830" t="s">
        <v>5642</v>
      </c>
      <c r="B4830" t="s">
        <v>5645</v>
      </c>
      <c r="C4830">
        <v>0.148857450636</v>
      </c>
      <c r="D4830">
        <v>0.91444875077300003</v>
      </c>
      <c r="E4830">
        <v>0.91154422788605605</v>
      </c>
    </row>
    <row r="4831" spans="1:5">
      <c r="A4831" t="s">
        <v>5642</v>
      </c>
      <c r="B4831" t="s">
        <v>5646</v>
      </c>
      <c r="C4831">
        <v>0</v>
      </c>
      <c r="D4831">
        <v>0.91444875077300003</v>
      </c>
      <c r="E4831">
        <v>0.91154422788605605</v>
      </c>
    </row>
    <row r="4832" spans="1:5">
      <c r="A4832" t="s">
        <v>5642</v>
      </c>
      <c r="B4832" t="s">
        <v>5647</v>
      </c>
      <c r="C4832">
        <v>2.2236345297800001E-2</v>
      </c>
      <c r="D4832">
        <v>0.91444875077300003</v>
      </c>
      <c r="E4832">
        <v>0.91154422788605605</v>
      </c>
    </row>
    <row r="4833" spans="1:5">
      <c r="A4833" t="s">
        <v>5642</v>
      </c>
      <c r="B4833" t="s">
        <v>5648</v>
      </c>
      <c r="C4833">
        <v>0</v>
      </c>
      <c r="D4833">
        <v>0.91444875077300003</v>
      </c>
      <c r="E4833">
        <v>0.91154422788605605</v>
      </c>
    </row>
    <row r="4834" spans="1:5">
      <c r="A4834" t="s">
        <v>5642</v>
      </c>
      <c r="B4834" t="s">
        <v>5649</v>
      </c>
      <c r="C4834">
        <f>0</f>
        <v>0</v>
      </c>
      <c r="D4834">
        <v>0.91444875077300003</v>
      </c>
      <c r="E4834">
        <v>0.91154422788605605</v>
      </c>
    </row>
    <row r="4835" spans="1:5">
      <c r="A4835" t="s">
        <v>5642</v>
      </c>
      <c r="B4835" t="s">
        <v>5650</v>
      </c>
      <c r="C4835">
        <f>0</f>
        <v>0</v>
      </c>
      <c r="D4835">
        <v>0.91444875077300003</v>
      </c>
      <c r="E4835">
        <v>0.91154422788605605</v>
      </c>
    </row>
    <row r="4836" spans="1:5">
      <c r="A4836" t="s">
        <v>5651</v>
      </c>
      <c r="B4836" t="s">
        <v>5652</v>
      </c>
      <c r="C4836">
        <v>0</v>
      </c>
      <c r="D4836" t="s">
        <v>106</v>
      </c>
      <c r="E4836">
        <v>10.398800599700101</v>
      </c>
    </row>
    <row r="4837" spans="1:5">
      <c r="A4837" t="s">
        <v>5651</v>
      </c>
      <c r="B4837" t="s">
        <v>5653</v>
      </c>
      <c r="C4837">
        <v>0</v>
      </c>
      <c r="D4837" t="s">
        <v>106</v>
      </c>
      <c r="E4837">
        <v>10.398800599700101</v>
      </c>
    </row>
    <row r="4838" spans="1:5">
      <c r="A4838" t="s">
        <v>5651</v>
      </c>
      <c r="B4838" t="s">
        <v>5654</v>
      </c>
      <c r="C4838">
        <v>0</v>
      </c>
      <c r="D4838" t="s">
        <v>106</v>
      </c>
      <c r="E4838">
        <v>10.398800599700101</v>
      </c>
    </row>
    <row r="4839" spans="1:5">
      <c r="A4839" t="s">
        <v>5651</v>
      </c>
      <c r="B4839" t="s">
        <v>5655</v>
      </c>
      <c r="C4839">
        <v>0</v>
      </c>
      <c r="D4839" t="s">
        <v>106</v>
      </c>
      <c r="E4839">
        <v>10.398800599700101</v>
      </c>
    </row>
    <row r="4840" spans="1:5">
      <c r="A4840" t="s">
        <v>5651</v>
      </c>
      <c r="B4840" t="s">
        <v>5656</v>
      </c>
      <c r="C4840">
        <f>0</f>
        <v>0</v>
      </c>
      <c r="D4840" t="s">
        <v>106</v>
      </c>
      <c r="E4840">
        <v>10.398800599700101</v>
      </c>
    </row>
    <row r="4841" spans="1:5">
      <c r="A4841" t="s">
        <v>5651</v>
      </c>
      <c r="B4841" t="s">
        <v>5657</v>
      </c>
      <c r="C4841">
        <v>0</v>
      </c>
      <c r="D4841" t="s">
        <v>106</v>
      </c>
      <c r="E4841">
        <v>10.398800599700101</v>
      </c>
    </row>
    <row r="4842" spans="1:5">
      <c r="A4842" t="s">
        <v>5651</v>
      </c>
      <c r="B4842" t="s">
        <v>5658</v>
      </c>
      <c r="C4842">
        <f>0</f>
        <v>0</v>
      </c>
      <c r="D4842" t="s">
        <v>106</v>
      </c>
      <c r="E4842">
        <v>10.398800599700101</v>
      </c>
    </row>
    <row r="4843" spans="1:5">
      <c r="A4843" t="s">
        <v>5651</v>
      </c>
      <c r="B4843" t="s">
        <v>5659</v>
      </c>
      <c r="C4843">
        <v>0</v>
      </c>
      <c r="D4843" t="s">
        <v>106</v>
      </c>
      <c r="E4843">
        <v>10.398800599700101</v>
      </c>
    </row>
    <row r="4844" spans="1:5">
      <c r="A4844" t="s">
        <v>5651</v>
      </c>
      <c r="B4844" t="s">
        <v>5660</v>
      </c>
      <c r="C4844">
        <f>0</f>
        <v>0</v>
      </c>
      <c r="D4844" t="s">
        <v>106</v>
      </c>
      <c r="E4844">
        <v>10.398800599700101</v>
      </c>
    </row>
    <row r="4845" spans="1:5">
      <c r="A4845" t="s">
        <v>5661</v>
      </c>
      <c r="B4845" t="s">
        <v>5662</v>
      </c>
      <c r="C4845">
        <v>0</v>
      </c>
      <c r="D4845" t="s">
        <v>106</v>
      </c>
      <c r="E4845">
        <v>10.710644677661101</v>
      </c>
    </row>
    <row r="4846" spans="1:5">
      <c r="A4846" t="s">
        <v>5663</v>
      </c>
      <c r="B4846" t="s">
        <v>5664</v>
      </c>
      <c r="C4846">
        <v>0</v>
      </c>
      <c r="D4846" t="s">
        <v>106</v>
      </c>
      <c r="E4846">
        <v>2.0269865067466202</v>
      </c>
    </row>
    <row r="4847" spans="1:5">
      <c r="A4847" t="s">
        <v>5663</v>
      </c>
      <c r="B4847" t="s">
        <v>5665</v>
      </c>
      <c r="C4847">
        <v>0</v>
      </c>
      <c r="D4847" t="s">
        <v>106</v>
      </c>
      <c r="E4847">
        <v>2.0269865067466202</v>
      </c>
    </row>
    <row r="4848" spans="1:5">
      <c r="A4848" t="s">
        <v>5663</v>
      </c>
      <c r="B4848" t="s">
        <v>5666</v>
      </c>
      <c r="C4848">
        <v>0</v>
      </c>
      <c r="D4848" t="s">
        <v>106</v>
      </c>
      <c r="E4848">
        <v>2.0269865067466202</v>
      </c>
    </row>
    <row r="4849" spans="1:5">
      <c r="A4849" t="s">
        <v>5667</v>
      </c>
      <c r="B4849" t="s">
        <v>5668</v>
      </c>
      <c r="C4849">
        <f>0</f>
        <v>0</v>
      </c>
      <c r="D4849">
        <v>0.95929490649299998</v>
      </c>
      <c r="E4849">
        <v>18.1349325337331</v>
      </c>
    </row>
    <row r="4850" spans="1:5">
      <c r="A4850" t="s">
        <v>5667</v>
      </c>
      <c r="B4850" t="s">
        <v>5669</v>
      </c>
      <c r="C4850">
        <f>0</f>
        <v>0</v>
      </c>
      <c r="D4850">
        <v>0.95929490649299998</v>
      </c>
      <c r="E4850">
        <v>18.1349325337331</v>
      </c>
    </row>
    <row r="4851" spans="1:5">
      <c r="A4851" t="s">
        <v>5667</v>
      </c>
      <c r="B4851" t="s">
        <v>5670</v>
      </c>
      <c r="C4851">
        <v>5.9396390466600002E-2</v>
      </c>
      <c r="D4851">
        <v>0.95929490649299998</v>
      </c>
      <c r="E4851">
        <v>18.1349325337331</v>
      </c>
    </row>
    <row r="4852" spans="1:5">
      <c r="A4852" t="s">
        <v>5667</v>
      </c>
      <c r="B4852" t="s">
        <v>5671</v>
      </c>
      <c r="C4852">
        <v>0</v>
      </c>
      <c r="D4852">
        <v>0.95929490649299998</v>
      </c>
      <c r="E4852">
        <v>18.1349325337331</v>
      </c>
    </row>
    <row r="4853" spans="1:5">
      <c r="A4853" t="s">
        <v>5667</v>
      </c>
      <c r="B4853" t="s">
        <v>5672</v>
      </c>
      <c r="C4853">
        <v>0</v>
      </c>
      <c r="D4853">
        <v>0.95929490649299998</v>
      </c>
      <c r="E4853">
        <v>18.1349325337331</v>
      </c>
    </row>
    <row r="4854" spans="1:5">
      <c r="A4854" t="s">
        <v>5667</v>
      </c>
      <c r="B4854" t="s">
        <v>5673</v>
      </c>
      <c r="C4854">
        <v>0</v>
      </c>
      <c r="D4854">
        <v>0.95929490649299998</v>
      </c>
      <c r="E4854">
        <v>18.1349325337331</v>
      </c>
    </row>
    <row r="4855" spans="1:5">
      <c r="A4855" t="s">
        <v>5674</v>
      </c>
      <c r="B4855" t="s">
        <v>5675</v>
      </c>
      <c r="C4855">
        <f>0</f>
        <v>0</v>
      </c>
      <c r="D4855" t="s">
        <v>106</v>
      </c>
      <c r="E4855">
        <v>16.695652173913</v>
      </c>
    </row>
    <row r="4856" spans="1:5">
      <c r="A4856" t="s">
        <v>5674</v>
      </c>
      <c r="B4856" t="s">
        <v>5676</v>
      </c>
      <c r="C4856">
        <v>0</v>
      </c>
      <c r="D4856" t="s">
        <v>106</v>
      </c>
      <c r="E4856">
        <v>16.695652173913</v>
      </c>
    </row>
    <row r="4857" spans="1:5">
      <c r="A4857" t="s">
        <v>5674</v>
      </c>
      <c r="B4857" t="s">
        <v>5677</v>
      </c>
      <c r="C4857">
        <v>0</v>
      </c>
      <c r="D4857" t="s">
        <v>106</v>
      </c>
      <c r="E4857">
        <v>16.695652173913</v>
      </c>
    </row>
    <row r="4858" spans="1:5">
      <c r="A4858" t="s">
        <v>5674</v>
      </c>
      <c r="B4858" t="s">
        <v>5678</v>
      </c>
      <c r="C4858">
        <v>0</v>
      </c>
      <c r="D4858" t="s">
        <v>106</v>
      </c>
      <c r="E4858">
        <v>16.695652173913</v>
      </c>
    </row>
    <row r="4859" spans="1:5">
      <c r="A4859" t="s">
        <v>5674</v>
      </c>
      <c r="B4859" t="s">
        <v>5679</v>
      </c>
      <c r="C4859">
        <v>0</v>
      </c>
      <c r="D4859" t="s">
        <v>106</v>
      </c>
      <c r="E4859">
        <v>16.695652173913</v>
      </c>
    </row>
    <row r="4860" spans="1:5">
      <c r="A4860" t="s">
        <v>5674</v>
      </c>
      <c r="B4860" t="s">
        <v>5680</v>
      </c>
      <c r="C4860">
        <v>0</v>
      </c>
      <c r="D4860" t="s">
        <v>106</v>
      </c>
      <c r="E4860">
        <v>16.695652173913</v>
      </c>
    </row>
    <row r="4861" spans="1:5">
      <c r="A4861" t="s">
        <v>5674</v>
      </c>
      <c r="B4861" t="s">
        <v>5681</v>
      </c>
      <c r="C4861">
        <v>5.7909185022200001E-2</v>
      </c>
      <c r="D4861" t="s">
        <v>106</v>
      </c>
      <c r="E4861">
        <v>16.695652173913</v>
      </c>
    </row>
    <row r="4862" spans="1:5">
      <c r="A4862" t="s">
        <v>5674</v>
      </c>
      <c r="B4862" t="s">
        <v>5682</v>
      </c>
      <c r="C4862">
        <v>0</v>
      </c>
      <c r="D4862" t="s">
        <v>106</v>
      </c>
      <c r="E4862">
        <v>16.695652173913</v>
      </c>
    </row>
    <row r="4863" spans="1:5">
      <c r="A4863" t="s">
        <v>5674</v>
      </c>
      <c r="B4863" t="s">
        <v>5683</v>
      </c>
      <c r="C4863">
        <v>0</v>
      </c>
      <c r="D4863" t="s">
        <v>106</v>
      </c>
      <c r="E4863">
        <v>16.695652173913</v>
      </c>
    </row>
    <row r="4864" spans="1:5">
      <c r="A4864" t="s">
        <v>5674</v>
      </c>
      <c r="B4864" t="s">
        <v>5684</v>
      </c>
      <c r="C4864">
        <v>0</v>
      </c>
      <c r="D4864" t="s">
        <v>106</v>
      </c>
      <c r="E4864">
        <v>16.695652173913</v>
      </c>
    </row>
    <row r="4865" spans="1:5">
      <c r="A4865" t="s">
        <v>5685</v>
      </c>
      <c r="B4865" t="s">
        <v>5686</v>
      </c>
      <c r="C4865">
        <f>0</f>
        <v>0</v>
      </c>
      <c r="D4865">
        <v>0.99208585503000002</v>
      </c>
      <c r="E4865">
        <v>2.6386806596701602</v>
      </c>
    </row>
    <row r="4866" spans="1:5">
      <c r="A4866" t="s">
        <v>5685</v>
      </c>
      <c r="B4866" t="s">
        <v>5687</v>
      </c>
      <c r="C4866">
        <f>0</f>
        <v>0</v>
      </c>
      <c r="D4866">
        <v>0.99208585503000002</v>
      </c>
      <c r="E4866">
        <v>2.6386806596701602</v>
      </c>
    </row>
    <row r="4867" spans="1:5">
      <c r="A4867" t="s">
        <v>5685</v>
      </c>
      <c r="B4867" t="s">
        <v>5688</v>
      </c>
      <c r="C4867">
        <f>0</f>
        <v>0</v>
      </c>
      <c r="D4867">
        <v>0.99208585503000002</v>
      </c>
      <c r="E4867">
        <v>2.6386806596701602</v>
      </c>
    </row>
    <row r="4868" spans="1:5">
      <c r="A4868" t="s">
        <v>5685</v>
      </c>
      <c r="B4868" t="s">
        <v>5689</v>
      </c>
      <c r="C4868">
        <v>0</v>
      </c>
      <c r="D4868">
        <v>0.99208585503000002</v>
      </c>
      <c r="E4868">
        <v>2.6386806596701602</v>
      </c>
    </row>
    <row r="4869" spans="1:5">
      <c r="A4869" t="s">
        <v>5685</v>
      </c>
      <c r="B4869" t="s">
        <v>5690</v>
      </c>
      <c r="C4869">
        <v>0</v>
      </c>
      <c r="D4869">
        <v>0.99208585503000002</v>
      </c>
      <c r="E4869">
        <v>2.6386806596701602</v>
      </c>
    </row>
    <row r="4870" spans="1:5">
      <c r="A4870" t="s">
        <v>5685</v>
      </c>
      <c r="B4870" t="s">
        <v>5691</v>
      </c>
      <c r="C4870">
        <f>0</f>
        <v>0</v>
      </c>
      <c r="D4870">
        <v>0.99208585503000002</v>
      </c>
      <c r="E4870">
        <v>2.6386806596701602</v>
      </c>
    </row>
    <row r="4871" spans="1:5">
      <c r="A4871" t="s">
        <v>5692</v>
      </c>
      <c r="B4871" t="s">
        <v>5693</v>
      </c>
      <c r="C4871">
        <v>0</v>
      </c>
      <c r="D4871">
        <v>0.782022964007</v>
      </c>
      <c r="E4871">
        <v>0.503748125937031</v>
      </c>
    </row>
    <row r="4872" spans="1:5">
      <c r="A4872" t="s">
        <v>5692</v>
      </c>
      <c r="B4872" t="s">
        <v>5694</v>
      </c>
      <c r="C4872">
        <v>0</v>
      </c>
      <c r="D4872">
        <v>0.782022964007</v>
      </c>
      <c r="E4872">
        <v>0.503748125937031</v>
      </c>
    </row>
    <row r="4873" spans="1:5">
      <c r="A4873" t="s">
        <v>5692</v>
      </c>
      <c r="B4873" t="s">
        <v>5695</v>
      </c>
      <c r="C4873">
        <f>0.202796957798</f>
        <v>0.202796957798</v>
      </c>
      <c r="D4873">
        <v>0.782022964007</v>
      </c>
      <c r="E4873">
        <v>0.503748125937031</v>
      </c>
    </row>
    <row r="4874" spans="1:5">
      <c r="A4874" t="s">
        <v>5692</v>
      </c>
      <c r="B4874" t="s">
        <v>5696</v>
      </c>
      <c r="C4874">
        <v>0</v>
      </c>
      <c r="D4874">
        <v>0.782022964007</v>
      </c>
      <c r="E4874">
        <v>0.503748125937031</v>
      </c>
    </row>
    <row r="4875" spans="1:5">
      <c r="A4875" t="s">
        <v>5692</v>
      </c>
      <c r="B4875" t="s">
        <v>5697</v>
      </c>
      <c r="C4875">
        <v>3.0475442462499999E-2</v>
      </c>
      <c r="D4875">
        <v>0.782022964007</v>
      </c>
      <c r="E4875">
        <v>0.503748125937031</v>
      </c>
    </row>
    <row r="4876" spans="1:5">
      <c r="A4876" t="s">
        <v>5692</v>
      </c>
      <c r="B4876" t="s">
        <v>5698</v>
      </c>
      <c r="C4876">
        <v>0</v>
      </c>
      <c r="D4876">
        <v>0.782022964007</v>
      </c>
      <c r="E4876">
        <v>0.503748125937031</v>
      </c>
    </row>
    <row r="4877" spans="1:5">
      <c r="A4877" t="s">
        <v>5699</v>
      </c>
      <c r="B4877" t="s">
        <v>5700</v>
      </c>
      <c r="C4877">
        <v>2.86728479318E-2</v>
      </c>
      <c r="D4877">
        <v>0.98381901744400002</v>
      </c>
      <c r="E4877">
        <v>10.710644677661101</v>
      </c>
    </row>
    <row r="4878" spans="1:5">
      <c r="A4878" t="s">
        <v>5699</v>
      </c>
      <c r="B4878" t="s">
        <v>5701</v>
      </c>
      <c r="C4878">
        <v>0.31431226254700001</v>
      </c>
      <c r="D4878">
        <v>0.98381901744400002</v>
      </c>
      <c r="E4878">
        <v>10.710644677661101</v>
      </c>
    </row>
    <row r="4879" spans="1:5">
      <c r="A4879" t="s">
        <v>5699</v>
      </c>
      <c r="B4879" t="s">
        <v>5702</v>
      </c>
      <c r="C4879">
        <v>0</v>
      </c>
      <c r="D4879">
        <v>0.98381901744400002</v>
      </c>
      <c r="E4879">
        <v>10.710644677661101</v>
      </c>
    </row>
    <row r="4880" spans="1:5">
      <c r="A4880" t="s">
        <v>5699</v>
      </c>
      <c r="B4880" t="s">
        <v>5703</v>
      </c>
      <c r="C4880">
        <v>0</v>
      </c>
      <c r="D4880">
        <v>0.98381901744400002</v>
      </c>
      <c r="E4880">
        <v>10.710644677661101</v>
      </c>
    </row>
    <row r="4881" spans="1:5">
      <c r="A4881" t="s">
        <v>5699</v>
      </c>
      <c r="B4881" t="s">
        <v>5704</v>
      </c>
      <c r="C4881">
        <f>0</f>
        <v>0</v>
      </c>
      <c r="D4881">
        <v>0.98381901744400002</v>
      </c>
      <c r="E4881">
        <v>10.710644677661101</v>
      </c>
    </row>
    <row r="4882" spans="1:5">
      <c r="A4882" t="s">
        <v>5699</v>
      </c>
      <c r="B4882" t="s">
        <v>5705</v>
      </c>
      <c r="C4882">
        <v>0</v>
      </c>
      <c r="D4882">
        <v>0.98381901744400002</v>
      </c>
      <c r="E4882">
        <v>10.710644677661101</v>
      </c>
    </row>
    <row r="4883" spans="1:5">
      <c r="A4883" t="s">
        <v>5699</v>
      </c>
      <c r="B4883" t="s">
        <v>5706</v>
      </c>
      <c r="C4883">
        <f>0</f>
        <v>0</v>
      </c>
      <c r="D4883">
        <v>0.98381901744400002</v>
      </c>
      <c r="E4883">
        <v>10.710644677661101</v>
      </c>
    </row>
    <row r="4884" spans="1:5">
      <c r="A4884" t="s">
        <v>5707</v>
      </c>
      <c r="B4884" t="s">
        <v>5708</v>
      </c>
      <c r="C4884">
        <v>0.16631501971900001</v>
      </c>
      <c r="D4884" t="s">
        <v>106</v>
      </c>
      <c r="E4884">
        <v>20.065967016491701</v>
      </c>
    </row>
    <row r="4885" spans="1:5">
      <c r="A4885" t="s">
        <v>5707</v>
      </c>
      <c r="B4885" t="s">
        <v>5709</v>
      </c>
      <c r="C4885">
        <v>9.4154309860700006E-3</v>
      </c>
      <c r="D4885" t="s">
        <v>106</v>
      </c>
      <c r="E4885">
        <v>20.065967016491701</v>
      </c>
    </row>
    <row r="4886" spans="1:5">
      <c r="A4886" t="s">
        <v>5707</v>
      </c>
      <c r="B4886" t="s">
        <v>5710</v>
      </c>
      <c r="C4886">
        <v>0</v>
      </c>
      <c r="D4886" t="s">
        <v>106</v>
      </c>
      <c r="E4886">
        <v>20.065967016491701</v>
      </c>
    </row>
    <row r="4887" spans="1:5">
      <c r="A4887" t="s">
        <v>5707</v>
      </c>
      <c r="B4887" t="s">
        <v>5711</v>
      </c>
      <c r="C4887">
        <v>0</v>
      </c>
      <c r="D4887" t="s">
        <v>106</v>
      </c>
      <c r="E4887">
        <v>20.065967016491701</v>
      </c>
    </row>
    <row r="4888" spans="1:5">
      <c r="A4888" t="s">
        <v>5707</v>
      </c>
      <c r="B4888" t="s">
        <v>5712</v>
      </c>
      <c r="C4888">
        <v>0</v>
      </c>
      <c r="D4888" t="s">
        <v>106</v>
      </c>
      <c r="E4888">
        <v>20.065967016491701</v>
      </c>
    </row>
    <row r="4889" spans="1:5">
      <c r="A4889" t="s">
        <v>5707</v>
      </c>
      <c r="B4889" t="s">
        <v>5713</v>
      </c>
      <c r="C4889">
        <f>0</f>
        <v>0</v>
      </c>
      <c r="D4889" t="s">
        <v>106</v>
      </c>
      <c r="E4889">
        <v>20.065967016491701</v>
      </c>
    </row>
    <row r="4890" spans="1:5">
      <c r="A4890" t="s">
        <v>5707</v>
      </c>
      <c r="B4890" t="s">
        <v>5714</v>
      </c>
      <c r="C4890">
        <v>0</v>
      </c>
      <c r="D4890" t="s">
        <v>106</v>
      </c>
      <c r="E4890">
        <v>20.065967016491701</v>
      </c>
    </row>
    <row r="4891" spans="1:5">
      <c r="A4891" t="s">
        <v>5707</v>
      </c>
      <c r="B4891" t="s">
        <v>5715</v>
      </c>
      <c r="C4891">
        <v>0</v>
      </c>
      <c r="D4891" t="s">
        <v>106</v>
      </c>
      <c r="E4891">
        <v>20.065967016491701</v>
      </c>
    </row>
    <row r="4892" spans="1:5">
      <c r="A4892" t="s">
        <v>5716</v>
      </c>
      <c r="B4892" t="s">
        <v>5717</v>
      </c>
      <c r="C4892">
        <f>0</f>
        <v>0</v>
      </c>
      <c r="D4892">
        <v>0.99760124795000005</v>
      </c>
      <c r="E4892">
        <v>24</v>
      </c>
    </row>
    <row r="4893" spans="1:5">
      <c r="A4893" t="s">
        <v>5716</v>
      </c>
      <c r="B4893" t="s">
        <v>5718</v>
      </c>
      <c r="C4893">
        <v>0</v>
      </c>
      <c r="D4893">
        <v>0.99760124795000005</v>
      </c>
      <c r="E4893">
        <v>24</v>
      </c>
    </row>
    <row r="4894" spans="1:5">
      <c r="A4894" t="s">
        <v>5716</v>
      </c>
      <c r="B4894" t="s">
        <v>5719</v>
      </c>
      <c r="C4894">
        <f>0</f>
        <v>0</v>
      </c>
      <c r="D4894">
        <v>0.99760124795000005</v>
      </c>
      <c r="E4894">
        <v>24</v>
      </c>
    </row>
    <row r="4895" spans="1:5">
      <c r="A4895" t="s">
        <v>5716</v>
      </c>
      <c r="B4895" t="s">
        <v>5720</v>
      </c>
      <c r="C4895">
        <v>0</v>
      </c>
      <c r="D4895">
        <v>0.99760124795000005</v>
      </c>
      <c r="E4895">
        <v>24</v>
      </c>
    </row>
    <row r="4896" spans="1:5">
      <c r="A4896" t="s">
        <v>5716</v>
      </c>
      <c r="B4896" t="s">
        <v>5721</v>
      </c>
      <c r="C4896">
        <f>0.0676625669344</f>
        <v>6.7662566934399995E-2</v>
      </c>
      <c r="D4896">
        <v>0.99760124795000005</v>
      </c>
      <c r="E4896">
        <v>24</v>
      </c>
    </row>
    <row r="4897" spans="1:5">
      <c r="A4897" t="s">
        <v>5716</v>
      </c>
      <c r="B4897" t="s">
        <v>5722</v>
      </c>
      <c r="C4897">
        <f>0</f>
        <v>0</v>
      </c>
      <c r="D4897">
        <v>0.99760124795000005</v>
      </c>
      <c r="E4897">
        <v>24</v>
      </c>
    </row>
    <row r="4898" spans="1:5">
      <c r="A4898" t="s">
        <v>5716</v>
      </c>
      <c r="B4898" t="s">
        <v>5723</v>
      </c>
      <c r="C4898">
        <f>0</f>
        <v>0</v>
      </c>
      <c r="D4898">
        <v>0.99760124795000005</v>
      </c>
      <c r="E4898">
        <v>24</v>
      </c>
    </row>
    <row r="4899" spans="1:5">
      <c r="A4899" t="s">
        <v>5716</v>
      </c>
      <c r="B4899" t="s">
        <v>5724</v>
      </c>
      <c r="C4899">
        <f>0</f>
        <v>0</v>
      </c>
      <c r="D4899">
        <v>0.99760124795000005</v>
      </c>
      <c r="E4899">
        <v>24</v>
      </c>
    </row>
    <row r="4900" spans="1:5">
      <c r="A4900" t="s">
        <v>5716</v>
      </c>
      <c r="B4900" t="s">
        <v>5725</v>
      </c>
      <c r="C4900">
        <f>0.0198528121238</f>
        <v>1.9852812123799999E-2</v>
      </c>
      <c r="D4900">
        <v>0.99760124795000005</v>
      </c>
      <c r="E4900">
        <v>24</v>
      </c>
    </row>
    <row r="4901" spans="1:5">
      <c r="A4901" t="s">
        <v>5716</v>
      </c>
      <c r="B4901" t="s">
        <v>5726</v>
      </c>
      <c r="C4901">
        <f>0</f>
        <v>0</v>
      </c>
      <c r="D4901">
        <v>0.99760124795000005</v>
      </c>
      <c r="E4901">
        <v>24</v>
      </c>
    </row>
    <row r="4902" spans="1:5">
      <c r="A4902" t="s">
        <v>5716</v>
      </c>
      <c r="B4902" t="s">
        <v>5727</v>
      </c>
      <c r="C4902">
        <f>0</f>
        <v>0</v>
      </c>
      <c r="D4902">
        <v>0.99760124795000005</v>
      </c>
      <c r="E4902">
        <v>24</v>
      </c>
    </row>
    <row r="4903" spans="1:5">
      <c r="A4903" t="s">
        <v>5716</v>
      </c>
      <c r="B4903" t="s">
        <v>5728</v>
      </c>
      <c r="C4903">
        <f>0</f>
        <v>0</v>
      </c>
      <c r="D4903">
        <v>0.99760124795000005</v>
      </c>
      <c r="E4903">
        <v>24</v>
      </c>
    </row>
    <row r="4904" spans="1:5">
      <c r="A4904" t="s">
        <v>5716</v>
      </c>
      <c r="B4904" t="s">
        <v>5729</v>
      </c>
      <c r="C4904">
        <v>0</v>
      </c>
      <c r="D4904">
        <v>0.99760124795000005</v>
      </c>
      <c r="E4904">
        <v>24</v>
      </c>
    </row>
    <row r="4905" spans="1:5">
      <c r="A4905" t="s">
        <v>5716</v>
      </c>
      <c r="B4905" t="s">
        <v>5730</v>
      </c>
      <c r="C4905">
        <v>0</v>
      </c>
      <c r="D4905">
        <v>0.99760124795000005</v>
      </c>
      <c r="E4905">
        <v>24</v>
      </c>
    </row>
    <row r="4906" spans="1:5">
      <c r="A4906" t="s">
        <v>5716</v>
      </c>
      <c r="B4906" t="s">
        <v>5731</v>
      </c>
      <c r="C4906">
        <f>0</f>
        <v>0</v>
      </c>
      <c r="D4906">
        <v>0.99760124795000005</v>
      </c>
      <c r="E4906">
        <v>24</v>
      </c>
    </row>
    <row r="4907" spans="1:5">
      <c r="A4907" t="s">
        <v>5716</v>
      </c>
      <c r="B4907" t="s">
        <v>5732</v>
      </c>
      <c r="C4907">
        <v>0</v>
      </c>
      <c r="D4907">
        <v>0.99760124795000005</v>
      </c>
      <c r="E4907">
        <v>24</v>
      </c>
    </row>
    <row r="4908" spans="1:5">
      <c r="A4908" t="s">
        <v>5733</v>
      </c>
      <c r="B4908" t="s">
        <v>5734</v>
      </c>
      <c r="C4908">
        <f>0.400124813128</f>
        <v>0.40012481312800002</v>
      </c>
      <c r="D4908">
        <v>0.589471120934</v>
      </c>
      <c r="E4908">
        <v>4.0659670164917499</v>
      </c>
    </row>
    <row r="4909" spans="1:5">
      <c r="A4909" t="s">
        <v>5733</v>
      </c>
      <c r="B4909" t="s">
        <v>5735</v>
      </c>
      <c r="C4909">
        <v>0</v>
      </c>
      <c r="D4909">
        <v>0.589471120934</v>
      </c>
      <c r="E4909">
        <v>4.0659670164917499</v>
      </c>
    </row>
    <row r="4910" spans="1:5">
      <c r="A4910" t="s">
        <v>5733</v>
      </c>
      <c r="B4910" t="s">
        <v>5736</v>
      </c>
      <c r="C4910">
        <v>0.23161521936999999</v>
      </c>
      <c r="D4910">
        <v>0.589471120934</v>
      </c>
      <c r="E4910">
        <v>4.0659670164917499</v>
      </c>
    </row>
    <row r="4911" spans="1:5">
      <c r="A4911" t="s">
        <v>5737</v>
      </c>
      <c r="B4911" t="s">
        <v>5738</v>
      </c>
      <c r="C4911">
        <f>0</f>
        <v>0</v>
      </c>
      <c r="D4911">
        <v>0.917697097598</v>
      </c>
      <c r="E4911">
        <v>0</v>
      </c>
    </row>
    <row r="4912" spans="1:5">
      <c r="A4912" t="s">
        <v>5737</v>
      </c>
      <c r="B4912" t="s">
        <v>5739</v>
      </c>
      <c r="C4912">
        <v>0.78022396185700005</v>
      </c>
      <c r="D4912">
        <v>0.917697097598</v>
      </c>
      <c r="E4912">
        <v>0</v>
      </c>
    </row>
    <row r="4913" spans="1:5">
      <c r="A4913" t="s">
        <v>5740</v>
      </c>
      <c r="B4913" t="s">
        <v>5741</v>
      </c>
      <c r="C4913">
        <v>0</v>
      </c>
      <c r="D4913">
        <v>0.82963824796200003</v>
      </c>
      <c r="E4913">
        <v>6.0569715142428704</v>
      </c>
    </row>
    <row r="4914" spans="1:5">
      <c r="A4914" t="s">
        <v>5740</v>
      </c>
      <c r="B4914" t="s">
        <v>5742</v>
      </c>
      <c r="C4914">
        <v>0</v>
      </c>
      <c r="D4914">
        <v>0.82963824796200003</v>
      </c>
      <c r="E4914">
        <v>6.0569715142428704</v>
      </c>
    </row>
    <row r="4915" spans="1:5">
      <c r="A4915" t="s">
        <v>5740</v>
      </c>
      <c r="B4915" t="s">
        <v>5743</v>
      </c>
      <c r="C4915">
        <f>0</f>
        <v>0</v>
      </c>
      <c r="D4915">
        <v>0.82963824796200003</v>
      </c>
      <c r="E4915">
        <v>6.0569715142428704</v>
      </c>
    </row>
    <row r="4916" spans="1:5">
      <c r="A4916" t="s">
        <v>5740</v>
      </c>
      <c r="B4916" t="s">
        <v>5744</v>
      </c>
      <c r="C4916">
        <v>0</v>
      </c>
      <c r="D4916">
        <v>0.82963824796200003</v>
      </c>
      <c r="E4916">
        <v>6.0569715142428704</v>
      </c>
    </row>
    <row r="4917" spans="1:5">
      <c r="A4917" t="s">
        <v>5740</v>
      </c>
      <c r="B4917" t="s">
        <v>5745</v>
      </c>
      <c r="C4917">
        <v>0</v>
      </c>
      <c r="D4917">
        <v>0.82963824796200003</v>
      </c>
      <c r="E4917">
        <v>6.0569715142428704</v>
      </c>
    </row>
    <row r="4918" spans="1:5">
      <c r="A4918" t="s">
        <v>5740</v>
      </c>
      <c r="B4918" t="s">
        <v>5746</v>
      </c>
      <c r="C4918">
        <v>0</v>
      </c>
      <c r="D4918">
        <v>0.82963824796200003</v>
      </c>
      <c r="E4918">
        <v>6.0569715142428704</v>
      </c>
    </row>
    <row r="4919" spans="1:5">
      <c r="A4919" t="s">
        <v>5740</v>
      </c>
      <c r="B4919" t="s">
        <v>5747</v>
      </c>
      <c r="C4919">
        <f>0</f>
        <v>0</v>
      </c>
      <c r="D4919">
        <v>0.82963824796200003</v>
      </c>
      <c r="E4919">
        <v>6.0569715142428704</v>
      </c>
    </row>
    <row r="4920" spans="1:5">
      <c r="A4920" t="s">
        <v>5740</v>
      </c>
      <c r="B4920" t="s">
        <v>5748</v>
      </c>
      <c r="C4920">
        <f>0</f>
        <v>0</v>
      </c>
      <c r="D4920">
        <v>0.82963824796200003</v>
      </c>
      <c r="E4920">
        <v>6.0569715142428704</v>
      </c>
    </row>
    <row r="4921" spans="1:5">
      <c r="A4921" t="s">
        <v>5740</v>
      </c>
      <c r="B4921" t="s">
        <v>5749</v>
      </c>
      <c r="C4921">
        <v>0</v>
      </c>
      <c r="D4921">
        <v>0.82963824796200003</v>
      </c>
      <c r="E4921">
        <v>6.0569715142428704</v>
      </c>
    </row>
    <row r="4922" spans="1:5">
      <c r="A4922" t="s">
        <v>5740</v>
      </c>
      <c r="B4922" t="s">
        <v>5750</v>
      </c>
      <c r="C4922">
        <v>0</v>
      </c>
      <c r="D4922">
        <v>0.82963824796200003</v>
      </c>
      <c r="E4922">
        <v>6.0569715142428704</v>
      </c>
    </row>
    <row r="4923" spans="1:5">
      <c r="A4923" t="s">
        <v>5740</v>
      </c>
      <c r="B4923" t="s">
        <v>5751</v>
      </c>
      <c r="C4923">
        <v>0</v>
      </c>
      <c r="D4923">
        <v>0.82963824796200003</v>
      </c>
      <c r="E4923">
        <v>6.0569715142428704</v>
      </c>
    </row>
    <row r="4924" spans="1:5">
      <c r="A4924" t="s">
        <v>5740</v>
      </c>
      <c r="B4924" t="s">
        <v>5752</v>
      </c>
      <c r="C4924">
        <f>0</f>
        <v>0</v>
      </c>
      <c r="D4924">
        <v>0.82963824796200003</v>
      </c>
      <c r="E4924">
        <v>6.0569715142428704</v>
      </c>
    </row>
    <row r="4925" spans="1:5">
      <c r="A4925" t="s">
        <v>5740</v>
      </c>
      <c r="B4925" t="s">
        <v>5753</v>
      </c>
      <c r="C4925">
        <f>0</f>
        <v>0</v>
      </c>
      <c r="D4925">
        <v>0.82963824796200003</v>
      </c>
      <c r="E4925">
        <v>6.0569715142428704</v>
      </c>
    </row>
    <row r="4926" spans="1:5">
      <c r="A4926" t="s">
        <v>5740</v>
      </c>
      <c r="B4926" t="s">
        <v>5754</v>
      </c>
      <c r="C4926">
        <f>0</f>
        <v>0</v>
      </c>
      <c r="D4926">
        <v>0.82963824796200003</v>
      </c>
      <c r="E4926">
        <v>6.0569715142428704</v>
      </c>
    </row>
    <row r="4927" spans="1:5">
      <c r="A4927" t="s">
        <v>5740</v>
      </c>
      <c r="B4927" t="s">
        <v>5755</v>
      </c>
      <c r="C4927">
        <v>0</v>
      </c>
      <c r="D4927">
        <v>0.82963824796200003</v>
      </c>
      <c r="E4927">
        <v>6.0569715142428704</v>
      </c>
    </row>
    <row r="4928" spans="1:5">
      <c r="A4928" t="s">
        <v>5740</v>
      </c>
      <c r="B4928" t="s">
        <v>5756</v>
      </c>
      <c r="C4928">
        <v>3.8496588141400003E-4</v>
      </c>
      <c r="D4928">
        <v>0.82963824796200003</v>
      </c>
      <c r="E4928">
        <v>6.0569715142428704</v>
      </c>
    </row>
    <row r="4929" spans="1:5">
      <c r="A4929" t="s">
        <v>5740</v>
      </c>
      <c r="B4929" t="s">
        <v>5757</v>
      </c>
      <c r="C4929">
        <f>0</f>
        <v>0</v>
      </c>
      <c r="D4929">
        <v>0.82963824796200003</v>
      </c>
      <c r="E4929">
        <v>6.0569715142428704</v>
      </c>
    </row>
    <row r="4930" spans="1:5">
      <c r="A4930" t="s">
        <v>5740</v>
      </c>
      <c r="B4930" t="s">
        <v>5758</v>
      </c>
      <c r="C4930">
        <v>0</v>
      </c>
      <c r="D4930">
        <v>0.82963824796200003</v>
      </c>
      <c r="E4930">
        <v>6.0569715142428704</v>
      </c>
    </row>
    <row r="4931" spans="1:5">
      <c r="A4931" t="s">
        <v>5759</v>
      </c>
      <c r="B4931" t="s">
        <v>5760</v>
      </c>
      <c r="C4931">
        <v>0.30982438420199998</v>
      </c>
      <c r="D4931">
        <v>0.98867334960200004</v>
      </c>
      <c r="E4931">
        <v>1.45127436281859</v>
      </c>
    </row>
    <row r="4932" spans="1:5">
      <c r="A4932" t="s">
        <v>5759</v>
      </c>
      <c r="B4932" t="s">
        <v>5761</v>
      </c>
      <c r="C4932">
        <v>0</v>
      </c>
      <c r="D4932">
        <v>0.98867334960200004</v>
      </c>
      <c r="E4932">
        <v>1.45127436281859</v>
      </c>
    </row>
    <row r="4933" spans="1:5">
      <c r="A4933" t="s">
        <v>5759</v>
      </c>
      <c r="B4933" t="s">
        <v>5762</v>
      </c>
      <c r="C4933">
        <v>0</v>
      </c>
      <c r="D4933">
        <v>0.98867334960200004</v>
      </c>
      <c r="E4933">
        <v>1.45127436281859</v>
      </c>
    </row>
    <row r="4934" spans="1:5">
      <c r="A4934" t="s">
        <v>5759</v>
      </c>
      <c r="B4934" t="s">
        <v>5763</v>
      </c>
      <c r="C4934">
        <v>0</v>
      </c>
      <c r="D4934">
        <v>0.98867334960200004</v>
      </c>
      <c r="E4934">
        <v>1.45127436281859</v>
      </c>
    </row>
    <row r="4935" spans="1:5">
      <c r="A4935" t="s">
        <v>5759</v>
      </c>
      <c r="B4935" t="s">
        <v>5764</v>
      </c>
      <c r="C4935">
        <v>0</v>
      </c>
      <c r="D4935">
        <v>0.98867334960200004</v>
      </c>
      <c r="E4935">
        <v>1.45127436281859</v>
      </c>
    </row>
    <row r="4936" spans="1:5">
      <c r="A4936" t="s">
        <v>5759</v>
      </c>
      <c r="B4936" t="s">
        <v>5765</v>
      </c>
      <c r="C4936">
        <f>0</f>
        <v>0</v>
      </c>
      <c r="D4936">
        <v>0.98867334960200004</v>
      </c>
      <c r="E4936">
        <v>1.45127436281859</v>
      </c>
    </row>
    <row r="4937" spans="1:5">
      <c r="A4937" t="s">
        <v>5759</v>
      </c>
      <c r="B4937" t="s">
        <v>5766</v>
      </c>
      <c r="C4937">
        <v>0</v>
      </c>
      <c r="D4937">
        <v>0.98867334960200004</v>
      </c>
      <c r="E4937">
        <v>1.45127436281859</v>
      </c>
    </row>
    <row r="4938" spans="1:5">
      <c r="A4938" t="s">
        <v>5759</v>
      </c>
      <c r="B4938" t="s">
        <v>5767</v>
      </c>
      <c r="C4938">
        <v>4.4223030871399997E-2</v>
      </c>
      <c r="D4938">
        <v>0.98867334960200004</v>
      </c>
      <c r="E4938">
        <v>1.45127436281859</v>
      </c>
    </row>
    <row r="4939" spans="1:5">
      <c r="A4939" t="s">
        <v>5759</v>
      </c>
      <c r="B4939" t="s">
        <v>5768</v>
      </c>
      <c r="C4939">
        <v>0</v>
      </c>
      <c r="D4939">
        <v>0.98867334960200004</v>
      </c>
      <c r="E4939">
        <v>1.45127436281859</v>
      </c>
    </row>
    <row r="4940" spans="1:5">
      <c r="A4940" t="s">
        <v>5759</v>
      </c>
      <c r="B4940" t="s">
        <v>5769</v>
      </c>
      <c r="C4940">
        <v>0.45996473598400001</v>
      </c>
      <c r="D4940">
        <v>0.98867334960200004</v>
      </c>
      <c r="E4940">
        <v>1.45127436281859</v>
      </c>
    </row>
    <row r="4941" spans="1:5">
      <c r="A4941" t="s">
        <v>5770</v>
      </c>
      <c r="B4941" t="s">
        <v>5771</v>
      </c>
      <c r="C4941">
        <v>0</v>
      </c>
      <c r="D4941" t="s">
        <v>106</v>
      </c>
      <c r="E4941">
        <v>24</v>
      </c>
    </row>
    <row r="4942" spans="1:5">
      <c r="A4942" t="s">
        <v>5770</v>
      </c>
      <c r="B4942" t="s">
        <v>5772</v>
      </c>
      <c r="C4942">
        <v>0</v>
      </c>
      <c r="D4942" t="s">
        <v>106</v>
      </c>
      <c r="E4942">
        <v>24</v>
      </c>
    </row>
    <row r="4943" spans="1:5">
      <c r="A4943" t="s">
        <v>5770</v>
      </c>
      <c r="B4943" t="s">
        <v>5773</v>
      </c>
      <c r="C4943">
        <v>0</v>
      </c>
      <c r="D4943" t="s">
        <v>106</v>
      </c>
      <c r="E4943">
        <v>24</v>
      </c>
    </row>
    <row r="4944" spans="1:5">
      <c r="A4944" t="s">
        <v>5770</v>
      </c>
      <c r="B4944" t="s">
        <v>5774</v>
      </c>
      <c r="C4944">
        <v>0</v>
      </c>
      <c r="D4944" t="s">
        <v>106</v>
      </c>
      <c r="E4944">
        <v>24</v>
      </c>
    </row>
    <row r="4945" spans="1:5">
      <c r="A4945" t="s">
        <v>5770</v>
      </c>
      <c r="B4945" t="s">
        <v>5775</v>
      </c>
      <c r="C4945">
        <v>0</v>
      </c>
      <c r="D4945" t="s">
        <v>106</v>
      </c>
      <c r="E4945">
        <v>24</v>
      </c>
    </row>
    <row r="4946" spans="1:5">
      <c r="A4946" t="s">
        <v>5770</v>
      </c>
      <c r="B4946" t="s">
        <v>5776</v>
      </c>
      <c r="C4946">
        <v>0</v>
      </c>
      <c r="D4946" t="s">
        <v>106</v>
      </c>
      <c r="E4946">
        <v>24</v>
      </c>
    </row>
    <row r="4947" spans="1:5">
      <c r="A4947" t="s">
        <v>5770</v>
      </c>
      <c r="B4947" t="s">
        <v>5777</v>
      </c>
      <c r="C4947">
        <v>0</v>
      </c>
      <c r="D4947" t="s">
        <v>106</v>
      </c>
      <c r="E4947">
        <v>24</v>
      </c>
    </row>
    <row r="4948" spans="1:5">
      <c r="A4948" t="s">
        <v>5770</v>
      </c>
      <c r="B4948" t="s">
        <v>5778</v>
      </c>
      <c r="C4948">
        <v>0</v>
      </c>
      <c r="D4948" t="s">
        <v>106</v>
      </c>
      <c r="E4948">
        <v>24</v>
      </c>
    </row>
    <row r="4949" spans="1:5">
      <c r="A4949" t="s">
        <v>5770</v>
      </c>
      <c r="B4949" t="s">
        <v>5779</v>
      </c>
      <c r="C4949">
        <v>2.72713530438E-2</v>
      </c>
      <c r="D4949" t="s">
        <v>106</v>
      </c>
      <c r="E4949">
        <v>24</v>
      </c>
    </row>
    <row r="4950" spans="1:5">
      <c r="A4950" t="s">
        <v>5770</v>
      </c>
      <c r="B4950" t="s">
        <v>5780</v>
      </c>
      <c r="C4950">
        <v>0</v>
      </c>
      <c r="D4950" t="s">
        <v>106</v>
      </c>
      <c r="E4950">
        <v>24</v>
      </c>
    </row>
    <row r="4951" spans="1:5">
      <c r="A4951" t="s">
        <v>5770</v>
      </c>
      <c r="B4951" t="s">
        <v>5781</v>
      </c>
      <c r="C4951">
        <v>3.9998292815200003E-2</v>
      </c>
      <c r="D4951" t="s">
        <v>106</v>
      </c>
      <c r="E4951">
        <v>24</v>
      </c>
    </row>
    <row r="4952" spans="1:5">
      <c r="A4952" t="s">
        <v>5770</v>
      </c>
      <c r="B4952" t="s">
        <v>5782</v>
      </c>
      <c r="C4952">
        <f>0</f>
        <v>0</v>
      </c>
      <c r="D4952" t="s">
        <v>106</v>
      </c>
      <c r="E4952">
        <v>24</v>
      </c>
    </row>
    <row r="4953" spans="1:5">
      <c r="A4953" t="s">
        <v>5770</v>
      </c>
      <c r="B4953" t="s">
        <v>5783</v>
      </c>
      <c r="C4953">
        <v>0</v>
      </c>
      <c r="D4953" t="s">
        <v>106</v>
      </c>
      <c r="E4953">
        <v>24</v>
      </c>
    </row>
    <row r="4954" spans="1:5">
      <c r="A4954" t="s">
        <v>5770</v>
      </c>
      <c r="B4954" t="s">
        <v>5784</v>
      </c>
      <c r="C4954">
        <v>0</v>
      </c>
      <c r="D4954" t="s">
        <v>106</v>
      </c>
      <c r="E4954">
        <v>24</v>
      </c>
    </row>
    <row r="4955" spans="1:5">
      <c r="A4955" t="s">
        <v>5770</v>
      </c>
      <c r="B4955" t="s">
        <v>5785</v>
      </c>
      <c r="C4955">
        <f>0</f>
        <v>0</v>
      </c>
      <c r="D4955" t="s">
        <v>106</v>
      </c>
      <c r="E4955">
        <v>24</v>
      </c>
    </row>
    <row r="4956" spans="1:5">
      <c r="A4956" t="s">
        <v>5786</v>
      </c>
      <c r="B4956" t="s">
        <v>5787</v>
      </c>
      <c r="C4956">
        <f>0</f>
        <v>0</v>
      </c>
      <c r="D4956">
        <v>0.97321009686899995</v>
      </c>
      <c r="E4956">
        <v>0</v>
      </c>
    </row>
    <row r="4957" spans="1:5">
      <c r="A4957" t="s">
        <v>5786</v>
      </c>
      <c r="B4957" t="s">
        <v>5788</v>
      </c>
      <c r="C4957">
        <v>0</v>
      </c>
      <c r="D4957">
        <v>0.97321009686899995</v>
      </c>
      <c r="E4957">
        <v>0</v>
      </c>
    </row>
    <row r="4958" spans="1:5">
      <c r="A4958" t="s">
        <v>5786</v>
      </c>
      <c r="B4958" t="s">
        <v>5789</v>
      </c>
      <c r="C4958">
        <v>0</v>
      </c>
      <c r="D4958">
        <v>0.97321009686899995</v>
      </c>
      <c r="E4958">
        <v>0</v>
      </c>
    </row>
    <row r="4959" spans="1:5">
      <c r="A4959" t="s">
        <v>5786</v>
      </c>
      <c r="B4959" t="s">
        <v>5790</v>
      </c>
      <c r="C4959">
        <v>0.83245348489899995</v>
      </c>
      <c r="D4959">
        <v>0.97321009686899995</v>
      </c>
      <c r="E4959">
        <v>0</v>
      </c>
    </row>
    <row r="4960" spans="1:5">
      <c r="A4960" t="s">
        <v>5786</v>
      </c>
      <c r="B4960" t="s">
        <v>5791</v>
      </c>
      <c r="C4960">
        <v>0</v>
      </c>
      <c r="D4960">
        <v>0.97321009686899995</v>
      </c>
      <c r="E4960">
        <v>0</v>
      </c>
    </row>
    <row r="4961" spans="1:5">
      <c r="A4961" t="s">
        <v>5786</v>
      </c>
      <c r="B4961" t="s">
        <v>5792</v>
      </c>
      <c r="C4961">
        <v>0</v>
      </c>
      <c r="D4961">
        <v>0.97321009686899995</v>
      </c>
      <c r="E4961">
        <v>0</v>
      </c>
    </row>
    <row r="4962" spans="1:5">
      <c r="A4962" t="s">
        <v>5786</v>
      </c>
      <c r="B4962" t="s">
        <v>5793</v>
      </c>
      <c r="C4962">
        <v>0</v>
      </c>
      <c r="D4962">
        <v>0.97321009686899995</v>
      </c>
      <c r="E4962">
        <v>0</v>
      </c>
    </row>
    <row r="4963" spans="1:5">
      <c r="A4963" t="s">
        <v>5786</v>
      </c>
      <c r="B4963" t="s">
        <v>5794</v>
      </c>
      <c r="C4963">
        <f>0</f>
        <v>0</v>
      </c>
      <c r="D4963">
        <v>0.97321009686899995</v>
      </c>
      <c r="E4963">
        <v>0</v>
      </c>
    </row>
    <row r="4964" spans="1:5">
      <c r="A4964" t="s">
        <v>5786</v>
      </c>
      <c r="B4964" t="s">
        <v>5795</v>
      </c>
      <c r="C4964">
        <v>0</v>
      </c>
      <c r="D4964">
        <v>0.97321009686899995</v>
      </c>
      <c r="E4964">
        <v>0</v>
      </c>
    </row>
    <row r="4965" spans="1:5">
      <c r="A4965" t="s">
        <v>5786</v>
      </c>
      <c r="B4965" t="s">
        <v>5796</v>
      </c>
      <c r="C4965">
        <v>0</v>
      </c>
      <c r="D4965">
        <v>0.97321009686899995</v>
      </c>
      <c r="E4965">
        <v>0</v>
      </c>
    </row>
    <row r="4966" spans="1:5">
      <c r="A4966" t="s">
        <v>5786</v>
      </c>
      <c r="B4966" t="s">
        <v>5797</v>
      </c>
      <c r="C4966">
        <f>0</f>
        <v>0</v>
      </c>
      <c r="D4966">
        <v>0.97321009686899995</v>
      </c>
      <c r="E4966">
        <v>0</v>
      </c>
    </row>
    <row r="4967" spans="1:5">
      <c r="A4967" t="s">
        <v>5798</v>
      </c>
      <c r="B4967" t="s">
        <v>5799</v>
      </c>
      <c r="C4967">
        <f>0</f>
        <v>0</v>
      </c>
      <c r="D4967">
        <v>0.57630280036199999</v>
      </c>
      <c r="E4967">
        <v>10.230884557721099</v>
      </c>
    </row>
    <row r="4968" spans="1:5">
      <c r="A4968" t="s">
        <v>5798</v>
      </c>
      <c r="B4968" t="s">
        <v>5800</v>
      </c>
      <c r="C4968">
        <v>0</v>
      </c>
      <c r="D4968">
        <v>0.57630280036199999</v>
      </c>
      <c r="E4968">
        <v>10.230884557721099</v>
      </c>
    </row>
    <row r="4969" spans="1:5">
      <c r="A4969" t="s">
        <v>5798</v>
      </c>
      <c r="B4969" t="s">
        <v>5801</v>
      </c>
      <c r="C4969">
        <v>0</v>
      </c>
      <c r="D4969">
        <v>0.57630280036199999</v>
      </c>
      <c r="E4969">
        <v>10.230884557721099</v>
      </c>
    </row>
    <row r="4970" spans="1:5">
      <c r="A4970" t="s">
        <v>5798</v>
      </c>
      <c r="B4970" t="s">
        <v>5802</v>
      </c>
      <c r="C4970">
        <f>0</f>
        <v>0</v>
      </c>
      <c r="D4970">
        <v>0.57630280036199999</v>
      </c>
      <c r="E4970">
        <v>10.230884557721099</v>
      </c>
    </row>
    <row r="4971" spans="1:5">
      <c r="A4971" t="s">
        <v>5798</v>
      </c>
      <c r="B4971" t="s">
        <v>5803</v>
      </c>
      <c r="C4971">
        <f>0</f>
        <v>0</v>
      </c>
      <c r="D4971">
        <v>0.57630280036199999</v>
      </c>
      <c r="E4971">
        <v>10.230884557721099</v>
      </c>
    </row>
    <row r="4972" spans="1:5">
      <c r="A4972" t="s">
        <v>5798</v>
      </c>
      <c r="B4972" t="s">
        <v>5804</v>
      </c>
      <c r="C4972">
        <v>3.2507517110699997E-2</v>
      </c>
      <c r="D4972">
        <v>0.57630280036199999</v>
      </c>
      <c r="E4972">
        <v>10.230884557721099</v>
      </c>
    </row>
    <row r="4973" spans="1:5">
      <c r="A4973" t="s">
        <v>5798</v>
      </c>
      <c r="B4973" t="s">
        <v>5805</v>
      </c>
      <c r="C4973">
        <f>0</f>
        <v>0</v>
      </c>
      <c r="D4973">
        <v>0.57630280036199999</v>
      </c>
      <c r="E4973">
        <v>10.230884557721099</v>
      </c>
    </row>
    <row r="4974" spans="1:5">
      <c r="A4974" t="s">
        <v>5806</v>
      </c>
      <c r="B4974" t="s">
        <v>5807</v>
      </c>
      <c r="C4974">
        <v>0.27903656855499998</v>
      </c>
      <c r="D4974">
        <v>0.89621464517299998</v>
      </c>
      <c r="E4974">
        <v>12.3898050974512</v>
      </c>
    </row>
    <row r="4975" spans="1:5">
      <c r="A4975" t="s">
        <v>5806</v>
      </c>
      <c r="B4975" t="s">
        <v>5808</v>
      </c>
      <c r="C4975">
        <v>7.2326624912399995E-2</v>
      </c>
      <c r="D4975">
        <v>0.89621464517299998</v>
      </c>
      <c r="E4975">
        <v>12.3898050974512</v>
      </c>
    </row>
    <row r="4976" spans="1:5">
      <c r="A4976" t="s">
        <v>5809</v>
      </c>
      <c r="B4976" t="s">
        <v>5810</v>
      </c>
      <c r="C4976">
        <f>0.338451409444</f>
        <v>0.33845140944399998</v>
      </c>
      <c r="D4976">
        <v>0.978741446372</v>
      </c>
      <c r="E4976">
        <v>11.5382308845577</v>
      </c>
    </row>
    <row r="4977" spans="1:5">
      <c r="A4977" t="s">
        <v>5809</v>
      </c>
      <c r="B4977" t="s">
        <v>5811</v>
      </c>
      <c r="C4977">
        <v>0.31390863131399999</v>
      </c>
      <c r="D4977">
        <v>0.978741446372</v>
      </c>
      <c r="E4977">
        <v>11.5382308845577</v>
      </c>
    </row>
    <row r="4978" spans="1:5">
      <c r="A4978" t="s">
        <v>5809</v>
      </c>
      <c r="B4978" t="s">
        <v>5812</v>
      </c>
      <c r="C4978">
        <v>0</v>
      </c>
      <c r="D4978">
        <v>0.978741446372</v>
      </c>
      <c r="E4978">
        <v>11.5382308845577</v>
      </c>
    </row>
    <row r="4979" spans="1:5">
      <c r="A4979" t="s">
        <v>5813</v>
      </c>
      <c r="B4979" t="s">
        <v>5814</v>
      </c>
      <c r="C4979">
        <f>0</f>
        <v>0</v>
      </c>
      <c r="D4979">
        <v>0.99392910491999997</v>
      </c>
      <c r="E4979">
        <v>5.4692653673163401</v>
      </c>
    </row>
    <row r="4980" spans="1:5">
      <c r="A4980" t="s">
        <v>5813</v>
      </c>
      <c r="B4980" t="s">
        <v>5815</v>
      </c>
      <c r="C4980">
        <v>0</v>
      </c>
      <c r="D4980">
        <v>0.99392910491999997</v>
      </c>
      <c r="E4980">
        <v>5.4692653673163401</v>
      </c>
    </row>
    <row r="4981" spans="1:5">
      <c r="A4981" t="s">
        <v>5813</v>
      </c>
      <c r="B4981" t="s">
        <v>5816</v>
      </c>
      <c r="C4981">
        <f>0</f>
        <v>0</v>
      </c>
      <c r="D4981">
        <v>0.99392910491999997</v>
      </c>
      <c r="E4981">
        <v>5.4692653673163401</v>
      </c>
    </row>
    <row r="4982" spans="1:5">
      <c r="A4982" t="s">
        <v>5813</v>
      </c>
      <c r="B4982" t="s">
        <v>5817</v>
      </c>
      <c r="C4982">
        <f>0</f>
        <v>0</v>
      </c>
      <c r="D4982">
        <v>0.99392910491999997</v>
      </c>
      <c r="E4982">
        <v>5.4692653673163401</v>
      </c>
    </row>
    <row r="4983" spans="1:5">
      <c r="A4983" t="s">
        <v>5813</v>
      </c>
      <c r="B4983" t="s">
        <v>5818</v>
      </c>
      <c r="C4983">
        <f>0</f>
        <v>0</v>
      </c>
      <c r="D4983">
        <v>0.99392910491999997</v>
      </c>
      <c r="E4983">
        <v>5.4692653673163401</v>
      </c>
    </row>
    <row r="4984" spans="1:5">
      <c r="A4984" t="s">
        <v>5813</v>
      </c>
      <c r="B4984" t="s">
        <v>5819</v>
      </c>
      <c r="C4984">
        <f>0</f>
        <v>0</v>
      </c>
      <c r="D4984">
        <v>0.99392910491999997</v>
      </c>
      <c r="E4984">
        <v>5.4692653673163401</v>
      </c>
    </row>
    <row r="4985" spans="1:5">
      <c r="A4985" t="s">
        <v>5813</v>
      </c>
      <c r="B4985" t="s">
        <v>5820</v>
      </c>
      <c r="C4985">
        <f>0.200254282816</f>
        <v>0.200254282816</v>
      </c>
      <c r="D4985">
        <v>0.99392910491999997</v>
      </c>
      <c r="E4985">
        <v>5.4692653673163401</v>
      </c>
    </row>
    <row r="4986" spans="1:5">
      <c r="A4986" t="s">
        <v>5813</v>
      </c>
      <c r="B4986" t="s">
        <v>5821</v>
      </c>
      <c r="C4986">
        <f>0</f>
        <v>0</v>
      </c>
      <c r="D4986">
        <v>0.99392910491999997</v>
      </c>
      <c r="E4986">
        <v>5.4692653673163401</v>
      </c>
    </row>
    <row r="4987" spans="1:5">
      <c r="A4987" t="s">
        <v>5813</v>
      </c>
      <c r="B4987" t="s">
        <v>5822</v>
      </c>
      <c r="C4987">
        <f>0</f>
        <v>0</v>
      </c>
      <c r="D4987">
        <v>0.99392910491999997</v>
      </c>
      <c r="E4987">
        <v>5.4692653673163401</v>
      </c>
    </row>
    <row r="4988" spans="1:5">
      <c r="A4988" t="s">
        <v>5813</v>
      </c>
      <c r="B4988" t="s">
        <v>5823</v>
      </c>
      <c r="C4988">
        <f>0</f>
        <v>0</v>
      </c>
      <c r="D4988">
        <v>0.99392910491999997</v>
      </c>
      <c r="E4988">
        <v>5.4692653673163401</v>
      </c>
    </row>
    <row r="4989" spans="1:5">
      <c r="A4989" t="s">
        <v>5813</v>
      </c>
      <c r="B4989" t="s">
        <v>5824</v>
      </c>
      <c r="C4989">
        <v>2.5347065500600001E-2</v>
      </c>
      <c r="D4989">
        <v>0.99392910491999997</v>
      </c>
      <c r="E4989">
        <v>5.4692653673163401</v>
      </c>
    </row>
    <row r="4990" spans="1:5">
      <c r="A4990" t="s">
        <v>5813</v>
      </c>
      <c r="B4990" t="s">
        <v>5825</v>
      </c>
      <c r="C4990">
        <f>0</f>
        <v>0</v>
      </c>
      <c r="D4990">
        <v>0.99392910491999997</v>
      </c>
      <c r="E4990">
        <v>5.4692653673163401</v>
      </c>
    </row>
    <row r="4991" spans="1:5">
      <c r="A4991" t="s">
        <v>5813</v>
      </c>
      <c r="B4991" t="s">
        <v>5826</v>
      </c>
      <c r="C4991">
        <f>0</f>
        <v>0</v>
      </c>
      <c r="D4991">
        <v>0.99392910491999997</v>
      </c>
      <c r="E4991">
        <v>5.4692653673163401</v>
      </c>
    </row>
    <row r="4992" spans="1:5">
      <c r="A4992" t="s">
        <v>5827</v>
      </c>
      <c r="B4992" t="s">
        <v>5828</v>
      </c>
      <c r="C4992">
        <v>0</v>
      </c>
      <c r="D4992">
        <v>0.96873190562199996</v>
      </c>
      <c r="E4992">
        <v>23.7481259370314</v>
      </c>
    </row>
    <row r="4993" spans="1:5">
      <c r="A4993" t="s">
        <v>5827</v>
      </c>
      <c r="B4993" t="s">
        <v>5829</v>
      </c>
      <c r="C4993">
        <v>0</v>
      </c>
      <c r="D4993">
        <v>0.96873190562199996</v>
      </c>
      <c r="E4993">
        <v>23.7481259370314</v>
      </c>
    </row>
    <row r="4994" spans="1:5">
      <c r="A4994" t="s">
        <v>5827</v>
      </c>
      <c r="B4994" t="s">
        <v>5830</v>
      </c>
      <c r="C4994">
        <f>0</f>
        <v>0</v>
      </c>
      <c r="D4994">
        <v>0.96873190562199996</v>
      </c>
      <c r="E4994">
        <v>23.7481259370314</v>
      </c>
    </row>
    <row r="4995" spans="1:5">
      <c r="A4995" t="s">
        <v>5827</v>
      </c>
      <c r="B4995" t="s">
        <v>5831</v>
      </c>
      <c r="C4995">
        <f>0</f>
        <v>0</v>
      </c>
      <c r="D4995">
        <v>0.96873190562199996</v>
      </c>
      <c r="E4995">
        <v>23.7481259370314</v>
      </c>
    </row>
    <row r="4996" spans="1:5">
      <c r="A4996" t="s">
        <v>5827</v>
      </c>
      <c r="B4996" t="s">
        <v>5832</v>
      </c>
      <c r="C4996">
        <f>0</f>
        <v>0</v>
      </c>
      <c r="D4996">
        <v>0.96873190562199996</v>
      </c>
      <c r="E4996">
        <v>23.7481259370314</v>
      </c>
    </row>
    <row r="4997" spans="1:5">
      <c r="A4997" t="s">
        <v>5827</v>
      </c>
      <c r="B4997" t="s">
        <v>5833</v>
      </c>
      <c r="C4997">
        <f>0</f>
        <v>0</v>
      </c>
      <c r="D4997">
        <v>0.96873190562199996</v>
      </c>
      <c r="E4997">
        <v>23.7481259370314</v>
      </c>
    </row>
    <row r="4998" spans="1:5">
      <c r="A4998" t="s">
        <v>5827</v>
      </c>
      <c r="B4998" t="s">
        <v>5834</v>
      </c>
      <c r="C4998">
        <v>0</v>
      </c>
      <c r="D4998">
        <v>0.96873190562199996</v>
      </c>
      <c r="E4998">
        <v>23.7481259370314</v>
      </c>
    </row>
    <row r="4999" spans="1:5">
      <c r="A4999" t="s">
        <v>5835</v>
      </c>
      <c r="B4999" t="s">
        <v>5836</v>
      </c>
      <c r="C4999">
        <f>0</f>
        <v>0</v>
      </c>
      <c r="D4999" t="s">
        <v>106</v>
      </c>
      <c r="E4999">
        <v>2.0989505247376301</v>
      </c>
    </row>
    <row r="5000" spans="1:5">
      <c r="A5000" t="s">
        <v>5835</v>
      </c>
      <c r="B5000" t="s">
        <v>5837</v>
      </c>
      <c r="C5000">
        <f>0</f>
        <v>0</v>
      </c>
      <c r="D5000" t="s">
        <v>106</v>
      </c>
      <c r="E5000">
        <v>2.0989505247376301</v>
      </c>
    </row>
    <row r="5001" spans="1:5">
      <c r="A5001" t="s">
        <v>5835</v>
      </c>
      <c r="B5001" t="s">
        <v>5838</v>
      </c>
      <c r="C5001">
        <f>0</f>
        <v>0</v>
      </c>
      <c r="D5001" t="s">
        <v>106</v>
      </c>
      <c r="E5001">
        <v>2.0989505247376301</v>
      </c>
    </row>
    <row r="5002" spans="1:5">
      <c r="A5002" t="s">
        <v>5839</v>
      </c>
      <c r="B5002" t="s">
        <v>5840</v>
      </c>
      <c r="C5002">
        <f>0</f>
        <v>0</v>
      </c>
      <c r="D5002" t="s">
        <v>106</v>
      </c>
      <c r="E5002">
        <v>5.5772113943028403</v>
      </c>
    </row>
    <row r="5003" spans="1:5">
      <c r="A5003" t="s">
        <v>5839</v>
      </c>
      <c r="B5003" t="s">
        <v>5841</v>
      </c>
      <c r="C5003">
        <f>0</f>
        <v>0</v>
      </c>
      <c r="D5003" t="s">
        <v>106</v>
      </c>
      <c r="E5003">
        <v>5.5772113943028403</v>
      </c>
    </row>
    <row r="5004" spans="1:5">
      <c r="A5004" t="s">
        <v>5839</v>
      </c>
      <c r="B5004" t="s">
        <v>5842</v>
      </c>
      <c r="C5004">
        <f>0</f>
        <v>0</v>
      </c>
      <c r="D5004" t="s">
        <v>106</v>
      </c>
      <c r="E5004">
        <v>5.5772113943028403</v>
      </c>
    </row>
    <row r="5005" spans="1:5">
      <c r="A5005" t="s">
        <v>5839</v>
      </c>
      <c r="B5005" t="s">
        <v>5843</v>
      </c>
      <c r="C5005">
        <v>0</v>
      </c>
      <c r="D5005" t="s">
        <v>106</v>
      </c>
      <c r="E5005">
        <v>5.5772113943028403</v>
      </c>
    </row>
    <row r="5006" spans="1:5">
      <c r="A5006" t="s">
        <v>5839</v>
      </c>
      <c r="B5006" t="s">
        <v>5844</v>
      </c>
      <c r="C5006">
        <v>0</v>
      </c>
      <c r="D5006" t="s">
        <v>106</v>
      </c>
      <c r="E5006">
        <v>5.5772113943028403</v>
      </c>
    </row>
    <row r="5007" spans="1:5">
      <c r="A5007" t="s">
        <v>5839</v>
      </c>
      <c r="B5007" t="s">
        <v>5845</v>
      </c>
      <c r="C5007">
        <f>0</f>
        <v>0</v>
      </c>
      <c r="D5007" t="s">
        <v>106</v>
      </c>
      <c r="E5007">
        <v>5.5772113943028403</v>
      </c>
    </row>
    <row r="5008" spans="1:5">
      <c r="A5008" t="s">
        <v>5839</v>
      </c>
      <c r="B5008" t="s">
        <v>5846</v>
      </c>
      <c r="C5008">
        <f>0</f>
        <v>0</v>
      </c>
      <c r="D5008" t="s">
        <v>106</v>
      </c>
      <c r="E5008">
        <v>5.5772113943028403</v>
      </c>
    </row>
    <row r="5009" spans="1:5">
      <c r="A5009" t="s">
        <v>5847</v>
      </c>
      <c r="B5009" t="s">
        <v>5848</v>
      </c>
      <c r="C5009">
        <f>0</f>
        <v>0</v>
      </c>
      <c r="D5009">
        <v>0.997463516158</v>
      </c>
      <c r="E5009">
        <v>0.77961019490254801</v>
      </c>
    </row>
    <row r="5010" spans="1:5">
      <c r="A5010" t="s">
        <v>5847</v>
      </c>
      <c r="B5010" t="s">
        <v>5849</v>
      </c>
      <c r="C5010">
        <f>0</f>
        <v>0</v>
      </c>
      <c r="D5010">
        <v>0.997463516158</v>
      </c>
      <c r="E5010">
        <v>0.77961019490254801</v>
      </c>
    </row>
    <row r="5011" spans="1:5">
      <c r="A5011" t="s">
        <v>5847</v>
      </c>
      <c r="B5011" t="s">
        <v>5850</v>
      </c>
      <c r="C5011">
        <f>0</f>
        <v>0</v>
      </c>
      <c r="D5011">
        <v>0.997463516158</v>
      </c>
      <c r="E5011">
        <v>0.77961019490254801</v>
      </c>
    </row>
    <row r="5012" spans="1:5">
      <c r="A5012" t="s">
        <v>5847</v>
      </c>
      <c r="B5012" t="s">
        <v>5851</v>
      </c>
      <c r="C5012">
        <f>0</f>
        <v>0</v>
      </c>
      <c r="D5012">
        <v>0.997463516158</v>
      </c>
      <c r="E5012">
        <v>0.77961019490254801</v>
      </c>
    </row>
    <row r="5013" spans="1:5">
      <c r="A5013" t="s">
        <v>5847</v>
      </c>
      <c r="B5013" t="s">
        <v>5852</v>
      </c>
      <c r="C5013">
        <f>0</f>
        <v>0</v>
      </c>
      <c r="D5013">
        <v>0.997463516158</v>
      </c>
      <c r="E5013">
        <v>0.77961019490254801</v>
      </c>
    </row>
    <row r="5014" spans="1:5">
      <c r="A5014" t="s">
        <v>5847</v>
      </c>
      <c r="B5014" t="s">
        <v>5853</v>
      </c>
      <c r="C5014">
        <f>0</f>
        <v>0</v>
      </c>
      <c r="D5014">
        <v>0.997463516158</v>
      </c>
      <c r="E5014">
        <v>0.77961019490254801</v>
      </c>
    </row>
    <row r="5015" spans="1:5">
      <c r="A5015" t="s">
        <v>5847</v>
      </c>
      <c r="B5015" t="s">
        <v>5854</v>
      </c>
      <c r="C5015">
        <f>0</f>
        <v>0</v>
      </c>
      <c r="D5015">
        <v>0.997463516158</v>
      </c>
      <c r="E5015">
        <v>0.77961019490254801</v>
      </c>
    </row>
    <row r="5016" spans="1:5">
      <c r="A5016" t="s">
        <v>5847</v>
      </c>
      <c r="B5016" t="s">
        <v>5855</v>
      </c>
      <c r="C5016">
        <v>0</v>
      </c>
      <c r="D5016">
        <v>0.997463516158</v>
      </c>
      <c r="E5016">
        <v>0.77961019490254801</v>
      </c>
    </row>
    <row r="5017" spans="1:5">
      <c r="A5017" t="s">
        <v>5847</v>
      </c>
      <c r="B5017" t="s">
        <v>5856</v>
      </c>
      <c r="C5017">
        <f>0</f>
        <v>0</v>
      </c>
      <c r="D5017">
        <v>0.997463516158</v>
      </c>
      <c r="E5017">
        <v>0.77961019490254801</v>
      </c>
    </row>
    <row r="5018" spans="1:5">
      <c r="A5018" t="s">
        <v>5847</v>
      </c>
      <c r="B5018" t="s">
        <v>5857</v>
      </c>
      <c r="C5018">
        <f>0</f>
        <v>0</v>
      </c>
      <c r="D5018">
        <v>0.997463516158</v>
      </c>
      <c r="E5018">
        <v>0.77961019490254801</v>
      </c>
    </row>
    <row r="5019" spans="1:5">
      <c r="A5019" t="s">
        <v>5847</v>
      </c>
      <c r="B5019" t="s">
        <v>5858</v>
      </c>
      <c r="C5019">
        <v>0</v>
      </c>
      <c r="D5019">
        <v>0.997463516158</v>
      </c>
      <c r="E5019">
        <v>0.77961019490254801</v>
      </c>
    </row>
    <row r="5020" spans="1:5">
      <c r="A5020" t="s">
        <v>5847</v>
      </c>
      <c r="B5020" t="s">
        <v>5859</v>
      </c>
      <c r="C5020">
        <f>0</f>
        <v>0</v>
      </c>
      <c r="D5020">
        <v>0.997463516158</v>
      </c>
      <c r="E5020">
        <v>0.77961019490254801</v>
      </c>
    </row>
    <row r="5021" spans="1:5">
      <c r="A5021" t="s">
        <v>5847</v>
      </c>
      <c r="B5021" t="s">
        <v>5860</v>
      </c>
      <c r="C5021">
        <f>0.593080648389</f>
        <v>0.59308064838899999</v>
      </c>
      <c r="D5021">
        <v>0.997463516158</v>
      </c>
      <c r="E5021">
        <v>0.77961019490254801</v>
      </c>
    </row>
    <row r="5022" spans="1:5">
      <c r="A5022" t="s">
        <v>5847</v>
      </c>
      <c r="B5022" t="s">
        <v>5861</v>
      </c>
      <c r="C5022">
        <f>0</f>
        <v>0</v>
      </c>
      <c r="D5022">
        <v>0.997463516158</v>
      </c>
      <c r="E5022">
        <v>0.77961019490254801</v>
      </c>
    </row>
    <row r="5023" spans="1:5">
      <c r="A5023" t="s">
        <v>5862</v>
      </c>
      <c r="B5023" t="s">
        <v>5863</v>
      </c>
      <c r="C5023">
        <v>0</v>
      </c>
      <c r="D5023" t="s">
        <v>106</v>
      </c>
      <c r="E5023">
        <v>1.7631184407796101</v>
      </c>
    </row>
    <row r="5024" spans="1:5">
      <c r="A5024" t="s">
        <v>5862</v>
      </c>
      <c r="B5024" t="s">
        <v>5864</v>
      </c>
      <c r="C5024">
        <v>0</v>
      </c>
      <c r="D5024" t="s">
        <v>106</v>
      </c>
      <c r="E5024">
        <v>1.7631184407796101</v>
      </c>
    </row>
    <row r="5025" spans="1:5">
      <c r="A5025" t="s">
        <v>5862</v>
      </c>
      <c r="B5025" t="s">
        <v>5865</v>
      </c>
      <c r="C5025">
        <v>0</v>
      </c>
      <c r="D5025" t="s">
        <v>106</v>
      </c>
      <c r="E5025">
        <v>1.7631184407796101</v>
      </c>
    </row>
    <row r="5026" spans="1:5">
      <c r="A5026" t="s">
        <v>5862</v>
      </c>
      <c r="B5026" t="s">
        <v>5866</v>
      </c>
      <c r="C5026">
        <f>0</f>
        <v>0</v>
      </c>
      <c r="D5026" t="s">
        <v>106</v>
      </c>
      <c r="E5026">
        <v>1.7631184407796101</v>
      </c>
    </row>
    <row r="5027" spans="1:5">
      <c r="A5027" t="s">
        <v>5862</v>
      </c>
      <c r="B5027" t="s">
        <v>5867</v>
      </c>
      <c r="C5027">
        <v>0</v>
      </c>
      <c r="D5027" t="s">
        <v>106</v>
      </c>
      <c r="E5027">
        <v>1.7631184407796101</v>
      </c>
    </row>
    <row r="5028" spans="1:5">
      <c r="A5028" t="s">
        <v>5862</v>
      </c>
      <c r="B5028" t="s">
        <v>5868</v>
      </c>
      <c r="C5028">
        <v>0</v>
      </c>
      <c r="D5028" t="s">
        <v>106</v>
      </c>
      <c r="E5028">
        <v>1.7631184407796101</v>
      </c>
    </row>
    <row r="5029" spans="1:5">
      <c r="A5029" t="s">
        <v>5862</v>
      </c>
      <c r="B5029" t="s">
        <v>5869</v>
      </c>
      <c r="C5029">
        <v>0</v>
      </c>
      <c r="D5029" t="s">
        <v>106</v>
      </c>
      <c r="E5029">
        <v>1.7631184407796101</v>
      </c>
    </row>
    <row r="5030" spans="1:5">
      <c r="A5030" t="s">
        <v>5862</v>
      </c>
      <c r="B5030" t="s">
        <v>5870</v>
      </c>
      <c r="C5030">
        <v>0</v>
      </c>
      <c r="D5030" t="s">
        <v>106</v>
      </c>
      <c r="E5030">
        <v>1.7631184407796101</v>
      </c>
    </row>
    <row r="5031" spans="1:5">
      <c r="A5031" t="s">
        <v>5862</v>
      </c>
      <c r="B5031" t="s">
        <v>5871</v>
      </c>
      <c r="C5031">
        <f>0</f>
        <v>0</v>
      </c>
      <c r="D5031" t="s">
        <v>106</v>
      </c>
      <c r="E5031">
        <v>1.7631184407796101</v>
      </c>
    </row>
    <row r="5032" spans="1:5">
      <c r="A5032" t="s">
        <v>5862</v>
      </c>
      <c r="B5032" t="s">
        <v>5872</v>
      </c>
      <c r="C5032">
        <f>0</f>
        <v>0</v>
      </c>
      <c r="D5032" t="s">
        <v>106</v>
      </c>
      <c r="E5032">
        <v>1.7631184407796101</v>
      </c>
    </row>
    <row r="5033" spans="1:5">
      <c r="A5033" t="s">
        <v>5862</v>
      </c>
      <c r="B5033" t="s">
        <v>5873</v>
      </c>
      <c r="C5033">
        <v>0</v>
      </c>
      <c r="D5033" t="s">
        <v>106</v>
      </c>
      <c r="E5033">
        <v>1.7631184407796101</v>
      </c>
    </row>
    <row r="5034" spans="1:5">
      <c r="A5034" t="s">
        <v>5862</v>
      </c>
      <c r="B5034" t="s">
        <v>5874</v>
      </c>
      <c r="C5034">
        <v>0</v>
      </c>
      <c r="D5034" t="s">
        <v>106</v>
      </c>
      <c r="E5034">
        <v>1.7631184407796101</v>
      </c>
    </row>
    <row r="5035" spans="1:5">
      <c r="A5035" t="s">
        <v>5862</v>
      </c>
      <c r="B5035" t="s">
        <v>5875</v>
      </c>
      <c r="C5035">
        <v>0</v>
      </c>
      <c r="D5035" t="s">
        <v>106</v>
      </c>
      <c r="E5035">
        <v>1.7631184407796101</v>
      </c>
    </row>
    <row r="5036" spans="1:5">
      <c r="A5036" t="s">
        <v>5862</v>
      </c>
      <c r="B5036" t="s">
        <v>5876</v>
      </c>
      <c r="C5036">
        <v>0</v>
      </c>
      <c r="D5036" t="s">
        <v>106</v>
      </c>
      <c r="E5036">
        <v>1.7631184407796101</v>
      </c>
    </row>
    <row r="5037" spans="1:5">
      <c r="A5037" t="s">
        <v>5862</v>
      </c>
      <c r="B5037" t="s">
        <v>5877</v>
      </c>
      <c r="C5037">
        <v>0</v>
      </c>
      <c r="D5037" t="s">
        <v>106</v>
      </c>
      <c r="E5037">
        <v>1.7631184407796101</v>
      </c>
    </row>
    <row r="5038" spans="1:5">
      <c r="A5038" t="s">
        <v>5878</v>
      </c>
      <c r="B5038" t="s">
        <v>5879</v>
      </c>
      <c r="C5038">
        <v>0</v>
      </c>
      <c r="D5038">
        <v>0.63682341694300004</v>
      </c>
      <c r="E5038">
        <v>22.332833583208298</v>
      </c>
    </row>
    <row r="5039" spans="1:5">
      <c r="A5039" t="s">
        <v>5878</v>
      </c>
      <c r="B5039" t="s">
        <v>5880</v>
      </c>
      <c r="C5039">
        <v>0</v>
      </c>
      <c r="D5039">
        <v>0.63682341694300004</v>
      </c>
      <c r="E5039">
        <v>22.332833583208298</v>
      </c>
    </row>
    <row r="5040" spans="1:5">
      <c r="A5040" t="s">
        <v>5878</v>
      </c>
      <c r="B5040" t="s">
        <v>5881</v>
      </c>
      <c r="C5040">
        <v>1.5894561626699999E-2</v>
      </c>
      <c r="D5040">
        <v>0.63682341694300004</v>
      </c>
      <c r="E5040">
        <v>22.332833583208298</v>
      </c>
    </row>
    <row r="5041" spans="1:5">
      <c r="A5041" t="s">
        <v>5878</v>
      </c>
      <c r="B5041" t="s">
        <v>5882</v>
      </c>
      <c r="C5041">
        <v>0</v>
      </c>
      <c r="D5041">
        <v>0.63682341694300004</v>
      </c>
      <c r="E5041">
        <v>22.332833583208298</v>
      </c>
    </row>
    <row r="5042" spans="1:5">
      <c r="A5042" t="s">
        <v>5883</v>
      </c>
      <c r="B5042" t="s">
        <v>5884</v>
      </c>
      <c r="C5042">
        <v>0.58971505113699996</v>
      </c>
      <c r="D5042">
        <v>0.96931261683199998</v>
      </c>
      <c r="E5042">
        <v>9.6191904047975996</v>
      </c>
    </row>
    <row r="5043" spans="1:5">
      <c r="A5043" t="s">
        <v>5883</v>
      </c>
      <c r="B5043" t="s">
        <v>5885</v>
      </c>
      <c r="C5043">
        <f>0.140600896162</f>
        <v>0.140600896162</v>
      </c>
      <c r="D5043">
        <v>0.96931261683199998</v>
      </c>
      <c r="E5043">
        <v>9.6191904047975996</v>
      </c>
    </row>
    <row r="5044" spans="1:5">
      <c r="A5044" t="s">
        <v>5886</v>
      </c>
      <c r="B5044" t="s">
        <v>5887</v>
      </c>
      <c r="C5044">
        <v>0</v>
      </c>
      <c r="D5044">
        <v>0.94527927457700001</v>
      </c>
      <c r="E5044">
        <v>1.7631184407796101</v>
      </c>
    </row>
    <row r="5045" spans="1:5">
      <c r="A5045" t="s">
        <v>5886</v>
      </c>
      <c r="B5045" t="s">
        <v>5888</v>
      </c>
      <c r="C5045">
        <v>0</v>
      </c>
      <c r="D5045">
        <v>0.94527927457700001</v>
      </c>
      <c r="E5045">
        <v>1.7631184407796101</v>
      </c>
    </row>
    <row r="5046" spans="1:5">
      <c r="A5046" t="s">
        <v>5886</v>
      </c>
      <c r="B5046" t="s">
        <v>5889</v>
      </c>
      <c r="C5046">
        <v>0</v>
      </c>
      <c r="D5046">
        <v>0.94527927457700001</v>
      </c>
      <c r="E5046">
        <v>1.7631184407796101</v>
      </c>
    </row>
    <row r="5047" spans="1:5">
      <c r="A5047" t="s">
        <v>5886</v>
      </c>
      <c r="B5047" t="s">
        <v>5890</v>
      </c>
      <c r="C5047">
        <f>0</f>
        <v>0</v>
      </c>
      <c r="D5047">
        <v>0.94527927457700001</v>
      </c>
      <c r="E5047">
        <v>1.7631184407796101</v>
      </c>
    </row>
    <row r="5048" spans="1:5">
      <c r="A5048" t="s">
        <v>5886</v>
      </c>
      <c r="B5048" t="s">
        <v>5891</v>
      </c>
      <c r="C5048">
        <v>2.2638652313400001E-4</v>
      </c>
      <c r="D5048">
        <v>0.94527927457700001</v>
      </c>
      <c r="E5048">
        <v>1.7631184407796101</v>
      </c>
    </row>
    <row r="5049" spans="1:5">
      <c r="A5049" t="s">
        <v>5886</v>
      </c>
      <c r="B5049" t="s">
        <v>5892</v>
      </c>
      <c r="C5049">
        <v>8.3667676463899998E-2</v>
      </c>
      <c r="D5049">
        <v>0.94527927457700001</v>
      </c>
      <c r="E5049">
        <v>1.7631184407796101</v>
      </c>
    </row>
    <row r="5050" spans="1:5">
      <c r="A5050" t="s">
        <v>5886</v>
      </c>
      <c r="B5050" t="s">
        <v>5893</v>
      </c>
      <c r="C5050">
        <f>0</f>
        <v>0</v>
      </c>
      <c r="D5050">
        <v>0.94527927457700001</v>
      </c>
      <c r="E5050">
        <v>1.7631184407796101</v>
      </c>
    </row>
    <row r="5051" spans="1:5">
      <c r="A5051" t="s">
        <v>5894</v>
      </c>
      <c r="B5051" t="s">
        <v>5895</v>
      </c>
      <c r="C5051">
        <f>0</f>
        <v>0</v>
      </c>
      <c r="D5051">
        <v>0.98080186206200004</v>
      </c>
      <c r="E5051">
        <v>7.0644677661169402</v>
      </c>
    </row>
    <row r="5052" spans="1:5">
      <c r="A5052" t="s">
        <v>5894</v>
      </c>
      <c r="B5052" t="s">
        <v>5896</v>
      </c>
      <c r="C5052">
        <f>0.145509144012</f>
        <v>0.14550914401199999</v>
      </c>
      <c r="D5052">
        <v>0.98080186206200004</v>
      </c>
      <c r="E5052">
        <v>7.0644677661169402</v>
      </c>
    </row>
    <row r="5053" spans="1:5">
      <c r="A5053" t="s">
        <v>5894</v>
      </c>
      <c r="B5053" t="s">
        <v>5897</v>
      </c>
      <c r="C5053">
        <v>0</v>
      </c>
      <c r="D5053">
        <v>0.98080186206200004</v>
      </c>
      <c r="E5053">
        <v>7.0644677661169402</v>
      </c>
    </row>
    <row r="5054" spans="1:5">
      <c r="A5054" t="s">
        <v>5894</v>
      </c>
      <c r="B5054" t="s">
        <v>5898</v>
      </c>
      <c r="C5054">
        <f>0</f>
        <v>0</v>
      </c>
      <c r="D5054">
        <v>0.98080186206200004</v>
      </c>
      <c r="E5054">
        <v>7.0644677661169402</v>
      </c>
    </row>
    <row r="5055" spans="1:5">
      <c r="A5055" t="s">
        <v>5894</v>
      </c>
      <c r="B5055" t="s">
        <v>5899</v>
      </c>
      <c r="C5055">
        <v>0</v>
      </c>
      <c r="D5055">
        <v>0.98080186206200004</v>
      </c>
      <c r="E5055">
        <v>7.0644677661169402</v>
      </c>
    </row>
    <row r="5056" spans="1:5">
      <c r="A5056" t="s">
        <v>5894</v>
      </c>
      <c r="B5056" t="s">
        <v>5900</v>
      </c>
      <c r="C5056">
        <f>0</f>
        <v>0</v>
      </c>
      <c r="D5056">
        <v>0.98080186206200004</v>
      </c>
      <c r="E5056">
        <v>7.0644677661169402</v>
      </c>
    </row>
    <row r="5057" spans="1:5">
      <c r="A5057" t="s">
        <v>5894</v>
      </c>
      <c r="B5057" t="s">
        <v>5901</v>
      </c>
      <c r="C5057">
        <f>0</f>
        <v>0</v>
      </c>
      <c r="D5057">
        <v>0.98080186206200004</v>
      </c>
      <c r="E5057">
        <v>7.0644677661169402</v>
      </c>
    </row>
    <row r="5058" spans="1:5">
      <c r="A5058" t="s">
        <v>5894</v>
      </c>
      <c r="B5058" t="s">
        <v>5902</v>
      </c>
      <c r="C5058">
        <v>0</v>
      </c>
      <c r="D5058">
        <v>0.98080186206200004</v>
      </c>
      <c r="E5058">
        <v>7.0644677661169402</v>
      </c>
    </row>
    <row r="5059" spans="1:5">
      <c r="A5059" t="s">
        <v>5903</v>
      </c>
      <c r="B5059" t="s">
        <v>5904</v>
      </c>
      <c r="C5059">
        <v>0</v>
      </c>
      <c r="D5059">
        <v>0.78678355448000004</v>
      </c>
      <c r="E5059">
        <v>5.2413793103448203</v>
      </c>
    </row>
    <row r="5060" spans="1:5">
      <c r="A5060" t="s">
        <v>5903</v>
      </c>
      <c r="B5060" t="s">
        <v>5905</v>
      </c>
      <c r="C5060">
        <f>0</f>
        <v>0</v>
      </c>
      <c r="D5060">
        <v>0.78678355448000004</v>
      </c>
      <c r="E5060">
        <v>5.2413793103448203</v>
      </c>
    </row>
    <row r="5061" spans="1:5">
      <c r="A5061" t="s">
        <v>5903</v>
      </c>
      <c r="B5061" t="s">
        <v>5906</v>
      </c>
      <c r="C5061">
        <f>0.123625900186</f>
        <v>0.123625900186</v>
      </c>
      <c r="D5061">
        <v>0.78678355448000004</v>
      </c>
      <c r="E5061">
        <v>5.2413793103448203</v>
      </c>
    </row>
    <row r="5062" spans="1:5">
      <c r="A5062" t="s">
        <v>5903</v>
      </c>
      <c r="B5062" t="s">
        <v>5907</v>
      </c>
      <c r="C5062">
        <v>0.59696857207099996</v>
      </c>
      <c r="D5062">
        <v>0.78678355448000004</v>
      </c>
      <c r="E5062">
        <v>5.2413793103448203</v>
      </c>
    </row>
    <row r="5063" spans="1:5">
      <c r="A5063" t="s">
        <v>5908</v>
      </c>
      <c r="B5063" t="s">
        <v>5909</v>
      </c>
      <c r="C5063">
        <f>0</f>
        <v>0</v>
      </c>
      <c r="D5063" t="s">
        <v>106</v>
      </c>
      <c r="E5063">
        <v>24</v>
      </c>
    </row>
    <row r="5064" spans="1:5">
      <c r="A5064" t="s">
        <v>5908</v>
      </c>
      <c r="B5064" t="s">
        <v>5910</v>
      </c>
      <c r="C5064">
        <f>0</f>
        <v>0</v>
      </c>
      <c r="D5064" t="s">
        <v>106</v>
      </c>
      <c r="E5064">
        <v>24</v>
      </c>
    </row>
    <row r="5065" spans="1:5">
      <c r="A5065" t="s">
        <v>5908</v>
      </c>
      <c r="B5065" t="s">
        <v>5911</v>
      </c>
      <c r="C5065">
        <f>0.00882386362508</f>
        <v>8.8238636250799994E-3</v>
      </c>
      <c r="D5065" t="s">
        <v>106</v>
      </c>
      <c r="E5065">
        <v>24</v>
      </c>
    </row>
    <row r="5066" spans="1:5">
      <c r="A5066" t="s">
        <v>5908</v>
      </c>
      <c r="B5066" t="s">
        <v>5912</v>
      </c>
      <c r="C5066">
        <v>0</v>
      </c>
      <c r="D5066" t="s">
        <v>106</v>
      </c>
      <c r="E5066">
        <v>24</v>
      </c>
    </row>
    <row r="5067" spans="1:5">
      <c r="A5067" t="s">
        <v>5908</v>
      </c>
      <c r="B5067" t="s">
        <v>5913</v>
      </c>
      <c r="C5067">
        <f>0.0226319666059</f>
        <v>2.26319666059E-2</v>
      </c>
      <c r="D5067" t="s">
        <v>106</v>
      </c>
      <c r="E5067">
        <v>24</v>
      </c>
    </row>
    <row r="5068" spans="1:5">
      <c r="A5068" t="s">
        <v>5908</v>
      </c>
      <c r="B5068" t="s">
        <v>5914</v>
      </c>
      <c r="C5068">
        <f>0</f>
        <v>0</v>
      </c>
      <c r="D5068" t="s">
        <v>106</v>
      </c>
      <c r="E5068">
        <v>24</v>
      </c>
    </row>
    <row r="5069" spans="1:5">
      <c r="A5069" t="s">
        <v>5915</v>
      </c>
      <c r="B5069" t="s">
        <v>5916</v>
      </c>
      <c r="C5069">
        <f>0</f>
        <v>0</v>
      </c>
      <c r="D5069">
        <v>0.98952308117999999</v>
      </c>
      <c r="E5069">
        <v>24</v>
      </c>
    </row>
    <row r="5070" spans="1:5">
      <c r="A5070" t="s">
        <v>5915</v>
      </c>
      <c r="B5070" t="s">
        <v>5917</v>
      </c>
      <c r="C5070">
        <f>0.119790078899</f>
        <v>0.11979007889899999</v>
      </c>
      <c r="D5070">
        <v>0.98952308117999999</v>
      </c>
      <c r="E5070">
        <v>24</v>
      </c>
    </row>
    <row r="5071" spans="1:5">
      <c r="A5071" t="s">
        <v>5915</v>
      </c>
      <c r="B5071" t="s">
        <v>5918</v>
      </c>
      <c r="C5071">
        <f>0</f>
        <v>0</v>
      </c>
      <c r="D5071">
        <v>0.98952308117999999</v>
      </c>
      <c r="E5071">
        <v>24</v>
      </c>
    </row>
    <row r="5072" spans="1:5">
      <c r="A5072" t="s">
        <v>5919</v>
      </c>
      <c r="B5072" t="s">
        <v>5920</v>
      </c>
      <c r="C5072">
        <v>0</v>
      </c>
      <c r="D5072">
        <v>0.99545657903600004</v>
      </c>
      <c r="E5072">
        <v>6.9325337331334298</v>
      </c>
    </row>
    <row r="5073" spans="1:5">
      <c r="A5073" t="s">
        <v>5919</v>
      </c>
      <c r="B5073" t="s">
        <v>5921</v>
      </c>
      <c r="C5073">
        <v>0</v>
      </c>
      <c r="D5073">
        <v>0.99545657903600004</v>
      </c>
      <c r="E5073">
        <v>6.9325337331334298</v>
      </c>
    </row>
    <row r="5074" spans="1:5">
      <c r="A5074" t="s">
        <v>5922</v>
      </c>
      <c r="B5074" t="s">
        <v>5923</v>
      </c>
      <c r="C5074">
        <f>0</f>
        <v>0</v>
      </c>
      <c r="D5074" t="s">
        <v>106</v>
      </c>
      <c r="E5074">
        <v>22.5727136431784</v>
      </c>
    </row>
    <row r="5075" spans="1:5">
      <c r="A5075" t="s">
        <v>5922</v>
      </c>
      <c r="B5075" t="s">
        <v>5924</v>
      </c>
      <c r="C5075">
        <f>0.0328051042486</f>
        <v>3.2805104248600003E-2</v>
      </c>
      <c r="D5075" t="s">
        <v>106</v>
      </c>
      <c r="E5075">
        <v>22.5727136431784</v>
      </c>
    </row>
    <row r="5076" spans="1:5">
      <c r="A5076" t="s">
        <v>5922</v>
      </c>
      <c r="B5076" t="s">
        <v>5925</v>
      </c>
      <c r="C5076">
        <f>0</f>
        <v>0</v>
      </c>
      <c r="D5076" t="s">
        <v>106</v>
      </c>
      <c r="E5076">
        <v>22.5727136431784</v>
      </c>
    </row>
    <row r="5077" spans="1:5">
      <c r="A5077" t="s">
        <v>5922</v>
      </c>
      <c r="B5077" t="s">
        <v>5926</v>
      </c>
      <c r="C5077">
        <v>0</v>
      </c>
      <c r="D5077" t="s">
        <v>106</v>
      </c>
      <c r="E5077">
        <v>22.5727136431784</v>
      </c>
    </row>
    <row r="5078" spans="1:5">
      <c r="A5078" t="s">
        <v>5922</v>
      </c>
      <c r="B5078" t="s">
        <v>5927</v>
      </c>
      <c r="C5078">
        <v>0</v>
      </c>
      <c r="D5078" t="s">
        <v>106</v>
      </c>
      <c r="E5078">
        <v>22.5727136431784</v>
      </c>
    </row>
    <row r="5079" spans="1:5">
      <c r="A5079" t="s">
        <v>5922</v>
      </c>
      <c r="B5079" t="s">
        <v>5928</v>
      </c>
      <c r="C5079">
        <v>0</v>
      </c>
      <c r="D5079" t="s">
        <v>106</v>
      </c>
      <c r="E5079">
        <v>22.5727136431784</v>
      </c>
    </row>
    <row r="5080" spans="1:5">
      <c r="A5080" t="s">
        <v>5922</v>
      </c>
      <c r="B5080" t="s">
        <v>5929</v>
      </c>
      <c r="C5080">
        <v>0</v>
      </c>
      <c r="D5080" t="s">
        <v>106</v>
      </c>
      <c r="E5080">
        <v>22.5727136431784</v>
      </c>
    </row>
    <row r="5081" spans="1:5">
      <c r="A5081" t="s">
        <v>5922</v>
      </c>
      <c r="B5081" t="s">
        <v>5930</v>
      </c>
      <c r="C5081">
        <v>0</v>
      </c>
      <c r="D5081" t="s">
        <v>106</v>
      </c>
      <c r="E5081">
        <v>22.5727136431784</v>
      </c>
    </row>
    <row r="5082" spans="1:5">
      <c r="A5082" t="s">
        <v>5922</v>
      </c>
      <c r="B5082" t="s">
        <v>5931</v>
      </c>
      <c r="C5082">
        <v>0</v>
      </c>
      <c r="D5082" t="s">
        <v>106</v>
      </c>
      <c r="E5082">
        <v>22.5727136431784</v>
      </c>
    </row>
    <row r="5083" spans="1:5">
      <c r="A5083" t="s">
        <v>5922</v>
      </c>
      <c r="B5083" t="s">
        <v>5932</v>
      </c>
      <c r="C5083">
        <v>0</v>
      </c>
      <c r="D5083" t="s">
        <v>106</v>
      </c>
      <c r="E5083">
        <v>22.5727136431784</v>
      </c>
    </row>
    <row r="5084" spans="1:5">
      <c r="A5084" t="s">
        <v>5922</v>
      </c>
      <c r="B5084" t="s">
        <v>5933</v>
      </c>
      <c r="C5084">
        <f>0.100140101285</f>
        <v>0.100140101285</v>
      </c>
      <c r="D5084" t="s">
        <v>106</v>
      </c>
      <c r="E5084">
        <v>22.5727136431784</v>
      </c>
    </row>
    <row r="5085" spans="1:5">
      <c r="A5085" t="s">
        <v>5922</v>
      </c>
      <c r="B5085" t="s">
        <v>5934</v>
      </c>
      <c r="C5085">
        <f>0</f>
        <v>0</v>
      </c>
      <c r="D5085" t="s">
        <v>106</v>
      </c>
      <c r="E5085">
        <v>22.5727136431784</v>
      </c>
    </row>
    <row r="5086" spans="1:5">
      <c r="A5086" t="s">
        <v>5935</v>
      </c>
      <c r="B5086" t="s">
        <v>5936</v>
      </c>
      <c r="C5086">
        <v>0</v>
      </c>
      <c r="D5086" t="s">
        <v>106</v>
      </c>
      <c r="E5086">
        <v>24</v>
      </c>
    </row>
    <row r="5087" spans="1:5">
      <c r="A5087" t="s">
        <v>5935</v>
      </c>
      <c r="B5087" t="s">
        <v>5937</v>
      </c>
      <c r="C5087">
        <v>0</v>
      </c>
      <c r="D5087" t="s">
        <v>106</v>
      </c>
      <c r="E5087">
        <v>24</v>
      </c>
    </row>
    <row r="5088" spans="1:5">
      <c r="A5088" t="s">
        <v>5935</v>
      </c>
      <c r="B5088" t="s">
        <v>5938</v>
      </c>
      <c r="C5088">
        <v>0</v>
      </c>
      <c r="D5088" t="s">
        <v>106</v>
      </c>
      <c r="E5088">
        <v>24</v>
      </c>
    </row>
    <row r="5089" spans="1:5">
      <c r="A5089" t="s">
        <v>5935</v>
      </c>
      <c r="B5089" t="s">
        <v>5939</v>
      </c>
      <c r="C5089">
        <v>0</v>
      </c>
      <c r="D5089" t="s">
        <v>106</v>
      </c>
      <c r="E5089">
        <v>24</v>
      </c>
    </row>
    <row r="5090" spans="1:5">
      <c r="A5090" t="s">
        <v>5935</v>
      </c>
      <c r="B5090" t="s">
        <v>5940</v>
      </c>
      <c r="C5090">
        <v>0</v>
      </c>
      <c r="D5090" t="s">
        <v>106</v>
      </c>
      <c r="E5090">
        <v>24</v>
      </c>
    </row>
    <row r="5091" spans="1:5">
      <c r="A5091" t="s">
        <v>5935</v>
      </c>
      <c r="B5091" t="s">
        <v>5941</v>
      </c>
      <c r="C5091">
        <v>0</v>
      </c>
      <c r="D5091" t="s">
        <v>106</v>
      </c>
      <c r="E5091">
        <v>24</v>
      </c>
    </row>
    <row r="5092" spans="1:5">
      <c r="A5092" t="s">
        <v>5935</v>
      </c>
      <c r="B5092" t="s">
        <v>5942</v>
      </c>
      <c r="C5092">
        <v>0</v>
      </c>
      <c r="D5092" t="s">
        <v>106</v>
      </c>
      <c r="E5092">
        <v>24</v>
      </c>
    </row>
    <row r="5093" spans="1:5">
      <c r="A5093" t="s">
        <v>5935</v>
      </c>
      <c r="B5093" t="s">
        <v>5943</v>
      </c>
      <c r="C5093">
        <v>0</v>
      </c>
      <c r="D5093" t="s">
        <v>106</v>
      </c>
      <c r="E5093">
        <v>24</v>
      </c>
    </row>
    <row r="5094" spans="1:5">
      <c r="A5094" t="s">
        <v>5935</v>
      </c>
      <c r="B5094" t="s">
        <v>5944</v>
      </c>
      <c r="C5094">
        <v>0</v>
      </c>
      <c r="D5094" t="s">
        <v>106</v>
      </c>
      <c r="E5094">
        <v>24</v>
      </c>
    </row>
    <row r="5095" spans="1:5">
      <c r="A5095" t="s">
        <v>5935</v>
      </c>
      <c r="B5095" t="s">
        <v>5945</v>
      </c>
      <c r="C5095">
        <v>0</v>
      </c>
      <c r="D5095" t="s">
        <v>106</v>
      </c>
      <c r="E5095">
        <v>24</v>
      </c>
    </row>
    <row r="5096" spans="1:5">
      <c r="A5096" t="s">
        <v>5935</v>
      </c>
      <c r="B5096" t="s">
        <v>5946</v>
      </c>
      <c r="C5096">
        <f>0</f>
        <v>0</v>
      </c>
      <c r="D5096" t="s">
        <v>106</v>
      </c>
      <c r="E5096">
        <v>24</v>
      </c>
    </row>
    <row r="5097" spans="1:5">
      <c r="A5097" t="s">
        <v>5935</v>
      </c>
      <c r="B5097" t="s">
        <v>5947</v>
      </c>
      <c r="C5097">
        <f>0</f>
        <v>0</v>
      </c>
      <c r="D5097" t="s">
        <v>106</v>
      </c>
      <c r="E5097">
        <v>24</v>
      </c>
    </row>
    <row r="5098" spans="1:5">
      <c r="A5098" t="s">
        <v>5935</v>
      </c>
      <c r="B5098" t="s">
        <v>5948</v>
      </c>
      <c r="C5098">
        <v>0.20655360721499999</v>
      </c>
      <c r="D5098" t="s">
        <v>106</v>
      </c>
      <c r="E5098">
        <v>24</v>
      </c>
    </row>
    <row r="5099" spans="1:5">
      <c r="A5099" t="s">
        <v>5935</v>
      </c>
      <c r="B5099" t="s">
        <v>5949</v>
      </c>
      <c r="C5099">
        <v>0</v>
      </c>
      <c r="D5099" t="s">
        <v>106</v>
      </c>
      <c r="E5099">
        <v>24</v>
      </c>
    </row>
    <row r="5100" spans="1:5">
      <c r="A5100" t="s">
        <v>5935</v>
      </c>
      <c r="B5100" t="s">
        <v>5950</v>
      </c>
      <c r="C5100">
        <f>0.0252115600372</f>
        <v>2.5211560037200001E-2</v>
      </c>
      <c r="D5100" t="s">
        <v>106</v>
      </c>
      <c r="E5100">
        <v>24</v>
      </c>
    </row>
    <row r="5101" spans="1:5">
      <c r="A5101" t="s">
        <v>5935</v>
      </c>
      <c r="B5101" t="s">
        <v>5951</v>
      </c>
      <c r="C5101">
        <f>0</f>
        <v>0</v>
      </c>
      <c r="D5101" t="s">
        <v>106</v>
      </c>
      <c r="E5101">
        <v>24</v>
      </c>
    </row>
    <row r="5102" spans="1:5">
      <c r="A5102" t="s">
        <v>5952</v>
      </c>
      <c r="B5102" t="s">
        <v>5953</v>
      </c>
      <c r="C5102">
        <v>0</v>
      </c>
      <c r="D5102">
        <v>0.81042003872699997</v>
      </c>
      <c r="E5102">
        <v>8.5757121439280297</v>
      </c>
    </row>
    <row r="5103" spans="1:5">
      <c r="A5103" t="s">
        <v>5952</v>
      </c>
      <c r="B5103" t="s">
        <v>5954</v>
      </c>
      <c r="C5103">
        <v>0</v>
      </c>
      <c r="D5103">
        <v>0.81042003872699997</v>
      </c>
      <c r="E5103">
        <v>8.5757121439280297</v>
      </c>
    </row>
    <row r="5104" spans="1:5">
      <c r="A5104" t="s">
        <v>5952</v>
      </c>
      <c r="B5104" t="s">
        <v>5955</v>
      </c>
      <c r="C5104">
        <v>0</v>
      </c>
      <c r="D5104">
        <v>0.81042003872699997</v>
      </c>
      <c r="E5104">
        <v>8.5757121439280297</v>
      </c>
    </row>
    <row r="5105" spans="1:5">
      <c r="A5105" t="s">
        <v>5952</v>
      </c>
      <c r="B5105" t="s">
        <v>5956</v>
      </c>
      <c r="C5105">
        <v>0</v>
      </c>
      <c r="D5105">
        <v>0.81042003872699997</v>
      </c>
      <c r="E5105">
        <v>8.5757121439280297</v>
      </c>
    </row>
    <row r="5106" spans="1:5">
      <c r="A5106" t="s">
        <v>5952</v>
      </c>
      <c r="B5106" t="s">
        <v>5957</v>
      </c>
      <c r="C5106">
        <v>0.16387762402600001</v>
      </c>
      <c r="D5106">
        <v>0.81042003872699997</v>
      </c>
      <c r="E5106">
        <v>8.5757121439280297</v>
      </c>
    </row>
    <row r="5107" spans="1:5">
      <c r="A5107" t="s">
        <v>5952</v>
      </c>
      <c r="B5107" t="s">
        <v>5958</v>
      </c>
      <c r="C5107">
        <v>0</v>
      </c>
      <c r="D5107">
        <v>0.81042003872699997</v>
      </c>
      <c r="E5107">
        <v>8.5757121439280297</v>
      </c>
    </row>
    <row r="5108" spans="1:5">
      <c r="A5108" t="s">
        <v>5959</v>
      </c>
      <c r="B5108" t="s">
        <v>5960</v>
      </c>
      <c r="C5108">
        <v>0.28998952098899999</v>
      </c>
      <c r="D5108">
        <v>0.99127479970999999</v>
      </c>
      <c r="E5108">
        <v>13.2653673163418</v>
      </c>
    </row>
    <row r="5109" spans="1:5">
      <c r="A5109" t="s">
        <v>5961</v>
      </c>
      <c r="B5109" t="s">
        <v>5962</v>
      </c>
      <c r="C5109">
        <v>0.165108082248</v>
      </c>
      <c r="D5109">
        <v>0.98818678066400001</v>
      </c>
      <c r="E5109">
        <v>13.625187406296799</v>
      </c>
    </row>
    <row r="5110" spans="1:5">
      <c r="A5110" t="s">
        <v>5961</v>
      </c>
      <c r="B5110" t="s">
        <v>5963</v>
      </c>
      <c r="C5110">
        <v>0.181699140929</v>
      </c>
      <c r="D5110">
        <v>0.98818678066400001</v>
      </c>
      <c r="E5110">
        <v>13.625187406296799</v>
      </c>
    </row>
    <row r="5111" spans="1:5">
      <c r="A5111" t="s">
        <v>5961</v>
      </c>
      <c r="B5111" t="s">
        <v>5964</v>
      </c>
      <c r="C5111">
        <v>0</v>
      </c>
      <c r="D5111">
        <v>0.98818678066400001</v>
      </c>
      <c r="E5111">
        <v>13.625187406296799</v>
      </c>
    </row>
    <row r="5112" spans="1:5">
      <c r="A5112" t="s">
        <v>5961</v>
      </c>
      <c r="B5112" t="s">
        <v>5965</v>
      </c>
      <c r="C5112">
        <v>0</v>
      </c>
      <c r="D5112">
        <v>0.98818678066400001</v>
      </c>
      <c r="E5112">
        <v>13.625187406296799</v>
      </c>
    </row>
    <row r="5113" spans="1:5">
      <c r="A5113" t="s">
        <v>5961</v>
      </c>
      <c r="B5113" t="s">
        <v>5966</v>
      </c>
      <c r="C5113">
        <v>0</v>
      </c>
      <c r="D5113">
        <v>0.98818678066400001</v>
      </c>
      <c r="E5113">
        <v>13.625187406296799</v>
      </c>
    </row>
    <row r="5114" spans="1:5">
      <c r="A5114" t="s">
        <v>5961</v>
      </c>
      <c r="B5114" t="s">
        <v>5967</v>
      </c>
      <c r="C5114">
        <v>0</v>
      </c>
      <c r="D5114">
        <v>0.98818678066400001</v>
      </c>
      <c r="E5114">
        <v>13.625187406296799</v>
      </c>
    </row>
    <row r="5115" spans="1:5">
      <c r="A5115" t="s">
        <v>5961</v>
      </c>
      <c r="B5115" t="s">
        <v>5968</v>
      </c>
      <c r="C5115">
        <v>0</v>
      </c>
      <c r="D5115">
        <v>0.98818678066400001</v>
      </c>
      <c r="E5115">
        <v>13.625187406296799</v>
      </c>
    </row>
    <row r="5116" spans="1:5">
      <c r="A5116" t="s">
        <v>5961</v>
      </c>
      <c r="B5116" t="s">
        <v>5969</v>
      </c>
      <c r="C5116">
        <v>0</v>
      </c>
      <c r="D5116">
        <v>0.98818678066400001</v>
      </c>
      <c r="E5116">
        <v>13.625187406296799</v>
      </c>
    </row>
    <row r="5117" spans="1:5">
      <c r="A5117" t="s">
        <v>5961</v>
      </c>
      <c r="B5117" t="s">
        <v>5970</v>
      </c>
      <c r="C5117">
        <v>0</v>
      </c>
      <c r="D5117">
        <v>0.98818678066400001</v>
      </c>
      <c r="E5117">
        <v>13.625187406296799</v>
      </c>
    </row>
    <row r="5118" spans="1:5">
      <c r="A5118" t="s">
        <v>5961</v>
      </c>
      <c r="B5118" t="s">
        <v>5971</v>
      </c>
      <c r="C5118">
        <f>0</f>
        <v>0</v>
      </c>
      <c r="D5118">
        <v>0.98818678066400001</v>
      </c>
      <c r="E5118">
        <v>13.625187406296799</v>
      </c>
    </row>
    <row r="5119" spans="1:5">
      <c r="A5119" t="s">
        <v>5972</v>
      </c>
      <c r="B5119" t="s">
        <v>5973</v>
      </c>
      <c r="C5119">
        <v>0</v>
      </c>
      <c r="D5119">
        <v>0.87499974135699998</v>
      </c>
      <c r="E5119">
        <v>3.40629685157421</v>
      </c>
    </row>
    <row r="5120" spans="1:5">
      <c r="A5120" t="s">
        <v>5972</v>
      </c>
      <c r="B5120" t="s">
        <v>5974</v>
      </c>
      <c r="C5120">
        <v>0</v>
      </c>
      <c r="D5120">
        <v>0.87499974135699998</v>
      </c>
      <c r="E5120">
        <v>3.40629685157421</v>
      </c>
    </row>
    <row r="5121" spans="1:5">
      <c r="A5121" t="s">
        <v>5972</v>
      </c>
      <c r="B5121" t="s">
        <v>5975</v>
      </c>
      <c r="C5121">
        <f>0</f>
        <v>0</v>
      </c>
      <c r="D5121">
        <v>0.87499974135699998</v>
      </c>
      <c r="E5121">
        <v>3.40629685157421</v>
      </c>
    </row>
    <row r="5122" spans="1:5">
      <c r="A5122" t="s">
        <v>5972</v>
      </c>
      <c r="B5122" t="s">
        <v>5976</v>
      </c>
      <c r="C5122">
        <f>0</f>
        <v>0</v>
      </c>
      <c r="D5122">
        <v>0.87499974135699998</v>
      </c>
      <c r="E5122">
        <v>3.40629685157421</v>
      </c>
    </row>
    <row r="5123" spans="1:5">
      <c r="A5123" t="s">
        <v>5972</v>
      </c>
      <c r="B5123" t="s">
        <v>5977</v>
      </c>
      <c r="C5123">
        <f>0</f>
        <v>0</v>
      </c>
      <c r="D5123">
        <v>0.87499974135699998</v>
      </c>
      <c r="E5123">
        <v>3.40629685157421</v>
      </c>
    </row>
    <row r="5124" spans="1:5">
      <c r="A5124" t="s">
        <v>5972</v>
      </c>
      <c r="B5124" t="s">
        <v>5978</v>
      </c>
      <c r="C5124">
        <f>0</f>
        <v>0</v>
      </c>
      <c r="D5124">
        <v>0.87499974135699998</v>
      </c>
      <c r="E5124">
        <v>3.40629685157421</v>
      </c>
    </row>
    <row r="5125" spans="1:5">
      <c r="A5125" t="s">
        <v>5972</v>
      </c>
      <c r="B5125" t="s">
        <v>5979</v>
      </c>
      <c r="C5125">
        <f>0</f>
        <v>0</v>
      </c>
      <c r="D5125">
        <v>0.87499974135699998</v>
      </c>
      <c r="E5125">
        <v>3.40629685157421</v>
      </c>
    </row>
    <row r="5126" spans="1:5">
      <c r="A5126" t="s">
        <v>5980</v>
      </c>
      <c r="B5126" t="s">
        <v>5981</v>
      </c>
      <c r="C5126">
        <v>0</v>
      </c>
      <c r="D5126">
        <v>0.97575439669700004</v>
      </c>
      <c r="E5126">
        <v>12.3898050974512</v>
      </c>
    </row>
    <row r="5127" spans="1:5">
      <c r="A5127" t="s">
        <v>5980</v>
      </c>
      <c r="B5127" t="s">
        <v>5982</v>
      </c>
      <c r="C5127">
        <v>0</v>
      </c>
      <c r="D5127">
        <v>0.97575439669700004</v>
      </c>
      <c r="E5127">
        <v>12.3898050974512</v>
      </c>
    </row>
    <row r="5128" spans="1:5">
      <c r="A5128" t="s">
        <v>5980</v>
      </c>
      <c r="B5128" t="s">
        <v>5983</v>
      </c>
      <c r="C5128">
        <v>0</v>
      </c>
      <c r="D5128">
        <v>0.97575439669700004</v>
      </c>
      <c r="E5128">
        <v>12.3898050974512</v>
      </c>
    </row>
    <row r="5129" spans="1:5">
      <c r="A5129" t="s">
        <v>5980</v>
      </c>
      <c r="B5129" t="s">
        <v>5984</v>
      </c>
      <c r="C5129">
        <v>0</v>
      </c>
      <c r="D5129">
        <v>0.97575439669700004</v>
      </c>
      <c r="E5129">
        <v>12.3898050974512</v>
      </c>
    </row>
    <row r="5130" spans="1:5">
      <c r="A5130" t="s">
        <v>5980</v>
      </c>
      <c r="B5130" t="s">
        <v>5985</v>
      </c>
      <c r="C5130">
        <v>0</v>
      </c>
      <c r="D5130">
        <v>0.97575439669700004</v>
      </c>
      <c r="E5130">
        <v>12.3898050974512</v>
      </c>
    </row>
    <row r="5131" spans="1:5">
      <c r="A5131" t="s">
        <v>5980</v>
      </c>
      <c r="B5131" t="s">
        <v>5986</v>
      </c>
      <c r="C5131">
        <v>0</v>
      </c>
      <c r="D5131">
        <v>0.97575439669700004</v>
      </c>
      <c r="E5131">
        <v>12.3898050974512</v>
      </c>
    </row>
    <row r="5132" spans="1:5">
      <c r="A5132" t="s">
        <v>5980</v>
      </c>
      <c r="B5132" t="s">
        <v>5987</v>
      </c>
      <c r="C5132">
        <v>0</v>
      </c>
      <c r="D5132">
        <v>0.97575439669700004</v>
      </c>
      <c r="E5132">
        <v>12.3898050974512</v>
      </c>
    </row>
    <row r="5133" spans="1:5">
      <c r="A5133" t="s">
        <v>5980</v>
      </c>
      <c r="B5133" t="s">
        <v>5988</v>
      </c>
      <c r="C5133">
        <v>0</v>
      </c>
      <c r="D5133">
        <v>0.97575439669700004</v>
      </c>
      <c r="E5133">
        <v>12.3898050974512</v>
      </c>
    </row>
    <row r="5134" spans="1:5">
      <c r="A5134" t="s">
        <v>5980</v>
      </c>
      <c r="B5134" t="s">
        <v>5989</v>
      </c>
      <c r="C5134">
        <f>0</f>
        <v>0</v>
      </c>
      <c r="D5134">
        <v>0.97575439669700004</v>
      </c>
      <c r="E5134">
        <v>12.3898050974512</v>
      </c>
    </row>
    <row r="5135" spans="1:5">
      <c r="A5135" t="s">
        <v>5980</v>
      </c>
      <c r="B5135" t="s">
        <v>5990</v>
      </c>
      <c r="C5135">
        <f>0</f>
        <v>0</v>
      </c>
      <c r="D5135">
        <v>0.97575439669700004</v>
      </c>
      <c r="E5135">
        <v>12.3898050974512</v>
      </c>
    </row>
    <row r="5136" spans="1:5">
      <c r="A5136" t="s">
        <v>5980</v>
      </c>
      <c r="B5136" t="s">
        <v>5991</v>
      </c>
      <c r="C5136">
        <v>0</v>
      </c>
      <c r="D5136">
        <v>0.97575439669700004</v>
      </c>
      <c r="E5136">
        <v>12.3898050974512</v>
      </c>
    </row>
    <row r="5137" spans="1:5">
      <c r="A5137" t="s">
        <v>5980</v>
      </c>
      <c r="B5137" t="s">
        <v>5992</v>
      </c>
      <c r="C5137">
        <v>0</v>
      </c>
      <c r="D5137">
        <v>0.97575439669700004</v>
      </c>
      <c r="E5137">
        <v>12.3898050974512</v>
      </c>
    </row>
    <row r="5138" spans="1:5">
      <c r="A5138" t="s">
        <v>5980</v>
      </c>
      <c r="B5138" t="s">
        <v>5993</v>
      </c>
      <c r="C5138">
        <v>0</v>
      </c>
      <c r="D5138">
        <v>0.97575439669700004</v>
      </c>
      <c r="E5138">
        <v>12.3898050974512</v>
      </c>
    </row>
    <row r="5139" spans="1:5">
      <c r="A5139" t="s">
        <v>5980</v>
      </c>
      <c r="B5139" t="s">
        <v>5994</v>
      </c>
      <c r="C5139">
        <f>0</f>
        <v>0</v>
      </c>
      <c r="D5139">
        <v>0.97575439669700004</v>
      </c>
      <c r="E5139">
        <v>12.3898050974512</v>
      </c>
    </row>
    <row r="5140" spans="1:5">
      <c r="A5140" t="s">
        <v>5980</v>
      </c>
      <c r="B5140" t="s">
        <v>5995</v>
      </c>
      <c r="C5140">
        <v>0</v>
      </c>
      <c r="D5140">
        <v>0.97575439669700004</v>
      </c>
      <c r="E5140">
        <v>12.3898050974512</v>
      </c>
    </row>
    <row r="5141" spans="1:5">
      <c r="A5141" t="s">
        <v>5980</v>
      </c>
      <c r="B5141" t="s">
        <v>5996</v>
      </c>
      <c r="C5141">
        <v>0</v>
      </c>
      <c r="D5141">
        <v>0.97575439669700004</v>
      </c>
      <c r="E5141">
        <v>12.3898050974512</v>
      </c>
    </row>
    <row r="5142" spans="1:5">
      <c r="A5142" t="s">
        <v>5980</v>
      </c>
      <c r="B5142" t="s">
        <v>5997</v>
      </c>
      <c r="C5142">
        <v>0</v>
      </c>
      <c r="D5142">
        <v>0.97575439669700004</v>
      </c>
      <c r="E5142">
        <v>12.3898050974512</v>
      </c>
    </row>
    <row r="5143" spans="1:5">
      <c r="A5143" t="s">
        <v>5980</v>
      </c>
      <c r="B5143" t="s">
        <v>5998</v>
      </c>
      <c r="C5143">
        <v>0</v>
      </c>
      <c r="D5143">
        <v>0.97575439669700004</v>
      </c>
      <c r="E5143">
        <v>12.3898050974512</v>
      </c>
    </row>
    <row r="5144" spans="1:5">
      <c r="A5144" t="s">
        <v>5980</v>
      </c>
      <c r="B5144" t="s">
        <v>5999</v>
      </c>
      <c r="C5144">
        <v>0</v>
      </c>
      <c r="D5144">
        <v>0.97575439669700004</v>
      </c>
      <c r="E5144">
        <v>12.3898050974512</v>
      </c>
    </row>
    <row r="5145" spans="1:5">
      <c r="A5145" t="s">
        <v>5980</v>
      </c>
      <c r="B5145" t="s">
        <v>6000</v>
      </c>
      <c r="C5145">
        <v>0.10265373252399999</v>
      </c>
      <c r="D5145">
        <v>0.97575439669700004</v>
      </c>
      <c r="E5145">
        <v>12.3898050974512</v>
      </c>
    </row>
    <row r="5146" spans="1:5">
      <c r="A5146" t="s">
        <v>6001</v>
      </c>
      <c r="B5146" t="s">
        <v>6002</v>
      </c>
      <c r="C5146">
        <v>6.2227487058799996E-3</v>
      </c>
      <c r="D5146">
        <v>0.70635477663699997</v>
      </c>
      <c r="E5146">
        <v>20.965517241379299</v>
      </c>
    </row>
    <row r="5147" spans="1:5">
      <c r="A5147" t="s">
        <v>6001</v>
      </c>
      <c r="B5147" t="s">
        <v>6003</v>
      </c>
      <c r="C5147">
        <f>0</f>
        <v>0</v>
      </c>
      <c r="D5147">
        <v>0.70635477663699997</v>
      </c>
      <c r="E5147">
        <v>20.965517241379299</v>
      </c>
    </row>
    <row r="5148" spans="1:5">
      <c r="A5148" t="s">
        <v>6001</v>
      </c>
      <c r="B5148" t="s">
        <v>6004</v>
      </c>
      <c r="C5148">
        <v>0</v>
      </c>
      <c r="D5148">
        <v>0.70635477663699997</v>
      </c>
      <c r="E5148">
        <v>20.965517241379299</v>
      </c>
    </row>
    <row r="5149" spans="1:5">
      <c r="A5149" t="s">
        <v>6001</v>
      </c>
      <c r="B5149" t="s">
        <v>6005</v>
      </c>
      <c r="C5149">
        <v>0</v>
      </c>
      <c r="D5149">
        <v>0.70635477663699997</v>
      </c>
      <c r="E5149">
        <v>20.965517241379299</v>
      </c>
    </row>
    <row r="5150" spans="1:5">
      <c r="A5150" t="s">
        <v>6001</v>
      </c>
      <c r="B5150" t="s">
        <v>6006</v>
      </c>
      <c r="C5150">
        <v>0</v>
      </c>
      <c r="D5150">
        <v>0.70635477663699997</v>
      </c>
      <c r="E5150">
        <v>20.965517241379299</v>
      </c>
    </row>
    <row r="5151" spans="1:5">
      <c r="A5151" t="s">
        <v>6001</v>
      </c>
      <c r="B5151" t="s">
        <v>6007</v>
      </c>
      <c r="C5151">
        <v>0</v>
      </c>
      <c r="D5151">
        <v>0.70635477663699997</v>
      </c>
      <c r="E5151">
        <v>20.965517241379299</v>
      </c>
    </row>
    <row r="5152" spans="1:5">
      <c r="A5152" t="s">
        <v>6001</v>
      </c>
      <c r="B5152" t="s">
        <v>6008</v>
      </c>
      <c r="C5152">
        <v>0</v>
      </c>
      <c r="D5152">
        <v>0.70635477663699997</v>
      </c>
      <c r="E5152">
        <v>20.965517241379299</v>
      </c>
    </row>
    <row r="5153" spans="1:5">
      <c r="A5153" t="s">
        <v>6009</v>
      </c>
      <c r="B5153" t="s">
        <v>6010</v>
      </c>
      <c r="C5153">
        <v>0</v>
      </c>
      <c r="D5153">
        <v>0.86785629963199995</v>
      </c>
      <c r="E5153">
        <v>12.2098950524737</v>
      </c>
    </row>
    <row r="5154" spans="1:5">
      <c r="A5154" t="s">
        <v>6009</v>
      </c>
      <c r="B5154" t="s">
        <v>6011</v>
      </c>
      <c r="C5154">
        <v>0</v>
      </c>
      <c r="D5154">
        <v>0.86785629963199995</v>
      </c>
      <c r="E5154">
        <v>12.2098950524737</v>
      </c>
    </row>
    <row r="5155" spans="1:5">
      <c r="A5155" t="s">
        <v>6009</v>
      </c>
      <c r="B5155" t="s">
        <v>6012</v>
      </c>
      <c r="C5155">
        <v>0</v>
      </c>
      <c r="D5155">
        <v>0.86785629963199995</v>
      </c>
      <c r="E5155">
        <v>12.2098950524737</v>
      </c>
    </row>
    <row r="5156" spans="1:5">
      <c r="A5156" t="s">
        <v>6009</v>
      </c>
      <c r="B5156" t="s">
        <v>6013</v>
      </c>
      <c r="C5156">
        <f>0</f>
        <v>0</v>
      </c>
      <c r="D5156">
        <v>0.86785629963199995</v>
      </c>
      <c r="E5156">
        <v>12.2098950524737</v>
      </c>
    </row>
    <row r="5157" spans="1:5">
      <c r="A5157" t="s">
        <v>6009</v>
      </c>
      <c r="B5157" t="s">
        <v>6014</v>
      </c>
      <c r="C5157">
        <v>0</v>
      </c>
      <c r="D5157">
        <v>0.86785629963199995</v>
      </c>
      <c r="E5157">
        <v>12.2098950524737</v>
      </c>
    </row>
    <row r="5158" spans="1:5">
      <c r="A5158" t="s">
        <v>6009</v>
      </c>
      <c r="B5158" t="s">
        <v>6015</v>
      </c>
      <c r="C5158">
        <v>7.3195388706600001E-2</v>
      </c>
      <c r="D5158">
        <v>0.86785629963199995</v>
      </c>
      <c r="E5158">
        <v>12.2098950524737</v>
      </c>
    </row>
    <row r="5159" spans="1:5">
      <c r="A5159" t="s">
        <v>6009</v>
      </c>
      <c r="B5159" t="s">
        <v>6016</v>
      </c>
      <c r="C5159">
        <f>0</f>
        <v>0</v>
      </c>
      <c r="D5159">
        <v>0.86785629963199995</v>
      </c>
      <c r="E5159">
        <v>12.2098950524737</v>
      </c>
    </row>
    <row r="5160" spans="1:5">
      <c r="A5160" t="s">
        <v>6009</v>
      </c>
      <c r="B5160" t="s">
        <v>6017</v>
      </c>
      <c r="C5160">
        <f>0.0158579199028</f>
        <v>1.58579199028E-2</v>
      </c>
      <c r="D5160">
        <v>0.86785629963199995</v>
      </c>
      <c r="E5160">
        <v>12.2098950524737</v>
      </c>
    </row>
    <row r="5161" spans="1:5">
      <c r="A5161" t="s">
        <v>6018</v>
      </c>
      <c r="B5161" t="s">
        <v>6019</v>
      </c>
      <c r="C5161">
        <f>0.00903797502754</f>
        <v>9.03797502754E-3</v>
      </c>
      <c r="D5161" t="s">
        <v>106</v>
      </c>
      <c r="E5161">
        <v>23.508245877061398</v>
      </c>
    </row>
    <row r="5162" spans="1:5">
      <c r="A5162" t="s">
        <v>6018</v>
      </c>
      <c r="B5162" t="s">
        <v>6020</v>
      </c>
      <c r="C5162">
        <f>0</f>
        <v>0</v>
      </c>
      <c r="D5162" t="s">
        <v>106</v>
      </c>
      <c r="E5162">
        <v>23.508245877061398</v>
      </c>
    </row>
    <row r="5163" spans="1:5">
      <c r="A5163" t="s">
        <v>6018</v>
      </c>
      <c r="B5163" t="s">
        <v>6021</v>
      </c>
      <c r="C5163">
        <f>0</f>
        <v>0</v>
      </c>
      <c r="D5163" t="s">
        <v>106</v>
      </c>
      <c r="E5163">
        <v>23.508245877061398</v>
      </c>
    </row>
    <row r="5164" spans="1:5">
      <c r="A5164" t="s">
        <v>6018</v>
      </c>
      <c r="B5164" t="s">
        <v>6022</v>
      </c>
      <c r="C5164">
        <f>0</f>
        <v>0</v>
      </c>
      <c r="D5164" t="s">
        <v>106</v>
      </c>
      <c r="E5164">
        <v>23.508245877061398</v>
      </c>
    </row>
    <row r="5165" spans="1:5">
      <c r="A5165" t="s">
        <v>6018</v>
      </c>
      <c r="B5165" t="s">
        <v>6023</v>
      </c>
      <c r="C5165">
        <f>0.123483160445</f>
        <v>0.123483160445</v>
      </c>
      <c r="D5165" t="s">
        <v>106</v>
      </c>
      <c r="E5165">
        <v>23.508245877061398</v>
      </c>
    </row>
    <row r="5166" spans="1:5">
      <c r="A5166" t="s">
        <v>6018</v>
      </c>
      <c r="B5166" t="s">
        <v>6024</v>
      </c>
      <c r="C5166">
        <f>0</f>
        <v>0</v>
      </c>
      <c r="D5166" t="s">
        <v>106</v>
      </c>
      <c r="E5166">
        <v>23.508245877061398</v>
      </c>
    </row>
    <row r="5167" spans="1:5">
      <c r="A5167" t="s">
        <v>6018</v>
      </c>
      <c r="B5167" t="s">
        <v>6025</v>
      </c>
      <c r="C5167">
        <v>0</v>
      </c>
      <c r="D5167" t="s">
        <v>106</v>
      </c>
      <c r="E5167">
        <v>23.508245877061398</v>
      </c>
    </row>
    <row r="5168" spans="1:5">
      <c r="A5168" t="s">
        <v>6018</v>
      </c>
      <c r="B5168" t="s">
        <v>6026</v>
      </c>
      <c r="C5168">
        <f>0</f>
        <v>0</v>
      </c>
      <c r="D5168" t="s">
        <v>106</v>
      </c>
      <c r="E5168">
        <v>23.508245877061398</v>
      </c>
    </row>
    <row r="5169" spans="1:5">
      <c r="A5169" t="s">
        <v>6027</v>
      </c>
      <c r="B5169" t="s">
        <v>6028</v>
      </c>
      <c r="C5169">
        <v>0</v>
      </c>
      <c r="D5169" t="s">
        <v>106</v>
      </c>
      <c r="E5169">
        <v>14.740629685157399</v>
      </c>
    </row>
    <row r="5170" spans="1:5">
      <c r="A5170" t="s">
        <v>6027</v>
      </c>
      <c r="B5170" t="s">
        <v>6029</v>
      </c>
      <c r="C5170">
        <v>0</v>
      </c>
      <c r="D5170" t="s">
        <v>106</v>
      </c>
      <c r="E5170">
        <v>14.740629685157399</v>
      </c>
    </row>
    <row r="5171" spans="1:5">
      <c r="A5171" t="s">
        <v>6027</v>
      </c>
      <c r="B5171" t="s">
        <v>6030</v>
      </c>
      <c r="C5171">
        <v>0</v>
      </c>
      <c r="D5171" t="s">
        <v>106</v>
      </c>
      <c r="E5171">
        <v>14.740629685157399</v>
      </c>
    </row>
    <row r="5172" spans="1:5">
      <c r="A5172" t="s">
        <v>6027</v>
      </c>
      <c r="B5172" t="s">
        <v>6031</v>
      </c>
      <c r="C5172">
        <v>0</v>
      </c>
      <c r="D5172" t="s">
        <v>106</v>
      </c>
      <c r="E5172">
        <v>14.740629685157399</v>
      </c>
    </row>
    <row r="5173" spans="1:5">
      <c r="A5173" t="s">
        <v>6027</v>
      </c>
      <c r="B5173" t="s">
        <v>6032</v>
      </c>
      <c r="C5173">
        <v>0</v>
      </c>
      <c r="D5173" t="s">
        <v>106</v>
      </c>
      <c r="E5173">
        <v>14.740629685157399</v>
      </c>
    </row>
    <row r="5174" spans="1:5">
      <c r="A5174" t="s">
        <v>6033</v>
      </c>
      <c r="B5174" t="s">
        <v>6034</v>
      </c>
      <c r="C5174">
        <v>0.742780314828</v>
      </c>
      <c r="D5174">
        <v>0.835760210723</v>
      </c>
      <c r="E5174">
        <v>0.503748125937031</v>
      </c>
    </row>
    <row r="5175" spans="1:5">
      <c r="A5175" t="s">
        <v>6035</v>
      </c>
      <c r="B5175" t="s">
        <v>6036</v>
      </c>
      <c r="C5175">
        <f>0.125248236769</f>
        <v>0.12524823676899999</v>
      </c>
      <c r="D5175">
        <v>0.88604708800900001</v>
      </c>
      <c r="E5175">
        <v>23.7481259370314</v>
      </c>
    </row>
    <row r="5176" spans="1:5">
      <c r="A5176" t="s">
        <v>6035</v>
      </c>
      <c r="B5176" t="s">
        <v>6037</v>
      </c>
      <c r="C5176">
        <f>0</f>
        <v>0</v>
      </c>
      <c r="D5176">
        <v>0.88604708800900001</v>
      </c>
      <c r="E5176">
        <v>23.7481259370314</v>
      </c>
    </row>
    <row r="5177" spans="1:5">
      <c r="A5177" t="s">
        <v>6035</v>
      </c>
      <c r="B5177" t="s">
        <v>6038</v>
      </c>
      <c r="C5177">
        <f>0.0180279198792</f>
        <v>1.8027919879200001E-2</v>
      </c>
      <c r="D5177">
        <v>0.88604708800900001</v>
      </c>
      <c r="E5177">
        <v>23.7481259370314</v>
      </c>
    </row>
    <row r="5178" spans="1:5">
      <c r="A5178" t="s">
        <v>6039</v>
      </c>
      <c r="B5178" t="s">
        <v>6040</v>
      </c>
      <c r="C5178">
        <v>0</v>
      </c>
      <c r="D5178">
        <v>0.61021593264200003</v>
      </c>
      <c r="E5178">
        <v>1.00749625187406</v>
      </c>
    </row>
    <row r="5179" spans="1:5">
      <c r="A5179" t="s">
        <v>6039</v>
      </c>
      <c r="B5179" t="s">
        <v>6041</v>
      </c>
      <c r="C5179">
        <v>0</v>
      </c>
      <c r="D5179">
        <v>0.61021593264200003</v>
      </c>
      <c r="E5179">
        <v>1.00749625187406</v>
      </c>
    </row>
    <row r="5180" spans="1:5">
      <c r="A5180" t="s">
        <v>6039</v>
      </c>
      <c r="B5180" t="s">
        <v>6042</v>
      </c>
      <c r="C5180">
        <v>0</v>
      </c>
      <c r="D5180">
        <v>0.61021593264200003</v>
      </c>
      <c r="E5180">
        <v>1.00749625187406</v>
      </c>
    </row>
    <row r="5181" spans="1:5">
      <c r="A5181" t="s">
        <v>6039</v>
      </c>
      <c r="B5181" t="s">
        <v>6043</v>
      </c>
      <c r="C5181">
        <v>0</v>
      </c>
      <c r="D5181">
        <v>0.61021593264200003</v>
      </c>
      <c r="E5181">
        <v>1.00749625187406</v>
      </c>
    </row>
    <row r="5182" spans="1:5">
      <c r="A5182" t="s">
        <v>6039</v>
      </c>
      <c r="B5182" t="s">
        <v>6044</v>
      </c>
      <c r="C5182">
        <v>0</v>
      </c>
      <c r="D5182">
        <v>0.61021593264200003</v>
      </c>
      <c r="E5182">
        <v>1.00749625187406</v>
      </c>
    </row>
    <row r="5183" spans="1:5">
      <c r="A5183" t="s">
        <v>6039</v>
      </c>
      <c r="B5183" t="s">
        <v>6045</v>
      </c>
      <c r="C5183">
        <f>0.00502210896181</f>
        <v>5.0221089618099997E-3</v>
      </c>
      <c r="D5183">
        <v>0.61021593264200003</v>
      </c>
      <c r="E5183">
        <v>1.00749625187406</v>
      </c>
    </row>
    <row r="5184" spans="1:5">
      <c r="A5184" t="s">
        <v>6039</v>
      </c>
      <c r="B5184" t="s">
        <v>6046</v>
      </c>
      <c r="C5184">
        <v>0</v>
      </c>
      <c r="D5184">
        <v>0.61021593264200003</v>
      </c>
      <c r="E5184">
        <v>1.00749625187406</v>
      </c>
    </row>
    <row r="5185" spans="1:5">
      <c r="A5185" t="s">
        <v>6039</v>
      </c>
      <c r="B5185" t="s">
        <v>6047</v>
      </c>
      <c r="C5185">
        <v>0</v>
      </c>
      <c r="D5185">
        <v>0.61021593264200003</v>
      </c>
      <c r="E5185">
        <v>1.00749625187406</v>
      </c>
    </row>
    <row r="5186" spans="1:5">
      <c r="A5186" t="s">
        <v>6039</v>
      </c>
      <c r="B5186" t="s">
        <v>6048</v>
      </c>
      <c r="C5186">
        <v>0</v>
      </c>
      <c r="D5186">
        <v>0.61021593264200003</v>
      </c>
      <c r="E5186">
        <v>1.00749625187406</v>
      </c>
    </row>
    <row r="5187" spans="1:5">
      <c r="A5187" t="s">
        <v>6039</v>
      </c>
      <c r="B5187" t="s">
        <v>6049</v>
      </c>
      <c r="C5187">
        <v>0</v>
      </c>
      <c r="D5187">
        <v>0.61021593264200003</v>
      </c>
      <c r="E5187">
        <v>1.00749625187406</v>
      </c>
    </row>
    <row r="5188" spans="1:5">
      <c r="A5188" t="s">
        <v>6039</v>
      </c>
      <c r="B5188" t="s">
        <v>6050</v>
      </c>
      <c r="C5188">
        <f>0</f>
        <v>0</v>
      </c>
      <c r="D5188">
        <v>0.61021593264200003</v>
      </c>
      <c r="E5188">
        <v>1.00749625187406</v>
      </c>
    </row>
    <row r="5189" spans="1:5">
      <c r="A5189" t="s">
        <v>6039</v>
      </c>
      <c r="B5189" t="s">
        <v>6051</v>
      </c>
      <c r="C5189">
        <v>0</v>
      </c>
      <c r="D5189">
        <v>0.61021593264200003</v>
      </c>
      <c r="E5189">
        <v>1.00749625187406</v>
      </c>
    </row>
    <row r="5190" spans="1:5">
      <c r="A5190" t="s">
        <v>6039</v>
      </c>
      <c r="B5190" t="s">
        <v>6052</v>
      </c>
      <c r="C5190">
        <v>0</v>
      </c>
      <c r="D5190">
        <v>0.61021593264200003</v>
      </c>
      <c r="E5190">
        <v>1.00749625187406</v>
      </c>
    </row>
    <row r="5191" spans="1:5">
      <c r="A5191" t="s">
        <v>6053</v>
      </c>
      <c r="B5191" t="s">
        <v>6054</v>
      </c>
      <c r="C5191">
        <v>0</v>
      </c>
      <c r="D5191" t="s">
        <v>106</v>
      </c>
      <c r="E5191">
        <v>19.850074962518701</v>
      </c>
    </row>
    <row r="5192" spans="1:5">
      <c r="A5192" t="s">
        <v>6053</v>
      </c>
      <c r="B5192" t="s">
        <v>6055</v>
      </c>
      <c r="C5192">
        <v>0</v>
      </c>
      <c r="D5192" t="s">
        <v>106</v>
      </c>
      <c r="E5192">
        <v>19.850074962518701</v>
      </c>
    </row>
    <row r="5193" spans="1:5">
      <c r="A5193" t="s">
        <v>6053</v>
      </c>
      <c r="B5193" t="s">
        <v>6056</v>
      </c>
      <c r="C5193">
        <v>7.4284976152200005E-2</v>
      </c>
      <c r="D5193" t="s">
        <v>106</v>
      </c>
      <c r="E5193">
        <v>19.850074962518701</v>
      </c>
    </row>
    <row r="5194" spans="1:5">
      <c r="A5194" t="s">
        <v>6053</v>
      </c>
      <c r="B5194" t="s">
        <v>6057</v>
      </c>
      <c r="C5194">
        <f>0</f>
        <v>0</v>
      </c>
      <c r="D5194" t="s">
        <v>106</v>
      </c>
      <c r="E5194">
        <v>19.850074962518701</v>
      </c>
    </row>
    <row r="5195" spans="1:5">
      <c r="A5195" t="s">
        <v>6053</v>
      </c>
      <c r="B5195" t="s">
        <v>6058</v>
      </c>
      <c r="C5195">
        <v>5.13671783215E-2</v>
      </c>
      <c r="D5195" t="s">
        <v>106</v>
      </c>
      <c r="E5195">
        <v>19.850074962518701</v>
      </c>
    </row>
    <row r="5196" spans="1:5">
      <c r="A5196" t="s">
        <v>6053</v>
      </c>
      <c r="B5196" t="s">
        <v>6059</v>
      </c>
      <c r="C5196">
        <v>0</v>
      </c>
      <c r="D5196" t="s">
        <v>106</v>
      </c>
      <c r="E5196">
        <v>19.850074962518701</v>
      </c>
    </row>
    <row r="5197" spans="1:5">
      <c r="A5197" t="s">
        <v>6053</v>
      </c>
      <c r="B5197" t="s">
        <v>6060</v>
      </c>
      <c r="C5197">
        <f>0</f>
        <v>0</v>
      </c>
      <c r="D5197" t="s">
        <v>106</v>
      </c>
      <c r="E5197">
        <v>19.850074962518701</v>
      </c>
    </row>
    <row r="5198" spans="1:5">
      <c r="A5198" t="s">
        <v>6053</v>
      </c>
      <c r="B5198" t="s">
        <v>6061</v>
      </c>
      <c r="C5198">
        <v>0</v>
      </c>
      <c r="D5198" t="s">
        <v>106</v>
      </c>
      <c r="E5198">
        <v>19.850074962518701</v>
      </c>
    </row>
    <row r="5199" spans="1:5">
      <c r="A5199" t="s">
        <v>6062</v>
      </c>
      <c r="B5199" t="s">
        <v>6063</v>
      </c>
      <c r="C5199">
        <v>0.54663752600000004</v>
      </c>
      <c r="D5199">
        <v>0.879984512148</v>
      </c>
      <c r="E5199">
        <v>8.1439280359820092</v>
      </c>
    </row>
    <row r="5200" spans="1:5">
      <c r="A5200" t="s">
        <v>6064</v>
      </c>
      <c r="B5200" t="s">
        <v>6065</v>
      </c>
      <c r="C5200">
        <v>0</v>
      </c>
      <c r="D5200" t="s">
        <v>106</v>
      </c>
      <c r="E5200">
        <v>2.3268365817091401</v>
      </c>
    </row>
    <row r="5201" spans="1:5">
      <c r="A5201" t="s">
        <v>6064</v>
      </c>
      <c r="B5201" t="s">
        <v>6066</v>
      </c>
      <c r="C5201">
        <f>0</f>
        <v>0</v>
      </c>
      <c r="D5201" t="s">
        <v>106</v>
      </c>
      <c r="E5201">
        <v>2.3268365817091401</v>
      </c>
    </row>
    <row r="5202" spans="1:5">
      <c r="A5202" t="s">
        <v>6064</v>
      </c>
      <c r="B5202" t="s">
        <v>6067</v>
      </c>
      <c r="C5202">
        <f>0</f>
        <v>0</v>
      </c>
      <c r="D5202" t="s">
        <v>106</v>
      </c>
      <c r="E5202">
        <v>2.3268365817091401</v>
      </c>
    </row>
    <row r="5203" spans="1:5">
      <c r="A5203" t="s">
        <v>6064</v>
      </c>
      <c r="B5203" t="s">
        <v>6068</v>
      </c>
      <c r="C5203">
        <f>0.025083701206</f>
        <v>2.5083701206000002E-2</v>
      </c>
      <c r="D5203" t="s">
        <v>106</v>
      </c>
      <c r="E5203">
        <v>2.3268365817091401</v>
      </c>
    </row>
    <row r="5204" spans="1:5">
      <c r="A5204" t="s">
        <v>6064</v>
      </c>
      <c r="B5204" t="s">
        <v>6069</v>
      </c>
      <c r="C5204">
        <f>0.413893217029</f>
        <v>0.413893217029</v>
      </c>
      <c r="D5204" t="s">
        <v>106</v>
      </c>
      <c r="E5204">
        <v>2.3268365817091401</v>
      </c>
    </row>
    <row r="5205" spans="1:5">
      <c r="A5205" t="s">
        <v>6070</v>
      </c>
      <c r="B5205" t="s">
        <v>6071</v>
      </c>
      <c r="C5205">
        <v>0.28519447878999998</v>
      </c>
      <c r="D5205" t="s">
        <v>106</v>
      </c>
      <c r="E5205">
        <v>3.68215892053973</v>
      </c>
    </row>
    <row r="5206" spans="1:5">
      <c r="A5206" t="s">
        <v>6072</v>
      </c>
      <c r="B5206" t="s">
        <v>6073</v>
      </c>
      <c r="C5206">
        <f>0</f>
        <v>0</v>
      </c>
      <c r="D5206">
        <v>0.83656038308199998</v>
      </c>
      <c r="E5206">
        <v>5.2413793103448203</v>
      </c>
    </row>
    <row r="5207" spans="1:5">
      <c r="A5207" t="s">
        <v>6072</v>
      </c>
      <c r="B5207" t="s">
        <v>6074</v>
      </c>
      <c r="C5207">
        <v>0</v>
      </c>
      <c r="D5207">
        <v>0.83656038308199998</v>
      </c>
      <c r="E5207">
        <v>5.2413793103448203</v>
      </c>
    </row>
    <row r="5208" spans="1:5">
      <c r="A5208" t="s">
        <v>6072</v>
      </c>
      <c r="B5208" t="s">
        <v>6075</v>
      </c>
      <c r="C5208">
        <f>0</f>
        <v>0</v>
      </c>
      <c r="D5208">
        <v>0.83656038308199998</v>
      </c>
      <c r="E5208">
        <v>5.2413793103448203</v>
      </c>
    </row>
    <row r="5209" spans="1:5">
      <c r="A5209" t="s">
        <v>6072</v>
      </c>
      <c r="B5209" t="s">
        <v>6076</v>
      </c>
      <c r="C5209">
        <f>0</f>
        <v>0</v>
      </c>
      <c r="D5209">
        <v>0.83656038308199998</v>
      </c>
      <c r="E5209">
        <v>5.2413793103448203</v>
      </c>
    </row>
    <row r="5210" spans="1:5">
      <c r="A5210" t="s">
        <v>6072</v>
      </c>
      <c r="B5210" t="s">
        <v>6077</v>
      </c>
      <c r="C5210">
        <f>0</f>
        <v>0</v>
      </c>
      <c r="D5210">
        <v>0.83656038308199998</v>
      </c>
      <c r="E5210">
        <v>5.2413793103448203</v>
      </c>
    </row>
    <row r="5211" spans="1:5">
      <c r="A5211" t="s">
        <v>6072</v>
      </c>
      <c r="B5211" t="s">
        <v>6078</v>
      </c>
      <c r="C5211">
        <f>0</f>
        <v>0</v>
      </c>
      <c r="D5211">
        <v>0.83656038308199998</v>
      </c>
      <c r="E5211">
        <v>5.2413793103448203</v>
      </c>
    </row>
    <row r="5212" spans="1:5">
      <c r="A5212" t="s">
        <v>6072</v>
      </c>
      <c r="B5212" t="s">
        <v>6079</v>
      </c>
      <c r="C5212">
        <f>0</f>
        <v>0</v>
      </c>
      <c r="D5212">
        <v>0.83656038308199998</v>
      </c>
      <c r="E5212">
        <v>5.2413793103448203</v>
      </c>
    </row>
    <row r="5213" spans="1:5">
      <c r="A5213" t="s">
        <v>6072</v>
      </c>
      <c r="B5213" t="s">
        <v>6080</v>
      </c>
      <c r="C5213">
        <f>0</f>
        <v>0</v>
      </c>
      <c r="D5213">
        <v>0.83656038308199998</v>
      </c>
      <c r="E5213">
        <v>5.2413793103448203</v>
      </c>
    </row>
    <row r="5214" spans="1:5">
      <c r="A5214" t="s">
        <v>6072</v>
      </c>
      <c r="B5214" t="s">
        <v>6081</v>
      </c>
      <c r="C5214">
        <f>0</f>
        <v>0</v>
      </c>
      <c r="D5214">
        <v>0.83656038308199998</v>
      </c>
      <c r="E5214">
        <v>5.2413793103448203</v>
      </c>
    </row>
    <row r="5215" spans="1:5">
      <c r="A5215" t="s">
        <v>6082</v>
      </c>
      <c r="B5215" t="s">
        <v>6083</v>
      </c>
      <c r="C5215">
        <v>0</v>
      </c>
      <c r="D5215" t="s">
        <v>106</v>
      </c>
      <c r="E5215">
        <v>0.69565217391304301</v>
      </c>
    </row>
    <row r="5216" spans="1:5">
      <c r="A5216" t="s">
        <v>6082</v>
      </c>
      <c r="B5216" t="s">
        <v>6084</v>
      </c>
      <c r="C5216">
        <v>0</v>
      </c>
      <c r="D5216" t="s">
        <v>106</v>
      </c>
      <c r="E5216">
        <v>0.69565217391304301</v>
      </c>
    </row>
    <row r="5217" spans="1:5">
      <c r="A5217" t="s">
        <v>6082</v>
      </c>
      <c r="B5217" t="s">
        <v>6085</v>
      </c>
      <c r="C5217">
        <v>0</v>
      </c>
      <c r="D5217" t="s">
        <v>106</v>
      </c>
      <c r="E5217">
        <v>0.69565217391304301</v>
      </c>
    </row>
    <row r="5218" spans="1:5">
      <c r="A5218" t="s">
        <v>6082</v>
      </c>
      <c r="B5218" t="s">
        <v>6086</v>
      </c>
      <c r="C5218">
        <f>0</f>
        <v>0</v>
      </c>
      <c r="D5218" t="s">
        <v>106</v>
      </c>
      <c r="E5218">
        <v>0.69565217391304301</v>
      </c>
    </row>
    <row r="5219" spans="1:5">
      <c r="A5219" t="s">
        <v>6082</v>
      </c>
      <c r="B5219" t="s">
        <v>6087</v>
      </c>
      <c r="C5219">
        <v>0</v>
      </c>
      <c r="D5219" t="s">
        <v>106</v>
      </c>
      <c r="E5219">
        <v>0.69565217391304301</v>
      </c>
    </row>
    <row r="5220" spans="1:5">
      <c r="A5220" t="s">
        <v>6088</v>
      </c>
      <c r="B5220" t="s">
        <v>6089</v>
      </c>
      <c r="C5220">
        <v>0.13786404695000001</v>
      </c>
      <c r="D5220">
        <v>0.98516750909299999</v>
      </c>
      <c r="E5220">
        <v>24</v>
      </c>
    </row>
    <row r="5221" spans="1:5">
      <c r="A5221" t="s">
        <v>6088</v>
      </c>
      <c r="B5221" t="s">
        <v>6090</v>
      </c>
      <c r="C5221">
        <v>0</v>
      </c>
      <c r="D5221">
        <v>0.98516750909299999</v>
      </c>
      <c r="E5221">
        <v>24</v>
      </c>
    </row>
    <row r="5222" spans="1:5">
      <c r="A5222" t="s">
        <v>6088</v>
      </c>
      <c r="B5222" t="s">
        <v>6091</v>
      </c>
      <c r="C5222">
        <f>0</f>
        <v>0</v>
      </c>
      <c r="D5222">
        <v>0.98516750909299999</v>
      </c>
      <c r="E5222">
        <v>24</v>
      </c>
    </row>
    <row r="5223" spans="1:5">
      <c r="A5223" t="s">
        <v>6088</v>
      </c>
      <c r="B5223" t="s">
        <v>6092</v>
      </c>
      <c r="C5223">
        <v>0</v>
      </c>
      <c r="D5223">
        <v>0.98516750909299999</v>
      </c>
      <c r="E5223">
        <v>24</v>
      </c>
    </row>
    <row r="5224" spans="1:5">
      <c r="A5224" t="s">
        <v>6088</v>
      </c>
      <c r="B5224" t="s">
        <v>6093</v>
      </c>
      <c r="C5224">
        <v>0</v>
      </c>
      <c r="D5224">
        <v>0.98516750909299999</v>
      </c>
      <c r="E5224">
        <v>24</v>
      </c>
    </row>
    <row r="5225" spans="1:5">
      <c r="A5225" t="s">
        <v>6088</v>
      </c>
      <c r="B5225" t="s">
        <v>6094</v>
      </c>
      <c r="C5225">
        <f>0</f>
        <v>0</v>
      </c>
      <c r="D5225">
        <v>0.98516750909299999</v>
      </c>
      <c r="E5225">
        <v>24</v>
      </c>
    </row>
    <row r="5226" spans="1:5">
      <c r="A5226" t="s">
        <v>6088</v>
      </c>
      <c r="B5226" t="s">
        <v>6095</v>
      </c>
      <c r="C5226">
        <f>0</f>
        <v>0</v>
      </c>
      <c r="D5226">
        <v>0.98516750909299999</v>
      </c>
      <c r="E5226">
        <v>24</v>
      </c>
    </row>
    <row r="5227" spans="1:5">
      <c r="A5227" t="s">
        <v>6088</v>
      </c>
      <c r="B5227" t="s">
        <v>6096</v>
      </c>
      <c r="C5227">
        <f>0.0120195258124</f>
        <v>1.2019525812399999E-2</v>
      </c>
      <c r="D5227">
        <v>0.98516750909299999</v>
      </c>
      <c r="E5227">
        <v>24</v>
      </c>
    </row>
    <row r="5228" spans="1:5">
      <c r="A5228" t="s">
        <v>6097</v>
      </c>
      <c r="B5228" t="s">
        <v>6098</v>
      </c>
      <c r="C5228">
        <f>0</f>
        <v>0</v>
      </c>
      <c r="D5228">
        <v>0.92323988541000002</v>
      </c>
      <c r="E5228">
        <v>23.280359820089899</v>
      </c>
    </row>
    <row r="5229" spans="1:5">
      <c r="A5229" t="s">
        <v>6097</v>
      </c>
      <c r="B5229" t="s">
        <v>6099</v>
      </c>
      <c r="C5229">
        <f>0</f>
        <v>0</v>
      </c>
      <c r="D5229">
        <v>0.92323988541000002</v>
      </c>
      <c r="E5229">
        <v>23.280359820089899</v>
      </c>
    </row>
    <row r="5230" spans="1:5">
      <c r="A5230" t="s">
        <v>6097</v>
      </c>
      <c r="B5230" t="s">
        <v>6100</v>
      </c>
      <c r="C5230">
        <f>0</f>
        <v>0</v>
      </c>
      <c r="D5230">
        <v>0.92323988541000002</v>
      </c>
      <c r="E5230">
        <v>23.280359820089899</v>
      </c>
    </row>
    <row r="5231" spans="1:5">
      <c r="A5231" t="s">
        <v>6097</v>
      </c>
      <c r="B5231" t="s">
        <v>6101</v>
      </c>
      <c r="C5231">
        <v>0</v>
      </c>
      <c r="D5231">
        <v>0.92323988541000002</v>
      </c>
      <c r="E5231">
        <v>23.280359820089899</v>
      </c>
    </row>
    <row r="5232" spans="1:5">
      <c r="A5232" t="s">
        <v>6097</v>
      </c>
      <c r="B5232" t="s">
        <v>6102</v>
      </c>
      <c r="C5232">
        <f>0.0171822619395</f>
        <v>1.7182261939499999E-2</v>
      </c>
      <c r="D5232">
        <v>0.92323988541000002</v>
      </c>
      <c r="E5232">
        <v>23.280359820089899</v>
      </c>
    </row>
    <row r="5233" spans="1:5">
      <c r="A5233" t="s">
        <v>6097</v>
      </c>
      <c r="B5233" t="s">
        <v>6103</v>
      </c>
      <c r="C5233">
        <v>0</v>
      </c>
      <c r="D5233">
        <v>0.92323988541000002</v>
      </c>
      <c r="E5233">
        <v>23.280359820089899</v>
      </c>
    </row>
    <row r="5234" spans="1:5">
      <c r="A5234" t="s">
        <v>6097</v>
      </c>
      <c r="B5234" t="s">
        <v>6104</v>
      </c>
      <c r="C5234">
        <v>0</v>
      </c>
      <c r="D5234">
        <v>0.92323988541000002</v>
      </c>
      <c r="E5234">
        <v>23.280359820089899</v>
      </c>
    </row>
    <row r="5235" spans="1:5">
      <c r="A5235" t="s">
        <v>6097</v>
      </c>
      <c r="B5235" t="s">
        <v>6105</v>
      </c>
      <c r="C5235">
        <f>0</f>
        <v>0</v>
      </c>
      <c r="D5235">
        <v>0.92323988541000002</v>
      </c>
      <c r="E5235">
        <v>23.280359820089899</v>
      </c>
    </row>
    <row r="5236" spans="1:5">
      <c r="A5236" t="s">
        <v>6097</v>
      </c>
      <c r="B5236" t="s">
        <v>6106</v>
      </c>
      <c r="C5236">
        <v>0</v>
      </c>
      <c r="D5236">
        <v>0.92323988541000002</v>
      </c>
      <c r="E5236">
        <v>23.280359820089899</v>
      </c>
    </row>
    <row r="5237" spans="1:5">
      <c r="A5237" t="s">
        <v>6097</v>
      </c>
      <c r="B5237" t="s">
        <v>6107</v>
      </c>
      <c r="C5237">
        <v>0</v>
      </c>
      <c r="D5237">
        <v>0.92323988541000002</v>
      </c>
      <c r="E5237">
        <v>23.280359820089899</v>
      </c>
    </row>
    <row r="5238" spans="1:5">
      <c r="A5238" t="s">
        <v>6097</v>
      </c>
      <c r="B5238" t="s">
        <v>6108</v>
      </c>
      <c r="C5238">
        <v>0</v>
      </c>
      <c r="D5238">
        <v>0.92323988541000002</v>
      </c>
      <c r="E5238">
        <v>23.280359820089899</v>
      </c>
    </row>
    <row r="5239" spans="1:5">
      <c r="A5239" t="s">
        <v>6097</v>
      </c>
      <c r="B5239" t="s">
        <v>6109</v>
      </c>
      <c r="C5239">
        <f>0</f>
        <v>0</v>
      </c>
      <c r="D5239">
        <v>0.92323988541000002</v>
      </c>
      <c r="E5239">
        <v>23.280359820089899</v>
      </c>
    </row>
    <row r="5240" spans="1:5">
      <c r="A5240" t="s">
        <v>6097</v>
      </c>
      <c r="B5240" t="s">
        <v>6110</v>
      </c>
      <c r="C5240">
        <f>0</f>
        <v>0</v>
      </c>
      <c r="D5240">
        <v>0.92323988541000002</v>
      </c>
      <c r="E5240">
        <v>23.280359820089899</v>
      </c>
    </row>
    <row r="5241" spans="1:5">
      <c r="A5241" t="s">
        <v>6097</v>
      </c>
      <c r="B5241" t="s">
        <v>6111</v>
      </c>
      <c r="C5241">
        <f>0</f>
        <v>0</v>
      </c>
      <c r="D5241">
        <v>0.92323988541000002</v>
      </c>
      <c r="E5241">
        <v>23.280359820089899</v>
      </c>
    </row>
    <row r="5242" spans="1:5">
      <c r="A5242" t="s">
        <v>6112</v>
      </c>
      <c r="B5242" t="s">
        <v>6113</v>
      </c>
      <c r="C5242">
        <v>0</v>
      </c>
      <c r="D5242">
        <v>0.98453957802199998</v>
      </c>
      <c r="E5242">
        <v>5.2413793103448203</v>
      </c>
    </row>
    <row r="5243" spans="1:5">
      <c r="A5243" t="s">
        <v>6112</v>
      </c>
      <c r="B5243" t="s">
        <v>6114</v>
      </c>
      <c r="C5243">
        <v>0</v>
      </c>
      <c r="D5243">
        <v>0.98453957802199998</v>
      </c>
      <c r="E5243">
        <v>5.2413793103448203</v>
      </c>
    </row>
    <row r="5244" spans="1:5">
      <c r="A5244" t="s">
        <v>6112</v>
      </c>
      <c r="B5244" t="s">
        <v>6115</v>
      </c>
      <c r="C5244">
        <v>0</v>
      </c>
      <c r="D5244">
        <v>0.98453957802199998</v>
      </c>
      <c r="E5244">
        <v>5.2413793103448203</v>
      </c>
    </row>
    <row r="5245" spans="1:5">
      <c r="A5245" t="s">
        <v>6112</v>
      </c>
      <c r="B5245" t="s">
        <v>6116</v>
      </c>
      <c r="C5245">
        <v>0</v>
      </c>
      <c r="D5245">
        <v>0.98453957802199998</v>
      </c>
      <c r="E5245">
        <v>5.2413793103448203</v>
      </c>
    </row>
    <row r="5246" spans="1:5">
      <c r="A5246" t="s">
        <v>6117</v>
      </c>
      <c r="B5246" t="s">
        <v>6118</v>
      </c>
      <c r="C5246">
        <v>0</v>
      </c>
      <c r="D5246">
        <v>0.85689048128900003</v>
      </c>
      <c r="E5246">
        <v>1.7631184407796101</v>
      </c>
    </row>
    <row r="5247" spans="1:5">
      <c r="A5247" t="s">
        <v>6117</v>
      </c>
      <c r="B5247" t="s">
        <v>6119</v>
      </c>
      <c r="C5247">
        <f>0</f>
        <v>0</v>
      </c>
      <c r="D5247">
        <v>0.85689048128900003</v>
      </c>
      <c r="E5247">
        <v>1.7631184407796101</v>
      </c>
    </row>
    <row r="5248" spans="1:5">
      <c r="A5248" t="s">
        <v>6117</v>
      </c>
      <c r="B5248" t="s">
        <v>6120</v>
      </c>
      <c r="C5248">
        <f>0.487500379413</f>
        <v>0.48750037941300001</v>
      </c>
      <c r="D5248">
        <v>0.85689048128900003</v>
      </c>
      <c r="E5248">
        <v>1.7631184407796101</v>
      </c>
    </row>
    <row r="5249" spans="1:5">
      <c r="A5249" t="s">
        <v>6117</v>
      </c>
      <c r="B5249" t="s">
        <v>6121</v>
      </c>
      <c r="C5249">
        <f>0</f>
        <v>0</v>
      </c>
      <c r="D5249">
        <v>0.85689048128900003</v>
      </c>
      <c r="E5249">
        <v>1.7631184407796101</v>
      </c>
    </row>
    <row r="5250" spans="1:5">
      <c r="A5250" t="s">
        <v>6117</v>
      </c>
      <c r="B5250" t="s">
        <v>6122</v>
      </c>
      <c r="C5250">
        <v>0</v>
      </c>
      <c r="D5250">
        <v>0.85689048128900003</v>
      </c>
      <c r="E5250">
        <v>1.7631184407796101</v>
      </c>
    </row>
    <row r="5251" spans="1:5">
      <c r="A5251" t="s">
        <v>6117</v>
      </c>
      <c r="B5251" t="s">
        <v>6123</v>
      </c>
      <c r="C5251">
        <f>0</f>
        <v>0</v>
      </c>
      <c r="D5251">
        <v>0.85689048128900003</v>
      </c>
      <c r="E5251">
        <v>1.7631184407796101</v>
      </c>
    </row>
    <row r="5252" spans="1:5">
      <c r="A5252" t="s">
        <v>6117</v>
      </c>
      <c r="B5252" t="s">
        <v>6124</v>
      </c>
      <c r="C5252">
        <f>0.0236099410574</f>
        <v>2.36099410574E-2</v>
      </c>
      <c r="D5252">
        <v>0.85689048128900003</v>
      </c>
      <c r="E5252">
        <v>1.7631184407796101</v>
      </c>
    </row>
    <row r="5253" spans="1:5">
      <c r="A5253" t="s">
        <v>6125</v>
      </c>
      <c r="B5253" t="s">
        <v>6126</v>
      </c>
      <c r="C5253">
        <f>0.271420374825</f>
        <v>0.27142037482499998</v>
      </c>
      <c r="D5253">
        <v>0.86662889706099999</v>
      </c>
      <c r="E5253">
        <v>12.2098950524737</v>
      </c>
    </row>
    <row r="5254" spans="1:5">
      <c r="A5254" t="s">
        <v>6125</v>
      </c>
      <c r="B5254" t="s">
        <v>6127</v>
      </c>
      <c r="C5254">
        <f>0.118495838376</f>
        <v>0.118495838376</v>
      </c>
      <c r="D5254">
        <v>0.86662889706099999</v>
      </c>
      <c r="E5254">
        <v>12.2098950524737</v>
      </c>
    </row>
    <row r="5255" spans="1:5">
      <c r="A5255" t="s">
        <v>6128</v>
      </c>
      <c r="B5255" t="s">
        <v>6129</v>
      </c>
      <c r="C5255">
        <v>0</v>
      </c>
      <c r="D5255">
        <v>0.87420988339600003</v>
      </c>
      <c r="E5255">
        <v>14.3688155922038</v>
      </c>
    </row>
    <row r="5256" spans="1:5">
      <c r="A5256" t="s">
        <v>6128</v>
      </c>
      <c r="B5256" t="s">
        <v>6130</v>
      </c>
      <c r="C5256">
        <v>7.3960575805100001E-2</v>
      </c>
      <c r="D5256">
        <v>0.87420988339600003</v>
      </c>
      <c r="E5256">
        <v>14.3688155922038</v>
      </c>
    </row>
    <row r="5257" spans="1:5">
      <c r="A5257" t="s">
        <v>6128</v>
      </c>
      <c r="B5257" t="s">
        <v>6131</v>
      </c>
      <c r="C5257">
        <v>0</v>
      </c>
      <c r="D5257">
        <v>0.87420988339600003</v>
      </c>
      <c r="E5257">
        <v>14.3688155922038</v>
      </c>
    </row>
    <row r="5258" spans="1:5">
      <c r="A5258" t="s">
        <v>6128</v>
      </c>
      <c r="B5258" t="s">
        <v>6132</v>
      </c>
      <c r="C5258">
        <v>0.15004787871799999</v>
      </c>
      <c r="D5258">
        <v>0.87420988339600003</v>
      </c>
      <c r="E5258">
        <v>14.3688155922038</v>
      </c>
    </row>
    <row r="5259" spans="1:5">
      <c r="A5259" t="s">
        <v>6128</v>
      </c>
      <c r="B5259" t="s">
        <v>6133</v>
      </c>
      <c r="C5259">
        <v>0</v>
      </c>
      <c r="D5259">
        <v>0.87420988339600003</v>
      </c>
      <c r="E5259">
        <v>14.3688155922038</v>
      </c>
    </row>
    <row r="5260" spans="1:5">
      <c r="A5260" t="s">
        <v>6134</v>
      </c>
      <c r="B5260" t="s">
        <v>6135</v>
      </c>
      <c r="C5260">
        <v>0</v>
      </c>
      <c r="D5260">
        <v>0.98420700624699997</v>
      </c>
      <c r="E5260">
        <v>2.7106446776611599</v>
      </c>
    </row>
    <row r="5261" spans="1:5">
      <c r="A5261" t="s">
        <v>6134</v>
      </c>
      <c r="B5261" t="s">
        <v>6136</v>
      </c>
      <c r="C5261">
        <f>0</f>
        <v>0</v>
      </c>
      <c r="D5261">
        <v>0.98420700624699997</v>
      </c>
      <c r="E5261">
        <v>2.7106446776611599</v>
      </c>
    </row>
    <row r="5262" spans="1:5">
      <c r="A5262" t="s">
        <v>6134</v>
      </c>
      <c r="B5262" t="s">
        <v>6137</v>
      </c>
      <c r="C5262">
        <f>0</f>
        <v>0</v>
      </c>
      <c r="D5262">
        <v>0.98420700624699997</v>
      </c>
      <c r="E5262">
        <v>2.7106446776611599</v>
      </c>
    </row>
    <row r="5263" spans="1:5">
      <c r="A5263" t="s">
        <v>6134</v>
      </c>
      <c r="B5263" t="s">
        <v>6138</v>
      </c>
      <c r="C5263">
        <f>0</f>
        <v>0</v>
      </c>
      <c r="D5263">
        <v>0.98420700624699997</v>
      </c>
      <c r="E5263">
        <v>2.7106446776611599</v>
      </c>
    </row>
    <row r="5264" spans="1:5">
      <c r="A5264" t="s">
        <v>6139</v>
      </c>
      <c r="B5264" t="s">
        <v>6140</v>
      </c>
      <c r="C5264">
        <v>0</v>
      </c>
      <c r="D5264">
        <v>0.94491194124400002</v>
      </c>
      <c r="E5264">
        <v>18.554722638680602</v>
      </c>
    </row>
    <row r="5265" spans="1:5">
      <c r="A5265" t="s">
        <v>6139</v>
      </c>
      <c r="B5265" t="s">
        <v>6141</v>
      </c>
      <c r="C5265">
        <v>1.09550224638E-2</v>
      </c>
      <c r="D5265">
        <v>0.94491194124400002</v>
      </c>
      <c r="E5265">
        <v>18.554722638680602</v>
      </c>
    </row>
    <row r="5266" spans="1:5">
      <c r="A5266" t="s">
        <v>6139</v>
      </c>
      <c r="B5266" t="s">
        <v>6142</v>
      </c>
      <c r="C5266">
        <v>0.12098167490800001</v>
      </c>
      <c r="D5266">
        <v>0.94491194124400002</v>
      </c>
      <c r="E5266">
        <v>18.554722638680602</v>
      </c>
    </row>
    <row r="5267" spans="1:5">
      <c r="A5267" t="s">
        <v>6139</v>
      </c>
      <c r="B5267" t="s">
        <v>6143</v>
      </c>
      <c r="C5267">
        <f>0</f>
        <v>0</v>
      </c>
      <c r="D5267">
        <v>0.94491194124400002</v>
      </c>
      <c r="E5267">
        <v>18.554722638680602</v>
      </c>
    </row>
    <row r="5268" spans="1:5">
      <c r="A5268" t="s">
        <v>6139</v>
      </c>
      <c r="B5268" t="s">
        <v>6144</v>
      </c>
      <c r="C5268">
        <v>0</v>
      </c>
      <c r="D5268">
        <v>0.94491194124400002</v>
      </c>
      <c r="E5268">
        <v>18.554722638680602</v>
      </c>
    </row>
    <row r="5269" spans="1:5">
      <c r="A5269" t="s">
        <v>6145</v>
      </c>
      <c r="B5269" t="s">
        <v>6146</v>
      </c>
      <c r="C5269">
        <f>0</f>
        <v>0</v>
      </c>
      <c r="D5269">
        <v>0.71743761509500004</v>
      </c>
      <c r="E5269">
        <v>2.6386806596701602</v>
      </c>
    </row>
    <row r="5270" spans="1:5">
      <c r="A5270" t="s">
        <v>6145</v>
      </c>
      <c r="B5270" t="s">
        <v>6147</v>
      </c>
      <c r="C5270">
        <f>0</f>
        <v>0</v>
      </c>
      <c r="D5270">
        <v>0.71743761509500004</v>
      </c>
      <c r="E5270">
        <v>2.6386806596701602</v>
      </c>
    </row>
    <row r="5271" spans="1:5">
      <c r="A5271" t="s">
        <v>6145</v>
      </c>
      <c r="B5271" t="s">
        <v>6148</v>
      </c>
      <c r="C5271">
        <v>0</v>
      </c>
      <c r="D5271">
        <v>0.71743761509500004</v>
      </c>
      <c r="E5271">
        <v>2.6386806596701602</v>
      </c>
    </row>
    <row r="5272" spans="1:5">
      <c r="A5272" t="s">
        <v>6145</v>
      </c>
      <c r="B5272" t="s">
        <v>6149</v>
      </c>
      <c r="C5272">
        <v>0</v>
      </c>
      <c r="D5272">
        <v>0.71743761509500004</v>
      </c>
      <c r="E5272">
        <v>2.6386806596701602</v>
      </c>
    </row>
    <row r="5273" spans="1:5">
      <c r="A5273" t="s">
        <v>6150</v>
      </c>
      <c r="B5273" t="s">
        <v>6151</v>
      </c>
      <c r="C5273">
        <v>0</v>
      </c>
      <c r="D5273">
        <v>0.97975614995000004</v>
      </c>
      <c r="E5273">
        <v>1.6311844077961</v>
      </c>
    </row>
    <row r="5274" spans="1:5">
      <c r="A5274" t="s">
        <v>6150</v>
      </c>
      <c r="B5274" t="s">
        <v>6152</v>
      </c>
      <c r="C5274">
        <f>0</f>
        <v>0</v>
      </c>
      <c r="D5274">
        <v>0.97975614995000004</v>
      </c>
      <c r="E5274">
        <v>1.6311844077961</v>
      </c>
    </row>
    <row r="5275" spans="1:5">
      <c r="A5275" t="s">
        <v>6150</v>
      </c>
      <c r="B5275" t="s">
        <v>6153</v>
      </c>
      <c r="C5275">
        <v>0</v>
      </c>
      <c r="D5275">
        <v>0.97975614995000004</v>
      </c>
      <c r="E5275">
        <v>1.6311844077961</v>
      </c>
    </row>
    <row r="5276" spans="1:5">
      <c r="A5276" t="s">
        <v>6150</v>
      </c>
      <c r="B5276" t="s">
        <v>6154</v>
      </c>
      <c r="C5276">
        <f>0</f>
        <v>0</v>
      </c>
      <c r="D5276">
        <v>0.97975614995000004</v>
      </c>
      <c r="E5276">
        <v>1.6311844077961</v>
      </c>
    </row>
    <row r="5277" spans="1:5">
      <c r="A5277" t="s">
        <v>6150</v>
      </c>
      <c r="B5277" t="s">
        <v>6155</v>
      </c>
      <c r="C5277">
        <v>0.62968222696800003</v>
      </c>
      <c r="D5277">
        <v>0.97975614995000004</v>
      </c>
      <c r="E5277">
        <v>1.6311844077961</v>
      </c>
    </row>
    <row r="5278" spans="1:5">
      <c r="A5278" t="s">
        <v>6150</v>
      </c>
      <c r="B5278" t="s">
        <v>6156</v>
      </c>
      <c r="C5278">
        <f>0</f>
        <v>0</v>
      </c>
      <c r="D5278">
        <v>0.97975614995000004</v>
      </c>
      <c r="E5278">
        <v>1.6311844077961</v>
      </c>
    </row>
    <row r="5279" spans="1:5">
      <c r="A5279" t="s">
        <v>6150</v>
      </c>
      <c r="B5279" t="s">
        <v>6157</v>
      </c>
      <c r="C5279">
        <v>0.118206839902</v>
      </c>
      <c r="D5279">
        <v>0.97975614995000004</v>
      </c>
      <c r="E5279">
        <v>1.6311844077961</v>
      </c>
    </row>
    <row r="5280" spans="1:5">
      <c r="A5280" t="s">
        <v>6150</v>
      </c>
      <c r="B5280" t="s">
        <v>6158</v>
      </c>
      <c r="C5280">
        <v>0</v>
      </c>
      <c r="D5280">
        <v>0.97975614995000004</v>
      </c>
      <c r="E5280">
        <v>1.6311844077961</v>
      </c>
    </row>
    <row r="5281" spans="1:5">
      <c r="A5281" t="s">
        <v>6150</v>
      </c>
      <c r="B5281" t="s">
        <v>6159</v>
      </c>
      <c r="C5281">
        <f>0</f>
        <v>0</v>
      </c>
      <c r="D5281">
        <v>0.97975614995000004</v>
      </c>
      <c r="E5281">
        <v>1.6311844077961</v>
      </c>
    </row>
    <row r="5282" spans="1:5">
      <c r="A5282" t="s">
        <v>6160</v>
      </c>
      <c r="B5282" t="s">
        <v>6161</v>
      </c>
      <c r="C5282">
        <v>0.204246476668</v>
      </c>
      <c r="D5282">
        <v>0.99783096740999999</v>
      </c>
      <c r="E5282">
        <v>5.2413793103448203</v>
      </c>
    </row>
    <row r="5283" spans="1:5">
      <c r="A5283" t="s">
        <v>6160</v>
      </c>
      <c r="B5283" t="s">
        <v>6162</v>
      </c>
      <c r="C5283">
        <v>0</v>
      </c>
      <c r="D5283">
        <v>0.99783096740999999</v>
      </c>
      <c r="E5283">
        <v>5.2413793103448203</v>
      </c>
    </row>
    <row r="5284" spans="1:5">
      <c r="A5284" t="s">
        <v>6160</v>
      </c>
      <c r="B5284" t="s">
        <v>6163</v>
      </c>
      <c r="C5284">
        <f>0.0223274583613</f>
        <v>2.2327458361299998E-2</v>
      </c>
      <c r="D5284">
        <v>0.99783096740999999</v>
      </c>
      <c r="E5284">
        <v>5.2413793103448203</v>
      </c>
    </row>
    <row r="5285" spans="1:5">
      <c r="A5285" t="s">
        <v>6160</v>
      </c>
      <c r="B5285" t="s">
        <v>6164</v>
      </c>
      <c r="C5285">
        <f>0</f>
        <v>0</v>
      </c>
      <c r="D5285">
        <v>0.99783096740999999</v>
      </c>
      <c r="E5285">
        <v>5.2413793103448203</v>
      </c>
    </row>
    <row r="5286" spans="1:5">
      <c r="A5286" t="s">
        <v>6165</v>
      </c>
      <c r="B5286" t="s">
        <v>6166</v>
      </c>
      <c r="C5286">
        <f>0</f>
        <v>0</v>
      </c>
      <c r="D5286" t="s">
        <v>106</v>
      </c>
      <c r="E5286">
        <v>17.511244377811</v>
      </c>
    </row>
    <row r="5287" spans="1:5">
      <c r="A5287" t="s">
        <v>6165</v>
      </c>
      <c r="B5287" t="s">
        <v>6167</v>
      </c>
      <c r="C5287">
        <f>0</f>
        <v>0</v>
      </c>
      <c r="D5287" t="s">
        <v>106</v>
      </c>
      <c r="E5287">
        <v>17.511244377811</v>
      </c>
    </row>
    <row r="5288" spans="1:5">
      <c r="A5288" t="s">
        <v>6165</v>
      </c>
      <c r="B5288" t="s">
        <v>6168</v>
      </c>
      <c r="C5288">
        <f>0</f>
        <v>0</v>
      </c>
      <c r="D5288" t="s">
        <v>106</v>
      </c>
      <c r="E5288">
        <v>17.511244377811</v>
      </c>
    </row>
    <row r="5289" spans="1:5">
      <c r="A5289" t="s">
        <v>6165</v>
      </c>
      <c r="B5289" t="s">
        <v>6169</v>
      </c>
      <c r="C5289">
        <v>0</v>
      </c>
      <c r="D5289" t="s">
        <v>106</v>
      </c>
      <c r="E5289">
        <v>17.511244377811</v>
      </c>
    </row>
    <row r="5290" spans="1:5">
      <c r="A5290" t="s">
        <v>6165</v>
      </c>
      <c r="B5290" t="s">
        <v>6170</v>
      </c>
      <c r="C5290">
        <v>0</v>
      </c>
      <c r="D5290" t="s">
        <v>106</v>
      </c>
      <c r="E5290">
        <v>17.511244377811</v>
      </c>
    </row>
    <row r="5291" spans="1:5">
      <c r="A5291" t="s">
        <v>6165</v>
      </c>
      <c r="B5291" t="s">
        <v>6171</v>
      </c>
      <c r="C5291">
        <f>0</f>
        <v>0</v>
      </c>
      <c r="D5291" t="s">
        <v>106</v>
      </c>
      <c r="E5291">
        <v>17.511244377811</v>
      </c>
    </row>
    <row r="5292" spans="1:5">
      <c r="A5292" t="s">
        <v>6165</v>
      </c>
      <c r="B5292" t="s">
        <v>6172</v>
      </c>
      <c r="C5292">
        <v>6.6401897495600007E-2</v>
      </c>
      <c r="D5292" t="s">
        <v>106</v>
      </c>
      <c r="E5292">
        <v>17.511244377811</v>
      </c>
    </row>
    <row r="5293" spans="1:5">
      <c r="A5293" t="s">
        <v>6165</v>
      </c>
      <c r="B5293" t="s">
        <v>6173</v>
      </c>
      <c r="C5293">
        <v>2.4918141295500001E-2</v>
      </c>
      <c r="D5293" t="s">
        <v>106</v>
      </c>
      <c r="E5293">
        <v>17.511244377811</v>
      </c>
    </row>
    <row r="5294" spans="1:5">
      <c r="A5294" t="s">
        <v>6165</v>
      </c>
      <c r="B5294" t="s">
        <v>6174</v>
      </c>
      <c r="C5294">
        <v>0</v>
      </c>
      <c r="D5294" t="s">
        <v>106</v>
      </c>
      <c r="E5294">
        <v>17.511244377811</v>
      </c>
    </row>
    <row r="5295" spans="1:5">
      <c r="A5295" t="s">
        <v>6165</v>
      </c>
      <c r="B5295" t="s">
        <v>6175</v>
      </c>
      <c r="C5295">
        <v>0</v>
      </c>
      <c r="D5295" t="s">
        <v>106</v>
      </c>
      <c r="E5295">
        <v>17.511244377811</v>
      </c>
    </row>
    <row r="5296" spans="1:5">
      <c r="A5296" t="s">
        <v>6165</v>
      </c>
      <c r="B5296" t="s">
        <v>6176</v>
      </c>
      <c r="C5296">
        <v>0</v>
      </c>
      <c r="D5296" t="s">
        <v>106</v>
      </c>
      <c r="E5296">
        <v>17.511244377811</v>
      </c>
    </row>
    <row r="5297" spans="1:5">
      <c r="A5297" t="s">
        <v>6165</v>
      </c>
      <c r="B5297" t="s">
        <v>6177</v>
      </c>
      <c r="C5297">
        <v>0</v>
      </c>
      <c r="D5297" t="s">
        <v>106</v>
      </c>
      <c r="E5297">
        <v>17.511244377811</v>
      </c>
    </row>
    <row r="5298" spans="1:5">
      <c r="A5298" t="s">
        <v>6165</v>
      </c>
      <c r="B5298" t="s">
        <v>6178</v>
      </c>
      <c r="C5298">
        <f>0</f>
        <v>0</v>
      </c>
      <c r="D5298" t="s">
        <v>106</v>
      </c>
      <c r="E5298">
        <v>17.511244377811</v>
      </c>
    </row>
    <row r="5299" spans="1:5">
      <c r="A5299" t="s">
        <v>6165</v>
      </c>
      <c r="B5299" t="s">
        <v>6179</v>
      </c>
      <c r="C5299">
        <v>0</v>
      </c>
      <c r="D5299" t="s">
        <v>106</v>
      </c>
      <c r="E5299">
        <v>17.511244377811</v>
      </c>
    </row>
    <row r="5300" spans="1:5">
      <c r="A5300" t="s">
        <v>6165</v>
      </c>
      <c r="B5300" t="s">
        <v>6180</v>
      </c>
      <c r="C5300">
        <v>0</v>
      </c>
      <c r="D5300" t="s">
        <v>106</v>
      </c>
      <c r="E5300">
        <v>17.511244377811</v>
      </c>
    </row>
    <row r="5301" spans="1:5">
      <c r="A5301" t="s">
        <v>6181</v>
      </c>
      <c r="B5301" t="s">
        <v>6182</v>
      </c>
      <c r="C5301">
        <f>0</f>
        <v>0</v>
      </c>
      <c r="D5301">
        <v>0.97877717903700001</v>
      </c>
      <c r="E5301">
        <v>9.9190404797601204</v>
      </c>
    </row>
    <row r="5302" spans="1:5">
      <c r="A5302" t="s">
        <v>6181</v>
      </c>
      <c r="B5302" t="s">
        <v>6183</v>
      </c>
      <c r="C5302">
        <f>0</f>
        <v>0</v>
      </c>
      <c r="D5302">
        <v>0.97877717903700001</v>
      </c>
      <c r="E5302">
        <v>9.9190404797601204</v>
      </c>
    </row>
    <row r="5303" spans="1:5">
      <c r="A5303" t="s">
        <v>6181</v>
      </c>
      <c r="B5303" t="s">
        <v>6184</v>
      </c>
      <c r="C5303">
        <v>0.35593676975400002</v>
      </c>
      <c r="D5303">
        <v>0.97877717903700001</v>
      </c>
      <c r="E5303">
        <v>9.9190404797601204</v>
      </c>
    </row>
    <row r="5304" spans="1:5">
      <c r="A5304" t="s">
        <v>6181</v>
      </c>
      <c r="B5304" t="s">
        <v>6185</v>
      </c>
      <c r="C5304">
        <f>0</f>
        <v>0</v>
      </c>
      <c r="D5304">
        <v>0.97877717903700001</v>
      </c>
      <c r="E5304">
        <v>9.9190404797601204</v>
      </c>
    </row>
    <row r="5305" spans="1:5">
      <c r="A5305" t="s">
        <v>6181</v>
      </c>
      <c r="B5305" t="s">
        <v>6186</v>
      </c>
      <c r="C5305">
        <f>0.00184505923377</f>
        <v>1.8450592337699999E-3</v>
      </c>
      <c r="D5305">
        <v>0.97877717903700001</v>
      </c>
      <c r="E5305">
        <v>9.9190404797601204</v>
      </c>
    </row>
    <row r="5306" spans="1:5">
      <c r="A5306" t="s">
        <v>6181</v>
      </c>
      <c r="B5306" t="s">
        <v>6187</v>
      </c>
      <c r="C5306">
        <f>0</f>
        <v>0</v>
      </c>
      <c r="D5306">
        <v>0.97877717903700001</v>
      </c>
      <c r="E5306">
        <v>9.9190404797601204</v>
      </c>
    </row>
    <row r="5307" spans="1:5">
      <c r="A5307" t="s">
        <v>6181</v>
      </c>
      <c r="B5307" t="s">
        <v>6188</v>
      </c>
      <c r="C5307">
        <f>0</f>
        <v>0</v>
      </c>
      <c r="D5307">
        <v>0.97877717903700001</v>
      </c>
      <c r="E5307">
        <v>9.9190404797601204</v>
      </c>
    </row>
    <row r="5308" spans="1:5">
      <c r="A5308" t="s">
        <v>6181</v>
      </c>
      <c r="B5308" t="s">
        <v>6189</v>
      </c>
      <c r="C5308">
        <f>0</f>
        <v>0</v>
      </c>
      <c r="D5308">
        <v>0.97877717903700001</v>
      </c>
      <c r="E5308">
        <v>9.9190404797601204</v>
      </c>
    </row>
    <row r="5309" spans="1:5">
      <c r="A5309" t="s">
        <v>6181</v>
      </c>
      <c r="B5309" t="s">
        <v>6190</v>
      </c>
      <c r="C5309">
        <f>0</f>
        <v>0</v>
      </c>
      <c r="D5309">
        <v>0.97877717903700001</v>
      </c>
      <c r="E5309">
        <v>9.9190404797601204</v>
      </c>
    </row>
    <row r="5310" spans="1:5">
      <c r="A5310" t="s">
        <v>6181</v>
      </c>
      <c r="B5310" t="s">
        <v>6191</v>
      </c>
      <c r="C5310">
        <v>0</v>
      </c>
      <c r="D5310">
        <v>0.97877717903700001</v>
      </c>
      <c r="E5310">
        <v>9.9190404797601204</v>
      </c>
    </row>
    <row r="5311" spans="1:5">
      <c r="A5311" t="s">
        <v>6181</v>
      </c>
      <c r="B5311" t="s">
        <v>6192</v>
      </c>
      <c r="C5311">
        <v>0</v>
      </c>
      <c r="D5311">
        <v>0.97877717903700001</v>
      </c>
      <c r="E5311">
        <v>9.9190404797601204</v>
      </c>
    </row>
    <row r="5312" spans="1:5">
      <c r="A5312" t="s">
        <v>6181</v>
      </c>
      <c r="B5312" t="s">
        <v>6193</v>
      </c>
      <c r="C5312">
        <f>0</f>
        <v>0</v>
      </c>
      <c r="D5312">
        <v>0.97877717903700001</v>
      </c>
      <c r="E5312">
        <v>9.9190404797601204</v>
      </c>
    </row>
    <row r="5313" spans="1:5">
      <c r="A5313" t="s">
        <v>6181</v>
      </c>
      <c r="B5313" t="s">
        <v>6194</v>
      </c>
      <c r="C5313">
        <v>0</v>
      </c>
      <c r="D5313">
        <v>0.97877717903700001</v>
      </c>
      <c r="E5313">
        <v>9.9190404797601204</v>
      </c>
    </row>
    <row r="5314" spans="1:5">
      <c r="A5314" t="s">
        <v>6181</v>
      </c>
      <c r="B5314" t="s">
        <v>6195</v>
      </c>
      <c r="C5314">
        <f>0</f>
        <v>0</v>
      </c>
      <c r="D5314">
        <v>0.97877717903700001</v>
      </c>
      <c r="E5314">
        <v>9.9190404797601204</v>
      </c>
    </row>
    <row r="5315" spans="1:5">
      <c r="A5315" t="s">
        <v>6196</v>
      </c>
      <c r="B5315" t="s">
        <v>6197</v>
      </c>
      <c r="C5315">
        <v>0</v>
      </c>
      <c r="D5315">
        <v>0.97951871526500001</v>
      </c>
      <c r="E5315">
        <v>5.1214392803598203</v>
      </c>
    </row>
    <row r="5316" spans="1:5">
      <c r="A5316" t="s">
        <v>6196</v>
      </c>
      <c r="B5316" t="s">
        <v>6198</v>
      </c>
      <c r="C5316">
        <v>0</v>
      </c>
      <c r="D5316">
        <v>0.97951871526500001</v>
      </c>
      <c r="E5316">
        <v>5.1214392803598203</v>
      </c>
    </row>
    <row r="5317" spans="1:5">
      <c r="A5317" t="s">
        <v>6196</v>
      </c>
      <c r="B5317" t="s">
        <v>6199</v>
      </c>
      <c r="C5317">
        <v>0</v>
      </c>
      <c r="D5317">
        <v>0.97951871526500001</v>
      </c>
      <c r="E5317">
        <v>5.1214392803598203</v>
      </c>
    </row>
    <row r="5318" spans="1:5">
      <c r="A5318" t="s">
        <v>6196</v>
      </c>
      <c r="B5318" t="s">
        <v>6200</v>
      </c>
      <c r="C5318">
        <v>0</v>
      </c>
      <c r="D5318">
        <v>0.97951871526500001</v>
      </c>
      <c r="E5318">
        <v>5.1214392803598203</v>
      </c>
    </row>
    <row r="5319" spans="1:5">
      <c r="A5319" t="s">
        <v>6196</v>
      </c>
      <c r="B5319" t="s">
        <v>6201</v>
      </c>
      <c r="C5319">
        <v>0</v>
      </c>
      <c r="D5319">
        <v>0.97951871526500001</v>
      </c>
      <c r="E5319">
        <v>5.1214392803598203</v>
      </c>
    </row>
    <row r="5320" spans="1:5">
      <c r="A5320" t="s">
        <v>6196</v>
      </c>
      <c r="B5320" t="s">
        <v>6202</v>
      </c>
      <c r="C5320">
        <v>0</v>
      </c>
      <c r="D5320">
        <v>0.97951871526500001</v>
      </c>
      <c r="E5320">
        <v>5.1214392803598203</v>
      </c>
    </row>
    <row r="5321" spans="1:5">
      <c r="A5321" t="s">
        <v>6196</v>
      </c>
      <c r="B5321" t="s">
        <v>6203</v>
      </c>
      <c r="C5321">
        <v>4.1462952534400001E-2</v>
      </c>
      <c r="D5321">
        <v>0.97951871526500001</v>
      </c>
      <c r="E5321">
        <v>5.1214392803598203</v>
      </c>
    </row>
    <row r="5322" spans="1:5">
      <c r="A5322" t="s">
        <v>6196</v>
      </c>
      <c r="B5322" t="s">
        <v>6204</v>
      </c>
      <c r="C5322">
        <v>0</v>
      </c>
      <c r="D5322">
        <v>0.97951871526500001</v>
      </c>
      <c r="E5322">
        <v>5.1214392803598203</v>
      </c>
    </row>
    <row r="5323" spans="1:5">
      <c r="A5323" t="s">
        <v>6196</v>
      </c>
      <c r="B5323" t="s">
        <v>6205</v>
      </c>
      <c r="C5323">
        <v>0</v>
      </c>
      <c r="D5323">
        <v>0.97951871526500001</v>
      </c>
      <c r="E5323">
        <v>5.1214392803598203</v>
      </c>
    </row>
    <row r="5324" spans="1:5">
      <c r="A5324" t="s">
        <v>6196</v>
      </c>
      <c r="B5324" t="s">
        <v>6206</v>
      </c>
      <c r="C5324">
        <v>0</v>
      </c>
      <c r="D5324">
        <v>0.97951871526500001</v>
      </c>
      <c r="E5324">
        <v>5.1214392803598203</v>
      </c>
    </row>
    <row r="5325" spans="1:5">
      <c r="A5325" t="s">
        <v>6196</v>
      </c>
      <c r="B5325" t="s">
        <v>6207</v>
      </c>
      <c r="C5325">
        <v>0</v>
      </c>
      <c r="D5325">
        <v>0.97951871526500001</v>
      </c>
      <c r="E5325">
        <v>5.1214392803598203</v>
      </c>
    </row>
    <row r="5326" spans="1:5">
      <c r="A5326" t="s">
        <v>6196</v>
      </c>
      <c r="B5326" t="s">
        <v>6208</v>
      </c>
      <c r="C5326">
        <v>0.57464287192999997</v>
      </c>
      <c r="D5326">
        <v>0.97951871526500001</v>
      </c>
      <c r="E5326">
        <v>5.1214392803598203</v>
      </c>
    </row>
    <row r="5327" spans="1:5">
      <c r="A5327" t="s">
        <v>6196</v>
      </c>
      <c r="B5327" t="s">
        <v>6209</v>
      </c>
      <c r="C5327">
        <v>0</v>
      </c>
      <c r="D5327">
        <v>0.97951871526500001</v>
      </c>
      <c r="E5327">
        <v>5.1214392803598203</v>
      </c>
    </row>
    <row r="5328" spans="1:5">
      <c r="A5328" t="s">
        <v>6196</v>
      </c>
      <c r="B5328" t="s">
        <v>6210</v>
      </c>
      <c r="C5328">
        <v>0</v>
      </c>
      <c r="D5328">
        <v>0.97951871526500001</v>
      </c>
      <c r="E5328">
        <v>5.1214392803598203</v>
      </c>
    </row>
    <row r="5329" spans="1:5">
      <c r="A5329" t="s">
        <v>6196</v>
      </c>
      <c r="B5329" t="s">
        <v>6211</v>
      </c>
      <c r="C5329">
        <v>0</v>
      </c>
      <c r="D5329">
        <v>0.97951871526500001</v>
      </c>
      <c r="E5329">
        <v>5.1214392803598203</v>
      </c>
    </row>
    <row r="5330" spans="1:5">
      <c r="A5330" t="s">
        <v>6196</v>
      </c>
      <c r="B5330" t="s">
        <v>6212</v>
      </c>
      <c r="C5330">
        <f>0</f>
        <v>0</v>
      </c>
      <c r="D5330">
        <v>0.97951871526500001</v>
      </c>
      <c r="E5330">
        <v>5.1214392803598203</v>
      </c>
    </row>
    <row r="5331" spans="1:5">
      <c r="A5331" t="s">
        <v>6196</v>
      </c>
      <c r="B5331" t="s">
        <v>6213</v>
      </c>
      <c r="C5331">
        <v>0</v>
      </c>
      <c r="D5331">
        <v>0.97951871526500001</v>
      </c>
      <c r="E5331">
        <v>5.1214392803598203</v>
      </c>
    </row>
    <row r="5332" spans="1:5">
      <c r="A5332" t="s">
        <v>6214</v>
      </c>
      <c r="B5332" t="s">
        <v>6215</v>
      </c>
      <c r="C5332">
        <v>0</v>
      </c>
      <c r="D5332">
        <v>0.64334657662700001</v>
      </c>
      <c r="E5332">
        <v>1.6911544227886</v>
      </c>
    </row>
    <row r="5333" spans="1:5">
      <c r="A5333" t="s">
        <v>6214</v>
      </c>
      <c r="B5333" t="s">
        <v>6216</v>
      </c>
      <c r="C5333">
        <f>0.0271681311361</f>
        <v>2.7168131136100001E-2</v>
      </c>
      <c r="D5333">
        <v>0.64334657662700001</v>
      </c>
      <c r="E5333">
        <v>1.6911544227886</v>
      </c>
    </row>
    <row r="5334" spans="1:5">
      <c r="A5334" t="s">
        <v>6214</v>
      </c>
      <c r="B5334" t="s">
        <v>6217</v>
      </c>
      <c r="C5334">
        <f>0.0874719514229</f>
        <v>8.7471951422899999E-2</v>
      </c>
      <c r="D5334">
        <v>0.64334657662700001</v>
      </c>
      <c r="E5334">
        <v>1.6911544227886</v>
      </c>
    </row>
    <row r="5335" spans="1:5">
      <c r="A5335" t="s">
        <v>6214</v>
      </c>
      <c r="B5335" t="s">
        <v>6218</v>
      </c>
      <c r="C5335">
        <v>0</v>
      </c>
      <c r="D5335">
        <v>0.64334657662700001</v>
      </c>
      <c r="E5335">
        <v>1.6911544227886</v>
      </c>
    </row>
    <row r="5336" spans="1:5">
      <c r="A5336" t="s">
        <v>6219</v>
      </c>
      <c r="B5336" t="s">
        <v>6220</v>
      </c>
      <c r="C5336">
        <f>0</f>
        <v>0</v>
      </c>
      <c r="D5336" t="s">
        <v>106</v>
      </c>
      <c r="E5336">
        <v>2.5547226386806599</v>
      </c>
    </row>
    <row r="5337" spans="1:5">
      <c r="A5337" t="s">
        <v>6219</v>
      </c>
      <c r="B5337" t="s">
        <v>6221</v>
      </c>
      <c r="C5337">
        <v>2.4022657216799998E-3</v>
      </c>
      <c r="D5337" t="s">
        <v>106</v>
      </c>
      <c r="E5337">
        <v>2.5547226386806599</v>
      </c>
    </row>
    <row r="5338" spans="1:5">
      <c r="A5338" t="s">
        <v>6219</v>
      </c>
      <c r="B5338" t="s">
        <v>6222</v>
      </c>
      <c r="C5338">
        <f>0</f>
        <v>0</v>
      </c>
      <c r="D5338" t="s">
        <v>106</v>
      </c>
      <c r="E5338">
        <v>2.5547226386806599</v>
      </c>
    </row>
    <row r="5339" spans="1:5">
      <c r="A5339" t="s">
        <v>6219</v>
      </c>
      <c r="B5339" t="s">
        <v>6223</v>
      </c>
      <c r="C5339">
        <f>0</f>
        <v>0</v>
      </c>
      <c r="D5339" t="s">
        <v>106</v>
      </c>
      <c r="E5339">
        <v>2.5547226386806599</v>
      </c>
    </row>
    <row r="5340" spans="1:5">
      <c r="A5340" t="s">
        <v>6219</v>
      </c>
      <c r="B5340" t="s">
        <v>6224</v>
      </c>
      <c r="C5340">
        <v>0</v>
      </c>
      <c r="D5340" t="s">
        <v>106</v>
      </c>
      <c r="E5340">
        <v>2.5547226386806599</v>
      </c>
    </row>
    <row r="5341" spans="1:5">
      <c r="A5341" t="s">
        <v>6219</v>
      </c>
      <c r="B5341" t="s">
        <v>6225</v>
      </c>
      <c r="C5341">
        <f>0</f>
        <v>0</v>
      </c>
      <c r="D5341" t="s">
        <v>106</v>
      </c>
      <c r="E5341">
        <v>2.5547226386806599</v>
      </c>
    </row>
    <row r="5342" spans="1:5">
      <c r="A5342" t="s">
        <v>6219</v>
      </c>
      <c r="B5342" t="s">
        <v>6226</v>
      </c>
      <c r="C5342">
        <f>0</f>
        <v>0</v>
      </c>
      <c r="D5342" t="s">
        <v>106</v>
      </c>
      <c r="E5342">
        <v>2.5547226386806599</v>
      </c>
    </row>
    <row r="5343" spans="1:5">
      <c r="A5343" t="s">
        <v>6227</v>
      </c>
      <c r="B5343" t="s">
        <v>6228</v>
      </c>
      <c r="C5343">
        <v>0.69102847330600004</v>
      </c>
      <c r="D5343">
        <v>0.99559936630800006</v>
      </c>
      <c r="E5343">
        <v>0.26386806596701601</v>
      </c>
    </row>
    <row r="5344" spans="1:5">
      <c r="A5344" t="s">
        <v>6227</v>
      </c>
      <c r="B5344" t="s">
        <v>6229</v>
      </c>
      <c r="C5344">
        <v>0</v>
      </c>
      <c r="D5344">
        <v>0.99559936630800006</v>
      </c>
      <c r="E5344">
        <v>0.26386806596701601</v>
      </c>
    </row>
    <row r="5345" spans="1:5">
      <c r="A5345" t="s">
        <v>6227</v>
      </c>
      <c r="B5345" t="s">
        <v>6230</v>
      </c>
      <c r="C5345">
        <v>0.42632000851500002</v>
      </c>
      <c r="D5345">
        <v>0.99559936630800006</v>
      </c>
      <c r="E5345">
        <v>0.26386806596701601</v>
      </c>
    </row>
    <row r="5346" spans="1:5">
      <c r="A5346" t="s">
        <v>6231</v>
      </c>
      <c r="B5346" t="s">
        <v>6232</v>
      </c>
      <c r="C5346">
        <f>0</f>
        <v>0</v>
      </c>
      <c r="D5346" t="s">
        <v>106</v>
      </c>
      <c r="E5346">
        <v>24</v>
      </c>
    </row>
    <row r="5347" spans="1:5">
      <c r="A5347" t="s">
        <v>6231</v>
      </c>
      <c r="B5347" t="s">
        <v>6233</v>
      </c>
      <c r="C5347">
        <f>0</f>
        <v>0</v>
      </c>
      <c r="D5347" t="s">
        <v>106</v>
      </c>
      <c r="E5347">
        <v>24</v>
      </c>
    </row>
    <row r="5348" spans="1:5">
      <c r="A5348" t="s">
        <v>6231</v>
      </c>
      <c r="B5348" t="s">
        <v>6234</v>
      </c>
      <c r="C5348">
        <f>0</f>
        <v>0</v>
      </c>
      <c r="D5348" t="s">
        <v>106</v>
      </c>
      <c r="E5348">
        <v>24</v>
      </c>
    </row>
    <row r="5349" spans="1:5">
      <c r="A5349" t="s">
        <v>6231</v>
      </c>
      <c r="B5349" t="s">
        <v>6235</v>
      </c>
      <c r="C5349">
        <f>0.0575670727865</f>
        <v>5.7567072786500001E-2</v>
      </c>
      <c r="D5349" t="s">
        <v>106</v>
      </c>
      <c r="E5349">
        <v>24</v>
      </c>
    </row>
    <row r="5350" spans="1:5">
      <c r="A5350" t="s">
        <v>6231</v>
      </c>
      <c r="B5350" t="s">
        <v>6236</v>
      </c>
      <c r="C5350">
        <f>0</f>
        <v>0</v>
      </c>
      <c r="D5350" t="s">
        <v>106</v>
      </c>
      <c r="E5350">
        <v>24</v>
      </c>
    </row>
    <row r="5351" spans="1:5">
      <c r="A5351" t="s">
        <v>6231</v>
      </c>
      <c r="B5351" t="s">
        <v>6237</v>
      </c>
      <c r="C5351">
        <v>0</v>
      </c>
      <c r="D5351" t="s">
        <v>106</v>
      </c>
      <c r="E5351">
        <v>24</v>
      </c>
    </row>
    <row r="5352" spans="1:5">
      <c r="A5352" t="s">
        <v>6231</v>
      </c>
      <c r="B5352" t="s">
        <v>6238</v>
      </c>
      <c r="C5352">
        <f>0</f>
        <v>0</v>
      </c>
      <c r="D5352" t="s">
        <v>106</v>
      </c>
      <c r="E5352">
        <v>24</v>
      </c>
    </row>
    <row r="5353" spans="1:5">
      <c r="A5353" t="s">
        <v>6231</v>
      </c>
      <c r="B5353" t="s">
        <v>6239</v>
      </c>
      <c r="C5353">
        <v>1.44967932523E-4</v>
      </c>
      <c r="D5353" t="s">
        <v>106</v>
      </c>
      <c r="E5353">
        <v>24</v>
      </c>
    </row>
    <row r="5354" spans="1:5">
      <c r="A5354" t="s">
        <v>6240</v>
      </c>
      <c r="B5354" t="s">
        <v>6241</v>
      </c>
      <c r="C5354">
        <f>0.00403995621983</f>
        <v>4.0399562198299996E-3</v>
      </c>
      <c r="D5354">
        <v>0.91909815840999998</v>
      </c>
      <c r="E5354">
        <v>6.0569715142428704</v>
      </c>
    </row>
    <row r="5355" spans="1:5">
      <c r="A5355" t="s">
        <v>6240</v>
      </c>
      <c r="B5355" t="s">
        <v>6242</v>
      </c>
      <c r="C5355">
        <v>7.5911553454099997E-3</v>
      </c>
      <c r="D5355">
        <v>0.91909815840999998</v>
      </c>
      <c r="E5355">
        <v>6.0569715142428704</v>
      </c>
    </row>
    <row r="5356" spans="1:5">
      <c r="A5356" t="s">
        <v>6243</v>
      </c>
      <c r="B5356" t="s">
        <v>6244</v>
      </c>
      <c r="C5356">
        <v>7.7769810800099995E-2</v>
      </c>
      <c r="D5356" t="s">
        <v>106</v>
      </c>
      <c r="E5356">
        <v>3.40629685157421</v>
      </c>
    </row>
    <row r="5357" spans="1:5">
      <c r="A5357" t="s">
        <v>6245</v>
      </c>
      <c r="B5357" t="s">
        <v>6246</v>
      </c>
      <c r="C5357">
        <v>0</v>
      </c>
      <c r="D5357" t="s">
        <v>106</v>
      </c>
      <c r="E5357">
        <v>18.986506746626599</v>
      </c>
    </row>
    <row r="5358" spans="1:5">
      <c r="A5358" t="s">
        <v>6245</v>
      </c>
      <c r="B5358" t="s">
        <v>6247</v>
      </c>
      <c r="C5358">
        <v>6.6352465508500005E-2</v>
      </c>
      <c r="D5358" t="s">
        <v>106</v>
      </c>
      <c r="E5358">
        <v>18.986506746626599</v>
      </c>
    </row>
    <row r="5359" spans="1:5">
      <c r="A5359" t="s">
        <v>6245</v>
      </c>
      <c r="B5359" t="s">
        <v>6248</v>
      </c>
      <c r="C5359">
        <f>0</f>
        <v>0</v>
      </c>
      <c r="D5359" t="s">
        <v>106</v>
      </c>
      <c r="E5359">
        <v>18.986506746626599</v>
      </c>
    </row>
    <row r="5360" spans="1:5">
      <c r="A5360" t="s">
        <v>6245</v>
      </c>
      <c r="B5360" t="s">
        <v>6249</v>
      </c>
      <c r="C5360">
        <v>0</v>
      </c>
      <c r="D5360" t="s">
        <v>106</v>
      </c>
      <c r="E5360">
        <v>18.986506746626599</v>
      </c>
    </row>
    <row r="5361" spans="1:5">
      <c r="A5361" t="s">
        <v>6250</v>
      </c>
      <c r="B5361" t="s">
        <v>6251</v>
      </c>
      <c r="C5361">
        <f>0.252216538756</f>
        <v>0.25221653875599997</v>
      </c>
      <c r="D5361">
        <v>0.50858826630800003</v>
      </c>
      <c r="E5361">
        <v>16.899550224887498</v>
      </c>
    </row>
    <row r="5362" spans="1:5">
      <c r="A5362" t="s">
        <v>6250</v>
      </c>
      <c r="B5362" t="s">
        <v>6252</v>
      </c>
      <c r="C5362">
        <v>0</v>
      </c>
      <c r="D5362">
        <v>0.50858826630800003</v>
      </c>
      <c r="E5362">
        <v>16.899550224887498</v>
      </c>
    </row>
    <row r="5363" spans="1:5">
      <c r="A5363" t="s">
        <v>6250</v>
      </c>
      <c r="B5363" t="s">
        <v>6253</v>
      </c>
      <c r="C5363">
        <f>0.0173047115952</f>
        <v>1.7304711595200001E-2</v>
      </c>
      <c r="D5363">
        <v>0.50858826630800003</v>
      </c>
      <c r="E5363">
        <v>16.899550224887498</v>
      </c>
    </row>
    <row r="5364" spans="1:5">
      <c r="A5364" t="s">
        <v>6254</v>
      </c>
      <c r="B5364" t="s">
        <v>6255</v>
      </c>
      <c r="C5364">
        <f>0.136549498315</f>
        <v>0.13654949831499999</v>
      </c>
      <c r="D5364">
        <v>0.91633830423700002</v>
      </c>
      <c r="E5364">
        <v>24</v>
      </c>
    </row>
    <row r="5365" spans="1:5">
      <c r="A5365" t="s">
        <v>6254</v>
      </c>
      <c r="B5365" t="s">
        <v>6256</v>
      </c>
      <c r="C5365">
        <f>0</f>
        <v>0</v>
      </c>
      <c r="D5365">
        <v>0.91633830423700002</v>
      </c>
      <c r="E5365">
        <v>24</v>
      </c>
    </row>
    <row r="5366" spans="1:5">
      <c r="A5366" t="s">
        <v>6254</v>
      </c>
      <c r="B5366" t="s">
        <v>6257</v>
      </c>
      <c r="C5366">
        <v>5.1216442958700002E-2</v>
      </c>
      <c r="D5366">
        <v>0.91633830423700002</v>
      </c>
      <c r="E5366">
        <v>24</v>
      </c>
    </row>
    <row r="5367" spans="1:5">
      <c r="A5367" t="s">
        <v>6258</v>
      </c>
      <c r="B5367" t="s">
        <v>6259</v>
      </c>
      <c r="C5367">
        <f>0</f>
        <v>0</v>
      </c>
      <c r="D5367">
        <v>0.94568758724699997</v>
      </c>
      <c r="E5367">
        <v>24</v>
      </c>
    </row>
    <row r="5368" spans="1:5">
      <c r="A5368" t="s">
        <v>6258</v>
      </c>
      <c r="B5368" t="s">
        <v>6260</v>
      </c>
      <c r="C5368">
        <f>0.0810917991422</f>
        <v>8.1091799142199994E-2</v>
      </c>
      <c r="D5368">
        <v>0.94568758724699997</v>
      </c>
      <c r="E5368">
        <v>24</v>
      </c>
    </row>
    <row r="5369" spans="1:5">
      <c r="A5369" t="s">
        <v>6258</v>
      </c>
      <c r="B5369" t="s">
        <v>6261</v>
      </c>
      <c r="C5369">
        <f>0</f>
        <v>0</v>
      </c>
      <c r="D5369">
        <v>0.94568758724699997</v>
      </c>
      <c r="E5369">
        <v>24</v>
      </c>
    </row>
    <row r="5370" spans="1:5">
      <c r="A5370" t="s">
        <v>6258</v>
      </c>
      <c r="B5370" t="s">
        <v>6262</v>
      </c>
      <c r="C5370">
        <f>0</f>
        <v>0</v>
      </c>
      <c r="D5370">
        <v>0.94568758724699997</v>
      </c>
      <c r="E5370">
        <v>24</v>
      </c>
    </row>
    <row r="5371" spans="1:5">
      <c r="A5371" t="s">
        <v>6258</v>
      </c>
      <c r="B5371" t="s">
        <v>6263</v>
      </c>
      <c r="C5371">
        <f>0</f>
        <v>0</v>
      </c>
      <c r="D5371">
        <v>0.94568758724699997</v>
      </c>
      <c r="E5371">
        <v>24</v>
      </c>
    </row>
    <row r="5372" spans="1:5">
      <c r="A5372" t="s">
        <v>6258</v>
      </c>
      <c r="B5372" t="s">
        <v>6264</v>
      </c>
      <c r="C5372">
        <v>0</v>
      </c>
      <c r="D5372">
        <v>0.94568758724699997</v>
      </c>
      <c r="E5372">
        <v>24</v>
      </c>
    </row>
    <row r="5373" spans="1:5">
      <c r="A5373" t="s">
        <v>6258</v>
      </c>
      <c r="B5373" t="s">
        <v>6265</v>
      </c>
      <c r="C5373">
        <v>0</v>
      </c>
      <c r="D5373">
        <v>0.94568758724699997</v>
      </c>
      <c r="E5373">
        <v>24</v>
      </c>
    </row>
    <row r="5374" spans="1:5">
      <c r="A5374" t="s">
        <v>6258</v>
      </c>
      <c r="B5374" t="s">
        <v>6266</v>
      </c>
      <c r="C5374">
        <v>0</v>
      </c>
      <c r="D5374">
        <v>0.94568758724699997</v>
      </c>
      <c r="E5374">
        <v>24</v>
      </c>
    </row>
    <row r="5375" spans="1:5">
      <c r="A5375" t="s">
        <v>6258</v>
      </c>
      <c r="B5375" t="s">
        <v>6267</v>
      </c>
      <c r="C5375">
        <f>0</f>
        <v>0</v>
      </c>
      <c r="D5375">
        <v>0.94568758724699997</v>
      </c>
      <c r="E5375">
        <v>24</v>
      </c>
    </row>
    <row r="5376" spans="1:5">
      <c r="A5376" t="s">
        <v>6258</v>
      </c>
      <c r="B5376" t="s">
        <v>6268</v>
      </c>
      <c r="C5376">
        <f>0</f>
        <v>0</v>
      </c>
      <c r="D5376">
        <v>0.94568758724699997</v>
      </c>
      <c r="E5376">
        <v>24</v>
      </c>
    </row>
    <row r="5377" spans="1:5">
      <c r="A5377" t="s">
        <v>6269</v>
      </c>
      <c r="B5377" t="s">
        <v>6270</v>
      </c>
      <c r="C5377">
        <v>0.37713414417300001</v>
      </c>
      <c r="D5377">
        <v>0.96511261585100006</v>
      </c>
      <c r="E5377">
        <v>0.503748125937031</v>
      </c>
    </row>
    <row r="5378" spans="1:5">
      <c r="A5378" t="s">
        <v>6269</v>
      </c>
      <c r="B5378" t="s">
        <v>6271</v>
      </c>
      <c r="C5378">
        <v>0</v>
      </c>
      <c r="D5378">
        <v>0.96511261585100006</v>
      </c>
      <c r="E5378">
        <v>0.503748125937031</v>
      </c>
    </row>
    <row r="5379" spans="1:5">
      <c r="A5379" t="s">
        <v>6269</v>
      </c>
      <c r="B5379" t="s">
        <v>6272</v>
      </c>
      <c r="C5379">
        <f>0</f>
        <v>0</v>
      </c>
      <c r="D5379">
        <v>0.96511261585100006</v>
      </c>
      <c r="E5379">
        <v>0.503748125937031</v>
      </c>
    </row>
    <row r="5380" spans="1:5">
      <c r="A5380" t="s">
        <v>6269</v>
      </c>
      <c r="B5380" t="s">
        <v>6273</v>
      </c>
      <c r="C5380">
        <v>0</v>
      </c>
      <c r="D5380">
        <v>0.96511261585100006</v>
      </c>
      <c r="E5380">
        <v>0.503748125937031</v>
      </c>
    </row>
    <row r="5381" spans="1:5">
      <c r="A5381" t="s">
        <v>6269</v>
      </c>
      <c r="B5381" t="s">
        <v>6274</v>
      </c>
      <c r="C5381">
        <f>0</f>
        <v>0</v>
      </c>
      <c r="D5381">
        <v>0.96511261585100006</v>
      </c>
      <c r="E5381">
        <v>0.503748125937031</v>
      </c>
    </row>
    <row r="5382" spans="1:5">
      <c r="A5382" t="s">
        <v>6269</v>
      </c>
      <c r="B5382" t="s">
        <v>6275</v>
      </c>
      <c r="C5382">
        <f>0.237731110713</f>
        <v>0.23773111071299999</v>
      </c>
      <c r="D5382">
        <v>0.96511261585100006</v>
      </c>
      <c r="E5382">
        <v>0.503748125937031</v>
      </c>
    </row>
    <row r="5383" spans="1:5">
      <c r="A5383" t="s">
        <v>6276</v>
      </c>
      <c r="B5383" t="s">
        <v>6277</v>
      </c>
      <c r="C5383">
        <f>0</f>
        <v>0</v>
      </c>
      <c r="D5383">
        <v>0.97668865605499999</v>
      </c>
      <c r="E5383">
        <v>24</v>
      </c>
    </row>
    <row r="5384" spans="1:5">
      <c r="A5384" t="s">
        <v>6276</v>
      </c>
      <c r="B5384" t="s">
        <v>6278</v>
      </c>
      <c r="C5384">
        <f>0</f>
        <v>0</v>
      </c>
      <c r="D5384">
        <v>0.97668865605499999</v>
      </c>
      <c r="E5384">
        <v>24</v>
      </c>
    </row>
    <row r="5385" spans="1:5">
      <c r="A5385" t="s">
        <v>6276</v>
      </c>
      <c r="B5385" t="s">
        <v>6279</v>
      </c>
      <c r="C5385">
        <v>0</v>
      </c>
      <c r="D5385">
        <v>0.97668865605499999</v>
      </c>
      <c r="E5385">
        <v>24</v>
      </c>
    </row>
    <row r="5386" spans="1:5">
      <c r="A5386" t="s">
        <v>6276</v>
      </c>
      <c r="B5386" t="s">
        <v>6280</v>
      </c>
      <c r="C5386">
        <f>0.0981644160093</f>
        <v>9.8164416009299996E-2</v>
      </c>
      <c r="D5386">
        <v>0.97668865605499999</v>
      </c>
      <c r="E5386">
        <v>24</v>
      </c>
    </row>
    <row r="5387" spans="1:5">
      <c r="A5387" t="s">
        <v>6276</v>
      </c>
      <c r="B5387" t="s">
        <v>6281</v>
      </c>
      <c r="C5387">
        <f>0</f>
        <v>0</v>
      </c>
      <c r="D5387">
        <v>0.97668865605499999</v>
      </c>
      <c r="E5387">
        <v>24</v>
      </c>
    </row>
    <row r="5388" spans="1:5">
      <c r="A5388" t="s">
        <v>6276</v>
      </c>
      <c r="B5388" t="s">
        <v>6282</v>
      </c>
      <c r="C5388">
        <v>0</v>
      </c>
      <c r="D5388">
        <v>0.97668865605499999</v>
      </c>
      <c r="E5388">
        <v>24</v>
      </c>
    </row>
    <row r="5389" spans="1:5">
      <c r="A5389" t="s">
        <v>6276</v>
      </c>
      <c r="B5389" t="s">
        <v>6283</v>
      </c>
      <c r="C5389">
        <f>0.0999639688017</f>
        <v>9.9963968801699998E-2</v>
      </c>
      <c r="D5389">
        <v>0.97668865605499999</v>
      </c>
      <c r="E5389">
        <v>24</v>
      </c>
    </row>
    <row r="5390" spans="1:5">
      <c r="A5390" t="s">
        <v>6276</v>
      </c>
      <c r="B5390" t="s">
        <v>6284</v>
      </c>
      <c r="C5390">
        <f>0</f>
        <v>0</v>
      </c>
      <c r="D5390">
        <v>0.97668865605499999</v>
      </c>
      <c r="E5390">
        <v>24</v>
      </c>
    </row>
    <row r="5391" spans="1:5">
      <c r="A5391" t="s">
        <v>6285</v>
      </c>
      <c r="B5391" t="s">
        <v>6286</v>
      </c>
      <c r="C5391">
        <v>0</v>
      </c>
      <c r="D5391">
        <v>0.99685595788699999</v>
      </c>
      <c r="E5391">
        <v>5.8170914542728598</v>
      </c>
    </row>
    <row r="5392" spans="1:5">
      <c r="A5392" t="s">
        <v>6285</v>
      </c>
      <c r="B5392" t="s">
        <v>6287</v>
      </c>
      <c r="C5392">
        <f>0</f>
        <v>0</v>
      </c>
      <c r="D5392">
        <v>0.99685595788699999</v>
      </c>
      <c r="E5392">
        <v>5.8170914542728598</v>
      </c>
    </row>
    <row r="5393" spans="1:5">
      <c r="A5393" t="s">
        <v>6285</v>
      </c>
      <c r="B5393" t="s">
        <v>6288</v>
      </c>
      <c r="C5393">
        <v>6.0910268190100002E-2</v>
      </c>
      <c r="D5393">
        <v>0.99685595788699999</v>
      </c>
      <c r="E5393">
        <v>5.8170914542728598</v>
      </c>
    </row>
    <row r="5394" spans="1:5">
      <c r="A5394" t="s">
        <v>6285</v>
      </c>
      <c r="B5394" t="s">
        <v>6289</v>
      </c>
      <c r="C5394">
        <v>0</v>
      </c>
      <c r="D5394">
        <v>0.99685595788699999</v>
      </c>
      <c r="E5394">
        <v>5.8170914542728598</v>
      </c>
    </row>
    <row r="5395" spans="1:5">
      <c r="A5395" t="s">
        <v>6285</v>
      </c>
      <c r="B5395" t="s">
        <v>6290</v>
      </c>
      <c r="C5395">
        <v>0</v>
      </c>
      <c r="D5395">
        <v>0.99685595788699999</v>
      </c>
      <c r="E5395">
        <v>5.8170914542728598</v>
      </c>
    </row>
    <row r="5396" spans="1:5">
      <c r="A5396" t="s">
        <v>6285</v>
      </c>
      <c r="B5396" t="s">
        <v>6291</v>
      </c>
      <c r="C5396">
        <v>0.87024648500799995</v>
      </c>
      <c r="D5396">
        <v>0.99685595788699999</v>
      </c>
      <c r="E5396">
        <v>5.8170914542728598</v>
      </c>
    </row>
    <row r="5397" spans="1:5">
      <c r="A5397" t="s">
        <v>6285</v>
      </c>
      <c r="B5397" t="s">
        <v>6292</v>
      </c>
      <c r="C5397">
        <v>0</v>
      </c>
      <c r="D5397">
        <v>0.99685595788699999</v>
      </c>
      <c r="E5397">
        <v>5.8170914542728598</v>
      </c>
    </row>
    <row r="5398" spans="1:5">
      <c r="A5398" t="s">
        <v>6285</v>
      </c>
      <c r="B5398" t="s">
        <v>6293</v>
      </c>
      <c r="C5398">
        <f>0</f>
        <v>0</v>
      </c>
      <c r="D5398">
        <v>0.99685595788699999</v>
      </c>
      <c r="E5398">
        <v>5.8170914542728598</v>
      </c>
    </row>
    <row r="5399" spans="1:5">
      <c r="A5399" t="s">
        <v>6294</v>
      </c>
      <c r="B5399" t="s">
        <v>6295</v>
      </c>
      <c r="C5399">
        <v>9.1590467965800004E-2</v>
      </c>
      <c r="D5399">
        <v>0.80547874464900004</v>
      </c>
      <c r="E5399">
        <v>8.7196401799100407</v>
      </c>
    </row>
    <row r="5400" spans="1:5">
      <c r="A5400" t="s">
        <v>6296</v>
      </c>
      <c r="B5400" t="s">
        <v>6297</v>
      </c>
      <c r="C5400">
        <v>0</v>
      </c>
      <c r="D5400">
        <v>0.94909181606199999</v>
      </c>
      <c r="E5400">
        <v>6.5487256371814002</v>
      </c>
    </row>
    <row r="5401" spans="1:5">
      <c r="A5401" t="s">
        <v>6296</v>
      </c>
      <c r="B5401" t="s">
        <v>6298</v>
      </c>
      <c r="C5401">
        <v>0.50685599623599997</v>
      </c>
      <c r="D5401">
        <v>0.94909181606199999</v>
      </c>
      <c r="E5401">
        <v>6.5487256371814002</v>
      </c>
    </row>
    <row r="5402" spans="1:5">
      <c r="A5402" t="s">
        <v>6296</v>
      </c>
      <c r="B5402" t="s">
        <v>6299</v>
      </c>
      <c r="C5402">
        <f>0.0749460699157</f>
        <v>7.4946069915700006E-2</v>
      </c>
      <c r="D5402">
        <v>0.94909181606199999</v>
      </c>
      <c r="E5402">
        <v>6.5487256371814002</v>
      </c>
    </row>
    <row r="5403" spans="1:5">
      <c r="A5403" t="s">
        <v>6300</v>
      </c>
      <c r="B5403" t="s">
        <v>6301</v>
      </c>
      <c r="C5403">
        <v>0</v>
      </c>
      <c r="D5403">
        <v>0.93022727526799998</v>
      </c>
      <c r="E5403">
        <v>2.6386806596701602</v>
      </c>
    </row>
    <row r="5404" spans="1:5">
      <c r="A5404" t="s">
        <v>6300</v>
      </c>
      <c r="B5404" t="s">
        <v>6302</v>
      </c>
      <c r="C5404">
        <f>0</f>
        <v>0</v>
      </c>
      <c r="D5404">
        <v>0.93022727526799998</v>
      </c>
      <c r="E5404">
        <v>2.6386806596701602</v>
      </c>
    </row>
    <row r="5405" spans="1:5">
      <c r="A5405" t="s">
        <v>6300</v>
      </c>
      <c r="B5405" t="s">
        <v>6303</v>
      </c>
      <c r="C5405">
        <f>0</f>
        <v>0</v>
      </c>
      <c r="D5405">
        <v>0.93022727526799998</v>
      </c>
      <c r="E5405">
        <v>2.6386806596701602</v>
      </c>
    </row>
    <row r="5406" spans="1:5">
      <c r="A5406" t="s">
        <v>6300</v>
      </c>
      <c r="B5406" t="s">
        <v>6304</v>
      </c>
      <c r="C5406">
        <v>0</v>
      </c>
      <c r="D5406">
        <v>0.93022727526799998</v>
      </c>
      <c r="E5406">
        <v>2.6386806596701602</v>
      </c>
    </row>
    <row r="5407" spans="1:5">
      <c r="A5407" t="s">
        <v>6300</v>
      </c>
      <c r="B5407" t="s">
        <v>6305</v>
      </c>
      <c r="C5407">
        <v>0</v>
      </c>
      <c r="D5407">
        <v>0.93022727526799998</v>
      </c>
      <c r="E5407">
        <v>2.6386806596701602</v>
      </c>
    </row>
    <row r="5408" spans="1:5">
      <c r="A5408" t="s">
        <v>6300</v>
      </c>
      <c r="B5408" t="s">
        <v>6306</v>
      </c>
      <c r="C5408">
        <v>0</v>
      </c>
      <c r="D5408">
        <v>0.93022727526799998</v>
      </c>
      <c r="E5408">
        <v>2.6386806596701602</v>
      </c>
    </row>
    <row r="5409" spans="1:5">
      <c r="A5409" t="s">
        <v>6300</v>
      </c>
      <c r="B5409" t="s">
        <v>6307</v>
      </c>
      <c r="C5409">
        <f>0</f>
        <v>0</v>
      </c>
      <c r="D5409">
        <v>0.93022727526799998</v>
      </c>
      <c r="E5409">
        <v>2.6386806596701602</v>
      </c>
    </row>
    <row r="5410" spans="1:5">
      <c r="A5410" t="s">
        <v>6300</v>
      </c>
      <c r="B5410" t="s">
        <v>6308</v>
      </c>
      <c r="C5410">
        <v>0</v>
      </c>
      <c r="D5410">
        <v>0.93022727526799998</v>
      </c>
      <c r="E5410">
        <v>2.6386806596701602</v>
      </c>
    </row>
    <row r="5411" spans="1:5">
      <c r="A5411" t="s">
        <v>6300</v>
      </c>
      <c r="B5411" t="s">
        <v>6309</v>
      </c>
      <c r="C5411">
        <v>0</v>
      </c>
      <c r="D5411">
        <v>0.93022727526799998</v>
      </c>
      <c r="E5411">
        <v>2.6386806596701602</v>
      </c>
    </row>
    <row r="5412" spans="1:5">
      <c r="A5412" t="s">
        <v>6300</v>
      </c>
      <c r="B5412" t="s">
        <v>6310</v>
      </c>
      <c r="C5412">
        <v>0</v>
      </c>
      <c r="D5412">
        <v>0.93022727526799998</v>
      </c>
      <c r="E5412">
        <v>2.6386806596701602</v>
      </c>
    </row>
    <row r="5413" spans="1:5">
      <c r="A5413" t="s">
        <v>6300</v>
      </c>
      <c r="B5413" t="s">
        <v>6311</v>
      </c>
      <c r="C5413">
        <v>0</v>
      </c>
      <c r="D5413">
        <v>0.93022727526799998</v>
      </c>
      <c r="E5413">
        <v>2.6386806596701602</v>
      </c>
    </row>
    <row r="5414" spans="1:5">
      <c r="A5414" t="s">
        <v>6300</v>
      </c>
      <c r="B5414" t="s">
        <v>6312</v>
      </c>
      <c r="C5414">
        <f>0</f>
        <v>0</v>
      </c>
      <c r="D5414">
        <v>0.93022727526799998</v>
      </c>
      <c r="E5414">
        <v>2.6386806596701602</v>
      </c>
    </row>
    <row r="5415" spans="1:5">
      <c r="A5415" t="s">
        <v>6300</v>
      </c>
      <c r="B5415" t="s">
        <v>6313</v>
      </c>
      <c r="C5415">
        <v>0</v>
      </c>
      <c r="D5415">
        <v>0.93022727526799998</v>
      </c>
      <c r="E5415">
        <v>2.6386806596701602</v>
      </c>
    </row>
    <row r="5416" spans="1:5">
      <c r="A5416" t="s">
        <v>6314</v>
      </c>
      <c r="B5416" t="s">
        <v>6315</v>
      </c>
      <c r="C5416">
        <v>0</v>
      </c>
      <c r="D5416">
        <v>0.50291748267199998</v>
      </c>
      <c r="E5416">
        <v>12.5577211394302</v>
      </c>
    </row>
    <row r="5417" spans="1:5">
      <c r="A5417" t="s">
        <v>6314</v>
      </c>
      <c r="B5417" t="s">
        <v>6316</v>
      </c>
      <c r="C5417">
        <v>8.6289446290900001E-3</v>
      </c>
      <c r="D5417">
        <v>0.50291748267199998</v>
      </c>
      <c r="E5417">
        <v>12.5577211394302</v>
      </c>
    </row>
    <row r="5418" spans="1:5">
      <c r="A5418" t="s">
        <v>6317</v>
      </c>
      <c r="B5418" t="s">
        <v>6318</v>
      </c>
      <c r="C5418">
        <f>0</f>
        <v>0</v>
      </c>
      <c r="D5418" t="s">
        <v>106</v>
      </c>
      <c r="E5418">
        <v>22.800599700149899</v>
      </c>
    </row>
    <row r="5419" spans="1:5">
      <c r="A5419" t="s">
        <v>6317</v>
      </c>
      <c r="B5419" t="s">
        <v>6319</v>
      </c>
      <c r="C5419">
        <v>0</v>
      </c>
      <c r="D5419" t="s">
        <v>106</v>
      </c>
      <c r="E5419">
        <v>22.800599700149899</v>
      </c>
    </row>
    <row r="5420" spans="1:5">
      <c r="A5420" t="s">
        <v>6317</v>
      </c>
      <c r="B5420" t="s">
        <v>6320</v>
      </c>
      <c r="C5420">
        <v>0</v>
      </c>
      <c r="D5420" t="s">
        <v>106</v>
      </c>
      <c r="E5420">
        <v>22.800599700149899</v>
      </c>
    </row>
    <row r="5421" spans="1:5">
      <c r="A5421" t="s">
        <v>6317</v>
      </c>
      <c r="B5421" t="s">
        <v>6321</v>
      </c>
      <c r="C5421">
        <v>0</v>
      </c>
      <c r="D5421" t="s">
        <v>106</v>
      </c>
      <c r="E5421">
        <v>22.800599700149899</v>
      </c>
    </row>
    <row r="5422" spans="1:5">
      <c r="A5422" t="s">
        <v>6317</v>
      </c>
      <c r="B5422" t="s">
        <v>6322</v>
      </c>
      <c r="C5422">
        <f>0</f>
        <v>0</v>
      </c>
      <c r="D5422" t="s">
        <v>106</v>
      </c>
      <c r="E5422">
        <v>22.800599700149899</v>
      </c>
    </row>
    <row r="5423" spans="1:5">
      <c r="A5423" t="s">
        <v>6317</v>
      </c>
      <c r="B5423" t="s">
        <v>6323</v>
      </c>
      <c r="C5423">
        <f>0</f>
        <v>0</v>
      </c>
      <c r="D5423" t="s">
        <v>106</v>
      </c>
      <c r="E5423">
        <v>22.800599700149899</v>
      </c>
    </row>
    <row r="5424" spans="1:5">
      <c r="A5424" t="s">
        <v>6317</v>
      </c>
      <c r="B5424" t="s">
        <v>6324</v>
      </c>
      <c r="C5424">
        <v>0</v>
      </c>
      <c r="D5424" t="s">
        <v>106</v>
      </c>
      <c r="E5424">
        <v>22.800599700149899</v>
      </c>
    </row>
    <row r="5425" spans="1:5">
      <c r="A5425" t="s">
        <v>6317</v>
      </c>
      <c r="B5425" t="s">
        <v>6325</v>
      </c>
      <c r="C5425">
        <v>0</v>
      </c>
      <c r="D5425" t="s">
        <v>106</v>
      </c>
      <c r="E5425">
        <v>22.800599700149899</v>
      </c>
    </row>
    <row r="5426" spans="1:5">
      <c r="A5426" t="s">
        <v>6326</v>
      </c>
      <c r="B5426" t="s">
        <v>6327</v>
      </c>
      <c r="C5426">
        <v>0</v>
      </c>
      <c r="D5426" t="s">
        <v>106</v>
      </c>
      <c r="E5426">
        <v>3.8740629685157399</v>
      </c>
    </row>
    <row r="5427" spans="1:5">
      <c r="A5427" t="s">
        <v>6326</v>
      </c>
      <c r="B5427" t="s">
        <v>6328</v>
      </c>
      <c r="C5427">
        <v>0.12037167104300001</v>
      </c>
      <c r="D5427" t="s">
        <v>106</v>
      </c>
      <c r="E5427">
        <v>3.8740629685157399</v>
      </c>
    </row>
    <row r="5428" spans="1:5">
      <c r="A5428" t="s">
        <v>6326</v>
      </c>
      <c r="B5428" t="s">
        <v>6329</v>
      </c>
      <c r="C5428">
        <v>0</v>
      </c>
      <c r="D5428" t="s">
        <v>106</v>
      </c>
      <c r="E5428">
        <v>3.8740629685157399</v>
      </c>
    </row>
    <row r="5429" spans="1:5">
      <c r="A5429" t="s">
        <v>6326</v>
      </c>
      <c r="B5429" t="s">
        <v>6330</v>
      </c>
      <c r="C5429">
        <f>0.295677375371</f>
        <v>0.29567737537099997</v>
      </c>
      <c r="D5429" t="s">
        <v>106</v>
      </c>
      <c r="E5429">
        <v>3.8740629685157399</v>
      </c>
    </row>
    <row r="5430" spans="1:5">
      <c r="A5430" t="s">
        <v>6326</v>
      </c>
      <c r="B5430" t="s">
        <v>6331</v>
      </c>
      <c r="C5430">
        <v>0</v>
      </c>
      <c r="D5430" t="s">
        <v>106</v>
      </c>
      <c r="E5430">
        <v>3.8740629685157399</v>
      </c>
    </row>
    <row r="5431" spans="1:5">
      <c r="A5431" t="s">
        <v>6326</v>
      </c>
      <c r="B5431" t="s">
        <v>6332</v>
      </c>
      <c r="C5431">
        <f>0</f>
        <v>0</v>
      </c>
      <c r="D5431" t="s">
        <v>106</v>
      </c>
      <c r="E5431">
        <v>3.8740629685157399</v>
      </c>
    </row>
    <row r="5432" spans="1:5">
      <c r="A5432" t="s">
        <v>6326</v>
      </c>
      <c r="B5432" t="s">
        <v>6333</v>
      </c>
      <c r="C5432">
        <v>0</v>
      </c>
      <c r="D5432" t="s">
        <v>106</v>
      </c>
      <c r="E5432">
        <v>3.8740629685157399</v>
      </c>
    </row>
    <row r="5433" spans="1:5">
      <c r="A5433" t="s">
        <v>6326</v>
      </c>
      <c r="B5433" t="s">
        <v>6334</v>
      </c>
      <c r="C5433">
        <v>0</v>
      </c>
      <c r="D5433" t="s">
        <v>106</v>
      </c>
      <c r="E5433">
        <v>3.8740629685157399</v>
      </c>
    </row>
    <row r="5434" spans="1:5">
      <c r="A5434" t="s">
        <v>6326</v>
      </c>
      <c r="B5434" t="s">
        <v>6335</v>
      </c>
      <c r="C5434">
        <v>0</v>
      </c>
      <c r="D5434" t="s">
        <v>106</v>
      </c>
      <c r="E5434">
        <v>3.8740629685157399</v>
      </c>
    </row>
    <row r="5435" spans="1:5">
      <c r="A5435" t="s">
        <v>6336</v>
      </c>
      <c r="B5435" t="s">
        <v>6337</v>
      </c>
      <c r="C5435">
        <v>0</v>
      </c>
      <c r="D5435" t="s">
        <v>106</v>
      </c>
      <c r="E5435">
        <v>3.2263868065966999</v>
      </c>
    </row>
    <row r="5436" spans="1:5">
      <c r="A5436" t="s">
        <v>6336</v>
      </c>
      <c r="B5436" t="s">
        <v>6338</v>
      </c>
      <c r="C5436">
        <v>0</v>
      </c>
      <c r="D5436" t="s">
        <v>106</v>
      </c>
      <c r="E5436">
        <v>3.2263868065966999</v>
      </c>
    </row>
    <row r="5437" spans="1:5">
      <c r="A5437" t="s">
        <v>6336</v>
      </c>
      <c r="B5437" t="s">
        <v>6339</v>
      </c>
      <c r="C5437">
        <v>0</v>
      </c>
      <c r="D5437" t="s">
        <v>106</v>
      </c>
      <c r="E5437">
        <v>3.2263868065966999</v>
      </c>
    </row>
    <row r="5438" spans="1:5">
      <c r="A5438" t="s">
        <v>6336</v>
      </c>
      <c r="B5438" t="s">
        <v>6340</v>
      </c>
      <c r="C5438">
        <v>0.15667131008999999</v>
      </c>
      <c r="D5438" t="s">
        <v>106</v>
      </c>
      <c r="E5438">
        <v>3.2263868065966999</v>
      </c>
    </row>
    <row r="5439" spans="1:5">
      <c r="A5439" t="s">
        <v>6336</v>
      </c>
      <c r="B5439" t="s">
        <v>6341</v>
      </c>
      <c r="C5439">
        <v>0</v>
      </c>
      <c r="D5439" t="s">
        <v>106</v>
      </c>
      <c r="E5439">
        <v>3.2263868065966999</v>
      </c>
    </row>
    <row r="5440" spans="1:5">
      <c r="A5440" t="s">
        <v>6336</v>
      </c>
      <c r="B5440" t="s">
        <v>6342</v>
      </c>
      <c r="C5440">
        <v>0</v>
      </c>
      <c r="D5440" t="s">
        <v>106</v>
      </c>
      <c r="E5440">
        <v>3.2263868065966999</v>
      </c>
    </row>
    <row r="5441" spans="1:5">
      <c r="A5441" t="s">
        <v>6336</v>
      </c>
      <c r="B5441" t="s">
        <v>6343</v>
      </c>
      <c r="C5441">
        <v>0</v>
      </c>
      <c r="D5441" t="s">
        <v>106</v>
      </c>
      <c r="E5441">
        <v>3.2263868065966999</v>
      </c>
    </row>
    <row r="5442" spans="1:5">
      <c r="A5442" t="s">
        <v>6336</v>
      </c>
      <c r="B5442" t="s">
        <v>6344</v>
      </c>
      <c r="C5442">
        <v>0.116103307367</v>
      </c>
      <c r="D5442" t="s">
        <v>106</v>
      </c>
      <c r="E5442">
        <v>3.2263868065966999</v>
      </c>
    </row>
    <row r="5443" spans="1:5">
      <c r="A5443" t="s">
        <v>6336</v>
      </c>
      <c r="B5443" t="s">
        <v>6345</v>
      </c>
      <c r="C5443">
        <f>0</f>
        <v>0</v>
      </c>
      <c r="D5443" t="s">
        <v>106</v>
      </c>
      <c r="E5443">
        <v>3.2263868065966999</v>
      </c>
    </row>
    <row r="5444" spans="1:5">
      <c r="A5444" t="s">
        <v>6346</v>
      </c>
      <c r="B5444" t="s">
        <v>6347</v>
      </c>
      <c r="C5444">
        <v>0</v>
      </c>
      <c r="D5444">
        <v>0.90666717862500001</v>
      </c>
      <c r="E5444">
        <v>23.508245877061398</v>
      </c>
    </row>
    <row r="5445" spans="1:5">
      <c r="A5445" t="s">
        <v>6346</v>
      </c>
      <c r="B5445" t="s">
        <v>6348</v>
      </c>
      <c r="C5445">
        <v>5.1239234962400003E-3</v>
      </c>
      <c r="D5445">
        <v>0.90666717862500001</v>
      </c>
      <c r="E5445">
        <v>23.508245877061398</v>
      </c>
    </row>
    <row r="5446" spans="1:5">
      <c r="A5446" t="s">
        <v>6346</v>
      </c>
      <c r="B5446" t="s">
        <v>6349</v>
      </c>
      <c r="C5446">
        <v>0</v>
      </c>
      <c r="D5446">
        <v>0.90666717862500001</v>
      </c>
      <c r="E5446">
        <v>23.508245877061398</v>
      </c>
    </row>
    <row r="5447" spans="1:5">
      <c r="A5447" t="s">
        <v>6346</v>
      </c>
      <c r="B5447" t="s">
        <v>6350</v>
      </c>
      <c r="C5447">
        <v>0</v>
      </c>
      <c r="D5447">
        <v>0.90666717862500001</v>
      </c>
      <c r="E5447">
        <v>23.508245877061398</v>
      </c>
    </row>
    <row r="5448" spans="1:5">
      <c r="A5448" t="s">
        <v>6346</v>
      </c>
      <c r="B5448" t="s">
        <v>6351</v>
      </c>
      <c r="C5448">
        <v>0</v>
      </c>
      <c r="D5448">
        <v>0.90666717862500001</v>
      </c>
      <c r="E5448">
        <v>23.508245877061398</v>
      </c>
    </row>
    <row r="5449" spans="1:5">
      <c r="A5449" t="s">
        <v>6346</v>
      </c>
      <c r="B5449" t="s">
        <v>6352</v>
      </c>
      <c r="C5449">
        <v>0</v>
      </c>
      <c r="D5449">
        <v>0.90666717862500001</v>
      </c>
      <c r="E5449">
        <v>23.508245877061398</v>
      </c>
    </row>
    <row r="5450" spans="1:5">
      <c r="A5450" t="s">
        <v>6346</v>
      </c>
      <c r="B5450" t="s">
        <v>6353</v>
      </c>
      <c r="C5450">
        <v>2.5789114921899999E-2</v>
      </c>
      <c r="D5450">
        <v>0.90666717862500001</v>
      </c>
      <c r="E5450">
        <v>23.508245877061398</v>
      </c>
    </row>
    <row r="5451" spans="1:5">
      <c r="A5451" t="s">
        <v>6354</v>
      </c>
      <c r="B5451" t="s">
        <v>6355</v>
      </c>
      <c r="C5451">
        <f>0</f>
        <v>0</v>
      </c>
      <c r="D5451">
        <v>0.99530140084999996</v>
      </c>
      <c r="E5451">
        <v>5.4692653673163401</v>
      </c>
    </row>
    <row r="5452" spans="1:5">
      <c r="A5452" t="s">
        <v>6354</v>
      </c>
      <c r="B5452" t="s">
        <v>6356</v>
      </c>
      <c r="C5452">
        <v>0</v>
      </c>
      <c r="D5452">
        <v>0.99530140084999996</v>
      </c>
      <c r="E5452">
        <v>5.4692653673163401</v>
      </c>
    </row>
    <row r="5453" spans="1:5">
      <c r="A5453" t="s">
        <v>6354</v>
      </c>
      <c r="B5453" t="s">
        <v>6357</v>
      </c>
      <c r="C5453">
        <f>0</f>
        <v>0</v>
      </c>
      <c r="D5453">
        <v>0.99530140084999996</v>
      </c>
      <c r="E5453">
        <v>5.4692653673163401</v>
      </c>
    </row>
    <row r="5454" spans="1:5">
      <c r="A5454" t="s">
        <v>6354</v>
      </c>
      <c r="B5454" t="s">
        <v>6358</v>
      </c>
      <c r="C5454">
        <f>0</f>
        <v>0</v>
      </c>
      <c r="D5454">
        <v>0.99530140084999996</v>
      </c>
      <c r="E5454">
        <v>5.4692653673163401</v>
      </c>
    </row>
    <row r="5455" spans="1:5">
      <c r="A5455" t="s">
        <v>6354</v>
      </c>
      <c r="B5455" t="s">
        <v>6359</v>
      </c>
      <c r="C5455">
        <f>0</f>
        <v>0</v>
      </c>
      <c r="D5455">
        <v>0.99530140084999996</v>
      </c>
      <c r="E5455">
        <v>5.4692653673163401</v>
      </c>
    </row>
    <row r="5456" spans="1:5">
      <c r="A5456" t="s">
        <v>6360</v>
      </c>
      <c r="B5456" t="s">
        <v>6361</v>
      </c>
      <c r="C5456">
        <f>0</f>
        <v>0</v>
      </c>
      <c r="D5456">
        <v>0.96939965008899998</v>
      </c>
      <c r="E5456">
        <v>14.5487256371814</v>
      </c>
    </row>
    <row r="5457" spans="1:5">
      <c r="A5457" t="s">
        <v>6360</v>
      </c>
      <c r="B5457" t="s">
        <v>6362</v>
      </c>
      <c r="C5457">
        <v>4.1699872285800001E-2</v>
      </c>
      <c r="D5457">
        <v>0.96939965008899998</v>
      </c>
      <c r="E5457">
        <v>14.5487256371814</v>
      </c>
    </row>
    <row r="5458" spans="1:5">
      <c r="A5458" t="s">
        <v>6360</v>
      </c>
      <c r="B5458" t="s">
        <v>6363</v>
      </c>
      <c r="C5458">
        <v>0</v>
      </c>
      <c r="D5458">
        <v>0.96939965008899998</v>
      </c>
      <c r="E5458">
        <v>14.5487256371814</v>
      </c>
    </row>
    <row r="5459" spans="1:5">
      <c r="A5459" t="s">
        <v>6360</v>
      </c>
      <c r="B5459" t="s">
        <v>6364</v>
      </c>
      <c r="C5459">
        <v>0</v>
      </c>
      <c r="D5459">
        <v>0.96939965008899998</v>
      </c>
      <c r="E5459">
        <v>14.5487256371814</v>
      </c>
    </row>
    <row r="5460" spans="1:5">
      <c r="A5460" t="s">
        <v>6360</v>
      </c>
      <c r="B5460" t="s">
        <v>6365</v>
      </c>
      <c r="C5460">
        <v>7.4886952686799999E-2</v>
      </c>
      <c r="D5460">
        <v>0.96939965008899998</v>
      </c>
      <c r="E5460">
        <v>14.5487256371814</v>
      </c>
    </row>
    <row r="5461" spans="1:5">
      <c r="A5461" t="s">
        <v>6360</v>
      </c>
      <c r="B5461" t="s">
        <v>6366</v>
      </c>
      <c r="C5461">
        <v>0</v>
      </c>
      <c r="D5461">
        <v>0.96939965008899998</v>
      </c>
      <c r="E5461">
        <v>14.5487256371814</v>
      </c>
    </row>
    <row r="5462" spans="1:5">
      <c r="A5462" t="s">
        <v>6360</v>
      </c>
      <c r="B5462" t="s">
        <v>6367</v>
      </c>
      <c r="C5462">
        <v>0</v>
      </c>
      <c r="D5462">
        <v>0.96939965008899998</v>
      </c>
      <c r="E5462">
        <v>14.5487256371814</v>
      </c>
    </row>
    <row r="5463" spans="1:5">
      <c r="A5463" t="s">
        <v>6360</v>
      </c>
      <c r="B5463" t="s">
        <v>6368</v>
      </c>
      <c r="C5463">
        <f>0</f>
        <v>0</v>
      </c>
      <c r="D5463">
        <v>0.96939965008899998</v>
      </c>
      <c r="E5463">
        <v>14.5487256371814</v>
      </c>
    </row>
    <row r="5464" spans="1:5">
      <c r="A5464" t="s">
        <v>6360</v>
      </c>
      <c r="B5464" t="s">
        <v>6369</v>
      </c>
      <c r="C5464">
        <f>0</f>
        <v>0</v>
      </c>
      <c r="D5464">
        <v>0.96939965008899998</v>
      </c>
      <c r="E5464">
        <v>14.5487256371814</v>
      </c>
    </row>
    <row r="5465" spans="1:5">
      <c r="A5465" t="s">
        <v>6360</v>
      </c>
      <c r="B5465" t="s">
        <v>6370</v>
      </c>
      <c r="C5465">
        <v>0</v>
      </c>
      <c r="D5465">
        <v>0.96939965008899998</v>
      </c>
      <c r="E5465">
        <v>14.5487256371814</v>
      </c>
    </row>
    <row r="5466" spans="1:5">
      <c r="A5466" t="s">
        <v>6360</v>
      </c>
      <c r="B5466" t="s">
        <v>6371</v>
      </c>
      <c r="C5466">
        <v>0</v>
      </c>
      <c r="D5466">
        <v>0.96939965008899998</v>
      </c>
      <c r="E5466">
        <v>14.5487256371814</v>
      </c>
    </row>
    <row r="5467" spans="1:5">
      <c r="A5467" t="s">
        <v>6360</v>
      </c>
      <c r="B5467" t="s">
        <v>6372</v>
      </c>
      <c r="C5467">
        <v>0</v>
      </c>
      <c r="D5467">
        <v>0.96939965008899998</v>
      </c>
      <c r="E5467">
        <v>14.5487256371814</v>
      </c>
    </row>
    <row r="5468" spans="1:5">
      <c r="A5468" t="s">
        <v>6373</v>
      </c>
      <c r="B5468" t="s">
        <v>6374</v>
      </c>
      <c r="C5468">
        <v>0.15727063627000001</v>
      </c>
      <c r="D5468">
        <v>0.81339053212900003</v>
      </c>
      <c r="E5468">
        <v>11.7061469265367</v>
      </c>
    </row>
    <row r="5469" spans="1:5">
      <c r="A5469" t="s">
        <v>6375</v>
      </c>
      <c r="B5469" t="s">
        <v>6376</v>
      </c>
      <c r="C5469">
        <f>0</f>
        <v>0</v>
      </c>
      <c r="D5469">
        <v>0.95786725370299997</v>
      </c>
      <c r="E5469">
        <v>5.9370314842578704</v>
      </c>
    </row>
    <row r="5470" spans="1:5">
      <c r="A5470" t="s">
        <v>6377</v>
      </c>
      <c r="B5470" t="s">
        <v>6378</v>
      </c>
      <c r="C5470">
        <f>0</f>
        <v>0</v>
      </c>
      <c r="D5470">
        <v>0.58752640040399995</v>
      </c>
      <c r="E5470">
        <v>5.0134932533733103</v>
      </c>
    </row>
    <row r="5471" spans="1:5">
      <c r="A5471" t="s">
        <v>6377</v>
      </c>
      <c r="B5471" t="s">
        <v>6379</v>
      </c>
      <c r="C5471">
        <v>0</v>
      </c>
      <c r="D5471">
        <v>0.58752640040399995</v>
      </c>
      <c r="E5471">
        <v>5.0134932533733103</v>
      </c>
    </row>
    <row r="5472" spans="1:5">
      <c r="A5472" t="s">
        <v>6377</v>
      </c>
      <c r="B5472" t="s">
        <v>6380</v>
      </c>
      <c r="C5472">
        <f>0</f>
        <v>0</v>
      </c>
      <c r="D5472">
        <v>0.58752640040399995</v>
      </c>
      <c r="E5472">
        <v>5.0134932533733103</v>
      </c>
    </row>
    <row r="5473" spans="1:5">
      <c r="A5473" t="s">
        <v>6377</v>
      </c>
      <c r="B5473" t="s">
        <v>6381</v>
      </c>
      <c r="C5473">
        <f>0</f>
        <v>0</v>
      </c>
      <c r="D5473">
        <v>0.58752640040399995</v>
      </c>
      <c r="E5473">
        <v>5.0134932533733103</v>
      </c>
    </row>
    <row r="5474" spans="1:5">
      <c r="A5474" t="s">
        <v>6377</v>
      </c>
      <c r="B5474" t="s">
        <v>6382</v>
      </c>
      <c r="C5474">
        <f>0</f>
        <v>0</v>
      </c>
      <c r="D5474">
        <v>0.58752640040399995</v>
      </c>
      <c r="E5474">
        <v>5.0134932533733103</v>
      </c>
    </row>
    <row r="5475" spans="1:5">
      <c r="A5475" t="s">
        <v>6383</v>
      </c>
      <c r="B5475" t="s">
        <v>6384</v>
      </c>
      <c r="C5475">
        <f>0.0543174551641</f>
        <v>5.4317455164099998E-2</v>
      </c>
      <c r="D5475">
        <v>0.88457896586200002</v>
      </c>
      <c r="E5475">
        <v>13.445277361319301</v>
      </c>
    </row>
    <row r="5476" spans="1:5">
      <c r="A5476" t="s">
        <v>6383</v>
      </c>
      <c r="B5476" t="s">
        <v>6385</v>
      </c>
      <c r="C5476">
        <f>0.352225464296</f>
        <v>0.35222546429599999</v>
      </c>
      <c r="D5476">
        <v>0.88457896586200002</v>
      </c>
      <c r="E5476">
        <v>13.445277361319301</v>
      </c>
    </row>
    <row r="5477" spans="1:5">
      <c r="A5477" t="s">
        <v>6386</v>
      </c>
      <c r="B5477" t="s">
        <v>6387</v>
      </c>
      <c r="C5477">
        <f>0</f>
        <v>0</v>
      </c>
      <c r="D5477">
        <v>0.97724349512599995</v>
      </c>
      <c r="E5477">
        <v>5.2413793103448203</v>
      </c>
    </row>
    <row r="5478" spans="1:5">
      <c r="A5478" t="s">
        <v>6386</v>
      </c>
      <c r="B5478" t="s">
        <v>6388</v>
      </c>
      <c r="C5478">
        <f>0</f>
        <v>0</v>
      </c>
      <c r="D5478">
        <v>0.97724349512599995</v>
      </c>
      <c r="E5478">
        <v>5.2413793103448203</v>
      </c>
    </row>
    <row r="5479" spans="1:5">
      <c r="A5479" t="s">
        <v>6386</v>
      </c>
      <c r="B5479" t="s">
        <v>6389</v>
      </c>
      <c r="C5479">
        <f>0</f>
        <v>0</v>
      </c>
      <c r="D5479">
        <v>0.97724349512599995</v>
      </c>
      <c r="E5479">
        <v>5.2413793103448203</v>
      </c>
    </row>
    <row r="5480" spans="1:5">
      <c r="A5480" t="s">
        <v>6386</v>
      </c>
      <c r="B5480" t="s">
        <v>6390</v>
      </c>
      <c r="C5480">
        <f>0.0838427840984</f>
        <v>8.38427840984E-2</v>
      </c>
      <c r="D5480">
        <v>0.97724349512599995</v>
      </c>
      <c r="E5480">
        <v>5.2413793103448203</v>
      </c>
    </row>
    <row r="5481" spans="1:5">
      <c r="A5481" t="s">
        <v>6386</v>
      </c>
      <c r="B5481" t="s">
        <v>6391</v>
      </c>
      <c r="C5481">
        <v>0</v>
      </c>
      <c r="D5481">
        <v>0.97724349512599995</v>
      </c>
      <c r="E5481">
        <v>5.2413793103448203</v>
      </c>
    </row>
    <row r="5482" spans="1:5">
      <c r="A5482" t="s">
        <v>6386</v>
      </c>
      <c r="B5482" t="s">
        <v>6392</v>
      </c>
      <c r="C5482">
        <f>0</f>
        <v>0</v>
      </c>
      <c r="D5482">
        <v>0.97724349512599995</v>
      </c>
      <c r="E5482">
        <v>5.2413793103448203</v>
      </c>
    </row>
    <row r="5483" spans="1:5">
      <c r="A5483" t="s">
        <v>6386</v>
      </c>
      <c r="B5483" t="s">
        <v>6393</v>
      </c>
      <c r="C5483">
        <f>0</f>
        <v>0</v>
      </c>
      <c r="D5483">
        <v>0.97724349512599995</v>
      </c>
      <c r="E5483">
        <v>5.2413793103448203</v>
      </c>
    </row>
    <row r="5484" spans="1:5">
      <c r="A5484" t="s">
        <v>6386</v>
      </c>
      <c r="B5484" t="s">
        <v>6394</v>
      </c>
      <c r="C5484">
        <v>0</v>
      </c>
      <c r="D5484">
        <v>0.97724349512599995</v>
      </c>
      <c r="E5484">
        <v>5.2413793103448203</v>
      </c>
    </row>
    <row r="5485" spans="1:5">
      <c r="A5485" t="s">
        <v>6386</v>
      </c>
      <c r="B5485" t="s">
        <v>6395</v>
      </c>
      <c r="C5485">
        <f>0</f>
        <v>0</v>
      </c>
      <c r="D5485">
        <v>0.97724349512599995</v>
      </c>
      <c r="E5485">
        <v>5.2413793103448203</v>
      </c>
    </row>
    <row r="5486" spans="1:5">
      <c r="A5486" t="s">
        <v>6386</v>
      </c>
      <c r="B5486" t="s">
        <v>6396</v>
      </c>
      <c r="C5486">
        <f>0</f>
        <v>0</v>
      </c>
      <c r="D5486">
        <v>0.97724349512599995</v>
      </c>
      <c r="E5486">
        <v>5.2413793103448203</v>
      </c>
    </row>
    <row r="5487" spans="1:5">
      <c r="A5487" t="s">
        <v>6386</v>
      </c>
      <c r="B5487" t="s">
        <v>6397</v>
      </c>
      <c r="C5487">
        <f>0</f>
        <v>0</v>
      </c>
      <c r="D5487">
        <v>0.97724349512599995</v>
      </c>
      <c r="E5487">
        <v>5.2413793103448203</v>
      </c>
    </row>
    <row r="5488" spans="1:5">
      <c r="A5488" t="s">
        <v>6386</v>
      </c>
      <c r="B5488" t="s">
        <v>6398</v>
      </c>
      <c r="C5488">
        <f>0.0476607370425</f>
        <v>4.7660737042499998E-2</v>
      </c>
      <c r="D5488">
        <v>0.97724349512599995</v>
      </c>
      <c r="E5488">
        <v>5.2413793103448203</v>
      </c>
    </row>
    <row r="5489" spans="1:5">
      <c r="A5489" t="s">
        <v>6386</v>
      </c>
      <c r="B5489" t="s">
        <v>6399</v>
      </c>
      <c r="C5489">
        <f>0</f>
        <v>0</v>
      </c>
      <c r="D5489">
        <v>0.97724349512599995</v>
      </c>
      <c r="E5489">
        <v>5.2413793103448203</v>
      </c>
    </row>
    <row r="5490" spans="1:5">
      <c r="A5490" t="s">
        <v>6400</v>
      </c>
      <c r="B5490" t="s">
        <v>6401</v>
      </c>
      <c r="C5490">
        <v>0</v>
      </c>
      <c r="D5490" t="s">
        <v>106</v>
      </c>
      <c r="E5490">
        <v>13.625187406296799</v>
      </c>
    </row>
    <row r="5491" spans="1:5">
      <c r="A5491" t="s">
        <v>6400</v>
      </c>
      <c r="B5491" t="s">
        <v>6402</v>
      </c>
      <c r="C5491">
        <f>0</f>
        <v>0</v>
      </c>
      <c r="D5491" t="s">
        <v>106</v>
      </c>
      <c r="E5491">
        <v>13.625187406296799</v>
      </c>
    </row>
    <row r="5492" spans="1:5">
      <c r="A5492" t="s">
        <v>6400</v>
      </c>
      <c r="B5492" t="s">
        <v>6403</v>
      </c>
      <c r="C5492">
        <v>0</v>
      </c>
      <c r="D5492" t="s">
        <v>106</v>
      </c>
      <c r="E5492">
        <v>13.625187406296799</v>
      </c>
    </row>
    <row r="5493" spans="1:5">
      <c r="A5493" t="s">
        <v>6404</v>
      </c>
      <c r="B5493" t="s">
        <v>6405</v>
      </c>
      <c r="C5493">
        <f>0</f>
        <v>0</v>
      </c>
      <c r="D5493">
        <v>0.66965943970300001</v>
      </c>
      <c r="E5493">
        <v>19.4182908545727</v>
      </c>
    </row>
    <row r="5494" spans="1:5">
      <c r="A5494" t="s">
        <v>6404</v>
      </c>
      <c r="B5494" t="s">
        <v>6406</v>
      </c>
      <c r="C5494">
        <v>0</v>
      </c>
      <c r="D5494">
        <v>0.66965943970300001</v>
      </c>
      <c r="E5494">
        <v>19.4182908545727</v>
      </c>
    </row>
    <row r="5495" spans="1:5">
      <c r="A5495" t="s">
        <v>6407</v>
      </c>
      <c r="B5495" t="s">
        <v>6408</v>
      </c>
      <c r="C5495">
        <f>0</f>
        <v>0</v>
      </c>
      <c r="D5495" t="s">
        <v>106</v>
      </c>
      <c r="E5495">
        <v>24</v>
      </c>
    </row>
    <row r="5496" spans="1:5">
      <c r="A5496" t="s">
        <v>6407</v>
      </c>
      <c r="B5496" t="s">
        <v>6409</v>
      </c>
      <c r="C5496">
        <f>0</f>
        <v>0</v>
      </c>
      <c r="D5496" t="s">
        <v>106</v>
      </c>
      <c r="E5496">
        <v>24</v>
      </c>
    </row>
    <row r="5497" spans="1:5">
      <c r="A5497" t="s">
        <v>6407</v>
      </c>
      <c r="B5497" t="s">
        <v>6410</v>
      </c>
      <c r="C5497">
        <f>0.180246953425</f>
        <v>0.18024695342499999</v>
      </c>
      <c r="D5497" t="s">
        <v>106</v>
      </c>
      <c r="E5497">
        <v>24</v>
      </c>
    </row>
    <row r="5498" spans="1:5">
      <c r="A5498" t="s">
        <v>6407</v>
      </c>
      <c r="B5498" t="s">
        <v>6411</v>
      </c>
      <c r="C5498">
        <f>0</f>
        <v>0</v>
      </c>
      <c r="D5498" t="s">
        <v>106</v>
      </c>
      <c r="E5498">
        <v>24</v>
      </c>
    </row>
    <row r="5499" spans="1:5">
      <c r="A5499" t="s">
        <v>6407</v>
      </c>
      <c r="B5499" t="s">
        <v>6412</v>
      </c>
      <c r="C5499">
        <f>0.0284590794569</f>
        <v>2.8459079456899999E-2</v>
      </c>
      <c r="D5499" t="s">
        <v>106</v>
      </c>
      <c r="E5499">
        <v>24</v>
      </c>
    </row>
    <row r="5500" spans="1:5">
      <c r="A5500" t="s">
        <v>6407</v>
      </c>
      <c r="B5500" t="s">
        <v>6413</v>
      </c>
      <c r="C5500">
        <f>0</f>
        <v>0</v>
      </c>
      <c r="D5500" t="s">
        <v>106</v>
      </c>
      <c r="E5500">
        <v>24</v>
      </c>
    </row>
    <row r="5501" spans="1:5">
      <c r="A5501" t="s">
        <v>6414</v>
      </c>
      <c r="B5501" t="s">
        <v>6415</v>
      </c>
      <c r="C5501">
        <v>0</v>
      </c>
      <c r="D5501">
        <v>0.88550667788600002</v>
      </c>
      <c r="E5501">
        <v>6.4287856071964002</v>
      </c>
    </row>
    <row r="5502" spans="1:5">
      <c r="A5502" t="s">
        <v>6414</v>
      </c>
      <c r="B5502" t="s">
        <v>6416</v>
      </c>
      <c r="C5502">
        <v>0</v>
      </c>
      <c r="D5502">
        <v>0.88550667788600002</v>
      </c>
      <c r="E5502">
        <v>6.4287856071964002</v>
      </c>
    </row>
    <row r="5503" spans="1:5">
      <c r="A5503" t="s">
        <v>6414</v>
      </c>
      <c r="B5503" t="s">
        <v>6417</v>
      </c>
      <c r="C5503">
        <v>0</v>
      </c>
      <c r="D5503">
        <v>0.88550667788600002</v>
      </c>
      <c r="E5503">
        <v>6.4287856071964002</v>
      </c>
    </row>
    <row r="5504" spans="1:5">
      <c r="A5504" t="s">
        <v>6414</v>
      </c>
      <c r="B5504" t="s">
        <v>6418</v>
      </c>
      <c r="C5504">
        <v>0</v>
      </c>
      <c r="D5504">
        <v>0.88550667788600002</v>
      </c>
      <c r="E5504">
        <v>6.4287856071964002</v>
      </c>
    </row>
    <row r="5505" spans="1:5">
      <c r="A5505" t="s">
        <v>6419</v>
      </c>
      <c r="B5505" t="s">
        <v>6420</v>
      </c>
      <c r="C5505">
        <f>0</f>
        <v>0</v>
      </c>
      <c r="D5505">
        <v>0.97438577009500005</v>
      </c>
      <c r="E5505">
        <v>9.6191904047975996</v>
      </c>
    </row>
    <row r="5506" spans="1:5">
      <c r="A5506" t="s">
        <v>6419</v>
      </c>
      <c r="B5506" t="s">
        <v>6421</v>
      </c>
      <c r="C5506">
        <v>0.287423887627</v>
      </c>
      <c r="D5506">
        <v>0.97438577009500005</v>
      </c>
      <c r="E5506">
        <v>9.6191904047975996</v>
      </c>
    </row>
    <row r="5507" spans="1:5">
      <c r="A5507" t="s">
        <v>6419</v>
      </c>
      <c r="B5507" t="s">
        <v>6422</v>
      </c>
      <c r="C5507">
        <f>0.00457585117335</f>
        <v>4.5758511733499999E-3</v>
      </c>
      <c r="D5507">
        <v>0.97438577009500005</v>
      </c>
      <c r="E5507">
        <v>9.6191904047975996</v>
      </c>
    </row>
    <row r="5508" spans="1:5">
      <c r="A5508" t="s">
        <v>6423</v>
      </c>
      <c r="B5508" t="s">
        <v>6424</v>
      </c>
      <c r="C5508">
        <v>6.7809653515600005E-2</v>
      </c>
      <c r="D5508">
        <v>0.88072120649800001</v>
      </c>
      <c r="E5508">
        <v>13.0854572713643</v>
      </c>
    </row>
    <row r="5509" spans="1:5">
      <c r="A5509" t="s">
        <v>6423</v>
      </c>
      <c r="B5509" t="s">
        <v>6425</v>
      </c>
      <c r="C5509">
        <v>0.165699461785</v>
      </c>
      <c r="D5509">
        <v>0.88072120649800001</v>
      </c>
      <c r="E5509">
        <v>13.0854572713643</v>
      </c>
    </row>
    <row r="5510" spans="1:5">
      <c r="A5510" t="s">
        <v>6426</v>
      </c>
      <c r="B5510" t="s">
        <v>6427</v>
      </c>
      <c r="C5510">
        <f>0</f>
        <v>0</v>
      </c>
      <c r="D5510" t="s">
        <v>106</v>
      </c>
      <c r="E5510">
        <v>9.0194902548725597</v>
      </c>
    </row>
    <row r="5511" spans="1:5">
      <c r="A5511" t="s">
        <v>6426</v>
      </c>
      <c r="B5511" t="s">
        <v>6428</v>
      </c>
      <c r="C5511">
        <f>0</f>
        <v>0</v>
      </c>
      <c r="D5511" t="s">
        <v>106</v>
      </c>
      <c r="E5511">
        <v>9.0194902548725597</v>
      </c>
    </row>
    <row r="5512" spans="1:5">
      <c r="A5512" t="s">
        <v>6426</v>
      </c>
      <c r="B5512" t="s">
        <v>6429</v>
      </c>
      <c r="C5512">
        <f>0</f>
        <v>0</v>
      </c>
      <c r="D5512" t="s">
        <v>106</v>
      </c>
      <c r="E5512">
        <v>9.0194902548725597</v>
      </c>
    </row>
    <row r="5513" spans="1:5">
      <c r="A5513" t="s">
        <v>6426</v>
      </c>
      <c r="B5513" t="s">
        <v>6430</v>
      </c>
      <c r="C5513">
        <v>0</v>
      </c>
      <c r="D5513" t="s">
        <v>106</v>
      </c>
      <c r="E5513">
        <v>9.0194902548725597</v>
      </c>
    </row>
    <row r="5514" spans="1:5">
      <c r="A5514" t="s">
        <v>6426</v>
      </c>
      <c r="B5514" t="s">
        <v>6431</v>
      </c>
      <c r="C5514">
        <v>0</v>
      </c>
      <c r="D5514" t="s">
        <v>106</v>
      </c>
      <c r="E5514">
        <v>9.0194902548725597</v>
      </c>
    </row>
    <row r="5515" spans="1:5">
      <c r="A5515" t="s">
        <v>6432</v>
      </c>
      <c r="B5515" t="s">
        <v>6433</v>
      </c>
      <c r="C5515">
        <f>0</f>
        <v>0</v>
      </c>
      <c r="D5515" t="s">
        <v>106</v>
      </c>
      <c r="E5515">
        <v>3.13043478260869</v>
      </c>
    </row>
    <row r="5516" spans="1:5">
      <c r="A5516" t="s">
        <v>6434</v>
      </c>
      <c r="B5516" t="s">
        <v>6435</v>
      </c>
      <c r="C5516">
        <f>0.00719690538522</f>
        <v>7.19690538522E-3</v>
      </c>
      <c r="D5516">
        <v>0.77676536813399999</v>
      </c>
      <c r="E5516">
        <v>22.800599700149899</v>
      </c>
    </row>
    <row r="5517" spans="1:5">
      <c r="A5517" t="s">
        <v>6436</v>
      </c>
      <c r="B5517" t="s">
        <v>6437</v>
      </c>
      <c r="C5517">
        <f>0</f>
        <v>0</v>
      </c>
      <c r="D5517" t="s">
        <v>106</v>
      </c>
      <c r="E5517">
        <v>22.5727136431784</v>
      </c>
    </row>
    <row r="5518" spans="1:5">
      <c r="A5518" t="s">
        <v>6436</v>
      </c>
      <c r="B5518" t="s">
        <v>6438</v>
      </c>
      <c r="C5518">
        <f>0</f>
        <v>0</v>
      </c>
      <c r="D5518" t="s">
        <v>106</v>
      </c>
      <c r="E5518">
        <v>22.5727136431784</v>
      </c>
    </row>
    <row r="5519" spans="1:5">
      <c r="A5519" t="s">
        <v>6436</v>
      </c>
      <c r="B5519" t="s">
        <v>6439</v>
      </c>
      <c r="C5519">
        <f>0</f>
        <v>0</v>
      </c>
      <c r="D5519" t="s">
        <v>106</v>
      </c>
      <c r="E5519">
        <v>22.5727136431784</v>
      </c>
    </row>
    <row r="5520" spans="1:5">
      <c r="A5520" t="s">
        <v>6436</v>
      </c>
      <c r="B5520" t="s">
        <v>6440</v>
      </c>
      <c r="C5520">
        <f>0</f>
        <v>0</v>
      </c>
      <c r="D5520" t="s">
        <v>106</v>
      </c>
      <c r="E5520">
        <v>22.5727136431784</v>
      </c>
    </row>
    <row r="5521" spans="1:5">
      <c r="A5521" t="s">
        <v>6436</v>
      </c>
      <c r="B5521" t="s">
        <v>6441</v>
      </c>
      <c r="C5521">
        <f>0</f>
        <v>0</v>
      </c>
      <c r="D5521" t="s">
        <v>106</v>
      </c>
      <c r="E5521">
        <v>22.5727136431784</v>
      </c>
    </row>
    <row r="5522" spans="1:5">
      <c r="A5522" t="s">
        <v>6436</v>
      </c>
      <c r="B5522" t="s">
        <v>6442</v>
      </c>
      <c r="C5522">
        <f>0</f>
        <v>0</v>
      </c>
      <c r="D5522" t="s">
        <v>106</v>
      </c>
      <c r="E5522">
        <v>22.5727136431784</v>
      </c>
    </row>
    <row r="5523" spans="1:5">
      <c r="A5523" t="s">
        <v>6436</v>
      </c>
      <c r="B5523" t="s">
        <v>6443</v>
      </c>
      <c r="C5523">
        <v>0</v>
      </c>
      <c r="D5523" t="s">
        <v>106</v>
      </c>
      <c r="E5523">
        <v>22.5727136431784</v>
      </c>
    </row>
    <row r="5524" spans="1:5">
      <c r="A5524" t="s">
        <v>6436</v>
      </c>
      <c r="B5524" t="s">
        <v>6444</v>
      </c>
      <c r="C5524">
        <f>0</f>
        <v>0</v>
      </c>
      <c r="D5524" t="s">
        <v>106</v>
      </c>
      <c r="E5524">
        <v>22.5727136431784</v>
      </c>
    </row>
    <row r="5525" spans="1:5">
      <c r="A5525" t="s">
        <v>6436</v>
      </c>
      <c r="B5525" t="s">
        <v>6445</v>
      </c>
      <c r="C5525">
        <v>0</v>
      </c>
      <c r="D5525" t="s">
        <v>106</v>
      </c>
      <c r="E5525">
        <v>22.5727136431784</v>
      </c>
    </row>
    <row r="5526" spans="1:5">
      <c r="A5526" t="s">
        <v>6436</v>
      </c>
      <c r="B5526" t="s">
        <v>6446</v>
      </c>
      <c r="C5526">
        <f>0</f>
        <v>0</v>
      </c>
      <c r="D5526" t="s">
        <v>106</v>
      </c>
      <c r="E5526">
        <v>22.5727136431784</v>
      </c>
    </row>
    <row r="5527" spans="1:5">
      <c r="A5527" t="s">
        <v>6436</v>
      </c>
      <c r="B5527" t="s">
        <v>6447</v>
      </c>
      <c r="C5527">
        <v>0</v>
      </c>
      <c r="D5527" t="s">
        <v>106</v>
      </c>
      <c r="E5527">
        <v>22.5727136431784</v>
      </c>
    </row>
    <row r="5528" spans="1:5">
      <c r="A5528" t="s">
        <v>6436</v>
      </c>
      <c r="B5528" t="s">
        <v>6448</v>
      </c>
      <c r="C5528">
        <v>0</v>
      </c>
      <c r="D5528" t="s">
        <v>106</v>
      </c>
      <c r="E5528">
        <v>22.5727136431784</v>
      </c>
    </row>
    <row r="5529" spans="1:5">
      <c r="A5529" t="s">
        <v>6436</v>
      </c>
      <c r="B5529" t="s">
        <v>6449</v>
      </c>
      <c r="C5529">
        <f>0</f>
        <v>0</v>
      </c>
      <c r="D5529" t="s">
        <v>106</v>
      </c>
      <c r="E5529">
        <v>22.5727136431784</v>
      </c>
    </row>
    <row r="5530" spans="1:5">
      <c r="A5530" t="s">
        <v>6450</v>
      </c>
      <c r="B5530" t="s">
        <v>6451</v>
      </c>
      <c r="C5530">
        <f>0.17453177995</f>
        <v>0.17453177994999999</v>
      </c>
      <c r="D5530">
        <v>0.69653811291300005</v>
      </c>
      <c r="E5530">
        <v>2.0989505247376301</v>
      </c>
    </row>
    <row r="5531" spans="1:5">
      <c r="A5531" t="s">
        <v>6450</v>
      </c>
      <c r="B5531" t="s">
        <v>6452</v>
      </c>
      <c r="C5531">
        <f>0</f>
        <v>0</v>
      </c>
      <c r="D5531">
        <v>0.69653811291300005</v>
      </c>
      <c r="E5531">
        <v>2.0989505247376301</v>
      </c>
    </row>
    <row r="5532" spans="1:5">
      <c r="A5532" t="s">
        <v>6453</v>
      </c>
      <c r="B5532" t="s">
        <v>6454</v>
      </c>
      <c r="C5532">
        <f>0.79056616671</f>
        <v>0.79056616671000002</v>
      </c>
      <c r="D5532">
        <v>0.90638936637900003</v>
      </c>
      <c r="E5532">
        <v>0.40779610194902499</v>
      </c>
    </row>
    <row r="5533" spans="1:5">
      <c r="A5533" t="s">
        <v>6455</v>
      </c>
      <c r="B5533" t="s">
        <v>6456</v>
      </c>
      <c r="C5533">
        <f>0</f>
        <v>0</v>
      </c>
      <c r="D5533" t="s">
        <v>106</v>
      </c>
      <c r="E5533">
        <v>5.5772113943028403</v>
      </c>
    </row>
    <row r="5534" spans="1:5">
      <c r="A5534" t="s">
        <v>6455</v>
      </c>
      <c r="B5534" t="s">
        <v>6457</v>
      </c>
      <c r="C5534">
        <f>0</f>
        <v>0</v>
      </c>
      <c r="D5534" t="s">
        <v>106</v>
      </c>
      <c r="E5534">
        <v>5.5772113943028403</v>
      </c>
    </row>
    <row r="5535" spans="1:5">
      <c r="A5535" t="s">
        <v>6455</v>
      </c>
      <c r="B5535" t="s">
        <v>6458</v>
      </c>
      <c r="C5535">
        <f>0</f>
        <v>0</v>
      </c>
      <c r="D5535" t="s">
        <v>106</v>
      </c>
      <c r="E5535">
        <v>5.5772113943028403</v>
      </c>
    </row>
    <row r="5536" spans="1:5">
      <c r="A5536" t="s">
        <v>6455</v>
      </c>
      <c r="B5536" t="s">
        <v>6459</v>
      </c>
      <c r="C5536">
        <f>0</f>
        <v>0</v>
      </c>
      <c r="D5536" t="s">
        <v>106</v>
      </c>
      <c r="E5536">
        <v>5.5772113943028403</v>
      </c>
    </row>
    <row r="5537" spans="1:5">
      <c r="A5537" t="s">
        <v>6455</v>
      </c>
      <c r="B5537" t="s">
        <v>6460</v>
      </c>
      <c r="C5537">
        <f>0</f>
        <v>0</v>
      </c>
      <c r="D5537" t="s">
        <v>106</v>
      </c>
      <c r="E5537">
        <v>5.5772113943028403</v>
      </c>
    </row>
    <row r="5538" spans="1:5">
      <c r="A5538" t="s">
        <v>6455</v>
      </c>
      <c r="B5538" t="s">
        <v>6461</v>
      </c>
      <c r="C5538">
        <f>0</f>
        <v>0</v>
      </c>
      <c r="D5538" t="s">
        <v>106</v>
      </c>
      <c r="E5538">
        <v>5.5772113943028403</v>
      </c>
    </row>
    <row r="5539" spans="1:5">
      <c r="A5539" t="s">
        <v>6462</v>
      </c>
      <c r="B5539" t="s">
        <v>6463</v>
      </c>
      <c r="C5539">
        <v>0</v>
      </c>
      <c r="D5539">
        <v>0.75630458489600005</v>
      </c>
      <c r="E5539">
        <v>14.740629685157399</v>
      </c>
    </row>
    <row r="5540" spans="1:5">
      <c r="A5540" t="s">
        <v>6462</v>
      </c>
      <c r="B5540" t="s">
        <v>6464</v>
      </c>
      <c r="C5540">
        <v>0</v>
      </c>
      <c r="D5540">
        <v>0.75630458489600005</v>
      </c>
      <c r="E5540">
        <v>14.740629685157399</v>
      </c>
    </row>
    <row r="5541" spans="1:5">
      <c r="A5541" t="s">
        <v>6462</v>
      </c>
      <c r="B5541" t="s">
        <v>6465</v>
      </c>
      <c r="C5541">
        <v>3.3143922011799998E-2</v>
      </c>
      <c r="D5541">
        <v>0.75630458489600005</v>
      </c>
      <c r="E5541">
        <v>14.740629685157399</v>
      </c>
    </row>
    <row r="5542" spans="1:5">
      <c r="A5542" t="s">
        <v>6462</v>
      </c>
      <c r="B5542" t="s">
        <v>6466</v>
      </c>
      <c r="C5542">
        <v>0</v>
      </c>
      <c r="D5542">
        <v>0.75630458489600005</v>
      </c>
      <c r="E5542">
        <v>14.740629685157399</v>
      </c>
    </row>
    <row r="5543" spans="1:5">
      <c r="A5543" t="s">
        <v>6462</v>
      </c>
      <c r="B5543" t="s">
        <v>6467</v>
      </c>
      <c r="C5543">
        <f>0</f>
        <v>0</v>
      </c>
      <c r="D5543">
        <v>0.75630458489600005</v>
      </c>
      <c r="E5543">
        <v>14.740629685157399</v>
      </c>
    </row>
    <row r="5544" spans="1:5">
      <c r="A5544" t="s">
        <v>6462</v>
      </c>
      <c r="B5544" t="s">
        <v>6468</v>
      </c>
      <c r="C5544">
        <v>0</v>
      </c>
      <c r="D5544">
        <v>0.75630458489600005</v>
      </c>
      <c r="E5544">
        <v>14.740629685157399</v>
      </c>
    </row>
    <row r="5545" spans="1:5">
      <c r="A5545" t="s">
        <v>6462</v>
      </c>
      <c r="B5545" t="s">
        <v>6469</v>
      </c>
      <c r="C5545">
        <f>0</f>
        <v>0</v>
      </c>
      <c r="D5545">
        <v>0.75630458489600005</v>
      </c>
      <c r="E5545">
        <v>14.740629685157399</v>
      </c>
    </row>
    <row r="5546" spans="1:5">
      <c r="A5546" t="s">
        <v>6462</v>
      </c>
      <c r="B5546" t="s">
        <v>6470</v>
      </c>
      <c r="C5546">
        <v>0</v>
      </c>
      <c r="D5546">
        <v>0.75630458489600005</v>
      </c>
      <c r="E5546">
        <v>14.740629685157399</v>
      </c>
    </row>
    <row r="5547" spans="1:5">
      <c r="A5547" t="s">
        <v>6471</v>
      </c>
      <c r="B5547" t="s">
        <v>6472</v>
      </c>
      <c r="C5547">
        <v>0</v>
      </c>
      <c r="D5547">
        <v>0.91417687359499999</v>
      </c>
      <c r="E5547">
        <v>0.91154422788605605</v>
      </c>
    </row>
    <row r="5548" spans="1:5">
      <c r="A5548" t="s">
        <v>6471</v>
      </c>
      <c r="B5548" t="s">
        <v>6473</v>
      </c>
      <c r="C5548">
        <v>0.61240299397300002</v>
      </c>
      <c r="D5548">
        <v>0.91417687359499999</v>
      </c>
      <c r="E5548">
        <v>0.91154422788605605</v>
      </c>
    </row>
    <row r="5549" spans="1:5">
      <c r="A5549" t="s">
        <v>6471</v>
      </c>
      <c r="B5549" t="s">
        <v>6474</v>
      </c>
      <c r="C5549">
        <f>0</f>
        <v>0</v>
      </c>
      <c r="D5549">
        <v>0.91417687359499999</v>
      </c>
      <c r="E5549">
        <v>0.91154422788605605</v>
      </c>
    </row>
    <row r="5550" spans="1:5">
      <c r="A5550" t="s">
        <v>6471</v>
      </c>
      <c r="B5550" t="s">
        <v>6475</v>
      </c>
      <c r="C5550">
        <f>0.0407186815759</f>
        <v>4.0718681575900001E-2</v>
      </c>
      <c r="D5550">
        <v>0.91417687359499999</v>
      </c>
      <c r="E5550">
        <v>0.91154422788605605</v>
      </c>
    </row>
    <row r="5551" spans="1:5">
      <c r="A5551" t="s">
        <v>6476</v>
      </c>
      <c r="B5551" t="s">
        <v>6477</v>
      </c>
      <c r="C5551">
        <f>0</f>
        <v>0</v>
      </c>
      <c r="D5551">
        <v>0.99680433473399999</v>
      </c>
      <c r="E5551">
        <v>9.7631184407796106</v>
      </c>
    </row>
    <row r="5552" spans="1:5">
      <c r="A5552" t="s">
        <v>6476</v>
      </c>
      <c r="B5552" t="s">
        <v>6478</v>
      </c>
      <c r="C5552">
        <v>0</v>
      </c>
      <c r="D5552">
        <v>0.99680433473399999</v>
      </c>
      <c r="E5552">
        <v>9.7631184407796106</v>
      </c>
    </row>
    <row r="5553" spans="1:5">
      <c r="A5553" t="s">
        <v>6476</v>
      </c>
      <c r="B5553" t="s">
        <v>6479</v>
      </c>
      <c r="C5553">
        <v>0</v>
      </c>
      <c r="D5553">
        <v>0.99680433473399999</v>
      </c>
      <c r="E5553">
        <v>9.7631184407796106</v>
      </c>
    </row>
    <row r="5554" spans="1:5">
      <c r="A5554" t="s">
        <v>6476</v>
      </c>
      <c r="B5554" t="s">
        <v>6480</v>
      </c>
      <c r="C5554">
        <v>3.39707669595E-2</v>
      </c>
      <c r="D5554">
        <v>0.99680433473399999</v>
      </c>
      <c r="E5554">
        <v>9.7631184407796106</v>
      </c>
    </row>
    <row r="5555" spans="1:5">
      <c r="A5555" t="s">
        <v>6476</v>
      </c>
      <c r="B5555" t="s">
        <v>6481</v>
      </c>
      <c r="C5555">
        <v>0</v>
      </c>
      <c r="D5555">
        <v>0.99680433473399999</v>
      </c>
      <c r="E5555">
        <v>9.7631184407796106</v>
      </c>
    </row>
    <row r="5556" spans="1:5">
      <c r="A5556" t="s">
        <v>6476</v>
      </c>
      <c r="B5556" t="s">
        <v>6482</v>
      </c>
      <c r="C5556">
        <v>0.46847711332699998</v>
      </c>
      <c r="D5556">
        <v>0.99680433473399999</v>
      </c>
      <c r="E5556">
        <v>9.7631184407796106</v>
      </c>
    </row>
    <row r="5557" spans="1:5">
      <c r="A5557" t="s">
        <v>6476</v>
      </c>
      <c r="B5557" t="s">
        <v>6483</v>
      </c>
      <c r="C5557">
        <v>0</v>
      </c>
      <c r="D5557">
        <v>0.99680433473399999</v>
      </c>
      <c r="E5557">
        <v>9.7631184407796106</v>
      </c>
    </row>
    <row r="5558" spans="1:5">
      <c r="A5558" t="s">
        <v>6476</v>
      </c>
      <c r="B5558" t="s">
        <v>6484</v>
      </c>
      <c r="C5558">
        <f>0</f>
        <v>0</v>
      </c>
      <c r="D5558">
        <v>0.99680433473399999</v>
      </c>
      <c r="E5558">
        <v>9.7631184407796106</v>
      </c>
    </row>
    <row r="5559" spans="1:5">
      <c r="A5559" t="s">
        <v>6476</v>
      </c>
      <c r="B5559" t="s">
        <v>6485</v>
      </c>
      <c r="C5559">
        <f>0</f>
        <v>0</v>
      </c>
      <c r="D5559">
        <v>0.99680433473399999</v>
      </c>
      <c r="E5559">
        <v>9.7631184407796106</v>
      </c>
    </row>
    <row r="5560" spans="1:5">
      <c r="A5560" t="s">
        <v>6486</v>
      </c>
      <c r="B5560" t="s">
        <v>6487</v>
      </c>
      <c r="C5560">
        <f>0</f>
        <v>0</v>
      </c>
      <c r="D5560">
        <v>0.95900812910300004</v>
      </c>
      <c r="E5560">
        <v>6.1769115442278801</v>
      </c>
    </row>
    <row r="5561" spans="1:5">
      <c r="A5561" t="s">
        <v>6486</v>
      </c>
      <c r="B5561" t="s">
        <v>6488</v>
      </c>
      <c r="C5561">
        <f>0</f>
        <v>0</v>
      </c>
      <c r="D5561">
        <v>0.95900812910300004</v>
      </c>
      <c r="E5561">
        <v>6.1769115442278801</v>
      </c>
    </row>
    <row r="5562" spans="1:5">
      <c r="A5562" t="s">
        <v>6486</v>
      </c>
      <c r="B5562" t="s">
        <v>6489</v>
      </c>
      <c r="C5562">
        <f>0</f>
        <v>0</v>
      </c>
      <c r="D5562">
        <v>0.95900812910300004</v>
      </c>
      <c r="E5562">
        <v>6.1769115442278801</v>
      </c>
    </row>
    <row r="5563" spans="1:5">
      <c r="A5563" t="s">
        <v>6486</v>
      </c>
      <c r="B5563" t="s">
        <v>6490</v>
      </c>
      <c r="C5563">
        <f>0</f>
        <v>0</v>
      </c>
      <c r="D5563">
        <v>0.95900812910300004</v>
      </c>
      <c r="E5563">
        <v>6.1769115442278801</v>
      </c>
    </row>
    <row r="5564" spans="1:5">
      <c r="A5564" t="s">
        <v>6486</v>
      </c>
      <c r="B5564" t="s">
        <v>6491</v>
      </c>
      <c r="C5564">
        <f>0</f>
        <v>0</v>
      </c>
      <c r="D5564">
        <v>0.95900812910300004</v>
      </c>
      <c r="E5564">
        <v>6.1769115442278801</v>
      </c>
    </row>
    <row r="5565" spans="1:5">
      <c r="A5565" t="s">
        <v>6486</v>
      </c>
      <c r="B5565" t="s">
        <v>6492</v>
      </c>
      <c r="C5565">
        <v>0</v>
      </c>
      <c r="D5565">
        <v>0.95900812910300004</v>
      </c>
      <c r="E5565">
        <v>6.1769115442278801</v>
      </c>
    </row>
    <row r="5566" spans="1:5">
      <c r="A5566" t="s">
        <v>6486</v>
      </c>
      <c r="B5566" t="s">
        <v>6493</v>
      </c>
      <c r="C5566">
        <f>0</f>
        <v>0</v>
      </c>
      <c r="D5566">
        <v>0.95900812910300004</v>
      </c>
      <c r="E5566">
        <v>6.1769115442278801</v>
      </c>
    </row>
    <row r="5567" spans="1:5">
      <c r="A5567" t="s">
        <v>6486</v>
      </c>
      <c r="B5567" t="s">
        <v>6494</v>
      </c>
      <c r="C5567">
        <f>0</f>
        <v>0</v>
      </c>
      <c r="D5567">
        <v>0.95900812910300004</v>
      </c>
      <c r="E5567">
        <v>6.1769115442278801</v>
      </c>
    </row>
    <row r="5568" spans="1:5">
      <c r="A5568" t="s">
        <v>6486</v>
      </c>
      <c r="B5568" t="s">
        <v>6495</v>
      </c>
      <c r="C5568">
        <f>0</f>
        <v>0</v>
      </c>
      <c r="D5568">
        <v>0.95900812910300004</v>
      </c>
      <c r="E5568">
        <v>6.1769115442278801</v>
      </c>
    </row>
    <row r="5569" spans="1:5">
      <c r="A5569" t="s">
        <v>6486</v>
      </c>
      <c r="B5569" t="s">
        <v>6496</v>
      </c>
      <c r="C5569">
        <v>0</v>
      </c>
      <c r="D5569">
        <v>0.95900812910300004</v>
      </c>
      <c r="E5569">
        <v>6.1769115442278801</v>
      </c>
    </row>
    <row r="5570" spans="1:5">
      <c r="A5570" t="s">
        <v>6486</v>
      </c>
      <c r="B5570" t="s">
        <v>6497</v>
      </c>
      <c r="C5570">
        <f>0</f>
        <v>0</v>
      </c>
      <c r="D5570">
        <v>0.95900812910300004</v>
      </c>
      <c r="E5570">
        <v>6.1769115442278801</v>
      </c>
    </row>
    <row r="5571" spans="1:5">
      <c r="A5571" t="s">
        <v>6486</v>
      </c>
      <c r="B5571" t="s">
        <v>6498</v>
      </c>
      <c r="C5571">
        <f>0</f>
        <v>0</v>
      </c>
      <c r="D5571">
        <v>0.95900812910300004</v>
      </c>
      <c r="E5571">
        <v>6.1769115442278801</v>
      </c>
    </row>
    <row r="5572" spans="1:5">
      <c r="A5572" t="s">
        <v>6486</v>
      </c>
      <c r="B5572" t="s">
        <v>6499</v>
      </c>
      <c r="C5572">
        <f>0</f>
        <v>0</v>
      </c>
      <c r="D5572">
        <v>0.95900812910300004</v>
      </c>
      <c r="E5572">
        <v>6.1769115442278801</v>
      </c>
    </row>
    <row r="5573" spans="1:5">
      <c r="A5573" t="s">
        <v>6486</v>
      </c>
      <c r="B5573" t="s">
        <v>6500</v>
      </c>
      <c r="C5573">
        <v>0</v>
      </c>
      <c r="D5573">
        <v>0.95900812910300004</v>
      </c>
      <c r="E5573">
        <v>6.1769115442278801</v>
      </c>
    </row>
    <row r="5574" spans="1:5">
      <c r="A5574" t="s">
        <v>6486</v>
      </c>
      <c r="B5574" t="s">
        <v>6501</v>
      </c>
      <c r="C5574">
        <f>0</f>
        <v>0</v>
      </c>
      <c r="D5574">
        <v>0.95900812910300004</v>
      </c>
      <c r="E5574">
        <v>6.1769115442278801</v>
      </c>
    </row>
    <row r="5575" spans="1:5">
      <c r="A5575" t="s">
        <v>6486</v>
      </c>
      <c r="B5575" t="s">
        <v>6502</v>
      </c>
      <c r="C5575">
        <f>0</f>
        <v>0</v>
      </c>
      <c r="D5575">
        <v>0.95900812910300004</v>
      </c>
      <c r="E5575">
        <v>6.1769115442278801</v>
      </c>
    </row>
    <row r="5576" spans="1:5">
      <c r="A5576" t="s">
        <v>6486</v>
      </c>
      <c r="B5576" t="s">
        <v>6503</v>
      </c>
      <c r="C5576">
        <f>0</f>
        <v>0</v>
      </c>
      <c r="D5576">
        <v>0.95900812910300004</v>
      </c>
      <c r="E5576">
        <v>6.1769115442278801</v>
      </c>
    </row>
    <row r="5577" spans="1:5">
      <c r="A5577" t="s">
        <v>6486</v>
      </c>
      <c r="B5577" t="s">
        <v>6504</v>
      </c>
      <c r="C5577">
        <f>0</f>
        <v>0</v>
      </c>
      <c r="D5577">
        <v>0.95900812910300004</v>
      </c>
      <c r="E5577">
        <v>6.1769115442278801</v>
      </c>
    </row>
    <row r="5578" spans="1:5">
      <c r="A5578" t="s">
        <v>6486</v>
      </c>
      <c r="B5578" t="s">
        <v>6505</v>
      </c>
      <c r="C5578">
        <f>0.16153809265</f>
        <v>0.16153809264999999</v>
      </c>
      <c r="D5578">
        <v>0.95900812910300004</v>
      </c>
      <c r="E5578">
        <v>6.1769115442278801</v>
      </c>
    </row>
    <row r="5579" spans="1:5">
      <c r="A5579" t="s">
        <v>6486</v>
      </c>
      <c r="B5579" t="s">
        <v>6506</v>
      </c>
      <c r="C5579">
        <f>0</f>
        <v>0</v>
      </c>
      <c r="D5579">
        <v>0.95900812910300004</v>
      </c>
      <c r="E5579">
        <v>6.1769115442278801</v>
      </c>
    </row>
    <row r="5580" spans="1:5">
      <c r="A5580" t="s">
        <v>6486</v>
      </c>
      <c r="B5580" t="s">
        <v>6507</v>
      </c>
      <c r="C5580">
        <f>0</f>
        <v>0</v>
      </c>
      <c r="D5580">
        <v>0.95900812910300004</v>
      </c>
      <c r="E5580">
        <v>6.1769115442278801</v>
      </c>
    </row>
    <row r="5581" spans="1:5">
      <c r="A5581" t="s">
        <v>6486</v>
      </c>
      <c r="B5581" t="s">
        <v>6508</v>
      </c>
      <c r="C5581">
        <v>0</v>
      </c>
      <c r="D5581">
        <v>0.95900812910300004</v>
      </c>
      <c r="E5581">
        <v>6.1769115442278801</v>
      </c>
    </row>
    <row r="5582" spans="1:5">
      <c r="A5582" t="s">
        <v>6486</v>
      </c>
      <c r="B5582" t="s">
        <v>6509</v>
      </c>
      <c r="C5582">
        <f>0</f>
        <v>0</v>
      </c>
      <c r="D5582">
        <v>0.95900812910300004</v>
      </c>
      <c r="E5582">
        <v>6.1769115442278801</v>
      </c>
    </row>
    <row r="5583" spans="1:5">
      <c r="A5583" t="s">
        <v>6486</v>
      </c>
      <c r="B5583" t="s">
        <v>6510</v>
      </c>
      <c r="C5583">
        <f>0</f>
        <v>0</v>
      </c>
      <c r="D5583">
        <v>0.95900812910300004</v>
      </c>
      <c r="E5583">
        <v>6.1769115442278801</v>
      </c>
    </row>
    <row r="5584" spans="1:5">
      <c r="A5584" t="s">
        <v>6511</v>
      </c>
      <c r="B5584" t="s">
        <v>6512</v>
      </c>
      <c r="C5584">
        <v>0</v>
      </c>
      <c r="D5584" t="s">
        <v>106</v>
      </c>
      <c r="E5584">
        <v>0.91154422788605605</v>
      </c>
    </row>
    <row r="5585" spans="1:5">
      <c r="A5585" t="s">
        <v>6511</v>
      </c>
      <c r="B5585" t="s">
        <v>6513</v>
      </c>
      <c r="C5585">
        <v>0</v>
      </c>
      <c r="D5585" t="s">
        <v>106</v>
      </c>
      <c r="E5585">
        <v>0.91154422788605605</v>
      </c>
    </row>
    <row r="5586" spans="1:5">
      <c r="A5586" t="s">
        <v>6511</v>
      </c>
      <c r="B5586" t="s">
        <v>6514</v>
      </c>
      <c r="C5586">
        <f>0</f>
        <v>0</v>
      </c>
      <c r="D5586" t="s">
        <v>106</v>
      </c>
      <c r="E5586">
        <v>0.91154422788605605</v>
      </c>
    </row>
    <row r="5587" spans="1:5">
      <c r="A5587" t="s">
        <v>6511</v>
      </c>
      <c r="B5587" t="s">
        <v>6515</v>
      </c>
      <c r="C5587">
        <f>0</f>
        <v>0</v>
      </c>
      <c r="D5587" t="s">
        <v>106</v>
      </c>
      <c r="E5587">
        <v>0.91154422788605605</v>
      </c>
    </row>
    <row r="5588" spans="1:5">
      <c r="A5588" t="s">
        <v>6511</v>
      </c>
      <c r="B5588" t="s">
        <v>6516</v>
      </c>
      <c r="C5588">
        <f>0</f>
        <v>0</v>
      </c>
      <c r="D5588" t="s">
        <v>106</v>
      </c>
      <c r="E5588">
        <v>0.91154422788605605</v>
      </c>
    </row>
    <row r="5589" spans="1:5">
      <c r="A5589" t="s">
        <v>6511</v>
      </c>
      <c r="B5589" t="s">
        <v>6517</v>
      </c>
      <c r="C5589">
        <v>0</v>
      </c>
      <c r="D5589" t="s">
        <v>106</v>
      </c>
      <c r="E5589">
        <v>0.91154422788605605</v>
      </c>
    </row>
    <row r="5590" spans="1:5">
      <c r="A5590" t="s">
        <v>6511</v>
      </c>
      <c r="B5590" t="s">
        <v>6518</v>
      </c>
      <c r="C5590">
        <v>0</v>
      </c>
      <c r="D5590" t="s">
        <v>106</v>
      </c>
      <c r="E5590">
        <v>0.91154422788605605</v>
      </c>
    </row>
    <row r="5591" spans="1:5">
      <c r="A5591" t="s">
        <v>6511</v>
      </c>
      <c r="B5591" t="s">
        <v>6519</v>
      </c>
      <c r="C5591">
        <f>0</f>
        <v>0</v>
      </c>
      <c r="D5591" t="s">
        <v>106</v>
      </c>
      <c r="E5591">
        <v>0.91154422788605605</v>
      </c>
    </row>
    <row r="5592" spans="1:5">
      <c r="A5592" t="s">
        <v>6511</v>
      </c>
      <c r="B5592" t="s">
        <v>6520</v>
      </c>
      <c r="C5592">
        <f>0</f>
        <v>0</v>
      </c>
      <c r="D5592" t="s">
        <v>106</v>
      </c>
      <c r="E5592">
        <v>0.91154422788605605</v>
      </c>
    </row>
    <row r="5593" spans="1:5">
      <c r="A5593" t="s">
        <v>6521</v>
      </c>
      <c r="B5593" t="s">
        <v>6522</v>
      </c>
      <c r="C5593">
        <f>0.622655775714</f>
        <v>0.62265577571399999</v>
      </c>
      <c r="D5593" t="s">
        <v>106</v>
      </c>
      <c r="E5593">
        <v>2.6386806596701602</v>
      </c>
    </row>
    <row r="5594" spans="1:5">
      <c r="A5594" t="s">
        <v>6521</v>
      </c>
      <c r="B5594" t="s">
        <v>6523</v>
      </c>
      <c r="C5594">
        <f>0</f>
        <v>0</v>
      </c>
      <c r="D5594" t="s">
        <v>106</v>
      </c>
      <c r="E5594">
        <v>2.6386806596701602</v>
      </c>
    </row>
    <row r="5595" spans="1:5">
      <c r="A5595" t="s">
        <v>6521</v>
      </c>
      <c r="B5595" t="s">
        <v>6524</v>
      </c>
      <c r="C5595">
        <f>0.575725317413</f>
        <v>0.57572531741300004</v>
      </c>
      <c r="D5595" t="s">
        <v>106</v>
      </c>
      <c r="E5595">
        <v>2.6386806596701602</v>
      </c>
    </row>
    <row r="5596" spans="1:5">
      <c r="A5596" t="s">
        <v>6525</v>
      </c>
      <c r="B5596" t="s">
        <v>6526</v>
      </c>
      <c r="C5596">
        <v>0.313329582695</v>
      </c>
      <c r="D5596">
        <v>0.98607703518199996</v>
      </c>
      <c r="E5596">
        <v>3.40629685157421</v>
      </c>
    </row>
    <row r="5597" spans="1:5">
      <c r="A5597" t="s">
        <v>6525</v>
      </c>
      <c r="B5597" t="s">
        <v>6527</v>
      </c>
      <c r="C5597">
        <v>8.0786503739300006E-2</v>
      </c>
      <c r="D5597">
        <v>0.98607703518199996</v>
      </c>
      <c r="E5597">
        <v>3.40629685157421</v>
      </c>
    </row>
    <row r="5598" spans="1:5">
      <c r="A5598" t="s">
        <v>6528</v>
      </c>
      <c r="B5598" t="s">
        <v>6529</v>
      </c>
      <c r="C5598">
        <v>0</v>
      </c>
      <c r="D5598" t="s">
        <v>106</v>
      </c>
      <c r="E5598">
        <v>23.508245877061398</v>
      </c>
    </row>
    <row r="5599" spans="1:5">
      <c r="A5599" t="s">
        <v>6528</v>
      </c>
      <c r="B5599" t="s">
        <v>6530</v>
      </c>
      <c r="C5599">
        <f>0</f>
        <v>0</v>
      </c>
      <c r="D5599" t="s">
        <v>106</v>
      </c>
      <c r="E5599">
        <v>23.508245877061398</v>
      </c>
    </row>
    <row r="5600" spans="1:5">
      <c r="A5600" t="s">
        <v>6528</v>
      </c>
      <c r="B5600" t="s">
        <v>6531</v>
      </c>
      <c r="C5600">
        <v>0</v>
      </c>
      <c r="D5600" t="s">
        <v>106</v>
      </c>
      <c r="E5600">
        <v>23.508245877061398</v>
      </c>
    </row>
    <row r="5601" spans="1:5">
      <c r="A5601" t="s">
        <v>6528</v>
      </c>
      <c r="B5601" t="s">
        <v>6532</v>
      </c>
      <c r="C5601">
        <v>0</v>
      </c>
      <c r="D5601" t="s">
        <v>106</v>
      </c>
      <c r="E5601">
        <v>23.508245877061398</v>
      </c>
    </row>
    <row r="5602" spans="1:5">
      <c r="A5602" t="s">
        <v>6528</v>
      </c>
      <c r="B5602" t="s">
        <v>6533</v>
      </c>
      <c r="C5602">
        <f>0</f>
        <v>0</v>
      </c>
      <c r="D5602" t="s">
        <v>106</v>
      </c>
      <c r="E5602">
        <v>23.508245877061398</v>
      </c>
    </row>
    <row r="5603" spans="1:5">
      <c r="A5603" t="s">
        <v>6534</v>
      </c>
      <c r="B5603" t="s">
        <v>6535</v>
      </c>
      <c r="C5603">
        <v>0</v>
      </c>
      <c r="D5603" t="s">
        <v>106</v>
      </c>
      <c r="E5603">
        <v>24</v>
      </c>
    </row>
    <row r="5604" spans="1:5">
      <c r="A5604" t="s">
        <v>6534</v>
      </c>
      <c r="B5604" t="s">
        <v>6536</v>
      </c>
      <c r="C5604">
        <v>0</v>
      </c>
      <c r="D5604" t="s">
        <v>106</v>
      </c>
      <c r="E5604">
        <v>24</v>
      </c>
    </row>
    <row r="5605" spans="1:5">
      <c r="A5605" t="s">
        <v>6534</v>
      </c>
      <c r="B5605" t="s">
        <v>6537</v>
      </c>
      <c r="C5605">
        <v>0</v>
      </c>
      <c r="D5605" t="s">
        <v>106</v>
      </c>
      <c r="E5605">
        <v>24</v>
      </c>
    </row>
    <row r="5606" spans="1:5">
      <c r="A5606" t="s">
        <v>6534</v>
      </c>
      <c r="B5606" t="s">
        <v>6538</v>
      </c>
      <c r="C5606">
        <v>0</v>
      </c>
      <c r="D5606" t="s">
        <v>106</v>
      </c>
      <c r="E5606">
        <v>24</v>
      </c>
    </row>
    <row r="5607" spans="1:5">
      <c r="A5607" t="s">
        <v>6534</v>
      </c>
      <c r="B5607" t="s">
        <v>6539</v>
      </c>
      <c r="C5607">
        <v>0</v>
      </c>
      <c r="D5607" t="s">
        <v>106</v>
      </c>
      <c r="E5607">
        <v>24</v>
      </c>
    </row>
    <row r="5608" spans="1:5">
      <c r="A5608" t="s">
        <v>6540</v>
      </c>
      <c r="B5608" t="s">
        <v>6541</v>
      </c>
      <c r="C5608">
        <v>0.34115777226299998</v>
      </c>
      <c r="D5608" t="s">
        <v>106</v>
      </c>
      <c r="E5608">
        <v>4.58170914542728</v>
      </c>
    </row>
    <row r="5609" spans="1:5">
      <c r="A5609" t="s">
        <v>6540</v>
      </c>
      <c r="B5609" t="s">
        <v>6542</v>
      </c>
      <c r="C5609">
        <v>0</v>
      </c>
      <c r="D5609" t="s">
        <v>106</v>
      </c>
      <c r="E5609">
        <v>4.58170914542728</v>
      </c>
    </row>
    <row r="5610" spans="1:5">
      <c r="A5610" t="s">
        <v>6540</v>
      </c>
      <c r="B5610" t="s">
        <v>6543</v>
      </c>
      <c r="C5610">
        <f>0</f>
        <v>0</v>
      </c>
      <c r="D5610" t="s">
        <v>106</v>
      </c>
      <c r="E5610">
        <v>4.58170914542728</v>
      </c>
    </row>
    <row r="5611" spans="1:5">
      <c r="A5611" t="s">
        <v>6540</v>
      </c>
      <c r="B5611" t="s">
        <v>6544</v>
      </c>
      <c r="C5611">
        <v>0</v>
      </c>
      <c r="D5611" t="s">
        <v>106</v>
      </c>
      <c r="E5611">
        <v>4.58170914542728</v>
      </c>
    </row>
    <row r="5612" spans="1:5">
      <c r="A5612" t="s">
        <v>6540</v>
      </c>
      <c r="B5612" t="s">
        <v>6545</v>
      </c>
      <c r="C5612">
        <v>0</v>
      </c>
      <c r="D5612" t="s">
        <v>106</v>
      </c>
      <c r="E5612">
        <v>4.58170914542728</v>
      </c>
    </row>
    <row r="5613" spans="1:5">
      <c r="A5613" t="s">
        <v>6540</v>
      </c>
      <c r="B5613" t="s">
        <v>6546</v>
      </c>
      <c r="C5613">
        <v>0</v>
      </c>
      <c r="D5613" t="s">
        <v>106</v>
      </c>
      <c r="E5613">
        <v>4.58170914542728</v>
      </c>
    </row>
    <row r="5614" spans="1:5">
      <c r="A5614" t="s">
        <v>6540</v>
      </c>
      <c r="B5614" t="s">
        <v>6547</v>
      </c>
      <c r="C5614">
        <v>0</v>
      </c>
      <c r="D5614" t="s">
        <v>106</v>
      </c>
      <c r="E5614">
        <v>4.58170914542728</v>
      </c>
    </row>
    <row r="5615" spans="1:5">
      <c r="A5615" t="s">
        <v>6540</v>
      </c>
      <c r="B5615" t="s">
        <v>6548</v>
      </c>
      <c r="C5615">
        <v>0</v>
      </c>
      <c r="D5615" t="s">
        <v>106</v>
      </c>
      <c r="E5615">
        <v>4.58170914542728</v>
      </c>
    </row>
    <row r="5616" spans="1:5">
      <c r="A5616" t="s">
        <v>6540</v>
      </c>
      <c r="B5616" t="s">
        <v>6549</v>
      </c>
      <c r="C5616">
        <v>0.314346273274</v>
      </c>
      <c r="D5616" t="s">
        <v>106</v>
      </c>
      <c r="E5616">
        <v>4.58170914542728</v>
      </c>
    </row>
    <row r="5617" spans="1:5">
      <c r="A5617" t="s">
        <v>6540</v>
      </c>
      <c r="B5617" t="s">
        <v>6550</v>
      </c>
      <c r="C5617">
        <v>0</v>
      </c>
      <c r="D5617" t="s">
        <v>106</v>
      </c>
      <c r="E5617">
        <v>4.58170914542728</v>
      </c>
    </row>
    <row r="5618" spans="1:5">
      <c r="A5618" t="s">
        <v>6540</v>
      </c>
      <c r="B5618" t="s">
        <v>6551</v>
      </c>
      <c r="C5618">
        <f>0</f>
        <v>0</v>
      </c>
      <c r="D5618" t="s">
        <v>106</v>
      </c>
      <c r="E5618">
        <v>4.58170914542728</v>
      </c>
    </row>
    <row r="5619" spans="1:5">
      <c r="A5619" t="s">
        <v>6552</v>
      </c>
      <c r="B5619" t="s">
        <v>6553</v>
      </c>
      <c r="C5619">
        <v>0</v>
      </c>
      <c r="D5619">
        <v>0.98986788743099996</v>
      </c>
      <c r="E5619">
        <v>10.5547226386806</v>
      </c>
    </row>
    <row r="5620" spans="1:5">
      <c r="A5620" t="s">
        <v>6552</v>
      </c>
      <c r="B5620" t="s">
        <v>6554</v>
      </c>
      <c r="C5620">
        <v>6.6306348331700002E-2</v>
      </c>
      <c r="D5620">
        <v>0.98986788743099996</v>
      </c>
      <c r="E5620">
        <v>10.5547226386806</v>
      </c>
    </row>
    <row r="5621" spans="1:5">
      <c r="A5621" t="s">
        <v>6552</v>
      </c>
      <c r="B5621" t="s">
        <v>6555</v>
      </c>
      <c r="C5621">
        <v>0</v>
      </c>
      <c r="D5621">
        <v>0.98986788743099996</v>
      </c>
      <c r="E5621">
        <v>10.5547226386806</v>
      </c>
    </row>
    <row r="5622" spans="1:5">
      <c r="A5622" t="s">
        <v>6552</v>
      </c>
      <c r="B5622" t="s">
        <v>6556</v>
      </c>
      <c r="C5622">
        <v>0</v>
      </c>
      <c r="D5622">
        <v>0.98986788743099996</v>
      </c>
      <c r="E5622">
        <v>10.5547226386806</v>
      </c>
    </row>
    <row r="5623" spans="1:5">
      <c r="A5623" t="s">
        <v>6552</v>
      </c>
      <c r="B5623" t="s">
        <v>6557</v>
      </c>
      <c r="C5623">
        <v>0</v>
      </c>
      <c r="D5623">
        <v>0.98986788743099996</v>
      </c>
      <c r="E5623">
        <v>10.5547226386806</v>
      </c>
    </row>
    <row r="5624" spans="1:5">
      <c r="A5624" t="s">
        <v>6552</v>
      </c>
      <c r="B5624" t="s">
        <v>6558</v>
      </c>
      <c r="C5624">
        <v>0</v>
      </c>
      <c r="D5624">
        <v>0.98986788743099996</v>
      </c>
      <c r="E5624">
        <v>10.5547226386806</v>
      </c>
    </row>
    <row r="5625" spans="1:5">
      <c r="A5625" t="s">
        <v>6552</v>
      </c>
      <c r="B5625" t="s">
        <v>6559</v>
      </c>
      <c r="C5625">
        <f>0</f>
        <v>0</v>
      </c>
      <c r="D5625">
        <v>0.98986788743099996</v>
      </c>
      <c r="E5625">
        <v>10.5547226386806</v>
      </c>
    </row>
    <row r="5626" spans="1:5">
      <c r="A5626" t="s">
        <v>6552</v>
      </c>
      <c r="B5626" t="s">
        <v>6560</v>
      </c>
      <c r="C5626">
        <v>0</v>
      </c>
      <c r="D5626">
        <v>0.98986788743099996</v>
      </c>
      <c r="E5626">
        <v>10.5547226386806</v>
      </c>
    </row>
    <row r="5627" spans="1:5">
      <c r="A5627" t="s">
        <v>6552</v>
      </c>
      <c r="B5627" t="s">
        <v>6561</v>
      </c>
      <c r="C5627">
        <v>0</v>
      </c>
      <c r="D5627">
        <v>0.98986788743099996</v>
      </c>
      <c r="E5627">
        <v>10.5547226386806</v>
      </c>
    </row>
    <row r="5628" spans="1:5">
      <c r="A5628" t="s">
        <v>6552</v>
      </c>
      <c r="B5628" t="s">
        <v>6562</v>
      </c>
      <c r="C5628">
        <v>0.173303210352</v>
      </c>
      <c r="D5628">
        <v>0.98986788743099996</v>
      </c>
      <c r="E5628">
        <v>10.5547226386806</v>
      </c>
    </row>
    <row r="5629" spans="1:5">
      <c r="A5629" t="s">
        <v>6552</v>
      </c>
      <c r="B5629" t="s">
        <v>6563</v>
      </c>
      <c r="C5629">
        <f>0</f>
        <v>0</v>
      </c>
      <c r="D5629">
        <v>0.98986788743099996</v>
      </c>
      <c r="E5629">
        <v>10.5547226386806</v>
      </c>
    </row>
    <row r="5630" spans="1:5">
      <c r="A5630" t="s">
        <v>6552</v>
      </c>
      <c r="B5630" t="s">
        <v>6564</v>
      </c>
      <c r="C5630">
        <v>0</v>
      </c>
      <c r="D5630">
        <v>0.98986788743099996</v>
      </c>
      <c r="E5630">
        <v>10.5547226386806</v>
      </c>
    </row>
    <row r="5631" spans="1:5">
      <c r="A5631" t="s">
        <v>6552</v>
      </c>
      <c r="B5631" t="s">
        <v>6565</v>
      </c>
      <c r="C5631">
        <f>0</f>
        <v>0</v>
      </c>
      <c r="D5631">
        <v>0.98986788743099996</v>
      </c>
      <c r="E5631">
        <v>10.5547226386806</v>
      </c>
    </row>
    <row r="5632" spans="1:5">
      <c r="A5632" t="s">
        <v>6552</v>
      </c>
      <c r="B5632" t="s">
        <v>6566</v>
      </c>
      <c r="C5632">
        <v>0</v>
      </c>
      <c r="D5632">
        <v>0.98986788743099996</v>
      </c>
      <c r="E5632">
        <v>10.5547226386806</v>
      </c>
    </row>
    <row r="5633" spans="1:5">
      <c r="A5633" t="s">
        <v>6567</v>
      </c>
      <c r="B5633" t="s">
        <v>6568</v>
      </c>
      <c r="C5633">
        <f>0</f>
        <v>0</v>
      </c>
      <c r="D5633">
        <v>0.92181340852799998</v>
      </c>
      <c r="E5633">
        <v>18.770614692653599</v>
      </c>
    </row>
    <row r="5634" spans="1:5">
      <c r="A5634" t="s">
        <v>6569</v>
      </c>
      <c r="B5634" t="s">
        <v>6570</v>
      </c>
      <c r="C5634">
        <v>0</v>
      </c>
      <c r="D5634" t="s">
        <v>106</v>
      </c>
      <c r="E5634">
        <v>5.2413793103448203</v>
      </c>
    </row>
    <row r="5635" spans="1:5">
      <c r="A5635" t="s">
        <v>6571</v>
      </c>
      <c r="B5635" t="s">
        <v>6572</v>
      </c>
      <c r="C5635">
        <f>0</f>
        <v>0</v>
      </c>
      <c r="D5635" t="s">
        <v>106</v>
      </c>
      <c r="E5635">
        <v>1.89505247376311</v>
      </c>
    </row>
    <row r="5636" spans="1:5">
      <c r="A5636" t="s">
        <v>6571</v>
      </c>
      <c r="B5636" t="s">
        <v>6573</v>
      </c>
      <c r="C5636">
        <v>0</v>
      </c>
      <c r="D5636" t="s">
        <v>106</v>
      </c>
      <c r="E5636">
        <v>1.89505247376311</v>
      </c>
    </row>
    <row r="5637" spans="1:5">
      <c r="A5637" t="s">
        <v>6571</v>
      </c>
      <c r="B5637" t="s">
        <v>6574</v>
      </c>
      <c r="C5637">
        <f>0</f>
        <v>0</v>
      </c>
      <c r="D5637" t="s">
        <v>106</v>
      </c>
      <c r="E5637">
        <v>1.89505247376311</v>
      </c>
    </row>
    <row r="5638" spans="1:5">
      <c r="A5638" t="s">
        <v>6571</v>
      </c>
      <c r="B5638" t="s">
        <v>6575</v>
      </c>
      <c r="C5638">
        <f>0</f>
        <v>0</v>
      </c>
      <c r="D5638" t="s">
        <v>106</v>
      </c>
      <c r="E5638">
        <v>1.89505247376311</v>
      </c>
    </row>
    <row r="5639" spans="1:5">
      <c r="A5639" t="s">
        <v>6571</v>
      </c>
      <c r="B5639" t="s">
        <v>6576</v>
      </c>
      <c r="C5639">
        <f>0</f>
        <v>0</v>
      </c>
      <c r="D5639" t="s">
        <v>106</v>
      </c>
      <c r="E5639">
        <v>1.89505247376311</v>
      </c>
    </row>
    <row r="5640" spans="1:5">
      <c r="A5640" t="s">
        <v>6571</v>
      </c>
      <c r="B5640" t="s">
        <v>6577</v>
      </c>
      <c r="C5640">
        <f>0</f>
        <v>0</v>
      </c>
      <c r="D5640" t="s">
        <v>106</v>
      </c>
      <c r="E5640">
        <v>1.89505247376311</v>
      </c>
    </row>
    <row r="5641" spans="1:5">
      <c r="A5641" t="s">
        <v>6571</v>
      </c>
      <c r="B5641" t="s">
        <v>6578</v>
      </c>
      <c r="C5641">
        <f>0</f>
        <v>0</v>
      </c>
      <c r="D5641" t="s">
        <v>106</v>
      </c>
      <c r="E5641">
        <v>1.89505247376311</v>
      </c>
    </row>
    <row r="5642" spans="1:5">
      <c r="A5642" t="s">
        <v>6579</v>
      </c>
      <c r="B5642" t="s">
        <v>6580</v>
      </c>
      <c r="C5642">
        <v>0</v>
      </c>
      <c r="D5642">
        <v>0.97925912945000004</v>
      </c>
      <c r="E5642">
        <v>4.3778110944527704</v>
      </c>
    </row>
    <row r="5643" spans="1:5">
      <c r="A5643" t="s">
        <v>6579</v>
      </c>
      <c r="B5643" t="s">
        <v>6581</v>
      </c>
      <c r="C5643">
        <f>0</f>
        <v>0</v>
      </c>
      <c r="D5643">
        <v>0.97925912945000004</v>
      </c>
      <c r="E5643">
        <v>4.3778110944527704</v>
      </c>
    </row>
    <row r="5644" spans="1:5">
      <c r="A5644" t="s">
        <v>6579</v>
      </c>
      <c r="B5644" t="s">
        <v>6582</v>
      </c>
      <c r="C5644">
        <f>0</f>
        <v>0</v>
      </c>
      <c r="D5644">
        <v>0.97925912945000004</v>
      </c>
      <c r="E5644">
        <v>4.3778110944527704</v>
      </c>
    </row>
    <row r="5645" spans="1:5">
      <c r="A5645" t="s">
        <v>6579</v>
      </c>
      <c r="B5645" t="s">
        <v>6583</v>
      </c>
      <c r="C5645">
        <f>0</f>
        <v>0</v>
      </c>
      <c r="D5645">
        <v>0.97925912945000004</v>
      </c>
      <c r="E5645">
        <v>4.3778110944527704</v>
      </c>
    </row>
    <row r="5646" spans="1:5">
      <c r="A5646" t="s">
        <v>6579</v>
      </c>
      <c r="B5646" t="s">
        <v>6584</v>
      </c>
      <c r="C5646">
        <v>0.20851405565100001</v>
      </c>
      <c r="D5646">
        <v>0.97925912945000004</v>
      </c>
      <c r="E5646">
        <v>4.3778110944527704</v>
      </c>
    </row>
    <row r="5647" spans="1:5">
      <c r="A5647" t="s">
        <v>6579</v>
      </c>
      <c r="B5647" t="s">
        <v>6585</v>
      </c>
      <c r="C5647">
        <f>0</f>
        <v>0</v>
      </c>
      <c r="D5647">
        <v>0.97925912945000004</v>
      </c>
      <c r="E5647">
        <v>4.3778110944527704</v>
      </c>
    </row>
    <row r="5648" spans="1:5">
      <c r="A5648" t="s">
        <v>6579</v>
      </c>
      <c r="B5648" t="s">
        <v>6586</v>
      </c>
      <c r="C5648">
        <v>0</v>
      </c>
      <c r="D5648">
        <v>0.97925912945000004</v>
      </c>
      <c r="E5648">
        <v>4.3778110944527704</v>
      </c>
    </row>
    <row r="5649" spans="1:5">
      <c r="A5649" t="s">
        <v>6579</v>
      </c>
      <c r="B5649" t="s">
        <v>6587</v>
      </c>
      <c r="C5649">
        <f>0.113763096236</f>
        <v>0.11376309623600001</v>
      </c>
      <c r="D5649">
        <v>0.97925912945000004</v>
      </c>
      <c r="E5649">
        <v>4.3778110944527704</v>
      </c>
    </row>
    <row r="5650" spans="1:5">
      <c r="A5650" t="s">
        <v>6579</v>
      </c>
      <c r="B5650" t="s">
        <v>6588</v>
      </c>
      <c r="C5650">
        <v>0</v>
      </c>
      <c r="D5650">
        <v>0.97925912945000004</v>
      </c>
      <c r="E5650">
        <v>4.3778110944527704</v>
      </c>
    </row>
    <row r="5651" spans="1:5">
      <c r="A5651" t="s">
        <v>6589</v>
      </c>
      <c r="B5651" t="s">
        <v>6590</v>
      </c>
      <c r="C5651">
        <v>0</v>
      </c>
      <c r="D5651">
        <v>0.98804867798700002</v>
      </c>
      <c r="E5651">
        <v>13.445277361319301</v>
      </c>
    </row>
    <row r="5652" spans="1:5">
      <c r="A5652" t="s">
        <v>6589</v>
      </c>
      <c r="B5652" t="s">
        <v>6591</v>
      </c>
      <c r="C5652">
        <v>0.21760690241700001</v>
      </c>
      <c r="D5652">
        <v>0.98804867798700002</v>
      </c>
      <c r="E5652">
        <v>13.445277361319301</v>
      </c>
    </row>
    <row r="5653" spans="1:5">
      <c r="A5653" t="s">
        <v>6589</v>
      </c>
      <c r="B5653" t="s">
        <v>6592</v>
      </c>
      <c r="C5653">
        <f>0</f>
        <v>0</v>
      </c>
      <c r="D5653">
        <v>0.98804867798700002</v>
      </c>
      <c r="E5653">
        <v>13.445277361319301</v>
      </c>
    </row>
    <row r="5654" spans="1:5">
      <c r="A5654" t="s">
        <v>6589</v>
      </c>
      <c r="B5654" t="s">
        <v>6593</v>
      </c>
      <c r="C5654">
        <v>0</v>
      </c>
      <c r="D5654">
        <v>0.98804867798700002</v>
      </c>
      <c r="E5654">
        <v>13.445277361319301</v>
      </c>
    </row>
    <row r="5655" spans="1:5">
      <c r="A5655" t="s">
        <v>6589</v>
      </c>
      <c r="B5655" t="s">
        <v>6594</v>
      </c>
      <c r="C5655">
        <v>0</v>
      </c>
      <c r="D5655">
        <v>0.98804867798700002</v>
      </c>
      <c r="E5655">
        <v>13.445277361319301</v>
      </c>
    </row>
    <row r="5656" spans="1:5">
      <c r="A5656" t="s">
        <v>6589</v>
      </c>
      <c r="B5656" t="s">
        <v>6595</v>
      </c>
      <c r="C5656">
        <v>0.137910339844</v>
      </c>
      <c r="D5656">
        <v>0.98804867798700002</v>
      </c>
      <c r="E5656">
        <v>13.445277361319301</v>
      </c>
    </row>
    <row r="5657" spans="1:5">
      <c r="A5657" t="s">
        <v>6589</v>
      </c>
      <c r="B5657" t="s">
        <v>6596</v>
      </c>
      <c r="C5657">
        <v>0</v>
      </c>
      <c r="D5657">
        <v>0.98804867798700002</v>
      </c>
      <c r="E5657">
        <v>13.445277361319301</v>
      </c>
    </row>
    <row r="5658" spans="1:5">
      <c r="A5658" t="s">
        <v>6597</v>
      </c>
      <c r="B5658" t="s">
        <v>6598</v>
      </c>
      <c r="C5658">
        <f>0</f>
        <v>0</v>
      </c>
      <c r="D5658">
        <v>0.644825367072</v>
      </c>
      <c r="E5658">
        <v>6.0569715142428704</v>
      </c>
    </row>
    <row r="5659" spans="1:5">
      <c r="A5659" t="s">
        <v>6597</v>
      </c>
      <c r="B5659" t="s">
        <v>6599</v>
      </c>
      <c r="C5659">
        <v>0</v>
      </c>
      <c r="D5659">
        <v>0.644825367072</v>
      </c>
      <c r="E5659">
        <v>6.0569715142428704</v>
      </c>
    </row>
    <row r="5660" spans="1:5">
      <c r="A5660" t="s">
        <v>6597</v>
      </c>
      <c r="B5660" t="s">
        <v>6600</v>
      </c>
      <c r="C5660">
        <v>0.35513612353099999</v>
      </c>
      <c r="D5660">
        <v>0.644825367072</v>
      </c>
      <c r="E5660">
        <v>6.0569715142428704</v>
      </c>
    </row>
    <row r="5661" spans="1:5">
      <c r="A5661" t="s">
        <v>6597</v>
      </c>
      <c r="B5661" t="s">
        <v>6601</v>
      </c>
      <c r="C5661">
        <v>0</v>
      </c>
      <c r="D5661">
        <v>0.644825367072</v>
      </c>
      <c r="E5661">
        <v>6.0569715142428704</v>
      </c>
    </row>
    <row r="5662" spans="1:5">
      <c r="A5662" t="s">
        <v>6597</v>
      </c>
      <c r="B5662" t="s">
        <v>6602</v>
      </c>
      <c r="C5662">
        <f>0</f>
        <v>0</v>
      </c>
      <c r="D5662">
        <v>0.644825367072</v>
      </c>
      <c r="E5662">
        <v>6.0569715142428704</v>
      </c>
    </row>
    <row r="5663" spans="1:5">
      <c r="A5663" t="s">
        <v>6597</v>
      </c>
      <c r="B5663" t="s">
        <v>6603</v>
      </c>
      <c r="C5663">
        <f>0</f>
        <v>0</v>
      </c>
      <c r="D5663">
        <v>0.644825367072</v>
      </c>
      <c r="E5663">
        <v>6.0569715142428704</v>
      </c>
    </row>
    <row r="5664" spans="1:5">
      <c r="A5664" t="s">
        <v>6597</v>
      </c>
      <c r="B5664" t="s">
        <v>6604</v>
      </c>
      <c r="C5664">
        <v>0.25643318307700003</v>
      </c>
      <c r="D5664">
        <v>0.644825367072</v>
      </c>
      <c r="E5664">
        <v>6.0569715142428704</v>
      </c>
    </row>
    <row r="5665" spans="1:5">
      <c r="A5665" t="s">
        <v>6605</v>
      </c>
      <c r="B5665" t="s">
        <v>6606</v>
      </c>
      <c r="C5665">
        <v>0</v>
      </c>
      <c r="D5665">
        <v>0.80544794005200004</v>
      </c>
      <c r="E5665">
        <v>17.511244377811</v>
      </c>
    </row>
    <row r="5666" spans="1:5">
      <c r="A5666" t="s">
        <v>6607</v>
      </c>
      <c r="B5666" t="s">
        <v>6608</v>
      </c>
      <c r="C5666">
        <v>0</v>
      </c>
      <c r="D5666">
        <v>0.98760138203400005</v>
      </c>
      <c r="E5666">
        <v>24</v>
      </c>
    </row>
    <row r="5667" spans="1:5">
      <c r="A5667" t="s">
        <v>6607</v>
      </c>
      <c r="B5667" t="s">
        <v>6609</v>
      </c>
      <c r="C5667">
        <v>0</v>
      </c>
      <c r="D5667">
        <v>0.98760138203400005</v>
      </c>
      <c r="E5667">
        <v>24</v>
      </c>
    </row>
    <row r="5668" spans="1:5">
      <c r="A5668" t="s">
        <v>6607</v>
      </c>
      <c r="B5668" t="s">
        <v>6610</v>
      </c>
      <c r="C5668">
        <v>0</v>
      </c>
      <c r="D5668">
        <v>0.98760138203400005</v>
      </c>
      <c r="E5668">
        <v>24</v>
      </c>
    </row>
    <row r="5669" spans="1:5">
      <c r="A5669" t="s">
        <v>6607</v>
      </c>
      <c r="B5669" t="s">
        <v>6611</v>
      </c>
      <c r="C5669">
        <f>0</f>
        <v>0</v>
      </c>
      <c r="D5669">
        <v>0.98760138203400005</v>
      </c>
      <c r="E5669">
        <v>24</v>
      </c>
    </row>
    <row r="5670" spans="1:5">
      <c r="A5670" t="s">
        <v>6612</v>
      </c>
      <c r="B5670" t="s">
        <v>6613</v>
      </c>
      <c r="C5670">
        <v>0</v>
      </c>
      <c r="D5670">
        <v>0.98925948851400003</v>
      </c>
      <c r="E5670">
        <v>1.51124437781109</v>
      </c>
    </row>
    <row r="5671" spans="1:5">
      <c r="A5671" t="s">
        <v>6612</v>
      </c>
      <c r="B5671" t="s">
        <v>6614</v>
      </c>
      <c r="C5671">
        <v>0</v>
      </c>
      <c r="D5671">
        <v>0.98925948851400003</v>
      </c>
      <c r="E5671">
        <v>1.51124437781109</v>
      </c>
    </row>
    <row r="5672" spans="1:5">
      <c r="A5672" t="s">
        <v>6612</v>
      </c>
      <c r="B5672" t="s">
        <v>6615</v>
      </c>
      <c r="C5672">
        <v>3.3730317159800002E-2</v>
      </c>
      <c r="D5672">
        <v>0.98925948851400003</v>
      </c>
      <c r="E5672">
        <v>1.51124437781109</v>
      </c>
    </row>
    <row r="5673" spans="1:5">
      <c r="A5673" t="s">
        <v>6612</v>
      </c>
      <c r="B5673" t="s">
        <v>6616</v>
      </c>
      <c r="C5673">
        <v>0</v>
      </c>
      <c r="D5673">
        <v>0.98925948851400003</v>
      </c>
      <c r="E5673">
        <v>1.51124437781109</v>
      </c>
    </row>
    <row r="5674" spans="1:5">
      <c r="A5674" t="s">
        <v>6612</v>
      </c>
      <c r="B5674" t="s">
        <v>6617</v>
      </c>
      <c r="C5674">
        <v>0.22648873764399999</v>
      </c>
      <c r="D5674">
        <v>0.98925948851400003</v>
      </c>
      <c r="E5674">
        <v>1.51124437781109</v>
      </c>
    </row>
    <row r="5675" spans="1:5">
      <c r="A5675" t="s">
        <v>6612</v>
      </c>
      <c r="B5675" t="s">
        <v>6618</v>
      </c>
      <c r="C5675">
        <f>0</f>
        <v>0</v>
      </c>
      <c r="D5675">
        <v>0.98925948851400003</v>
      </c>
      <c r="E5675">
        <v>1.51124437781109</v>
      </c>
    </row>
    <row r="5676" spans="1:5">
      <c r="A5676" t="s">
        <v>6612</v>
      </c>
      <c r="B5676" t="s">
        <v>6619</v>
      </c>
      <c r="C5676">
        <f>0</f>
        <v>0</v>
      </c>
      <c r="D5676">
        <v>0.98925948851400003</v>
      </c>
      <c r="E5676">
        <v>1.51124437781109</v>
      </c>
    </row>
    <row r="5677" spans="1:5">
      <c r="A5677" t="s">
        <v>6612</v>
      </c>
      <c r="B5677" t="s">
        <v>6620</v>
      </c>
      <c r="C5677">
        <v>0</v>
      </c>
      <c r="D5677">
        <v>0.98925948851400003</v>
      </c>
      <c r="E5677">
        <v>1.51124437781109</v>
      </c>
    </row>
    <row r="5678" spans="1:5">
      <c r="A5678" t="s">
        <v>6612</v>
      </c>
      <c r="B5678" t="s">
        <v>6621</v>
      </c>
      <c r="C5678">
        <v>0</v>
      </c>
      <c r="D5678">
        <v>0.98925948851400003</v>
      </c>
      <c r="E5678">
        <v>1.51124437781109</v>
      </c>
    </row>
    <row r="5679" spans="1:5">
      <c r="A5679" t="s">
        <v>6612</v>
      </c>
      <c r="B5679" t="s">
        <v>6622</v>
      </c>
      <c r="C5679">
        <v>0</v>
      </c>
      <c r="D5679">
        <v>0.98925948851400003</v>
      </c>
      <c r="E5679">
        <v>1.51124437781109</v>
      </c>
    </row>
    <row r="5680" spans="1:5">
      <c r="A5680" t="s">
        <v>6612</v>
      </c>
      <c r="B5680" t="s">
        <v>6623</v>
      </c>
      <c r="C5680">
        <f>0</f>
        <v>0</v>
      </c>
      <c r="D5680">
        <v>0.98925948851400003</v>
      </c>
      <c r="E5680">
        <v>1.51124437781109</v>
      </c>
    </row>
    <row r="5681" spans="1:5">
      <c r="A5681" t="s">
        <v>6624</v>
      </c>
      <c r="B5681" t="s">
        <v>6625</v>
      </c>
      <c r="C5681">
        <f>0</f>
        <v>0</v>
      </c>
      <c r="D5681">
        <v>0.94683487290799995</v>
      </c>
      <c r="E5681">
        <v>1.11544227886056</v>
      </c>
    </row>
    <row r="5682" spans="1:5">
      <c r="A5682" t="s">
        <v>6624</v>
      </c>
      <c r="B5682" t="s">
        <v>6626</v>
      </c>
      <c r="C5682">
        <v>0</v>
      </c>
      <c r="D5682">
        <v>0.94683487290799995</v>
      </c>
      <c r="E5682">
        <v>1.11544227886056</v>
      </c>
    </row>
    <row r="5683" spans="1:5">
      <c r="A5683" t="s">
        <v>6624</v>
      </c>
      <c r="B5683" t="s">
        <v>6627</v>
      </c>
      <c r="C5683">
        <v>0.19959522206499999</v>
      </c>
      <c r="D5683">
        <v>0.94683487290799995</v>
      </c>
      <c r="E5683">
        <v>1.11544227886056</v>
      </c>
    </row>
    <row r="5684" spans="1:5">
      <c r="A5684" t="s">
        <v>6624</v>
      </c>
      <c r="B5684" t="s">
        <v>6628</v>
      </c>
      <c r="C5684">
        <f>0</f>
        <v>0</v>
      </c>
      <c r="D5684">
        <v>0.94683487290799995</v>
      </c>
      <c r="E5684">
        <v>1.11544227886056</v>
      </c>
    </row>
    <row r="5685" spans="1:5">
      <c r="A5685" t="s">
        <v>6624</v>
      </c>
      <c r="B5685" t="s">
        <v>6629</v>
      </c>
      <c r="C5685">
        <f>0</f>
        <v>0</v>
      </c>
      <c r="D5685">
        <v>0.94683487290799995</v>
      </c>
      <c r="E5685">
        <v>1.11544227886056</v>
      </c>
    </row>
    <row r="5686" spans="1:5">
      <c r="A5686" t="s">
        <v>6624</v>
      </c>
      <c r="B5686" t="s">
        <v>6630</v>
      </c>
      <c r="C5686">
        <f>0</f>
        <v>0</v>
      </c>
      <c r="D5686">
        <v>0.94683487290799995</v>
      </c>
      <c r="E5686">
        <v>1.11544227886056</v>
      </c>
    </row>
    <row r="5687" spans="1:5">
      <c r="A5687" t="s">
        <v>6624</v>
      </c>
      <c r="B5687" t="s">
        <v>6631</v>
      </c>
      <c r="C5687">
        <v>0</v>
      </c>
      <c r="D5687">
        <v>0.94683487290799995</v>
      </c>
      <c r="E5687">
        <v>1.11544227886056</v>
      </c>
    </row>
    <row r="5688" spans="1:5">
      <c r="A5688" t="s">
        <v>6624</v>
      </c>
      <c r="B5688" t="s">
        <v>6632</v>
      </c>
      <c r="C5688">
        <f>0</f>
        <v>0</v>
      </c>
      <c r="D5688">
        <v>0.94683487290799995</v>
      </c>
      <c r="E5688">
        <v>1.11544227886056</v>
      </c>
    </row>
    <row r="5689" spans="1:5">
      <c r="A5689" t="s">
        <v>6624</v>
      </c>
      <c r="B5689" t="s">
        <v>6633</v>
      </c>
      <c r="C5689">
        <f>0</f>
        <v>0</v>
      </c>
      <c r="D5689">
        <v>0.94683487290799995</v>
      </c>
      <c r="E5689">
        <v>1.11544227886056</v>
      </c>
    </row>
    <row r="5690" spans="1:5">
      <c r="A5690" t="s">
        <v>6624</v>
      </c>
      <c r="B5690" t="s">
        <v>6634</v>
      </c>
      <c r="C5690">
        <f>0</f>
        <v>0</v>
      </c>
      <c r="D5690">
        <v>0.94683487290799995</v>
      </c>
      <c r="E5690">
        <v>1.11544227886056</v>
      </c>
    </row>
    <row r="5691" spans="1:5">
      <c r="A5691" t="s">
        <v>6624</v>
      </c>
      <c r="B5691" t="s">
        <v>6635</v>
      </c>
      <c r="C5691">
        <f>0</f>
        <v>0</v>
      </c>
      <c r="D5691">
        <v>0.94683487290799995</v>
      </c>
      <c r="E5691">
        <v>1.11544227886056</v>
      </c>
    </row>
    <row r="5692" spans="1:5">
      <c r="A5692" t="s">
        <v>6624</v>
      </c>
      <c r="B5692" t="s">
        <v>6636</v>
      </c>
      <c r="C5692">
        <v>0</v>
      </c>
      <c r="D5692">
        <v>0.94683487290799995</v>
      </c>
      <c r="E5692">
        <v>1.11544227886056</v>
      </c>
    </row>
    <row r="5693" spans="1:5">
      <c r="A5693" t="s">
        <v>6624</v>
      </c>
      <c r="B5693" t="s">
        <v>6637</v>
      </c>
      <c r="C5693">
        <v>0</v>
      </c>
      <c r="D5693">
        <v>0.94683487290799995</v>
      </c>
      <c r="E5693">
        <v>1.11544227886056</v>
      </c>
    </row>
    <row r="5694" spans="1:5">
      <c r="A5694" t="s">
        <v>6624</v>
      </c>
      <c r="B5694" t="s">
        <v>6638</v>
      </c>
      <c r="C5694">
        <v>0</v>
      </c>
      <c r="D5694">
        <v>0.94683487290799995</v>
      </c>
      <c r="E5694">
        <v>1.11544227886056</v>
      </c>
    </row>
    <row r="5695" spans="1:5">
      <c r="A5695" t="s">
        <v>6624</v>
      </c>
      <c r="B5695" t="s">
        <v>6639</v>
      </c>
      <c r="C5695">
        <f>0</f>
        <v>0</v>
      </c>
      <c r="D5695">
        <v>0.94683487290799995</v>
      </c>
      <c r="E5695">
        <v>1.11544227886056</v>
      </c>
    </row>
    <row r="5696" spans="1:5">
      <c r="A5696" t="s">
        <v>6624</v>
      </c>
      <c r="B5696" t="s">
        <v>6640</v>
      </c>
      <c r="C5696">
        <f>0</f>
        <v>0</v>
      </c>
      <c r="D5696">
        <v>0.94683487290799995</v>
      </c>
      <c r="E5696">
        <v>1.11544227886056</v>
      </c>
    </row>
    <row r="5697" spans="1:5">
      <c r="A5697" t="s">
        <v>6624</v>
      </c>
      <c r="B5697" t="s">
        <v>6641</v>
      </c>
      <c r="C5697">
        <f>0</f>
        <v>0</v>
      </c>
      <c r="D5697">
        <v>0.94683487290799995</v>
      </c>
      <c r="E5697">
        <v>1.11544227886056</v>
      </c>
    </row>
    <row r="5698" spans="1:5">
      <c r="A5698" t="s">
        <v>6624</v>
      </c>
      <c r="B5698" t="s">
        <v>6642</v>
      </c>
      <c r="C5698">
        <v>0</v>
      </c>
      <c r="D5698">
        <v>0.94683487290799995</v>
      </c>
      <c r="E5698">
        <v>1.11544227886056</v>
      </c>
    </row>
    <row r="5699" spans="1:5">
      <c r="A5699" t="s">
        <v>6624</v>
      </c>
      <c r="B5699" t="s">
        <v>6643</v>
      </c>
      <c r="C5699">
        <f>0</f>
        <v>0</v>
      </c>
      <c r="D5699">
        <v>0.94683487290799995</v>
      </c>
      <c r="E5699">
        <v>1.11544227886056</v>
      </c>
    </row>
    <row r="5700" spans="1:5">
      <c r="A5700" t="s">
        <v>6644</v>
      </c>
      <c r="B5700" t="s">
        <v>6645</v>
      </c>
      <c r="C5700">
        <v>0.178412642096</v>
      </c>
      <c r="D5700">
        <v>0.99704692833499997</v>
      </c>
      <c r="E5700">
        <v>11.5382308845577</v>
      </c>
    </row>
    <row r="5701" spans="1:5">
      <c r="A5701" t="s">
        <v>6644</v>
      </c>
      <c r="B5701" t="s">
        <v>6646</v>
      </c>
      <c r="C5701">
        <v>0</v>
      </c>
      <c r="D5701">
        <v>0.99704692833499997</v>
      </c>
      <c r="E5701">
        <v>11.5382308845577</v>
      </c>
    </row>
    <row r="5702" spans="1:5">
      <c r="A5702" t="s">
        <v>6644</v>
      </c>
      <c r="B5702" t="s">
        <v>6647</v>
      </c>
      <c r="C5702">
        <v>1.5104309070799999E-2</v>
      </c>
      <c r="D5702">
        <v>0.99704692833499997</v>
      </c>
      <c r="E5702">
        <v>11.5382308845577</v>
      </c>
    </row>
    <row r="5703" spans="1:5">
      <c r="A5703" t="s">
        <v>6644</v>
      </c>
      <c r="B5703" t="s">
        <v>6648</v>
      </c>
      <c r="C5703">
        <v>0</v>
      </c>
      <c r="D5703">
        <v>0.99704692833499997</v>
      </c>
      <c r="E5703">
        <v>11.5382308845577</v>
      </c>
    </row>
    <row r="5704" spans="1:5">
      <c r="A5704" t="s">
        <v>6649</v>
      </c>
      <c r="B5704" t="s">
        <v>6650</v>
      </c>
      <c r="C5704">
        <v>0.27937412971499997</v>
      </c>
      <c r="D5704">
        <v>0.97514681841200002</v>
      </c>
      <c r="E5704">
        <v>12.5577211394302</v>
      </c>
    </row>
    <row r="5705" spans="1:5">
      <c r="A5705" t="s">
        <v>6649</v>
      </c>
      <c r="B5705" t="s">
        <v>6651</v>
      </c>
      <c r="C5705">
        <f>0.0661396415762</f>
        <v>6.6139641576200003E-2</v>
      </c>
      <c r="D5705">
        <v>0.97514681841200002</v>
      </c>
      <c r="E5705">
        <v>12.5577211394302</v>
      </c>
    </row>
    <row r="5706" spans="1:5">
      <c r="A5706" t="s">
        <v>6652</v>
      </c>
      <c r="B5706" t="s">
        <v>6653</v>
      </c>
      <c r="C5706">
        <f>0</f>
        <v>0</v>
      </c>
      <c r="D5706" t="s">
        <v>106</v>
      </c>
      <c r="E5706">
        <v>1.51124437781109</v>
      </c>
    </row>
    <row r="5707" spans="1:5">
      <c r="A5707" t="s">
        <v>6652</v>
      </c>
      <c r="B5707" t="s">
        <v>6654</v>
      </c>
      <c r="C5707">
        <f>0</f>
        <v>0</v>
      </c>
      <c r="D5707" t="s">
        <v>106</v>
      </c>
      <c r="E5707">
        <v>1.51124437781109</v>
      </c>
    </row>
    <row r="5708" spans="1:5">
      <c r="A5708" t="s">
        <v>6652</v>
      </c>
      <c r="B5708" t="s">
        <v>6655</v>
      </c>
      <c r="C5708">
        <v>0</v>
      </c>
      <c r="D5708" t="s">
        <v>106</v>
      </c>
      <c r="E5708">
        <v>1.51124437781109</v>
      </c>
    </row>
    <row r="5709" spans="1:5">
      <c r="A5709" t="s">
        <v>6656</v>
      </c>
      <c r="B5709" t="s">
        <v>6657</v>
      </c>
      <c r="C5709">
        <v>0</v>
      </c>
      <c r="D5709" t="s">
        <v>106</v>
      </c>
      <c r="E5709">
        <v>24</v>
      </c>
    </row>
    <row r="5710" spans="1:5">
      <c r="A5710" t="s">
        <v>6656</v>
      </c>
      <c r="B5710" t="s">
        <v>6658</v>
      </c>
      <c r="C5710">
        <v>2.9556054509699999E-2</v>
      </c>
      <c r="D5710" t="s">
        <v>106</v>
      </c>
      <c r="E5710">
        <v>24</v>
      </c>
    </row>
    <row r="5711" spans="1:5">
      <c r="A5711" t="s">
        <v>6656</v>
      </c>
      <c r="B5711" t="s">
        <v>6659</v>
      </c>
      <c r="C5711">
        <v>0</v>
      </c>
      <c r="D5711" t="s">
        <v>106</v>
      </c>
      <c r="E5711">
        <v>24</v>
      </c>
    </row>
    <row r="5712" spans="1:5">
      <c r="A5712" t="s">
        <v>6656</v>
      </c>
      <c r="B5712" t="s">
        <v>6660</v>
      </c>
      <c r="C5712">
        <f>0</f>
        <v>0</v>
      </c>
      <c r="D5712" t="s">
        <v>106</v>
      </c>
      <c r="E5712">
        <v>24</v>
      </c>
    </row>
    <row r="5713" spans="1:5">
      <c r="A5713" t="s">
        <v>6656</v>
      </c>
      <c r="B5713" t="s">
        <v>6661</v>
      </c>
      <c r="C5713">
        <v>0</v>
      </c>
      <c r="D5713" t="s">
        <v>106</v>
      </c>
      <c r="E5713">
        <v>24</v>
      </c>
    </row>
    <row r="5714" spans="1:5">
      <c r="A5714" t="s">
        <v>6656</v>
      </c>
      <c r="B5714" t="s">
        <v>6662</v>
      </c>
      <c r="C5714">
        <v>0</v>
      </c>
      <c r="D5714" t="s">
        <v>106</v>
      </c>
      <c r="E5714">
        <v>24</v>
      </c>
    </row>
    <row r="5715" spans="1:5">
      <c r="A5715" t="s">
        <v>6656</v>
      </c>
      <c r="B5715" t="s">
        <v>6663</v>
      </c>
      <c r="C5715">
        <v>0</v>
      </c>
      <c r="D5715" t="s">
        <v>106</v>
      </c>
      <c r="E5715">
        <v>24</v>
      </c>
    </row>
    <row r="5716" spans="1:5">
      <c r="A5716" t="s">
        <v>6656</v>
      </c>
      <c r="B5716" t="s">
        <v>6664</v>
      </c>
      <c r="C5716">
        <v>0</v>
      </c>
      <c r="D5716" t="s">
        <v>106</v>
      </c>
      <c r="E5716">
        <v>24</v>
      </c>
    </row>
    <row r="5717" spans="1:5">
      <c r="A5717" t="s">
        <v>6656</v>
      </c>
      <c r="B5717" t="s">
        <v>6665</v>
      </c>
      <c r="C5717">
        <v>0</v>
      </c>
      <c r="D5717" t="s">
        <v>106</v>
      </c>
      <c r="E5717">
        <v>24</v>
      </c>
    </row>
    <row r="5718" spans="1:5">
      <c r="A5718" t="s">
        <v>6656</v>
      </c>
      <c r="B5718" t="s">
        <v>6666</v>
      </c>
      <c r="C5718">
        <v>0</v>
      </c>
      <c r="D5718" t="s">
        <v>106</v>
      </c>
      <c r="E5718">
        <v>24</v>
      </c>
    </row>
    <row r="5719" spans="1:5">
      <c r="A5719" t="s">
        <v>6656</v>
      </c>
      <c r="B5719" t="s">
        <v>6667</v>
      </c>
      <c r="C5719">
        <v>7.5385317497800003E-2</v>
      </c>
      <c r="D5719" t="s">
        <v>106</v>
      </c>
      <c r="E5719">
        <v>24</v>
      </c>
    </row>
    <row r="5720" spans="1:5">
      <c r="A5720" t="s">
        <v>6656</v>
      </c>
      <c r="B5720" t="s">
        <v>6668</v>
      </c>
      <c r="C5720">
        <v>0</v>
      </c>
      <c r="D5720" t="s">
        <v>106</v>
      </c>
      <c r="E5720">
        <v>24</v>
      </c>
    </row>
    <row r="5721" spans="1:5">
      <c r="A5721" t="s">
        <v>6656</v>
      </c>
      <c r="B5721" t="s">
        <v>6669</v>
      </c>
      <c r="C5721">
        <v>0</v>
      </c>
      <c r="D5721" t="s">
        <v>106</v>
      </c>
      <c r="E5721">
        <v>24</v>
      </c>
    </row>
    <row r="5722" spans="1:5">
      <c r="A5722" t="s">
        <v>6670</v>
      </c>
      <c r="B5722" t="s">
        <v>6671</v>
      </c>
      <c r="C5722">
        <f>0.0623713658787</f>
        <v>6.23713658787E-2</v>
      </c>
      <c r="D5722">
        <v>0.97478049705400005</v>
      </c>
      <c r="E5722">
        <v>23.508245877061398</v>
      </c>
    </row>
    <row r="5723" spans="1:5">
      <c r="A5723" t="s">
        <v>6670</v>
      </c>
      <c r="B5723" t="s">
        <v>6672</v>
      </c>
      <c r="C5723">
        <f>0</f>
        <v>0</v>
      </c>
      <c r="D5723">
        <v>0.97478049705400005</v>
      </c>
      <c r="E5723">
        <v>23.508245877061398</v>
      </c>
    </row>
    <row r="5724" spans="1:5">
      <c r="A5724" t="s">
        <v>6670</v>
      </c>
      <c r="B5724" t="s">
        <v>6673</v>
      </c>
      <c r="C5724">
        <f>0</f>
        <v>0</v>
      </c>
      <c r="D5724">
        <v>0.97478049705400005</v>
      </c>
      <c r="E5724">
        <v>23.508245877061398</v>
      </c>
    </row>
    <row r="5725" spans="1:5">
      <c r="A5725" t="s">
        <v>6670</v>
      </c>
      <c r="B5725" t="s">
        <v>6674</v>
      </c>
      <c r="C5725">
        <f>0</f>
        <v>0</v>
      </c>
      <c r="D5725">
        <v>0.97478049705400005</v>
      </c>
      <c r="E5725">
        <v>23.508245877061398</v>
      </c>
    </row>
    <row r="5726" spans="1:5">
      <c r="A5726" t="s">
        <v>6670</v>
      </c>
      <c r="B5726" t="s">
        <v>6675</v>
      </c>
      <c r="C5726">
        <f>0</f>
        <v>0</v>
      </c>
      <c r="D5726">
        <v>0.97478049705400005</v>
      </c>
      <c r="E5726">
        <v>23.508245877061398</v>
      </c>
    </row>
    <row r="5727" spans="1:5">
      <c r="A5727" t="s">
        <v>6670</v>
      </c>
      <c r="B5727" t="s">
        <v>6676</v>
      </c>
      <c r="C5727">
        <f>0</f>
        <v>0</v>
      </c>
      <c r="D5727">
        <v>0.97478049705400005</v>
      </c>
      <c r="E5727">
        <v>23.508245877061398</v>
      </c>
    </row>
    <row r="5728" spans="1:5">
      <c r="A5728" t="s">
        <v>6670</v>
      </c>
      <c r="B5728" t="s">
        <v>6677</v>
      </c>
      <c r="C5728">
        <f>0</f>
        <v>0</v>
      </c>
      <c r="D5728">
        <v>0.97478049705400005</v>
      </c>
      <c r="E5728">
        <v>23.508245877061398</v>
      </c>
    </row>
    <row r="5729" spans="1:5">
      <c r="A5729" t="s">
        <v>6678</v>
      </c>
      <c r="B5729" t="s">
        <v>6679</v>
      </c>
      <c r="C5729">
        <v>0</v>
      </c>
      <c r="D5729">
        <v>0.98287820789900004</v>
      </c>
      <c r="E5729">
        <v>19.850074962518701</v>
      </c>
    </row>
    <row r="5730" spans="1:5">
      <c r="A5730" t="s">
        <v>6678</v>
      </c>
      <c r="B5730" t="s">
        <v>6680</v>
      </c>
      <c r="C5730">
        <v>0</v>
      </c>
      <c r="D5730">
        <v>0.98287820789900004</v>
      </c>
      <c r="E5730">
        <v>19.850074962518701</v>
      </c>
    </row>
    <row r="5731" spans="1:5">
      <c r="A5731" t="s">
        <v>6678</v>
      </c>
      <c r="B5731" t="s">
        <v>6681</v>
      </c>
      <c r="C5731">
        <v>0</v>
      </c>
      <c r="D5731">
        <v>0.98287820789900004</v>
      </c>
      <c r="E5731">
        <v>19.850074962518701</v>
      </c>
    </row>
    <row r="5732" spans="1:5">
      <c r="A5732" t="s">
        <v>6678</v>
      </c>
      <c r="B5732" t="s">
        <v>6682</v>
      </c>
      <c r="C5732">
        <v>0</v>
      </c>
      <c r="D5732">
        <v>0.98287820789900004</v>
      </c>
      <c r="E5732">
        <v>19.850074962518701</v>
      </c>
    </row>
    <row r="5733" spans="1:5">
      <c r="A5733" t="s">
        <v>6678</v>
      </c>
      <c r="B5733" t="s">
        <v>6683</v>
      </c>
      <c r="C5733">
        <v>0</v>
      </c>
      <c r="D5733">
        <v>0.98287820789900004</v>
      </c>
      <c r="E5733">
        <v>19.850074962518701</v>
      </c>
    </row>
    <row r="5734" spans="1:5">
      <c r="A5734" t="s">
        <v>6684</v>
      </c>
      <c r="B5734" t="s">
        <v>6685</v>
      </c>
      <c r="C5734">
        <v>0</v>
      </c>
      <c r="D5734">
        <v>0.82260357965800002</v>
      </c>
      <c r="E5734">
        <v>24</v>
      </c>
    </row>
    <row r="5735" spans="1:5">
      <c r="A5735" t="s">
        <v>6684</v>
      </c>
      <c r="B5735" t="s">
        <v>6686</v>
      </c>
      <c r="C5735">
        <v>0</v>
      </c>
      <c r="D5735">
        <v>0.82260357965800002</v>
      </c>
      <c r="E5735">
        <v>24</v>
      </c>
    </row>
    <row r="5736" spans="1:5">
      <c r="A5736" t="s">
        <v>6684</v>
      </c>
      <c r="B5736" t="s">
        <v>6687</v>
      </c>
      <c r="C5736">
        <v>0</v>
      </c>
      <c r="D5736">
        <v>0.82260357965800002</v>
      </c>
      <c r="E5736">
        <v>24</v>
      </c>
    </row>
    <row r="5737" spans="1:5">
      <c r="A5737" t="s">
        <v>6684</v>
      </c>
      <c r="B5737" t="s">
        <v>6688</v>
      </c>
      <c r="C5737">
        <v>0</v>
      </c>
      <c r="D5737">
        <v>0.82260357965800002</v>
      </c>
      <c r="E5737">
        <v>24</v>
      </c>
    </row>
    <row r="5738" spans="1:5">
      <c r="A5738" t="s">
        <v>6684</v>
      </c>
      <c r="B5738" t="s">
        <v>6689</v>
      </c>
      <c r="C5738">
        <v>0</v>
      </c>
      <c r="D5738">
        <v>0.82260357965800002</v>
      </c>
      <c r="E5738">
        <v>24</v>
      </c>
    </row>
    <row r="5739" spans="1:5">
      <c r="A5739" t="s">
        <v>6684</v>
      </c>
      <c r="B5739" t="s">
        <v>6690</v>
      </c>
      <c r="C5739">
        <v>0</v>
      </c>
      <c r="D5739">
        <v>0.82260357965800002</v>
      </c>
      <c r="E5739">
        <v>24</v>
      </c>
    </row>
    <row r="5740" spans="1:5">
      <c r="A5740" t="s">
        <v>6684</v>
      </c>
      <c r="B5740" t="s">
        <v>6691</v>
      </c>
      <c r="C5740">
        <v>0</v>
      </c>
      <c r="D5740">
        <v>0.82260357965800002</v>
      </c>
      <c r="E5740">
        <v>24</v>
      </c>
    </row>
    <row r="5741" spans="1:5">
      <c r="A5741" t="s">
        <v>6692</v>
      </c>
      <c r="B5741" t="s">
        <v>6693</v>
      </c>
      <c r="C5741">
        <f>0.0513189445158</f>
        <v>5.1318944515799998E-2</v>
      </c>
      <c r="D5741" t="s">
        <v>106</v>
      </c>
      <c r="E5741">
        <v>6.6806596701649097</v>
      </c>
    </row>
    <row r="5742" spans="1:5">
      <c r="A5742" t="s">
        <v>6692</v>
      </c>
      <c r="B5742" t="s">
        <v>6694</v>
      </c>
      <c r="C5742">
        <v>0</v>
      </c>
      <c r="D5742" t="s">
        <v>106</v>
      </c>
      <c r="E5742">
        <v>6.6806596701649097</v>
      </c>
    </row>
    <row r="5743" spans="1:5">
      <c r="A5743" t="s">
        <v>6692</v>
      </c>
      <c r="B5743" t="s">
        <v>6695</v>
      </c>
      <c r="C5743">
        <v>0</v>
      </c>
      <c r="D5743" t="s">
        <v>106</v>
      </c>
      <c r="E5743">
        <v>6.6806596701649097</v>
      </c>
    </row>
    <row r="5744" spans="1:5">
      <c r="A5744" t="s">
        <v>6692</v>
      </c>
      <c r="B5744" t="s">
        <v>6696</v>
      </c>
      <c r="C5744">
        <v>0</v>
      </c>
      <c r="D5744" t="s">
        <v>106</v>
      </c>
      <c r="E5744">
        <v>6.6806596701649097</v>
      </c>
    </row>
    <row r="5745" spans="1:5">
      <c r="A5745" t="s">
        <v>6692</v>
      </c>
      <c r="B5745" t="s">
        <v>6697</v>
      </c>
      <c r="C5745">
        <v>0</v>
      </c>
      <c r="D5745" t="s">
        <v>106</v>
      </c>
      <c r="E5745">
        <v>6.6806596701649097</v>
      </c>
    </row>
    <row r="5746" spans="1:5">
      <c r="A5746" t="s">
        <v>6692</v>
      </c>
      <c r="B5746" t="s">
        <v>6698</v>
      </c>
      <c r="C5746">
        <f>0</f>
        <v>0</v>
      </c>
      <c r="D5746" t="s">
        <v>106</v>
      </c>
      <c r="E5746">
        <v>6.6806596701649097</v>
      </c>
    </row>
    <row r="5747" spans="1:5">
      <c r="A5747" t="s">
        <v>6692</v>
      </c>
      <c r="B5747" t="s">
        <v>6699</v>
      </c>
      <c r="C5747">
        <v>0</v>
      </c>
      <c r="D5747" t="s">
        <v>106</v>
      </c>
      <c r="E5747">
        <v>6.6806596701649097</v>
      </c>
    </row>
    <row r="5748" spans="1:5">
      <c r="A5748" t="s">
        <v>6692</v>
      </c>
      <c r="B5748" t="s">
        <v>6700</v>
      </c>
      <c r="C5748">
        <v>0</v>
      </c>
      <c r="D5748" t="s">
        <v>106</v>
      </c>
      <c r="E5748">
        <v>6.6806596701649097</v>
      </c>
    </row>
    <row r="5749" spans="1:5">
      <c r="A5749" t="s">
        <v>6692</v>
      </c>
      <c r="B5749" t="s">
        <v>6701</v>
      </c>
      <c r="C5749">
        <v>0</v>
      </c>
      <c r="D5749" t="s">
        <v>106</v>
      </c>
      <c r="E5749">
        <v>6.6806596701649097</v>
      </c>
    </row>
    <row r="5750" spans="1:5">
      <c r="A5750" t="s">
        <v>6692</v>
      </c>
      <c r="B5750" t="s">
        <v>6702</v>
      </c>
      <c r="C5750">
        <f>0</f>
        <v>0</v>
      </c>
      <c r="D5750" t="s">
        <v>106</v>
      </c>
      <c r="E5750">
        <v>6.6806596701649097</v>
      </c>
    </row>
    <row r="5751" spans="1:5">
      <c r="A5751" t="s">
        <v>6692</v>
      </c>
      <c r="B5751" t="s">
        <v>6703</v>
      </c>
      <c r="C5751">
        <f>0</f>
        <v>0</v>
      </c>
      <c r="D5751" t="s">
        <v>106</v>
      </c>
      <c r="E5751">
        <v>6.6806596701649097</v>
      </c>
    </row>
    <row r="5752" spans="1:5">
      <c r="A5752" t="s">
        <v>6692</v>
      </c>
      <c r="B5752" t="s">
        <v>6704</v>
      </c>
      <c r="C5752">
        <v>0.13814469168999999</v>
      </c>
      <c r="D5752" t="s">
        <v>106</v>
      </c>
      <c r="E5752">
        <v>6.6806596701649097</v>
      </c>
    </row>
    <row r="5753" spans="1:5">
      <c r="A5753" t="s">
        <v>6705</v>
      </c>
      <c r="B5753" t="s">
        <v>6706</v>
      </c>
      <c r="C5753">
        <v>0</v>
      </c>
      <c r="D5753">
        <v>0.66620323059300002</v>
      </c>
      <c r="E5753">
        <v>3.8740629685157399</v>
      </c>
    </row>
    <row r="5754" spans="1:5">
      <c r="A5754" t="s">
        <v>6705</v>
      </c>
      <c r="B5754" t="s">
        <v>6707</v>
      </c>
      <c r="C5754">
        <v>0</v>
      </c>
      <c r="D5754">
        <v>0.66620323059300002</v>
      </c>
      <c r="E5754">
        <v>3.8740629685157399</v>
      </c>
    </row>
    <row r="5755" spans="1:5">
      <c r="A5755" t="s">
        <v>6705</v>
      </c>
      <c r="B5755" t="s">
        <v>6708</v>
      </c>
      <c r="C5755">
        <v>0.149683162846</v>
      </c>
      <c r="D5755">
        <v>0.66620323059300002</v>
      </c>
      <c r="E5755">
        <v>3.8740629685157399</v>
      </c>
    </row>
    <row r="5756" spans="1:5">
      <c r="A5756" t="s">
        <v>6705</v>
      </c>
      <c r="B5756" t="s">
        <v>6709</v>
      </c>
      <c r="C5756">
        <v>0</v>
      </c>
      <c r="D5756">
        <v>0.66620323059300002</v>
      </c>
      <c r="E5756">
        <v>3.8740629685157399</v>
      </c>
    </row>
    <row r="5757" spans="1:5">
      <c r="A5757" t="s">
        <v>6705</v>
      </c>
      <c r="B5757" t="s">
        <v>6710</v>
      </c>
      <c r="C5757">
        <v>0</v>
      </c>
      <c r="D5757">
        <v>0.66620323059300002</v>
      </c>
      <c r="E5757">
        <v>3.8740629685157399</v>
      </c>
    </row>
    <row r="5758" spans="1:5">
      <c r="A5758" t="s">
        <v>6705</v>
      </c>
      <c r="B5758" t="s">
        <v>6711</v>
      </c>
      <c r="C5758">
        <v>0.37565878854599999</v>
      </c>
      <c r="D5758">
        <v>0.66620323059300002</v>
      </c>
      <c r="E5758">
        <v>3.8740629685157399</v>
      </c>
    </row>
    <row r="5759" spans="1:5">
      <c r="A5759" t="s">
        <v>6705</v>
      </c>
      <c r="B5759" t="s">
        <v>6712</v>
      </c>
      <c r="C5759">
        <f>0</f>
        <v>0</v>
      </c>
      <c r="D5759">
        <v>0.66620323059300002</v>
      </c>
      <c r="E5759">
        <v>3.8740629685157399</v>
      </c>
    </row>
    <row r="5760" spans="1:5">
      <c r="A5760" t="s">
        <v>6705</v>
      </c>
      <c r="B5760" t="s">
        <v>6713</v>
      </c>
      <c r="C5760">
        <v>0</v>
      </c>
      <c r="D5760">
        <v>0.66620323059300002</v>
      </c>
      <c r="E5760">
        <v>3.8740629685157399</v>
      </c>
    </row>
    <row r="5761" spans="1:5">
      <c r="A5761" t="s">
        <v>6705</v>
      </c>
      <c r="B5761" t="s">
        <v>6714</v>
      </c>
      <c r="C5761">
        <v>0</v>
      </c>
      <c r="D5761">
        <v>0.66620323059300002</v>
      </c>
      <c r="E5761">
        <v>3.8740629685157399</v>
      </c>
    </row>
    <row r="5762" spans="1:5">
      <c r="A5762" t="s">
        <v>6715</v>
      </c>
      <c r="B5762" t="s">
        <v>6716</v>
      </c>
      <c r="C5762">
        <f>0.299807600154</f>
        <v>0.29980760015399999</v>
      </c>
      <c r="D5762">
        <v>0.85960695145800003</v>
      </c>
      <c r="E5762">
        <v>1.2713643178410701</v>
      </c>
    </row>
    <row r="5763" spans="1:5">
      <c r="A5763" t="s">
        <v>6715</v>
      </c>
      <c r="B5763" t="s">
        <v>6717</v>
      </c>
      <c r="C5763">
        <v>0.29574824143</v>
      </c>
      <c r="D5763">
        <v>0.85960695145800003</v>
      </c>
      <c r="E5763">
        <v>1.2713643178410701</v>
      </c>
    </row>
    <row r="5764" spans="1:5">
      <c r="A5764" t="s">
        <v>6715</v>
      </c>
      <c r="B5764" t="s">
        <v>6718</v>
      </c>
      <c r="C5764">
        <v>0</v>
      </c>
      <c r="D5764">
        <v>0.85960695145800003</v>
      </c>
      <c r="E5764">
        <v>1.2713643178410701</v>
      </c>
    </row>
    <row r="5765" spans="1:5">
      <c r="A5765" t="s">
        <v>6719</v>
      </c>
      <c r="B5765" t="s">
        <v>6720</v>
      </c>
      <c r="C5765">
        <v>4.2715719687799997E-2</v>
      </c>
      <c r="D5765">
        <v>0.94355121810700004</v>
      </c>
      <c r="E5765">
        <v>0.65967016491754105</v>
      </c>
    </row>
    <row r="5766" spans="1:5">
      <c r="A5766" t="s">
        <v>6719</v>
      </c>
      <c r="B5766" t="s">
        <v>6721</v>
      </c>
      <c r="C5766">
        <f>0</f>
        <v>0</v>
      </c>
      <c r="D5766">
        <v>0.94355121810700004</v>
      </c>
      <c r="E5766">
        <v>0.65967016491754105</v>
      </c>
    </row>
    <row r="5767" spans="1:5">
      <c r="A5767" t="s">
        <v>6719</v>
      </c>
      <c r="B5767" t="s">
        <v>6722</v>
      </c>
      <c r="C5767">
        <f>0</f>
        <v>0</v>
      </c>
      <c r="D5767">
        <v>0.94355121810700004</v>
      </c>
      <c r="E5767">
        <v>0.65967016491754105</v>
      </c>
    </row>
    <row r="5768" spans="1:5">
      <c r="A5768" t="s">
        <v>6719</v>
      </c>
      <c r="B5768" t="s">
        <v>6723</v>
      </c>
      <c r="C5768">
        <f>0.135983920918</f>
        <v>0.13598392091799999</v>
      </c>
      <c r="D5768">
        <v>0.94355121810700004</v>
      </c>
      <c r="E5768">
        <v>0.65967016491754105</v>
      </c>
    </row>
    <row r="5769" spans="1:5">
      <c r="A5769" t="s">
        <v>6719</v>
      </c>
      <c r="B5769" t="s">
        <v>6724</v>
      </c>
      <c r="C5769">
        <v>0</v>
      </c>
      <c r="D5769">
        <v>0.94355121810700004</v>
      </c>
      <c r="E5769">
        <v>0.65967016491754105</v>
      </c>
    </row>
    <row r="5770" spans="1:5">
      <c r="A5770" t="s">
        <v>6719</v>
      </c>
      <c r="B5770" t="s">
        <v>6725</v>
      </c>
      <c r="C5770">
        <f>0</f>
        <v>0</v>
      </c>
      <c r="D5770">
        <v>0.94355121810700004</v>
      </c>
      <c r="E5770">
        <v>0.65967016491754105</v>
      </c>
    </row>
    <row r="5771" spans="1:5">
      <c r="A5771" t="s">
        <v>6719</v>
      </c>
      <c r="B5771" t="s">
        <v>6726</v>
      </c>
      <c r="C5771">
        <v>0</v>
      </c>
      <c r="D5771">
        <v>0.94355121810700004</v>
      </c>
      <c r="E5771">
        <v>0.65967016491754105</v>
      </c>
    </row>
    <row r="5772" spans="1:5">
      <c r="A5772" t="s">
        <v>6719</v>
      </c>
      <c r="B5772" t="s">
        <v>6727</v>
      </c>
      <c r="C5772">
        <f>0</f>
        <v>0</v>
      </c>
      <c r="D5772">
        <v>0.94355121810700004</v>
      </c>
      <c r="E5772">
        <v>0.65967016491754105</v>
      </c>
    </row>
    <row r="5773" spans="1:5">
      <c r="A5773" t="s">
        <v>6728</v>
      </c>
      <c r="B5773" t="s">
        <v>6729</v>
      </c>
      <c r="C5773">
        <v>0</v>
      </c>
      <c r="D5773" t="s">
        <v>106</v>
      </c>
      <c r="E5773">
        <v>1.06746626686656</v>
      </c>
    </row>
    <row r="5774" spans="1:5">
      <c r="A5774" t="s">
        <v>6728</v>
      </c>
      <c r="B5774" t="s">
        <v>6730</v>
      </c>
      <c r="C5774">
        <v>0</v>
      </c>
      <c r="D5774" t="s">
        <v>106</v>
      </c>
      <c r="E5774">
        <v>1.06746626686656</v>
      </c>
    </row>
    <row r="5775" spans="1:5">
      <c r="A5775" t="s">
        <v>6728</v>
      </c>
      <c r="B5775" t="s">
        <v>6731</v>
      </c>
      <c r="C5775">
        <v>0</v>
      </c>
      <c r="D5775" t="s">
        <v>106</v>
      </c>
      <c r="E5775">
        <v>1.06746626686656</v>
      </c>
    </row>
    <row r="5776" spans="1:5">
      <c r="A5776" t="s">
        <v>6728</v>
      </c>
      <c r="B5776" t="s">
        <v>6732</v>
      </c>
      <c r="C5776">
        <v>0</v>
      </c>
      <c r="D5776" t="s">
        <v>106</v>
      </c>
      <c r="E5776">
        <v>1.06746626686656</v>
      </c>
    </row>
    <row r="5777" spans="1:5">
      <c r="A5777" t="s">
        <v>6728</v>
      </c>
      <c r="B5777" t="s">
        <v>6733</v>
      </c>
      <c r="C5777">
        <v>0</v>
      </c>
      <c r="D5777" t="s">
        <v>106</v>
      </c>
      <c r="E5777">
        <v>1.06746626686656</v>
      </c>
    </row>
    <row r="5778" spans="1:5">
      <c r="A5778" t="s">
        <v>6728</v>
      </c>
      <c r="B5778" t="s">
        <v>6734</v>
      </c>
      <c r="C5778">
        <v>0</v>
      </c>
      <c r="D5778" t="s">
        <v>106</v>
      </c>
      <c r="E5778">
        <v>1.06746626686656</v>
      </c>
    </row>
    <row r="5779" spans="1:5">
      <c r="A5779" t="s">
        <v>6728</v>
      </c>
      <c r="B5779" t="s">
        <v>6735</v>
      </c>
      <c r="C5779">
        <f>0</f>
        <v>0</v>
      </c>
      <c r="D5779" t="s">
        <v>106</v>
      </c>
      <c r="E5779">
        <v>1.06746626686656</v>
      </c>
    </row>
    <row r="5780" spans="1:5">
      <c r="A5780" t="s">
        <v>6728</v>
      </c>
      <c r="B5780" t="s">
        <v>6736</v>
      </c>
      <c r="C5780">
        <v>0</v>
      </c>
      <c r="D5780" t="s">
        <v>106</v>
      </c>
      <c r="E5780">
        <v>1.06746626686656</v>
      </c>
    </row>
    <row r="5781" spans="1:5">
      <c r="A5781" t="s">
        <v>6737</v>
      </c>
      <c r="B5781" t="s">
        <v>6738</v>
      </c>
      <c r="C5781">
        <f>0</f>
        <v>0</v>
      </c>
      <c r="D5781">
        <v>0.93105494983500003</v>
      </c>
      <c r="E5781">
        <v>23.7481259370314</v>
      </c>
    </row>
    <row r="5782" spans="1:5">
      <c r="A5782" t="s">
        <v>6737</v>
      </c>
      <c r="B5782" t="s">
        <v>6739</v>
      </c>
      <c r="C5782">
        <v>2.2590985318999999E-3</v>
      </c>
      <c r="D5782">
        <v>0.93105494983500003</v>
      </c>
      <c r="E5782">
        <v>23.7481259370314</v>
      </c>
    </row>
    <row r="5783" spans="1:5">
      <c r="A5783" t="s">
        <v>6737</v>
      </c>
      <c r="B5783" t="s">
        <v>6740</v>
      </c>
      <c r="C5783">
        <v>0</v>
      </c>
      <c r="D5783">
        <v>0.93105494983500003</v>
      </c>
      <c r="E5783">
        <v>23.7481259370314</v>
      </c>
    </row>
    <row r="5784" spans="1:5">
      <c r="A5784" t="s">
        <v>6737</v>
      </c>
      <c r="B5784" t="s">
        <v>6741</v>
      </c>
      <c r="C5784">
        <v>0</v>
      </c>
      <c r="D5784">
        <v>0.93105494983500003</v>
      </c>
      <c r="E5784">
        <v>23.7481259370314</v>
      </c>
    </row>
    <row r="5785" spans="1:5">
      <c r="A5785" t="s">
        <v>6737</v>
      </c>
      <c r="B5785" t="s">
        <v>6742</v>
      </c>
      <c r="C5785">
        <f>0</f>
        <v>0</v>
      </c>
      <c r="D5785">
        <v>0.93105494983500003</v>
      </c>
      <c r="E5785">
        <v>23.7481259370314</v>
      </c>
    </row>
    <row r="5786" spans="1:5">
      <c r="A5786" t="s">
        <v>6743</v>
      </c>
      <c r="B5786" t="s">
        <v>6744</v>
      </c>
      <c r="C5786">
        <f>0.131237679155</f>
        <v>0.13123767915500001</v>
      </c>
      <c r="D5786">
        <v>0.58839275953600001</v>
      </c>
      <c r="E5786">
        <v>24</v>
      </c>
    </row>
    <row r="5787" spans="1:5">
      <c r="A5787" t="s">
        <v>6743</v>
      </c>
      <c r="B5787" t="s">
        <v>6745</v>
      </c>
      <c r="C5787">
        <v>7.64779314927E-3</v>
      </c>
      <c r="D5787">
        <v>0.58839275953600001</v>
      </c>
      <c r="E5787">
        <v>24</v>
      </c>
    </row>
    <row r="5788" spans="1:5">
      <c r="A5788" t="s">
        <v>6743</v>
      </c>
      <c r="B5788" t="s">
        <v>6746</v>
      </c>
      <c r="C5788">
        <f>0</f>
        <v>0</v>
      </c>
      <c r="D5788">
        <v>0.58839275953600001</v>
      </c>
      <c r="E5788">
        <v>24</v>
      </c>
    </row>
    <row r="5789" spans="1:5">
      <c r="A5789" t="s">
        <v>6743</v>
      </c>
      <c r="B5789" t="s">
        <v>6747</v>
      </c>
      <c r="C5789">
        <v>0</v>
      </c>
      <c r="D5789">
        <v>0.58839275953600001</v>
      </c>
      <c r="E5789">
        <v>24</v>
      </c>
    </row>
    <row r="5790" spans="1:5">
      <c r="A5790" t="s">
        <v>6743</v>
      </c>
      <c r="B5790" t="s">
        <v>6748</v>
      </c>
      <c r="C5790">
        <v>0</v>
      </c>
      <c r="D5790">
        <v>0.58839275953600001</v>
      </c>
      <c r="E5790">
        <v>24</v>
      </c>
    </row>
    <row r="5791" spans="1:5">
      <c r="A5791" t="s">
        <v>6743</v>
      </c>
      <c r="B5791" t="s">
        <v>6749</v>
      </c>
      <c r="C5791">
        <f>0</f>
        <v>0</v>
      </c>
      <c r="D5791">
        <v>0.58839275953600001</v>
      </c>
      <c r="E5791">
        <v>24</v>
      </c>
    </row>
    <row r="5792" spans="1:5">
      <c r="A5792" t="s">
        <v>6743</v>
      </c>
      <c r="B5792" t="s">
        <v>6750</v>
      </c>
      <c r="C5792">
        <v>0</v>
      </c>
      <c r="D5792">
        <v>0.58839275953600001</v>
      </c>
      <c r="E5792">
        <v>24</v>
      </c>
    </row>
    <row r="5793" spans="1:5">
      <c r="A5793" t="s">
        <v>6743</v>
      </c>
      <c r="B5793" t="s">
        <v>6751</v>
      </c>
      <c r="C5793">
        <v>0</v>
      </c>
      <c r="D5793">
        <v>0.58839275953600001</v>
      </c>
      <c r="E5793">
        <v>24</v>
      </c>
    </row>
    <row r="5794" spans="1:5">
      <c r="A5794" t="s">
        <v>6752</v>
      </c>
      <c r="B5794" t="s">
        <v>6753</v>
      </c>
      <c r="C5794">
        <v>0</v>
      </c>
      <c r="D5794" t="s">
        <v>106</v>
      </c>
      <c r="E5794">
        <v>3.5862068965517202</v>
      </c>
    </row>
    <row r="5795" spans="1:5">
      <c r="A5795" t="s">
        <v>6752</v>
      </c>
      <c r="B5795" t="s">
        <v>6754</v>
      </c>
      <c r="C5795">
        <v>0</v>
      </c>
      <c r="D5795" t="s">
        <v>106</v>
      </c>
      <c r="E5795">
        <v>3.5862068965517202</v>
      </c>
    </row>
    <row r="5796" spans="1:5">
      <c r="A5796" t="s">
        <v>6752</v>
      </c>
      <c r="B5796" t="s">
        <v>6755</v>
      </c>
      <c r="C5796">
        <f>0</f>
        <v>0</v>
      </c>
      <c r="D5796" t="s">
        <v>106</v>
      </c>
      <c r="E5796">
        <v>3.5862068965517202</v>
      </c>
    </row>
    <row r="5797" spans="1:5">
      <c r="A5797" t="s">
        <v>6752</v>
      </c>
      <c r="B5797" t="s">
        <v>6756</v>
      </c>
      <c r="C5797">
        <v>0</v>
      </c>
      <c r="D5797" t="s">
        <v>106</v>
      </c>
      <c r="E5797">
        <v>3.5862068965517202</v>
      </c>
    </row>
    <row r="5798" spans="1:5">
      <c r="A5798" t="s">
        <v>6752</v>
      </c>
      <c r="B5798" t="s">
        <v>6757</v>
      </c>
      <c r="C5798">
        <v>0</v>
      </c>
      <c r="D5798" t="s">
        <v>106</v>
      </c>
      <c r="E5798">
        <v>3.5862068965517202</v>
      </c>
    </row>
    <row r="5799" spans="1:5">
      <c r="A5799" t="s">
        <v>6752</v>
      </c>
      <c r="B5799" t="s">
        <v>6758</v>
      </c>
      <c r="C5799">
        <v>1.91552898312E-2</v>
      </c>
      <c r="D5799" t="s">
        <v>106</v>
      </c>
      <c r="E5799">
        <v>3.5862068965517202</v>
      </c>
    </row>
    <row r="5800" spans="1:5">
      <c r="A5800" t="s">
        <v>6752</v>
      </c>
      <c r="B5800" t="s">
        <v>6759</v>
      </c>
      <c r="C5800">
        <v>0</v>
      </c>
      <c r="D5800" t="s">
        <v>106</v>
      </c>
      <c r="E5800">
        <v>3.5862068965517202</v>
      </c>
    </row>
    <row r="5801" spans="1:5">
      <c r="A5801" t="s">
        <v>6752</v>
      </c>
      <c r="B5801" t="s">
        <v>6760</v>
      </c>
      <c r="C5801">
        <v>0</v>
      </c>
      <c r="D5801" t="s">
        <v>106</v>
      </c>
      <c r="E5801">
        <v>3.5862068965517202</v>
      </c>
    </row>
    <row r="5802" spans="1:5">
      <c r="A5802" t="s">
        <v>6761</v>
      </c>
      <c r="B5802" t="s">
        <v>6762</v>
      </c>
      <c r="C5802">
        <f>0</f>
        <v>0</v>
      </c>
      <c r="D5802">
        <v>0.92841084492100001</v>
      </c>
      <c r="E5802">
        <v>5.9970014992503699E-2</v>
      </c>
    </row>
    <row r="5803" spans="1:5">
      <c r="A5803" t="s">
        <v>6761</v>
      </c>
      <c r="B5803" t="s">
        <v>6763</v>
      </c>
      <c r="C5803">
        <v>0</v>
      </c>
      <c r="D5803">
        <v>0.92841084492100001</v>
      </c>
      <c r="E5803">
        <v>5.9970014992503699E-2</v>
      </c>
    </row>
    <row r="5804" spans="1:5">
      <c r="A5804" t="s">
        <v>6761</v>
      </c>
      <c r="B5804" t="s">
        <v>6764</v>
      </c>
      <c r="C5804">
        <f>0</f>
        <v>0</v>
      </c>
      <c r="D5804">
        <v>0.92841084492100001</v>
      </c>
      <c r="E5804">
        <v>5.9970014992503699E-2</v>
      </c>
    </row>
    <row r="5805" spans="1:5">
      <c r="A5805" t="s">
        <v>6761</v>
      </c>
      <c r="B5805" t="s">
        <v>6765</v>
      </c>
      <c r="C5805">
        <f>0.556057629092</f>
        <v>0.55605762909199996</v>
      </c>
      <c r="D5805">
        <v>0.92841084492100001</v>
      </c>
      <c r="E5805">
        <v>5.9970014992503699E-2</v>
      </c>
    </row>
    <row r="5806" spans="1:5">
      <c r="A5806" t="s">
        <v>6761</v>
      </c>
      <c r="B5806" t="s">
        <v>6766</v>
      </c>
      <c r="C5806">
        <f>0</f>
        <v>0</v>
      </c>
      <c r="D5806">
        <v>0.92841084492100001</v>
      </c>
      <c r="E5806">
        <v>5.9970014992503699E-2</v>
      </c>
    </row>
    <row r="5807" spans="1:5">
      <c r="A5807" t="s">
        <v>6761</v>
      </c>
      <c r="B5807" t="s">
        <v>6767</v>
      </c>
      <c r="C5807">
        <f>0.0201019186701</f>
        <v>2.01019186701E-2</v>
      </c>
      <c r="D5807">
        <v>0.92841084492100001</v>
      </c>
      <c r="E5807">
        <v>5.9970014992503699E-2</v>
      </c>
    </row>
    <row r="5808" spans="1:5">
      <c r="A5808" t="s">
        <v>6761</v>
      </c>
      <c r="B5808" t="s">
        <v>6768</v>
      </c>
      <c r="C5808">
        <f>0</f>
        <v>0</v>
      </c>
      <c r="D5808">
        <v>0.92841084492100001</v>
      </c>
      <c r="E5808">
        <v>5.9970014992503699E-2</v>
      </c>
    </row>
    <row r="5809" spans="1:5">
      <c r="A5809" t="s">
        <v>6761</v>
      </c>
      <c r="B5809" t="s">
        <v>6769</v>
      </c>
      <c r="C5809">
        <v>0</v>
      </c>
      <c r="D5809">
        <v>0.92841084492100001</v>
      </c>
      <c r="E5809">
        <v>5.9970014992503699E-2</v>
      </c>
    </row>
    <row r="5810" spans="1:5">
      <c r="A5810" t="s">
        <v>6770</v>
      </c>
      <c r="B5810" t="s">
        <v>6771</v>
      </c>
      <c r="C5810">
        <v>4.67119853835E-2</v>
      </c>
      <c r="D5810">
        <v>0.78655694060699999</v>
      </c>
      <c r="E5810">
        <v>4.3778110944527704</v>
      </c>
    </row>
    <row r="5811" spans="1:5">
      <c r="A5811" t="s">
        <v>6770</v>
      </c>
      <c r="B5811" t="s">
        <v>6772</v>
      </c>
      <c r="C5811">
        <v>0</v>
      </c>
      <c r="D5811">
        <v>0.78655694060699999</v>
      </c>
      <c r="E5811">
        <v>4.3778110944527704</v>
      </c>
    </row>
    <row r="5812" spans="1:5">
      <c r="A5812" t="s">
        <v>6773</v>
      </c>
      <c r="B5812" t="s">
        <v>6774</v>
      </c>
      <c r="C5812">
        <v>2.5435644698400001E-2</v>
      </c>
      <c r="D5812">
        <v>0.98163999803299995</v>
      </c>
      <c r="E5812">
        <v>15.700149925037399</v>
      </c>
    </row>
    <row r="5813" spans="1:5">
      <c r="A5813" t="s">
        <v>6773</v>
      </c>
      <c r="B5813" t="s">
        <v>6775</v>
      </c>
      <c r="C5813">
        <f>0</f>
        <v>0</v>
      </c>
      <c r="D5813">
        <v>0.98163999803299995</v>
      </c>
      <c r="E5813">
        <v>15.700149925037399</v>
      </c>
    </row>
    <row r="5814" spans="1:5">
      <c r="A5814" t="s">
        <v>6773</v>
      </c>
      <c r="B5814" t="s">
        <v>6776</v>
      </c>
      <c r="C5814">
        <v>0</v>
      </c>
      <c r="D5814">
        <v>0.98163999803299995</v>
      </c>
      <c r="E5814">
        <v>15.700149925037399</v>
      </c>
    </row>
    <row r="5815" spans="1:5">
      <c r="A5815" t="s">
        <v>6773</v>
      </c>
      <c r="B5815" t="s">
        <v>6777</v>
      </c>
      <c r="C5815">
        <f>0</f>
        <v>0</v>
      </c>
      <c r="D5815">
        <v>0.98163999803299995</v>
      </c>
      <c r="E5815">
        <v>15.700149925037399</v>
      </c>
    </row>
    <row r="5816" spans="1:5">
      <c r="A5816" t="s">
        <v>6773</v>
      </c>
      <c r="B5816" t="s">
        <v>6778</v>
      </c>
      <c r="C5816">
        <v>0.18316858274799999</v>
      </c>
      <c r="D5816">
        <v>0.98163999803299995</v>
      </c>
      <c r="E5816">
        <v>15.700149925037399</v>
      </c>
    </row>
    <row r="5817" spans="1:5">
      <c r="A5817" t="s">
        <v>6779</v>
      </c>
      <c r="B5817" t="s">
        <v>6780</v>
      </c>
      <c r="C5817">
        <f>0</f>
        <v>0</v>
      </c>
      <c r="D5817">
        <v>0.92885685127299999</v>
      </c>
      <c r="E5817">
        <v>10.5547226386806</v>
      </c>
    </row>
    <row r="5818" spans="1:5">
      <c r="A5818" t="s">
        <v>6779</v>
      </c>
      <c r="B5818" t="s">
        <v>6781</v>
      </c>
      <c r="C5818">
        <f>0</f>
        <v>0</v>
      </c>
      <c r="D5818">
        <v>0.92885685127299999</v>
      </c>
      <c r="E5818">
        <v>10.5547226386806</v>
      </c>
    </row>
    <row r="5819" spans="1:5">
      <c r="A5819" t="s">
        <v>6779</v>
      </c>
      <c r="B5819" t="s">
        <v>6782</v>
      </c>
      <c r="C5819">
        <v>0.13340081029199999</v>
      </c>
      <c r="D5819">
        <v>0.92885685127299999</v>
      </c>
      <c r="E5819">
        <v>10.5547226386806</v>
      </c>
    </row>
    <row r="5820" spans="1:5">
      <c r="A5820" t="s">
        <v>6779</v>
      </c>
      <c r="B5820" t="s">
        <v>6783</v>
      </c>
      <c r="C5820">
        <f>0.0706423854594</f>
        <v>7.0642385459400006E-2</v>
      </c>
      <c r="D5820">
        <v>0.92885685127299999</v>
      </c>
      <c r="E5820">
        <v>10.5547226386806</v>
      </c>
    </row>
    <row r="5821" spans="1:5">
      <c r="A5821" t="s">
        <v>6784</v>
      </c>
      <c r="B5821" t="s">
        <v>6785</v>
      </c>
      <c r="C5821">
        <v>0.65157910338500002</v>
      </c>
      <c r="D5821" t="s">
        <v>106</v>
      </c>
      <c r="E5821">
        <v>5.0134932533733103</v>
      </c>
    </row>
    <row r="5822" spans="1:5">
      <c r="A5822" t="s">
        <v>6784</v>
      </c>
      <c r="B5822" t="s">
        <v>6786</v>
      </c>
      <c r="C5822">
        <v>0</v>
      </c>
      <c r="D5822" t="s">
        <v>106</v>
      </c>
      <c r="E5822">
        <v>5.0134932533733103</v>
      </c>
    </row>
    <row r="5823" spans="1:5">
      <c r="A5823" t="s">
        <v>6784</v>
      </c>
      <c r="B5823" t="s">
        <v>6787</v>
      </c>
      <c r="C5823">
        <f>0</f>
        <v>0</v>
      </c>
      <c r="D5823" t="s">
        <v>106</v>
      </c>
      <c r="E5823">
        <v>5.0134932533733103</v>
      </c>
    </row>
    <row r="5824" spans="1:5">
      <c r="A5824" t="s">
        <v>6784</v>
      </c>
      <c r="B5824" t="s">
        <v>6788</v>
      </c>
      <c r="C5824">
        <v>0</v>
      </c>
      <c r="D5824" t="s">
        <v>106</v>
      </c>
      <c r="E5824">
        <v>5.0134932533733103</v>
      </c>
    </row>
    <row r="5825" spans="1:5">
      <c r="A5825" t="s">
        <v>6784</v>
      </c>
      <c r="B5825" t="s">
        <v>6789</v>
      </c>
      <c r="C5825">
        <f>0.0680856835785</f>
        <v>6.8085683578500006E-2</v>
      </c>
      <c r="D5825" t="s">
        <v>106</v>
      </c>
      <c r="E5825">
        <v>5.0134932533733103</v>
      </c>
    </row>
    <row r="5826" spans="1:5">
      <c r="A5826" t="s">
        <v>6784</v>
      </c>
      <c r="B5826" t="s">
        <v>6790</v>
      </c>
      <c r="C5826">
        <v>0</v>
      </c>
      <c r="D5826" t="s">
        <v>106</v>
      </c>
      <c r="E5826">
        <v>5.0134932533733103</v>
      </c>
    </row>
    <row r="5827" spans="1:5">
      <c r="A5827" t="s">
        <v>6791</v>
      </c>
      <c r="B5827" t="s">
        <v>6792</v>
      </c>
      <c r="C5827">
        <v>0.25417748066500001</v>
      </c>
      <c r="D5827">
        <v>0.99911936136699997</v>
      </c>
      <c r="E5827">
        <v>14.740629685157399</v>
      </c>
    </row>
    <row r="5828" spans="1:5">
      <c r="A5828" t="s">
        <v>6791</v>
      </c>
      <c r="B5828" t="s">
        <v>6793</v>
      </c>
      <c r="C5828">
        <v>9.0334266491299997E-2</v>
      </c>
      <c r="D5828">
        <v>0.99911936136699997</v>
      </c>
      <c r="E5828">
        <v>14.740629685157399</v>
      </c>
    </row>
    <row r="5829" spans="1:5">
      <c r="A5829" t="s">
        <v>6791</v>
      </c>
      <c r="B5829" t="s">
        <v>6794</v>
      </c>
      <c r="C5829">
        <f>0</f>
        <v>0</v>
      </c>
      <c r="D5829">
        <v>0.99911936136699997</v>
      </c>
      <c r="E5829">
        <v>14.740629685157399</v>
      </c>
    </row>
    <row r="5830" spans="1:5">
      <c r="A5830" t="s">
        <v>6791</v>
      </c>
      <c r="B5830" t="s">
        <v>6795</v>
      </c>
      <c r="C5830">
        <f>0</f>
        <v>0</v>
      </c>
      <c r="D5830">
        <v>0.99911936136699997</v>
      </c>
      <c r="E5830">
        <v>14.740629685157399</v>
      </c>
    </row>
    <row r="5831" spans="1:5">
      <c r="A5831" t="s">
        <v>6796</v>
      </c>
      <c r="B5831" t="s">
        <v>6797</v>
      </c>
      <c r="C5831">
        <v>0</v>
      </c>
      <c r="D5831">
        <v>0.767276999066</v>
      </c>
      <c r="E5831">
        <v>5.3493253373313303</v>
      </c>
    </row>
    <row r="5832" spans="1:5">
      <c r="A5832" t="s">
        <v>6796</v>
      </c>
      <c r="B5832" t="s">
        <v>6798</v>
      </c>
      <c r="C5832">
        <v>0</v>
      </c>
      <c r="D5832">
        <v>0.767276999066</v>
      </c>
      <c r="E5832">
        <v>5.3493253373313303</v>
      </c>
    </row>
    <row r="5833" spans="1:5">
      <c r="A5833" t="s">
        <v>6796</v>
      </c>
      <c r="B5833" t="s">
        <v>6799</v>
      </c>
      <c r="C5833">
        <v>0</v>
      </c>
      <c r="D5833">
        <v>0.767276999066</v>
      </c>
      <c r="E5833">
        <v>5.3493253373313303</v>
      </c>
    </row>
    <row r="5834" spans="1:5">
      <c r="A5834" t="s">
        <v>6796</v>
      </c>
      <c r="B5834" t="s">
        <v>6800</v>
      </c>
      <c r="C5834">
        <v>0</v>
      </c>
      <c r="D5834">
        <v>0.767276999066</v>
      </c>
      <c r="E5834">
        <v>5.3493253373313303</v>
      </c>
    </row>
    <row r="5835" spans="1:5">
      <c r="A5835" t="s">
        <v>6796</v>
      </c>
      <c r="B5835" t="s">
        <v>6801</v>
      </c>
      <c r="C5835">
        <v>0.12745035728500001</v>
      </c>
      <c r="D5835">
        <v>0.767276999066</v>
      </c>
      <c r="E5835">
        <v>5.3493253373313303</v>
      </c>
    </row>
    <row r="5836" spans="1:5">
      <c r="A5836" t="s">
        <v>6796</v>
      </c>
      <c r="B5836" t="s">
        <v>6802</v>
      </c>
      <c r="C5836">
        <v>0</v>
      </c>
      <c r="D5836">
        <v>0.767276999066</v>
      </c>
      <c r="E5836">
        <v>5.3493253373313303</v>
      </c>
    </row>
    <row r="5837" spans="1:5">
      <c r="A5837" t="s">
        <v>6796</v>
      </c>
      <c r="B5837" t="s">
        <v>6803</v>
      </c>
      <c r="C5837">
        <v>0</v>
      </c>
      <c r="D5837">
        <v>0.767276999066</v>
      </c>
      <c r="E5837">
        <v>5.3493253373313303</v>
      </c>
    </row>
    <row r="5838" spans="1:5">
      <c r="A5838" t="s">
        <v>6804</v>
      </c>
      <c r="B5838" t="s">
        <v>6805</v>
      </c>
      <c r="C5838">
        <v>0</v>
      </c>
      <c r="D5838" t="s">
        <v>106</v>
      </c>
      <c r="E5838">
        <v>21.181409295352299</v>
      </c>
    </row>
    <row r="5839" spans="1:5">
      <c r="A5839" t="s">
        <v>6804</v>
      </c>
      <c r="B5839" t="s">
        <v>6806</v>
      </c>
      <c r="C5839">
        <v>0</v>
      </c>
      <c r="D5839" t="s">
        <v>106</v>
      </c>
      <c r="E5839">
        <v>21.181409295352299</v>
      </c>
    </row>
    <row r="5840" spans="1:5">
      <c r="A5840" t="s">
        <v>6804</v>
      </c>
      <c r="B5840" t="s">
        <v>6807</v>
      </c>
      <c r="C5840">
        <v>0</v>
      </c>
      <c r="D5840" t="s">
        <v>106</v>
      </c>
      <c r="E5840">
        <v>21.181409295352299</v>
      </c>
    </row>
    <row r="5841" spans="1:5">
      <c r="A5841" t="s">
        <v>6804</v>
      </c>
      <c r="B5841" t="s">
        <v>6808</v>
      </c>
      <c r="C5841">
        <v>0</v>
      </c>
      <c r="D5841" t="s">
        <v>106</v>
      </c>
      <c r="E5841">
        <v>21.181409295352299</v>
      </c>
    </row>
    <row r="5842" spans="1:5">
      <c r="A5842" t="s">
        <v>6804</v>
      </c>
      <c r="B5842" t="s">
        <v>6809</v>
      </c>
      <c r="C5842">
        <v>0</v>
      </c>
      <c r="D5842" t="s">
        <v>106</v>
      </c>
      <c r="E5842">
        <v>21.181409295352299</v>
      </c>
    </row>
    <row r="5843" spans="1:5">
      <c r="A5843" t="s">
        <v>6810</v>
      </c>
      <c r="B5843" t="s">
        <v>6811</v>
      </c>
      <c r="C5843">
        <v>0</v>
      </c>
      <c r="D5843">
        <v>0.99595476123299997</v>
      </c>
      <c r="E5843">
        <v>12.7376311844077</v>
      </c>
    </row>
    <row r="5844" spans="1:5">
      <c r="A5844" t="s">
        <v>6810</v>
      </c>
      <c r="B5844" t="s">
        <v>6812</v>
      </c>
      <c r="C5844">
        <f>0</f>
        <v>0</v>
      </c>
      <c r="D5844">
        <v>0.99595476123299997</v>
      </c>
      <c r="E5844">
        <v>12.7376311844077</v>
      </c>
    </row>
    <row r="5845" spans="1:5">
      <c r="A5845" t="s">
        <v>6810</v>
      </c>
      <c r="B5845" t="s">
        <v>6813</v>
      </c>
      <c r="C5845">
        <f>0.0118845715935</f>
        <v>1.1884571593499999E-2</v>
      </c>
      <c r="D5845">
        <v>0.99595476123299997</v>
      </c>
      <c r="E5845">
        <v>12.7376311844077</v>
      </c>
    </row>
    <row r="5846" spans="1:5">
      <c r="A5846" t="s">
        <v>6810</v>
      </c>
      <c r="B5846" t="s">
        <v>6814</v>
      </c>
      <c r="C5846">
        <v>0.234259972412</v>
      </c>
      <c r="D5846">
        <v>0.99595476123299997</v>
      </c>
      <c r="E5846">
        <v>12.7376311844077</v>
      </c>
    </row>
    <row r="5847" spans="1:5">
      <c r="A5847" t="s">
        <v>6810</v>
      </c>
      <c r="B5847" t="s">
        <v>6815</v>
      </c>
      <c r="C5847">
        <v>0</v>
      </c>
      <c r="D5847">
        <v>0.99595476123299997</v>
      </c>
      <c r="E5847">
        <v>12.7376311844077</v>
      </c>
    </row>
    <row r="5848" spans="1:5">
      <c r="A5848" t="s">
        <v>6810</v>
      </c>
      <c r="B5848" t="s">
        <v>6816</v>
      </c>
      <c r="C5848">
        <v>0</v>
      </c>
      <c r="D5848">
        <v>0.99595476123299997</v>
      </c>
      <c r="E5848">
        <v>12.7376311844077</v>
      </c>
    </row>
    <row r="5849" spans="1:5">
      <c r="A5849" t="s">
        <v>6817</v>
      </c>
      <c r="B5849" t="s">
        <v>6818</v>
      </c>
      <c r="C5849">
        <v>0.27358745711400001</v>
      </c>
      <c r="D5849">
        <v>0.76493812950499995</v>
      </c>
      <c r="E5849">
        <v>8.7196401799100407</v>
      </c>
    </row>
    <row r="5850" spans="1:5">
      <c r="A5850" t="s">
        <v>6819</v>
      </c>
      <c r="B5850" t="s">
        <v>6820</v>
      </c>
      <c r="C5850">
        <f>0.195213554376</f>
        <v>0.19521355437599999</v>
      </c>
      <c r="D5850">
        <v>0.90935657182200003</v>
      </c>
      <c r="E5850">
        <v>1.51124437781109</v>
      </c>
    </row>
    <row r="5851" spans="1:5">
      <c r="A5851" t="s">
        <v>6819</v>
      </c>
      <c r="B5851" t="s">
        <v>6821</v>
      </c>
      <c r="C5851">
        <f>0.176164182788</f>
        <v>0.176164182788</v>
      </c>
      <c r="D5851">
        <v>0.90935657182200003</v>
      </c>
      <c r="E5851">
        <v>1.51124437781109</v>
      </c>
    </row>
    <row r="5852" spans="1:5">
      <c r="A5852" t="s">
        <v>6822</v>
      </c>
      <c r="B5852" t="s">
        <v>6823</v>
      </c>
      <c r="C5852">
        <f>0</f>
        <v>0</v>
      </c>
      <c r="D5852" t="s">
        <v>106</v>
      </c>
      <c r="E5852">
        <v>1.16341829085457</v>
      </c>
    </row>
    <row r="5853" spans="1:5">
      <c r="A5853" t="s">
        <v>6824</v>
      </c>
      <c r="B5853" t="s">
        <v>6825</v>
      </c>
      <c r="C5853">
        <v>0.25539335342699998</v>
      </c>
      <c r="D5853">
        <v>0.96808884747299995</v>
      </c>
      <c r="E5853">
        <v>4.1739130434782599</v>
      </c>
    </row>
    <row r="5854" spans="1:5">
      <c r="A5854" t="s">
        <v>6824</v>
      </c>
      <c r="B5854" t="s">
        <v>6826</v>
      </c>
      <c r="C5854">
        <v>0</v>
      </c>
      <c r="D5854">
        <v>0.96808884747299995</v>
      </c>
      <c r="E5854">
        <v>4.1739130434782599</v>
      </c>
    </row>
    <row r="5855" spans="1:5">
      <c r="A5855" t="s">
        <v>6824</v>
      </c>
      <c r="B5855" t="s">
        <v>6827</v>
      </c>
      <c r="C5855">
        <f>0</f>
        <v>0</v>
      </c>
      <c r="D5855">
        <v>0.96808884747299995</v>
      </c>
      <c r="E5855">
        <v>4.1739130434782599</v>
      </c>
    </row>
    <row r="5856" spans="1:5">
      <c r="A5856" t="s">
        <v>6824</v>
      </c>
      <c r="B5856" t="s">
        <v>6828</v>
      </c>
      <c r="C5856">
        <f>0</f>
        <v>0</v>
      </c>
      <c r="D5856">
        <v>0.96808884747299995</v>
      </c>
      <c r="E5856">
        <v>4.1739130434782599</v>
      </c>
    </row>
    <row r="5857" spans="1:5">
      <c r="A5857" t="s">
        <v>6824</v>
      </c>
      <c r="B5857" t="s">
        <v>6829</v>
      </c>
      <c r="C5857">
        <v>0</v>
      </c>
      <c r="D5857">
        <v>0.96808884747299995</v>
      </c>
      <c r="E5857">
        <v>4.1739130434782599</v>
      </c>
    </row>
    <row r="5858" spans="1:5">
      <c r="A5858" t="s">
        <v>6824</v>
      </c>
      <c r="B5858" t="s">
        <v>6830</v>
      </c>
      <c r="C5858">
        <f>0</f>
        <v>0</v>
      </c>
      <c r="D5858">
        <v>0.96808884747299995</v>
      </c>
      <c r="E5858">
        <v>4.1739130434782599</v>
      </c>
    </row>
    <row r="5859" spans="1:5">
      <c r="A5859" t="s">
        <v>6824</v>
      </c>
      <c r="B5859" t="s">
        <v>6831</v>
      </c>
      <c r="C5859">
        <f>0</f>
        <v>0</v>
      </c>
      <c r="D5859">
        <v>0.96808884747299995</v>
      </c>
      <c r="E5859">
        <v>4.1739130434782599</v>
      </c>
    </row>
    <row r="5860" spans="1:5">
      <c r="A5860" t="s">
        <v>6832</v>
      </c>
      <c r="B5860" t="s">
        <v>6833</v>
      </c>
      <c r="C5860">
        <v>0.121352924306</v>
      </c>
      <c r="D5860">
        <v>0.477937749212</v>
      </c>
      <c r="E5860">
        <v>24</v>
      </c>
    </row>
    <row r="5861" spans="1:5">
      <c r="A5861" t="s">
        <v>6832</v>
      </c>
      <c r="B5861" t="s">
        <v>6834</v>
      </c>
      <c r="C5861">
        <v>1.80657996534E-3</v>
      </c>
      <c r="D5861">
        <v>0.477937749212</v>
      </c>
      <c r="E5861">
        <v>24</v>
      </c>
    </row>
    <row r="5862" spans="1:5">
      <c r="A5862" t="s">
        <v>6835</v>
      </c>
      <c r="B5862" t="s">
        <v>6836</v>
      </c>
      <c r="C5862">
        <f>0.189999561885</f>
        <v>0.189999561885</v>
      </c>
      <c r="D5862">
        <v>0.90268804906</v>
      </c>
      <c r="E5862">
        <v>0.86356821589205401</v>
      </c>
    </row>
    <row r="5863" spans="1:5">
      <c r="A5863" t="s">
        <v>6835</v>
      </c>
      <c r="B5863" t="s">
        <v>6837</v>
      </c>
      <c r="C5863">
        <f>0.44127214197</f>
        <v>0.44127214196999998</v>
      </c>
      <c r="D5863">
        <v>0.90268804906</v>
      </c>
      <c r="E5863">
        <v>0.86356821589205401</v>
      </c>
    </row>
    <row r="5864" spans="1:5">
      <c r="A5864" t="s">
        <v>6835</v>
      </c>
      <c r="B5864" t="s">
        <v>6838</v>
      </c>
      <c r="C5864">
        <v>0</v>
      </c>
      <c r="D5864">
        <v>0.90268804906</v>
      </c>
      <c r="E5864">
        <v>0.86356821589205401</v>
      </c>
    </row>
    <row r="5865" spans="1:5">
      <c r="A5865" t="s">
        <v>6835</v>
      </c>
      <c r="B5865" t="s">
        <v>6839</v>
      </c>
      <c r="C5865">
        <v>0</v>
      </c>
      <c r="D5865">
        <v>0.90268804906</v>
      </c>
      <c r="E5865">
        <v>0.86356821589205401</v>
      </c>
    </row>
    <row r="5866" spans="1:5">
      <c r="A5866" t="s">
        <v>6840</v>
      </c>
      <c r="B5866" t="s">
        <v>6841</v>
      </c>
      <c r="C5866">
        <v>0.14308576662200001</v>
      </c>
      <c r="D5866">
        <v>0.90332870910700003</v>
      </c>
      <c r="E5866">
        <v>4.9055472263868003</v>
      </c>
    </row>
    <row r="5867" spans="1:5">
      <c r="A5867" t="s">
        <v>6840</v>
      </c>
      <c r="B5867" t="s">
        <v>6842</v>
      </c>
      <c r="C5867">
        <f>0</f>
        <v>0</v>
      </c>
      <c r="D5867">
        <v>0.90332870910700003</v>
      </c>
      <c r="E5867">
        <v>4.9055472263868003</v>
      </c>
    </row>
    <row r="5868" spans="1:5">
      <c r="A5868" t="s">
        <v>6840</v>
      </c>
      <c r="B5868" t="s">
        <v>6843</v>
      </c>
      <c r="C5868">
        <v>0</v>
      </c>
      <c r="D5868">
        <v>0.90332870910700003</v>
      </c>
      <c r="E5868">
        <v>4.9055472263868003</v>
      </c>
    </row>
    <row r="5869" spans="1:5">
      <c r="A5869" t="s">
        <v>6840</v>
      </c>
      <c r="B5869" t="s">
        <v>6844</v>
      </c>
      <c r="C5869">
        <f>0.0999141581332</f>
        <v>9.9914158133199996E-2</v>
      </c>
      <c r="D5869">
        <v>0.90332870910700003</v>
      </c>
      <c r="E5869">
        <v>4.9055472263868003</v>
      </c>
    </row>
    <row r="5870" spans="1:5">
      <c r="A5870" t="s">
        <v>6845</v>
      </c>
      <c r="B5870" t="s">
        <v>6846</v>
      </c>
      <c r="C5870">
        <v>0</v>
      </c>
      <c r="D5870">
        <v>0.96361899038300003</v>
      </c>
      <c r="E5870">
        <v>12.9175412293853</v>
      </c>
    </row>
    <row r="5871" spans="1:5">
      <c r="A5871" t="s">
        <v>6845</v>
      </c>
      <c r="B5871" t="s">
        <v>6847</v>
      </c>
      <c r="C5871">
        <v>0.163079746804</v>
      </c>
      <c r="D5871">
        <v>0.96361899038300003</v>
      </c>
      <c r="E5871">
        <v>12.9175412293853</v>
      </c>
    </row>
    <row r="5872" spans="1:5">
      <c r="A5872" t="s">
        <v>6845</v>
      </c>
      <c r="B5872" t="s">
        <v>6848</v>
      </c>
      <c r="C5872">
        <f>0</f>
        <v>0</v>
      </c>
      <c r="D5872">
        <v>0.96361899038300003</v>
      </c>
      <c r="E5872">
        <v>12.9175412293853</v>
      </c>
    </row>
    <row r="5873" spans="1:5">
      <c r="A5873" t="s">
        <v>6845</v>
      </c>
      <c r="B5873" t="s">
        <v>6849</v>
      </c>
      <c r="C5873">
        <v>0</v>
      </c>
      <c r="D5873">
        <v>0.96361899038300003</v>
      </c>
      <c r="E5873">
        <v>12.9175412293853</v>
      </c>
    </row>
    <row r="5874" spans="1:5">
      <c r="A5874" t="s">
        <v>6845</v>
      </c>
      <c r="B5874" t="s">
        <v>6850</v>
      </c>
      <c r="C5874">
        <f>0</f>
        <v>0</v>
      </c>
      <c r="D5874">
        <v>0.96361899038300003</v>
      </c>
      <c r="E5874">
        <v>12.9175412293853</v>
      </c>
    </row>
    <row r="5875" spans="1:5">
      <c r="A5875" t="s">
        <v>6845</v>
      </c>
      <c r="B5875" t="s">
        <v>6851</v>
      </c>
      <c r="C5875">
        <f>0</f>
        <v>0</v>
      </c>
      <c r="D5875">
        <v>0.96361899038300003</v>
      </c>
      <c r="E5875">
        <v>12.9175412293853</v>
      </c>
    </row>
    <row r="5876" spans="1:5">
      <c r="A5876" t="s">
        <v>6845</v>
      </c>
      <c r="B5876" t="s">
        <v>6852</v>
      </c>
      <c r="C5876">
        <v>0</v>
      </c>
      <c r="D5876">
        <v>0.96361899038300003</v>
      </c>
      <c r="E5876">
        <v>12.9175412293853</v>
      </c>
    </row>
    <row r="5877" spans="1:5">
      <c r="A5877" t="s">
        <v>6845</v>
      </c>
      <c r="B5877" t="s">
        <v>6853</v>
      </c>
      <c r="C5877">
        <v>0</v>
      </c>
      <c r="D5877">
        <v>0.96361899038300003</v>
      </c>
      <c r="E5877">
        <v>12.9175412293853</v>
      </c>
    </row>
    <row r="5878" spans="1:5">
      <c r="A5878" t="s">
        <v>6845</v>
      </c>
      <c r="B5878" t="s">
        <v>6854</v>
      </c>
      <c r="C5878">
        <v>0</v>
      </c>
      <c r="D5878">
        <v>0.96361899038300003</v>
      </c>
      <c r="E5878">
        <v>12.9175412293853</v>
      </c>
    </row>
    <row r="5879" spans="1:5">
      <c r="A5879" t="s">
        <v>6845</v>
      </c>
      <c r="B5879" t="s">
        <v>6855</v>
      </c>
      <c r="C5879">
        <f>0</f>
        <v>0</v>
      </c>
      <c r="D5879">
        <v>0.96361899038300003</v>
      </c>
      <c r="E5879">
        <v>12.9175412293853</v>
      </c>
    </row>
    <row r="5880" spans="1:5">
      <c r="A5880" t="s">
        <v>6845</v>
      </c>
      <c r="B5880" t="s">
        <v>6856</v>
      </c>
      <c r="C5880">
        <v>0</v>
      </c>
      <c r="D5880">
        <v>0.96361899038300003</v>
      </c>
      <c r="E5880">
        <v>12.9175412293853</v>
      </c>
    </row>
    <row r="5881" spans="1:5">
      <c r="A5881" t="s">
        <v>6845</v>
      </c>
      <c r="B5881" t="s">
        <v>6857</v>
      </c>
      <c r="C5881">
        <f>0</f>
        <v>0</v>
      </c>
      <c r="D5881">
        <v>0.96361899038300003</v>
      </c>
      <c r="E5881">
        <v>12.9175412293853</v>
      </c>
    </row>
    <row r="5882" spans="1:5">
      <c r="A5882" t="s">
        <v>6845</v>
      </c>
      <c r="B5882" t="s">
        <v>6858</v>
      </c>
      <c r="C5882">
        <v>0</v>
      </c>
      <c r="D5882">
        <v>0.96361899038300003</v>
      </c>
      <c r="E5882">
        <v>12.9175412293853</v>
      </c>
    </row>
    <row r="5883" spans="1:5">
      <c r="A5883" t="s">
        <v>6845</v>
      </c>
      <c r="B5883" t="s">
        <v>6859</v>
      </c>
      <c r="C5883">
        <v>0</v>
      </c>
      <c r="D5883">
        <v>0.96361899038300003</v>
      </c>
      <c r="E5883">
        <v>12.9175412293853</v>
      </c>
    </row>
    <row r="5884" spans="1:5">
      <c r="A5884" t="s">
        <v>6860</v>
      </c>
      <c r="B5884" t="s">
        <v>6861</v>
      </c>
      <c r="C5884">
        <v>0</v>
      </c>
      <c r="D5884">
        <v>0.97511498086500004</v>
      </c>
      <c r="E5884">
        <v>4.2698650674662604</v>
      </c>
    </row>
    <row r="5885" spans="1:5">
      <c r="A5885" t="s">
        <v>6860</v>
      </c>
      <c r="B5885" t="s">
        <v>6862</v>
      </c>
      <c r="C5885">
        <v>0</v>
      </c>
      <c r="D5885">
        <v>0.97511498086500004</v>
      </c>
      <c r="E5885">
        <v>4.2698650674662604</v>
      </c>
    </row>
    <row r="5886" spans="1:5">
      <c r="A5886" t="s">
        <v>6860</v>
      </c>
      <c r="B5886" t="s">
        <v>6863</v>
      </c>
      <c r="C5886">
        <f>0</f>
        <v>0</v>
      </c>
      <c r="D5886">
        <v>0.97511498086500004</v>
      </c>
      <c r="E5886">
        <v>4.2698650674662604</v>
      </c>
    </row>
    <row r="5887" spans="1:5">
      <c r="A5887" t="s">
        <v>6860</v>
      </c>
      <c r="B5887" t="s">
        <v>6864</v>
      </c>
      <c r="C5887">
        <f>0.20863011542</f>
        <v>0.20863011542000001</v>
      </c>
      <c r="D5887">
        <v>0.97511498086500004</v>
      </c>
      <c r="E5887">
        <v>4.2698650674662604</v>
      </c>
    </row>
    <row r="5888" spans="1:5">
      <c r="A5888" t="s">
        <v>6860</v>
      </c>
      <c r="B5888" t="s">
        <v>6865</v>
      </c>
      <c r="C5888">
        <v>0</v>
      </c>
      <c r="D5888">
        <v>0.97511498086500004</v>
      </c>
      <c r="E5888">
        <v>4.2698650674662604</v>
      </c>
    </row>
    <row r="5889" spans="1:5">
      <c r="A5889" t="s">
        <v>6860</v>
      </c>
      <c r="B5889" t="s">
        <v>6866</v>
      </c>
      <c r="C5889">
        <v>0</v>
      </c>
      <c r="D5889">
        <v>0.97511498086500004</v>
      </c>
      <c r="E5889">
        <v>4.2698650674662604</v>
      </c>
    </row>
    <row r="5890" spans="1:5">
      <c r="A5890" t="s">
        <v>6860</v>
      </c>
      <c r="B5890" t="s">
        <v>6867</v>
      </c>
      <c r="C5890">
        <f>0</f>
        <v>0</v>
      </c>
      <c r="D5890">
        <v>0.97511498086500004</v>
      </c>
      <c r="E5890">
        <v>4.2698650674662604</v>
      </c>
    </row>
    <row r="5891" spans="1:5">
      <c r="A5891" t="s">
        <v>6860</v>
      </c>
      <c r="B5891" t="s">
        <v>6868</v>
      </c>
      <c r="C5891">
        <v>0</v>
      </c>
      <c r="D5891">
        <v>0.97511498086500004</v>
      </c>
      <c r="E5891">
        <v>4.2698650674662604</v>
      </c>
    </row>
    <row r="5892" spans="1:5">
      <c r="A5892" t="s">
        <v>6860</v>
      </c>
      <c r="B5892" t="s">
        <v>6869</v>
      </c>
      <c r="C5892">
        <v>0.17012648936700001</v>
      </c>
      <c r="D5892">
        <v>0.97511498086500004</v>
      </c>
      <c r="E5892">
        <v>4.2698650674662604</v>
      </c>
    </row>
    <row r="5893" spans="1:5">
      <c r="A5893" t="s">
        <v>6860</v>
      </c>
      <c r="B5893" t="s">
        <v>6870</v>
      </c>
      <c r="C5893">
        <v>0</v>
      </c>
      <c r="D5893">
        <v>0.97511498086500004</v>
      </c>
      <c r="E5893">
        <v>4.2698650674662604</v>
      </c>
    </row>
    <row r="5894" spans="1:5">
      <c r="A5894" t="s">
        <v>6860</v>
      </c>
      <c r="B5894" t="s">
        <v>6871</v>
      </c>
      <c r="C5894">
        <v>0</v>
      </c>
      <c r="D5894">
        <v>0.97511498086500004</v>
      </c>
      <c r="E5894">
        <v>4.2698650674662604</v>
      </c>
    </row>
    <row r="5895" spans="1:5">
      <c r="A5895" t="s">
        <v>6872</v>
      </c>
      <c r="B5895" t="s">
        <v>6873</v>
      </c>
      <c r="C5895">
        <v>0.393935875677</v>
      </c>
      <c r="D5895" t="s">
        <v>106</v>
      </c>
      <c r="E5895">
        <v>6.6806596701649097</v>
      </c>
    </row>
    <row r="5896" spans="1:5">
      <c r="A5896" t="s">
        <v>6872</v>
      </c>
      <c r="B5896" t="s">
        <v>6874</v>
      </c>
      <c r="C5896">
        <v>2.14662864688E-2</v>
      </c>
      <c r="D5896" t="s">
        <v>106</v>
      </c>
      <c r="E5896">
        <v>6.6806596701649097</v>
      </c>
    </row>
    <row r="5897" spans="1:5">
      <c r="A5897" t="s">
        <v>6875</v>
      </c>
      <c r="B5897" t="s">
        <v>6876</v>
      </c>
      <c r="C5897">
        <f>0</f>
        <v>0</v>
      </c>
      <c r="D5897">
        <v>0.99615390673500004</v>
      </c>
      <c r="E5897">
        <v>0.61169415292353801</v>
      </c>
    </row>
    <row r="5898" spans="1:5">
      <c r="A5898" t="s">
        <v>6875</v>
      </c>
      <c r="B5898" t="s">
        <v>6877</v>
      </c>
      <c r="C5898">
        <f>0.243166099434</f>
        <v>0.243166099434</v>
      </c>
      <c r="D5898">
        <v>0.99615390673500004</v>
      </c>
      <c r="E5898">
        <v>0.61169415292353801</v>
      </c>
    </row>
    <row r="5899" spans="1:5">
      <c r="A5899" t="s">
        <v>6875</v>
      </c>
      <c r="B5899" t="s">
        <v>6878</v>
      </c>
      <c r="C5899">
        <v>0</v>
      </c>
      <c r="D5899">
        <v>0.99615390673500004</v>
      </c>
      <c r="E5899">
        <v>0.61169415292353801</v>
      </c>
    </row>
    <row r="5900" spans="1:5">
      <c r="A5900" t="s">
        <v>6875</v>
      </c>
      <c r="B5900" t="s">
        <v>6879</v>
      </c>
      <c r="C5900">
        <f>0</f>
        <v>0</v>
      </c>
      <c r="D5900">
        <v>0.99615390673500004</v>
      </c>
      <c r="E5900">
        <v>0.61169415292353801</v>
      </c>
    </row>
    <row r="5901" spans="1:5">
      <c r="A5901" t="s">
        <v>6875</v>
      </c>
      <c r="B5901" t="s">
        <v>6880</v>
      </c>
      <c r="C5901">
        <f>0</f>
        <v>0</v>
      </c>
      <c r="D5901">
        <v>0.99615390673500004</v>
      </c>
      <c r="E5901">
        <v>0.61169415292353801</v>
      </c>
    </row>
    <row r="5902" spans="1:5">
      <c r="A5902" t="s">
        <v>6875</v>
      </c>
      <c r="B5902" t="s">
        <v>6881</v>
      </c>
      <c r="C5902">
        <f>0</f>
        <v>0</v>
      </c>
      <c r="D5902">
        <v>0.99615390673500004</v>
      </c>
      <c r="E5902">
        <v>0.61169415292353801</v>
      </c>
    </row>
    <row r="5903" spans="1:5">
      <c r="A5903" t="s">
        <v>6875</v>
      </c>
      <c r="B5903" t="s">
        <v>6882</v>
      </c>
      <c r="C5903">
        <f>0</f>
        <v>0</v>
      </c>
      <c r="D5903">
        <v>0.99615390673500004</v>
      </c>
      <c r="E5903">
        <v>0.61169415292353801</v>
      </c>
    </row>
    <row r="5904" spans="1:5">
      <c r="A5904" t="s">
        <v>6875</v>
      </c>
      <c r="B5904" t="s">
        <v>6883</v>
      </c>
      <c r="C5904">
        <f>0</f>
        <v>0</v>
      </c>
      <c r="D5904">
        <v>0.99615390673500004</v>
      </c>
      <c r="E5904">
        <v>0.61169415292353801</v>
      </c>
    </row>
    <row r="5905" spans="1:5">
      <c r="A5905" t="s">
        <v>6875</v>
      </c>
      <c r="B5905" t="s">
        <v>6884</v>
      </c>
      <c r="C5905">
        <f>0</f>
        <v>0</v>
      </c>
      <c r="D5905">
        <v>0.99615390673500004</v>
      </c>
      <c r="E5905">
        <v>0.61169415292353801</v>
      </c>
    </row>
    <row r="5906" spans="1:5">
      <c r="A5906" t="s">
        <v>6875</v>
      </c>
      <c r="B5906" t="s">
        <v>6885</v>
      </c>
      <c r="C5906">
        <f>0.248746948663</f>
        <v>0.24874694866300001</v>
      </c>
      <c r="D5906">
        <v>0.99615390673500004</v>
      </c>
      <c r="E5906">
        <v>0.61169415292353801</v>
      </c>
    </row>
    <row r="5907" spans="1:5">
      <c r="A5907" t="s">
        <v>6886</v>
      </c>
      <c r="B5907" t="s">
        <v>6887</v>
      </c>
      <c r="C5907">
        <v>0</v>
      </c>
      <c r="D5907" t="s">
        <v>106</v>
      </c>
      <c r="E5907">
        <v>5.2413793103448203</v>
      </c>
    </row>
    <row r="5908" spans="1:5">
      <c r="A5908" t="s">
        <v>6886</v>
      </c>
      <c r="B5908" t="s">
        <v>6888</v>
      </c>
      <c r="C5908">
        <v>5.1247541740700002E-2</v>
      </c>
      <c r="D5908" t="s">
        <v>106</v>
      </c>
      <c r="E5908">
        <v>5.2413793103448203</v>
      </c>
    </row>
    <row r="5909" spans="1:5">
      <c r="A5909" t="s">
        <v>6886</v>
      </c>
      <c r="B5909" t="s">
        <v>6889</v>
      </c>
      <c r="C5909">
        <f>0</f>
        <v>0</v>
      </c>
      <c r="D5909" t="s">
        <v>106</v>
      </c>
      <c r="E5909">
        <v>5.2413793103448203</v>
      </c>
    </row>
    <row r="5910" spans="1:5">
      <c r="A5910" t="s">
        <v>6886</v>
      </c>
      <c r="B5910" t="s">
        <v>6890</v>
      </c>
      <c r="C5910">
        <v>0</v>
      </c>
      <c r="D5910" t="s">
        <v>106</v>
      </c>
      <c r="E5910">
        <v>5.2413793103448203</v>
      </c>
    </row>
    <row r="5911" spans="1:5">
      <c r="A5911" t="s">
        <v>6886</v>
      </c>
      <c r="B5911" t="s">
        <v>6891</v>
      </c>
      <c r="C5911">
        <v>5.2103183711999998E-2</v>
      </c>
      <c r="D5911" t="s">
        <v>106</v>
      </c>
      <c r="E5911">
        <v>5.2413793103448203</v>
      </c>
    </row>
    <row r="5912" spans="1:5">
      <c r="A5912" t="s">
        <v>6892</v>
      </c>
      <c r="B5912" t="s">
        <v>6893</v>
      </c>
      <c r="C5912">
        <f>0.134304500731</f>
        <v>0.134304500731</v>
      </c>
      <c r="D5912">
        <v>0.94026525663000005</v>
      </c>
      <c r="E5912">
        <v>13.625187406296799</v>
      </c>
    </row>
    <row r="5913" spans="1:5">
      <c r="A5913" t="s">
        <v>6892</v>
      </c>
      <c r="B5913" t="s">
        <v>6894</v>
      </c>
      <c r="C5913">
        <f>0</f>
        <v>0</v>
      </c>
      <c r="D5913">
        <v>0.94026525663000005</v>
      </c>
      <c r="E5913">
        <v>13.625187406296799</v>
      </c>
    </row>
    <row r="5914" spans="1:5">
      <c r="A5914" t="s">
        <v>6892</v>
      </c>
      <c r="B5914" t="s">
        <v>6895</v>
      </c>
      <c r="C5914">
        <f>0</f>
        <v>0</v>
      </c>
      <c r="D5914">
        <v>0.94026525663000005</v>
      </c>
      <c r="E5914">
        <v>13.625187406296799</v>
      </c>
    </row>
    <row r="5915" spans="1:5">
      <c r="A5915" t="s">
        <v>6892</v>
      </c>
      <c r="B5915" t="s">
        <v>6896</v>
      </c>
      <c r="C5915">
        <v>0</v>
      </c>
      <c r="D5915">
        <v>0.94026525663000005</v>
      </c>
      <c r="E5915">
        <v>13.625187406296799</v>
      </c>
    </row>
    <row r="5916" spans="1:5">
      <c r="A5916" t="s">
        <v>6897</v>
      </c>
      <c r="B5916" t="s">
        <v>6898</v>
      </c>
      <c r="C5916">
        <v>0</v>
      </c>
      <c r="D5916" t="s">
        <v>106</v>
      </c>
      <c r="E5916">
        <v>0.86356821589205401</v>
      </c>
    </row>
    <row r="5917" spans="1:5">
      <c r="A5917" t="s">
        <v>6897</v>
      </c>
      <c r="B5917" t="s">
        <v>6899</v>
      </c>
      <c r="C5917">
        <f>0</f>
        <v>0</v>
      </c>
      <c r="D5917" t="s">
        <v>106</v>
      </c>
      <c r="E5917">
        <v>0.86356821589205401</v>
      </c>
    </row>
    <row r="5918" spans="1:5">
      <c r="A5918" t="s">
        <v>6897</v>
      </c>
      <c r="B5918" t="s">
        <v>6900</v>
      </c>
      <c r="C5918">
        <v>0</v>
      </c>
      <c r="D5918" t="s">
        <v>106</v>
      </c>
      <c r="E5918">
        <v>0.86356821589205401</v>
      </c>
    </row>
    <row r="5919" spans="1:5">
      <c r="A5919" t="s">
        <v>6897</v>
      </c>
      <c r="B5919" t="s">
        <v>6901</v>
      </c>
      <c r="C5919">
        <f>0</f>
        <v>0</v>
      </c>
      <c r="D5919" t="s">
        <v>106</v>
      </c>
      <c r="E5919">
        <v>0.86356821589205401</v>
      </c>
    </row>
    <row r="5920" spans="1:5">
      <c r="A5920" t="s">
        <v>6897</v>
      </c>
      <c r="B5920" t="s">
        <v>6902</v>
      </c>
      <c r="C5920">
        <v>0</v>
      </c>
      <c r="D5920" t="s">
        <v>106</v>
      </c>
      <c r="E5920">
        <v>0.86356821589205401</v>
      </c>
    </row>
    <row r="5921" spans="1:5">
      <c r="A5921" t="s">
        <v>6897</v>
      </c>
      <c r="B5921" t="s">
        <v>6903</v>
      </c>
      <c r="C5921">
        <f>0</f>
        <v>0</v>
      </c>
      <c r="D5921" t="s">
        <v>106</v>
      </c>
      <c r="E5921">
        <v>0.86356821589205401</v>
      </c>
    </row>
    <row r="5922" spans="1:5">
      <c r="A5922" t="s">
        <v>6897</v>
      </c>
      <c r="B5922" t="s">
        <v>6904</v>
      </c>
      <c r="C5922">
        <v>0</v>
      </c>
      <c r="D5922" t="s">
        <v>106</v>
      </c>
      <c r="E5922">
        <v>0.86356821589205401</v>
      </c>
    </row>
    <row r="5923" spans="1:5">
      <c r="A5923" t="s">
        <v>6897</v>
      </c>
      <c r="B5923" t="s">
        <v>6905</v>
      </c>
      <c r="C5923">
        <v>0</v>
      </c>
      <c r="D5923" t="s">
        <v>106</v>
      </c>
      <c r="E5923">
        <v>0.86356821589205401</v>
      </c>
    </row>
    <row r="5924" spans="1:5">
      <c r="A5924" t="s">
        <v>6897</v>
      </c>
      <c r="B5924" t="s">
        <v>6906</v>
      </c>
      <c r="C5924">
        <f>0</f>
        <v>0</v>
      </c>
      <c r="D5924" t="s">
        <v>106</v>
      </c>
      <c r="E5924">
        <v>0.86356821589205401</v>
      </c>
    </row>
    <row r="5925" spans="1:5">
      <c r="A5925" t="s">
        <v>6897</v>
      </c>
      <c r="B5925" t="s">
        <v>6907</v>
      </c>
      <c r="C5925">
        <v>0</v>
      </c>
      <c r="D5925" t="s">
        <v>106</v>
      </c>
      <c r="E5925">
        <v>0.86356821589205401</v>
      </c>
    </row>
    <row r="5926" spans="1:5">
      <c r="A5926" t="s">
        <v>6897</v>
      </c>
      <c r="B5926" t="s">
        <v>6908</v>
      </c>
      <c r="C5926">
        <v>0</v>
      </c>
      <c r="D5926" t="s">
        <v>106</v>
      </c>
      <c r="E5926">
        <v>0.86356821589205401</v>
      </c>
    </row>
    <row r="5927" spans="1:5">
      <c r="A5927" t="s">
        <v>6897</v>
      </c>
      <c r="B5927" t="s">
        <v>6909</v>
      </c>
      <c r="C5927">
        <f>0</f>
        <v>0</v>
      </c>
      <c r="D5927" t="s">
        <v>106</v>
      </c>
      <c r="E5927">
        <v>0.86356821589205401</v>
      </c>
    </row>
    <row r="5928" spans="1:5">
      <c r="A5928" t="s">
        <v>6897</v>
      </c>
      <c r="B5928" t="s">
        <v>6910</v>
      </c>
      <c r="C5928">
        <v>0</v>
      </c>
      <c r="D5928" t="s">
        <v>106</v>
      </c>
      <c r="E5928">
        <v>0.86356821589205401</v>
      </c>
    </row>
    <row r="5929" spans="1:5">
      <c r="A5929" t="s">
        <v>6897</v>
      </c>
      <c r="B5929" t="s">
        <v>6911</v>
      </c>
      <c r="C5929">
        <v>0</v>
      </c>
      <c r="D5929" t="s">
        <v>106</v>
      </c>
      <c r="E5929">
        <v>0.86356821589205401</v>
      </c>
    </row>
    <row r="5930" spans="1:5">
      <c r="A5930" t="s">
        <v>6897</v>
      </c>
      <c r="B5930" t="s">
        <v>6912</v>
      </c>
      <c r="C5930">
        <v>0</v>
      </c>
      <c r="D5930" t="s">
        <v>106</v>
      </c>
      <c r="E5930">
        <v>0.86356821589205401</v>
      </c>
    </row>
    <row r="5931" spans="1:5">
      <c r="A5931" t="s">
        <v>6897</v>
      </c>
      <c r="B5931" t="s">
        <v>6913</v>
      </c>
      <c r="C5931">
        <f>0</f>
        <v>0</v>
      </c>
      <c r="D5931" t="s">
        <v>106</v>
      </c>
      <c r="E5931">
        <v>0.86356821589205401</v>
      </c>
    </row>
    <row r="5932" spans="1:5">
      <c r="A5932" t="s">
        <v>6914</v>
      </c>
      <c r="B5932" t="s">
        <v>6915</v>
      </c>
      <c r="C5932">
        <v>8.2886427666999996E-2</v>
      </c>
      <c r="D5932">
        <v>0.117593966035</v>
      </c>
      <c r="E5932">
        <v>4.58170914542728</v>
      </c>
    </row>
    <row r="5933" spans="1:5">
      <c r="A5933" t="s">
        <v>6914</v>
      </c>
      <c r="B5933" t="s">
        <v>6916</v>
      </c>
      <c r="C5933">
        <v>0.172663675436</v>
      </c>
      <c r="D5933">
        <v>0.117593966035</v>
      </c>
      <c r="E5933">
        <v>4.58170914542728</v>
      </c>
    </row>
    <row r="5934" spans="1:5">
      <c r="A5934" t="s">
        <v>6914</v>
      </c>
      <c r="B5934" t="s">
        <v>6917</v>
      </c>
      <c r="C5934">
        <v>0</v>
      </c>
      <c r="D5934">
        <v>0.117593966035</v>
      </c>
      <c r="E5934">
        <v>4.58170914542728</v>
      </c>
    </row>
    <row r="5935" spans="1:5">
      <c r="A5935" t="s">
        <v>6914</v>
      </c>
      <c r="B5935" t="s">
        <v>6918</v>
      </c>
      <c r="C5935">
        <v>0</v>
      </c>
      <c r="D5935">
        <v>0.117593966035</v>
      </c>
      <c r="E5935">
        <v>4.58170914542728</v>
      </c>
    </row>
    <row r="5936" spans="1:5">
      <c r="A5936" t="s">
        <v>6914</v>
      </c>
      <c r="B5936" t="s">
        <v>6919</v>
      </c>
      <c r="C5936">
        <v>0</v>
      </c>
      <c r="D5936">
        <v>0.117593966035</v>
      </c>
      <c r="E5936">
        <v>4.58170914542728</v>
      </c>
    </row>
    <row r="5937" spans="1:5">
      <c r="A5937" t="s">
        <v>6920</v>
      </c>
      <c r="B5937" t="s">
        <v>6921</v>
      </c>
      <c r="C5937">
        <f>0.408910550015</f>
        <v>0.40891055001499999</v>
      </c>
      <c r="D5937">
        <v>0.94620915753400003</v>
      </c>
      <c r="E5937">
        <v>0.86356821589205401</v>
      </c>
    </row>
    <row r="5938" spans="1:5">
      <c r="A5938" t="s">
        <v>6920</v>
      </c>
      <c r="B5938" t="s">
        <v>6922</v>
      </c>
      <c r="C5938">
        <v>0.130597713448</v>
      </c>
      <c r="D5938">
        <v>0.94620915753400003</v>
      </c>
      <c r="E5938">
        <v>0.86356821589205401</v>
      </c>
    </row>
    <row r="5939" spans="1:5">
      <c r="A5939" t="s">
        <v>6920</v>
      </c>
      <c r="B5939" t="s">
        <v>6923</v>
      </c>
      <c r="C5939">
        <v>0</v>
      </c>
      <c r="D5939">
        <v>0.94620915753400003</v>
      </c>
      <c r="E5939">
        <v>0.86356821589205401</v>
      </c>
    </row>
    <row r="5940" spans="1:5">
      <c r="A5940" t="s">
        <v>6924</v>
      </c>
      <c r="B5940" t="s">
        <v>6925</v>
      </c>
      <c r="C5940">
        <f>0.0301828491238</f>
        <v>3.0182849123799999E-2</v>
      </c>
      <c r="D5940" t="s">
        <v>106</v>
      </c>
      <c r="E5940">
        <v>17.307346326836502</v>
      </c>
    </row>
    <row r="5941" spans="1:5">
      <c r="A5941" t="s">
        <v>6924</v>
      </c>
      <c r="B5941" t="s">
        <v>6926</v>
      </c>
      <c r="C5941">
        <v>1.0083209273699999E-2</v>
      </c>
      <c r="D5941" t="s">
        <v>106</v>
      </c>
      <c r="E5941">
        <v>17.307346326836502</v>
      </c>
    </row>
    <row r="5942" spans="1:5">
      <c r="A5942" t="s">
        <v>6924</v>
      </c>
      <c r="B5942" t="s">
        <v>6927</v>
      </c>
      <c r="C5942">
        <v>0</v>
      </c>
      <c r="D5942" t="s">
        <v>106</v>
      </c>
      <c r="E5942">
        <v>17.307346326836502</v>
      </c>
    </row>
    <row r="5943" spans="1:5">
      <c r="A5943" t="s">
        <v>6924</v>
      </c>
      <c r="B5943" t="s">
        <v>6928</v>
      </c>
      <c r="C5943">
        <f>0</f>
        <v>0</v>
      </c>
      <c r="D5943" t="s">
        <v>106</v>
      </c>
      <c r="E5943">
        <v>17.307346326836502</v>
      </c>
    </row>
    <row r="5944" spans="1:5">
      <c r="A5944" t="s">
        <v>6924</v>
      </c>
      <c r="B5944" t="s">
        <v>6929</v>
      </c>
      <c r="C5944">
        <f>0</f>
        <v>0</v>
      </c>
      <c r="D5944" t="s">
        <v>106</v>
      </c>
      <c r="E5944">
        <v>17.307346326836502</v>
      </c>
    </row>
    <row r="5945" spans="1:5">
      <c r="A5945" t="s">
        <v>6924</v>
      </c>
      <c r="B5945" t="s">
        <v>6930</v>
      </c>
      <c r="C5945">
        <v>0</v>
      </c>
      <c r="D5945" t="s">
        <v>106</v>
      </c>
      <c r="E5945">
        <v>17.307346326836502</v>
      </c>
    </row>
    <row r="5946" spans="1:5">
      <c r="A5946" t="s">
        <v>6924</v>
      </c>
      <c r="B5946" t="s">
        <v>6931</v>
      </c>
      <c r="C5946">
        <v>0</v>
      </c>
      <c r="D5946" t="s">
        <v>106</v>
      </c>
      <c r="E5946">
        <v>17.307346326836502</v>
      </c>
    </row>
    <row r="5947" spans="1:5">
      <c r="A5947" t="s">
        <v>6932</v>
      </c>
      <c r="B5947" t="s">
        <v>6933</v>
      </c>
      <c r="C5947">
        <f>0</f>
        <v>0</v>
      </c>
      <c r="D5947" t="s">
        <v>106</v>
      </c>
      <c r="E5947">
        <v>5.69715142428785</v>
      </c>
    </row>
    <row r="5948" spans="1:5">
      <c r="A5948" t="s">
        <v>6932</v>
      </c>
      <c r="B5948" t="s">
        <v>6934</v>
      </c>
      <c r="C5948">
        <f>0</f>
        <v>0</v>
      </c>
      <c r="D5948" t="s">
        <v>106</v>
      </c>
      <c r="E5948">
        <v>5.69715142428785</v>
      </c>
    </row>
    <row r="5949" spans="1:5">
      <c r="A5949" t="s">
        <v>6932</v>
      </c>
      <c r="B5949" t="s">
        <v>6935</v>
      </c>
      <c r="C5949">
        <f>0</f>
        <v>0</v>
      </c>
      <c r="D5949" t="s">
        <v>106</v>
      </c>
      <c r="E5949">
        <v>5.69715142428785</v>
      </c>
    </row>
    <row r="5950" spans="1:5">
      <c r="A5950" t="s">
        <v>6932</v>
      </c>
      <c r="B5950" t="s">
        <v>6936</v>
      </c>
      <c r="C5950">
        <v>0</v>
      </c>
      <c r="D5950" t="s">
        <v>106</v>
      </c>
      <c r="E5950">
        <v>5.69715142428785</v>
      </c>
    </row>
    <row r="5951" spans="1:5">
      <c r="A5951" t="s">
        <v>6937</v>
      </c>
      <c r="B5951" t="s">
        <v>6938</v>
      </c>
      <c r="C5951">
        <f>0</f>
        <v>0</v>
      </c>
      <c r="D5951">
        <v>0.83394939631999998</v>
      </c>
      <c r="E5951">
        <v>19.4182908545727</v>
      </c>
    </row>
    <row r="5952" spans="1:5">
      <c r="A5952" t="s">
        <v>6937</v>
      </c>
      <c r="B5952" t="s">
        <v>6939</v>
      </c>
      <c r="C5952">
        <v>0</v>
      </c>
      <c r="D5952">
        <v>0.83394939631999998</v>
      </c>
      <c r="E5952">
        <v>19.4182908545727</v>
      </c>
    </row>
    <row r="5953" spans="1:5">
      <c r="A5953" t="s">
        <v>6937</v>
      </c>
      <c r="B5953" t="s">
        <v>6940</v>
      </c>
      <c r="C5953">
        <f>0.137480098152</f>
        <v>0.13748009815199999</v>
      </c>
      <c r="D5953">
        <v>0.83394939631999998</v>
      </c>
      <c r="E5953">
        <v>19.4182908545727</v>
      </c>
    </row>
    <row r="5954" spans="1:5">
      <c r="A5954" t="s">
        <v>6937</v>
      </c>
      <c r="B5954" t="s">
        <v>6941</v>
      </c>
      <c r="C5954">
        <f>0.00918952172664</f>
        <v>9.1895217266400007E-3</v>
      </c>
      <c r="D5954">
        <v>0.83394939631999998</v>
      </c>
      <c r="E5954">
        <v>19.4182908545727</v>
      </c>
    </row>
    <row r="5955" spans="1:5">
      <c r="A5955" t="s">
        <v>6942</v>
      </c>
      <c r="B5955" t="s">
        <v>6943</v>
      </c>
      <c r="C5955">
        <v>0</v>
      </c>
      <c r="D5955" t="s">
        <v>106</v>
      </c>
      <c r="E5955">
        <v>4.1739130434782599</v>
      </c>
    </row>
    <row r="5956" spans="1:5">
      <c r="A5956" t="s">
        <v>6942</v>
      </c>
      <c r="B5956" t="s">
        <v>6944</v>
      </c>
      <c r="C5956">
        <v>0</v>
      </c>
      <c r="D5956" t="s">
        <v>106</v>
      </c>
      <c r="E5956">
        <v>4.1739130434782599</v>
      </c>
    </row>
    <row r="5957" spans="1:5">
      <c r="A5957" t="s">
        <v>6942</v>
      </c>
      <c r="B5957" t="s">
        <v>6945</v>
      </c>
      <c r="C5957">
        <v>0</v>
      </c>
      <c r="D5957" t="s">
        <v>106</v>
      </c>
      <c r="E5957">
        <v>4.1739130434782599</v>
      </c>
    </row>
    <row r="5958" spans="1:5">
      <c r="A5958" t="s">
        <v>6942</v>
      </c>
      <c r="B5958" t="s">
        <v>6946</v>
      </c>
      <c r="C5958">
        <v>0</v>
      </c>
      <c r="D5958" t="s">
        <v>106</v>
      </c>
      <c r="E5958">
        <v>4.1739130434782599</v>
      </c>
    </row>
    <row r="5959" spans="1:5">
      <c r="A5959" t="s">
        <v>6947</v>
      </c>
      <c r="B5959" t="s">
        <v>6948</v>
      </c>
      <c r="C5959">
        <f>0</f>
        <v>0</v>
      </c>
      <c r="D5959" t="s">
        <v>106</v>
      </c>
      <c r="E5959">
        <v>1.57121439280359</v>
      </c>
    </row>
    <row r="5960" spans="1:5">
      <c r="A5960" t="s">
        <v>6947</v>
      </c>
      <c r="B5960" t="s">
        <v>6949</v>
      </c>
      <c r="C5960">
        <f>0</f>
        <v>0</v>
      </c>
      <c r="D5960" t="s">
        <v>106</v>
      </c>
      <c r="E5960">
        <v>1.57121439280359</v>
      </c>
    </row>
    <row r="5961" spans="1:5">
      <c r="A5961" t="s">
        <v>6947</v>
      </c>
      <c r="B5961" t="s">
        <v>6950</v>
      </c>
      <c r="C5961">
        <f>0</f>
        <v>0</v>
      </c>
      <c r="D5961" t="s">
        <v>106</v>
      </c>
      <c r="E5961">
        <v>1.57121439280359</v>
      </c>
    </row>
    <row r="5962" spans="1:5">
      <c r="A5962" t="s">
        <v>6947</v>
      </c>
      <c r="B5962" t="s">
        <v>6951</v>
      </c>
      <c r="C5962">
        <f>0</f>
        <v>0</v>
      </c>
      <c r="D5962" t="s">
        <v>106</v>
      </c>
      <c r="E5962">
        <v>1.57121439280359</v>
      </c>
    </row>
    <row r="5963" spans="1:5">
      <c r="A5963" t="s">
        <v>6952</v>
      </c>
      <c r="B5963" t="s">
        <v>6953</v>
      </c>
      <c r="C5963">
        <f>0</f>
        <v>0</v>
      </c>
      <c r="D5963">
        <v>0.99025032200499996</v>
      </c>
      <c r="E5963">
        <v>14.5487256371814</v>
      </c>
    </row>
    <row r="5964" spans="1:5">
      <c r="A5964" t="s">
        <v>6952</v>
      </c>
      <c r="B5964" t="s">
        <v>6954</v>
      </c>
      <c r="C5964">
        <v>0</v>
      </c>
      <c r="D5964">
        <v>0.99025032200499996</v>
      </c>
      <c r="E5964">
        <v>14.5487256371814</v>
      </c>
    </row>
    <row r="5965" spans="1:5">
      <c r="A5965" t="s">
        <v>6952</v>
      </c>
      <c r="B5965" t="s">
        <v>6955</v>
      </c>
      <c r="C5965">
        <f>0</f>
        <v>0</v>
      </c>
      <c r="D5965">
        <v>0.99025032200499996</v>
      </c>
      <c r="E5965">
        <v>14.5487256371814</v>
      </c>
    </row>
    <row r="5966" spans="1:5">
      <c r="A5966" t="s">
        <v>6952</v>
      </c>
      <c r="B5966" t="s">
        <v>6956</v>
      </c>
      <c r="C5966">
        <f>0</f>
        <v>0</v>
      </c>
      <c r="D5966">
        <v>0.99025032200499996</v>
      </c>
      <c r="E5966">
        <v>14.5487256371814</v>
      </c>
    </row>
    <row r="5967" spans="1:5">
      <c r="A5967" t="s">
        <v>6952</v>
      </c>
      <c r="B5967" t="s">
        <v>6957</v>
      </c>
      <c r="C5967">
        <v>0</v>
      </c>
      <c r="D5967">
        <v>0.99025032200499996</v>
      </c>
      <c r="E5967">
        <v>14.5487256371814</v>
      </c>
    </row>
    <row r="5968" spans="1:5">
      <c r="A5968" t="s">
        <v>6952</v>
      </c>
      <c r="B5968" t="s">
        <v>6958</v>
      </c>
      <c r="C5968">
        <v>0</v>
      </c>
      <c r="D5968">
        <v>0.99025032200499996</v>
      </c>
      <c r="E5968">
        <v>14.5487256371814</v>
      </c>
    </row>
    <row r="5969" spans="1:5">
      <c r="A5969" t="s">
        <v>6952</v>
      </c>
      <c r="B5969" t="s">
        <v>6959</v>
      </c>
      <c r="C5969">
        <v>0.211595565363</v>
      </c>
      <c r="D5969">
        <v>0.99025032200499996</v>
      </c>
      <c r="E5969">
        <v>14.5487256371814</v>
      </c>
    </row>
    <row r="5970" spans="1:5">
      <c r="A5970" t="s">
        <v>6952</v>
      </c>
      <c r="B5970" t="s">
        <v>6960</v>
      </c>
      <c r="C5970">
        <v>0</v>
      </c>
      <c r="D5970">
        <v>0.99025032200499996</v>
      </c>
      <c r="E5970">
        <v>14.5487256371814</v>
      </c>
    </row>
    <row r="5971" spans="1:5">
      <c r="A5971" t="s">
        <v>6952</v>
      </c>
      <c r="B5971" t="s">
        <v>6961</v>
      </c>
      <c r="C5971">
        <v>0</v>
      </c>
      <c r="D5971">
        <v>0.99025032200499996</v>
      </c>
      <c r="E5971">
        <v>14.5487256371814</v>
      </c>
    </row>
    <row r="5972" spans="1:5">
      <c r="A5972" t="s">
        <v>6952</v>
      </c>
      <c r="B5972" t="s">
        <v>6962</v>
      </c>
      <c r="C5972">
        <v>2.1561832384200001E-2</v>
      </c>
      <c r="D5972">
        <v>0.99025032200499996</v>
      </c>
      <c r="E5972">
        <v>14.5487256371814</v>
      </c>
    </row>
    <row r="5973" spans="1:5">
      <c r="A5973" t="s">
        <v>6963</v>
      </c>
      <c r="B5973" t="s">
        <v>6964</v>
      </c>
      <c r="C5973">
        <f>0</f>
        <v>0</v>
      </c>
      <c r="D5973">
        <v>0.93209559950900001</v>
      </c>
      <c r="E5973">
        <v>3.3103448275862002</v>
      </c>
    </row>
    <row r="5974" spans="1:5">
      <c r="A5974" t="s">
        <v>6965</v>
      </c>
      <c r="B5974" t="s">
        <v>6966</v>
      </c>
      <c r="C5974">
        <f>0</f>
        <v>0</v>
      </c>
      <c r="D5974" t="s">
        <v>106</v>
      </c>
      <c r="E5974">
        <v>8.2878560719640095</v>
      </c>
    </row>
    <row r="5975" spans="1:5">
      <c r="A5975" t="s">
        <v>6965</v>
      </c>
      <c r="B5975" t="s">
        <v>6967</v>
      </c>
      <c r="C5975">
        <f>0</f>
        <v>0</v>
      </c>
      <c r="D5975" t="s">
        <v>106</v>
      </c>
      <c r="E5975">
        <v>8.2878560719640095</v>
      </c>
    </row>
    <row r="5976" spans="1:5">
      <c r="A5976" t="s">
        <v>6965</v>
      </c>
      <c r="B5976" t="s">
        <v>6968</v>
      </c>
      <c r="C5976">
        <v>0</v>
      </c>
      <c r="D5976" t="s">
        <v>106</v>
      </c>
      <c r="E5976">
        <v>8.2878560719640095</v>
      </c>
    </row>
    <row r="5977" spans="1:5">
      <c r="A5977" t="s">
        <v>6965</v>
      </c>
      <c r="B5977" t="s">
        <v>6969</v>
      </c>
      <c r="C5977">
        <f>0</f>
        <v>0</v>
      </c>
      <c r="D5977" t="s">
        <v>106</v>
      </c>
      <c r="E5977">
        <v>8.2878560719640095</v>
      </c>
    </row>
    <row r="5978" spans="1:5">
      <c r="A5978" t="s">
        <v>6965</v>
      </c>
      <c r="B5978" t="s">
        <v>6970</v>
      </c>
      <c r="C5978">
        <f>0</f>
        <v>0</v>
      </c>
      <c r="D5978" t="s">
        <v>106</v>
      </c>
      <c r="E5978">
        <v>8.2878560719640095</v>
      </c>
    </row>
    <row r="5979" spans="1:5">
      <c r="A5979" t="s">
        <v>6971</v>
      </c>
      <c r="B5979" t="s">
        <v>6972</v>
      </c>
      <c r="C5979">
        <v>0</v>
      </c>
      <c r="D5979" t="s">
        <v>106</v>
      </c>
      <c r="E5979">
        <v>15.316341829085401</v>
      </c>
    </row>
    <row r="5980" spans="1:5">
      <c r="A5980" t="s">
        <v>6971</v>
      </c>
      <c r="B5980" t="s">
        <v>6973</v>
      </c>
      <c r="C5980">
        <v>0</v>
      </c>
      <c r="D5980" t="s">
        <v>106</v>
      </c>
      <c r="E5980">
        <v>15.316341829085401</v>
      </c>
    </row>
    <row r="5981" spans="1:5">
      <c r="A5981" t="s">
        <v>6971</v>
      </c>
      <c r="B5981" t="s">
        <v>6974</v>
      </c>
      <c r="C5981">
        <f>0</f>
        <v>0</v>
      </c>
      <c r="D5981" t="s">
        <v>106</v>
      </c>
      <c r="E5981">
        <v>15.316341829085401</v>
      </c>
    </row>
    <row r="5982" spans="1:5">
      <c r="A5982" t="s">
        <v>6971</v>
      </c>
      <c r="B5982" t="s">
        <v>6975</v>
      </c>
      <c r="C5982">
        <v>0</v>
      </c>
      <c r="D5982" t="s">
        <v>106</v>
      </c>
      <c r="E5982">
        <v>15.316341829085401</v>
      </c>
    </row>
    <row r="5983" spans="1:5">
      <c r="A5983" t="s">
        <v>6971</v>
      </c>
      <c r="B5983" t="s">
        <v>6976</v>
      </c>
      <c r="C5983">
        <v>0</v>
      </c>
      <c r="D5983" t="s">
        <v>106</v>
      </c>
      <c r="E5983">
        <v>15.316341829085401</v>
      </c>
    </row>
    <row r="5984" spans="1:5">
      <c r="A5984" t="s">
        <v>6971</v>
      </c>
      <c r="B5984" t="s">
        <v>6977</v>
      </c>
      <c r="C5984">
        <f>0</f>
        <v>0</v>
      </c>
      <c r="D5984" t="s">
        <v>106</v>
      </c>
      <c r="E5984">
        <v>15.316341829085401</v>
      </c>
    </row>
    <row r="5985" spans="1:5">
      <c r="A5985" t="s">
        <v>6978</v>
      </c>
      <c r="B5985" t="s">
        <v>6979</v>
      </c>
      <c r="C5985">
        <v>9.4178097746200007E-2</v>
      </c>
      <c r="D5985">
        <v>0.99032660457199995</v>
      </c>
      <c r="E5985">
        <v>24</v>
      </c>
    </row>
    <row r="5986" spans="1:5">
      <c r="A5986" t="s">
        <v>6980</v>
      </c>
      <c r="B5986" t="s">
        <v>6981</v>
      </c>
      <c r="C5986">
        <v>0</v>
      </c>
      <c r="D5986">
        <v>0.99601542396599996</v>
      </c>
      <c r="E5986">
        <v>12.3898050974512</v>
      </c>
    </row>
    <row r="5987" spans="1:5">
      <c r="A5987" t="s">
        <v>6980</v>
      </c>
      <c r="B5987" t="s">
        <v>6982</v>
      </c>
      <c r="C5987">
        <v>0</v>
      </c>
      <c r="D5987">
        <v>0.99601542396599996</v>
      </c>
      <c r="E5987">
        <v>12.3898050974512</v>
      </c>
    </row>
    <row r="5988" spans="1:5">
      <c r="A5988" t="s">
        <v>6980</v>
      </c>
      <c r="B5988" t="s">
        <v>6983</v>
      </c>
      <c r="C5988">
        <v>0.32399042923799998</v>
      </c>
      <c r="D5988">
        <v>0.99601542396599996</v>
      </c>
      <c r="E5988">
        <v>12.3898050974512</v>
      </c>
    </row>
    <row r="5989" spans="1:5">
      <c r="A5989" t="s">
        <v>6980</v>
      </c>
      <c r="B5989" t="s">
        <v>6984</v>
      </c>
      <c r="C5989">
        <v>0</v>
      </c>
      <c r="D5989">
        <v>0.99601542396599996</v>
      </c>
      <c r="E5989">
        <v>12.3898050974512</v>
      </c>
    </row>
    <row r="5990" spans="1:5">
      <c r="A5990" t="s">
        <v>6980</v>
      </c>
      <c r="B5990" t="s">
        <v>6985</v>
      </c>
      <c r="C5990">
        <v>6.4117231743300002E-2</v>
      </c>
      <c r="D5990">
        <v>0.99601542396599996</v>
      </c>
      <c r="E5990">
        <v>12.3898050974512</v>
      </c>
    </row>
    <row r="5991" spans="1:5">
      <c r="A5991" t="s">
        <v>6980</v>
      </c>
      <c r="B5991" t="s">
        <v>6986</v>
      </c>
      <c r="C5991">
        <f>0</f>
        <v>0</v>
      </c>
      <c r="D5991">
        <v>0.99601542396599996</v>
      </c>
      <c r="E5991">
        <v>12.3898050974512</v>
      </c>
    </row>
    <row r="5992" spans="1:5">
      <c r="A5992" t="s">
        <v>6980</v>
      </c>
      <c r="B5992" t="s">
        <v>6987</v>
      </c>
      <c r="C5992">
        <v>0</v>
      </c>
      <c r="D5992">
        <v>0.99601542396599996</v>
      </c>
      <c r="E5992">
        <v>12.3898050974512</v>
      </c>
    </row>
    <row r="5993" spans="1:5">
      <c r="A5993" t="s">
        <v>6988</v>
      </c>
      <c r="B5993" t="s">
        <v>6989</v>
      </c>
      <c r="C5993">
        <f>0.11268316432</f>
        <v>0.11268316432</v>
      </c>
      <c r="D5993">
        <v>0.89503992611700001</v>
      </c>
      <c r="E5993">
        <v>18.770614692653599</v>
      </c>
    </row>
    <row r="5994" spans="1:5">
      <c r="A5994" t="s">
        <v>6988</v>
      </c>
      <c r="B5994" t="s">
        <v>6990</v>
      </c>
      <c r="C5994">
        <f>0</f>
        <v>0</v>
      </c>
      <c r="D5994">
        <v>0.89503992611700001</v>
      </c>
      <c r="E5994">
        <v>18.770614692653599</v>
      </c>
    </row>
    <row r="5995" spans="1:5">
      <c r="A5995" t="s">
        <v>6988</v>
      </c>
      <c r="B5995" t="s">
        <v>6991</v>
      </c>
      <c r="C5995">
        <v>0</v>
      </c>
      <c r="D5995">
        <v>0.89503992611700001</v>
      </c>
      <c r="E5995">
        <v>18.770614692653599</v>
      </c>
    </row>
    <row r="5996" spans="1:5">
      <c r="A5996" t="s">
        <v>6988</v>
      </c>
      <c r="B5996" t="s">
        <v>6992</v>
      </c>
      <c r="C5996">
        <f>0</f>
        <v>0</v>
      </c>
      <c r="D5996">
        <v>0.89503992611700001</v>
      </c>
      <c r="E5996">
        <v>18.770614692653599</v>
      </c>
    </row>
    <row r="5997" spans="1:5">
      <c r="A5997" t="s">
        <v>6988</v>
      </c>
      <c r="B5997" t="s">
        <v>6993</v>
      </c>
      <c r="C5997">
        <f>0</f>
        <v>0</v>
      </c>
      <c r="D5997">
        <v>0.89503992611700001</v>
      </c>
      <c r="E5997">
        <v>18.770614692653599</v>
      </c>
    </row>
    <row r="5998" spans="1:5">
      <c r="A5998" t="s">
        <v>6988</v>
      </c>
      <c r="B5998" t="s">
        <v>6994</v>
      </c>
      <c r="C5998">
        <f>0.0384121963887</f>
        <v>3.8412196388699998E-2</v>
      </c>
      <c r="D5998">
        <v>0.89503992611700001</v>
      </c>
      <c r="E5998">
        <v>18.770614692653599</v>
      </c>
    </row>
    <row r="5999" spans="1:5">
      <c r="A5999" t="s">
        <v>6988</v>
      </c>
      <c r="B5999" t="s">
        <v>6995</v>
      </c>
      <c r="C5999">
        <f>0</f>
        <v>0</v>
      </c>
      <c r="D5999">
        <v>0.89503992611700001</v>
      </c>
      <c r="E5999">
        <v>18.770614692653599</v>
      </c>
    </row>
    <row r="6000" spans="1:5">
      <c r="A6000" t="s">
        <v>6996</v>
      </c>
      <c r="B6000" t="s">
        <v>6997</v>
      </c>
      <c r="C6000">
        <f>0.533666809688</f>
        <v>0.53366680968799995</v>
      </c>
      <c r="D6000">
        <v>0.94567689940199995</v>
      </c>
      <c r="E6000">
        <v>1.00749625187406</v>
      </c>
    </row>
    <row r="6001" spans="1:5">
      <c r="A6001" t="s">
        <v>6996</v>
      </c>
      <c r="B6001" t="s">
        <v>6998</v>
      </c>
      <c r="C6001">
        <f>0</f>
        <v>0</v>
      </c>
      <c r="D6001">
        <v>0.94567689940199995</v>
      </c>
      <c r="E6001">
        <v>1.00749625187406</v>
      </c>
    </row>
    <row r="6002" spans="1:5">
      <c r="A6002" t="s">
        <v>6996</v>
      </c>
      <c r="B6002" t="s">
        <v>6999</v>
      </c>
      <c r="C6002">
        <v>1.8929802542699999E-2</v>
      </c>
      <c r="D6002">
        <v>0.94567689940199995</v>
      </c>
      <c r="E6002">
        <v>1.00749625187406</v>
      </c>
    </row>
    <row r="6003" spans="1:5">
      <c r="A6003" t="s">
        <v>6996</v>
      </c>
      <c r="B6003" t="s">
        <v>7000</v>
      </c>
      <c r="C6003">
        <v>0</v>
      </c>
      <c r="D6003">
        <v>0.94567689940199995</v>
      </c>
      <c r="E6003">
        <v>1.00749625187406</v>
      </c>
    </row>
    <row r="6004" spans="1:5">
      <c r="A6004" t="s">
        <v>7001</v>
      </c>
      <c r="B6004" t="s">
        <v>7002</v>
      </c>
      <c r="C6004">
        <f>0</f>
        <v>0</v>
      </c>
      <c r="D6004">
        <v>0.73273288715899998</v>
      </c>
      <c r="E6004">
        <v>6.0569715142428704</v>
      </c>
    </row>
    <row r="6005" spans="1:5">
      <c r="A6005" t="s">
        <v>7001</v>
      </c>
      <c r="B6005" t="s">
        <v>7003</v>
      </c>
      <c r="C6005">
        <v>0</v>
      </c>
      <c r="D6005">
        <v>0.73273288715899998</v>
      </c>
      <c r="E6005">
        <v>6.0569715142428704</v>
      </c>
    </row>
    <row r="6006" spans="1:5">
      <c r="A6006" t="s">
        <v>7001</v>
      </c>
      <c r="B6006" t="s">
        <v>7004</v>
      </c>
      <c r="C6006">
        <v>0</v>
      </c>
      <c r="D6006">
        <v>0.73273288715899998</v>
      </c>
      <c r="E6006">
        <v>6.0569715142428704</v>
      </c>
    </row>
    <row r="6007" spans="1:5">
      <c r="A6007" t="s">
        <v>7005</v>
      </c>
      <c r="B6007" t="s">
        <v>7006</v>
      </c>
      <c r="C6007">
        <f>0.231431485024</f>
        <v>0.23143148502399999</v>
      </c>
      <c r="D6007">
        <v>0.48903678609899998</v>
      </c>
      <c r="E6007">
        <v>1.89505247376311</v>
      </c>
    </row>
    <row r="6008" spans="1:5">
      <c r="A6008" t="s">
        <v>7007</v>
      </c>
      <c r="B6008" t="s">
        <v>7008</v>
      </c>
      <c r="C6008">
        <v>0</v>
      </c>
      <c r="D6008" t="s">
        <v>106</v>
      </c>
      <c r="E6008">
        <v>0.86356821589205401</v>
      </c>
    </row>
    <row r="6009" spans="1:5">
      <c r="A6009" t="s">
        <v>7009</v>
      </c>
      <c r="B6009" t="s">
        <v>7010</v>
      </c>
      <c r="C6009">
        <f>0.0712367902539</f>
        <v>7.1236790253900006E-2</v>
      </c>
      <c r="D6009" t="s">
        <v>106</v>
      </c>
      <c r="E6009">
        <v>24</v>
      </c>
    </row>
    <row r="6010" spans="1:5">
      <c r="A6010" t="s">
        <v>7009</v>
      </c>
      <c r="B6010" t="s">
        <v>7011</v>
      </c>
      <c r="C6010">
        <f>0</f>
        <v>0</v>
      </c>
      <c r="D6010" t="s">
        <v>106</v>
      </c>
      <c r="E6010">
        <v>24</v>
      </c>
    </row>
    <row r="6011" spans="1:5">
      <c r="A6011" t="s">
        <v>7009</v>
      </c>
      <c r="B6011" t="s">
        <v>7012</v>
      </c>
      <c r="C6011">
        <f>0</f>
        <v>0</v>
      </c>
      <c r="D6011" t="s">
        <v>106</v>
      </c>
      <c r="E6011">
        <v>24</v>
      </c>
    </row>
    <row r="6012" spans="1:5">
      <c r="A6012" t="s">
        <v>7013</v>
      </c>
      <c r="B6012" t="s">
        <v>7014</v>
      </c>
      <c r="C6012">
        <v>0</v>
      </c>
      <c r="D6012" t="s">
        <v>106</v>
      </c>
      <c r="E6012">
        <v>9.3073463268365799</v>
      </c>
    </row>
    <row r="6013" spans="1:5">
      <c r="A6013" t="s">
        <v>7013</v>
      </c>
      <c r="B6013" t="s">
        <v>7015</v>
      </c>
      <c r="C6013">
        <f>0</f>
        <v>0</v>
      </c>
      <c r="D6013" t="s">
        <v>106</v>
      </c>
      <c r="E6013">
        <v>9.3073463268365799</v>
      </c>
    </row>
    <row r="6014" spans="1:5">
      <c r="A6014" t="s">
        <v>7013</v>
      </c>
      <c r="B6014" t="s">
        <v>7016</v>
      </c>
      <c r="C6014">
        <f>0</f>
        <v>0</v>
      </c>
      <c r="D6014" t="s">
        <v>106</v>
      </c>
      <c r="E6014">
        <v>9.3073463268365799</v>
      </c>
    </row>
    <row r="6015" spans="1:5">
      <c r="A6015" t="s">
        <v>7013</v>
      </c>
      <c r="B6015" t="s">
        <v>7017</v>
      </c>
      <c r="C6015">
        <v>0</v>
      </c>
      <c r="D6015" t="s">
        <v>106</v>
      </c>
      <c r="E6015">
        <v>9.3073463268365799</v>
      </c>
    </row>
    <row r="6016" spans="1:5">
      <c r="A6016" t="s">
        <v>7013</v>
      </c>
      <c r="B6016" t="s">
        <v>7018</v>
      </c>
      <c r="C6016">
        <v>0</v>
      </c>
      <c r="D6016" t="s">
        <v>106</v>
      </c>
      <c r="E6016">
        <v>9.3073463268365799</v>
      </c>
    </row>
    <row r="6017" spans="1:5">
      <c r="A6017" t="s">
        <v>7013</v>
      </c>
      <c r="B6017" t="s">
        <v>7019</v>
      </c>
      <c r="C6017">
        <f>0</f>
        <v>0</v>
      </c>
      <c r="D6017" t="s">
        <v>106</v>
      </c>
      <c r="E6017">
        <v>9.3073463268365799</v>
      </c>
    </row>
    <row r="6018" spans="1:5">
      <c r="A6018" t="s">
        <v>7020</v>
      </c>
      <c r="B6018" t="s">
        <v>7021</v>
      </c>
      <c r="C6018">
        <v>0</v>
      </c>
      <c r="D6018" t="s">
        <v>106</v>
      </c>
      <c r="E6018">
        <v>3.8740629685157399</v>
      </c>
    </row>
    <row r="6019" spans="1:5">
      <c r="A6019" t="s">
        <v>7020</v>
      </c>
      <c r="B6019" t="s">
        <v>7022</v>
      </c>
      <c r="C6019">
        <f>0</f>
        <v>0</v>
      </c>
      <c r="D6019" t="s">
        <v>106</v>
      </c>
      <c r="E6019">
        <v>3.8740629685157399</v>
      </c>
    </row>
    <row r="6020" spans="1:5">
      <c r="A6020" t="s">
        <v>7020</v>
      </c>
      <c r="B6020" t="s">
        <v>7023</v>
      </c>
      <c r="C6020">
        <f>0</f>
        <v>0</v>
      </c>
      <c r="D6020" t="s">
        <v>106</v>
      </c>
      <c r="E6020">
        <v>3.8740629685157399</v>
      </c>
    </row>
    <row r="6021" spans="1:5">
      <c r="A6021" t="s">
        <v>7020</v>
      </c>
      <c r="B6021" t="s">
        <v>7024</v>
      </c>
      <c r="C6021">
        <v>0</v>
      </c>
      <c r="D6021" t="s">
        <v>106</v>
      </c>
      <c r="E6021">
        <v>3.8740629685157399</v>
      </c>
    </row>
    <row r="6022" spans="1:5">
      <c r="A6022" t="s">
        <v>7020</v>
      </c>
      <c r="B6022" t="s">
        <v>7025</v>
      </c>
      <c r="C6022">
        <f>0.222038676555</f>
        <v>0.22203867655500001</v>
      </c>
      <c r="D6022" t="s">
        <v>106</v>
      </c>
      <c r="E6022">
        <v>3.8740629685157399</v>
      </c>
    </row>
    <row r="6023" spans="1:5">
      <c r="A6023" t="s">
        <v>7020</v>
      </c>
      <c r="B6023" t="s">
        <v>7026</v>
      </c>
      <c r="C6023">
        <v>0</v>
      </c>
      <c r="D6023" t="s">
        <v>106</v>
      </c>
      <c r="E6023">
        <v>3.8740629685157399</v>
      </c>
    </row>
    <row r="6024" spans="1:5">
      <c r="A6024" t="s">
        <v>7020</v>
      </c>
      <c r="B6024" t="s">
        <v>7027</v>
      </c>
      <c r="C6024">
        <v>0.25035029176700002</v>
      </c>
      <c r="D6024" t="s">
        <v>106</v>
      </c>
      <c r="E6024">
        <v>3.8740629685157399</v>
      </c>
    </row>
    <row r="6025" spans="1:5">
      <c r="A6025" t="s">
        <v>7020</v>
      </c>
      <c r="B6025" t="s">
        <v>7028</v>
      </c>
      <c r="C6025">
        <f>0</f>
        <v>0</v>
      </c>
      <c r="D6025" t="s">
        <v>106</v>
      </c>
      <c r="E6025">
        <v>3.8740629685157399</v>
      </c>
    </row>
    <row r="6026" spans="1:5">
      <c r="A6026" t="s">
        <v>7020</v>
      </c>
      <c r="B6026" t="s">
        <v>7029</v>
      </c>
      <c r="C6026">
        <v>0</v>
      </c>
      <c r="D6026" t="s">
        <v>106</v>
      </c>
      <c r="E6026">
        <v>3.8740629685157399</v>
      </c>
    </row>
    <row r="6027" spans="1:5">
      <c r="A6027" t="s">
        <v>7030</v>
      </c>
      <c r="B6027" t="s">
        <v>7031</v>
      </c>
      <c r="C6027">
        <f>0</f>
        <v>0</v>
      </c>
      <c r="D6027">
        <v>0.99194100377700001</v>
      </c>
      <c r="E6027">
        <v>0.86356821589205401</v>
      </c>
    </row>
    <row r="6028" spans="1:5">
      <c r="A6028" t="s">
        <v>7030</v>
      </c>
      <c r="B6028" t="s">
        <v>7032</v>
      </c>
      <c r="C6028">
        <v>0.30282791559400002</v>
      </c>
      <c r="D6028">
        <v>0.99194100377700001</v>
      </c>
      <c r="E6028">
        <v>0.86356821589205401</v>
      </c>
    </row>
    <row r="6029" spans="1:5">
      <c r="A6029" t="s">
        <v>7030</v>
      </c>
      <c r="B6029" t="s">
        <v>7033</v>
      </c>
      <c r="C6029">
        <f>0</f>
        <v>0</v>
      </c>
      <c r="D6029">
        <v>0.99194100377700001</v>
      </c>
      <c r="E6029">
        <v>0.86356821589205401</v>
      </c>
    </row>
    <row r="6030" spans="1:5">
      <c r="A6030" t="s">
        <v>7030</v>
      </c>
      <c r="B6030" t="s">
        <v>7034</v>
      </c>
      <c r="C6030">
        <v>0.34095658331099998</v>
      </c>
      <c r="D6030">
        <v>0.99194100377700001</v>
      </c>
      <c r="E6030">
        <v>0.86356821589205401</v>
      </c>
    </row>
    <row r="6031" spans="1:5">
      <c r="A6031" t="s">
        <v>7035</v>
      </c>
      <c r="B6031" t="s">
        <v>7036</v>
      </c>
      <c r="C6031">
        <v>9.9454741904200006E-2</v>
      </c>
      <c r="D6031">
        <v>0.82722868874800004</v>
      </c>
      <c r="E6031">
        <v>12.3898050974512</v>
      </c>
    </row>
    <row r="6032" spans="1:5">
      <c r="A6032" t="s">
        <v>7035</v>
      </c>
      <c r="B6032" t="s">
        <v>7037</v>
      </c>
      <c r="C6032">
        <f>0</f>
        <v>0</v>
      </c>
      <c r="D6032">
        <v>0.82722868874800004</v>
      </c>
      <c r="E6032">
        <v>12.3898050974512</v>
      </c>
    </row>
    <row r="6033" spans="1:5">
      <c r="A6033" t="s">
        <v>7035</v>
      </c>
      <c r="B6033" t="s">
        <v>7038</v>
      </c>
      <c r="C6033">
        <v>0</v>
      </c>
      <c r="D6033">
        <v>0.82722868874800004</v>
      </c>
      <c r="E6033">
        <v>12.3898050974512</v>
      </c>
    </row>
    <row r="6034" spans="1:5">
      <c r="A6034" t="s">
        <v>7035</v>
      </c>
      <c r="B6034" t="s">
        <v>7039</v>
      </c>
      <c r="C6034">
        <v>0</v>
      </c>
      <c r="D6034">
        <v>0.82722868874800004</v>
      </c>
      <c r="E6034">
        <v>12.3898050974512</v>
      </c>
    </row>
    <row r="6035" spans="1:5">
      <c r="A6035" t="s">
        <v>7035</v>
      </c>
      <c r="B6035" t="s">
        <v>7040</v>
      </c>
      <c r="C6035">
        <v>0</v>
      </c>
      <c r="D6035">
        <v>0.82722868874800004</v>
      </c>
      <c r="E6035">
        <v>12.3898050974512</v>
      </c>
    </row>
    <row r="6036" spans="1:5">
      <c r="A6036" t="s">
        <v>7035</v>
      </c>
      <c r="B6036" t="s">
        <v>7041</v>
      </c>
      <c r="C6036">
        <v>0</v>
      </c>
      <c r="D6036">
        <v>0.82722868874800004</v>
      </c>
      <c r="E6036">
        <v>12.3898050974512</v>
      </c>
    </row>
    <row r="6037" spans="1:5">
      <c r="A6037" t="s">
        <v>7035</v>
      </c>
      <c r="B6037" t="s">
        <v>7042</v>
      </c>
      <c r="C6037">
        <v>0</v>
      </c>
      <c r="D6037">
        <v>0.82722868874800004</v>
      </c>
      <c r="E6037">
        <v>12.3898050974512</v>
      </c>
    </row>
    <row r="6038" spans="1:5">
      <c r="A6038" t="s">
        <v>7035</v>
      </c>
      <c r="B6038" t="s">
        <v>7043</v>
      </c>
      <c r="C6038">
        <f>0</f>
        <v>0</v>
      </c>
      <c r="D6038">
        <v>0.82722868874800004</v>
      </c>
      <c r="E6038">
        <v>12.3898050974512</v>
      </c>
    </row>
    <row r="6039" spans="1:5">
      <c r="A6039" t="s">
        <v>7035</v>
      </c>
      <c r="B6039" t="s">
        <v>7044</v>
      </c>
      <c r="C6039">
        <v>0</v>
      </c>
      <c r="D6039">
        <v>0.82722868874800004</v>
      </c>
      <c r="E6039">
        <v>12.3898050974512</v>
      </c>
    </row>
    <row r="6040" spans="1:5">
      <c r="A6040" t="s">
        <v>7035</v>
      </c>
      <c r="B6040" t="s">
        <v>7045</v>
      </c>
      <c r="C6040">
        <v>0</v>
      </c>
      <c r="D6040">
        <v>0.82722868874800004</v>
      </c>
      <c r="E6040">
        <v>12.3898050974512</v>
      </c>
    </row>
    <row r="6041" spans="1:5">
      <c r="A6041" t="s">
        <v>7035</v>
      </c>
      <c r="B6041" t="s">
        <v>7046</v>
      </c>
      <c r="C6041">
        <v>0</v>
      </c>
      <c r="D6041">
        <v>0.82722868874800004</v>
      </c>
      <c r="E6041">
        <v>12.3898050974512</v>
      </c>
    </row>
    <row r="6042" spans="1:5">
      <c r="A6042" t="s">
        <v>7035</v>
      </c>
      <c r="B6042" t="s">
        <v>7047</v>
      </c>
      <c r="C6042">
        <f>0</f>
        <v>0</v>
      </c>
      <c r="D6042">
        <v>0.82722868874800004</v>
      </c>
      <c r="E6042">
        <v>12.3898050974512</v>
      </c>
    </row>
    <row r="6043" spans="1:5">
      <c r="A6043" t="s">
        <v>7048</v>
      </c>
      <c r="B6043" t="s">
        <v>7049</v>
      </c>
      <c r="C6043">
        <v>3.8482609924600002E-2</v>
      </c>
      <c r="D6043">
        <v>0.99921602247700003</v>
      </c>
      <c r="E6043">
        <v>13.8170914542728</v>
      </c>
    </row>
    <row r="6044" spans="1:5">
      <c r="A6044" t="s">
        <v>7048</v>
      </c>
      <c r="B6044" t="s">
        <v>7050</v>
      </c>
      <c r="C6044">
        <v>0</v>
      </c>
      <c r="D6044">
        <v>0.99921602247700003</v>
      </c>
      <c r="E6044">
        <v>13.8170914542728</v>
      </c>
    </row>
    <row r="6045" spans="1:5">
      <c r="A6045" t="s">
        <v>7048</v>
      </c>
      <c r="B6045" t="s">
        <v>7051</v>
      </c>
      <c r="C6045">
        <v>0</v>
      </c>
      <c r="D6045">
        <v>0.99921602247700003</v>
      </c>
      <c r="E6045">
        <v>13.8170914542728</v>
      </c>
    </row>
    <row r="6046" spans="1:5">
      <c r="A6046" t="s">
        <v>7048</v>
      </c>
      <c r="B6046" t="s">
        <v>7052</v>
      </c>
      <c r="C6046">
        <v>0</v>
      </c>
      <c r="D6046">
        <v>0.99921602247700003</v>
      </c>
      <c r="E6046">
        <v>13.8170914542728</v>
      </c>
    </row>
    <row r="6047" spans="1:5">
      <c r="A6047" t="s">
        <v>7048</v>
      </c>
      <c r="B6047" t="s">
        <v>7053</v>
      </c>
      <c r="C6047">
        <v>0</v>
      </c>
      <c r="D6047">
        <v>0.99921602247700003</v>
      </c>
      <c r="E6047">
        <v>13.8170914542728</v>
      </c>
    </row>
    <row r="6048" spans="1:5">
      <c r="A6048" t="s">
        <v>7048</v>
      </c>
      <c r="B6048" t="s">
        <v>7054</v>
      </c>
      <c r="C6048">
        <v>0.28034847831900001</v>
      </c>
      <c r="D6048">
        <v>0.99921602247700003</v>
      </c>
      <c r="E6048">
        <v>13.8170914542728</v>
      </c>
    </row>
    <row r="6049" spans="1:5">
      <c r="A6049" t="s">
        <v>7055</v>
      </c>
      <c r="B6049" t="s">
        <v>7056</v>
      </c>
      <c r="C6049">
        <v>0</v>
      </c>
      <c r="D6049" t="s">
        <v>106</v>
      </c>
      <c r="E6049">
        <v>20.965517241379299</v>
      </c>
    </row>
    <row r="6050" spans="1:5">
      <c r="A6050" t="s">
        <v>7055</v>
      </c>
      <c r="B6050" t="s">
        <v>7057</v>
      </c>
      <c r="C6050">
        <f>0</f>
        <v>0</v>
      </c>
      <c r="D6050" t="s">
        <v>106</v>
      </c>
      <c r="E6050">
        <v>20.965517241379299</v>
      </c>
    </row>
    <row r="6051" spans="1:5">
      <c r="A6051" t="s">
        <v>7055</v>
      </c>
      <c r="B6051" t="s">
        <v>7058</v>
      </c>
      <c r="C6051">
        <v>0</v>
      </c>
      <c r="D6051" t="s">
        <v>106</v>
      </c>
      <c r="E6051">
        <v>20.965517241379299</v>
      </c>
    </row>
    <row r="6052" spans="1:5">
      <c r="A6052" t="s">
        <v>7055</v>
      </c>
      <c r="B6052" t="s">
        <v>7059</v>
      </c>
      <c r="C6052">
        <v>0</v>
      </c>
      <c r="D6052" t="s">
        <v>106</v>
      </c>
      <c r="E6052">
        <v>20.965517241379299</v>
      </c>
    </row>
    <row r="6053" spans="1:5">
      <c r="A6053" t="s">
        <v>7055</v>
      </c>
      <c r="B6053" t="s">
        <v>7060</v>
      </c>
      <c r="C6053">
        <v>0</v>
      </c>
      <c r="D6053" t="s">
        <v>106</v>
      </c>
      <c r="E6053">
        <v>20.965517241379299</v>
      </c>
    </row>
    <row r="6054" spans="1:5">
      <c r="A6054" t="s">
        <v>7055</v>
      </c>
      <c r="B6054" t="s">
        <v>7061</v>
      </c>
      <c r="C6054">
        <f>0</f>
        <v>0</v>
      </c>
      <c r="D6054" t="s">
        <v>106</v>
      </c>
      <c r="E6054">
        <v>20.965517241379299</v>
      </c>
    </row>
    <row r="6055" spans="1:5">
      <c r="A6055" t="s">
        <v>7055</v>
      </c>
      <c r="B6055" t="s">
        <v>7062</v>
      </c>
      <c r="C6055">
        <f>0</f>
        <v>0</v>
      </c>
      <c r="D6055" t="s">
        <v>106</v>
      </c>
      <c r="E6055">
        <v>20.965517241379299</v>
      </c>
    </row>
    <row r="6056" spans="1:5">
      <c r="A6056" t="s">
        <v>7063</v>
      </c>
      <c r="B6056" t="s">
        <v>7064</v>
      </c>
      <c r="C6056">
        <v>0</v>
      </c>
      <c r="D6056" t="s">
        <v>106</v>
      </c>
      <c r="E6056">
        <v>1.00749625187406</v>
      </c>
    </row>
    <row r="6057" spans="1:5">
      <c r="A6057" t="s">
        <v>7063</v>
      </c>
      <c r="B6057" t="s">
        <v>7065</v>
      </c>
      <c r="C6057">
        <v>0</v>
      </c>
      <c r="D6057" t="s">
        <v>106</v>
      </c>
      <c r="E6057">
        <v>1.00749625187406</v>
      </c>
    </row>
    <row r="6058" spans="1:5">
      <c r="A6058" t="s">
        <v>7063</v>
      </c>
      <c r="B6058" t="s">
        <v>7066</v>
      </c>
      <c r="C6058">
        <f>0</f>
        <v>0</v>
      </c>
      <c r="D6058" t="s">
        <v>106</v>
      </c>
      <c r="E6058">
        <v>1.00749625187406</v>
      </c>
    </row>
    <row r="6059" spans="1:5">
      <c r="A6059" t="s">
        <v>7063</v>
      </c>
      <c r="B6059" t="s">
        <v>7067</v>
      </c>
      <c r="C6059">
        <v>0</v>
      </c>
      <c r="D6059" t="s">
        <v>106</v>
      </c>
      <c r="E6059">
        <v>1.00749625187406</v>
      </c>
    </row>
    <row r="6060" spans="1:5">
      <c r="A6060" t="s">
        <v>7068</v>
      </c>
      <c r="B6060" t="s">
        <v>7069</v>
      </c>
      <c r="C6060">
        <f>0</f>
        <v>0</v>
      </c>
      <c r="D6060">
        <v>0.93323202782400005</v>
      </c>
      <c r="E6060">
        <v>24</v>
      </c>
    </row>
    <row r="6061" spans="1:5">
      <c r="A6061" t="s">
        <v>7068</v>
      </c>
      <c r="B6061" t="s">
        <v>7070</v>
      </c>
      <c r="C6061">
        <f>0</f>
        <v>0</v>
      </c>
      <c r="D6061">
        <v>0.93323202782400005</v>
      </c>
      <c r="E6061">
        <v>24</v>
      </c>
    </row>
    <row r="6062" spans="1:5">
      <c r="A6062" t="s">
        <v>7068</v>
      </c>
      <c r="B6062" t="s">
        <v>7071</v>
      </c>
      <c r="C6062">
        <v>0</v>
      </c>
      <c r="D6062">
        <v>0.93323202782400005</v>
      </c>
      <c r="E6062">
        <v>24</v>
      </c>
    </row>
    <row r="6063" spans="1:5">
      <c r="A6063" t="s">
        <v>7068</v>
      </c>
      <c r="B6063" t="s">
        <v>7072</v>
      </c>
      <c r="C6063">
        <v>0</v>
      </c>
      <c r="D6063">
        <v>0.93323202782400005</v>
      </c>
      <c r="E6063">
        <v>24</v>
      </c>
    </row>
    <row r="6064" spans="1:5">
      <c r="A6064" t="s">
        <v>7068</v>
      </c>
      <c r="B6064" t="s">
        <v>7073</v>
      </c>
      <c r="C6064">
        <f>0.0900829542343</f>
        <v>9.0082954234300003E-2</v>
      </c>
      <c r="D6064">
        <v>0.93323202782400005</v>
      </c>
      <c r="E6064">
        <v>24</v>
      </c>
    </row>
    <row r="6065" spans="1:5">
      <c r="A6065" t="s">
        <v>7068</v>
      </c>
      <c r="B6065" t="s">
        <v>7074</v>
      </c>
      <c r="C6065">
        <f>0.0101888719158</f>
        <v>1.01888719158E-2</v>
      </c>
      <c r="D6065">
        <v>0.93323202782400005</v>
      </c>
      <c r="E6065">
        <v>24</v>
      </c>
    </row>
    <row r="6066" spans="1:5">
      <c r="A6066" t="s">
        <v>7075</v>
      </c>
      <c r="B6066" t="s">
        <v>7076</v>
      </c>
      <c r="C6066">
        <f>0</f>
        <v>0</v>
      </c>
      <c r="D6066">
        <v>0.96094817400499999</v>
      </c>
      <c r="E6066">
        <v>4.0659670164917499</v>
      </c>
    </row>
    <row r="6067" spans="1:5">
      <c r="A6067" t="s">
        <v>7075</v>
      </c>
      <c r="B6067" t="s">
        <v>7077</v>
      </c>
      <c r="C6067">
        <v>0.16263416790499999</v>
      </c>
      <c r="D6067">
        <v>0.96094817400499999</v>
      </c>
      <c r="E6067">
        <v>4.0659670164917499</v>
      </c>
    </row>
    <row r="6068" spans="1:5">
      <c r="A6068" t="s">
        <v>7075</v>
      </c>
      <c r="B6068" t="s">
        <v>7078</v>
      </c>
      <c r="C6068">
        <f>0</f>
        <v>0</v>
      </c>
      <c r="D6068">
        <v>0.96094817400499999</v>
      </c>
      <c r="E6068">
        <v>4.0659670164917499</v>
      </c>
    </row>
    <row r="6069" spans="1:5">
      <c r="A6069" t="s">
        <v>7075</v>
      </c>
      <c r="B6069" t="s">
        <v>7079</v>
      </c>
      <c r="C6069">
        <v>2.08897020445E-2</v>
      </c>
      <c r="D6069">
        <v>0.96094817400499999</v>
      </c>
      <c r="E6069">
        <v>4.0659670164917499</v>
      </c>
    </row>
    <row r="6070" spans="1:5">
      <c r="A6070" t="s">
        <v>7075</v>
      </c>
      <c r="B6070" t="s">
        <v>7080</v>
      </c>
      <c r="C6070">
        <v>0.19606668785600001</v>
      </c>
      <c r="D6070">
        <v>0.96094817400499999</v>
      </c>
      <c r="E6070">
        <v>4.0659670164917499</v>
      </c>
    </row>
    <row r="6071" spans="1:5">
      <c r="A6071" t="s">
        <v>7081</v>
      </c>
      <c r="B6071" t="s">
        <v>7082</v>
      </c>
      <c r="C6071">
        <v>0</v>
      </c>
      <c r="D6071" t="s">
        <v>106</v>
      </c>
      <c r="E6071">
        <v>1.33133433283358</v>
      </c>
    </row>
    <row r="6072" spans="1:5">
      <c r="A6072" t="s">
        <v>7083</v>
      </c>
      <c r="B6072" t="s">
        <v>7084</v>
      </c>
      <c r="C6072">
        <v>0</v>
      </c>
      <c r="D6072">
        <v>0.84067356934899995</v>
      </c>
      <c r="E6072">
        <v>20.509745127436201</v>
      </c>
    </row>
    <row r="6073" spans="1:5">
      <c r="A6073" t="s">
        <v>7083</v>
      </c>
      <c r="B6073" t="s">
        <v>7085</v>
      </c>
      <c r="C6073">
        <f>0</f>
        <v>0</v>
      </c>
      <c r="D6073">
        <v>0.84067356934899995</v>
      </c>
      <c r="E6073">
        <v>20.509745127436201</v>
      </c>
    </row>
    <row r="6074" spans="1:5">
      <c r="A6074" t="s">
        <v>7083</v>
      </c>
      <c r="B6074" t="s">
        <v>7086</v>
      </c>
      <c r="C6074">
        <f>0</f>
        <v>0</v>
      </c>
      <c r="D6074">
        <v>0.84067356934899995</v>
      </c>
      <c r="E6074">
        <v>20.509745127436201</v>
      </c>
    </row>
    <row r="6075" spans="1:5">
      <c r="A6075" t="s">
        <v>7083</v>
      </c>
      <c r="B6075" t="s">
        <v>7087</v>
      </c>
      <c r="C6075">
        <f>0</f>
        <v>0</v>
      </c>
      <c r="D6075">
        <v>0.84067356934899995</v>
      </c>
      <c r="E6075">
        <v>20.509745127436201</v>
      </c>
    </row>
    <row r="6076" spans="1:5">
      <c r="A6076" t="s">
        <v>7083</v>
      </c>
      <c r="B6076" t="s">
        <v>7088</v>
      </c>
      <c r="C6076">
        <v>0</v>
      </c>
      <c r="D6076">
        <v>0.84067356934899995</v>
      </c>
      <c r="E6076">
        <v>20.509745127436201</v>
      </c>
    </row>
    <row r="6077" spans="1:5">
      <c r="A6077" t="s">
        <v>7083</v>
      </c>
      <c r="B6077" t="s">
        <v>7089</v>
      </c>
      <c r="C6077">
        <f>0</f>
        <v>0</v>
      </c>
      <c r="D6077">
        <v>0.84067356934899995</v>
      </c>
      <c r="E6077">
        <v>20.509745127436201</v>
      </c>
    </row>
    <row r="6078" spans="1:5">
      <c r="A6078" t="s">
        <v>7083</v>
      </c>
      <c r="B6078" t="s">
        <v>7090</v>
      </c>
      <c r="C6078">
        <v>0</v>
      </c>
      <c r="D6078">
        <v>0.84067356934899995</v>
      </c>
      <c r="E6078">
        <v>20.509745127436201</v>
      </c>
    </row>
    <row r="6079" spans="1:5">
      <c r="A6079" t="s">
        <v>7091</v>
      </c>
      <c r="B6079" t="s">
        <v>7092</v>
      </c>
      <c r="C6079">
        <v>0</v>
      </c>
      <c r="D6079">
        <v>0.89326690055000002</v>
      </c>
      <c r="E6079">
        <v>19.4182908545727</v>
      </c>
    </row>
    <row r="6080" spans="1:5">
      <c r="A6080" t="s">
        <v>7091</v>
      </c>
      <c r="B6080" t="s">
        <v>7093</v>
      </c>
      <c r="C6080">
        <f>0</f>
        <v>0</v>
      </c>
      <c r="D6080">
        <v>0.89326690055000002</v>
      </c>
      <c r="E6080">
        <v>19.4182908545727</v>
      </c>
    </row>
    <row r="6081" spans="1:5">
      <c r="A6081" t="s">
        <v>7091</v>
      </c>
      <c r="B6081" t="s">
        <v>7094</v>
      </c>
      <c r="C6081">
        <v>0</v>
      </c>
      <c r="D6081">
        <v>0.89326690055000002</v>
      </c>
      <c r="E6081">
        <v>19.4182908545727</v>
      </c>
    </row>
    <row r="6082" spans="1:5">
      <c r="A6082" t="s">
        <v>7091</v>
      </c>
      <c r="B6082" t="s">
        <v>7095</v>
      </c>
      <c r="C6082">
        <v>0</v>
      </c>
      <c r="D6082">
        <v>0.89326690055000002</v>
      </c>
      <c r="E6082">
        <v>19.4182908545727</v>
      </c>
    </row>
    <row r="6083" spans="1:5">
      <c r="A6083" t="s">
        <v>7091</v>
      </c>
      <c r="B6083" t="s">
        <v>7096</v>
      </c>
      <c r="C6083">
        <f>0</f>
        <v>0</v>
      </c>
      <c r="D6083">
        <v>0.89326690055000002</v>
      </c>
      <c r="E6083">
        <v>19.4182908545727</v>
      </c>
    </row>
    <row r="6084" spans="1:5">
      <c r="A6084" t="s">
        <v>7091</v>
      </c>
      <c r="B6084" t="s">
        <v>7097</v>
      </c>
      <c r="C6084">
        <f>0</f>
        <v>0</v>
      </c>
      <c r="D6084">
        <v>0.89326690055000002</v>
      </c>
      <c r="E6084">
        <v>19.4182908545727</v>
      </c>
    </row>
    <row r="6085" spans="1:5">
      <c r="A6085" t="s">
        <v>7091</v>
      </c>
      <c r="B6085" t="s">
        <v>7098</v>
      </c>
      <c r="C6085">
        <f>0</f>
        <v>0</v>
      </c>
      <c r="D6085">
        <v>0.89326690055000002</v>
      </c>
      <c r="E6085">
        <v>19.4182908545727</v>
      </c>
    </row>
    <row r="6086" spans="1:5">
      <c r="A6086" t="s">
        <v>7091</v>
      </c>
      <c r="B6086" t="s">
        <v>7099</v>
      </c>
      <c r="C6086">
        <f>0</f>
        <v>0</v>
      </c>
      <c r="D6086">
        <v>0.89326690055000002</v>
      </c>
      <c r="E6086">
        <v>19.4182908545727</v>
      </c>
    </row>
    <row r="6087" spans="1:5">
      <c r="A6087" t="s">
        <v>7091</v>
      </c>
      <c r="B6087" t="s">
        <v>7100</v>
      </c>
      <c r="C6087">
        <f>0</f>
        <v>0</v>
      </c>
      <c r="D6087">
        <v>0.89326690055000002</v>
      </c>
      <c r="E6087">
        <v>19.4182908545727</v>
      </c>
    </row>
    <row r="6088" spans="1:5">
      <c r="A6088" t="s">
        <v>7091</v>
      </c>
      <c r="B6088" t="s">
        <v>7101</v>
      </c>
      <c r="C6088">
        <f>0</f>
        <v>0</v>
      </c>
      <c r="D6088">
        <v>0.89326690055000002</v>
      </c>
      <c r="E6088">
        <v>19.4182908545727</v>
      </c>
    </row>
    <row r="6089" spans="1:5">
      <c r="A6089" t="s">
        <v>7091</v>
      </c>
      <c r="B6089" t="s">
        <v>7102</v>
      </c>
      <c r="C6089">
        <v>0</v>
      </c>
      <c r="D6089">
        <v>0.89326690055000002</v>
      </c>
      <c r="E6089">
        <v>19.4182908545727</v>
      </c>
    </row>
    <row r="6090" spans="1:5">
      <c r="A6090" t="s">
        <v>7091</v>
      </c>
      <c r="B6090" t="s">
        <v>7103</v>
      </c>
      <c r="C6090">
        <f>0</f>
        <v>0</v>
      </c>
      <c r="D6090">
        <v>0.89326690055000002</v>
      </c>
      <c r="E6090">
        <v>19.4182908545727</v>
      </c>
    </row>
    <row r="6091" spans="1:5">
      <c r="A6091" t="s">
        <v>7091</v>
      </c>
      <c r="B6091" t="s">
        <v>7104</v>
      </c>
      <c r="C6091">
        <v>0</v>
      </c>
      <c r="D6091">
        <v>0.89326690055000002</v>
      </c>
      <c r="E6091">
        <v>19.4182908545727</v>
      </c>
    </row>
    <row r="6092" spans="1:5">
      <c r="A6092" t="s">
        <v>7091</v>
      </c>
      <c r="B6092" t="s">
        <v>7105</v>
      </c>
      <c r="C6092">
        <v>0</v>
      </c>
      <c r="D6092">
        <v>0.89326690055000002</v>
      </c>
      <c r="E6092">
        <v>19.4182908545727</v>
      </c>
    </row>
    <row r="6093" spans="1:5">
      <c r="A6093" t="s">
        <v>7106</v>
      </c>
      <c r="B6093" t="s">
        <v>7107</v>
      </c>
      <c r="C6093">
        <v>0</v>
      </c>
      <c r="D6093" t="s">
        <v>106</v>
      </c>
      <c r="E6093">
        <v>1.57121439280359</v>
      </c>
    </row>
    <row r="6094" spans="1:5">
      <c r="A6094" t="s">
        <v>7106</v>
      </c>
      <c r="B6094" t="s">
        <v>7108</v>
      </c>
      <c r="C6094">
        <f>0</f>
        <v>0</v>
      </c>
      <c r="D6094" t="s">
        <v>106</v>
      </c>
      <c r="E6094">
        <v>1.57121439280359</v>
      </c>
    </row>
    <row r="6095" spans="1:5">
      <c r="A6095" t="s">
        <v>7106</v>
      </c>
      <c r="B6095" t="s">
        <v>7109</v>
      </c>
      <c r="C6095">
        <v>0</v>
      </c>
      <c r="D6095" t="s">
        <v>106</v>
      </c>
      <c r="E6095">
        <v>1.57121439280359</v>
      </c>
    </row>
    <row r="6096" spans="1:5">
      <c r="A6096" t="s">
        <v>7110</v>
      </c>
      <c r="B6096" t="s">
        <v>7111</v>
      </c>
      <c r="C6096">
        <f>0</f>
        <v>0</v>
      </c>
      <c r="D6096" t="s">
        <v>106</v>
      </c>
      <c r="E6096">
        <v>10.398800599700101</v>
      </c>
    </row>
    <row r="6097" spans="1:5">
      <c r="A6097" t="s">
        <v>7110</v>
      </c>
      <c r="B6097" t="s">
        <v>7112</v>
      </c>
      <c r="C6097">
        <f>0</f>
        <v>0</v>
      </c>
      <c r="D6097" t="s">
        <v>106</v>
      </c>
      <c r="E6097">
        <v>10.398800599700101</v>
      </c>
    </row>
    <row r="6098" spans="1:5">
      <c r="A6098" t="s">
        <v>7110</v>
      </c>
      <c r="B6098" t="s">
        <v>7113</v>
      </c>
      <c r="C6098">
        <v>0</v>
      </c>
      <c r="D6098" t="s">
        <v>106</v>
      </c>
      <c r="E6098">
        <v>10.398800599700101</v>
      </c>
    </row>
    <row r="6099" spans="1:5">
      <c r="A6099" t="s">
        <v>7110</v>
      </c>
      <c r="B6099" t="s">
        <v>7114</v>
      </c>
      <c r="C6099">
        <f>0</f>
        <v>0</v>
      </c>
      <c r="D6099" t="s">
        <v>106</v>
      </c>
      <c r="E6099">
        <v>10.398800599700101</v>
      </c>
    </row>
    <row r="6100" spans="1:5">
      <c r="A6100" t="s">
        <v>7110</v>
      </c>
      <c r="B6100" t="s">
        <v>7115</v>
      </c>
      <c r="C6100">
        <f>0</f>
        <v>0</v>
      </c>
      <c r="D6100" t="s">
        <v>106</v>
      </c>
      <c r="E6100">
        <v>10.398800599700101</v>
      </c>
    </row>
    <row r="6101" spans="1:5">
      <c r="A6101" t="s">
        <v>7116</v>
      </c>
      <c r="B6101" t="s">
        <v>7117</v>
      </c>
      <c r="C6101">
        <v>0</v>
      </c>
      <c r="D6101" t="s">
        <v>106</v>
      </c>
      <c r="E6101">
        <v>2.0269865067466202</v>
      </c>
    </row>
    <row r="6102" spans="1:5">
      <c r="A6102" t="s">
        <v>7116</v>
      </c>
      <c r="B6102" t="s">
        <v>7118</v>
      </c>
      <c r="C6102">
        <f>0</f>
        <v>0</v>
      </c>
      <c r="D6102" t="s">
        <v>106</v>
      </c>
      <c r="E6102">
        <v>2.0269865067466202</v>
      </c>
    </row>
    <row r="6103" spans="1:5">
      <c r="A6103" t="s">
        <v>7116</v>
      </c>
      <c r="B6103" t="s">
        <v>7119</v>
      </c>
      <c r="C6103">
        <v>0</v>
      </c>
      <c r="D6103" t="s">
        <v>106</v>
      </c>
      <c r="E6103">
        <v>2.0269865067466202</v>
      </c>
    </row>
    <row r="6104" spans="1:5">
      <c r="A6104" t="s">
        <v>7116</v>
      </c>
      <c r="B6104" t="s">
        <v>7120</v>
      </c>
      <c r="C6104">
        <f>0</f>
        <v>0</v>
      </c>
      <c r="D6104" t="s">
        <v>106</v>
      </c>
      <c r="E6104">
        <v>2.0269865067466202</v>
      </c>
    </row>
    <row r="6105" spans="1:5">
      <c r="A6105" t="s">
        <v>7116</v>
      </c>
      <c r="B6105" t="s">
        <v>7121</v>
      </c>
      <c r="C6105">
        <f>0</f>
        <v>0</v>
      </c>
      <c r="D6105" t="s">
        <v>106</v>
      </c>
      <c r="E6105">
        <v>2.0269865067466202</v>
      </c>
    </row>
    <row r="6106" spans="1:5">
      <c r="A6106" t="s">
        <v>7116</v>
      </c>
      <c r="B6106" t="s">
        <v>7122</v>
      </c>
      <c r="C6106">
        <v>0</v>
      </c>
      <c r="D6106" t="s">
        <v>106</v>
      </c>
      <c r="E6106">
        <v>2.0269865067466202</v>
      </c>
    </row>
    <row r="6107" spans="1:5">
      <c r="A6107" t="s">
        <v>7116</v>
      </c>
      <c r="B6107" t="s">
        <v>7123</v>
      </c>
      <c r="C6107">
        <v>0</v>
      </c>
      <c r="D6107" t="s">
        <v>106</v>
      </c>
      <c r="E6107">
        <v>2.0269865067466202</v>
      </c>
    </row>
    <row r="6108" spans="1:5">
      <c r="A6108" t="s">
        <v>7116</v>
      </c>
      <c r="B6108" t="s">
        <v>7124</v>
      </c>
      <c r="C6108">
        <f>0</f>
        <v>0</v>
      </c>
      <c r="D6108" t="s">
        <v>106</v>
      </c>
      <c r="E6108">
        <v>2.0269865067466202</v>
      </c>
    </row>
    <row r="6109" spans="1:5">
      <c r="A6109" t="s">
        <v>7125</v>
      </c>
      <c r="B6109" t="s">
        <v>7126</v>
      </c>
      <c r="C6109">
        <v>0</v>
      </c>
      <c r="D6109" t="s">
        <v>106</v>
      </c>
      <c r="E6109">
        <v>2.39880059970015</v>
      </c>
    </row>
    <row r="6110" spans="1:5">
      <c r="A6110" t="s">
        <v>7125</v>
      </c>
      <c r="B6110" t="s">
        <v>7127</v>
      </c>
      <c r="C6110">
        <f>0</f>
        <v>0</v>
      </c>
      <c r="D6110" t="s">
        <v>106</v>
      </c>
      <c r="E6110">
        <v>2.39880059970015</v>
      </c>
    </row>
    <row r="6111" spans="1:5">
      <c r="A6111" t="s">
        <v>7125</v>
      </c>
      <c r="B6111" t="s">
        <v>7128</v>
      </c>
      <c r="C6111">
        <f>0</f>
        <v>0</v>
      </c>
      <c r="D6111" t="s">
        <v>106</v>
      </c>
      <c r="E6111">
        <v>2.39880059970015</v>
      </c>
    </row>
    <row r="6112" spans="1:5">
      <c r="A6112" t="s">
        <v>7125</v>
      </c>
      <c r="B6112" t="s">
        <v>7129</v>
      </c>
      <c r="C6112">
        <f>0</f>
        <v>0</v>
      </c>
      <c r="D6112" t="s">
        <v>106</v>
      </c>
      <c r="E6112">
        <v>2.39880059970015</v>
      </c>
    </row>
    <row r="6113" spans="1:5">
      <c r="A6113" t="s">
        <v>7125</v>
      </c>
      <c r="B6113" t="s">
        <v>7130</v>
      </c>
      <c r="C6113">
        <f>0</f>
        <v>0</v>
      </c>
      <c r="D6113" t="s">
        <v>106</v>
      </c>
      <c r="E6113">
        <v>2.39880059970015</v>
      </c>
    </row>
    <row r="6114" spans="1:5">
      <c r="A6114" t="s">
        <v>7125</v>
      </c>
      <c r="B6114" t="s">
        <v>7131</v>
      </c>
      <c r="C6114">
        <v>0</v>
      </c>
      <c r="D6114" t="s">
        <v>106</v>
      </c>
      <c r="E6114">
        <v>2.39880059970015</v>
      </c>
    </row>
    <row r="6115" spans="1:5">
      <c r="A6115" t="s">
        <v>7125</v>
      </c>
      <c r="B6115" t="s">
        <v>7132</v>
      </c>
      <c r="C6115">
        <f>0</f>
        <v>0</v>
      </c>
      <c r="D6115" t="s">
        <v>106</v>
      </c>
      <c r="E6115">
        <v>2.39880059970015</v>
      </c>
    </row>
    <row r="6116" spans="1:5">
      <c r="A6116" t="s">
        <v>7125</v>
      </c>
      <c r="B6116" t="s">
        <v>7133</v>
      </c>
      <c r="C6116">
        <f>0</f>
        <v>0</v>
      </c>
      <c r="D6116" t="s">
        <v>106</v>
      </c>
      <c r="E6116">
        <v>2.39880059970015</v>
      </c>
    </row>
    <row r="6117" spans="1:5">
      <c r="A6117" t="s">
        <v>7125</v>
      </c>
      <c r="B6117" t="s">
        <v>7134</v>
      </c>
      <c r="C6117">
        <f>0</f>
        <v>0</v>
      </c>
      <c r="D6117" t="s">
        <v>106</v>
      </c>
      <c r="E6117">
        <v>2.39880059970015</v>
      </c>
    </row>
    <row r="6118" spans="1:5">
      <c r="A6118" t="s">
        <v>7125</v>
      </c>
      <c r="B6118" t="s">
        <v>7135</v>
      </c>
      <c r="C6118">
        <v>0</v>
      </c>
      <c r="D6118" t="s">
        <v>106</v>
      </c>
      <c r="E6118">
        <v>2.39880059970015</v>
      </c>
    </row>
    <row r="6119" spans="1:5">
      <c r="A6119" t="s">
        <v>7136</v>
      </c>
      <c r="B6119" t="s">
        <v>7137</v>
      </c>
      <c r="C6119">
        <v>0.13839582358499999</v>
      </c>
      <c r="D6119">
        <v>0.99219766265700005</v>
      </c>
      <c r="E6119">
        <v>14.5487256371814</v>
      </c>
    </row>
    <row r="6120" spans="1:5">
      <c r="A6120" t="s">
        <v>7136</v>
      </c>
      <c r="B6120" t="s">
        <v>7138</v>
      </c>
      <c r="C6120">
        <v>0</v>
      </c>
      <c r="D6120">
        <v>0.99219766265700005</v>
      </c>
      <c r="E6120">
        <v>14.5487256371814</v>
      </c>
    </row>
    <row r="6121" spans="1:5">
      <c r="A6121" t="s">
        <v>7136</v>
      </c>
      <c r="B6121" t="s">
        <v>7139</v>
      </c>
      <c r="C6121">
        <v>0</v>
      </c>
      <c r="D6121">
        <v>0.99219766265700005</v>
      </c>
      <c r="E6121">
        <v>14.5487256371814</v>
      </c>
    </row>
    <row r="6122" spans="1:5">
      <c r="A6122" t="s">
        <v>7136</v>
      </c>
      <c r="B6122" t="s">
        <v>7140</v>
      </c>
      <c r="C6122">
        <v>0.15235457561900001</v>
      </c>
      <c r="D6122">
        <v>0.99219766265700005</v>
      </c>
      <c r="E6122">
        <v>14.5487256371814</v>
      </c>
    </row>
    <row r="6123" spans="1:5">
      <c r="A6123" t="s">
        <v>7141</v>
      </c>
      <c r="B6123" t="s">
        <v>7142</v>
      </c>
      <c r="C6123">
        <v>0</v>
      </c>
      <c r="D6123" t="s">
        <v>106</v>
      </c>
      <c r="E6123">
        <v>15.700149925037399</v>
      </c>
    </row>
    <row r="6124" spans="1:5">
      <c r="A6124" t="s">
        <v>7141</v>
      </c>
      <c r="B6124" t="s">
        <v>7143</v>
      </c>
      <c r="C6124">
        <v>0</v>
      </c>
      <c r="D6124" t="s">
        <v>106</v>
      </c>
      <c r="E6124">
        <v>15.700149925037399</v>
      </c>
    </row>
    <row r="6125" spans="1:5">
      <c r="A6125" t="s">
        <v>7144</v>
      </c>
      <c r="B6125" t="s">
        <v>7145</v>
      </c>
      <c r="C6125">
        <v>6.9354180126999995E-2</v>
      </c>
      <c r="D6125">
        <v>0.98909358977899997</v>
      </c>
      <c r="E6125">
        <v>24</v>
      </c>
    </row>
    <row r="6126" spans="1:5">
      <c r="A6126" t="s">
        <v>7144</v>
      </c>
      <c r="B6126" t="s">
        <v>7146</v>
      </c>
      <c r="C6126">
        <v>0</v>
      </c>
      <c r="D6126">
        <v>0.98909358977899997</v>
      </c>
      <c r="E6126">
        <v>24</v>
      </c>
    </row>
    <row r="6127" spans="1:5">
      <c r="A6127" t="s">
        <v>7144</v>
      </c>
      <c r="B6127" t="s">
        <v>7147</v>
      </c>
      <c r="C6127">
        <v>0.10834214187500001</v>
      </c>
      <c r="D6127">
        <v>0.98909358977899997</v>
      </c>
      <c r="E6127">
        <v>24</v>
      </c>
    </row>
    <row r="6128" spans="1:5">
      <c r="A6128" t="s">
        <v>7144</v>
      </c>
      <c r="B6128" t="s">
        <v>7148</v>
      </c>
      <c r="C6128">
        <f>0</f>
        <v>0</v>
      </c>
      <c r="D6128">
        <v>0.98909358977899997</v>
      </c>
      <c r="E6128">
        <v>24</v>
      </c>
    </row>
    <row r="6129" spans="1:5">
      <c r="A6129" t="s">
        <v>7149</v>
      </c>
      <c r="B6129" t="s">
        <v>7150</v>
      </c>
      <c r="C6129">
        <v>0</v>
      </c>
      <c r="D6129">
        <v>0.99817198893400005</v>
      </c>
      <c r="E6129">
        <v>12.3898050974512</v>
      </c>
    </row>
    <row r="6130" spans="1:5">
      <c r="A6130" t="s">
        <v>7149</v>
      </c>
      <c r="B6130" t="s">
        <v>7151</v>
      </c>
      <c r="C6130">
        <v>0</v>
      </c>
      <c r="D6130">
        <v>0.99817198893400005</v>
      </c>
      <c r="E6130">
        <v>12.3898050974512</v>
      </c>
    </row>
    <row r="6131" spans="1:5">
      <c r="A6131" t="s">
        <v>7149</v>
      </c>
      <c r="B6131" t="s">
        <v>7152</v>
      </c>
      <c r="C6131">
        <v>0</v>
      </c>
      <c r="D6131">
        <v>0.99817198893400005</v>
      </c>
      <c r="E6131">
        <v>12.3898050974512</v>
      </c>
    </row>
    <row r="6132" spans="1:5">
      <c r="A6132" t="s">
        <v>7149</v>
      </c>
      <c r="B6132" t="s">
        <v>7153</v>
      </c>
      <c r="C6132">
        <v>0</v>
      </c>
      <c r="D6132">
        <v>0.99817198893400005</v>
      </c>
      <c r="E6132">
        <v>12.3898050974512</v>
      </c>
    </row>
    <row r="6133" spans="1:5">
      <c r="A6133" t="s">
        <v>7149</v>
      </c>
      <c r="B6133" t="s">
        <v>7154</v>
      </c>
      <c r="C6133">
        <v>0</v>
      </c>
      <c r="D6133">
        <v>0.99817198893400005</v>
      </c>
      <c r="E6133">
        <v>12.3898050974512</v>
      </c>
    </row>
    <row r="6134" spans="1:5">
      <c r="A6134" t="s">
        <v>7149</v>
      </c>
      <c r="B6134" t="s">
        <v>7155</v>
      </c>
      <c r="C6134">
        <v>0</v>
      </c>
      <c r="D6134">
        <v>0.99817198893400005</v>
      </c>
      <c r="E6134">
        <v>12.3898050974512</v>
      </c>
    </row>
    <row r="6135" spans="1:5">
      <c r="A6135" t="s">
        <v>7149</v>
      </c>
      <c r="B6135" t="s">
        <v>7156</v>
      </c>
      <c r="C6135">
        <v>0.209250707344</v>
      </c>
      <c r="D6135">
        <v>0.99817198893400005</v>
      </c>
      <c r="E6135">
        <v>12.3898050974512</v>
      </c>
    </row>
    <row r="6136" spans="1:5">
      <c r="A6136" t="s">
        <v>7149</v>
      </c>
      <c r="B6136" t="s">
        <v>7157</v>
      </c>
      <c r="C6136">
        <v>0</v>
      </c>
      <c r="D6136">
        <v>0.99817198893400005</v>
      </c>
      <c r="E6136">
        <v>12.3898050974512</v>
      </c>
    </row>
    <row r="6137" spans="1:5">
      <c r="A6137" t="s">
        <v>7149</v>
      </c>
      <c r="B6137" t="s">
        <v>7158</v>
      </c>
      <c r="C6137">
        <v>0.12332351977100001</v>
      </c>
      <c r="D6137">
        <v>0.99817198893400005</v>
      </c>
      <c r="E6137">
        <v>12.3898050974512</v>
      </c>
    </row>
    <row r="6138" spans="1:5">
      <c r="A6138" t="s">
        <v>7149</v>
      </c>
      <c r="B6138" t="s">
        <v>7159</v>
      </c>
      <c r="C6138">
        <v>0</v>
      </c>
      <c r="D6138">
        <v>0.99817198893400005</v>
      </c>
      <c r="E6138">
        <v>12.3898050974512</v>
      </c>
    </row>
    <row r="6139" spans="1:5">
      <c r="A6139" t="s">
        <v>7149</v>
      </c>
      <c r="B6139" t="s">
        <v>7160</v>
      </c>
      <c r="C6139">
        <v>0</v>
      </c>
      <c r="D6139">
        <v>0.99817198893400005</v>
      </c>
      <c r="E6139">
        <v>12.3898050974512</v>
      </c>
    </row>
    <row r="6140" spans="1:5">
      <c r="A6140" t="s">
        <v>7149</v>
      </c>
      <c r="B6140" t="s">
        <v>7161</v>
      </c>
      <c r="C6140">
        <v>0</v>
      </c>
      <c r="D6140">
        <v>0.99817198893400005</v>
      </c>
      <c r="E6140">
        <v>12.3898050974512</v>
      </c>
    </row>
    <row r="6141" spans="1:5">
      <c r="A6141" t="s">
        <v>7149</v>
      </c>
      <c r="B6141" t="s">
        <v>7162</v>
      </c>
      <c r="C6141">
        <f>0</f>
        <v>0</v>
      </c>
      <c r="D6141">
        <v>0.99817198893400005</v>
      </c>
      <c r="E6141">
        <v>12.3898050974512</v>
      </c>
    </row>
    <row r="6142" spans="1:5">
      <c r="A6142" t="s">
        <v>7149</v>
      </c>
      <c r="B6142" t="s">
        <v>7163</v>
      </c>
      <c r="C6142">
        <v>0</v>
      </c>
      <c r="D6142">
        <v>0.99817198893400005</v>
      </c>
      <c r="E6142">
        <v>12.3898050974512</v>
      </c>
    </row>
    <row r="6143" spans="1:5">
      <c r="A6143" t="s">
        <v>7149</v>
      </c>
      <c r="B6143" t="s">
        <v>7164</v>
      </c>
      <c r="C6143">
        <v>0</v>
      </c>
      <c r="D6143">
        <v>0.99817198893400005</v>
      </c>
      <c r="E6143">
        <v>12.3898050974512</v>
      </c>
    </row>
    <row r="6144" spans="1:5">
      <c r="A6144" t="s">
        <v>7149</v>
      </c>
      <c r="B6144" t="s">
        <v>7165</v>
      </c>
      <c r="C6144">
        <v>0</v>
      </c>
      <c r="D6144">
        <v>0.99817198893400005</v>
      </c>
      <c r="E6144">
        <v>12.3898050974512</v>
      </c>
    </row>
    <row r="6145" spans="1:5">
      <c r="A6145" t="s">
        <v>7149</v>
      </c>
      <c r="B6145" t="s">
        <v>7166</v>
      </c>
      <c r="C6145">
        <v>0</v>
      </c>
      <c r="D6145">
        <v>0.99817198893400005</v>
      </c>
      <c r="E6145">
        <v>12.3898050974512</v>
      </c>
    </row>
    <row r="6146" spans="1:5">
      <c r="A6146" t="s">
        <v>7149</v>
      </c>
      <c r="B6146" t="s">
        <v>7167</v>
      </c>
      <c r="C6146">
        <v>0</v>
      </c>
      <c r="D6146">
        <v>0.99817198893400005</v>
      </c>
      <c r="E6146">
        <v>12.3898050974512</v>
      </c>
    </row>
    <row r="6147" spans="1:5">
      <c r="A6147" t="s">
        <v>7149</v>
      </c>
      <c r="B6147" t="s">
        <v>7168</v>
      </c>
      <c r="C6147">
        <v>0</v>
      </c>
      <c r="D6147">
        <v>0.99817198893400005</v>
      </c>
      <c r="E6147">
        <v>12.3898050974512</v>
      </c>
    </row>
    <row r="6148" spans="1:5">
      <c r="A6148" t="s">
        <v>7149</v>
      </c>
      <c r="B6148" t="s">
        <v>7169</v>
      </c>
      <c r="C6148">
        <f>0</f>
        <v>0</v>
      </c>
      <c r="D6148">
        <v>0.99817198893400005</v>
      </c>
      <c r="E6148">
        <v>12.3898050974512</v>
      </c>
    </row>
    <row r="6149" spans="1:5">
      <c r="A6149" t="s">
        <v>7149</v>
      </c>
      <c r="B6149" t="s">
        <v>7170</v>
      </c>
      <c r="C6149">
        <v>0</v>
      </c>
      <c r="D6149">
        <v>0.99817198893400005</v>
      </c>
      <c r="E6149">
        <v>12.3898050974512</v>
      </c>
    </row>
    <row r="6150" spans="1:5">
      <c r="A6150" t="s">
        <v>7149</v>
      </c>
      <c r="B6150" t="s">
        <v>7171</v>
      </c>
      <c r="C6150">
        <v>0</v>
      </c>
      <c r="D6150">
        <v>0.99817198893400005</v>
      </c>
      <c r="E6150">
        <v>12.3898050974512</v>
      </c>
    </row>
    <row r="6151" spans="1:5">
      <c r="A6151" t="s">
        <v>7149</v>
      </c>
      <c r="B6151" t="s">
        <v>7172</v>
      </c>
      <c r="C6151">
        <v>0</v>
      </c>
      <c r="D6151">
        <v>0.99817198893400005</v>
      </c>
      <c r="E6151">
        <v>12.3898050974512</v>
      </c>
    </row>
    <row r="6152" spans="1:5">
      <c r="A6152" t="s">
        <v>7173</v>
      </c>
      <c r="B6152" t="s">
        <v>7174</v>
      </c>
      <c r="C6152">
        <f>0</f>
        <v>0</v>
      </c>
      <c r="D6152">
        <v>0.930889755072</v>
      </c>
      <c r="E6152">
        <v>12.0419790104947</v>
      </c>
    </row>
    <row r="6153" spans="1:5">
      <c r="A6153" t="s">
        <v>7173</v>
      </c>
      <c r="B6153" t="s">
        <v>7175</v>
      </c>
      <c r="C6153">
        <f>0</f>
        <v>0</v>
      </c>
      <c r="D6153">
        <v>0.930889755072</v>
      </c>
      <c r="E6153">
        <v>12.0419790104947</v>
      </c>
    </row>
    <row r="6154" spans="1:5">
      <c r="A6154" t="s">
        <v>7173</v>
      </c>
      <c r="B6154" t="s">
        <v>7176</v>
      </c>
      <c r="C6154">
        <f>0</f>
        <v>0</v>
      </c>
      <c r="D6154">
        <v>0.930889755072</v>
      </c>
      <c r="E6154">
        <v>12.0419790104947</v>
      </c>
    </row>
    <row r="6155" spans="1:5">
      <c r="A6155" t="s">
        <v>7173</v>
      </c>
      <c r="B6155" t="s">
        <v>7177</v>
      </c>
      <c r="C6155">
        <f>0</f>
        <v>0</v>
      </c>
      <c r="D6155">
        <v>0.930889755072</v>
      </c>
      <c r="E6155">
        <v>12.0419790104947</v>
      </c>
    </row>
    <row r="6156" spans="1:5">
      <c r="A6156" t="s">
        <v>7173</v>
      </c>
      <c r="B6156" t="s">
        <v>7178</v>
      </c>
      <c r="C6156">
        <f>0</f>
        <v>0</v>
      </c>
      <c r="D6156">
        <v>0.930889755072</v>
      </c>
      <c r="E6156">
        <v>12.0419790104947</v>
      </c>
    </row>
    <row r="6157" spans="1:5">
      <c r="A6157" t="s">
        <v>7173</v>
      </c>
      <c r="B6157" t="s">
        <v>7179</v>
      </c>
      <c r="C6157">
        <f>0</f>
        <v>0</v>
      </c>
      <c r="D6157">
        <v>0.930889755072</v>
      </c>
      <c r="E6157">
        <v>12.0419790104947</v>
      </c>
    </row>
    <row r="6158" spans="1:5">
      <c r="A6158" t="s">
        <v>7173</v>
      </c>
      <c r="B6158" t="s">
        <v>7180</v>
      </c>
      <c r="C6158">
        <f>0.11612516857</f>
        <v>0.11612516857000001</v>
      </c>
      <c r="D6158">
        <v>0.930889755072</v>
      </c>
      <c r="E6158">
        <v>12.0419790104947</v>
      </c>
    </row>
    <row r="6159" spans="1:5">
      <c r="A6159" t="s">
        <v>7173</v>
      </c>
      <c r="B6159" t="s">
        <v>7181</v>
      </c>
      <c r="C6159">
        <f>0</f>
        <v>0</v>
      </c>
      <c r="D6159">
        <v>0.930889755072</v>
      </c>
      <c r="E6159">
        <v>12.0419790104947</v>
      </c>
    </row>
    <row r="6160" spans="1:5">
      <c r="A6160" t="s">
        <v>7173</v>
      </c>
      <c r="B6160" t="s">
        <v>7182</v>
      </c>
      <c r="C6160">
        <f>0</f>
        <v>0</v>
      </c>
      <c r="D6160">
        <v>0.930889755072</v>
      </c>
      <c r="E6160">
        <v>12.0419790104947</v>
      </c>
    </row>
    <row r="6161" spans="1:5">
      <c r="A6161" t="s">
        <v>7173</v>
      </c>
      <c r="B6161" t="s">
        <v>7183</v>
      </c>
      <c r="C6161">
        <f>0</f>
        <v>0</v>
      </c>
      <c r="D6161">
        <v>0.930889755072</v>
      </c>
      <c r="E6161">
        <v>12.0419790104947</v>
      </c>
    </row>
    <row r="6162" spans="1:5">
      <c r="A6162" t="s">
        <v>7173</v>
      </c>
      <c r="B6162" t="s">
        <v>7184</v>
      </c>
      <c r="C6162">
        <f>0</f>
        <v>0</v>
      </c>
      <c r="D6162">
        <v>0.930889755072</v>
      </c>
      <c r="E6162">
        <v>12.0419790104947</v>
      </c>
    </row>
    <row r="6163" spans="1:5">
      <c r="A6163" t="s">
        <v>7173</v>
      </c>
      <c r="B6163" t="s">
        <v>7185</v>
      </c>
      <c r="C6163">
        <v>0</v>
      </c>
      <c r="D6163">
        <v>0.930889755072</v>
      </c>
      <c r="E6163">
        <v>12.0419790104947</v>
      </c>
    </row>
    <row r="6164" spans="1:5">
      <c r="A6164" t="s">
        <v>7173</v>
      </c>
      <c r="B6164" t="s">
        <v>7186</v>
      </c>
      <c r="C6164">
        <f>0</f>
        <v>0</v>
      </c>
      <c r="D6164">
        <v>0.930889755072</v>
      </c>
      <c r="E6164">
        <v>12.0419790104947</v>
      </c>
    </row>
    <row r="6165" spans="1:5">
      <c r="A6165" t="s">
        <v>7173</v>
      </c>
      <c r="B6165" t="s">
        <v>7187</v>
      </c>
      <c r="C6165">
        <f>0</f>
        <v>0</v>
      </c>
      <c r="D6165">
        <v>0.930889755072</v>
      </c>
      <c r="E6165">
        <v>12.0419790104947</v>
      </c>
    </row>
    <row r="6166" spans="1:5">
      <c r="A6166" t="s">
        <v>7173</v>
      </c>
      <c r="B6166" t="s">
        <v>7188</v>
      </c>
      <c r="C6166">
        <f>0</f>
        <v>0</v>
      </c>
      <c r="D6166">
        <v>0.930889755072</v>
      </c>
      <c r="E6166">
        <v>12.0419790104947</v>
      </c>
    </row>
    <row r="6167" spans="1:5">
      <c r="A6167" t="s">
        <v>7173</v>
      </c>
      <c r="B6167" t="s">
        <v>7189</v>
      </c>
      <c r="C6167">
        <v>0</v>
      </c>
      <c r="D6167">
        <v>0.930889755072</v>
      </c>
      <c r="E6167">
        <v>12.0419790104947</v>
      </c>
    </row>
    <row r="6168" spans="1:5">
      <c r="A6168" t="s">
        <v>7173</v>
      </c>
      <c r="B6168" t="s">
        <v>7190</v>
      </c>
      <c r="C6168">
        <f>0</f>
        <v>0</v>
      </c>
      <c r="D6168">
        <v>0.930889755072</v>
      </c>
      <c r="E6168">
        <v>12.0419790104947</v>
      </c>
    </row>
    <row r="6169" spans="1:5">
      <c r="A6169" t="s">
        <v>7173</v>
      </c>
      <c r="B6169" t="s">
        <v>7191</v>
      </c>
      <c r="C6169">
        <f>0</f>
        <v>0</v>
      </c>
      <c r="D6169">
        <v>0.930889755072</v>
      </c>
      <c r="E6169">
        <v>12.0419790104947</v>
      </c>
    </row>
    <row r="6170" spans="1:5">
      <c r="A6170" t="s">
        <v>7173</v>
      </c>
      <c r="B6170" t="s">
        <v>7192</v>
      </c>
      <c r="C6170">
        <v>0</v>
      </c>
      <c r="D6170">
        <v>0.930889755072</v>
      </c>
      <c r="E6170">
        <v>12.0419790104947</v>
      </c>
    </row>
    <row r="6171" spans="1:5">
      <c r="A6171" t="s">
        <v>7193</v>
      </c>
      <c r="B6171" t="s">
        <v>7194</v>
      </c>
      <c r="C6171">
        <v>9.9693455979899995E-2</v>
      </c>
      <c r="D6171">
        <v>0.99675313487200001</v>
      </c>
      <c r="E6171">
        <v>22.332833583208298</v>
      </c>
    </row>
    <row r="6172" spans="1:5">
      <c r="A6172" t="s">
        <v>7193</v>
      </c>
      <c r="B6172" t="s">
        <v>7195</v>
      </c>
      <c r="C6172">
        <v>3.35940844224E-2</v>
      </c>
      <c r="D6172">
        <v>0.99675313487200001</v>
      </c>
      <c r="E6172">
        <v>22.332833583208298</v>
      </c>
    </row>
    <row r="6173" spans="1:5">
      <c r="A6173" t="s">
        <v>7193</v>
      </c>
      <c r="B6173" t="s">
        <v>7196</v>
      </c>
      <c r="C6173">
        <v>0</v>
      </c>
      <c r="D6173">
        <v>0.99675313487200001</v>
      </c>
      <c r="E6173">
        <v>22.332833583208298</v>
      </c>
    </row>
    <row r="6174" spans="1:5">
      <c r="A6174" t="s">
        <v>7197</v>
      </c>
      <c r="B6174" t="s">
        <v>7198</v>
      </c>
      <c r="C6174">
        <v>0</v>
      </c>
      <c r="D6174" t="s">
        <v>106</v>
      </c>
      <c r="E6174">
        <v>3.68215892053973</v>
      </c>
    </row>
    <row r="6175" spans="1:5">
      <c r="A6175" t="s">
        <v>7197</v>
      </c>
      <c r="B6175" t="s">
        <v>7199</v>
      </c>
      <c r="C6175">
        <v>0</v>
      </c>
      <c r="D6175" t="s">
        <v>106</v>
      </c>
      <c r="E6175">
        <v>3.68215892053973</v>
      </c>
    </row>
    <row r="6176" spans="1:5">
      <c r="A6176" t="s">
        <v>7197</v>
      </c>
      <c r="B6176" t="s">
        <v>7200</v>
      </c>
      <c r="C6176">
        <v>0</v>
      </c>
      <c r="D6176" t="s">
        <v>106</v>
      </c>
      <c r="E6176">
        <v>3.68215892053973</v>
      </c>
    </row>
    <row r="6177" spans="1:5">
      <c r="A6177" t="s">
        <v>7197</v>
      </c>
      <c r="B6177" t="s">
        <v>7201</v>
      </c>
      <c r="C6177">
        <v>0</v>
      </c>
      <c r="D6177" t="s">
        <v>106</v>
      </c>
      <c r="E6177">
        <v>3.68215892053973</v>
      </c>
    </row>
    <row r="6178" spans="1:5">
      <c r="A6178" t="s">
        <v>7197</v>
      </c>
      <c r="B6178" t="s">
        <v>7202</v>
      </c>
      <c r="C6178">
        <v>0.16754267248400001</v>
      </c>
      <c r="D6178" t="s">
        <v>106</v>
      </c>
      <c r="E6178">
        <v>3.68215892053973</v>
      </c>
    </row>
    <row r="6179" spans="1:5">
      <c r="A6179" t="s">
        <v>7197</v>
      </c>
      <c r="B6179" t="s">
        <v>7203</v>
      </c>
      <c r="C6179">
        <v>0.16588886721000001</v>
      </c>
      <c r="D6179" t="s">
        <v>106</v>
      </c>
      <c r="E6179">
        <v>3.68215892053973</v>
      </c>
    </row>
    <row r="6180" spans="1:5">
      <c r="A6180" t="s">
        <v>7204</v>
      </c>
      <c r="B6180" t="s">
        <v>7205</v>
      </c>
      <c r="C6180">
        <f>0</f>
        <v>0</v>
      </c>
      <c r="D6180">
        <v>0.97279850683699998</v>
      </c>
      <c r="E6180">
        <v>24</v>
      </c>
    </row>
    <row r="6181" spans="1:5">
      <c r="A6181" t="s">
        <v>7204</v>
      </c>
      <c r="B6181" t="s">
        <v>7206</v>
      </c>
      <c r="C6181">
        <f>0</f>
        <v>0</v>
      </c>
      <c r="D6181">
        <v>0.97279850683699998</v>
      </c>
      <c r="E6181">
        <v>24</v>
      </c>
    </row>
    <row r="6182" spans="1:5">
      <c r="A6182" t="s">
        <v>7204</v>
      </c>
      <c r="B6182" t="s">
        <v>7207</v>
      </c>
      <c r="C6182">
        <v>1.4223113720500001E-3</v>
      </c>
      <c r="D6182">
        <v>0.97279850683699998</v>
      </c>
      <c r="E6182">
        <v>24</v>
      </c>
    </row>
    <row r="6183" spans="1:5">
      <c r="A6183" t="s">
        <v>7204</v>
      </c>
      <c r="B6183" t="s">
        <v>7208</v>
      </c>
      <c r="C6183">
        <v>1.9315024638499999E-3</v>
      </c>
      <c r="D6183">
        <v>0.97279850683699998</v>
      </c>
      <c r="E6183">
        <v>24</v>
      </c>
    </row>
    <row r="6184" spans="1:5">
      <c r="A6184" t="s">
        <v>7209</v>
      </c>
      <c r="B6184" t="s">
        <v>7210</v>
      </c>
      <c r="C6184">
        <v>0</v>
      </c>
      <c r="D6184" t="s">
        <v>106</v>
      </c>
      <c r="E6184">
        <v>19.850074962518701</v>
      </c>
    </row>
    <row r="6185" spans="1:5">
      <c r="A6185" t="s">
        <v>7209</v>
      </c>
      <c r="B6185" t="s">
        <v>7211</v>
      </c>
      <c r="C6185">
        <v>0</v>
      </c>
      <c r="D6185" t="s">
        <v>106</v>
      </c>
      <c r="E6185">
        <v>19.850074962518701</v>
      </c>
    </row>
    <row r="6186" spans="1:5">
      <c r="A6186" t="s">
        <v>7209</v>
      </c>
      <c r="B6186" t="s">
        <v>7212</v>
      </c>
      <c r="C6186">
        <v>8.1390322153900001E-3</v>
      </c>
      <c r="D6186" t="s">
        <v>106</v>
      </c>
      <c r="E6186">
        <v>19.850074962518701</v>
      </c>
    </row>
    <row r="6187" spans="1:5">
      <c r="A6187" t="s">
        <v>7209</v>
      </c>
      <c r="B6187" t="s">
        <v>7213</v>
      </c>
      <c r="C6187">
        <v>9.5602776526200001E-2</v>
      </c>
      <c r="D6187" t="s">
        <v>106</v>
      </c>
      <c r="E6187">
        <v>19.850074962518701</v>
      </c>
    </row>
    <row r="6188" spans="1:5">
      <c r="A6188" t="s">
        <v>7209</v>
      </c>
      <c r="B6188" t="s">
        <v>7214</v>
      </c>
      <c r="C6188">
        <v>0</v>
      </c>
      <c r="D6188" t="s">
        <v>106</v>
      </c>
      <c r="E6188">
        <v>19.850074962518701</v>
      </c>
    </row>
    <row r="6189" spans="1:5">
      <c r="A6189" t="s">
        <v>7215</v>
      </c>
      <c r="B6189" t="s">
        <v>7216</v>
      </c>
      <c r="C6189">
        <f>0</f>
        <v>0</v>
      </c>
      <c r="D6189" t="s">
        <v>106</v>
      </c>
      <c r="E6189">
        <v>24</v>
      </c>
    </row>
    <row r="6190" spans="1:5">
      <c r="A6190" t="s">
        <v>7215</v>
      </c>
      <c r="B6190" t="s">
        <v>7217</v>
      </c>
      <c r="C6190">
        <f>0.0555761287268</f>
        <v>5.5576128726799998E-2</v>
      </c>
      <c r="D6190" t="s">
        <v>106</v>
      </c>
      <c r="E6190">
        <v>24</v>
      </c>
    </row>
    <row r="6191" spans="1:5">
      <c r="A6191" t="s">
        <v>7215</v>
      </c>
      <c r="B6191" t="s">
        <v>7218</v>
      </c>
      <c r="C6191">
        <v>0</v>
      </c>
      <c r="D6191" t="s">
        <v>106</v>
      </c>
      <c r="E6191">
        <v>24</v>
      </c>
    </row>
    <row r="6192" spans="1:5">
      <c r="A6192" t="s">
        <v>7215</v>
      </c>
      <c r="B6192" t="s">
        <v>7219</v>
      </c>
      <c r="C6192">
        <f>0</f>
        <v>0</v>
      </c>
      <c r="D6192" t="s">
        <v>106</v>
      </c>
      <c r="E6192">
        <v>24</v>
      </c>
    </row>
    <row r="6193" spans="1:5">
      <c r="A6193" t="s">
        <v>7215</v>
      </c>
      <c r="B6193" t="s">
        <v>7220</v>
      </c>
      <c r="C6193">
        <f>0</f>
        <v>0</v>
      </c>
      <c r="D6193" t="s">
        <v>106</v>
      </c>
      <c r="E6193">
        <v>24</v>
      </c>
    </row>
    <row r="6194" spans="1:5">
      <c r="A6194" t="s">
        <v>7215</v>
      </c>
      <c r="B6194" t="s">
        <v>7221</v>
      </c>
      <c r="C6194">
        <f>0.0293672541091</f>
        <v>2.9367254109099999E-2</v>
      </c>
      <c r="D6194" t="s">
        <v>106</v>
      </c>
      <c r="E6194">
        <v>24</v>
      </c>
    </row>
    <row r="6195" spans="1:5">
      <c r="A6195" t="s">
        <v>7215</v>
      </c>
      <c r="B6195" t="s">
        <v>7222</v>
      </c>
      <c r="C6195">
        <f>0</f>
        <v>0</v>
      </c>
      <c r="D6195" t="s">
        <v>106</v>
      </c>
      <c r="E6195">
        <v>24</v>
      </c>
    </row>
    <row r="6196" spans="1:5">
      <c r="A6196" t="s">
        <v>7215</v>
      </c>
      <c r="B6196" t="s">
        <v>7223</v>
      </c>
      <c r="C6196">
        <f>0</f>
        <v>0</v>
      </c>
      <c r="D6196" t="s">
        <v>106</v>
      </c>
      <c r="E6196">
        <v>24</v>
      </c>
    </row>
    <row r="6197" spans="1:5">
      <c r="A6197" t="s">
        <v>7215</v>
      </c>
      <c r="B6197" t="s">
        <v>7224</v>
      </c>
      <c r="C6197">
        <f>0</f>
        <v>0</v>
      </c>
      <c r="D6197" t="s">
        <v>106</v>
      </c>
      <c r="E6197">
        <v>24</v>
      </c>
    </row>
    <row r="6198" spans="1:5">
      <c r="A6198" t="s">
        <v>7225</v>
      </c>
      <c r="B6198" t="s">
        <v>7226</v>
      </c>
      <c r="C6198">
        <v>0</v>
      </c>
      <c r="D6198" t="s">
        <v>106</v>
      </c>
      <c r="E6198">
        <v>3.5862068965517202</v>
      </c>
    </row>
    <row r="6199" spans="1:5">
      <c r="A6199" t="s">
        <v>7225</v>
      </c>
      <c r="B6199" t="s">
        <v>7227</v>
      </c>
      <c r="C6199">
        <f>0</f>
        <v>0</v>
      </c>
      <c r="D6199" t="s">
        <v>106</v>
      </c>
      <c r="E6199">
        <v>3.5862068965517202</v>
      </c>
    </row>
    <row r="6200" spans="1:5">
      <c r="A6200" t="s">
        <v>7225</v>
      </c>
      <c r="B6200" t="s">
        <v>7228</v>
      </c>
      <c r="C6200">
        <v>0</v>
      </c>
      <c r="D6200" t="s">
        <v>106</v>
      </c>
      <c r="E6200">
        <v>3.5862068965517202</v>
      </c>
    </row>
    <row r="6201" spans="1:5">
      <c r="A6201" t="s">
        <v>7225</v>
      </c>
      <c r="B6201" t="s">
        <v>7229</v>
      </c>
      <c r="C6201">
        <f>0</f>
        <v>0</v>
      </c>
      <c r="D6201" t="s">
        <v>106</v>
      </c>
      <c r="E6201">
        <v>3.5862068965517202</v>
      </c>
    </row>
    <row r="6202" spans="1:5">
      <c r="A6202" t="s">
        <v>7225</v>
      </c>
      <c r="B6202" t="s">
        <v>7230</v>
      </c>
      <c r="C6202">
        <f>0.113234058068</f>
        <v>0.11323405806799999</v>
      </c>
      <c r="D6202" t="s">
        <v>106</v>
      </c>
      <c r="E6202">
        <v>3.5862068965517202</v>
      </c>
    </row>
    <row r="6203" spans="1:5">
      <c r="A6203" t="s">
        <v>7225</v>
      </c>
      <c r="B6203" t="s">
        <v>7231</v>
      </c>
      <c r="C6203">
        <f>0</f>
        <v>0</v>
      </c>
      <c r="D6203" t="s">
        <v>106</v>
      </c>
      <c r="E6203">
        <v>3.5862068965517202</v>
      </c>
    </row>
    <row r="6204" spans="1:5">
      <c r="A6204" t="s">
        <v>7225</v>
      </c>
      <c r="B6204" t="s">
        <v>7232</v>
      </c>
      <c r="C6204">
        <f>0</f>
        <v>0</v>
      </c>
      <c r="D6204" t="s">
        <v>106</v>
      </c>
      <c r="E6204">
        <v>3.5862068965517202</v>
      </c>
    </row>
    <row r="6205" spans="1:5">
      <c r="A6205" t="s">
        <v>7225</v>
      </c>
      <c r="B6205" t="s">
        <v>7233</v>
      </c>
      <c r="C6205">
        <f>0</f>
        <v>0</v>
      </c>
      <c r="D6205" t="s">
        <v>106</v>
      </c>
      <c r="E6205">
        <v>3.5862068965517202</v>
      </c>
    </row>
    <row r="6206" spans="1:5">
      <c r="A6206" t="s">
        <v>7225</v>
      </c>
      <c r="B6206" t="s">
        <v>7234</v>
      </c>
      <c r="C6206">
        <f>0</f>
        <v>0</v>
      </c>
      <c r="D6206" t="s">
        <v>106</v>
      </c>
      <c r="E6206">
        <v>3.5862068965517202</v>
      </c>
    </row>
    <row r="6207" spans="1:5">
      <c r="A6207" t="s">
        <v>7225</v>
      </c>
      <c r="B6207" t="s">
        <v>7235</v>
      </c>
      <c r="C6207">
        <v>5.3000072700300001E-2</v>
      </c>
      <c r="D6207" t="s">
        <v>106</v>
      </c>
      <c r="E6207">
        <v>3.5862068965517202</v>
      </c>
    </row>
    <row r="6208" spans="1:5">
      <c r="A6208" t="s">
        <v>7225</v>
      </c>
      <c r="B6208" t="s">
        <v>7236</v>
      </c>
      <c r="C6208">
        <v>0</v>
      </c>
      <c r="D6208" t="s">
        <v>106</v>
      </c>
      <c r="E6208">
        <v>3.5862068965517202</v>
      </c>
    </row>
    <row r="6209" spans="1:5">
      <c r="A6209" t="s">
        <v>7225</v>
      </c>
      <c r="B6209" t="s">
        <v>7237</v>
      </c>
      <c r="C6209">
        <f>0</f>
        <v>0</v>
      </c>
      <c r="D6209" t="s">
        <v>106</v>
      </c>
      <c r="E6209">
        <v>3.5862068965517202</v>
      </c>
    </row>
    <row r="6210" spans="1:5">
      <c r="A6210" t="s">
        <v>7225</v>
      </c>
      <c r="B6210" t="s">
        <v>7238</v>
      </c>
      <c r="C6210">
        <f>0</f>
        <v>0</v>
      </c>
      <c r="D6210" t="s">
        <v>106</v>
      </c>
      <c r="E6210">
        <v>3.5862068965517202</v>
      </c>
    </row>
    <row r="6211" spans="1:5">
      <c r="A6211" t="s">
        <v>7239</v>
      </c>
      <c r="B6211" t="s">
        <v>7240</v>
      </c>
      <c r="C6211">
        <f>0</f>
        <v>0</v>
      </c>
      <c r="D6211" t="s">
        <v>106</v>
      </c>
      <c r="E6211">
        <v>5.69715142428785</v>
      </c>
    </row>
    <row r="6212" spans="1:5">
      <c r="A6212" t="s">
        <v>7241</v>
      </c>
      <c r="B6212" t="s">
        <v>7242</v>
      </c>
      <c r="C6212">
        <v>0</v>
      </c>
      <c r="D6212">
        <v>0.92349393899999999</v>
      </c>
      <c r="E6212">
        <v>5.3493253373313303</v>
      </c>
    </row>
    <row r="6213" spans="1:5">
      <c r="A6213" t="s">
        <v>7241</v>
      </c>
      <c r="B6213" t="s">
        <v>7243</v>
      </c>
      <c r="C6213">
        <v>0</v>
      </c>
      <c r="D6213">
        <v>0.92349393899999999</v>
      </c>
      <c r="E6213">
        <v>5.3493253373313303</v>
      </c>
    </row>
    <row r="6214" spans="1:5">
      <c r="A6214" t="s">
        <v>7241</v>
      </c>
      <c r="B6214" t="s">
        <v>7244</v>
      </c>
      <c r="C6214">
        <v>0</v>
      </c>
      <c r="D6214">
        <v>0.92349393899999999</v>
      </c>
      <c r="E6214">
        <v>5.3493253373313303</v>
      </c>
    </row>
    <row r="6215" spans="1:5">
      <c r="A6215" t="s">
        <v>7241</v>
      </c>
      <c r="B6215" t="s">
        <v>7245</v>
      </c>
      <c r="C6215">
        <v>0</v>
      </c>
      <c r="D6215">
        <v>0.92349393899999999</v>
      </c>
      <c r="E6215">
        <v>5.3493253373313303</v>
      </c>
    </row>
    <row r="6216" spans="1:5">
      <c r="A6216" t="s">
        <v>7241</v>
      </c>
      <c r="B6216" t="s">
        <v>7246</v>
      </c>
      <c r="C6216">
        <v>0</v>
      </c>
      <c r="D6216">
        <v>0.92349393899999999</v>
      </c>
      <c r="E6216">
        <v>5.3493253373313303</v>
      </c>
    </row>
    <row r="6217" spans="1:5">
      <c r="A6217" t="s">
        <v>7241</v>
      </c>
      <c r="B6217" t="s">
        <v>7247</v>
      </c>
      <c r="C6217">
        <v>0</v>
      </c>
      <c r="D6217">
        <v>0.92349393899999999</v>
      </c>
      <c r="E6217">
        <v>5.3493253373313303</v>
      </c>
    </row>
    <row r="6218" spans="1:5">
      <c r="A6218" t="s">
        <v>7241</v>
      </c>
      <c r="B6218" t="s">
        <v>7248</v>
      </c>
      <c r="C6218">
        <v>0</v>
      </c>
      <c r="D6218">
        <v>0.92349393899999999</v>
      </c>
      <c r="E6218">
        <v>5.3493253373313303</v>
      </c>
    </row>
    <row r="6219" spans="1:5">
      <c r="A6219" t="s">
        <v>7241</v>
      </c>
      <c r="B6219" t="s">
        <v>7249</v>
      </c>
      <c r="C6219">
        <v>0</v>
      </c>
      <c r="D6219">
        <v>0.92349393899999999</v>
      </c>
      <c r="E6219">
        <v>5.3493253373313303</v>
      </c>
    </row>
    <row r="6220" spans="1:5">
      <c r="A6220" t="s">
        <v>7241</v>
      </c>
      <c r="B6220" t="s">
        <v>7250</v>
      </c>
      <c r="C6220">
        <v>0</v>
      </c>
      <c r="D6220">
        <v>0.92349393899999999</v>
      </c>
      <c r="E6220">
        <v>5.3493253373313303</v>
      </c>
    </row>
    <row r="6221" spans="1:5">
      <c r="A6221" t="s">
        <v>7241</v>
      </c>
      <c r="B6221" t="s">
        <v>7251</v>
      </c>
      <c r="C6221">
        <v>0</v>
      </c>
      <c r="D6221">
        <v>0.92349393899999999</v>
      </c>
      <c r="E6221">
        <v>5.3493253373313303</v>
      </c>
    </row>
    <row r="6222" spans="1:5">
      <c r="A6222" t="s">
        <v>7241</v>
      </c>
      <c r="B6222" t="s">
        <v>7252</v>
      </c>
      <c r="C6222">
        <v>0</v>
      </c>
      <c r="D6222">
        <v>0.92349393899999999</v>
      </c>
      <c r="E6222">
        <v>5.3493253373313303</v>
      </c>
    </row>
    <row r="6223" spans="1:5">
      <c r="A6223" t="s">
        <v>7241</v>
      </c>
      <c r="B6223" t="s">
        <v>7253</v>
      </c>
      <c r="C6223">
        <v>0</v>
      </c>
      <c r="D6223">
        <v>0.92349393899999999</v>
      </c>
      <c r="E6223">
        <v>5.3493253373313303</v>
      </c>
    </row>
    <row r="6224" spans="1:5">
      <c r="A6224" t="s">
        <v>7241</v>
      </c>
      <c r="B6224" t="s">
        <v>7254</v>
      </c>
      <c r="C6224">
        <v>0</v>
      </c>
      <c r="D6224">
        <v>0.92349393899999999</v>
      </c>
      <c r="E6224">
        <v>5.3493253373313303</v>
      </c>
    </row>
    <row r="6225" spans="1:5">
      <c r="A6225" t="s">
        <v>7241</v>
      </c>
      <c r="B6225" t="s">
        <v>7255</v>
      </c>
      <c r="C6225">
        <v>0</v>
      </c>
      <c r="D6225">
        <v>0.92349393899999999</v>
      </c>
      <c r="E6225">
        <v>5.3493253373313303</v>
      </c>
    </row>
    <row r="6226" spans="1:5">
      <c r="A6226" t="s">
        <v>7241</v>
      </c>
      <c r="B6226" t="s">
        <v>7256</v>
      </c>
      <c r="C6226">
        <v>0</v>
      </c>
      <c r="D6226">
        <v>0.92349393899999999</v>
      </c>
      <c r="E6226">
        <v>5.3493253373313303</v>
      </c>
    </row>
    <row r="6227" spans="1:5">
      <c r="A6227" t="s">
        <v>7241</v>
      </c>
      <c r="B6227" t="s">
        <v>7257</v>
      </c>
      <c r="C6227">
        <v>0</v>
      </c>
      <c r="D6227">
        <v>0.92349393899999999</v>
      </c>
      <c r="E6227">
        <v>5.3493253373313303</v>
      </c>
    </row>
    <row r="6228" spans="1:5">
      <c r="A6228" t="s">
        <v>7241</v>
      </c>
      <c r="B6228" t="s">
        <v>7258</v>
      </c>
      <c r="C6228">
        <v>0</v>
      </c>
      <c r="D6228">
        <v>0.92349393899999999</v>
      </c>
      <c r="E6228">
        <v>5.3493253373313303</v>
      </c>
    </row>
    <row r="6229" spans="1:5">
      <c r="A6229" t="s">
        <v>7241</v>
      </c>
      <c r="B6229" t="s">
        <v>7259</v>
      </c>
      <c r="C6229">
        <v>0</v>
      </c>
      <c r="D6229">
        <v>0.92349393899999999</v>
      </c>
      <c r="E6229">
        <v>5.3493253373313303</v>
      </c>
    </row>
    <row r="6230" spans="1:5">
      <c r="A6230" t="s">
        <v>7241</v>
      </c>
      <c r="B6230" t="s">
        <v>7260</v>
      </c>
      <c r="C6230">
        <v>0</v>
      </c>
      <c r="D6230">
        <v>0.92349393899999999</v>
      </c>
      <c r="E6230">
        <v>5.3493253373313303</v>
      </c>
    </row>
    <row r="6231" spans="1:5">
      <c r="A6231" t="s">
        <v>7241</v>
      </c>
      <c r="B6231" t="s">
        <v>7261</v>
      </c>
      <c r="C6231">
        <v>0</v>
      </c>
      <c r="D6231">
        <v>0.92349393899999999</v>
      </c>
      <c r="E6231">
        <v>5.3493253373313303</v>
      </c>
    </row>
    <row r="6232" spans="1:5">
      <c r="A6232" t="s">
        <v>7241</v>
      </c>
      <c r="B6232" t="s">
        <v>7262</v>
      </c>
      <c r="C6232">
        <v>0</v>
      </c>
      <c r="D6232">
        <v>0.92349393899999999</v>
      </c>
      <c r="E6232">
        <v>5.3493253373313303</v>
      </c>
    </row>
    <row r="6233" spans="1:5">
      <c r="A6233" t="s">
        <v>7241</v>
      </c>
      <c r="B6233" t="s">
        <v>7263</v>
      </c>
      <c r="C6233">
        <f>0</f>
        <v>0</v>
      </c>
      <c r="D6233">
        <v>0.92349393899999999</v>
      </c>
      <c r="E6233">
        <v>5.3493253373313303</v>
      </c>
    </row>
    <row r="6234" spans="1:5">
      <c r="A6234" t="s">
        <v>7241</v>
      </c>
      <c r="B6234" t="s">
        <v>7264</v>
      </c>
      <c r="C6234">
        <v>0</v>
      </c>
      <c r="D6234">
        <v>0.92349393899999999</v>
      </c>
      <c r="E6234">
        <v>5.3493253373313303</v>
      </c>
    </row>
    <row r="6235" spans="1:5">
      <c r="A6235" t="s">
        <v>7241</v>
      </c>
      <c r="B6235" t="s">
        <v>7265</v>
      </c>
      <c r="C6235">
        <v>0</v>
      </c>
      <c r="D6235">
        <v>0.92349393899999999</v>
      </c>
      <c r="E6235">
        <v>5.3493253373313303</v>
      </c>
    </row>
    <row r="6236" spans="1:5">
      <c r="A6236" t="s">
        <v>7241</v>
      </c>
      <c r="B6236" t="s">
        <v>7266</v>
      </c>
      <c r="C6236">
        <v>0</v>
      </c>
      <c r="D6236">
        <v>0.92349393899999999</v>
      </c>
      <c r="E6236">
        <v>5.3493253373313303</v>
      </c>
    </row>
    <row r="6237" spans="1:5">
      <c r="A6237" t="s">
        <v>7241</v>
      </c>
      <c r="B6237" t="s">
        <v>7267</v>
      </c>
      <c r="C6237">
        <v>0</v>
      </c>
      <c r="D6237">
        <v>0.92349393899999999</v>
      </c>
      <c r="E6237">
        <v>5.3493253373313303</v>
      </c>
    </row>
    <row r="6238" spans="1:5">
      <c r="A6238" t="s">
        <v>7241</v>
      </c>
      <c r="B6238" t="s">
        <v>7268</v>
      </c>
      <c r="C6238">
        <v>0</v>
      </c>
      <c r="D6238">
        <v>0.92349393899999999</v>
      </c>
      <c r="E6238">
        <v>5.3493253373313303</v>
      </c>
    </row>
    <row r="6239" spans="1:5">
      <c r="A6239" t="s">
        <v>7241</v>
      </c>
      <c r="B6239" t="s">
        <v>7269</v>
      </c>
      <c r="C6239">
        <v>0</v>
      </c>
      <c r="D6239">
        <v>0.92349393899999999</v>
      </c>
      <c r="E6239">
        <v>5.3493253373313303</v>
      </c>
    </row>
    <row r="6240" spans="1:5">
      <c r="A6240" t="s">
        <v>7241</v>
      </c>
      <c r="B6240" t="s">
        <v>7270</v>
      </c>
      <c r="C6240">
        <v>0</v>
      </c>
      <c r="D6240">
        <v>0.92349393899999999</v>
      </c>
      <c r="E6240">
        <v>5.3493253373313303</v>
      </c>
    </row>
    <row r="6241" spans="1:5">
      <c r="A6241" t="s">
        <v>7241</v>
      </c>
      <c r="B6241" t="s">
        <v>7271</v>
      </c>
      <c r="C6241">
        <v>0</v>
      </c>
      <c r="D6241">
        <v>0.92349393899999999</v>
      </c>
      <c r="E6241">
        <v>5.3493253373313303</v>
      </c>
    </row>
    <row r="6242" spans="1:5">
      <c r="A6242" t="s">
        <v>7241</v>
      </c>
      <c r="B6242" t="s">
        <v>7272</v>
      </c>
      <c r="C6242">
        <v>0</v>
      </c>
      <c r="D6242">
        <v>0.92349393899999999</v>
      </c>
      <c r="E6242">
        <v>5.3493253373313303</v>
      </c>
    </row>
    <row r="6243" spans="1:5">
      <c r="A6243" t="s">
        <v>7241</v>
      </c>
      <c r="B6243" t="s">
        <v>7273</v>
      </c>
      <c r="C6243">
        <v>0</v>
      </c>
      <c r="D6243">
        <v>0.92349393899999999</v>
      </c>
      <c r="E6243">
        <v>5.3493253373313303</v>
      </c>
    </row>
    <row r="6244" spans="1:5">
      <c r="A6244" t="s">
        <v>7241</v>
      </c>
      <c r="B6244" t="s">
        <v>7274</v>
      </c>
      <c r="C6244">
        <v>0</v>
      </c>
      <c r="D6244">
        <v>0.92349393899999999</v>
      </c>
      <c r="E6244">
        <v>5.3493253373313303</v>
      </c>
    </row>
    <row r="6245" spans="1:5">
      <c r="A6245" t="s">
        <v>7241</v>
      </c>
      <c r="B6245" t="s">
        <v>7275</v>
      </c>
      <c r="C6245">
        <v>0</v>
      </c>
      <c r="D6245">
        <v>0.92349393899999999</v>
      </c>
      <c r="E6245">
        <v>5.3493253373313303</v>
      </c>
    </row>
    <row r="6246" spans="1:5">
      <c r="A6246" t="s">
        <v>7241</v>
      </c>
      <c r="B6246" t="s">
        <v>7276</v>
      </c>
      <c r="C6246">
        <v>0</v>
      </c>
      <c r="D6246">
        <v>0.92349393899999999</v>
      </c>
      <c r="E6246">
        <v>5.3493253373313303</v>
      </c>
    </row>
    <row r="6247" spans="1:5">
      <c r="A6247" t="s">
        <v>7241</v>
      </c>
      <c r="B6247" t="s">
        <v>7277</v>
      </c>
      <c r="C6247">
        <v>0</v>
      </c>
      <c r="D6247">
        <v>0.92349393899999999</v>
      </c>
      <c r="E6247">
        <v>5.3493253373313303</v>
      </c>
    </row>
    <row r="6248" spans="1:5">
      <c r="A6248" t="s">
        <v>7241</v>
      </c>
      <c r="B6248" t="s">
        <v>7278</v>
      </c>
      <c r="C6248">
        <v>0</v>
      </c>
      <c r="D6248">
        <v>0.92349393899999999</v>
      </c>
      <c r="E6248">
        <v>5.3493253373313303</v>
      </c>
    </row>
    <row r="6249" spans="1:5">
      <c r="A6249" t="s">
        <v>7241</v>
      </c>
      <c r="B6249" t="s">
        <v>7279</v>
      </c>
      <c r="C6249">
        <f>0.00109679300477</f>
        <v>1.0967930047699999E-3</v>
      </c>
      <c r="D6249">
        <v>0.92349393899999999</v>
      </c>
      <c r="E6249">
        <v>5.3493253373313303</v>
      </c>
    </row>
    <row r="6250" spans="1:5">
      <c r="A6250" t="s">
        <v>7241</v>
      </c>
      <c r="B6250" t="s">
        <v>7280</v>
      </c>
      <c r="C6250">
        <v>0</v>
      </c>
      <c r="D6250">
        <v>0.92349393899999999</v>
      </c>
      <c r="E6250">
        <v>5.3493253373313303</v>
      </c>
    </row>
    <row r="6251" spans="1:5">
      <c r="A6251" t="s">
        <v>7281</v>
      </c>
      <c r="B6251" t="s">
        <v>7282</v>
      </c>
      <c r="C6251">
        <v>3.75715120037E-2</v>
      </c>
      <c r="D6251">
        <v>0.992796217516</v>
      </c>
      <c r="E6251">
        <v>10.878560719640101</v>
      </c>
    </row>
    <row r="6252" spans="1:5">
      <c r="A6252" t="s">
        <v>7281</v>
      </c>
      <c r="B6252" t="s">
        <v>7283</v>
      </c>
      <c r="C6252">
        <v>0</v>
      </c>
      <c r="D6252">
        <v>0.992796217516</v>
      </c>
      <c r="E6252">
        <v>10.878560719640101</v>
      </c>
    </row>
    <row r="6253" spans="1:5">
      <c r="A6253" t="s">
        <v>7281</v>
      </c>
      <c r="B6253" t="s">
        <v>7284</v>
      </c>
      <c r="C6253">
        <v>0</v>
      </c>
      <c r="D6253">
        <v>0.992796217516</v>
      </c>
      <c r="E6253">
        <v>10.878560719640101</v>
      </c>
    </row>
    <row r="6254" spans="1:5">
      <c r="A6254" t="s">
        <v>7281</v>
      </c>
      <c r="B6254" t="s">
        <v>7285</v>
      </c>
      <c r="C6254">
        <f>0.414735254012</f>
        <v>0.41473525401200001</v>
      </c>
      <c r="D6254">
        <v>0.992796217516</v>
      </c>
      <c r="E6254">
        <v>10.878560719640101</v>
      </c>
    </row>
    <row r="6255" spans="1:5">
      <c r="A6255" t="s">
        <v>7286</v>
      </c>
      <c r="B6255" t="s">
        <v>7287</v>
      </c>
      <c r="C6255">
        <f>0</f>
        <v>0</v>
      </c>
      <c r="D6255" t="s">
        <v>106</v>
      </c>
      <c r="E6255">
        <v>7.3283358320839502</v>
      </c>
    </row>
    <row r="6256" spans="1:5">
      <c r="A6256" t="s">
        <v>7286</v>
      </c>
      <c r="B6256" t="s">
        <v>7288</v>
      </c>
      <c r="C6256">
        <f>0</f>
        <v>0</v>
      </c>
      <c r="D6256" t="s">
        <v>106</v>
      </c>
      <c r="E6256">
        <v>7.3283358320839502</v>
      </c>
    </row>
    <row r="6257" spans="1:5">
      <c r="A6257" t="s">
        <v>7289</v>
      </c>
      <c r="B6257" t="s">
        <v>7290</v>
      </c>
      <c r="C6257">
        <v>0</v>
      </c>
      <c r="D6257">
        <v>0.90163550562799999</v>
      </c>
      <c r="E6257">
        <v>17.715142428785601</v>
      </c>
    </row>
    <row r="6258" spans="1:5">
      <c r="A6258" t="s">
        <v>7289</v>
      </c>
      <c r="B6258" t="s">
        <v>7291</v>
      </c>
      <c r="C6258">
        <v>0</v>
      </c>
      <c r="D6258">
        <v>0.90163550562799999</v>
      </c>
      <c r="E6258">
        <v>17.715142428785601</v>
      </c>
    </row>
    <row r="6259" spans="1:5">
      <c r="A6259" t="s">
        <v>7289</v>
      </c>
      <c r="B6259" t="s">
        <v>7292</v>
      </c>
      <c r="C6259">
        <v>1.3806527620900001E-2</v>
      </c>
      <c r="D6259">
        <v>0.90163550562799999</v>
      </c>
      <c r="E6259">
        <v>17.715142428785601</v>
      </c>
    </row>
    <row r="6260" spans="1:5">
      <c r="A6260" t="s">
        <v>7289</v>
      </c>
      <c r="B6260" t="s">
        <v>7293</v>
      </c>
      <c r="C6260">
        <v>0</v>
      </c>
      <c r="D6260">
        <v>0.90163550562799999</v>
      </c>
      <c r="E6260">
        <v>17.715142428785601</v>
      </c>
    </row>
    <row r="6261" spans="1:5">
      <c r="A6261" t="s">
        <v>7289</v>
      </c>
      <c r="B6261" t="s">
        <v>7294</v>
      </c>
      <c r="C6261">
        <v>0.184679223383</v>
      </c>
      <c r="D6261">
        <v>0.90163550562799999</v>
      </c>
      <c r="E6261">
        <v>17.715142428785601</v>
      </c>
    </row>
    <row r="6262" spans="1:5">
      <c r="A6262" t="s">
        <v>7295</v>
      </c>
      <c r="B6262" t="s">
        <v>7296</v>
      </c>
      <c r="C6262">
        <v>0</v>
      </c>
      <c r="D6262" t="s">
        <v>106</v>
      </c>
      <c r="E6262">
        <v>14.5487256371814</v>
      </c>
    </row>
    <row r="6263" spans="1:5">
      <c r="A6263" t="s">
        <v>7295</v>
      </c>
      <c r="B6263" t="s">
        <v>7297</v>
      </c>
      <c r="C6263">
        <v>0</v>
      </c>
      <c r="D6263" t="s">
        <v>106</v>
      </c>
      <c r="E6263">
        <v>14.5487256371814</v>
      </c>
    </row>
    <row r="6264" spans="1:5">
      <c r="A6264" t="s">
        <v>7295</v>
      </c>
      <c r="B6264" t="s">
        <v>7298</v>
      </c>
      <c r="C6264">
        <v>0</v>
      </c>
      <c r="D6264" t="s">
        <v>106</v>
      </c>
      <c r="E6264">
        <v>14.5487256371814</v>
      </c>
    </row>
    <row r="6265" spans="1:5">
      <c r="A6265" t="s">
        <v>7295</v>
      </c>
      <c r="B6265" t="s">
        <v>7299</v>
      </c>
      <c r="C6265">
        <v>0</v>
      </c>
      <c r="D6265" t="s">
        <v>106</v>
      </c>
      <c r="E6265">
        <v>14.5487256371814</v>
      </c>
    </row>
    <row r="6266" spans="1:5">
      <c r="A6266" t="s">
        <v>7295</v>
      </c>
      <c r="B6266" t="s">
        <v>7300</v>
      </c>
      <c r="C6266">
        <f>0</f>
        <v>0</v>
      </c>
      <c r="D6266" t="s">
        <v>106</v>
      </c>
      <c r="E6266">
        <v>14.5487256371814</v>
      </c>
    </row>
    <row r="6267" spans="1:5">
      <c r="A6267" t="s">
        <v>7295</v>
      </c>
      <c r="B6267" t="s">
        <v>7301</v>
      </c>
      <c r="C6267">
        <v>0</v>
      </c>
      <c r="D6267" t="s">
        <v>106</v>
      </c>
      <c r="E6267">
        <v>14.5487256371814</v>
      </c>
    </row>
    <row r="6268" spans="1:5">
      <c r="A6268" t="s">
        <v>7295</v>
      </c>
      <c r="B6268" t="s">
        <v>7302</v>
      </c>
      <c r="C6268">
        <f>0</f>
        <v>0</v>
      </c>
      <c r="D6268" t="s">
        <v>106</v>
      </c>
      <c r="E6268">
        <v>14.5487256371814</v>
      </c>
    </row>
    <row r="6269" spans="1:5">
      <c r="A6269" t="s">
        <v>7295</v>
      </c>
      <c r="B6269" t="s">
        <v>7303</v>
      </c>
      <c r="C6269">
        <v>0</v>
      </c>
      <c r="D6269" t="s">
        <v>106</v>
      </c>
      <c r="E6269">
        <v>14.5487256371814</v>
      </c>
    </row>
    <row r="6270" spans="1:5">
      <c r="A6270" t="s">
        <v>7304</v>
      </c>
      <c r="B6270" t="s">
        <v>7305</v>
      </c>
      <c r="C6270">
        <f>0</f>
        <v>0</v>
      </c>
      <c r="D6270" t="s">
        <v>106</v>
      </c>
      <c r="E6270">
        <v>15.316341829085401</v>
      </c>
    </row>
    <row r="6271" spans="1:5">
      <c r="A6271" t="s">
        <v>7304</v>
      </c>
      <c r="B6271" t="s">
        <v>7306</v>
      </c>
      <c r="C6271">
        <v>0</v>
      </c>
      <c r="D6271" t="s">
        <v>106</v>
      </c>
      <c r="E6271">
        <v>15.316341829085401</v>
      </c>
    </row>
    <row r="6272" spans="1:5">
      <c r="A6272" t="s">
        <v>7304</v>
      </c>
      <c r="B6272" t="s">
        <v>7307</v>
      </c>
      <c r="C6272">
        <v>0</v>
      </c>
      <c r="D6272" t="s">
        <v>106</v>
      </c>
      <c r="E6272">
        <v>15.316341829085401</v>
      </c>
    </row>
    <row r="6273" spans="1:5">
      <c r="A6273" t="s">
        <v>7304</v>
      </c>
      <c r="B6273" t="s">
        <v>7308</v>
      </c>
      <c r="C6273">
        <v>0</v>
      </c>
      <c r="D6273" t="s">
        <v>106</v>
      </c>
      <c r="E6273">
        <v>15.316341829085401</v>
      </c>
    </row>
    <row r="6274" spans="1:5">
      <c r="A6274" t="s">
        <v>7309</v>
      </c>
      <c r="B6274" t="s">
        <v>7310</v>
      </c>
      <c r="C6274">
        <f>0</f>
        <v>0</v>
      </c>
      <c r="D6274">
        <v>0.992718912239</v>
      </c>
      <c r="E6274">
        <v>5.4692653673163401</v>
      </c>
    </row>
    <row r="6275" spans="1:5">
      <c r="A6275" t="s">
        <v>7309</v>
      </c>
      <c r="B6275" t="s">
        <v>7311</v>
      </c>
      <c r="C6275">
        <f>0</f>
        <v>0</v>
      </c>
      <c r="D6275">
        <v>0.992718912239</v>
      </c>
      <c r="E6275">
        <v>5.4692653673163401</v>
      </c>
    </row>
    <row r="6276" spans="1:5">
      <c r="A6276" t="s">
        <v>7309</v>
      </c>
      <c r="B6276" t="s">
        <v>7312</v>
      </c>
      <c r="C6276">
        <f>0</f>
        <v>0</v>
      </c>
      <c r="D6276">
        <v>0.992718912239</v>
      </c>
      <c r="E6276">
        <v>5.4692653673163401</v>
      </c>
    </row>
    <row r="6277" spans="1:5">
      <c r="A6277" t="s">
        <v>7309</v>
      </c>
      <c r="B6277" t="s">
        <v>7313</v>
      </c>
      <c r="C6277">
        <v>0</v>
      </c>
      <c r="D6277">
        <v>0.992718912239</v>
      </c>
      <c r="E6277">
        <v>5.4692653673163401</v>
      </c>
    </row>
    <row r="6278" spans="1:5">
      <c r="A6278" t="s">
        <v>7309</v>
      </c>
      <c r="B6278" t="s">
        <v>7314</v>
      </c>
      <c r="C6278">
        <f>0</f>
        <v>0</v>
      </c>
      <c r="D6278">
        <v>0.992718912239</v>
      </c>
      <c r="E6278">
        <v>5.4692653673163401</v>
      </c>
    </row>
    <row r="6279" spans="1:5">
      <c r="A6279" t="s">
        <v>7309</v>
      </c>
      <c r="B6279" t="s">
        <v>7315</v>
      </c>
      <c r="C6279">
        <v>1.38929568496E-3</v>
      </c>
      <c r="D6279">
        <v>0.992718912239</v>
      </c>
      <c r="E6279">
        <v>5.4692653673163401</v>
      </c>
    </row>
    <row r="6280" spans="1:5">
      <c r="A6280" t="s">
        <v>7309</v>
      </c>
      <c r="B6280" t="s">
        <v>7316</v>
      </c>
      <c r="C6280">
        <v>0</v>
      </c>
      <c r="D6280">
        <v>0.992718912239</v>
      </c>
      <c r="E6280">
        <v>5.4692653673163401</v>
      </c>
    </row>
    <row r="6281" spans="1:5">
      <c r="A6281" t="s">
        <v>7309</v>
      </c>
      <c r="B6281" t="s">
        <v>7317</v>
      </c>
      <c r="C6281">
        <f>0</f>
        <v>0</v>
      </c>
      <c r="D6281">
        <v>0.992718912239</v>
      </c>
      <c r="E6281">
        <v>5.4692653673163401</v>
      </c>
    </row>
    <row r="6282" spans="1:5">
      <c r="A6282" t="s">
        <v>7309</v>
      </c>
      <c r="B6282" t="s">
        <v>7318</v>
      </c>
      <c r="C6282">
        <v>0</v>
      </c>
      <c r="D6282">
        <v>0.992718912239</v>
      </c>
      <c r="E6282">
        <v>5.4692653673163401</v>
      </c>
    </row>
    <row r="6283" spans="1:5">
      <c r="A6283" t="s">
        <v>7309</v>
      </c>
      <c r="B6283" t="s">
        <v>7319</v>
      </c>
      <c r="C6283">
        <v>0.59620787230399996</v>
      </c>
      <c r="D6283">
        <v>0.992718912239</v>
      </c>
      <c r="E6283">
        <v>5.4692653673163401</v>
      </c>
    </row>
    <row r="6284" spans="1:5">
      <c r="A6284" t="s">
        <v>7320</v>
      </c>
      <c r="B6284" t="s">
        <v>7321</v>
      </c>
      <c r="C6284">
        <f>0.511955305528</f>
        <v>0.51195530552799995</v>
      </c>
      <c r="D6284">
        <v>0.889625121598</v>
      </c>
      <c r="E6284">
        <v>0.43178410794602701</v>
      </c>
    </row>
    <row r="6285" spans="1:5">
      <c r="A6285" t="s">
        <v>7320</v>
      </c>
      <c r="B6285" t="s">
        <v>7322</v>
      </c>
      <c r="C6285">
        <v>0</v>
      </c>
      <c r="D6285">
        <v>0.889625121598</v>
      </c>
      <c r="E6285">
        <v>0.43178410794602701</v>
      </c>
    </row>
    <row r="6286" spans="1:5">
      <c r="A6286" t="s">
        <v>7320</v>
      </c>
      <c r="B6286" t="s">
        <v>7323</v>
      </c>
      <c r="C6286">
        <v>0</v>
      </c>
      <c r="D6286">
        <v>0.889625121598</v>
      </c>
      <c r="E6286">
        <v>0.43178410794602701</v>
      </c>
    </row>
    <row r="6287" spans="1:5">
      <c r="A6287" t="s">
        <v>7320</v>
      </c>
      <c r="B6287" t="s">
        <v>7324</v>
      </c>
      <c r="C6287">
        <v>0.17299345150699999</v>
      </c>
      <c r="D6287">
        <v>0.889625121598</v>
      </c>
      <c r="E6287">
        <v>0.43178410794602701</v>
      </c>
    </row>
    <row r="6288" spans="1:5">
      <c r="A6288" t="s">
        <v>7325</v>
      </c>
      <c r="B6288" t="s">
        <v>7326</v>
      </c>
      <c r="C6288">
        <f>0</f>
        <v>0</v>
      </c>
      <c r="D6288">
        <v>0.78389252352399996</v>
      </c>
      <c r="E6288">
        <v>3.68215892053973</v>
      </c>
    </row>
    <row r="6289" spans="1:5">
      <c r="A6289" t="s">
        <v>7325</v>
      </c>
      <c r="B6289" t="s">
        <v>7327</v>
      </c>
      <c r="C6289">
        <f>0</f>
        <v>0</v>
      </c>
      <c r="D6289">
        <v>0.78389252352399996</v>
      </c>
      <c r="E6289">
        <v>3.68215892053973</v>
      </c>
    </row>
    <row r="6290" spans="1:5">
      <c r="A6290" t="s">
        <v>7325</v>
      </c>
      <c r="B6290" t="s">
        <v>7328</v>
      </c>
      <c r="C6290">
        <v>0.32478137352300002</v>
      </c>
      <c r="D6290">
        <v>0.78389252352399996</v>
      </c>
      <c r="E6290">
        <v>3.68215892053973</v>
      </c>
    </row>
    <row r="6291" spans="1:5">
      <c r="A6291" t="s">
        <v>7325</v>
      </c>
      <c r="B6291" t="s">
        <v>7329</v>
      </c>
      <c r="C6291">
        <v>6.01463639584E-2</v>
      </c>
      <c r="D6291">
        <v>0.78389252352399996</v>
      </c>
      <c r="E6291">
        <v>3.68215892053973</v>
      </c>
    </row>
    <row r="6292" spans="1:5">
      <c r="A6292" t="s">
        <v>7325</v>
      </c>
      <c r="B6292" t="s">
        <v>7330</v>
      </c>
      <c r="C6292">
        <v>0</v>
      </c>
      <c r="D6292">
        <v>0.78389252352399996</v>
      </c>
      <c r="E6292">
        <v>3.68215892053973</v>
      </c>
    </row>
    <row r="6293" spans="1:5">
      <c r="A6293" t="s">
        <v>7331</v>
      </c>
      <c r="B6293" t="s">
        <v>7332</v>
      </c>
      <c r="C6293">
        <v>0</v>
      </c>
      <c r="D6293" t="s">
        <v>106</v>
      </c>
      <c r="E6293">
        <v>1.96701649175412</v>
      </c>
    </row>
    <row r="6294" spans="1:5">
      <c r="A6294" t="s">
        <v>7331</v>
      </c>
      <c r="B6294" t="s">
        <v>7333</v>
      </c>
      <c r="C6294">
        <v>0</v>
      </c>
      <c r="D6294" t="s">
        <v>106</v>
      </c>
      <c r="E6294">
        <v>1.96701649175412</v>
      </c>
    </row>
    <row r="6295" spans="1:5">
      <c r="A6295" t="s">
        <v>7331</v>
      </c>
      <c r="B6295" t="s">
        <v>7334</v>
      </c>
      <c r="C6295">
        <f>0</f>
        <v>0</v>
      </c>
      <c r="D6295" t="s">
        <v>106</v>
      </c>
      <c r="E6295">
        <v>1.96701649175412</v>
      </c>
    </row>
    <row r="6296" spans="1:5">
      <c r="A6296" t="s">
        <v>7331</v>
      </c>
      <c r="B6296" t="s">
        <v>7335</v>
      </c>
      <c r="C6296">
        <f>0</f>
        <v>0</v>
      </c>
      <c r="D6296" t="s">
        <v>106</v>
      </c>
      <c r="E6296">
        <v>1.96701649175412</v>
      </c>
    </row>
    <row r="6297" spans="1:5">
      <c r="A6297" t="s">
        <v>7331</v>
      </c>
      <c r="B6297" t="s">
        <v>7336</v>
      </c>
      <c r="C6297">
        <v>0</v>
      </c>
      <c r="D6297" t="s">
        <v>106</v>
      </c>
      <c r="E6297">
        <v>1.96701649175412</v>
      </c>
    </row>
    <row r="6298" spans="1:5">
      <c r="A6298" t="s">
        <v>7331</v>
      </c>
      <c r="B6298" t="s">
        <v>7337</v>
      </c>
      <c r="C6298">
        <v>0</v>
      </c>
      <c r="D6298" t="s">
        <v>106</v>
      </c>
      <c r="E6298">
        <v>1.96701649175412</v>
      </c>
    </row>
    <row r="6299" spans="1:5">
      <c r="A6299" t="s">
        <v>7331</v>
      </c>
      <c r="B6299" t="s">
        <v>7338</v>
      </c>
      <c r="C6299">
        <f>0</f>
        <v>0</v>
      </c>
      <c r="D6299" t="s">
        <v>106</v>
      </c>
      <c r="E6299">
        <v>1.96701649175412</v>
      </c>
    </row>
    <row r="6300" spans="1:5">
      <c r="A6300" t="s">
        <v>7331</v>
      </c>
      <c r="B6300" t="s">
        <v>7339</v>
      </c>
      <c r="C6300">
        <f>0</f>
        <v>0</v>
      </c>
      <c r="D6300" t="s">
        <v>106</v>
      </c>
      <c r="E6300">
        <v>1.96701649175412</v>
      </c>
    </row>
    <row r="6301" spans="1:5">
      <c r="A6301" t="s">
        <v>7331</v>
      </c>
      <c r="B6301" t="s">
        <v>7340</v>
      </c>
      <c r="C6301">
        <v>0</v>
      </c>
      <c r="D6301" t="s">
        <v>106</v>
      </c>
      <c r="E6301">
        <v>1.96701649175412</v>
      </c>
    </row>
    <row r="6302" spans="1:5">
      <c r="A6302" t="s">
        <v>7331</v>
      </c>
      <c r="B6302" t="s">
        <v>7341</v>
      </c>
      <c r="C6302">
        <v>0</v>
      </c>
      <c r="D6302" t="s">
        <v>106</v>
      </c>
      <c r="E6302">
        <v>1.96701649175412</v>
      </c>
    </row>
    <row r="6303" spans="1:5">
      <c r="A6303" t="s">
        <v>7331</v>
      </c>
      <c r="B6303" t="s">
        <v>7342</v>
      </c>
      <c r="C6303">
        <v>0</v>
      </c>
      <c r="D6303" t="s">
        <v>106</v>
      </c>
      <c r="E6303">
        <v>1.96701649175412</v>
      </c>
    </row>
    <row r="6304" spans="1:5">
      <c r="A6304" t="s">
        <v>7331</v>
      </c>
      <c r="B6304" t="s">
        <v>7343</v>
      </c>
      <c r="C6304">
        <f>0</f>
        <v>0</v>
      </c>
      <c r="D6304" t="s">
        <v>106</v>
      </c>
      <c r="E6304">
        <v>1.96701649175412</v>
      </c>
    </row>
    <row r="6305" spans="1:5">
      <c r="A6305" t="s">
        <v>7344</v>
      </c>
      <c r="B6305" t="s">
        <v>7345</v>
      </c>
      <c r="C6305">
        <v>0</v>
      </c>
      <c r="D6305">
        <v>0.95559370898899998</v>
      </c>
      <c r="E6305">
        <v>3.3103448275862002</v>
      </c>
    </row>
    <row r="6306" spans="1:5">
      <c r="A6306" t="s">
        <v>7344</v>
      </c>
      <c r="B6306" t="s">
        <v>7346</v>
      </c>
      <c r="C6306">
        <f>0</f>
        <v>0</v>
      </c>
      <c r="D6306">
        <v>0.95559370898899998</v>
      </c>
      <c r="E6306">
        <v>3.3103448275862002</v>
      </c>
    </row>
    <row r="6307" spans="1:5">
      <c r="A6307" t="s">
        <v>7344</v>
      </c>
      <c r="B6307" t="s">
        <v>7347</v>
      </c>
      <c r="C6307">
        <v>0</v>
      </c>
      <c r="D6307">
        <v>0.95559370898899998</v>
      </c>
      <c r="E6307">
        <v>3.3103448275862002</v>
      </c>
    </row>
    <row r="6308" spans="1:5">
      <c r="A6308" t="s">
        <v>7344</v>
      </c>
      <c r="B6308" t="s">
        <v>7348</v>
      </c>
      <c r="C6308">
        <v>0</v>
      </c>
      <c r="D6308">
        <v>0.95559370898899998</v>
      </c>
      <c r="E6308">
        <v>3.3103448275862002</v>
      </c>
    </row>
    <row r="6309" spans="1:5">
      <c r="A6309" t="s">
        <v>7344</v>
      </c>
      <c r="B6309" t="s">
        <v>7349</v>
      </c>
      <c r="C6309">
        <f>0</f>
        <v>0</v>
      </c>
      <c r="D6309">
        <v>0.95559370898899998</v>
      </c>
      <c r="E6309">
        <v>3.3103448275862002</v>
      </c>
    </row>
    <row r="6310" spans="1:5">
      <c r="A6310" t="s">
        <v>7344</v>
      </c>
      <c r="B6310" t="s">
        <v>7350</v>
      </c>
      <c r="C6310">
        <f>0</f>
        <v>0</v>
      </c>
      <c r="D6310">
        <v>0.95559370898899998</v>
      </c>
      <c r="E6310">
        <v>3.3103448275862002</v>
      </c>
    </row>
    <row r="6311" spans="1:5">
      <c r="A6311" t="s">
        <v>7344</v>
      </c>
      <c r="B6311" t="s">
        <v>7351</v>
      </c>
      <c r="C6311">
        <f>0</f>
        <v>0</v>
      </c>
      <c r="D6311">
        <v>0.95559370898899998</v>
      </c>
      <c r="E6311">
        <v>3.3103448275862002</v>
      </c>
    </row>
    <row r="6312" spans="1:5">
      <c r="A6312" t="s">
        <v>7344</v>
      </c>
      <c r="B6312" t="s">
        <v>7352</v>
      </c>
      <c r="C6312">
        <v>0</v>
      </c>
      <c r="D6312">
        <v>0.95559370898899998</v>
      </c>
      <c r="E6312">
        <v>3.3103448275862002</v>
      </c>
    </row>
    <row r="6313" spans="1:5">
      <c r="A6313" t="s">
        <v>7344</v>
      </c>
      <c r="B6313" t="s">
        <v>7353</v>
      </c>
      <c r="C6313">
        <v>0</v>
      </c>
      <c r="D6313">
        <v>0.95559370898899998</v>
      </c>
      <c r="E6313">
        <v>3.3103448275862002</v>
      </c>
    </row>
    <row r="6314" spans="1:5">
      <c r="A6314" t="s">
        <v>7344</v>
      </c>
      <c r="B6314" t="s">
        <v>7354</v>
      </c>
      <c r="C6314">
        <v>0</v>
      </c>
      <c r="D6314">
        <v>0.95559370898899998</v>
      </c>
      <c r="E6314">
        <v>3.3103448275862002</v>
      </c>
    </row>
    <row r="6315" spans="1:5">
      <c r="A6315" t="s">
        <v>7344</v>
      </c>
      <c r="B6315" t="s">
        <v>7355</v>
      </c>
      <c r="C6315">
        <v>0</v>
      </c>
      <c r="D6315">
        <v>0.95559370898899998</v>
      </c>
      <c r="E6315">
        <v>3.3103448275862002</v>
      </c>
    </row>
    <row r="6316" spans="1:5">
      <c r="A6316" t="s">
        <v>7344</v>
      </c>
      <c r="B6316" t="s">
        <v>7356</v>
      </c>
      <c r="C6316">
        <v>0</v>
      </c>
      <c r="D6316">
        <v>0.95559370898899998</v>
      </c>
      <c r="E6316">
        <v>3.3103448275862002</v>
      </c>
    </row>
    <row r="6317" spans="1:5">
      <c r="A6317" t="s">
        <v>7357</v>
      </c>
      <c r="B6317" t="s">
        <v>7358</v>
      </c>
      <c r="C6317">
        <f>0</f>
        <v>0</v>
      </c>
      <c r="D6317">
        <v>0.957374706706</v>
      </c>
      <c r="E6317">
        <v>0.19190404797601199</v>
      </c>
    </row>
    <row r="6318" spans="1:5">
      <c r="A6318" t="s">
        <v>7357</v>
      </c>
      <c r="B6318" t="s">
        <v>7359</v>
      </c>
      <c r="C6318">
        <v>0</v>
      </c>
      <c r="D6318">
        <v>0.957374706706</v>
      </c>
      <c r="E6318">
        <v>0.19190404797601199</v>
      </c>
    </row>
    <row r="6319" spans="1:5">
      <c r="A6319" t="s">
        <v>7357</v>
      </c>
      <c r="B6319" t="s">
        <v>7360</v>
      </c>
      <c r="C6319">
        <f>0.234278994425</f>
        <v>0.234278994425</v>
      </c>
      <c r="D6319">
        <v>0.957374706706</v>
      </c>
      <c r="E6319">
        <v>0.19190404797601199</v>
      </c>
    </row>
    <row r="6320" spans="1:5">
      <c r="A6320" t="s">
        <v>7357</v>
      </c>
      <c r="B6320" t="s">
        <v>7361</v>
      </c>
      <c r="C6320">
        <f>0</f>
        <v>0</v>
      </c>
      <c r="D6320">
        <v>0.957374706706</v>
      </c>
      <c r="E6320">
        <v>0.19190404797601199</v>
      </c>
    </row>
    <row r="6321" spans="1:5">
      <c r="A6321" t="s">
        <v>7357</v>
      </c>
      <c r="B6321" t="s">
        <v>7362</v>
      </c>
      <c r="C6321">
        <f>0</f>
        <v>0</v>
      </c>
      <c r="D6321">
        <v>0.957374706706</v>
      </c>
      <c r="E6321">
        <v>0.19190404797601199</v>
      </c>
    </row>
    <row r="6322" spans="1:5">
      <c r="A6322" t="s">
        <v>7357</v>
      </c>
      <c r="B6322" t="s">
        <v>7363</v>
      </c>
      <c r="C6322">
        <f>0</f>
        <v>0</v>
      </c>
      <c r="D6322">
        <v>0.957374706706</v>
      </c>
      <c r="E6322">
        <v>0.19190404797601199</v>
      </c>
    </row>
    <row r="6323" spans="1:5">
      <c r="A6323" t="s">
        <v>7357</v>
      </c>
      <c r="B6323" t="s">
        <v>7364</v>
      </c>
      <c r="C6323">
        <f>0</f>
        <v>0</v>
      </c>
      <c r="D6323">
        <v>0.957374706706</v>
      </c>
      <c r="E6323">
        <v>0.19190404797601199</v>
      </c>
    </row>
    <row r="6324" spans="1:5">
      <c r="A6324" t="s">
        <v>7357</v>
      </c>
      <c r="B6324" t="s">
        <v>7365</v>
      </c>
      <c r="C6324">
        <f>0</f>
        <v>0</v>
      </c>
      <c r="D6324">
        <v>0.957374706706</v>
      </c>
      <c r="E6324">
        <v>0.19190404797601199</v>
      </c>
    </row>
    <row r="6325" spans="1:5">
      <c r="A6325" t="s">
        <v>7357</v>
      </c>
      <c r="B6325" t="s">
        <v>7366</v>
      </c>
      <c r="C6325">
        <f>0</f>
        <v>0</v>
      </c>
      <c r="D6325">
        <v>0.957374706706</v>
      </c>
      <c r="E6325">
        <v>0.19190404797601199</v>
      </c>
    </row>
    <row r="6326" spans="1:5">
      <c r="A6326" t="s">
        <v>7357</v>
      </c>
      <c r="B6326" t="s">
        <v>7367</v>
      </c>
      <c r="C6326">
        <v>0</v>
      </c>
      <c r="D6326">
        <v>0.957374706706</v>
      </c>
      <c r="E6326">
        <v>0.19190404797601199</v>
      </c>
    </row>
    <row r="6327" spans="1:5">
      <c r="A6327" t="s">
        <v>7368</v>
      </c>
      <c r="B6327" t="s">
        <v>7369</v>
      </c>
      <c r="C6327">
        <v>0</v>
      </c>
      <c r="D6327">
        <v>0.80007059626699994</v>
      </c>
      <c r="E6327">
        <v>12.3898050974512</v>
      </c>
    </row>
    <row r="6328" spans="1:5">
      <c r="A6328" t="s">
        <v>7368</v>
      </c>
      <c r="B6328" t="s">
        <v>7370</v>
      </c>
      <c r="C6328">
        <v>0</v>
      </c>
      <c r="D6328">
        <v>0.80007059626699994</v>
      </c>
      <c r="E6328">
        <v>12.3898050974512</v>
      </c>
    </row>
    <row r="6329" spans="1:5">
      <c r="A6329" t="s">
        <v>7368</v>
      </c>
      <c r="B6329" t="s">
        <v>7371</v>
      </c>
      <c r="C6329">
        <v>0</v>
      </c>
      <c r="D6329">
        <v>0.80007059626699994</v>
      </c>
      <c r="E6329">
        <v>12.3898050974512</v>
      </c>
    </row>
    <row r="6330" spans="1:5">
      <c r="A6330" t="s">
        <v>7368</v>
      </c>
      <c r="B6330" t="s">
        <v>7372</v>
      </c>
      <c r="C6330">
        <v>0</v>
      </c>
      <c r="D6330">
        <v>0.80007059626699994</v>
      </c>
      <c r="E6330">
        <v>12.3898050974512</v>
      </c>
    </row>
    <row r="6331" spans="1:5">
      <c r="A6331" t="s">
        <v>7368</v>
      </c>
      <c r="B6331" t="s">
        <v>7373</v>
      </c>
      <c r="C6331">
        <v>0</v>
      </c>
      <c r="D6331">
        <v>0.80007059626699994</v>
      </c>
      <c r="E6331">
        <v>12.3898050974512</v>
      </c>
    </row>
    <row r="6332" spans="1:5">
      <c r="A6332" t="s">
        <v>7368</v>
      </c>
      <c r="B6332" t="s">
        <v>7374</v>
      </c>
      <c r="C6332">
        <f>0.398441810214</f>
        <v>0.39844181021399999</v>
      </c>
      <c r="D6332">
        <v>0.80007059626699994</v>
      </c>
      <c r="E6332">
        <v>12.3898050974512</v>
      </c>
    </row>
    <row r="6333" spans="1:5">
      <c r="A6333" t="s">
        <v>7368</v>
      </c>
      <c r="B6333" t="s">
        <v>7375</v>
      </c>
      <c r="C6333">
        <f>0</f>
        <v>0</v>
      </c>
      <c r="D6333">
        <v>0.80007059626699994</v>
      </c>
      <c r="E6333">
        <v>12.3898050974512</v>
      </c>
    </row>
    <row r="6334" spans="1:5">
      <c r="A6334" t="s">
        <v>7376</v>
      </c>
      <c r="B6334" t="s">
        <v>7377</v>
      </c>
      <c r="C6334">
        <v>0</v>
      </c>
      <c r="D6334">
        <v>0.97992724984699997</v>
      </c>
      <c r="E6334">
        <v>24</v>
      </c>
    </row>
    <row r="6335" spans="1:5">
      <c r="A6335" t="s">
        <v>7376</v>
      </c>
      <c r="B6335" t="s">
        <v>7378</v>
      </c>
      <c r="C6335">
        <v>0.15235451141199999</v>
      </c>
      <c r="D6335">
        <v>0.97992724984699997</v>
      </c>
      <c r="E6335">
        <v>24</v>
      </c>
    </row>
    <row r="6336" spans="1:5">
      <c r="A6336" t="s">
        <v>7376</v>
      </c>
      <c r="B6336" t="s">
        <v>7379</v>
      </c>
      <c r="C6336">
        <v>0</v>
      </c>
      <c r="D6336">
        <v>0.97992724984699997</v>
      </c>
      <c r="E6336">
        <v>24</v>
      </c>
    </row>
    <row r="6337" spans="1:5">
      <c r="A6337" t="s">
        <v>7376</v>
      </c>
      <c r="B6337" t="s">
        <v>7380</v>
      </c>
      <c r="C6337">
        <f>0</f>
        <v>0</v>
      </c>
      <c r="D6337">
        <v>0.97992724984699997</v>
      </c>
      <c r="E6337">
        <v>24</v>
      </c>
    </row>
    <row r="6338" spans="1:5">
      <c r="A6338" t="s">
        <v>7376</v>
      </c>
      <c r="B6338" t="s">
        <v>7381</v>
      </c>
      <c r="C6338">
        <v>0</v>
      </c>
      <c r="D6338">
        <v>0.97992724984699997</v>
      </c>
      <c r="E6338">
        <v>24</v>
      </c>
    </row>
    <row r="6339" spans="1:5">
      <c r="A6339" t="s">
        <v>7376</v>
      </c>
      <c r="B6339" t="s">
        <v>7382</v>
      </c>
      <c r="C6339">
        <v>0</v>
      </c>
      <c r="D6339">
        <v>0.97992724984699997</v>
      </c>
      <c r="E6339">
        <v>24</v>
      </c>
    </row>
    <row r="6340" spans="1:5">
      <c r="A6340" t="s">
        <v>7376</v>
      </c>
      <c r="B6340" t="s">
        <v>7383</v>
      </c>
      <c r="C6340">
        <v>0</v>
      </c>
      <c r="D6340">
        <v>0.97992724984699997</v>
      </c>
      <c r="E6340">
        <v>24</v>
      </c>
    </row>
    <row r="6341" spans="1:5">
      <c r="A6341" t="s">
        <v>7376</v>
      </c>
      <c r="B6341" t="s">
        <v>7384</v>
      </c>
      <c r="C6341">
        <f>0</f>
        <v>0</v>
      </c>
      <c r="D6341">
        <v>0.97992724984699997</v>
      </c>
      <c r="E6341">
        <v>24</v>
      </c>
    </row>
    <row r="6342" spans="1:5">
      <c r="A6342" t="s">
        <v>7376</v>
      </c>
      <c r="B6342" t="s">
        <v>7385</v>
      </c>
      <c r="C6342">
        <v>3.05169730764E-2</v>
      </c>
      <c r="D6342">
        <v>0.97992724984699997</v>
      </c>
      <c r="E6342">
        <v>24</v>
      </c>
    </row>
    <row r="6343" spans="1:5">
      <c r="A6343" t="s">
        <v>7386</v>
      </c>
      <c r="B6343" t="s">
        <v>7387</v>
      </c>
      <c r="C6343">
        <f>0</f>
        <v>0</v>
      </c>
      <c r="D6343">
        <v>0.96809355406599995</v>
      </c>
      <c r="E6343">
        <v>0</v>
      </c>
    </row>
    <row r="6344" spans="1:5">
      <c r="A6344" t="s">
        <v>7386</v>
      </c>
      <c r="B6344" t="s">
        <v>7388</v>
      </c>
      <c r="C6344">
        <v>0</v>
      </c>
      <c r="D6344">
        <v>0.96809355406599995</v>
      </c>
      <c r="E6344">
        <v>0</v>
      </c>
    </row>
    <row r="6345" spans="1:5">
      <c r="A6345" t="s">
        <v>7386</v>
      </c>
      <c r="B6345" t="s">
        <v>7389</v>
      </c>
      <c r="C6345">
        <v>0</v>
      </c>
      <c r="D6345">
        <v>0.96809355406599995</v>
      </c>
      <c r="E6345">
        <v>0</v>
      </c>
    </row>
    <row r="6346" spans="1:5">
      <c r="A6346" t="s">
        <v>7386</v>
      </c>
      <c r="B6346" t="s">
        <v>7390</v>
      </c>
      <c r="C6346">
        <v>0</v>
      </c>
      <c r="D6346">
        <v>0.96809355406599995</v>
      </c>
      <c r="E6346">
        <v>0</v>
      </c>
    </row>
    <row r="6347" spans="1:5">
      <c r="A6347" t="s">
        <v>7386</v>
      </c>
      <c r="B6347" t="s">
        <v>7391</v>
      </c>
      <c r="C6347">
        <v>0</v>
      </c>
      <c r="D6347">
        <v>0.96809355406599995</v>
      </c>
      <c r="E6347">
        <v>0</v>
      </c>
    </row>
    <row r="6348" spans="1:5">
      <c r="A6348" t="s">
        <v>7386</v>
      </c>
      <c r="B6348" t="s">
        <v>7392</v>
      </c>
      <c r="C6348">
        <v>0</v>
      </c>
      <c r="D6348">
        <v>0.96809355406599995</v>
      </c>
      <c r="E6348">
        <v>0</v>
      </c>
    </row>
    <row r="6349" spans="1:5">
      <c r="A6349" t="s">
        <v>7386</v>
      </c>
      <c r="B6349" t="s">
        <v>7393</v>
      </c>
      <c r="C6349">
        <v>0</v>
      </c>
      <c r="D6349">
        <v>0.96809355406599995</v>
      </c>
      <c r="E6349">
        <v>0</v>
      </c>
    </row>
    <row r="6350" spans="1:5">
      <c r="A6350" t="s">
        <v>7386</v>
      </c>
      <c r="B6350" t="s">
        <v>7394</v>
      </c>
      <c r="C6350">
        <v>0</v>
      </c>
      <c r="D6350">
        <v>0.96809355406599995</v>
      </c>
      <c r="E6350">
        <v>0</v>
      </c>
    </row>
    <row r="6351" spans="1:5">
      <c r="A6351" t="s">
        <v>7386</v>
      </c>
      <c r="B6351" t="s">
        <v>7395</v>
      </c>
      <c r="C6351">
        <v>0</v>
      </c>
      <c r="D6351">
        <v>0.96809355406599995</v>
      </c>
      <c r="E6351">
        <v>0</v>
      </c>
    </row>
    <row r="6352" spans="1:5">
      <c r="A6352" t="s">
        <v>7386</v>
      </c>
      <c r="B6352" t="s">
        <v>7396</v>
      </c>
      <c r="C6352">
        <v>5.8980405994500003E-2</v>
      </c>
      <c r="D6352">
        <v>0.96809355406599995</v>
      </c>
      <c r="E6352">
        <v>0</v>
      </c>
    </row>
    <row r="6353" spans="1:5">
      <c r="A6353" t="s">
        <v>7386</v>
      </c>
      <c r="B6353" t="s">
        <v>7397</v>
      </c>
      <c r="C6353">
        <v>0.17524396793800001</v>
      </c>
      <c r="D6353">
        <v>0.96809355406599995</v>
      </c>
      <c r="E6353">
        <v>0</v>
      </c>
    </row>
    <row r="6354" spans="1:5">
      <c r="A6354" t="s">
        <v>7386</v>
      </c>
      <c r="B6354" t="s">
        <v>7398</v>
      </c>
      <c r="C6354">
        <v>0</v>
      </c>
      <c r="D6354">
        <v>0.96809355406599995</v>
      </c>
      <c r="E6354">
        <v>0</v>
      </c>
    </row>
    <row r="6355" spans="1:5">
      <c r="A6355" t="s">
        <v>7399</v>
      </c>
      <c r="B6355" t="s">
        <v>7400</v>
      </c>
      <c r="C6355">
        <v>1.02824602803E-2</v>
      </c>
      <c r="D6355">
        <v>0.96826827628800005</v>
      </c>
      <c r="E6355">
        <v>14.5487256371814</v>
      </c>
    </row>
    <row r="6356" spans="1:5">
      <c r="A6356" t="s">
        <v>7399</v>
      </c>
      <c r="B6356" t="s">
        <v>7401</v>
      </c>
      <c r="C6356">
        <v>0.216195403718</v>
      </c>
      <c r="D6356">
        <v>0.96826827628800005</v>
      </c>
      <c r="E6356">
        <v>14.5487256371814</v>
      </c>
    </row>
    <row r="6357" spans="1:5">
      <c r="A6357" t="s">
        <v>7399</v>
      </c>
      <c r="B6357" t="s">
        <v>7402</v>
      </c>
      <c r="C6357">
        <v>0</v>
      </c>
      <c r="D6357">
        <v>0.96826827628800005</v>
      </c>
      <c r="E6357">
        <v>14.5487256371814</v>
      </c>
    </row>
    <row r="6358" spans="1:5">
      <c r="A6358" t="s">
        <v>7399</v>
      </c>
      <c r="B6358" t="s">
        <v>7403</v>
      </c>
      <c r="C6358">
        <f>0</f>
        <v>0</v>
      </c>
      <c r="D6358">
        <v>0.96826827628800005</v>
      </c>
      <c r="E6358">
        <v>14.5487256371814</v>
      </c>
    </row>
    <row r="6359" spans="1:5">
      <c r="A6359" t="s">
        <v>7399</v>
      </c>
      <c r="B6359" t="s">
        <v>7404</v>
      </c>
      <c r="C6359">
        <v>0</v>
      </c>
      <c r="D6359">
        <v>0.96826827628800005</v>
      </c>
      <c r="E6359">
        <v>14.5487256371814</v>
      </c>
    </row>
    <row r="6360" spans="1:5">
      <c r="A6360" t="s">
        <v>7399</v>
      </c>
      <c r="B6360" t="s">
        <v>7405</v>
      </c>
      <c r="C6360">
        <v>0</v>
      </c>
      <c r="D6360">
        <v>0.96826827628800005</v>
      </c>
      <c r="E6360">
        <v>14.5487256371814</v>
      </c>
    </row>
    <row r="6361" spans="1:5">
      <c r="A6361" t="s">
        <v>7406</v>
      </c>
      <c r="B6361" t="s">
        <v>7407</v>
      </c>
      <c r="C6361">
        <f>0</f>
        <v>0</v>
      </c>
      <c r="D6361">
        <v>0.88327890801800002</v>
      </c>
      <c r="E6361">
        <v>5.4692653673163401</v>
      </c>
    </row>
    <row r="6362" spans="1:5">
      <c r="A6362" t="s">
        <v>7406</v>
      </c>
      <c r="B6362" t="s">
        <v>7408</v>
      </c>
      <c r="C6362">
        <v>0</v>
      </c>
      <c r="D6362">
        <v>0.88327890801800002</v>
      </c>
      <c r="E6362">
        <v>5.4692653673163401</v>
      </c>
    </row>
    <row r="6363" spans="1:5">
      <c r="A6363" t="s">
        <v>7406</v>
      </c>
      <c r="B6363" t="s">
        <v>7409</v>
      </c>
      <c r="C6363">
        <v>0</v>
      </c>
      <c r="D6363">
        <v>0.88327890801800002</v>
      </c>
      <c r="E6363">
        <v>5.4692653673163401</v>
      </c>
    </row>
    <row r="6364" spans="1:5">
      <c r="A6364" t="s">
        <v>7406</v>
      </c>
      <c r="B6364" t="s">
        <v>7410</v>
      </c>
      <c r="C6364">
        <v>0.136873340954</v>
      </c>
      <c r="D6364">
        <v>0.88327890801800002</v>
      </c>
      <c r="E6364">
        <v>5.4692653673163401</v>
      </c>
    </row>
    <row r="6365" spans="1:5">
      <c r="A6365" t="s">
        <v>7406</v>
      </c>
      <c r="B6365" t="s">
        <v>7411</v>
      </c>
      <c r="C6365">
        <f>0</f>
        <v>0</v>
      </c>
      <c r="D6365">
        <v>0.88327890801800002</v>
      </c>
      <c r="E6365">
        <v>5.4692653673163401</v>
      </c>
    </row>
    <row r="6366" spans="1:5">
      <c r="A6366" t="s">
        <v>7412</v>
      </c>
      <c r="B6366" t="s">
        <v>7413</v>
      </c>
      <c r="C6366">
        <f>0</f>
        <v>0</v>
      </c>
      <c r="D6366" t="s">
        <v>106</v>
      </c>
      <c r="E6366">
        <v>9.1634182908545707</v>
      </c>
    </row>
    <row r="6367" spans="1:5">
      <c r="A6367" t="s">
        <v>7412</v>
      </c>
      <c r="B6367" t="s">
        <v>7414</v>
      </c>
      <c r="C6367">
        <v>0</v>
      </c>
      <c r="D6367" t="s">
        <v>106</v>
      </c>
      <c r="E6367">
        <v>9.1634182908545707</v>
      </c>
    </row>
    <row r="6368" spans="1:5">
      <c r="A6368" t="s">
        <v>7412</v>
      </c>
      <c r="B6368" t="s">
        <v>7415</v>
      </c>
      <c r="C6368">
        <v>0</v>
      </c>
      <c r="D6368" t="s">
        <v>106</v>
      </c>
      <c r="E6368">
        <v>9.1634182908545707</v>
      </c>
    </row>
    <row r="6369" spans="1:5">
      <c r="A6369" t="s">
        <v>7412</v>
      </c>
      <c r="B6369" t="s">
        <v>7416</v>
      </c>
      <c r="C6369">
        <v>0</v>
      </c>
      <c r="D6369" t="s">
        <v>106</v>
      </c>
      <c r="E6369">
        <v>9.1634182908545707</v>
      </c>
    </row>
    <row r="6370" spans="1:5">
      <c r="A6370" t="s">
        <v>7417</v>
      </c>
      <c r="B6370" t="s">
        <v>7418</v>
      </c>
      <c r="C6370">
        <v>2.4081509040100002</v>
      </c>
      <c r="D6370">
        <v>0.98001798120399997</v>
      </c>
      <c r="E6370">
        <v>3.68215892053973</v>
      </c>
    </row>
    <row r="6371" spans="1:5">
      <c r="A6371" t="s">
        <v>7417</v>
      </c>
      <c r="B6371" t="s">
        <v>7419</v>
      </c>
      <c r="C6371">
        <f>-3.01177621696</f>
        <v>-3.01177621696</v>
      </c>
      <c r="D6371">
        <v>0.98001798120399997</v>
      </c>
      <c r="E6371">
        <v>3.68215892053973</v>
      </c>
    </row>
    <row r="6372" spans="1:5">
      <c r="A6372" t="s">
        <v>7420</v>
      </c>
      <c r="B6372" t="s">
        <v>7421</v>
      </c>
      <c r="C6372">
        <v>0</v>
      </c>
      <c r="D6372" t="s">
        <v>106</v>
      </c>
      <c r="E6372">
        <v>13.2653673163418</v>
      </c>
    </row>
    <row r="6373" spans="1:5">
      <c r="A6373" t="s">
        <v>7420</v>
      </c>
      <c r="B6373" t="s">
        <v>7422</v>
      </c>
      <c r="C6373">
        <f>0</f>
        <v>0</v>
      </c>
      <c r="D6373" t="s">
        <v>106</v>
      </c>
      <c r="E6373">
        <v>13.2653673163418</v>
      </c>
    </row>
    <row r="6374" spans="1:5">
      <c r="A6374" t="s">
        <v>7420</v>
      </c>
      <c r="B6374" t="s">
        <v>7423</v>
      </c>
      <c r="C6374">
        <f>0</f>
        <v>0</v>
      </c>
      <c r="D6374" t="s">
        <v>106</v>
      </c>
      <c r="E6374">
        <v>13.2653673163418</v>
      </c>
    </row>
    <row r="6375" spans="1:5">
      <c r="A6375" t="s">
        <v>7420</v>
      </c>
      <c r="B6375" t="s">
        <v>7424</v>
      </c>
      <c r="C6375">
        <f>0</f>
        <v>0</v>
      </c>
      <c r="D6375" t="s">
        <v>106</v>
      </c>
      <c r="E6375">
        <v>13.2653673163418</v>
      </c>
    </row>
    <row r="6376" spans="1:5">
      <c r="A6376" t="s">
        <v>7420</v>
      </c>
      <c r="B6376" t="s">
        <v>7425</v>
      </c>
      <c r="C6376">
        <f>0</f>
        <v>0</v>
      </c>
      <c r="D6376" t="s">
        <v>106</v>
      </c>
      <c r="E6376">
        <v>13.2653673163418</v>
      </c>
    </row>
    <row r="6377" spans="1:5">
      <c r="A6377" t="s">
        <v>7420</v>
      </c>
      <c r="B6377" t="s">
        <v>7426</v>
      </c>
      <c r="C6377">
        <f>0</f>
        <v>0</v>
      </c>
      <c r="D6377" t="s">
        <v>106</v>
      </c>
      <c r="E6377">
        <v>13.2653673163418</v>
      </c>
    </row>
    <row r="6378" spans="1:5">
      <c r="A6378" t="s">
        <v>7420</v>
      </c>
      <c r="B6378" t="s">
        <v>7427</v>
      </c>
      <c r="C6378">
        <v>0</v>
      </c>
      <c r="D6378" t="s">
        <v>106</v>
      </c>
      <c r="E6378">
        <v>13.2653673163418</v>
      </c>
    </row>
    <row r="6379" spans="1:5">
      <c r="A6379" t="s">
        <v>7420</v>
      </c>
      <c r="B6379" t="s">
        <v>7428</v>
      </c>
      <c r="C6379">
        <f>0</f>
        <v>0</v>
      </c>
      <c r="D6379" t="s">
        <v>106</v>
      </c>
      <c r="E6379">
        <v>13.2653673163418</v>
      </c>
    </row>
    <row r="6380" spans="1:5">
      <c r="A6380" t="s">
        <v>7420</v>
      </c>
      <c r="B6380" t="s">
        <v>7429</v>
      </c>
      <c r="C6380">
        <f>0</f>
        <v>0</v>
      </c>
      <c r="D6380" t="s">
        <v>106</v>
      </c>
      <c r="E6380">
        <v>13.2653673163418</v>
      </c>
    </row>
    <row r="6381" spans="1:5">
      <c r="A6381" t="s">
        <v>7420</v>
      </c>
      <c r="B6381" t="s">
        <v>7430</v>
      </c>
      <c r="C6381">
        <v>0</v>
      </c>
      <c r="D6381" t="s">
        <v>106</v>
      </c>
      <c r="E6381">
        <v>13.2653673163418</v>
      </c>
    </row>
    <row r="6382" spans="1:5">
      <c r="A6382" t="s">
        <v>7420</v>
      </c>
      <c r="B6382" t="s">
        <v>7431</v>
      </c>
      <c r="C6382">
        <v>0</v>
      </c>
      <c r="D6382" t="s">
        <v>106</v>
      </c>
      <c r="E6382">
        <v>13.2653673163418</v>
      </c>
    </row>
    <row r="6383" spans="1:5">
      <c r="A6383" t="s">
        <v>7420</v>
      </c>
      <c r="B6383" t="s">
        <v>7432</v>
      </c>
      <c r="C6383">
        <f>0</f>
        <v>0</v>
      </c>
      <c r="D6383" t="s">
        <v>106</v>
      </c>
      <c r="E6383">
        <v>13.2653673163418</v>
      </c>
    </row>
    <row r="6384" spans="1:5">
      <c r="A6384" t="s">
        <v>7420</v>
      </c>
      <c r="B6384" t="s">
        <v>7433</v>
      </c>
      <c r="C6384">
        <f>0</f>
        <v>0</v>
      </c>
      <c r="D6384" t="s">
        <v>106</v>
      </c>
      <c r="E6384">
        <v>13.2653673163418</v>
      </c>
    </row>
    <row r="6385" spans="1:5">
      <c r="A6385" t="s">
        <v>7420</v>
      </c>
      <c r="B6385" t="s">
        <v>7434</v>
      </c>
      <c r="C6385">
        <f>0</f>
        <v>0</v>
      </c>
      <c r="D6385" t="s">
        <v>106</v>
      </c>
      <c r="E6385">
        <v>13.2653673163418</v>
      </c>
    </row>
    <row r="6386" spans="1:5">
      <c r="A6386" t="s">
        <v>7435</v>
      </c>
      <c r="B6386" t="s">
        <v>7436</v>
      </c>
      <c r="C6386">
        <f>0</f>
        <v>0</v>
      </c>
      <c r="D6386">
        <v>0.98819689627499996</v>
      </c>
      <c r="E6386">
        <v>20.509745127436201</v>
      </c>
    </row>
    <row r="6387" spans="1:5">
      <c r="A6387" t="s">
        <v>7435</v>
      </c>
      <c r="B6387" t="s">
        <v>7437</v>
      </c>
      <c r="C6387">
        <v>0</v>
      </c>
      <c r="D6387">
        <v>0.98819689627499996</v>
      </c>
      <c r="E6387">
        <v>20.509745127436201</v>
      </c>
    </row>
    <row r="6388" spans="1:5">
      <c r="A6388" t="s">
        <v>7435</v>
      </c>
      <c r="B6388" t="s">
        <v>7438</v>
      </c>
      <c r="C6388">
        <v>0</v>
      </c>
      <c r="D6388">
        <v>0.98819689627499996</v>
      </c>
      <c r="E6388">
        <v>20.509745127436201</v>
      </c>
    </row>
    <row r="6389" spans="1:5">
      <c r="A6389" t="s">
        <v>7435</v>
      </c>
      <c r="B6389" t="s">
        <v>7439</v>
      </c>
      <c r="C6389">
        <v>0</v>
      </c>
      <c r="D6389">
        <v>0.98819689627499996</v>
      </c>
      <c r="E6389">
        <v>20.509745127436201</v>
      </c>
    </row>
    <row r="6390" spans="1:5">
      <c r="A6390" t="s">
        <v>7440</v>
      </c>
      <c r="B6390" t="s">
        <v>7441</v>
      </c>
      <c r="C6390">
        <v>0</v>
      </c>
      <c r="D6390">
        <v>0.93939703649700002</v>
      </c>
      <c r="E6390">
        <v>0.77961019490254801</v>
      </c>
    </row>
    <row r="6391" spans="1:5">
      <c r="A6391" t="s">
        <v>7440</v>
      </c>
      <c r="B6391" t="s">
        <v>7442</v>
      </c>
      <c r="C6391">
        <f>0</f>
        <v>0</v>
      </c>
      <c r="D6391">
        <v>0.93939703649700002</v>
      </c>
      <c r="E6391">
        <v>0.77961019490254801</v>
      </c>
    </row>
    <row r="6392" spans="1:5">
      <c r="A6392" t="s">
        <v>7440</v>
      </c>
      <c r="B6392" t="s">
        <v>7443</v>
      </c>
      <c r="C6392">
        <f>0</f>
        <v>0</v>
      </c>
      <c r="D6392">
        <v>0.93939703649700002</v>
      </c>
      <c r="E6392">
        <v>0.77961019490254801</v>
      </c>
    </row>
    <row r="6393" spans="1:5">
      <c r="A6393" t="s">
        <v>7440</v>
      </c>
      <c r="B6393" t="s">
        <v>7444</v>
      </c>
      <c r="C6393">
        <f>0.135349256488</f>
        <v>0.135349256488</v>
      </c>
      <c r="D6393">
        <v>0.93939703649700002</v>
      </c>
      <c r="E6393">
        <v>0.77961019490254801</v>
      </c>
    </row>
    <row r="6394" spans="1:5">
      <c r="A6394" t="s">
        <v>7440</v>
      </c>
      <c r="B6394" t="s">
        <v>7445</v>
      </c>
      <c r="C6394">
        <v>0</v>
      </c>
      <c r="D6394">
        <v>0.93939703649700002</v>
      </c>
      <c r="E6394">
        <v>0.77961019490254801</v>
      </c>
    </row>
    <row r="6395" spans="1:5">
      <c r="A6395" t="s">
        <v>7440</v>
      </c>
      <c r="B6395" t="s">
        <v>7446</v>
      </c>
      <c r="C6395">
        <f>0.292471722031</f>
        <v>0.29247172203100003</v>
      </c>
      <c r="D6395">
        <v>0.93939703649700002</v>
      </c>
      <c r="E6395">
        <v>0.77961019490254801</v>
      </c>
    </row>
    <row r="6396" spans="1:5">
      <c r="A6396" t="s">
        <v>7447</v>
      </c>
      <c r="B6396" t="s">
        <v>7448</v>
      </c>
      <c r="C6396">
        <v>4.6402292026599999E-3</v>
      </c>
      <c r="D6396" t="s">
        <v>106</v>
      </c>
      <c r="E6396">
        <v>18.986506746626599</v>
      </c>
    </row>
    <row r="6397" spans="1:5">
      <c r="A6397" t="s">
        <v>7447</v>
      </c>
      <c r="B6397" t="s">
        <v>7449</v>
      </c>
      <c r="C6397">
        <f>0</f>
        <v>0</v>
      </c>
      <c r="D6397" t="s">
        <v>106</v>
      </c>
      <c r="E6397">
        <v>18.986506746626599</v>
      </c>
    </row>
    <row r="6398" spans="1:5">
      <c r="A6398" t="s">
        <v>7447</v>
      </c>
      <c r="B6398" t="s">
        <v>7450</v>
      </c>
      <c r="C6398">
        <v>0</v>
      </c>
      <c r="D6398" t="s">
        <v>106</v>
      </c>
      <c r="E6398">
        <v>18.986506746626599</v>
      </c>
    </row>
    <row r="6399" spans="1:5">
      <c r="A6399" t="s">
        <v>7447</v>
      </c>
      <c r="B6399" t="s">
        <v>7451</v>
      </c>
      <c r="C6399">
        <v>0</v>
      </c>
      <c r="D6399" t="s">
        <v>106</v>
      </c>
      <c r="E6399">
        <v>18.986506746626599</v>
      </c>
    </row>
    <row r="6400" spans="1:5">
      <c r="A6400" t="s">
        <v>7447</v>
      </c>
      <c r="B6400" t="s">
        <v>7452</v>
      </c>
      <c r="C6400">
        <v>0.122199031422</v>
      </c>
      <c r="D6400" t="s">
        <v>106</v>
      </c>
      <c r="E6400">
        <v>18.986506746626599</v>
      </c>
    </row>
    <row r="6401" spans="1:5">
      <c r="A6401" t="s">
        <v>7447</v>
      </c>
      <c r="B6401" t="s">
        <v>7453</v>
      </c>
      <c r="C6401">
        <v>0</v>
      </c>
      <c r="D6401" t="s">
        <v>106</v>
      </c>
      <c r="E6401">
        <v>18.986506746626599</v>
      </c>
    </row>
    <row r="6402" spans="1:5">
      <c r="A6402" t="s">
        <v>7447</v>
      </c>
      <c r="B6402" t="s">
        <v>7454</v>
      </c>
      <c r="C6402">
        <v>0</v>
      </c>
      <c r="D6402" t="s">
        <v>106</v>
      </c>
      <c r="E6402">
        <v>18.986506746626599</v>
      </c>
    </row>
    <row r="6403" spans="1:5">
      <c r="A6403" t="s">
        <v>7447</v>
      </c>
      <c r="B6403" t="s">
        <v>7455</v>
      </c>
      <c r="C6403">
        <v>0</v>
      </c>
      <c r="D6403" t="s">
        <v>106</v>
      </c>
      <c r="E6403">
        <v>18.986506746626599</v>
      </c>
    </row>
    <row r="6404" spans="1:5">
      <c r="A6404" t="s">
        <v>7447</v>
      </c>
      <c r="B6404" t="s">
        <v>7456</v>
      </c>
      <c r="C6404">
        <v>0</v>
      </c>
      <c r="D6404" t="s">
        <v>106</v>
      </c>
      <c r="E6404">
        <v>18.986506746626599</v>
      </c>
    </row>
    <row r="6405" spans="1:5">
      <c r="A6405" t="s">
        <v>7447</v>
      </c>
      <c r="B6405" t="s">
        <v>7457</v>
      </c>
      <c r="C6405">
        <v>0</v>
      </c>
      <c r="D6405" t="s">
        <v>106</v>
      </c>
      <c r="E6405">
        <v>18.986506746626599</v>
      </c>
    </row>
    <row r="6406" spans="1:5">
      <c r="A6406" t="s">
        <v>7447</v>
      </c>
      <c r="B6406" t="s">
        <v>7458</v>
      </c>
      <c r="C6406">
        <v>0</v>
      </c>
      <c r="D6406" t="s">
        <v>106</v>
      </c>
      <c r="E6406">
        <v>18.986506746626599</v>
      </c>
    </row>
    <row r="6407" spans="1:5">
      <c r="A6407" t="s">
        <v>7447</v>
      </c>
      <c r="B6407" t="s">
        <v>7459</v>
      </c>
      <c r="C6407">
        <v>0</v>
      </c>
      <c r="D6407" t="s">
        <v>106</v>
      </c>
      <c r="E6407">
        <v>18.986506746626599</v>
      </c>
    </row>
    <row r="6408" spans="1:5">
      <c r="A6408" t="s">
        <v>7447</v>
      </c>
      <c r="B6408" t="s">
        <v>7460</v>
      </c>
      <c r="C6408">
        <v>0</v>
      </c>
      <c r="D6408" t="s">
        <v>106</v>
      </c>
      <c r="E6408">
        <v>18.986506746626599</v>
      </c>
    </row>
    <row r="6409" spans="1:5">
      <c r="A6409" t="s">
        <v>7461</v>
      </c>
      <c r="B6409" t="s">
        <v>7462</v>
      </c>
      <c r="C6409">
        <v>0</v>
      </c>
      <c r="D6409">
        <v>0.91306289838700005</v>
      </c>
      <c r="E6409">
        <v>5.0134932533733103</v>
      </c>
    </row>
    <row r="6410" spans="1:5">
      <c r="A6410" t="s">
        <v>7461</v>
      </c>
      <c r="B6410" t="s">
        <v>7463</v>
      </c>
      <c r="C6410">
        <v>0</v>
      </c>
      <c r="D6410">
        <v>0.91306289838700005</v>
      </c>
      <c r="E6410">
        <v>5.0134932533733103</v>
      </c>
    </row>
    <row r="6411" spans="1:5">
      <c r="A6411" t="s">
        <v>7461</v>
      </c>
      <c r="B6411" t="s">
        <v>7464</v>
      </c>
      <c r="C6411">
        <v>0</v>
      </c>
      <c r="D6411">
        <v>0.91306289838700005</v>
      </c>
      <c r="E6411">
        <v>5.0134932533733103</v>
      </c>
    </row>
    <row r="6412" spans="1:5">
      <c r="A6412" t="s">
        <v>7465</v>
      </c>
      <c r="B6412" t="s">
        <v>7466</v>
      </c>
      <c r="C6412">
        <v>0</v>
      </c>
      <c r="D6412">
        <v>0.67014028195599995</v>
      </c>
      <c r="E6412">
        <v>20.7376311844077</v>
      </c>
    </row>
    <row r="6413" spans="1:5">
      <c r="A6413" t="s">
        <v>7465</v>
      </c>
      <c r="B6413" t="s">
        <v>7467</v>
      </c>
      <c r="C6413">
        <f>0</f>
        <v>0</v>
      </c>
      <c r="D6413">
        <v>0.67014028195599995</v>
      </c>
      <c r="E6413">
        <v>20.7376311844077</v>
      </c>
    </row>
    <row r="6414" spans="1:5">
      <c r="A6414" t="s">
        <v>7465</v>
      </c>
      <c r="B6414" t="s">
        <v>7468</v>
      </c>
      <c r="C6414">
        <v>1.96257961628E-2</v>
      </c>
      <c r="D6414">
        <v>0.67014028195599995</v>
      </c>
      <c r="E6414">
        <v>20.7376311844077</v>
      </c>
    </row>
    <row r="6415" spans="1:5">
      <c r="A6415" t="s">
        <v>7469</v>
      </c>
      <c r="B6415" t="s">
        <v>7470</v>
      </c>
      <c r="C6415">
        <v>0</v>
      </c>
      <c r="D6415">
        <v>0.99397533262399995</v>
      </c>
      <c r="E6415">
        <v>9.0194902548725597</v>
      </c>
    </row>
    <row r="6416" spans="1:5">
      <c r="A6416" t="s">
        <v>7469</v>
      </c>
      <c r="B6416" t="s">
        <v>7471</v>
      </c>
      <c r="C6416">
        <f>0</f>
        <v>0</v>
      </c>
      <c r="D6416">
        <v>0.99397533262399995</v>
      </c>
      <c r="E6416">
        <v>9.0194902548725597</v>
      </c>
    </row>
    <row r="6417" spans="1:5">
      <c r="A6417" t="s">
        <v>7469</v>
      </c>
      <c r="B6417" t="s">
        <v>7472</v>
      </c>
      <c r="C6417">
        <f>0</f>
        <v>0</v>
      </c>
      <c r="D6417">
        <v>0.99397533262399995</v>
      </c>
      <c r="E6417">
        <v>9.0194902548725597</v>
      </c>
    </row>
    <row r="6418" spans="1:5">
      <c r="A6418" t="s">
        <v>7469</v>
      </c>
      <c r="B6418" t="s">
        <v>7473</v>
      </c>
      <c r="C6418">
        <v>0</v>
      </c>
      <c r="D6418">
        <v>0.99397533262399995</v>
      </c>
      <c r="E6418">
        <v>9.0194902548725597</v>
      </c>
    </row>
    <row r="6419" spans="1:5">
      <c r="A6419" t="s">
        <v>7469</v>
      </c>
      <c r="B6419" t="s">
        <v>7474</v>
      </c>
      <c r="C6419">
        <v>0</v>
      </c>
      <c r="D6419">
        <v>0.99397533262399995</v>
      </c>
      <c r="E6419">
        <v>9.0194902548725597</v>
      </c>
    </row>
    <row r="6420" spans="1:5">
      <c r="A6420" t="s">
        <v>7469</v>
      </c>
      <c r="B6420" t="s">
        <v>7475</v>
      </c>
      <c r="C6420">
        <f>0</f>
        <v>0</v>
      </c>
      <c r="D6420">
        <v>0.99397533262399995</v>
      </c>
      <c r="E6420">
        <v>9.0194902548725597</v>
      </c>
    </row>
    <row r="6421" spans="1:5">
      <c r="A6421" t="s">
        <v>7469</v>
      </c>
      <c r="B6421" t="s">
        <v>7476</v>
      </c>
      <c r="C6421">
        <f>0</f>
        <v>0</v>
      </c>
      <c r="D6421">
        <v>0.99397533262399995</v>
      </c>
      <c r="E6421">
        <v>9.0194902548725597</v>
      </c>
    </row>
    <row r="6422" spans="1:5">
      <c r="A6422" t="s">
        <v>7469</v>
      </c>
      <c r="B6422" t="s">
        <v>7477</v>
      </c>
      <c r="C6422">
        <v>3.3826597779600003E-2</v>
      </c>
      <c r="D6422">
        <v>0.99397533262399995</v>
      </c>
      <c r="E6422">
        <v>9.0194902548725597</v>
      </c>
    </row>
    <row r="6423" spans="1:5">
      <c r="A6423" t="s">
        <v>7469</v>
      </c>
      <c r="B6423" t="s">
        <v>7478</v>
      </c>
      <c r="C6423">
        <f>0</f>
        <v>0</v>
      </c>
      <c r="D6423">
        <v>0.99397533262399995</v>
      </c>
      <c r="E6423">
        <v>9.0194902548725597</v>
      </c>
    </row>
    <row r="6424" spans="1:5">
      <c r="A6424" t="s">
        <v>7469</v>
      </c>
      <c r="B6424" t="s">
        <v>7479</v>
      </c>
      <c r="C6424">
        <v>0</v>
      </c>
      <c r="D6424">
        <v>0.99397533262399995</v>
      </c>
      <c r="E6424">
        <v>9.0194902548725597</v>
      </c>
    </row>
    <row r="6425" spans="1:5">
      <c r="A6425" t="s">
        <v>7469</v>
      </c>
      <c r="B6425" t="s">
        <v>7480</v>
      </c>
      <c r="C6425">
        <v>0.21149266107199999</v>
      </c>
      <c r="D6425">
        <v>0.99397533262399995</v>
      </c>
      <c r="E6425">
        <v>9.0194902548725597</v>
      </c>
    </row>
    <row r="6426" spans="1:5">
      <c r="A6426" t="s">
        <v>7481</v>
      </c>
      <c r="B6426" t="s">
        <v>7482</v>
      </c>
      <c r="C6426">
        <v>0.27120931324600001</v>
      </c>
      <c r="D6426">
        <v>0.88856701882300004</v>
      </c>
      <c r="E6426">
        <v>4.9055472263868003</v>
      </c>
    </row>
    <row r="6427" spans="1:5">
      <c r="A6427" t="s">
        <v>7481</v>
      </c>
      <c r="B6427" t="s">
        <v>7483</v>
      </c>
      <c r="C6427">
        <v>0</v>
      </c>
      <c r="D6427">
        <v>0.88856701882300004</v>
      </c>
      <c r="E6427">
        <v>4.9055472263868003</v>
      </c>
    </row>
    <row r="6428" spans="1:5">
      <c r="A6428" t="s">
        <v>7481</v>
      </c>
      <c r="B6428" t="s">
        <v>7484</v>
      </c>
      <c r="C6428">
        <v>0</v>
      </c>
      <c r="D6428">
        <v>0.88856701882300004</v>
      </c>
      <c r="E6428">
        <v>4.9055472263868003</v>
      </c>
    </row>
    <row r="6429" spans="1:5">
      <c r="A6429" t="s">
        <v>7481</v>
      </c>
      <c r="B6429" t="s">
        <v>7485</v>
      </c>
      <c r="C6429">
        <v>0.25091269111600001</v>
      </c>
      <c r="D6429">
        <v>0.88856701882300004</v>
      </c>
      <c r="E6429">
        <v>4.9055472263868003</v>
      </c>
    </row>
    <row r="6430" spans="1:5">
      <c r="A6430" t="s">
        <v>7481</v>
      </c>
      <c r="B6430" t="s">
        <v>7486</v>
      </c>
      <c r="C6430">
        <v>0</v>
      </c>
      <c r="D6430">
        <v>0.88856701882300004</v>
      </c>
      <c r="E6430">
        <v>4.9055472263868003</v>
      </c>
    </row>
    <row r="6431" spans="1:5">
      <c r="A6431" t="s">
        <v>7487</v>
      </c>
      <c r="B6431" t="s">
        <v>7488</v>
      </c>
      <c r="C6431">
        <v>0.19612870259099999</v>
      </c>
      <c r="D6431">
        <v>0.989060997645</v>
      </c>
      <c r="E6431">
        <v>5.8170914542728598</v>
      </c>
    </row>
    <row r="6432" spans="1:5">
      <c r="A6432" t="s">
        <v>7487</v>
      </c>
      <c r="B6432" t="s">
        <v>7489</v>
      </c>
      <c r="C6432">
        <v>0</v>
      </c>
      <c r="D6432">
        <v>0.989060997645</v>
      </c>
      <c r="E6432">
        <v>5.8170914542728598</v>
      </c>
    </row>
    <row r="6433" spans="1:5">
      <c r="A6433" t="s">
        <v>7487</v>
      </c>
      <c r="B6433" t="s">
        <v>7490</v>
      </c>
      <c r="C6433">
        <v>0</v>
      </c>
      <c r="D6433">
        <v>0.989060997645</v>
      </c>
      <c r="E6433">
        <v>5.8170914542728598</v>
      </c>
    </row>
    <row r="6434" spans="1:5">
      <c r="A6434" t="s">
        <v>7487</v>
      </c>
      <c r="B6434" t="s">
        <v>7491</v>
      </c>
      <c r="C6434">
        <v>0</v>
      </c>
      <c r="D6434">
        <v>0.989060997645</v>
      </c>
      <c r="E6434">
        <v>5.8170914542728598</v>
      </c>
    </row>
    <row r="6435" spans="1:5">
      <c r="A6435" t="s">
        <v>7487</v>
      </c>
      <c r="B6435" t="s">
        <v>7492</v>
      </c>
      <c r="C6435">
        <f>0</f>
        <v>0</v>
      </c>
      <c r="D6435">
        <v>0.989060997645</v>
      </c>
      <c r="E6435">
        <v>5.8170914542728598</v>
      </c>
    </row>
    <row r="6436" spans="1:5">
      <c r="A6436" t="s">
        <v>7487</v>
      </c>
      <c r="B6436" t="s">
        <v>7493</v>
      </c>
      <c r="C6436">
        <v>0</v>
      </c>
      <c r="D6436">
        <v>0.989060997645</v>
      </c>
      <c r="E6436">
        <v>5.8170914542728598</v>
      </c>
    </row>
    <row r="6437" spans="1:5">
      <c r="A6437" t="s">
        <v>7487</v>
      </c>
      <c r="B6437" t="s">
        <v>7494</v>
      </c>
      <c r="C6437">
        <v>0</v>
      </c>
      <c r="D6437">
        <v>0.989060997645</v>
      </c>
      <c r="E6437">
        <v>5.8170914542728598</v>
      </c>
    </row>
    <row r="6438" spans="1:5">
      <c r="A6438" t="s">
        <v>7487</v>
      </c>
      <c r="B6438" t="s">
        <v>7495</v>
      </c>
      <c r="C6438">
        <v>0</v>
      </c>
      <c r="D6438">
        <v>0.989060997645</v>
      </c>
      <c r="E6438">
        <v>5.8170914542728598</v>
      </c>
    </row>
    <row r="6439" spans="1:5">
      <c r="A6439" t="s">
        <v>7487</v>
      </c>
      <c r="B6439" t="s">
        <v>7496</v>
      </c>
      <c r="C6439">
        <f>0</f>
        <v>0</v>
      </c>
      <c r="D6439">
        <v>0.989060997645</v>
      </c>
      <c r="E6439">
        <v>5.8170914542728598</v>
      </c>
    </row>
    <row r="6440" spans="1:5">
      <c r="A6440" t="s">
        <v>7487</v>
      </c>
      <c r="B6440" t="s">
        <v>7497</v>
      </c>
      <c r="C6440">
        <v>0</v>
      </c>
      <c r="D6440">
        <v>0.989060997645</v>
      </c>
      <c r="E6440">
        <v>5.8170914542728598</v>
      </c>
    </row>
    <row r="6441" spans="1:5">
      <c r="A6441" t="s">
        <v>7487</v>
      </c>
      <c r="B6441" t="s">
        <v>7498</v>
      </c>
      <c r="C6441">
        <f>0</f>
        <v>0</v>
      </c>
      <c r="D6441">
        <v>0.989060997645</v>
      </c>
      <c r="E6441">
        <v>5.8170914542728598</v>
      </c>
    </row>
    <row r="6442" spans="1:5">
      <c r="A6442" t="s">
        <v>7487</v>
      </c>
      <c r="B6442" t="s">
        <v>7499</v>
      </c>
      <c r="C6442">
        <f>0</f>
        <v>0</v>
      </c>
      <c r="D6442">
        <v>0.989060997645</v>
      </c>
      <c r="E6442">
        <v>5.8170914542728598</v>
      </c>
    </row>
    <row r="6443" spans="1:5">
      <c r="A6443" t="s">
        <v>7487</v>
      </c>
      <c r="B6443" t="s">
        <v>7500</v>
      </c>
      <c r="C6443">
        <v>0</v>
      </c>
      <c r="D6443">
        <v>0.989060997645</v>
      </c>
      <c r="E6443">
        <v>5.8170914542728598</v>
      </c>
    </row>
    <row r="6444" spans="1:5">
      <c r="A6444" t="s">
        <v>7487</v>
      </c>
      <c r="B6444" t="s">
        <v>7501</v>
      </c>
      <c r="C6444">
        <v>9.4328875487400005E-3</v>
      </c>
      <c r="D6444">
        <v>0.989060997645</v>
      </c>
      <c r="E6444">
        <v>5.8170914542728598</v>
      </c>
    </row>
    <row r="6445" spans="1:5">
      <c r="A6445" t="s">
        <v>7487</v>
      </c>
      <c r="B6445" t="s">
        <v>7502</v>
      </c>
      <c r="C6445">
        <v>0</v>
      </c>
      <c r="D6445">
        <v>0.989060997645</v>
      </c>
      <c r="E6445">
        <v>5.8170914542728598</v>
      </c>
    </row>
    <row r="6446" spans="1:5">
      <c r="A6446" t="s">
        <v>7487</v>
      </c>
      <c r="B6446" t="s">
        <v>7503</v>
      </c>
      <c r="C6446">
        <f>0</f>
        <v>0</v>
      </c>
      <c r="D6446">
        <v>0.989060997645</v>
      </c>
      <c r="E6446">
        <v>5.8170914542728598</v>
      </c>
    </row>
    <row r="6447" spans="1:5">
      <c r="A6447" t="s">
        <v>7487</v>
      </c>
      <c r="B6447" t="s">
        <v>7504</v>
      </c>
      <c r="C6447">
        <f>0</f>
        <v>0</v>
      </c>
      <c r="D6447">
        <v>0.989060997645</v>
      </c>
      <c r="E6447">
        <v>5.8170914542728598</v>
      </c>
    </row>
    <row r="6448" spans="1:5">
      <c r="A6448" t="s">
        <v>7505</v>
      </c>
      <c r="B6448" t="s">
        <v>7506</v>
      </c>
      <c r="C6448">
        <v>0.36590440831999999</v>
      </c>
      <c r="D6448">
        <v>0.990678499479</v>
      </c>
      <c r="E6448">
        <v>3.4902548725637099</v>
      </c>
    </row>
    <row r="6449" spans="1:5">
      <c r="A6449" t="s">
        <v>7505</v>
      </c>
      <c r="B6449" t="s">
        <v>7507</v>
      </c>
      <c r="C6449">
        <f>0.28183256084</f>
        <v>0.28183256084000002</v>
      </c>
      <c r="D6449">
        <v>0.990678499479</v>
      </c>
      <c r="E6449">
        <v>3.4902548725637099</v>
      </c>
    </row>
    <row r="6450" spans="1:5">
      <c r="A6450" t="s">
        <v>7508</v>
      </c>
      <c r="B6450" t="s">
        <v>7509</v>
      </c>
      <c r="C6450">
        <f>0</f>
        <v>0</v>
      </c>
      <c r="D6450" t="s">
        <v>106</v>
      </c>
      <c r="E6450">
        <v>5.5772113943028403</v>
      </c>
    </row>
    <row r="6451" spans="1:5">
      <c r="A6451" t="s">
        <v>7508</v>
      </c>
      <c r="B6451" t="s">
        <v>7510</v>
      </c>
      <c r="C6451">
        <f>0</f>
        <v>0</v>
      </c>
      <c r="D6451" t="s">
        <v>106</v>
      </c>
      <c r="E6451">
        <v>5.5772113943028403</v>
      </c>
    </row>
    <row r="6452" spans="1:5">
      <c r="A6452" t="s">
        <v>7508</v>
      </c>
      <c r="B6452" t="s">
        <v>7511</v>
      </c>
      <c r="C6452">
        <v>0</v>
      </c>
      <c r="D6452" t="s">
        <v>106</v>
      </c>
      <c r="E6452">
        <v>5.5772113943028403</v>
      </c>
    </row>
    <row r="6453" spans="1:5">
      <c r="A6453" t="s">
        <v>7508</v>
      </c>
      <c r="B6453" t="s">
        <v>7512</v>
      </c>
      <c r="C6453">
        <v>0</v>
      </c>
      <c r="D6453" t="s">
        <v>106</v>
      </c>
      <c r="E6453">
        <v>5.5772113943028403</v>
      </c>
    </row>
    <row r="6454" spans="1:5">
      <c r="A6454" t="s">
        <v>7508</v>
      </c>
      <c r="B6454" t="s">
        <v>7513</v>
      </c>
      <c r="C6454">
        <v>0</v>
      </c>
      <c r="D6454" t="s">
        <v>106</v>
      </c>
      <c r="E6454">
        <v>5.5772113943028403</v>
      </c>
    </row>
    <row r="6455" spans="1:5">
      <c r="A6455" t="s">
        <v>7508</v>
      </c>
      <c r="B6455" t="s">
        <v>7514</v>
      </c>
      <c r="C6455">
        <v>0</v>
      </c>
      <c r="D6455" t="s">
        <v>106</v>
      </c>
      <c r="E6455">
        <v>5.5772113943028403</v>
      </c>
    </row>
    <row r="6456" spans="1:5">
      <c r="A6456" t="s">
        <v>7508</v>
      </c>
      <c r="B6456" t="s">
        <v>7515</v>
      </c>
      <c r="C6456">
        <v>0</v>
      </c>
      <c r="D6456" t="s">
        <v>106</v>
      </c>
      <c r="E6456">
        <v>5.5772113943028403</v>
      </c>
    </row>
    <row r="6457" spans="1:5">
      <c r="A6457" t="s">
        <v>7508</v>
      </c>
      <c r="B6457" t="s">
        <v>7516</v>
      </c>
      <c r="C6457">
        <v>0</v>
      </c>
      <c r="D6457" t="s">
        <v>106</v>
      </c>
      <c r="E6457">
        <v>5.5772113943028403</v>
      </c>
    </row>
    <row r="6458" spans="1:5">
      <c r="A6458" t="s">
        <v>7508</v>
      </c>
      <c r="B6458" t="s">
        <v>7517</v>
      </c>
      <c r="C6458">
        <v>0</v>
      </c>
      <c r="D6458" t="s">
        <v>106</v>
      </c>
      <c r="E6458">
        <v>5.5772113943028403</v>
      </c>
    </row>
    <row r="6459" spans="1:5">
      <c r="A6459" t="s">
        <v>7508</v>
      </c>
      <c r="B6459" t="s">
        <v>7518</v>
      </c>
      <c r="C6459">
        <v>0</v>
      </c>
      <c r="D6459" t="s">
        <v>106</v>
      </c>
      <c r="E6459">
        <v>5.5772113943028403</v>
      </c>
    </row>
    <row r="6460" spans="1:5">
      <c r="A6460" t="s">
        <v>7508</v>
      </c>
      <c r="B6460" t="s">
        <v>7519</v>
      </c>
      <c r="C6460">
        <v>0</v>
      </c>
      <c r="D6460" t="s">
        <v>106</v>
      </c>
      <c r="E6460">
        <v>5.5772113943028403</v>
      </c>
    </row>
    <row r="6461" spans="1:5">
      <c r="A6461" t="s">
        <v>7520</v>
      </c>
      <c r="B6461" t="s">
        <v>7521</v>
      </c>
      <c r="C6461">
        <f>0</f>
        <v>0</v>
      </c>
      <c r="D6461" t="s">
        <v>106</v>
      </c>
      <c r="E6461">
        <v>10.878560719640101</v>
      </c>
    </row>
    <row r="6462" spans="1:5">
      <c r="A6462" t="s">
        <v>7522</v>
      </c>
      <c r="B6462" t="s">
        <v>7523</v>
      </c>
      <c r="C6462">
        <f>0.113736826039</f>
        <v>0.113736826039</v>
      </c>
      <c r="D6462">
        <v>0.85557876966699997</v>
      </c>
      <c r="E6462">
        <v>14.3688155922038</v>
      </c>
    </row>
    <row r="6463" spans="1:5">
      <c r="A6463" t="s">
        <v>7522</v>
      </c>
      <c r="B6463" t="s">
        <v>7524</v>
      </c>
      <c r="C6463">
        <f>0</f>
        <v>0</v>
      </c>
      <c r="D6463">
        <v>0.85557876966699997</v>
      </c>
      <c r="E6463">
        <v>14.3688155922038</v>
      </c>
    </row>
    <row r="6464" spans="1:5">
      <c r="A6464" t="s">
        <v>7522</v>
      </c>
      <c r="B6464" t="s">
        <v>7525</v>
      </c>
      <c r="C6464">
        <f>0</f>
        <v>0</v>
      </c>
      <c r="D6464">
        <v>0.85557876966699997</v>
      </c>
      <c r="E6464">
        <v>14.3688155922038</v>
      </c>
    </row>
    <row r="6465" spans="1:5">
      <c r="A6465" t="s">
        <v>7522</v>
      </c>
      <c r="B6465" t="s">
        <v>7526</v>
      </c>
      <c r="C6465">
        <f>0</f>
        <v>0</v>
      </c>
      <c r="D6465">
        <v>0.85557876966699997</v>
      </c>
      <c r="E6465">
        <v>14.3688155922038</v>
      </c>
    </row>
    <row r="6466" spans="1:5">
      <c r="A6466" t="s">
        <v>7522</v>
      </c>
      <c r="B6466" t="s">
        <v>7527</v>
      </c>
      <c r="C6466">
        <f>0.0350798115536</f>
        <v>3.5079811553600002E-2</v>
      </c>
      <c r="D6466">
        <v>0.85557876966699997</v>
      </c>
      <c r="E6466">
        <v>14.3688155922038</v>
      </c>
    </row>
    <row r="6467" spans="1:5">
      <c r="A6467" t="s">
        <v>7522</v>
      </c>
      <c r="B6467" t="s">
        <v>7528</v>
      </c>
      <c r="C6467">
        <v>0</v>
      </c>
      <c r="D6467">
        <v>0.85557876966699997</v>
      </c>
      <c r="E6467">
        <v>14.3688155922038</v>
      </c>
    </row>
    <row r="6468" spans="1:5">
      <c r="A6468" t="s">
        <v>7529</v>
      </c>
      <c r="B6468" t="s">
        <v>7530</v>
      </c>
      <c r="C6468">
        <f>0</f>
        <v>0</v>
      </c>
      <c r="D6468">
        <v>0.99982824833200001</v>
      </c>
      <c r="E6468">
        <v>2.96251874062968</v>
      </c>
    </row>
    <row r="6469" spans="1:5">
      <c r="A6469" t="s">
        <v>7529</v>
      </c>
      <c r="B6469" t="s">
        <v>7531</v>
      </c>
      <c r="C6469">
        <v>0</v>
      </c>
      <c r="D6469">
        <v>0.99982824833200001</v>
      </c>
      <c r="E6469">
        <v>2.96251874062968</v>
      </c>
    </row>
    <row r="6470" spans="1:5">
      <c r="A6470" t="s">
        <v>7529</v>
      </c>
      <c r="B6470" t="s">
        <v>7532</v>
      </c>
      <c r="C6470">
        <v>0</v>
      </c>
      <c r="D6470">
        <v>0.99982824833200001</v>
      </c>
      <c r="E6470">
        <v>2.96251874062968</v>
      </c>
    </row>
    <row r="6471" spans="1:5">
      <c r="A6471" t="s">
        <v>7529</v>
      </c>
      <c r="B6471" t="s">
        <v>7533</v>
      </c>
      <c r="C6471">
        <f>0</f>
        <v>0</v>
      </c>
      <c r="D6471">
        <v>0.99982824833200001</v>
      </c>
      <c r="E6471">
        <v>2.96251874062968</v>
      </c>
    </row>
    <row r="6472" spans="1:5">
      <c r="A6472" t="s">
        <v>7529</v>
      </c>
      <c r="B6472" t="s">
        <v>7534</v>
      </c>
      <c r="C6472">
        <v>0</v>
      </c>
      <c r="D6472">
        <v>0.99982824833200001</v>
      </c>
      <c r="E6472">
        <v>2.96251874062968</v>
      </c>
    </row>
    <row r="6473" spans="1:5">
      <c r="A6473" t="s">
        <v>7529</v>
      </c>
      <c r="B6473" t="s">
        <v>7535</v>
      </c>
      <c r="C6473">
        <v>0</v>
      </c>
      <c r="D6473">
        <v>0.99982824833200001</v>
      </c>
      <c r="E6473">
        <v>2.96251874062968</v>
      </c>
    </row>
    <row r="6474" spans="1:5">
      <c r="A6474" t="s">
        <v>7529</v>
      </c>
      <c r="B6474" t="s">
        <v>7536</v>
      </c>
      <c r="C6474">
        <f>0</f>
        <v>0</v>
      </c>
      <c r="D6474">
        <v>0.99982824833200001</v>
      </c>
      <c r="E6474">
        <v>2.96251874062968</v>
      </c>
    </row>
    <row r="6475" spans="1:5">
      <c r="A6475" t="s">
        <v>7529</v>
      </c>
      <c r="B6475" t="s">
        <v>7537</v>
      </c>
      <c r="C6475">
        <f>0</f>
        <v>0</v>
      </c>
      <c r="D6475">
        <v>0.99982824833200001</v>
      </c>
      <c r="E6475">
        <v>2.96251874062968</v>
      </c>
    </row>
    <row r="6476" spans="1:5">
      <c r="A6476" t="s">
        <v>7529</v>
      </c>
      <c r="B6476" t="s">
        <v>7538</v>
      </c>
      <c r="C6476">
        <f>0</f>
        <v>0</v>
      </c>
      <c r="D6476">
        <v>0.99982824833200001</v>
      </c>
      <c r="E6476">
        <v>2.96251874062968</v>
      </c>
    </row>
    <row r="6477" spans="1:5">
      <c r="A6477" t="s">
        <v>7529</v>
      </c>
      <c r="B6477" t="s">
        <v>7539</v>
      </c>
      <c r="C6477">
        <v>0</v>
      </c>
      <c r="D6477">
        <v>0.99982824833200001</v>
      </c>
      <c r="E6477">
        <v>2.96251874062968</v>
      </c>
    </row>
    <row r="6478" spans="1:5">
      <c r="A6478" t="s">
        <v>7529</v>
      </c>
      <c r="B6478" t="s">
        <v>7540</v>
      </c>
      <c r="C6478">
        <v>0</v>
      </c>
      <c r="D6478">
        <v>0.99982824833200001</v>
      </c>
      <c r="E6478">
        <v>2.96251874062968</v>
      </c>
    </row>
    <row r="6479" spans="1:5">
      <c r="A6479" t="s">
        <v>7529</v>
      </c>
      <c r="B6479" t="s">
        <v>7541</v>
      </c>
      <c r="C6479">
        <f>0</f>
        <v>0</v>
      </c>
      <c r="D6479">
        <v>0.99982824833200001</v>
      </c>
      <c r="E6479">
        <v>2.96251874062968</v>
      </c>
    </row>
    <row r="6480" spans="1:5">
      <c r="A6480" t="s">
        <v>7529</v>
      </c>
      <c r="B6480" t="s">
        <v>7542</v>
      </c>
      <c r="C6480">
        <f>0</f>
        <v>0</v>
      </c>
      <c r="D6480">
        <v>0.99982824833200001</v>
      </c>
      <c r="E6480">
        <v>2.96251874062968</v>
      </c>
    </row>
    <row r="6481" spans="1:5">
      <c r="A6481" t="s">
        <v>7529</v>
      </c>
      <c r="B6481" t="s">
        <v>7543</v>
      </c>
      <c r="C6481">
        <f>0</f>
        <v>0</v>
      </c>
      <c r="D6481">
        <v>0.99982824833200001</v>
      </c>
      <c r="E6481">
        <v>2.96251874062968</v>
      </c>
    </row>
    <row r="6482" spans="1:5">
      <c r="A6482" t="s">
        <v>7529</v>
      </c>
      <c r="B6482" t="s">
        <v>7544</v>
      </c>
      <c r="C6482">
        <v>0</v>
      </c>
      <c r="D6482">
        <v>0.99982824833200001</v>
      </c>
      <c r="E6482">
        <v>2.96251874062968</v>
      </c>
    </row>
    <row r="6483" spans="1:5">
      <c r="A6483" t="s">
        <v>7529</v>
      </c>
      <c r="B6483" t="s">
        <v>7545</v>
      </c>
      <c r="C6483">
        <f>0.059944580936</f>
        <v>5.9944580935999997E-2</v>
      </c>
      <c r="D6483">
        <v>0.99982824833200001</v>
      </c>
      <c r="E6483">
        <v>2.96251874062968</v>
      </c>
    </row>
    <row r="6484" spans="1:5">
      <c r="A6484" t="s">
        <v>7529</v>
      </c>
      <c r="B6484" t="s">
        <v>7546</v>
      </c>
      <c r="C6484">
        <v>0.50057559604799995</v>
      </c>
      <c r="D6484">
        <v>0.99982824833200001</v>
      </c>
      <c r="E6484">
        <v>2.96251874062968</v>
      </c>
    </row>
    <row r="6485" spans="1:5">
      <c r="A6485" t="s">
        <v>7529</v>
      </c>
      <c r="B6485" t="s">
        <v>7547</v>
      </c>
      <c r="C6485">
        <v>0</v>
      </c>
      <c r="D6485">
        <v>0.99982824833200001</v>
      </c>
      <c r="E6485">
        <v>2.96251874062968</v>
      </c>
    </row>
    <row r="6486" spans="1:5">
      <c r="A6486" t="s">
        <v>7529</v>
      </c>
      <c r="B6486" t="s">
        <v>7548</v>
      </c>
      <c r="C6486">
        <f>0</f>
        <v>0</v>
      </c>
      <c r="D6486">
        <v>0.99982824833200001</v>
      </c>
      <c r="E6486">
        <v>2.96251874062968</v>
      </c>
    </row>
    <row r="6487" spans="1:5">
      <c r="A6487" t="s">
        <v>7529</v>
      </c>
      <c r="B6487" t="s">
        <v>7549</v>
      </c>
      <c r="C6487">
        <f>0</f>
        <v>0</v>
      </c>
      <c r="D6487">
        <v>0.99982824833200001</v>
      </c>
      <c r="E6487">
        <v>2.96251874062968</v>
      </c>
    </row>
    <row r="6488" spans="1:5">
      <c r="A6488" t="s">
        <v>7529</v>
      </c>
      <c r="B6488" t="s">
        <v>7550</v>
      </c>
      <c r="C6488">
        <f>0</f>
        <v>0</v>
      </c>
      <c r="D6488">
        <v>0.99982824833200001</v>
      </c>
      <c r="E6488">
        <v>2.96251874062968</v>
      </c>
    </row>
    <row r="6489" spans="1:5">
      <c r="A6489" t="s">
        <v>7529</v>
      </c>
      <c r="B6489" t="s">
        <v>7551</v>
      </c>
      <c r="C6489">
        <f>0</f>
        <v>0</v>
      </c>
      <c r="D6489">
        <v>0.99982824833200001</v>
      </c>
      <c r="E6489">
        <v>2.96251874062968</v>
      </c>
    </row>
    <row r="6490" spans="1:5">
      <c r="A6490" t="s">
        <v>7552</v>
      </c>
      <c r="B6490" t="s">
        <v>7553</v>
      </c>
      <c r="C6490">
        <v>0</v>
      </c>
      <c r="D6490">
        <v>0.91850677839799999</v>
      </c>
      <c r="E6490">
        <v>1.7631184407796101</v>
      </c>
    </row>
    <row r="6491" spans="1:5">
      <c r="A6491" t="s">
        <v>7552</v>
      </c>
      <c r="B6491" t="s">
        <v>7554</v>
      </c>
      <c r="C6491">
        <f>0</f>
        <v>0</v>
      </c>
      <c r="D6491">
        <v>0.91850677839799999</v>
      </c>
      <c r="E6491">
        <v>1.7631184407796101</v>
      </c>
    </row>
    <row r="6492" spans="1:5">
      <c r="A6492" t="s">
        <v>7552</v>
      </c>
      <c r="B6492" t="s">
        <v>7555</v>
      </c>
      <c r="C6492">
        <f>0</f>
        <v>0</v>
      </c>
      <c r="D6492">
        <v>0.91850677839799999</v>
      </c>
      <c r="E6492">
        <v>1.7631184407796101</v>
      </c>
    </row>
    <row r="6493" spans="1:5">
      <c r="A6493" t="s">
        <v>7552</v>
      </c>
      <c r="B6493" t="s">
        <v>7556</v>
      </c>
      <c r="C6493">
        <f>0</f>
        <v>0</v>
      </c>
      <c r="D6493">
        <v>0.91850677839799999</v>
      </c>
      <c r="E6493">
        <v>1.7631184407796101</v>
      </c>
    </row>
    <row r="6494" spans="1:5">
      <c r="A6494" t="s">
        <v>7552</v>
      </c>
      <c r="B6494" t="s">
        <v>7557</v>
      </c>
      <c r="C6494">
        <v>0</v>
      </c>
      <c r="D6494">
        <v>0.91850677839799999</v>
      </c>
      <c r="E6494">
        <v>1.7631184407796101</v>
      </c>
    </row>
    <row r="6495" spans="1:5">
      <c r="A6495" t="s">
        <v>7552</v>
      </c>
      <c r="B6495" t="s">
        <v>7558</v>
      </c>
      <c r="C6495">
        <f>0</f>
        <v>0</v>
      </c>
      <c r="D6495">
        <v>0.91850677839799999</v>
      </c>
      <c r="E6495">
        <v>1.7631184407796101</v>
      </c>
    </row>
    <row r="6496" spans="1:5">
      <c r="A6496" t="s">
        <v>7552</v>
      </c>
      <c r="B6496" t="s">
        <v>7559</v>
      </c>
      <c r="C6496">
        <f>0.0359345223878</f>
        <v>3.5934522387799997E-2</v>
      </c>
      <c r="D6496">
        <v>0.91850677839799999</v>
      </c>
      <c r="E6496">
        <v>1.7631184407796101</v>
      </c>
    </row>
    <row r="6497" spans="1:5">
      <c r="A6497" t="s">
        <v>7552</v>
      </c>
      <c r="B6497" t="s">
        <v>7560</v>
      </c>
      <c r="C6497">
        <f>0</f>
        <v>0</v>
      </c>
      <c r="D6497">
        <v>0.91850677839799999</v>
      </c>
      <c r="E6497">
        <v>1.7631184407796101</v>
      </c>
    </row>
    <row r="6498" spans="1:5">
      <c r="A6498" t="s">
        <v>7552</v>
      </c>
      <c r="B6498" t="s">
        <v>7561</v>
      </c>
      <c r="C6498">
        <f>0</f>
        <v>0</v>
      </c>
      <c r="D6498">
        <v>0.91850677839799999</v>
      </c>
      <c r="E6498">
        <v>1.7631184407796101</v>
      </c>
    </row>
    <row r="6499" spans="1:5">
      <c r="A6499" t="s">
        <v>7552</v>
      </c>
      <c r="B6499" t="s">
        <v>7562</v>
      </c>
      <c r="C6499">
        <f>0</f>
        <v>0</v>
      </c>
      <c r="D6499">
        <v>0.91850677839799999</v>
      </c>
      <c r="E6499">
        <v>1.7631184407796101</v>
      </c>
    </row>
    <row r="6500" spans="1:5">
      <c r="A6500" t="s">
        <v>7552</v>
      </c>
      <c r="B6500" t="s">
        <v>7563</v>
      </c>
      <c r="C6500">
        <v>0</v>
      </c>
      <c r="D6500">
        <v>0.91850677839799999</v>
      </c>
      <c r="E6500">
        <v>1.7631184407796101</v>
      </c>
    </row>
    <row r="6501" spans="1:5">
      <c r="A6501" t="s">
        <v>7552</v>
      </c>
      <c r="B6501" t="s">
        <v>7564</v>
      </c>
      <c r="C6501">
        <f>0</f>
        <v>0</v>
      </c>
      <c r="D6501">
        <v>0.91850677839799999</v>
      </c>
      <c r="E6501">
        <v>1.7631184407796101</v>
      </c>
    </row>
    <row r="6502" spans="1:5">
      <c r="A6502" t="s">
        <v>7552</v>
      </c>
      <c r="B6502" t="s">
        <v>7565</v>
      </c>
      <c r="C6502">
        <f>0</f>
        <v>0</v>
      </c>
      <c r="D6502">
        <v>0.91850677839799999</v>
      </c>
      <c r="E6502">
        <v>1.7631184407796101</v>
      </c>
    </row>
    <row r="6503" spans="1:5">
      <c r="A6503" t="s">
        <v>7566</v>
      </c>
      <c r="B6503" t="s">
        <v>7567</v>
      </c>
      <c r="C6503">
        <v>0</v>
      </c>
      <c r="D6503" t="s">
        <v>106</v>
      </c>
      <c r="E6503">
        <v>8.4317841079460205</v>
      </c>
    </row>
    <row r="6504" spans="1:5">
      <c r="A6504" t="s">
        <v>7568</v>
      </c>
      <c r="B6504" t="s">
        <v>7569</v>
      </c>
      <c r="C6504">
        <v>0</v>
      </c>
      <c r="D6504">
        <v>0.90552812719800002</v>
      </c>
      <c r="E6504">
        <v>1.33133433283358</v>
      </c>
    </row>
    <row r="6505" spans="1:5">
      <c r="A6505" t="s">
        <v>7568</v>
      </c>
      <c r="B6505" t="s">
        <v>7570</v>
      </c>
      <c r="C6505">
        <v>4.5000828134100002E-2</v>
      </c>
      <c r="D6505">
        <v>0.90552812719800002</v>
      </c>
      <c r="E6505">
        <v>1.33133433283358</v>
      </c>
    </row>
    <row r="6506" spans="1:5">
      <c r="A6506" t="s">
        <v>7568</v>
      </c>
      <c r="B6506" t="s">
        <v>7571</v>
      </c>
      <c r="C6506">
        <v>0</v>
      </c>
      <c r="D6506">
        <v>0.90552812719800002</v>
      </c>
      <c r="E6506">
        <v>1.33133433283358</v>
      </c>
    </row>
    <row r="6507" spans="1:5">
      <c r="A6507" t="s">
        <v>7568</v>
      </c>
      <c r="B6507" t="s">
        <v>7572</v>
      </c>
      <c r="C6507">
        <f>0.0333799831198</f>
        <v>3.3379983119799998E-2</v>
      </c>
      <c r="D6507">
        <v>0.90552812719800002</v>
      </c>
      <c r="E6507">
        <v>1.33133433283358</v>
      </c>
    </row>
    <row r="6508" spans="1:5">
      <c r="A6508" t="s">
        <v>7568</v>
      </c>
      <c r="B6508" t="s">
        <v>7573</v>
      </c>
      <c r="C6508">
        <v>0</v>
      </c>
      <c r="D6508">
        <v>0.90552812719800002</v>
      </c>
      <c r="E6508">
        <v>1.33133433283358</v>
      </c>
    </row>
    <row r="6509" spans="1:5">
      <c r="A6509" t="s">
        <v>7568</v>
      </c>
      <c r="B6509" t="s">
        <v>7574</v>
      </c>
      <c r="C6509">
        <f>0</f>
        <v>0</v>
      </c>
      <c r="D6509">
        <v>0.90552812719800002</v>
      </c>
      <c r="E6509">
        <v>1.33133433283358</v>
      </c>
    </row>
    <row r="6510" spans="1:5">
      <c r="A6510" t="s">
        <v>7568</v>
      </c>
      <c r="B6510" t="s">
        <v>7575</v>
      </c>
      <c r="C6510">
        <f>0</f>
        <v>0</v>
      </c>
      <c r="D6510">
        <v>0.90552812719800002</v>
      </c>
      <c r="E6510">
        <v>1.33133433283358</v>
      </c>
    </row>
    <row r="6511" spans="1:5">
      <c r="A6511" t="s">
        <v>7568</v>
      </c>
      <c r="B6511" t="s">
        <v>7576</v>
      </c>
      <c r="C6511">
        <f>0</f>
        <v>0</v>
      </c>
      <c r="D6511">
        <v>0.90552812719800002</v>
      </c>
      <c r="E6511">
        <v>1.33133433283358</v>
      </c>
    </row>
    <row r="6512" spans="1:5">
      <c r="A6512" t="s">
        <v>7568</v>
      </c>
      <c r="B6512" t="s">
        <v>7577</v>
      </c>
      <c r="C6512">
        <v>0</v>
      </c>
      <c r="D6512">
        <v>0.90552812719800002</v>
      </c>
      <c r="E6512">
        <v>1.33133433283358</v>
      </c>
    </row>
    <row r="6513" spans="1:5">
      <c r="A6513" t="s">
        <v>7578</v>
      </c>
      <c r="B6513" t="s">
        <v>7579</v>
      </c>
      <c r="C6513">
        <v>0</v>
      </c>
      <c r="D6513">
        <v>0.88350348970899995</v>
      </c>
      <c r="E6513">
        <v>15.700149925037399</v>
      </c>
    </row>
    <row r="6514" spans="1:5">
      <c r="A6514" t="s">
        <v>7578</v>
      </c>
      <c r="B6514" t="s">
        <v>7580</v>
      </c>
      <c r="C6514">
        <f>0.00780190263258</f>
        <v>7.80190263258E-3</v>
      </c>
      <c r="D6514">
        <v>0.88350348970899995</v>
      </c>
      <c r="E6514">
        <v>15.700149925037399</v>
      </c>
    </row>
    <row r="6515" spans="1:5">
      <c r="A6515" t="s">
        <v>7578</v>
      </c>
      <c r="B6515" t="s">
        <v>7581</v>
      </c>
      <c r="C6515">
        <v>0.135443852773</v>
      </c>
      <c r="D6515">
        <v>0.88350348970899995</v>
      </c>
      <c r="E6515">
        <v>15.700149925037399</v>
      </c>
    </row>
    <row r="6516" spans="1:5">
      <c r="A6516" t="s">
        <v>7578</v>
      </c>
      <c r="B6516" t="s">
        <v>7582</v>
      </c>
      <c r="C6516">
        <v>6.5933743192100006E-2</v>
      </c>
      <c r="D6516">
        <v>0.88350348970899995</v>
      </c>
      <c r="E6516">
        <v>15.700149925037399</v>
      </c>
    </row>
    <row r="6517" spans="1:5">
      <c r="A6517" t="s">
        <v>7578</v>
      </c>
      <c r="B6517" t="s">
        <v>7583</v>
      </c>
      <c r="C6517">
        <v>0</v>
      </c>
      <c r="D6517">
        <v>0.88350348970899995</v>
      </c>
      <c r="E6517">
        <v>15.700149925037399</v>
      </c>
    </row>
    <row r="6518" spans="1:5">
      <c r="A6518" t="s">
        <v>7584</v>
      </c>
      <c r="B6518" t="s">
        <v>7585</v>
      </c>
      <c r="C6518">
        <f>0</f>
        <v>0</v>
      </c>
      <c r="D6518">
        <v>0.986887752994</v>
      </c>
      <c r="E6518">
        <v>1.6311844077961</v>
      </c>
    </row>
    <row r="6519" spans="1:5">
      <c r="A6519" t="s">
        <v>7584</v>
      </c>
      <c r="B6519" t="s">
        <v>7586</v>
      </c>
      <c r="C6519">
        <v>0</v>
      </c>
      <c r="D6519">
        <v>0.986887752994</v>
      </c>
      <c r="E6519">
        <v>1.6311844077961</v>
      </c>
    </row>
    <row r="6520" spans="1:5">
      <c r="A6520" t="s">
        <v>7584</v>
      </c>
      <c r="B6520" t="s">
        <v>7587</v>
      </c>
      <c r="C6520">
        <v>0</v>
      </c>
      <c r="D6520">
        <v>0.986887752994</v>
      </c>
      <c r="E6520">
        <v>1.6311844077961</v>
      </c>
    </row>
    <row r="6521" spans="1:5">
      <c r="A6521" t="s">
        <v>7584</v>
      </c>
      <c r="B6521" t="s">
        <v>7588</v>
      </c>
      <c r="C6521">
        <f>0</f>
        <v>0</v>
      </c>
      <c r="D6521">
        <v>0.986887752994</v>
      </c>
      <c r="E6521">
        <v>1.6311844077961</v>
      </c>
    </row>
    <row r="6522" spans="1:5">
      <c r="A6522" t="s">
        <v>7584</v>
      </c>
      <c r="B6522" t="s">
        <v>7589</v>
      </c>
      <c r="C6522">
        <v>0.378699403602</v>
      </c>
      <c r="D6522">
        <v>0.986887752994</v>
      </c>
      <c r="E6522">
        <v>1.6311844077961</v>
      </c>
    </row>
    <row r="6523" spans="1:5">
      <c r="A6523" t="s">
        <v>7584</v>
      </c>
      <c r="B6523" t="s">
        <v>7590</v>
      </c>
      <c r="C6523">
        <f>0</f>
        <v>0</v>
      </c>
      <c r="D6523">
        <v>0.986887752994</v>
      </c>
      <c r="E6523">
        <v>1.6311844077961</v>
      </c>
    </row>
    <row r="6524" spans="1:5">
      <c r="A6524" t="s">
        <v>7584</v>
      </c>
      <c r="B6524" t="s">
        <v>7591</v>
      </c>
      <c r="C6524">
        <v>0</v>
      </c>
      <c r="D6524">
        <v>0.986887752994</v>
      </c>
      <c r="E6524">
        <v>1.6311844077961</v>
      </c>
    </row>
    <row r="6525" spans="1:5">
      <c r="A6525" t="s">
        <v>7584</v>
      </c>
      <c r="B6525" t="s">
        <v>7592</v>
      </c>
      <c r="C6525">
        <v>0</v>
      </c>
      <c r="D6525">
        <v>0.986887752994</v>
      </c>
      <c r="E6525">
        <v>1.6311844077961</v>
      </c>
    </row>
    <row r="6526" spans="1:5">
      <c r="A6526" t="s">
        <v>7584</v>
      </c>
      <c r="B6526" t="s">
        <v>7593</v>
      </c>
      <c r="C6526">
        <v>0</v>
      </c>
      <c r="D6526">
        <v>0.986887752994</v>
      </c>
      <c r="E6526">
        <v>1.6311844077961</v>
      </c>
    </row>
    <row r="6527" spans="1:5">
      <c r="A6527" t="s">
        <v>7584</v>
      </c>
      <c r="B6527" t="s">
        <v>7594</v>
      </c>
      <c r="C6527">
        <v>0</v>
      </c>
      <c r="D6527">
        <v>0.986887752994</v>
      </c>
      <c r="E6527">
        <v>1.6311844077961</v>
      </c>
    </row>
    <row r="6528" spans="1:5">
      <c r="A6528" t="s">
        <v>7584</v>
      </c>
      <c r="B6528" t="s">
        <v>7595</v>
      </c>
      <c r="C6528">
        <f>0.0949398264727</f>
        <v>9.4939826472699995E-2</v>
      </c>
      <c r="D6528">
        <v>0.986887752994</v>
      </c>
      <c r="E6528">
        <v>1.6311844077961</v>
      </c>
    </row>
    <row r="6529" spans="1:5">
      <c r="A6529" t="s">
        <v>7584</v>
      </c>
      <c r="B6529" t="s">
        <v>7596</v>
      </c>
      <c r="C6529">
        <v>0</v>
      </c>
      <c r="D6529">
        <v>0.986887752994</v>
      </c>
      <c r="E6529">
        <v>1.6311844077961</v>
      </c>
    </row>
    <row r="6530" spans="1:5">
      <c r="A6530" t="s">
        <v>7584</v>
      </c>
      <c r="B6530" t="s">
        <v>7597</v>
      </c>
      <c r="C6530">
        <f>0</f>
        <v>0</v>
      </c>
      <c r="D6530">
        <v>0.986887752994</v>
      </c>
      <c r="E6530">
        <v>1.6311844077961</v>
      </c>
    </row>
    <row r="6531" spans="1:5">
      <c r="A6531" t="s">
        <v>7584</v>
      </c>
      <c r="B6531" t="s">
        <v>7598</v>
      </c>
      <c r="C6531">
        <v>0</v>
      </c>
      <c r="D6531">
        <v>0.986887752994</v>
      </c>
      <c r="E6531">
        <v>1.6311844077961</v>
      </c>
    </row>
    <row r="6532" spans="1:5">
      <c r="A6532" t="s">
        <v>7584</v>
      </c>
      <c r="B6532" t="s">
        <v>7599</v>
      </c>
      <c r="C6532">
        <v>0</v>
      </c>
      <c r="D6532">
        <v>0.986887752994</v>
      </c>
      <c r="E6532">
        <v>1.6311844077961</v>
      </c>
    </row>
    <row r="6533" spans="1:5">
      <c r="A6533" t="s">
        <v>7584</v>
      </c>
      <c r="B6533" t="s">
        <v>7600</v>
      </c>
      <c r="C6533">
        <f>0</f>
        <v>0</v>
      </c>
      <c r="D6533">
        <v>0.986887752994</v>
      </c>
      <c r="E6533">
        <v>1.6311844077961</v>
      </c>
    </row>
    <row r="6534" spans="1:5">
      <c r="A6534" t="s">
        <v>7584</v>
      </c>
      <c r="B6534" t="s">
        <v>7601</v>
      </c>
      <c r="C6534">
        <f>0</f>
        <v>0</v>
      </c>
      <c r="D6534">
        <v>0.986887752994</v>
      </c>
      <c r="E6534">
        <v>1.6311844077961</v>
      </c>
    </row>
    <row r="6535" spans="1:5">
      <c r="A6535" t="s">
        <v>7584</v>
      </c>
      <c r="B6535" t="s">
        <v>7602</v>
      </c>
      <c r="C6535">
        <v>0</v>
      </c>
      <c r="D6535">
        <v>0.986887752994</v>
      </c>
      <c r="E6535">
        <v>1.6311844077961</v>
      </c>
    </row>
    <row r="6536" spans="1:5">
      <c r="A6536" t="s">
        <v>7603</v>
      </c>
      <c r="B6536" t="s">
        <v>7604</v>
      </c>
      <c r="C6536">
        <v>0</v>
      </c>
      <c r="D6536">
        <v>0.79015293555599997</v>
      </c>
      <c r="E6536">
        <v>8.4317841079460205</v>
      </c>
    </row>
    <row r="6537" spans="1:5">
      <c r="A6537" t="s">
        <v>7603</v>
      </c>
      <c r="B6537" t="s">
        <v>7605</v>
      </c>
      <c r="C6537">
        <v>0</v>
      </c>
      <c r="D6537">
        <v>0.79015293555599997</v>
      </c>
      <c r="E6537">
        <v>8.4317841079460205</v>
      </c>
    </row>
    <row r="6538" spans="1:5">
      <c r="A6538" t="s">
        <v>7603</v>
      </c>
      <c r="B6538" t="s">
        <v>7606</v>
      </c>
      <c r="C6538">
        <v>0</v>
      </c>
      <c r="D6538">
        <v>0.79015293555599997</v>
      </c>
      <c r="E6538">
        <v>8.4317841079460205</v>
      </c>
    </row>
    <row r="6539" spans="1:5">
      <c r="A6539" t="s">
        <v>7603</v>
      </c>
      <c r="B6539" t="s">
        <v>7607</v>
      </c>
      <c r="C6539">
        <v>9.6783433557099993E-2</v>
      </c>
      <c r="D6539">
        <v>0.79015293555599997</v>
      </c>
      <c r="E6539">
        <v>8.4317841079460205</v>
      </c>
    </row>
    <row r="6540" spans="1:5">
      <c r="A6540" t="s">
        <v>7603</v>
      </c>
      <c r="B6540" t="s">
        <v>7608</v>
      </c>
      <c r="C6540">
        <v>3.54480935E-2</v>
      </c>
      <c r="D6540">
        <v>0.79015293555599997</v>
      </c>
      <c r="E6540">
        <v>8.4317841079460205</v>
      </c>
    </row>
    <row r="6541" spans="1:5">
      <c r="A6541" t="s">
        <v>7609</v>
      </c>
      <c r="B6541" t="s">
        <v>7610</v>
      </c>
      <c r="C6541">
        <f>0</f>
        <v>0</v>
      </c>
      <c r="D6541">
        <v>0.99627230396300004</v>
      </c>
      <c r="E6541">
        <v>10.230884557721099</v>
      </c>
    </row>
    <row r="6542" spans="1:5">
      <c r="A6542" t="s">
        <v>7609</v>
      </c>
      <c r="B6542" t="s">
        <v>7611</v>
      </c>
      <c r="C6542">
        <v>0</v>
      </c>
      <c r="D6542">
        <v>0.99627230396300004</v>
      </c>
      <c r="E6542">
        <v>10.230884557721099</v>
      </c>
    </row>
    <row r="6543" spans="1:5">
      <c r="A6543" t="s">
        <v>7609</v>
      </c>
      <c r="B6543" t="s">
        <v>7612</v>
      </c>
      <c r="C6543">
        <v>8.5791957893700005E-2</v>
      </c>
      <c r="D6543">
        <v>0.99627230396300004</v>
      </c>
      <c r="E6543">
        <v>10.230884557721099</v>
      </c>
    </row>
    <row r="6544" spans="1:5">
      <c r="A6544" t="s">
        <v>7609</v>
      </c>
      <c r="B6544" t="s">
        <v>7613</v>
      </c>
      <c r="C6544">
        <f>0</f>
        <v>0</v>
      </c>
      <c r="D6544">
        <v>0.99627230396300004</v>
      </c>
      <c r="E6544">
        <v>10.230884557721099</v>
      </c>
    </row>
    <row r="6545" spans="1:5">
      <c r="A6545" t="s">
        <v>7609</v>
      </c>
      <c r="B6545" t="s">
        <v>7614</v>
      </c>
      <c r="C6545">
        <v>0.371227244382</v>
      </c>
      <c r="D6545">
        <v>0.99627230396300004</v>
      </c>
      <c r="E6545">
        <v>10.230884557721099</v>
      </c>
    </row>
    <row r="6546" spans="1:5">
      <c r="A6546" t="s">
        <v>7609</v>
      </c>
      <c r="B6546" t="s">
        <v>7615</v>
      </c>
      <c r="C6546">
        <f>0</f>
        <v>0</v>
      </c>
      <c r="D6546">
        <v>0.99627230396300004</v>
      </c>
      <c r="E6546">
        <v>10.230884557721099</v>
      </c>
    </row>
    <row r="6547" spans="1:5">
      <c r="A6547" t="s">
        <v>7609</v>
      </c>
      <c r="B6547" t="s">
        <v>7616</v>
      </c>
      <c r="C6547">
        <v>0</v>
      </c>
      <c r="D6547">
        <v>0.99627230396300004</v>
      </c>
      <c r="E6547">
        <v>10.230884557721099</v>
      </c>
    </row>
    <row r="6548" spans="1:5">
      <c r="A6548" t="s">
        <v>7609</v>
      </c>
      <c r="B6548" t="s">
        <v>7617</v>
      </c>
      <c r="C6548">
        <v>0</v>
      </c>
      <c r="D6548">
        <v>0.99627230396300004</v>
      </c>
      <c r="E6548">
        <v>10.230884557721099</v>
      </c>
    </row>
    <row r="6549" spans="1:5">
      <c r="A6549" t="s">
        <v>7609</v>
      </c>
      <c r="B6549" t="s">
        <v>7618</v>
      </c>
      <c r="C6549">
        <f>0</f>
        <v>0</v>
      </c>
      <c r="D6549">
        <v>0.99627230396300004</v>
      </c>
      <c r="E6549">
        <v>10.230884557721099</v>
      </c>
    </row>
    <row r="6550" spans="1:5">
      <c r="A6550" t="s">
        <v>7609</v>
      </c>
      <c r="B6550" t="s">
        <v>7619</v>
      </c>
      <c r="C6550">
        <v>0</v>
      </c>
      <c r="D6550">
        <v>0.99627230396300004</v>
      </c>
      <c r="E6550">
        <v>10.230884557721099</v>
      </c>
    </row>
    <row r="6551" spans="1:5">
      <c r="A6551" t="s">
        <v>7609</v>
      </c>
      <c r="B6551" t="s">
        <v>7620</v>
      </c>
      <c r="C6551">
        <v>0</v>
      </c>
      <c r="D6551">
        <v>0.99627230396300004</v>
      </c>
      <c r="E6551">
        <v>10.230884557721099</v>
      </c>
    </row>
    <row r="6552" spans="1:5">
      <c r="A6552" t="s">
        <v>7609</v>
      </c>
      <c r="B6552" t="s">
        <v>7621</v>
      </c>
      <c r="C6552">
        <v>0</v>
      </c>
      <c r="D6552">
        <v>0.99627230396300004</v>
      </c>
      <c r="E6552">
        <v>10.230884557721099</v>
      </c>
    </row>
    <row r="6553" spans="1:5">
      <c r="A6553" t="s">
        <v>7609</v>
      </c>
      <c r="B6553" t="s">
        <v>7622</v>
      </c>
      <c r="C6553">
        <f>0</f>
        <v>0</v>
      </c>
      <c r="D6553">
        <v>0.99627230396300004</v>
      </c>
      <c r="E6553">
        <v>10.230884557721099</v>
      </c>
    </row>
    <row r="6554" spans="1:5">
      <c r="A6554" t="s">
        <v>7609</v>
      </c>
      <c r="B6554" t="s">
        <v>7623</v>
      </c>
      <c r="C6554">
        <v>0</v>
      </c>
      <c r="D6554">
        <v>0.99627230396300004</v>
      </c>
      <c r="E6554">
        <v>10.230884557721099</v>
      </c>
    </row>
    <row r="6555" spans="1:5">
      <c r="A6555" t="s">
        <v>7609</v>
      </c>
      <c r="B6555" t="s">
        <v>7624</v>
      </c>
      <c r="C6555">
        <v>0</v>
      </c>
      <c r="D6555">
        <v>0.99627230396300004</v>
      </c>
      <c r="E6555">
        <v>10.230884557721099</v>
      </c>
    </row>
    <row r="6556" spans="1:5">
      <c r="A6556" t="s">
        <v>7609</v>
      </c>
      <c r="B6556" t="s">
        <v>7625</v>
      </c>
      <c r="C6556">
        <v>0</v>
      </c>
      <c r="D6556">
        <v>0.99627230396300004</v>
      </c>
      <c r="E6556">
        <v>10.230884557721099</v>
      </c>
    </row>
    <row r="6557" spans="1:5">
      <c r="A6557" t="s">
        <v>7626</v>
      </c>
      <c r="B6557" t="s">
        <v>7627</v>
      </c>
      <c r="C6557">
        <v>0</v>
      </c>
      <c r="D6557" t="s">
        <v>106</v>
      </c>
      <c r="E6557">
        <v>11.8740629685157</v>
      </c>
    </row>
    <row r="6558" spans="1:5">
      <c r="A6558" t="s">
        <v>7626</v>
      </c>
      <c r="B6558" t="s">
        <v>7628</v>
      </c>
      <c r="C6558">
        <v>0</v>
      </c>
      <c r="D6558" t="s">
        <v>106</v>
      </c>
      <c r="E6558">
        <v>11.8740629685157</v>
      </c>
    </row>
    <row r="6559" spans="1:5">
      <c r="A6559" t="s">
        <v>7626</v>
      </c>
      <c r="B6559" t="s">
        <v>7629</v>
      </c>
      <c r="C6559">
        <f>0</f>
        <v>0</v>
      </c>
      <c r="D6559" t="s">
        <v>106</v>
      </c>
      <c r="E6559">
        <v>11.8740629685157</v>
      </c>
    </row>
    <row r="6560" spans="1:5">
      <c r="A6560" t="s">
        <v>7626</v>
      </c>
      <c r="B6560" t="s">
        <v>7630</v>
      </c>
      <c r="C6560">
        <v>0</v>
      </c>
      <c r="D6560" t="s">
        <v>106</v>
      </c>
      <c r="E6560">
        <v>11.8740629685157</v>
      </c>
    </row>
    <row r="6561" spans="1:5">
      <c r="A6561" t="s">
        <v>7626</v>
      </c>
      <c r="B6561" t="s">
        <v>7631</v>
      </c>
      <c r="C6561">
        <f>0</f>
        <v>0</v>
      </c>
      <c r="D6561" t="s">
        <v>106</v>
      </c>
      <c r="E6561">
        <v>11.8740629685157</v>
      </c>
    </row>
    <row r="6562" spans="1:5">
      <c r="A6562" t="s">
        <v>7626</v>
      </c>
      <c r="B6562" t="s">
        <v>7632</v>
      </c>
      <c r="C6562">
        <v>0</v>
      </c>
      <c r="D6562" t="s">
        <v>106</v>
      </c>
      <c r="E6562">
        <v>11.8740629685157</v>
      </c>
    </row>
    <row r="6563" spans="1:5">
      <c r="A6563" t="s">
        <v>7626</v>
      </c>
      <c r="B6563" t="s">
        <v>7633</v>
      </c>
      <c r="C6563">
        <f>0</f>
        <v>0</v>
      </c>
      <c r="D6563" t="s">
        <v>106</v>
      </c>
      <c r="E6563">
        <v>11.8740629685157</v>
      </c>
    </row>
    <row r="6564" spans="1:5">
      <c r="A6564" t="s">
        <v>7626</v>
      </c>
      <c r="B6564" t="s">
        <v>7634</v>
      </c>
      <c r="C6564">
        <v>0</v>
      </c>
      <c r="D6564" t="s">
        <v>106</v>
      </c>
      <c r="E6564">
        <v>11.8740629685157</v>
      </c>
    </row>
    <row r="6565" spans="1:5">
      <c r="A6565" t="s">
        <v>7635</v>
      </c>
      <c r="B6565" t="s">
        <v>7636</v>
      </c>
      <c r="C6565">
        <v>0.19120623804699999</v>
      </c>
      <c r="D6565">
        <v>0.999880874107</v>
      </c>
      <c r="E6565">
        <v>24</v>
      </c>
    </row>
    <row r="6566" spans="1:5">
      <c r="A6566" t="s">
        <v>7635</v>
      </c>
      <c r="B6566" t="s">
        <v>7637</v>
      </c>
      <c r="C6566">
        <v>0</v>
      </c>
      <c r="D6566">
        <v>0.999880874107</v>
      </c>
      <c r="E6566">
        <v>24</v>
      </c>
    </row>
    <row r="6567" spans="1:5">
      <c r="A6567" t="s">
        <v>7635</v>
      </c>
      <c r="B6567" t="s">
        <v>7638</v>
      </c>
      <c r="C6567">
        <v>0</v>
      </c>
      <c r="D6567">
        <v>0.999880874107</v>
      </c>
      <c r="E6567">
        <v>24</v>
      </c>
    </row>
    <row r="6568" spans="1:5">
      <c r="A6568" t="s">
        <v>7635</v>
      </c>
      <c r="B6568" t="s">
        <v>7639</v>
      </c>
      <c r="C6568">
        <v>0</v>
      </c>
      <c r="D6568">
        <v>0.999880874107</v>
      </c>
      <c r="E6568">
        <v>24</v>
      </c>
    </row>
    <row r="6569" spans="1:5">
      <c r="A6569" t="s">
        <v>7635</v>
      </c>
      <c r="B6569" t="s">
        <v>7640</v>
      </c>
      <c r="C6569">
        <v>0</v>
      </c>
      <c r="D6569">
        <v>0.999880874107</v>
      </c>
      <c r="E6569">
        <v>24</v>
      </c>
    </row>
    <row r="6570" spans="1:5">
      <c r="A6570" t="s">
        <v>7635</v>
      </c>
      <c r="B6570" t="s">
        <v>7641</v>
      </c>
      <c r="C6570">
        <v>0</v>
      </c>
      <c r="D6570">
        <v>0.999880874107</v>
      </c>
      <c r="E6570">
        <v>24</v>
      </c>
    </row>
    <row r="6571" spans="1:5">
      <c r="A6571" t="s">
        <v>7635</v>
      </c>
      <c r="B6571" t="s">
        <v>7642</v>
      </c>
      <c r="C6571">
        <v>0</v>
      </c>
      <c r="D6571">
        <v>0.999880874107</v>
      </c>
      <c r="E6571">
        <v>24</v>
      </c>
    </row>
    <row r="6572" spans="1:5">
      <c r="A6572" t="s">
        <v>7635</v>
      </c>
      <c r="B6572" t="s">
        <v>7643</v>
      </c>
      <c r="C6572">
        <v>2.2736194819399998E-3</v>
      </c>
      <c r="D6572">
        <v>0.999880874107</v>
      </c>
      <c r="E6572">
        <v>24</v>
      </c>
    </row>
    <row r="6573" spans="1:5">
      <c r="A6573" t="s">
        <v>7635</v>
      </c>
      <c r="B6573" t="s">
        <v>7644</v>
      </c>
      <c r="C6573">
        <v>0</v>
      </c>
      <c r="D6573">
        <v>0.999880874107</v>
      </c>
      <c r="E6573">
        <v>24</v>
      </c>
    </row>
    <row r="6574" spans="1:5">
      <c r="A6574" t="s">
        <v>7635</v>
      </c>
      <c r="B6574" t="s">
        <v>7645</v>
      </c>
      <c r="C6574">
        <v>0</v>
      </c>
      <c r="D6574">
        <v>0.999880874107</v>
      </c>
      <c r="E6574">
        <v>24</v>
      </c>
    </row>
    <row r="6575" spans="1:5">
      <c r="A6575" t="s">
        <v>7635</v>
      </c>
      <c r="B6575" t="s">
        <v>7646</v>
      </c>
      <c r="C6575">
        <f>0</f>
        <v>0</v>
      </c>
      <c r="D6575">
        <v>0.999880874107</v>
      </c>
      <c r="E6575">
        <v>24</v>
      </c>
    </row>
    <row r="6576" spans="1:5">
      <c r="A6576" t="s">
        <v>7635</v>
      </c>
      <c r="B6576" t="s">
        <v>7647</v>
      </c>
      <c r="C6576">
        <v>0</v>
      </c>
      <c r="D6576">
        <v>0.999880874107</v>
      </c>
      <c r="E6576">
        <v>24</v>
      </c>
    </row>
    <row r="6577" spans="1:5">
      <c r="A6577" t="s">
        <v>7635</v>
      </c>
      <c r="B6577" t="s">
        <v>7648</v>
      </c>
      <c r="C6577">
        <v>0</v>
      </c>
      <c r="D6577">
        <v>0.999880874107</v>
      </c>
      <c r="E6577">
        <v>24</v>
      </c>
    </row>
    <row r="6578" spans="1:5">
      <c r="A6578" t="s">
        <v>7649</v>
      </c>
      <c r="B6578" t="s">
        <v>7650</v>
      </c>
      <c r="C6578">
        <v>0</v>
      </c>
      <c r="D6578">
        <v>0.93959875149700001</v>
      </c>
      <c r="E6578">
        <v>11.0344827586206</v>
      </c>
    </row>
    <row r="6579" spans="1:5">
      <c r="A6579" t="s">
        <v>7649</v>
      </c>
      <c r="B6579" t="s">
        <v>7651</v>
      </c>
      <c r="C6579">
        <f>0.0382543747187</f>
        <v>3.8254374718700003E-2</v>
      </c>
      <c r="D6579">
        <v>0.93959875149700001</v>
      </c>
      <c r="E6579">
        <v>11.0344827586206</v>
      </c>
    </row>
    <row r="6580" spans="1:5">
      <c r="A6580" t="s">
        <v>7649</v>
      </c>
      <c r="B6580" t="s">
        <v>7652</v>
      </c>
      <c r="C6580">
        <f>0.345177991792</f>
        <v>0.34517799179199998</v>
      </c>
      <c r="D6580">
        <v>0.93959875149700001</v>
      </c>
      <c r="E6580">
        <v>11.0344827586206</v>
      </c>
    </row>
    <row r="6581" spans="1:5">
      <c r="A6581" t="s">
        <v>7649</v>
      </c>
      <c r="B6581" t="s">
        <v>7653</v>
      </c>
      <c r="C6581">
        <v>0</v>
      </c>
      <c r="D6581">
        <v>0.93959875149700001</v>
      </c>
      <c r="E6581">
        <v>11.0344827586206</v>
      </c>
    </row>
    <row r="6582" spans="1:5">
      <c r="A6582" t="s">
        <v>7654</v>
      </c>
      <c r="B6582" t="s">
        <v>7655</v>
      </c>
      <c r="C6582">
        <v>0</v>
      </c>
      <c r="D6582" t="s">
        <v>106</v>
      </c>
      <c r="E6582">
        <v>18.1349325337331</v>
      </c>
    </row>
    <row r="6583" spans="1:5">
      <c r="A6583" t="s">
        <v>7654</v>
      </c>
      <c r="B6583" t="s">
        <v>7656</v>
      </c>
      <c r="C6583">
        <f>0</f>
        <v>0</v>
      </c>
      <c r="D6583" t="s">
        <v>106</v>
      </c>
      <c r="E6583">
        <v>18.1349325337331</v>
      </c>
    </row>
    <row r="6584" spans="1:5">
      <c r="A6584" t="s">
        <v>7654</v>
      </c>
      <c r="B6584" t="s">
        <v>7657</v>
      </c>
      <c r="C6584">
        <v>0.15652795745299999</v>
      </c>
      <c r="D6584" t="s">
        <v>106</v>
      </c>
      <c r="E6584">
        <v>18.1349325337331</v>
      </c>
    </row>
    <row r="6585" spans="1:5">
      <c r="A6585" t="s">
        <v>7658</v>
      </c>
      <c r="B6585" t="s">
        <v>7659</v>
      </c>
      <c r="C6585">
        <v>0.69767407435200002</v>
      </c>
      <c r="D6585" t="s">
        <v>106</v>
      </c>
      <c r="E6585">
        <v>5.4692653673163401</v>
      </c>
    </row>
    <row r="6586" spans="1:5">
      <c r="A6586" t="s">
        <v>7658</v>
      </c>
      <c r="B6586" t="s">
        <v>7660</v>
      </c>
      <c r="C6586">
        <f>0.317881387434</f>
        <v>0.31788138743400002</v>
      </c>
      <c r="D6586" t="s">
        <v>106</v>
      </c>
      <c r="E6586">
        <v>5.4692653673163401</v>
      </c>
    </row>
    <row r="6587" spans="1:5">
      <c r="A6587" t="s">
        <v>7661</v>
      </c>
      <c r="B6587" t="s">
        <v>7662</v>
      </c>
      <c r="C6587">
        <v>0</v>
      </c>
      <c r="D6587">
        <v>0.88496025443899995</v>
      </c>
      <c r="E6587">
        <v>3.68215892053973</v>
      </c>
    </row>
    <row r="6588" spans="1:5">
      <c r="A6588" t="s">
        <v>7661</v>
      </c>
      <c r="B6588" t="s">
        <v>7663</v>
      </c>
      <c r="C6588">
        <v>0</v>
      </c>
      <c r="D6588">
        <v>0.88496025443899995</v>
      </c>
      <c r="E6588">
        <v>3.68215892053973</v>
      </c>
    </row>
    <row r="6589" spans="1:5">
      <c r="A6589" t="s">
        <v>7661</v>
      </c>
      <c r="B6589" t="s">
        <v>7664</v>
      </c>
      <c r="C6589">
        <v>0</v>
      </c>
      <c r="D6589">
        <v>0.88496025443899995</v>
      </c>
      <c r="E6589">
        <v>3.68215892053973</v>
      </c>
    </row>
    <row r="6590" spans="1:5">
      <c r="A6590" t="s">
        <v>7661</v>
      </c>
      <c r="B6590" t="s">
        <v>7665</v>
      </c>
      <c r="C6590">
        <v>0</v>
      </c>
      <c r="D6590">
        <v>0.88496025443899995</v>
      </c>
      <c r="E6590">
        <v>3.68215892053973</v>
      </c>
    </row>
    <row r="6591" spans="1:5">
      <c r="A6591" t="s">
        <v>7661</v>
      </c>
      <c r="B6591" t="s">
        <v>7666</v>
      </c>
      <c r="C6591">
        <v>0</v>
      </c>
      <c r="D6591">
        <v>0.88496025443899995</v>
      </c>
      <c r="E6591">
        <v>3.68215892053973</v>
      </c>
    </row>
    <row r="6592" spans="1:5">
      <c r="A6592" t="s">
        <v>7667</v>
      </c>
      <c r="B6592" t="s">
        <v>7668</v>
      </c>
      <c r="C6592">
        <f>0.945548966539</f>
        <v>0.945548966539</v>
      </c>
      <c r="D6592">
        <v>0.99853307830899996</v>
      </c>
      <c r="E6592">
        <v>0.43178410794602701</v>
      </c>
    </row>
    <row r="6593" spans="1:5">
      <c r="A6593" t="s">
        <v>7667</v>
      </c>
      <c r="B6593" t="s">
        <v>7669</v>
      </c>
      <c r="C6593">
        <v>0.119663330929</v>
      </c>
      <c r="D6593">
        <v>0.99853307830899996</v>
      </c>
      <c r="E6593">
        <v>0.43178410794602701</v>
      </c>
    </row>
    <row r="6594" spans="1:5">
      <c r="A6594" t="s">
        <v>7667</v>
      </c>
      <c r="B6594" t="s">
        <v>7670</v>
      </c>
      <c r="C6594">
        <f>0</f>
        <v>0</v>
      </c>
      <c r="D6594">
        <v>0.99853307830899996</v>
      </c>
      <c r="E6594">
        <v>0.43178410794602701</v>
      </c>
    </row>
    <row r="6595" spans="1:5">
      <c r="A6595" t="s">
        <v>7671</v>
      </c>
      <c r="B6595" t="s">
        <v>7672</v>
      </c>
      <c r="C6595">
        <f>0.0280027377997</f>
        <v>2.80027377997E-2</v>
      </c>
      <c r="D6595">
        <v>0.42379937727799999</v>
      </c>
      <c r="E6595">
        <v>1.6911544227886</v>
      </c>
    </row>
    <row r="6596" spans="1:5">
      <c r="A6596" t="s">
        <v>7673</v>
      </c>
      <c r="B6596" t="s">
        <v>7674</v>
      </c>
      <c r="C6596">
        <v>0.23125584075300001</v>
      </c>
      <c r="D6596">
        <v>0.96185874541799998</v>
      </c>
      <c r="E6596">
        <v>12.5577211394302</v>
      </c>
    </row>
    <row r="6597" spans="1:5">
      <c r="A6597" t="s">
        <v>7673</v>
      </c>
      <c r="B6597" t="s">
        <v>7675</v>
      </c>
      <c r="C6597">
        <v>0</v>
      </c>
      <c r="D6597">
        <v>0.96185874541799998</v>
      </c>
      <c r="E6597">
        <v>12.5577211394302</v>
      </c>
    </row>
    <row r="6598" spans="1:5">
      <c r="A6598" t="s">
        <v>7673</v>
      </c>
      <c r="B6598" t="s">
        <v>7676</v>
      </c>
      <c r="C6598">
        <v>0</v>
      </c>
      <c r="D6598">
        <v>0.96185874541799998</v>
      </c>
      <c r="E6598">
        <v>12.5577211394302</v>
      </c>
    </row>
    <row r="6599" spans="1:5">
      <c r="A6599" t="s">
        <v>7673</v>
      </c>
      <c r="B6599" t="s">
        <v>7677</v>
      </c>
      <c r="C6599">
        <f>0</f>
        <v>0</v>
      </c>
      <c r="D6599">
        <v>0.96185874541799998</v>
      </c>
      <c r="E6599">
        <v>12.5577211394302</v>
      </c>
    </row>
    <row r="6600" spans="1:5">
      <c r="A6600" t="s">
        <v>7673</v>
      </c>
      <c r="B6600" t="s">
        <v>7678</v>
      </c>
      <c r="C6600">
        <v>0.11955426061</v>
      </c>
      <c r="D6600">
        <v>0.96185874541799998</v>
      </c>
      <c r="E6600">
        <v>12.5577211394302</v>
      </c>
    </row>
    <row r="6601" spans="1:5">
      <c r="A6601" t="s">
        <v>7679</v>
      </c>
      <c r="B6601" t="s">
        <v>7680</v>
      </c>
      <c r="C6601">
        <f>0</f>
        <v>0</v>
      </c>
      <c r="D6601" t="s">
        <v>106</v>
      </c>
      <c r="E6601">
        <v>1.7631184407796101</v>
      </c>
    </row>
    <row r="6602" spans="1:5">
      <c r="A6602" t="s">
        <v>7679</v>
      </c>
      <c r="B6602" t="s">
        <v>7681</v>
      </c>
      <c r="C6602">
        <f>0</f>
        <v>0</v>
      </c>
      <c r="D6602" t="s">
        <v>106</v>
      </c>
      <c r="E6602">
        <v>1.7631184407796101</v>
      </c>
    </row>
    <row r="6603" spans="1:5">
      <c r="A6603" t="s">
        <v>7679</v>
      </c>
      <c r="B6603" t="s">
        <v>7682</v>
      </c>
      <c r="C6603">
        <v>0</v>
      </c>
      <c r="D6603" t="s">
        <v>106</v>
      </c>
      <c r="E6603">
        <v>1.7631184407796101</v>
      </c>
    </row>
    <row r="6604" spans="1:5">
      <c r="A6604" t="s">
        <v>7679</v>
      </c>
      <c r="B6604" t="s">
        <v>7683</v>
      </c>
      <c r="C6604">
        <f>0</f>
        <v>0</v>
      </c>
      <c r="D6604" t="s">
        <v>106</v>
      </c>
      <c r="E6604">
        <v>1.7631184407796101</v>
      </c>
    </row>
    <row r="6605" spans="1:5">
      <c r="A6605" t="s">
        <v>7679</v>
      </c>
      <c r="B6605" t="s">
        <v>7684</v>
      </c>
      <c r="C6605">
        <v>0</v>
      </c>
      <c r="D6605" t="s">
        <v>106</v>
      </c>
      <c r="E6605">
        <v>1.7631184407796101</v>
      </c>
    </row>
    <row r="6606" spans="1:5">
      <c r="A6606" t="s">
        <v>7679</v>
      </c>
      <c r="B6606" t="s">
        <v>7685</v>
      </c>
      <c r="C6606">
        <f>0</f>
        <v>0</v>
      </c>
      <c r="D6606" t="s">
        <v>106</v>
      </c>
      <c r="E6606">
        <v>1.7631184407796101</v>
      </c>
    </row>
    <row r="6607" spans="1:5">
      <c r="A6607" t="s">
        <v>7679</v>
      </c>
      <c r="B6607" t="s">
        <v>7686</v>
      </c>
      <c r="C6607">
        <v>0</v>
      </c>
      <c r="D6607" t="s">
        <v>106</v>
      </c>
      <c r="E6607">
        <v>1.7631184407796101</v>
      </c>
    </row>
    <row r="6608" spans="1:5">
      <c r="A6608" t="s">
        <v>7679</v>
      </c>
      <c r="B6608" t="s">
        <v>7687</v>
      </c>
      <c r="C6608">
        <v>0</v>
      </c>
      <c r="D6608" t="s">
        <v>106</v>
      </c>
      <c r="E6608">
        <v>1.7631184407796101</v>
      </c>
    </row>
    <row r="6609" spans="1:5">
      <c r="A6609" t="s">
        <v>7688</v>
      </c>
      <c r="B6609" t="s">
        <v>7689</v>
      </c>
      <c r="C6609">
        <v>0.26039940194700001</v>
      </c>
      <c r="D6609">
        <v>0.939241751721</v>
      </c>
      <c r="E6609">
        <v>2.2548725637181399</v>
      </c>
    </row>
    <row r="6610" spans="1:5">
      <c r="A6610" t="s">
        <v>7688</v>
      </c>
      <c r="B6610" t="s">
        <v>7690</v>
      </c>
      <c r="C6610">
        <v>0</v>
      </c>
      <c r="D6610">
        <v>0.939241751721</v>
      </c>
      <c r="E6610">
        <v>2.2548725637181399</v>
      </c>
    </row>
    <row r="6611" spans="1:5">
      <c r="A6611" t="s">
        <v>7688</v>
      </c>
      <c r="B6611" t="s">
        <v>7691</v>
      </c>
      <c r="C6611">
        <v>0</v>
      </c>
      <c r="D6611">
        <v>0.939241751721</v>
      </c>
      <c r="E6611">
        <v>2.2548725637181399</v>
      </c>
    </row>
    <row r="6612" spans="1:5">
      <c r="A6612" t="s">
        <v>7688</v>
      </c>
      <c r="B6612" t="s">
        <v>7692</v>
      </c>
      <c r="C6612">
        <v>0</v>
      </c>
      <c r="D6612">
        <v>0.939241751721</v>
      </c>
      <c r="E6612">
        <v>2.2548725637181399</v>
      </c>
    </row>
    <row r="6613" spans="1:5">
      <c r="A6613" t="s">
        <v>7688</v>
      </c>
      <c r="B6613" t="s">
        <v>7693</v>
      </c>
      <c r="C6613">
        <v>0</v>
      </c>
      <c r="D6613">
        <v>0.939241751721</v>
      </c>
      <c r="E6613">
        <v>2.2548725637181399</v>
      </c>
    </row>
    <row r="6614" spans="1:5">
      <c r="A6614" t="s">
        <v>7688</v>
      </c>
      <c r="B6614" t="s">
        <v>7694</v>
      </c>
      <c r="C6614">
        <v>8.90964947374E-2</v>
      </c>
      <c r="D6614">
        <v>0.939241751721</v>
      </c>
      <c r="E6614">
        <v>2.2548725637181399</v>
      </c>
    </row>
    <row r="6615" spans="1:5">
      <c r="A6615" t="s">
        <v>7688</v>
      </c>
      <c r="B6615" t="s">
        <v>7695</v>
      </c>
      <c r="C6615">
        <v>0</v>
      </c>
      <c r="D6615">
        <v>0.939241751721</v>
      </c>
      <c r="E6615">
        <v>2.2548725637181399</v>
      </c>
    </row>
    <row r="6616" spans="1:5">
      <c r="A6616" t="s">
        <v>7696</v>
      </c>
      <c r="B6616" t="s">
        <v>7697</v>
      </c>
      <c r="C6616">
        <f>0</f>
        <v>0</v>
      </c>
      <c r="D6616">
        <v>0.94923982581699995</v>
      </c>
      <c r="E6616">
        <v>9.9190404797601204</v>
      </c>
    </row>
    <row r="6617" spans="1:5">
      <c r="A6617" t="s">
        <v>7696</v>
      </c>
      <c r="B6617" t="s">
        <v>7698</v>
      </c>
      <c r="C6617">
        <v>0</v>
      </c>
      <c r="D6617">
        <v>0.94923982581699995</v>
      </c>
      <c r="E6617">
        <v>9.9190404797601204</v>
      </c>
    </row>
    <row r="6618" spans="1:5">
      <c r="A6618" t="s">
        <v>7696</v>
      </c>
      <c r="B6618" t="s">
        <v>7699</v>
      </c>
      <c r="C6618">
        <f>0</f>
        <v>0</v>
      </c>
      <c r="D6618">
        <v>0.94923982581699995</v>
      </c>
      <c r="E6618">
        <v>9.9190404797601204</v>
      </c>
    </row>
    <row r="6619" spans="1:5">
      <c r="A6619" t="s">
        <v>7696</v>
      </c>
      <c r="B6619" t="s">
        <v>7700</v>
      </c>
      <c r="C6619">
        <f>0</f>
        <v>0</v>
      </c>
      <c r="D6619">
        <v>0.94923982581699995</v>
      </c>
      <c r="E6619">
        <v>9.9190404797601204</v>
      </c>
    </row>
    <row r="6620" spans="1:5">
      <c r="A6620" t="s">
        <v>7696</v>
      </c>
      <c r="B6620" t="s">
        <v>7701</v>
      </c>
      <c r="C6620">
        <f>0</f>
        <v>0</v>
      </c>
      <c r="D6620">
        <v>0.94923982581699995</v>
      </c>
      <c r="E6620">
        <v>9.9190404797601204</v>
      </c>
    </row>
    <row r="6621" spans="1:5">
      <c r="A6621" t="s">
        <v>7696</v>
      </c>
      <c r="B6621" t="s">
        <v>7702</v>
      </c>
      <c r="C6621">
        <f>0</f>
        <v>0</v>
      </c>
      <c r="D6621">
        <v>0.94923982581699995</v>
      </c>
      <c r="E6621">
        <v>9.9190404797601204</v>
      </c>
    </row>
    <row r="6622" spans="1:5">
      <c r="A6622" t="s">
        <v>7696</v>
      </c>
      <c r="B6622" t="s">
        <v>7703</v>
      </c>
      <c r="C6622">
        <f>0</f>
        <v>0</v>
      </c>
      <c r="D6622">
        <v>0.94923982581699995</v>
      </c>
      <c r="E6622">
        <v>9.9190404797601204</v>
      </c>
    </row>
    <row r="6623" spans="1:5">
      <c r="A6623" t="s">
        <v>7696</v>
      </c>
      <c r="B6623" t="s">
        <v>7704</v>
      </c>
      <c r="C6623">
        <f>0.181702375019</f>
        <v>0.181702375019</v>
      </c>
      <c r="D6623">
        <v>0.94923982581699995</v>
      </c>
      <c r="E6623">
        <v>9.9190404797601204</v>
      </c>
    </row>
    <row r="6624" spans="1:5">
      <c r="A6624" t="s">
        <v>7696</v>
      </c>
      <c r="B6624" t="s">
        <v>7705</v>
      </c>
      <c r="C6624">
        <f>0</f>
        <v>0</v>
      </c>
      <c r="D6624">
        <v>0.94923982581699995</v>
      </c>
      <c r="E6624">
        <v>9.9190404797601204</v>
      </c>
    </row>
    <row r="6625" spans="1:5">
      <c r="A6625" t="s">
        <v>7696</v>
      </c>
      <c r="B6625" t="s">
        <v>7706</v>
      </c>
      <c r="C6625">
        <v>0</v>
      </c>
      <c r="D6625">
        <v>0.94923982581699995</v>
      </c>
      <c r="E6625">
        <v>9.9190404797601204</v>
      </c>
    </row>
    <row r="6626" spans="1:5">
      <c r="A6626" t="s">
        <v>7696</v>
      </c>
      <c r="B6626" t="s">
        <v>7707</v>
      </c>
      <c r="C6626">
        <f>0</f>
        <v>0</v>
      </c>
      <c r="D6626">
        <v>0.94923982581699995</v>
      </c>
      <c r="E6626">
        <v>9.9190404797601204</v>
      </c>
    </row>
    <row r="6627" spans="1:5">
      <c r="A6627" t="s">
        <v>7696</v>
      </c>
      <c r="B6627" t="s">
        <v>7708</v>
      </c>
      <c r="C6627">
        <f>0</f>
        <v>0</v>
      </c>
      <c r="D6627">
        <v>0.94923982581699995</v>
      </c>
      <c r="E6627">
        <v>9.9190404797601204</v>
      </c>
    </row>
    <row r="6628" spans="1:5">
      <c r="A6628" t="s">
        <v>7696</v>
      </c>
      <c r="B6628" t="s">
        <v>7709</v>
      </c>
      <c r="C6628">
        <v>0</v>
      </c>
      <c r="D6628">
        <v>0.94923982581699995</v>
      </c>
      <c r="E6628">
        <v>9.9190404797601204</v>
      </c>
    </row>
    <row r="6629" spans="1:5">
      <c r="A6629" t="s">
        <v>7696</v>
      </c>
      <c r="B6629" t="s">
        <v>7710</v>
      </c>
      <c r="C6629">
        <f>0</f>
        <v>0</v>
      </c>
      <c r="D6629">
        <v>0.94923982581699995</v>
      </c>
      <c r="E6629">
        <v>9.9190404797601204</v>
      </c>
    </row>
    <row r="6630" spans="1:5">
      <c r="A6630" t="s">
        <v>7696</v>
      </c>
      <c r="B6630" t="s">
        <v>7711</v>
      </c>
      <c r="C6630">
        <f>0</f>
        <v>0</v>
      </c>
      <c r="D6630">
        <v>0.94923982581699995</v>
      </c>
      <c r="E6630">
        <v>9.9190404797601204</v>
      </c>
    </row>
    <row r="6631" spans="1:5">
      <c r="A6631" t="s">
        <v>7712</v>
      </c>
      <c r="B6631" t="s">
        <v>7713</v>
      </c>
      <c r="C6631">
        <f>0</f>
        <v>0</v>
      </c>
      <c r="D6631">
        <v>0.83959879907400004</v>
      </c>
      <c r="E6631">
        <v>0.23988005997001499</v>
      </c>
    </row>
    <row r="6632" spans="1:5">
      <c r="A6632" t="s">
        <v>7712</v>
      </c>
      <c r="B6632" t="s">
        <v>7714</v>
      </c>
      <c r="C6632">
        <v>0</v>
      </c>
      <c r="D6632">
        <v>0.83959879907400004</v>
      </c>
      <c r="E6632">
        <v>0.23988005997001499</v>
      </c>
    </row>
    <row r="6633" spans="1:5">
      <c r="A6633" t="s">
        <v>7712</v>
      </c>
      <c r="B6633" t="s">
        <v>7715</v>
      </c>
      <c r="C6633">
        <v>8.2954745841400002E-2</v>
      </c>
      <c r="D6633">
        <v>0.83959879907400004</v>
      </c>
      <c r="E6633">
        <v>0.23988005997001499</v>
      </c>
    </row>
    <row r="6634" spans="1:5">
      <c r="A6634" t="s">
        <v>7712</v>
      </c>
      <c r="B6634" t="s">
        <v>7716</v>
      </c>
      <c r="C6634">
        <f>0</f>
        <v>0</v>
      </c>
      <c r="D6634">
        <v>0.83959879907400004</v>
      </c>
      <c r="E6634">
        <v>0.23988005997001499</v>
      </c>
    </row>
    <row r="6635" spans="1:5">
      <c r="A6635" t="s">
        <v>7717</v>
      </c>
      <c r="B6635" t="s">
        <v>7718</v>
      </c>
      <c r="C6635">
        <f>0.0249605905576</f>
        <v>2.4960590557599999E-2</v>
      </c>
      <c r="D6635">
        <v>0.975416808591</v>
      </c>
      <c r="E6635">
        <v>13.2653673163418</v>
      </c>
    </row>
    <row r="6636" spans="1:5">
      <c r="A6636" t="s">
        <v>7717</v>
      </c>
      <c r="B6636" t="s">
        <v>7719</v>
      </c>
      <c r="C6636">
        <f>0</f>
        <v>0</v>
      </c>
      <c r="D6636">
        <v>0.975416808591</v>
      </c>
      <c r="E6636">
        <v>13.2653673163418</v>
      </c>
    </row>
    <row r="6637" spans="1:5">
      <c r="A6637" t="s">
        <v>7717</v>
      </c>
      <c r="B6637" t="s">
        <v>7720</v>
      </c>
      <c r="C6637">
        <f>0.0210002321861</f>
        <v>2.1000232186100001E-2</v>
      </c>
      <c r="D6637">
        <v>0.975416808591</v>
      </c>
      <c r="E6637">
        <v>13.2653673163418</v>
      </c>
    </row>
    <row r="6638" spans="1:5">
      <c r="A6638" t="s">
        <v>7717</v>
      </c>
      <c r="B6638" t="s">
        <v>7721</v>
      </c>
      <c r="C6638">
        <f>0</f>
        <v>0</v>
      </c>
      <c r="D6638">
        <v>0.975416808591</v>
      </c>
      <c r="E6638">
        <v>13.2653673163418</v>
      </c>
    </row>
    <row r="6639" spans="1:5">
      <c r="A6639" t="s">
        <v>7717</v>
      </c>
      <c r="B6639" t="s">
        <v>7722</v>
      </c>
      <c r="C6639">
        <v>0</v>
      </c>
      <c r="D6639">
        <v>0.975416808591</v>
      </c>
      <c r="E6639">
        <v>13.2653673163418</v>
      </c>
    </row>
    <row r="6640" spans="1:5">
      <c r="A6640" t="s">
        <v>7717</v>
      </c>
      <c r="B6640" t="s">
        <v>7723</v>
      </c>
      <c r="C6640">
        <f>0</f>
        <v>0</v>
      </c>
      <c r="D6640">
        <v>0.975416808591</v>
      </c>
      <c r="E6640">
        <v>13.2653673163418</v>
      </c>
    </row>
    <row r="6641" spans="1:5">
      <c r="A6641" t="s">
        <v>7717</v>
      </c>
      <c r="B6641" t="s">
        <v>7724</v>
      </c>
      <c r="C6641">
        <f>0</f>
        <v>0</v>
      </c>
      <c r="D6641">
        <v>0.975416808591</v>
      </c>
      <c r="E6641">
        <v>13.2653673163418</v>
      </c>
    </row>
    <row r="6642" spans="1:5">
      <c r="A6642" t="s">
        <v>7717</v>
      </c>
      <c r="B6642" t="s">
        <v>7725</v>
      </c>
      <c r="C6642">
        <f>0</f>
        <v>0</v>
      </c>
      <c r="D6642">
        <v>0.975416808591</v>
      </c>
      <c r="E6642">
        <v>13.2653673163418</v>
      </c>
    </row>
    <row r="6643" spans="1:5">
      <c r="A6643" t="s">
        <v>7717</v>
      </c>
      <c r="B6643" t="s">
        <v>7726</v>
      </c>
      <c r="C6643">
        <f>0</f>
        <v>0</v>
      </c>
      <c r="D6643">
        <v>0.975416808591</v>
      </c>
      <c r="E6643">
        <v>13.2653673163418</v>
      </c>
    </row>
    <row r="6644" spans="1:5">
      <c r="A6644" t="s">
        <v>7717</v>
      </c>
      <c r="B6644" t="s">
        <v>7727</v>
      </c>
      <c r="C6644">
        <f>0</f>
        <v>0</v>
      </c>
      <c r="D6644">
        <v>0.975416808591</v>
      </c>
      <c r="E6644">
        <v>13.2653673163418</v>
      </c>
    </row>
    <row r="6645" spans="1:5">
      <c r="A6645" t="s">
        <v>7717</v>
      </c>
      <c r="B6645" t="s">
        <v>7728</v>
      </c>
      <c r="C6645">
        <v>0</v>
      </c>
      <c r="D6645">
        <v>0.975416808591</v>
      </c>
      <c r="E6645">
        <v>13.2653673163418</v>
      </c>
    </row>
    <row r="6646" spans="1:5">
      <c r="A6646" t="s">
        <v>7717</v>
      </c>
      <c r="B6646" t="s">
        <v>7729</v>
      </c>
      <c r="C6646">
        <v>0</v>
      </c>
      <c r="D6646">
        <v>0.975416808591</v>
      </c>
      <c r="E6646">
        <v>13.2653673163418</v>
      </c>
    </row>
    <row r="6647" spans="1:5">
      <c r="A6647" t="s">
        <v>7717</v>
      </c>
      <c r="B6647" t="s">
        <v>7730</v>
      </c>
      <c r="C6647">
        <f>0</f>
        <v>0</v>
      </c>
      <c r="D6647">
        <v>0.975416808591</v>
      </c>
      <c r="E6647">
        <v>13.2653673163418</v>
      </c>
    </row>
    <row r="6648" spans="1:5">
      <c r="A6648" t="s">
        <v>7717</v>
      </c>
      <c r="B6648" t="s">
        <v>7731</v>
      </c>
      <c r="C6648">
        <f>0</f>
        <v>0</v>
      </c>
      <c r="D6648">
        <v>0.975416808591</v>
      </c>
      <c r="E6648">
        <v>13.2653673163418</v>
      </c>
    </row>
    <row r="6649" spans="1:5">
      <c r="A6649" t="s">
        <v>7717</v>
      </c>
      <c r="B6649" t="s">
        <v>7732</v>
      </c>
      <c r="C6649">
        <f>0</f>
        <v>0</v>
      </c>
      <c r="D6649">
        <v>0.975416808591</v>
      </c>
      <c r="E6649">
        <v>13.2653673163418</v>
      </c>
    </row>
    <row r="6650" spans="1:5">
      <c r="A6650" t="s">
        <v>7733</v>
      </c>
      <c r="B6650" t="s">
        <v>7734</v>
      </c>
      <c r="C6650">
        <v>0</v>
      </c>
      <c r="D6650" t="s">
        <v>106</v>
      </c>
      <c r="E6650">
        <v>11.7061469265367</v>
      </c>
    </row>
    <row r="6651" spans="1:5">
      <c r="A6651" t="s">
        <v>7733</v>
      </c>
      <c r="B6651" t="s">
        <v>7735</v>
      </c>
      <c r="C6651">
        <v>0</v>
      </c>
      <c r="D6651" t="s">
        <v>106</v>
      </c>
      <c r="E6651">
        <v>11.7061469265367</v>
      </c>
    </row>
    <row r="6652" spans="1:5">
      <c r="A6652" t="s">
        <v>7733</v>
      </c>
      <c r="B6652" t="s">
        <v>7736</v>
      </c>
      <c r="C6652">
        <v>0</v>
      </c>
      <c r="D6652" t="s">
        <v>106</v>
      </c>
      <c r="E6652">
        <v>11.7061469265367</v>
      </c>
    </row>
    <row r="6653" spans="1:5">
      <c r="A6653" t="s">
        <v>7733</v>
      </c>
      <c r="B6653" t="s">
        <v>7737</v>
      </c>
      <c r="C6653">
        <v>0</v>
      </c>
      <c r="D6653" t="s">
        <v>106</v>
      </c>
      <c r="E6653">
        <v>11.7061469265367</v>
      </c>
    </row>
    <row r="6654" spans="1:5">
      <c r="A6654" t="s">
        <v>7738</v>
      </c>
      <c r="B6654" t="s">
        <v>7739</v>
      </c>
      <c r="C6654">
        <v>0.24185431077399999</v>
      </c>
      <c r="D6654">
        <v>0.99418650780499995</v>
      </c>
      <c r="E6654">
        <v>14.740629685157399</v>
      </c>
    </row>
    <row r="6655" spans="1:5">
      <c r="A6655" t="s">
        <v>7738</v>
      </c>
      <c r="B6655" t="s">
        <v>7740</v>
      </c>
      <c r="C6655">
        <v>3.0002214469400001E-2</v>
      </c>
      <c r="D6655">
        <v>0.99418650780499995</v>
      </c>
      <c r="E6655">
        <v>14.740629685157399</v>
      </c>
    </row>
    <row r="6656" spans="1:5">
      <c r="A6656" t="s">
        <v>7738</v>
      </c>
      <c r="B6656" t="s">
        <v>7741</v>
      </c>
      <c r="C6656">
        <v>0</v>
      </c>
      <c r="D6656">
        <v>0.99418650780499995</v>
      </c>
      <c r="E6656">
        <v>14.740629685157399</v>
      </c>
    </row>
    <row r="6657" spans="1:5">
      <c r="A6657" t="s">
        <v>7738</v>
      </c>
      <c r="B6657" t="s">
        <v>7742</v>
      </c>
      <c r="C6657">
        <v>0</v>
      </c>
      <c r="D6657">
        <v>0.99418650780499995</v>
      </c>
      <c r="E6657">
        <v>14.740629685157399</v>
      </c>
    </row>
    <row r="6658" spans="1:5">
      <c r="A6658" t="s">
        <v>7738</v>
      </c>
      <c r="B6658" t="s">
        <v>7743</v>
      </c>
      <c r="C6658">
        <v>0</v>
      </c>
      <c r="D6658">
        <v>0.99418650780499995</v>
      </c>
      <c r="E6658">
        <v>14.740629685157399</v>
      </c>
    </row>
    <row r="6659" spans="1:5">
      <c r="A6659" t="s">
        <v>7738</v>
      </c>
      <c r="B6659" t="s">
        <v>7744</v>
      </c>
      <c r="C6659">
        <v>0</v>
      </c>
      <c r="D6659">
        <v>0.99418650780499995</v>
      </c>
      <c r="E6659">
        <v>14.740629685157399</v>
      </c>
    </row>
    <row r="6660" spans="1:5">
      <c r="A6660" t="s">
        <v>7738</v>
      </c>
      <c r="B6660" t="s">
        <v>7745</v>
      </c>
      <c r="C6660">
        <f>0</f>
        <v>0</v>
      </c>
      <c r="D6660">
        <v>0.99418650780499995</v>
      </c>
      <c r="E6660">
        <v>14.740629685157399</v>
      </c>
    </row>
    <row r="6661" spans="1:5">
      <c r="A6661" t="s">
        <v>7746</v>
      </c>
      <c r="B6661" t="s">
        <v>7747</v>
      </c>
      <c r="C6661">
        <v>0</v>
      </c>
      <c r="D6661">
        <v>0.86716029657299998</v>
      </c>
      <c r="E6661">
        <v>3.4902548725637099</v>
      </c>
    </row>
    <row r="6662" spans="1:5">
      <c r="A6662" t="s">
        <v>7746</v>
      </c>
      <c r="B6662" t="s">
        <v>7748</v>
      </c>
      <c r="C6662">
        <v>0</v>
      </c>
      <c r="D6662">
        <v>0.86716029657299998</v>
      </c>
      <c r="E6662">
        <v>3.4902548725637099</v>
      </c>
    </row>
    <row r="6663" spans="1:5">
      <c r="A6663" t="s">
        <v>7746</v>
      </c>
      <c r="B6663" t="s">
        <v>7749</v>
      </c>
      <c r="C6663">
        <f>0</f>
        <v>0</v>
      </c>
      <c r="D6663">
        <v>0.86716029657299998</v>
      </c>
      <c r="E6663">
        <v>3.4902548725637099</v>
      </c>
    </row>
    <row r="6664" spans="1:5">
      <c r="A6664" t="s">
        <v>7746</v>
      </c>
      <c r="B6664" t="s">
        <v>7750</v>
      </c>
      <c r="C6664">
        <v>0</v>
      </c>
      <c r="D6664">
        <v>0.86716029657299998</v>
      </c>
      <c r="E6664">
        <v>3.4902548725637099</v>
      </c>
    </row>
    <row r="6665" spans="1:5">
      <c r="A6665" t="s">
        <v>7746</v>
      </c>
      <c r="B6665" t="s">
        <v>7751</v>
      </c>
      <c r="C6665">
        <f>0</f>
        <v>0</v>
      </c>
      <c r="D6665">
        <v>0.86716029657299998</v>
      </c>
      <c r="E6665">
        <v>3.4902548725637099</v>
      </c>
    </row>
    <row r="6666" spans="1:5">
      <c r="A6666" t="s">
        <v>7746</v>
      </c>
      <c r="B6666" t="s">
        <v>7752</v>
      </c>
      <c r="C6666">
        <v>0</v>
      </c>
      <c r="D6666">
        <v>0.86716029657299998</v>
      </c>
      <c r="E6666">
        <v>3.4902548725637099</v>
      </c>
    </row>
    <row r="6667" spans="1:5">
      <c r="A6667" t="s">
        <v>7746</v>
      </c>
      <c r="B6667" t="s">
        <v>7753</v>
      </c>
      <c r="C6667">
        <v>0</v>
      </c>
      <c r="D6667">
        <v>0.86716029657299998</v>
      </c>
      <c r="E6667">
        <v>3.4902548725637099</v>
      </c>
    </row>
    <row r="6668" spans="1:5">
      <c r="A6668" t="s">
        <v>7754</v>
      </c>
      <c r="B6668" t="s">
        <v>7755</v>
      </c>
      <c r="C6668">
        <v>0</v>
      </c>
      <c r="D6668" t="s">
        <v>106</v>
      </c>
      <c r="E6668">
        <v>5.1214392803598203</v>
      </c>
    </row>
    <row r="6669" spans="1:5">
      <c r="A6669" t="s">
        <v>7754</v>
      </c>
      <c r="B6669" t="s">
        <v>7756</v>
      </c>
      <c r="C6669">
        <v>0</v>
      </c>
      <c r="D6669" t="s">
        <v>106</v>
      </c>
      <c r="E6669">
        <v>5.1214392803598203</v>
      </c>
    </row>
    <row r="6670" spans="1:5">
      <c r="A6670" t="s">
        <v>7754</v>
      </c>
      <c r="B6670" t="s">
        <v>7757</v>
      </c>
      <c r="C6670">
        <v>0</v>
      </c>
      <c r="D6670" t="s">
        <v>106</v>
      </c>
      <c r="E6670">
        <v>5.1214392803598203</v>
      </c>
    </row>
    <row r="6671" spans="1:5">
      <c r="A6671" t="s">
        <v>7754</v>
      </c>
      <c r="B6671" t="s">
        <v>7758</v>
      </c>
      <c r="C6671">
        <f>0</f>
        <v>0</v>
      </c>
      <c r="D6671" t="s">
        <v>106</v>
      </c>
      <c r="E6671">
        <v>5.1214392803598203</v>
      </c>
    </row>
    <row r="6672" spans="1:5">
      <c r="A6672" t="s">
        <v>7754</v>
      </c>
      <c r="B6672" t="s">
        <v>7759</v>
      </c>
      <c r="C6672">
        <v>0</v>
      </c>
      <c r="D6672" t="s">
        <v>106</v>
      </c>
      <c r="E6672">
        <v>5.1214392803598203</v>
      </c>
    </row>
    <row r="6673" spans="1:5">
      <c r="A6673" t="s">
        <v>7754</v>
      </c>
      <c r="B6673" t="s">
        <v>7760</v>
      </c>
      <c r="C6673">
        <v>0</v>
      </c>
      <c r="D6673" t="s">
        <v>106</v>
      </c>
      <c r="E6673">
        <v>5.1214392803598203</v>
      </c>
    </row>
    <row r="6674" spans="1:5">
      <c r="A6674" t="s">
        <v>7754</v>
      </c>
      <c r="B6674" t="s">
        <v>7761</v>
      </c>
      <c r="C6674">
        <v>0</v>
      </c>
      <c r="D6674" t="s">
        <v>106</v>
      </c>
      <c r="E6674">
        <v>5.1214392803598203</v>
      </c>
    </row>
    <row r="6675" spans="1:5">
      <c r="A6675" t="s">
        <v>7754</v>
      </c>
      <c r="B6675" t="s">
        <v>7762</v>
      </c>
      <c r="C6675">
        <v>0</v>
      </c>
      <c r="D6675" t="s">
        <v>106</v>
      </c>
      <c r="E6675">
        <v>5.1214392803598203</v>
      </c>
    </row>
    <row r="6676" spans="1:5">
      <c r="A6676" t="s">
        <v>7763</v>
      </c>
      <c r="B6676" t="s">
        <v>7764</v>
      </c>
      <c r="C6676">
        <v>0</v>
      </c>
      <c r="D6676">
        <v>0.99154615094099996</v>
      </c>
      <c r="E6676">
        <v>18.986506746626599</v>
      </c>
    </row>
    <row r="6677" spans="1:5">
      <c r="A6677" t="s">
        <v>7763</v>
      </c>
      <c r="B6677" t="s">
        <v>7765</v>
      </c>
      <c r="C6677">
        <v>0</v>
      </c>
      <c r="D6677">
        <v>0.99154615094099996</v>
      </c>
      <c r="E6677">
        <v>18.986506746626599</v>
      </c>
    </row>
    <row r="6678" spans="1:5">
      <c r="A6678" t="s">
        <v>7763</v>
      </c>
      <c r="B6678" t="s">
        <v>7766</v>
      </c>
      <c r="C6678">
        <v>0</v>
      </c>
      <c r="D6678">
        <v>0.99154615094099996</v>
      </c>
      <c r="E6678">
        <v>18.986506746626599</v>
      </c>
    </row>
    <row r="6679" spans="1:5">
      <c r="A6679" t="s">
        <v>7763</v>
      </c>
      <c r="B6679" t="s">
        <v>7767</v>
      </c>
      <c r="C6679">
        <v>0</v>
      </c>
      <c r="D6679">
        <v>0.99154615094099996</v>
      </c>
      <c r="E6679">
        <v>18.986506746626599</v>
      </c>
    </row>
    <row r="6680" spans="1:5">
      <c r="A6680" t="s">
        <v>7763</v>
      </c>
      <c r="B6680" t="s">
        <v>7768</v>
      </c>
      <c r="C6680">
        <v>0</v>
      </c>
      <c r="D6680">
        <v>0.99154615094099996</v>
      </c>
      <c r="E6680">
        <v>18.986506746626599</v>
      </c>
    </row>
    <row r="6681" spans="1:5">
      <c r="A6681" t="s">
        <v>7763</v>
      </c>
      <c r="B6681" t="s">
        <v>7769</v>
      </c>
      <c r="C6681">
        <f>0</f>
        <v>0</v>
      </c>
      <c r="D6681">
        <v>0.99154615094099996</v>
      </c>
      <c r="E6681">
        <v>18.986506746626599</v>
      </c>
    </row>
    <row r="6682" spans="1:5">
      <c r="A6682" t="s">
        <v>7763</v>
      </c>
      <c r="B6682" t="s">
        <v>7770</v>
      </c>
      <c r="C6682">
        <v>0</v>
      </c>
      <c r="D6682">
        <v>0.99154615094099996</v>
      </c>
      <c r="E6682">
        <v>18.986506746626599</v>
      </c>
    </row>
    <row r="6683" spans="1:5">
      <c r="A6683" t="s">
        <v>7763</v>
      </c>
      <c r="B6683" t="s">
        <v>7771</v>
      </c>
      <c r="C6683">
        <v>0</v>
      </c>
      <c r="D6683">
        <v>0.99154615094099996</v>
      </c>
      <c r="E6683">
        <v>18.986506746626599</v>
      </c>
    </row>
    <row r="6684" spans="1:5">
      <c r="A6684" t="s">
        <v>7763</v>
      </c>
      <c r="B6684" t="s">
        <v>7772</v>
      </c>
      <c r="C6684">
        <f>0</f>
        <v>0</v>
      </c>
      <c r="D6684">
        <v>0.99154615094099996</v>
      </c>
      <c r="E6684">
        <v>18.986506746626599</v>
      </c>
    </row>
    <row r="6685" spans="1:5">
      <c r="A6685" t="s">
        <v>7763</v>
      </c>
      <c r="B6685" t="s">
        <v>7773</v>
      </c>
      <c r="C6685">
        <v>5.8597709854999999E-2</v>
      </c>
      <c r="D6685">
        <v>0.99154615094099996</v>
      </c>
      <c r="E6685">
        <v>18.986506746626599</v>
      </c>
    </row>
    <row r="6686" spans="1:5">
      <c r="A6686" t="s">
        <v>7763</v>
      </c>
      <c r="B6686" t="s">
        <v>7774</v>
      </c>
      <c r="C6686">
        <v>0</v>
      </c>
      <c r="D6686">
        <v>0.99154615094099996</v>
      </c>
      <c r="E6686">
        <v>18.986506746626599</v>
      </c>
    </row>
    <row r="6687" spans="1:5">
      <c r="A6687" t="s">
        <v>7763</v>
      </c>
      <c r="B6687" t="s">
        <v>7775</v>
      </c>
      <c r="C6687">
        <f>0</f>
        <v>0</v>
      </c>
      <c r="D6687">
        <v>0.99154615094099996</v>
      </c>
      <c r="E6687">
        <v>18.986506746626599</v>
      </c>
    </row>
    <row r="6688" spans="1:5">
      <c r="A6688" t="s">
        <v>7763</v>
      </c>
      <c r="B6688" t="s">
        <v>7776</v>
      </c>
      <c r="C6688">
        <v>8.9171413819500001E-2</v>
      </c>
      <c r="D6688">
        <v>0.99154615094099996</v>
      </c>
      <c r="E6688">
        <v>18.986506746626599</v>
      </c>
    </row>
    <row r="6689" spans="1:5">
      <c r="A6689" t="s">
        <v>7777</v>
      </c>
      <c r="B6689" t="s">
        <v>7778</v>
      </c>
      <c r="C6689">
        <v>0</v>
      </c>
      <c r="D6689" t="s">
        <v>106</v>
      </c>
      <c r="E6689">
        <v>17.307346326836502</v>
      </c>
    </row>
    <row r="6690" spans="1:5">
      <c r="A6690" t="s">
        <v>7777</v>
      </c>
      <c r="B6690" t="s">
        <v>7779</v>
      </c>
      <c r="C6690">
        <v>0</v>
      </c>
      <c r="D6690" t="s">
        <v>106</v>
      </c>
      <c r="E6690">
        <v>17.307346326836502</v>
      </c>
    </row>
    <row r="6691" spans="1:5">
      <c r="A6691" t="s">
        <v>7777</v>
      </c>
      <c r="B6691" t="s">
        <v>7780</v>
      </c>
      <c r="C6691">
        <v>0</v>
      </c>
      <c r="D6691" t="s">
        <v>106</v>
      </c>
      <c r="E6691">
        <v>17.307346326836502</v>
      </c>
    </row>
    <row r="6692" spans="1:5">
      <c r="A6692" t="s">
        <v>7777</v>
      </c>
      <c r="B6692" t="s">
        <v>7781</v>
      </c>
      <c r="C6692">
        <v>0.141846405269</v>
      </c>
      <c r="D6692" t="s">
        <v>106</v>
      </c>
      <c r="E6692">
        <v>17.307346326836502</v>
      </c>
    </row>
    <row r="6693" spans="1:5">
      <c r="A6693" t="s">
        <v>7777</v>
      </c>
      <c r="B6693" t="s">
        <v>7782</v>
      </c>
      <c r="C6693">
        <v>0</v>
      </c>
      <c r="D6693" t="s">
        <v>106</v>
      </c>
      <c r="E6693">
        <v>17.307346326836502</v>
      </c>
    </row>
    <row r="6694" spans="1:5">
      <c r="A6694" t="s">
        <v>7777</v>
      </c>
      <c r="B6694" t="s">
        <v>7783</v>
      </c>
      <c r="C6694">
        <v>3.3686322796799999E-2</v>
      </c>
      <c r="D6694" t="s">
        <v>106</v>
      </c>
      <c r="E6694">
        <v>17.307346326836502</v>
      </c>
    </row>
    <row r="6695" spans="1:5">
      <c r="A6695" t="s">
        <v>7777</v>
      </c>
      <c r="B6695" t="s">
        <v>7784</v>
      </c>
      <c r="C6695">
        <v>0</v>
      </c>
      <c r="D6695" t="s">
        <v>106</v>
      </c>
      <c r="E6695">
        <v>17.307346326836502</v>
      </c>
    </row>
    <row r="6696" spans="1:5">
      <c r="A6696" t="s">
        <v>7777</v>
      </c>
      <c r="B6696" t="s">
        <v>7785</v>
      </c>
      <c r="C6696">
        <v>0</v>
      </c>
      <c r="D6696" t="s">
        <v>106</v>
      </c>
      <c r="E6696">
        <v>17.307346326836502</v>
      </c>
    </row>
    <row r="6697" spans="1:5">
      <c r="A6697" t="s">
        <v>7777</v>
      </c>
      <c r="B6697" t="s">
        <v>7786</v>
      </c>
      <c r="C6697">
        <v>0</v>
      </c>
      <c r="D6697" t="s">
        <v>106</v>
      </c>
      <c r="E6697">
        <v>17.307346326836502</v>
      </c>
    </row>
    <row r="6698" spans="1:5">
      <c r="A6698" t="s">
        <v>7787</v>
      </c>
      <c r="B6698" t="s">
        <v>7788</v>
      </c>
      <c r="C6698">
        <v>0</v>
      </c>
      <c r="D6698" t="s">
        <v>106</v>
      </c>
      <c r="E6698">
        <v>19.850074962518701</v>
      </c>
    </row>
    <row r="6699" spans="1:5">
      <c r="A6699" t="s">
        <v>7787</v>
      </c>
      <c r="B6699" t="s">
        <v>7789</v>
      </c>
      <c r="C6699">
        <v>0</v>
      </c>
      <c r="D6699" t="s">
        <v>106</v>
      </c>
      <c r="E6699">
        <v>19.850074962518701</v>
      </c>
    </row>
    <row r="6700" spans="1:5">
      <c r="A6700" t="s">
        <v>7787</v>
      </c>
      <c r="B6700" t="s">
        <v>7790</v>
      </c>
      <c r="C6700">
        <v>0.143564127136</v>
      </c>
      <c r="D6700" t="s">
        <v>106</v>
      </c>
      <c r="E6700">
        <v>19.850074962518701</v>
      </c>
    </row>
    <row r="6701" spans="1:5">
      <c r="A6701" t="s">
        <v>7791</v>
      </c>
      <c r="B6701" t="s">
        <v>7792</v>
      </c>
      <c r="C6701">
        <v>5.3996466379700001E-2</v>
      </c>
      <c r="D6701">
        <v>0.82933606523799996</v>
      </c>
      <c r="E6701">
        <v>24</v>
      </c>
    </row>
    <row r="6702" spans="1:5">
      <c r="A6702" t="s">
        <v>7791</v>
      </c>
      <c r="B6702" t="s">
        <v>7793</v>
      </c>
      <c r="C6702">
        <v>0.13532260770599999</v>
      </c>
      <c r="D6702">
        <v>0.82933606523799996</v>
      </c>
      <c r="E6702">
        <v>24</v>
      </c>
    </row>
    <row r="6703" spans="1:5">
      <c r="A6703" t="s">
        <v>7791</v>
      </c>
      <c r="B6703" t="s">
        <v>7794</v>
      </c>
      <c r="C6703">
        <f>0</f>
        <v>0</v>
      </c>
      <c r="D6703">
        <v>0.82933606523799996</v>
      </c>
      <c r="E6703">
        <v>24</v>
      </c>
    </row>
    <row r="6704" spans="1:5">
      <c r="A6704" t="s">
        <v>7791</v>
      </c>
      <c r="B6704" t="s">
        <v>7795</v>
      </c>
      <c r="C6704">
        <v>0</v>
      </c>
      <c r="D6704">
        <v>0.82933606523799996</v>
      </c>
      <c r="E6704">
        <v>24</v>
      </c>
    </row>
    <row r="6705" spans="1:5">
      <c r="A6705" t="s">
        <v>7796</v>
      </c>
      <c r="B6705" t="s">
        <v>7797</v>
      </c>
      <c r="C6705">
        <v>0.16006414302999999</v>
      </c>
      <c r="D6705">
        <v>0.79954926310999996</v>
      </c>
      <c r="E6705">
        <v>0.86356821589205401</v>
      </c>
    </row>
    <row r="6706" spans="1:5">
      <c r="A6706" t="s">
        <v>7796</v>
      </c>
      <c r="B6706" t="s">
        <v>7798</v>
      </c>
      <c r="C6706">
        <v>0.14510599525699999</v>
      </c>
      <c r="D6706">
        <v>0.79954926310999996</v>
      </c>
      <c r="E6706">
        <v>0.86356821589205401</v>
      </c>
    </row>
    <row r="6707" spans="1:5">
      <c r="A6707" t="s">
        <v>7796</v>
      </c>
      <c r="B6707" t="s">
        <v>7799</v>
      </c>
      <c r="C6707">
        <f>0</f>
        <v>0</v>
      </c>
      <c r="D6707">
        <v>0.79954926310999996</v>
      </c>
      <c r="E6707">
        <v>0.86356821589205401</v>
      </c>
    </row>
    <row r="6708" spans="1:5">
      <c r="A6708" t="s">
        <v>7800</v>
      </c>
      <c r="B6708" t="s">
        <v>7801</v>
      </c>
      <c r="C6708">
        <f>0</f>
        <v>0</v>
      </c>
      <c r="D6708">
        <v>0.998214204243</v>
      </c>
      <c r="E6708">
        <v>8.7196401799100407</v>
      </c>
    </row>
    <row r="6709" spans="1:5">
      <c r="A6709" t="s">
        <v>7800</v>
      </c>
      <c r="B6709" t="s">
        <v>7802</v>
      </c>
      <c r="C6709">
        <v>0</v>
      </c>
      <c r="D6709">
        <v>0.998214204243</v>
      </c>
      <c r="E6709">
        <v>8.7196401799100407</v>
      </c>
    </row>
    <row r="6710" spans="1:5">
      <c r="A6710" t="s">
        <v>7800</v>
      </c>
      <c r="B6710" t="s">
        <v>7803</v>
      </c>
      <c r="C6710">
        <f>0</f>
        <v>0</v>
      </c>
      <c r="D6710">
        <v>0.998214204243</v>
      </c>
      <c r="E6710">
        <v>8.7196401799100407</v>
      </c>
    </row>
    <row r="6711" spans="1:5">
      <c r="A6711" t="s">
        <v>7800</v>
      </c>
      <c r="B6711" t="s">
        <v>7804</v>
      </c>
      <c r="C6711">
        <v>0</v>
      </c>
      <c r="D6711">
        <v>0.998214204243</v>
      </c>
      <c r="E6711">
        <v>8.7196401799100407</v>
      </c>
    </row>
    <row r="6712" spans="1:5">
      <c r="A6712" t="s">
        <v>7800</v>
      </c>
      <c r="B6712" t="s">
        <v>7805</v>
      </c>
      <c r="C6712">
        <v>0.116056761841</v>
      </c>
      <c r="D6712">
        <v>0.998214204243</v>
      </c>
      <c r="E6712">
        <v>8.7196401799100407</v>
      </c>
    </row>
    <row r="6713" spans="1:5">
      <c r="A6713" t="s">
        <v>7800</v>
      </c>
      <c r="B6713" t="s">
        <v>7806</v>
      </c>
      <c r="C6713">
        <v>0.43246614718600002</v>
      </c>
      <c r="D6713">
        <v>0.998214204243</v>
      </c>
      <c r="E6713">
        <v>8.7196401799100407</v>
      </c>
    </row>
    <row r="6714" spans="1:5">
      <c r="A6714" t="s">
        <v>7807</v>
      </c>
      <c r="B6714" t="s">
        <v>7808</v>
      </c>
      <c r="C6714">
        <v>0</v>
      </c>
      <c r="D6714">
        <v>0.95598920937200005</v>
      </c>
      <c r="E6714">
        <v>2.0269865067466202</v>
      </c>
    </row>
    <row r="6715" spans="1:5">
      <c r="A6715" t="s">
        <v>7807</v>
      </c>
      <c r="B6715" t="s">
        <v>7809</v>
      </c>
      <c r="C6715">
        <v>0</v>
      </c>
      <c r="D6715">
        <v>0.95598920937200005</v>
      </c>
      <c r="E6715">
        <v>2.0269865067466202</v>
      </c>
    </row>
    <row r="6716" spans="1:5">
      <c r="A6716" t="s">
        <v>7807</v>
      </c>
      <c r="B6716" t="s">
        <v>7810</v>
      </c>
      <c r="C6716">
        <v>0</v>
      </c>
      <c r="D6716">
        <v>0.95598920937200005</v>
      </c>
      <c r="E6716">
        <v>2.0269865067466202</v>
      </c>
    </row>
    <row r="6717" spans="1:5">
      <c r="A6717" t="s">
        <v>7807</v>
      </c>
      <c r="B6717" t="s">
        <v>7811</v>
      </c>
      <c r="C6717">
        <f>0</f>
        <v>0</v>
      </c>
      <c r="D6717">
        <v>0.95598920937200005</v>
      </c>
      <c r="E6717">
        <v>2.0269865067466202</v>
      </c>
    </row>
    <row r="6718" spans="1:5">
      <c r="A6718" t="s">
        <v>7807</v>
      </c>
      <c r="B6718" t="s">
        <v>7812</v>
      </c>
      <c r="C6718">
        <v>0</v>
      </c>
      <c r="D6718">
        <v>0.95598920937200005</v>
      </c>
      <c r="E6718">
        <v>2.0269865067466202</v>
      </c>
    </row>
    <row r="6719" spans="1:5">
      <c r="A6719" t="s">
        <v>7807</v>
      </c>
      <c r="B6719" t="s">
        <v>7813</v>
      </c>
      <c r="C6719">
        <v>0.210212775479</v>
      </c>
      <c r="D6719">
        <v>0.95598920937200005</v>
      </c>
      <c r="E6719">
        <v>2.0269865067466202</v>
      </c>
    </row>
    <row r="6720" spans="1:5">
      <c r="A6720" t="s">
        <v>7807</v>
      </c>
      <c r="B6720" t="s">
        <v>7814</v>
      </c>
      <c r="C6720">
        <v>0</v>
      </c>
      <c r="D6720">
        <v>0.95598920937200005</v>
      </c>
      <c r="E6720">
        <v>2.0269865067466202</v>
      </c>
    </row>
    <row r="6721" spans="1:5">
      <c r="A6721" t="s">
        <v>7815</v>
      </c>
      <c r="B6721" t="s">
        <v>7816</v>
      </c>
      <c r="C6721">
        <v>0.23335840873499999</v>
      </c>
      <c r="D6721">
        <v>0.99159950295999999</v>
      </c>
      <c r="E6721">
        <v>3.5862068965517202</v>
      </c>
    </row>
    <row r="6722" spans="1:5">
      <c r="A6722" t="s">
        <v>7815</v>
      </c>
      <c r="B6722" t="s">
        <v>7817</v>
      </c>
      <c r="C6722">
        <f>0</f>
        <v>0</v>
      </c>
      <c r="D6722">
        <v>0.99159950295999999</v>
      </c>
      <c r="E6722">
        <v>3.5862068965517202</v>
      </c>
    </row>
    <row r="6723" spans="1:5">
      <c r="A6723" t="s">
        <v>7815</v>
      </c>
      <c r="B6723" t="s">
        <v>7818</v>
      </c>
      <c r="C6723">
        <v>0.244578435008</v>
      </c>
      <c r="D6723">
        <v>0.99159950295999999</v>
      </c>
      <c r="E6723">
        <v>3.5862068965517202</v>
      </c>
    </row>
    <row r="6724" spans="1:5">
      <c r="A6724" t="s">
        <v>7815</v>
      </c>
      <c r="B6724" t="s">
        <v>7819</v>
      </c>
      <c r="C6724">
        <f>0</f>
        <v>0</v>
      </c>
      <c r="D6724">
        <v>0.99159950295999999</v>
      </c>
      <c r="E6724">
        <v>3.5862068965517202</v>
      </c>
    </row>
    <row r="6725" spans="1:5">
      <c r="A6725" t="s">
        <v>7820</v>
      </c>
      <c r="B6725" t="s">
        <v>7821</v>
      </c>
      <c r="C6725">
        <v>0.19613145391100001</v>
      </c>
      <c r="D6725">
        <v>0.97674232744300005</v>
      </c>
      <c r="E6725">
        <v>9.3073463268365799</v>
      </c>
    </row>
    <row r="6726" spans="1:5">
      <c r="A6726" t="s">
        <v>7820</v>
      </c>
      <c r="B6726" t="s">
        <v>7822</v>
      </c>
      <c r="C6726">
        <v>0</v>
      </c>
      <c r="D6726">
        <v>0.97674232744300005</v>
      </c>
      <c r="E6726">
        <v>9.3073463268365799</v>
      </c>
    </row>
    <row r="6727" spans="1:5">
      <c r="A6727" t="s">
        <v>7820</v>
      </c>
      <c r="B6727" t="s">
        <v>7823</v>
      </c>
      <c r="C6727">
        <v>0</v>
      </c>
      <c r="D6727">
        <v>0.97674232744300005</v>
      </c>
      <c r="E6727">
        <v>9.3073463268365799</v>
      </c>
    </row>
    <row r="6728" spans="1:5">
      <c r="A6728" t="s">
        <v>7820</v>
      </c>
      <c r="B6728" t="s">
        <v>7824</v>
      </c>
      <c r="C6728">
        <v>0</v>
      </c>
      <c r="D6728">
        <v>0.97674232744300005</v>
      </c>
      <c r="E6728">
        <v>9.3073463268365799</v>
      </c>
    </row>
    <row r="6729" spans="1:5">
      <c r="A6729" t="s">
        <v>7820</v>
      </c>
      <c r="B6729" t="s">
        <v>7825</v>
      </c>
      <c r="C6729">
        <v>2.18381458615E-2</v>
      </c>
      <c r="D6729">
        <v>0.97674232744300005</v>
      </c>
      <c r="E6729">
        <v>9.3073463268365799</v>
      </c>
    </row>
    <row r="6730" spans="1:5">
      <c r="A6730" t="s">
        <v>7820</v>
      </c>
      <c r="B6730" t="s">
        <v>7826</v>
      </c>
      <c r="C6730">
        <v>0</v>
      </c>
      <c r="D6730">
        <v>0.97674232744300005</v>
      </c>
      <c r="E6730">
        <v>9.3073463268365799</v>
      </c>
    </row>
    <row r="6731" spans="1:5">
      <c r="A6731" t="s">
        <v>7827</v>
      </c>
      <c r="B6731" t="s">
        <v>7828</v>
      </c>
      <c r="C6731">
        <v>0</v>
      </c>
      <c r="D6731">
        <v>0.81062875458100003</v>
      </c>
      <c r="E6731">
        <v>16.299850074962499</v>
      </c>
    </row>
    <row r="6732" spans="1:5">
      <c r="A6732" t="s">
        <v>7827</v>
      </c>
      <c r="B6732" t="s">
        <v>7829</v>
      </c>
      <c r="C6732">
        <v>0</v>
      </c>
      <c r="D6732">
        <v>0.81062875458100003</v>
      </c>
      <c r="E6732">
        <v>16.299850074962499</v>
      </c>
    </row>
    <row r="6733" spans="1:5">
      <c r="A6733" t="s">
        <v>7827</v>
      </c>
      <c r="B6733" t="s">
        <v>7830</v>
      </c>
      <c r="C6733">
        <v>2.8603690726099998E-3</v>
      </c>
      <c r="D6733">
        <v>0.81062875458100003</v>
      </c>
      <c r="E6733">
        <v>16.299850074962499</v>
      </c>
    </row>
    <row r="6734" spans="1:5">
      <c r="A6734" t="s">
        <v>7827</v>
      </c>
      <c r="B6734" t="s">
        <v>7831</v>
      </c>
      <c r="C6734">
        <v>0</v>
      </c>
      <c r="D6734">
        <v>0.81062875458100003</v>
      </c>
      <c r="E6734">
        <v>16.299850074962499</v>
      </c>
    </row>
    <row r="6735" spans="1:5">
      <c r="A6735" t="s">
        <v>7827</v>
      </c>
      <c r="B6735" t="s">
        <v>7832</v>
      </c>
      <c r="C6735">
        <v>0</v>
      </c>
      <c r="D6735">
        <v>0.81062875458100003</v>
      </c>
      <c r="E6735">
        <v>16.299850074962499</v>
      </c>
    </row>
    <row r="6736" spans="1:5">
      <c r="A6736" t="s">
        <v>7827</v>
      </c>
      <c r="B6736" t="s">
        <v>7833</v>
      </c>
      <c r="C6736">
        <v>0</v>
      </c>
      <c r="D6736">
        <v>0.81062875458100003</v>
      </c>
      <c r="E6736">
        <v>16.299850074962499</v>
      </c>
    </row>
    <row r="6737" spans="1:5">
      <c r="A6737" t="s">
        <v>7827</v>
      </c>
      <c r="B6737" t="s">
        <v>7834</v>
      </c>
      <c r="C6737">
        <v>0</v>
      </c>
      <c r="D6737">
        <v>0.81062875458100003</v>
      </c>
      <c r="E6737">
        <v>16.299850074962499</v>
      </c>
    </row>
    <row r="6738" spans="1:5">
      <c r="A6738" t="s">
        <v>7827</v>
      </c>
      <c r="B6738" t="s">
        <v>7835</v>
      </c>
      <c r="C6738">
        <v>0</v>
      </c>
      <c r="D6738">
        <v>0.81062875458100003</v>
      </c>
      <c r="E6738">
        <v>16.299850074962499</v>
      </c>
    </row>
    <row r="6739" spans="1:5">
      <c r="A6739" t="s">
        <v>7827</v>
      </c>
      <c r="B6739" t="s">
        <v>7836</v>
      </c>
      <c r="C6739">
        <v>9.8894643379299998E-2</v>
      </c>
      <c r="D6739">
        <v>0.81062875458100003</v>
      </c>
      <c r="E6739">
        <v>16.299850074962499</v>
      </c>
    </row>
    <row r="6740" spans="1:5">
      <c r="A6740" t="s">
        <v>7837</v>
      </c>
      <c r="B6740" t="s">
        <v>7838</v>
      </c>
      <c r="C6740">
        <v>0</v>
      </c>
      <c r="D6740">
        <v>0.82806619126699998</v>
      </c>
      <c r="E6740">
        <v>20.7376311844077</v>
      </c>
    </row>
    <row r="6741" spans="1:5">
      <c r="A6741" t="s">
        <v>7837</v>
      </c>
      <c r="B6741" t="s">
        <v>7839</v>
      </c>
      <c r="C6741">
        <v>0</v>
      </c>
      <c r="D6741">
        <v>0.82806619126699998</v>
      </c>
      <c r="E6741">
        <v>20.7376311844077</v>
      </c>
    </row>
    <row r="6742" spans="1:5">
      <c r="A6742" t="s">
        <v>7837</v>
      </c>
      <c r="B6742" t="s">
        <v>7840</v>
      </c>
      <c r="C6742">
        <f>0</f>
        <v>0</v>
      </c>
      <c r="D6742">
        <v>0.82806619126699998</v>
      </c>
      <c r="E6742">
        <v>20.7376311844077</v>
      </c>
    </row>
    <row r="6743" spans="1:5">
      <c r="A6743" t="s">
        <v>7837</v>
      </c>
      <c r="B6743" t="s">
        <v>7841</v>
      </c>
      <c r="C6743">
        <f>0</f>
        <v>0</v>
      </c>
      <c r="D6743">
        <v>0.82806619126699998</v>
      </c>
      <c r="E6743">
        <v>20.7376311844077</v>
      </c>
    </row>
    <row r="6744" spans="1:5">
      <c r="A6744" t="s">
        <v>7837</v>
      </c>
      <c r="B6744" t="s">
        <v>7842</v>
      </c>
      <c r="C6744">
        <v>9.1962865817299996E-2</v>
      </c>
      <c r="D6744">
        <v>0.82806619126699998</v>
      </c>
      <c r="E6744">
        <v>20.7376311844077</v>
      </c>
    </row>
    <row r="6745" spans="1:5">
      <c r="A6745" t="s">
        <v>7843</v>
      </c>
      <c r="B6745" t="s">
        <v>7844</v>
      </c>
      <c r="C6745">
        <f>0</f>
        <v>0</v>
      </c>
      <c r="D6745">
        <v>0.95521827525299996</v>
      </c>
      <c r="E6745">
        <v>15.5082458770614</v>
      </c>
    </row>
    <row r="6746" spans="1:5">
      <c r="A6746" t="s">
        <v>7843</v>
      </c>
      <c r="B6746" t="s">
        <v>7845</v>
      </c>
      <c r="C6746">
        <v>0</v>
      </c>
      <c r="D6746">
        <v>0.95521827525299996</v>
      </c>
      <c r="E6746">
        <v>15.5082458770614</v>
      </c>
    </row>
    <row r="6747" spans="1:5">
      <c r="A6747" t="s">
        <v>7843</v>
      </c>
      <c r="B6747" t="s">
        <v>7846</v>
      </c>
      <c r="C6747">
        <v>0</v>
      </c>
      <c r="D6747">
        <v>0.95521827525299996</v>
      </c>
      <c r="E6747">
        <v>15.5082458770614</v>
      </c>
    </row>
    <row r="6748" spans="1:5">
      <c r="A6748" t="s">
        <v>7843</v>
      </c>
      <c r="B6748" t="s">
        <v>7847</v>
      </c>
      <c r="C6748">
        <v>0</v>
      </c>
      <c r="D6748">
        <v>0.95521827525299996</v>
      </c>
      <c r="E6748">
        <v>15.5082458770614</v>
      </c>
    </row>
    <row r="6749" spans="1:5">
      <c r="A6749" t="s">
        <v>7843</v>
      </c>
      <c r="B6749" t="s">
        <v>7848</v>
      </c>
      <c r="C6749">
        <v>0</v>
      </c>
      <c r="D6749">
        <v>0.95521827525299996</v>
      </c>
      <c r="E6749">
        <v>15.5082458770614</v>
      </c>
    </row>
    <row r="6750" spans="1:5">
      <c r="A6750" t="s">
        <v>7843</v>
      </c>
      <c r="B6750" t="s">
        <v>7849</v>
      </c>
      <c r="C6750">
        <v>0.203294844916</v>
      </c>
      <c r="D6750">
        <v>0.95521827525299996</v>
      </c>
      <c r="E6750">
        <v>15.5082458770614</v>
      </c>
    </row>
    <row r="6751" spans="1:5">
      <c r="A6751" t="s">
        <v>7843</v>
      </c>
      <c r="B6751" t="s">
        <v>7850</v>
      </c>
      <c r="C6751">
        <v>0</v>
      </c>
      <c r="D6751">
        <v>0.95521827525299996</v>
      </c>
      <c r="E6751">
        <v>15.5082458770614</v>
      </c>
    </row>
    <row r="6752" spans="1:5">
      <c r="A6752" t="s">
        <v>7843</v>
      </c>
      <c r="B6752" t="s">
        <v>7851</v>
      </c>
      <c r="C6752">
        <v>0</v>
      </c>
      <c r="D6752">
        <v>0.95521827525299996</v>
      </c>
      <c r="E6752">
        <v>15.5082458770614</v>
      </c>
    </row>
    <row r="6753" spans="1:5">
      <c r="A6753" t="s">
        <v>7843</v>
      </c>
      <c r="B6753" t="s">
        <v>7852</v>
      </c>
      <c r="C6753">
        <v>0</v>
      </c>
      <c r="D6753">
        <v>0.95521827525299996</v>
      </c>
      <c r="E6753">
        <v>15.5082458770614</v>
      </c>
    </row>
    <row r="6754" spans="1:5">
      <c r="A6754" t="s">
        <v>7843</v>
      </c>
      <c r="B6754" t="s">
        <v>7853</v>
      </c>
      <c r="C6754">
        <v>0</v>
      </c>
      <c r="D6754">
        <v>0.95521827525299996</v>
      </c>
      <c r="E6754">
        <v>15.5082458770614</v>
      </c>
    </row>
    <row r="6755" spans="1:5">
      <c r="A6755" t="s">
        <v>7854</v>
      </c>
      <c r="B6755" t="s">
        <v>7855</v>
      </c>
      <c r="C6755">
        <f>0</f>
        <v>0</v>
      </c>
      <c r="D6755" t="s">
        <v>106</v>
      </c>
      <c r="E6755">
        <v>4.2698650674662604</v>
      </c>
    </row>
    <row r="6756" spans="1:5">
      <c r="A6756" t="s">
        <v>7854</v>
      </c>
      <c r="B6756" t="s">
        <v>7856</v>
      </c>
      <c r="C6756">
        <f>0</f>
        <v>0</v>
      </c>
      <c r="D6756" t="s">
        <v>106</v>
      </c>
      <c r="E6756">
        <v>4.2698650674662604</v>
      </c>
    </row>
    <row r="6757" spans="1:5">
      <c r="A6757" t="s">
        <v>7854</v>
      </c>
      <c r="B6757" t="s">
        <v>7857</v>
      </c>
      <c r="C6757">
        <f>0</f>
        <v>0</v>
      </c>
      <c r="D6757" t="s">
        <v>106</v>
      </c>
      <c r="E6757">
        <v>4.2698650674662604</v>
      </c>
    </row>
    <row r="6758" spans="1:5">
      <c r="A6758" t="s">
        <v>7858</v>
      </c>
      <c r="B6758" t="s">
        <v>7859</v>
      </c>
      <c r="C6758">
        <f>0</f>
        <v>0</v>
      </c>
      <c r="D6758">
        <v>0.90620795936599996</v>
      </c>
      <c r="E6758">
        <v>13.625187406296799</v>
      </c>
    </row>
    <row r="6759" spans="1:5">
      <c r="A6759" t="s">
        <v>7858</v>
      </c>
      <c r="B6759" t="s">
        <v>7860</v>
      </c>
      <c r="C6759">
        <f>0</f>
        <v>0</v>
      </c>
      <c r="D6759">
        <v>0.90620795936599996</v>
      </c>
      <c r="E6759">
        <v>13.625187406296799</v>
      </c>
    </row>
    <row r="6760" spans="1:5">
      <c r="A6760" t="s">
        <v>7858</v>
      </c>
      <c r="B6760" t="s">
        <v>7861</v>
      </c>
      <c r="C6760">
        <f>0</f>
        <v>0</v>
      </c>
      <c r="D6760">
        <v>0.90620795936599996</v>
      </c>
      <c r="E6760">
        <v>13.625187406296799</v>
      </c>
    </row>
    <row r="6761" spans="1:5">
      <c r="A6761" t="s">
        <v>7858</v>
      </c>
      <c r="B6761" t="s">
        <v>7862</v>
      </c>
      <c r="C6761">
        <f>0</f>
        <v>0</v>
      </c>
      <c r="D6761">
        <v>0.90620795936599996</v>
      </c>
      <c r="E6761">
        <v>13.625187406296799</v>
      </c>
    </row>
    <row r="6762" spans="1:5">
      <c r="A6762" t="s">
        <v>7858</v>
      </c>
      <c r="B6762" t="s">
        <v>7863</v>
      </c>
      <c r="C6762">
        <f>0.0757725552612</f>
        <v>7.5772555261199998E-2</v>
      </c>
      <c r="D6762">
        <v>0.90620795936599996</v>
      </c>
      <c r="E6762">
        <v>13.625187406296799</v>
      </c>
    </row>
    <row r="6763" spans="1:5">
      <c r="A6763" t="s">
        <v>7858</v>
      </c>
      <c r="B6763" t="s">
        <v>7864</v>
      </c>
      <c r="C6763">
        <f>0</f>
        <v>0</v>
      </c>
      <c r="D6763">
        <v>0.90620795936599996</v>
      </c>
      <c r="E6763">
        <v>13.625187406296799</v>
      </c>
    </row>
    <row r="6764" spans="1:5">
      <c r="A6764" t="s">
        <v>7858</v>
      </c>
      <c r="B6764" t="s">
        <v>7865</v>
      </c>
      <c r="C6764">
        <v>0</v>
      </c>
      <c r="D6764">
        <v>0.90620795936599996</v>
      </c>
      <c r="E6764">
        <v>13.625187406296799</v>
      </c>
    </row>
    <row r="6765" spans="1:5">
      <c r="A6765" t="s">
        <v>7866</v>
      </c>
      <c r="B6765" t="s">
        <v>7867</v>
      </c>
      <c r="C6765">
        <v>0</v>
      </c>
      <c r="D6765">
        <v>0.88184651097900002</v>
      </c>
      <c r="E6765">
        <v>11.7061469265367</v>
      </c>
    </row>
    <row r="6766" spans="1:5">
      <c r="A6766" t="s">
        <v>7866</v>
      </c>
      <c r="B6766" t="s">
        <v>7868</v>
      </c>
      <c r="C6766">
        <f>0</f>
        <v>0</v>
      </c>
      <c r="D6766">
        <v>0.88184651097900002</v>
      </c>
      <c r="E6766">
        <v>11.7061469265367</v>
      </c>
    </row>
    <row r="6767" spans="1:5">
      <c r="A6767" t="s">
        <v>7866</v>
      </c>
      <c r="B6767" t="s">
        <v>7869</v>
      </c>
      <c r="C6767">
        <f>0</f>
        <v>0</v>
      </c>
      <c r="D6767">
        <v>0.88184651097900002</v>
      </c>
      <c r="E6767">
        <v>11.7061469265367</v>
      </c>
    </row>
    <row r="6768" spans="1:5">
      <c r="A6768" t="s">
        <v>7866</v>
      </c>
      <c r="B6768" t="s">
        <v>7870</v>
      </c>
      <c r="C6768">
        <v>0.29947069775000001</v>
      </c>
      <c r="D6768">
        <v>0.88184651097900002</v>
      </c>
      <c r="E6768">
        <v>11.7061469265367</v>
      </c>
    </row>
    <row r="6769" spans="1:5">
      <c r="A6769" t="s">
        <v>7866</v>
      </c>
      <c r="B6769" t="s">
        <v>7871</v>
      </c>
      <c r="C6769">
        <f>0</f>
        <v>0</v>
      </c>
      <c r="D6769">
        <v>0.88184651097900002</v>
      </c>
      <c r="E6769">
        <v>11.7061469265367</v>
      </c>
    </row>
    <row r="6770" spans="1:5">
      <c r="A6770" t="s">
        <v>7872</v>
      </c>
      <c r="B6770" t="s">
        <v>7873</v>
      </c>
      <c r="C6770">
        <f>0.00604611416341</f>
        <v>6.0461141634099999E-3</v>
      </c>
      <c r="D6770">
        <v>0.89332322006599996</v>
      </c>
      <c r="E6770">
        <v>14.3688155922038</v>
      </c>
    </row>
    <row r="6771" spans="1:5">
      <c r="A6771" t="s">
        <v>7872</v>
      </c>
      <c r="B6771" t="s">
        <v>7874</v>
      </c>
      <c r="C6771">
        <f>0</f>
        <v>0</v>
      </c>
      <c r="D6771">
        <v>0.89332322006599996</v>
      </c>
      <c r="E6771">
        <v>14.3688155922038</v>
      </c>
    </row>
    <row r="6772" spans="1:5">
      <c r="A6772" t="s">
        <v>7872</v>
      </c>
      <c r="B6772" t="s">
        <v>7875</v>
      </c>
      <c r="C6772">
        <f>0</f>
        <v>0</v>
      </c>
      <c r="D6772">
        <v>0.89332322006599996</v>
      </c>
      <c r="E6772">
        <v>14.3688155922038</v>
      </c>
    </row>
    <row r="6773" spans="1:5">
      <c r="A6773" t="s">
        <v>7872</v>
      </c>
      <c r="B6773" t="s">
        <v>7876</v>
      </c>
      <c r="C6773">
        <f>0.125829906022</f>
        <v>0.125829906022</v>
      </c>
      <c r="D6773">
        <v>0.89332322006599996</v>
      </c>
      <c r="E6773">
        <v>14.3688155922038</v>
      </c>
    </row>
    <row r="6774" spans="1:5">
      <c r="A6774" t="s">
        <v>7877</v>
      </c>
      <c r="B6774" t="s">
        <v>7878</v>
      </c>
      <c r="C6774">
        <f>0</f>
        <v>0</v>
      </c>
      <c r="D6774" t="s">
        <v>106</v>
      </c>
      <c r="E6774">
        <v>12.3898050974512</v>
      </c>
    </row>
    <row r="6775" spans="1:5">
      <c r="A6775" t="s">
        <v>7877</v>
      </c>
      <c r="B6775" t="s">
        <v>7879</v>
      </c>
      <c r="C6775">
        <v>0</v>
      </c>
      <c r="D6775" t="s">
        <v>106</v>
      </c>
      <c r="E6775">
        <v>12.3898050974512</v>
      </c>
    </row>
    <row r="6776" spans="1:5">
      <c r="A6776" t="s">
        <v>7880</v>
      </c>
      <c r="B6776" t="s">
        <v>7881</v>
      </c>
      <c r="C6776">
        <v>0</v>
      </c>
      <c r="D6776" t="s">
        <v>106</v>
      </c>
      <c r="E6776">
        <v>7.1964017991004496</v>
      </c>
    </row>
    <row r="6777" spans="1:5">
      <c r="A6777" t="s">
        <v>7880</v>
      </c>
      <c r="B6777" t="s">
        <v>7882</v>
      </c>
      <c r="C6777">
        <f>0</f>
        <v>0</v>
      </c>
      <c r="D6777" t="s">
        <v>106</v>
      </c>
      <c r="E6777">
        <v>7.1964017991004496</v>
      </c>
    </row>
    <row r="6778" spans="1:5">
      <c r="A6778" t="s">
        <v>7880</v>
      </c>
      <c r="B6778" t="s">
        <v>7883</v>
      </c>
      <c r="C6778">
        <f>0</f>
        <v>0</v>
      </c>
      <c r="D6778" t="s">
        <v>106</v>
      </c>
      <c r="E6778">
        <v>7.1964017991004496</v>
      </c>
    </row>
    <row r="6779" spans="1:5">
      <c r="A6779" t="s">
        <v>7880</v>
      </c>
      <c r="B6779" t="s">
        <v>7884</v>
      </c>
      <c r="C6779">
        <f>0</f>
        <v>0</v>
      </c>
      <c r="D6779" t="s">
        <v>106</v>
      </c>
      <c r="E6779">
        <v>7.1964017991004496</v>
      </c>
    </row>
    <row r="6780" spans="1:5">
      <c r="A6780" t="s">
        <v>7880</v>
      </c>
      <c r="B6780" t="s">
        <v>7885</v>
      </c>
      <c r="C6780">
        <v>0</v>
      </c>
      <c r="D6780" t="s">
        <v>106</v>
      </c>
      <c r="E6780">
        <v>7.1964017991004496</v>
      </c>
    </row>
    <row r="6781" spans="1:5">
      <c r="A6781" t="s">
        <v>7880</v>
      </c>
      <c r="B6781" t="s">
        <v>7886</v>
      </c>
      <c r="C6781">
        <v>0</v>
      </c>
      <c r="D6781" t="s">
        <v>106</v>
      </c>
      <c r="E6781">
        <v>7.1964017991004496</v>
      </c>
    </row>
    <row r="6782" spans="1:5">
      <c r="A6782" t="s">
        <v>7880</v>
      </c>
      <c r="B6782" t="s">
        <v>7887</v>
      </c>
      <c r="C6782">
        <f>0</f>
        <v>0</v>
      </c>
      <c r="D6782" t="s">
        <v>106</v>
      </c>
      <c r="E6782">
        <v>7.1964017991004496</v>
      </c>
    </row>
    <row r="6783" spans="1:5">
      <c r="A6783" t="s">
        <v>7880</v>
      </c>
      <c r="B6783" t="s">
        <v>7888</v>
      </c>
      <c r="C6783">
        <v>0</v>
      </c>
      <c r="D6783" t="s">
        <v>106</v>
      </c>
      <c r="E6783">
        <v>7.1964017991004496</v>
      </c>
    </row>
    <row r="6784" spans="1:5">
      <c r="A6784" t="s">
        <v>7880</v>
      </c>
      <c r="B6784" t="s">
        <v>7889</v>
      </c>
      <c r="C6784">
        <f>0</f>
        <v>0</v>
      </c>
      <c r="D6784" t="s">
        <v>106</v>
      </c>
      <c r="E6784">
        <v>7.1964017991004496</v>
      </c>
    </row>
    <row r="6785" spans="1:5">
      <c r="A6785" t="s">
        <v>7880</v>
      </c>
      <c r="B6785" t="s">
        <v>7890</v>
      </c>
      <c r="C6785">
        <v>0</v>
      </c>
      <c r="D6785" t="s">
        <v>106</v>
      </c>
      <c r="E6785">
        <v>7.1964017991004496</v>
      </c>
    </row>
    <row r="6786" spans="1:5">
      <c r="A6786" t="s">
        <v>7891</v>
      </c>
      <c r="B6786" t="s">
        <v>7892</v>
      </c>
      <c r="C6786">
        <v>0</v>
      </c>
      <c r="D6786">
        <v>0.79445426837499999</v>
      </c>
      <c r="E6786">
        <v>24</v>
      </c>
    </row>
    <row r="6787" spans="1:5">
      <c r="A6787" t="s">
        <v>7891</v>
      </c>
      <c r="B6787" t="s">
        <v>7893</v>
      </c>
      <c r="C6787">
        <f>0</f>
        <v>0</v>
      </c>
      <c r="D6787">
        <v>0.79445426837499999</v>
      </c>
      <c r="E6787">
        <v>24</v>
      </c>
    </row>
    <row r="6788" spans="1:5">
      <c r="A6788" t="s">
        <v>7891</v>
      </c>
      <c r="B6788" t="s">
        <v>7894</v>
      </c>
      <c r="C6788">
        <v>0.194062129192</v>
      </c>
      <c r="D6788">
        <v>0.79445426837499999</v>
      </c>
      <c r="E6788">
        <v>24</v>
      </c>
    </row>
    <row r="6789" spans="1:5">
      <c r="A6789" t="s">
        <v>7895</v>
      </c>
      <c r="B6789" t="s">
        <v>7896</v>
      </c>
      <c r="C6789">
        <v>0</v>
      </c>
      <c r="D6789" t="s">
        <v>106</v>
      </c>
      <c r="E6789">
        <v>2.0269865067466202</v>
      </c>
    </row>
    <row r="6790" spans="1:5">
      <c r="A6790" t="s">
        <v>7895</v>
      </c>
      <c r="B6790" t="s">
        <v>7897</v>
      </c>
      <c r="C6790">
        <f>0</f>
        <v>0</v>
      </c>
      <c r="D6790" t="s">
        <v>106</v>
      </c>
      <c r="E6790">
        <v>2.0269865067466202</v>
      </c>
    </row>
    <row r="6791" spans="1:5">
      <c r="A6791" t="s">
        <v>7895</v>
      </c>
      <c r="B6791" t="s">
        <v>7898</v>
      </c>
      <c r="C6791">
        <f>0</f>
        <v>0</v>
      </c>
      <c r="D6791" t="s">
        <v>106</v>
      </c>
      <c r="E6791">
        <v>2.0269865067466202</v>
      </c>
    </row>
    <row r="6792" spans="1:5">
      <c r="A6792" t="s">
        <v>7899</v>
      </c>
      <c r="B6792" t="s">
        <v>7900</v>
      </c>
      <c r="C6792">
        <v>0.203902277902</v>
      </c>
      <c r="D6792">
        <v>0.93001434804500005</v>
      </c>
      <c r="E6792">
        <v>11.8740629685157</v>
      </c>
    </row>
    <row r="6793" spans="1:5">
      <c r="A6793" t="s">
        <v>7899</v>
      </c>
      <c r="B6793" t="s">
        <v>7901</v>
      </c>
      <c r="C6793">
        <v>0</v>
      </c>
      <c r="D6793">
        <v>0.93001434804500005</v>
      </c>
      <c r="E6793">
        <v>11.8740629685157</v>
      </c>
    </row>
    <row r="6794" spans="1:5">
      <c r="A6794" t="s">
        <v>7899</v>
      </c>
      <c r="B6794" t="s">
        <v>7902</v>
      </c>
      <c r="C6794">
        <f>0</f>
        <v>0</v>
      </c>
      <c r="D6794">
        <v>0.93001434804500005</v>
      </c>
      <c r="E6794">
        <v>11.8740629685157</v>
      </c>
    </row>
    <row r="6795" spans="1:5">
      <c r="A6795" t="s">
        <v>7903</v>
      </c>
      <c r="B6795" t="s">
        <v>7904</v>
      </c>
      <c r="C6795">
        <v>0</v>
      </c>
      <c r="D6795">
        <v>0.97455063684800003</v>
      </c>
      <c r="E6795">
        <v>12.3898050974512</v>
      </c>
    </row>
    <row r="6796" spans="1:5">
      <c r="A6796" t="s">
        <v>7903</v>
      </c>
      <c r="B6796" t="s">
        <v>7905</v>
      </c>
      <c r="C6796">
        <v>0.11333433305399999</v>
      </c>
      <c r="D6796">
        <v>0.97455063684800003</v>
      </c>
      <c r="E6796">
        <v>12.3898050974512</v>
      </c>
    </row>
    <row r="6797" spans="1:5">
      <c r="A6797" t="s">
        <v>7903</v>
      </c>
      <c r="B6797" t="s">
        <v>7906</v>
      </c>
      <c r="C6797">
        <f>0</f>
        <v>0</v>
      </c>
      <c r="D6797">
        <v>0.97455063684800003</v>
      </c>
      <c r="E6797">
        <v>12.3898050974512</v>
      </c>
    </row>
    <row r="6798" spans="1:5">
      <c r="A6798" t="s">
        <v>7903</v>
      </c>
      <c r="B6798" t="s">
        <v>7907</v>
      </c>
      <c r="C6798">
        <f>0.195366154845</f>
        <v>0.195366154845</v>
      </c>
      <c r="D6798">
        <v>0.97455063684800003</v>
      </c>
      <c r="E6798">
        <v>12.3898050974512</v>
      </c>
    </row>
    <row r="6799" spans="1:5">
      <c r="A6799" t="s">
        <v>7903</v>
      </c>
      <c r="B6799" t="s">
        <v>7908</v>
      </c>
      <c r="C6799">
        <f>0</f>
        <v>0</v>
      </c>
      <c r="D6799">
        <v>0.97455063684800003</v>
      </c>
      <c r="E6799">
        <v>12.3898050974512</v>
      </c>
    </row>
    <row r="6800" spans="1:5">
      <c r="A6800" t="s">
        <v>7903</v>
      </c>
      <c r="B6800" t="s">
        <v>7909</v>
      </c>
      <c r="C6800">
        <f>0</f>
        <v>0</v>
      </c>
      <c r="D6800">
        <v>0.97455063684800003</v>
      </c>
      <c r="E6800">
        <v>12.3898050974512</v>
      </c>
    </row>
    <row r="6801" spans="1:5">
      <c r="A6801" t="s">
        <v>7903</v>
      </c>
      <c r="B6801" t="s">
        <v>7910</v>
      </c>
      <c r="C6801">
        <f>0</f>
        <v>0</v>
      </c>
      <c r="D6801">
        <v>0.97455063684800003</v>
      </c>
      <c r="E6801">
        <v>12.3898050974512</v>
      </c>
    </row>
    <row r="6802" spans="1:5">
      <c r="A6802" t="s">
        <v>7903</v>
      </c>
      <c r="B6802" t="s">
        <v>7911</v>
      </c>
      <c r="C6802">
        <f>0</f>
        <v>0</v>
      </c>
      <c r="D6802">
        <v>0.97455063684800003</v>
      </c>
      <c r="E6802">
        <v>12.3898050974512</v>
      </c>
    </row>
    <row r="6803" spans="1:5">
      <c r="A6803" t="s">
        <v>7912</v>
      </c>
      <c r="B6803" t="s">
        <v>7913</v>
      </c>
      <c r="C6803">
        <f>0.0590367706589</f>
        <v>5.9036770658899999E-2</v>
      </c>
      <c r="D6803">
        <v>0.78238436873799999</v>
      </c>
      <c r="E6803">
        <v>24</v>
      </c>
    </row>
    <row r="6804" spans="1:5">
      <c r="A6804" t="s">
        <v>7912</v>
      </c>
      <c r="B6804" t="s">
        <v>7914</v>
      </c>
      <c r="C6804">
        <f>0</f>
        <v>0</v>
      </c>
      <c r="D6804">
        <v>0.78238436873799999</v>
      </c>
      <c r="E6804">
        <v>24</v>
      </c>
    </row>
    <row r="6805" spans="1:5">
      <c r="A6805" t="s">
        <v>7912</v>
      </c>
      <c r="B6805" t="s">
        <v>7915</v>
      </c>
      <c r="C6805">
        <f>0</f>
        <v>0</v>
      </c>
      <c r="D6805">
        <v>0.78238436873799999</v>
      </c>
      <c r="E6805">
        <v>24</v>
      </c>
    </row>
    <row r="6806" spans="1:5">
      <c r="A6806" t="s">
        <v>7912</v>
      </c>
      <c r="B6806" t="s">
        <v>7916</v>
      </c>
      <c r="C6806">
        <v>0</v>
      </c>
      <c r="D6806">
        <v>0.78238436873799999</v>
      </c>
      <c r="E6806">
        <v>24</v>
      </c>
    </row>
    <row r="6807" spans="1:5">
      <c r="A6807" t="s">
        <v>7912</v>
      </c>
      <c r="B6807" t="s">
        <v>7917</v>
      </c>
      <c r="C6807">
        <f>0</f>
        <v>0</v>
      </c>
      <c r="D6807">
        <v>0.78238436873799999</v>
      </c>
      <c r="E6807">
        <v>24</v>
      </c>
    </row>
    <row r="6808" spans="1:5">
      <c r="A6808" t="s">
        <v>7912</v>
      </c>
      <c r="B6808" t="s">
        <v>7918</v>
      </c>
      <c r="C6808">
        <f>0</f>
        <v>0</v>
      </c>
      <c r="D6808">
        <v>0.78238436873799999</v>
      </c>
      <c r="E6808">
        <v>24</v>
      </c>
    </row>
    <row r="6809" spans="1:5">
      <c r="A6809" t="s">
        <v>7912</v>
      </c>
      <c r="B6809" t="s">
        <v>7919</v>
      </c>
      <c r="C6809">
        <v>0</v>
      </c>
      <c r="D6809">
        <v>0.78238436873799999</v>
      </c>
      <c r="E6809">
        <v>24</v>
      </c>
    </row>
    <row r="6810" spans="1:5">
      <c r="A6810" t="s">
        <v>7912</v>
      </c>
      <c r="B6810" t="s">
        <v>7920</v>
      </c>
      <c r="C6810">
        <v>0</v>
      </c>
      <c r="D6810">
        <v>0.78238436873799999</v>
      </c>
      <c r="E6810">
        <v>24</v>
      </c>
    </row>
    <row r="6811" spans="1:5">
      <c r="A6811" t="s">
        <v>7912</v>
      </c>
      <c r="B6811" t="s">
        <v>7921</v>
      </c>
      <c r="C6811">
        <f>0</f>
        <v>0</v>
      </c>
      <c r="D6811">
        <v>0.78238436873799999</v>
      </c>
      <c r="E6811">
        <v>24</v>
      </c>
    </row>
    <row r="6812" spans="1:5">
      <c r="A6812" t="s">
        <v>7912</v>
      </c>
      <c r="B6812" t="s">
        <v>7922</v>
      </c>
      <c r="C6812">
        <v>1.9866107668299999E-3</v>
      </c>
      <c r="D6812">
        <v>0.78238436873799999</v>
      </c>
      <c r="E6812">
        <v>24</v>
      </c>
    </row>
    <row r="6813" spans="1:5">
      <c r="A6813" t="s">
        <v>7912</v>
      </c>
      <c r="B6813" t="s">
        <v>7923</v>
      </c>
      <c r="C6813">
        <f>0</f>
        <v>0</v>
      </c>
      <c r="D6813">
        <v>0.78238436873799999</v>
      </c>
      <c r="E6813">
        <v>24</v>
      </c>
    </row>
    <row r="6814" spans="1:5">
      <c r="A6814" t="s">
        <v>7924</v>
      </c>
      <c r="B6814" t="s">
        <v>7925</v>
      </c>
      <c r="C6814">
        <v>0</v>
      </c>
      <c r="D6814">
        <v>0.80087234191800005</v>
      </c>
      <c r="E6814">
        <v>5.4692653673163401</v>
      </c>
    </row>
    <row r="6815" spans="1:5">
      <c r="A6815" t="s">
        <v>7924</v>
      </c>
      <c r="B6815" t="s">
        <v>7926</v>
      </c>
      <c r="C6815">
        <v>0</v>
      </c>
      <c r="D6815">
        <v>0.80087234191800005</v>
      </c>
      <c r="E6815">
        <v>5.4692653673163401</v>
      </c>
    </row>
    <row r="6816" spans="1:5">
      <c r="A6816" t="s">
        <v>7924</v>
      </c>
      <c r="B6816" t="s">
        <v>7927</v>
      </c>
      <c r="C6816">
        <v>0</v>
      </c>
      <c r="D6816">
        <v>0.80087234191800005</v>
      </c>
      <c r="E6816">
        <v>5.4692653673163401</v>
      </c>
    </row>
    <row r="6817" spans="1:5">
      <c r="A6817" t="s">
        <v>7924</v>
      </c>
      <c r="B6817" t="s">
        <v>7928</v>
      </c>
      <c r="C6817">
        <v>0</v>
      </c>
      <c r="D6817">
        <v>0.80087234191800005</v>
      </c>
      <c r="E6817">
        <v>5.4692653673163401</v>
      </c>
    </row>
    <row r="6818" spans="1:5">
      <c r="A6818" t="s">
        <v>7924</v>
      </c>
      <c r="B6818" t="s">
        <v>7929</v>
      </c>
      <c r="C6818">
        <v>0</v>
      </c>
      <c r="D6818">
        <v>0.80087234191800005</v>
      </c>
      <c r="E6818">
        <v>5.4692653673163401</v>
      </c>
    </row>
    <row r="6819" spans="1:5">
      <c r="A6819" t="s">
        <v>7924</v>
      </c>
      <c r="B6819" t="s">
        <v>7930</v>
      </c>
      <c r="C6819">
        <v>0</v>
      </c>
      <c r="D6819">
        <v>0.80087234191800005</v>
      </c>
      <c r="E6819">
        <v>5.4692653673163401</v>
      </c>
    </row>
    <row r="6820" spans="1:5">
      <c r="A6820" t="s">
        <v>7924</v>
      </c>
      <c r="B6820" t="s">
        <v>7931</v>
      </c>
      <c r="C6820">
        <v>0</v>
      </c>
      <c r="D6820">
        <v>0.80087234191800005</v>
      </c>
      <c r="E6820">
        <v>5.4692653673163401</v>
      </c>
    </row>
    <row r="6821" spans="1:5">
      <c r="A6821" t="s">
        <v>7924</v>
      </c>
      <c r="B6821" t="s">
        <v>7932</v>
      </c>
      <c r="C6821">
        <v>0</v>
      </c>
      <c r="D6821">
        <v>0.80087234191800005</v>
      </c>
      <c r="E6821">
        <v>5.4692653673163401</v>
      </c>
    </row>
    <row r="6822" spans="1:5">
      <c r="A6822" t="s">
        <v>7924</v>
      </c>
      <c r="B6822" t="s">
        <v>7933</v>
      </c>
      <c r="C6822">
        <v>0</v>
      </c>
      <c r="D6822">
        <v>0.80087234191800005</v>
      </c>
      <c r="E6822">
        <v>5.4692653673163401</v>
      </c>
    </row>
    <row r="6823" spans="1:5">
      <c r="A6823" t="s">
        <v>7924</v>
      </c>
      <c r="B6823" t="s">
        <v>7934</v>
      </c>
      <c r="C6823">
        <v>0</v>
      </c>
      <c r="D6823">
        <v>0.80087234191800005</v>
      </c>
      <c r="E6823">
        <v>5.4692653673163401</v>
      </c>
    </row>
    <row r="6824" spans="1:5">
      <c r="A6824" t="s">
        <v>7924</v>
      </c>
      <c r="B6824" t="s">
        <v>7935</v>
      </c>
      <c r="C6824">
        <v>0</v>
      </c>
      <c r="D6824">
        <v>0.80087234191800005</v>
      </c>
      <c r="E6824">
        <v>5.4692653673163401</v>
      </c>
    </row>
    <row r="6825" spans="1:5">
      <c r="A6825" t="s">
        <v>7924</v>
      </c>
      <c r="B6825" t="s">
        <v>7936</v>
      </c>
      <c r="C6825">
        <v>0</v>
      </c>
      <c r="D6825">
        <v>0.80087234191800005</v>
      </c>
      <c r="E6825">
        <v>5.4692653673163401</v>
      </c>
    </row>
    <row r="6826" spans="1:5">
      <c r="A6826" t="s">
        <v>7924</v>
      </c>
      <c r="B6826" t="s">
        <v>7937</v>
      </c>
      <c r="C6826">
        <v>0</v>
      </c>
      <c r="D6826">
        <v>0.80087234191800005</v>
      </c>
      <c r="E6826">
        <v>5.4692653673163401</v>
      </c>
    </row>
    <row r="6827" spans="1:5">
      <c r="A6827" t="s">
        <v>7924</v>
      </c>
      <c r="B6827" t="s">
        <v>7938</v>
      </c>
      <c r="C6827">
        <v>0</v>
      </c>
      <c r="D6827">
        <v>0.80087234191800005</v>
      </c>
      <c r="E6827">
        <v>5.4692653673163401</v>
      </c>
    </row>
    <row r="6828" spans="1:5">
      <c r="A6828" t="s">
        <v>7924</v>
      </c>
      <c r="B6828" t="s">
        <v>7939</v>
      </c>
      <c r="C6828">
        <v>0</v>
      </c>
      <c r="D6828">
        <v>0.80087234191800005</v>
      </c>
      <c r="E6828">
        <v>5.4692653673163401</v>
      </c>
    </row>
    <row r="6829" spans="1:5">
      <c r="A6829" t="s">
        <v>7924</v>
      </c>
      <c r="B6829" t="s">
        <v>7940</v>
      </c>
      <c r="C6829">
        <v>0</v>
      </c>
      <c r="D6829">
        <v>0.80087234191800005</v>
      </c>
      <c r="E6829">
        <v>5.4692653673163401</v>
      </c>
    </row>
    <row r="6830" spans="1:5">
      <c r="A6830" t="s">
        <v>7941</v>
      </c>
      <c r="B6830" t="s">
        <v>7942</v>
      </c>
      <c r="C6830">
        <v>0</v>
      </c>
      <c r="D6830">
        <v>0.98554237150000001</v>
      </c>
      <c r="E6830">
        <v>12.2098950524737</v>
      </c>
    </row>
    <row r="6831" spans="1:5">
      <c r="A6831" t="s">
        <v>7941</v>
      </c>
      <c r="B6831" t="s">
        <v>7943</v>
      </c>
      <c r="C6831">
        <f>0.0519518780922</f>
        <v>5.1951878092199998E-2</v>
      </c>
      <c r="D6831">
        <v>0.98554237150000001</v>
      </c>
      <c r="E6831">
        <v>12.2098950524737</v>
      </c>
    </row>
    <row r="6832" spans="1:5">
      <c r="A6832" t="s">
        <v>7941</v>
      </c>
      <c r="B6832" t="s">
        <v>7944</v>
      </c>
      <c r="C6832">
        <f>0</f>
        <v>0</v>
      </c>
      <c r="D6832">
        <v>0.98554237150000001</v>
      </c>
      <c r="E6832">
        <v>12.2098950524737</v>
      </c>
    </row>
    <row r="6833" spans="1:5">
      <c r="A6833" t="s">
        <v>7941</v>
      </c>
      <c r="B6833" t="s">
        <v>7945</v>
      </c>
      <c r="C6833">
        <f>0</f>
        <v>0</v>
      </c>
      <c r="D6833">
        <v>0.98554237150000001</v>
      </c>
      <c r="E6833">
        <v>12.2098950524737</v>
      </c>
    </row>
    <row r="6834" spans="1:5">
      <c r="A6834" t="s">
        <v>7941</v>
      </c>
      <c r="B6834" t="s">
        <v>7946</v>
      </c>
      <c r="C6834">
        <f>0.0837627916487</f>
        <v>8.37627916487E-2</v>
      </c>
      <c r="D6834">
        <v>0.98554237150000001</v>
      </c>
      <c r="E6834">
        <v>12.2098950524737</v>
      </c>
    </row>
    <row r="6835" spans="1:5">
      <c r="A6835" t="s">
        <v>7941</v>
      </c>
      <c r="B6835" t="s">
        <v>7947</v>
      </c>
      <c r="C6835">
        <v>0</v>
      </c>
      <c r="D6835">
        <v>0.98554237150000001</v>
      </c>
      <c r="E6835">
        <v>12.2098950524737</v>
      </c>
    </row>
    <row r="6836" spans="1:5">
      <c r="A6836" t="s">
        <v>7941</v>
      </c>
      <c r="B6836" t="s">
        <v>7948</v>
      </c>
      <c r="C6836">
        <v>0</v>
      </c>
      <c r="D6836">
        <v>0.98554237150000001</v>
      </c>
      <c r="E6836">
        <v>12.2098950524737</v>
      </c>
    </row>
    <row r="6837" spans="1:5">
      <c r="A6837" t="s">
        <v>7941</v>
      </c>
      <c r="B6837" t="s">
        <v>7949</v>
      </c>
      <c r="C6837">
        <f>0</f>
        <v>0</v>
      </c>
      <c r="D6837">
        <v>0.98554237150000001</v>
      </c>
      <c r="E6837">
        <v>12.2098950524737</v>
      </c>
    </row>
    <row r="6838" spans="1:5">
      <c r="A6838" t="s">
        <v>7941</v>
      </c>
      <c r="B6838" t="s">
        <v>7950</v>
      </c>
      <c r="C6838">
        <v>0</v>
      </c>
      <c r="D6838">
        <v>0.98554237150000001</v>
      </c>
      <c r="E6838">
        <v>12.2098950524737</v>
      </c>
    </row>
    <row r="6839" spans="1:5">
      <c r="A6839" t="s">
        <v>7941</v>
      </c>
      <c r="B6839" t="s">
        <v>7951</v>
      </c>
      <c r="C6839">
        <f>0</f>
        <v>0</v>
      </c>
      <c r="D6839">
        <v>0.98554237150000001</v>
      </c>
      <c r="E6839">
        <v>12.2098950524737</v>
      </c>
    </row>
    <row r="6840" spans="1:5">
      <c r="A6840" t="s">
        <v>7952</v>
      </c>
      <c r="B6840" t="s">
        <v>7953</v>
      </c>
      <c r="C6840">
        <v>0</v>
      </c>
      <c r="D6840">
        <v>0.98925011393600004</v>
      </c>
      <c r="E6840">
        <v>9.3073463268365799</v>
      </c>
    </row>
    <row r="6841" spans="1:5">
      <c r="A6841" t="s">
        <v>7952</v>
      </c>
      <c r="B6841" t="s">
        <v>7954</v>
      </c>
      <c r="C6841">
        <v>0</v>
      </c>
      <c r="D6841">
        <v>0.98925011393600004</v>
      </c>
      <c r="E6841">
        <v>9.3073463268365799</v>
      </c>
    </row>
    <row r="6842" spans="1:5">
      <c r="A6842" t="s">
        <v>7952</v>
      </c>
      <c r="B6842" t="s">
        <v>7955</v>
      </c>
      <c r="C6842">
        <v>0</v>
      </c>
      <c r="D6842">
        <v>0.98925011393600004</v>
      </c>
      <c r="E6842">
        <v>9.3073463268365799</v>
      </c>
    </row>
    <row r="6843" spans="1:5">
      <c r="A6843" t="s">
        <v>7952</v>
      </c>
      <c r="B6843" t="s">
        <v>7956</v>
      </c>
      <c r="C6843">
        <f>0</f>
        <v>0</v>
      </c>
      <c r="D6843">
        <v>0.98925011393600004</v>
      </c>
      <c r="E6843">
        <v>9.3073463268365799</v>
      </c>
    </row>
    <row r="6844" spans="1:5">
      <c r="A6844" t="s">
        <v>7952</v>
      </c>
      <c r="B6844" t="s">
        <v>7957</v>
      </c>
      <c r="C6844">
        <f>0</f>
        <v>0</v>
      </c>
      <c r="D6844">
        <v>0.98925011393600004</v>
      </c>
      <c r="E6844">
        <v>9.3073463268365799</v>
      </c>
    </row>
    <row r="6845" spans="1:5">
      <c r="A6845" t="s">
        <v>7952</v>
      </c>
      <c r="B6845" t="s">
        <v>7958</v>
      </c>
      <c r="C6845">
        <f>0.0493633634827</f>
        <v>4.9363363482699998E-2</v>
      </c>
      <c r="D6845">
        <v>0.98925011393600004</v>
      </c>
      <c r="E6845">
        <v>9.3073463268365799</v>
      </c>
    </row>
    <row r="6846" spans="1:5">
      <c r="A6846" t="s">
        <v>7952</v>
      </c>
      <c r="B6846" t="s">
        <v>7959</v>
      </c>
      <c r="C6846">
        <v>0</v>
      </c>
      <c r="D6846">
        <v>0.98925011393600004</v>
      </c>
      <c r="E6846">
        <v>9.3073463268365799</v>
      </c>
    </row>
    <row r="6847" spans="1:5">
      <c r="A6847" t="s">
        <v>7952</v>
      </c>
      <c r="B6847" t="s">
        <v>7960</v>
      </c>
      <c r="C6847">
        <f>0.309940151903</f>
        <v>0.30994015190300001</v>
      </c>
      <c r="D6847">
        <v>0.98925011393600004</v>
      </c>
      <c r="E6847">
        <v>9.3073463268365799</v>
      </c>
    </row>
    <row r="6848" spans="1:5">
      <c r="A6848" t="s">
        <v>7952</v>
      </c>
      <c r="B6848" t="s">
        <v>7961</v>
      </c>
      <c r="C6848">
        <v>0</v>
      </c>
      <c r="D6848">
        <v>0.98925011393600004</v>
      </c>
      <c r="E6848">
        <v>9.3073463268365799</v>
      </c>
    </row>
    <row r="6849" spans="1:5">
      <c r="A6849" t="s">
        <v>7952</v>
      </c>
      <c r="B6849" t="s">
        <v>7962</v>
      </c>
      <c r="C6849">
        <v>0</v>
      </c>
      <c r="D6849">
        <v>0.98925011393600004</v>
      </c>
      <c r="E6849">
        <v>9.3073463268365799</v>
      </c>
    </row>
    <row r="6850" spans="1:5">
      <c r="A6850" t="s">
        <v>7952</v>
      </c>
      <c r="B6850" t="s">
        <v>7963</v>
      </c>
      <c r="C6850">
        <v>0</v>
      </c>
      <c r="D6850">
        <v>0.98925011393600004</v>
      </c>
      <c r="E6850">
        <v>9.3073463268365799</v>
      </c>
    </row>
    <row r="6851" spans="1:5">
      <c r="A6851" t="s">
        <v>7952</v>
      </c>
      <c r="B6851" t="s">
        <v>7964</v>
      </c>
      <c r="C6851">
        <f>0</f>
        <v>0</v>
      </c>
      <c r="D6851">
        <v>0.98925011393600004</v>
      </c>
      <c r="E6851">
        <v>9.3073463268365799</v>
      </c>
    </row>
    <row r="6852" spans="1:5">
      <c r="A6852" t="s">
        <v>7952</v>
      </c>
      <c r="B6852" t="s">
        <v>7965</v>
      </c>
      <c r="C6852">
        <v>0</v>
      </c>
      <c r="D6852">
        <v>0.98925011393600004</v>
      </c>
      <c r="E6852">
        <v>9.3073463268365799</v>
      </c>
    </row>
    <row r="6853" spans="1:5">
      <c r="A6853" t="s">
        <v>7952</v>
      </c>
      <c r="B6853" t="s">
        <v>7966</v>
      </c>
      <c r="C6853">
        <v>0</v>
      </c>
      <c r="D6853">
        <v>0.98925011393600004</v>
      </c>
      <c r="E6853">
        <v>9.3073463268365799</v>
      </c>
    </row>
    <row r="6854" spans="1:5">
      <c r="A6854" t="s">
        <v>7952</v>
      </c>
      <c r="B6854" t="s">
        <v>7967</v>
      </c>
      <c r="C6854">
        <f>0</f>
        <v>0</v>
      </c>
      <c r="D6854">
        <v>0.98925011393600004</v>
      </c>
      <c r="E6854">
        <v>9.3073463268365799</v>
      </c>
    </row>
    <row r="6855" spans="1:5">
      <c r="A6855" t="s">
        <v>7952</v>
      </c>
      <c r="B6855" t="s">
        <v>7968</v>
      </c>
      <c r="C6855">
        <f>0</f>
        <v>0</v>
      </c>
      <c r="D6855">
        <v>0.98925011393600004</v>
      </c>
      <c r="E6855">
        <v>9.3073463268365799</v>
      </c>
    </row>
    <row r="6856" spans="1:5">
      <c r="A6856" t="s">
        <v>7952</v>
      </c>
      <c r="B6856" t="s">
        <v>7969</v>
      </c>
      <c r="C6856">
        <f>0</f>
        <v>0</v>
      </c>
      <c r="D6856">
        <v>0.98925011393600004</v>
      </c>
      <c r="E6856">
        <v>9.3073463268365799</v>
      </c>
    </row>
    <row r="6857" spans="1:5">
      <c r="A6857" t="s">
        <v>7952</v>
      </c>
      <c r="B6857" t="s">
        <v>7970</v>
      </c>
      <c r="C6857">
        <v>0</v>
      </c>
      <c r="D6857">
        <v>0.98925011393600004</v>
      </c>
      <c r="E6857">
        <v>9.3073463268365799</v>
      </c>
    </row>
    <row r="6858" spans="1:5">
      <c r="A6858" t="s">
        <v>7971</v>
      </c>
      <c r="B6858" t="s">
        <v>7972</v>
      </c>
      <c r="C6858">
        <v>0.19603105195699999</v>
      </c>
      <c r="D6858">
        <v>0.92638058213999996</v>
      </c>
      <c r="E6858">
        <v>3.40629685157421</v>
      </c>
    </row>
    <row r="6859" spans="1:5">
      <c r="A6859" t="s">
        <v>7973</v>
      </c>
      <c r="B6859" t="s">
        <v>7974</v>
      </c>
      <c r="C6859">
        <v>0</v>
      </c>
      <c r="D6859" t="s">
        <v>106</v>
      </c>
      <c r="E6859">
        <v>7.5922038980509701</v>
      </c>
    </row>
    <row r="6860" spans="1:5">
      <c r="A6860" t="s">
        <v>7973</v>
      </c>
      <c r="B6860" t="s">
        <v>7975</v>
      </c>
      <c r="C6860">
        <f>0</f>
        <v>0</v>
      </c>
      <c r="D6860" t="s">
        <v>106</v>
      </c>
      <c r="E6860">
        <v>7.5922038980509701</v>
      </c>
    </row>
    <row r="6861" spans="1:5">
      <c r="A6861" t="s">
        <v>7973</v>
      </c>
      <c r="B6861" t="s">
        <v>7976</v>
      </c>
      <c r="C6861">
        <v>0</v>
      </c>
      <c r="D6861" t="s">
        <v>106</v>
      </c>
      <c r="E6861">
        <v>7.5922038980509701</v>
      </c>
    </row>
    <row r="6862" spans="1:5">
      <c r="A6862" t="s">
        <v>7977</v>
      </c>
      <c r="B6862" t="s">
        <v>7978</v>
      </c>
      <c r="C6862">
        <f>0</f>
        <v>0</v>
      </c>
      <c r="D6862">
        <v>0.96989221854200003</v>
      </c>
      <c r="E6862">
        <v>0.91154422788605605</v>
      </c>
    </row>
    <row r="6863" spans="1:5">
      <c r="A6863" t="s">
        <v>7977</v>
      </c>
      <c r="B6863" t="s">
        <v>7979</v>
      </c>
      <c r="C6863">
        <v>0</v>
      </c>
      <c r="D6863">
        <v>0.96989221854200003</v>
      </c>
      <c r="E6863">
        <v>0.91154422788605605</v>
      </c>
    </row>
    <row r="6864" spans="1:5">
      <c r="A6864" t="s">
        <v>7977</v>
      </c>
      <c r="B6864" t="s">
        <v>7980</v>
      </c>
      <c r="C6864">
        <f>0</f>
        <v>0</v>
      </c>
      <c r="D6864">
        <v>0.96989221854200003</v>
      </c>
      <c r="E6864">
        <v>0.91154422788605605</v>
      </c>
    </row>
    <row r="6865" spans="1:5">
      <c r="A6865" t="s">
        <v>7977</v>
      </c>
      <c r="B6865" t="s">
        <v>7981</v>
      </c>
      <c r="C6865">
        <f>0.336533356111</f>
        <v>0.33653335611099999</v>
      </c>
      <c r="D6865">
        <v>0.96989221854200003</v>
      </c>
      <c r="E6865">
        <v>0.91154422788605605</v>
      </c>
    </row>
    <row r="6866" spans="1:5">
      <c r="A6866" t="s">
        <v>7977</v>
      </c>
      <c r="B6866" t="s">
        <v>7982</v>
      </c>
      <c r="C6866">
        <v>0</v>
      </c>
      <c r="D6866">
        <v>0.96989221854200003</v>
      </c>
      <c r="E6866">
        <v>0.91154422788605605</v>
      </c>
    </row>
    <row r="6867" spans="1:5">
      <c r="A6867" t="s">
        <v>7983</v>
      </c>
      <c r="B6867" t="s">
        <v>7984</v>
      </c>
      <c r="C6867">
        <f>0.0783207699023</f>
        <v>7.8320769902299997E-2</v>
      </c>
      <c r="D6867" t="s">
        <v>106</v>
      </c>
      <c r="E6867">
        <v>24</v>
      </c>
    </row>
    <row r="6868" spans="1:5">
      <c r="A6868" t="s">
        <v>7983</v>
      </c>
      <c r="B6868" t="s">
        <v>7985</v>
      </c>
      <c r="C6868">
        <f>0</f>
        <v>0</v>
      </c>
      <c r="D6868" t="s">
        <v>106</v>
      </c>
      <c r="E6868">
        <v>24</v>
      </c>
    </row>
    <row r="6869" spans="1:5">
      <c r="A6869" t="s">
        <v>7983</v>
      </c>
      <c r="B6869" t="s">
        <v>7986</v>
      </c>
      <c r="C6869">
        <v>7.4662324762300003E-2</v>
      </c>
      <c r="D6869" t="s">
        <v>106</v>
      </c>
      <c r="E6869">
        <v>24</v>
      </c>
    </row>
    <row r="6870" spans="1:5">
      <c r="A6870" t="s">
        <v>7987</v>
      </c>
      <c r="B6870" t="s">
        <v>7988</v>
      </c>
      <c r="C6870">
        <v>0</v>
      </c>
      <c r="D6870">
        <v>0.97250095505800005</v>
      </c>
      <c r="E6870">
        <v>12.9175412293853</v>
      </c>
    </row>
    <row r="6871" spans="1:5">
      <c r="A6871" t="s">
        <v>7987</v>
      </c>
      <c r="B6871" t="s">
        <v>7989</v>
      </c>
      <c r="C6871">
        <f>0.0926250241492</f>
        <v>9.26250241492E-2</v>
      </c>
      <c r="D6871">
        <v>0.97250095505800005</v>
      </c>
      <c r="E6871">
        <v>12.9175412293853</v>
      </c>
    </row>
    <row r="6872" spans="1:5">
      <c r="A6872" t="s">
        <v>7987</v>
      </c>
      <c r="B6872" t="s">
        <v>7990</v>
      </c>
      <c r="C6872">
        <v>0</v>
      </c>
      <c r="D6872">
        <v>0.97250095505800005</v>
      </c>
      <c r="E6872">
        <v>12.9175412293853</v>
      </c>
    </row>
    <row r="6873" spans="1:5">
      <c r="A6873" t="s">
        <v>7987</v>
      </c>
      <c r="B6873" t="s">
        <v>7991</v>
      </c>
      <c r="C6873">
        <f>0</f>
        <v>0</v>
      </c>
      <c r="D6873">
        <v>0.97250095505800005</v>
      </c>
      <c r="E6873">
        <v>12.9175412293853</v>
      </c>
    </row>
    <row r="6874" spans="1:5">
      <c r="A6874" t="s">
        <v>7987</v>
      </c>
      <c r="B6874" t="s">
        <v>7992</v>
      </c>
      <c r="C6874">
        <v>0</v>
      </c>
      <c r="D6874">
        <v>0.97250095505800005</v>
      </c>
      <c r="E6874">
        <v>12.9175412293853</v>
      </c>
    </row>
    <row r="6875" spans="1:5">
      <c r="A6875" t="s">
        <v>7987</v>
      </c>
      <c r="B6875" t="s">
        <v>7993</v>
      </c>
      <c r="C6875">
        <f>0</f>
        <v>0</v>
      </c>
      <c r="D6875">
        <v>0.97250095505800005</v>
      </c>
      <c r="E6875">
        <v>12.9175412293853</v>
      </c>
    </row>
    <row r="6876" spans="1:5">
      <c r="A6876" t="s">
        <v>7987</v>
      </c>
      <c r="B6876" t="s">
        <v>7994</v>
      </c>
      <c r="C6876">
        <f>0</f>
        <v>0</v>
      </c>
      <c r="D6876">
        <v>0.97250095505800005</v>
      </c>
      <c r="E6876">
        <v>12.9175412293853</v>
      </c>
    </row>
    <row r="6877" spans="1:5">
      <c r="A6877" t="s">
        <v>7987</v>
      </c>
      <c r="B6877" t="s">
        <v>7995</v>
      </c>
      <c r="C6877">
        <f>0.0138119928196</f>
        <v>1.3811992819599999E-2</v>
      </c>
      <c r="D6877">
        <v>0.97250095505800005</v>
      </c>
      <c r="E6877">
        <v>12.9175412293853</v>
      </c>
    </row>
    <row r="6878" spans="1:5">
      <c r="A6878" t="s">
        <v>7987</v>
      </c>
      <c r="B6878" t="s">
        <v>7996</v>
      </c>
      <c r="C6878">
        <f>0</f>
        <v>0</v>
      </c>
      <c r="D6878">
        <v>0.97250095505800005</v>
      </c>
      <c r="E6878">
        <v>12.9175412293853</v>
      </c>
    </row>
    <row r="6879" spans="1:5">
      <c r="A6879" t="s">
        <v>7997</v>
      </c>
      <c r="B6879" t="s">
        <v>7998</v>
      </c>
      <c r="C6879">
        <f>0.0184124442026</f>
        <v>1.8412444202599999E-2</v>
      </c>
      <c r="D6879" t="s">
        <v>106</v>
      </c>
      <c r="E6879">
        <v>24</v>
      </c>
    </row>
    <row r="6880" spans="1:5">
      <c r="A6880" t="s">
        <v>7997</v>
      </c>
      <c r="B6880" t="s">
        <v>7999</v>
      </c>
      <c r="C6880">
        <f>0.0295812804854</f>
        <v>2.9581280485399999E-2</v>
      </c>
      <c r="D6880" t="s">
        <v>106</v>
      </c>
      <c r="E6880">
        <v>24</v>
      </c>
    </row>
    <row r="6881" spans="1:5">
      <c r="A6881" t="s">
        <v>7997</v>
      </c>
      <c r="B6881" t="s">
        <v>8000</v>
      </c>
      <c r="C6881">
        <v>0</v>
      </c>
      <c r="D6881" t="s">
        <v>106</v>
      </c>
      <c r="E6881">
        <v>24</v>
      </c>
    </row>
    <row r="6882" spans="1:5">
      <c r="A6882" t="s">
        <v>8001</v>
      </c>
      <c r="B6882" t="s">
        <v>8002</v>
      </c>
      <c r="C6882">
        <f>0</f>
        <v>0</v>
      </c>
      <c r="D6882" t="s">
        <v>106</v>
      </c>
      <c r="E6882">
        <v>8.1439280359820092</v>
      </c>
    </row>
    <row r="6883" spans="1:5">
      <c r="A6883" t="s">
        <v>8001</v>
      </c>
      <c r="B6883" t="s">
        <v>8003</v>
      </c>
      <c r="C6883">
        <v>0</v>
      </c>
      <c r="D6883" t="s">
        <v>106</v>
      </c>
      <c r="E6883">
        <v>8.1439280359820092</v>
      </c>
    </row>
    <row r="6884" spans="1:5">
      <c r="A6884" t="s">
        <v>8001</v>
      </c>
      <c r="B6884" t="s">
        <v>8004</v>
      </c>
      <c r="C6884">
        <v>0</v>
      </c>
      <c r="D6884" t="s">
        <v>106</v>
      </c>
      <c r="E6884">
        <v>8.1439280359820092</v>
      </c>
    </row>
    <row r="6885" spans="1:5">
      <c r="A6885" t="s">
        <v>8005</v>
      </c>
      <c r="B6885" t="s">
        <v>8006</v>
      </c>
      <c r="C6885">
        <v>0</v>
      </c>
      <c r="D6885">
        <v>0.99674347485699999</v>
      </c>
      <c r="E6885">
        <v>5.1214392803598203</v>
      </c>
    </row>
    <row r="6886" spans="1:5">
      <c r="A6886" t="s">
        <v>8005</v>
      </c>
      <c r="B6886" t="s">
        <v>8007</v>
      </c>
      <c r="C6886">
        <v>0</v>
      </c>
      <c r="D6886">
        <v>0.99674347485699999</v>
      </c>
      <c r="E6886">
        <v>5.1214392803598203</v>
      </c>
    </row>
    <row r="6887" spans="1:5">
      <c r="A6887" t="s">
        <v>8005</v>
      </c>
      <c r="B6887" t="s">
        <v>8008</v>
      </c>
      <c r="C6887">
        <v>0</v>
      </c>
      <c r="D6887">
        <v>0.99674347485699999</v>
      </c>
      <c r="E6887">
        <v>5.1214392803598203</v>
      </c>
    </row>
    <row r="6888" spans="1:5">
      <c r="A6888" t="s">
        <v>8005</v>
      </c>
      <c r="B6888" t="s">
        <v>8009</v>
      </c>
      <c r="C6888">
        <v>0</v>
      </c>
      <c r="D6888">
        <v>0.99674347485699999</v>
      </c>
      <c r="E6888">
        <v>5.1214392803598203</v>
      </c>
    </row>
    <row r="6889" spans="1:5">
      <c r="A6889" t="s">
        <v>8005</v>
      </c>
      <c r="B6889" t="s">
        <v>8010</v>
      </c>
      <c r="C6889">
        <v>0</v>
      </c>
      <c r="D6889">
        <v>0.99674347485699999</v>
      </c>
      <c r="E6889">
        <v>5.1214392803598203</v>
      </c>
    </row>
    <row r="6890" spans="1:5">
      <c r="A6890" t="s">
        <v>8005</v>
      </c>
      <c r="B6890" t="s">
        <v>8011</v>
      </c>
      <c r="C6890">
        <v>0</v>
      </c>
      <c r="D6890">
        <v>0.99674347485699999</v>
      </c>
      <c r="E6890">
        <v>5.1214392803598203</v>
      </c>
    </row>
    <row r="6891" spans="1:5">
      <c r="A6891" t="s">
        <v>8005</v>
      </c>
      <c r="B6891" t="s">
        <v>8012</v>
      </c>
      <c r="C6891">
        <v>0</v>
      </c>
      <c r="D6891">
        <v>0.99674347485699999</v>
      </c>
      <c r="E6891">
        <v>5.1214392803598203</v>
      </c>
    </row>
    <row r="6892" spans="1:5">
      <c r="A6892" t="s">
        <v>8013</v>
      </c>
      <c r="B6892" t="s">
        <v>8014</v>
      </c>
      <c r="C6892">
        <f>0.308391512079</f>
        <v>0.30839151207900001</v>
      </c>
      <c r="D6892">
        <v>0.96927585484500001</v>
      </c>
      <c r="E6892">
        <v>12.7376311844077</v>
      </c>
    </row>
    <row r="6893" spans="1:5">
      <c r="A6893" t="s">
        <v>8013</v>
      </c>
      <c r="B6893" t="s">
        <v>8015</v>
      </c>
      <c r="C6893">
        <f>0.0688678321818</f>
        <v>6.8867832181799996E-2</v>
      </c>
      <c r="D6893">
        <v>0.96927585484500001</v>
      </c>
      <c r="E6893">
        <v>12.7376311844077</v>
      </c>
    </row>
    <row r="6894" spans="1:5">
      <c r="A6894" t="s">
        <v>8013</v>
      </c>
      <c r="B6894" t="s">
        <v>8016</v>
      </c>
      <c r="C6894">
        <v>0</v>
      </c>
      <c r="D6894">
        <v>0.96927585484500001</v>
      </c>
      <c r="E6894">
        <v>12.7376311844077</v>
      </c>
    </row>
    <row r="6895" spans="1:5">
      <c r="A6895" t="s">
        <v>8013</v>
      </c>
      <c r="B6895" t="s">
        <v>8017</v>
      </c>
      <c r="C6895">
        <v>0</v>
      </c>
      <c r="D6895">
        <v>0.96927585484500001</v>
      </c>
      <c r="E6895">
        <v>12.7376311844077</v>
      </c>
    </row>
    <row r="6896" spans="1:5">
      <c r="A6896" t="s">
        <v>8013</v>
      </c>
      <c r="B6896" t="s">
        <v>8018</v>
      </c>
      <c r="C6896">
        <f>0</f>
        <v>0</v>
      </c>
      <c r="D6896">
        <v>0.96927585484500001</v>
      </c>
      <c r="E6896">
        <v>12.7376311844077</v>
      </c>
    </row>
    <row r="6897" spans="1:5">
      <c r="A6897" t="s">
        <v>8019</v>
      </c>
      <c r="B6897" t="s">
        <v>8020</v>
      </c>
      <c r="C6897">
        <f>0.186889514562</f>
        <v>0.18688951456200001</v>
      </c>
      <c r="D6897">
        <v>0.98152239652399997</v>
      </c>
      <c r="E6897">
        <v>9.3073463268365799</v>
      </c>
    </row>
    <row r="6898" spans="1:5">
      <c r="A6898" t="s">
        <v>8021</v>
      </c>
      <c r="B6898" t="s">
        <v>8022</v>
      </c>
      <c r="C6898">
        <v>0</v>
      </c>
      <c r="D6898" t="s">
        <v>106</v>
      </c>
      <c r="E6898">
        <v>5.8170914542728598</v>
      </c>
    </row>
    <row r="6899" spans="1:5">
      <c r="A6899" t="s">
        <v>8021</v>
      </c>
      <c r="B6899" t="s">
        <v>8023</v>
      </c>
      <c r="C6899">
        <f>0</f>
        <v>0</v>
      </c>
      <c r="D6899" t="s">
        <v>106</v>
      </c>
      <c r="E6899">
        <v>5.8170914542728598</v>
      </c>
    </row>
    <row r="6900" spans="1:5">
      <c r="A6900" t="s">
        <v>8021</v>
      </c>
      <c r="B6900" t="s">
        <v>8024</v>
      </c>
      <c r="C6900">
        <v>0</v>
      </c>
      <c r="D6900" t="s">
        <v>106</v>
      </c>
      <c r="E6900">
        <v>5.8170914542728598</v>
      </c>
    </row>
    <row r="6901" spans="1:5">
      <c r="A6901" t="s">
        <v>8021</v>
      </c>
      <c r="B6901" t="s">
        <v>8025</v>
      </c>
      <c r="C6901">
        <f>0</f>
        <v>0</v>
      </c>
      <c r="D6901" t="s">
        <v>106</v>
      </c>
      <c r="E6901">
        <v>5.8170914542728598</v>
      </c>
    </row>
    <row r="6902" spans="1:5">
      <c r="A6902" t="s">
        <v>8021</v>
      </c>
      <c r="B6902" t="s">
        <v>8026</v>
      </c>
      <c r="C6902">
        <v>0</v>
      </c>
      <c r="D6902" t="s">
        <v>106</v>
      </c>
      <c r="E6902">
        <v>5.8170914542728598</v>
      </c>
    </row>
    <row r="6903" spans="1:5">
      <c r="A6903" t="s">
        <v>8027</v>
      </c>
      <c r="B6903" t="s">
        <v>8028</v>
      </c>
      <c r="C6903">
        <f>0.0203377104959</f>
        <v>2.03377104959E-2</v>
      </c>
      <c r="D6903">
        <v>0.91283188638199997</v>
      </c>
      <c r="E6903">
        <v>24</v>
      </c>
    </row>
    <row r="6904" spans="1:5">
      <c r="A6904" t="s">
        <v>8029</v>
      </c>
      <c r="B6904" t="s">
        <v>8030</v>
      </c>
      <c r="C6904">
        <v>0</v>
      </c>
      <c r="D6904" t="s">
        <v>106</v>
      </c>
      <c r="E6904">
        <v>0.69565217391304301</v>
      </c>
    </row>
    <row r="6905" spans="1:5">
      <c r="A6905" t="s">
        <v>8029</v>
      </c>
      <c r="B6905" t="s">
        <v>8031</v>
      </c>
      <c r="C6905">
        <f>0</f>
        <v>0</v>
      </c>
      <c r="D6905" t="s">
        <v>106</v>
      </c>
      <c r="E6905">
        <v>0.69565217391304301</v>
      </c>
    </row>
    <row r="6906" spans="1:5">
      <c r="A6906" t="s">
        <v>8029</v>
      </c>
      <c r="B6906" t="s">
        <v>8032</v>
      </c>
      <c r="C6906">
        <f>0</f>
        <v>0</v>
      </c>
      <c r="D6906" t="s">
        <v>106</v>
      </c>
      <c r="E6906">
        <v>0.69565217391304301</v>
      </c>
    </row>
    <row r="6907" spans="1:5">
      <c r="A6907" t="s">
        <v>8029</v>
      </c>
      <c r="B6907" t="s">
        <v>8033</v>
      </c>
      <c r="C6907">
        <f>0</f>
        <v>0</v>
      </c>
      <c r="D6907" t="s">
        <v>106</v>
      </c>
      <c r="E6907">
        <v>0.69565217391304301</v>
      </c>
    </row>
    <row r="6908" spans="1:5">
      <c r="A6908" t="s">
        <v>8029</v>
      </c>
      <c r="B6908" t="s">
        <v>8034</v>
      </c>
      <c r="C6908">
        <v>0</v>
      </c>
      <c r="D6908" t="s">
        <v>106</v>
      </c>
      <c r="E6908">
        <v>0.69565217391304301</v>
      </c>
    </row>
    <row r="6909" spans="1:5">
      <c r="A6909" t="s">
        <v>8035</v>
      </c>
      <c r="B6909" t="s">
        <v>8036</v>
      </c>
      <c r="C6909">
        <v>0.200495455569</v>
      </c>
      <c r="D6909">
        <v>0.96592431992000005</v>
      </c>
      <c r="E6909">
        <v>15.904047976011899</v>
      </c>
    </row>
    <row r="6910" spans="1:5">
      <c r="A6910" t="s">
        <v>8035</v>
      </c>
      <c r="B6910" t="s">
        <v>8037</v>
      </c>
      <c r="C6910">
        <v>0</v>
      </c>
      <c r="D6910">
        <v>0.96592431992000005</v>
      </c>
      <c r="E6910">
        <v>15.904047976011899</v>
      </c>
    </row>
    <row r="6911" spans="1:5">
      <c r="A6911" t="s">
        <v>8035</v>
      </c>
      <c r="B6911" t="s">
        <v>8038</v>
      </c>
      <c r="C6911">
        <v>0</v>
      </c>
      <c r="D6911">
        <v>0.96592431992000005</v>
      </c>
      <c r="E6911">
        <v>15.904047976011899</v>
      </c>
    </row>
    <row r="6912" spans="1:5">
      <c r="A6912" t="s">
        <v>8035</v>
      </c>
      <c r="B6912" t="s">
        <v>8039</v>
      </c>
      <c r="C6912">
        <f>0</f>
        <v>0</v>
      </c>
      <c r="D6912">
        <v>0.96592431992000005</v>
      </c>
      <c r="E6912">
        <v>15.904047976011899</v>
      </c>
    </row>
    <row r="6913" spans="1:5">
      <c r="A6913" t="s">
        <v>8035</v>
      </c>
      <c r="B6913" t="s">
        <v>8040</v>
      </c>
      <c r="C6913">
        <f>0</f>
        <v>0</v>
      </c>
      <c r="D6913">
        <v>0.96592431992000005</v>
      </c>
      <c r="E6913">
        <v>15.904047976011899</v>
      </c>
    </row>
    <row r="6914" spans="1:5">
      <c r="A6914" t="s">
        <v>8035</v>
      </c>
      <c r="B6914" t="s">
        <v>8041</v>
      </c>
      <c r="C6914">
        <v>0</v>
      </c>
      <c r="D6914">
        <v>0.96592431992000005</v>
      </c>
      <c r="E6914">
        <v>15.904047976011899</v>
      </c>
    </row>
    <row r="6915" spans="1:5">
      <c r="A6915" t="s">
        <v>8035</v>
      </c>
      <c r="B6915" t="s">
        <v>8042</v>
      </c>
      <c r="C6915">
        <f>0.0842467353837</f>
        <v>8.4246735383700005E-2</v>
      </c>
      <c r="D6915">
        <v>0.96592431992000005</v>
      </c>
      <c r="E6915">
        <v>15.904047976011899</v>
      </c>
    </row>
    <row r="6916" spans="1:5">
      <c r="A6916" t="s">
        <v>8035</v>
      </c>
      <c r="B6916" t="s">
        <v>8043</v>
      </c>
      <c r="C6916">
        <v>0</v>
      </c>
      <c r="D6916">
        <v>0.96592431992000005</v>
      </c>
      <c r="E6916">
        <v>15.904047976011899</v>
      </c>
    </row>
    <row r="6917" spans="1:5">
      <c r="A6917" t="s">
        <v>8035</v>
      </c>
      <c r="B6917" t="s">
        <v>8044</v>
      </c>
      <c r="C6917">
        <f>0</f>
        <v>0</v>
      </c>
      <c r="D6917">
        <v>0.96592431992000005</v>
      </c>
      <c r="E6917">
        <v>15.904047976011899</v>
      </c>
    </row>
    <row r="6918" spans="1:5">
      <c r="A6918" t="s">
        <v>8035</v>
      </c>
      <c r="B6918" t="s">
        <v>8045</v>
      </c>
      <c r="C6918">
        <f>0</f>
        <v>0</v>
      </c>
      <c r="D6918">
        <v>0.96592431992000005</v>
      </c>
      <c r="E6918">
        <v>15.904047976011899</v>
      </c>
    </row>
    <row r="6919" spans="1:5">
      <c r="A6919" t="s">
        <v>8035</v>
      </c>
      <c r="B6919" t="s">
        <v>8046</v>
      </c>
      <c r="C6919">
        <v>0</v>
      </c>
      <c r="D6919">
        <v>0.96592431992000005</v>
      </c>
      <c r="E6919">
        <v>15.904047976011899</v>
      </c>
    </row>
    <row r="6920" spans="1:5">
      <c r="A6920" t="s">
        <v>8047</v>
      </c>
      <c r="B6920" t="s">
        <v>8048</v>
      </c>
      <c r="C6920">
        <v>0</v>
      </c>
      <c r="D6920">
        <v>0.625766306243</v>
      </c>
      <c r="E6920">
        <v>6.6806596701649097</v>
      </c>
    </row>
    <row r="6921" spans="1:5">
      <c r="A6921" t="s">
        <v>8047</v>
      </c>
      <c r="B6921" t="s">
        <v>8049</v>
      </c>
      <c r="C6921">
        <v>0.309747833084</v>
      </c>
      <c r="D6921">
        <v>0.625766306243</v>
      </c>
      <c r="E6921">
        <v>6.6806596701649097</v>
      </c>
    </row>
    <row r="6922" spans="1:5">
      <c r="A6922" t="s">
        <v>8047</v>
      </c>
      <c r="B6922" t="s">
        <v>8050</v>
      </c>
      <c r="C6922">
        <f>0.0170218733117</f>
        <v>1.7021873311699999E-2</v>
      </c>
      <c r="D6922">
        <v>0.625766306243</v>
      </c>
      <c r="E6922">
        <v>6.6806596701649097</v>
      </c>
    </row>
    <row r="6923" spans="1:5">
      <c r="A6923" t="s">
        <v>8051</v>
      </c>
      <c r="B6923" t="s">
        <v>8052</v>
      </c>
      <c r="C6923">
        <f>0</f>
        <v>0</v>
      </c>
      <c r="D6923" t="s">
        <v>106</v>
      </c>
      <c r="E6923">
        <v>17.511244377811</v>
      </c>
    </row>
    <row r="6924" spans="1:5">
      <c r="A6924" t="s">
        <v>8051</v>
      </c>
      <c r="B6924" t="s">
        <v>8053</v>
      </c>
      <c r="C6924">
        <v>0</v>
      </c>
      <c r="D6924" t="s">
        <v>106</v>
      </c>
      <c r="E6924">
        <v>17.511244377811</v>
      </c>
    </row>
    <row r="6925" spans="1:5">
      <c r="A6925" t="s">
        <v>8051</v>
      </c>
      <c r="B6925" t="s">
        <v>8054</v>
      </c>
      <c r="C6925">
        <v>0</v>
      </c>
      <c r="D6925" t="s">
        <v>106</v>
      </c>
      <c r="E6925">
        <v>17.511244377811</v>
      </c>
    </row>
    <row r="6926" spans="1:5">
      <c r="A6926" t="s">
        <v>8051</v>
      </c>
      <c r="B6926" t="s">
        <v>8055</v>
      </c>
      <c r="C6926">
        <f>0</f>
        <v>0</v>
      </c>
      <c r="D6926" t="s">
        <v>106</v>
      </c>
      <c r="E6926">
        <v>17.511244377811</v>
      </c>
    </row>
    <row r="6927" spans="1:5">
      <c r="A6927" t="s">
        <v>8051</v>
      </c>
      <c r="B6927" t="s">
        <v>8056</v>
      </c>
      <c r="C6927">
        <f>0</f>
        <v>0</v>
      </c>
      <c r="D6927" t="s">
        <v>106</v>
      </c>
      <c r="E6927">
        <v>17.511244377811</v>
      </c>
    </row>
    <row r="6928" spans="1:5">
      <c r="A6928" t="s">
        <v>8051</v>
      </c>
      <c r="B6928" t="s">
        <v>8057</v>
      </c>
      <c r="C6928">
        <f>0</f>
        <v>0</v>
      </c>
      <c r="D6928" t="s">
        <v>106</v>
      </c>
      <c r="E6928">
        <v>17.511244377811</v>
      </c>
    </row>
    <row r="6929" spans="1:5">
      <c r="A6929" t="s">
        <v>8051</v>
      </c>
      <c r="B6929" t="s">
        <v>8058</v>
      </c>
      <c r="C6929">
        <f>0</f>
        <v>0</v>
      </c>
      <c r="D6929" t="s">
        <v>106</v>
      </c>
      <c r="E6929">
        <v>17.511244377811</v>
      </c>
    </row>
    <row r="6930" spans="1:5">
      <c r="A6930" t="s">
        <v>8051</v>
      </c>
      <c r="B6930" t="s">
        <v>8059</v>
      </c>
      <c r="C6930">
        <v>0</v>
      </c>
      <c r="D6930" t="s">
        <v>106</v>
      </c>
      <c r="E6930">
        <v>17.511244377811</v>
      </c>
    </row>
    <row r="6931" spans="1:5">
      <c r="A6931" t="s">
        <v>8060</v>
      </c>
      <c r="B6931" t="s">
        <v>8061</v>
      </c>
      <c r="C6931">
        <v>3.9139291708799998E-2</v>
      </c>
      <c r="D6931">
        <v>0.86941080344900001</v>
      </c>
      <c r="E6931">
        <v>5.5772113943028403</v>
      </c>
    </row>
    <row r="6932" spans="1:5">
      <c r="A6932" t="s">
        <v>8060</v>
      </c>
      <c r="B6932" t="s">
        <v>8062</v>
      </c>
      <c r="C6932">
        <v>0</v>
      </c>
      <c r="D6932">
        <v>0.86941080344900001</v>
      </c>
      <c r="E6932">
        <v>5.5772113943028403</v>
      </c>
    </row>
    <row r="6933" spans="1:5">
      <c r="A6933" t="s">
        <v>8060</v>
      </c>
      <c r="B6933" t="s">
        <v>8063</v>
      </c>
      <c r="C6933">
        <v>0</v>
      </c>
      <c r="D6933">
        <v>0.86941080344900001</v>
      </c>
      <c r="E6933">
        <v>5.5772113943028403</v>
      </c>
    </row>
    <row r="6934" spans="1:5">
      <c r="A6934" t="s">
        <v>8064</v>
      </c>
      <c r="B6934" t="s">
        <v>8065</v>
      </c>
      <c r="C6934">
        <v>0.239825390705</v>
      </c>
      <c r="D6934">
        <v>0.99981010551299998</v>
      </c>
      <c r="E6934">
        <v>6.6806596701649097</v>
      </c>
    </row>
    <row r="6935" spans="1:5">
      <c r="A6935" t="s">
        <v>8064</v>
      </c>
      <c r="B6935" t="s">
        <v>8066</v>
      </c>
      <c r="C6935">
        <f>0</f>
        <v>0</v>
      </c>
      <c r="D6935">
        <v>0.99981010551299998</v>
      </c>
      <c r="E6935">
        <v>6.6806596701649097</v>
      </c>
    </row>
    <row r="6936" spans="1:5">
      <c r="A6936" t="s">
        <v>8064</v>
      </c>
      <c r="B6936" t="s">
        <v>8067</v>
      </c>
      <c r="C6936">
        <f>0.0178526715186</f>
        <v>1.78526715186E-2</v>
      </c>
      <c r="D6936">
        <v>0.99981010551299998</v>
      </c>
      <c r="E6936">
        <v>6.6806596701649097</v>
      </c>
    </row>
    <row r="6937" spans="1:5">
      <c r="A6937" t="s">
        <v>8064</v>
      </c>
      <c r="B6937" t="s">
        <v>8068</v>
      </c>
      <c r="C6937">
        <f>0</f>
        <v>0</v>
      </c>
      <c r="D6937">
        <v>0.99981010551299998</v>
      </c>
      <c r="E6937">
        <v>6.6806596701649097</v>
      </c>
    </row>
    <row r="6938" spans="1:5">
      <c r="A6938" t="s">
        <v>8064</v>
      </c>
      <c r="B6938" t="s">
        <v>8069</v>
      </c>
      <c r="C6938">
        <f>0</f>
        <v>0</v>
      </c>
      <c r="D6938">
        <v>0.99981010551299998</v>
      </c>
      <c r="E6938">
        <v>6.6806596701649097</v>
      </c>
    </row>
    <row r="6939" spans="1:5">
      <c r="A6939" t="s">
        <v>8070</v>
      </c>
      <c r="B6939" t="s">
        <v>8071</v>
      </c>
      <c r="C6939">
        <f>0</f>
        <v>0</v>
      </c>
      <c r="D6939">
        <v>0.96398168264299999</v>
      </c>
      <c r="E6939">
        <v>2.0269865067466202</v>
      </c>
    </row>
    <row r="6940" spans="1:5">
      <c r="A6940" t="s">
        <v>8070</v>
      </c>
      <c r="B6940" t="s">
        <v>8072</v>
      </c>
      <c r="C6940">
        <v>0</v>
      </c>
      <c r="D6940">
        <v>0.96398168264299999</v>
      </c>
      <c r="E6940">
        <v>2.0269865067466202</v>
      </c>
    </row>
    <row r="6941" spans="1:5">
      <c r="A6941" t="s">
        <v>8070</v>
      </c>
      <c r="B6941" t="s">
        <v>8073</v>
      </c>
      <c r="C6941">
        <v>0</v>
      </c>
      <c r="D6941">
        <v>0.96398168264299999</v>
      </c>
      <c r="E6941">
        <v>2.0269865067466202</v>
      </c>
    </row>
    <row r="6942" spans="1:5">
      <c r="A6942" t="s">
        <v>8070</v>
      </c>
      <c r="B6942" t="s">
        <v>8074</v>
      </c>
      <c r="C6942">
        <f>0</f>
        <v>0</v>
      </c>
      <c r="D6942">
        <v>0.96398168264299999</v>
      </c>
      <c r="E6942">
        <v>2.0269865067466202</v>
      </c>
    </row>
    <row r="6943" spans="1:5">
      <c r="A6943" t="s">
        <v>8070</v>
      </c>
      <c r="B6943" t="s">
        <v>8075</v>
      </c>
      <c r="C6943">
        <v>0</v>
      </c>
      <c r="D6943">
        <v>0.96398168264299999</v>
      </c>
      <c r="E6943">
        <v>2.0269865067466202</v>
      </c>
    </row>
    <row r="6944" spans="1:5">
      <c r="A6944" t="s">
        <v>8070</v>
      </c>
      <c r="B6944" t="s">
        <v>8076</v>
      </c>
      <c r="C6944">
        <v>0</v>
      </c>
      <c r="D6944">
        <v>0.96398168264299999</v>
      </c>
      <c r="E6944">
        <v>2.0269865067466202</v>
      </c>
    </row>
    <row r="6945" spans="1:5">
      <c r="A6945" t="s">
        <v>8070</v>
      </c>
      <c r="B6945" t="s">
        <v>8077</v>
      </c>
      <c r="C6945">
        <v>0</v>
      </c>
      <c r="D6945">
        <v>0.96398168264299999</v>
      </c>
      <c r="E6945">
        <v>2.0269865067466202</v>
      </c>
    </row>
    <row r="6946" spans="1:5">
      <c r="A6946" t="s">
        <v>8070</v>
      </c>
      <c r="B6946" t="s">
        <v>8078</v>
      </c>
      <c r="C6946">
        <v>0</v>
      </c>
      <c r="D6946">
        <v>0.96398168264299999</v>
      </c>
      <c r="E6946">
        <v>2.0269865067466202</v>
      </c>
    </row>
    <row r="6947" spans="1:5">
      <c r="A6947" t="s">
        <v>8070</v>
      </c>
      <c r="B6947" t="s">
        <v>8079</v>
      </c>
      <c r="C6947">
        <v>4.44637646564E-2</v>
      </c>
      <c r="D6947">
        <v>0.96398168264299999</v>
      </c>
      <c r="E6947">
        <v>2.0269865067466202</v>
      </c>
    </row>
    <row r="6948" spans="1:5">
      <c r="A6948" t="s">
        <v>8070</v>
      </c>
      <c r="B6948" t="s">
        <v>8080</v>
      </c>
      <c r="C6948">
        <v>0</v>
      </c>
      <c r="D6948">
        <v>0.96398168264299999</v>
      </c>
      <c r="E6948">
        <v>2.0269865067466202</v>
      </c>
    </row>
    <row r="6949" spans="1:5">
      <c r="A6949" t="s">
        <v>8070</v>
      </c>
      <c r="B6949" t="s">
        <v>8081</v>
      </c>
      <c r="C6949">
        <v>0</v>
      </c>
      <c r="D6949">
        <v>0.96398168264299999</v>
      </c>
      <c r="E6949">
        <v>2.0269865067466202</v>
      </c>
    </row>
    <row r="6950" spans="1:5">
      <c r="A6950" t="s">
        <v>8070</v>
      </c>
      <c r="B6950" t="s">
        <v>8082</v>
      </c>
      <c r="C6950">
        <v>0</v>
      </c>
      <c r="D6950">
        <v>0.96398168264299999</v>
      </c>
      <c r="E6950">
        <v>2.0269865067466202</v>
      </c>
    </row>
    <row r="6951" spans="1:5">
      <c r="A6951" t="s">
        <v>8070</v>
      </c>
      <c r="B6951" t="s">
        <v>8083</v>
      </c>
      <c r="C6951">
        <f>0</f>
        <v>0</v>
      </c>
      <c r="D6951">
        <v>0.96398168264299999</v>
      </c>
      <c r="E6951">
        <v>2.0269865067466202</v>
      </c>
    </row>
    <row r="6952" spans="1:5">
      <c r="A6952" t="s">
        <v>8070</v>
      </c>
      <c r="B6952" t="s">
        <v>8084</v>
      </c>
      <c r="C6952">
        <v>0</v>
      </c>
      <c r="D6952">
        <v>0.96398168264299999</v>
      </c>
      <c r="E6952">
        <v>2.0269865067466202</v>
      </c>
    </row>
    <row r="6953" spans="1:5">
      <c r="A6953" t="s">
        <v>8070</v>
      </c>
      <c r="B6953" t="s">
        <v>8085</v>
      </c>
      <c r="C6953">
        <f>0.0148827565591</f>
        <v>1.4882756559099999E-2</v>
      </c>
      <c r="D6953">
        <v>0.96398168264299999</v>
      </c>
      <c r="E6953">
        <v>2.0269865067466202</v>
      </c>
    </row>
    <row r="6954" spans="1:5">
      <c r="A6954" t="s">
        <v>8070</v>
      </c>
      <c r="B6954" t="s">
        <v>8086</v>
      </c>
      <c r="C6954">
        <v>0</v>
      </c>
      <c r="D6954">
        <v>0.96398168264299999</v>
      </c>
      <c r="E6954">
        <v>2.0269865067466202</v>
      </c>
    </row>
    <row r="6955" spans="1:5">
      <c r="A6955" t="s">
        <v>8070</v>
      </c>
      <c r="B6955" t="s">
        <v>8087</v>
      </c>
      <c r="C6955">
        <v>0</v>
      </c>
      <c r="D6955">
        <v>0.96398168264299999</v>
      </c>
      <c r="E6955">
        <v>2.0269865067466202</v>
      </c>
    </row>
    <row r="6956" spans="1:5">
      <c r="A6956" t="s">
        <v>8088</v>
      </c>
      <c r="B6956" t="s">
        <v>8089</v>
      </c>
      <c r="C6956">
        <v>0</v>
      </c>
      <c r="D6956" t="s">
        <v>106</v>
      </c>
      <c r="E6956">
        <v>7.0644677661169402</v>
      </c>
    </row>
    <row r="6957" spans="1:5">
      <c r="A6957" t="s">
        <v>8088</v>
      </c>
      <c r="B6957" t="s">
        <v>8090</v>
      </c>
      <c r="C6957">
        <v>0</v>
      </c>
      <c r="D6957" t="s">
        <v>106</v>
      </c>
      <c r="E6957">
        <v>7.0644677661169402</v>
      </c>
    </row>
    <row r="6958" spans="1:5">
      <c r="A6958" t="s">
        <v>8088</v>
      </c>
      <c r="B6958" t="s">
        <v>8091</v>
      </c>
      <c r="C6958">
        <f>0</f>
        <v>0</v>
      </c>
      <c r="D6958" t="s">
        <v>106</v>
      </c>
      <c r="E6958">
        <v>7.0644677661169402</v>
      </c>
    </row>
    <row r="6959" spans="1:5">
      <c r="A6959" t="s">
        <v>8088</v>
      </c>
      <c r="B6959" t="s">
        <v>8092</v>
      </c>
      <c r="C6959">
        <f>0</f>
        <v>0</v>
      </c>
      <c r="D6959" t="s">
        <v>106</v>
      </c>
      <c r="E6959">
        <v>7.0644677661169402</v>
      </c>
    </row>
    <row r="6960" spans="1:5">
      <c r="A6960" t="s">
        <v>8088</v>
      </c>
      <c r="B6960" t="s">
        <v>8093</v>
      </c>
      <c r="C6960">
        <v>0</v>
      </c>
      <c r="D6960" t="s">
        <v>106</v>
      </c>
      <c r="E6960">
        <v>7.0644677661169402</v>
      </c>
    </row>
    <row r="6961" spans="1:5">
      <c r="A6961" t="s">
        <v>8088</v>
      </c>
      <c r="B6961" t="s">
        <v>8094</v>
      </c>
      <c r="C6961">
        <f>0</f>
        <v>0</v>
      </c>
      <c r="D6961" t="s">
        <v>106</v>
      </c>
      <c r="E6961">
        <v>7.0644677661169402</v>
      </c>
    </row>
    <row r="6962" spans="1:5">
      <c r="A6962" t="s">
        <v>8088</v>
      </c>
      <c r="B6962" t="s">
        <v>8095</v>
      </c>
      <c r="C6962">
        <f>0</f>
        <v>0</v>
      </c>
      <c r="D6962" t="s">
        <v>106</v>
      </c>
      <c r="E6962">
        <v>7.0644677661169402</v>
      </c>
    </row>
    <row r="6963" spans="1:5">
      <c r="A6963" t="s">
        <v>8088</v>
      </c>
      <c r="B6963" t="s">
        <v>8096</v>
      </c>
      <c r="C6963">
        <v>0</v>
      </c>
      <c r="D6963" t="s">
        <v>106</v>
      </c>
      <c r="E6963">
        <v>7.0644677661169402</v>
      </c>
    </row>
    <row r="6964" spans="1:5">
      <c r="A6964" t="s">
        <v>8097</v>
      </c>
      <c r="B6964" t="s">
        <v>4338</v>
      </c>
      <c r="C6964">
        <f>0</f>
        <v>0</v>
      </c>
      <c r="D6964">
        <v>0.90059662826800002</v>
      </c>
      <c r="E6964">
        <v>0.91154422788605605</v>
      </c>
    </row>
    <row r="6965" spans="1:5">
      <c r="A6965" t="s">
        <v>8097</v>
      </c>
      <c r="B6965" t="s">
        <v>4339</v>
      </c>
      <c r="C6965">
        <v>0</v>
      </c>
      <c r="D6965">
        <v>0.90059662826800002</v>
      </c>
      <c r="E6965">
        <v>0.91154422788605605</v>
      </c>
    </row>
    <row r="6966" spans="1:5">
      <c r="A6966" t="s">
        <v>8097</v>
      </c>
      <c r="B6966" t="s">
        <v>4340</v>
      </c>
      <c r="C6966">
        <f>0</f>
        <v>0</v>
      </c>
      <c r="D6966">
        <v>0.90059662826800002</v>
      </c>
      <c r="E6966">
        <v>0.91154422788605605</v>
      </c>
    </row>
    <row r="6967" spans="1:5">
      <c r="A6967" t="s">
        <v>8097</v>
      </c>
      <c r="B6967" t="s">
        <v>4341</v>
      </c>
      <c r="C6967">
        <v>0</v>
      </c>
      <c r="D6967">
        <v>0.90059662826800002</v>
      </c>
      <c r="E6967">
        <v>0.91154422788605605</v>
      </c>
    </row>
    <row r="6968" spans="1:5">
      <c r="A6968" t="s">
        <v>8097</v>
      </c>
      <c r="B6968" t="s">
        <v>4342</v>
      </c>
      <c r="C6968">
        <f>0</f>
        <v>0</v>
      </c>
      <c r="D6968">
        <v>0.90059662826800002</v>
      </c>
      <c r="E6968">
        <v>0.91154422788605605</v>
      </c>
    </row>
    <row r="6969" spans="1:5">
      <c r="A6969" t="s">
        <v>8097</v>
      </c>
      <c r="B6969" t="s">
        <v>4343</v>
      </c>
      <c r="C6969">
        <f>0</f>
        <v>0</v>
      </c>
      <c r="D6969">
        <v>0.90059662826800002</v>
      </c>
      <c r="E6969">
        <v>0.91154422788605605</v>
      </c>
    </row>
    <row r="6970" spans="1:5">
      <c r="A6970" t="s">
        <v>8097</v>
      </c>
      <c r="B6970" t="s">
        <v>4344</v>
      </c>
      <c r="C6970">
        <f>0.102999169241</f>
        <v>0.102999169241</v>
      </c>
      <c r="D6970">
        <v>0.90059662826800002</v>
      </c>
      <c r="E6970">
        <v>0.91154422788605605</v>
      </c>
    </row>
    <row r="6971" spans="1:5">
      <c r="A6971" t="s">
        <v>8098</v>
      </c>
      <c r="B6971" t="s">
        <v>4247</v>
      </c>
      <c r="C6971">
        <f>0</f>
        <v>0</v>
      </c>
      <c r="D6971" t="s">
        <v>106</v>
      </c>
      <c r="E6971">
        <v>1.33133433283358</v>
      </c>
    </row>
    <row r="6972" spans="1:5">
      <c r="A6972" t="s">
        <v>8098</v>
      </c>
      <c r="B6972" t="s">
        <v>4248</v>
      </c>
      <c r="C6972">
        <f>0</f>
        <v>0</v>
      </c>
      <c r="D6972" t="s">
        <v>106</v>
      </c>
      <c r="E6972">
        <v>1.33133433283358</v>
      </c>
    </row>
    <row r="6973" spans="1:5">
      <c r="A6973" t="s">
        <v>8098</v>
      </c>
      <c r="B6973" t="s">
        <v>4249</v>
      </c>
      <c r="C6973">
        <f>0</f>
        <v>0</v>
      </c>
      <c r="D6973" t="s">
        <v>106</v>
      </c>
      <c r="E6973">
        <v>1.33133433283358</v>
      </c>
    </row>
    <row r="6974" spans="1:5">
      <c r="A6974" t="s">
        <v>8098</v>
      </c>
      <c r="B6974" t="s">
        <v>4250</v>
      </c>
      <c r="C6974">
        <f>0</f>
        <v>0</v>
      </c>
      <c r="D6974" t="s">
        <v>106</v>
      </c>
      <c r="E6974">
        <v>1.33133433283358</v>
      </c>
    </row>
    <row r="6975" spans="1:5">
      <c r="A6975" t="s">
        <v>8098</v>
      </c>
      <c r="B6975" t="s">
        <v>4251</v>
      </c>
      <c r="C6975">
        <f>0</f>
        <v>0</v>
      </c>
      <c r="D6975" t="s">
        <v>106</v>
      </c>
      <c r="E6975">
        <v>1.33133433283358</v>
      </c>
    </row>
    <row r="6976" spans="1:5">
      <c r="A6976" t="s">
        <v>8098</v>
      </c>
      <c r="B6976" t="s">
        <v>4252</v>
      </c>
      <c r="C6976">
        <f>0</f>
        <v>0</v>
      </c>
      <c r="D6976" t="s">
        <v>106</v>
      </c>
      <c r="E6976">
        <v>1.33133433283358</v>
      </c>
    </row>
    <row r="6977" spans="1:5">
      <c r="A6977" t="s">
        <v>8099</v>
      </c>
      <c r="B6977" t="s">
        <v>5329</v>
      </c>
      <c r="C6977">
        <f>0</f>
        <v>0</v>
      </c>
      <c r="D6977">
        <v>0.96615667579999998</v>
      </c>
      <c r="E6977">
        <v>1.22338830584707</v>
      </c>
    </row>
    <row r="6978" spans="1:5">
      <c r="A6978" t="s">
        <v>8099</v>
      </c>
      <c r="B6978" t="s">
        <v>5330</v>
      </c>
      <c r="C6978">
        <f>0</f>
        <v>0</v>
      </c>
      <c r="D6978">
        <v>0.96615667579999998</v>
      </c>
      <c r="E6978">
        <v>1.22338830584707</v>
      </c>
    </row>
    <row r="6979" spans="1:5">
      <c r="A6979" t="s">
        <v>8099</v>
      </c>
      <c r="B6979" t="s">
        <v>5331</v>
      </c>
      <c r="C6979">
        <v>0</v>
      </c>
      <c r="D6979">
        <v>0.96615667579999998</v>
      </c>
      <c r="E6979">
        <v>1.22338830584707</v>
      </c>
    </row>
    <row r="6980" spans="1:5">
      <c r="A6980" t="s">
        <v>8099</v>
      </c>
      <c r="B6980" t="s">
        <v>5332</v>
      </c>
      <c r="C6980">
        <v>0</v>
      </c>
      <c r="D6980">
        <v>0.96615667579999998</v>
      </c>
      <c r="E6980">
        <v>1.22338830584707</v>
      </c>
    </row>
    <row r="6981" spans="1:5">
      <c r="A6981" t="s">
        <v>8099</v>
      </c>
      <c r="B6981" t="s">
        <v>5333</v>
      </c>
      <c r="C6981">
        <f>0</f>
        <v>0</v>
      </c>
      <c r="D6981">
        <v>0.96615667579999998</v>
      </c>
      <c r="E6981">
        <v>1.22338830584707</v>
      </c>
    </row>
    <row r="6982" spans="1:5">
      <c r="A6982" t="s">
        <v>8099</v>
      </c>
      <c r="B6982" t="s">
        <v>5334</v>
      </c>
      <c r="C6982">
        <f>0</f>
        <v>0</v>
      </c>
      <c r="D6982">
        <v>0.96615667579999998</v>
      </c>
      <c r="E6982">
        <v>1.22338830584707</v>
      </c>
    </row>
    <row r="6983" spans="1:5">
      <c r="A6983" t="s">
        <v>8099</v>
      </c>
      <c r="B6983" t="s">
        <v>5335</v>
      </c>
      <c r="C6983">
        <f>0</f>
        <v>0</v>
      </c>
      <c r="D6983">
        <v>0.96615667579999998</v>
      </c>
      <c r="E6983">
        <v>1.22338830584707</v>
      </c>
    </row>
    <row r="6984" spans="1:5">
      <c r="A6984" t="s">
        <v>8099</v>
      </c>
      <c r="B6984" t="s">
        <v>5336</v>
      </c>
      <c r="C6984">
        <f>0</f>
        <v>0</v>
      </c>
      <c r="D6984">
        <v>0.96615667579999998</v>
      </c>
      <c r="E6984">
        <v>1.22338830584707</v>
      </c>
    </row>
    <row r="6985" spans="1:5">
      <c r="A6985" t="s">
        <v>8099</v>
      </c>
      <c r="B6985" t="s">
        <v>5337</v>
      </c>
      <c r="C6985">
        <f>0.598039519401</f>
        <v>0.59803951940099997</v>
      </c>
      <c r="D6985">
        <v>0.96615667579999998</v>
      </c>
      <c r="E6985">
        <v>1.22338830584707</v>
      </c>
    </row>
    <row r="6986" spans="1:5">
      <c r="A6986" t="s">
        <v>8100</v>
      </c>
      <c r="B6986" t="s">
        <v>8101</v>
      </c>
      <c r="C6986">
        <v>0</v>
      </c>
      <c r="D6986">
        <v>0.88266310486099997</v>
      </c>
      <c r="E6986">
        <v>24</v>
      </c>
    </row>
    <row r="6987" spans="1:5">
      <c r="A6987" t="s">
        <v>8100</v>
      </c>
      <c r="B6987" t="s">
        <v>8102</v>
      </c>
      <c r="C6987">
        <v>0</v>
      </c>
      <c r="D6987">
        <v>0.88266310486099997</v>
      </c>
      <c r="E6987">
        <v>24</v>
      </c>
    </row>
    <row r="6988" spans="1:5">
      <c r="A6988" t="s">
        <v>8100</v>
      </c>
      <c r="B6988" t="s">
        <v>8103</v>
      </c>
      <c r="C6988">
        <v>0</v>
      </c>
      <c r="D6988">
        <v>0.88266310486099997</v>
      </c>
      <c r="E6988">
        <v>24</v>
      </c>
    </row>
    <row r="6989" spans="1:5">
      <c r="A6989" t="s">
        <v>8100</v>
      </c>
      <c r="B6989" t="s">
        <v>8104</v>
      </c>
      <c r="C6989">
        <v>0</v>
      </c>
      <c r="D6989">
        <v>0.88266310486099997</v>
      </c>
      <c r="E6989">
        <v>24</v>
      </c>
    </row>
    <row r="6990" spans="1:5">
      <c r="A6990" t="s">
        <v>8100</v>
      </c>
      <c r="B6990" t="s">
        <v>8105</v>
      </c>
      <c r="C6990">
        <f>0</f>
        <v>0</v>
      </c>
      <c r="D6990">
        <v>0.88266310486099997</v>
      </c>
      <c r="E6990">
        <v>24</v>
      </c>
    </row>
    <row r="6991" spans="1:5">
      <c r="A6991" t="s">
        <v>8100</v>
      </c>
      <c r="B6991" t="s">
        <v>8106</v>
      </c>
      <c r="C6991">
        <v>0</v>
      </c>
      <c r="D6991">
        <v>0.88266310486099997</v>
      </c>
      <c r="E6991">
        <v>24</v>
      </c>
    </row>
    <row r="6992" spans="1:5">
      <c r="A6992" t="s">
        <v>8100</v>
      </c>
      <c r="B6992" t="s">
        <v>8107</v>
      </c>
      <c r="C6992">
        <v>0</v>
      </c>
      <c r="D6992">
        <v>0.88266310486099997</v>
      </c>
      <c r="E6992">
        <v>24</v>
      </c>
    </row>
    <row r="6993" spans="1:5">
      <c r="A6993" t="s">
        <v>8100</v>
      </c>
      <c r="B6993" t="s">
        <v>8108</v>
      </c>
      <c r="C6993">
        <v>0</v>
      </c>
      <c r="D6993">
        <v>0.88266310486099997</v>
      </c>
      <c r="E6993">
        <v>24</v>
      </c>
    </row>
    <row r="6994" spans="1:5">
      <c r="A6994" t="s">
        <v>8100</v>
      </c>
      <c r="B6994" t="s">
        <v>8109</v>
      </c>
      <c r="C6994">
        <v>0</v>
      </c>
      <c r="D6994">
        <v>0.88266310486099997</v>
      </c>
      <c r="E6994">
        <v>24</v>
      </c>
    </row>
    <row r="6995" spans="1:5">
      <c r="A6995" t="s">
        <v>8100</v>
      </c>
      <c r="B6995" t="s">
        <v>8110</v>
      </c>
      <c r="C6995">
        <v>0</v>
      </c>
      <c r="D6995">
        <v>0.88266310486099997</v>
      </c>
      <c r="E6995">
        <v>24</v>
      </c>
    </row>
    <row r="6996" spans="1:5">
      <c r="A6996" t="s">
        <v>8100</v>
      </c>
      <c r="B6996" t="s">
        <v>8111</v>
      </c>
      <c r="C6996">
        <v>0</v>
      </c>
      <c r="D6996">
        <v>0.88266310486099997</v>
      </c>
      <c r="E6996">
        <v>24</v>
      </c>
    </row>
    <row r="6997" spans="1:5">
      <c r="A6997" t="s">
        <v>8100</v>
      </c>
      <c r="B6997" t="s">
        <v>8112</v>
      </c>
      <c r="C6997">
        <f>0</f>
        <v>0</v>
      </c>
      <c r="D6997">
        <v>0.88266310486099997</v>
      </c>
      <c r="E6997">
        <v>24</v>
      </c>
    </row>
    <row r="6998" spans="1:5">
      <c r="A6998" t="s">
        <v>8100</v>
      </c>
      <c r="B6998" t="s">
        <v>8113</v>
      </c>
      <c r="C6998">
        <v>0</v>
      </c>
      <c r="D6998">
        <v>0.88266310486099997</v>
      </c>
      <c r="E6998">
        <v>24</v>
      </c>
    </row>
    <row r="6999" spans="1:5">
      <c r="A6999" t="s">
        <v>8100</v>
      </c>
      <c r="B6999" t="s">
        <v>8114</v>
      </c>
      <c r="C6999">
        <v>0</v>
      </c>
      <c r="D6999">
        <v>0.88266310486099997</v>
      </c>
      <c r="E6999">
        <v>24</v>
      </c>
    </row>
    <row r="7000" spans="1:5">
      <c r="A7000" t="s">
        <v>8100</v>
      </c>
      <c r="B7000" t="s">
        <v>8115</v>
      </c>
      <c r="C7000">
        <v>0</v>
      </c>
      <c r="D7000">
        <v>0.88266310486099997</v>
      </c>
      <c r="E7000">
        <v>24</v>
      </c>
    </row>
    <row r="7001" spans="1:5">
      <c r="A7001" t="s">
        <v>8116</v>
      </c>
      <c r="B7001" t="s">
        <v>8117</v>
      </c>
      <c r="C7001">
        <v>0</v>
      </c>
      <c r="D7001">
        <v>0.88597201488400001</v>
      </c>
      <c r="E7001">
        <v>24</v>
      </c>
    </row>
    <row r="7002" spans="1:5">
      <c r="A7002" t="s">
        <v>8116</v>
      </c>
      <c r="B7002" t="s">
        <v>8118</v>
      </c>
      <c r="C7002">
        <v>0</v>
      </c>
      <c r="D7002">
        <v>0.88597201488400001</v>
      </c>
      <c r="E7002">
        <v>24</v>
      </c>
    </row>
    <row r="7003" spans="1:5">
      <c r="A7003" t="s">
        <v>8116</v>
      </c>
      <c r="B7003" t="s">
        <v>8119</v>
      </c>
      <c r="C7003">
        <v>0</v>
      </c>
      <c r="D7003">
        <v>0.88597201488400001</v>
      </c>
      <c r="E7003">
        <v>24</v>
      </c>
    </row>
    <row r="7004" spans="1:5">
      <c r="A7004" t="s">
        <v>8116</v>
      </c>
      <c r="B7004" t="s">
        <v>8120</v>
      </c>
      <c r="C7004">
        <v>4.1143204242999998E-2</v>
      </c>
      <c r="D7004">
        <v>0.88597201488400001</v>
      </c>
      <c r="E7004">
        <v>24</v>
      </c>
    </row>
    <row r="7005" spans="1:5">
      <c r="A7005" t="s">
        <v>8116</v>
      </c>
      <c r="B7005" t="s">
        <v>8121</v>
      </c>
      <c r="C7005">
        <f>0</f>
        <v>0</v>
      </c>
      <c r="D7005">
        <v>0.88597201488400001</v>
      </c>
      <c r="E7005">
        <v>24</v>
      </c>
    </row>
    <row r="7006" spans="1:5">
      <c r="A7006" t="s">
        <v>8116</v>
      </c>
      <c r="B7006" t="s">
        <v>8122</v>
      </c>
      <c r="C7006">
        <v>0</v>
      </c>
      <c r="D7006">
        <v>0.88597201488400001</v>
      </c>
      <c r="E7006">
        <v>24</v>
      </c>
    </row>
    <row r="7007" spans="1:5">
      <c r="A7007" t="s">
        <v>8116</v>
      </c>
      <c r="B7007" t="s">
        <v>8123</v>
      </c>
      <c r="C7007">
        <f>0</f>
        <v>0</v>
      </c>
      <c r="D7007">
        <v>0.88597201488400001</v>
      </c>
      <c r="E7007">
        <v>24</v>
      </c>
    </row>
    <row r="7008" spans="1:5">
      <c r="A7008" t="s">
        <v>8116</v>
      </c>
      <c r="B7008" t="s">
        <v>8124</v>
      </c>
      <c r="C7008">
        <v>0</v>
      </c>
      <c r="D7008">
        <v>0.88597201488400001</v>
      </c>
      <c r="E7008">
        <v>24</v>
      </c>
    </row>
    <row r="7009" spans="1:5">
      <c r="A7009" t="s">
        <v>8116</v>
      </c>
      <c r="B7009" t="s">
        <v>8125</v>
      </c>
      <c r="C7009">
        <f>0</f>
        <v>0</v>
      </c>
      <c r="D7009">
        <v>0.88597201488400001</v>
      </c>
      <c r="E7009">
        <v>24</v>
      </c>
    </row>
    <row r="7010" spans="1:5">
      <c r="A7010" t="s">
        <v>8116</v>
      </c>
      <c r="B7010" t="s">
        <v>8126</v>
      </c>
      <c r="C7010">
        <v>0</v>
      </c>
      <c r="D7010">
        <v>0.88597201488400001</v>
      </c>
      <c r="E7010">
        <v>24</v>
      </c>
    </row>
    <row r="7011" spans="1:5">
      <c r="A7011" t="s">
        <v>8127</v>
      </c>
      <c r="B7011" t="s">
        <v>8128</v>
      </c>
      <c r="C7011">
        <v>0.16703336395900001</v>
      </c>
      <c r="D7011">
        <v>0.92094713238100001</v>
      </c>
      <c r="E7011">
        <v>14.740629685157399</v>
      </c>
    </row>
    <row r="7012" spans="1:5">
      <c r="A7012" t="s">
        <v>8127</v>
      </c>
      <c r="B7012" t="s">
        <v>8129</v>
      </c>
      <c r="C7012">
        <f>0</f>
        <v>0</v>
      </c>
      <c r="D7012">
        <v>0.92094713238100001</v>
      </c>
      <c r="E7012">
        <v>14.740629685157399</v>
      </c>
    </row>
    <row r="7013" spans="1:5">
      <c r="A7013" t="s">
        <v>8127</v>
      </c>
      <c r="B7013" t="s">
        <v>8130</v>
      </c>
      <c r="C7013">
        <f>0.106607782035</f>
        <v>0.106607782035</v>
      </c>
      <c r="D7013">
        <v>0.92094713238100001</v>
      </c>
      <c r="E7013">
        <v>14.740629685157399</v>
      </c>
    </row>
    <row r="7014" spans="1:5">
      <c r="A7014" t="s">
        <v>8131</v>
      </c>
      <c r="B7014" t="s">
        <v>8132</v>
      </c>
      <c r="C7014">
        <f>0</f>
        <v>0</v>
      </c>
      <c r="D7014" t="s">
        <v>106</v>
      </c>
      <c r="E7014">
        <v>4.4737631184407798</v>
      </c>
    </row>
    <row r="7015" spans="1:5">
      <c r="A7015" t="s">
        <v>8131</v>
      </c>
      <c r="B7015" t="s">
        <v>8133</v>
      </c>
      <c r="C7015">
        <v>0</v>
      </c>
      <c r="D7015" t="s">
        <v>106</v>
      </c>
      <c r="E7015">
        <v>4.4737631184407798</v>
      </c>
    </row>
    <row r="7016" spans="1:5">
      <c r="A7016" t="s">
        <v>8131</v>
      </c>
      <c r="B7016" t="s">
        <v>8134</v>
      </c>
      <c r="C7016">
        <f>0</f>
        <v>0</v>
      </c>
      <c r="D7016" t="s">
        <v>106</v>
      </c>
      <c r="E7016">
        <v>4.4737631184407798</v>
      </c>
    </row>
    <row r="7017" spans="1:5">
      <c r="A7017" t="s">
        <v>8131</v>
      </c>
      <c r="B7017" t="s">
        <v>8135</v>
      </c>
      <c r="C7017">
        <f>0</f>
        <v>0</v>
      </c>
      <c r="D7017" t="s">
        <v>106</v>
      </c>
      <c r="E7017">
        <v>4.4737631184407798</v>
      </c>
    </row>
    <row r="7018" spans="1:5">
      <c r="A7018" t="s">
        <v>8136</v>
      </c>
      <c r="B7018" t="s">
        <v>8137</v>
      </c>
      <c r="C7018">
        <v>0</v>
      </c>
      <c r="D7018">
        <v>0.98386904627399996</v>
      </c>
      <c r="E7018">
        <v>6.4287856071964002</v>
      </c>
    </row>
    <row r="7019" spans="1:5">
      <c r="A7019" t="s">
        <v>8136</v>
      </c>
      <c r="B7019" t="s">
        <v>8138</v>
      </c>
      <c r="C7019">
        <f>0</f>
        <v>0</v>
      </c>
      <c r="D7019">
        <v>0.98386904627399996</v>
      </c>
      <c r="E7019">
        <v>6.4287856071964002</v>
      </c>
    </row>
    <row r="7020" spans="1:5">
      <c r="A7020" t="s">
        <v>8136</v>
      </c>
      <c r="B7020" t="s">
        <v>8139</v>
      </c>
      <c r="C7020">
        <f>0</f>
        <v>0</v>
      </c>
      <c r="D7020">
        <v>0.98386904627399996</v>
      </c>
      <c r="E7020">
        <v>6.4287856071964002</v>
      </c>
    </row>
    <row r="7021" spans="1:5">
      <c r="A7021" t="s">
        <v>8136</v>
      </c>
      <c r="B7021" t="s">
        <v>8140</v>
      </c>
      <c r="C7021">
        <f>0</f>
        <v>0</v>
      </c>
      <c r="D7021">
        <v>0.98386904627399996</v>
      </c>
      <c r="E7021">
        <v>6.4287856071964002</v>
      </c>
    </row>
    <row r="7022" spans="1:5">
      <c r="A7022" t="s">
        <v>8136</v>
      </c>
      <c r="B7022" t="s">
        <v>8141</v>
      </c>
      <c r="C7022">
        <f>0</f>
        <v>0</v>
      </c>
      <c r="D7022">
        <v>0.98386904627399996</v>
      </c>
      <c r="E7022">
        <v>6.4287856071964002</v>
      </c>
    </row>
    <row r="7023" spans="1:5">
      <c r="A7023" t="s">
        <v>8142</v>
      </c>
      <c r="B7023" t="s">
        <v>8143</v>
      </c>
      <c r="C7023">
        <v>0.184077870005</v>
      </c>
      <c r="D7023">
        <v>0.99812697931100003</v>
      </c>
      <c r="E7023">
        <v>1.6911544227886</v>
      </c>
    </row>
    <row r="7024" spans="1:5">
      <c r="A7024" t="s">
        <v>8142</v>
      </c>
      <c r="B7024" t="s">
        <v>8144</v>
      </c>
      <c r="C7024">
        <v>0</v>
      </c>
      <c r="D7024">
        <v>0.99812697931100003</v>
      </c>
      <c r="E7024">
        <v>1.6911544227886</v>
      </c>
    </row>
    <row r="7025" spans="1:5">
      <c r="A7025" t="s">
        <v>8142</v>
      </c>
      <c r="B7025" t="s">
        <v>8145</v>
      </c>
      <c r="C7025">
        <f>0.223058034055</f>
        <v>0.22305803405499999</v>
      </c>
      <c r="D7025">
        <v>0.99812697931100003</v>
      </c>
      <c r="E7025">
        <v>1.6911544227886</v>
      </c>
    </row>
    <row r="7026" spans="1:5">
      <c r="A7026" t="s">
        <v>8142</v>
      </c>
      <c r="B7026" t="s">
        <v>8146</v>
      </c>
      <c r="C7026">
        <v>0</v>
      </c>
      <c r="D7026">
        <v>0.99812697931100003</v>
      </c>
      <c r="E7026">
        <v>1.6911544227886</v>
      </c>
    </row>
    <row r="7027" spans="1:5">
      <c r="A7027" t="s">
        <v>8142</v>
      </c>
      <c r="B7027" t="s">
        <v>8147</v>
      </c>
      <c r="C7027">
        <v>0</v>
      </c>
      <c r="D7027">
        <v>0.99812697931100003</v>
      </c>
      <c r="E7027">
        <v>1.6911544227886</v>
      </c>
    </row>
    <row r="7028" spans="1:5">
      <c r="A7028" t="s">
        <v>8142</v>
      </c>
      <c r="B7028" t="s">
        <v>8148</v>
      </c>
      <c r="C7028">
        <v>0</v>
      </c>
      <c r="D7028">
        <v>0.99812697931100003</v>
      </c>
      <c r="E7028">
        <v>1.6911544227886</v>
      </c>
    </row>
    <row r="7029" spans="1:5">
      <c r="A7029" t="s">
        <v>8149</v>
      </c>
      <c r="B7029" t="s">
        <v>8150</v>
      </c>
      <c r="C7029">
        <f>0</f>
        <v>0</v>
      </c>
      <c r="D7029" t="s">
        <v>106</v>
      </c>
      <c r="E7029">
        <v>11.202398800599701</v>
      </c>
    </row>
    <row r="7030" spans="1:5">
      <c r="A7030" t="s">
        <v>8149</v>
      </c>
      <c r="B7030" t="s">
        <v>8151</v>
      </c>
      <c r="C7030">
        <f>0</f>
        <v>0</v>
      </c>
      <c r="D7030" t="s">
        <v>106</v>
      </c>
      <c r="E7030">
        <v>11.202398800599701</v>
      </c>
    </row>
    <row r="7031" spans="1:5">
      <c r="A7031" t="s">
        <v>8152</v>
      </c>
      <c r="B7031" t="s">
        <v>8153</v>
      </c>
      <c r="C7031">
        <f>0</f>
        <v>0</v>
      </c>
      <c r="D7031" t="s">
        <v>106</v>
      </c>
      <c r="E7031">
        <v>24</v>
      </c>
    </row>
    <row r="7032" spans="1:5">
      <c r="A7032" t="s">
        <v>8152</v>
      </c>
      <c r="B7032" t="s">
        <v>8154</v>
      </c>
      <c r="C7032">
        <v>0.155311018563</v>
      </c>
      <c r="D7032" t="s">
        <v>106</v>
      </c>
      <c r="E7032">
        <v>24</v>
      </c>
    </row>
    <row r="7033" spans="1:5">
      <c r="A7033" t="s">
        <v>8152</v>
      </c>
      <c r="B7033" t="s">
        <v>8155</v>
      </c>
      <c r="C7033">
        <f>0.00335177182708</f>
        <v>3.3517718270799999E-3</v>
      </c>
      <c r="D7033" t="s">
        <v>106</v>
      </c>
      <c r="E7033">
        <v>24</v>
      </c>
    </row>
    <row r="7034" spans="1:5">
      <c r="A7034" t="s">
        <v>8152</v>
      </c>
      <c r="B7034" t="s">
        <v>8156</v>
      </c>
      <c r="C7034">
        <f>0</f>
        <v>0</v>
      </c>
      <c r="D7034" t="s">
        <v>106</v>
      </c>
      <c r="E7034">
        <v>24</v>
      </c>
    </row>
    <row r="7035" spans="1:5">
      <c r="A7035" t="s">
        <v>8157</v>
      </c>
      <c r="B7035" t="s">
        <v>8158</v>
      </c>
      <c r="C7035">
        <f>0</f>
        <v>0</v>
      </c>
      <c r="D7035">
        <v>0.69373992686200003</v>
      </c>
      <c r="E7035">
        <v>9.6191904047975996</v>
      </c>
    </row>
    <row r="7036" spans="1:5">
      <c r="A7036" t="s">
        <v>8157</v>
      </c>
      <c r="B7036" t="s">
        <v>8159</v>
      </c>
      <c r="C7036">
        <v>8.7886850879E-2</v>
      </c>
      <c r="D7036">
        <v>0.69373992686200003</v>
      </c>
      <c r="E7036">
        <v>9.6191904047975996</v>
      </c>
    </row>
    <row r="7037" spans="1:5">
      <c r="A7037" t="s">
        <v>8157</v>
      </c>
      <c r="B7037" t="s">
        <v>8160</v>
      </c>
      <c r="C7037">
        <v>0</v>
      </c>
      <c r="D7037">
        <v>0.69373992686200003</v>
      </c>
      <c r="E7037">
        <v>9.6191904047975996</v>
      </c>
    </row>
    <row r="7038" spans="1:5">
      <c r="A7038" t="s">
        <v>8157</v>
      </c>
      <c r="B7038" t="s">
        <v>8161</v>
      </c>
      <c r="C7038">
        <f>0</f>
        <v>0</v>
      </c>
      <c r="D7038">
        <v>0.69373992686200003</v>
      </c>
      <c r="E7038">
        <v>9.6191904047975996</v>
      </c>
    </row>
    <row r="7039" spans="1:5">
      <c r="A7039" t="s">
        <v>8162</v>
      </c>
      <c r="B7039" t="s">
        <v>8163</v>
      </c>
      <c r="C7039">
        <v>0</v>
      </c>
      <c r="D7039">
        <v>0.84953563204299998</v>
      </c>
      <c r="E7039">
        <v>9.4632683658170897</v>
      </c>
    </row>
    <row r="7040" spans="1:5">
      <c r="A7040" t="s">
        <v>8162</v>
      </c>
      <c r="B7040" t="s">
        <v>8164</v>
      </c>
      <c r="C7040">
        <v>8.0175106263300003E-2</v>
      </c>
      <c r="D7040">
        <v>0.84953563204299998</v>
      </c>
      <c r="E7040">
        <v>9.4632683658170897</v>
      </c>
    </row>
    <row r="7041" spans="1:5">
      <c r="A7041" t="s">
        <v>8165</v>
      </c>
      <c r="B7041" t="s">
        <v>8166</v>
      </c>
      <c r="C7041">
        <v>0.22187041856199999</v>
      </c>
      <c r="D7041">
        <v>0.95583350196100003</v>
      </c>
      <c r="E7041">
        <v>24</v>
      </c>
    </row>
    <row r="7042" spans="1:5">
      <c r="A7042" t="s">
        <v>8167</v>
      </c>
      <c r="B7042" t="s">
        <v>8168</v>
      </c>
      <c r="C7042">
        <v>8.4822466144199998E-2</v>
      </c>
      <c r="D7042">
        <v>0.87527733492299997</v>
      </c>
      <c r="E7042">
        <v>24</v>
      </c>
    </row>
    <row r="7043" spans="1:5">
      <c r="A7043" t="s">
        <v>8167</v>
      </c>
      <c r="B7043" t="s">
        <v>8169</v>
      </c>
      <c r="C7043">
        <v>0</v>
      </c>
      <c r="D7043">
        <v>0.87527733492299997</v>
      </c>
      <c r="E7043">
        <v>24</v>
      </c>
    </row>
    <row r="7044" spans="1:5">
      <c r="A7044" t="s">
        <v>8167</v>
      </c>
      <c r="B7044" t="s">
        <v>8170</v>
      </c>
      <c r="C7044">
        <v>5.8844667019300002E-2</v>
      </c>
      <c r="D7044">
        <v>0.87527733492299997</v>
      </c>
      <c r="E7044">
        <v>24</v>
      </c>
    </row>
    <row r="7045" spans="1:5">
      <c r="A7045" t="s">
        <v>8167</v>
      </c>
      <c r="B7045" t="s">
        <v>8171</v>
      </c>
      <c r="C7045">
        <v>0</v>
      </c>
      <c r="D7045">
        <v>0.87527733492299997</v>
      </c>
      <c r="E7045">
        <v>24</v>
      </c>
    </row>
    <row r="7046" spans="1:5">
      <c r="A7046" t="s">
        <v>8167</v>
      </c>
      <c r="B7046" t="s">
        <v>8172</v>
      </c>
      <c r="C7046">
        <f>0</f>
        <v>0</v>
      </c>
      <c r="D7046">
        <v>0.87527733492299997</v>
      </c>
      <c r="E7046">
        <v>24</v>
      </c>
    </row>
    <row r="7047" spans="1:5">
      <c r="A7047" t="s">
        <v>8167</v>
      </c>
      <c r="B7047" t="s">
        <v>8173</v>
      </c>
      <c r="C7047">
        <v>0</v>
      </c>
      <c r="D7047">
        <v>0.87527733492299997</v>
      </c>
      <c r="E7047">
        <v>24</v>
      </c>
    </row>
    <row r="7048" spans="1:5">
      <c r="A7048" t="s">
        <v>8167</v>
      </c>
      <c r="B7048" t="s">
        <v>8174</v>
      </c>
      <c r="C7048">
        <f>0</f>
        <v>0</v>
      </c>
      <c r="D7048">
        <v>0.87527733492299997</v>
      </c>
      <c r="E7048">
        <v>24</v>
      </c>
    </row>
    <row r="7049" spans="1:5">
      <c r="A7049" t="s">
        <v>8167</v>
      </c>
      <c r="B7049" t="s">
        <v>8175</v>
      </c>
      <c r="C7049">
        <f>0</f>
        <v>0</v>
      </c>
      <c r="D7049">
        <v>0.87527733492299997</v>
      </c>
      <c r="E7049">
        <v>24</v>
      </c>
    </row>
    <row r="7050" spans="1:5">
      <c r="A7050" t="s">
        <v>8167</v>
      </c>
      <c r="B7050" t="s">
        <v>8176</v>
      </c>
      <c r="C7050">
        <v>0</v>
      </c>
      <c r="D7050">
        <v>0.87527733492299997</v>
      </c>
      <c r="E7050">
        <v>24</v>
      </c>
    </row>
    <row r="7051" spans="1:5">
      <c r="A7051" t="s">
        <v>8177</v>
      </c>
      <c r="B7051" t="s">
        <v>8178</v>
      </c>
      <c r="C7051">
        <v>0</v>
      </c>
      <c r="D7051">
        <v>0.884098923584</v>
      </c>
      <c r="E7051">
        <v>23.7481259370314</v>
      </c>
    </row>
    <row r="7052" spans="1:5">
      <c r="A7052" t="s">
        <v>8177</v>
      </c>
      <c r="B7052" t="s">
        <v>8179</v>
      </c>
      <c r="C7052">
        <v>0</v>
      </c>
      <c r="D7052">
        <v>0.884098923584</v>
      </c>
      <c r="E7052">
        <v>23.7481259370314</v>
      </c>
    </row>
    <row r="7053" spans="1:5">
      <c r="A7053" t="s">
        <v>8177</v>
      </c>
      <c r="B7053" t="s">
        <v>8180</v>
      </c>
      <c r="C7053">
        <v>0</v>
      </c>
      <c r="D7053">
        <v>0.884098923584</v>
      </c>
      <c r="E7053">
        <v>23.7481259370314</v>
      </c>
    </row>
    <row r="7054" spans="1:5">
      <c r="A7054" t="s">
        <v>8177</v>
      </c>
      <c r="B7054" t="s">
        <v>8181</v>
      </c>
      <c r="C7054">
        <f>0.0622493293155</f>
        <v>6.22493293155E-2</v>
      </c>
      <c r="D7054">
        <v>0.884098923584</v>
      </c>
      <c r="E7054">
        <v>23.7481259370314</v>
      </c>
    </row>
    <row r="7055" spans="1:5">
      <c r="A7055" t="s">
        <v>8177</v>
      </c>
      <c r="B7055" t="s">
        <v>8182</v>
      </c>
      <c r="C7055">
        <f>0</f>
        <v>0</v>
      </c>
      <c r="D7055">
        <v>0.884098923584</v>
      </c>
      <c r="E7055">
        <v>23.7481259370314</v>
      </c>
    </row>
    <row r="7056" spans="1:5">
      <c r="A7056" t="s">
        <v>8177</v>
      </c>
      <c r="B7056" t="s">
        <v>8183</v>
      </c>
      <c r="C7056">
        <v>0</v>
      </c>
      <c r="D7056">
        <v>0.884098923584</v>
      </c>
      <c r="E7056">
        <v>23.7481259370314</v>
      </c>
    </row>
    <row r="7057" spans="1:5">
      <c r="A7057" t="s">
        <v>8177</v>
      </c>
      <c r="B7057" t="s">
        <v>8184</v>
      </c>
      <c r="C7057">
        <v>0</v>
      </c>
      <c r="D7057">
        <v>0.884098923584</v>
      </c>
      <c r="E7057">
        <v>23.7481259370314</v>
      </c>
    </row>
    <row r="7058" spans="1:5">
      <c r="A7058" t="s">
        <v>8177</v>
      </c>
      <c r="B7058" t="s">
        <v>8185</v>
      </c>
      <c r="C7058">
        <v>0</v>
      </c>
      <c r="D7058">
        <v>0.884098923584</v>
      </c>
      <c r="E7058">
        <v>23.7481259370314</v>
      </c>
    </row>
    <row r="7059" spans="1:5">
      <c r="A7059" t="s">
        <v>8177</v>
      </c>
      <c r="B7059" t="s">
        <v>8186</v>
      </c>
      <c r="C7059">
        <v>0</v>
      </c>
      <c r="D7059">
        <v>0.884098923584</v>
      </c>
      <c r="E7059">
        <v>23.7481259370314</v>
      </c>
    </row>
    <row r="7060" spans="1:5">
      <c r="A7060" t="s">
        <v>8177</v>
      </c>
      <c r="B7060" t="s">
        <v>8187</v>
      </c>
      <c r="C7060">
        <f>0</f>
        <v>0</v>
      </c>
      <c r="D7060">
        <v>0.884098923584</v>
      </c>
      <c r="E7060">
        <v>23.7481259370314</v>
      </c>
    </row>
    <row r="7061" spans="1:5">
      <c r="A7061" t="s">
        <v>8177</v>
      </c>
      <c r="B7061" t="s">
        <v>8188</v>
      </c>
      <c r="C7061">
        <v>0</v>
      </c>
      <c r="D7061">
        <v>0.884098923584</v>
      </c>
      <c r="E7061">
        <v>23.7481259370314</v>
      </c>
    </row>
    <row r="7062" spans="1:5">
      <c r="A7062" t="s">
        <v>8177</v>
      </c>
      <c r="B7062" t="s">
        <v>8189</v>
      </c>
      <c r="C7062">
        <v>0</v>
      </c>
      <c r="D7062">
        <v>0.884098923584</v>
      </c>
      <c r="E7062">
        <v>23.7481259370314</v>
      </c>
    </row>
    <row r="7063" spans="1:5">
      <c r="A7063" t="s">
        <v>8177</v>
      </c>
      <c r="B7063" t="s">
        <v>8190</v>
      </c>
      <c r="C7063">
        <v>0</v>
      </c>
      <c r="D7063">
        <v>0.884098923584</v>
      </c>
      <c r="E7063">
        <v>23.7481259370314</v>
      </c>
    </row>
    <row r="7064" spans="1:5">
      <c r="A7064" t="s">
        <v>8177</v>
      </c>
      <c r="B7064" t="s">
        <v>8191</v>
      </c>
      <c r="C7064">
        <v>0</v>
      </c>
      <c r="D7064">
        <v>0.884098923584</v>
      </c>
      <c r="E7064">
        <v>23.7481259370314</v>
      </c>
    </row>
    <row r="7065" spans="1:5">
      <c r="A7065" t="s">
        <v>8192</v>
      </c>
      <c r="B7065" t="s">
        <v>8193</v>
      </c>
      <c r="C7065">
        <f>0</f>
        <v>0</v>
      </c>
      <c r="D7065" t="s">
        <v>106</v>
      </c>
      <c r="E7065">
        <v>20.965517241379299</v>
      </c>
    </row>
    <row r="7066" spans="1:5">
      <c r="A7066" t="s">
        <v>8192</v>
      </c>
      <c r="B7066" t="s">
        <v>8194</v>
      </c>
      <c r="C7066">
        <v>0</v>
      </c>
      <c r="D7066" t="s">
        <v>106</v>
      </c>
      <c r="E7066">
        <v>20.965517241379299</v>
      </c>
    </row>
    <row r="7067" spans="1:5">
      <c r="A7067" t="s">
        <v>8192</v>
      </c>
      <c r="B7067" t="s">
        <v>8195</v>
      </c>
      <c r="C7067">
        <v>0</v>
      </c>
      <c r="D7067" t="s">
        <v>106</v>
      </c>
      <c r="E7067">
        <v>20.965517241379299</v>
      </c>
    </row>
    <row r="7068" spans="1:5">
      <c r="A7068" t="s">
        <v>8192</v>
      </c>
      <c r="B7068" t="s">
        <v>8196</v>
      </c>
      <c r="C7068">
        <v>0</v>
      </c>
      <c r="D7068" t="s">
        <v>106</v>
      </c>
      <c r="E7068">
        <v>20.965517241379299</v>
      </c>
    </row>
    <row r="7069" spans="1:5">
      <c r="A7069" t="s">
        <v>8192</v>
      </c>
      <c r="B7069" t="s">
        <v>8197</v>
      </c>
      <c r="C7069">
        <f>0</f>
        <v>0</v>
      </c>
      <c r="D7069" t="s">
        <v>106</v>
      </c>
      <c r="E7069">
        <v>20.965517241379299</v>
      </c>
    </row>
    <row r="7070" spans="1:5">
      <c r="A7070" t="s">
        <v>8192</v>
      </c>
      <c r="B7070" t="s">
        <v>8198</v>
      </c>
      <c r="C7070">
        <v>0</v>
      </c>
      <c r="D7070" t="s">
        <v>106</v>
      </c>
      <c r="E7070">
        <v>20.965517241379299</v>
      </c>
    </row>
    <row r="7071" spans="1:5">
      <c r="A7071" t="s">
        <v>8192</v>
      </c>
      <c r="B7071" t="s">
        <v>8199</v>
      </c>
      <c r="C7071">
        <v>0</v>
      </c>
      <c r="D7071" t="s">
        <v>106</v>
      </c>
      <c r="E7071">
        <v>20.965517241379299</v>
      </c>
    </row>
    <row r="7072" spans="1:5">
      <c r="A7072" t="s">
        <v>8192</v>
      </c>
      <c r="B7072" t="s">
        <v>8200</v>
      </c>
      <c r="C7072">
        <f>0</f>
        <v>0</v>
      </c>
      <c r="D7072" t="s">
        <v>106</v>
      </c>
      <c r="E7072">
        <v>20.965517241379299</v>
      </c>
    </row>
    <row r="7073" spans="1:5">
      <c r="A7073" t="s">
        <v>8192</v>
      </c>
      <c r="B7073" t="s">
        <v>8201</v>
      </c>
      <c r="C7073">
        <v>0</v>
      </c>
      <c r="D7073" t="s">
        <v>106</v>
      </c>
      <c r="E7073">
        <v>20.965517241379299</v>
      </c>
    </row>
    <row r="7074" spans="1:5">
      <c r="A7074" t="s">
        <v>8192</v>
      </c>
      <c r="B7074" t="s">
        <v>8202</v>
      </c>
      <c r="C7074">
        <v>0</v>
      </c>
      <c r="D7074" t="s">
        <v>106</v>
      </c>
      <c r="E7074">
        <v>20.965517241379299</v>
      </c>
    </row>
    <row r="7075" spans="1:5">
      <c r="A7075" t="s">
        <v>8192</v>
      </c>
      <c r="B7075" t="s">
        <v>8203</v>
      </c>
      <c r="C7075">
        <v>0</v>
      </c>
      <c r="D7075" t="s">
        <v>106</v>
      </c>
      <c r="E7075">
        <v>20.965517241379299</v>
      </c>
    </row>
    <row r="7076" spans="1:5">
      <c r="A7076" t="s">
        <v>8192</v>
      </c>
      <c r="B7076" t="s">
        <v>8204</v>
      </c>
      <c r="C7076">
        <f>0</f>
        <v>0</v>
      </c>
      <c r="D7076" t="s">
        <v>106</v>
      </c>
      <c r="E7076">
        <v>20.965517241379299</v>
      </c>
    </row>
    <row r="7077" spans="1:5">
      <c r="A7077" t="s">
        <v>8192</v>
      </c>
      <c r="B7077" t="s">
        <v>8205</v>
      </c>
      <c r="C7077">
        <v>0</v>
      </c>
      <c r="D7077" t="s">
        <v>106</v>
      </c>
      <c r="E7077">
        <v>20.965517241379299</v>
      </c>
    </row>
    <row r="7078" spans="1:5">
      <c r="A7078" t="s">
        <v>8192</v>
      </c>
      <c r="B7078" t="s">
        <v>8206</v>
      </c>
      <c r="C7078">
        <f>0</f>
        <v>0</v>
      </c>
      <c r="D7078" t="s">
        <v>106</v>
      </c>
      <c r="E7078">
        <v>20.965517241379299</v>
      </c>
    </row>
    <row r="7079" spans="1:5">
      <c r="A7079" t="s">
        <v>8192</v>
      </c>
      <c r="B7079" t="s">
        <v>8207</v>
      </c>
      <c r="C7079">
        <f>0</f>
        <v>0</v>
      </c>
      <c r="D7079" t="s">
        <v>106</v>
      </c>
      <c r="E7079">
        <v>20.965517241379299</v>
      </c>
    </row>
    <row r="7080" spans="1:5">
      <c r="A7080" t="s">
        <v>8208</v>
      </c>
      <c r="B7080" t="s">
        <v>8209</v>
      </c>
      <c r="C7080">
        <f>0</f>
        <v>0</v>
      </c>
      <c r="D7080">
        <v>0.92944747091900004</v>
      </c>
      <c r="E7080">
        <v>19.850074962518701</v>
      </c>
    </row>
    <row r="7081" spans="1:5">
      <c r="A7081" t="s">
        <v>8208</v>
      </c>
      <c r="B7081" t="s">
        <v>8210</v>
      </c>
      <c r="C7081">
        <f>0.0219913332087</f>
        <v>2.19913332087E-2</v>
      </c>
      <c r="D7081">
        <v>0.92944747091900004</v>
      </c>
      <c r="E7081">
        <v>19.850074962518701</v>
      </c>
    </row>
    <row r="7082" spans="1:5">
      <c r="A7082" t="s">
        <v>8208</v>
      </c>
      <c r="B7082" t="s">
        <v>8211</v>
      </c>
      <c r="C7082">
        <v>0</v>
      </c>
      <c r="D7082">
        <v>0.92944747091900004</v>
      </c>
      <c r="E7082">
        <v>19.850074962518701</v>
      </c>
    </row>
    <row r="7083" spans="1:5">
      <c r="A7083" t="s">
        <v>8208</v>
      </c>
      <c r="B7083" t="s">
        <v>8212</v>
      </c>
      <c r="C7083">
        <v>0</v>
      </c>
      <c r="D7083">
        <v>0.92944747091900004</v>
      </c>
      <c r="E7083">
        <v>19.850074962518701</v>
      </c>
    </row>
    <row r="7084" spans="1:5">
      <c r="A7084" t="s">
        <v>8208</v>
      </c>
      <c r="B7084" t="s">
        <v>8213</v>
      </c>
      <c r="C7084">
        <v>0</v>
      </c>
      <c r="D7084">
        <v>0.92944747091900004</v>
      </c>
      <c r="E7084">
        <v>19.850074962518701</v>
      </c>
    </row>
    <row r="7085" spans="1:5">
      <c r="A7085" t="s">
        <v>8208</v>
      </c>
      <c r="B7085" t="s">
        <v>8214</v>
      </c>
      <c r="C7085">
        <v>0</v>
      </c>
      <c r="D7085">
        <v>0.92944747091900004</v>
      </c>
      <c r="E7085">
        <v>19.850074962518701</v>
      </c>
    </row>
    <row r="7086" spans="1:5">
      <c r="A7086" t="s">
        <v>8208</v>
      </c>
      <c r="B7086" t="s">
        <v>8215</v>
      </c>
      <c r="C7086">
        <f>0</f>
        <v>0</v>
      </c>
      <c r="D7086">
        <v>0.92944747091900004</v>
      </c>
      <c r="E7086">
        <v>19.850074962518701</v>
      </c>
    </row>
    <row r="7087" spans="1:5">
      <c r="A7087" t="s">
        <v>8208</v>
      </c>
      <c r="B7087" t="s">
        <v>8216</v>
      </c>
      <c r="C7087">
        <v>0</v>
      </c>
      <c r="D7087">
        <v>0.92944747091900004</v>
      </c>
      <c r="E7087">
        <v>19.850074962518701</v>
      </c>
    </row>
    <row r="7088" spans="1:5">
      <c r="A7088" t="s">
        <v>8208</v>
      </c>
      <c r="B7088" t="s">
        <v>8217</v>
      </c>
      <c r="C7088">
        <v>0</v>
      </c>
      <c r="D7088">
        <v>0.92944747091900004</v>
      </c>
      <c r="E7088">
        <v>19.850074962518701</v>
      </c>
    </row>
    <row r="7089" spans="1:5">
      <c r="A7089" t="s">
        <v>8208</v>
      </c>
      <c r="B7089" t="s">
        <v>8218</v>
      </c>
      <c r="C7089">
        <f>0</f>
        <v>0</v>
      </c>
      <c r="D7089">
        <v>0.92944747091900004</v>
      </c>
      <c r="E7089">
        <v>19.850074962518701</v>
      </c>
    </row>
    <row r="7090" spans="1:5">
      <c r="A7090" t="s">
        <v>8208</v>
      </c>
      <c r="B7090" t="s">
        <v>8219</v>
      </c>
      <c r="C7090">
        <f>0</f>
        <v>0</v>
      </c>
      <c r="D7090">
        <v>0.92944747091900004</v>
      </c>
      <c r="E7090">
        <v>19.850074962518701</v>
      </c>
    </row>
    <row r="7091" spans="1:5">
      <c r="A7091" t="s">
        <v>8208</v>
      </c>
      <c r="B7091" t="s">
        <v>8220</v>
      </c>
      <c r="C7091">
        <f>0</f>
        <v>0</v>
      </c>
      <c r="D7091">
        <v>0.92944747091900004</v>
      </c>
      <c r="E7091">
        <v>19.850074962518701</v>
      </c>
    </row>
    <row r="7092" spans="1:5">
      <c r="A7092" t="s">
        <v>8221</v>
      </c>
      <c r="B7092" t="s">
        <v>8222</v>
      </c>
      <c r="C7092">
        <v>0</v>
      </c>
      <c r="D7092">
        <v>0.68816182664000003</v>
      </c>
      <c r="E7092">
        <v>4.0659670164917499</v>
      </c>
    </row>
    <row r="7093" spans="1:5">
      <c r="A7093" t="s">
        <v>8221</v>
      </c>
      <c r="B7093" t="s">
        <v>8223</v>
      </c>
      <c r="C7093">
        <v>0</v>
      </c>
      <c r="D7093">
        <v>0.68816182664000003</v>
      </c>
      <c r="E7093">
        <v>4.0659670164917499</v>
      </c>
    </row>
    <row r="7094" spans="1:5">
      <c r="A7094" t="s">
        <v>8221</v>
      </c>
      <c r="B7094" t="s">
        <v>8224</v>
      </c>
      <c r="C7094">
        <v>7.0680011276100005E-2</v>
      </c>
      <c r="D7094">
        <v>0.68816182664000003</v>
      </c>
      <c r="E7094">
        <v>4.0659670164917499</v>
      </c>
    </row>
    <row r="7095" spans="1:5">
      <c r="A7095" t="s">
        <v>8221</v>
      </c>
      <c r="B7095" t="s">
        <v>8225</v>
      </c>
      <c r="C7095">
        <v>0</v>
      </c>
      <c r="D7095">
        <v>0.68816182664000003</v>
      </c>
      <c r="E7095">
        <v>4.0659670164917499</v>
      </c>
    </row>
    <row r="7096" spans="1:5">
      <c r="A7096" t="s">
        <v>8226</v>
      </c>
      <c r="B7096" t="s">
        <v>8227</v>
      </c>
      <c r="C7096">
        <v>0</v>
      </c>
      <c r="D7096" t="s">
        <v>106</v>
      </c>
      <c r="E7096">
        <v>5.5772113943028403</v>
      </c>
    </row>
    <row r="7097" spans="1:5">
      <c r="A7097" t="s">
        <v>8226</v>
      </c>
      <c r="B7097" t="s">
        <v>8228</v>
      </c>
      <c r="C7097">
        <v>0</v>
      </c>
      <c r="D7097" t="s">
        <v>106</v>
      </c>
      <c r="E7097">
        <v>5.5772113943028403</v>
      </c>
    </row>
    <row r="7098" spans="1:5">
      <c r="A7098" t="s">
        <v>8226</v>
      </c>
      <c r="B7098" t="s">
        <v>8229</v>
      </c>
      <c r="C7098">
        <v>0</v>
      </c>
      <c r="D7098" t="s">
        <v>106</v>
      </c>
      <c r="E7098">
        <v>5.5772113943028403</v>
      </c>
    </row>
    <row r="7099" spans="1:5">
      <c r="A7099" t="s">
        <v>8226</v>
      </c>
      <c r="B7099" t="s">
        <v>8230</v>
      </c>
      <c r="C7099">
        <v>0</v>
      </c>
      <c r="D7099" t="s">
        <v>106</v>
      </c>
      <c r="E7099">
        <v>5.5772113943028403</v>
      </c>
    </row>
    <row r="7100" spans="1:5">
      <c r="A7100" t="s">
        <v>8226</v>
      </c>
      <c r="B7100" t="s">
        <v>8231</v>
      </c>
      <c r="C7100">
        <v>0</v>
      </c>
      <c r="D7100" t="s">
        <v>106</v>
      </c>
      <c r="E7100">
        <v>5.5772113943028403</v>
      </c>
    </row>
    <row r="7101" spans="1:5">
      <c r="A7101" t="s">
        <v>8226</v>
      </c>
      <c r="B7101" t="s">
        <v>8232</v>
      </c>
      <c r="C7101">
        <v>0</v>
      </c>
      <c r="D7101" t="s">
        <v>106</v>
      </c>
      <c r="E7101">
        <v>5.5772113943028403</v>
      </c>
    </row>
    <row r="7102" spans="1:5">
      <c r="A7102" t="s">
        <v>8233</v>
      </c>
      <c r="B7102" t="s">
        <v>8234</v>
      </c>
      <c r="C7102">
        <v>7.3298455283799996E-2</v>
      </c>
      <c r="D7102">
        <v>0.99361871162100002</v>
      </c>
      <c r="E7102">
        <v>24</v>
      </c>
    </row>
    <row r="7103" spans="1:5">
      <c r="A7103" t="s">
        <v>8235</v>
      </c>
      <c r="B7103" t="s">
        <v>8236</v>
      </c>
      <c r="C7103">
        <f>0</f>
        <v>0</v>
      </c>
      <c r="D7103" t="s">
        <v>106</v>
      </c>
      <c r="E7103">
        <v>1.2713643178410701</v>
      </c>
    </row>
    <row r="7104" spans="1:5">
      <c r="A7104" t="s">
        <v>8235</v>
      </c>
      <c r="B7104" t="s">
        <v>8237</v>
      </c>
      <c r="C7104">
        <f>0</f>
        <v>0</v>
      </c>
      <c r="D7104" t="s">
        <v>106</v>
      </c>
      <c r="E7104">
        <v>1.2713643178410701</v>
      </c>
    </row>
    <row r="7105" spans="1:5">
      <c r="A7105" t="s">
        <v>8235</v>
      </c>
      <c r="B7105" t="s">
        <v>8238</v>
      </c>
      <c r="C7105">
        <f>0</f>
        <v>0</v>
      </c>
      <c r="D7105" t="s">
        <v>106</v>
      </c>
      <c r="E7105">
        <v>1.2713643178410701</v>
      </c>
    </row>
    <row r="7106" spans="1:5">
      <c r="A7106" t="s">
        <v>8235</v>
      </c>
      <c r="B7106" t="s">
        <v>8239</v>
      </c>
      <c r="C7106">
        <f>0</f>
        <v>0</v>
      </c>
      <c r="D7106" t="s">
        <v>106</v>
      </c>
      <c r="E7106">
        <v>1.2713643178410701</v>
      </c>
    </row>
    <row r="7107" spans="1:5">
      <c r="A7107" t="s">
        <v>8240</v>
      </c>
      <c r="B7107" t="s">
        <v>8241</v>
      </c>
      <c r="C7107">
        <v>0</v>
      </c>
      <c r="D7107">
        <v>0.99225516826500004</v>
      </c>
      <c r="E7107">
        <v>9.4632683658170897</v>
      </c>
    </row>
    <row r="7108" spans="1:5">
      <c r="A7108" t="s">
        <v>8240</v>
      </c>
      <c r="B7108" t="s">
        <v>8242</v>
      </c>
      <c r="C7108">
        <v>0.47236563087900002</v>
      </c>
      <c r="D7108">
        <v>0.99225516826500004</v>
      </c>
      <c r="E7108">
        <v>9.4632683658170897</v>
      </c>
    </row>
    <row r="7109" spans="1:5">
      <c r="A7109" t="s">
        <v>8240</v>
      </c>
      <c r="B7109" t="s">
        <v>8243</v>
      </c>
      <c r="C7109">
        <f>0</f>
        <v>0</v>
      </c>
      <c r="D7109">
        <v>0.99225516826500004</v>
      </c>
      <c r="E7109">
        <v>9.4632683658170897</v>
      </c>
    </row>
    <row r="7110" spans="1:5">
      <c r="A7110" t="s">
        <v>8240</v>
      </c>
      <c r="B7110" t="s">
        <v>8244</v>
      </c>
      <c r="C7110">
        <f>0.123155210678</f>
        <v>0.123155210678</v>
      </c>
      <c r="D7110">
        <v>0.99225516826500004</v>
      </c>
      <c r="E7110">
        <v>9.4632683658170897</v>
      </c>
    </row>
    <row r="7111" spans="1:5">
      <c r="A7111" t="s">
        <v>8240</v>
      </c>
      <c r="B7111" t="s">
        <v>8245</v>
      </c>
      <c r="C7111">
        <f>0</f>
        <v>0</v>
      </c>
      <c r="D7111">
        <v>0.99225516826500004</v>
      </c>
      <c r="E7111">
        <v>9.4632683658170897</v>
      </c>
    </row>
    <row r="7112" spans="1:5">
      <c r="A7112" t="s">
        <v>8240</v>
      </c>
      <c r="B7112" t="s">
        <v>8246</v>
      </c>
      <c r="C7112">
        <v>0</v>
      </c>
      <c r="D7112">
        <v>0.99225516826500004</v>
      </c>
      <c r="E7112">
        <v>9.4632683658170897</v>
      </c>
    </row>
    <row r="7113" spans="1:5">
      <c r="A7113" t="s">
        <v>8240</v>
      </c>
      <c r="B7113" t="s">
        <v>8247</v>
      </c>
      <c r="C7113">
        <v>0</v>
      </c>
      <c r="D7113">
        <v>0.99225516826500004</v>
      </c>
      <c r="E7113">
        <v>9.4632683658170897</v>
      </c>
    </row>
    <row r="7114" spans="1:5">
      <c r="A7114" t="s">
        <v>8240</v>
      </c>
      <c r="B7114" t="s">
        <v>8248</v>
      </c>
      <c r="C7114">
        <v>0</v>
      </c>
      <c r="D7114">
        <v>0.99225516826500004</v>
      </c>
      <c r="E7114">
        <v>9.4632683658170897</v>
      </c>
    </row>
    <row r="7115" spans="1:5">
      <c r="A7115" t="s">
        <v>8240</v>
      </c>
      <c r="B7115" t="s">
        <v>8249</v>
      </c>
      <c r="C7115">
        <v>0</v>
      </c>
      <c r="D7115">
        <v>0.99225516826500004</v>
      </c>
      <c r="E7115">
        <v>9.4632683658170897</v>
      </c>
    </row>
    <row r="7116" spans="1:5">
      <c r="A7116" t="s">
        <v>8240</v>
      </c>
      <c r="B7116" t="s">
        <v>8250</v>
      </c>
      <c r="C7116">
        <f>0</f>
        <v>0</v>
      </c>
      <c r="D7116">
        <v>0.99225516826500004</v>
      </c>
      <c r="E7116">
        <v>9.4632683658170897</v>
      </c>
    </row>
    <row r="7117" spans="1:5">
      <c r="A7117" t="s">
        <v>8240</v>
      </c>
      <c r="B7117" t="s">
        <v>8251</v>
      </c>
      <c r="C7117">
        <v>0</v>
      </c>
      <c r="D7117">
        <v>0.99225516826500004</v>
      </c>
      <c r="E7117">
        <v>9.4632683658170897</v>
      </c>
    </row>
    <row r="7118" spans="1:5">
      <c r="A7118" t="s">
        <v>8240</v>
      </c>
      <c r="B7118" t="s">
        <v>8252</v>
      </c>
      <c r="C7118">
        <v>0</v>
      </c>
      <c r="D7118">
        <v>0.99225516826500004</v>
      </c>
      <c r="E7118">
        <v>9.4632683658170897</v>
      </c>
    </row>
    <row r="7119" spans="1:5">
      <c r="A7119" t="s">
        <v>8240</v>
      </c>
      <c r="B7119" t="s">
        <v>8253</v>
      </c>
      <c r="C7119">
        <f>0</f>
        <v>0</v>
      </c>
      <c r="D7119">
        <v>0.99225516826500004</v>
      </c>
      <c r="E7119">
        <v>9.4632683658170897</v>
      </c>
    </row>
    <row r="7120" spans="1:5">
      <c r="A7120" t="s">
        <v>8240</v>
      </c>
      <c r="B7120" t="s">
        <v>8254</v>
      </c>
      <c r="C7120">
        <v>0</v>
      </c>
      <c r="D7120">
        <v>0.99225516826500004</v>
      </c>
      <c r="E7120">
        <v>9.4632683658170897</v>
      </c>
    </row>
    <row r="7121" spans="1:5">
      <c r="A7121" t="s">
        <v>8240</v>
      </c>
      <c r="B7121" t="s">
        <v>8255</v>
      </c>
      <c r="C7121">
        <f>0</f>
        <v>0</v>
      </c>
      <c r="D7121">
        <v>0.99225516826500004</v>
      </c>
      <c r="E7121">
        <v>9.4632683658170897</v>
      </c>
    </row>
    <row r="7122" spans="1:5">
      <c r="A7122" t="s">
        <v>8240</v>
      </c>
      <c r="B7122" t="s">
        <v>8256</v>
      </c>
      <c r="C7122">
        <f>0</f>
        <v>0</v>
      </c>
      <c r="D7122">
        <v>0.99225516826500004</v>
      </c>
      <c r="E7122">
        <v>9.4632683658170897</v>
      </c>
    </row>
    <row r="7123" spans="1:5">
      <c r="A7123" t="s">
        <v>8240</v>
      </c>
      <c r="B7123" t="s">
        <v>8257</v>
      </c>
      <c r="C7123">
        <f>0</f>
        <v>0</v>
      </c>
      <c r="D7123">
        <v>0.99225516826500004</v>
      </c>
      <c r="E7123">
        <v>9.4632683658170897</v>
      </c>
    </row>
    <row r="7124" spans="1:5">
      <c r="A7124" t="s">
        <v>8240</v>
      </c>
      <c r="B7124" t="s">
        <v>8258</v>
      </c>
      <c r="C7124">
        <v>0</v>
      </c>
      <c r="D7124">
        <v>0.99225516826500004</v>
      </c>
      <c r="E7124">
        <v>9.4632683658170897</v>
      </c>
    </row>
    <row r="7125" spans="1:5">
      <c r="A7125" t="s">
        <v>8240</v>
      </c>
      <c r="B7125" t="s">
        <v>8259</v>
      </c>
      <c r="C7125">
        <v>0</v>
      </c>
      <c r="D7125">
        <v>0.99225516826500004</v>
      </c>
      <c r="E7125">
        <v>9.4632683658170897</v>
      </c>
    </row>
    <row r="7126" spans="1:5">
      <c r="A7126" t="s">
        <v>8260</v>
      </c>
      <c r="B7126" t="s">
        <v>8261</v>
      </c>
      <c r="C7126">
        <f>0.0280481403665</f>
        <v>2.80481403665E-2</v>
      </c>
      <c r="D7126">
        <v>0.29559424804200002</v>
      </c>
      <c r="E7126">
        <v>4.2698650674662604</v>
      </c>
    </row>
    <row r="7127" spans="1:5">
      <c r="A7127" t="s">
        <v>8260</v>
      </c>
      <c r="B7127" t="s">
        <v>8262</v>
      </c>
      <c r="C7127">
        <v>0</v>
      </c>
      <c r="D7127">
        <v>0.29559424804200002</v>
      </c>
      <c r="E7127">
        <v>4.2698650674662604</v>
      </c>
    </row>
    <row r="7128" spans="1:5">
      <c r="A7128" t="s">
        <v>8260</v>
      </c>
      <c r="B7128" t="s">
        <v>8263</v>
      </c>
      <c r="C7128">
        <f>0</f>
        <v>0</v>
      </c>
      <c r="D7128">
        <v>0.29559424804200002</v>
      </c>
      <c r="E7128">
        <v>4.2698650674662604</v>
      </c>
    </row>
    <row r="7129" spans="1:5">
      <c r="A7129" t="s">
        <v>8264</v>
      </c>
      <c r="B7129" t="s">
        <v>8265</v>
      </c>
      <c r="C7129">
        <v>0</v>
      </c>
      <c r="D7129" t="s">
        <v>106</v>
      </c>
      <c r="E7129">
        <v>20.2938530734632</v>
      </c>
    </row>
    <row r="7130" spans="1:5">
      <c r="A7130" t="s">
        <v>8266</v>
      </c>
      <c r="B7130" t="s">
        <v>8267</v>
      </c>
      <c r="C7130">
        <v>0.73633747035800001</v>
      </c>
      <c r="D7130" t="s">
        <v>106</v>
      </c>
      <c r="E7130">
        <v>6.0569715142428704</v>
      </c>
    </row>
    <row r="7131" spans="1:5">
      <c r="A7131" t="s">
        <v>8266</v>
      </c>
      <c r="B7131" t="s">
        <v>8268</v>
      </c>
      <c r="C7131">
        <f>0</f>
        <v>0</v>
      </c>
      <c r="D7131" t="s">
        <v>106</v>
      </c>
      <c r="E7131">
        <v>6.0569715142428704</v>
      </c>
    </row>
    <row r="7132" spans="1:5">
      <c r="A7132" t="s">
        <v>8266</v>
      </c>
      <c r="B7132" t="s">
        <v>8269</v>
      </c>
      <c r="C7132">
        <f>0.127017735721</f>
        <v>0.127017735721</v>
      </c>
      <c r="D7132" t="s">
        <v>106</v>
      </c>
      <c r="E7132">
        <v>6.0569715142428704</v>
      </c>
    </row>
    <row r="7133" spans="1:5">
      <c r="A7133" t="s">
        <v>8270</v>
      </c>
      <c r="B7133" t="s">
        <v>8271</v>
      </c>
      <c r="C7133">
        <f>0</f>
        <v>0</v>
      </c>
      <c r="D7133">
        <v>0.98172363095500004</v>
      </c>
      <c r="E7133">
        <v>16.095952023988001</v>
      </c>
    </row>
    <row r="7134" spans="1:5">
      <c r="A7134" t="s">
        <v>8270</v>
      </c>
      <c r="B7134" t="s">
        <v>8272</v>
      </c>
      <c r="C7134">
        <v>0</v>
      </c>
      <c r="D7134">
        <v>0.98172363095500004</v>
      </c>
      <c r="E7134">
        <v>16.095952023988001</v>
      </c>
    </row>
    <row r="7135" spans="1:5">
      <c r="A7135" t="s">
        <v>8270</v>
      </c>
      <c r="B7135" t="s">
        <v>8273</v>
      </c>
      <c r="C7135">
        <v>0</v>
      </c>
      <c r="D7135">
        <v>0.98172363095500004</v>
      </c>
      <c r="E7135">
        <v>16.095952023988001</v>
      </c>
    </row>
    <row r="7136" spans="1:5">
      <c r="A7136" t="s">
        <v>8270</v>
      </c>
      <c r="B7136" t="s">
        <v>8274</v>
      </c>
      <c r="C7136">
        <f>0.229681192079</f>
        <v>0.22968119207900001</v>
      </c>
      <c r="D7136">
        <v>0.98172363095500004</v>
      </c>
      <c r="E7136">
        <v>16.095952023988001</v>
      </c>
    </row>
    <row r="7137" spans="1:5">
      <c r="A7137" t="s">
        <v>8270</v>
      </c>
      <c r="B7137" t="s">
        <v>8275</v>
      </c>
      <c r="C7137">
        <v>0</v>
      </c>
      <c r="D7137">
        <v>0.98172363095500004</v>
      </c>
      <c r="E7137">
        <v>16.095952023988001</v>
      </c>
    </row>
    <row r="7138" spans="1:5">
      <c r="A7138" t="s">
        <v>8270</v>
      </c>
      <c r="B7138" t="s">
        <v>8276</v>
      </c>
      <c r="C7138">
        <v>0</v>
      </c>
      <c r="D7138">
        <v>0.98172363095500004</v>
      </c>
      <c r="E7138">
        <v>16.095952023988001</v>
      </c>
    </row>
    <row r="7139" spans="1:5">
      <c r="A7139" t="s">
        <v>8270</v>
      </c>
      <c r="B7139" t="s">
        <v>8277</v>
      </c>
      <c r="C7139">
        <f>0</f>
        <v>0</v>
      </c>
      <c r="D7139">
        <v>0.98172363095500004</v>
      </c>
      <c r="E7139">
        <v>16.095952023988001</v>
      </c>
    </row>
    <row r="7140" spans="1:5">
      <c r="A7140" t="s">
        <v>8270</v>
      </c>
      <c r="B7140" t="s">
        <v>8278</v>
      </c>
      <c r="C7140">
        <v>0</v>
      </c>
      <c r="D7140">
        <v>0.98172363095500004</v>
      </c>
      <c r="E7140">
        <v>16.095952023988001</v>
      </c>
    </row>
    <row r="7141" spans="1:5">
      <c r="A7141" t="s">
        <v>8270</v>
      </c>
      <c r="B7141" t="s">
        <v>8279</v>
      </c>
      <c r="C7141">
        <v>0</v>
      </c>
      <c r="D7141">
        <v>0.98172363095500004</v>
      </c>
      <c r="E7141">
        <v>16.095952023988001</v>
      </c>
    </row>
    <row r="7142" spans="1:5">
      <c r="A7142" t="s">
        <v>8270</v>
      </c>
      <c r="B7142" t="s">
        <v>8280</v>
      </c>
      <c r="C7142">
        <v>0</v>
      </c>
      <c r="D7142">
        <v>0.98172363095500004</v>
      </c>
      <c r="E7142">
        <v>16.095952023988001</v>
      </c>
    </row>
    <row r="7143" spans="1:5">
      <c r="A7143" t="s">
        <v>8270</v>
      </c>
      <c r="B7143" t="s">
        <v>8281</v>
      </c>
      <c r="C7143">
        <f>0</f>
        <v>0</v>
      </c>
      <c r="D7143">
        <v>0.98172363095500004</v>
      </c>
      <c r="E7143">
        <v>16.095952023988001</v>
      </c>
    </row>
    <row r="7144" spans="1:5">
      <c r="A7144" t="s">
        <v>8270</v>
      </c>
      <c r="B7144" t="s">
        <v>8282</v>
      </c>
      <c r="C7144">
        <f>0</f>
        <v>0</v>
      </c>
      <c r="D7144">
        <v>0.98172363095500004</v>
      </c>
      <c r="E7144">
        <v>16.095952023988001</v>
      </c>
    </row>
    <row r="7145" spans="1:5">
      <c r="A7145" t="s">
        <v>8270</v>
      </c>
      <c r="B7145" t="s">
        <v>8283</v>
      </c>
      <c r="C7145">
        <f>0</f>
        <v>0</v>
      </c>
      <c r="D7145">
        <v>0.98172363095500004</v>
      </c>
      <c r="E7145">
        <v>16.095952023988001</v>
      </c>
    </row>
    <row r="7146" spans="1:5">
      <c r="A7146" t="s">
        <v>8270</v>
      </c>
      <c r="B7146" t="s">
        <v>8284</v>
      </c>
      <c r="C7146">
        <f>0.0991763793616</f>
        <v>9.9176379361599995E-2</v>
      </c>
      <c r="D7146">
        <v>0.98172363095500004</v>
      </c>
      <c r="E7146">
        <v>16.095952023988001</v>
      </c>
    </row>
    <row r="7147" spans="1:5">
      <c r="A7147" t="s">
        <v>8285</v>
      </c>
      <c r="B7147" t="s">
        <v>8286</v>
      </c>
      <c r="C7147">
        <f>0</f>
        <v>0</v>
      </c>
      <c r="D7147">
        <v>0.987780225841</v>
      </c>
      <c r="E7147">
        <v>19.6341829085457</v>
      </c>
    </row>
    <row r="7148" spans="1:5">
      <c r="A7148" t="s">
        <v>8285</v>
      </c>
      <c r="B7148" t="s">
        <v>8287</v>
      </c>
      <c r="C7148">
        <v>0</v>
      </c>
      <c r="D7148">
        <v>0.987780225841</v>
      </c>
      <c r="E7148">
        <v>19.6341829085457</v>
      </c>
    </row>
    <row r="7149" spans="1:5">
      <c r="A7149" t="s">
        <v>8285</v>
      </c>
      <c r="B7149" t="s">
        <v>8288</v>
      </c>
      <c r="C7149">
        <v>0</v>
      </c>
      <c r="D7149">
        <v>0.987780225841</v>
      </c>
      <c r="E7149">
        <v>19.6341829085457</v>
      </c>
    </row>
    <row r="7150" spans="1:5">
      <c r="A7150" t="s">
        <v>8285</v>
      </c>
      <c r="B7150" t="s">
        <v>8289</v>
      </c>
      <c r="C7150">
        <v>0</v>
      </c>
      <c r="D7150">
        <v>0.987780225841</v>
      </c>
      <c r="E7150">
        <v>19.6341829085457</v>
      </c>
    </row>
    <row r="7151" spans="1:5">
      <c r="A7151" t="s">
        <v>8285</v>
      </c>
      <c r="B7151" t="s">
        <v>8290</v>
      </c>
      <c r="C7151">
        <v>0</v>
      </c>
      <c r="D7151">
        <v>0.987780225841</v>
      </c>
      <c r="E7151">
        <v>19.6341829085457</v>
      </c>
    </row>
    <row r="7152" spans="1:5">
      <c r="A7152" t="s">
        <v>8285</v>
      </c>
      <c r="B7152" t="s">
        <v>8291</v>
      </c>
      <c r="C7152">
        <f>0</f>
        <v>0</v>
      </c>
      <c r="D7152">
        <v>0.987780225841</v>
      </c>
      <c r="E7152">
        <v>19.6341829085457</v>
      </c>
    </row>
    <row r="7153" spans="1:5">
      <c r="A7153" t="s">
        <v>8285</v>
      </c>
      <c r="B7153" t="s">
        <v>8292</v>
      </c>
      <c r="C7153">
        <f>0</f>
        <v>0</v>
      </c>
      <c r="D7153">
        <v>0.987780225841</v>
      </c>
      <c r="E7153">
        <v>19.6341829085457</v>
      </c>
    </row>
    <row r="7154" spans="1:5">
      <c r="A7154" t="s">
        <v>8285</v>
      </c>
      <c r="B7154" t="s">
        <v>8293</v>
      </c>
      <c r="C7154">
        <f>0</f>
        <v>0</v>
      </c>
      <c r="D7154">
        <v>0.987780225841</v>
      </c>
      <c r="E7154">
        <v>19.6341829085457</v>
      </c>
    </row>
    <row r="7155" spans="1:5">
      <c r="A7155" t="s">
        <v>8285</v>
      </c>
      <c r="B7155" t="s">
        <v>8294</v>
      </c>
      <c r="C7155">
        <f>0</f>
        <v>0</v>
      </c>
      <c r="D7155">
        <v>0.987780225841</v>
      </c>
      <c r="E7155">
        <v>19.6341829085457</v>
      </c>
    </row>
    <row r="7156" spans="1:5">
      <c r="A7156" t="s">
        <v>8285</v>
      </c>
      <c r="B7156" t="s">
        <v>8295</v>
      </c>
      <c r="C7156">
        <f>0</f>
        <v>0</v>
      </c>
      <c r="D7156">
        <v>0.987780225841</v>
      </c>
      <c r="E7156">
        <v>19.6341829085457</v>
      </c>
    </row>
    <row r="7157" spans="1:5">
      <c r="A7157" t="s">
        <v>8285</v>
      </c>
      <c r="B7157" t="s">
        <v>8296</v>
      </c>
      <c r="C7157">
        <v>0</v>
      </c>
      <c r="D7157">
        <v>0.987780225841</v>
      </c>
      <c r="E7157">
        <v>19.6341829085457</v>
      </c>
    </row>
    <row r="7158" spans="1:5">
      <c r="A7158" t="s">
        <v>8285</v>
      </c>
      <c r="B7158" t="s">
        <v>8297</v>
      </c>
      <c r="C7158">
        <v>0</v>
      </c>
      <c r="D7158">
        <v>0.987780225841</v>
      </c>
      <c r="E7158">
        <v>19.6341829085457</v>
      </c>
    </row>
    <row r="7159" spans="1:5">
      <c r="A7159" t="s">
        <v>8285</v>
      </c>
      <c r="B7159" t="s">
        <v>8298</v>
      </c>
      <c r="C7159">
        <v>0</v>
      </c>
      <c r="D7159">
        <v>0.987780225841</v>
      </c>
      <c r="E7159">
        <v>19.6341829085457</v>
      </c>
    </row>
    <row r="7160" spans="1:5">
      <c r="A7160" t="s">
        <v>8285</v>
      </c>
      <c r="B7160" t="s">
        <v>8299</v>
      </c>
      <c r="C7160">
        <f>0</f>
        <v>0</v>
      </c>
      <c r="D7160">
        <v>0.987780225841</v>
      </c>
      <c r="E7160">
        <v>19.6341829085457</v>
      </c>
    </row>
    <row r="7161" spans="1:5">
      <c r="A7161" t="s">
        <v>8285</v>
      </c>
      <c r="B7161" t="s">
        <v>8300</v>
      </c>
      <c r="C7161">
        <f>0</f>
        <v>0</v>
      </c>
      <c r="D7161">
        <v>0.987780225841</v>
      </c>
      <c r="E7161">
        <v>19.6341829085457</v>
      </c>
    </row>
    <row r="7162" spans="1:5">
      <c r="A7162" t="s">
        <v>8285</v>
      </c>
      <c r="B7162" t="s">
        <v>8301</v>
      </c>
      <c r="C7162">
        <v>0</v>
      </c>
      <c r="D7162">
        <v>0.987780225841</v>
      </c>
      <c r="E7162">
        <v>19.6341829085457</v>
      </c>
    </row>
    <row r="7163" spans="1:5">
      <c r="A7163" t="s">
        <v>8285</v>
      </c>
      <c r="B7163" t="s">
        <v>8302</v>
      </c>
      <c r="C7163">
        <f>0</f>
        <v>0</v>
      </c>
      <c r="D7163">
        <v>0.987780225841</v>
      </c>
      <c r="E7163">
        <v>19.6341829085457</v>
      </c>
    </row>
    <row r="7164" spans="1:5">
      <c r="A7164" t="s">
        <v>8285</v>
      </c>
      <c r="B7164" t="s">
        <v>8303</v>
      </c>
      <c r="C7164">
        <f>0</f>
        <v>0</v>
      </c>
      <c r="D7164">
        <v>0.987780225841</v>
      </c>
      <c r="E7164">
        <v>19.6341829085457</v>
      </c>
    </row>
    <row r="7165" spans="1:5">
      <c r="A7165" t="s">
        <v>8285</v>
      </c>
      <c r="B7165" t="s">
        <v>8304</v>
      </c>
      <c r="C7165">
        <v>0</v>
      </c>
      <c r="D7165">
        <v>0.987780225841</v>
      </c>
      <c r="E7165">
        <v>19.6341829085457</v>
      </c>
    </row>
    <row r="7166" spans="1:5">
      <c r="A7166" t="s">
        <v>8285</v>
      </c>
      <c r="B7166" t="s">
        <v>8305</v>
      </c>
      <c r="C7166">
        <v>0</v>
      </c>
      <c r="D7166">
        <v>0.987780225841</v>
      </c>
      <c r="E7166">
        <v>19.6341829085457</v>
      </c>
    </row>
    <row r="7167" spans="1:5">
      <c r="A7167" t="s">
        <v>8285</v>
      </c>
      <c r="B7167" t="s">
        <v>8306</v>
      </c>
      <c r="C7167">
        <f>0</f>
        <v>0</v>
      </c>
      <c r="D7167">
        <v>0.987780225841</v>
      </c>
      <c r="E7167">
        <v>19.6341829085457</v>
      </c>
    </row>
    <row r="7168" spans="1:5">
      <c r="A7168" t="s">
        <v>8285</v>
      </c>
      <c r="B7168" t="s">
        <v>8307</v>
      </c>
      <c r="C7168">
        <v>0</v>
      </c>
      <c r="D7168">
        <v>0.987780225841</v>
      </c>
      <c r="E7168">
        <v>19.6341829085457</v>
      </c>
    </row>
    <row r="7169" spans="1:5">
      <c r="A7169" t="s">
        <v>8285</v>
      </c>
      <c r="B7169" t="s">
        <v>8308</v>
      </c>
      <c r="C7169">
        <v>0</v>
      </c>
      <c r="D7169">
        <v>0.987780225841</v>
      </c>
      <c r="E7169">
        <v>19.6341829085457</v>
      </c>
    </row>
    <row r="7170" spans="1:5">
      <c r="A7170" t="s">
        <v>8285</v>
      </c>
      <c r="B7170" t="s">
        <v>8309</v>
      </c>
      <c r="C7170">
        <v>0</v>
      </c>
      <c r="D7170">
        <v>0.987780225841</v>
      </c>
      <c r="E7170">
        <v>19.6341829085457</v>
      </c>
    </row>
    <row r="7171" spans="1:5">
      <c r="A7171" t="s">
        <v>8285</v>
      </c>
      <c r="B7171" t="s">
        <v>8310</v>
      </c>
      <c r="C7171">
        <f>0</f>
        <v>0</v>
      </c>
      <c r="D7171">
        <v>0.987780225841</v>
      </c>
      <c r="E7171">
        <v>19.6341829085457</v>
      </c>
    </row>
    <row r="7172" spans="1:5">
      <c r="A7172" t="s">
        <v>8285</v>
      </c>
      <c r="B7172" t="s">
        <v>8311</v>
      </c>
      <c r="C7172">
        <f>0</f>
        <v>0</v>
      </c>
      <c r="D7172">
        <v>0.987780225841</v>
      </c>
      <c r="E7172">
        <v>19.6341829085457</v>
      </c>
    </row>
    <row r="7173" spans="1:5">
      <c r="A7173" t="s">
        <v>8285</v>
      </c>
      <c r="B7173" t="s">
        <v>8312</v>
      </c>
      <c r="C7173">
        <f>0</f>
        <v>0</v>
      </c>
      <c r="D7173">
        <v>0.987780225841</v>
      </c>
      <c r="E7173">
        <v>19.6341829085457</v>
      </c>
    </row>
    <row r="7174" spans="1:5">
      <c r="A7174" t="s">
        <v>8285</v>
      </c>
      <c r="B7174" t="s">
        <v>8313</v>
      </c>
      <c r="C7174">
        <v>0</v>
      </c>
      <c r="D7174">
        <v>0.987780225841</v>
      </c>
      <c r="E7174">
        <v>19.6341829085457</v>
      </c>
    </row>
    <row r="7175" spans="1:5">
      <c r="A7175" t="s">
        <v>8285</v>
      </c>
      <c r="B7175" t="s">
        <v>8314</v>
      </c>
      <c r="C7175">
        <v>0</v>
      </c>
      <c r="D7175">
        <v>0.987780225841</v>
      </c>
      <c r="E7175">
        <v>19.6341829085457</v>
      </c>
    </row>
    <row r="7176" spans="1:5">
      <c r="A7176" t="s">
        <v>8285</v>
      </c>
      <c r="B7176" t="s">
        <v>8315</v>
      </c>
      <c r="C7176">
        <f>0</f>
        <v>0</v>
      </c>
      <c r="D7176">
        <v>0.987780225841</v>
      </c>
      <c r="E7176">
        <v>19.6341829085457</v>
      </c>
    </row>
    <row r="7177" spans="1:5">
      <c r="A7177" t="s">
        <v>8285</v>
      </c>
      <c r="B7177" t="s">
        <v>8316</v>
      </c>
      <c r="C7177">
        <f>0</f>
        <v>0</v>
      </c>
      <c r="D7177">
        <v>0.987780225841</v>
      </c>
      <c r="E7177">
        <v>19.6341829085457</v>
      </c>
    </row>
    <row r="7178" spans="1:5">
      <c r="A7178" t="s">
        <v>8285</v>
      </c>
      <c r="B7178" t="s">
        <v>8317</v>
      </c>
      <c r="C7178">
        <v>0</v>
      </c>
      <c r="D7178">
        <v>0.987780225841</v>
      </c>
      <c r="E7178">
        <v>19.6341829085457</v>
      </c>
    </row>
    <row r="7179" spans="1:5">
      <c r="A7179" t="s">
        <v>8318</v>
      </c>
      <c r="B7179" t="s">
        <v>8319</v>
      </c>
      <c r="C7179">
        <v>0</v>
      </c>
      <c r="D7179">
        <v>0.80971156733000005</v>
      </c>
      <c r="E7179">
        <v>8.7196401799100407</v>
      </c>
    </row>
    <row r="7180" spans="1:5">
      <c r="A7180" t="s">
        <v>8318</v>
      </c>
      <c r="B7180" t="s">
        <v>8320</v>
      </c>
      <c r="C7180">
        <v>0</v>
      </c>
      <c r="D7180">
        <v>0.80971156733000005</v>
      </c>
      <c r="E7180">
        <v>8.7196401799100407</v>
      </c>
    </row>
    <row r="7181" spans="1:5">
      <c r="A7181" t="s">
        <v>8318</v>
      </c>
      <c r="B7181" t="s">
        <v>8321</v>
      </c>
      <c r="C7181">
        <v>0</v>
      </c>
      <c r="D7181">
        <v>0.80971156733000005</v>
      </c>
      <c r="E7181">
        <v>8.7196401799100407</v>
      </c>
    </row>
    <row r="7182" spans="1:5">
      <c r="A7182" t="s">
        <v>8318</v>
      </c>
      <c r="B7182" t="s">
        <v>8322</v>
      </c>
      <c r="C7182">
        <f>0</f>
        <v>0</v>
      </c>
      <c r="D7182">
        <v>0.80971156733000005</v>
      </c>
      <c r="E7182">
        <v>8.7196401799100407</v>
      </c>
    </row>
    <row r="7183" spans="1:5">
      <c r="A7183" t="s">
        <v>8318</v>
      </c>
      <c r="B7183" t="s">
        <v>8323</v>
      </c>
      <c r="C7183">
        <f>0.104284985624</f>
        <v>0.104284985624</v>
      </c>
      <c r="D7183">
        <v>0.80971156733000005</v>
      </c>
      <c r="E7183">
        <v>8.7196401799100407</v>
      </c>
    </row>
    <row r="7184" spans="1:5">
      <c r="A7184" t="s">
        <v>8318</v>
      </c>
      <c r="B7184" t="s">
        <v>8324</v>
      </c>
      <c r="C7184">
        <f>0.0426824867853</f>
        <v>4.2682486785299997E-2</v>
      </c>
      <c r="D7184">
        <v>0.80971156733000005</v>
      </c>
      <c r="E7184">
        <v>8.7196401799100407</v>
      </c>
    </row>
    <row r="7185" spans="1:5">
      <c r="A7185" t="s">
        <v>8325</v>
      </c>
      <c r="B7185" t="s">
        <v>8326</v>
      </c>
      <c r="C7185">
        <f>0.117258130726</f>
        <v>0.117258130726</v>
      </c>
      <c r="D7185" t="s">
        <v>106</v>
      </c>
      <c r="E7185">
        <v>24</v>
      </c>
    </row>
    <row r="7186" spans="1:5">
      <c r="A7186" t="s">
        <v>8325</v>
      </c>
      <c r="B7186" t="s">
        <v>8327</v>
      </c>
      <c r="C7186">
        <f>0.039993836993</f>
        <v>3.9993836993E-2</v>
      </c>
      <c r="D7186" t="s">
        <v>106</v>
      </c>
      <c r="E7186">
        <v>24</v>
      </c>
    </row>
    <row r="7187" spans="1:5">
      <c r="A7187" t="s">
        <v>8325</v>
      </c>
      <c r="B7187" t="s">
        <v>8328</v>
      </c>
      <c r="C7187">
        <f>0</f>
        <v>0</v>
      </c>
      <c r="D7187" t="s">
        <v>106</v>
      </c>
      <c r="E7187">
        <v>24</v>
      </c>
    </row>
    <row r="7188" spans="1:5">
      <c r="A7188" t="s">
        <v>8325</v>
      </c>
      <c r="B7188" t="s">
        <v>8329</v>
      </c>
      <c r="C7188">
        <f>0</f>
        <v>0</v>
      </c>
      <c r="D7188" t="s">
        <v>106</v>
      </c>
      <c r="E7188">
        <v>24</v>
      </c>
    </row>
    <row r="7189" spans="1:5">
      <c r="A7189" t="s">
        <v>8325</v>
      </c>
      <c r="B7189" t="s">
        <v>8330</v>
      </c>
      <c r="C7189">
        <f>0</f>
        <v>0</v>
      </c>
      <c r="D7189" t="s">
        <v>106</v>
      </c>
      <c r="E7189">
        <v>24</v>
      </c>
    </row>
    <row r="7190" spans="1:5">
      <c r="A7190" t="s">
        <v>8325</v>
      </c>
      <c r="B7190" t="s">
        <v>8331</v>
      </c>
      <c r="C7190">
        <f>0</f>
        <v>0</v>
      </c>
      <c r="D7190" t="s">
        <v>106</v>
      </c>
      <c r="E7190">
        <v>24</v>
      </c>
    </row>
    <row r="7191" spans="1:5">
      <c r="A7191" t="s">
        <v>8325</v>
      </c>
      <c r="B7191" t="s">
        <v>8332</v>
      </c>
      <c r="C7191">
        <f>0</f>
        <v>0</v>
      </c>
      <c r="D7191" t="s">
        <v>106</v>
      </c>
      <c r="E7191">
        <v>24</v>
      </c>
    </row>
    <row r="7192" spans="1:5">
      <c r="A7192" t="s">
        <v>8325</v>
      </c>
      <c r="B7192" t="s">
        <v>8333</v>
      </c>
      <c r="C7192">
        <f>0</f>
        <v>0</v>
      </c>
      <c r="D7192" t="s">
        <v>106</v>
      </c>
      <c r="E7192">
        <v>24</v>
      </c>
    </row>
    <row r="7193" spans="1:5">
      <c r="A7193" t="s">
        <v>8334</v>
      </c>
      <c r="B7193" t="s">
        <v>8335</v>
      </c>
      <c r="C7193">
        <f>0</f>
        <v>0</v>
      </c>
      <c r="D7193" t="s">
        <v>106</v>
      </c>
      <c r="E7193">
        <v>22.5727136431784</v>
      </c>
    </row>
    <row r="7194" spans="1:5">
      <c r="A7194" t="s">
        <v>8334</v>
      </c>
      <c r="B7194" t="s">
        <v>8336</v>
      </c>
      <c r="C7194">
        <f>0</f>
        <v>0</v>
      </c>
      <c r="D7194" t="s">
        <v>106</v>
      </c>
      <c r="E7194">
        <v>22.5727136431784</v>
      </c>
    </row>
    <row r="7195" spans="1:5">
      <c r="A7195" t="s">
        <v>8334</v>
      </c>
      <c r="B7195" t="s">
        <v>8337</v>
      </c>
      <c r="C7195">
        <f>0</f>
        <v>0</v>
      </c>
      <c r="D7195" t="s">
        <v>106</v>
      </c>
      <c r="E7195">
        <v>22.5727136431784</v>
      </c>
    </row>
    <row r="7196" spans="1:5">
      <c r="A7196" t="s">
        <v>8338</v>
      </c>
      <c r="B7196" t="s">
        <v>8339</v>
      </c>
      <c r="C7196">
        <v>0.44350271017499998</v>
      </c>
      <c r="D7196">
        <v>0.98192370278300001</v>
      </c>
      <c r="E7196">
        <v>1.22338830584707</v>
      </c>
    </row>
    <row r="7197" spans="1:5">
      <c r="A7197" t="s">
        <v>8338</v>
      </c>
      <c r="B7197" t="s">
        <v>8340</v>
      </c>
      <c r="C7197">
        <v>0</v>
      </c>
      <c r="D7197">
        <v>0.98192370278300001</v>
      </c>
      <c r="E7197">
        <v>1.22338830584707</v>
      </c>
    </row>
    <row r="7198" spans="1:5">
      <c r="A7198" t="s">
        <v>8338</v>
      </c>
      <c r="B7198" t="s">
        <v>8341</v>
      </c>
      <c r="C7198">
        <v>0</v>
      </c>
      <c r="D7198">
        <v>0.98192370278300001</v>
      </c>
      <c r="E7198">
        <v>1.22338830584707</v>
      </c>
    </row>
    <row r="7199" spans="1:5">
      <c r="A7199" t="s">
        <v>8338</v>
      </c>
      <c r="B7199" t="s">
        <v>8342</v>
      </c>
      <c r="C7199">
        <v>0</v>
      </c>
      <c r="D7199">
        <v>0.98192370278300001</v>
      </c>
      <c r="E7199">
        <v>1.22338830584707</v>
      </c>
    </row>
    <row r="7200" spans="1:5">
      <c r="A7200" t="s">
        <v>8338</v>
      </c>
      <c r="B7200" t="s">
        <v>8343</v>
      </c>
      <c r="C7200">
        <v>0</v>
      </c>
      <c r="D7200">
        <v>0.98192370278300001</v>
      </c>
      <c r="E7200">
        <v>1.22338830584707</v>
      </c>
    </row>
    <row r="7201" spans="1:5">
      <c r="A7201" t="s">
        <v>8338</v>
      </c>
      <c r="B7201" t="s">
        <v>8344</v>
      </c>
      <c r="C7201">
        <v>0</v>
      </c>
      <c r="D7201">
        <v>0.98192370278300001</v>
      </c>
      <c r="E7201">
        <v>1.22338830584707</v>
      </c>
    </row>
    <row r="7202" spans="1:5">
      <c r="A7202" t="s">
        <v>8338</v>
      </c>
      <c r="B7202" t="s">
        <v>8345</v>
      </c>
      <c r="C7202">
        <f>0</f>
        <v>0</v>
      </c>
      <c r="D7202">
        <v>0.98192370278300001</v>
      </c>
      <c r="E7202">
        <v>1.22338830584707</v>
      </c>
    </row>
    <row r="7203" spans="1:5">
      <c r="A7203" t="s">
        <v>8338</v>
      </c>
      <c r="B7203" t="s">
        <v>8346</v>
      </c>
      <c r="C7203">
        <v>0</v>
      </c>
      <c r="D7203">
        <v>0.98192370278300001</v>
      </c>
      <c r="E7203">
        <v>1.22338830584707</v>
      </c>
    </row>
    <row r="7204" spans="1:5">
      <c r="A7204" t="s">
        <v>8338</v>
      </c>
      <c r="B7204" t="s">
        <v>8347</v>
      </c>
      <c r="C7204">
        <v>0</v>
      </c>
      <c r="D7204">
        <v>0.98192370278300001</v>
      </c>
      <c r="E7204">
        <v>1.22338830584707</v>
      </c>
    </row>
    <row r="7205" spans="1:5">
      <c r="A7205" t="s">
        <v>8338</v>
      </c>
      <c r="B7205" t="s">
        <v>8348</v>
      </c>
      <c r="C7205">
        <v>2.2047620236000001E-4</v>
      </c>
      <c r="D7205">
        <v>0.98192370278300001</v>
      </c>
      <c r="E7205">
        <v>1.22338830584707</v>
      </c>
    </row>
    <row r="7206" spans="1:5">
      <c r="A7206" t="s">
        <v>8338</v>
      </c>
      <c r="B7206" t="s">
        <v>8349</v>
      </c>
      <c r="C7206">
        <v>0</v>
      </c>
      <c r="D7206">
        <v>0.98192370278300001</v>
      </c>
      <c r="E7206">
        <v>1.22338830584707</v>
      </c>
    </row>
    <row r="7207" spans="1:5">
      <c r="A7207" t="s">
        <v>8350</v>
      </c>
      <c r="B7207" t="s">
        <v>8351</v>
      </c>
      <c r="C7207">
        <v>0</v>
      </c>
      <c r="D7207" t="s">
        <v>106</v>
      </c>
      <c r="E7207">
        <v>0.61169415292353801</v>
      </c>
    </row>
    <row r="7208" spans="1:5">
      <c r="A7208" t="s">
        <v>8350</v>
      </c>
      <c r="B7208" t="s">
        <v>8352</v>
      </c>
      <c r="C7208">
        <v>0</v>
      </c>
      <c r="D7208" t="s">
        <v>106</v>
      </c>
      <c r="E7208">
        <v>0.61169415292353801</v>
      </c>
    </row>
    <row r="7209" spans="1:5">
      <c r="A7209" t="s">
        <v>8350</v>
      </c>
      <c r="B7209" t="s">
        <v>8353</v>
      </c>
      <c r="C7209">
        <v>0</v>
      </c>
      <c r="D7209" t="s">
        <v>106</v>
      </c>
      <c r="E7209">
        <v>0.61169415292353801</v>
      </c>
    </row>
    <row r="7210" spans="1:5">
      <c r="A7210" t="s">
        <v>8350</v>
      </c>
      <c r="B7210" t="s">
        <v>8354</v>
      </c>
      <c r="C7210">
        <f>0</f>
        <v>0</v>
      </c>
      <c r="D7210" t="s">
        <v>106</v>
      </c>
      <c r="E7210">
        <v>0.61169415292353801</v>
      </c>
    </row>
    <row r="7211" spans="1:5">
      <c r="A7211" t="s">
        <v>8350</v>
      </c>
      <c r="B7211" t="s">
        <v>8355</v>
      </c>
      <c r="C7211">
        <v>0</v>
      </c>
      <c r="D7211" t="s">
        <v>106</v>
      </c>
      <c r="E7211">
        <v>0.61169415292353801</v>
      </c>
    </row>
    <row r="7212" spans="1:5">
      <c r="A7212" t="s">
        <v>8350</v>
      </c>
      <c r="B7212" t="s">
        <v>8356</v>
      </c>
      <c r="C7212">
        <f>0</f>
        <v>0</v>
      </c>
      <c r="D7212" t="s">
        <v>106</v>
      </c>
      <c r="E7212">
        <v>0.61169415292353801</v>
      </c>
    </row>
    <row r="7213" spans="1:5">
      <c r="A7213" t="s">
        <v>8350</v>
      </c>
      <c r="B7213" t="s">
        <v>8357</v>
      </c>
      <c r="C7213">
        <v>0</v>
      </c>
      <c r="D7213" t="s">
        <v>106</v>
      </c>
      <c r="E7213">
        <v>0.61169415292353801</v>
      </c>
    </row>
    <row r="7214" spans="1:5">
      <c r="A7214" t="s">
        <v>8350</v>
      </c>
      <c r="B7214" t="s">
        <v>8358</v>
      </c>
      <c r="C7214">
        <v>0</v>
      </c>
      <c r="D7214" t="s">
        <v>106</v>
      </c>
      <c r="E7214">
        <v>0.61169415292353801</v>
      </c>
    </row>
    <row r="7215" spans="1:5">
      <c r="A7215" t="s">
        <v>8350</v>
      </c>
      <c r="B7215" t="s">
        <v>8359</v>
      </c>
      <c r="C7215">
        <v>0</v>
      </c>
      <c r="D7215" t="s">
        <v>106</v>
      </c>
      <c r="E7215">
        <v>0.61169415292353801</v>
      </c>
    </row>
    <row r="7216" spans="1:5">
      <c r="A7216" t="s">
        <v>8360</v>
      </c>
      <c r="B7216" t="s">
        <v>8361</v>
      </c>
      <c r="C7216">
        <v>0</v>
      </c>
      <c r="D7216" t="s">
        <v>106</v>
      </c>
      <c r="E7216">
        <v>0.91154422788605605</v>
      </c>
    </row>
    <row r="7217" spans="1:5">
      <c r="A7217" t="s">
        <v>8360</v>
      </c>
      <c r="B7217" t="s">
        <v>8362</v>
      </c>
      <c r="C7217">
        <v>0</v>
      </c>
      <c r="D7217" t="s">
        <v>106</v>
      </c>
      <c r="E7217">
        <v>0.91154422788605605</v>
      </c>
    </row>
    <row r="7218" spans="1:5">
      <c r="A7218" t="s">
        <v>8360</v>
      </c>
      <c r="B7218" t="s">
        <v>8363</v>
      </c>
      <c r="C7218">
        <f>0</f>
        <v>0</v>
      </c>
      <c r="D7218" t="s">
        <v>106</v>
      </c>
      <c r="E7218">
        <v>0.91154422788605605</v>
      </c>
    </row>
    <row r="7219" spans="1:5">
      <c r="A7219" t="s">
        <v>8360</v>
      </c>
      <c r="B7219" t="s">
        <v>8364</v>
      </c>
      <c r="C7219">
        <v>0</v>
      </c>
      <c r="D7219" t="s">
        <v>106</v>
      </c>
      <c r="E7219">
        <v>0.91154422788605605</v>
      </c>
    </row>
    <row r="7220" spans="1:5">
      <c r="A7220" t="s">
        <v>8360</v>
      </c>
      <c r="B7220" t="s">
        <v>8365</v>
      </c>
      <c r="C7220">
        <f>0</f>
        <v>0</v>
      </c>
      <c r="D7220" t="s">
        <v>106</v>
      </c>
      <c r="E7220">
        <v>0.91154422788605605</v>
      </c>
    </row>
    <row r="7221" spans="1:5">
      <c r="A7221" t="s">
        <v>8360</v>
      </c>
      <c r="B7221" t="s">
        <v>8366</v>
      </c>
      <c r="C7221">
        <f>0</f>
        <v>0</v>
      </c>
      <c r="D7221" t="s">
        <v>106</v>
      </c>
      <c r="E7221">
        <v>0.91154422788605605</v>
      </c>
    </row>
    <row r="7222" spans="1:5">
      <c r="A7222" t="s">
        <v>8360</v>
      </c>
      <c r="B7222" t="s">
        <v>8367</v>
      </c>
      <c r="C7222">
        <f>0</f>
        <v>0</v>
      </c>
      <c r="D7222" t="s">
        <v>106</v>
      </c>
      <c r="E7222">
        <v>0.91154422788605605</v>
      </c>
    </row>
    <row r="7223" spans="1:5">
      <c r="A7223" t="s">
        <v>8360</v>
      </c>
      <c r="B7223" t="s">
        <v>8368</v>
      </c>
      <c r="C7223">
        <v>0</v>
      </c>
      <c r="D7223" t="s">
        <v>106</v>
      </c>
      <c r="E7223">
        <v>0.91154422788605605</v>
      </c>
    </row>
    <row r="7224" spans="1:5">
      <c r="A7224" t="s">
        <v>8360</v>
      </c>
      <c r="B7224" t="s">
        <v>8369</v>
      </c>
      <c r="C7224">
        <v>0</v>
      </c>
      <c r="D7224" t="s">
        <v>106</v>
      </c>
      <c r="E7224">
        <v>0.91154422788605605</v>
      </c>
    </row>
    <row r="7225" spans="1:5">
      <c r="A7225" t="s">
        <v>8360</v>
      </c>
      <c r="B7225" t="s">
        <v>8370</v>
      </c>
      <c r="C7225">
        <v>0</v>
      </c>
      <c r="D7225" t="s">
        <v>106</v>
      </c>
      <c r="E7225">
        <v>0.91154422788605605</v>
      </c>
    </row>
    <row r="7226" spans="1:5">
      <c r="A7226" t="s">
        <v>8360</v>
      </c>
      <c r="B7226" t="s">
        <v>8371</v>
      </c>
      <c r="C7226">
        <f>0</f>
        <v>0</v>
      </c>
      <c r="D7226" t="s">
        <v>106</v>
      </c>
      <c r="E7226">
        <v>0.91154422788605605</v>
      </c>
    </row>
    <row r="7227" spans="1:5">
      <c r="A7227" t="s">
        <v>8360</v>
      </c>
      <c r="B7227" t="s">
        <v>8372</v>
      </c>
      <c r="C7227">
        <f>0</f>
        <v>0</v>
      </c>
      <c r="D7227" t="s">
        <v>106</v>
      </c>
      <c r="E7227">
        <v>0.91154422788605605</v>
      </c>
    </row>
    <row r="7228" spans="1:5">
      <c r="A7228" t="s">
        <v>8360</v>
      </c>
      <c r="B7228" t="s">
        <v>8373</v>
      </c>
      <c r="C7228">
        <f>0</f>
        <v>0</v>
      </c>
      <c r="D7228" t="s">
        <v>106</v>
      </c>
      <c r="E7228">
        <v>0.91154422788605605</v>
      </c>
    </row>
    <row r="7229" spans="1:5">
      <c r="A7229" t="s">
        <v>8360</v>
      </c>
      <c r="B7229" t="s">
        <v>8374</v>
      </c>
      <c r="C7229">
        <v>0</v>
      </c>
      <c r="D7229" t="s">
        <v>106</v>
      </c>
      <c r="E7229">
        <v>0.91154422788605605</v>
      </c>
    </row>
    <row r="7230" spans="1:5">
      <c r="A7230" t="s">
        <v>8360</v>
      </c>
      <c r="B7230" t="s">
        <v>8375</v>
      </c>
      <c r="C7230">
        <f>0</f>
        <v>0</v>
      </c>
      <c r="D7230" t="s">
        <v>106</v>
      </c>
      <c r="E7230">
        <v>0.91154422788605605</v>
      </c>
    </row>
    <row r="7231" spans="1:5">
      <c r="A7231" t="s">
        <v>8360</v>
      </c>
      <c r="B7231" t="s">
        <v>8376</v>
      </c>
      <c r="C7231">
        <f>0</f>
        <v>0</v>
      </c>
      <c r="D7231" t="s">
        <v>106</v>
      </c>
      <c r="E7231">
        <v>0.91154422788605605</v>
      </c>
    </row>
    <row r="7232" spans="1:5">
      <c r="A7232" t="s">
        <v>8360</v>
      </c>
      <c r="B7232" t="s">
        <v>8377</v>
      </c>
      <c r="C7232">
        <v>0</v>
      </c>
      <c r="D7232" t="s">
        <v>106</v>
      </c>
      <c r="E7232">
        <v>0.91154422788605605</v>
      </c>
    </row>
    <row r="7233" spans="1:5">
      <c r="A7233" t="s">
        <v>8360</v>
      </c>
      <c r="B7233" t="s">
        <v>8378</v>
      </c>
      <c r="C7233">
        <f>0</f>
        <v>0</v>
      </c>
      <c r="D7233" t="s">
        <v>106</v>
      </c>
      <c r="E7233">
        <v>0.91154422788605605</v>
      </c>
    </row>
    <row r="7234" spans="1:5">
      <c r="A7234" t="s">
        <v>8360</v>
      </c>
      <c r="B7234" t="s">
        <v>8379</v>
      </c>
      <c r="C7234">
        <v>0</v>
      </c>
      <c r="D7234" t="s">
        <v>106</v>
      </c>
      <c r="E7234">
        <v>0.91154422788605605</v>
      </c>
    </row>
    <row r="7235" spans="1:5">
      <c r="A7235" t="s">
        <v>8360</v>
      </c>
      <c r="B7235" t="s">
        <v>8380</v>
      </c>
      <c r="C7235">
        <v>0</v>
      </c>
      <c r="D7235" t="s">
        <v>106</v>
      </c>
      <c r="E7235">
        <v>0.91154422788605605</v>
      </c>
    </row>
    <row r="7236" spans="1:5">
      <c r="A7236" t="s">
        <v>8360</v>
      </c>
      <c r="B7236" t="s">
        <v>8381</v>
      </c>
      <c r="C7236">
        <v>0</v>
      </c>
      <c r="D7236" t="s">
        <v>106</v>
      </c>
      <c r="E7236">
        <v>0.91154422788605605</v>
      </c>
    </row>
    <row r="7237" spans="1:5">
      <c r="A7237" t="s">
        <v>8360</v>
      </c>
      <c r="B7237" t="s">
        <v>8382</v>
      </c>
      <c r="C7237">
        <f>0</f>
        <v>0</v>
      </c>
      <c r="D7237" t="s">
        <v>106</v>
      </c>
      <c r="E7237">
        <v>0.91154422788605605</v>
      </c>
    </row>
    <row r="7238" spans="1:5">
      <c r="A7238" t="s">
        <v>8360</v>
      </c>
      <c r="B7238" t="s">
        <v>8383</v>
      </c>
      <c r="C7238">
        <f>0</f>
        <v>0</v>
      </c>
      <c r="D7238" t="s">
        <v>106</v>
      </c>
      <c r="E7238">
        <v>0.91154422788605605</v>
      </c>
    </row>
    <row r="7239" spans="1:5">
      <c r="A7239" t="s">
        <v>8360</v>
      </c>
      <c r="B7239" t="s">
        <v>8384</v>
      </c>
      <c r="C7239">
        <f>0</f>
        <v>0</v>
      </c>
      <c r="D7239" t="s">
        <v>106</v>
      </c>
      <c r="E7239">
        <v>0.91154422788605605</v>
      </c>
    </row>
    <row r="7240" spans="1:5">
      <c r="A7240" t="s">
        <v>8360</v>
      </c>
      <c r="B7240" t="s">
        <v>8385</v>
      </c>
      <c r="C7240">
        <v>0</v>
      </c>
      <c r="D7240" t="s">
        <v>106</v>
      </c>
      <c r="E7240">
        <v>0.91154422788605605</v>
      </c>
    </row>
    <row r="7241" spans="1:5">
      <c r="A7241" t="s">
        <v>8360</v>
      </c>
      <c r="B7241" t="s">
        <v>8386</v>
      </c>
      <c r="C7241">
        <f>0</f>
        <v>0</v>
      </c>
      <c r="D7241" t="s">
        <v>106</v>
      </c>
      <c r="E7241">
        <v>0.91154422788605605</v>
      </c>
    </row>
    <row r="7242" spans="1:5">
      <c r="A7242" t="s">
        <v>8360</v>
      </c>
      <c r="B7242" t="s">
        <v>8387</v>
      </c>
      <c r="C7242">
        <f>0</f>
        <v>0</v>
      </c>
      <c r="D7242" t="s">
        <v>106</v>
      </c>
      <c r="E7242">
        <v>0.91154422788605605</v>
      </c>
    </row>
    <row r="7243" spans="1:5">
      <c r="A7243" t="s">
        <v>8360</v>
      </c>
      <c r="B7243" t="s">
        <v>8388</v>
      </c>
      <c r="C7243">
        <f>0</f>
        <v>0</v>
      </c>
      <c r="D7243" t="s">
        <v>106</v>
      </c>
      <c r="E7243">
        <v>0.91154422788605605</v>
      </c>
    </row>
    <row r="7244" spans="1:5">
      <c r="A7244" t="s">
        <v>8360</v>
      </c>
      <c r="B7244" t="s">
        <v>8389</v>
      </c>
      <c r="C7244">
        <f>0</f>
        <v>0</v>
      </c>
      <c r="D7244" t="s">
        <v>106</v>
      </c>
      <c r="E7244">
        <v>0.91154422788605605</v>
      </c>
    </row>
    <row r="7245" spans="1:5">
      <c r="A7245" t="s">
        <v>8360</v>
      </c>
      <c r="B7245" t="s">
        <v>8390</v>
      </c>
      <c r="C7245">
        <f>0</f>
        <v>0</v>
      </c>
      <c r="D7245" t="s">
        <v>106</v>
      </c>
      <c r="E7245">
        <v>0.91154422788605605</v>
      </c>
    </row>
    <row r="7246" spans="1:5">
      <c r="A7246" t="s">
        <v>8360</v>
      </c>
      <c r="B7246" t="s">
        <v>8391</v>
      </c>
      <c r="C7246">
        <f>0</f>
        <v>0</v>
      </c>
      <c r="D7246" t="s">
        <v>106</v>
      </c>
      <c r="E7246">
        <v>0.91154422788605605</v>
      </c>
    </row>
    <row r="7247" spans="1:5">
      <c r="A7247" t="s">
        <v>8360</v>
      </c>
      <c r="B7247" t="s">
        <v>8392</v>
      </c>
      <c r="C7247">
        <v>0</v>
      </c>
      <c r="D7247" t="s">
        <v>106</v>
      </c>
      <c r="E7247">
        <v>0.91154422788605605</v>
      </c>
    </row>
    <row r="7248" spans="1:5">
      <c r="A7248" t="s">
        <v>8360</v>
      </c>
      <c r="B7248" t="s">
        <v>8393</v>
      </c>
      <c r="C7248">
        <v>0</v>
      </c>
      <c r="D7248" t="s">
        <v>106</v>
      </c>
      <c r="E7248">
        <v>0.91154422788605605</v>
      </c>
    </row>
    <row r="7249" spans="1:5">
      <c r="A7249" t="s">
        <v>8360</v>
      </c>
      <c r="B7249" t="s">
        <v>8394</v>
      </c>
      <c r="C7249">
        <v>0</v>
      </c>
      <c r="D7249" t="s">
        <v>106</v>
      </c>
      <c r="E7249">
        <v>0.91154422788605605</v>
      </c>
    </row>
    <row r="7250" spans="1:5">
      <c r="A7250" t="s">
        <v>8360</v>
      </c>
      <c r="B7250" t="s">
        <v>8395</v>
      </c>
      <c r="C7250">
        <v>0</v>
      </c>
      <c r="D7250" t="s">
        <v>106</v>
      </c>
      <c r="E7250">
        <v>0.91154422788605605</v>
      </c>
    </row>
    <row r="7251" spans="1:5">
      <c r="A7251" t="s">
        <v>8360</v>
      </c>
      <c r="B7251" t="s">
        <v>8396</v>
      </c>
      <c r="C7251">
        <f>0</f>
        <v>0</v>
      </c>
      <c r="D7251" t="s">
        <v>106</v>
      </c>
      <c r="E7251">
        <v>0.91154422788605605</v>
      </c>
    </row>
    <row r="7252" spans="1:5">
      <c r="A7252" t="s">
        <v>8360</v>
      </c>
      <c r="B7252" t="s">
        <v>8397</v>
      </c>
      <c r="C7252">
        <f>0</f>
        <v>0</v>
      </c>
      <c r="D7252" t="s">
        <v>106</v>
      </c>
      <c r="E7252">
        <v>0.91154422788605605</v>
      </c>
    </row>
    <row r="7253" spans="1:5">
      <c r="A7253" t="s">
        <v>8360</v>
      </c>
      <c r="B7253" t="s">
        <v>8398</v>
      </c>
      <c r="C7253">
        <v>0</v>
      </c>
      <c r="D7253" t="s">
        <v>106</v>
      </c>
      <c r="E7253">
        <v>0.91154422788605605</v>
      </c>
    </row>
    <row r="7254" spans="1:5">
      <c r="A7254" t="s">
        <v>8360</v>
      </c>
      <c r="B7254" t="s">
        <v>8399</v>
      </c>
      <c r="C7254">
        <v>0</v>
      </c>
      <c r="D7254" t="s">
        <v>106</v>
      </c>
      <c r="E7254">
        <v>0.91154422788605605</v>
      </c>
    </row>
    <row r="7255" spans="1:5">
      <c r="A7255" t="s">
        <v>8360</v>
      </c>
      <c r="B7255" t="s">
        <v>8400</v>
      </c>
      <c r="C7255">
        <f>0</f>
        <v>0</v>
      </c>
      <c r="D7255" t="s">
        <v>106</v>
      </c>
      <c r="E7255">
        <v>0.91154422788605605</v>
      </c>
    </row>
    <row r="7256" spans="1:5">
      <c r="A7256" t="s">
        <v>8401</v>
      </c>
      <c r="B7256" t="s">
        <v>8402</v>
      </c>
      <c r="C7256">
        <f>0</f>
        <v>0</v>
      </c>
      <c r="D7256">
        <v>0.981576907341</v>
      </c>
      <c r="E7256">
        <v>17.919040479760099</v>
      </c>
    </row>
    <row r="7257" spans="1:5">
      <c r="A7257" t="s">
        <v>8401</v>
      </c>
      <c r="B7257" t="s">
        <v>8403</v>
      </c>
      <c r="C7257">
        <f>0</f>
        <v>0</v>
      </c>
      <c r="D7257">
        <v>0.981576907341</v>
      </c>
      <c r="E7257">
        <v>17.919040479760099</v>
      </c>
    </row>
    <row r="7258" spans="1:5">
      <c r="A7258" t="s">
        <v>8401</v>
      </c>
      <c r="B7258" t="s">
        <v>8404</v>
      </c>
      <c r="C7258">
        <f>0.0833294982914</f>
        <v>8.3329498291400003E-2</v>
      </c>
      <c r="D7258">
        <v>0.981576907341</v>
      </c>
      <c r="E7258">
        <v>17.919040479760099</v>
      </c>
    </row>
    <row r="7259" spans="1:5">
      <c r="A7259" t="s">
        <v>8401</v>
      </c>
      <c r="B7259" t="s">
        <v>8405</v>
      </c>
      <c r="C7259">
        <f>0</f>
        <v>0</v>
      </c>
      <c r="D7259">
        <v>0.981576907341</v>
      </c>
      <c r="E7259">
        <v>17.919040479760099</v>
      </c>
    </row>
    <row r="7260" spans="1:5">
      <c r="A7260" t="s">
        <v>8401</v>
      </c>
      <c r="B7260" t="s">
        <v>8406</v>
      </c>
      <c r="C7260">
        <v>0</v>
      </c>
      <c r="D7260">
        <v>0.981576907341</v>
      </c>
      <c r="E7260">
        <v>17.919040479760099</v>
      </c>
    </row>
    <row r="7261" spans="1:5">
      <c r="A7261" t="s">
        <v>8401</v>
      </c>
      <c r="B7261" t="s">
        <v>8407</v>
      </c>
      <c r="C7261">
        <v>2.9914196504400001E-2</v>
      </c>
      <c r="D7261">
        <v>0.981576907341</v>
      </c>
      <c r="E7261">
        <v>17.919040479760099</v>
      </c>
    </row>
    <row r="7262" spans="1:5">
      <c r="A7262" t="s">
        <v>8408</v>
      </c>
      <c r="B7262" t="s">
        <v>8409</v>
      </c>
      <c r="C7262">
        <v>0.42877747255100002</v>
      </c>
      <c r="D7262">
        <v>0.99935543935600002</v>
      </c>
      <c r="E7262">
        <v>5.69715142428785</v>
      </c>
    </row>
    <row r="7263" spans="1:5">
      <c r="A7263" t="s">
        <v>8408</v>
      </c>
      <c r="B7263" t="s">
        <v>8410</v>
      </c>
      <c r="C7263">
        <f>0</f>
        <v>0</v>
      </c>
      <c r="D7263">
        <v>0.99935543935600002</v>
      </c>
      <c r="E7263">
        <v>5.69715142428785</v>
      </c>
    </row>
    <row r="7264" spans="1:5">
      <c r="A7264" t="s">
        <v>8408</v>
      </c>
      <c r="B7264" t="s">
        <v>8411</v>
      </c>
      <c r="C7264">
        <v>0</v>
      </c>
      <c r="D7264">
        <v>0.99935543935600002</v>
      </c>
      <c r="E7264">
        <v>5.69715142428785</v>
      </c>
    </row>
    <row r="7265" spans="1:5">
      <c r="A7265" t="s">
        <v>8408</v>
      </c>
      <c r="B7265" t="s">
        <v>8412</v>
      </c>
      <c r="C7265">
        <v>0</v>
      </c>
      <c r="D7265">
        <v>0.99935543935600002</v>
      </c>
      <c r="E7265">
        <v>5.69715142428785</v>
      </c>
    </row>
    <row r="7266" spans="1:5">
      <c r="A7266" t="s">
        <v>8408</v>
      </c>
      <c r="B7266" t="s">
        <v>8413</v>
      </c>
      <c r="C7266">
        <v>9.9505082981499998E-3</v>
      </c>
      <c r="D7266">
        <v>0.99935543935600002</v>
      </c>
      <c r="E7266">
        <v>5.69715142428785</v>
      </c>
    </row>
    <row r="7267" spans="1:5">
      <c r="A7267" t="s">
        <v>8408</v>
      </c>
      <c r="B7267" t="s">
        <v>8414</v>
      </c>
      <c r="C7267">
        <v>0</v>
      </c>
      <c r="D7267">
        <v>0.99935543935600002</v>
      </c>
      <c r="E7267">
        <v>5.69715142428785</v>
      </c>
    </row>
    <row r="7268" spans="1:5">
      <c r="A7268" t="s">
        <v>8408</v>
      </c>
      <c r="B7268" t="s">
        <v>8415</v>
      </c>
      <c r="C7268">
        <v>0</v>
      </c>
      <c r="D7268">
        <v>0.99935543935600002</v>
      </c>
      <c r="E7268">
        <v>5.69715142428785</v>
      </c>
    </row>
    <row r="7269" spans="1:5">
      <c r="A7269" t="s">
        <v>8408</v>
      </c>
      <c r="B7269" t="s">
        <v>8416</v>
      </c>
      <c r="C7269">
        <v>0</v>
      </c>
      <c r="D7269">
        <v>0.99935543935600002</v>
      </c>
      <c r="E7269">
        <v>5.69715142428785</v>
      </c>
    </row>
    <row r="7270" spans="1:5">
      <c r="A7270" t="s">
        <v>8408</v>
      </c>
      <c r="B7270" t="s">
        <v>8417</v>
      </c>
      <c r="C7270">
        <v>0</v>
      </c>
      <c r="D7270">
        <v>0.99935543935600002</v>
      </c>
      <c r="E7270">
        <v>5.69715142428785</v>
      </c>
    </row>
    <row r="7271" spans="1:5">
      <c r="A7271" t="s">
        <v>8408</v>
      </c>
      <c r="B7271" t="s">
        <v>8418</v>
      </c>
      <c r="C7271">
        <v>0</v>
      </c>
      <c r="D7271">
        <v>0.99935543935600002</v>
      </c>
      <c r="E7271">
        <v>5.69715142428785</v>
      </c>
    </row>
    <row r="7272" spans="1:5">
      <c r="A7272" t="s">
        <v>8419</v>
      </c>
      <c r="B7272" t="s">
        <v>8420</v>
      </c>
      <c r="C7272">
        <v>0</v>
      </c>
      <c r="D7272" t="s">
        <v>106</v>
      </c>
      <c r="E7272">
        <v>13.0854572713643</v>
      </c>
    </row>
    <row r="7273" spans="1:5">
      <c r="A7273" t="s">
        <v>8421</v>
      </c>
      <c r="B7273" t="s">
        <v>8422</v>
      </c>
      <c r="C7273">
        <v>1.25605891956E-2</v>
      </c>
      <c r="D7273">
        <v>0.99864664723600005</v>
      </c>
      <c r="E7273">
        <v>24</v>
      </c>
    </row>
    <row r="7274" spans="1:5">
      <c r="A7274" t="s">
        <v>8421</v>
      </c>
      <c r="B7274" t="s">
        <v>8423</v>
      </c>
      <c r="C7274">
        <f>0</f>
        <v>0</v>
      </c>
      <c r="D7274">
        <v>0.99864664723600005</v>
      </c>
      <c r="E7274">
        <v>24</v>
      </c>
    </row>
    <row r="7275" spans="1:5">
      <c r="A7275" t="s">
        <v>8424</v>
      </c>
      <c r="B7275" t="s">
        <v>8425</v>
      </c>
      <c r="C7275">
        <f>0</f>
        <v>0</v>
      </c>
      <c r="D7275">
        <v>0.87334021673999995</v>
      </c>
      <c r="E7275">
        <v>23.7481259370314</v>
      </c>
    </row>
    <row r="7276" spans="1:5">
      <c r="A7276" t="s">
        <v>8424</v>
      </c>
      <c r="B7276" t="s">
        <v>8426</v>
      </c>
      <c r="C7276">
        <f>0</f>
        <v>0</v>
      </c>
      <c r="D7276">
        <v>0.87334021673999995</v>
      </c>
      <c r="E7276">
        <v>23.7481259370314</v>
      </c>
    </row>
    <row r="7277" spans="1:5">
      <c r="A7277" t="s">
        <v>8424</v>
      </c>
      <c r="B7277" t="s">
        <v>8427</v>
      </c>
      <c r="C7277">
        <f>0</f>
        <v>0</v>
      </c>
      <c r="D7277">
        <v>0.87334021673999995</v>
      </c>
      <c r="E7277">
        <v>23.7481259370314</v>
      </c>
    </row>
    <row r="7278" spans="1:5">
      <c r="A7278" t="s">
        <v>8424</v>
      </c>
      <c r="B7278" t="s">
        <v>8428</v>
      </c>
      <c r="C7278">
        <v>0</v>
      </c>
      <c r="D7278">
        <v>0.87334021673999995</v>
      </c>
      <c r="E7278">
        <v>23.7481259370314</v>
      </c>
    </row>
    <row r="7279" spans="1:5">
      <c r="A7279" t="s">
        <v>8424</v>
      </c>
      <c r="B7279" t="s">
        <v>8429</v>
      </c>
      <c r="C7279">
        <v>0</v>
      </c>
      <c r="D7279">
        <v>0.87334021673999995</v>
      </c>
      <c r="E7279">
        <v>23.7481259370314</v>
      </c>
    </row>
    <row r="7280" spans="1:5">
      <c r="A7280" t="s">
        <v>8424</v>
      </c>
      <c r="B7280" t="s">
        <v>8430</v>
      </c>
      <c r="C7280">
        <f>0</f>
        <v>0</v>
      </c>
      <c r="D7280">
        <v>0.87334021673999995</v>
      </c>
      <c r="E7280">
        <v>23.7481259370314</v>
      </c>
    </row>
    <row r="7281" spans="1:5">
      <c r="A7281" t="s">
        <v>8431</v>
      </c>
      <c r="B7281" t="s">
        <v>8432</v>
      </c>
      <c r="C7281">
        <v>9.0978807417200006E-2</v>
      </c>
      <c r="D7281">
        <v>0.95451139112200001</v>
      </c>
      <c r="E7281">
        <v>24</v>
      </c>
    </row>
    <row r="7282" spans="1:5">
      <c r="A7282" t="s">
        <v>8433</v>
      </c>
      <c r="B7282" t="s">
        <v>8434</v>
      </c>
      <c r="C7282">
        <v>0.103647484002</v>
      </c>
      <c r="D7282" t="s">
        <v>106</v>
      </c>
      <c r="E7282">
        <v>6.2968515742128899</v>
      </c>
    </row>
    <row r="7283" spans="1:5">
      <c r="A7283" t="s">
        <v>8435</v>
      </c>
      <c r="B7283" t="s">
        <v>8436</v>
      </c>
      <c r="C7283">
        <v>0.39155220168900001</v>
      </c>
      <c r="D7283">
        <v>0.84495833269499998</v>
      </c>
      <c r="E7283">
        <v>5.3493253373313303</v>
      </c>
    </row>
    <row r="7284" spans="1:5">
      <c r="A7284" t="s">
        <v>8435</v>
      </c>
      <c r="B7284" t="s">
        <v>8437</v>
      </c>
      <c r="C7284">
        <f>0</f>
        <v>0</v>
      </c>
      <c r="D7284">
        <v>0.84495833269499998</v>
      </c>
      <c r="E7284">
        <v>5.3493253373313303</v>
      </c>
    </row>
    <row r="7285" spans="1:5">
      <c r="A7285" t="s">
        <v>8435</v>
      </c>
      <c r="B7285" t="s">
        <v>8438</v>
      </c>
      <c r="C7285">
        <v>0</v>
      </c>
      <c r="D7285">
        <v>0.84495833269499998</v>
      </c>
      <c r="E7285">
        <v>5.3493253373313303</v>
      </c>
    </row>
    <row r="7286" spans="1:5">
      <c r="A7286" t="s">
        <v>8435</v>
      </c>
      <c r="B7286" t="s">
        <v>8439</v>
      </c>
      <c r="C7286">
        <f>0</f>
        <v>0</v>
      </c>
      <c r="D7286">
        <v>0.84495833269499998</v>
      </c>
      <c r="E7286">
        <v>5.3493253373313303</v>
      </c>
    </row>
    <row r="7287" spans="1:5">
      <c r="A7287" t="s">
        <v>8435</v>
      </c>
      <c r="B7287" t="s">
        <v>8440</v>
      </c>
      <c r="C7287">
        <f>0</f>
        <v>0</v>
      </c>
      <c r="D7287">
        <v>0.84495833269499998</v>
      </c>
      <c r="E7287">
        <v>5.3493253373313303</v>
      </c>
    </row>
    <row r="7288" spans="1:5">
      <c r="A7288" t="s">
        <v>8435</v>
      </c>
      <c r="B7288" t="s">
        <v>8441</v>
      </c>
      <c r="C7288">
        <v>2.1536041647399998E-3</v>
      </c>
      <c r="D7288">
        <v>0.84495833269499998</v>
      </c>
      <c r="E7288">
        <v>5.3493253373313303</v>
      </c>
    </row>
    <row r="7289" spans="1:5">
      <c r="A7289" t="s">
        <v>8435</v>
      </c>
      <c r="B7289" t="s">
        <v>8442</v>
      </c>
      <c r="C7289">
        <v>0</v>
      </c>
      <c r="D7289">
        <v>0.84495833269499998</v>
      </c>
      <c r="E7289">
        <v>5.3493253373313303</v>
      </c>
    </row>
    <row r="7290" spans="1:5">
      <c r="A7290" t="s">
        <v>8435</v>
      </c>
      <c r="B7290" t="s">
        <v>8443</v>
      </c>
      <c r="C7290">
        <v>0</v>
      </c>
      <c r="D7290">
        <v>0.84495833269499998</v>
      </c>
      <c r="E7290">
        <v>5.3493253373313303</v>
      </c>
    </row>
    <row r="7291" spans="1:5">
      <c r="A7291" t="s">
        <v>8435</v>
      </c>
      <c r="B7291" t="s">
        <v>8444</v>
      </c>
      <c r="C7291">
        <f>0</f>
        <v>0</v>
      </c>
      <c r="D7291">
        <v>0.84495833269499998</v>
      </c>
      <c r="E7291">
        <v>5.3493253373313303</v>
      </c>
    </row>
    <row r="7292" spans="1:5">
      <c r="A7292" t="s">
        <v>8435</v>
      </c>
      <c r="B7292" t="s">
        <v>8445</v>
      </c>
      <c r="C7292">
        <v>0</v>
      </c>
      <c r="D7292">
        <v>0.84495833269499998</v>
      </c>
      <c r="E7292">
        <v>5.3493253373313303</v>
      </c>
    </row>
    <row r="7293" spans="1:5">
      <c r="A7293" t="s">
        <v>8446</v>
      </c>
      <c r="B7293" t="s">
        <v>8447</v>
      </c>
      <c r="C7293">
        <v>0.13999809715200001</v>
      </c>
      <c r="D7293">
        <v>0.58219702770000004</v>
      </c>
      <c r="E7293">
        <v>11.5382308845577</v>
      </c>
    </row>
    <row r="7294" spans="1:5">
      <c r="A7294" t="s">
        <v>8446</v>
      </c>
      <c r="B7294" t="s">
        <v>8448</v>
      </c>
      <c r="C7294">
        <f>0</f>
        <v>0</v>
      </c>
      <c r="D7294">
        <v>0.58219702770000004</v>
      </c>
      <c r="E7294">
        <v>11.5382308845577</v>
      </c>
    </row>
    <row r="7295" spans="1:5">
      <c r="A7295" t="s">
        <v>8446</v>
      </c>
      <c r="B7295" t="s">
        <v>8449</v>
      </c>
      <c r="C7295">
        <v>0</v>
      </c>
      <c r="D7295">
        <v>0.58219702770000004</v>
      </c>
      <c r="E7295">
        <v>11.5382308845577</v>
      </c>
    </row>
    <row r="7296" spans="1:5">
      <c r="A7296" t="s">
        <v>8446</v>
      </c>
      <c r="B7296" t="s">
        <v>8450</v>
      </c>
      <c r="C7296">
        <v>0</v>
      </c>
      <c r="D7296">
        <v>0.58219702770000004</v>
      </c>
      <c r="E7296">
        <v>11.5382308845577</v>
      </c>
    </row>
    <row r="7297" spans="1:5">
      <c r="A7297" t="s">
        <v>8446</v>
      </c>
      <c r="B7297" t="s">
        <v>8451</v>
      </c>
      <c r="C7297">
        <v>0</v>
      </c>
      <c r="D7297">
        <v>0.58219702770000004</v>
      </c>
      <c r="E7297">
        <v>11.5382308845577</v>
      </c>
    </row>
    <row r="7298" spans="1:5">
      <c r="A7298" t="s">
        <v>8446</v>
      </c>
      <c r="B7298" t="s">
        <v>8452</v>
      </c>
      <c r="C7298">
        <f>0</f>
        <v>0</v>
      </c>
      <c r="D7298">
        <v>0.58219702770000004</v>
      </c>
      <c r="E7298">
        <v>11.5382308845577</v>
      </c>
    </row>
    <row r="7299" spans="1:5">
      <c r="A7299" t="s">
        <v>8446</v>
      </c>
      <c r="B7299" t="s">
        <v>8453</v>
      </c>
      <c r="C7299">
        <f>0</f>
        <v>0</v>
      </c>
      <c r="D7299">
        <v>0.58219702770000004</v>
      </c>
      <c r="E7299">
        <v>11.5382308845577</v>
      </c>
    </row>
    <row r="7300" spans="1:5">
      <c r="A7300" t="s">
        <v>8446</v>
      </c>
      <c r="B7300" t="s">
        <v>8454</v>
      </c>
      <c r="C7300">
        <v>0</v>
      </c>
      <c r="D7300">
        <v>0.58219702770000004</v>
      </c>
      <c r="E7300">
        <v>11.5382308845577</v>
      </c>
    </row>
    <row r="7301" spans="1:5">
      <c r="A7301" t="s">
        <v>8455</v>
      </c>
      <c r="B7301" t="s">
        <v>8456</v>
      </c>
      <c r="C7301">
        <v>0.197572688463</v>
      </c>
      <c r="D7301">
        <v>0.72398916383900003</v>
      </c>
      <c r="E7301">
        <v>10.878560719640101</v>
      </c>
    </row>
    <row r="7302" spans="1:5">
      <c r="A7302" t="s">
        <v>8455</v>
      </c>
      <c r="B7302" t="s">
        <v>8457</v>
      </c>
      <c r="C7302">
        <f>0</f>
        <v>0</v>
      </c>
      <c r="D7302">
        <v>0.72398916383900003</v>
      </c>
      <c r="E7302">
        <v>10.878560719640101</v>
      </c>
    </row>
    <row r="7303" spans="1:5">
      <c r="A7303" t="s">
        <v>8455</v>
      </c>
      <c r="B7303" t="s">
        <v>8458</v>
      </c>
      <c r="C7303">
        <f>0</f>
        <v>0</v>
      </c>
      <c r="D7303">
        <v>0.72398916383900003</v>
      </c>
      <c r="E7303">
        <v>10.878560719640101</v>
      </c>
    </row>
    <row r="7304" spans="1:5">
      <c r="A7304" t="s">
        <v>8459</v>
      </c>
      <c r="B7304" t="s">
        <v>8460</v>
      </c>
      <c r="C7304">
        <v>0</v>
      </c>
      <c r="D7304">
        <v>0.98901062735599998</v>
      </c>
      <c r="E7304">
        <v>0.91154422788605605</v>
      </c>
    </row>
    <row r="7305" spans="1:5">
      <c r="A7305" t="s">
        <v>8459</v>
      </c>
      <c r="B7305" t="s">
        <v>8461</v>
      </c>
      <c r="C7305">
        <v>0</v>
      </c>
      <c r="D7305">
        <v>0.98901062735599998</v>
      </c>
      <c r="E7305">
        <v>0.91154422788605605</v>
      </c>
    </row>
    <row r="7306" spans="1:5">
      <c r="A7306" t="s">
        <v>8459</v>
      </c>
      <c r="B7306" t="s">
        <v>8462</v>
      </c>
      <c r="C7306">
        <v>0</v>
      </c>
      <c r="D7306">
        <v>0.98901062735599998</v>
      </c>
      <c r="E7306">
        <v>0.91154422788605605</v>
      </c>
    </row>
    <row r="7307" spans="1:5">
      <c r="A7307" t="s">
        <v>8459</v>
      </c>
      <c r="B7307" t="s">
        <v>8463</v>
      </c>
      <c r="C7307">
        <f>0</f>
        <v>0</v>
      </c>
      <c r="D7307">
        <v>0.98901062735599998</v>
      </c>
      <c r="E7307">
        <v>0.91154422788605605</v>
      </c>
    </row>
    <row r="7308" spans="1:5">
      <c r="A7308" t="s">
        <v>8459</v>
      </c>
      <c r="B7308" t="s">
        <v>8464</v>
      </c>
      <c r="C7308">
        <v>0</v>
      </c>
      <c r="D7308">
        <v>0.98901062735599998</v>
      </c>
      <c r="E7308">
        <v>0.91154422788605605</v>
      </c>
    </row>
    <row r="7309" spans="1:5">
      <c r="A7309" t="s">
        <v>8459</v>
      </c>
      <c r="B7309" t="s">
        <v>8465</v>
      </c>
      <c r="C7309">
        <v>0</v>
      </c>
      <c r="D7309">
        <v>0.98901062735599998</v>
      </c>
      <c r="E7309">
        <v>0.91154422788605605</v>
      </c>
    </row>
    <row r="7310" spans="1:5">
      <c r="A7310" t="s">
        <v>8459</v>
      </c>
      <c r="B7310" t="s">
        <v>8466</v>
      </c>
      <c r="C7310">
        <f>0</f>
        <v>0</v>
      </c>
      <c r="D7310">
        <v>0.98901062735599998</v>
      </c>
      <c r="E7310">
        <v>0.91154422788605605</v>
      </c>
    </row>
    <row r="7311" spans="1:5">
      <c r="A7311" t="s">
        <v>8459</v>
      </c>
      <c r="B7311" t="s">
        <v>8467</v>
      </c>
      <c r="C7311">
        <f>0</f>
        <v>0</v>
      </c>
      <c r="D7311">
        <v>0.98901062735599998</v>
      </c>
      <c r="E7311">
        <v>0.91154422788605605</v>
      </c>
    </row>
    <row r="7312" spans="1:5">
      <c r="A7312" t="s">
        <v>8459</v>
      </c>
      <c r="B7312" t="s">
        <v>8468</v>
      </c>
      <c r="C7312">
        <f>0</f>
        <v>0</v>
      </c>
      <c r="D7312">
        <v>0.98901062735599998</v>
      </c>
      <c r="E7312">
        <v>0.91154422788605605</v>
      </c>
    </row>
    <row r="7313" spans="1:5">
      <c r="A7313" t="s">
        <v>8459</v>
      </c>
      <c r="B7313" t="s">
        <v>8469</v>
      </c>
      <c r="C7313">
        <f>0</f>
        <v>0</v>
      </c>
      <c r="D7313">
        <v>0.98901062735599998</v>
      </c>
      <c r="E7313">
        <v>0.91154422788605605</v>
      </c>
    </row>
    <row r="7314" spans="1:5">
      <c r="A7314" t="s">
        <v>8459</v>
      </c>
      <c r="B7314" t="s">
        <v>8470</v>
      </c>
      <c r="C7314">
        <v>0</v>
      </c>
      <c r="D7314">
        <v>0.98901062735599998</v>
      </c>
      <c r="E7314">
        <v>0.91154422788605605</v>
      </c>
    </row>
    <row r="7315" spans="1:5">
      <c r="A7315" t="s">
        <v>8459</v>
      </c>
      <c r="B7315" t="s">
        <v>8471</v>
      </c>
      <c r="C7315">
        <f>0</f>
        <v>0</v>
      </c>
      <c r="D7315">
        <v>0.98901062735599998</v>
      </c>
      <c r="E7315">
        <v>0.91154422788605605</v>
      </c>
    </row>
    <row r="7316" spans="1:5">
      <c r="A7316" t="s">
        <v>8459</v>
      </c>
      <c r="B7316" t="s">
        <v>8472</v>
      </c>
      <c r="C7316">
        <v>0</v>
      </c>
      <c r="D7316">
        <v>0.98901062735599998</v>
      </c>
      <c r="E7316">
        <v>0.91154422788605605</v>
      </c>
    </row>
    <row r="7317" spans="1:5">
      <c r="A7317" t="s">
        <v>8459</v>
      </c>
      <c r="B7317" t="s">
        <v>8473</v>
      </c>
      <c r="C7317">
        <v>0.25945427208600003</v>
      </c>
      <c r="D7317">
        <v>0.98901062735599998</v>
      </c>
      <c r="E7317">
        <v>0.91154422788605605</v>
      </c>
    </row>
    <row r="7318" spans="1:5">
      <c r="A7318" t="s">
        <v>8459</v>
      </c>
      <c r="B7318" t="s">
        <v>8474</v>
      </c>
      <c r="C7318">
        <v>0</v>
      </c>
      <c r="D7318">
        <v>0.98901062735599998</v>
      </c>
      <c r="E7318">
        <v>0.91154422788605605</v>
      </c>
    </row>
    <row r="7319" spans="1:5">
      <c r="A7319" t="s">
        <v>8475</v>
      </c>
      <c r="B7319" t="s">
        <v>8476</v>
      </c>
      <c r="C7319">
        <v>5.2904427499400001E-3</v>
      </c>
      <c r="D7319">
        <v>0.95709276698599999</v>
      </c>
      <c r="E7319">
        <v>5.9370314842578704</v>
      </c>
    </row>
    <row r="7320" spans="1:5">
      <c r="A7320" t="s">
        <v>8475</v>
      </c>
      <c r="B7320" t="s">
        <v>8477</v>
      </c>
      <c r="C7320">
        <v>0</v>
      </c>
      <c r="D7320">
        <v>0.95709276698599999</v>
      </c>
      <c r="E7320">
        <v>5.9370314842578704</v>
      </c>
    </row>
    <row r="7321" spans="1:5">
      <c r="A7321" t="s">
        <v>8475</v>
      </c>
      <c r="B7321" t="s">
        <v>8478</v>
      </c>
      <c r="C7321">
        <v>1.0766494609199999E-2</v>
      </c>
      <c r="D7321">
        <v>0.95709276698599999</v>
      </c>
      <c r="E7321">
        <v>5.9370314842578704</v>
      </c>
    </row>
    <row r="7322" spans="1:5">
      <c r="A7322" t="s">
        <v>8479</v>
      </c>
      <c r="B7322" t="s">
        <v>8480</v>
      </c>
      <c r="C7322">
        <v>0</v>
      </c>
      <c r="D7322">
        <v>0.912522450943</v>
      </c>
      <c r="E7322">
        <v>1.51124437781109</v>
      </c>
    </row>
    <row r="7323" spans="1:5">
      <c r="A7323" t="s">
        <v>8479</v>
      </c>
      <c r="B7323" t="s">
        <v>8481</v>
      </c>
      <c r="C7323">
        <v>0</v>
      </c>
      <c r="D7323">
        <v>0.912522450943</v>
      </c>
      <c r="E7323">
        <v>1.51124437781109</v>
      </c>
    </row>
    <row r="7324" spans="1:5">
      <c r="A7324" t="s">
        <v>8479</v>
      </c>
      <c r="B7324" t="s">
        <v>8482</v>
      </c>
      <c r="C7324">
        <f>0</f>
        <v>0</v>
      </c>
      <c r="D7324">
        <v>0.912522450943</v>
      </c>
      <c r="E7324">
        <v>1.51124437781109</v>
      </c>
    </row>
    <row r="7325" spans="1:5">
      <c r="A7325" t="s">
        <v>8479</v>
      </c>
      <c r="B7325" t="s">
        <v>8483</v>
      </c>
      <c r="C7325">
        <f>0</f>
        <v>0</v>
      </c>
      <c r="D7325">
        <v>0.912522450943</v>
      </c>
      <c r="E7325">
        <v>1.51124437781109</v>
      </c>
    </row>
    <row r="7326" spans="1:5">
      <c r="A7326" t="s">
        <v>8479</v>
      </c>
      <c r="B7326" t="s">
        <v>8484</v>
      </c>
      <c r="C7326">
        <v>0.342909383949</v>
      </c>
      <c r="D7326">
        <v>0.912522450943</v>
      </c>
      <c r="E7326">
        <v>1.51124437781109</v>
      </c>
    </row>
    <row r="7327" spans="1:5">
      <c r="A7327" t="s">
        <v>8479</v>
      </c>
      <c r="B7327" t="s">
        <v>8485</v>
      </c>
      <c r="C7327">
        <v>0</v>
      </c>
      <c r="D7327">
        <v>0.912522450943</v>
      </c>
      <c r="E7327">
        <v>1.51124437781109</v>
      </c>
    </row>
    <row r="7328" spans="1:5">
      <c r="A7328" t="s">
        <v>8479</v>
      </c>
      <c r="B7328" t="s">
        <v>8486</v>
      </c>
      <c r="C7328">
        <v>9.4042380950400004E-2</v>
      </c>
      <c r="D7328">
        <v>0.912522450943</v>
      </c>
      <c r="E7328">
        <v>1.51124437781109</v>
      </c>
    </row>
    <row r="7329" spans="1:5">
      <c r="A7329" t="s">
        <v>8479</v>
      </c>
      <c r="B7329" t="s">
        <v>8487</v>
      </c>
      <c r="C7329">
        <v>0</v>
      </c>
      <c r="D7329">
        <v>0.912522450943</v>
      </c>
      <c r="E7329">
        <v>1.51124437781109</v>
      </c>
    </row>
    <row r="7330" spans="1:5">
      <c r="A7330" t="s">
        <v>8488</v>
      </c>
      <c r="B7330" t="s">
        <v>8489</v>
      </c>
      <c r="C7330">
        <f>0</f>
        <v>0</v>
      </c>
      <c r="D7330" t="s">
        <v>106</v>
      </c>
      <c r="E7330">
        <v>6.0569715142428704</v>
      </c>
    </row>
    <row r="7331" spans="1:5">
      <c r="A7331" t="s">
        <v>8488</v>
      </c>
      <c r="B7331" t="s">
        <v>8490</v>
      </c>
      <c r="C7331">
        <f>0</f>
        <v>0</v>
      </c>
      <c r="D7331" t="s">
        <v>106</v>
      </c>
      <c r="E7331">
        <v>6.0569715142428704</v>
      </c>
    </row>
    <row r="7332" spans="1:5">
      <c r="A7332" t="s">
        <v>8488</v>
      </c>
      <c r="B7332" t="s">
        <v>8491</v>
      </c>
      <c r="C7332">
        <f>0</f>
        <v>0</v>
      </c>
      <c r="D7332" t="s">
        <v>106</v>
      </c>
      <c r="E7332">
        <v>6.0569715142428704</v>
      </c>
    </row>
    <row r="7333" spans="1:5">
      <c r="A7333" t="s">
        <v>8488</v>
      </c>
      <c r="B7333" t="s">
        <v>8492</v>
      </c>
      <c r="C7333">
        <f>0</f>
        <v>0</v>
      </c>
      <c r="D7333" t="s">
        <v>106</v>
      </c>
      <c r="E7333">
        <v>6.0569715142428704</v>
      </c>
    </row>
    <row r="7334" spans="1:5">
      <c r="A7334" t="s">
        <v>8488</v>
      </c>
      <c r="B7334" t="s">
        <v>8493</v>
      </c>
      <c r="C7334">
        <f>0</f>
        <v>0</v>
      </c>
      <c r="D7334" t="s">
        <v>106</v>
      </c>
      <c r="E7334">
        <v>6.0569715142428704</v>
      </c>
    </row>
    <row r="7335" spans="1:5">
      <c r="A7335" t="s">
        <v>8488</v>
      </c>
      <c r="B7335" t="s">
        <v>8494</v>
      </c>
      <c r="C7335">
        <f>0</f>
        <v>0</v>
      </c>
      <c r="D7335" t="s">
        <v>106</v>
      </c>
      <c r="E7335">
        <v>6.0569715142428704</v>
      </c>
    </row>
    <row r="7336" spans="1:5">
      <c r="A7336" t="s">
        <v>8488</v>
      </c>
      <c r="B7336" t="s">
        <v>8495</v>
      </c>
      <c r="C7336">
        <f>0</f>
        <v>0</v>
      </c>
      <c r="D7336" t="s">
        <v>106</v>
      </c>
      <c r="E7336">
        <v>6.0569715142428704</v>
      </c>
    </row>
    <row r="7337" spans="1:5">
      <c r="A7337" t="s">
        <v>8488</v>
      </c>
      <c r="B7337" t="s">
        <v>8496</v>
      </c>
      <c r="C7337">
        <f>0</f>
        <v>0</v>
      </c>
      <c r="D7337" t="s">
        <v>106</v>
      </c>
      <c r="E7337">
        <v>6.0569715142428704</v>
      </c>
    </row>
    <row r="7338" spans="1:5">
      <c r="A7338" t="s">
        <v>8488</v>
      </c>
      <c r="B7338" t="s">
        <v>8497</v>
      </c>
      <c r="C7338">
        <f>0</f>
        <v>0</v>
      </c>
      <c r="D7338" t="s">
        <v>106</v>
      </c>
      <c r="E7338">
        <v>6.0569715142428704</v>
      </c>
    </row>
    <row r="7339" spans="1:5">
      <c r="A7339" t="s">
        <v>8488</v>
      </c>
      <c r="B7339" t="s">
        <v>8498</v>
      </c>
      <c r="C7339">
        <f>0.0102282928502</f>
        <v>1.0228292850200001E-2</v>
      </c>
      <c r="D7339" t="s">
        <v>106</v>
      </c>
      <c r="E7339">
        <v>6.0569715142428704</v>
      </c>
    </row>
    <row r="7340" spans="1:5">
      <c r="A7340" t="s">
        <v>8488</v>
      </c>
      <c r="B7340" t="s">
        <v>8499</v>
      </c>
      <c r="C7340">
        <f>0</f>
        <v>0</v>
      </c>
      <c r="D7340" t="s">
        <v>106</v>
      </c>
      <c r="E7340">
        <v>6.0569715142428704</v>
      </c>
    </row>
    <row r="7341" spans="1:5">
      <c r="A7341" t="s">
        <v>8500</v>
      </c>
      <c r="B7341" t="s">
        <v>8501</v>
      </c>
      <c r="C7341">
        <v>0.144263613333</v>
      </c>
      <c r="D7341">
        <v>0.64486234735799997</v>
      </c>
      <c r="E7341">
        <v>7.1964017991004496</v>
      </c>
    </row>
    <row r="7342" spans="1:5">
      <c r="A7342" t="s">
        <v>8500</v>
      </c>
      <c r="B7342" t="s">
        <v>8502</v>
      </c>
      <c r="C7342">
        <f>0</f>
        <v>0</v>
      </c>
      <c r="D7342">
        <v>0.64486234735799997</v>
      </c>
      <c r="E7342">
        <v>7.1964017991004496</v>
      </c>
    </row>
    <row r="7343" spans="1:5">
      <c r="A7343" t="s">
        <v>8503</v>
      </c>
      <c r="B7343" t="s">
        <v>8504</v>
      </c>
      <c r="C7343">
        <v>0.120514673839</v>
      </c>
      <c r="D7343">
        <v>0.78824960486899998</v>
      </c>
      <c r="E7343">
        <v>15.700149925037399</v>
      </c>
    </row>
    <row r="7344" spans="1:5">
      <c r="A7344" t="s">
        <v>8505</v>
      </c>
      <c r="B7344" t="s">
        <v>8506</v>
      </c>
      <c r="C7344">
        <v>0.13040902272999999</v>
      </c>
      <c r="D7344">
        <v>0.89909250177300004</v>
      </c>
      <c r="E7344">
        <v>20.7376311844077</v>
      </c>
    </row>
    <row r="7345" spans="1:5">
      <c r="A7345" t="s">
        <v>8505</v>
      </c>
      <c r="B7345" t="s">
        <v>8507</v>
      </c>
      <c r="C7345">
        <v>0</v>
      </c>
      <c r="D7345">
        <v>0.89909250177300004</v>
      </c>
      <c r="E7345">
        <v>20.7376311844077</v>
      </c>
    </row>
    <row r="7346" spans="1:5">
      <c r="A7346" t="s">
        <v>8505</v>
      </c>
      <c r="B7346" t="s">
        <v>8508</v>
      </c>
      <c r="C7346">
        <v>0</v>
      </c>
      <c r="D7346">
        <v>0.89909250177300004</v>
      </c>
      <c r="E7346">
        <v>20.7376311844077</v>
      </c>
    </row>
    <row r="7347" spans="1:5">
      <c r="A7347" t="s">
        <v>8505</v>
      </c>
      <c r="B7347" t="s">
        <v>8509</v>
      </c>
      <c r="C7347">
        <f>0</f>
        <v>0</v>
      </c>
      <c r="D7347">
        <v>0.89909250177300004</v>
      </c>
      <c r="E7347">
        <v>20.7376311844077</v>
      </c>
    </row>
    <row r="7348" spans="1:5">
      <c r="A7348" t="s">
        <v>8505</v>
      </c>
      <c r="B7348" t="s">
        <v>8510</v>
      </c>
      <c r="C7348">
        <v>0</v>
      </c>
      <c r="D7348">
        <v>0.89909250177300004</v>
      </c>
      <c r="E7348">
        <v>20.7376311844077</v>
      </c>
    </row>
    <row r="7349" spans="1:5">
      <c r="A7349" t="s">
        <v>8505</v>
      </c>
      <c r="B7349" t="s">
        <v>8511</v>
      </c>
      <c r="C7349">
        <v>4.6611737059999998E-2</v>
      </c>
      <c r="D7349">
        <v>0.89909250177300004</v>
      </c>
      <c r="E7349">
        <v>20.7376311844077</v>
      </c>
    </row>
    <row r="7350" spans="1:5">
      <c r="A7350" t="s">
        <v>8512</v>
      </c>
      <c r="B7350" t="s">
        <v>8513</v>
      </c>
      <c r="C7350">
        <f>0</f>
        <v>0</v>
      </c>
      <c r="D7350" t="s">
        <v>106</v>
      </c>
      <c r="E7350">
        <v>2.0269865067466202</v>
      </c>
    </row>
    <row r="7351" spans="1:5">
      <c r="A7351" t="s">
        <v>8512</v>
      </c>
      <c r="B7351" t="s">
        <v>8514</v>
      </c>
      <c r="C7351">
        <f>0</f>
        <v>0</v>
      </c>
      <c r="D7351" t="s">
        <v>106</v>
      </c>
      <c r="E7351">
        <v>2.0269865067466202</v>
      </c>
    </row>
    <row r="7352" spans="1:5">
      <c r="A7352" t="s">
        <v>8512</v>
      </c>
      <c r="B7352" t="s">
        <v>8515</v>
      </c>
      <c r="C7352">
        <f>0</f>
        <v>0</v>
      </c>
      <c r="D7352" t="s">
        <v>106</v>
      </c>
      <c r="E7352">
        <v>2.0269865067466202</v>
      </c>
    </row>
    <row r="7353" spans="1:5">
      <c r="A7353" t="s">
        <v>8512</v>
      </c>
      <c r="B7353" t="s">
        <v>8516</v>
      </c>
      <c r="C7353">
        <v>0</v>
      </c>
      <c r="D7353" t="s">
        <v>106</v>
      </c>
      <c r="E7353">
        <v>2.0269865067466202</v>
      </c>
    </row>
    <row r="7354" spans="1:5">
      <c r="A7354" t="s">
        <v>8512</v>
      </c>
      <c r="B7354" t="s">
        <v>8517</v>
      </c>
      <c r="C7354">
        <v>0</v>
      </c>
      <c r="D7354" t="s">
        <v>106</v>
      </c>
      <c r="E7354">
        <v>2.0269865067466202</v>
      </c>
    </row>
    <row r="7355" spans="1:5">
      <c r="A7355" t="s">
        <v>8512</v>
      </c>
      <c r="B7355" t="s">
        <v>8518</v>
      </c>
      <c r="C7355">
        <f>0</f>
        <v>0</v>
      </c>
      <c r="D7355" t="s">
        <v>106</v>
      </c>
      <c r="E7355">
        <v>2.0269865067466202</v>
      </c>
    </row>
    <row r="7356" spans="1:5">
      <c r="A7356" t="s">
        <v>8512</v>
      </c>
      <c r="B7356" t="s">
        <v>8519</v>
      </c>
      <c r="C7356">
        <f>0</f>
        <v>0</v>
      </c>
      <c r="D7356" t="s">
        <v>106</v>
      </c>
      <c r="E7356">
        <v>2.0269865067466202</v>
      </c>
    </row>
    <row r="7357" spans="1:5">
      <c r="A7357" t="s">
        <v>8512</v>
      </c>
      <c r="B7357" t="s">
        <v>8520</v>
      </c>
      <c r="C7357">
        <f>0</f>
        <v>0</v>
      </c>
      <c r="D7357" t="s">
        <v>106</v>
      </c>
      <c r="E7357">
        <v>2.0269865067466202</v>
      </c>
    </row>
    <row r="7358" spans="1:5">
      <c r="A7358" t="s">
        <v>8512</v>
      </c>
      <c r="B7358" t="s">
        <v>8521</v>
      </c>
      <c r="C7358">
        <f>0</f>
        <v>0</v>
      </c>
      <c r="D7358" t="s">
        <v>106</v>
      </c>
      <c r="E7358">
        <v>2.0269865067466202</v>
      </c>
    </row>
    <row r="7359" spans="1:5">
      <c r="A7359" t="s">
        <v>8512</v>
      </c>
      <c r="B7359" t="s">
        <v>8522</v>
      </c>
      <c r="C7359">
        <f>0</f>
        <v>0</v>
      </c>
      <c r="D7359" t="s">
        <v>106</v>
      </c>
      <c r="E7359">
        <v>2.0269865067466202</v>
      </c>
    </row>
    <row r="7360" spans="1:5">
      <c r="A7360" t="s">
        <v>8512</v>
      </c>
      <c r="B7360" t="s">
        <v>8523</v>
      </c>
      <c r="C7360">
        <f>0</f>
        <v>0</v>
      </c>
      <c r="D7360" t="s">
        <v>106</v>
      </c>
      <c r="E7360">
        <v>2.0269865067466202</v>
      </c>
    </row>
    <row r="7361" spans="1:5">
      <c r="A7361" t="s">
        <v>8524</v>
      </c>
      <c r="B7361" t="s">
        <v>8525</v>
      </c>
      <c r="C7361">
        <v>0.40930518886299999</v>
      </c>
      <c r="D7361">
        <v>0.81946083117900004</v>
      </c>
      <c r="E7361">
        <v>3.7781109445277301</v>
      </c>
    </row>
    <row r="7362" spans="1:5">
      <c r="A7362" t="s">
        <v>8526</v>
      </c>
      <c r="B7362" t="s">
        <v>8527</v>
      </c>
      <c r="C7362">
        <f>0</f>
        <v>0</v>
      </c>
      <c r="D7362">
        <v>0.83443498974100005</v>
      </c>
      <c r="E7362">
        <v>0.31184407796101898</v>
      </c>
    </row>
    <row r="7363" spans="1:5">
      <c r="A7363" t="s">
        <v>8526</v>
      </c>
      <c r="B7363" t="s">
        <v>8528</v>
      </c>
      <c r="C7363">
        <v>0.59372200027499999</v>
      </c>
      <c r="D7363">
        <v>0.83443498974100005</v>
      </c>
      <c r="E7363">
        <v>0.31184407796101898</v>
      </c>
    </row>
    <row r="7364" spans="1:5">
      <c r="A7364" t="s">
        <v>8529</v>
      </c>
      <c r="B7364" t="s">
        <v>8530</v>
      </c>
      <c r="C7364">
        <v>0</v>
      </c>
      <c r="D7364">
        <v>0.97629877152800004</v>
      </c>
      <c r="E7364">
        <v>15.316341829085401</v>
      </c>
    </row>
    <row r="7365" spans="1:5">
      <c r="A7365" t="s">
        <v>8529</v>
      </c>
      <c r="B7365" t="s">
        <v>8531</v>
      </c>
      <c r="C7365">
        <f>0</f>
        <v>0</v>
      </c>
      <c r="D7365">
        <v>0.97629877152800004</v>
      </c>
      <c r="E7365">
        <v>15.316341829085401</v>
      </c>
    </row>
    <row r="7366" spans="1:5">
      <c r="A7366" t="s">
        <v>8529</v>
      </c>
      <c r="B7366" t="s">
        <v>8532</v>
      </c>
      <c r="C7366">
        <v>0</v>
      </c>
      <c r="D7366">
        <v>0.97629877152800004</v>
      </c>
      <c r="E7366">
        <v>15.316341829085401</v>
      </c>
    </row>
    <row r="7367" spans="1:5">
      <c r="A7367" t="s">
        <v>8529</v>
      </c>
      <c r="B7367" t="s">
        <v>8533</v>
      </c>
      <c r="C7367">
        <v>0</v>
      </c>
      <c r="D7367">
        <v>0.97629877152800004</v>
      </c>
      <c r="E7367">
        <v>15.316341829085401</v>
      </c>
    </row>
    <row r="7368" spans="1:5">
      <c r="A7368" t="s">
        <v>8529</v>
      </c>
      <c r="B7368" t="s">
        <v>8534</v>
      </c>
      <c r="C7368">
        <v>0.15320255607200001</v>
      </c>
      <c r="D7368">
        <v>0.97629877152800004</v>
      </c>
      <c r="E7368">
        <v>15.316341829085401</v>
      </c>
    </row>
    <row r="7369" spans="1:5">
      <c r="A7369" t="s">
        <v>8529</v>
      </c>
      <c r="B7369" t="s">
        <v>8535</v>
      </c>
      <c r="C7369">
        <v>0</v>
      </c>
      <c r="D7369">
        <v>0.97629877152800004</v>
      </c>
      <c r="E7369">
        <v>15.316341829085401</v>
      </c>
    </row>
    <row r="7370" spans="1:5">
      <c r="A7370" t="s">
        <v>8529</v>
      </c>
      <c r="B7370" t="s">
        <v>8536</v>
      </c>
      <c r="C7370">
        <v>0</v>
      </c>
      <c r="D7370">
        <v>0.97629877152800004</v>
      </c>
      <c r="E7370">
        <v>15.316341829085401</v>
      </c>
    </row>
    <row r="7371" spans="1:5">
      <c r="A7371" t="s">
        <v>8529</v>
      </c>
      <c r="B7371" t="s">
        <v>8537</v>
      </c>
      <c r="C7371">
        <v>0</v>
      </c>
      <c r="D7371">
        <v>0.97629877152800004</v>
      </c>
      <c r="E7371">
        <v>15.316341829085401</v>
      </c>
    </row>
    <row r="7372" spans="1:5">
      <c r="A7372" t="s">
        <v>8529</v>
      </c>
      <c r="B7372" t="s">
        <v>8538</v>
      </c>
      <c r="C7372">
        <f>0</f>
        <v>0</v>
      </c>
      <c r="D7372">
        <v>0.97629877152800004</v>
      </c>
      <c r="E7372">
        <v>15.316341829085401</v>
      </c>
    </row>
    <row r="7373" spans="1:5">
      <c r="A7373" t="s">
        <v>8529</v>
      </c>
      <c r="B7373" t="s">
        <v>8539</v>
      </c>
      <c r="C7373">
        <v>0</v>
      </c>
      <c r="D7373">
        <v>0.97629877152800004</v>
      </c>
      <c r="E7373">
        <v>15.316341829085401</v>
      </c>
    </row>
    <row r="7374" spans="1:5">
      <c r="A7374" t="s">
        <v>8529</v>
      </c>
      <c r="B7374" t="s">
        <v>8540</v>
      </c>
      <c r="C7374">
        <v>0.107027752553</v>
      </c>
      <c r="D7374">
        <v>0.97629877152800004</v>
      </c>
      <c r="E7374">
        <v>15.316341829085401</v>
      </c>
    </row>
    <row r="7375" spans="1:5">
      <c r="A7375" t="s">
        <v>8541</v>
      </c>
      <c r="B7375" t="s">
        <v>8542</v>
      </c>
      <c r="C7375">
        <v>0.17414869230800001</v>
      </c>
      <c r="D7375">
        <v>0.97870967608000004</v>
      </c>
      <c r="E7375">
        <v>18.1349325337331</v>
      </c>
    </row>
    <row r="7376" spans="1:5">
      <c r="A7376" t="s">
        <v>8541</v>
      </c>
      <c r="B7376" t="s">
        <v>8543</v>
      </c>
      <c r="C7376">
        <v>0</v>
      </c>
      <c r="D7376">
        <v>0.97870967608000004</v>
      </c>
      <c r="E7376">
        <v>18.1349325337331</v>
      </c>
    </row>
    <row r="7377" spans="1:5">
      <c r="A7377" t="s">
        <v>8541</v>
      </c>
      <c r="B7377" t="s">
        <v>8544</v>
      </c>
      <c r="C7377">
        <v>0</v>
      </c>
      <c r="D7377">
        <v>0.97870967608000004</v>
      </c>
      <c r="E7377">
        <v>18.1349325337331</v>
      </c>
    </row>
    <row r="7378" spans="1:5">
      <c r="A7378" t="s">
        <v>8541</v>
      </c>
      <c r="B7378" t="s">
        <v>8545</v>
      </c>
      <c r="C7378">
        <v>0</v>
      </c>
      <c r="D7378">
        <v>0.97870967608000004</v>
      </c>
      <c r="E7378">
        <v>18.1349325337331</v>
      </c>
    </row>
    <row r="7379" spans="1:5">
      <c r="A7379" t="s">
        <v>8546</v>
      </c>
      <c r="B7379" t="s">
        <v>8547</v>
      </c>
      <c r="C7379">
        <v>0</v>
      </c>
      <c r="D7379">
        <v>0.99687522282499996</v>
      </c>
      <c r="E7379">
        <v>13.0854572713643</v>
      </c>
    </row>
    <row r="7380" spans="1:5">
      <c r="A7380" t="s">
        <v>8546</v>
      </c>
      <c r="B7380" t="s">
        <v>8548</v>
      </c>
      <c r="C7380">
        <v>0</v>
      </c>
      <c r="D7380">
        <v>0.99687522282499996</v>
      </c>
      <c r="E7380">
        <v>13.0854572713643</v>
      </c>
    </row>
    <row r="7381" spans="1:5">
      <c r="A7381" t="s">
        <v>8546</v>
      </c>
      <c r="B7381" t="s">
        <v>8549</v>
      </c>
      <c r="C7381">
        <f>0</f>
        <v>0</v>
      </c>
      <c r="D7381">
        <v>0.99687522282499996</v>
      </c>
      <c r="E7381">
        <v>13.0854572713643</v>
      </c>
    </row>
    <row r="7382" spans="1:5">
      <c r="A7382" t="s">
        <v>8546</v>
      </c>
      <c r="B7382" t="s">
        <v>8550</v>
      </c>
      <c r="C7382">
        <v>0</v>
      </c>
      <c r="D7382">
        <v>0.99687522282499996</v>
      </c>
      <c r="E7382">
        <v>13.0854572713643</v>
      </c>
    </row>
    <row r="7383" spans="1:5">
      <c r="A7383" t="s">
        <v>8546</v>
      </c>
      <c r="B7383" t="s">
        <v>8551</v>
      </c>
      <c r="C7383">
        <v>0.140822100077</v>
      </c>
      <c r="D7383">
        <v>0.99687522282499996</v>
      </c>
      <c r="E7383">
        <v>13.0854572713643</v>
      </c>
    </row>
    <row r="7384" spans="1:5">
      <c r="A7384" t="s">
        <v>8546</v>
      </c>
      <c r="B7384" t="s">
        <v>8552</v>
      </c>
      <c r="C7384">
        <v>0</v>
      </c>
      <c r="D7384">
        <v>0.99687522282499996</v>
      </c>
      <c r="E7384">
        <v>13.0854572713643</v>
      </c>
    </row>
    <row r="7385" spans="1:5">
      <c r="A7385" t="s">
        <v>8546</v>
      </c>
      <c r="B7385" t="s">
        <v>8553</v>
      </c>
      <c r="C7385">
        <f>0.0945722656831</f>
        <v>9.4572265683099996E-2</v>
      </c>
      <c r="D7385">
        <v>0.99687522282499996</v>
      </c>
      <c r="E7385">
        <v>13.0854572713643</v>
      </c>
    </row>
    <row r="7386" spans="1:5">
      <c r="A7386" t="s">
        <v>8546</v>
      </c>
      <c r="B7386" t="s">
        <v>8554</v>
      </c>
      <c r="C7386">
        <v>0</v>
      </c>
      <c r="D7386">
        <v>0.99687522282499996</v>
      </c>
      <c r="E7386">
        <v>13.0854572713643</v>
      </c>
    </row>
    <row r="7387" spans="1:5">
      <c r="A7387" t="s">
        <v>8546</v>
      </c>
      <c r="B7387" t="s">
        <v>8555</v>
      </c>
      <c r="C7387">
        <v>0</v>
      </c>
      <c r="D7387">
        <v>0.99687522282499996</v>
      </c>
      <c r="E7387">
        <v>13.0854572713643</v>
      </c>
    </row>
    <row r="7388" spans="1:5">
      <c r="A7388" t="s">
        <v>8546</v>
      </c>
      <c r="B7388" t="s">
        <v>8556</v>
      </c>
      <c r="C7388">
        <v>0</v>
      </c>
      <c r="D7388">
        <v>0.99687522282499996</v>
      </c>
      <c r="E7388">
        <v>13.0854572713643</v>
      </c>
    </row>
    <row r="7389" spans="1:5">
      <c r="A7389" t="s">
        <v>8557</v>
      </c>
      <c r="B7389" t="s">
        <v>8558</v>
      </c>
      <c r="C7389">
        <f>0.0427859034677</f>
        <v>4.2785903467699997E-2</v>
      </c>
      <c r="D7389">
        <v>0.86391631704500005</v>
      </c>
      <c r="E7389">
        <v>13.0854572713643</v>
      </c>
    </row>
    <row r="7390" spans="1:5">
      <c r="A7390" t="s">
        <v>8557</v>
      </c>
      <c r="B7390" t="s">
        <v>8559</v>
      </c>
      <c r="C7390">
        <v>0</v>
      </c>
      <c r="D7390">
        <v>0.86391631704500005</v>
      </c>
      <c r="E7390">
        <v>13.0854572713643</v>
      </c>
    </row>
    <row r="7391" spans="1:5">
      <c r="A7391" t="s">
        <v>8557</v>
      </c>
      <c r="B7391" t="s">
        <v>8560</v>
      </c>
      <c r="C7391">
        <f>0.000688674380459</f>
        <v>6.8867438045900004E-4</v>
      </c>
      <c r="D7391">
        <v>0.86391631704500005</v>
      </c>
      <c r="E7391">
        <v>13.0854572713643</v>
      </c>
    </row>
    <row r="7392" spans="1:5">
      <c r="A7392" t="s">
        <v>8557</v>
      </c>
      <c r="B7392" t="s">
        <v>8561</v>
      </c>
      <c r="C7392">
        <f>0</f>
        <v>0</v>
      </c>
      <c r="D7392">
        <v>0.86391631704500005</v>
      </c>
      <c r="E7392">
        <v>13.0854572713643</v>
      </c>
    </row>
    <row r="7393" spans="1:5">
      <c r="A7393" t="s">
        <v>8557</v>
      </c>
      <c r="B7393" t="s">
        <v>8562</v>
      </c>
      <c r="C7393">
        <v>0</v>
      </c>
      <c r="D7393">
        <v>0.86391631704500005</v>
      </c>
      <c r="E7393">
        <v>13.0854572713643</v>
      </c>
    </row>
    <row r="7394" spans="1:5">
      <c r="A7394" t="s">
        <v>8557</v>
      </c>
      <c r="B7394" t="s">
        <v>8563</v>
      </c>
      <c r="C7394">
        <v>0</v>
      </c>
      <c r="D7394">
        <v>0.86391631704500005</v>
      </c>
      <c r="E7394">
        <v>13.0854572713643</v>
      </c>
    </row>
    <row r="7395" spans="1:5">
      <c r="A7395" t="s">
        <v>8557</v>
      </c>
      <c r="B7395" t="s">
        <v>8564</v>
      </c>
      <c r="C7395">
        <f>0</f>
        <v>0</v>
      </c>
      <c r="D7395">
        <v>0.86391631704500005</v>
      </c>
      <c r="E7395">
        <v>13.0854572713643</v>
      </c>
    </row>
    <row r="7396" spans="1:5">
      <c r="A7396" t="s">
        <v>8557</v>
      </c>
      <c r="B7396" t="s">
        <v>8565</v>
      </c>
      <c r="C7396">
        <f>0</f>
        <v>0</v>
      </c>
      <c r="D7396">
        <v>0.86391631704500005</v>
      </c>
      <c r="E7396">
        <v>13.0854572713643</v>
      </c>
    </row>
    <row r="7397" spans="1:5">
      <c r="A7397" t="s">
        <v>8557</v>
      </c>
      <c r="B7397" t="s">
        <v>8566</v>
      </c>
      <c r="C7397">
        <f>0</f>
        <v>0</v>
      </c>
      <c r="D7397">
        <v>0.86391631704500005</v>
      </c>
      <c r="E7397">
        <v>13.0854572713643</v>
      </c>
    </row>
    <row r="7398" spans="1:5">
      <c r="A7398" t="s">
        <v>8567</v>
      </c>
      <c r="B7398" t="s">
        <v>8568</v>
      </c>
      <c r="C7398">
        <v>0</v>
      </c>
      <c r="D7398" t="s">
        <v>106</v>
      </c>
      <c r="E7398">
        <v>15.316341829085401</v>
      </c>
    </row>
    <row r="7399" spans="1:5">
      <c r="A7399" t="s">
        <v>8567</v>
      </c>
      <c r="B7399" t="s">
        <v>8569</v>
      </c>
      <c r="C7399">
        <v>0</v>
      </c>
      <c r="D7399" t="s">
        <v>106</v>
      </c>
      <c r="E7399">
        <v>15.316341829085401</v>
      </c>
    </row>
    <row r="7400" spans="1:5">
      <c r="A7400" t="s">
        <v>8570</v>
      </c>
      <c r="B7400" t="s">
        <v>8571</v>
      </c>
      <c r="C7400">
        <v>0</v>
      </c>
      <c r="D7400">
        <v>0.81671409951700003</v>
      </c>
      <c r="E7400">
        <v>7.1964017991004496</v>
      </c>
    </row>
    <row r="7401" spans="1:5">
      <c r="A7401" t="s">
        <v>8570</v>
      </c>
      <c r="B7401" t="s">
        <v>8572</v>
      </c>
      <c r="C7401">
        <v>0</v>
      </c>
      <c r="D7401">
        <v>0.81671409951700003</v>
      </c>
      <c r="E7401">
        <v>7.1964017991004496</v>
      </c>
    </row>
    <row r="7402" spans="1:5">
      <c r="A7402" t="s">
        <v>8570</v>
      </c>
      <c r="B7402" t="s">
        <v>8573</v>
      </c>
      <c r="C7402">
        <v>0</v>
      </c>
      <c r="D7402">
        <v>0.81671409951700003</v>
      </c>
      <c r="E7402">
        <v>7.1964017991004496</v>
      </c>
    </row>
    <row r="7403" spans="1:5">
      <c r="A7403" t="s">
        <v>8570</v>
      </c>
      <c r="B7403" t="s">
        <v>8574</v>
      </c>
      <c r="C7403">
        <v>0</v>
      </c>
      <c r="D7403">
        <v>0.81671409951700003</v>
      </c>
      <c r="E7403">
        <v>7.1964017991004496</v>
      </c>
    </row>
    <row r="7404" spans="1:5">
      <c r="A7404" t="s">
        <v>8570</v>
      </c>
      <c r="B7404" t="s">
        <v>8575</v>
      </c>
      <c r="C7404">
        <v>0.196451383555</v>
      </c>
      <c r="D7404">
        <v>0.81671409951700003</v>
      </c>
      <c r="E7404">
        <v>7.1964017991004496</v>
      </c>
    </row>
    <row r="7405" spans="1:5">
      <c r="A7405" t="s">
        <v>8576</v>
      </c>
      <c r="B7405" t="s">
        <v>8577</v>
      </c>
      <c r="C7405">
        <f>0</f>
        <v>0</v>
      </c>
      <c r="D7405" t="s">
        <v>106</v>
      </c>
      <c r="E7405">
        <v>4.2698650674662604</v>
      </c>
    </row>
    <row r="7406" spans="1:5">
      <c r="A7406" t="s">
        <v>8578</v>
      </c>
      <c r="B7406" t="s">
        <v>8579</v>
      </c>
      <c r="C7406">
        <v>0.55846518676199997</v>
      </c>
      <c r="D7406">
        <v>0.99865550983899998</v>
      </c>
      <c r="E7406">
        <v>8.0119940029985006</v>
      </c>
    </row>
    <row r="7407" spans="1:5">
      <c r="A7407" t="s">
        <v>8578</v>
      </c>
      <c r="B7407" t="s">
        <v>8580</v>
      </c>
      <c r="C7407">
        <f>0.0639954734319</f>
        <v>6.3995473431899999E-2</v>
      </c>
      <c r="D7407">
        <v>0.99865550983899998</v>
      </c>
      <c r="E7407">
        <v>8.0119940029985006</v>
      </c>
    </row>
    <row r="7408" spans="1:5">
      <c r="A7408" t="s">
        <v>8581</v>
      </c>
      <c r="B7408" t="s">
        <v>8582</v>
      </c>
      <c r="C7408">
        <f>0.104030817949</f>
        <v>0.104030817949</v>
      </c>
      <c r="D7408">
        <v>0.67462332849499995</v>
      </c>
      <c r="E7408">
        <v>17.919040479760099</v>
      </c>
    </row>
    <row r="7409" spans="1:5">
      <c r="A7409" t="s">
        <v>8583</v>
      </c>
      <c r="B7409" t="s">
        <v>8584</v>
      </c>
      <c r="C7409">
        <v>0</v>
      </c>
      <c r="D7409" t="s">
        <v>106</v>
      </c>
      <c r="E7409">
        <v>14.3688155922038</v>
      </c>
    </row>
    <row r="7410" spans="1:5">
      <c r="A7410" t="s">
        <v>8583</v>
      </c>
      <c r="B7410" t="s">
        <v>8585</v>
      </c>
      <c r="C7410">
        <v>0</v>
      </c>
      <c r="D7410" t="s">
        <v>106</v>
      </c>
      <c r="E7410">
        <v>14.3688155922038</v>
      </c>
    </row>
    <row r="7411" spans="1:5">
      <c r="A7411" t="s">
        <v>8583</v>
      </c>
      <c r="B7411" t="s">
        <v>8586</v>
      </c>
      <c r="C7411">
        <v>0</v>
      </c>
      <c r="D7411" t="s">
        <v>106</v>
      </c>
      <c r="E7411">
        <v>14.3688155922038</v>
      </c>
    </row>
    <row r="7412" spans="1:5">
      <c r="A7412" t="s">
        <v>8583</v>
      </c>
      <c r="B7412" t="s">
        <v>8587</v>
      </c>
      <c r="C7412">
        <v>0</v>
      </c>
      <c r="D7412" t="s">
        <v>106</v>
      </c>
      <c r="E7412">
        <v>14.3688155922038</v>
      </c>
    </row>
    <row r="7413" spans="1:5">
      <c r="A7413" t="s">
        <v>8583</v>
      </c>
      <c r="B7413" t="s">
        <v>8588</v>
      </c>
      <c r="C7413">
        <v>0</v>
      </c>
      <c r="D7413" t="s">
        <v>106</v>
      </c>
      <c r="E7413">
        <v>14.3688155922038</v>
      </c>
    </row>
    <row r="7414" spans="1:5">
      <c r="A7414" t="s">
        <v>8583</v>
      </c>
      <c r="B7414" t="s">
        <v>8589</v>
      </c>
      <c r="C7414">
        <v>0</v>
      </c>
      <c r="D7414" t="s">
        <v>106</v>
      </c>
      <c r="E7414">
        <v>14.3688155922038</v>
      </c>
    </row>
    <row r="7415" spans="1:5">
      <c r="A7415" t="s">
        <v>8583</v>
      </c>
      <c r="B7415" t="s">
        <v>8590</v>
      </c>
      <c r="C7415">
        <v>0</v>
      </c>
      <c r="D7415" t="s">
        <v>106</v>
      </c>
      <c r="E7415">
        <v>14.3688155922038</v>
      </c>
    </row>
    <row r="7416" spans="1:5">
      <c r="A7416" t="s">
        <v>8583</v>
      </c>
      <c r="B7416" t="s">
        <v>8591</v>
      </c>
      <c r="C7416">
        <f>0</f>
        <v>0</v>
      </c>
      <c r="D7416" t="s">
        <v>106</v>
      </c>
      <c r="E7416">
        <v>14.3688155922038</v>
      </c>
    </row>
    <row r="7417" spans="1:5">
      <c r="A7417" t="s">
        <v>8583</v>
      </c>
      <c r="B7417" t="s">
        <v>8592</v>
      </c>
      <c r="C7417">
        <v>0</v>
      </c>
      <c r="D7417" t="s">
        <v>106</v>
      </c>
      <c r="E7417">
        <v>14.3688155922038</v>
      </c>
    </row>
    <row r="7418" spans="1:5">
      <c r="A7418" t="s">
        <v>8583</v>
      </c>
      <c r="B7418" t="s">
        <v>8593</v>
      </c>
      <c r="C7418">
        <v>0</v>
      </c>
      <c r="D7418" t="s">
        <v>106</v>
      </c>
      <c r="E7418">
        <v>14.3688155922038</v>
      </c>
    </row>
    <row r="7419" spans="1:5">
      <c r="A7419" t="s">
        <v>8583</v>
      </c>
      <c r="B7419" t="s">
        <v>8594</v>
      </c>
      <c r="C7419">
        <v>0</v>
      </c>
      <c r="D7419" t="s">
        <v>106</v>
      </c>
      <c r="E7419">
        <v>14.3688155922038</v>
      </c>
    </row>
    <row r="7420" spans="1:5">
      <c r="A7420" t="s">
        <v>8583</v>
      </c>
      <c r="B7420" t="s">
        <v>8595</v>
      </c>
      <c r="C7420">
        <f>0</f>
        <v>0</v>
      </c>
      <c r="D7420" t="s">
        <v>106</v>
      </c>
      <c r="E7420">
        <v>14.3688155922038</v>
      </c>
    </row>
    <row r="7421" spans="1:5">
      <c r="A7421" t="s">
        <v>8583</v>
      </c>
      <c r="B7421" t="s">
        <v>8596</v>
      </c>
      <c r="C7421">
        <f>0</f>
        <v>0</v>
      </c>
      <c r="D7421" t="s">
        <v>106</v>
      </c>
      <c r="E7421">
        <v>14.3688155922038</v>
      </c>
    </row>
    <row r="7422" spans="1:5">
      <c r="A7422" t="s">
        <v>8583</v>
      </c>
      <c r="B7422" t="s">
        <v>8597</v>
      </c>
      <c r="C7422">
        <v>0</v>
      </c>
      <c r="D7422" t="s">
        <v>106</v>
      </c>
      <c r="E7422">
        <v>14.3688155922038</v>
      </c>
    </row>
    <row r="7423" spans="1:5">
      <c r="A7423" t="s">
        <v>8598</v>
      </c>
      <c r="B7423" t="s">
        <v>8599</v>
      </c>
      <c r="C7423">
        <f>0</f>
        <v>0</v>
      </c>
      <c r="D7423" t="s">
        <v>106</v>
      </c>
      <c r="E7423">
        <v>24</v>
      </c>
    </row>
    <row r="7424" spans="1:5">
      <c r="A7424" t="s">
        <v>8598</v>
      </c>
      <c r="B7424" t="s">
        <v>8600</v>
      </c>
      <c r="C7424">
        <v>0.105233787806</v>
      </c>
      <c r="D7424" t="s">
        <v>106</v>
      </c>
      <c r="E7424">
        <v>24</v>
      </c>
    </row>
    <row r="7425" spans="1:5">
      <c r="A7425" t="s">
        <v>8598</v>
      </c>
      <c r="B7425" t="s">
        <v>8601</v>
      </c>
      <c r="C7425">
        <v>0</v>
      </c>
      <c r="D7425" t="s">
        <v>106</v>
      </c>
      <c r="E7425">
        <v>24</v>
      </c>
    </row>
    <row r="7426" spans="1:5">
      <c r="A7426" t="s">
        <v>8598</v>
      </c>
      <c r="B7426" t="s">
        <v>8602</v>
      </c>
      <c r="C7426">
        <v>4.5097457109899999E-2</v>
      </c>
      <c r="D7426" t="s">
        <v>106</v>
      </c>
      <c r="E7426">
        <v>24</v>
      </c>
    </row>
    <row r="7427" spans="1:5">
      <c r="A7427" t="s">
        <v>8603</v>
      </c>
      <c r="B7427" t="s">
        <v>8604</v>
      </c>
      <c r="C7427">
        <f>0.00486347100468</f>
        <v>4.8634710046799997E-3</v>
      </c>
      <c r="D7427">
        <v>0.93358349362500004</v>
      </c>
      <c r="E7427">
        <v>24</v>
      </c>
    </row>
    <row r="7428" spans="1:5">
      <c r="A7428" t="s">
        <v>8605</v>
      </c>
      <c r="B7428" t="s">
        <v>8606</v>
      </c>
      <c r="C7428">
        <v>0.31415035304700001</v>
      </c>
      <c r="D7428">
        <v>0.98844690587600004</v>
      </c>
      <c r="E7428">
        <v>9.9190404797601204</v>
      </c>
    </row>
    <row r="7429" spans="1:5">
      <c r="A7429" t="s">
        <v>8605</v>
      </c>
      <c r="B7429" t="s">
        <v>8607</v>
      </c>
      <c r="C7429">
        <v>9.7802777923500006E-2</v>
      </c>
      <c r="D7429">
        <v>0.98844690587600004</v>
      </c>
      <c r="E7429">
        <v>9.9190404797601204</v>
      </c>
    </row>
    <row r="7430" spans="1:5">
      <c r="A7430" t="s">
        <v>8605</v>
      </c>
      <c r="B7430" t="s">
        <v>8608</v>
      </c>
      <c r="C7430">
        <v>0</v>
      </c>
      <c r="D7430">
        <v>0.98844690587600004</v>
      </c>
      <c r="E7430">
        <v>9.9190404797601204</v>
      </c>
    </row>
    <row r="7431" spans="1:5">
      <c r="A7431" t="s">
        <v>8605</v>
      </c>
      <c r="B7431" t="s">
        <v>8609</v>
      </c>
      <c r="C7431">
        <v>0</v>
      </c>
      <c r="D7431">
        <v>0.98844690587600004</v>
      </c>
      <c r="E7431">
        <v>9.9190404797601204</v>
      </c>
    </row>
    <row r="7432" spans="1:5">
      <c r="A7432" t="s">
        <v>8605</v>
      </c>
      <c r="B7432" t="s">
        <v>8610</v>
      </c>
      <c r="C7432">
        <f>0</f>
        <v>0</v>
      </c>
      <c r="D7432">
        <v>0.98844690587600004</v>
      </c>
      <c r="E7432">
        <v>9.9190404797601204</v>
      </c>
    </row>
    <row r="7433" spans="1:5">
      <c r="A7433" t="s">
        <v>8605</v>
      </c>
      <c r="B7433" t="s">
        <v>8611</v>
      </c>
      <c r="C7433">
        <v>0</v>
      </c>
      <c r="D7433">
        <v>0.98844690587600004</v>
      </c>
      <c r="E7433">
        <v>9.9190404797601204</v>
      </c>
    </row>
    <row r="7434" spans="1:5">
      <c r="A7434" t="s">
        <v>8605</v>
      </c>
      <c r="B7434" t="s">
        <v>8612</v>
      </c>
      <c r="C7434">
        <v>0</v>
      </c>
      <c r="D7434">
        <v>0.98844690587600004</v>
      </c>
      <c r="E7434">
        <v>9.9190404797601204</v>
      </c>
    </row>
    <row r="7435" spans="1:5">
      <c r="A7435" t="s">
        <v>8605</v>
      </c>
      <c r="B7435" t="s">
        <v>8613</v>
      </c>
      <c r="C7435">
        <v>0</v>
      </c>
      <c r="D7435">
        <v>0.98844690587600004</v>
      </c>
      <c r="E7435">
        <v>9.9190404797601204</v>
      </c>
    </row>
    <row r="7436" spans="1:5">
      <c r="A7436" t="s">
        <v>8605</v>
      </c>
      <c r="B7436" t="s">
        <v>8614</v>
      </c>
      <c r="C7436">
        <v>0</v>
      </c>
      <c r="D7436">
        <v>0.98844690587600004</v>
      </c>
      <c r="E7436">
        <v>9.9190404797601204</v>
      </c>
    </row>
    <row r="7437" spans="1:5">
      <c r="A7437" t="s">
        <v>8605</v>
      </c>
      <c r="B7437" t="s">
        <v>8615</v>
      </c>
      <c r="C7437">
        <v>0</v>
      </c>
      <c r="D7437">
        <v>0.98844690587600004</v>
      </c>
      <c r="E7437">
        <v>9.9190404797601204</v>
      </c>
    </row>
    <row r="7438" spans="1:5">
      <c r="A7438" t="s">
        <v>8616</v>
      </c>
      <c r="B7438" t="s">
        <v>8617</v>
      </c>
      <c r="C7438">
        <f>0</f>
        <v>0</v>
      </c>
      <c r="D7438">
        <v>0.95664271178899996</v>
      </c>
      <c r="E7438">
        <v>9.4632683658170897</v>
      </c>
    </row>
    <row r="7439" spans="1:5">
      <c r="A7439" t="s">
        <v>8616</v>
      </c>
      <c r="B7439" t="s">
        <v>8618</v>
      </c>
      <c r="C7439">
        <v>2.4960548338500001E-3</v>
      </c>
      <c r="D7439">
        <v>0.95664271178899996</v>
      </c>
      <c r="E7439">
        <v>9.4632683658170897</v>
      </c>
    </row>
    <row r="7440" spans="1:5">
      <c r="A7440" t="s">
        <v>8616</v>
      </c>
      <c r="B7440" t="s">
        <v>8619</v>
      </c>
      <c r="C7440">
        <v>0</v>
      </c>
      <c r="D7440">
        <v>0.95664271178899996</v>
      </c>
      <c r="E7440">
        <v>9.4632683658170897</v>
      </c>
    </row>
    <row r="7441" spans="1:5">
      <c r="A7441" t="s">
        <v>8616</v>
      </c>
      <c r="B7441" t="s">
        <v>8620</v>
      </c>
      <c r="C7441">
        <v>3.2213513375200002E-2</v>
      </c>
      <c r="D7441">
        <v>0.95664271178899996</v>
      </c>
      <c r="E7441">
        <v>9.4632683658170897</v>
      </c>
    </row>
    <row r="7442" spans="1:5">
      <c r="A7442" t="s">
        <v>8616</v>
      </c>
      <c r="B7442" t="s">
        <v>8621</v>
      </c>
      <c r="C7442">
        <v>0</v>
      </c>
      <c r="D7442">
        <v>0.95664271178899996</v>
      </c>
      <c r="E7442">
        <v>9.4632683658170897</v>
      </c>
    </row>
    <row r="7443" spans="1:5">
      <c r="A7443" t="s">
        <v>8616</v>
      </c>
      <c r="B7443" t="s">
        <v>8622</v>
      </c>
      <c r="C7443">
        <f>0</f>
        <v>0</v>
      </c>
      <c r="D7443">
        <v>0.95664271178899996</v>
      </c>
      <c r="E7443">
        <v>9.4632683658170897</v>
      </c>
    </row>
    <row r="7444" spans="1:5">
      <c r="A7444" t="s">
        <v>8616</v>
      </c>
      <c r="B7444" t="s">
        <v>8623</v>
      </c>
      <c r="C7444">
        <v>0</v>
      </c>
      <c r="D7444">
        <v>0.95664271178899996</v>
      </c>
      <c r="E7444">
        <v>9.4632683658170897</v>
      </c>
    </row>
    <row r="7445" spans="1:5">
      <c r="A7445" t="s">
        <v>8616</v>
      </c>
      <c r="B7445" t="s">
        <v>8624</v>
      </c>
      <c r="C7445">
        <v>0</v>
      </c>
      <c r="D7445">
        <v>0.95664271178899996</v>
      </c>
      <c r="E7445">
        <v>9.4632683658170897</v>
      </c>
    </row>
    <row r="7446" spans="1:5">
      <c r="A7446" t="s">
        <v>8625</v>
      </c>
      <c r="B7446" t="s">
        <v>8626</v>
      </c>
      <c r="C7446">
        <v>0</v>
      </c>
      <c r="D7446">
        <v>0.99873630197899999</v>
      </c>
      <c r="E7446">
        <v>8.5757121439280297</v>
      </c>
    </row>
    <row r="7447" spans="1:5">
      <c r="A7447" t="s">
        <v>8625</v>
      </c>
      <c r="B7447" t="s">
        <v>8627</v>
      </c>
      <c r="C7447">
        <f>0</f>
        <v>0</v>
      </c>
      <c r="D7447">
        <v>0.99873630197899999</v>
      </c>
      <c r="E7447">
        <v>8.5757121439280297</v>
      </c>
    </row>
    <row r="7448" spans="1:5">
      <c r="A7448" t="s">
        <v>8625</v>
      </c>
      <c r="B7448" t="s">
        <v>8628</v>
      </c>
      <c r="C7448">
        <v>0.32921712213299997</v>
      </c>
      <c r="D7448">
        <v>0.99873630197899999</v>
      </c>
      <c r="E7448">
        <v>8.5757121439280297</v>
      </c>
    </row>
    <row r="7449" spans="1:5">
      <c r="A7449" t="s">
        <v>8625</v>
      </c>
      <c r="B7449" t="s">
        <v>8629</v>
      </c>
      <c r="C7449">
        <v>0.16480913220499999</v>
      </c>
      <c r="D7449">
        <v>0.99873630197899999</v>
      </c>
      <c r="E7449">
        <v>8.5757121439280297</v>
      </c>
    </row>
    <row r="7450" spans="1:5">
      <c r="A7450" t="s">
        <v>8625</v>
      </c>
      <c r="B7450" t="s">
        <v>8630</v>
      </c>
      <c r="C7450">
        <v>0</v>
      </c>
      <c r="D7450">
        <v>0.99873630197899999</v>
      </c>
      <c r="E7450">
        <v>8.5757121439280297</v>
      </c>
    </row>
    <row r="7451" spans="1:5">
      <c r="A7451" t="s">
        <v>8625</v>
      </c>
      <c r="B7451" t="s">
        <v>8631</v>
      </c>
      <c r="C7451">
        <v>0</v>
      </c>
      <c r="D7451">
        <v>0.99873630197899999</v>
      </c>
      <c r="E7451">
        <v>8.5757121439280297</v>
      </c>
    </row>
    <row r="7452" spans="1:5">
      <c r="A7452" t="s">
        <v>8625</v>
      </c>
      <c r="B7452" t="s">
        <v>8632</v>
      </c>
      <c r="C7452">
        <v>0</v>
      </c>
      <c r="D7452">
        <v>0.99873630197899999</v>
      </c>
      <c r="E7452">
        <v>8.5757121439280297</v>
      </c>
    </row>
    <row r="7453" spans="1:5">
      <c r="A7453" t="s">
        <v>8633</v>
      </c>
      <c r="B7453" t="s">
        <v>8634</v>
      </c>
      <c r="C7453">
        <v>0</v>
      </c>
      <c r="D7453" t="s">
        <v>106</v>
      </c>
      <c r="E7453">
        <v>6.5487256371814002</v>
      </c>
    </row>
    <row r="7454" spans="1:5">
      <c r="A7454" t="s">
        <v>8633</v>
      </c>
      <c r="B7454" t="s">
        <v>8635</v>
      </c>
      <c r="C7454">
        <v>0</v>
      </c>
      <c r="D7454" t="s">
        <v>106</v>
      </c>
      <c r="E7454">
        <v>6.5487256371814002</v>
      </c>
    </row>
    <row r="7455" spans="1:5">
      <c r="A7455" t="s">
        <v>8633</v>
      </c>
      <c r="B7455" t="s">
        <v>8636</v>
      </c>
      <c r="C7455">
        <f>0</f>
        <v>0</v>
      </c>
      <c r="D7455" t="s">
        <v>106</v>
      </c>
      <c r="E7455">
        <v>6.5487256371814002</v>
      </c>
    </row>
    <row r="7456" spans="1:5">
      <c r="A7456" t="s">
        <v>8633</v>
      </c>
      <c r="B7456" t="s">
        <v>8637</v>
      </c>
      <c r="C7456">
        <f>0</f>
        <v>0</v>
      </c>
      <c r="D7456" t="s">
        <v>106</v>
      </c>
      <c r="E7456">
        <v>6.5487256371814002</v>
      </c>
    </row>
    <row r="7457" spans="1:5">
      <c r="A7457" t="s">
        <v>8633</v>
      </c>
      <c r="B7457" t="s">
        <v>8638</v>
      </c>
      <c r="C7457">
        <v>0</v>
      </c>
      <c r="D7457" t="s">
        <v>106</v>
      </c>
      <c r="E7457">
        <v>6.5487256371814002</v>
      </c>
    </row>
    <row r="7458" spans="1:5">
      <c r="A7458" t="s">
        <v>8633</v>
      </c>
      <c r="B7458" t="s">
        <v>8639</v>
      </c>
      <c r="C7458">
        <f>0</f>
        <v>0</v>
      </c>
      <c r="D7458" t="s">
        <v>106</v>
      </c>
      <c r="E7458">
        <v>6.5487256371814002</v>
      </c>
    </row>
    <row r="7459" spans="1:5">
      <c r="A7459" t="s">
        <v>8633</v>
      </c>
      <c r="B7459" t="s">
        <v>8640</v>
      </c>
      <c r="C7459">
        <v>0</v>
      </c>
      <c r="D7459" t="s">
        <v>106</v>
      </c>
      <c r="E7459">
        <v>6.5487256371814002</v>
      </c>
    </row>
    <row r="7460" spans="1:5">
      <c r="A7460" t="s">
        <v>8633</v>
      </c>
      <c r="B7460" t="s">
        <v>8641</v>
      </c>
      <c r="C7460">
        <f>0</f>
        <v>0</v>
      </c>
      <c r="D7460" t="s">
        <v>106</v>
      </c>
      <c r="E7460">
        <v>6.5487256371814002</v>
      </c>
    </row>
    <row r="7461" spans="1:5">
      <c r="A7461" t="s">
        <v>8633</v>
      </c>
      <c r="B7461" t="s">
        <v>8642</v>
      </c>
      <c r="C7461">
        <f>0</f>
        <v>0</v>
      </c>
      <c r="D7461" t="s">
        <v>106</v>
      </c>
      <c r="E7461">
        <v>6.5487256371814002</v>
      </c>
    </row>
    <row r="7462" spans="1:5">
      <c r="A7462" t="s">
        <v>8633</v>
      </c>
      <c r="B7462" t="s">
        <v>8643</v>
      </c>
      <c r="C7462">
        <f>0.00248478220954</f>
        <v>2.48478220954E-3</v>
      </c>
      <c r="D7462" t="s">
        <v>106</v>
      </c>
      <c r="E7462">
        <v>6.5487256371814002</v>
      </c>
    </row>
    <row r="7463" spans="1:5">
      <c r="A7463" t="s">
        <v>8633</v>
      </c>
      <c r="B7463" t="s">
        <v>8644</v>
      </c>
      <c r="C7463">
        <f>0.010845830636</f>
        <v>1.0845830636E-2</v>
      </c>
      <c r="D7463" t="s">
        <v>106</v>
      </c>
      <c r="E7463">
        <v>6.5487256371814002</v>
      </c>
    </row>
    <row r="7464" spans="1:5">
      <c r="A7464" t="s">
        <v>8645</v>
      </c>
      <c r="B7464" t="s">
        <v>8646</v>
      </c>
      <c r="C7464">
        <f>0</f>
        <v>0</v>
      </c>
      <c r="D7464">
        <v>0.88639052513700001</v>
      </c>
      <c r="E7464">
        <v>4.3778110944527704</v>
      </c>
    </row>
    <row r="7465" spans="1:5">
      <c r="A7465" t="s">
        <v>8645</v>
      </c>
      <c r="B7465" t="s">
        <v>8647</v>
      </c>
      <c r="C7465">
        <v>0</v>
      </c>
      <c r="D7465">
        <v>0.88639052513700001</v>
      </c>
      <c r="E7465">
        <v>4.3778110944527704</v>
      </c>
    </row>
    <row r="7466" spans="1:5">
      <c r="A7466" t="s">
        <v>8645</v>
      </c>
      <c r="B7466" t="s">
        <v>8648</v>
      </c>
      <c r="C7466">
        <v>0.14187000246199999</v>
      </c>
      <c r="D7466">
        <v>0.88639052513700001</v>
      </c>
      <c r="E7466">
        <v>4.3778110944527704</v>
      </c>
    </row>
    <row r="7467" spans="1:5">
      <c r="A7467" t="s">
        <v>8645</v>
      </c>
      <c r="B7467" t="s">
        <v>8649</v>
      </c>
      <c r="C7467">
        <v>0.12238991908999999</v>
      </c>
      <c r="D7467">
        <v>0.88639052513700001</v>
      </c>
      <c r="E7467">
        <v>4.3778110944527704</v>
      </c>
    </row>
    <row r="7468" spans="1:5">
      <c r="A7468" t="s">
        <v>8645</v>
      </c>
      <c r="B7468" t="s">
        <v>8650</v>
      </c>
      <c r="C7468">
        <v>0</v>
      </c>
      <c r="D7468">
        <v>0.88639052513700001</v>
      </c>
      <c r="E7468">
        <v>4.3778110944527704</v>
      </c>
    </row>
    <row r="7469" spans="1:5">
      <c r="A7469" t="s">
        <v>8645</v>
      </c>
      <c r="B7469" t="s">
        <v>8651</v>
      </c>
      <c r="C7469">
        <f>0</f>
        <v>0</v>
      </c>
      <c r="D7469">
        <v>0.88639052513700001</v>
      </c>
      <c r="E7469">
        <v>4.3778110944527704</v>
      </c>
    </row>
    <row r="7470" spans="1:5">
      <c r="A7470" t="s">
        <v>8652</v>
      </c>
      <c r="B7470" t="s">
        <v>8653</v>
      </c>
      <c r="C7470">
        <f>0.125504302085</f>
        <v>0.12550430208499999</v>
      </c>
      <c r="D7470" t="s">
        <v>106</v>
      </c>
      <c r="E7470">
        <v>24</v>
      </c>
    </row>
    <row r="7471" spans="1:5">
      <c r="A7471" t="s">
        <v>8652</v>
      </c>
      <c r="B7471" t="s">
        <v>8654</v>
      </c>
      <c r="C7471">
        <v>0</v>
      </c>
      <c r="D7471" t="s">
        <v>106</v>
      </c>
      <c r="E7471">
        <v>24</v>
      </c>
    </row>
    <row r="7472" spans="1:5">
      <c r="A7472" t="s">
        <v>8652</v>
      </c>
      <c r="B7472" t="s">
        <v>8655</v>
      </c>
      <c r="C7472">
        <f>0</f>
        <v>0</v>
      </c>
      <c r="D7472" t="s">
        <v>106</v>
      </c>
      <c r="E7472">
        <v>24</v>
      </c>
    </row>
    <row r="7473" spans="1:5">
      <c r="A7473" t="s">
        <v>8652</v>
      </c>
      <c r="B7473" t="s">
        <v>8656</v>
      </c>
      <c r="C7473">
        <v>5.7896937018900002E-2</v>
      </c>
      <c r="D7473" t="s">
        <v>106</v>
      </c>
      <c r="E7473">
        <v>24</v>
      </c>
    </row>
    <row r="7474" spans="1:5">
      <c r="A7474" t="s">
        <v>8652</v>
      </c>
      <c r="B7474" t="s">
        <v>8657</v>
      </c>
      <c r="C7474">
        <f>0</f>
        <v>0</v>
      </c>
      <c r="D7474" t="s">
        <v>106</v>
      </c>
      <c r="E7474">
        <v>24</v>
      </c>
    </row>
    <row r="7475" spans="1:5">
      <c r="A7475" t="s">
        <v>8658</v>
      </c>
      <c r="B7475" t="s">
        <v>8659</v>
      </c>
      <c r="C7475">
        <v>0.23764848781799999</v>
      </c>
      <c r="D7475">
        <v>0.99396986089399997</v>
      </c>
      <c r="E7475">
        <v>14.3688155922038</v>
      </c>
    </row>
    <row r="7476" spans="1:5">
      <c r="A7476" t="s">
        <v>8658</v>
      </c>
      <c r="B7476" t="s">
        <v>8660</v>
      </c>
      <c r="C7476">
        <v>0</v>
      </c>
      <c r="D7476">
        <v>0.99396986089399997</v>
      </c>
      <c r="E7476">
        <v>14.3688155922038</v>
      </c>
    </row>
    <row r="7477" spans="1:5">
      <c r="A7477" t="s">
        <v>8658</v>
      </c>
      <c r="B7477" t="s">
        <v>8661</v>
      </c>
      <c r="C7477">
        <v>0</v>
      </c>
      <c r="D7477">
        <v>0.99396986089399997</v>
      </c>
      <c r="E7477">
        <v>14.3688155922038</v>
      </c>
    </row>
    <row r="7478" spans="1:5">
      <c r="A7478" t="s">
        <v>8658</v>
      </c>
      <c r="B7478" t="s">
        <v>8662</v>
      </c>
      <c r="C7478">
        <f>0</f>
        <v>0</v>
      </c>
      <c r="D7478">
        <v>0.99396986089399997</v>
      </c>
      <c r="E7478">
        <v>14.3688155922038</v>
      </c>
    </row>
    <row r="7479" spans="1:5">
      <c r="A7479" t="s">
        <v>8658</v>
      </c>
      <c r="B7479" t="s">
        <v>8663</v>
      </c>
      <c r="C7479">
        <v>3.3624682363099997E-2</v>
      </c>
      <c r="D7479">
        <v>0.99396986089399997</v>
      </c>
      <c r="E7479">
        <v>14.3688155922038</v>
      </c>
    </row>
    <row r="7480" spans="1:5">
      <c r="A7480" t="s">
        <v>8658</v>
      </c>
      <c r="B7480" t="s">
        <v>8664</v>
      </c>
      <c r="C7480">
        <f>0</f>
        <v>0</v>
      </c>
      <c r="D7480">
        <v>0.99396986089399997</v>
      </c>
      <c r="E7480">
        <v>14.3688155922038</v>
      </c>
    </row>
    <row r="7481" spans="1:5">
      <c r="A7481" t="s">
        <v>8665</v>
      </c>
      <c r="B7481" t="s">
        <v>8666</v>
      </c>
      <c r="C7481">
        <v>0</v>
      </c>
      <c r="D7481">
        <v>0.97565355612600002</v>
      </c>
      <c r="E7481">
        <v>9.6191904047975996</v>
      </c>
    </row>
    <row r="7482" spans="1:5">
      <c r="A7482" t="s">
        <v>8665</v>
      </c>
      <c r="B7482" t="s">
        <v>8667</v>
      </c>
      <c r="C7482">
        <f>0</f>
        <v>0</v>
      </c>
      <c r="D7482">
        <v>0.97565355612600002</v>
      </c>
      <c r="E7482">
        <v>9.6191904047975996</v>
      </c>
    </row>
    <row r="7483" spans="1:5">
      <c r="A7483" t="s">
        <v>8665</v>
      </c>
      <c r="B7483" t="s">
        <v>8668</v>
      </c>
      <c r="C7483">
        <v>0</v>
      </c>
      <c r="D7483">
        <v>0.97565355612600002</v>
      </c>
      <c r="E7483">
        <v>9.6191904047975996</v>
      </c>
    </row>
    <row r="7484" spans="1:5">
      <c r="A7484" t="s">
        <v>8665</v>
      </c>
      <c r="B7484" t="s">
        <v>8669</v>
      </c>
      <c r="C7484">
        <f>0</f>
        <v>0</v>
      </c>
      <c r="D7484">
        <v>0.97565355612600002</v>
      </c>
      <c r="E7484">
        <v>9.6191904047975996</v>
      </c>
    </row>
    <row r="7485" spans="1:5">
      <c r="A7485" t="s">
        <v>8665</v>
      </c>
      <c r="B7485" t="s">
        <v>8670</v>
      </c>
      <c r="C7485">
        <v>0</v>
      </c>
      <c r="D7485">
        <v>0.97565355612600002</v>
      </c>
      <c r="E7485">
        <v>9.6191904047975996</v>
      </c>
    </row>
    <row r="7486" spans="1:5">
      <c r="A7486" t="s">
        <v>8665</v>
      </c>
      <c r="B7486" t="s">
        <v>8671</v>
      </c>
      <c r="C7486">
        <f>0.0865521663128</f>
        <v>8.6552166312799994E-2</v>
      </c>
      <c r="D7486">
        <v>0.97565355612600002</v>
      </c>
      <c r="E7486">
        <v>9.6191904047975996</v>
      </c>
    </row>
    <row r="7487" spans="1:5">
      <c r="A7487" t="s">
        <v>8672</v>
      </c>
      <c r="B7487" t="s">
        <v>8673</v>
      </c>
      <c r="C7487">
        <v>0.15348443193299999</v>
      </c>
      <c r="D7487">
        <v>0.98878936682499996</v>
      </c>
      <c r="E7487">
        <v>24</v>
      </c>
    </row>
    <row r="7488" spans="1:5">
      <c r="A7488" t="s">
        <v>8672</v>
      </c>
      <c r="B7488" t="s">
        <v>8674</v>
      </c>
      <c r="C7488">
        <v>0</v>
      </c>
      <c r="D7488">
        <v>0.98878936682499996</v>
      </c>
      <c r="E7488">
        <v>24</v>
      </c>
    </row>
    <row r="7489" spans="1:5">
      <c r="A7489" t="s">
        <v>8672</v>
      </c>
      <c r="B7489" t="s">
        <v>8675</v>
      </c>
      <c r="C7489">
        <v>0</v>
      </c>
      <c r="D7489">
        <v>0.98878936682499996</v>
      </c>
      <c r="E7489">
        <v>24</v>
      </c>
    </row>
    <row r="7490" spans="1:5">
      <c r="A7490" t="s">
        <v>8672</v>
      </c>
      <c r="B7490" t="s">
        <v>8676</v>
      </c>
      <c r="C7490">
        <v>0</v>
      </c>
      <c r="D7490">
        <v>0.98878936682499996</v>
      </c>
      <c r="E7490">
        <v>24</v>
      </c>
    </row>
    <row r="7491" spans="1:5">
      <c r="A7491" t="s">
        <v>8672</v>
      </c>
      <c r="B7491" t="s">
        <v>8677</v>
      </c>
      <c r="C7491">
        <f>0</f>
        <v>0</v>
      </c>
      <c r="D7491">
        <v>0.98878936682499996</v>
      </c>
      <c r="E7491">
        <v>24</v>
      </c>
    </row>
    <row r="7492" spans="1:5">
      <c r="A7492" t="s">
        <v>8672</v>
      </c>
      <c r="B7492" t="s">
        <v>8678</v>
      </c>
      <c r="C7492">
        <v>0</v>
      </c>
      <c r="D7492">
        <v>0.98878936682499996</v>
      </c>
      <c r="E7492">
        <v>24</v>
      </c>
    </row>
    <row r="7493" spans="1:5">
      <c r="A7493" t="s">
        <v>8672</v>
      </c>
      <c r="B7493" t="s">
        <v>8679</v>
      </c>
      <c r="C7493">
        <v>1.51451224113E-2</v>
      </c>
      <c r="D7493">
        <v>0.98878936682499996</v>
      </c>
      <c r="E7493">
        <v>24</v>
      </c>
    </row>
    <row r="7494" spans="1:5">
      <c r="A7494" t="s">
        <v>8672</v>
      </c>
      <c r="B7494" t="s">
        <v>8680</v>
      </c>
      <c r="C7494">
        <v>0</v>
      </c>
      <c r="D7494">
        <v>0.98878936682499996</v>
      </c>
      <c r="E7494">
        <v>24</v>
      </c>
    </row>
    <row r="7495" spans="1:5">
      <c r="A7495" t="s">
        <v>8672</v>
      </c>
      <c r="B7495" t="s">
        <v>8681</v>
      </c>
      <c r="C7495">
        <v>0</v>
      </c>
      <c r="D7495">
        <v>0.98878936682499996</v>
      </c>
      <c r="E7495">
        <v>24</v>
      </c>
    </row>
    <row r="7496" spans="1:5">
      <c r="A7496" t="s">
        <v>8672</v>
      </c>
      <c r="B7496" t="s">
        <v>8682</v>
      </c>
      <c r="C7496">
        <f>0</f>
        <v>0</v>
      </c>
      <c r="D7496">
        <v>0.98878936682499996</v>
      </c>
      <c r="E7496">
        <v>24</v>
      </c>
    </row>
    <row r="7497" spans="1:5">
      <c r="A7497" t="s">
        <v>8683</v>
      </c>
      <c r="B7497" t="s">
        <v>8684</v>
      </c>
      <c r="C7497">
        <f>0.223013672055</f>
        <v>0.223013672055</v>
      </c>
      <c r="D7497">
        <v>0.96676776370799999</v>
      </c>
      <c r="E7497">
        <v>5.3493253373313303</v>
      </c>
    </row>
    <row r="7498" spans="1:5">
      <c r="A7498" t="s">
        <v>8683</v>
      </c>
      <c r="B7498" t="s">
        <v>8685</v>
      </c>
      <c r="C7498">
        <f>0</f>
        <v>0</v>
      </c>
      <c r="D7498">
        <v>0.96676776370799999</v>
      </c>
      <c r="E7498">
        <v>5.3493253373313303</v>
      </c>
    </row>
    <row r="7499" spans="1:5">
      <c r="A7499" t="s">
        <v>8683</v>
      </c>
      <c r="B7499" t="s">
        <v>8686</v>
      </c>
      <c r="C7499">
        <f>0</f>
        <v>0</v>
      </c>
      <c r="D7499">
        <v>0.96676776370799999</v>
      </c>
      <c r="E7499">
        <v>5.3493253373313303</v>
      </c>
    </row>
    <row r="7500" spans="1:5">
      <c r="A7500" t="s">
        <v>8683</v>
      </c>
      <c r="B7500" t="s">
        <v>8687</v>
      </c>
      <c r="C7500">
        <f>0</f>
        <v>0</v>
      </c>
      <c r="D7500">
        <v>0.96676776370799999</v>
      </c>
      <c r="E7500">
        <v>5.3493253373313303</v>
      </c>
    </row>
    <row r="7501" spans="1:5">
      <c r="A7501" t="s">
        <v>8683</v>
      </c>
      <c r="B7501" t="s">
        <v>8688</v>
      </c>
      <c r="C7501">
        <f>0</f>
        <v>0</v>
      </c>
      <c r="D7501">
        <v>0.96676776370799999</v>
      </c>
      <c r="E7501">
        <v>5.3493253373313303</v>
      </c>
    </row>
    <row r="7502" spans="1:5">
      <c r="A7502" t="s">
        <v>8689</v>
      </c>
      <c r="B7502" t="s">
        <v>8690</v>
      </c>
      <c r="C7502">
        <f>0</f>
        <v>0</v>
      </c>
      <c r="D7502" t="s">
        <v>106</v>
      </c>
      <c r="E7502">
        <v>6.8005997001499203</v>
      </c>
    </row>
    <row r="7503" spans="1:5">
      <c r="A7503" t="s">
        <v>8689</v>
      </c>
      <c r="B7503" t="s">
        <v>8691</v>
      </c>
      <c r="C7503">
        <v>0.122343411505</v>
      </c>
      <c r="D7503" t="s">
        <v>106</v>
      </c>
      <c r="E7503">
        <v>6.8005997001499203</v>
      </c>
    </row>
    <row r="7504" spans="1:5">
      <c r="A7504" t="s">
        <v>8689</v>
      </c>
      <c r="B7504" t="s">
        <v>8692</v>
      </c>
      <c r="C7504">
        <v>0</v>
      </c>
      <c r="D7504" t="s">
        <v>106</v>
      </c>
      <c r="E7504">
        <v>6.8005997001499203</v>
      </c>
    </row>
    <row r="7505" spans="1:5">
      <c r="A7505" t="s">
        <v>8689</v>
      </c>
      <c r="B7505" t="s">
        <v>8693</v>
      </c>
      <c r="C7505">
        <v>0.53043010177600003</v>
      </c>
      <c r="D7505" t="s">
        <v>106</v>
      </c>
      <c r="E7505">
        <v>6.8005997001499203</v>
      </c>
    </row>
    <row r="7506" spans="1:5">
      <c r="A7506" t="s">
        <v>8694</v>
      </c>
      <c r="B7506" t="s">
        <v>8695</v>
      </c>
      <c r="C7506">
        <v>1.0798952019500001</v>
      </c>
      <c r="D7506">
        <v>0.97749144745399996</v>
      </c>
      <c r="E7506">
        <v>6.4287856071964002</v>
      </c>
    </row>
    <row r="7507" spans="1:5">
      <c r="A7507" t="s">
        <v>8694</v>
      </c>
      <c r="B7507" t="s">
        <v>8696</v>
      </c>
      <c r="C7507">
        <v>0</v>
      </c>
      <c r="D7507">
        <v>0.97749144745399996</v>
      </c>
      <c r="E7507">
        <v>6.4287856071964002</v>
      </c>
    </row>
    <row r="7508" spans="1:5">
      <c r="A7508" t="s">
        <v>8694</v>
      </c>
      <c r="B7508" t="s">
        <v>8697</v>
      </c>
      <c r="C7508">
        <f>-1.33228931819</f>
        <v>-1.33228931819</v>
      </c>
      <c r="D7508">
        <v>0.97749144745399996</v>
      </c>
      <c r="E7508">
        <v>6.4287856071964002</v>
      </c>
    </row>
    <row r="7509" spans="1:5">
      <c r="A7509" t="s">
        <v>8694</v>
      </c>
      <c r="B7509" t="s">
        <v>8698</v>
      </c>
      <c r="C7509">
        <v>0</v>
      </c>
      <c r="D7509">
        <v>0.97749144745399996</v>
      </c>
      <c r="E7509">
        <v>6.4287856071964002</v>
      </c>
    </row>
    <row r="7510" spans="1:5">
      <c r="A7510" t="s">
        <v>8699</v>
      </c>
      <c r="B7510" t="s">
        <v>8700</v>
      </c>
      <c r="C7510">
        <f>0</f>
        <v>0</v>
      </c>
      <c r="D7510" t="s">
        <v>106</v>
      </c>
      <c r="E7510">
        <v>1.1994002998500701E-2</v>
      </c>
    </row>
    <row r="7511" spans="1:5">
      <c r="A7511" t="s">
        <v>8699</v>
      </c>
      <c r="B7511" t="s">
        <v>8701</v>
      </c>
      <c r="C7511">
        <f>0</f>
        <v>0</v>
      </c>
      <c r="D7511" t="s">
        <v>106</v>
      </c>
      <c r="E7511">
        <v>1.1994002998500701E-2</v>
      </c>
    </row>
    <row r="7512" spans="1:5">
      <c r="A7512" t="s">
        <v>8699</v>
      </c>
      <c r="B7512" t="s">
        <v>8702</v>
      </c>
      <c r="C7512">
        <f>0</f>
        <v>0</v>
      </c>
      <c r="D7512" t="s">
        <v>106</v>
      </c>
      <c r="E7512">
        <v>1.1994002998500701E-2</v>
      </c>
    </row>
    <row r="7513" spans="1:5">
      <c r="A7513" t="s">
        <v>8699</v>
      </c>
      <c r="B7513" t="s">
        <v>8703</v>
      </c>
      <c r="C7513">
        <f>0</f>
        <v>0</v>
      </c>
      <c r="D7513" t="s">
        <v>106</v>
      </c>
      <c r="E7513">
        <v>1.1994002998500701E-2</v>
      </c>
    </row>
    <row r="7514" spans="1:5">
      <c r="A7514" t="s">
        <v>8699</v>
      </c>
      <c r="B7514" t="s">
        <v>8704</v>
      </c>
      <c r="C7514">
        <f>0</f>
        <v>0</v>
      </c>
      <c r="D7514" t="s">
        <v>106</v>
      </c>
      <c r="E7514">
        <v>1.1994002998500701E-2</v>
      </c>
    </row>
    <row r="7515" spans="1:5">
      <c r="A7515" t="s">
        <v>8699</v>
      </c>
      <c r="B7515" t="s">
        <v>8705</v>
      </c>
      <c r="C7515">
        <f>0</f>
        <v>0</v>
      </c>
      <c r="D7515" t="s">
        <v>106</v>
      </c>
      <c r="E7515">
        <v>1.1994002998500701E-2</v>
      </c>
    </row>
    <row r="7516" spans="1:5">
      <c r="A7516" t="s">
        <v>8699</v>
      </c>
      <c r="B7516" t="s">
        <v>8706</v>
      </c>
      <c r="C7516">
        <f>0</f>
        <v>0</v>
      </c>
      <c r="D7516" t="s">
        <v>106</v>
      </c>
      <c r="E7516">
        <v>1.1994002998500701E-2</v>
      </c>
    </row>
    <row r="7517" spans="1:5">
      <c r="A7517" t="s">
        <v>8699</v>
      </c>
      <c r="B7517" t="s">
        <v>8707</v>
      </c>
      <c r="C7517">
        <f>0</f>
        <v>0</v>
      </c>
      <c r="D7517" t="s">
        <v>106</v>
      </c>
      <c r="E7517">
        <v>1.1994002998500701E-2</v>
      </c>
    </row>
    <row r="7518" spans="1:5">
      <c r="A7518" t="s">
        <v>8699</v>
      </c>
      <c r="B7518" t="s">
        <v>8708</v>
      </c>
      <c r="C7518">
        <f>0</f>
        <v>0</v>
      </c>
      <c r="D7518" t="s">
        <v>106</v>
      </c>
      <c r="E7518">
        <v>1.1994002998500701E-2</v>
      </c>
    </row>
    <row r="7519" spans="1:5">
      <c r="A7519" t="s">
        <v>8699</v>
      </c>
      <c r="B7519" t="s">
        <v>8709</v>
      </c>
      <c r="C7519">
        <f>0</f>
        <v>0</v>
      </c>
      <c r="D7519" t="s">
        <v>106</v>
      </c>
      <c r="E7519">
        <v>1.1994002998500701E-2</v>
      </c>
    </row>
    <row r="7520" spans="1:5">
      <c r="A7520" t="s">
        <v>8710</v>
      </c>
      <c r="B7520" t="s">
        <v>8711</v>
      </c>
      <c r="C7520">
        <v>0.31390661830200001</v>
      </c>
      <c r="D7520">
        <v>0.62228994401299997</v>
      </c>
      <c r="E7520">
        <v>3.68215892053973</v>
      </c>
    </row>
    <row r="7521" spans="1:5">
      <c r="A7521" t="s">
        <v>8710</v>
      </c>
      <c r="B7521" t="s">
        <v>8712</v>
      </c>
      <c r="C7521">
        <f>0</f>
        <v>0</v>
      </c>
      <c r="D7521">
        <v>0.62228994401299997</v>
      </c>
      <c r="E7521">
        <v>3.68215892053973</v>
      </c>
    </row>
    <row r="7522" spans="1:5">
      <c r="A7522" t="s">
        <v>8710</v>
      </c>
      <c r="B7522" t="s">
        <v>8713</v>
      </c>
      <c r="C7522">
        <f>0</f>
        <v>0</v>
      </c>
      <c r="D7522">
        <v>0.62228994401299997</v>
      </c>
      <c r="E7522">
        <v>3.68215892053973</v>
      </c>
    </row>
    <row r="7523" spans="1:5">
      <c r="A7523" t="s">
        <v>8710</v>
      </c>
      <c r="B7523" t="s">
        <v>8714</v>
      </c>
      <c r="C7523">
        <v>5.8266406864200003E-2</v>
      </c>
      <c r="D7523">
        <v>0.62228994401299997</v>
      </c>
      <c r="E7523">
        <v>3.68215892053973</v>
      </c>
    </row>
    <row r="7524" spans="1:5">
      <c r="A7524" t="s">
        <v>8715</v>
      </c>
      <c r="B7524" t="s">
        <v>8716</v>
      </c>
      <c r="C7524">
        <f>0</f>
        <v>0</v>
      </c>
      <c r="D7524">
        <v>0.77837354591899999</v>
      </c>
      <c r="E7524">
        <v>7.5922038980509701</v>
      </c>
    </row>
    <row r="7525" spans="1:5">
      <c r="A7525" t="s">
        <v>8715</v>
      </c>
      <c r="B7525" t="s">
        <v>8717</v>
      </c>
      <c r="C7525">
        <f>0</f>
        <v>0</v>
      </c>
      <c r="D7525">
        <v>0.77837354591899999</v>
      </c>
      <c r="E7525">
        <v>7.5922038980509701</v>
      </c>
    </row>
    <row r="7526" spans="1:5">
      <c r="A7526" t="s">
        <v>8715</v>
      </c>
      <c r="B7526" t="s">
        <v>8718</v>
      </c>
      <c r="C7526">
        <f>0</f>
        <v>0</v>
      </c>
      <c r="D7526">
        <v>0.77837354591899999</v>
      </c>
      <c r="E7526">
        <v>7.5922038980509701</v>
      </c>
    </row>
    <row r="7527" spans="1:5">
      <c r="A7527" t="s">
        <v>8715</v>
      </c>
      <c r="B7527" t="s">
        <v>8719</v>
      </c>
      <c r="C7527">
        <f>0</f>
        <v>0</v>
      </c>
      <c r="D7527">
        <v>0.77837354591899999</v>
      </c>
      <c r="E7527">
        <v>7.5922038980509701</v>
      </c>
    </row>
    <row r="7528" spans="1:5">
      <c r="A7528" t="s">
        <v>8715</v>
      </c>
      <c r="B7528" t="s">
        <v>8720</v>
      </c>
      <c r="C7528">
        <f>0</f>
        <v>0</v>
      </c>
      <c r="D7528">
        <v>0.77837354591899999</v>
      </c>
      <c r="E7528">
        <v>7.5922038980509701</v>
      </c>
    </row>
    <row r="7529" spans="1:5">
      <c r="A7529" t="s">
        <v>8715</v>
      </c>
      <c r="B7529" t="s">
        <v>8721</v>
      </c>
      <c r="C7529">
        <v>0</v>
      </c>
      <c r="D7529">
        <v>0.77837354591899999</v>
      </c>
      <c r="E7529">
        <v>7.5922038980509701</v>
      </c>
    </row>
    <row r="7530" spans="1:5">
      <c r="A7530" t="s">
        <v>8715</v>
      </c>
      <c r="B7530" t="s">
        <v>8722</v>
      </c>
      <c r="C7530">
        <f>0</f>
        <v>0</v>
      </c>
      <c r="D7530">
        <v>0.77837354591899999</v>
      </c>
      <c r="E7530">
        <v>7.5922038980509701</v>
      </c>
    </row>
    <row r="7531" spans="1:5">
      <c r="A7531" t="s">
        <v>8715</v>
      </c>
      <c r="B7531" t="s">
        <v>8723</v>
      </c>
      <c r="C7531">
        <f>0</f>
        <v>0</v>
      </c>
      <c r="D7531">
        <v>0.77837354591899999</v>
      </c>
      <c r="E7531">
        <v>7.5922038980509701</v>
      </c>
    </row>
    <row r="7532" spans="1:5">
      <c r="A7532" t="s">
        <v>8715</v>
      </c>
      <c r="B7532" t="s">
        <v>8724</v>
      </c>
      <c r="C7532">
        <f>0</f>
        <v>0</v>
      </c>
      <c r="D7532">
        <v>0.77837354591899999</v>
      </c>
      <c r="E7532">
        <v>7.5922038980509701</v>
      </c>
    </row>
    <row r="7533" spans="1:5">
      <c r="A7533" t="s">
        <v>8715</v>
      </c>
      <c r="B7533" t="s">
        <v>8725</v>
      </c>
      <c r="C7533">
        <f>0.0451193871357</f>
        <v>4.5119387135699997E-2</v>
      </c>
      <c r="D7533">
        <v>0.77837354591899999</v>
      </c>
      <c r="E7533">
        <v>7.5922038980509701</v>
      </c>
    </row>
    <row r="7534" spans="1:5">
      <c r="A7534" t="s">
        <v>8726</v>
      </c>
      <c r="B7534" t="s">
        <v>8727</v>
      </c>
      <c r="C7534">
        <f>0</f>
        <v>0</v>
      </c>
      <c r="D7534" t="s">
        <v>106</v>
      </c>
      <c r="E7534">
        <v>0.95952023988005997</v>
      </c>
    </row>
    <row r="7535" spans="1:5">
      <c r="A7535" t="s">
        <v>8728</v>
      </c>
      <c r="B7535" t="s">
        <v>8729</v>
      </c>
      <c r="C7535">
        <v>0</v>
      </c>
      <c r="D7535" t="s">
        <v>106</v>
      </c>
      <c r="E7535">
        <v>18.770614692653599</v>
      </c>
    </row>
    <row r="7536" spans="1:5">
      <c r="A7536" t="s">
        <v>8728</v>
      </c>
      <c r="B7536" t="s">
        <v>8730</v>
      </c>
      <c r="C7536">
        <v>0</v>
      </c>
      <c r="D7536" t="s">
        <v>106</v>
      </c>
      <c r="E7536">
        <v>18.770614692653599</v>
      </c>
    </row>
    <row r="7537" spans="1:5">
      <c r="A7537" t="s">
        <v>8728</v>
      </c>
      <c r="B7537" t="s">
        <v>8731</v>
      </c>
      <c r="C7537">
        <f>0</f>
        <v>0</v>
      </c>
      <c r="D7537" t="s">
        <v>106</v>
      </c>
      <c r="E7537">
        <v>18.770614692653599</v>
      </c>
    </row>
    <row r="7538" spans="1:5">
      <c r="A7538" t="s">
        <v>8728</v>
      </c>
      <c r="B7538" t="s">
        <v>8732</v>
      </c>
      <c r="C7538">
        <v>0</v>
      </c>
      <c r="D7538" t="s">
        <v>106</v>
      </c>
      <c r="E7538">
        <v>18.770614692653599</v>
      </c>
    </row>
    <row r="7539" spans="1:5">
      <c r="A7539" t="s">
        <v>8733</v>
      </c>
      <c r="B7539" t="s">
        <v>8734</v>
      </c>
      <c r="C7539">
        <f>0.439003410491</f>
        <v>0.439003410491</v>
      </c>
      <c r="D7539">
        <v>0.68401677440399999</v>
      </c>
      <c r="E7539">
        <v>0.37181409295352302</v>
      </c>
    </row>
    <row r="7540" spans="1:5">
      <c r="A7540" t="s">
        <v>8733</v>
      </c>
      <c r="B7540" t="s">
        <v>8735</v>
      </c>
      <c r="C7540">
        <v>0.23286359538699999</v>
      </c>
      <c r="D7540">
        <v>0.68401677440399999</v>
      </c>
      <c r="E7540">
        <v>0.37181409295352302</v>
      </c>
    </row>
    <row r="7541" spans="1:5">
      <c r="A7541" t="s">
        <v>8736</v>
      </c>
      <c r="B7541" t="s">
        <v>8737</v>
      </c>
      <c r="C7541">
        <v>0.21481219855299999</v>
      </c>
      <c r="D7541" t="s">
        <v>106</v>
      </c>
      <c r="E7541">
        <v>24</v>
      </c>
    </row>
    <row r="7542" spans="1:5">
      <c r="A7542" t="s">
        <v>8738</v>
      </c>
      <c r="B7542" t="s">
        <v>8739</v>
      </c>
      <c r="C7542">
        <f>0</f>
        <v>0</v>
      </c>
      <c r="D7542">
        <v>0.87297909441400001</v>
      </c>
      <c r="E7542">
        <v>11.8740629685157</v>
      </c>
    </row>
    <row r="7543" spans="1:5">
      <c r="A7543" t="s">
        <v>8738</v>
      </c>
      <c r="B7543" t="s">
        <v>8740</v>
      </c>
      <c r="C7543">
        <f>0.0077155041056</f>
        <v>7.7155041055999999E-3</v>
      </c>
      <c r="D7543">
        <v>0.87297909441400001</v>
      </c>
      <c r="E7543">
        <v>11.8740629685157</v>
      </c>
    </row>
    <row r="7544" spans="1:5">
      <c r="A7544" t="s">
        <v>8738</v>
      </c>
      <c r="B7544" t="s">
        <v>8741</v>
      </c>
      <c r="C7544">
        <f>0</f>
        <v>0</v>
      </c>
      <c r="D7544">
        <v>0.87297909441400001</v>
      </c>
      <c r="E7544">
        <v>11.8740629685157</v>
      </c>
    </row>
    <row r="7545" spans="1:5">
      <c r="A7545" t="s">
        <v>8738</v>
      </c>
      <c r="B7545" t="s">
        <v>8742</v>
      </c>
      <c r="C7545">
        <v>0</v>
      </c>
      <c r="D7545">
        <v>0.87297909441400001</v>
      </c>
      <c r="E7545">
        <v>11.8740629685157</v>
      </c>
    </row>
    <row r="7546" spans="1:5">
      <c r="A7546" t="s">
        <v>8738</v>
      </c>
      <c r="B7546" t="s">
        <v>8743</v>
      </c>
      <c r="C7546">
        <f>0</f>
        <v>0</v>
      </c>
      <c r="D7546">
        <v>0.87297909441400001</v>
      </c>
      <c r="E7546">
        <v>11.8740629685157</v>
      </c>
    </row>
    <row r="7547" spans="1:5">
      <c r="A7547" t="s">
        <v>8738</v>
      </c>
      <c r="B7547" t="s">
        <v>8744</v>
      </c>
      <c r="C7547">
        <v>0</v>
      </c>
      <c r="D7547">
        <v>0.87297909441400001</v>
      </c>
      <c r="E7547">
        <v>11.8740629685157</v>
      </c>
    </row>
    <row r="7548" spans="1:5">
      <c r="A7548" t="s">
        <v>8738</v>
      </c>
      <c r="B7548" t="s">
        <v>8745</v>
      </c>
      <c r="C7548">
        <f>0.0485107383865</f>
        <v>4.8510738386500003E-2</v>
      </c>
      <c r="D7548">
        <v>0.87297909441400001</v>
      </c>
      <c r="E7548">
        <v>11.8740629685157</v>
      </c>
    </row>
    <row r="7549" spans="1:5">
      <c r="A7549" t="s">
        <v>8746</v>
      </c>
      <c r="B7549" t="s">
        <v>8747</v>
      </c>
      <c r="C7549">
        <f>0</f>
        <v>0</v>
      </c>
      <c r="D7549">
        <v>0.92804053965099997</v>
      </c>
      <c r="E7549">
        <v>24</v>
      </c>
    </row>
    <row r="7550" spans="1:5">
      <c r="A7550" t="s">
        <v>8746</v>
      </c>
      <c r="B7550" t="s">
        <v>8748</v>
      </c>
      <c r="C7550">
        <f>0</f>
        <v>0</v>
      </c>
      <c r="D7550">
        <v>0.92804053965099997</v>
      </c>
      <c r="E7550">
        <v>24</v>
      </c>
    </row>
    <row r="7551" spans="1:5">
      <c r="A7551" t="s">
        <v>8746</v>
      </c>
      <c r="B7551" t="s">
        <v>8749</v>
      </c>
      <c r="C7551">
        <v>0</v>
      </c>
      <c r="D7551">
        <v>0.92804053965099997</v>
      </c>
      <c r="E7551">
        <v>24</v>
      </c>
    </row>
    <row r="7552" spans="1:5">
      <c r="A7552" t="s">
        <v>8746</v>
      </c>
      <c r="B7552" t="s">
        <v>8750</v>
      </c>
      <c r="C7552">
        <f>0.00623064355775</f>
        <v>6.23064355775E-3</v>
      </c>
      <c r="D7552">
        <v>0.92804053965099997</v>
      </c>
      <c r="E7552">
        <v>24</v>
      </c>
    </row>
    <row r="7553" spans="1:5">
      <c r="A7553" t="s">
        <v>8746</v>
      </c>
      <c r="B7553" t="s">
        <v>8751</v>
      </c>
      <c r="C7553">
        <f>0</f>
        <v>0</v>
      </c>
      <c r="D7553">
        <v>0.92804053965099997</v>
      </c>
      <c r="E7553">
        <v>24</v>
      </c>
    </row>
    <row r="7554" spans="1:5">
      <c r="A7554" t="s">
        <v>8746</v>
      </c>
      <c r="B7554" t="s">
        <v>8752</v>
      </c>
      <c r="C7554">
        <f>0</f>
        <v>0</v>
      </c>
      <c r="D7554">
        <v>0.92804053965099997</v>
      </c>
      <c r="E7554">
        <v>24</v>
      </c>
    </row>
    <row r="7555" spans="1:5">
      <c r="A7555" t="s">
        <v>8753</v>
      </c>
      <c r="B7555" t="s">
        <v>8754</v>
      </c>
      <c r="C7555">
        <v>9.0426970931300005E-2</v>
      </c>
      <c r="D7555">
        <v>0.89302723570700004</v>
      </c>
      <c r="E7555">
        <v>16.095952023988001</v>
      </c>
    </row>
    <row r="7556" spans="1:5">
      <c r="A7556" t="s">
        <v>8753</v>
      </c>
      <c r="B7556" t="s">
        <v>8755</v>
      </c>
      <c r="C7556">
        <v>0</v>
      </c>
      <c r="D7556">
        <v>0.89302723570700004</v>
      </c>
      <c r="E7556">
        <v>16.095952023988001</v>
      </c>
    </row>
    <row r="7557" spans="1:5">
      <c r="A7557" t="s">
        <v>8753</v>
      </c>
      <c r="B7557" t="s">
        <v>8756</v>
      </c>
      <c r="C7557">
        <f>0</f>
        <v>0</v>
      </c>
      <c r="D7557">
        <v>0.89302723570700004</v>
      </c>
      <c r="E7557">
        <v>16.095952023988001</v>
      </c>
    </row>
    <row r="7558" spans="1:5">
      <c r="A7558" t="s">
        <v>8753</v>
      </c>
      <c r="B7558" t="s">
        <v>8757</v>
      </c>
      <c r="C7558">
        <v>0</v>
      </c>
      <c r="D7558">
        <v>0.89302723570700004</v>
      </c>
      <c r="E7558">
        <v>16.095952023988001</v>
      </c>
    </row>
    <row r="7559" spans="1:5">
      <c r="A7559" t="s">
        <v>8758</v>
      </c>
      <c r="B7559" t="s">
        <v>8759</v>
      </c>
      <c r="C7559">
        <v>0</v>
      </c>
      <c r="D7559">
        <v>0.31663557678400001</v>
      </c>
      <c r="E7559">
        <v>2.7106446776611599</v>
      </c>
    </row>
    <row r="7560" spans="1:5">
      <c r="A7560" t="s">
        <v>8758</v>
      </c>
      <c r="B7560" t="s">
        <v>8760</v>
      </c>
      <c r="C7560">
        <v>0.324232820915</v>
      </c>
      <c r="D7560">
        <v>0.31663557678400001</v>
      </c>
      <c r="E7560">
        <v>2.7106446776611599</v>
      </c>
    </row>
    <row r="7561" spans="1:5">
      <c r="A7561" t="s">
        <v>8758</v>
      </c>
      <c r="B7561" t="s">
        <v>8761</v>
      </c>
      <c r="C7561">
        <f>0</f>
        <v>0</v>
      </c>
      <c r="D7561">
        <v>0.31663557678400001</v>
      </c>
      <c r="E7561">
        <v>2.7106446776611599</v>
      </c>
    </row>
    <row r="7562" spans="1:5">
      <c r="A7562" t="s">
        <v>8758</v>
      </c>
      <c r="B7562" t="s">
        <v>8762</v>
      </c>
      <c r="C7562">
        <v>1.66696626504E-2</v>
      </c>
      <c r="D7562">
        <v>0.31663557678400001</v>
      </c>
      <c r="E7562">
        <v>2.7106446776611599</v>
      </c>
    </row>
    <row r="7563" spans="1:5">
      <c r="A7563" t="s">
        <v>8763</v>
      </c>
      <c r="B7563" t="s">
        <v>8764</v>
      </c>
      <c r="C7563">
        <f>0</f>
        <v>0</v>
      </c>
      <c r="D7563">
        <v>0.81991652997599995</v>
      </c>
      <c r="E7563">
        <v>5.0134932533733103</v>
      </c>
    </row>
    <row r="7564" spans="1:5">
      <c r="A7564" t="s">
        <v>8763</v>
      </c>
      <c r="B7564" t="s">
        <v>8765</v>
      </c>
      <c r="C7564">
        <v>0</v>
      </c>
      <c r="D7564">
        <v>0.81991652997599995</v>
      </c>
      <c r="E7564">
        <v>5.0134932533733103</v>
      </c>
    </row>
    <row r="7565" spans="1:5">
      <c r="A7565" t="s">
        <v>8763</v>
      </c>
      <c r="B7565" t="s">
        <v>8766</v>
      </c>
      <c r="C7565">
        <v>0</v>
      </c>
      <c r="D7565">
        <v>0.81991652997599995</v>
      </c>
      <c r="E7565">
        <v>5.0134932533733103</v>
      </c>
    </row>
    <row r="7566" spans="1:5">
      <c r="A7566" t="s">
        <v>8763</v>
      </c>
      <c r="B7566" t="s">
        <v>8767</v>
      </c>
      <c r="C7566">
        <v>0</v>
      </c>
      <c r="D7566">
        <v>0.81991652997599995</v>
      </c>
      <c r="E7566">
        <v>5.0134932533733103</v>
      </c>
    </row>
    <row r="7567" spans="1:5">
      <c r="A7567" t="s">
        <v>8763</v>
      </c>
      <c r="B7567" t="s">
        <v>8768</v>
      </c>
      <c r="C7567">
        <v>0.16118512714</v>
      </c>
      <c r="D7567">
        <v>0.81991652997599995</v>
      </c>
      <c r="E7567">
        <v>5.0134932533733103</v>
      </c>
    </row>
    <row r="7568" spans="1:5">
      <c r="A7568" t="s">
        <v>8763</v>
      </c>
      <c r="B7568" t="s">
        <v>8769</v>
      </c>
      <c r="C7568">
        <f>0</f>
        <v>0</v>
      </c>
      <c r="D7568">
        <v>0.81991652997599995</v>
      </c>
      <c r="E7568">
        <v>5.0134932533733103</v>
      </c>
    </row>
    <row r="7569" spans="1:5">
      <c r="A7569" t="s">
        <v>8770</v>
      </c>
      <c r="B7569" t="s">
        <v>8771</v>
      </c>
      <c r="C7569">
        <v>2.08196879647E-2</v>
      </c>
      <c r="D7569">
        <v>0.98683641522700005</v>
      </c>
      <c r="E7569">
        <v>0.95952023988005997</v>
      </c>
    </row>
    <row r="7570" spans="1:5">
      <c r="A7570" t="s">
        <v>8770</v>
      </c>
      <c r="B7570" t="s">
        <v>8772</v>
      </c>
      <c r="C7570">
        <v>0.41561856539600001</v>
      </c>
      <c r="D7570">
        <v>0.98683641522700005</v>
      </c>
      <c r="E7570">
        <v>0.95952023988005997</v>
      </c>
    </row>
    <row r="7571" spans="1:5">
      <c r="A7571" t="s">
        <v>8770</v>
      </c>
      <c r="B7571" t="s">
        <v>8773</v>
      </c>
      <c r="C7571">
        <f>0</f>
        <v>0</v>
      </c>
      <c r="D7571">
        <v>0.98683641522700005</v>
      </c>
      <c r="E7571">
        <v>0.95952023988005997</v>
      </c>
    </row>
    <row r="7572" spans="1:5">
      <c r="A7572" t="s">
        <v>8774</v>
      </c>
      <c r="B7572" t="s">
        <v>8775</v>
      </c>
      <c r="C7572">
        <v>0.38046261354499999</v>
      </c>
      <c r="D7572">
        <v>0.998532451426</v>
      </c>
      <c r="E7572">
        <v>0.95952023988005997</v>
      </c>
    </row>
    <row r="7573" spans="1:5">
      <c r="A7573" t="s">
        <v>8774</v>
      </c>
      <c r="B7573" t="s">
        <v>8776</v>
      </c>
      <c r="C7573">
        <v>0.121433473768</v>
      </c>
      <c r="D7573">
        <v>0.998532451426</v>
      </c>
      <c r="E7573">
        <v>0.95952023988005997</v>
      </c>
    </row>
    <row r="7574" spans="1:5">
      <c r="A7574" t="s">
        <v>8774</v>
      </c>
      <c r="B7574" t="s">
        <v>8777</v>
      </c>
      <c r="C7574">
        <v>0</v>
      </c>
      <c r="D7574">
        <v>0.998532451426</v>
      </c>
      <c r="E7574">
        <v>0.95952023988005997</v>
      </c>
    </row>
    <row r="7575" spans="1:5">
      <c r="A7575" t="s">
        <v>8774</v>
      </c>
      <c r="B7575" t="s">
        <v>8778</v>
      </c>
      <c r="C7575">
        <v>0</v>
      </c>
      <c r="D7575">
        <v>0.998532451426</v>
      </c>
      <c r="E7575">
        <v>0.95952023988005997</v>
      </c>
    </row>
    <row r="7576" spans="1:5">
      <c r="A7576" t="s">
        <v>8774</v>
      </c>
      <c r="B7576" t="s">
        <v>8779</v>
      </c>
      <c r="C7576">
        <v>0</v>
      </c>
      <c r="D7576">
        <v>0.998532451426</v>
      </c>
      <c r="E7576">
        <v>0.95952023988005997</v>
      </c>
    </row>
    <row r="7577" spans="1:5">
      <c r="A7577" t="s">
        <v>8780</v>
      </c>
      <c r="B7577" t="s">
        <v>8781</v>
      </c>
      <c r="C7577">
        <v>0.15388164810999999</v>
      </c>
      <c r="D7577">
        <v>0.9866099545</v>
      </c>
      <c r="E7577">
        <v>2.0269865067466202</v>
      </c>
    </row>
    <row r="7578" spans="1:5">
      <c r="A7578" t="s">
        <v>8782</v>
      </c>
      <c r="B7578" t="s">
        <v>8783</v>
      </c>
      <c r="C7578">
        <v>0</v>
      </c>
      <c r="D7578" t="s">
        <v>106</v>
      </c>
      <c r="E7578">
        <v>5.5772113943028403</v>
      </c>
    </row>
    <row r="7579" spans="1:5">
      <c r="A7579" t="s">
        <v>8782</v>
      </c>
      <c r="B7579" t="s">
        <v>8784</v>
      </c>
      <c r="C7579">
        <f>0</f>
        <v>0</v>
      </c>
      <c r="D7579" t="s">
        <v>106</v>
      </c>
      <c r="E7579">
        <v>5.5772113943028403</v>
      </c>
    </row>
    <row r="7580" spans="1:5">
      <c r="A7580" t="s">
        <v>8782</v>
      </c>
      <c r="B7580" t="s">
        <v>8785</v>
      </c>
      <c r="C7580">
        <f>0</f>
        <v>0</v>
      </c>
      <c r="D7580" t="s">
        <v>106</v>
      </c>
      <c r="E7580">
        <v>5.5772113943028403</v>
      </c>
    </row>
    <row r="7581" spans="1:5">
      <c r="A7581" t="s">
        <v>8782</v>
      </c>
      <c r="B7581" t="s">
        <v>8786</v>
      </c>
      <c r="C7581">
        <v>0</v>
      </c>
      <c r="D7581" t="s">
        <v>106</v>
      </c>
      <c r="E7581">
        <v>5.5772113943028403</v>
      </c>
    </row>
    <row r="7582" spans="1:5">
      <c r="A7582" t="s">
        <v>8782</v>
      </c>
      <c r="B7582" t="s">
        <v>8787</v>
      </c>
      <c r="C7582">
        <v>0</v>
      </c>
      <c r="D7582" t="s">
        <v>106</v>
      </c>
      <c r="E7582">
        <v>5.5772113943028403</v>
      </c>
    </row>
    <row r="7583" spans="1:5">
      <c r="A7583" t="s">
        <v>8782</v>
      </c>
      <c r="B7583" t="s">
        <v>8788</v>
      </c>
      <c r="C7583">
        <v>0</v>
      </c>
      <c r="D7583" t="s">
        <v>106</v>
      </c>
      <c r="E7583">
        <v>5.5772113943028403</v>
      </c>
    </row>
    <row r="7584" spans="1:5">
      <c r="A7584" t="s">
        <v>8782</v>
      </c>
      <c r="B7584" t="s">
        <v>8789</v>
      </c>
      <c r="C7584">
        <v>0</v>
      </c>
      <c r="D7584" t="s">
        <v>106</v>
      </c>
      <c r="E7584">
        <v>5.5772113943028403</v>
      </c>
    </row>
    <row r="7585" spans="1:5">
      <c r="A7585" t="s">
        <v>8782</v>
      </c>
      <c r="B7585" t="s">
        <v>8790</v>
      </c>
      <c r="C7585">
        <v>0</v>
      </c>
      <c r="D7585" t="s">
        <v>106</v>
      </c>
      <c r="E7585">
        <v>5.5772113943028403</v>
      </c>
    </row>
    <row r="7586" spans="1:5">
      <c r="A7586" t="s">
        <v>8782</v>
      </c>
      <c r="B7586" t="s">
        <v>8791</v>
      </c>
      <c r="C7586">
        <f>0</f>
        <v>0</v>
      </c>
      <c r="D7586" t="s">
        <v>106</v>
      </c>
      <c r="E7586">
        <v>5.5772113943028403</v>
      </c>
    </row>
    <row r="7587" spans="1:5">
      <c r="A7587" t="s">
        <v>8792</v>
      </c>
      <c r="B7587" t="s">
        <v>8793</v>
      </c>
      <c r="C7587">
        <v>0.18444088049099999</v>
      </c>
      <c r="D7587">
        <v>0.97088636080299995</v>
      </c>
      <c r="E7587">
        <v>15.700149925037399</v>
      </c>
    </row>
    <row r="7588" spans="1:5">
      <c r="A7588" t="s">
        <v>8792</v>
      </c>
      <c r="B7588" t="s">
        <v>8794</v>
      </c>
      <c r="C7588">
        <f>0</f>
        <v>0</v>
      </c>
      <c r="D7588">
        <v>0.97088636080299995</v>
      </c>
      <c r="E7588">
        <v>15.700149925037399</v>
      </c>
    </row>
    <row r="7589" spans="1:5">
      <c r="A7589" t="s">
        <v>8792</v>
      </c>
      <c r="B7589" t="s">
        <v>8795</v>
      </c>
      <c r="C7589">
        <f>0.0361654640081</f>
        <v>3.6165464008100001E-2</v>
      </c>
      <c r="D7589">
        <v>0.97088636080299995</v>
      </c>
      <c r="E7589">
        <v>15.700149925037399</v>
      </c>
    </row>
    <row r="7590" spans="1:5">
      <c r="A7590" t="s">
        <v>8796</v>
      </c>
      <c r="B7590" t="s">
        <v>8797</v>
      </c>
      <c r="C7590">
        <v>6.0026012523099997E-2</v>
      </c>
      <c r="D7590">
        <v>0.93494938832100005</v>
      </c>
      <c r="E7590">
        <v>8.7196401799100407</v>
      </c>
    </row>
    <row r="7591" spans="1:5">
      <c r="A7591" t="s">
        <v>8796</v>
      </c>
      <c r="B7591" t="s">
        <v>8798</v>
      </c>
      <c r="C7591">
        <f>0</f>
        <v>0</v>
      </c>
      <c r="D7591">
        <v>0.93494938832100005</v>
      </c>
      <c r="E7591">
        <v>8.7196401799100407</v>
      </c>
    </row>
    <row r="7592" spans="1:5">
      <c r="A7592" t="s">
        <v>8796</v>
      </c>
      <c r="B7592" t="s">
        <v>8799</v>
      </c>
      <c r="C7592">
        <f>0</f>
        <v>0</v>
      </c>
      <c r="D7592">
        <v>0.93494938832100005</v>
      </c>
      <c r="E7592">
        <v>8.7196401799100407</v>
      </c>
    </row>
    <row r="7593" spans="1:5">
      <c r="A7593" t="s">
        <v>8796</v>
      </c>
      <c r="B7593" t="s">
        <v>8800</v>
      </c>
      <c r="C7593">
        <f>0</f>
        <v>0</v>
      </c>
      <c r="D7593">
        <v>0.93494938832100005</v>
      </c>
      <c r="E7593">
        <v>8.7196401799100407</v>
      </c>
    </row>
    <row r="7594" spans="1:5">
      <c r="A7594" t="s">
        <v>8796</v>
      </c>
      <c r="B7594" t="s">
        <v>8801</v>
      </c>
      <c r="C7594">
        <v>0</v>
      </c>
      <c r="D7594">
        <v>0.93494938832100005</v>
      </c>
      <c r="E7594">
        <v>8.7196401799100407</v>
      </c>
    </row>
    <row r="7595" spans="1:5">
      <c r="A7595" t="s">
        <v>8796</v>
      </c>
      <c r="B7595" t="s">
        <v>8802</v>
      </c>
      <c r="C7595">
        <v>0.22167803246000001</v>
      </c>
      <c r="D7595">
        <v>0.93494938832100005</v>
      </c>
      <c r="E7595">
        <v>8.7196401799100407</v>
      </c>
    </row>
    <row r="7596" spans="1:5">
      <c r="A7596" t="s">
        <v>8796</v>
      </c>
      <c r="B7596" t="s">
        <v>8803</v>
      </c>
      <c r="C7596">
        <f>0</f>
        <v>0</v>
      </c>
      <c r="D7596">
        <v>0.93494938832100005</v>
      </c>
      <c r="E7596">
        <v>8.7196401799100407</v>
      </c>
    </row>
    <row r="7597" spans="1:5">
      <c r="A7597" t="s">
        <v>8796</v>
      </c>
      <c r="B7597" t="s">
        <v>8804</v>
      </c>
      <c r="C7597">
        <f>0</f>
        <v>0</v>
      </c>
      <c r="D7597">
        <v>0.93494938832100005</v>
      </c>
      <c r="E7597">
        <v>8.7196401799100407</v>
      </c>
    </row>
    <row r="7598" spans="1:5">
      <c r="A7598" t="s">
        <v>8796</v>
      </c>
      <c r="B7598" t="s">
        <v>8805</v>
      </c>
      <c r="C7598">
        <f>0</f>
        <v>0</v>
      </c>
      <c r="D7598">
        <v>0.93494938832100005</v>
      </c>
      <c r="E7598">
        <v>8.7196401799100407</v>
      </c>
    </row>
    <row r="7599" spans="1:5">
      <c r="A7599" t="s">
        <v>8796</v>
      </c>
      <c r="B7599" t="s">
        <v>8806</v>
      </c>
      <c r="C7599">
        <f>0</f>
        <v>0</v>
      </c>
      <c r="D7599">
        <v>0.93494938832100005</v>
      </c>
      <c r="E7599">
        <v>8.7196401799100407</v>
      </c>
    </row>
    <row r="7600" spans="1:5">
      <c r="A7600" t="s">
        <v>8796</v>
      </c>
      <c r="B7600" t="s">
        <v>8807</v>
      </c>
      <c r="C7600">
        <f>0</f>
        <v>0</v>
      </c>
      <c r="D7600">
        <v>0.93494938832100005</v>
      </c>
      <c r="E7600">
        <v>8.7196401799100407</v>
      </c>
    </row>
    <row r="7601" spans="1:5">
      <c r="A7601" t="s">
        <v>8796</v>
      </c>
      <c r="B7601" t="s">
        <v>8808</v>
      </c>
      <c r="C7601">
        <f>0</f>
        <v>0</v>
      </c>
      <c r="D7601">
        <v>0.93494938832100005</v>
      </c>
      <c r="E7601">
        <v>8.7196401799100407</v>
      </c>
    </row>
    <row r="7602" spans="1:5">
      <c r="A7602" t="s">
        <v>8796</v>
      </c>
      <c r="B7602" t="s">
        <v>8809</v>
      </c>
      <c r="C7602">
        <v>0</v>
      </c>
      <c r="D7602">
        <v>0.93494938832100005</v>
      </c>
      <c r="E7602">
        <v>8.7196401799100407</v>
      </c>
    </row>
    <row r="7603" spans="1:5">
      <c r="A7603" t="s">
        <v>8810</v>
      </c>
      <c r="B7603" t="s">
        <v>8811</v>
      </c>
      <c r="C7603">
        <v>0</v>
      </c>
      <c r="D7603">
        <v>0.93158985302499997</v>
      </c>
      <c r="E7603">
        <v>15.1244377811094</v>
      </c>
    </row>
    <row r="7604" spans="1:5">
      <c r="A7604" t="s">
        <v>8810</v>
      </c>
      <c r="B7604" t="s">
        <v>8812</v>
      </c>
      <c r="C7604">
        <v>2.0361325287399999E-2</v>
      </c>
      <c r="D7604">
        <v>0.93158985302499997</v>
      </c>
      <c r="E7604">
        <v>15.1244377811094</v>
      </c>
    </row>
    <row r="7605" spans="1:5">
      <c r="A7605" t="s">
        <v>8810</v>
      </c>
      <c r="B7605" t="s">
        <v>8813</v>
      </c>
      <c r="C7605">
        <v>0</v>
      </c>
      <c r="D7605">
        <v>0.93158985302499997</v>
      </c>
      <c r="E7605">
        <v>15.1244377811094</v>
      </c>
    </row>
    <row r="7606" spans="1:5">
      <c r="A7606" t="s">
        <v>8810</v>
      </c>
      <c r="B7606" t="s">
        <v>8814</v>
      </c>
      <c r="C7606">
        <v>0</v>
      </c>
      <c r="D7606">
        <v>0.93158985302499997</v>
      </c>
      <c r="E7606">
        <v>15.1244377811094</v>
      </c>
    </row>
    <row r="7607" spans="1:5">
      <c r="A7607" t="s">
        <v>8815</v>
      </c>
      <c r="B7607" t="s">
        <v>8816</v>
      </c>
      <c r="C7607">
        <v>0</v>
      </c>
      <c r="D7607">
        <v>0.75466703657</v>
      </c>
      <c r="E7607">
        <v>5.2413793103448203</v>
      </c>
    </row>
    <row r="7608" spans="1:5">
      <c r="A7608" t="s">
        <v>8815</v>
      </c>
      <c r="B7608" t="s">
        <v>8817</v>
      </c>
      <c r="C7608">
        <v>0</v>
      </c>
      <c r="D7608">
        <v>0.75466703657</v>
      </c>
      <c r="E7608">
        <v>5.2413793103448203</v>
      </c>
    </row>
    <row r="7609" spans="1:5">
      <c r="A7609" t="s">
        <v>8815</v>
      </c>
      <c r="B7609" t="s">
        <v>8818</v>
      </c>
      <c r="C7609">
        <f>0</f>
        <v>0</v>
      </c>
      <c r="D7609">
        <v>0.75466703657</v>
      </c>
      <c r="E7609">
        <v>5.2413793103448203</v>
      </c>
    </row>
    <row r="7610" spans="1:5">
      <c r="A7610" t="s">
        <v>8815</v>
      </c>
      <c r="B7610" t="s">
        <v>8819</v>
      </c>
      <c r="C7610">
        <f>0</f>
        <v>0</v>
      </c>
      <c r="D7610">
        <v>0.75466703657</v>
      </c>
      <c r="E7610">
        <v>5.2413793103448203</v>
      </c>
    </row>
    <row r="7611" spans="1:5">
      <c r="A7611" t="s">
        <v>8815</v>
      </c>
      <c r="B7611" t="s">
        <v>8820</v>
      </c>
      <c r="C7611">
        <v>0</v>
      </c>
      <c r="D7611">
        <v>0.75466703657</v>
      </c>
      <c r="E7611">
        <v>5.2413793103448203</v>
      </c>
    </row>
    <row r="7612" spans="1:5">
      <c r="A7612" t="s">
        <v>8815</v>
      </c>
      <c r="B7612" t="s">
        <v>8821</v>
      </c>
      <c r="C7612">
        <v>0</v>
      </c>
      <c r="D7612">
        <v>0.75466703657</v>
      </c>
      <c r="E7612">
        <v>5.2413793103448203</v>
      </c>
    </row>
    <row r="7613" spans="1:5">
      <c r="A7613" t="s">
        <v>8815</v>
      </c>
      <c r="B7613" t="s">
        <v>8822</v>
      </c>
      <c r="C7613">
        <f>0</f>
        <v>0</v>
      </c>
      <c r="D7613">
        <v>0.75466703657</v>
      </c>
      <c r="E7613">
        <v>5.2413793103448203</v>
      </c>
    </row>
    <row r="7614" spans="1:5">
      <c r="A7614" t="s">
        <v>8815</v>
      </c>
      <c r="B7614" t="s">
        <v>8823</v>
      </c>
      <c r="C7614">
        <v>0</v>
      </c>
      <c r="D7614">
        <v>0.75466703657</v>
      </c>
      <c r="E7614">
        <v>5.2413793103448203</v>
      </c>
    </row>
    <row r="7615" spans="1:5">
      <c r="A7615" t="s">
        <v>8824</v>
      </c>
      <c r="B7615" t="s">
        <v>8825</v>
      </c>
      <c r="C7615">
        <v>0</v>
      </c>
      <c r="D7615" t="s">
        <v>106</v>
      </c>
      <c r="E7615">
        <v>1.6911544227886</v>
      </c>
    </row>
    <row r="7616" spans="1:5">
      <c r="A7616" t="s">
        <v>8824</v>
      </c>
      <c r="B7616" t="s">
        <v>8826</v>
      </c>
      <c r="C7616">
        <v>0</v>
      </c>
      <c r="D7616" t="s">
        <v>106</v>
      </c>
      <c r="E7616">
        <v>1.6911544227886</v>
      </c>
    </row>
    <row r="7617" spans="1:5">
      <c r="A7617" t="s">
        <v>8824</v>
      </c>
      <c r="B7617" t="s">
        <v>8827</v>
      </c>
      <c r="C7617">
        <f>0</f>
        <v>0</v>
      </c>
      <c r="D7617" t="s">
        <v>106</v>
      </c>
      <c r="E7617">
        <v>1.6911544227886</v>
      </c>
    </row>
    <row r="7618" spans="1:5">
      <c r="A7618" t="s">
        <v>8824</v>
      </c>
      <c r="B7618" t="s">
        <v>8828</v>
      </c>
      <c r="C7618">
        <f>0</f>
        <v>0</v>
      </c>
      <c r="D7618" t="s">
        <v>106</v>
      </c>
      <c r="E7618">
        <v>1.6911544227886</v>
      </c>
    </row>
    <row r="7619" spans="1:5">
      <c r="A7619" t="s">
        <v>8824</v>
      </c>
      <c r="B7619" t="s">
        <v>8829</v>
      </c>
      <c r="C7619">
        <f>0</f>
        <v>0</v>
      </c>
      <c r="D7619" t="s">
        <v>106</v>
      </c>
      <c r="E7619">
        <v>1.6911544227886</v>
      </c>
    </row>
    <row r="7620" spans="1:5">
      <c r="A7620" t="s">
        <v>8830</v>
      </c>
      <c r="B7620" t="s">
        <v>8831</v>
      </c>
      <c r="C7620">
        <v>0</v>
      </c>
      <c r="D7620" t="s">
        <v>106</v>
      </c>
      <c r="E7620">
        <v>1.6311844077961</v>
      </c>
    </row>
    <row r="7621" spans="1:5">
      <c r="A7621" t="s">
        <v>8830</v>
      </c>
      <c r="B7621" t="s">
        <v>8832</v>
      </c>
      <c r="C7621">
        <v>0</v>
      </c>
      <c r="D7621" t="s">
        <v>106</v>
      </c>
      <c r="E7621">
        <v>1.6311844077961</v>
      </c>
    </row>
    <row r="7622" spans="1:5">
      <c r="A7622" t="s">
        <v>8830</v>
      </c>
      <c r="B7622" t="s">
        <v>8833</v>
      </c>
      <c r="C7622">
        <f>0</f>
        <v>0</v>
      </c>
      <c r="D7622" t="s">
        <v>106</v>
      </c>
      <c r="E7622">
        <v>1.6311844077961</v>
      </c>
    </row>
    <row r="7623" spans="1:5">
      <c r="A7623" t="s">
        <v>8830</v>
      </c>
      <c r="B7623" t="s">
        <v>8834</v>
      </c>
      <c r="C7623">
        <v>0</v>
      </c>
      <c r="D7623" t="s">
        <v>106</v>
      </c>
      <c r="E7623">
        <v>1.6311844077961</v>
      </c>
    </row>
    <row r="7624" spans="1:5">
      <c r="A7624" t="s">
        <v>8830</v>
      </c>
      <c r="B7624" t="s">
        <v>8835</v>
      </c>
      <c r="C7624">
        <v>0</v>
      </c>
      <c r="D7624" t="s">
        <v>106</v>
      </c>
      <c r="E7624">
        <v>1.6311844077961</v>
      </c>
    </row>
    <row r="7625" spans="1:5">
      <c r="A7625" t="s">
        <v>8836</v>
      </c>
      <c r="B7625" t="s">
        <v>8837</v>
      </c>
      <c r="C7625">
        <f>0</f>
        <v>0</v>
      </c>
      <c r="D7625">
        <v>0.99036791750999997</v>
      </c>
      <c r="E7625">
        <v>11.7061469265367</v>
      </c>
    </row>
    <row r="7626" spans="1:5">
      <c r="A7626" t="s">
        <v>8836</v>
      </c>
      <c r="B7626" t="s">
        <v>8838</v>
      </c>
      <c r="C7626">
        <v>0</v>
      </c>
      <c r="D7626">
        <v>0.99036791750999997</v>
      </c>
      <c r="E7626">
        <v>11.7061469265367</v>
      </c>
    </row>
    <row r="7627" spans="1:5">
      <c r="A7627" t="s">
        <v>8836</v>
      </c>
      <c r="B7627" t="s">
        <v>8839</v>
      </c>
      <c r="C7627">
        <v>0</v>
      </c>
      <c r="D7627">
        <v>0.99036791750999997</v>
      </c>
      <c r="E7627">
        <v>11.7061469265367</v>
      </c>
    </row>
    <row r="7628" spans="1:5">
      <c r="A7628" t="s">
        <v>8836</v>
      </c>
      <c r="B7628" t="s">
        <v>8840</v>
      </c>
      <c r="C7628">
        <v>0</v>
      </c>
      <c r="D7628">
        <v>0.99036791750999997</v>
      </c>
      <c r="E7628">
        <v>11.7061469265367</v>
      </c>
    </row>
    <row r="7629" spans="1:5">
      <c r="A7629" t="s">
        <v>8836</v>
      </c>
      <c r="B7629" t="s">
        <v>8841</v>
      </c>
      <c r="C7629">
        <v>0</v>
      </c>
      <c r="D7629">
        <v>0.99036791750999997</v>
      </c>
      <c r="E7629">
        <v>11.7061469265367</v>
      </c>
    </row>
    <row r="7630" spans="1:5">
      <c r="A7630" t="s">
        <v>8836</v>
      </c>
      <c r="B7630" t="s">
        <v>8842</v>
      </c>
      <c r="C7630">
        <v>0</v>
      </c>
      <c r="D7630">
        <v>0.99036791750999997</v>
      </c>
      <c r="E7630">
        <v>11.7061469265367</v>
      </c>
    </row>
    <row r="7631" spans="1:5">
      <c r="A7631" t="s">
        <v>8836</v>
      </c>
      <c r="B7631" t="s">
        <v>8843</v>
      </c>
      <c r="C7631">
        <f>0.101887090355</f>
        <v>0.101887090355</v>
      </c>
      <c r="D7631">
        <v>0.99036791750999997</v>
      </c>
      <c r="E7631">
        <v>11.7061469265367</v>
      </c>
    </row>
    <row r="7632" spans="1:5">
      <c r="A7632" t="s">
        <v>8836</v>
      </c>
      <c r="B7632" t="s">
        <v>8844</v>
      </c>
      <c r="C7632">
        <f>0</f>
        <v>0</v>
      </c>
      <c r="D7632">
        <v>0.99036791750999997</v>
      </c>
      <c r="E7632">
        <v>11.7061469265367</v>
      </c>
    </row>
    <row r="7633" spans="1:5">
      <c r="A7633" t="s">
        <v>8836</v>
      </c>
      <c r="B7633" t="s">
        <v>8845</v>
      </c>
      <c r="C7633">
        <v>0</v>
      </c>
      <c r="D7633">
        <v>0.99036791750999997</v>
      </c>
      <c r="E7633">
        <v>11.7061469265367</v>
      </c>
    </row>
    <row r="7634" spans="1:5">
      <c r="A7634" t="s">
        <v>8836</v>
      </c>
      <c r="B7634" t="s">
        <v>8846</v>
      </c>
      <c r="C7634">
        <f>0.14996136673</f>
        <v>0.14996136672999999</v>
      </c>
      <c r="D7634">
        <v>0.99036791750999997</v>
      </c>
      <c r="E7634">
        <v>11.7061469265367</v>
      </c>
    </row>
    <row r="7635" spans="1:5">
      <c r="A7635" t="s">
        <v>8836</v>
      </c>
      <c r="B7635" t="s">
        <v>8847</v>
      </c>
      <c r="C7635">
        <f>0</f>
        <v>0</v>
      </c>
      <c r="D7635">
        <v>0.99036791750999997</v>
      </c>
      <c r="E7635">
        <v>11.7061469265367</v>
      </c>
    </row>
    <row r="7636" spans="1:5">
      <c r="A7636" t="s">
        <v>8836</v>
      </c>
      <c r="B7636" t="s">
        <v>8848</v>
      </c>
      <c r="C7636">
        <v>0</v>
      </c>
      <c r="D7636">
        <v>0.99036791750999997</v>
      </c>
      <c r="E7636">
        <v>11.7061469265367</v>
      </c>
    </row>
    <row r="7637" spans="1:5">
      <c r="A7637" t="s">
        <v>8849</v>
      </c>
      <c r="B7637" t="s">
        <v>8850</v>
      </c>
      <c r="C7637">
        <f>0</f>
        <v>0</v>
      </c>
      <c r="D7637">
        <v>0.53159904468399999</v>
      </c>
      <c r="E7637">
        <v>16.095952023988001</v>
      </c>
    </row>
    <row r="7638" spans="1:5">
      <c r="A7638" t="s">
        <v>8849</v>
      </c>
      <c r="B7638" t="s">
        <v>8851</v>
      </c>
      <c r="C7638">
        <f>0.0591524688729</f>
        <v>5.9152468872900002E-2</v>
      </c>
      <c r="D7638">
        <v>0.53159904468399999</v>
      </c>
      <c r="E7638">
        <v>16.095952023988001</v>
      </c>
    </row>
    <row r="7639" spans="1:5">
      <c r="A7639" t="s">
        <v>8852</v>
      </c>
      <c r="B7639" t="s">
        <v>8853</v>
      </c>
      <c r="C7639">
        <v>0</v>
      </c>
      <c r="D7639" t="s">
        <v>106</v>
      </c>
      <c r="E7639">
        <v>1.6311844077961</v>
      </c>
    </row>
    <row r="7640" spans="1:5">
      <c r="A7640" t="s">
        <v>8852</v>
      </c>
      <c r="B7640" t="s">
        <v>8854</v>
      </c>
      <c r="C7640">
        <f>0</f>
        <v>0</v>
      </c>
      <c r="D7640" t="s">
        <v>106</v>
      </c>
      <c r="E7640">
        <v>1.6311844077961</v>
      </c>
    </row>
    <row r="7641" spans="1:5">
      <c r="A7641" t="s">
        <v>8852</v>
      </c>
      <c r="B7641" t="s">
        <v>8855</v>
      </c>
      <c r="C7641">
        <v>0</v>
      </c>
      <c r="D7641" t="s">
        <v>106</v>
      </c>
      <c r="E7641">
        <v>1.6311844077961</v>
      </c>
    </row>
    <row r="7642" spans="1:5">
      <c r="A7642" t="s">
        <v>8852</v>
      </c>
      <c r="B7642" t="s">
        <v>8856</v>
      </c>
      <c r="C7642">
        <v>0</v>
      </c>
      <c r="D7642" t="s">
        <v>106</v>
      </c>
      <c r="E7642">
        <v>1.6311844077961</v>
      </c>
    </row>
    <row r="7643" spans="1:5">
      <c r="A7643" t="s">
        <v>8852</v>
      </c>
      <c r="B7643" t="s">
        <v>8857</v>
      </c>
      <c r="C7643">
        <f>0</f>
        <v>0</v>
      </c>
      <c r="D7643" t="s">
        <v>106</v>
      </c>
      <c r="E7643">
        <v>1.6311844077961</v>
      </c>
    </row>
    <row r="7644" spans="1:5">
      <c r="A7644" t="s">
        <v>8852</v>
      </c>
      <c r="B7644" t="s">
        <v>8858</v>
      </c>
      <c r="C7644">
        <v>0</v>
      </c>
      <c r="D7644" t="s">
        <v>106</v>
      </c>
      <c r="E7644">
        <v>1.6311844077961</v>
      </c>
    </row>
    <row r="7645" spans="1:5">
      <c r="A7645" t="s">
        <v>8859</v>
      </c>
      <c r="B7645" t="s">
        <v>8860</v>
      </c>
      <c r="C7645">
        <v>0</v>
      </c>
      <c r="D7645" t="s">
        <v>106</v>
      </c>
      <c r="E7645">
        <v>0.53973013493253297</v>
      </c>
    </row>
    <row r="7646" spans="1:5">
      <c r="A7646" t="s">
        <v>8859</v>
      </c>
      <c r="B7646" t="s">
        <v>8861</v>
      </c>
      <c r="C7646">
        <f>0</f>
        <v>0</v>
      </c>
      <c r="D7646" t="s">
        <v>106</v>
      </c>
      <c r="E7646">
        <v>0.53973013493253297</v>
      </c>
    </row>
    <row r="7647" spans="1:5">
      <c r="A7647" t="s">
        <v>8862</v>
      </c>
      <c r="B7647" t="s">
        <v>8863</v>
      </c>
      <c r="C7647">
        <v>0</v>
      </c>
      <c r="D7647">
        <v>0.99653201910199996</v>
      </c>
      <c r="E7647">
        <v>7.4602698650674597</v>
      </c>
    </row>
    <row r="7648" spans="1:5">
      <c r="A7648" t="s">
        <v>8862</v>
      </c>
      <c r="B7648" t="s">
        <v>8864</v>
      </c>
      <c r="C7648">
        <v>0</v>
      </c>
      <c r="D7648">
        <v>0.99653201910199996</v>
      </c>
      <c r="E7648">
        <v>7.4602698650674597</v>
      </c>
    </row>
    <row r="7649" spans="1:5">
      <c r="A7649" t="s">
        <v>8862</v>
      </c>
      <c r="B7649" t="s">
        <v>8865</v>
      </c>
      <c r="C7649">
        <f>0</f>
        <v>0</v>
      </c>
      <c r="D7649">
        <v>0.99653201910199996</v>
      </c>
      <c r="E7649">
        <v>7.4602698650674597</v>
      </c>
    </row>
    <row r="7650" spans="1:5">
      <c r="A7650" t="s">
        <v>8862</v>
      </c>
      <c r="B7650" t="s">
        <v>8866</v>
      </c>
      <c r="C7650">
        <v>0</v>
      </c>
      <c r="D7650">
        <v>0.99653201910199996</v>
      </c>
      <c r="E7650">
        <v>7.4602698650674597</v>
      </c>
    </row>
    <row r="7651" spans="1:5">
      <c r="A7651" t="s">
        <v>8862</v>
      </c>
      <c r="B7651" t="s">
        <v>8867</v>
      </c>
      <c r="C7651">
        <v>0</v>
      </c>
      <c r="D7651">
        <v>0.99653201910199996</v>
      </c>
      <c r="E7651">
        <v>7.4602698650674597</v>
      </c>
    </row>
    <row r="7652" spans="1:5">
      <c r="A7652" t="s">
        <v>8862</v>
      </c>
      <c r="B7652" t="s">
        <v>8868</v>
      </c>
      <c r="C7652">
        <v>5.9039394494600002E-2</v>
      </c>
      <c r="D7652">
        <v>0.99653201910199996</v>
      </c>
      <c r="E7652">
        <v>7.4602698650674597</v>
      </c>
    </row>
    <row r="7653" spans="1:5">
      <c r="A7653" t="s">
        <v>8862</v>
      </c>
      <c r="B7653" t="s">
        <v>8869</v>
      </c>
      <c r="C7653">
        <v>0</v>
      </c>
      <c r="D7653">
        <v>0.99653201910199996</v>
      </c>
      <c r="E7653">
        <v>7.4602698650674597</v>
      </c>
    </row>
    <row r="7654" spans="1:5">
      <c r="A7654" t="s">
        <v>8862</v>
      </c>
      <c r="B7654" t="s">
        <v>8870</v>
      </c>
      <c r="C7654">
        <v>0.109086778282</v>
      </c>
      <c r="D7654">
        <v>0.99653201910199996</v>
      </c>
      <c r="E7654">
        <v>7.4602698650674597</v>
      </c>
    </row>
    <row r="7655" spans="1:5">
      <c r="A7655" t="s">
        <v>8862</v>
      </c>
      <c r="B7655" t="s">
        <v>8871</v>
      </c>
      <c r="C7655">
        <v>0</v>
      </c>
      <c r="D7655">
        <v>0.99653201910199996</v>
      </c>
      <c r="E7655">
        <v>7.4602698650674597</v>
      </c>
    </row>
    <row r="7656" spans="1:5">
      <c r="A7656" t="s">
        <v>8862</v>
      </c>
      <c r="B7656" t="s">
        <v>8872</v>
      </c>
      <c r="C7656">
        <v>0</v>
      </c>
      <c r="D7656">
        <v>0.99653201910199996</v>
      </c>
      <c r="E7656">
        <v>7.4602698650674597</v>
      </c>
    </row>
    <row r="7657" spans="1:5">
      <c r="A7657" t="s">
        <v>8873</v>
      </c>
      <c r="B7657" t="s">
        <v>8874</v>
      </c>
      <c r="C7657">
        <f>0</f>
        <v>0</v>
      </c>
      <c r="D7657" t="s">
        <v>106</v>
      </c>
      <c r="E7657">
        <v>14.3688155922038</v>
      </c>
    </row>
    <row r="7658" spans="1:5">
      <c r="A7658" t="s">
        <v>8873</v>
      </c>
      <c r="B7658" t="s">
        <v>8875</v>
      </c>
      <c r="C7658">
        <f>0</f>
        <v>0</v>
      </c>
      <c r="D7658" t="s">
        <v>106</v>
      </c>
      <c r="E7658">
        <v>14.3688155922038</v>
      </c>
    </row>
    <row r="7659" spans="1:5">
      <c r="A7659" t="s">
        <v>8873</v>
      </c>
      <c r="B7659" t="s">
        <v>8876</v>
      </c>
      <c r="C7659">
        <v>0</v>
      </c>
      <c r="D7659" t="s">
        <v>106</v>
      </c>
      <c r="E7659">
        <v>14.3688155922038</v>
      </c>
    </row>
    <row r="7660" spans="1:5">
      <c r="A7660" t="s">
        <v>8873</v>
      </c>
      <c r="B7660" t="s">
        <v>8877</v>
      </c>
      <c r="C7660">
        <v>0</v>
      </c>
      <c r="D7660" t="s">
        <v>106</v>
      </c>
      <c r="E7660">
        <v>14.3688155922038</v>
      </c>
    </row>
    <row r="7661" spans="1:5">
      <c r="A7661" t="s">
        <v>8873</v>
      </c>
      <c r="B7661" t="s">
        <v>8878</v>
      </c>
      <c r="C7661">
        <v>0</v>
      </c>
      <c r="D7661" t="s">
        <v>106</v>
      </c>
      <c r="E7661">
        <v>14.3688155922038</v>
      </c>
    </row>
    <row r="7662" spans="1:5">
      <c r="A7662" t="s">
        <v>8879</v>
      </c>
      <c r="B7662" t="s">
        <v>8880</v>
      </c>
      <c r="C7662">
        <v>7.1476400051300001E-2</v>
      </c>
      <c r="D7662">
        <v>0.99286848668000005</v>
      </c>
      <c r="E7662">
        <v>13.0854572713643</v>
      </c>
    </row>
    <row r="7663" spans="1:5">
      <c r="A7663" t="s">
        <v>8879</v>
      </c>
      <c r="B7663" t="s">
        <v>8881</v>
      </c>
      <c r="C7663">
        <v>0</v>
      </c>
      <c r="D7663">
        <v>0.99286848668000005</v>
      </c>
      <c r="E7663">
        <v>13.0854572713643</v>
      </c>
    </row>
    <row r="7664" spans="1:5">
      <c r="A7664" t="s">
        <v>8879</v>
      </c>
      <c r="B7664" t="s">
        <v>8882</v>
      </c>
      <c r="C7664">
        <v>0</v>
      </c>
      <c r="D7664">
        <v>0.99286848668000005</v>
      </c>
      <c r="E7664">
        <v>13.0854572713643</v>
      </c>
    </row>
    <row r="7665" spans="1:5">
      <c r="A7665" t="s">
        <v>8879</v>
      </c>
      <c r="B7665" t="s">
        <v>8883</v>
      </c>
      <c r="C7665">
        <v>0</v>
      </c>
      <c r="D7665">
        <v>0.99286848668000005</v>
      </c>
      <c r="E7665">
        <v>13.0854572713643</v>
      </c>
    </row>
    <row r="7666" spans="1:5">
      <c r="A7666" t="s">
        <v>8879</v>
      </c>
      <c r="B7666" t="s">
        <v>8884</v>
      </c>
      <c r="C7666">
        <v>0</v>
      </c>
      <c r="D7666">
        <v>0.99286848668000005</v>
      </c>
      <c r="E7666">
        <v>13.0854572713643</v>
      </c>
    </row>
    <row r="7667" spans="1:5">
      <c r="A7667" t="s">
        <v>8879</v>
      </c>
      <c r="B7667" t="s">
        <v>8885</v>
      </c>
      <c r="C7667">
        <f>0</f>
        <v>0</v>
      </c>
      <c r="D7667">
        <v>0.99286848668000005</v>
      </c>
      <c r="E7667">
        <v>13.0854572713643</v>
      </c>
    </row>
    <row r="7668" spans="1:5">
      <c r="A7668" t="s">
        <v>8879</v>
      </c>
      <c r="B7668" t="s">
        <v>8886</v>
      </c>
      <c r="C7668">
        <f>0.150782775659</f>
        <v>0.150782775659</v>
      </c>
      <c r="D7668">
        <v>0.99286848668000005</v>
      </c>
      <c r="E7668">
        <v>13.0854572713643</v>
      </c>
    </row>
    <row r="7669" spans="1:5">
      <c r="A7669" t="s">
        <v>8879</v>
      </c>
      <c r="B7669" t="s">
        <v>8887</v>
      </c>
      <c r="C7669">
        <v>0</v>
      </c>
      <c r="D7669">
        <v>0.99286848668000005</v>
      </c>
      <c r="E7669">
        <v>13.0854572713643</v>
      </c>
    </row>
    <row r="7670" spans="1:5">
      <c r="A7670" t="s">
        <v>8879</v>
      </c>
      <c r="B7670" t="s">
        <v>8888</v>
      </c>
      <c r="C7670">
        <v>0</v>
      </c>
      <c r="D7670">
        <v>0.99286848668000005</v>
      </c>
      <c r="E7670">
        <v>13.0854572713643</v>
      </c>
    </row>
    <row r="7671" spans="1:5">
      <c r="A7671" t="s">
        <v>8879</v>
      </c>
      <c r="B7671" t="s">
        <v>8889</v>
      </c>
      <c r="C7671">
        <f>0</f>
        <v>0</v>
      </c>
      <c r="D7671">
        <v>0.99286848668000005</v>
      </c>
      <c r="E7671">
        <v>13.0854572713643</v>
      </c>
    </row>
    <row r="7672" spans="1:5">
      <c r="A7672" t="s">
        <v>8879</v>
      </c>
      <c r="B7672" t="s">
        <v>8890</v>
      </c>
      <c r="C7672">
        <f>0</f>
        <v>0</v>
      </c>
      <c r="D7672">
        <v>0.99286848668000005</v>
      </c>
      <c r="E7672">
        <v>13.0854572713643</v>
      </c>
    </row>
    <row r="7673" spans="1:5">
      <c r="A7673" t="s">
        <v>8879</v>
      </c>
      <c r="B7673" t="s">
        <v>8891</v>
      </c>
      <c r="C7673">
        <f>0</f>
        <v>0</v>
      </c>
      <c r="D7673">
        <v>0.99286848668000005</v>
      </c>
      <c r="E7673">
        <v>13.0854572713643</v>
      </c>
    </row>
    <row r="7674" spans="1:5">
      <c r="A7674" t="s">
        <v>8879</v>
      </c>
      <c r="B7674" t="s">
        <v>8892</v>
      </c>
      <c r="C7674">
        <f>0</f>
        <v>0</v>
      </c>
      <c r="D7674">
        <v>0.99286848668000005</v>
      </c>
      <c r="E7674">
        <v>13.0854572713643</v>
      </c>
    </row>
    <row r="7675" spans="1:5">
      <c r="A7675" t="s">
        <v>8879</v>
      </c>
      <c r="B7675" t="s">
        <v>8893</v>
      </c>
      <c r="C7675">
        <f>0</f>
        <v>0</v>
      </c>
      <c r="D7675">
        <v>0.99286848668000005</v>
      </c>
      <c r="E7675">
        <v>13.0854572713643</v>
      </c>
    </row>
    <row r="7676" spans="1:5">
      <c r="A7676" t="s">
        <v>8894</v>
      </c>
      <c r="B7676" t="s">
        <v>8895</v>
      </c>
      <c r="C7676">
        <f>0</f>
        <v>0</v>
      </c>
      <c r="D7676">
        <v>0.59172146023000005</v>
      </c>
      <c r="E7676">
        <v>20.2938530734632</v>
      </c>
    </row>
    <row r="7677" spans="1:5">
      <c r="A7677" t="s">
        <v>8894</v>
      </c>
      <c r="B7677" t="s">
        <v>8896</v>
      </c>
      <c r="C7677">
        <f>0</f>
        <v>0</v>
      </c>
      <c r="D7677">
        <v>0.59172146023000005</v>
      </c>
      <c r="E7677">
        <v>20.2938530734632</v>
      </c>
    </row>
    <row r="7678" spans="1:5">
      <c r="A7678" t="s">
        <v>8894</v>
      </c>
      <c r="B7678" t="s">
        <v>8897</v>
      </c>
      <c r="C7678">
        <v>0</v>
      </c>
      <c r="D7678">
        <v>0.59172146023000005</v>
      </c>
      <c r="E7678">
        <v>20.2938530734632</v>
      </c>
    </row>
    <row r="7679" spans="1:5">
      <c r="A7679" t="s">
        <v>8894</v>
      </c>
      <c r="B7679" t="s">
        <v>8898</v>
      </c>
      <c r="C7679">
        <v>0</v>
      </c>
      <c r="D7679">
        <v>0.59172146023000005</v>
      </c>
      <c r="E7679">
        <v>20.2938530734632</v>
      </c>
    </row>
    <row r="7680" spans="1:5">
      <c r="A7680" t="s">
        <v>8894</v>
      </c>
      <c r="B7680" t="s">
        <v>8899</v>
      </c>
      <c r="C7680">
        <v>6.8643875378900002E-2</v>
      </c>
      <c r="D7680">
        <v>0.59172146023000005</v>
      </c>
      <c r="E7680">
        <v>20.2938530734632</v>
      </c>
    </row>
    <row r="7681" spans="1:5">
      <c r="A7681" t="s">
        <v>8900</v>
      </c>
      <c r="B7681" t="s">
        <v>8901</v>
      </c>
      <c r="C7681">
        <f>0</f>
        <v>0</v>
      </c>
      <c r="D7681">
        <v>0.68548866843199996</v>
      </c>
      <c r="E7681">
        <v>23.508245877061398</v>
      </c>
    </row>
    <row r="7682" spans="1:5">
      <c r="A7682" t="s">
        <v>8900</v>
      </c>
      <c r="B7682" t="s">
        <v>8902</v>
      </c>
      <c r="C7682">
        <v>0</v>
      </c>
      <c r="D7682">
        <v>0.68548866843199996</v>
      </c>
      <c r="E7682">
        <v>23.508245877061398</v>
      </c>
    </row>
    <row r="7683" spans="1:5">
      <c r="A7683" t="s">
        <v>8900</v>
      </c>
      <c r="B7683" t="s">
        <v>8903</v>
      </c>
      <c r="C7683">
        <f>0.124232383896</f>
        <v>0.124232383896</v>
      </c>
      <c r="D7683">
        <v>0.68548866843199996</v>
      </c>
      <c r="E7683">
        <v>23.508245877061398</v>
      </c>
    </row>
    <row r="7684" spans="1:5">
      <c r="A7684" t="s">
        <v>8900</v>
      </c>
      <c r="B7684" t="s">
        <v>8904</v>
      </c>
      <c r="C7684">
        <f>0</f>
        <v>0</v>
      </c>
      <c r="D7684">
        <v>0.68548866843199996</v>
      </c>
      <c r="E7684">
        <v>23.508245877061398</v>
      </c>
    </row>
    <row r="7685" spans="1:5">
      <c r="A7685" t="s">
        <v>8900</v>
      </c>
      <c r="B7685" t="s">
        <v>8905</v>
      </c>
      <c r="C7685">
        <v>0</v>
      </c>
      <c r="D7685">
        <v>0.68548866843199996</v>
      </c>
      <c r="E7685">
        <v>23.508245877061398</v>
      </c>
    </row>
    <row r="7686" spans="1:5">
      <c r="A7686" t="s">
        <v>8900</v>
      </c>
      <c r="B7686" t="s">
        <v>8906</v>
      </c>
      <c r="C7686">
        <v>0</v>
      </c>
      <c r="D7686">
        <v>0.68548866843199996</v>
      </c>
      <c r="E7686">
        <v>23.508245877061398</v>
      </c>
    </row>
    <row r="7687" spans="1:5">
      <c r="A7687" t="s">
        <v>8900</v>
      </c>
      <c r="B7687" t="s">
        <v>8907</v>
      </c>
      <c r="C7687">
        <f>0</f>
        <v>0</v>
      </c>
      <c r="D7687">
        <v>0.68548866843199996</v>
      </c>
      <c r="E7687">
        <v>23.508245877061398</v>
      </c>
    </row>
    <row r="7688" spans="1:5">
      <c r="A7688" t="s">
        <v>8900</v>
      </c>
      <c r="B7688" t="s">
        <v>8908</v>
      </c>
      <c r="C7688">
        <f>0</f>
        <v>0</v>
      </c>
      <c r="D7688">
        <v>0.68548866843199996</v>
      </c>
      <c r="E7688">
        <v>23.508245877061398</v>
      </c>
    </row>
    <row r="7689" spans="1:5">
      <c r="A7689" t="s">
        <v>8900</v>
      </c>
      <c r="B7689" t="s">
        <v>8909</v>
      </c>
      <c r="C7689">
        <f>0</f>
        <v>0</v>
      </c>
      <c r="D7689">
        <v>0.68548866843199996</v>
      </c>
      <c r="E7689">
        <v>23.508245877061398</v>
      </c>
    </row>
    <row r="7690" spans="1:5">
      <c r="A7690" t="s">
        <v>8910</v>
      </c>
      <c r="B7690" t="s">
        <v>8911</v>
      </c>
      <c r="C7690">
        <f>0</f>
        <v>0</v>
      </c>
      <c r="D7690" t="s">
        <v>106</v>
      </c>
      <c r="E7690">
        <v>13.2653673163418</v>
      </c>
    </row>
    <row r="7691" spans="1:5">
      <c r="A7691" t="s">
        <v>8910</v>
      </c>
      <c r="B7691" t="s">
        <v>8912</v>
      </c>
      <c r="C7691">
        <f>0</f>
        <v>0</v>
      </c>
      <c r="D7691" t="s">
        <v>106</v>
      </c>
      <c r="E7691">
        <v>13.2653673163418</v>
      </c>
    </row>
    <row r="7692" spans="1:5">
      <c r="A7692" t="s">
        <v>8910</v>
      </c>
      <c r="B7692" t="s">
        <v>8913</v>
      </c>
      <c r="C7692">
        <f>0</f>
        <v>0</v>
      </c>
      <c r="D7692" t="s">
        <v>106</v>
      </c>
      <c r="E7692">
        <v>13.2653673163418</v>
      </c>
    </row>
    <row r="7693" spans="1:5">
      <c r="A7693" t="s">
        <v>8910</v>
      </c>
      <c r="B7693" t="s">
        <v>8914</v>
      </c>
      <c r="C7693">
        <f>0</f>
        <v>0</v>
      </c>
      <c r="D7693" t="s">
        <v>106</v>
      </c>
      <c r="E7693">
        <v>13.2653673163418</v>
      </c>
    </row>
    <row r="7694" spans="1:5">
      <c r="A7694" t="s">
        <v>8915</v>
      </c>
      <c r="B7694" t="s">
        <v>8916</v>
      </c>
      <c r="C7694">
        <v>0</v>
      </c>
      <c r="D7694" t="s">
        <v>106</v>
      </c>
      <c r="E7694">
        <v>18.554722638680602</v>
      </c>
    </row>
    <row r="7695" spans="1:5">
      <c r="A7695" t="s">
        <v>8917</v>
      </c>
      <c r="B7695" t="s">
        <v>8918</v>
      </c>
      <c r="C7695">
        <v>0.257416919583</v>
      </c>
      <c r="D7695">
        <v>0.96552077706499995</v>
      </c>
      <c r="E7695">
        <v>5.5772113943028403</v>
      </c>
    </row>
    <row r="7696" spans="1:5">
      <c r="A7696" t="s">
        <v>8917</v>
      </c>
      <c r="B7696" t="s">
        <v>8919</v>
      </c>
      <c r="C7696">
        <v>0</v>
      </c>
      <c r="D7696">
        <v>0.96552077706499995</v>
      </c>
      <c r="E7696">
        <v>5.5772113943028403</v>
      </c>
    </row>
    <row r="7697" spans="1:5">
      <c r="A7697" t="s">
        <v>8917</v>
      </c>
      <c r="B7697" t="s">
        <v>8920</v>
      </c>
      <c r="C7697">
        <v>0</v>
      </c>
      <c r="D7697">
        <v>0.96552077706499995</v>
      </c>
      <c r="E7697">
        <v>5.5772113943028403</v>
      </c>
    </row>
    <row r="7698" spans="1:5">
      <c r="A7698" t="s">
        <v>8917</v>
      </c>
      <c r="B7698" t="s">
        <v>8921</v>
      </c>
      <c r="C7698">
        <v>0</v>
      </c>
      <c r="D7698">
        <v>0.96552077706499995</v>
      </c>
      <c r="E7698">
        <v>5.5772113943028403</v>
      </c>
    </row>
    <row r="7699" spans="1:5">
      <c r="A7699" t="s">
        <v>8917</v>
      </c>
      <c r="B7699" t="s">
        <v>8922</v>
      </c>
      <c r="C7699">
        <f>0</f>
        <v>0</v>
      </c>
      <c r="D7699">
        <v>0.96552077706499995</v>
      </c>
      <c r="E7699">
        <v>5.5772113943028403</v>
      </c>
    </row>
    <row r="7700" spans="1:5">
      <c r="A7700" t="s">
        <v>8917</v>
      </c>
      <c r="B7700" t="s">
        <v>8923</v>
      </c>
      <c r="C7700">
        <f>0</f>
        <v>0</v>
      </c>
      <c r="D7700">
        <v>0.96552077706499995</v>
      </c>
      <c r="E7700">
        <v>5.5772113943028403</v>
      </c>
    </row>
    <row r="7701" spans="1:5">
      <c r="A7701" t="s">
        <v>8917</v>
      </c>
      <c r="B7701" t="s">
        <v>8924</v>
      </c>
      <c r="C7701">
        <v>0</v>
      </c>
      <c r="D7701">
        <v>0.96552077706499995</v>
      </c>
      <c r="E7701">
        <v>5.5772113943028403</v>
      </c>
    </row>
    <row r="7702" spans="1:5">
      <c r="A7702" t="s">
        <v>8917</v>
      </c>
      <c r="B7702" t="s">
        <v>8925</v>
      </c>
      <c r="C7702">
        <f>0</f>
        <v>0</v>
      </c>
      <c r="D7702">
        <v>0.96552077706499995</v>
      </c>
      <c r="E7702">
        <v>5.5772113943028403</v>
      </c>
    </row>
    <row r="7703" spans="1:5">
      <c r="A7703" t="s">
        <v>8917</v>
      </c>
      <c r="B7703" t="s">
        <v>8926</v>
      </c>
      <c r="C7703">
        <v>0</v>
      </c>
      <c r="D7703">
        <v>0.96552077706499995</v>
      </c>
      <c r="E7703">
        <v>5.5772113943028403</v>
      </c>
    </row>
    <row r="7704" spans="1:5">
      <c r="A7704" t="s">
        <v>8917</v>
      </c>
      <c r="B7704" t="s">
        <v>8927</v>
      </c>
      <c r="C7704">
        <v>0</v>
      </c>
      <c r="D7704">
        <v>0.96552077706499995</v>
      </c>
      <c r="E7704">
        <v>5.5772113943028403</v>
      </c>
    </row>
    <row r="7705" spans="1:5">
      <c r="A7705" t="s">
        <v>8917</v>
      </c>
      <c r="B7705" t="s">
        <v>8928</v>
      </c>
      <c r="C7705">
        <v>0</v>
      </c>
      <c r="D7705">
        <v>0.96552077706499995</v>
      </c>
      <c r="E7705">
        <v>5.5772113943028403</v>
      </c>
    </row>
    <row r="7706" spans="1:5">
      <c r="A7706" t="s">
        <v>8917</v>
      </c>
      <c r="B7706" t="s">
        <v>8929</v>
      </c>
      <c r="C7706">
        <v>0</v>
      </c>
      <c r="D7706">
        <v>0.96552077706499995</v>
      </c>
      <c r="E7706">
        <v>5.5772113943028403</v>
      </c>
    </row>
    <row r="7707" spans="1:5">
      <c r="A7707" t="s">
        <v>8917</v>
      </c>
      <c r="B7707" t="s">
        <v>8930</v>
      </c>
      <c r="C7707">
        <f>0</f>
        <v>0</v>
      </c>
      <c r="D7707">
        <v>0.96552077706499995</v>
      </c>
      <c r="E7707">
        <v>5.5772113943028403</v>
      </c>
    </row>
    <row r="7708" spans="1:5">
      <c r="A7708" t="s">
        <v>8931</v>
      </c>
      <c r="B7708" t="s">
        <v>8932</v>
      </c>
      <c r="C7708">
        <v>0.40489101881099998</v>
      </c>
      <c r="D7708">
        <v>0.95519076946399994</v>
      </c>
      <c r="E7708">
        <v>12.7376311844077</v>
      </c>
    </row>
    <row r="7709" spans="1:5">
      <c r="A7709" t="s">
        <v>8931</v>
      </c>
      <c r="B7709" t="s">
        <v>8933</v>
      </c>
      <c r="C7709">
        <f>0</f>
        <v>0</v>
      </c>
      <c r="D7709">
        <v>0.95519076946399994</v>
      </c>
      <c r="E7709">
        <v>12.7376311844077</v>
      </c>
    </row>
    <row r="7710" spans="1:5">
      <c r="A7710" t="s">
        <v>8931</v>
      </c>
      <c r="B7710" t="s">
        <v>8934</v>
      </c>
      <c r="C7710">
        <v>0</v>
      </c>
      <c r="D7710">
        <v>0.95519076946399994</v>
      </c>
      <c r="E7710">
        <v>12.7376311844077</v>
      </c>
    </row>
    <row r="7711" spans="1:5">
      <c r="A7711" t="s">
        <v>8931</v>
      </c>
      <c r="B7711" t="s">
        <v>8935</v>
      </c>
      <c r="C7711">
        <v>0</v>
      </c>
      <c r="D7711">
        <v>0.95519076946399994</v>
      </c>
      <c r="E7711">
        <v>12.7376311844077</v>
      </c>
    </row>
    <row r="7712" spans="1:5">
      <c r="A7712" t="s">
        <v>8931</v>
      </c>
      <c r="B7712" t="s">
        <v>8936</v>
      </c>
      <c r="C7712">
        <v>0</v>
      </c>
      <c r="D7712">
        <v>0.95519076946399994</v>
      </c>
      <c r="E7712">
        <v>12.7376311844077</v>
      </c>
    </row>
    <row r="7713" spans="1:5">
      <c r="A7713" t="s">
        <v>8931</v>
      </c>
      <c r="B7713" t="s">
        <v>8937</v>
      </c>
      <c r="C7713">
        <f>0</f>
        <v>0</v>
      </c>
      <c r="D7713">
        <v>0.95519076946399994</v>
      </c>
      <c r="E7713">
        <v>12.7376311844077</v>
      </c>
    </row>
    <row r="7714" spans="1:5">
      <c r="A7714" t="s">
        <v>8931</v>
      </c>
      <c r="B7714" t="s">
        <v>8938</v>
      </c>
      <c r="C7714">
        <f>0</f>
        <v>0</v>
      </c>
      <c r="D7714">
        <v>0.95519076946399994</v>
      </c>
      <c r="E7714">
        <v>12.7376311844077</v>
      </c>
    </row>
    <row r="7715" spans="1:5">
      <c r="A7715" t="s">
        <v>8931</v>
      </c>
      <c r="B7715" t="s">
        <v>8939</v>
      </c>
      <c r="C7715">
        <f>0.0163693674912</f>
        <v>1.63693674912E-2</v>
      </c>
      <c r="D7715">
        <v>0.95519076946399994</v>
      </c>
      <c r="E7715">
        <v>12.7376311844077</v>
      </c>
    </row>
    <row r="7716" spans="1:5">
      <c r="A7716" t="s">
        <v>8940</v>
      </c>
      <c r="B7716" t="s">
        <v>8941</v>
      </c>
      <c r="C7716">
        <v>0</v>
      </c>
      <c r="D7716" t="s">
        <v>106</v>
      </c>
      <c r="E7716">
        <v>17.715142428785601</v>
      </c>
    </row>
    <row r="7717" spans="1:5">
      <c r="A7717" t="s">
        <v>8940</v>
      </c>
      <c r="B7717" t="s">
        <v>8942</v>
      </c>
      <c r="C7717">
        <f>0</f>
        <v>0</v>
      </c>
      <c r="D7717" t="s">
        <v>106</v>
      </c>
      <c r="E7717">
        <v>17.715142428785601</v>
      </c>
    </row>
    <row r="7718" spans="1:5">
      <c r="A7718" t="s">
        <v>8940</v>
      </c>
      <c r="B7718" t="s">
        <v>8943</v>
      </c>
      <c r="C7718">
        <f>0</f>
        <v>0</v>
      </c>
      <c r="D7718" t="s">
        <v>106</v>
      </c>
      <c r="E7718">
        <v>17.715142428785601</v>
      </c>
    </row>
    <row r="7719" spans="1:5">
      <c r="A7719" t="s">
        <v>8940</v>
      </c>
      <c r="B7719" t="s">
        <v>8944</v>
      </c>
      <c r="C7719">
        <v>0</v>
      </c>
      <c r="D7719" t="s">
        <v>106</v>
      </c>
      <c r="E7719">
        <v>17.715142428785601</v>
      </c>
    </row>
    <row r="7720" spans="1:5">
      <c r="A7720" t="s">
        <v>8940</v>
      </c>
      <c r="B7720" t="s">
        <v>8945</v>
      </c>
      <c r="C7720">
        <v>0</v>
      </c>
      <c r="D7720" t="s">
        <v>106</v>
      </c>
      <c r="E7720">
        <v>17.715142428785601</v>
      </c>
    </row>
    <row r="7721" spans="1:5">
      <c r="A7721" t="s">
        <v>8940</v>
      </c>
      <c r="B7721" t="s">
        <v>8946</v>
      </c>
      <c r="C7721">
        <v>0</v>
      </c>
      <c r="D7721" t="s">
        <v>106</v>
      </c>
      <c r="E7721">
        <v>17.715142428785601</v>
      </c>
    </row>
    <row r="7722" spans="1:5">
      <c r="A7722" t="s">
        <v>8940</v>
      </c>
      <c r="B7722" t="s">
        <v>8947</v>
      </c>
      <c r="C7722">
        <f>0</f>
        <v>0</v>
      </c>
      <c r="D7722" t="s">
        <v>106</v>
      </c>
      <c r="E7722">
        <v>17.715142428785601</v>
      </c>
    </row>
    <row r="7723" spans="1:5">
      <c r="A7723" t="s">
        <v>8940</v>
      </c>
      <c r="B7723" t="s">
        <v>8948</v>
      </c>
      <c r="C7723">
        <f>0.00950275509053</f>
        <v>9.50275509053E-3</v>
      </c>
      <c r="D7723" t="s">
        <v>106</v>
      </c>
      <c r="E7723">
        <v>17.715142428785601</v>
      </c>
    </row>
    <row r="7724" spans="1:5">
      <c r="A7724" t="s">
        <v>8940</v>
      </c>
      <c r="B7724" t="s">
        <v>8949</v>
      </c>
      <c r="C7724">
        <v>0</v>
      </c>
      <c r="D7724" t="s">
        <v>106</v>
      </c>
      <c r="E7724">
        <v>17.715142428785601</v>
      </c>
    </row>
    <row r="7725" spans="1:5">
      <c r="A7725" t="s">
        <v>8940</v>
      </c>
      <c r="B7725" t="s">
        <v>8950</v>
      </c>
      <c r="C7725">
        <v>7.8832558532300007E-2</v>
      </c>
      <c r="D7725" t="s">
        <v>106</v>
      </c>
      <c r="E7725">
        <v>17.715142428785601</v>
      </c>
    </row>
    <row r="7726" spans="1:5">
      <c r="A7726" t="s">
        <v>8940</v>
      </c>
      <c r="B7726" t="s">
        <v>8951</v>
      </c>
      <c r="C7726">
        <v>0</v>
      </c>
      <c r="D7726" t="s">
        <v>106</v>
      </c>
      <c r="E7726">
        <v>17.715142428785601</v>
      </c>
    </row>
    <row r="7727" spans="1:5">
      <c r="A7727" t="s">
        <v>8952</v>
      </c>
      <c r="B7727" t="s">
        <v>8953</v>
      </c>
      <c r="C7727">
        <v>0</v>
      </c>
      <c r="D7727" t="s">
        <v>106</v>
      </c>
      <c r="E7727">
        <v>24</v>
      </c>
    </row>
    <row r="7728" spans="1:5">
      <c r="A7728" t="s">
        <v>8952</v>
      </c>
      <c r="B7728" t="s">
        <v>8954</v>
      </c>
      <c r="C7728">
        <v>0</v>
      </c>
      <c r="D7728" t="s">
        <v>106</v>
      </c>
      <c r="E7728">
        <v>24</v>
      </c>
    </row>
    <row r="7729" spans="1:5">
      <c r="A7729" t="s">
        <v>8952</v>
      </c>
      <c r="B7729" t="s">
        <v>8955</v>
      </c>
      <c r="C7729">
        <f>0</f>
        <v>0</v>
      </c>
      <c r="D7729" t="s">
        <v>106</v>
      </c>
      <c r="E7729">
        <v>24</v>
      </c>
    </row>
    <row r="7730" spans="1:5">
      <c r="A7730" t="s">
        <v>8952</v>
      </c>
      <c r="B7730" t="s">
        <v>8956</v>
      </c>
      <c r="C7730">
        <v>0</v>
      </c>
      <c r="D7730" t="s">
        <v>106</v>
      </c>
      <c r="E7730">
        <v>24</v>
      </c>
    </row>
    <row r="7731" spans="1:5">
      <c r="A7731" t="s">
        <v>8952</v>
      </c>
      <c r="B7731" t="s">
        <v>8957</v>
      </c>
      <c r="C7731">
        <v>0</v>
      </c>
      <c r="D7731" t="s">
        <v>106</v>
      </c>
      <c r="E7731">
        <v>24</v>
      </c>
    </row>
    <row r="7732" spans="1:5">
      <c r="A7732" t="s">
        <v>8958</v>
      </c>
      <c r="B7732" t="s">
        <v>8959</v>
      </c>
      <c r="C7732">
        <v>0</v>
      </c>
      <c r="D7732" t="s">
        <v>106</v>
      </c>
      <c r="E7732">
        <v>4.68965517241379</v>
      </c>
    </row>
    <row r="7733" spans="1:5">
      <c r="A7733" t="s">
        <v>8958</v>
      </c>
      <c r="B7733" t="s">
        <v>8960</v>
      </c>
      <c r="C7733">
        <f>0.0465398198673</f>
        <v>4.6539819867299999E-2</v>
      </c>
      <c r="D7733" t="s">
        <v>106</v>
      </c>
      <c r="E7733">
        <v>4.68965517241379</v>
      </c>
    </row>
    <row r="7734" spans="1:5">
      <c r="A7734" t="s">
        <v>8958</v>
      </c>
      <c r="B7734" t="s">
        <v>8961</v>
      </c>
      <c r="C7734">
        <v>0</v>
      </c>
      <c r="D7734" t="s">
        <v>106</v>
      </c>
      <c r="E7734">
        <v>4.68965517241379</v>
      </c>
    </row>
    <row r="7735" spans="1:5">
      <c r="A7735" t="s">
        <v>8958</v>
      </c>
      <c r="B7735" t="s">
        <v>8962</v>
      </c>
      <c r="C7735">
        <v>0</v>
      </c>
      <c r="D7735" t="s">
        <v>106</v>
      </c>
      <c r="E7735">
        <v>4.68965517241379</v>
      </c>
    </row>
    <row r="7736" spans="1:5">
      <c r="A7736" t="s">
        <v>8958</v>
      </c>
      <c r="B7736" t="s">
        <v>8963</v>
      </c>
      <c r="C7736">
        <f>0</f>
        <v>0</v>
      </c>
      <c r="D7736" t="s">
        <v>106</v>
      </c>
      <c r="E7736">
        <v>4.68965517241379</v>
      </c>
    </row>
    <row r="7737" spans="1:5">
      <c r="A7737" t="s">
        <v>8958</v>
      </c>
      <c r="B7737" t="s">
        <v>8964</v>
      </c>
      <c r="C7737">
        <v>0.70516425067699995</v>
      </c>
      <c r="D7737" t="s">
        <v>106</v>
      </c>
      <c r="E7737">
        <v>4.68965517241379</v>
      </c>
    </row>
    <row r="7738" spans="1:5">
      <c r="A7738" t="s">
        <v>8958</v>
      </c>
      <c r="B7738" t="s">
        <v>8965</v>
      </c>
      <c r="C7738">
        <v>0</v>
      </c>
      <c r="D7738" t="s">
        <v>106</v>
      </c>
      <c r="E7738">
        <v>4.68965517241379</v>
      </c>
    </row>
    <row r="7739" spans="1:5">
      <c r="A7739" t="s">
        <v>8966</v>
      </c>
      <c r="B7739" t="s">
        <v>8967</v>
      </c>
      <c r="C7739">
        <f>0</f>
        <v>0</v>
      </c>
      <c r="D7739">
        <v>0.66593055782599997</v>
      </c>
      <c r="E7739">
        <v>5.3493253373313303</v>
      </c>
    </row>
    <row r="7740" spans="1:5">
      <c r="A7740" t="s">
        <v>8966</v>
      </c>
      <c r="B7740" t="s">
        <v>8968</v>
      </c>
      <c r="C7740">
        <f>0</f>
        <v>0</v>
      </c>
      <c r="D7740">
        <v>0.66593055782599997</v>
      </c>
      <c r="E7740">
        <v>5.3493253373313303</v>
      </c>
    </row>
    <row r="7741" spans="1:5">
      <c r="A7741" t="s">
        <v>8966</v>
      </c>
      <c r="B7741" t="s">
        <v>8969</v>
      </c>
      <c r="C7741">
        <v>0</v>
      </c>
      <c r="D7741">
        <v>0.66593055782599997</v>
      </c>
      <c r="E7741">
        <v>5.3493253373313303</v>
      </c>
    </row>
    <row r="7742" spans="1:5">
      <c r="A7742" t="s">
        <v>8966</v>
      </c>
      <c r="B7742" t="s">
        <v>8970</v>
      </c>
      <c r="C7742">
        <v>0</v>
      </c>
      <c r="D7742">
        <v>0.66593055782599997</v>
      </c>
      <c r="E7742">
        <v>5.3493253373313303</v>
      </c>
    </row>
    <row r="7743" spans="1:5">
      <c r="A7743" t="s">
        <v>8966</v>
      </c>
      <c r="B7743" t="s">
        <v>8971</v>
      </c>
      <c r="C7743">
        <f>0</f>
        <v>0</v>
      </c>
      <c r="D7743">
        <v>0.66593055782599997</v>
      </c>
      <c r="E7743">
        <v>5.3493253373313303</v>
      </c>
    </row>
    <row r="7744" spans="1:5">
      <c r="A7744" t="s">
        <v>8966</v>
      </c>
      <c r="B7744" t="s">
        <v>8972</v>
      </c>
      <c r="C7744">
        <v>0</v>
      </c>
      <c r="D7744">
        <v>0.66593055782599997</v>
      </c>
      <c r="E7744">
        <v>5.3493253373313303</v>
      </c>
    </row>
    <row r="7745" spans="1:5">
      <c r="A7745" t="s">
        <v>8966</v>
      </c>
      <c r="B7745" t="s">
        <v>8973</v>
      </c>
      <c r="C7745">
        <f>0</f>
        <v>0</v>
      </c>
      <c r="D7745">
        <v>0.66593055782599997</v>
      </c>
      <c r="E7745">
        <v>5.3493253373313303</v>
      </c>
    </row>
    <row r="7746" spans="1:5">
      <c r="A7746" t="s">
        <v>8966</v>
      </c>
      <c r="B7746" t="s">
        <v>8974</v>
      </c>
      <c r="C7746">
        <v>0</v>
      </c>
      <c r="D7746">
        <v>0.66593055782599997</v>
      </c>
      <c r="E7746">
        <v>5.3493253373313303</v>
      </c>
    </row>
    <row r="7747" spans="1:5">
      <c r="A7747" t="s">
        <v>8966</v>
      </c>
      <c r="B7747" t="s">
        <v>8975</v>
      </c>
      <c r="C7747">
        <f>0</f>
        <v>0</v>
      </c>
      <c r="D7747">
        <v>0.66593055782599997</v>
      </c>
      <c r="E7747">
        <v>5.3493253373313303</v>
      </c>
    </row>
    <row r="7748" spans="1:5">
      <c r="A7748" t="s">
        <v>8966</v>
      </c>
      <c r="B7748" t="s">
        <v>8976</v>
      </c>
      <c r="C7748">
        <v>0</v>
      </c>
      <c r="D7748">
        <v>0.66593055782599997</v>
      </c>
      <c r="E7748">
        <v>5.3493253373313303</v>
      </c>
    </row>
    <row r="7749" spans="1:5">
      <c r="A7749" t="s">
        <v>8966</v>
      </c>
      <c r="B7749" t="s">
        <v>8977</v>
      </c>
      <c r="C7749">
        <f>0.154781786868</f>
        <v>0.15478178686800001</v>
      </c>
      <c r="D7749">
        <v>0.66593055782599997</v>
      </c>
      <c r="E7749">
        <v>5.3493253373313303</v>
      </c>
    </row>
    <row r="7750" spans="1:5">
      <c r="A7750" t="s">
        <v>8966</v>
      </c>
      <c r="B7750" t="s">
        <v>8978</v>
      </c>
      <c r="C7750">
        <v>0</v>
      </c>
      <c r="D7750">
        <v>0.66593055782599997</v>
      </c>
      <c r="E7750">
        <v>5.3493253373313303</v>
      </c>
    </row>
    <row r="7751" spans="1:5">
      <c r="A7751" t="s">
        <v>8966</v>
      </c>
      <c r="B7751" t="s">
        <v>8979</v>
      </c>
      <c r="C7751">
        <f>0</f>
        <v>0</v>
      </c>
      <c r="D7751">
        <v>0.66593055782599997</v>
      </c>
      <c r="E7751">
        <v>5.3493253373313303</v>
      </c>
    </row>
    <row r="7752" spans="1:5">
      <c r="A7752" t="s">
        <v>8966</v>
      </c>
      <c r="B7752" t="s">
        <v>8980</v>
      </c>
      <c r="C7752">
        <f>0</f>
        <v>0</v>
      </c>
      <c r="D7752">
        <v>0.66593055782599997</v>
      </c>
      <c r="E7752">
        <v>5.3493253373313303</v>
      </c>
    </row>
    <row r="7753" spans="1:5">
      <c r="A7753" t="s">
        <v>8966</v>
      </c>
      <c r="B7753" t="s">
        <v>8981</v>
      </c>
      <c r="C7753">
        <f>0</f>
        <v>0</v>
      </c>
      <c r="D7753">
        <v>0.66593055782599997</v>
      </c>
      <c r="E7753">
        <v>5.3493253373313303</v>
      </c>
    </row>
    <row r="7754" spans="1:5">
      <c r="A7754" t="s">
        <v>8966</v>
      </c>
      <c r="B7754" t="s">
        <v>8982</v>
      </c>
      <c r="C7754">
        <v>0</v>
      </c>
      <c r="D7754">
        <v>0.66593055782599997</v>
      </c>
      <c r="E7754">
        <v>5.3493253373313303</v>
      </c>
    </row>
    <row r="7755" spans="1:5">
      <c r="A7755" t="s">
        <v>8966</v>
      </c>
      <c r="B7755" t="s">
        <v>8983</v>
      </c>
      <c r="C7755">
        <f>0</f>
        <v>0</v>
      </c>
      <c r="D7755">
        <v>0.66593055782599997</v>
      </c>
      <c r="E7755">
        <v>5.3493253373313303</v>
      </c>
    </row>
    <row r="7756" spans="1:5">
      <c r="A7756" t="s">
        <v>8984</v>
      </c>
      <c r="B7756" t="s">
        <v>8985</v>
      </c>
      <c r="C7756">
        <f>0</f>
        <v>0</v>
      </c>
      <c r="D7756">
        <v>0.65655089264199995</v>
      </c>
      <c r="E7756">
        <v>19.1904047976012</v>
      </c>
    </row>
    <row r="7757" spans="1:5">
      <c r="A7757" t="s">
        <v>8984</v>
      </c>
      <c r="B7757" t="s">
        <v>8986</v>
      </c>
      <c r="C7757">
        <v>0</v>
      </c>
      <c r="D7757">
        <v>0.65655089264199995</v>
      </c>
      <c r="E7757">
        <v>19.1904047976012</v>
      </c>
    </row>
    <row r="7758" spans="1:5">
      <c r="A7758" t="s">
        <v>8984</v>
      </c>
      <c r="B7758" t="s">
        <v>8987</v>
      </c>
      <c r="C7758">
        <f>0</f>
        <v>0</v>
      </c>
      <c r="D7758">
        <v>0.65655089264199995</v>
      </c>
      <c r="E7758">
        <v>19.1904047976012</v>
      </c>
    </row>
    <row r="7759" spans="1:5">
      <c r="A7759" t="s">
        <v>8984</v>
      </c>
      <c r="B7759" t="s">
        <v>8988</v>
      </c>
      <c r="C7759">
        <f>0</f>
        <v>0</v>
      </c>
      <c r="D7759">
        <v>0.65655089264199995</v>
      </c>
      <c r="E7759">
        <v>19.1904047976012</v>
      </c>
    </row>
    <row r="7760" spans="1:5">
      <c r="A7760" t="s">
        <v>8984</v>
      </c>
      <c r="B7760" t="s">
        <v>8989</v>
      </c>
      <c r="C7760">
        <v>0</v>
      </c>
      <c r="D7760">
        <v>0.65655089264199995</v>
      </c>
      <c r="E7760">
        <v>19.1904047976012</v>
      </c>
    </row>
    <row r="7761" spans="1:5">
      <c r="A7761" t="s">
        <v>8990</v>
      </c>
      <c r="B7761" t="s">
        <v>8991</v>
      </c>
      <c r="C7761">
        <f>0</f>
        <v>0</v>
      </c>
      <c r="D7761">
        <v>0.94125817717500004</v>
      </c>
      <c r="E7761">
        <v>24</v>
      </c>
    </row>
    <row r="7762" spans="1:5">
      <c r="A7762" t="s">
        <v>8990</v>
      </c>
      <c r="B7762" t="s">
        <v>8992</v>
      </c>
      <c r="C7762">
        <f>0.0826962630291</f>
        <v>8.2696263029100006E-2</v>
      </c>
      <c r="D7762">
        <v>0.94125817717500004</v>
      </c>
      <c r="E7762">
        <v>24</v>
      </c>
    </row>
    <row r="7763" spans="1:5">
      <c r="A7763" t="s">
        <v>8990</v>
      </c>
      <c r="B7763" t="s">
        <v>8993</v>
      </c>
      <c r="C7763">
        <f>0</f>
        <v>0</v>
      </c>
      <c r="D7763">
        <v>0.94125817717500004</v>
      </c>
      <c r="E7763">
        <v>24</v>
      </c>
    </row>
    <row r="7764" spans="1:5">
      <c r="A7764" t="s">
        <v>8990</v>
      </c>
      <c r="B7764" t="s">
        <v>8994</v>
      </c>
      <c r="C7764">
        <f>0</f>
        <v>0</v>
      </c>
      <c r="D7764">
        <v>0.94125817717500004</v>
      </c>
      <c r="E7764">
        <v>24</v>
      </c>
    </row>
    <row r="7765" spans="1:5">
      <c r="A7765" t="s">
        <v>8990</v>
      </c>
      <c r="B7765" t="s">
        <v>8995</v>
      </c>
      <c r="C7765">
        <f>0</f>
        <v>0</v>
      </c>
      <c r="D7765">
        <v>0.94125817717500004</v>
      </c>
      <c r="E7765">
        <v>24</v>
      </c>
    </row>
    <row r="7766" spans="1:5">
      <c r="A7766" t="s">
        <v>8990</v>
      </c>
      <c r="B7766" t="s">
        <v>8996</v>
      </c>
      <c r="C7766">
        <f>0</f>
        <v>0</v>
      </c>
      <c r="D7766">
        <v>0.94125817717500004</v>
      </c>
      <c r="E7766">
        <v>24</v>
      </c>
    </row>
    <row r="7767" spans="1:5">
      <c r="A7767" t="s">
        <v>8990</v>
      </c>
      <c r="B7767" t="s">
        <v>8997</v>
      </c>
      <c r="C7767">
        <f>0.111067257539</f>
        <v>0.111067257539</v>
      </c>
      <c r="D7767">
        <v>0.94125817717500004</v>
      </c>
      <c r="E7767">
        <v>24</v>
      </c>
    </row>
    <row r="7768" spans="1:5">
      <c r="A7768" t="s">
        <v>8990</v>
      </c>
      <c r="B7768" t="s">
        <v>8998</v>
      </c>
      <c r="C7768">
        <f>0</f>
        <v>0</v>
      </c>
      <c r="D7768">
        <v>0.94125817717500004</v>
      </c>
      <c r="E7768">
        <v>24</v>
      </c>
    </row>
    <row r="7769" spans="1:5">
      <c r="A7769" t="s">
        <v>8990</v>
      </c>
      <c r="B7769" t="s">
        <v>8999</v>
      </c>
      <c r="C7769">
        <f>0</f>
        <v>0</v>
      </c>
      <c r="D7769">
        <v>0.94125817717500004</v>
      </c>
      <c r="E7769">
        <v>24</v>
      </c>
    </row>
    <row r="7770" spans="1:5">
      <c r="A7770" t="s">
        <v>9000</v>
      </c>
      <c r="B7770" t="s">
        <v>9001</v>
      </c>
      <c r="C7770">
        <f>0</f>
        <v>0</v>
      </c>
      <c r="D7770" t="s">
        <v>106</v>
      </c>
      <c r="E7770">
        <v>0.215892053973013</v>
      </c>
    </row>
    <row r="7771" spans="1:5">
      <c r="A7771" t="s">
        <v>9000</v>
      </c>
      <c r="B7771" t="s">
        <v>9002</v>
      </c>
      <c r="C7771">
        <f>0</f>
        <v>0</v>
      </c>
      <c r="D7771" t="s">
        <v>106</v>
      </c>
      <c r="E7771">
        <v>0.215892053973013</v>
      </c>
    </row>
    <row r="7772" spans="1:5">
      <c r="A7772" t="s">
        <v>9003</v>
      </c>
      <c r="B7772" t="s">
        <v>9004</v>
      </c>
      <c r="C7772">
        <v>0</v>
      </c>
      <c r="D7772" t="s">
        <v>106</v>
      </c>
      <c r="E7772">
        <v>5.1214392803598203</v>
      </c>
    </row>
    <row r="7773" spans="1:5">
      <c r="A7773" t="s">
        <v>9003</v>
      </c>
      <c r="B7773" t="s">
        <v>9005</v>
      </c>
      <c r="C7773">
        <v>2.7793666584099999E-2</v>
      </c>
      <c r="D7773" t="s">
        <v>106</v>
      </c>
      <c r="E7773">
        <v>5.1214392803598203</v>
      </c>
    </row>
    <row r="7774" spans="1:5">
      <c r="A7774" t="s">
        <v>9003</v>
      </c>
      <c r="B7774" t="s">
        <v>9006</v>
      </c>
      <c r="C7774">
        <f>0</f>
        <v>0</v>
      </c>
      <c r="D7774" t="s">
        <v>106</v>
      </c>
      <c r="E7774">
        <v>5.1214392803598203</v>
      </c>
    </row>
    <row r="7775" spans="1:5">
      <c r="A7775" t="s">
        <v>9003</v>
      </c>
      <c r="B7775" t="s">
        <v>9007</v>
      </c>
      <c r="C7775">
        <f>0</f>
        <v>0</v>
      </c>
      <c r="D7775" t="s">
        <v>106</v>
      </c>
      <c r="E7775">
        <v>5.1214392803598203</v>
      </c>
    </row>
    <row r="7776" spans="1:5">
      <c r="A7776" t="s">
        <v>9003</v>
      </c>
      <c r="B7776" t="s">
        <v>9008</v>
      </c>
      <c r="C7776">
        <f>0</f>
        <v>0</v>
      </c>
      <c r="D7776" t="s">
        <v>106</v>
      </c>
      <c r="E7776">
        <v>5.1214392803598203</v>
      </c>
    </row>
    <row r="7777" spans="1:5">
      <c r="A7777" t="s">
        <v>9003</v>
      </c>
      <c r="B7777" t="s">
        <v>9009</v>
      </c>
      <c r="C7777">
        <f>0</f>
        <v>0</v>
      </c>
      <c r="D7777" t="s">
        <v>106</v>
      </c>
      <c r="E7777">
        <v>5.1214392803598203</v>
      </c>
    </row>
    <row r="7778" spans="1:5">
      <c r="A7778" t="s">
        <v>9003</v>
      </c>
      <c r="B7778" t="s">
        <v>9010</v>
      </c>
      <c r="C7778">
        <f>0</f>
        <v>0</v>
      </c>
      <c r="D7778" t="s">
        <v>106</v>
      </c>
      <c r="E7778">
        <v>5.1214392803598203</v>
      </c>
    </row>
    <row r="7779" spans="1:5">
      <c r="A7779" t="s">
        <v>9003</v>
      </c>
      <c r="B7779" t="s">
        <v>9011</v>
      </c>
      <c r="C7779">
        <f>0</f>
        <v>0</v>
      </c>
      <c r="D7779" t="s">
        <v>106</v>
      </c>
      <c r="E7779">
        <v>5.1214392803598203</v>
      </c>
    </row>
    <row r="7780" spans="1:5">
      <c r="A7780" t="s">
        <v>9003</v>
      </c>
      <c r="B7780" t="s">
        <v>9012</v>
      </c>
      <c r="C7780">
        <v>0</v>
      </c>
      <c r="D7780" t="s">
        <v>106</v>
      </c>
      <c r="E7780">
        <v>5.1214392803598203</v>
      </c>
    </row>
    <row r="7781" spans="1:5">
      <c r="A7781" t="s">
        <v>9003</v>
      </c>
      <c r="B7781" t="s">
        <v>9013</v>
      </c>
      <c r="C7781">
        <f>0</f>
        <v>0</v>
      </c>
      <c r="D7781" t="s">
        <v>106</v>
      </c>
      <c r="E7781">
        <v>5.1214392803598203</v>
      </c>
    </row>
    <row r="7782" spans="1:5">
      <c r="A7782" t="s">
        <v>9003</v>
      </c>
      <c r="B7782" t="s">
        <v>9014</v>
      </c>
      <c r="C7782">
        <f>0</f>
        <v>0</v>
      </c>
      <c r="D7782" t="s">
        <v>106</v>
      </c>
      <c r="E7782">
        <v>5.1214392803598203</v>
      </c>
    </row>
    <row r="7783" spans="1:5">
      <c r="A7783" t="s">
        <v>9003</v>
      </c>
      <c r="B7783" t="s">
        <v>9015</v>
      </c>
      <c r="C7783">
        <f>0.0491283408917</f>
        <v>4.9128340891699998E-2</v>
      </c>
      <c r="D7783" t="s">
        <v>106</v>
      </c>
      <c r="E7783">
        <v>5.1214392803598203</v>
      </c>
    </row>
    <row r="7784" spans="1:5">
      <c r="A7784" t="s">
        <v>9016</v>
      </c>
      <c r="B7784" t="s">
        <v>9017</v>
      </c>
      <c r="C7784">
        <v>0.33715053992900001</v>
      </c>
      <c r="D7784" t="s">
        <v>106</v>
      </c>
      <c r="E7784">
        <v>3.3103448275862002</v>
      </c>
    </row>
    <row r="7785" spans="1:5">
      <c r="A7785" t="s">
        <v>9018</v>
      </c>
      <c r="B7785" t="s">
        <v>9019</v>
      </c>
      <c r="C7785">
        <v>0.33287501957400001</v>
      </c>
      <c r="D7785">
        <v>0.97792273033400001</v>
      </c>
      <c r="E7785">
        <v>10.0749625187406</v>
      </c>
    </row>
    <row r="7786" spans="1:5">
      <c r="A7786" t="s">
        <v>9018</v>
      </c>
      <c r="B7786" t="s">
        <v>9020</v>
      </c>
      <c r="C7786">
        <v>0.20797831322300001</v>
      </c>
      <c r="D7786">
        <v>0.97792273033400001</v>
      </c>
      <c r="E7786">
        <v>10.0749625187406</v>
      </c>
    </row>
    <row r="7787" spans="1:5">
      <c r="A7787" t="s">
        <v>9021</v>
      </c>
      <c r="B7787" t="s">
        <v>9022</v>
      </c>
      <c r="C7787">
        <v>0</v>
      </c>
      <c r="D7787">
        <v>0.993293454523</v>
      </c>
      <c r="E7787">
        <v>10.5547226386806</v>
      </c>
    </row>
    <row r="7788" spans="1:5">
      <c r="A7788" t="s">
        <v>9021</v>
      </c>
      <c r="B7788" t="s">
        <v>9023</v>
      </c>
      <c r="C7788">
        <v>0</v>
      </c>
      <c r="D7788">
        <v>0.993293454523</v>
      </c>
      <c r="E7788">
        <v>10.5547226386806</v>
      </c>
    </row>
    <row r="7789" spans="1:5">
      <c r="A7789" t="s">
        <v>9021</v>
      </c>
      <c r="B7789" t="s">
        <v>9024</v>
      </c>
      <c r="C7789">
        <v>0</v>
      </c>
      <c r="D7789">
        <v>0.993293454523</v>
      </c>
      <c r="E7789">
        <v>10.5547226386806</v>
      </c>
    </row>
    <row r="7790" spans="1:5">
      <c r="A7790" t="s">
        <v>9021</v>
      </c>
      <c r="B7790" t="s">
        <v>9025</v>
      </c>
      <c r="C7790">
        <v>0</v>
      </c>
      <c r="D7790">
        <v>0.993293454523</v>
      </c>
      <c r="E7790">
        <v>10.5547226386806</v>
      </c>
    </row>
    <row r="7791" spans="1:5">
      <c r="A7791" t="s">
        <v>9021</v>
      </c>
      <c r="B7791" t="s">
        <v>9026</v>
      </c>
      <c r="C7791">
        <v>4.9127129295000002E-2</v>
      </c>
      <c r="D7791">
        <v>0.993293454523</v>
      </c>
      <c r="E7791">
        <v>10.5547226386806</v>
      </c>
    </row>
    <row r="7792" spans="1:5">
      <c r="A7792" t="s">
        <v>9021</v>
      </c>
      <c r="B7792" t="s">
        <v>9027</v>
      </c>
      <c r="C7792">
        <f>0</f>
        <v>0</v>
      </c>
      <c r="D7792">
        <v>0.993293454523</v>
      </c>
      <c r="E7792">
        <v>10.5547226386806</v>
      </c>
    </row>
    <row r="7793" spans="1:5">
      <c r="A7793" t="s">
        <v>9021</v>
      </c>
      <c r="B7793" t="s">
        <v>9028</v>
      </c>
      <c r="C7793">
        <v>0</v>
      </c>
      <c r="D7793">
        <v>0.993293454523</v>
      </c>
      <c r="E7793">
        <v>10.5547226386806</v>
      </c>
    </row>
    <row r="7794" spans="1:5">
      <c r="A7794" t="s">
        <v>9021</v>
      </c>
      <c r="B7794" t="s">
        <v>9029</v>
      </c>
      <c r="C7794">
        <v>0</v>
      </c>
      <c r="D7794">
        <v>0.993293454523</v>
      </c>
      <c r="E7794">
        <v>10.5547226386806</v>
      </c>
    </row>
    <row r="7795" spans="1:5">
      <c r="A7795" t="s">
        <v>9030</v>
      </c>
      <c r="B7795" t="s">
        <v>9031</v>
      </c>
      <c r="C7795">
        <v>0</v>
      </c>
      <c r="D7795" t="s">
        <v>106</v>
      </c>
      <c r="E7795">
        <v>5.5772113943028403</v>
      </c>
    </row>
    <row r="7796" spans="1:5">
      <c r="A7796" t="s">
        <v>9030</v>
      </c>
      <c r="B7796" t="s">
        <v>9032</v>
      </c>
      <c r="C7796">
        <v>0</v>
      </c>
      <c r="D7796" t="s">
        <v>106</v>
      </c>
      <c r="E7796">
        <v>5.5772113943028403</v>
      </c>
    </row>
    <row r="7797" spans="1:5">
      <c r="A7797" t="s">
        <v>9030</v>
      </c>
      <c r="B7797" t="s">
        <v>9033</v>
      </c>
      <c r="C7797">
        <v>0</v>
      </c>
      <c r="D7797" t="s">
        <v>106</v>
      </c>
      <c r="E7797">
        <v>5.5772113943028403</v>
      </c>
    </row>
    <row r="7798" spans="1:5">
      <c r="A7798" t="s">
        <v>9030</v>
      </c>
      <c r="B7798" t="s">
        <v>9034</v>
      </c>
      <c r="C7798">
        <v>0</v>
      </c>
      <c r="D7798" t="s">
        <v>106</v>
      </c>
      <c r="E7798">
        <v>5.5772113943028403</v>
      </c>
    </row>
    <row r="7799" spans="1:5">
      <c r="A7799" t="s">
        <v>9030</v>
      </c>
      <c r="B7799" t="s">
        <v>9035</v>
      </c>
      <c r="C7799">
        <f>0</f>
        <v>0</v>
      </c>
      <c r="D7799" t="s">
        <v>106</v>
      </c>
      <c r="E7799">
        <v>5.5772113943028403</v>
      </c>
    </row>
    <row r="7800" spans="1:5">
      <c r="A7800" t="s">
        <v>9036</v>
      </c>
      <c r="B7800" t="s">
        <v>9037</v>
      </c>
      <c r="C7800">
        <f>0</f>
        <v>0</v>
      </c>
      <c r="D7800">
        <v>0.96832698910299997</v>
      </c>
      <c r="E7800">
        <v>6.0569715142428704</v>
      </c>
    </row>
    <row r="7801" spans="1:5">
      <c r="A7801" t="s">
        <v>9036</v>
      </c>
      <c r="B7801" t="s">
        <v>9038</v>
      </c>
      <c r="C7801">
        <v>0</v>
      </c>
      <c r="D7801">
        <v>0.96832698910299997</v>
      </c>
      <c r="E7801">
        <v>6.0569715142428704</v>
      </c>
    </row>
    <row r="7802" spans="1:5">
      <c r="A7802" t="s">
        <v>9036</v>
      </c>
      <c r="B7802" t="s">
        <v>9039</v>
      </c>
      <c r="C7802">
        <f>0</f>
        <v>0</v>
      </c>
      <c r="D7802">
        <v>0.96832698910299997</v>
      </c>
      <c r="E7802">
        <v>6.0569715142428704</v>
      </c>
    </row>
    <row r="7803" spans="1:5">
      <c r="A7803" t="s">
        <v>9036</v>
      </c>
      <c r="B7803" t="s">
        <v>9040</v>
      </c>
      <c r="C7803">
        <f>0</f>
        <v>0</v>
      </c>
      <c r="D7803">
        <v>0.96832698910299997</v>
      </c>
      <c r="E7803">
        <v>6.0569715142428704</v>
      </c>
    </row>
    <row r="7804" spans="1:5">
      <c r="A7804" t="s">
        <v>9036</v>
      </c>
      <c r="B7804" t="s">
        <v>9041</v>
      </c>
      <c r="C7804">
        <v>0</v>
      </c>
      <c r="D7804">
        <v>0.96832698910299997</v>
      </c>
      <c r="E7804">
        <v>6.0569715142428704</v>
      </c>
    </row>
    <row r="7805" spans="1:5">
      <c r="A7805" t="s">
        <v>9042</v>
      </c>
      <c r="B7805" t="s">
        <v>9043</v>
      </c>
      <c r="C7805">
        <f>0</f>
        <v>0</v>
      </c>
      <c r="D7805">
        <v>0.93684885959200004</v>
      </c>
      <c r="E7805">
        <v>7.7361319340329802</v>
      </c>
    </row>
    <row r="7806" spans="1:5">
      <c r="A7806" t="s">
        <v>9042</v>
      </c>
      <c r="B7806" t="s">
        <v>9044</v>
      </c>
      <c r="C7806">
        <f>0</f>
        <v>0</v>
      </c>
      <c r="D7806">
        <v>0.93684885959200004</v>
      </c>
      <c r="E7806">
        <v>7.7361319340329802</v>
      </c>
    </row>
    <row r="7807" spans="1:5">
      <c r="A7807" t="s">
        <v>9042</v>
      </c>
      <c r="B7807" t="s">
        <v>9045</v>
      </c>
      <c r="C7807">
        <f>0</f>
        <v>0</v>
      </c>
      <c r="D7807">
        <v>0.93684885959200004</v>
      </c>
      <c r="E7807">
        <v>7.7361319340329802</v>
      </c>
    </row>
    <row r="7808" spans="1:5">
      <c r="A7808" t="s">
        <v>9042</v>
      </c>
      <c r="B7808" t="s">
        <v>9046</v>
      </c>
      <c r="C7808">
        <f>0</f>
        <v>0</v>
      </c>
      <c r="D7808">
        <v>0.93684885959200004</v>
      </c>
      <c r="E7808">
        <v>7.7361319340329802</v>
      </c>
    </row>
    <row r="7809" spans="1:5">
      <c r="A7809" t="s">
        <v>9042</v>
      </c>
      <c r="B7809" t="s">
        <v>9047</v>
      </c>
      <c r="C7809">
        <v>0</v>
      </c>
      <c r="D7809">
        <v>0.93684885959200004</v>
      </c>
      <c r="E7809">
        <v>7.7361319340329802</v>
      </c>
    </row>
    <row r="7810" spans="1:5">
      <c r="A7810" t="s">
        <v>9042</v>
      </c>
      <c r="B7810" t="s">
        <v>9048</v>
      </c>
      <c r="C7810">
        <v>0</v>
      </c>
      <c r="D7810">
        <v>0.93684885959200004</v>
      </c>
      <c r="E7810">
        <v>7.7361319340329802</v>
      </c>
    </row>
    <row r="7811" spans="1:5">
      <c r="A7811" t="s">
        <v>9042</v>
      </c>
      <c r="B7811" t="s">
        <v>9049</v>
      </c>
      <c r="C7811">
        <f>0</f>
        <v>0</v>
      </c>
      <c r="D7811">
        <v>0.93684885959200004</v>
      </c>
      <c r="E7811">
        <v>7.7361319340329802</v>
      </c>
    </row>
    <row r="7812" spans="1:5">
      <c r="A7812" t="s">
        <v>9042</v>
      </c>
      <c r="B7812" t="s">
        <v>9050</v>
      </c>
      <c r="C7812">
        <v>0</v>
      </c>
      <c r="D7812">
        <v>0.93684885959200004</v>
      </c>
      <c r="E7812">
        <v>7.7361319340329802</v>
      </c>
    </row>
    <row r="7813" spans="1:5">
      <c r="A7813" t="s">
        <v>9042</v>
      </c>
      <c r="B7813" t="s">
        <v>9051</v>
      </c>
      <c r="C7813">
        <f>0.113251745977</f>
        <v>0.113251745977</v>
      </c>
      <c r="D7813">
        <v>0.93684885959200004</v>
      </c>
      <c r="E7813">
        <v>7.7361319340329802</v>
      </c>
    </row>
    <row r="7814" spans="1:5">
      <c r="A7814" t="s">
        <v>9042</v>
      </c>
      <c r="B7814" t="s">
        <v>9052</v>
      </c>
      <c r="C7814">
        <v>0</v>
      </c>
      <c r="D7814">
        <v>0.93684885959200004</v>
      </c>
      <c r="E7814">
        <v>7.7361319340329802</v>
      </c>
    </row>
    <row r="7815" spans="1:5">
      <c r="A7815" t="s">
        <v>9042</v>
      </c>
      <c r="B7815" t="s">
        <v>9053</v>
      </c>
      <c r="C7815">
        <f>0.0825150895127</f>
        <v>8.2515089512699993E-2</v>
      </c>
      <c r="D7815">
        <v>0.93684885959200004</v>
      </c>
      <c r="E7815">
        <v>7.7361319340329802</v>
      </c>
    </row>
    <row r="7816" spans="1:5">
      <c r="A7816" t="s">
        <v>9054</v>
      </c>
      <c r="B7816" t="s">
        <v>9055</v>
      </c>
      <c r="C7816">
        <v>0</v>
      </c>
      <c r="D7816" t="s">
        <v>106</v>
      </c>
      <c r="E7816">
        <v>10.398800599700101</v>
      </c>
    </row>
    <row r="7817" spans="1:5">
      <c r="A7817" t="s">
        <v>9054</v>
      </c>
      <c r="B7817" t="s">
        <v>9056</v>
      </c>
      <c r="C7817">
        <f>0</f>
        <v>0</v>
      </c>
      <c r="D7817" t="s">
        <v>106</v>
      </c>
      <c r="E7817">
        <v>10.398800599700101</v>
      </c>
    </row>
    <row r="7818" spans="1:5">
      <c r="A7818" t="s">
        <v>9054</v>
      </c>
      <c r="B7818" t="s">
        <v>9057</v>
      </c>
      <c r="C7818">
        <f>0</f>
        <v>0</v>
      </c>
      <c r="D7818" t="s">
        <v>106</v>
      </c>
      <c r="E7818">
        <v>10.398800599700101</v>
      </c>
    </row>
    <row r="7819" spans="1:5">
      <c r="A7819" t="s">
        <v>9054</v>
      </c>
      <c r="B7819" t="s">
        <v>9058</v>
      </c>
      <c r="C7819">
        <f>0</f>
        <v>0</v>
      </c>
      <c r="D7819" t="s">
        <v>106</v>
      </c>
      <c r="E7819">
        <v>10.398800599700101</v>
      </c>
    </row>
    <row r="7820" spans="1:5">
      <c r="A7820" t="s">
        <v>9054</v>
      </c>
      <c r="B7820" t="s">
        <v>9059</v>
      </c>
      <c r="C7820">
        <f>0</f>
        <v>0</v>
      </c>
      <c r="D7820" t="s">
        <v>106</v>
      </c>
      <c r="E7820">
        <v>10.398800599700101</v>
      </c>
    </row>
    <row r="7821" spans="1:5">
      <c r="A7821" t="s">
        <v>9054</v>
      </c>
      <c r="B7821" t="s">
        <v>9060</v>
      </c>
      <c r="C7821">
        <v>0</v>
      </c>
      <c r="D7821" t="s">
        <v>106</v>
      </c>
      <c r="E7821">
        <v>10.398800599700101</v>
      </c>
    </row>
    <row r="7822" spans="1:5">
      <c r="A7822" t="s">
        <v>9054</v>
      </c>
      <c r="B7822" t="s">
        <v>9061</v>
      </c>
      <c r="C7822">
        <v>0</v>
      </c>
      <c r="D7822" t="s">
        <v>106</v>
      </c>
      <c r="E7822">
        <v>10.398800599700101</v>
      </c>
    </row>
    <row r="7823" spans="1:5">
      <c r="A7823" t="s">
        <v>9054</v>
      </c>
      <c r="B7823" t="s">
        <v>9062</v>
      </c>
      <c r="C7823">
        <v>0</v>
      </c>
      <c r="D7823" t="s">
        <v>106</v>
      </c>
      <c r="E7823">
        <v>10.398800599700101</v>
      </c>
    </row>
    <row r="7824" spans="1:5">
      <c r="A7824" t="s">
        <v>9063</v>
      </c>
      <c r="B7824" t="s">
        <v>9064</v>
      </c>
      <c r="C7824">
        <f>0</f>
        <v>0</v>
      </c>
      <c r="D7824">
        <v>0.79036467249599995</v>
      </c>
      <c r="E7824">
        <v>1.7631184407796101</v>
      </c>
    </row>
    <row r="7825" spans="1:5">
      <c r="A7825" t="s">
        <v>9063</v>
      </c>
      <c r="B7825" t="s">
        <v>9065</v>
      </c>
      <c r="C7825">
        <v>0</v>
      </c>
      <c r="D7825">
        <v>0.79036467249599995</v>
      </c>
      <c r="E7825">
        <v>1.7631184407796101</v>
      </c>
    </row>
    <row r="7826" spans="1:5">
      <c r="A7826" t="s">
        <v>9063</v>
      </c>
      <c r="B7826" t="s">
        <v>9066</v>
      </c>
      <c r="C7826">
        <v>0</v>
      </c>
      <c r="D7826">
        <v>0.79036467249599995</v>
      </c>
      <c r="E7826">
        <v>1.7631184407796101</v>
      </c>
    </row>
    <row r="7827" spans="1:5">
      <c r="A7827" t="s">
        <v>9063</v>
      </c>
      <c r="B7827" t="s">
        <v>9067</v>
      </c>
      <c r="C7827">
        <v>0</v>
      </c>
      <c r="D7827">
        <v>0.79036467249599995</v>
      </c>
      <c r="E7827">
        <v>1.7631184407796101</v>
      </c>
    </row>
    <row r="7828" spans="1:5">
      <c r="A7828" t="s">
        <v>9063</v>
      </c>
      <c r="B7828" t="s">
        <v>9068</v>
      </c>
      <c r="C7828">
        <v>0</v>
      </c>
      <c r="D7828">
        <v>0.79036467249599995</v>
      </c>
      <c r="E7828">
        <v>1.7631184407796101</v>
      </c>
    </row>
    <row r="7829" spans="1:5">
      <c r="A7829" t="s">
        <v>9063</v>
      </c>
      <c r="B7829" t="s">
        <v>9069</v>
      </c>
      <c r="C7829">
        <v>0</v>
      </c>
      <c r="D7829">
        <v>0.79036467249599995</v>
      </c>
      <c r="E7829">
        <v>1.7631184407796101</v>
      </c>
    </row>
    <row r="7830" spans="1:5">
      <c r="A7830" t="s">
        <v>9063</v>
      </c>
      <c r="B7830" t="s">
        <v>9070</v>
      </c>
      <c r="C7830">
        <f>0</f>
        <v>0</v>
      </c>
      <c r="D7830">
        <v>0.79036467249599995</v>
      </c>
      <c r="E7830">
        <v>1.7631184407796101</v>
      </c>
    </row>
    <row r="7831" spans="1:5">
      <c r="A7831" t="s">
        <v>9063</v>
      </c>
      <c r="B7831" t="s">
        <v>9071</v>
      </c>
      <c r="C7831">
        <v>7.8643421409699994E-3</v>
      </c>
      <c r="D7831">
        <v>0.79036467249599995</v>
      </c>
      <c r="E7831">
        <v>1.7631184407796101</v>
      </c>
    </row>
    <row r="7832" spans="1:5">
      <c r="A7832" t="s">
        <v>9063</v>
      </c>
      <c r="B7832" t="s">
        <v>9072</v>
      </c>
      <c r="C7832">
        <v>0</v>
      </c>
      <c r="D7832">
        <v>0.79036467249599995</v>
      </c>
      <c r="E7832">
        <v>1.7631184407796101</v>
      </c>
    </row>
    <row r="7833" spans="1:5">
      <c r="A7833" t="s">
        <v>9063</v>
      </c>
      <c r="B7833" t="s">
        <v>9073</v>
      </c>
      <c r="C7833">
        <v>0</v>
      </c>
      <c r="D7833">
        <v>0.79036467249599995</v>
      </c>
      <c r="E7833">
        <v>1.7631184407796101</v>
      </c>
    </row>
    <row r="7834" spans="1:5">
      <c r="A7834" t="s">
        <v>9074</v>
      </c>
      <c r="B7834" t="s">
        <v>9075</v>
      </c>
      <c r="C7834">
        <v>0</v>
      </c>
      <c r="D7834" t="s">
        <v>106</v>
      </c>
      <c r="E7834">
        <v>13.8170914542728</v>
      </c>
    </row>
    <row r="7835" spans="1:5">
      <c r="A7835" t="s">
        <v>9074</v>
      </c>
      <c r="B7835" t="s">
        <v>9076</v>
      </c>
      <c r="C7835">
        <f>0</f>
        <v>0</v>
      </c>
      <c r="D7835" t="s">
        <v>106</v>
      </c>
      <c r="E7835">
        <v>13.8170914542728</v>
      </c>
    </row>
    <row r="7836" spans="1:5">
      <c r="A7836" t="s">
        <v>9074</v>
      </c>
      <c r="B7836" t="s">
        <v>9077</v>
      </c>
      <c r="C7836">
        <v>0</v>
      </c>
      <c r="D7836" t="s">
        <v>106</v>
      </c>
      <c r="E7836">
        <v>13.8170914542728</v>
      </c>
    </row>
    <row r="7837" spans="1:5">
      <c r="A7837" t="s">
        <v>9074</v>
      </c>
      <c r="B7837" t="s">
        <v>9078</v>
      </c>
      <c r="C7837">
        <v>0</v>
      </c>
      <c r="D7837" t="s">
        <v>106</v>
      </c>
      <c r="E7837">
        <v>13.8170914542728</v>
      </c>
    </row>
    <row r="7838" spans="1:5">
      <c r="A7838" t="s">
        <v>9074</v>
      </c>
      <c r="B7838" t="s">
        <v>9079</v>
      </c>
      <c r="C7838">
        <v>0</v>
      </c>
      <c r="D7838" t="s">
        <v>106</v>
      </c>
      <c r="E7838">
        <v>13.8170914542728</v>
      </c>
    </row>
    <row r="7839" spans="1:5">
      <c r="A7839" t="s">
        <v>9074</v>
      </c>
      <c r="B7839" t="s">
        <v>9080</v>
      </c>
      <c r="C7839">
        <f>0</f>
        <v>0</v>
      </c>
      <c r="D7839" t="s">
        <v>106</v>
      </c>
      <c r="E7839">
        <v>13.8170914542728</v>
      </c>
    </row>
    <row r="7840" spans="1:5">
      <c r="A7840" t="s">
        <v>9074</v>
      </c>
      <c r="B7840" t="s">
        <v>9081</v>
      </c>
      <c r="C7840">
        <v>0</v>
      </c>
      <c r="D7840" t="s">
        <v>106</v>
      </c>
      <c r="E7840">
        <v>13.8170914542728</v>
      </c>
    </row>
    <row r="7841" spans="1:5">
      <c r="A7841" t="s">
        <v>9074</v>
      </c>
      <c r="B7841" t="s">
        <v>9082</v>
      </c>
      <c r="C7841">
        <f>0</f>
        <v>0</v>
      </c>
      <c r="D7841" t="s">
        <v>106</v>
      </c>
      <c r="E7841">
        <v>13.8170914542728</v>
      </c>
    </row>
    <row r="7842" spans="1:5">
      <c r="A7842" t="s">
        <v>9074</v>
      </c>
      <c r="B7842" t="s">
        <v>9083</v>
      </c>
      <c r="C7842">
        <f>0</f>
        <v>0</v>
      </c>
      <c r="D7842" t="s">
        <v>106</v>
      </c>
      <c r="E7842">
        <v>13.8170914542728</v>
      </c>
    </row>
    <row r="7843" spans="1:5">
      <c r="A7843" t="s">
        <v>9074</v>
      </c>
      <c r="B7843" t="s">
        <v>9084</v>
      </c>
      <c r="C7843">
        <v>0</v>
      </c>
      <c r="D7843" t="s">
        <v>106</v>
      </c>
      <c r="E7843">
        <v>13.8170914542728</v>
      </c>
    </row>
    <row r="7844" spans="1:5">
      <c r="A7844" t="s">
        <v>9085</v>
      </c>
      <c r="B7844" t="s">
        <v>9086</v>
      </c>
      <c r="C7844">
        <v>0</v>
      </c>
      <c r="D7844">
        <v>0.90394856784900002</v>
      </c>
      <c r="E7844">
        <v>6.0569715142428704</v>
      </c>
    </row>
    <row r="7845" spans="1:5">
      <c r="A7845" t="s">
        <v>9085</v>
      </c>
      <c r="B7845" t="s">
        <v>9087</v>
      </c>
      <c r="C7845">
        <v>0</v>
      </c>
      <c r="D7845">
        <v>0.90394856784900002</v>
      </c>
      <c r="E7845">
        <v>6.0569715142428704</v>
      </c>
    </row>
    <row r="7846" spans="1:5">
      <c r="A7846" t="s">
        <v>9085</v>
      </c>
      <c r="B7846" t="s">
        <v>9088</v>
      </c>
      <c r="C7846">
        <v>0</v>
      </c>
      <c r="D7846">
        <v>0.90394856784900002</v>
      </c>
      <c r="E7846">
        <v>6.0569715142428704</v>
      </c>
    </row>
    <row r="7847" spans="1:5">
      <c r="A7847" t="s">
        <v>9085</v>
      </c>
      <c r="B7847" t="s">
        <v>9089</v>
      </c>
      <c r="C7847">
        <v>0</v>
      </c>
      <c r="D7847">
        <v>0.90394856784900002</v>
      </c>
      <c r="E7847">
        <v>6.0569715142428704</v>
      </c>
    </row>
    <row r="7848" spans="1:5">
      <c r="A7848" t="s">
        <v>9085</v>
      </c>
      <c r="B7848" t="s">
        <v>9090</v>
      </c>
      <c r="C7848">
        <v>0</v>
      </c>
      <c r="D7848">
        <v>0.90394856784900002</v>
      </c>
      <c r="E7848">
        <v>6.0569715142428704</v>
      </c>
    </row>
    <row r="7849" spans="1:5">
      <c r="A7849" t="s">
        <v>9085</v>
      </c>
      <c r="B7849" t="s">
        <v>9091</v>
      </c>
      <c r="C7849">
        <f>0</f>
        <v>0</v>
      </c>
      <c r="D7849">
        <v>0.90394856784900002</v>
      </c>
      <c r="E7849">
        <v>6.0569715142428704</v>
      </c>
    </row>
    <row r="7850" spans="1:5">
      <c r="A7850" t="s">
        <v>9085</v>
      </c>
      <c r="B7850" t="s">
        <v>9092</v>
      </c>
      <c r="C7850">
        <f>0</f>
        <v>0</v>
      </c>
      <c r="D7850">
        <v>0.90394856784900002</v>
      </c>
      <c r="E7850">
        <v>6.0569715142428704</v>
      </c>
    </row>
    <row r="7851" spans="1:5">
      <c r="A7851" t="s">
        <v>9085</v>
      </c>
      <c r="B7851" t="s">
        <v>9093</v>
      </c>
      <c r="C7851">
        <f>0</f>
        <v>0</v>
      </c>
      <c r="D7851">
        <v>0.90394856784900002</v>
      </c>
      <c r="E7851">
        <v>6.0569715142428704</v>
      </c>
    </row>
    <row r="7852" spans="1:5">
      <c r="A7852" t="s">
        <v>9085</v>
      </c>
      <c r="B7852" t="s">
        <v>9094</v>
      </c>
      <c r="C7852">
        <f>0</f>
        <v>0</v>
      </c>
      <c r="D7852">
        <v>0.90394856784900002</v>
      </c>
      <c r="E7852">
        <v>6.0569715142428704</v>
      </c>
    </row>
    <row r="7853" spans="1:5">
      <c r="A7853" t="s">
        <v>9085</v>
      </c>
      <c r="B7853" t="s">
        <v>9095</v>
      </c>
      <c r="C7853">
        <v>0</v>
      </c>
      <c r="D7853">
        <v>0.90394856784900002</v>
      </c>
      <c r="E7853">
        <v>6.0569715142428704</v>
      </c>
    </row>
    <row r="7854" spans="1:5">
      <c r="A7854" t="s">
        <v>9085</v>
      </c>
      <c r="B7854" t="s">
        <v>9096</v>
      </c>
      <c r="C7854">
        <v>0</v>
      </c>
      <c r="D7854">
        <v>0.90394856784900002</v>
      </c>
      <c r="E7854">
        <v>6.0569715142428704</v>
      </c>
    </row>
    <row r="7855" spans="1:5">
      <c r="A7855" t="s">
        <v>9085</v>
      </c>
      <c r="B7855" t="s">
        <v>9097</v>
      </c>
      <c r="C7855">
        <v>0</v>
      </c>
      <c r="D7855">
        <v>0.90394856784900002</v>
      </c>
      <c r="E7855">
        <v>6.0569715142428704</v>
      </c>
    </row>
    <row r="7856" spans="1:5">
      <c r="A7856" t="s">
        <v>9085</v>
      </c>
      <c r="B7856" t="s">
        <v>9098</v>
      </c>
      <c r="C7856">
        <v>0</v>
      </c>
      <c r="D7856">
        <v>0.90394856784900002</v>
      </c>
      <c r="E7856">
        <v>6.0569715142428704</v>
      </c>
    </row>
    <row r="7857" spans="1:5">
      <c r="A7857" t="s">
        <v>9085</v>
      </c>
      <c r="B7857" t="s">
        <v>9099</v>
      </c>
      <c r="C7857">
        <v>0</v>
      </c>
      <c r="D7857">
        <v>0.90394856784900002</v>
      </c>
      <c r="E7857">
        <v>6.0569715142428704</v>
      </c>
    </row>
    <row r="7858" spans="1:5">
      <c r="A7858" t="s">
        <v>9100</v>
      </c>
      <c r="B7858" t="s">
        <v>9101</v>
      </c>
      <c r="C7858">
        <v>0</v>
      </c>
      <c r="D7858" t="s">
        <v>106</v>
      </c>
      <c r="E7858">
        <v>23.280359820089899</v>
      </c>
    </row>
    <row r="7859" spans="1:5">
      <c r="A7859" t="s">
        <v>9100</v>
      </c>
      <c r="B7859" t="s">
        <v>9102</v>
      </c>
      <c r="C7859">
        <v>0</v>
      </c>
      <c r="D7859" t="s">
        <v>106</v>
      </c>
      <c r="E7859">
        <v>23.280359820089899</v>
      </c>
    </row>
    <row r="7860" spans="1:5">
      <c r="A7860" t="s">
        <v>9100</v>
      </c>
      <c r="B7860" t="s">
        <v>9103</v>
      </c>
      <c r="C7860">
        <v>0</v>
      </c>
      <c r="D7860" t="s">
        <v>106</v>
      </c>
      <c r="E7860">
        <v>23.280359820089899</v>
      </c>
    </row>
    <row r="7861" spans="1:5">
      <c r="A7861" t="s">
        <v>9100</v>
      </c>
      <c r="B7861" t="s">
        <v>9104</v>
      </c>
      <c r="C7861">
        <f>0</f>
        <v>0</v>
      </c>
      <c r="D7861" t="s">
        <v>106</v>
      </c>
      <c r="E7861">
        <v>23.280359820089899</v>
      </c>
    </row>
    <row r="7862" spans="1:5">
      <c r="A7862" t="s">
        <v>9100</v>
      </c>
      <c r="B7862" t="s">
        <v>9105</v>
      </c>
      <c r="C7862">
        <v>0</v>
      </c>
      <c r="D7862" t="s">
        <v>106</v>
      </c>
      <c r="E7862">
        <v>23.280359820089899</v>
      </c>
    </row>
    <row r="7863" spans="1:5">
      <c r="A7863" t="s">
        <v>9100</v>
      </c>
      <c r="B7863" t="s">
        <v>9106</v>
      </c>
      <c r="C7863">
        <v>0</v>
      </c>
      <c r="D7863" t="s">
        <v>106</v>
      </c>
      <c r="E7863">
        <v>23.280359820089899</v>
      </c>
    </row>
    <row r="7864" spans="1:5">
      <c r="A7864" t="s">
        <v>9100</v>
      </c>
      <c r="B7864" t="s">
        <v>9107</v>
      </c>
      <c r="C7864">
        <v>0</v>
      </c>
      <c r="D7864" t="s">
        <v>106</v>
      </c>
      <c r="E7864">
        <v>23.280359820089899</v>
      </c>
    </row>
    <row r="7865" spans="1:5">
      <c r="A7865" t="s">
        <v>9108</v>
      </c>
      <c r="B7865" t="s">
        <v>9109</v>
      </c>
      <c r="C7865">
        <v>0</v>
      </c>
      <c r="D7865" t="s">
        <v>106</v>
      </c>
      <c r="E7865">
        <v>24</v>
      </c>
    </row>
    <row r="7866" spans="1:5">
      <c r="A7866" t="s">
        <v>9108</v>
      </c>
      <c r="B7866" t="s">
        <v>9110</v>
      </c>
      <c r="C7866">
        <v>0.168417748427</v>
      </c>
      <c r="D7866" t="s">
        <v>106</v>
      </c>
      <c r="E7866">
        <v>24</v>
      </c>
    </row>
    <row r="7867" spans="1:5">
      <c r="A7867" t="s">
        <v>9108</v>
      </c>
      <c r="B7867" t="s">
        <v>9111</v>
      </c>
      <c r="C7867">
        <v>4.7724352663700002E-2</v>
      </c>
      <c r="D7867" t="s">
        <v>106</v>
      </c>
      <c r="E7867">
        <v>24</v>
      </c>
    </row>
    <row r="7868" spans="1:5">
      <c r="A7868" t="s">
        <v>9112</v>
      </c>
      <c r="B7868" t="s">
        <v>9113</v>
      </c>
      <c r="C7868">
        <v>0.21020264495300001</v>
      </c>
      <c r="D7868">
        <v>0.85301900601000002</v>
      </c>
      <c r="E7868">
        <v>24</v>
      </c>
    </row>
    <row r="7869" spans="1:5">
      <c r="A7869" t="s">
        <v>9114</v>
      </c>
      <c r="B7869" t="s">
        <v>9115</v>
      </c>
      <c r="C7869">
        <v>0.30287689129099998</v>
      </c>
      <c r="D7869" t="s">
        <v>106</v>
      </c>
      <c r="E7869">
        <v>2.79460269865067</v>
      </c>
    </row>
    <row r="7870" spans="1:5">
      <c r="A7870" t="s">
        <v>9114</v>
      </c>
      <c r="B7870" t="s">
        <v>9116</v>
      </c>
      <c r="C7870">
        <v>0</v>
      </c>
      <c r="D7870" t="s">
        <v>106</v>
      </c>
      <c r="E7870">
        <v>2.79460269865067</v>
      </c>
    </row>
    <row r="7871" spans="1:5">
      <c r="A7871" t="s">
        <v>9114</v>
      </c>
      <c r="B7871" t="s">
        <v>9117</v>
      </c>
      <c r="C7871">
        <f>0.153838622176</f>
        <v>0.153838622176</v>
      </c>
      <c r="D7871" t="s">
        <v>106</v>
      </c>
      <c r="E7871">
        <v>2.79460269865067</v>
      </c>
    </row>
    <row r="7872" spans="1:5">
      <c r="A7872" t="s">
        <v>9118</v>
      </c>
      <c r="B7872" t="s">
        <v>9119</v>
      </c>
      <c r="C7872">
        <v>0.23720313435400001</v>
      </c>
      <c r="D7872">
        <v>0.96117145698700002</v>
      </c>
      <c r="E7872">
        <v>11.370314842578701</v>
      </c>
    </row>
    <row r="7873" spans="1:5">
      <c r="A7873" t="s">
        <v>9118</v>
      </c>
      <c r="B7873" t="s">
        <v>9120</v>
      </c>
      <c r="C7873">
        <v>0</v>
      </c>
      <c r="D7873">
        <v>0.96117145698700002</v>
      </c>
      <c r="E7873">
        <v>11.370314842578701</v>
      </c>
    </row>
    <row r="7874" spans="1:5">
      <c r="A7874" t="s">
        <v>9118</v>
      </c>
      <c r="B7874" t="s">
        <v>9121</v>
      </c>
      <c r="C7874">
        <f>0</f>
        <v>0</v>
      </c>
      <c r="D7874">
        <v>0.96117145698700002</v>
      </c>
      <c r="E7874">
        <v>11.370314842578701</v>
      </c>
    </row>
    <row r="7875" spans="1:5">
      <c r="A7875" t="s">
        <v>9118</v>
      </c>
      <c r="B7875" t="s">
        <v>9122</v>
      </c>
      <c r="C7875">
        <v>0.14206415517000001</v>
      </c>
      <c r="D7875">
        <v>0.96117145698700002</v>
      </c>
      <c r="E7875">
        <v>11.370314842578701</v>
      </c>
    </row>
    <row r="7876" spans="1:5">
      <c r="A7876" t="s">
        <v>9123</v>
      </c>
      <c r="B7876" t="s">
        <v>9124</v>
      </c>
      <c r="C7876">
        <f>0</f>
        <v>0</v>
      </c>
      <c r="D7876" t="s">
        <v>106</v>
      </c>
      <c r="E7876">
        <v>1.2713643178410701</v>
      </c>
    </row>
    <row r="7877" spans="1:5">
      <c r="A7877" t="s">
        <v>9123</v>
      </c>
      <c r="B7877" t="s">
        <v>9125</v>
      </c>
      <c r="C7877">
        <v>0</v>
      </c>
      <c r="D7877" t="s">
        <v>106</v>
      </c>
      <c r="E7877">
        <v>1.2713643178410701</v>
      </c>
    </row>
    <row r="7878" spans="1:5">
      <c r="A7878" t="s">
        <v>9123</v>
      </c>
      <c r="B7878" t="s">
        <v>9126</v>
      </c>
      <c r="C7878">
        <f>0</f>
        <v>0</v>
      </c>
      <c r="D7878" t="s">
        <v>106</v>
      </c>
      <c r="E7878">
        <v>1.2713643178410701</v>
      </c>
    </row>
    <row r="7879" spans="1:5">
      <c r="A7879" t="s">
        <v>9127</v>
      </c>
      <c r="B7879" t="s">
        <v>9128</v>
      </c>
      <c r="C7879">
        <f>0.156042256983</f>
        <v>0.15604225698300001</v>
      </c>
      <c r="D7879" t="s">
        <v>106</v>
      </c>
      <c r="E7879">
        <v>24</v>
      </c>
    </row>
    <row r="7880" spans="1:5">
      <c r="A7880" t="s">
        <v>9127</v>
      </c>
      <c r="B7880" t="s">
        <v>9129</v>
      </c>
      <c r="C7880">
        <f>0</f>
        <v>0</v>
      </c>
      <c r="D7880" t="s">
        <v>106</v>
      </c>
      <c r="E7880">
        <v>24</v>
      </c>
    </row>
    <row r="7881" spans="1:5">
      <c r="A7881" t="s">
        <v>9130</v>
      </c>
      <c r="B7881" t="s">
        <v>9131</v>
      </c>
      <c r="C7881">
        <v>0.118745648249</v>
      </c>
      <c r="D7881">
        <v>0.87246934729100001</v>
      </c>
      <c r="E7881">
        <v>13.0854572713643</v>
      </c>
    </row>
    <row r="7882" spans="1:5">
      <c r="A7882" t="s">
        <v>9130</v>
      </c>
      <c r="B7882" t="s">
        <v>9132</v>
      </c>
      <c r="C7882">
        <f>0</f>
        <v>0</v>
      </c>
      <c r="D7882">
        <v>0.87246934729100001</v>
      </c>
      <c r="E7882">
        <v>13.0854572713643</v>
      </c>
    </row>
    <row r="7883" spans="1:5">
      <c r="A7883" t="s">
        <v>9130</v>
      </c>
      <c r="B7883" t="s">
        <v>9133</v>
      </c>
      <c r="C7883">
        <f>0</f>
        <v>0</v>
      </c>
      <c r="D7883">
        <v>0.87246934729100001</v>
      </c>
      <c r="E7883">
        <v>13.0854572713643</v>
      </c>
    </row>
    <row r="7884" spans="1:5">
      <c r="A7884" t="s">
        <v>9130</v>
      </c>
      <c r="B7884" t="s">
        <v>9134</v>
      </c>
      <c r="C7884">
        <f>0</f>
        <v>0</v>
      </c>
      <c r="D7884">
        <v>0.87246934729100001</v>
      </c>
      <c r="E7884">
        <v>13.0854572713643</v>
      </c>
    </row>
    <row r="7885" spans="1:5">
      <c r="A7885" t="s">
        <v>9135</v>
      </c>
      <c r="B7885" t="s">
        <v>9136</v>
      </c>
      <c r="C7885">
        <v>0</v>
      </c>
      <c r="D7885">
        <v>0.80355977466399997</v>
      </c>
      <c r="E7885">
        <v>1.00749625187406</v>
      </c>
    </row>
    <row r="7886" spans="1:5">
      <c r="A7886" t="s">
        <v>9135</v>
      </c>
      <c r="B7886" t="s">
        <v>9137</v>
      </c>
      <c r="C7886">
        <v>0</v>
      </c>
      <c r="D7886">
        <v>0.80355977466399997</v>
      </c>
      <c r="E7886">
        <v>1.00749625187406</v>
      </c>
    </row>
    <row r="7887" spans="1:5">
      <c r="A7887" t="s">
        <v>9135</v>
      </c>
      <c r="B7887" t="s">
        <v>9138</v>
      </c>
      <c r="C7887">
        <v>2.5142224169399999E-2</v>
      </c>
      <c r="D7887">
        <v>0.80355977466399997</v>
      </c>
      <c r="E7887">
        <v>1.00749625187406</v>
      </c>
    </row>
    <row r="7888" spans="1:5">
      <c r="A7888" t="s">
        <v>9135</v>
      </c>
      <c r="B7888" t="s">
        <v>9139</v>
      </c>
      <c r="C7888">
        <v>0</v>
      </c>
      <c r="D7888">
        <v>0.80355977466399997</v>
      </c>
      <c r="E7888">
        <v>1.00749625187406</v>
      </c>
    </row>
    <row r="7889" spans="1:5">
      <c r="A7889" t="s">
        <v>9135</v>
      </c>
      <c r="B7889" t="s">
        <v>9140</v>
      </c>
      <c r="C7889">
        <v>0</v>
      </c>
      <c r="D7889">
        <v>0.80355977466399997</v>
      </c>
      <c r="E7889">
        <v>1.00749625187406</v>
      </c>
    </row>
    <row r="7890" spans="1:5">
      <c r="A7890" t="s">
        <v>9135</v>
      </c>
      <c r="B7890" t="s">
        <v>9141</v>
      </c>
      <c r="C7890">
        <v>2.2903655523400001E-3</v>
      </c>
      <c r="D7890">
        <v>0.80355977466399997</v>
      </c>
      <c r="E7890">
        <v>1.00749625187406</v>
      </c>
    </row>
    <row r="7891" spans="1:5">
      <c r="A7891" t="s">
        <v>9135</v>
      </c>
      <c r="B7891" t="s">
        <v>9142</v>
      </c>
      <c r="C7891">
        <f>0</f>
        <v>0</v>
      </c>
      <c r="D7891">
        <v>0.80355977466399997</v>
      </c>
      <c r="E7891">
        <v>1.00749625187406</v>
      </c>
    </row>
    <row r="7892" spans="1:5">
      <c r="A7892" t="s">
        <v>9143</v>
      </c>
      <c r="B7892" t="s">
        <v>9144</v>
      </c>
      <c r="C7892">
        <v>9.5373338946699998E-2</v>
      </c>
      <c r="D7892">
        <v>0.82241232027699995</v>
      </c>
      <c r="E7892">
        <v>5.4692653673163401</v>
      </c>
    </row>
    <row r="7893" spans="1:5">
      <c r="A7893" t="s">
        <v>9143</v>
      </c>
      <c r="B7893" t="s">
        <v>9145</v>
      </c>
      <c r="C7893">
        <v>7.1583316015799994E-2</v>
      </c>
      <c r="D7893">
        <v>0.82241232027699995</v>
      </c>
      <c r="E7893">
        <v>5.4692653673163401</v>
      </c>
    </row>
    <row r="7894" spans="1:5">
      <c r="A7894" t="s">
        <v>9146</v>
      </c>
      <c r="B7894" t="s">
        <v>9147</v>
      </c>
      <c r="C7894">
        <v>4.5149650441700002E-2</v>
      </c>
      <c r="D7894">
        <v>0.83552291450100002</v>
      </c>
      <c r="E7894">
        <v>2.0269865067466202</v>
      </c>
    </row>
    <row r="7895" spans="1:5">
      <c r="A7895" t="s">
        <v>9146</v>
      </c>
      <c r="B7895" t="s">
        <v>9148</v>
      </c>
      <c r="C7895">
        <v>0</v>
      </c>
      <c r="D7895">
        <v>0.83552291450100002</v>
      </c>
      <c r="E7895">
        <v>2.0269865067466202</v>
      </c>
    </row>
    <row r="7896" spans="1:5">
      <c r="A7896" t="s">
        <v>9146</v>
      </c>
      <c r="B7896" t="s">
        <v>9149</v>
      </c>
      <c r="C7896">
        <f>0</f>
        <v>0</v>
      </c>
      <c r="D7896">
        <v>0.83552291450100002</v>
      </c>
      <c r="E7896">
        <v>2.0269865067466202</v>
      </c>
    </row>
    <row r="7897" spans="1:5">
      <c r="A7897" t="s">
        <v>9146</v>
      </c>
      <c r="B7897" t="s">
        <v>9150</v>
      </c>
      <c r="C7897">
        <f>0</f>
        <v>0</v>
      </c>
      <c r="D7897">
        <v>0.83552291450100002</v>
      </c>
      <c r="E7897">
        <v>2.0269865067466202</v>
      </c>
    </row>
    <row r="7898" spans="1:5">
      <c r="A7898" t="s">
        <v>9146</v>
      </c>
      <c r="B7898" t="s">
        <v>9151</v>
      </c>
      <c r="C7898">
        <v>0</v>
      </c>
      <c r="D7898">
        <v>0.83552291450100002</v>
      </c>
      <c r="E7898">
        <v>2.0269865067466202</v>
      </c>
    </row>
    <row r="7899" spans="1:5">
      <c r="A7899" t="s">
        <v>9146</v>
      </c>
      <c r="B7899" t="s">
        <v>9152</v>
      </c>
      <c r="C7899">
        <f>0</f>
        <v>0</v>
      </c>
      <c r="D7899">
        <v>0.83552291450100002</v>
      </c>
      <c r="E7899">
        <v>2.0269865067466202</v>
      </c>
    </row>
    <row r="7900" spans="1:5">
      <c r="A7900" t="s">
        <v>9146</v>
      </c>
      <c r="B7900" t="s">
        <v>9153</v>
      </c>
      <c r="C7900">
        <v>0</v>
      </c>
      <c r="D7900">
        <v>0.83552291450100002</v>
      </c>
      <c r="E7900">
        <v>2.0269865067466202</v>
      </c>
    </row>
    <row r="7901" spans="1:5">
      <c r="A7901" t="s">
        <v>9146</v>
      </c>
      <c r="B7901" t="s">
        <v>9154</v>
      </c>
      <c r="C7901">
        <f>0</f>
        <v>0</v>
      </c>
      <c r="D7901">
        <v>0.83552291450100002</v>
      </c>
      <c r="E7901">
        <v>2.0269865067466202</v>
      </c>
    </row>
    <row r="7902" spans="1:5">
      <c r="A7902" t="s">
        <v>9146</v>
      </c>
      <c r="B7902" t="s">
        <v>9155</v>
      </c>
      <c r="C7902">
        <v>0</v>
      </c>
      <c r="D7902">
        <v>0.83552291450100002</v>
      </c>
      <c r="E7902">
        <v>2.0269865067466202</v>
      </c>
    </row>
    <row r="7903" spans="1:5">
      <c r="A7903" t="s">
        <v>9156</v>
      </c>
      <c r="B7903" t="s">
        <v>9157</v>
      </c>
      <c r="C7903">
        <v>0</v>
      </c>
      <c r="D7903">
        <v>0.93960336580699999</v>
      </c>
      <c r="E7903">
        <v>1.6911544227886</v>
      </c>
    </row>
    <row r="7904" spans="1:5">
      <c r="A7904" t="s">
        <v>9156</v>
      </c>
      <c r="B7904" t="s">
        <v>9158</v>
      </c>
      <c r="C7904">
        <v>0</v>
      </c>
      <c r="D7904">
        <v>0.93960336580699999</v>
      </c>
      <c r="E7904">
        <v>1.6911544227886</v>
      </c>
    </row>
    <row r="7905" spans="1:5">
      <c r="A7905" t="s">
        <v>9156</v>
      </c>
      <c r="B7905" t="s">
        <v>9159</v>
      </c>
      <c r="C7905">
        <v>0</v>
      </c>
      <c r="D7905">
        <v>0.93960336580699999</v>
      </c>
      <c r="E7905">
        <v>1.6911544227886</v>
      </c>
    </row>
    <row r="7906" spans="1:5">
      <c r="A7906" t="s">
        <v>9156</v>
      </c>
      <c r="B7906" t="s">
        <v>9160</v>
      </c>
      <c r="C7906">
        <v>0.180999611497</v>
      </c>
      <c r="D7906">
        <v>0.93960336580699999</v>
      </c>
      <c r="E7906">
        <v>1.6911544227886</v>
      </c>
    </row>
    <row r="7907" spans="1:5">
      <c r="A7907" t="s">
        <v>9156</v>
      </c>
      <c r="B7907" t="s">
        <v>9161</v>
      </c>
      <c r="C7907">
        <v>0</v>
      </c>
      <c r="D7907">
        <v>0.93960336580699999</v>
      </c>
      <c r="E7907">
        <v>1.6911544227886</v>
      </c>
    </row>
    <row r="7908" spans="1:5">
      <c r="A7908" t="s">
        <v>9156</v>
      </c>
      <c r="B7908" t="s">
        <v>9162</v>
      </c>
      <c r="C7908">
        <v>0</v>
      </c>
      <c r="D7908">
        <v>0.93960336580699999</v>
      </c>
      <c r="E7908">
        <v>1.6911544227886</v>
      </c>
    </row>
    <row r="7909" spans="1:5">
      <c r="A7909" t="s">
        <v>9156</v>
      </c>
      <c r="B7909" t="s">
        <v>9163</v>
      </c>
      <c r="C7909">
        <v>0.10209349874900001</v>
      </c>
      <c r="D7909">
        <v>0.93960336580699999</v>
      </c>
      <c r="E7909">
        <v>1.6911544227886</v>
      </c>
    </row>
    <row r="7910" spans="1:5">
      <c r="A7910" t="s">
        <v>9156</v>
      </c>
      <c r="B7910" t="s">
        <v>9164</v>
      </c>
      <c r="C7910">
        <f>0</f>
        <v>0</v>
      </c>
      <c r="D7910">
        <v>0.93960336580699999</v>
      </c>
      <c r="E7910">
        <v>1.6911544227886</v>
      </c>
    </row>
    <row r="7911" spans="1:5">
      <c r="A7911" t="s">
        <v>9156</v>
      </c>
      <c r="B7911" t="s">
        <v>9165</v>
      </c>
      <c r="C7911">
        <v>0</v>
      </c>
      <c r="D7911">
        <v>0.93960336580699999</v>
      </c>
      <c r="E7911">
        <v>1.6911544227886</v>
      </c>
    </row>
    <row r="7912" spans="1:5">
      <c r="A7912" t="s">
        <v>9166</v>
      </c>
      <c r="B7912" t="s">
        <v>9167</v>
      </c>
      <c r="C7912">
        <v>0.10465689963200001</v>
      </c>
      <c r="D7912">
        <v>0.992292070375</v>
      </c>
      <c r="E7912">
        <v>9.0194902548725597</v>
      </c>
    </row>
    <row r="7913" spans="1:5">
      <c r="A7913" t="s">
        <v>9166</v>
      </c>
      <c r="B7913" t="s">
        <v>9168</v>
      </c>
      <c r="C7913">
        <v>0</v>
      </c>
      <c r="D7913">
        <v>0.992292070375</v>
      </c>
      <c r="E7913">
        <v>9.0194902548725597</v>
      </c>
    </row>
    <row r="7914" spans="1:5">
      <c r="A7914" t="s">
        <v>9166</v>
      </c>
      <c r="B7914" t="s">
        <v>9169</v>
      </c>
      <c r="C7914">
        <v>0</v>
      </c>
      <c r="D7914">
        <v>0.992292070375</v>
      </c>
      <c r="E7914">
        <v>9.0194902548725597</v>
      </c>
    </row>
    <row r="7915" spans="1:5">
      <c r="A7915" t="s">
        <v>9166</v>
      </c>
      <c r="B7915" t="s">
        <v>9170</v>
      </c>
      <c r="C7915">
        <v>0.17750662873799999</v>
      </c>
      <c r="D7915">
        <v>0.992292070375</v>
      </c>
      <c r="E7915">
        <v>9.0194902548725597</v>
      </c>
    </row>
    <row r="7916" spans="1:5">
      <c r="A7916" t="s">
        <v>9166</v>
      </c>
      <c r="B7916" t="s">
        <v>9171</v>
      </c>
      <c r="C7916">
        <v>0</v>
      </c>
      <c r="D7916">
        <v>0.992292070375</v>
      </c>
      <c r="E7916">
        <v>9.0194902548725597</v>
      </c>
    </row>
    <row r="7917" spans="1:5">
      <c r="A7917" t="s">
        <v>9166</v>
      </c>
      <c r="B7917" t="s">
        <v>9172</v>
      </c>
      <c r="C7917">
        <v>0</v>
      </c>
      <c r="D7917">
        <v>0.992292070375</v>
      </c>
      <c r="E7917">
        <v>9.0194902548725597</v>
      </c>
    </row>
    <row r="7918" spans="1:5">
      <c r="A7918" t="s">
        <v>9166</v>
      </c>
      <c r="B7918" t="s">
        <v>9173</v>
      </c>
      <c r="C7918">
        <v>0</v>
      </c>
      <c r="D7918">
        <v>0.992292070375</v>
      </c>
      <c r="E7918">
        <v>9.0194902548725597</v>
      </c>
    </row>
    <row r="7919" spans="1:5">
      <c r="A7919" t="s">
        <v>9166</v>
      </c>
      <c r="B7919" t="s">
        <v>9174</v>
      </c>
      <c r="C7919">
        <v>0</v>
      </c>
      <c r="D7919">
        <v>0.992292070375</v>
      </c>
      <c r="E7919">
        <v>9.0194902548725597</v>
      </c>
    </row>
    <row r="7920" spans="1:5">
      <c r="A7920" t="s">
        <v>9166</v>
      </c>
      <c r="B7920" t="s">
        <v>9175</v>
      </c>
      <c r="C7920">
        <v>0</v>
      </c>
      <c r="D7920">
        <v>0.992292070375</v>
      </c>
      <c r="E7920">
        <v>9.0194902548725597</v>
      </c>
    </row>
    <row r="7921" spans="1:5">
      <c r="A7921" t="s">
        <v>9166</v>
      </c>
      <c r="B7921" t="s">
        <v>9176</v>
      </c>
      <c r="C7921">
        <v>0</v>
      </c>
      <c r="D7921">
        <v>0.992292070375</v>
      </c>
      <c r="E7921">
        <v>9.0194902548725597</v>
      </c>
    </row>
    <row r="7922" spans="1:5">
      <c r="A7922" t="s">
        <v>9166</v>
      </c>
      <c r="B7922" t="s">
        <v>9177</v>
      </c>
      <c r="C7922">
        <v>0</v>
      </c>
      <c r="D7922">
        <v>0.992292070375</v>
      </c>
      <c r="E7922">
        <v>9.0194902548725597</v>
      </c>
    </row>
    <row r="7923" spans="1:5">
      <c r="A7923" t="s">
        <v>9166</v>
      </c>
      <c r="B7923" t="s">
        <v>9178</v>
      </c>
      <c r="C7923">
        <v>0</v>
      </c>
      <c r="D7923">
        <v>0.992292070375</v>
      </c>
      <c r="E7923">
        <v>9.0194902548725597</v>
      </c>
    </row>
    <row r="7924" spans="1:5">
      <c r="A7924" t="s">
        <v>9179</v>
      </c>
      <c r="B7924" t="s">
        <v>9180</v>
      </c>
      <c r="C7924">
        <v>3.5283344517300003E-2</v>
      </c>
      <c r="D7924" t="s">
        <v>106</v>
      </c>
      <c r="E7924">
        <v>20.065967016491701</v>
      </c>
    </row>
    <row r="7925" spans="1:5">
      <c r="A7925" t="s">
        <v>9179</v>
      </c>
      <c r="B7925" t="s">
        <v>9181</v>
      </c>
      <c r="C7925">
        <f>0.0394772350023</f>
        <v>3.94772350023E-2</v>
      </c>
      <c r="D7925" t="s">
        <v>106</v>
      </c>
      <c r="E7925">
        <v>20.065967016491701</v>
      </c>
    </row>
    <row r="7926" spans="1:5">
      <c r="A7926" t="s">
        <v>9179</v>
      </c>
      <c r="B7926" t="s">
        <v>9182</v>
      </c>
      <c r="C7926">
        <v>0</v>
      </c>
      <c r="D7926" t="s">
        <v>106</v>
      </c>
      <c r="E7926">
        <v>20.065967016491701</v>
      </c>
    </row>
    <row r="7927" spans="1:5">
      <c r="A7927" t="s">
        <v>9179</v>
      </c>
      <c r="B7927" t="s">
        <v>9183</v>
      </c>
      <c r="C7927">
        <v>0</v>
      </c>
      <c r="D7927" t="s">
        <v>106</v>
      </c>
      <c r="E7927">
        <v>20.065967016491701</v>
      </c>
    </row>
    <row r="7928" spans="1:5">
      <c r="A7928" t="s">
        <v>9179</v>
      </c>
      <c r="B7928" t="s">
        <v>9184</v>
      </c>
      <c r="C7928">
        <v>0</v>
      </c>
      <c r="D7928" t="s">
        <v>106</v>
      </c>
      <c r="E7928">
        <v>20.065967016491701</v>
      </c>
    </row>
    <row r="7929" spans="1:5">
      <c r="A7929" t="s">
        <v>9185</v>
      </c>
      <c r="B7929" t="s">
        <v>9186</v>
      </c>
      <c r="C7929">
        <v>0</v>
      </c>
      <c r="D7929" t="s">
        <v>106</v>
      </c>
      <c r="E7929">
        <v>24</v>
      </c>
    </row>
    <row r="7930" spans="1:5">
      <c r="A7930" t="s">
        <v>9185</v>
      </c>
      <c r="B7930" t="s">
        <v>9187</v>
      </c>
      <c r="C7930">
        <v>0</v>
      </c>
      <c r="D7930" t="s">
        <v>106</v>
      </c>
      <c r="E7930">
        <v>24</v>
      </c>
    </row>
    <row r="7931" spans="1:5">
      <c r="A7931" t="s">
        <v>9185</v>
      </c>
      <c r="B7931" t="s">
        <v>9188</v>
      </c>
      <c r="C7931">
        <v>0</v>
      </c>
      <c r="D7931" t="s">
        <v>106</v>
      </c>
      <c r="E7931">
        <v>24</v>
      </c>
    </row>
    <row r="7932" spans="1:5">
      <c r="A7932" t="s">
        <v>9185</v>
      </c>
      <c r="B7932" t="s">
        <v>9189</v>
      </c>
      <c r="C7932">
        <v>0</v>
      </c>
      <c r="D7932" t="s">
        <v>106</v>
      </c>
      <c r="E7932">
        <v>24</v>
      </c>
    </row>
    <row r="7933" spans="1:5">
      <c r="A7933" t="s">
        <v>9185</v>
      </c>
      <c r="B7933" t="s">
        <v>9190</v>
      </c>
      <c r="C7933">
        <v>0</v>
      </c>
      <c r="D7933" t="s">
        <v>106</v>
      </c>
      <c r="E7933">
        <v>24</v>
      </c>
    </row>
    <row r="7934" spans="1:5">
      <c r="A7934" t="s">
        <v>9185</v>
      </c>
      <c r="B7934" t="s">
        <v>9191</v>
      </c>
      <c r="C7934">
        <v>0</v>
      </c>
      <c r="D7934" t="s">
        <v>106</v>
      </c>
      <c r="E7934">
        <v>24</v>
      </c>
    </row>
    <row r="7935" spans="1:5">
      <c r="A7935" t="s">
        <v>9185</v>
      </c>
      <c r="B7935" t="s">
        <v>9192</v>
      </c>
      <c r="C7935">
        <v>1.1384096501E-2</v>
      </c>
      <c r="D7935" t="s">
        <v>106</v>
      </c>
      <c r="E7935">
        <v>24</v>
      </c>
    </row>
    <row r="7936" spans="1:5">
      <c r="A7936" t="s">
        <v>9185</v>
      </c>
      <c r="B7936" t="s">
        <v>9193</v>
      </c>
      <c r="C7936">
        <f>0</f>
        <v>0</v>
      </c>
      <c r="D7936" t="s">
        <v>106</v>
      </c>
      <c r="E7936">
        <v>24</v>
      </c>
    </row>
    <row r="7937" spans="1:5">
      <c r="A7937" t="s">
        <v>9185</v>
      </c>
      <c r="B7937" t="s">
        <v>9194</v>
      </c>
      <c r="C7937">
        <v>0</v>
      </c>
      <c r="D7937" t="s">
        <v>106</v>
      </c>
      <c r="E7937">
        <v>24</v>
      </c>
    </row>
    <row r="7938" spans="1:5">
      <c r="A7938" t="s">
        <v>9185</v>
      </c>
      <c r="B7938" t="s">
        <v>9195</v>
      </c>
      <c r="C7938">
        <f>0</f>
        <v>0</v>
      </c>
      <c r="D7938" t="s">
        <v>106</v>
      </c>
      <c r="E7938">
        <v>24</v>
      </c>
    </row>
    <row r="7939" spans="1:5">
      <c r="A7939" t="s">
        <v>9185</v>
      </c>
      <c r="B7939" t="s">
        <v>9196</v>
      </c>
      <c r="C7939">
        <v>9.8494777059700001E-2</v>
      </c>
      <c r="D7939" t="s">
        <v>106</v>
      </c>
      <c r="E7939">
        <v>24</v>
      </c>
    </row>
    <row r="7940" spans="1:5">
      <c r="A7940" t="s">
        <v>9185</v>
      </c>
      <c r="B7940" t="s">
        <v>9197</v>
      </c>
      <c r="C7940">
        <f>0</f>
        <v>0</v>
      </c>
      <c r="D7940" t="s">
        <v>106</v>
      </c>
      <c r="E7940">
        <v>24</v>
      </c>
    </row>
    <row r="7941" spans="1:5">
      <c r="A7941" t="s">
        <v>9198</v>
      </c>
      <c r="B7941" t="s">
        <v>9199</v>
      </c>
      <c r="C7941">
        <v>0</v>
      </c>
      <c r="D7941">
        <v>0.80680182192000005</v>
      </c>
      <c r="E7941">
        <v>10.0749625187406</v>
      </c>
    </row>
    <row r="7942" spans="1:5">
      <c r="A7942" t="s">
        <v>9198</v>
      </c>
      <c r="B7942" t="s">
        <v>9200</v>
      </c>
      <c r="C7942">
        <f>0</f>
        <v>0</v>
      </c>
      <c r="D7942">
        <v>0.80680182192000005</v>
      </c>
      <c r="E7942">
        <v>10.0749625187406</v>
      </c>
    </row>
    <row r="7943" spans="1:5">
      <c r="A7943" t="s">
        <v>9198</v>
      </c>
      <c r="B7943" t="s">
        <v>9201</v>
      </c>
      <c r="C7943">
        <v>0</v>
      </c>
      <c r="D7943">
        <v>0.80680182192000005</v>
      </c>
      <c r="E7943">
        <v>10.0749625187406</v>
      </c>
    </row>
    <row r="7944" spans="1:5">
      <c r="A7944" t="s">
        <v>9198</v>
      </c>
      <c r="B7944" t="s">
        <v>9202</v>
      </c>
      <c r="C7944">
        <v>0</v>
      </c>
      <c r="D7944">
        <v>0.80680182192000005</v>
      </c>
      <c r="E7944">
        <v>10.0749625187406</v>
      </c>
    </row>
    <row r="7945" spans="1:5">
      <c r="A7945" t="s">
        <v>9198</v>
      </c>
      <c r="B7945" t="s">
        <v>9203</v>
      </c>
      <c r="C7945">
        <v>0</v>
      </c>
      <c r="D7945">
        <v>0.80680182192000005</v>
      </c>
      <c r="E7945">
        <v>10.0749625187406</v>
      </c>
    </row>
    <row r="7946" spans="1:5">
      <c r="A7946" t="s">
        <v>9198</v>
      </c>
      <c r="B7946" t="s">
        <v>9204</v>
      </c>
      <c r="C7946">
        <v>0.109208337953</v>
      </c>
      <c r="D7946">
        <v>0.80680182192000005</v>
      </c>
      <c r="E7946">
        <v>10.0749625187406</v>
      </c>
    </row>
    <row r="7947" spans="1:5">
      <c r="A7947" t="s">
        <v>9198</v>
      </c>
      <c r="B7947" t="s">
        <v>9205</v>
      </c>
      <c r="C7947">
        <v>0</v>
      </c>
      <c r="D7947">
        <v>0.80680182192000005</v>
      </c>
      <c r="E7947">
        <v>10.0749625187406</v>
      </c>
    </row>
    <row r="7948" spans="1:5">
      <c r="A7948" t="s">
        <v>9198</v>
      </c>
      <c r="B7948" t="s">
        <v>9206</v>
      </c>
      <c r="C7948">
        <v>0</v>
      </c>
      <c r="D7948">
        <v>0.80680182192000005</v>
      </c>
      <c r="E7948">
        <v>10.0749625187406</v>
      </c>
    </row>
    <row r="7949" spans="1:5">
      <c r="A7949" t="s">
        <v>9207</v>
      </c>
      <c r="B7949" t="s">
        <v>9208</v>
      </c>
      <c r="C7949">
        <v>0</v>
      </c>
      <c r="D7949">
        <v>0.95914927140100004</v>
      </c>
      <c r="E7949">
        <v>14.9325337331334</v>
      </c>
    </row>
    <row r="7950" spans="1:5">
      <c r="A7950" t="s">
        <v>9207</v>
      </c>
      <c r="B7950" t="s">
        <v>9209</v>
      </c>
      <c r="C7950">
        <v>0</v>
      </c>
      <c r="D7950">
        <v>0.95914927140100004</v>
      </c>
      <c r="E7950">
        <v>14.9325337331334</v>
      </c>
    </row>
    <row r="7951" spans="1:5">
      <c r="A7951" t="s">
        <v>9207</v>
      </c>
      <c r="B7951" t="s">
        <v>9210</v>
      </c>
      <c r="C7951">
        <v>0</v>
      </c>
      <c r="D7951">
        <v>0.95914927140100004</v>
      </c>
      <c r="E7951">
        <v>14.9325337331334</v>
      </c>
    </row>
    <row r="7952" spans="1:5">
      <c r="A7952" t="s">
        <v>9207</v>
      </c>
      <c r="B7952" t="s">
        <v>9211</v>
      </c>
      <c r="C7952">
        <v>0.19780791419800001</v>
      </c>
      <c r="D7952">
        <v>0.95914927140100004</v>
      </c>
      <c r="E7952">
        <v>14.9325337331334</v>
      </c>
    </row>
    <row r="7953" spans="1:5">
      <c r="A7953" t="s">
        <v>9207</v>
      </c>
      <c r="B7953" t="s">
        <v>9212</v>
      </c>
      <c r="C7953">
        <v>0</v>
      </c>
      <c r="D7953">
        <v>0.95914927140100004</v>
      </c>
      <c r="E7953">
        <v>14.9325337331334</v>
      </c>
    </row>
    <row r="7954" spans="1:5">
      <c r="A7954" t="s">
        <v>9207</v>
      </c>
      <c r="B7954" t="s">
        <v>9213</v>
      </c>
      <c r="C7954">
        <v>0</v>
      </c>
      <c r="D7954">
        <v>0.95914927140100004</v>
      </c>
      <c r="E7954">
        <v>14.9325337331334</v>
      </c>
    </row>
    <row r="7955" spans="1:5">
      <c r="A7955" t="s">
        <v>9207</v>
      </c>
      <c r="B7955" t="s">
        <v>9214</v>
      </c>
      <c r="C7955">
        <v>0</v>
      </c>
      <c r="D7955">
        <v>0.95914927140100004</v>
      </c>
      <c r="E7955">
        <v>14.9325337331334</v>
      </c>
    </row>
    <row r="7956" spans="1:5">
      <c r="A7956" t="s">
        <v>9207</v>
      </c>
      <c r="B7956" t="s">
        <v>9215</v>
      </c>
      <c r="C7956">
        <v>0</v>
      </c>
      <c r="D7956">
        <v>0.95914927140100004</v>
      </c>
      <c r="E7956">
        <v>14.9325337331334</v>
      </c>
    </row>
    <row r="7957" spans="1:5">
      <c r="A7957" t="s">
        <v>9207</v>
      </c>
      <c r="B7957" t="s">
        <v>9216</v>
      </c>
      <c r="C7957">
        <v>0</v>
      </c>
      <c r="D7957">
        <v>0.95914927140100004</v>
      </c>
      <c r="E7957">
        <v>14.9325337331334</v>
      </c>
    </row>
    <row r="7958" spans="1:5">
      <c r="A7958" t="s">
        <v>9207</v>
      </c>
      <c r="B7958" t="s">
        <v>9217</v>
      </c>
      <c r="C7958">
        <v>0</v>
      </c>
      <c r="D7958">
        <v>0.95914927140100004</v>
      </c>
      <c r="E7958">
        <v>14.9325337331334</v>
      </c>
    </row>
    <row r="7959" spans="1:5">
      <c r="A7959" t="s">
        <v>9207</v>
      </c>
      <c r="B7959" t="s">
        <v>9218</v>
      </c>
      <c r="C7959">
        <v>0</v>
      </c>
      <c r="D7959">
        <v>0.95914927140100004</v>
      </c>
      <c r="E7959">
        <v>14.9325337331334</v>
      </c>
    </row>
    <row r="7960" spans="1:5">
      <c r="A7960" t="s">
        <v>9207</v>
      </c>
      <c r="B7960" t="s">
        <v>9219</v>
      </c>
      <c r="C7960">
        <v>0</v>
      </c>
      <c r="D7960">
        <v>0.95914927140100004</v>
      </c>
      <c r="E7960">
        <v>14.9325337331334</v>
      </c>
    </row>
    <row r="7961" spans="1:5">
      <c r="A7961" t="s">
        <v>9220</v>
      </c>
      <c r="B7961" t="s">
        <v>9221</v>
      </c>
      <c r="C7961">
        <f>0</f>
        <v>0</v>
      </c>
      <c r="D7961">
        <v>0.872050379574</v>
      </c>
      <c r="E7961">
        <v>2.2548725637181399</v>
      </c>
    </row>
    <row r="7962" spans="1:5">
      <c r="A7962" t="s">
        <v>9220</v>
      </c>
      <c r="B7962" t="s">
        <v>9222</v>
      </c>
      <c r="C7962">
        <f>0</f>
        <v>0</v>
      </c>
      <c r="D7962">
        <v>0.872050379574</v>
      </c>
      <c r="E7962">
        <v>2.2548725637181399</v>
      </c>
    </row>
    <row r="7963" spans="1:5">
      <c r="A7963" t="s">
        <v>9220</v>
      </c>
      <c r="B7963" t="s">
        <v>9223</v>
      </c>
      <c r="C7963">
        <f>0</f>
        <v>0</v>
      </c>
      <c r="D7963">
        <v>0.872050379574</v>
      </c>
      <c r="E7963">
        <v>2.2548725637181399</v>
      </c>
    </row>
    <row r="7964" spans="1:5">
      <c r="A7964" t="s">
        <v>9220</v>
      </c>
      <c r="B7964" t="s">
        <v>9224</v>
      </c>
      <c r="C7964">
        <v>0</v>
      </c>
      <c r="D7964">
        <v>0.872050379574</v>
      </c>
      <c r="E7964">
        <v>2.2548725637181399</v>
      </c>
    </row>
    <row r="7965" spans="1:5">
      <c r="A7965" t="s">
        <v>9220</v>
      </c>
      <c r="B7965" t="s">
        <v>9225</v>
      </c>
      <c r="C7965">
        <f>0</f>
        <v>0</v>
      </c>
      <c r="D7965">
        <v>0.872050379574</v>
      </c>
      <c r="E7965">
        <v>2.2548725637181399</v>
      </c>
    </row>
    <row r="7966" spans="1:5">
      <c r="A7966" t="s">
        <v>9220</v>
      </c>
      <c r="B7966" t="s">
        <v>9226</v>
      </c>
      <c r="C7966">
        <v>0</v>
      </c>
      <c r="D7966">
        <v>0.872050379574</v>
      </c>
      <c r="E7966">
        <v>2.2548725637181399</v>
      </c>
    </row>
    <row r="7967" spans="1:5">
      <c r="A7967" t="s">
        <v>9227</v>
      </c>
      <c r="B7967" t="s">
        <v>9228</v>
      </c>
      <c r="C7967">
        <v>2.18529113635E-2</v>
      </c>
      <c r="D7967">
        <v>0.88119166110299996</v>
      </c>
      <c r="E7967">
        <v>20.965517241379299</v>
      </c>
    </row>
    <row r="7968" spans="1:5">
      <c r="A7968" t="s">
        <v>9227</v>
      </c>
      <c r="B7968" t="s">
        <v>9229</v>
      </c>
      <c r="C7968">
        <v>0</v>
      </c>
      <c r="D7968">
        <v>0.88119166110299996</v>
      </c>
      <c r="E7968">
        <v>20.965517241379299</v>
      </c>
    </row>
    <row r="7969" spans="1:5">
      <c r="A7969" t="s">
        <v>9227</v>
      </c>
      <c r="B7969" t="s">
        <v>9230</v>
      </c>
      <c r="C7969">
        <f>0</f>
        <v>0</v>
      </c>
      <c r="D7969">
        <v>0.88119166110299996</v>
      </c>
      <c r="E7969">
        <v>20.965517241379299</v>
      </c>
    </row>
    <row r="7970" spans="1:5">
      <c r="A7970" t="s">
        <v>9227</v>
      </c>
      <c r="B7970" t="s">
        <v>9231</v>
      </c>
      <c r="C7970">
        <f>0</f>
        <v>0</v>
      </c>
      <c r="D7970">
        <v>0.88119166110299996</v>
      </c>
      <c r="E7970">
        <v>20.965517241379299</v>
      </c>
    </row>
    <row r="7971" spans="1:5">
      <c r="A7971" t="s">
        <v>9227</v>
      </c>
      <c r="B7971" t="s">
        <v>9232</v>
      </c>
      <c r="C7971">
        <v>0</v>
      </c>
      <c r="D7971">
        <v>0.88119166110299996</v>
      </c>
      <c r="E7971">
        <v>20.965517241379299</v>
      </c>
    </row>
    <row r="7972" spans="1:5">
      <c r="A7972" t="s">
        <v>9227</v>
      </c>
      <c r="B7972" t="s">
        <v>9233</v>
      </c>
      <c r="C7972">
        <f>0</f>
        <v>0</v>
      </c>
      <c r="D7972">
        <v>0.88119166110299996</v>
      </c>
      <c r="E7972">
        <v>20.965517241379299</v>
      </c>
    </row>
    <row r="7973" spans="1:5">
      <c r="A7973" t="s">
        <v>9227</v>
      </c>
      <c r="B7973" t="s">
        <v>9234</v>
      </c>
      <c r="C7973">
        <f>0.122385511152</f>
        <v>0.122385511152</v>
      </c>
      <c r="D7973">
        <v>0.88119166110299996</v>
      </c>
      <c r="E7973">
        <v>20.965517241379299</v>
      </c>
    </row>
    <row r="7974" spans="1:5">
      <c r="A7974" t="s">
        <v>9235</v>
      </c>
      <c r="B7974" t="s">
        <v>9236</v>
      </c>
      <c r="C7974">
        <v>0</v>
      </c>
      <c r="D7974" t="s">
        <v>106</v>
      </c>
      <c r="E7974">
        <v>24</v>
      </c>
    </row>
    <row r="7975" spans="1:5">
      <c r="A7975" t="s">
        <v>9235</v>
      </c>
      <c r="B7975" t="s">
        <v>9237</v>
      </c>
      <c r="C7975">
        <f>0</f>
        <v>0</v>
      </c>
      <c r="D7975" t="s">
        <v>106</v>
      </c>
      <c r="E7975">
        <v>24</v>
      </c>
    </row>
    <row r="7976" spans="1:5">
      <c r="A7976" t="s">
        <v>9235</v>
      </c>
      <c r="B7976" t="s">
        <v>9238</v>
      </c>
      <c r="C7976">
        <f>0</f>
        <v>0</v>
      </c>
      <c r="D7976" t="s">
        <v>106</v>
      </c>
      <c r="E7976">
        <v>24</v>
      </c>
    </row>
    <row r="7977" spans="1:5">
      <c r="A7977" t="s">
        <v>9239</v>
      </c>
      <c r="B7977" t="s">
        <v>9240</v>
      </c>
      <c r="C7977">
        <f>0</f>
        <v>0</v>
      </c>
      <c r="D7977">
        <v>0.95789148236900001</v>
      </c>
      <c r="E7977">
        <v>13.625187406296799</v>
      </c>
    </row>
    <row r="7978" spans="1:5">
      <c r="A7978" t="s">
        <v>9239</v>
      </c>
      <c r="B7978" t="s">
        <v>9241</v>
      </c>
      <c r="C7978">
        <f>0</f>
        <v>0</v>
      </c>
      <c r="D7978">
        <v>0.95789148236900001</v>
      </c>
      <c r="E7978">
        <v>13.625187406296799</v>
      </c>
    </row>
    <row r="7979" spans="1:5">
      <c r="A7979" t="s">
        <v>9239</v>
      </c>
      <c r="B7979" t="s">
        <v>9242</v>
      </c>
      <c r="C7979">
        <f>0</f>
        <v>0</v>
      </c>
      <c r="D7979">
        <v>0.95789148236900001</v>
      </c>
      <c r="E7979">
        <v>13.625187406296799</v>
      </c>
    </row>
    <row r="7980" spans="1:5">
      <c r="A7980" t="s">
        <v>9239</v>
      </c>
      <c r="B7980" t="s">
        <v>9243</v>
      </c>
      <c r="C7980">
        <f>0</f>
        <v>0</v>
      </c>
      <c r="D7980">
        <v>0.95789148236900001</v>
      </c>
      <c r="E7980">
        <v>13.625187406296799</v>
      </c>
    </row>
    <row r="7981" spans="1:5">
      <c r="A7981" t="s">
        <v>9239</v>
      </c>
      <c r="B7981" t="s">
        <v>9244</v>
      </c>
      <c r="C7981">
        <v>0</v>
      </c>
      <c r="D7981">
        <v>0.95789148236900001</v>
      </c>
      <c r="E7981">
        <v>13.625187406296799</v>
      </c>
    </row>
    <row r="7982" spans="1:5">
      <c r="A7982" t="s">
        <v>9239</v>
      </c>
      <c r="B7982" t="s">
        <v>9245</v>
      </c>
      <c r="C7982">
        <f>0</f>
        <v>0</v>
      </c>
      <c r="D7982">
        <v>0.95789148236900001</v>
      </c>
      <c r="E7982">
        <v>13.625187406296799</v>
      </c>
    </row>
    <row r="7983" spans="1:5">
      <c r="A7983" t="s">
        <v>9239</v>
      </c>
      <c r="B7983" t="s">
        <v>9246</v>
      </c>
      <c r="C7983">
        <f>0</f>
        <v>0</v>
      </c>
      <c r="D7983">
        <v>0.95789148236900001</v>
      </c>
      <c r="E7983">
        <v>13.625187406296799</v>
      </c>
    </row>
    <row r="7984" spans="1:5">
      <c r="A7984" t="s">
        <v>9239</v>
      </c>
      <c r="B7984" t="s">
        <v>9247</v>
      </c>
      <c r="C7984">
        <f>0</f>
        <v>0</v>
      </c>
      <c r="D7984">
        <v>0.95789148236900001</v>
      </c>
      <c r="E7984">
        <v>13.625187406296799</v>
      </c>
    </row>
    <row r="7985" spans="1:5">
      <c r="A7985" t="s">
        <v>9239</v>
      </c>
      <c r="B7985" t="s">
        <v>9248</v>
      </c>
      <c r="C7985">
        <f>0</f>
        <v>0</v>
      </c>
      <c r="D7985">
        <v>0.95789148236900001</v>
      </c>
      <c r="E7985">
        <v>13.625187406296799</v>
      </c>
    </row>
    <row r="7986" spans="1:5">
      <c r="A7986" t="s">
        <v>9239</v>
      </c>
      <c r="B7986" t="s">
        <v>9249</v>
      </c>
      <c r="C7986">
        <f>0</f>
        <v>0</v>
      </c>
      <c r="D7986">
        <v>0.95789148236900001</v>
      </c>
      <c r="E7986">
        <v>13.625187406296799</v>
      </c>
    </row>
    <row r="7987" spans="1:5">
      <c r="A7987" t="s">
        <v>9239</v>
      </c>
      <c r="B7987" t="s">
        <v>9250</v>
      </c>
      <c r="C7987">
        <f>0.135453985153</f>
        <v>0.135453985153</v>
      </c>
      <c r="D7987">
        <v>0.95789148236900001</v>
      </c>
      <c r="E7987">
        <v>13.625187406296799</v>
      </c>
    </row>
    <row r="7988" spans="1:5">
      <c r="A7988" t="s">
        <v>9251</v>
      </c>
      <c r="B7988" t="s">
        <v>9240</v>
      </c>
      <c r="C7988">
        <f>0</f>
        <v>0</v>
      </c>
      <c r="D7988" t="s">
        <v>106</v>
      </c>
      <c r="E7988">
        <v>4.9055472263868003</v>
      </c>
    </row>
    <row r="7989" spans="1:5">
      <c r="A7989" t="s">
        <v>9251</v>
      </c>
      <c r="B7989" t="s">
        <v>9241</v>
      </c>
      <c r="C7989">
        <f>0</f>
        <v>0</v>
      </c>
      <c r="D7989" t="s">
        <v>106</v>
      </c>
      <c r="E7989">
        <v>4.9055472263868003</v>
      </c>
    </row>
    <row r="7990" spans="1:5">
      <c r="A7990" t="s">
        <v>9251</v>
      </c>
      <c r="B7990" t="s">
        <v>9242</v>
      </c>
      <c r="C7990">
        <f>0</f>
        <v>0</v>
      </c>
      <c r="D7990" t="s">
        <v>106</v>
      </c>
      <c r="E7990">
        <v>4.9055472263868003</v>
      </c>
    </row>
    <row r="7991" spans="1:5">
      <c r="A7991" t="s">
        <v>9251</v>
      </c>
      <c r="B7991" t="s">
        <v>9243</v>
      </c>
      <c r="C7991">
        <f>0</f>
        <v>0</v>
      </c>
      <c r="D7991" t="s">
        <v>106</v>
      </c>
      <c r="E7991">
        <v>4.9055472263868003</v>
      </c>
    </row>
    <row r="7992" spans="1:5">
      <c r="A7992" t="s">
        <v>9251</v>
      </c>
      <c r="B7992" t="s">
        <v>9244</v>
      </c>
      <c r="C7992">
        <v>0</v>
      </c>
      <c r="D7992" t="s">
        <v>106</v>
      </c>
      <c r="E7992">
        <v>4.9055472263868003</v>
      </c>
    </row>
    <row r="7993" spans="1:5">
      <c r="A7993" t="s">
        <v>9251</v>
      </c>
      <c r="B7993" t="s">
        <v>9245</v>
      </c>
      <c r="C7993">
        <f>0</f>
        <v>0</v>
      </c>
      <c r="D7993" t="s">
        <v>106</v>
      </c>
      <c r="E7993">
        <v>4.9055472263868003</v>
      </c>
    </row>
    <row r="7994" spans="1:5">
      <c r="A7994" t="s">
        <v>9251</v>
      </c>
      <c r="B7994" t="s">
        <v>9246</v>
      </c>
      <c r="C7994">
        <f>0</f>
        <v>0</v>
      </c>
      <c r="D7994" t="s">
        <v>106</v>
      </c>
      <c r="E7994">
        <v>4.9055472263868003</v>
      </c>
    </row>
    <row r="7995" spans="1:5">
      <c r="A7995" t="s">
        <v>9251</v>
      </c>
      <c r="B7995" t="s">
        <v>9247</v>
      </c>
      <c r="C7995">
        <f>0</f>
        <v>0</v>
      </c>
      <c r="D7995" t="s">
        <v>106</v>
      </c>
      <c r="E7995">
        <v>4.9055472263868003</v>
      </c>
    </row>
    <row r="7996" spans="1:5">
      <c r="A7996" t="s">
        <v>9251</v>
      </c>
      <c r="B7996" t="s">
        <v>9248</v>
      </c>
      <c r="C7996">
        <v>0</v>
      </c>
      <c r="D7996" t="s">
        <v>106</v>
      </c>
      <c r="E7996">
        <v>4.9055472263868003</v>
      </c>
    </row>
    <row r="7997" spans="1:5">
      <c r="A7997" t="s">
        <v>9251</v>
      </c>
      <c r="B7997" t="s">
        <v>9249</v>
      </c>
      <c r="C7997">
        <f>0</f>
        <v>0</v>
      </c>
      <c r="D7997" t="s">
        <v>106</v>
      </c>
      <c r="E7997">
        <v>4.9055472263868003</v>
      </c>
    </row>
    <row r="7998" spans="1:5">
      <c r="A7998" t="s">
        <v>9251</v>
      </c>
      <c r="B7998" t="s">
        <v>9250</v>
      </c>
      <c r="C7998">
        <f>0</f>
        <v>0</v>
      </c>
      <c r="D7998" t="s">
        <v>106</v>
      </c>
      <c r="E7998">
        <v>4.9055472263868003</v>
      </c>
    </row>
    <row r="7999" spans="1:5">
      <c r="A7999" t="s">
        <v>9252</v>
      </c>
      <c r="B7999" t="s">
        <v>9253</v>
      </c>
      <c r="C7999">
        <v>0</v>
      </c>
      <c r="D7999">
        <v>0.95214773946800002</v>
      </c>
      <c r="E7999">
        <v>16.695652173913</v>
      </c>
    </row>
    <row r="8000" spans="1:5">
      <c r="A8000" t="s">
        <v>9252</v>
      </c>
      <c r="B8000" t="s">
        <v>9254</v>
      </c>
      <c r="C8000">
        <v>0.16792976213899999</v>
      </c>
      <c r="D8000">
        <v>0.95214773946800002</v>
      </c>
      <c r="E8000">
        <v>16.695652173913</v>
      </c>
    </row>
    <row r="8001" spans="1:5">
      <c r="A8001" t="s">
        <v>9252</v>
      </c>
      <c r="B8001" t="s">
        <v>9255</v>
      </c>
      <c r="C8001">
        <v>9.3180891376300007E-2</v>
      </c>
      <c r="D8001">
        <v>0.95214773946800002</v>
      </c>
      <c r="E8001">
        <v>16.695652173913</v>
      </c>
    </row>
    <row r="8002" spans="1:5">
      <c r="A8002" t="s">
        <v>9252</v>
      </c>
      <c r="B8002" t="s">
        <v>9256</v>
      </c>
      <c r="C8002">
        <v>0</v>
      </c>
      <c r="D8002">
        <v>0.95214773946800002</v>
      </c>
      <c r="E8002">
        <v>16.695652173913</v>
      </c>
    </row>
    <row r="8003" spans="1:5">
      <c r="A8003" t="s">
        <v>9252</v>
      </c>
      <c r="B8003" t="s">
        <v>9257</v>
      </c>
      <c r="C8003">
        <f>0</f>
        <v>0</v>
      </c>
      <c r="D8003">
        <v>0.95214773946800002</v>
      </c>
      <c r="E8003">
        <v>16.695652173913</v>
      </c>
    </row>
    <row r="8004" spans="1:5">
      <c r="A8004" t="s">
        <v>9252</v>
      </c>
      <c r="B8004" t="s">
        <v>9258</v>
      </c>
      <c r="C8004">
        <f>0</f>
        <v>0</v>
      </c>
      <c r="D8004">
        <v>0.95214773946800002</v>
      </c>
      <c r="E8004">
        <v>16.695652173913</v>
      </c>
    </row>
    <row r="8005" spans="1:5">
      <c r="A8005" t="s">
        <v>9252</v>
      </c>
      <c r="B8005" t="s">
        <v>9259</v>
      </c>
      <c r="C8005">
        <f>0</f>
        <v>0</v>
      </c>
      <c r="D8005">
        <v>0.95214773946800002</v>
      </c>
      <c r="E8005">
        <v>16.695652173913</v>
      </c>
    </row>
    <row r="8006" spans="1:5">
      <c r="A8006" t="s">
        <v>9252</v>
      </c>
      <c r="B8006" t="s">
        <v>9260</v>
      </c>
      <c r="C8006">
        <f>0</f>
        <v>0</v>
      </c>
      <c r="D8006">
        <v>0.95214773946800002</v>
      </c>
      <c r="E8006">
        <v>16.695652173913</v>
      </c>
    </row>
    <row r="8007" spans="1:5">
      <c r="A8007" t="s">
        <v>9252</v>
      </c>
      <c r="B8007" t="s">
        <v>9261</v>
      </c>
      <c r="C8007">
        <f>0</f>
        <v>0</v>
      </c>
      <c r="D8007">
        <v>0.95214773946800002</v>
      </c>
      <c r="E8007">
        <v>16.695652173913</v>
      </c>
    </row>
    <row r="8008" spans="1:5">
      <c r="A8008" t="s">
        <v>9252</v>
      </c>
      <c r="B8008" t="s">
        <v>9262</v>
      </c>
      <c r="C8008">
        <f>0</f>
        <v>0</v>
      </c>
      <c r="D8008">
        <v>0.95214773946800002</v>
      </c>
      <c r="E8008">
        <v>16.695652173913</v>
      </c>
    </row>
    <row r="8009" spans="1:5">
      <c r="A8009" t="s">
        <v>9263</v>
      </c>
      <c r="B8009" t="s">
        <v>9264</v>
      </c>
      <c r="C8009">
        <v>0</v>
      </c>
      <c r="D8009">
        <v>0.99277097461200003</v>
      </c>
      <c r="E8009">
        <v>18.554722638680602</v>
      </c>
    </row>
    <row r="8010" spans="1:5">
      <c r="A8010" t="s">
        <v>9263</v>
      </c>
      <c r="B8010" t="s">
        <v>9265</v>
      </c>
      <c r="C8010">
        <v>0.21824401553799999</v>
      </c>
      <c r="D8010">
        <v>0.99277097461200003</v>
      </c>
      <c r="E8010">
        <v>18.554722638680602</v>
      </c>
    </row>
    <row r="8011" spans="1:5">
      <c r="A8011" t="s">
        <v>9263</v>
      </c>
      <c r="B8011" t="s">
        <v>9266</v>
      </c>
      <c r="C8011">
        <v>0</v>
      </c>
      <c r="D8011">
        <v>0.99277097461200003</v>
      </c>
      <c r="E8011">
        <v>18.554722638680602</v>
      </c>
    </row>
    <row r="8012" spans="1:5">
      <c r="A8012" t="s">
        <v>9263</v>
      </c>
      <c r="B8012" t="s">
        <v>9267</v>
      </c>
      <c r="C8012">
        <f>0</f>
        <v>0</v>
      </c>
      <c r="D8012">
        <v>0.99277097461200003</v>
      </c>
      <c r="E8012">
        <v>18.554722638680602</v>
      </c>
    </row>
    <row r="8013" spans="1:5">
      <c r="A8013" t="s">
        <v>9263</v>
      </c>
      <c r="B8013" t="s">
        <v>9268</v>
      </c>
      <c r="C8013">
        <v>0</v>
      </c>
      <c r="D8013">
        <v>0.99277097461200003</v>
      </c>
      <c r="E8013">
        <v>18.554722638680602</v>
      </c>
    </row>
    <row r="8014" spans="1:5">
      <c r="A8014" t="s">
        <v>9263</v>
      </c>
      <c r="B8014" t="s">
        <v>9269</v>
      </c>
      <c r="C8014">
        <v>0</v>
      </c>
      <c r="D8014">
        <v>0.99277097461200003</v>
      </c>
      <c r="E8014">
        <v>18.554722638680602</v>
      </c>
    </row>
    <row r="8015" spans="1:5">
      <c r="A8015" t="s">
        <v>9263</v>
      </c>
      <c r="B8015" t="s">
        <v>9270</v>
      </c>
      <c r="C8015">
        <v>0</v>
      </c>
      <c r="D8015">
        <v>0.99277097461200003</v>
      </c>
      <c r="E8015">
        <v>18.554722638680602</v>
      </c>
    </row>
    <row r="8016" spans="1:5">
      <c r="A8016" t="s">
        <v>9263</v>
      </c>
      <c r="B8016" t="s">
        <v>9271</v>
      </c>
      <c r="C8016">
        <v>0</v>
      </c>
      <c r="D8016">
        <v>0.99277097461200003</v>
      </c>
      <c r="E8016">
        <v>18.554722638680602</v>
      </c>
    </row>
    <row r="8017" spans="1:5">
      <c r="A8017" t="s">
        <v>9263</v>
      </c>
      <c r="B8017" t="s">
        <v>9272</v>
      </c>
      <c r="C8017">
        <v>0</v>
      </c>
      <c r="D8017">
        <v>0.99277097461200003</v>
      </c>
      <c r="E8017">
        <v>18.554722638680602</v>
      </c>
    </row>
    <row r="8018" spans="1:5">
      <c r="A8018" t="s">
        <v>9263</v>
      </c>
      <c r="B8018" t="s">
        <v>9273</v>
      </c>
      <c r="C8018">
        <f>0</f>
        <v>0</v>
      </c>
      <c r="D8018">
        <v>0.99277097461200003</v>
      </c>
      <c r="E8018">
        <v>18.554722638680602</v>
      </c>
    </row>
    <row r="8019" spans="1:5">
      <c r="A8019" t="s">
        <v>9263</v>
      </c>
      <c r="B8019" t="s">
        <v>9274</v>
      </c>
      <c r="C8019">
        <v>0</v>
      </c>
      <c r="D8019">
        <v>0.99277097461200003</v>
      </c>
      <c r="E8019">
        <v>18.554722638680602</v>
      </c>
    </row>
    <row r="8020" spans="1:5">
      <c r="A8020" t="s">
        <v>9263</v>
      </c>
      <c r="B8020" t="s">
        <v>9275</v>
      </c>
      <c r="C8020">
        <v>7.2863615460000003E-2</v>
      </c>
      <c r="D8020">
        <v>0.99277097461200003</v>
      </c>
      <c r="E8020">
        <v>18.554722638680602</v>
      </c>
    </row>
    <row r="8021" spans="1:5">
      <c r="A8021" t="s">
        <v>9263</v>
      </c>
      <c r="B8021" t="s">
        <v>9276</v>
      </c>
      <c r="C8021">
        <f>0</f>
        <v>0</v>
      </c>
      <c r="D8021">
        <v>0.99277097461200003</v>
      </c>
      <c r="E8021">
        <v>18.554722638680602</v>
      </c>
    </row>
    <row r="8022" spans="1:5">
      <c r="A8022" t="s">
        <v>9263</v>
      </c>
      <c r="B8022" t="s">
        <v>9277</v>
      </c>
      <c r="C8022">
        <v>0</v>
      </c>
      <c r="D8022">
        <v>0.99277097461200003</v>
      </c>
      <c r="E8022">
        <v>18.554722638680602</v>
      </c>
    </row>
    <row r="8023" spans="1:5">
      <c r="A8023" t="s">
        <v>9263</v>
      </c>
      <c r="B8023" t="s">
        <v>9278</v>
      </c>
      <c r="C8023">
        <v>0</v>
      </c>
      <c r="D8023">
        <v>0.99277097461200003</v>
      </c>
      <c r="E8023">
        <v>18.554722638680602</v>
      </c>
    </row>
    <row r="8024" spans="1:5">
      <c r="A8024" t="s">
        <v>9263</v>
      </c>
      <c r="B8024" t="s">
        <v>9279</v>
      </c>
      <c r="C8024">
        <v>0</v>
      </c>
      <c r="D8024">
        <v>0.99277097461200003</v>
      </c>
      <c r="E8024">
        <v>18.554722638680602</v>
      </c>
    </row>
    <row r="8025" spans="1:5">
      <c r="A8025" t="s">
        <v>9280</v>
      </c>
      <c r="B8025" t="s">
        <v>9281</v>
      </c>
      <c r="C8025">
        <v>0</v>
      </c>
      <c r="D8025">
        <v>0.79733211667500004</v>
      </c>
      <c r="E8025">
        <v>24</v>
      </c>
    </row>
    <row r="8026" spans="1:5">
      <c r="A8026" t="s">
        <v>9280</v>
      </c>
      <c r="B8026" t="s">
        <v>9282</v>
      </c>
      <c r="C8026">
        <f>0</f>
        <v>0</v>
      </c>
      <c r="D8026">
        <v>0.79733211667500004</v>
      </c>
      <c r="E8026">
        <v>24</v>
      </c>
    </row>
    <row r="8027" spans="1:5">
      <c r="A8027" t="s">
        <v>9280</v>
      </c>
      <c r="B8027" t="s">
        <v>9283</v>
      </c>
      <c r="C8027">
        <f>0</f>
        <v>0</v>
      </c>
      <c r="D8027">
        <v>0.79733211667500004</v>
      </c>
      <c r="E8027">
        <v>24</v>
      </c>
    </row>
    <row r="8028" spans="1:5">
      <c r="A8028" t="s">
        <v>9280</v>
      </c>
      <c r="B8028" t="s">
        <v>9284</v>
      </c>
      <c r="C8028">
        <v>0</v>
      </c>
      <c r="D8028">
        <v>0.79733211667500004</v>
      </c>
      <c r="E8028">
        <v>24</v>
      </c>
    </row>
    <row r="8029" spans="1:5">
      <c r="A8029" t="s">
        <v>9280</v>
      </c>
      <c r="B8029" t="s">
        <v>9285</v>
      </c>
      <c r="C8029">
        <v>0</v>
      </c>
      <c r="D8029">
        <v>0.79733211667500004</v>
      </c>
      <c r="E8029">
        <v>24</v>
      </c>
    </row>
    <row r="8030" spans="1:5">
      <c r="A8030" t="s">
        <v>9280</v>
      </c>
      <c r="B8030" t="s">
        <v>9286</v>
      </c>
      <c r="C8030">
        <v>0</v>
      </c>
      <c r="D8030">
        <v>0.79733211667500004</v>
      </c>
      <c r="E8030">
        <v>24</v>
      </c>
    </row>
    <row r="8031" spans="1:5">
      <c r="A8031" t="s">
        <v>9280</v>
      </c>
      <c r="B8031" t="s">
        <v>9287</v>
      </c>
      <c r="C8031">
        <f>0</f>
        <v>0</v>
      </c>
      <c r="D8031">
        <v>0.79733211667500004</v>
      </c>
      <c r="E8031">
        <v>24</v>
      </c>
    </row>
    <row r="8032" spans="1:5">
      <c r="A8032" t="s">
        <v>9280</v>
      </c>
      <c r="B8032" t="s">
        <v>9288</v>
      </c>
      <c r="C8032">
        <v>0</v>
      </c>
      <c r="D8032">
        <v>0.79733211667500004</v>
      </c>
      <c r="E8032">
        <v>24</v>
      </c>
    </row>
    <row r="8033" spans="1:5">
      <c r="A8033" t="s">
        <v>9280</v>
      </c>
      <c r="B8033" t="s">
        <v>9289</v>
      </c>
      <c r="C8033">
        <f>0</f>
        <v>0</v>
      </c>
      <c r="D8033">
        <v>0.79733211667500004</v>
      </c>
      <c r="E8033">
        <v>24</v>
      </c>
    </row>
    <row r="8034" spans="1:5">
      <c r="A8034" t="s">
        <v>9280</v>
      </c>
      <c r="B8034" t="s">
        <v>9290</v>
      </c>
      <c r="C8034">
        <v>0</v>
      </c>
      <c r="D8034">
        <v>0.79733211667500004</v>
      </c>
      <c r="E8034">
        <v>24</v>
      </c>
    </row>
    <row r="8035" spans="1:5">
      <c r="A8035" t="s">
        <v>9291</v>
      </c>
      <c r="B8035" t="s">
        <v>9292</v>
      </c>
      <c r="C8035">
        <v>0.34899146458000002</v>
      </c>
      <c r="D8035">
        <v>0.97318508891199995</v>
      </c>
      <c r="E8035">
        <v>13.2653673163418</v>
      </c>
    </row>
    <row r="8036" spans="1:5">
      <c r="A8036" t="s">
        <v>9291</v>
      </c>
      <c r="B8036" t="s">
        <v>9293</v>
      </c>
      <c r="C8036">
        <v>0</v>
      </c>
      <c r="D8036">
        <v>0.97318508891199995</v>
      </c>
      <c r="E8036">
        <v>13.2653673163418</v>
      </c>
    </row>
    <row r="8037" spans="1:5">
      <c r="A8037" t="s">
        <v>9291</v>
      </c>
      <c r="B8037" t="s">
        <v>9294</v>
      </c>
      <c r="C8037">
        <f>0</f>
        <v>0</v>
      </c>
      <c r="D8037">
        <v>0.97318508891199995</v>
      </c>
      <c r="E8037">
        <v>13.2653673163418</v>
      </c>
    </row>
    <row r="8038" spans="1:5">
      <c r="A8038" t="s">
        <v>9291</v>
      </c>
      <c r="B8038" t="s">
        <v>9295</v>
      </c>
      <c r="C8038">
        <f>0</f>
        <v>0</v>
      </c>
      <c r="D8038">
        <v>0.97318508891199995</v>
      </c>
      <c r="E8038">
        <v>13.2653673163418</v>
      </c>
    </row>
    <row r="8039" spans="1:5">
      <c r="A8039" t="s">
        <v>9291</v>
      </c>
      <c r="B8039" t="s">
        <v>9296</v>
      </c>
      <c r="C8039">
        <v>3.7709147325199997E-2</v>
      </c>
      <c r="D8039">
        <v>0.97318508891199995</v>
      </c>
      <c r="E8039">
        <v>13.2653673163418</v>
      </c>
    </row>
    <row r="8040" spans="1:5">
      <c r="A8040" t="s">
        <v>9297</v>
      </c>
      <c r="B8040" t="s">
        <v>9298</v>
      </c>
      <c r="C8040">
        <v>0</v>
      </c>
      <c r="D8040">
        <v>0.93099657104699995</v>
      </c>
      <c r="E8040">
        <v>24</v>
      </c>
    </row>
    <row r="8041" spans="1:5">
      <c r="A8041" t="s">
        <v>9297</v>
      </c>
      <c r="B8041" t="s">
        <v>9299</v>
      </c>
      <c r="C8041">
        <v>3.7826671880200002E-2</v>
      </c>
      <c r="D8041">
        <v>0.93099657104699995</v>
      </c>
      <c r="E8041">
        <v>24</v>
      </c>
    </row>
    <row r="8042" spans="1:5">
      <c r="A8042" t="s">
        <v>9297</v>
      </c>
      <c r="B8042" t="s">
        <v>9300</v>
      </c>
      <c r="C8042">
        <v>0</v>
      </c>
      <c r="D8042">
        <v>0.93099657104699995</v>
      </c>
      <c r="E8042">
        <v>24</v>
      </c>
    </row>
    <row r="8043" spans="1:5">
      <c r="A8043" t="s">
        <v>9297</v>
      </c>
      <c r="B8043" t="s">
        <v>9301</v>
      </c>
      <c r="C8043">
        <v>0</v>
      </c>
      <c r="D8043">
        <v>0.93099657104699995</v>
      </c>
      <c r="E8043">
        <v>24</v>
      </c>
    </row>
    <row r="8044" spans="1:5">
      <c r="A8044" t="s">
        <v>9297</v>
      </c>
      <c r="B8044" t="s">
        <v>9302</v>
      </c>
      <c r="C8044">
        <v>7.3300086446699997E-2</v>
      </c>
      <c r="D8044">
        <v>0.93099657104699995</v>
      </c>
      <c r="E8044">
        <v>24</v>
      </c>
    </row>
    <row r="8045" spans="1:5">
      <c r="A8045" t="s">
        <v>9303</v>
      </c>
      <c r="B8045" t="s">
        <v>9304</v>
      </c>
      <c r="C8045">
        <v>0.34721855299600002</v>
      </c>
      <c r="D8045">
        <v>0.83117418842799995</v>
      </c>
      <c r="E8045">
        <v>8.7196401799100407</v>
      </c>
    </row>
    <row r="8046" spans="1:5">
      <c r="A8046" t="s">
        <v>9303</v>
      </c>
      <c r="B8046" t="s">
        <v>9305</v>
      </c>
      <c r="C8046">
        <v>0</v>
      </c>
      <c r="D8046">
        <v>0.83117418842799995</v>
      </c>
      <c r="E8046">
        <v>8.7196401799100407</v>
      </c>
    </row>
    <row r="8047" spans="1:5">
      <c r="A8047" t="s">
        <v>9303</v>
      </c>
      <c r="B8047" t="s">
        <v>9306</v>
      </c>
      <c r="C8047">
        <f>0</f>
        <v>0</v>
      </c>
      <c r="D8047">
        <v>0.83117418842799995</v>
      </c>
      <c r="E8047">
        <v>8.7196401799100407</v>
      </c>
    </row>
    <row r="8048" spans="1:5">
      <c r="A8048" t="s">
        <v>9307</v>
      </c>
      <c r="B8048" t="s">
        <v>9308</v>
      </c>
      <c r="C8048">
        <f>0.202141238577</f>
        <v>0.202141238577</v>
      </c>
      <c r="D8048">
        <v>0.53708534912200001</v>
      </c>
      <c r="E8048">
        <v>2.5547226386806599</v>
      </c>
    </row>
    <row r="8049" spans="1:5">
      <c r="A8049" t="s">
        <v>9307</v>
      </c>
      <c r="B8049" t="s">
        <v>9309</v>
      </c>
      <c r="C8049">
        <f>0</f>
        <v>0</v>
      </c>
      <c r="D8049">
        <v>0.53708534912200001</v>
      </c>
      <c r="E8049">
        <v>2.5547226386806599</v>
      </c>
    </row>
    <row r="8050" spans="1:5">
      <c r="A8050" t="s">
        <v>9307</v>
      </c>
      <c r="B8050" t="s">
        <v>9310</v>
      </c>
      <c r="C8050">
        <f>0</f>
        <v>0</v>
      </c>
      <c r="D8050">
        <v>0.53708534912200001</v>
      </c>
      <c r="E8050">
        <v>2.5547226386806599</v>
      </c>
    </row>
    <row r="8051" spans="1:5">
      <c r="A8051" t="s">
        <v>9307</v>
      </c>
      <c r="B8051" t="s">
        <v>9311</v>
      </c>
      <c r="C8051">
        <f>0</f>
        <v>0</v>
      </c>
      <c r="D8051">
        <v>0.53708534912200001</v>
      </c>
      <c r="E8051">
        <v>2.5547226386806599</v>
      </c>
    </row>
    <row r="8052" spans="1:5">
      <c r="A8052" t="s">
        <v>9307</v>
      </c>
      <c r="B8052" t="s">
        <v>9312</v>
      </c>
      <c r="C8052">
        <v>3.4697629069299997E-2</v>
      </c>
      <c r="D8052">
        <v>0.53708534912200001</v>
      </c>
      <c r="E8052">
        <v>2.5547226386806599</v>
      </c>
    </row>
    <row r="8053" spans="1:5">
      <c r="A8053" t="s">
        <v>9313</v>
      </c>
      <c r="B8053" t="s">
        <v>9314</v>
      </c>
      <c r="C8053">
        <f>0</f>
        <v>0</v>
      </c>
      <c r="D8053" t="s">
        <v>106</v>
      </c>
      <c r="E8053">
        <v>3.40629685157421</v>
      </c>
    </row>
    <row r="8054" spans="1:5">
      <c r="A8054" t="s">
        <v>9313</v>
      </c>
      <c r="B8054" t="s">
        <v>9315</v>
      </c>
      <c r="C8054">
        <f>0.337790364</f>
        <v>0.33779036400000001</v>
      </c>
      <c r="D8054" t="s">
        <v>106</v>
      </c>
      <c r="E8054">
        <v>3.40629685157421</v>
      </c>
    </row>
    <row r="8055" spans="1:5">
      <c r="A8055" t="s">
        <v>9313</v>
      </c>
      <c r="B8055" t="s">
        <v>9316</v>
      </c>
      <c r="C8055">
        <f>0</f>
        <v>0</v>
      </c>
      <c r="D8055" t="s">
        <v>106</v>
      </c>
      <c r="E8055">
        <v>3.40629685157421</v>
      </c>
    </row>
    <row r="8056" spans="1:5">
      <c r="A8056" t="s">
        <v>9313</v>
      </c>
      <c r="B8056" t="s">
        <v>9317</v>
      </c>
      <c r="C8056">
        <f>0.0858371809799</f>
        <v>8.5837180979899994E-2</v>
      </c>
      <c r="D8056" t="s">
        <v>106</v>
      </c>
      <c r="E8056">
        <v>3.40629685157421</v>
      </c>
    </row>
    <row r="8057" spans="1:5">
      <c r="A8057" t="s">
        <v>9313</v>
      </c>
      <c r="B8057" t="s">
        <v>9318</v>
      </c>
      <c r="C8057">
        <f>0</f>
        <v>0</v>
      </c>
      <c r="D8057" t="s">
        <v>106</v>
      </c>
      <c r="E8057">
        <v>3.40629685157421</v>
      </c>
    </row>
    <row r="8058" spans="1:5">
      <c r="A8058" t="s">
        <v>9313</v>
      </c>
      <c r="B8058" t="s">
        <v>9319</v>
      </c>
      <c r="C8058">
        <f>0</f>
        <v>0</v>
      </c>
      <c r="D8058" t="s">
        <v>106</v>
      </c>
      <c r="E8058">
        <v>3.40629685157421</v>
      </c>
    </row>
    <row r="8059" spans="1:5">
      <c r="A8059" t="s">
        <v>9313</v>
      </c>
      <c r="B8059" t="s">
        <v>9320</v>
      </c>
      <c r="C8059">
        <f>0</f>
        <v>0</v>
      </c>
      <c r="D8059" t="s">
        <v>106</v>
      </c>
      <c r="E8059">
        <v>3.40629685157421</v>
      </c>
    </row>
    <row r="8060" spans="1:5">
      <c r="A8060" t="s">
        <v>9321</v>
      </c>
      <c r="B8060" t="s">
        <v>9322</v>
      </c>
      <c r="C8060">
        <v>0</v>
      </c>
      <c r="D8060">
        <v>0.92298952256599998</v>
      </c>
      <c r="E8060">
        <v>1.33133433283358</v>
      </c>
    </row>
    <row r="8061" spans="1:5">
      <c r="A8061" t="s">
        <v>9321</v>
      </c>
      <c r="B8061" t="s">
        <v>9323</v>
      </c>
      <c r="C8061">
        <f>0</f>
        <v>0</v>
      </c>
      <c r="D8061">
        <v>0.92298952256599998</v>
      </c>
      <c r="E8061">
        <v>1.33133433283358</v>
      </c>
    </row>
    <row r="8062" spans="1:5">
      <c r="A8062" t="s">
        <v>9321</v>
      </c>
      <c r="B8062" t="s">
        <v>9324</v>
      </c>
      <c r="C8062">
        <v>5.8122110727500002E-2</v>
      </c>
      <c r="D8062">
        <v>0.92298952256599998</v>
      </c>
      <c r="E8062">
        <v>1.33133433283358</v>
      </c>
    </row>
    <row r="8063" spans="1:5">
      <c r="A8063" t="s">
        <v>9321</v>
      </c>
      <c r="B8063" t="s">
        <v>9325</v>
      </c>
      <c r="C8063">
        <v>0</v>
      </c>
      <c r="D8063">
        <v>0.92298952256599998</v>
      </c>
      <c r="E8063">
        <v>1.33133433283358</v>
      </c>
    </row>
    <row r="8064" spans="1:5">
      <c r="A8064" t="s">
        <v>9321</v>
      </c>
      <c r="B8064" t="s">
        <v>9326</v>
      </c>
      <c r="C8064">
        <v>0</v>
      </c>
      <c r="D8064">
        <v>0.92298952256599998</v>
      </c>
      <c r="E8064">
        <v>1.33133433283358</v>
      </c>
    </row>
    <row r="8065" spans="1:5">
      <c r="A8065" t="s">
        <v>9321</v>
      </c>
      <c r="B8065" t="s">
        <v>9327</v>
      </c>
      <c r="C8065">
        <v>0</v>
      </c>
      <c r="D8065">
        <v>0.92298952256599998</v>
      </c>
      <c r="E8065">
        <v>1.33133433283358</v>
      </c>
    </row>
    <row r="8066" spans="1:5">
      <c r="A8066" t="s">
        <v>9321</v>
      </c>
      <c r="B8066" t="s">
        <v>9328</v>
      </c>
      <c r="C8066">
        <v>4.7111294520999998E-2</v>
      </c>
      <c r="D8066">
        <v>0.92298952256599998</v>
      </c>
      <c r="E8066">
        <v>1.33133433283358</v>
      </c>
    </row>
    <row r="8067" spans="1:5">
      <c r="A8067" t="s">
        <v>9321</v>
      </c>
      <c r="B8067" t="s">
        <v>9329</v>
      </c>
      <c r="C8067">
        <v>0</v>
      </c>
      <c r="D8067">
        <v>0.92298952256599998</v>
      </c>
      <c r="E8067">
        <v>1.33133433283358</v>
      </c>
    </row>
    <row r="8068" spans="1:5">
      <c r="A8068" t="s">
        <v>9321</v>
      </c>
      <c r="B8068" t="s">
        <v>9330</v>
      </c>
      <c r="C8068">
        <v>0</v>
      </c>
      <c r="D8068">
        <v>0.92298952256599998</v>
      </c>
      <c r="E8068">
        <v>1.33133433283358</v>
      </c>
    </row>
    <row r="8069" spans="1:5">
      <c r="A8069" t="s">
        <v>9321</v>
      </c>
      <c r="B8069" t="s">
        <v>9331</v>
      </c>
      <c r="C8069">
        <v>0</v>
      </c>
      <c r="D8069">
        <v>0.92298952256599998</v>
      </c>
      <c r="E8069">
        <v>1.33133433283358</v>
      </c>
    </row>
    <row r="8070" spans="1:5">
      <c r="A8070" t="s">
        <v>9321</v>
      </c>
      <c r="B8070" t="s">
        <v>9332</v>
      </c>
      <c r="C8070">
        <v>0</v>
      </c>
      <c r="D8070">
        <v>0.92298952256599998</v>
      </c>
      <c r="E8070">
        <v>1.33133433283358</v>
      </c>
    </row>
    <row r="8071" spans="1:5">
      <c r="A8071" t="s">
        <v>9321</v>
      </c>
      <c r="B8071" t="s">
        <v>9333</v>
      </c>
      <c r="C8071">
        <v>0</v>
      </c>
      <c r="D8071">
        <v>0.92298952256599998</v>
      </c>
      <c r="E8071">
        <v>1.33133433283358</v>
      </c>
    </row>
    <row r="8072" spans="1:5">
      <c r="A8072" t="s">
        <v>9321</v>
      </c>
      <c r="B8072" t="s">
        <v>9334</v>
      </c>
      <c r="C8072">
        <v>0</v>
      </c>
      <c r="D8072">
        <v>0.92298952256599998</v>
      </c>
      <c r="E8072">
        <v>1.33133433283358</v>
      </c>
    </row>
    <row r="8073" spans="1:5">
      <c r="A8073" t="s">
        <v>9321</v>
      </c>
      <c r="B8073" t="s">
        <v>9335</v>
      </c>
      <c r="C8073">
        <v>0</v>
      </c>
      <c r="D8073">
        <v>0.92298952256599998</v>
      </c>
      <c r="E8073">
        <v>1.33133433283358</v>
      </c>
    </row>
    <row r="8074" spans="1:5">
      <c r="A8074" t="s">
        <v>9321</v>
      </c>
      <c r="B8074" t="s">
        <v>9336</v>
      </c>
      <c r="C8074">
        <v>0</v>
      </c>
      <c r="D8074">
        <v>0.92298952256599998</v>
      </c>
      <c r="E8074">
        <v>1.33133433283358</v>
      </c>
    </row>
    <row r="8075" spans="1:5">
      <c r="A8075" t="s">
        <v>9321</v>
      </c>
      <c r="B8075" t="s">
        <v>9337</v>
      </c>
      <c r="C8075">
        <v>0</v>
      </c>
      <c r="D8075">
        <v>0.92298952256599998</v>
      </c>
      <c r="E8075">
        <v>1.33133433283358</v>
      </c>
    </row>
    <row r="8076" spans="1:5">
      <c r="A8076" t="s">
        <v>9338</v>
      </c>
      <c r="B8076" t="s">
        <v>9339</v>
      </c>
      <c r="C8076">
        <v>0</v>
      </c>
      <c r="D8076" t="s">
        <v>106</v>
      </c>
      <c r="E8076">
        <v>20.7376311844077</v>
      </c>
    </row>
    <row r="8077" spans="1:5">
      <c r="A8077" t="s">
        <v>9338</v>
      </c>
      <c r="B8077" t="s">
        <v>9340</v>
      </c>
      <c r="C8077">
        <v>0</v>
      </c>
      <c r="D8077" t="s">
        <v>106</v>
      </c>
      <c r="E8077">
        <v>20.7376311844077</v>
      </c>
    </row>
    <row r="8078" spans="1:5">
      <c r="A8078" t="s">
        <v>9338</v>
      </c>
      <c r="B8078" t="s">
        <v>9341</v>
      </c>
      <c r="C8078">
        <f>0</f>
        <v>0</v>
      </c>
      <c r="D8078" t="s">
        <v>106</v>
      </c>
      <c r="E8078">
        <v>20.7376311844077</v>
      </c>
    </row>
    <row r="8079" spans="1:5">
      <c r="A8079" t="s">
        <v>9338</v>
      </c>
      <c r="B8079" t="s">
        <v>9342</v>
      </c>
      <c r="C8079">
        <f>0</f>
        <v>0</v>
      </c>
      <c r="D8079" t="s">
        <v>106</v>
      </c>
      <c r="E8079">
        <v>20.7376311844077</v>
      </c>
    </row>
    <row r="8080" spans="1:5">
      <c r="A8080" t="s">
        <v>9338</v>
      </c>
      <c r="B8080" t="s">
        <v>9343</v>
      </c>
      <c r="C8080">
        <f>0</f>
        <v>0</v>
      </c>
      <c r="D8080" t="s">
        <v>106</v>
      </c>
      <c r="E8080">
        <v>20.7376311844077</v>
      </c>
    </row>
    <row r="8081" spans="1:5">
      <c r="A8081" t="s">
        <v>9338</v>
      </c>
      <c r="B8081" t="s">
        <v>9344</v>
      </c>
      <c r="C8081">
        <v>0</v>
      </c>
      <c r="D8081" t="s">
        <v>106</v>
      </c>
      <c r="E8081">
        <v>20.7376311844077</v>
      </c>
    </row>
    <row r="8082" spans="1:5">
      <c r="A8082" t="s">
        <v>9345</v>
      </c>
      <c r="B8082" t="s">
        <v>9346</v>
      </c>
      <c r="C8082">
        <f>0</f>
        <v>0</v>
      </c>
      <c r="D8082">
        <v>0.97103942303199997</v>
      </c>
      <c r="E8082">
        <v>24</v>
      </c>
    </row>
    <row r="8083" spans="1:5">
      <c r="A8083" t="s">
        <v>9345</v>
      </c>
      <c r="B8083" t="s">
        <v>9347</v>
      </c>
      <c r="C8083">
        <v>0.134522171848</v>
      </c>
      <c r="D8083">
        <v>0.97103942303199997</v>
      </c>
      <c r="E8083">
        <v>24</v>
      </c>
    </row>
    <row r="8084" spans="1:5">
      <c r="A8084" t="s">
        <v>9345</v>
      </c>
      <c r="B8084" t="s">
        <v>9348</v>
      </c>
      <c r="C8084">
        <f>0</f>
        <v>0</v>
      </c>
      <c r="D8084">
        <v>0.97103942303199997</v>
      </c>
      <c r="E8084">
        <v>24</v>
      </c>
    </row>
    <row r="8085" spans="1:5">
      <c r="A8085" t="s">
        <v>9345</v>
      </c>
      <c r="B8085" t="s">
        <v>9349</v>
      </c>
      <c r="C8085">
        <v>0</v>
      </c>
      <c r="D8085">
        <v>0.97103942303199997</v>
      </c>
      <c r="E8085">
        <v>24</v>
      </c>
    </row>
    <row r="8086" spans="1:5">
      <c r="A8086" t="s">
        <v>9345</v>
      </c>
      <c r="B8086" t="s">
        <v>9350</v>
      </c>
      <c r="C8086">
        <v>0</v>
      </c>
      <c r="D8086">
        <v>0.97103942303199997</v>
      </c>
      <c r="E8086">
        <v>24</v>
      </c>
    </row>
    <row r="8087" spans="1:5">
      <c r="A8087" t="s">
        <v>9345</v>
      </c>
      <c r="B8087" t="s">
        <v>9351</v>
      </c>
      <c r="C8087">
        <f>0.00342025455719</f>
        <v>3.42025455719E-3</v>
      </c>
      <c r="D8087">
        <v>0.97103942303199997</v>
      </c>
      <c r="E8087">
        <v>24</v>
      </c>
    </row>
    <row r="8088" spans="1:5">
      <c r="A8088" t="s">
        <v>9352</v>
      </c>
      <c r="B8088" t="s">
        <v>9353</v>
      </c>
      <c r="C8088">
        <f>0</f>
        <v>0</v>
      </c>
      <c r="D8088" t="s">
        <v>106</v>
      </c>
      <c r="E8088">
        <v>18.986506746626599</v>
      </c>
    </row>
    <row r="8089" spans="1:5">
      <c r="A8089" t="s">
        <v>9352</v>
      </c>
      <c r="B8089" t="s">
        <v>9354</v>
      </c>
      <c r="C8089">
        <f>0</f>
        <v>0</v>
      </c>
      <c r="D8089" t="s">
        <v>106</v>
      </c>
      <c r="E8089">
        <v>18.986506746626599</v>
      </c>
    </row>
    <row r="8090" spans="1:5">
      <c r="A8090" t="s">
        <v>9352</v>
      </c>
      <c r="B8090" t="s">
        <v>9355</v>
      </c>
      <c r="C8090">
        <v>0</v>
      </c>
      <c r="D8090" t="s">
        <v>106</v>
      </c>
      <c r="E8090">
        <v>18.986506746626599</v>
      </c>
    </row>
    <row r="8091" spans="1:5">
      <c r="A8091" t="s">
        <v>9352</v>
      </c>
      <c r="B8091" t="s">
        <v>9356</v>
      </c>
      <c r="C8091">
        <f>0</f>
        <v>0</v>
      </c>
      <c r="D8091" t="s">
        <v>106</v>
      </c>
      <c r="E8091">
        <v>18.986506746626599</v>
      </c>
    </row>
    <row r="8092" spans="1:5">
      <c r="A8092" t="s">
        <v>9352</v>
      </c>
      <c r="B8092" t="s">
        <v>9357</v>
      </c>
      <c r="C8092">
        <f>0</f>
        <v>0</v>
      </c>
      <c r="D8092" t="s">
        <v>106</v>
      </c>
      <c r="E8092">
        <v>18.986506746626599</v>
      </c>
    </row>
    <row r="8093" spans="1:5">
      <c r="A8093" t="s">
        <v>9358</v>
      </c>
      <c r="B8093" t="s">
        <v>9359</v>
      </c>
      <c r="C8093">
        <f>0.397116713395</f>
        <v>0.39711671339499999</v>
      </c>
      <c r="D8093">
        <v>0.97741514012300001</v>
      </c>
      <c r="E8093">
        <v>7.7361319340329802</v>
      </c>
    </row>
    <row r="8094" spans="1:5">
      <c r="A8094" t="s">
        <v>9358</v>
      </c>
      <c r="B8094" t="s">
        <v>9360</v>
      </c>
      <c r="C8094">
        <f>0</f>
        <v>0</v>
      </c>
      <c r="D8094">
        <v>0.97741514012300001</v>
      </c>
      <c r="E8094">
        <v>7.7361319340329802</v>
      </c>
    </row>
    <row r="8095" spans="1:5">
      <c r="A8095" t="s">
        <v>9358</v>
      </c>
      <c r="B8095" t="s">
        <v>9361</v>
      </c>
      <c r="C8095">
        <f>0.260388327464</f>
        <v>0.26038832746399998</v>
      </c>
      <c r="D8095">
        <v>0.97741514012300001</v>
      </c>
      <c r="E8095">
        <v>7.7361319340329802</v>
      </c>
    </row>
    <row r="8096" spans="1:5">
      <c r="A8096" t="s">
        <v>9358</v>
      </c>
      <c r="B8096" t="s">
        <v>9362</v>
      </c>
      <c r="C8096">
        <v>0</v>
      </c>
      <c r="D8096">
        <v>0.97741514012300001</v>
      </c>
      <c r="E8096">
        <v>7.7361319340329802</v>
      </c>
    </row>
    <row r="8097" spans="1:5">
      <c r="A8097" t="s">
        <v>9363</v>
      </c>
      <c r="B8097" t="s">
        <v>9364</v>
      </c>
      <c r="C8097">
        <v>0</v>
      </c>
      <c r="D8097">
        <v>0.95560920741300004</v>
      </c>
      <c r="E8097">
        <v>1.89505247376311</v>
      </c>
    </row>
    <row r="8098" spans="1:5">
      <c r="A8098" t="s">
        <v>9363</v>
      </c>
      <c r="B8098" t="s">
        <v>9365</v>
      </c>
      <c r="C8098">
        <f>0</f>
        <v>0</v>
      </c>
      <c r="D8098">
        <v>0.95560920741300004</v>
      </c>
      <c r="E8098">
        <v>1.89505247376311</v>
      </c>
    </row>
    <row r="8099" spans="1:5">
      <c r="A8099" t="s">
        <v>9363</v>
      </c>
      <c r="B8099" t="s">
        <v>9366</v>
      </c>
      <c r="C8099">
        <v>0</v>
      </c>
      <c r="D8099">
        <v>0.95560920741300004</v>
      </c>
      <c r="E8099">
        <v>1.89505247376311</v>
      </c>
    </row>
    <row r="8100" spans="1:5">
      <c r="A8100" t="s">
        <v>9363</v>
      </c>
      <c r="B8100" t="s">
        <v>9367</v>
      </c>
      <c r="C8100">
        <v>0</v>
      </c>
      <c r="D8100">
        <v>0.95560920741300004</v>
      </c>
      <c r="E8100">
        <v>1.89505247376311</v>
      </c>
    </row>
    <row r="8101" spans="1:5">
      <c r="A8101" t="s">
        <v>9363</v>
      </c>
      <c r="B8101" t="s">
        <v>9368</v>
      </c>
      <c r="C8101">
        <f>0</f>
        <v>0</v>
      </c>
      <c r="D8101">
        <v>0.95560920741300004</v>
      </c>
      <c r="E8101">
        <v>1.89505247376311</v>
      </c>
    </row>
    <row r="8102" spans="1:5">
      <c r="A8102" t="s">
        <v>9363</v>
      </c>
      <c r="B8102" t="s">
        <v>9369</v>
      </c>
      <c r="C8102">
        <v>0</v>
      </c>
      <c r="D8102">
        <v>0.95560920741300004</v>
      </c>
      <c r="E8102">
        <v>1.89505247376311</v>
      </c>
    </row>
    <row r="8103" spans="1:5">
      <c r="A8103" t="s">
        <v>9363</v>
      </c>
      <c r="B8103" t="s">
        <v>9370</v>
      </c>
      <c r="C8103">
        <v>0</v>
      </c>
      <c r="D8103">
        <v>0.95560920741300004</v>
      </c>
      <c r="E8103">
        <v>1.89505247376311</v>
      </c>
    </row>
    <row r="8104" spans="1:5">
      <c r="A8104" t="s">
        <v>9363</v>
      </c>
      <c r="B8104" t="s">
        <v>9371</v>
      </c>
      <c r="C8104">
        <v>0</v>
      </c>
      <c r="D8104">
        <v>0.95560920741300004</v>
      </c>
      <c r="E8104">
        <v>1.89505247376311</v>
      </c>
    </row>
    <row r="8105" spans="1:5">
      <c r="A8105" t="s">
        <v>9363</v>
      </c>
      <c r="B8105" t="s">
        <v>9372</v>
      </c>
      <c r="C8105">
        <v>4.70944836108E-2</v>
      </c>
      <c r="D8105">
        <v>0.95560920741300004</v>
      </c>
      <c r="E8105">
        <v>1.89505247376311</v>
      </c>
    </row>
    <row r="8106" spans="1:5">
      <c r="A8106" t="s">
        <v>9373</v>
      </c>
      <c r="B8106" t="s">
        <v>9374</v>
      </c>
      <c r="C8106">
        <f>0</f>
        <v>0</v>
      </c>
      <c r="D8106" t="s">
        <v>106</v>
      </c>
      <c r="E8106">
        <v>21.637181409295302</v>
      </c>
    </row>
    <row r="8107" spans="1:5">
      <c r="A8107" t="s">
        <v>9373</v>
      </c>
      <c r="B8107" t="s">
        <v>9375</v>
      </c>
      <c r="C8107">
        <v>0</v>
      </c>
      <c r="D8107" t="s">
        <v>106</v>
      </c>
      <c r="E8107">
        <v>21.637181409295302</v>
      </c>
    </row>
    <row r="8108" spans="1:5">
      <c r="A8108" t="s">
        <v>9373</v>
      </c>
      <c r="B8108" t="s">
        <v>9376</v>
      </c>
      <c r="C8108">
        <f>0</f>
        <v>0</v>
      </c>
      <c r="D8108" t="s">
        <v>106</v>
      </c>
      <c r="E8108">
        <v>21.637181409295302</v>
      </c>
    </row>
    <row r="8109" spans="1:5">
      <c r="A8109" t="s">
        <v>9373</v>
      </c>
      <c r="B8109" t="s">
        <v>9377</v>
      </c>
      <c r="C8109">
        <v>0</v>
      </c>
      <c r="D8109" t="s">
        <v>106</v>
      </c>
      <c r="E8109">
        <v>21.637181409295302</v>
      </c>
    </row>
    <row r="8110" spans="1:5">
      <c r="A8110" t="s">
        <v>9373</v>
      </c>
      <c r="B8110" t="s">
        <v>9378</v>
      </c>
      <c r="C8110">
        <v>0</v>
      </c>
      <c r="D8110" t="s">
        <v>106</v>
      </c>
      <c r="E8110">
        <v>21.637181409295302</v>
      </c>
    </row>
    <row r="8111" spans="1:5">
      <c r="A8111" t="s">
        <v>9373</v>
      </c>
      <c r="B8111" t="s">
        <v>9379</v>
      </c>
      <c r="C8111">
        <v>0</v>
      </c>
      <c r="D8111" t="s">
        <v>106</v>
      </c>
      <c r="E8111">
        <v>21.637181409295302</v>
      </c>
    </row>
    <row r="8112" spans="1:5">
      <c r="A8112" t="s">
        <v>9373</v>
      </c>
      <c r="B8112" t="s">
        <v>9380</v>
      </c>
      <c r="C8112">
        <v>0</v>
      </c>
      <c r="D8112" t="s">
        <v>106</v>
      </c>
      <c r="E8112">
        <v>21.637181409295302</v>
      </c>
    </row>
    <row r="8113" spans="1:5">
      <c r="A8113" t="s">
        <v>9373</v>
      </c>
      <c r="B8113" t="s">
        <v>9381</v>
      </c>
      <c r="C8113">
        <v>0</v>
      </c>
      <c r="D8113" t="s">
        <v>106</v>
      </c>
      <c r="E8113">
        <v>21.637181409295302</v>
      </c>
    </row>
    <row r="8114" spans="1:5">
      <c r="A8114" t="s">
        <v>9373</v>
      </c>
      <c r="B8114" t="s">
        <v>9382</v>
      </c>
      <c r="C8114">
        <v>0</v>
      </c>
      <c r="D8114" t="s">
        <v>106</v>
      </c>
      <c r="E8114">
        <v>21.637181409295302</v>
      </c>
    </row>
    <row r="8115" spans="1:5">
      <c r="A8115" t="s">
        <v>9373</v>
      </c>
      <c r="B8115" t="s">
        <v>9383</v>
      </c>
      <c r="C8115">
        <f>0</f>
        <v>0</v>
      </c>
      <c r="D8115" t="s">
        <v>106</v>
      </c>
      <c r="E8115">
        <v>21.637181409295302</v>
      </c>
    </row>
    <row r="8116" spans="1:5">
      <c r="A8116" t="s">
        <v>9373</v>
      </c>
      <c r="B8116" t="s">
        <v>9384</v>
      </c>
      <c r="C8116">
        <v>0</v>
      </c>
      <c r="D8116" t="s">
        <v>106</v>
      </c>
      <c r="E8116">
        <v>21.637181409295302</v>
      </c>
    </row>
    <row r="8117" spans="1:5">
      <c r="A8117" t="s">
        <v>9385</v>
      </c>
      <c r="B8117" t="s">
        <v>9386</v>
      </c>
      <c r="C8117">
        <v>0</v>
      </c>
      <c r="D8117">
        <v>0.95494398485900001</v>
      </c>
      <c r="E8117">
        <v>4.0659670164917499</v>
      </c>
    </row>
    <row r="8118" spans="1:5">
      <c r="A8118" t="s">
        <v>9385</v>
      </c>
      <c r="B8118" t="s">
        <v>9387</v>
      </c>
      <c r="C8118">
        <f>0</f>
        <v>0</v>
      </c>
      <c r="D8118">
        <v>0.95494398485900001</v>
      </c>
      <c r="E8118">
        <v>4.0659670164917499</v>
      </c>
    </row>
    <row r="8119" spans="1:5">
      <c r="A8119" t="s">
        <v>9385</v>
      </c>
      <c r="B8119" t="s">
        <v>9388</v>
      </c>
      <c r="C8119">
        <f>0</f>
        <v>0</v>
      </c>
      <c r="D8119">
        <v>0.95494398485900001</v>
      </c>
      <c r="E8119">
        <v>4.0659670164917499</v>
      </c>
    </row>
    <row r="8120" spans="1:5">
      <c r="A8120" t="s">
        <v>9385</v>
      </c>
      <c r="B8120" t="s">
        <v>9389</v>
      </c>
      <c r="C8120">
        <v>7.7922857981500004E-2</v>
      </c>
      <c r="D8120">
        <v>0.95494398485900001</v>
      </c>
      <c r="E8120">
        <v>4.0659670164917499</v>
      </c>
    </row>
    <row r="8121" spans="1:5">
      <c r="A8121" t="s">
        <v>9385</v>
      </c>
      <c r="B8121" t="s">
        <v>9390</v>
      </c>
      <c r="C8121">
        <v>0</v>
      </c>
      <c r="D8121">
        <v>0.95494398485900001</v>
      </c>
      <c r="E8121">
        <v>4.0659670164917499</v>
      </c>
    </row>
    <row r="8122" spans="1:5">
      <c r="A8122" t="s">
        <v>9385</v>
      </c>
      <c r="B8122" t="s">
        <v>9391</v>
      </c>
      <c r="C8122">
        <f>0</f>
        <v>0</v>
      </c>
      <c r="D8122">
        <v>0.95494398485900001</v>
      </c>
      <c r="E8122">
        <v>4.0659670164917499</v>
      </c>
    </row>
    <row r="8123" spans="1:5">
      <c r="A8123" t="s">
        <v>9385</v>
      </c>
      <c r="B8123" t="s">
        <v>9392</v>
      </c>
      <c r="C8123">
        <f>0</f>
        <v>0</v>
      </c>
      <c r="D8123">
        <v>0.95494398485900001</v>
      </c>
      <c r="E8123">
        <v>4.0659670164917499</v>
      </c>
    </row>
    <row r="8124" spans="1:5">
      <c r="A8124" t="s">
        <v>9385</v>
      </c>
      <c r="B8124" t="s">
        <v>9393</v>
      </c>
      <c r="C8124">
        <f>0</f>
        <v>0</v>
      </c>
      <c r="D8124">
        <v>0.95494398485900001</v>
      </c>
      <c r="E8124">
        <v>4.0659670164917499</v>
      </c>
    </row>
    <row r="8125" spans="1:5">
      <c r="A8125" t="s">
        <v>9385</v>
      </c>
      <c r="B8125" t="s">
        <v>9394</v>
      </c>
      <c r="C8125">
        <f>0</f>
        <v>0</v>
      </c>
      <c r="D8125">
        <v>0.95494398485900001</v>
      </c>
      <c r="E8125">
        <v>4.0659670164917499</v>
      </c>
    </row>
    <row r="8126" spans="1:5">
      <c r="A8126" t="s">
        <v>9385</v>
      </c>
      <c r="B8126" t="s">
        <v>9395</v>
      </c>
      <c r="C8126">
        <f>0</f>
        <v>0</v>
      </c>
      <c r="D8126">
        <v>0.95494398485900001</v>
      </c>
      <c r="E8126">
        <v>4.0659670164917499</v>
      </c>
    </row>
    <row r="8127" spans="1:5">
      <c r="A8127" t="s">
        <v>9396</v>
      </c>
      <c r="B8127" t="s">
        <v>9397</v>
      </c>
      <c r="C8127">
        <v>0</v>
      </c>
      <c r="D8127">
        <v>0.984862429431</v>
      </c>
      <c r="E8127">
        <v>16.095952023988001</v>
      </c>
    </row>
    <row r="8128" spans="1:5">
      <c r="A8128" t="s">
        <v>9396</v>
      </c>
      <c r="B8128" t="s">
        <v>9398</v>
      </c>
      <c r="C8128">
        <v>0</v>
      </c>
      <c r="D8128">
        <v>0.984862429431</v>
      </c>
      <c r="E8128">
        <v>16.095952023988001</v>
      </c>
    </row>
    <row r="8129" spans="1:5">
      <c r="A8129" t="s">
        <v>9396</v>
      </c>
      <c r="B8129" t="s">
        <v>9399</v>
      </c>
      <c r="C8129">
        <v>0</v>
      </c>
      <c r="D8129">
        <v>0.984862429431</v>
      </c>
      <c r="E8129">
        <v>16.095952023988001</v>
      </c>
    </row>
    <row r="8130" spans="1:5">
      <c r="A8130" t="s">
        <v>9396</v>
      </c>
      <c r="B8130" t="s">
        <v>9400</v>
      </c>
      <c r="C8130">
        <f>0</f>
        <v>0</v>
      </c>
      <c r="D8130">
        <v>0.984862429431</v>
      </c>
      <c r="E8130">
        <v>16.095952023988001</v>
      </c>
    </row>
    <row r="8131" spans="1:5">
      <c r="A8131" t="s">
        <v>9396</v>
      </c>
      <c r="B8131" t="s">
        <v>9401</v>
      </c>
      <c r="C8131">
        <f>0</f>
        <v>0</v>
      </c>
      <c r="D8131">
        <v>0.984862429431</v>
      </c>
      <c r="E8131">
        <v>16.095952023988001</v>
      </c>
    </row>
    <row r="8132" spans="1:5">
      <c r="A8132" t="s">
        <v>9396</v>
      </c>
      <c r="B8132" t="s">
        <v>9402</v>
      </c>
      <c r="C8132">
        <v>0</v>
      </c>
      <c r="D8132">
        <v>0.984862429431</v>
      </c>
      <c r="E8132">
        <v>16.095952023988001</v>
      </c>
    </row>
    <row r="8133" spans="1:5">
      <c r="A8133" t="s">
        <v>9396</v>
      </c>
      <c r="B8133" t="s">
        <v>9403</v>
      </c>
      <c r="C8133">
        <v>0</v>
      </c>
      <c r="D8133">
        <v>0.984862429431</v>
      </c>
      <c r="E8133">
        <v>16.095952023988001</v>
      </c>
    </row>
    <row r="8134" spans="1:5">
      <c r="A8134" t="s">
        <v>9396</v>
      </c>
      <c r="B8134" t="s">
        <v>9404</v>
      </c>
      <c r="C8134">
        <v>0.19160317969599999</v>
      </c>
      <c r="D8134">
        <v>0.984862429431</v>
      </c>
      <c r="E8134">
        <v>16.095952023988001</v>
      </c>
    </row>
    <row r="8135" spans="1:5">
      <c r="A8135" t="s">
        <v>9396</v>
      </c>
      <c r="B8135" t="s">
        <v>9405</v>
      </c>
      <c r="C8135">
        <f>0</f>
        <v>0</v>
      </c>
      <c r="D8135">
        <v>0.984862429431</v>
      </c>
      <c r="E8135">
        <v>16.095952023988001</v>
      </c>
    </row>
    <row r="8136" spans="1:5">
      <c r="A8136" t="s">
        <v>9406</v>
      </c>
      <c r="B8136" t="s">
        <v>9407</v>
      </c>
      <c r="C8136">
        <v>0</v>
      </c>
      <c r="D8136" t="s">
        <v>106</v>
      </c>
      <c r="E8136">
        <v>13.8170914542728</v>
      </c>
    </row>
    <row r="8137" spans="1:5">
      <c r="A8137" t="s">
        <v>9406</v>
      </c>
      <c r="B8137" t="s">
        <v>9408</v>
      </c>
      <c r="C8137">
        <f>0</f>
        <v>0</v>
      </c>
      <c r="D8137" t="s">
        <v>106</v>
      </c>
      <c r="E8137">
        <v>13.8170914542728</v>
      </c>
    </row>
    <row r="8138" spans="1:5">
      <c r="A8138" t="s">
        <v>9406</v>
      </c>
      <c r="B8138" t="s">
        <v>9409</v>
      </c>
      <c r="C8138">
        <f>0</f>
        <v>0</v>
      </c>
      <c r="D8138" t="s">
        <v>106</v>
      </c>
      <c r="E8138">
        <v>13.8170914542728</v>
      </c>
    </row>
    <row r="8139" spans="1:5">
      <c r="A8139" t="s">
        <v>9406</v>
      </c>
      <c r="B8139" t="s">
        <v>9410</v>
      </c>
      <c r="C8139">
        <f>0</f>
        <v>0</v>
      </c>
      <c r="D8139" t="s">
        <v>106</v>
      </c>
      <c r="E8139">
        <v>13.8170914542728</v>
      </c>
    </row>
    <row r="8140" spans="1:5">
      <c r="A8140" t="s">
        <v>9406</v>
      </c>
      <c r="B8140" t="s">
        <v>9411</v>
      </c>
      <c r="C8140">
        <v>0</v>
      </c>
      <c r="D8140" t="s">
        <v>106</v>
      </c>
      <c r="E8140">
        <v>13.8170914542728</v>
      </c>
    </row>
    <row r="8141" spans="1:5">
      <c r="A8141" t="s">
        <v>9412</v>
      </c>
      <c r="B8141" t="s">
        <v>9413</v>
      </c>
      <c r="C8141">
        <f>0</f>
        <v>0</v>
      </c>
      <c r="D8141" t="s">
        <v>106</v>
      </c>
      <c r="E8141">
        <v>2.79460269865067</v>
      </c>
    </row>
    <row r="8142" spans="1:5">
      <c r="A8142" t="s">
        <v>9412</v>
      </c>
      <c r="B8142" t="s">
        <v>9414</v>
      </c>
      <c r="C8142">
        <v>0</v>
      </c>
      <c r="D8142" t="s">
        <v>106</v>
      </c>
      <c r="E8142">
        <v>2.79460269865067</v>
      </c>
    </row>
    <row r="8143" spans="1:5">
      <c r="A8143" t="s">
        <v>9412</v>
      </c>
      <c r="B8143" t="s">
        <v>9415</v>
      </c>
      <c r="C8143">
        <v>0</v>
      </c>
      <c r="D8143" t="s">
        <v>106</v>
      </c>
      <c r="E8143">
        <v>2.79460269865067</v>
      </c>
    </row>
    <row r="8144" spans="1:5">
      <c r="A8144" t="s">
        <v>9412</v>
      </c>
      <c r="B8144" t="s">
        <v>9416</v>
      </c>
      <c r="C8144">
        <v>0</v>
      </c>
      <c r="D8144" t="s">
        <v>106</v>
      </c>
      <c r="E8144">
        <v>2.79460269865067</v>
      </c>
    </row>
    <row r="8145" spans="1:5">
      <c r="A8145" t="s">
        <v>9412</v>
      </c>
      <c r="B8145" t="s">
        <v>9417</v>
      </c>
      <c r="C8145">
        <v>0.22971053473399999</v>
      </c>
      <c r="D8145" t="s">
        <v>106</v>
      </c>
      <c r="E8145">
        <v>2.79460269865067</v>
      </c>
    </row>
    <row r="8146" spans="1:5">
      <c r="A8146" t="s">
        <v>9418</v>
      </c>
      <c r="B8146" t="s">
        <v>9419</v>
      </c>
      <c r="C8146">
        <f>0</f>
        <v>0</v>
      </c>
      <c r="D8146" t="s">
        <v>106</v>
      </c>
      <c r="E8146">
        <v>13.997001499250301</v>
      </c>
    </row>
    <row r="8147" spans="1:5">
      <c r="A8147" t="s">
        <v>9418</v>
      </c>
      <c r="B8147" t="s">
        <v>9420</v>
      </c>
      <c r="C8147">
        <v>0</v>
      </c>
      <c r="D8147" t="s">
        <v>106</v>
      </c>
      <c r="E8147">
        <v>13.997001499250301</v>
      </c>
    </row>
    <row r="8148" spans="1:5">
      <c r="A8148" t="s">
        <v>9418</v>
      </c>
      <c r="B8148" t="s">
        <v>9421</v>
      </c>
      <c r="C8148">
        <f>0</f>
        <v>0</v>
      </c>
      <c r="D8148" t="s">
        <v>106</v>
      </c>
      <c r="E8148">
        <v>13.997001499250301</v>
      </c>
    </row>
    <row r="8149" spans="1:5">
      <c r="A8149" t="s">
        <v>9418</v>
      </c>
      <c r="B8149" t="s">
        <v>9422</v>
      </c>
      <c r="C8149">
        <v>0</v>
      </c>
      <c r="D8149" t="s">
        <v>106</v>
      </c>
      <c r="E8149">
        <v>13.997001499250301</v>
      </c>
    </row>
    <row r="8150" spans="1:5">
      <c r="A8150" t="s">
        <v>9418</v>
      </c>
      <c r="B8150" t="s">
        <v>9423</v>
      </c>
      <c r="C8150">
        <v>0</v>
      </c>
      <c r="D8150" t="s">
        <v>106</v>
      </c>
      <c r="E8150">
        <v>13.997001499250301</v>
      </c>
    </row>
    <row r="8151" spans="1:5">
      <c r="A8151" t="s">
        <v>9424</v>
      </c>
      <c r="B8151" t="s">
        <v>9425</v>
      </c>
      <c r="C8151">
        <v>0</v>
      </c>
      <c r="D8151">
        <v>0.92792280241699998</v>
      </c>
      <c r="E8151">
        <v>24</v>
      </c>
    </row>
    <row r="8152" spans="1:5">
      <c r="A8152" t="s">
        <v>9424</v>
      </c>
      <c r="B8152" t="s">
        <v>9426</v>
      </c>
      <c r="C8152">
        <v>0.23461060203699999</v>
      </c>
      <c r="D8152">
        <v>0.92792280241699998</v>
      </c>
      <c r="E8152">
        <v>24</v>
      </c>
    </row>
    <row r="8153" spans="1:5">
      <c r="A8153" t="s">
        <v>9424</v>
      </c>
      <c r="B8153" t="s">
        <v>9427</v>
      </c>
      <c r="C8153">
        <f>0.135902413974</f>
        <v>0.13590241397399999</v>
      </c>
      <c r="D8153">
        <v>0.92792280241699998</v>
      </c>
      <c r="E8153">
        <v>24</v>
      </c>
    </row>
    <row r="8154" spans="1:5">
      <c r="A8154" t="s">
        <v>9428</v>
      </c>
      <c r="B8154" t="s">
        <v>9429</v>
      </c>
      <c r="C8154">
        <v>0</v>
      </c>
      <c r="D8154">
        <v>0.72027076139699997</v>
      </c>
      <c r="E8154">
        <v>3.40629685157421</v>
      </c>
    </row>
    <row r="8155" spans="1:5">
      <c r="A8155" t="s">
        <v>9428</v>
      </c>
      <c r="B8155" t="s">
        <v>9430</v>
      </c>
      <c r="C8155">
        <v>0</v>
      </c>
      <c r="D8155">
        <v>0.72027076139699997</v>
      </c>
      <c r="E8155">
        <v>3.40629685157421</v>
      </c>
    </row>
    <row r="8156" spans="1:5">
      <c r="A8156" t="s">
        <v>9428</v>
      </c>
      <c r="B8156" t="s">
        <v>9431</v>
      </c>
      <c r="C8156">
        <v>0</v>
      </c>
      <c r="D8156">
        <v>0.72027076139699997</v>
      </c>
      <c r="E8156">
        <v>3.40629685157421</v>
      </c>
    </row>
    <row r="8157" spans="1:5">
      <c r="A8157" t="s">
        <v>9428</v>
      </c>
      <c r="B8157" t="s">
        <v>9432</v>
      </c>
      <c r="C8157">
        <v>0</v>
      </c>
      <c r="D8157">
        <v>0.72027076139699997</v>
      </c>
      <c r="E8157">
        <v>3.40629685157421</v>
      </c>
    </row>
    <row r="8158" spans="1:5">
      <c r="A8158" t="s">
        <v>9433</v>
      </c>
      <c r="B8158" t="s">
        <v>9434</v>
      </c>
      <c r="C8158">
        <v>0</v>
      </c>
      <c r="D8158" t="s">
        <v>106</v>
      </c>
      <c r="E8158">
        <v>2.39880059970015</v>
      </c>
    </row>
    <row r="8159" spans="1:5">
      <c r="A8159" t="s">
        <v>9433</v>
      </c>
      <c r="B8159" t="s">
        <v>9435</v>
      </c>
      <c r="C8159">
        <f>0.148772893718</f>
        <v>0.14877289371800001</v>
      </c>
      <c r="D8159" t="s">
        <v>106</v>
      </c>
      <c r="E8159">
        <v>2.39880059970015</v>
      </c>
    </row>
    <row r="8160" spans="1:5">
      <c r="A8160" t="s">
        <v>9433</v>
      </c>
      <c r="B8160" t="s">
        <v>9436</v>
      </c>
      <c r="C8160">
        <v>0</v>
      </c>
      <c r="D8160" t="s">
        <v>106</v>
      </c>
      <c r="E8160">
        <v>2.39880059970015</v>
      </c>
    </row>
    <row r="8161" spans="1:5">
      <c r="A8161" t="s">
        <v>9433</v>
      </c>
      <c r="B8161" t="s">
        <v>9437</v>
      </c>
      <c r="C8161">
        <v>0</v>
      </c>
      <c r="D8161" t="s">
        <v>106</v>
      </c>
      <c r="E8161">
        <v>2.39880059970015</v>
      </c>
    </row>
    <row r="8162" spans="1:5">
      <c r="A8162" t="s">
        <v>9433</v>
      </c>
      <c r="B8162" t="s">
        <v>9438</v>
      </c>
      <c r="C8162">
        <f>0</f>
        <v>0</v>
      </c>
      <c r="D8162" t="s">
        <v>106</v>
      </c>
      <c r="E8162">
        <v>2.39880059970015</v>
      </c>
    </row>
    <row r="8163" spans="1:5">
      <c r="A8163" t="s">
        <v>9433</v>
      </c>
      <c r="B8163" t="s">
        <v>9439</v>
      </c>
      <c r="C8163">
        <v>0.27470805394699999</v>
      </c>
      <c r="D8163" t="s">
        <v>106</v>
      </c>
      <c r="E8163">
        <v>2.39880059970015</v>
      </c>
    </row>
    <row r="8164" spans="1:5">
      <c r="A8164" t="s">
        <v>9433</v>
      </c>
      <c r="B8164" t="s">
        <v>9440</v>
      </c>
      <c r="C8164">
        <v>0</v>
      </c>
      <c r="D8164" t="s">
        <v>106</v>
      </c>
      <c r="E8164">
        <v>2.39880059970015</v>
      </c>
    </row>
    <row r="8165" spans="1:5">
      <c r="A8165" t="s">
        <v>9433</v>
      </c>
      <c r="B8165" t="s">
        <v>9441</v>
      </c>
      <c r="C8165">
        <f>0</f>
        <v>0</v>
      </c>
      <c r="D8165" t="s">
        <v>106</v>
      </c>
      <c r="E8165">
        <v>2.39880059970015</v>
      </c>
    </row>
    <row r="8166" spans="1:5">
      <c r="A8166" t="s">
        <v>9433</v>
      </c>
      <c r="B8166" t="s">
        <v>9442</v>
      </c>
      <c r="C8166">
        <v>0</v>
      </c>
      <c r="D8166" t="s">
        <v>106</v>
      </c>
      <c r="E8166">
        <v>2.39880059970015</v>
      </c>
    </row>
    <row r="8167" spans="1:5">
      <c r="A8167" t="s">
        <v>9433</v>
      </c>
      <c r="B8167" t="s">
        <v>9443</v>
      </c>
      <c r="C8167">
        <v>0</v>
      </c>
      <c r="D8167" t="s">
        <v>106</v>
      </c>
      <c r="E8167">
        <v>2.39880059970015</v>
      </c>
    </row>
    <row r="8168" spans="1:5">
      <c r="A8168" t="s">
        <v>9444</v>
      </c>
      <c r="B8168" t="s">
        <v>9445</v>
      </c>
      <c r="C8168">
        <v>0</v>
      </c>
      <c r="D8168">
        <v>0.44873538969900001</v>
      </c>
      <c r="E8168">
        <v>24</v>
      </c>
    </row>
    <row r="8169" spans="1:5">
      <c r="A8169" t="s">
        <v>9446</v>
      </c>
      <c r="B8169" t="s">
        <v>9447</v>
      </c>
      <c r="C8169">
        <f>0</f>
        <v>0</v>
      </c>
      <c r="D8169">
        <v>0.97992012309499998</v>
      </c>
      <c r="E8169">
        <v>16.491754122938499</v>
      </c>
    </row>
    <row r="8170" spans="1:5">
      <c r="A8170" t="s">
        <v>9446</v>
      </c>
      <c r="B8170" t="s">
        <v>9448</v>
      </c>
      <c r="C8170">
        <f>0</f>
        <v>0</v>
      </c>
      <c r="D8170">
        <v>0.97992012309499998</v>
      </c>
      <c r="E8170">
        <v>16.491754122938499</v>
      </c>
    </row>
    <row r="8171" spans="1:5">
      <c r="A8171" t="s">
        <v>9446</v>
      </c>
      <c r="B8171" t="s">
        <v>9449</v>
      </c>
      <c r="C8171">
        <f>0</f>
        <v>0</v>
      </c>
      <c r="D8171">
        <v>0.97992012309499998</v>
      </c>
      <c r="E8171">
        <v>16.491754122938499</v>
      </c>
    </row>
    <row r="8172" spans="1:5">
      <c r="A8172" t="s">
        <v>9450</v>
      </c>
      <c r="B8172" t="s">
        <v>9451</v>
      </c>
      <c r="C8172">
        <v>0</v>
      </c>
      <c r="D8172">
        <v>0.98628533013200004</v>
      </c>
      <c r="E8172">
        <v>24</v>
      </c>
    </row>
    <row r="8173" spans="1:5">
      <c r="A8173" t="s">
        <v>9450</v>
      </c>
      <c r="B8173" t="s">
        <v>9452</v>
      </c>
      <c r="C8173">
        <f>0</f>
        <v>0</v>
      </c>
      <c r="D8173">
        <v>0.98628533013200004</v>
      </c>
      <c r="E8173">
        <v>24</v>
      </c>
    </row>
    <row r="8174" spans="1:5">
      <c r="A8174" t="s">
        <v>9450</v>
      </c>
      <c r="B8174" t="s">
        <v>9453</v>
      </c>
      <c r="C8174">
        <v>0</v>
      </c>
      <c r="D8174">
        <v>0.98628533013200004</v>
      </c>
      <c r="E8174">
        <v>24</v>
      </c>
    </row>
    <row r="8175" spans="1:5">
      <c r="A8175" t="s">
        <v>9450</v>
      </c>
      <c r="B8175" t="s">
        <v>9454</v>
      </c>
      <c r="C8175">
        <v>0</v>
      </c>
      <c r="D8175">
        <v>0.98628533013200004</v>
      </c>
      <c r="E8175">
        <v>24</v>
      </c>
    </row>
    <row r="8176" spans="1:5">
      <c r="A8176" t="s">
        <v>9450</v>
      </c>
      <c r="B8176" t="s">
        <v>9455</v>
      </c>
      <c r="C8176">
        <v>0</v>
      </c>
      <c r="D8176">
        <v>0.98628533013200004</v>
      </c>
      <c r="E8176">
        <v>24</v>
      </c>
    </row>
    <row r="8177" spans="1:5">
      <c r="A8177" t="s">
        <v>9450</v>
      </c>
      <c r="B8177" t="s">
        <v>9456</v>
      </c>
      <c r="C8177">
        <v>4.0205621912099997E-2</v>
      </c>
      <c r="D8177">
        <v>0.98628533013200004</v>
      </c>
      <c r="E8177">
        <v>24</v>
      </c>
    </row>
    <row r="8178" spans="1:5">
      <c r="A8178" t="s">
        <v>9450</v>
      </c>
      <c r="B8178" t="s">
        <v>9457</v>
      </c>
      <c r="C8178">
        <v>0</v>
      </c>
      <c r="D8178">
        <v>0.98628533013200004</v>
      </c>
      <c r="E8178">
        <v>24</v>
      </c>
    </row>
    <row r="8179" spans="1:5">
      <c r="A8179" t="s">
        <v>9450</v>
      </c>
      <c r="B8179" t="s">
        <v>9458</v>
      </c>
      <c r="C8179">
        <f>0</f>
        <v>0</v>
      </c>
      <c r="D8179">
        <v>0.98628533013200004</v>
      </c>
      <c r="E8179">
        <v>24</v>
      </c>
    </row>
    <row r="8180" spans="1:5">
      <c r="A8180" t="s">
        <v>9450</v>
      </c>
      <c r="B8180" t="s">
        <v>9459</v>
      </c>
      <c r="C8180">
        <v>0</v>
      </c>
      <c r="D8180">
        <v>0.98628533013200004</v>
      </c>
      <c r="E8180">
        <v>24</v>
      </c>
    </row>
    <row r="8181" spans="1:5">
      <c r="A8181" t="s">
        <v>9460</v>
      </c>
      <c r="B8181" t="s">
        <v>9461</v>
      </c>
      <c r="C8181">
        <f>0</f>
        <v>0</v>
      </c>
      <c r="D8181">
        <v>0.74741830485399996</v>
      </c>
      <c r="E8181">
        <v>4.4737631184407798</v>
      </c>
    </row>
    <row r="8182" spans="1:5">
      <c r="A8182" t="s">
        <v>9460</v>
      </c>
      <c r="B8182" t="s">
        <v>9462</v>
      </c>
      <c r="C8182">
        <v>0</v>
      </c>
      <c r="D8182">
        <v>0.74741830485399996</v>
      </c>
      <c r="E8182">
        <v>4.4737631184407798</v>
      </c>
    </row>
    <row r="8183" spans="1:5">
      <c r="A8183" t="s">
        <v>9460</v>
      </c>
      <c r="B8183" t="s">
        <v>9463</v>
      </c>
      <c r="C8183">
        <f>0</f>
        <v>0</v>
      </c>
      <c r="D8183">
        <v>0.74741830485399996</v>
      </c>
      <c r="E8183">
        <v>4.4737631184407798</v>
      </c>
    </row>
    <row r="8184" spans="1:5">
      <c r="A8184" t="s">
        <v>9460</v>
      </c>
      <c r="B8184" t="s">
        <v>9464</v>
      </c>
      <c r="C8184">
        <f>0</f>
        <v>0</v>
      </c>
      <c r="D8184">
        <v>0.74741830485399996</v>
      </c>
      <c r="E8184">
        <v>4.4737631184407798</v>
      </c>
    </row>
    <row r="8185" spans="1:5">
      <c r="A8185" t="s">
        <v>9460</v>
      </c>
      <c r="B8185" t="s">
        <v>9465</v>
      </c>
      <c r="C8185">
        <f>0</f>
        <v>0</v>
      </c>
      <c r="D8185">
        <v>0.74741830485399996</v>
      </c>
      <c r="E8185">
        <v>4.4737631184407798</v>
      </c>
    </row>
    <row r="8186" spans="1:5">
      <c r="A8186" t="s">
        <v>9460</v>
      </c>
      <c r="B8186" t="s">
        <v>9466</v>
      </c>
      <c r="C8186">
        <v>0</v>
      </c>
      <c r="D8186">
        <v>0.74741830485399996</v>
      </c>
      <c r="E8186">
        <v>4.4737631184407798</v>
      </c>
    </row>
    <row r="8187" spans="1:5">
      <c r="A8187" t="s">
        <v>9460</v>
      </c>
      <c r="B8187" t="s">
        <v>9467</v>
      </c>
      <c r="C8187">
        <f>0</f>
        <v>0</v>
      </c>
      <c r="D8187">
        <v>0.74741830485399996</v>
      </c>
      <c r="E8187">
        <v>4.4737631184407798</v>
      </c>
    </row>
    <row r="8188" spans="1:5">
      <c r="A8188" t="s">
        <v>9460</v>
      </c>
      <c r="B8188" t="s">
        <v>9468</v>
      </c>
      <c r="C8188">
        <f>0</f>
        <v>0</v>
      </c>
      <c r="D8188">
        <v>0.74741830485399996</v>
      </c>
      <c r="E8188">
        <v>4.4737631184407798</v>
      </c>
    </row>
    <row r="8189" spans="1:5">
      <c r="A8189" t="s">
        <v>9460</v>
      </c>
      <c r="B8189" t="s">
        <v>9469</v>
      </c>
      <c r="C8189">
        <f>0</f>
        <v>0</v>
      </c>
      <c r="D8189">
        <v>0.74741830485399996</v>
      </c>
      <c r="E8189">
        <v>4.4737631184407798</v>
      </c>
    </row>
    <row r="8190" spans="1:5">
      <c r="A8190" t="s">
        <v>9460</v>
      </c>
      <c r="B8190" t="s">
        <v>9470</v>
      </c>
      <c r="C8190">
        <f>0</f>
        <v>0</v>
      </c>
      <c r="D8190">
        <v>0.74741830485399996</v>
      </c>
      <c r="E8190">
        <v>4.4737631184407798</v>
      </c>
    </row>
    <row r="8191" spans="1:5">
      <c r="A8191" t="s">
        <v>9460</v>
      </c>
      <c r="B8191" t="s">
        <v>9471</v>
      </c>
      <c r="C8191">
        <v>0</v>
      </c>
      <c r="D8191">
        <v>0.74741830485399996</v>
      </c>
      <c r="E8191">
        <v>4.4737631184407798</v>
      </c>
    </row>
    <row r="8192" spans="1:5">
      <c r="A8192" t="s">
        <v>9460</v>
      </c>
      <c r="B8192" t="s">
        <v>9472</v>
      </c>
      <c r="C8192">
        <f>0</f>
        <v>0</v>
      </c>
      <c r="D8192">
        <v>0.74741830485399996</v>
      </c>
      <c r="E8192">
        <v>4.4737631184407798</v>
      </c>
    </row>
    <row r="8193" spans="1:5">
      <c r="A8193" t="s">
        <v>9460</v>
      </c>
      <c r="B8193" t="s">
        <v>9473</v>
      </c>
      <c r="C8193">
        <f>0</f>
        <v>0</v>
      </c>
      <c r="D8193">
        <v>0.74741830485399996</v>
      </c>
      <c r="E8193">
        <v>4.4737631184407798</v>
      </c>
    </row>
    <row r="8194" spans="1:5">
      <c r="A8194" t="s">
        <v>9460</v>
      </c>
      <c r="B8194" t="s">
        <v>9474</v>
      </c>
      <c r="C8194">
        <f>0</f>
        <v>0</v>
      </c>
      <c r="D8194">
        <v>0.74741830485399996</v>
      </c>
      <c r="E8194">
        <v>4.4737631184407798</v>
      </c>
    </row>
    <row r="8195" spans="1:5">
      <c r="A8195" t="s">
        <v>9460</v>
      </c>
      <c r="B8195" t="s">
        <v>9475</v>
      </c>
      <c r="C8195">
        <f>0</f>
        <v>0</v>
      </c>
      <c r="D8195">
        <v>0.74741830485399996</v>
      </c>
      <c r="E8195">
        <v>4.4737631184407798</v>
      </c>
    </row>
    <row r="8196" spans="1:5">
      <c r="A8196" t="s">
        <v>9460</v>
      </c>
      <c r="B8196" t="s">
        <v>9476</v>
      </c>
      <c r="C8196">
        <f>0</f>
        <v>0</v>
      </c>
      <c r="D8196">
        <v>0.74741830485399996</v>
      </c>
      <c r="E8196">
        <v>4.4737631184407798</v>
      </c>
    </row>
    <row r="8197" spans="1:5">
      <c r="A8197" t="s">
        <v>9460</v>
      </c>
      <c r="B8197" t="s">
        <v>9477</v>
      </c>
      <c r="C8197">
        <f>0</f>
        <v>0</v>
      </c>
      <c r="D8197">
        <v>0.74741830485399996</v>
      </c>
      <c r="E8197">
        <v>4.4737631184407798</v>
      </c>
    </row>
    <row r="8198" spans="1:5">
      <c r="A8198" t="s">
        <v>9460</v>
      </c>
      <c r="B8198" t="s">
        <v>9478</v>
      </c>
      <c r="C8198">
        <v>0</v>
      </c>
      <c r="D8198">
        <v>0.74741830485399996</v>
      </c>
      <c r="E8198">
        <v>4.4737631184407798</v>
      </c>
    </row>
    <row r="8199" spans="1:5">
      <c r="A8199" t="s">
        <v>9460</v>
      </c>
      <c r="B8199" t="s">
        <v>9479</v>
      </c>
      <c r="C8199">
        <v>0</v>
      </c>
      <c r="D8199">
        <v>0.74741830485399996</v>
      </c>
      <c r="E8199">
        <v>4.4737631184407798</v>
      </c>
    </row>
    <row r="8200" spans="1:5">
      <c r="A8200" t="s">
        <v>9460</v>
      </c>
      <c r="B8200" t="s">
        <v>9480</v>
      </c>
      <c r="C8200">
        <f>0</f>
        <v>0</v>
      </c>
      <c r="D8200">
        <v>0.74741830485399996</v>
      </c>
      <c r="E8200">
        <v>4.4737631184407798</v>
      </c>
    </row>
    <row r="8201" spans="1:5">
      <c r="A8201" t="s">
        <v>9481</v>
      </c>
      <c r="B8201" t="s">
        <v>9482</v>
      </c>
      <c r="C8201">
        <v>0.13146245526700001</v>
      </c>
      <c r="D8201">
        <v>0.95204099454299995</v>
      </c>
      <c r="E8201">
        <v>17.919040479760099</v>
      </c>
    </row>
    <row r="8202" spans="1:5">
      <c r="A8202" t="s">
        <v>9481</v>
      </c>
      <c r="B8202" t="s">
        <v>9483</v>
      </c>
      <c r="C8202">
        <v>0.180441330954</v>
      </c>
      <c r="D8202">
        <v>0.95204099454299995</v>
      </c>
      <c r="E8202">
        <v>17.919040479760099</v>
      </c>
    </row>
    <row r="8203" spans="1:5">
      <c r="A8203" t="s">
        <v>9484</v>
      </c>
      <c r="B8203" t="s">
        <v>9485</v>
      </c>
      <c r="C8203">
        <f>0.045741753333</f>
        <v>4.5741753332999999E-2</v>
      </c>
      <c r="D8203">
        <v>0.97976306914599998</v>
      </c>
      <c r="E8203">
        <v>10.230884557721099</v>
      </c>
    </row>
    <row r="8204" spans="1:5">
      <c r="A8204" t="s">
        <v>9484</v>
      </c>
      <c r="B8204" t="s">
        <v>9486</v>
      </c>
      <c r="C8204">
        <v>0</v>
      </c>
      <c r="D8204">
        <v>0.97976306914599998</v>
      </c>
      <c r="E8204">
        <v>10.230884557721099</v>
      </c>
    </row>
    <row r="8205" spans="1:5">
      <c r="A8205" t="s">
        <v>9484</v>
      </c>
      <c r="B8205" t="s">
        <v>9487</v>
      </c>
      <c r="C8205">
        <f>0</f>
        <v>0</v>
      </c>
      <c r="D8205">
        <v>0.97976306914599998</v>
      </c>
      <c r="E8205">
        <v>10.230884557721099</v>
      </c>
    </row>
    <row r="8206" spans="1:5">
      <c r="A8206" t="s">
        <v>9484</v>
      </c>
      <c r="B8206" t="s">
        <v>9488</v>
      </c>
      <c r="C8206">
        <f>0</f>
        <v>0</v>
      </c>
      <c r="D8206">
        <v>0.97976306914599998</v>
      </c>
      <c r="E8206">
        <v>10.230884557721099</v>
      </c>
    </row>
    <row r="8207" spans="1:5">
      <c r="A8207" t="s">
        <v>9484</v>
      </c>
      <c r="B8207" t="s">
        <v>9489</v>
      </c>
      <c r="C8207">
        <f>0.0695371759643</f>
        <v>6.9537175964299994E-2</v>
      </c>
      <c r="D8207">
        <v>0.97976306914599998</v>
      </c>
      <c r="E8207">
        <v>10.230884557721099</v>
      </c>
    </row>
    <row r="8208" spans="1:5">
      <c r="A8208" t="s">
        <v>9484</v>
      </c>
      <c r="B8208" t="s">
        <v>9490</v>
      </c>
      <c r="C8208">
        <f>0</f>
        <v>0</v>
      </c>
      <c r="D8208">
        <v>0.97976306914599998</v>
      </c>
      <c r="E8208">
        <v>10.230884557721099</v>
      </c>
    </row>
    <row r="8209" spans="1:5">
      <c r="A8209" t="s">
        <v>9491</v>
      </c>
      <c r="B8209" t="s">
        <v>9492</v>
      </c>
      <c r="C8209">
        <v>0</v>
      </c>
      <c r="D8209">
        <v>0.87631766184500004</v>
      </c>
      <c r="E8209">
        <v>15.700149925037399</v>
      </c>
    </row>
    <row r="8210" spans="1:5">
      <c r="A8210" t="s">
        <v>9491</v>
      </c>
      <c r="B8210" t="s">
        <v>9493</v>
      </c>
      <c r="C8210">
        <v>0</v>
      </c>
      <c r="D8210">
        <v>0.87631766184500004</v>
      </c>
      <c r="E8210">
        <v>15.700149925037399</v>
      </c>
    </row>
    <row r="8211" spans="1:5">
      <c r="A8211" t="s">
        <v>9491</v>
      </c>
      <c r="B8211" t="s">
        <v>9494</v>
      </c>
      <c r="C8211">
        <v>0</v>
      </c>
      <c r="D8211">
        <v>0.87631766184500004</v>
      </c>
      <c r="E8211">
        <v>15.700149925037399</v>
      </c>
    </row>
    <row r="8212" spans="1:5">
      <c r="A8212" t="s">
        <v>9491</v>
      </c>
      <c r="B8212" t="s">
        <v>9495</v>
      </c>
      <c r="C8212">
        <v>2.0885647373399999E-2</v>
      </c>
      <c r="D8212">
        <v>0.87631766184500004</v>
      </c>
      <c r="E8212">
        <v>15.700149925037399</v>
      </c>
    </row>
    <row r="8213" spans="1:5">
      <c r="A8213" t="s">
        <v>9491</v>
      </c>
      <c r="B8213" t="s">
        <v>9496</v>
      </c>
      <c r="C8213">
        <v>0</v>
      </c>
      <c r="D8213">
        <v>0.87631766184500004</v>
      </c>
      <c r="E8213">
        <v>15.700149925037399</v>
      </c>
    </row>
    <row r="8214" spans="1:5">
      <c r="A8214" t="s">
        <v>9497</v>
      </c>
      <c r="B8214" t="s">
        <v>9498</v>
      </c>
      <c r="C8214">
        <v>0</v>
      </c>
      <c r="D8214">
        <v>0.96216783531899996</v>
      </c>
      <c r="E8214">
        <v>3.68215892053973</v>
      </c>
    </row>
    <row r="8215" spans="1:5">
      <c r="A8215" t="s">
        <v>9497</v>
      </c>
      <c r="B8215" t="s">
        <v>9499</v>
      </c>
      <c r="C8215">
        <f>0.289451149784</f>
        <v>0.28945114978399999</v>
      </c>
      <c r="D8215">
        <v>0.96216783531899996</v>
      </c>
      <c r="E8215">
        <v>3.68215892053973</v>
      </c>
    </row>
    <row r="8216" spans="1:5">
      <c r="A8216" t="s">
        <v>9497</v>
      </c>
      <c r="B8216" t="s">
        <v>9500</v>
      </c>
      <c r="C8216">
        <v>0</v>
      </c>
      <c r="D8216">
        <v>0.96216783531899996</v>
      </c>
      <c r="E8216">
        <v>3.68215892053973</v>
      </c>
    </row>
    <row r="8217" spans="1:5">
      <c r="A8217" t="s">
        <v>9497</v>
      </c>
      <c r="B8217" t="s">
        <v>9501</v>
      </c>
      <c r="C8217">
        <v>0.324439309728</v>
      </c>
      <c r="D8217">
        <v>0.96216783531899996</v>
      </c>
      <c r="E8217">
        <v>3.68215892053973</v>
      </c>
    </row>
    <row r="8218" spans="1:5">
      <c r="A8218" t="s">
        <v>9502</v>
      </c>
      <c r="B8218" t="s">
        <v>9503</v>
      </c>
      <c r="C8218">
        <f>0.453642004352</f>
        <v>0.45364200435199997</v>
      </c>
      <c r="D8218">
        <v>0.96611690871800004</v>
      </c>
      <c r="E8218">
        <v>1.6311844077961</v>
      </c>
    </row>
    <row r="8219" spans="1:5">
      <c r="A8219" t="s">
        <v>9502</v>
      </c>
      <c r="B8219" t="s">
        <v>9504</v>
      </c>
      <c r="C8219">
        <v>0</v>
      </c>
      <c r="D8219">
        <v>0.96611690871800004</v>
      </c>
      <c r="E8219">
        <v>1.6311844077961</v>
      </c>
    </row>
    <row r="8220" spans="1:5">
      <c r="A8220" t="s">
        <v>9502</v>
      </c>
      <c r="B8220" t="s">
        <v>9505</v>
      </c>
      <c r="C8220">
        <f>0</f>
        <v>0</v>
      </c>
      <c r="D8220">
        <v>0.96611690871800004</v>
      </c>
      <c r="E8220">
        <v>1.6311844077961</v>
      </c>
    </row>
    <row r="8221" spans="1:5">
      <c r="A8221" t="s">
        <v>9502</v>
      </c>
      <c r="B8221" t="s">
        <v>9506</v>
      </c>
      <c r="C8221">
        <v>0</v>
      </c>
      <c r="D8221">
        <v>0.96611690871800004</v>
      </c>
      <c r="E8221">
        <v>1.6311844077961</v>
      </c>
    </row>
    <row r="8222" spans="1:5">
      <c r="A8222" t="s">
        <v>9502</v>
      </c>
      <c r="B8222" t="s">
        <v>9507</v>
      </c>
      <c r="C8222">
        <f>0</f>
        <v>0</v>
      </c>
      <c r="D8222">
        <v>0.96611690871800004</v>
      </c>
      <c r="E8222">
        <v>1.6311844077961</v>
      </c>
    </row>
    <row r="8223" spans="1:5">
      <c r="A8223" t="s">
        <v>9502</v>
      </c>
      <c r="B8223" t="s">
        <v>9508</v>
      </c>
      <c r="C8223">
        <f>0</f>
        <v>0</v>
      </c>
      <c r="D8223">
        <v>0.96611690871800004</v>
      </c>
      <c r="E8223">
        <v>1.6311844077961</v>
      </c>
    </row>
    <row r="8224" spans="1:5">
      <c r="A8224" t="s">
        <v>9502</v>
      </c>
      <c r="B8224" t="s">
        <v>9509</v>
      </c>
      <c r="C8224">
        <v>5.7402818852999998E-2</v>
      </c>
      <c r="D8224">
        <v>0.96611690871800004</v>
      </c>
      <c r="E8224">
        <v>1.6311844077961</v>
      </c>
    </row>
    <row r="8225" spans="1:5">
      <c r="A8225" t="s">
        <v>9510</v>
      </c>
      <c r="B8225" t="s">
        <v>9511</v>
      </c>
      <c r="C8225">
        <v>0.24726119440800001</v>
      </c>
      <c r="D8225" t="s">
        <v>106</v>
      </c>
      <c r="E8225">
        <v>3.2263868065966999</v>
      </c>
    </row>
    <row r="8226" spans="1:5">
      <c r="A8226" t="s">
        <v>9512</v>
      </c>
      <c r="B8226" t="s">
        <v>9513</v>
      </c>
      <c r="C8226">
        <v>0.13395210649600001</v>
      </c>
      <c r="D8226">
        <v>0.74658181445500005</v>
      </c>
      <c r="E8226">
        <v>5.4692653673163401</v>
      </c>
    </row>
    <row r="8227" spans="1:5">
      <c r="A8227" t="s">
        <v>9512</v>
      </c>
      <c r="B8227" t="s">
        <v>9514</v>
      </c>
      <c r="C8227">
        <v>0</v>
      </c>
      <c r="D8227">
        <v>0.74658181445500005</v>
      </c>
      <c r="E8227">
        <v>5.4692653673163401</v>
      </c>
    </row>
    <row r="8228" spans="1:5">
      <c r="A8228" t="s">
        <v>9512</v>
      </c>
      <c r="B8228" t="s">
        <v>9515</v>
      </c>
      <c r="C8228">
        <v>0</v>
      </c>
      <c r="D8228">
        <v>0.74658181445500005</v>
      </c>
      <c r="E8228">
        <v>5.4692653673163401</v>
      </c>
    </row>
    <row r="8229" spans="1:5">
      <c r="A8229" t="s">
        <v>9512</v>
      </c>
      <c r="B8229" t="s">
        <v>9516</v>
      </c>
      <c r="C8229">
        <v>0</v>
      </c>
      <c r="D8229">
        <v>0.74658181445500005</v>
      </c>
      <c r="E8229">
        <v>5.4692653673163401</v>
      </c>
    </row>
    <row r="8230" spans="1:5">
      <c r="A8230" t="s">
        <v>9512</v>
      </c>
      <c r="B8230" t="s">
        <v>9517</v>
      </c>
      <c r="C8230">
        <v>0.187888773684</v>
      </c>
      <c r="D8230">
        <v>0.74658181445500005</v>
      </c>
      <c r="E8230">
        <v>5.4692653673163401</v>
      </c>
    </row>
    <row r="8231" spans="1:5">
      <c r="A8231" t="s">
        <v>9512</v>
      </c>
      <c r="B8231" t="s">
        <v>9518</v>
      </c>
      <c r="C8231">
        <f>0</f>
        <v>0</v>
      </c>
      <c r="D8231">
        <v>0.74658181445500005</v>
      </c>
      <c r="E8231">
        <v>5.4692653673163401</v>
      </c>
    </row>
    <row r="8232" spans="1:5">
      <c r="A8232" t="s">
        <v>9512</v>
      </c>
      <c r="B8232" t="s">
        <v>9519</v>
      </c>
      <c r="C8232">
        <v>0</v>
      </c>
      <c r="D8232">
        <v>0.74658181445500005</v>
      </c>
      <c r="E8232">
        <v>5.4692653673163401</v>
      </c>
    </row>
    <row r="8233" spans="1:5">
      <c r="A8233" t="s">
        <v>9512</v>
      </c>
      <c r="B8233" t="s">
        <v>9520</v>
      </c>
      <c r="C8233">
        <v>0</v>
      </c>
      <c r="D8233">
        <v>0.74658181445500005</v>
      </c>
      <c r="E8233">
        <v>5.4692653673163401</v>
      </c>
    </row>
    <row r="8234" spans="1:5">
      <c r="A8234" t="s">
        <v>9512</v>
      </c>
      <c r="B8234" t="s">
        <v>9521</v>
      </c>
      <c r="C8234">
        <v>0</v>
      </c>
      <c r="D8234">
        <v>0.74658181445500005</v>
      </c>
      <c r="E8234">
        <v>5.4692653673163401</v>
      </c>
    </row>
    <row r="8235" spans="1:5">
      <c r="A8235" t="s">
        <v>9512</v>
      </c>
      <c r="B8235" t="s">
        <v>9522</v>
      </c>
      <c r="C8235">
        <v>0</v>
      </c>
      <c r="D8235">
        <v>0.74658181445500005</v>
      </c>
      <c r="E8235">
        <v>5.4692653673163401</v>
      </c>
    </row>
    <row r="8236" spans="1:5">
      <c r="A8236" t="s">
        <v>9512</v>
      </c>
      <c r="B8236" t="s">
        <v>9523</v>
      </c>
      <c r="C8236">
        <v>0</v>
      </c>
      <c r="D8236">
        <v>0.74658181445500005</v>
      </c>
      <c r="E8236">
        <v>5.4692653673163401</v>
      </c>
    </row>
    <row r="8237" spans="1:5">
      <c r="A8237" t="s">
        <v>9524</v>
      </c>
      <c r="B8237" t="s">
        <v>9525</v>
      </c>
      <c r="C8237">
        <v>0.522085633883</v>
      </c>
      <c r="D8237">
        <v>0.99718949497999998</v>
      </c>
      <c r="E8237">
        <v>5.9370314842578704</v>
      </c>
    </row>
    <row r="8238" spans="1:5">
      <c r="A8238" t="s">
        <v>9524</v>
      </c>
      <c r="B8238" t="s">
        <v>9526</v>
      </c>
      <c r="C8238">
        <v>0.29581850318000003</v>
      </c>
      <c r="D8238">
        <v>0.99718949497999998</v>
      </c>
      <c r="E8238">
        <v>5.9370314842578704</v>
      </c>
    </row>
    <row r="8239" spans="1:5">
      <c r="A8239" t="s">
        <v>9527</v>
      </c>
      <c r="B8239" t="s">
        <v>9528</v>
      </c>
      <c r="C8239">
        <v>0</v>
      </c>
      <c r="D8239">
        <v>0.99630865510099997</v>
      </c>
      <c r="E8239">
        <v>8.5757121439280297</v>
      </c>
    </row>
    <row r="8240" spans="1:5">
      <c r="A8240" t="s">
        <v>9527</v>
      </c>
      <c r="B8240" t="s">
        <v>9529</v>
      </c>
      <c r="C8240">
        <f>0</f>
        <v>0</v>
      </c>
      <c r="D8240">
        <v>0.99630865510099997</v>
      </c>
      <c r="E8240">
        <v>8.5757121439280297</v>
      </c>
    </row>
    <row r="8241" spans="1:5">
      <c r="A8241" t="s">
        <v>9527</v>
      </c>
      <c r="B8241" t="s">
        <v>9530</v>
      </c>
      <c r="C8241">
        <v>5.5186783621800004E-3</v>
      </c>
      <c r="D8241">
        <v>0.99630865510099997</v>
      </c>
      <c r="E8241">
        <v>8.5757121439280297</v>
      </c>
    </row>
    <row r="8242" spans="1:5">
      <c r="A8242" t="s">
        <v>9527</v>
      </c>
      <c r="B8242" t="s">
        <v>9531</v>
      </c>
      <c r="C8242">
        <v>0</v>
      </c>
      <c r="D8242">
        <v>0.99630865510099997</v>
      </c>
      <c r="E8242">
        <v>8.5757121439280297</v>
      </c>
    </row>
    <row r="8243" spans="1:5">
      <c r="A8243" t="s">
        <v>9527</v>
      </c>
      <c r="B8243" t="s">
        <v>9532</v>
      </c>
      <c r="C8243">
        <v>0</v>
      </c>
      <c r="D8243">
        <v>0.99630865510099997</v>
      </c>
      <c r="E8243">
        <v>8.5757121439280297</v>
      </c>
    </row>
    <row r="8244" spans="1:5">
      <c r="A8244" t="s">
        <v>9527</v>
      </c>
      <c r="B8244" t="s">
        <v>9533</v>
      </c>
      <c r="C8244">
        <v>0.53990237981199996</v>
      </c>
      <c r="D8244">
        <v>0.99630865510099997</v>
      </c>
      <c r="E8244">
        <v>8.5757121439280297</v>
      </c>
    </row>
    <row r="8245" spans="1:5">
      <c r="A8245" t="s">
        <v>9527</v>
      </c>
      <c r="B8245" t="s">
        <v>9534</v>
      </c>
      <c r="C8245">
        <v>0</v>
      </c>
      <c r="D8245">
        <v>0.99630865510099997</v>
      </c>
      <c r="E8245">
        <v>8.5757121439280297</v>
      </c>
    </row>
    <row r="8246" spans="1:5">
      <c r="A8246" t="s">
        <v>9527</v>
      </c>
      <c r="B8246" t="s">
        <v>9535</v>
      </c>
      <c r="C8246">
        <f>0</f>
        <v>0</v>
      </c>
      <c r="D8246">
        <v>0.99630865510099997</v>
      </c>
      <c r="E8246">
        <v>8.5757121439280297</v>
      </c>
    </row>
    <row r="8247" spans="1:5">
      <c r="A8247" t="s">
        <v>9527</v>
      </c>
      <c r="B8247" t="s">
        <v>9536</v>
      </c>
      <c r="C8247">
        <v>0</v>
      </c>
      <c r="D8247">
        <v>0.99630865510099997</v>
      </c>
      <c r="E8247">
        <v>8.5757121439280297</v>
      </c>
    </row>
    <row r="8248" spans="1:5">
      <c r="A8248" t="s">
        <v>9537</v>
      </c>
      <c r="B8248" t="s">
        <v>9538</v>
      </c>
      <c r="C8248">
        <v>0</v>
      </c>
      <c r="D8248">
        <v>0.776809570339</v>
      </c>
      <c r="E8248">
        <v>5.1214392803598203</v>
      </c>
    </row>
    <row r="8249" spans="1:5">
      <c r="A8249" t="s">
        <v>9537</v>
      </c>
      <c r="B8249" t="s">
        <v>9539</v>
      </c>
      <c r="C8249">
        <v>0.11194475133700001</v>
      </c>
      <c r="D8249">
        <v>0.776809570339</v>
      </c>
      <c r="E8249">
        <v>5.1214392803598203</v>
      </c>
    </row>
    <row r="8250" spans="1:5">
      <c r="A8250" t="s">
        <v>9537</v>
      </c>
      <c r="B8250" t="s">
        <v>9540</v>
      </c>
      <c r="C8250">
        <v>0.15856548618999999</v>
      </c>
      <c r="D8250">
        <v>0.776809570339</v>
      </c>
      <c r="E8250">
        <v>5.1214392803598203</v>
      </c>
    </row>
    <row r="8251" spans="1:5">
      <c r="A8251" t="s">
        <v>9537</v>
      </c>
      <c r="B8251" t="s">
        <v>9541</v>
      </c>
      <c r="C8251">
        <v>0</v>
      </c>
      <c r="D8251">
        <v>0.776809570339</v>
      </c>
      <c r="E8251">
        <v>5.1214392803598203</v>
      </c>
    </row>
    <row r="8252" spans="1:5">
      <c r="A8252" t="s">
        <v>9537</v>
      </c>
      <c r="B8252" t="s">
        <v>9542</v>
      </c>
      <c r="C8252">
        <v>0</v>
      </c>
      <c r="D8252">
        <v>0.776809570339</v>
      </c>
      <c r="E8252">
        <v>5.1214392803598203</v>
      </c>
    </row>
    <row r="8253" spans="1:5">
      <c r="A8253" t="s">
        <v>9537</v>
      </c>
      <c r="B8253" t="s">
        <v>9543</v>
      </c>
      <c r="C8253">
        <v>0</v>
      </c>
      <c r="D8253">
        <v>0.776809570339</v>
      </c>
      <c r="E8253">
        <v>5.1214392803598203</v>
      </c>
    </row>
    <row r="8254" spans="1:5">
      <c r="A8254" t="s">
        <v>9544</v>
      </c>
      <c r="B8254" t="s">
        <v>9545</v>
      </c>
      <c r="C8254">
        <v>3.9171653950299999E-2</v>
      </c>
      <c r="D8254">
        <v>0.92379233802399996</v>
      </c>
      <c r="E8254">
        <v>11.7061469265367</v>
      </c>
    </row>
    <row r="8255" spans="1:5">
      <c r="A8255" t="s">
        <v>9544</v>
      </c>
      <c r="B8255" t="s">
        <v>9546</v>
      </c>
      <c r="C8255">
        <v>0.109930071308</v>
      </c>
      <c r="D8255">
        <v>0.92379233802399996</v>
      </c>
      <c r="E8255">
        <v>11.7061469265367</v>
      </c>
    </row>
    <row r="8256" spans="1:5">
      <c r="A8256" t="s">
        <v>9544</v>
      </c>
      <c r="B8256" t="s">
        <v>9547</v>
      </c>
      <c r="C8256">
        <f>0</f>
        <v>0</v>
      </c>
      <c r="D8256">
        <v>0.92379233802399996</v>
      </c>
      <c r="E8256">
        <v>11.7061469265367</v>
      </c>
    </row>
    <row r="8257" spans="1:5">
      <c r="A8257" t="s">
        <v>9544</v>
      </c>
      <c r="B8257" t="s">
        <v>9548</v>
      </c>
      <c r="C8257">
        <v>0</v>
      </c>
      <c r="D8257">
        <v>0.92379233802399996</v>
      </c>
      <c r="E8257">
        <v>11.7061469265367</v>
      </c>
    </row>
    <row r="8258" spans="1:5">
      <c r="A8258" t="s">
        <v>9544</v>
      </c>
      <c r="B8258" t="s">
        <v>9549</v>
      </c>
      <c r="C8258">
        <f>0</f>
        <v>0</v>
      </c>
      <c r="D8258">
        <v>0.92379233802399996</v>
      </c>
      <c r="E8258">
        <v>11.7061469265367</v>
      </c>
    </row>
    <row r="8259" spans="1:5">
      <c r="A8259" t="s">
        <v>9550</v>
      </c>
      <c r="B8259" t="s">
        <v>9551</v>
      </c>
      <c r="C8259">
        <v>0</v>
      </c>
      <c r="D8259" t="s">
        <v>106</v>
      </c>
      <c r="E8259">
        <v>22.800599700149899</v>
      </c>
    </row>
    <row r="8260" spans="1:5">
      <c r="A8260" t="s">
        <v>9550</v>
      </c>
      <c r="B8260" t="s">
        <v>9552</v>
      </c>
      <c r="C8260">
        <v>0</v>
      </c>
      <c r="D8260" t="s">
        <v>106</v>
      </c>
      <c r="E8260">
        <v>22.800599700149899</v>
      </c>
    </row>
    <row r="8261" spans="1:5">
      <c r="A8261" t="s">
        <v>9550</v>
      </c>
      <c r="B8261" t="s">
        <v>9553</v>
      </c>
      <c r="C8261">
        <v>0</v>
      </c>
      <c r="D8261" t="s">
        <v>106</v>
      </c>
      <c r="E8261">
        <v>22.800599700149899</v>
      </c>
    </row>
    <row r="8262" spans="1:5">
      <c r="A8262" t="s">
        <v>9550</v>
      </c>
      <c r="B8262" t="s">
        <v>9554</v>
      </c>
      <c r="C8262">
        <f>0</f>
        <v>0</v>
      </c>
      <c r="D8262" t="s">
        <v>106</v>
      </c>
      <c r="E8262">
        <v>22.800599700149899</v>
      </c>
    </row>
    <row r="8263" spans="1:5">
      <c r="A8263" t="s">
        <v>9550</v>
      </c>
      <c r="B8263" t="s">
        <v>9555</v>
      </c>
      <c r="C8263">
        <f>0</f>
        <v>0</v>
      </c>
      <c r="D8263" t="s">
        <v>106</v>
      </c>
      <c r="E8263">
        <v>22.800599700149899</v>
      </c>
    </row>
    <row r="8264" spans="1:5">
      <c r="A8264" t="s">
        <v>9550</v>
      </c>
      <c r="B8264" t="s">
        <v>9556</v>
      </c>
      <c r="C8264">
        <f>0</f>
        <v>0</v>
      </c>
      <c r="D8264" t="s">
        <v>106</v>
      </c>
      <c r="E8264">
        <v>22.800599700149899</v>
      </c>
    </row>
    <row r="8265" spans="1:5">
      <c r="A8265" t="s">
        <v>9550</v>
      </c>
      <c r="B8265" t="s">
        <v>9557</v>
      </c>
      <c r="C8265">
        <f>0</f>
        <v>0</v>
      </c>
      <c r="D8265" t="s">
        <v>106</v>
      </c>
      <c r="E8265">
        <v>22.800599700149899</v>
      </c>
    </row>
    <row r="8266" spans="1:5">
      <c r="A8266" t="s">
        <v>9550</v>
      </c>
      <c r="B8266" t="s">
        <v>9558</v>
      </c>
      <c r="C8266">
        <v>2.2643095701799999E-2</v>
      </c>
      <c r="D8266" t="s">
        <v>106</v>
      </c>
      <c r="E8266">
        <v>22.800599700149899</v>
      </c>
    </row>
    <row r="8267" spans="1:5">
      <c r="A8267" t="s">
        <v>9550</v>
      </c>
      <c r="B8267" t="s">
        <v>9559</v>
      </c>
      <c r="C8267">
        <v>0</v>
      </c>
      <c r="D8267" t="s">
        <v>106</v>
      </c>
      <c r="E8267">
        <v>22.800599700149899</v>
      </c>
    </row>
    <row r="8268" spans="1:5">
      <c r="A8268" t="s">
        <v>9560</v>
      </c>
      <c r="B8268" t="s">
        <v>9561</v>
      </c>
      <c r="C8268">
        <f>0</f>
        <v>0</v>
      </c>
      <c r="D8268">
        <v>0.96807424127499997</v>
      </c>
      <c r="E8268">
        <v>24</v>
      </c>
    </row>
    <row r="8269" spans="1:5">
      <c r="A8269" t="s">
        <v>9560</v>
      </c>
      <c r="B8269" t="s">
        <v>9562</v>
      </c>
      <c r="C8269">
        <f>0</f>
        <v>0</v>
      </c>
      <c r="D8269">
        <v>0.96807424127499997</v>
      </c>
      <c r="E8269">
        <v>24</v>
      </c>
    </row>
    <row r="8270" spans="1:5">
      <c r="A8270" t="s">
        <v>9560</v>
      </c>
      <c r="B8270" t="s">
        <v>9563</v>
      </c>
      <c r="C8270">
        <v>2.1905619036599999E-3</v>
      </c>
      <c r="D8270">
        <v>0.96807424127499997</v>
      </c>
      <c r="E8270">
        <v>24</v>
      </c>
    </row>
    <row r="8271" spans="1:5">
      <c r="A8271" t="s">
        <v>9564</v>
      </c>
      <c r="B8271" t="s">
        <v>9565</v>
      </c>
      <c r="C8271">
        <v>0</v>
      </c>
      <c r="D8271" t="s">
        <v>106</v>
      </c>
      <c r="E8271">
        <v>5.4692653673163401</v>
      </c>
    </row>
    <row r="8272" spans="1:5">
      <c r="A8272" t="s">
        <v>9564</v>
      </c>
      <c r="B8272" t="s">
        <v>9566</v>
      </c>
      <c r="C8272">
        <f>0</f>
        <v>0</v>
      </c>
      <c r="D8272" t="s">
        <v>106</v>
      </c>
      <c r="E8272">
        <v>5.4692653673163401</v>
      </c>
    </row>
    <row r="8273" spans="1:5">
      <c r="A8273" t="s">
        <v>9567</v>
      </c>
      <c r="B8273" t="s">
        <v>9568</v>
      </c>
      <c r="C8273">
        <v>0</v>
      </c>
      <c r="D8273">
        <v>0.93309201241399997</v>
      </c>
      <c r="E8273">
        <v>21.637181409295302</v>
      </c>
    </row>
    <row r="8274" spans="1:5">
      <c r="A8274" t="s">
        <v>9567</v>
      </c>
      <c r="B8274" t="s">
        <v>9569</v>
      </c>
      <c r="C8274">
        <f>0</f>
        <v>0</v>
      </c>
      <c r="D8274">
        <v>0.93309201241399997</v>
      </c>
      <c r="E8274">
        <v>21.637181409295302</v>
      </c>
    </row>
    <row r="8275" spans="1:5">
      <c r="A8275" t="s">
        <v>9567</v>
      </c>
      <c r="B8275" t="s">
        <v>9570</v>
      </c>
      <c r="C8275">
        <v>7.1554550244499998E-2</v>
      </c>
      <c r="D8275">
        <v>0.93309201241399997</v>
      </c>
      <c r="E8275">
        <v>21.637181409295302</v>
      </c>
    </row>
    <row r="8276" spans="1:5">
      <c r="A8276" t="s">
        <v>9567</v>
      </c>
      <c r="B8276" t="s">
        <v>9571</v>
      </c>
      <c r="C8276">
        <f>0.00359366823871</f>
        <v>3.5936682387100001E-3</v>
      </c>
      <c r="D8276">
        <v>0.93309201241399997</v>
      </c>
      <c r="E8276">
        <v>21.637181409295302</v>
      </c>
    </row>
    <row r="8277" spans="1:5">
      <c r="A8277" t="s">
        <v>9567</v>
      </c>
      <c r="B8277" t="s">
        <v>9572</v>
      </c>
      <c r="C8277">
        <v>0</v>
      </c>
      <c r="D8277">
        <v>0.93309201241399997</v>
      </c>
      <c r="E8277">
        <v>21.637181409295302</v>
      </c>
    </row>
    <row r="8278" spans="1:5">
      <c r="A8278" t="s">
        <v>9567</v>
      </c>
      <c r="B8278" t="s">
        <v>9573</v>
      </c>
      <c r="C8278">
        <v>0</v>
      </c>
      <c r="D8278">
        <v>0.93309201241399997</v>
      </c>
      <c r="E8278">
        <v>21.637181409295302</v>
      </c>
    </row>
    <row r="8279" spans="1:5">
      <c r="A8279" t="s">
        <v>9567</v>
      </c>
      <c r="B8279" t="s">
        <v>9574</v>
      </c>
      <c r="C8279">
        <v>0</v>
      </c>
      <c r="D8279">
        <v>0.93309201241399997</v>
      </c>
      <c r="E8279">
        <v>21.637181409295302</v>
      </c>
    </row>
    <row r="8280" spans="1:5">
      <c r="A8280" t="s">
        <v>9567</v>
      </c>
      <c r="B8280" t="s">
        <v>9575</v>
      </c>
      <c r="C8280">
        <v>0</v>
      </c>
      <c r="D8280">
        <v>0.93309201241399997</v>
      </c>
      <c r="E8280">
        <v>21.637181409295302</v>
      </c>
    </row>
    <row r="8281" spans="1:5">
      <c r="A8281" t="s">
        <v>9576</v>
      </c>
      <c r="B8281" t="s">
        <v>9577</v>
      </c>
      <c r="C8281">
        <f>0</f>
        <v>0</v>
      </c>
      <c r="D8281" t="s">
        <v>106</v>
      </c>
      <c r="E8281">
        <v>1.6911544227886</v>
      </c>
    </row>
    <row r="8282" spans="1:5">
      <c r="A8282" t="s">
        <v>9578</v>
      </c>
      <c r="B8282" t="s">
        <v>9579</v>
      </c>
      <c r="C8282">
        <v>0</v>
      </c>
      <c r="D8282">
        <v>0.848772360517</v>
      </c>
      <c r="E8282">
        <v>2.4707646176911502</v>
      </c>
    </row>
    <row r="8283" spans="1:5">
      <c r="A8283" t="s">
        <v>9578</v>
      </c>
      <c r="B8283" t="s">
        <v>9580</v>
      </c>
      <c r="C8283">
        <f>0</f>
        <v>0</v>
      </c>
      <c r="D8283">
        <v>0.848772360517</v>
      </c>
      <c r="E8283">
        <v>2.4707646176911502</v>
      </c>
    </row>
    <row r="8284" spans="1:5">
      <c r="A8284" t="s">
        <v>9578</v>
      </c>
      <c r="B8284" t="s">
        <v>9581</v>
      </c>
      <c r="C8284">
        <v>0.190804344747</v>
      </c>
      <c r="D8284">
        <v>0.848772360517</v>
      </c>
      <c r="E8284">
        <v>2.4707646176911502</v>
      </c>
    </row>
    <row r="8285" spans="1:5">
      <c r="A8285" t="s">
        <v>9578</v>
      </c>
      <c r="B8285" t="s">
        <v>9582</v>
      </c>
      <c r="C8285">
        <v>0</v>
      </c>
      <c r="D8285">
        <v>0.848772360517</v>
      </c>
      <c r="E8285">
        <v>2.4707646176911502</v>
      </c>
    </row>
    <row r="8286" spans="1:5">
      <c r="A8286" t="s">
        <v>9578</v>
      </c>
      <c r="B8286" t="s">
        <v>9583</v>
      </c>
      <c r="C8286">
        <v>0</v>
      </c>
      <c r="D8286">
        <v>0.848772360517</v>
      </c>
      <c r="E8286">
        <v>2.4707646176911502</v>
      </c>
    </row>
    <row r="8287" spans="1:5">
      <c r="A8287" t="s">
        <v>9578</v>
      </c>
      <c r="B8287" t="s">
        <v>9584</v>
      </c>
      <c r="C8287">
        <f>0</f>
        <v>0</v>
      </c>
      <c r="D8287">
        <v>0.848772360517</v>
      </c>
      <c r="E8287">
        <v>2.4707646176911502</v>
      </c>
    </row>
    <row r="8288" spans="1:5">
      <c r="A8288" t="s">
        <v>9578</v>
      </c>
      <c r="B8288" t="s">
        <v>9585</v>
      </c>
      <c r="C8288">
        <v>0</v>
      </c>
      <c r="D8288">
        <v>0.848772360517</v>
      </c>
      <c r="E8288">
        <v>2.4707646176911502</v>
      </c>
    </row>
    <row r="8289" spans="1:5">
      <c r="A8289" t="s">
        <v>9586</v>
      </c>
      <c r="B8289" t="s">
        <v>9587</v>
      </c>
      <c r="C8289">
        <v>0.53916587548499995</v>
      </c>
      <c r="D8289" t="s">
        <v>106</v>
      </c>
      <c r="E8289">
        <v>3.5862068965517202</v>
      </c>
    </row>
    <row r="8290" spans="1:5">
      <c r="A8290" t="s">
        <v>9586</v>
      </c>
      <c r="B8290" t="s">
        <v>9588</v>
      </c>
      <c r="C8290">
        <v>0</v>
      </c>
      <c r="D8290" t="s">
        <v>106</v>
      </c>
      <c r="E8290">
        <v>3.5862068965517202</v>
      </c>
    </row>
    <row r="8291" spans="1:5">
      <c r="A8291" t="s">
        <v>9586</v>
      </c>
      <c r="B8291" t="s">
        <v>9589</v>
      </c>
      <c r="C8291">
        <f>0</f>
        <v>0</v>
      </c>
      <c r="D8291" t="s">
        <v>106</v>
      </c>
      <c r="E8291">
        <v>3.5862068965517202</v>
      </c>
    </row>
    <row r="8292" spans="1:5">
      <c r="A8292" t="s">
        <v>9586</v>
      </c>
      <c r="B8292" t="s">
        <v>9590</v>
      </c>
      <c r="C8292">
        <f>0.268351581724</f>
        <v>0.26835158172399998</v>
      </c>
      <c r="D8292" t="s">
        <v>106</v>
      </c>
      <c r="E8292">
        <v>3.5862068965517202</v>
      </c>
    </row>
    <row r="8293" spans="1:5">
      <c r="A8293" t="s">
        <v>9591</v>
      </c>
      <c r="B8293" t="s">
        <v>9592</v>
      </c>
      <c r="C8293">
        <f>0</f>
        <v>0</v>
      </c>
      <c r="D8293">
        <v>0.98970530075300001</v>
      </c>
      <c r="E8293">
        <v>0.28785607196401702</v>
      </c>
    </row>
    <row r="8294" spans="1:5">
      <c r="A8294" t="s">
        <v>9591</v>
      </c>
      <c r="B8294" t="s">
        <v>9593</v>
      </c>
      <c r="C8294">
        <f>0</f>
        <v>0</v>
      </c>
      <c r="D8294">
        <v>0.98970530075300001</v>
      </c>
      <c r="E8294">
        <v>0.28785607196401702</v>
      </c>
    </row>
    <row r="8295" spans="1:5">
      <c r="A8295" t="s">
        <v>9591</v>
      </c>
      <c r="B8295" t="s">
        <v>9594</v>
      </c>
      <c r="C8295">
        <f>0</f>
        <v>0</v>
      </c>
      <c r="D8295">
        <v>0.98970530075300001</v>
      </c>
      <c r="E8295">
        <v>0.28785607196401702</v>
      </c>
    </row>
    <row r="8296" spans="1:5">
      <c r="A8296" t="s">
        <v>9591</v>
      </c>
      <c r="B8296" t="s">
        <v>9595</v>
      </c>
      <c r="C8296">
        <v>0.53407252265000005</v>
      </c>
      <c r="D8296">
        <v>0.98970530075300001</v>
      </c>
      <c r="E8296">
        <v>0.28785607196401702</v>
      </c>
    </row>
    <row r="8297" spans="1:5">
      <c r="A8297" t="s">
        <v>9591</v>
      </c>
      <c r="B8297" t="s">
        <v>9596</v>
      </c>
      <c r="C8297">
        <f>0</f>
        <v>0</v>
      </c>
      <c r="D8297">
        <v>0.98970530075300001</v>
      </c>
      <c r="E8297">
        <v>0.28785607196401702</v>
      </c>
    </row>
    <row r="8298" spans="1:5">
      <c r="A8298" t="s">
        <v>9591</v>
      </c>
      <c r="B8298" t="s">
        <v>9597</v>
      </c>
      <c r="C8298">
        <f>0.0606387841581</f>
        <v>6.0638784158099999E-2</v>
      </c>
      <c r="D8298">
        <v>0.98970530075300001</v>
      </c>
      <c r="E8298">
        <v>0.28785607196401702</v>
      </c>
    </row>
    <row r="8299" spans="1:5">
      <c r="A8299" t="s">
        <v>9591</v>
      </c>
      <c r="B8299" t="s">
        <v>9598</v>
      </c>
      <c r="C8299">
        <f>0</f>
        <v>0</v>
      </c>
      <c r="D8299">
        <v>0.98970530075300001</v>
      </c>
      <c r="E8299">
        <v>0.28785607196401702</v>
      </c>
    </row>
    <row r="8300" spans="1:5">
      <c r="A8300" t="s">
        <v>9591</v>
      </c>
      <c r="B8300" t="s">
        <v>9599</v>
      </c>
      <c r="C8300">
        <f>0</f>
        <v>0</v>
      </c>
      <c r="D8300">
        <v>0.98970530075300001</v>
      </c>
      <c r="E8300">
        <v>0.28785607196401702</v>
      </c>
    </row>
    <row r="8301" spans="1:5">
      <c r="A8301" t="s">
        <v>9600</v>
      </c>
      <c r="B8301" t="s">
        <v>9601</v>
      </c>
      <c r="C8301">
        <f>0</f>
        <v>0</v>
      </c>
      <c r="D8301">
        <v>0.417231363528</v>
      </c>
      <c r="E8301">
        <v>2.0269865067466202</v>
      </c>
    </row>
    <row r="8302" spans="1:5">
      <c r="A8302" t="s">
        <v>9600</v>
      </c>
      <c r="B8302" t="s">
        <v>9602</v>
      </c>
      <c r="C8302">
        <f>0.0292687388383</f>
        <v>2.9268738838300001E-2</v>
      </c>
      <c r="D8302">
        <v>0.417231363528</v>
      </c>
      <c r="E8302">
        <v>2.0269865067466202</v>
      </c>
    </row>
    <row r="8303" spans="1:5">
      <c r="A8303" t="s">
        <v>9603</v>
      </c>
      <c r="B8303" t="s">
        <v>9604</v>
      </c>
      <c r="C8303">
        <f>0</f>
        <v>0</v>
      </c>
      <c r="D8303">
        <v>0.84732392337100004</v>
      </c>
      <c r="E8303">
        <v>24</v>
      </c>
    </row>
    <row r="8304" spans="1:5">
      <c r="A8304" t="s">
        <v>9605</v>
      </c>
      <c r="B8304" t="s">
        <v>9606</v>
      </c>
      <c r="C8304">
        <f>0</f>
        <v>0</v>
      </c>
      <c r="D8304" t="s">
        <v>106</v>
      </c>
      <c r="E8304">
        <v>23.040479760119901</v>
      </c>
    </row>
    <row r="8305" spans="1:5">
      <c r="A8305" t="s">
        <v>9605</v>
      </c>
      <c r="B8305" t="s">
        <v>9607</v>
      </c>
      <c r="C8305">
        <f>0</f>
        <v>0</v>
      </c>
      <c r="D8305" t="s">
        <v>106</v>
      </c>
      <c r="E8305">
        <v>23.040479760119901</v>
      </c>
    </row>
    <row r="8306" spans="1:5">
      <c r="A8306" t="s">
        <v>9605</v>
      </c>
      <c r="B8306" t="s">
        <v>9608</v>
      </c>
      <c r="C8306">
        <f>0</f>
        <v>0</v>
      </c>
      <c r="D8306" t="s">
        <v>106</v>
      </c>
      <c r="E8306">
        <v>23.040479760119901</v>
      </c>
    </row>
    <row r="8307" spans="1:5">
      <c r="A8307" t="s">
        <v>9605</v>
      </c>
      <c r="B8307" t="s">
        <v>9609</v>
      </c>
      <c r="C8307">
        <f>0</f>
        <v>0</v>
      </c>
      <c r="D8307" t="s">
        <v>106</v>
      </c>
      <c r="E8307">
        <v>23.040479760119901</v>
      </c>
    </row>
    <row r="8308" spans="1:5">
      <c r="A8308" t="s">
        <v>9605</v>
      </c>
      <c r="B8308" t="s">
        <v>9610</v>
      </c>
      <c r="C8308">
        <f>0</f>
        <v>0</v>
      </c>
      <c r="D8308" t="s">
        <v>106</v>
      </c>
      <c r="E8308">
        <v>23.040479760119901</v>
      </c>
    </row>
    <row r="8309" spans="1:5">
      <c r="A8309" t="s">
        <v>9605</v>
      </c>
      <c r="B8309" t="s">
        <v>9611</v>
      </c>
      <c r="C8309">
        <f>0</f>
        <v>0</v>
      </c>
      <c r="D8309" t="s">
        <v>106</v>
      </c>
      <c r="E8309">
        <v>23.040479760119901</v>
      </c>
    </row>
    <row r="8310" spans="1:5">
      <c r="A8310" t="s">
        <v>9605</v>
      </c>
      <c r="B8310" t="s">
        <v>9612</v>
      </c>
      <c r="C8310">
        <f>0</f>
        <v>0</v>
      </c>
      <c r="D8310" t="s">
        <v>106</v>
      </c>
      <c r="E8310">
        <v>23.040479760119901</v>
      </c>
    </row>
    <row r="8311" spans="1:5">
      <c r="A8311" t="s">
        <v>9613</v>
      </c>
      <c r="B8311" t="s">
        <v>9614</v>
      </c>
      <c r="C8311">
        <v>0</v>
      </c>
      <c r="D8311">
        <v>0.99291595711500003</v>
      </c>
      <c r="E8311">
        <v>4.68965517241379</v>
      </c>
    </row>
    <row r="8312" spans="1:5">
      <c r="A8312" t="s">
        <v>9613</v>
      </c>
      <c r="B8312" t="s">
        <v>9615</v>
      </c>
      <c r="C8312">
        <f>0</f>
        <v>0</v>
      </c>
      <c r="D8312">
        <v>0.99291595711500003</v>
      </c>
      <c r="E8312">
        <v>4.68965517241379</v>
      </c>
    </row>
    <row r="8313" spans="1:5">
      <c r="A8313" t="s">
        <v>9613</v>
      </c>
      <c r="B8313" t="s">
        <v>9616</v>
      </c>
      <c r="C8313">
        <f>0</f>
        <v>0</v>
      </c>
      <c r="D8313">
        <v>0.99291595711500003</v>
      </c>
      <c r="E8313">
        <v>4.68965517241379</v>
      </c>
    </row>
    <row r="8314" spans="1:5">
      <c r="A8314" t="s">
        <v>9617</v>
      </c>
      <c r="B8314" t="s">
        <v>9618</v>
      </c>
      <c r="C8314">
        <v>0.42924029190099999</v>
      </c>
      <c r="D8314">
        <v>0.82075165107500003</v>
      </c>
      <c r="E8314">
        <v>11.5382308845577</v>
      </c>
    </row>
    <row r="8315" spans="1:5">
      <c r="A8315" t="s">
        <v>9619</v>
      </c>
      <c r="B8315" t="s">
        <v>9620</v>
      </c>
      <c r="C8315">
        <f>0.0385986945951</f>
        <v>3.85986945951E-2</v>
      </c>
      <c r="D8315">
        <v>0.98675592289199998</v>
      </c>
      <c r="E8315">
        <v>2.0269865067466202</v>
      </c>
    </row>
    <row r="8316" spans="1:5">
      <c r="A8316" t="s">
        <v>9619</v>
      </c>
      <c r="B8316" t="s">
        <v>9621</v>
      </c>
      <c r="C8316">
        <v>0.81959923889800002</v>
      </c>
      <c r="D8316">
        <v>0.98675592289199998</v>
      </c>
      <c r="E8316">
        <v>2.0269865067466202</v>
      </c>
    </row>
    <row r="8317" spans="1:5">
      <c r="A8317" t="s">
        <v>9619</v>
      </c>
      <c r="B8317" t="s">
        <v>9622</v>
      </c>
      <c r="C8317">
        <f>0</f>
        <v>0</v>
      </c>
      <c r="D8317">
        <v>0.98675592289199998</v>
      </c>
      <c r="E8317">
        <v>2.0269865067466202</v>
      </c>
    </row>
    <row r="8318" spans="1:5">
      <c r="A8318" t="s">
        <v>9623</v>
      </c>
      <c r="B8318" t="s">
        <v>9624</v>
      </c>
      <c r="C8318">
        <f>0</f>
        <v>0</v>
      </c>
      <c r="D8318">
        <v>0.99383430891500002</v>
      </c>
      <c r="E8318">
        <v>6.2968515742128899</v>
      </c>
    </row>
    <row r="8319" spans="1:5">
      <c r="A8319" t="s">
        <v>9623</v>
      </c>
      <c r="B8319" t="s">
        <v>9625</v>
      </c>
      <c r="C8319">
        <f>0</f>
        <v>0</v>
      </c>
      <c r="D8319">
        <v>0.99383430891500002</v>
      </c>
      <c r="E8319">
        <v>6.2968515742128899</v>
      </c>
    </row>
    <row r="8320" spans="1:5">
      <c r="A8320" t="s">
        <v>9623</v>
      </c>
      <c r="B8320" t="s">
        <v>9626</v>
      </c>
      <c r="C8320">
        <v>0</v>
      </c>
      <c r="D8320">
        <v>0.99383430891500002</v>
      </c>
      <c r="E8320">
        <v>6.2968515742128899</v>
      </c>
    </row>
    <row r="8321" spans="1:5">
      <c r="A8321" t="s">
        <v>9623</v>
      </c>
      <c r="B8321" t="s">
        <v>9627</v>
      </c>
      <c r="C8321">
        <v>0</v>
      </c>
      <c r="D8321">
        <v>0.99383430891500002</v>
      </c>
      <c r="E8321">
        <v>6.2968515742128899</v>
      </c>
    </row>
    <row r="8322" spans="1:5">
      <c r="A8322" t="s">
        <v>9623</v>
      </c>
      <c r="B8322" t="s">
        <v>9628</v>
      </c>
      <c r="C8322">
        <v>0</v>
      </c>
      <c r="D8322">
        <v>0.99383430891500002</v>
      </c>
      <c r="E8322">
        <v>6.2968515742128899</v>
      </c>
    </row>
    <row r="8323" spans="1:5">
      <c r="A8323" t="s">
        <v>9629</v>
      </c>
      <c r="B8323" t="s">
        <v>9630</v>
      </c>
      <c r="C8323">
        <f>0</f>
        <v>0</v>
      </c>
      <c r="D8323">
        <v>0.943475423486</v>
      </c>
      <c r="E8323">
        <v>13.2653673163418</v>
      </c>
    </row>
    <row r="8324" spans="1:5">
      <c r="A8324" t="s">
        <v>9629</v>
      </c>
      <c r="B8324" t="s">
        <v>9631</v>
      </c>
      <c r="C8324">
        <f>0.0903384140667</f>
        <v>9.0338414066699999E-2</v>
      </c>
      <c r="D8324">
        <v>0.943475423486</v>
      </c>
      <c r="E8324">
        <v>13.2653673163418</v>
      </c>
    </row>
    <row r="8325" spans="1:5">
      <c r="A8325" t="s">
        <v>9629</v>
      </c>
      <c r="B8325" t="s">
        <v>9632</v>
      </c>
      <c r="C8325">
        <f>0</f>
        <v>0</v>
      </c>
      <c r="D8325">
        <v>0.943475423486</v>
      </c>
      <c r="E8325">
        <v>13.2653673163418</v>
      </c>
    </row>
    <row r="8326" spans="1:5">
      <c r="A8326" t="s">
        <v>9629</v>
      </c>
      <c r="B8326" t="s">
        <v>9633</v>
      </c>
      <c r="C8326">
        <f>0</f>
        <v>0</v>
      </c>
      <c r="D8326">
        <v>0.943475423486</v>
      </c>
      <c r="E8326">
        <v>13.2653673163418</v>
      </c>
    </row>
    <row r="8327" spans="1:5">
      <c r="A8327" t="s">
        <v>9629</v>
      </c>
      <c r="B8327" t="s">
        <v>9634</v>
      </c>
      <c r="C8327">
        <v>0</v>
      </c>
      <c r="D8327">
        <v>0.943475423486</v>
      </c>
      <c r="E8327">
        <v>13.2653673163418</v>
      </c>
    </row>
    <row r="8328" spans="1:5">
      <c r="A8328" t="s">
        <v>9629</v>
      </c>
      <c r="B8328" t="s">
        <v>9635</v>
      </c>
      <c r="C8328">
        <v>0</v>
      </c>
      <c r="D8328">
        <v>0.943475423486</v>
      </c>
      <c r="E8328">
        <v>13.2653673163418</v>
      </c>
    </row>
    <row r="8329" spans="1:5">
      <c r="A8329" t="s">
        <v>9636</v>
      </c>
      <c r="B8329" t="s">
        <v>9637</v>
      </c>
      <c r="C8329">
        <f>0</f>
        <v>0</v>
      </c>
      <c r="D8329">
        <v>0.89558194404699998</v>
      </c>
      <c r="E8329">
        <v>3.13043478260869</v>
      </c>
    </row>
    <row r="8330" spans="1:5">
      <c r="A8330" t="s">
        <v>9636</v>
      </c>
      <c r="B8330" t="s">
        <v>9638</v>
      </c>
      <c r="C8330">
        <v>0</v>
      </c>
      <c r="D8330">
        <v>0.89558194404699998</v>
      </c>
      <c r="E8330">
        <v>3.13043478260869</v>
      </c>
    </row>
    <row r="8331" spans="1:5">
      <c r="A8331" t="s">
        <v>9636</v>
      </c>
      <c r="B8331" t="s">
        <v>9639</v>
      </c>
      <c r="C8331">
        <v>0</v>
      </c>
      <c r="D8331">
        <v>0.89558194404699998</v>
      </c>
      <c r="E8331">
        <v>3.13043478260869</v>
      </c>
    </row>
    <row r="8332" spans="1:5">
      <c r="A8332" t="s">
        <v>9636</v>
      </c>
      <c r="B8332" t="s">
        <v>9640</v>
      </c>
      <c r="C8332">
        <f>0.0617649813243</f>
        <v>6.17649813243E-2</v>
      </c>
      <c r="D8332">
        <v>0.89558194404699998</v>
      </c>
      <c r="E8332">
        <v>3.13043478260869</v>
      </c>
    </row>
    <row r="8333" spans="1:5">
      <c r="A8333" t="s">
        <v>9636</v>
      </c>
      <c r="B8333" t="s">
        <v>9641</v>
      </c>
      <c r="C8333">
        <v>0</v>
      </c>
      <c r="D8333">
        <v>0.89558194404699998</v>
      </c>
      <c r="E8333">
        <v>3.13043478260869</v>
      </c>
    </row>
    <row r="8334" spans="1:5">
      <c r="A8334" t="s">
        <v>9636</v>
      </c>
      <c r="B8334" t="s">
        <v>9642</v>
      </c>
      <c r="C8334">
        <f>0</f>
        <v>0</v>
      </c>
      <c r="D8334">
        <v>0.89558194404699998</v>
      </c>
      <c r="E8334">
        <v>3.13043478260869</v>
      </c>
    </row>
    <row r="8335" spans="1:5">
      <c r="A8335" t="s">
        <v>9636</v>
      </c>
      <c r="B8335" t="s">
        <v>9643</v>
      </c>
      <c r="C8335">
        <f>0</f>
        <v>0</v>
      </c>
      <c r="D8335">
        <v>0.89558194404699998</v>
      </c>
      <c r="E8335">
        <v>3.13043478260869</v>
      </c>
    </row>
    <row r="8336" spans="1:5">
      <c r="A8336" t="s">
        <v>9636</v>
      </c>
      <c r="B8336" t="s">
        <v>9644</v>
      </c>
      <c r="C8336">
        <v>0</v>
      </c>
      <c r="D8336">
        <v>0.89558194404699998</v>
      </c>
      <c r="E8336">
        <v>3.13043478260869</v>
      </c>
    </row>
    <row r="8337" spans="1:5">
      <c r="A8337" t="s">
        <v>9636</v>
      </c>
      <c r="B8337" t="s">
        <v>9645</v>
      </c>
      <c r="C8337">
        <f>0</f>
        <v>0</v>
      </c>
      <c r="D8337">
        <v>0.89558194404699998</v>
      </c>
      <c r="E8337">
        <v>3.13043478260869</v>
      </c>
    </row>
    <row r="8338" spans="1:5">
      <c r="A8338" t="s">
        <v>9646</v>
      </c>
      <c r="B8338" t="s">
        <v>9647</v>
      </c>
      <c r="C8338">
        <v>0</v>
      </c>
      <c r="D8338" t="s">
        <v>106</v>
      </c>
      <c r="E8338">
        <v>6.0569715142428704</v>
      </c>
    </row>
    <row r="8339" spans="1:5">
      <c r="A8339" t="s">
        <v>9646</v>
      </c>
      <c r="B8339" t="s">
        <v>9648</v>
      </c>
      <c r="C8339">
        <f>0</f>
        <v>0</v>
      </c>
      <c r="D8339" t="s">
        <v>106</v>
      </c>
      <c r="E8339">
        <v>6.0569715142428704</v>
      </c>
    </row>
    <row r="8340" spans="1:5">
      <c r="A8340" t="s">
        <v>9646</v>
      </c>
      <c r="B8340" t="s">
        <v>9649</v>
      </c>
      <c r="C8340">
        <v>0</v>
      </c>
      <c r="D8340" t="s">
        <v>106</v>
      </c>
      <c r="E8340">
        <v>6.0569715142428704</v>
      </c>
    </row>
    <row r="8341" spans="1:5">
      <c r="A8341" t="s">
        <v>9646</v>
      </c>
      <c r="B8341" t="s">
        <v>9650</v>
      </c>
      <c r="C8341">
        <f>0.565420790409</f>
        <v>0.56542079040899995</v>
      </c>
      <c r="D8341" t="s">
        <v>106</v>
      </c>
      <c r="E8341">
        <v>6.0569715142428704</v>
      </c>
    </row>
    <row r="8342" spans="1:5">
      <c r="A8342" t="s">
        <v>9646</v>
      </c>
      <c r="B8342" t="s">
        <v>9651</v>
      </c>
      <c r="C8342">
        <f>0</f>
        <v>0</v>
      </c>
      <c r="D8342" t="s">
        <v>106</v>
      </c>
      <c r="E8342">
        <v>6.0569715142428704</v>
      </c>
    </row>
    <row r="8343" spans="1:5">
      <c r="A8343" t="s">
        <v>9652</v>
      </c>
      <c r="B8343" t="s">
        <v>9653</v>
      </c>
      <c r="C8343">
        <v>0</v>
      </c>
      <c r="D8343">
        <v>0.99443876586199997</v>
      </c>
      <c r="E8343">
        <v>8.7196401799100407</v>
      </c>
    </row>
    <row r="8344" spans="1:5">
      <c r="A8344" t="s">
        <v>9652</v>
      </c>
      <c r="B8344" t="s">
        <v>9654</v>
      </c>
      <c r="C8344">
        <f>0</f>
        <v>0</v>
      </c>
      <c r="D8344">
        <v>0.99443876586199997</v>
      </c>
      <c r="E8344">
        <v>8.7196401799100407</v>
      </c>
    </row>
    <row r="8345" spans="1:5">
      <c r="A8345" t="s">
        <v>9652</v>
      </c>
      <c r="B8345" t="s">
        <v>9655</v>
      </c>
      <c r="C8345">
        <f>0</f>
        <v>0</v>
      </c>
      <c r="D8345">
        <v>0.99443876586199997</v>
      </c>
      <c r="E8345">
        <v>8.7196401799100407</v>
      </c>
    </row>
    <row r="8346" spans="1:5">
      <c r="A8346" t="s">
        <v>9652</v>
      </c>
      <c r="B8346" t="s">
        <v>9656</v>
      </c>
      <c r="C8346">
        <v>7.1608305249200005E-2</v>
      </c>
      <c r="D8346">
        <v>0.99443876586199997</v>
      </c>
      <c r="E8346">
        <v>8.7196401799100407</v>
      </c>
    </row>
    <row r="8347" spans="1:5">
      <c r="A8347" t="s">
        <v>9652</v>
      </c>
      <c r="B8347" t="s">
        <v>9657</v>
      </c>
      <c r="C8347">
        <f>0</f>
        <v>0</v>
      </c>
      <c r="D8347">
        <v>0.99443876586199997</v>
      </c>
      <c r="E8347">
        <v>8.7196401799100407</v>
      </c>
    </row>
    <row r="8348" spans="1:5">
      <c r="A8348" t="s">
        <v>9652</v>
      </c>
      <c r="B8348" t="s">
        <v>9658</v>
      </c>
      <c r="C8348">
        <f>0</f>
        <v>0</v>
      </c>
      <c r="D8348">
        <v>0.99443876586199997</v>
      </c>
      <c r="E8348">
        <v>8.7196401799100407</v>
      </c>
    </row>
    <row r="8349" spans="1:5">
      <c r="A8349" t="s">
        <v>9652</v>
      </c>
      <c r="B8349" t="s">
        <v>9659</v>
      </c>
      <c r="C8349">
        <f>0</f>
        <v>0</v>
      </c>
      <c r="D8349">
        <v>0.99443876586199997</v>
      </c>
      <c r="E8349">
        <v>8.7196401799100407</v>
      </c>
    </row>
    <row r="8350" spans="1:5">
      <c r="A8350" t="s">
        <v>9652</v>
      </c>
      <c r="B8350" t="s">
        <v>9660</v>
      </c>
      <c r="C8350">
        <f>0.10603759735</f>
        <v>0.10603759735</v>
      </c>
      <c r="D8350">
        <v>0.99443876586199997</v>
      </c>
      <c r="E8350">
        <v>8.7196401799100407</v>
      </c>
    </row>
    <row r="8351" spans="1:5">
      <c r="A8351" t="s">
        <v>9652</v>
      </c>
      <c r="B8351" t="s">
        <v>9661</v>
      </c>
      <c r="C8351">
        <v>0</v>
      </c>
      <c r="D8351">
        <v>0.99443876586199997</v>
      </c>
      <c r="E8351">
        <v>8.7196401799100407</v>
      </c>
    </row>
    <row r="8352" spans="1:5">
      <c r="A8352" t="s">
        <v>9652</v>
      </c>
      <c r="B8352" t="s">
        <v>9662</v>
      </c>
      <c r="C8352">
        <f>0</f>
        <v>0</v>
      </c>
      <c r="D8352">
        <v>0.99443876586199997</v>
      </c>
      <c r="E8352">
        <v>8.7196401799100407</v>
      </c>
    </row>
    <row r="8353" spans="1:5">
      <c r="A8353" t="s">
        <v>9663</v>
      </c>
      <c r="B8353" t="s">
        <v>9664</v>
      </c>
      <c r="C8353">
        <f>0</f>
        <v>0</v>
      </c>
      <c r="D8353" t="s">
        <v>106</v>
      </c>
      <c r="E8353">
        <v>5.9370314842578704</v>
      </c>
    </row>
    <row r="8354" spans="1:5">
      <c r="A8354" t="s">
        <v>9663</v>
      </c>
      <c r="B8354" t="s">
        <v>9665</v>
      </c>
      <c r="C8354">
        <f>0</f>
        <v>0</v>
      </c>
      <c r="D8354" t="s">
        <v>106</v>
      </c>
      <c r="E8354">
        <v>5.9370314842578704</v>
      </c>
    </row>
    <row r="8355" spans="1:5">
      <c r="A8355" t="s">
        <v>9663</v>
      </c>
      <c r="B8355" t="s">
        <v>9666</v>
      </c>
      <c r="C8355">
        <f>0</f>
        <v>0</v>
      </c>
      <c r="D8355" t="s">
        <v>106</v>
      </c>
      <c r="E8355">
        <v>5.9370314842578704</v>
      </c>
    </row>
    <row r="8356" spans="1:5">
      <c r="A8356" t="s">
        <v>9663</v>
      </c>
      <c r="B8356" t="s">
        <v>9667</v>
      </c>
      <c r="C8356">
        <v>0</v>
      </c>
      <c r="D8356" t="s">
        <v>106</v>
      </c>
      <c r="E8356">
        <v>5.9370314842578704</v>
      </c>
    </row>
    <row r="8357" spans="1:5">
      <c r="A8357" t="s">
        <v>9663</v>
      </c>
      <c r="B8357" t="s">
        <v>9668</v>
      </c>
      <c r="C8357">
        <f>0</f>
        <v>0</v>
      </c>
      <c r="D8357" t="s">
        <v>106</v>
      </c>
      <c r="E8357">
        <v>5.9370314842578704</v>
      </c>
    </row>
    <row r="8358" spans="1:5">
      <c r="A8358" t="s">
        <v>9663</v>
      </c>
      <c r="B8358" t="s">
        <v>9669</v>
      </c>
      <c r="C8358">
        <v>0</v>
      </c>
      <c r="D8358" t="s">
        <v>106</v>
      </c>
      <c r="E8358">
        <v>5.9370314842578704</v>
      </c>
    </row>
    <row r="8359" spans="1:5">
      <c r="A8359" t="s">
        <v>9663</v>
      </c>
      <c r="B8359" t="s">
        <v>9670</v>
      </c>
      <c r="C8359">
        <f>0</f>
        <v>0</v>
      </c>
      <c r="D8359" t="s">
        <v>106</v>
      </c>
      <c r="E8359">
        <v>5.9370314842578704</v>
      </c>
    </row>
    <row r="8360" spans="1:5">
      <c r="A8360" t="s">
        <v>9663</v>
      </c>
      <c r="B8360" t="s">
        <v>9671</v>
      </c>
      <c r="C8360">
        <f>0</f>
        <v>0</v>
      </c>
      <c r="D8360" t="s">
        <v>106</v>
      </c>
      <c r="E8360">
        <v>5.9370314842578704</v>
      </c>
    </row>
    <row r="8361" spans="1:5">
      <c r="A8361" t="s">
        <v>9663</v>
      </c>
      <c r="B8361" t="s">
        <v>9672</v>
      </c>
      <c r="C8361">
        <f>0</f>
        <v>0</v>
      </c>
      <c r="D8361" t="s">
        <v>106</v>
      </c>
      <c r="E8361">
        <v>5.9370314842578704</v>
      </c>
    </row>
    <row r="8362" spans="1:5">
      <c r="A8362" t="s">
        <v>9663</v>
      </c>
      <c r="B8362" t="s">
        <v>9673</v>
      </c>
      <c r="C8362">
        <f>0</f>
        <v>0</v>
      </c>
      <c r="D8362" t="s">
        <v>106</v>
      </c>
      <c r="E8362">
        <v>5.9370314842578704</v>
      </c>
    </row>
    <row r="8363" spans="1:5">
      <c r="A8363" t="s">
        <v>9663</v>
      </c>
      <c r="B8363" t="s">
        <v>9674</v>
      </c>
      <c r="C8363">
        <f>0</f>
        <v>0</v>
      </c>
      <c r="D8363" t="s">
        <v>106</v>
      </c>
      <c r="E8363">
        <v>5.9370314842578704</v>
      </c>
    </row>
    <row r="8364" spans="1:5">
      <c r="A8364" t="s">
        <v>9675</v>
      </c>
      <c r="B8364" t="s">
        <v>9676</v>
      </c>
      <c r="C8364">
        <f>0</f>
        <v>0</v>
      </c>
      <c r="D8364">
        <v>0.99109522112899995</v>
      </c>
      <c r="E8364">
        <v>1.96701649175412</v>
      </c>
    </row>
    <row r="8365" spans="1:5">
      <c r="A8365" t="s">
        <v>9675</v>
      </c>
      <c r="B8365" t="s">
        <v>9677</v>
      </c>
      <c r="C8365">
        <v>0.43037387335100002</v>
      </c>
      <c r="D8365">
        <v>0.99109522112899995</v>
      </c>
      <c r="E8365">
        <v>1.96701649175412</v>
      </c>
    </row>
    <row r="8366" spans="1:5">
      <c r="A8366" t="s">
        <v>9675</v>
      </c>
      <c r="B8366" t="s">
        <v>9678</v>
      </c>
      <c r="C8366">
        <v>0</v>
      </c>
      <c r="D8366">
        <v>0.99109522112899995</v>
      </c>
      <c r="E8366">
        <v>1.96701649175412</v>
      </c>
    </row>
    <row r="8367" spans="1:5">
      <c r="A8367" t="s">
        <v>9675</v>
      </c>
      <c r="B8367" t="s">
        <v>9679</v>
      </c>
      <c r="C8367">
        <v>0</v>
      </c>
      <c r="D8367">
        <v>0.99109522112899995</v>
      </c>
      <c r="E8367">
        <v>1.96701649175412</v>
      </c>
    </row>
    <row r="8368" spans="1:5">
      <c r="A8368" t="s">
        <v>9675</v>
      </c>
      <c r="B8368" t="s">
        <v>9680</v>
      </c>
      <c r="C8368">
        <f>0</f>
        <v>0</v>
      </c>
      <c r="D8368">
        <v>0.99109522112899995</v>
      </c>
      <c r="E8368">
        <v>1.96701649175412</v>
      </c>
    </row>
    <row r="8369" spans="1:5">
      <c r="A8369" t="s">
        <v>9675</v>
      </c>
      <c r="B8369" t="s">
        <v>9681</v>
      </c>
      <c r="C8369">
        <f>0</f>
        <v>0</v>
      </c>
      <c r="D8369">
        <v>0.99109522112899995</v>
      </c>
      <c r="E8369">
        <v>1.96701649175412</v>
      </c>
    </row>
    <row r="8370" spans="1:5">
      <c r="A8370" t="s">
        <v>9675</v>
      </c>
      <c r="B8370" t="s">
        <v>9682</v>
      </c>
      <c r="C8370">
        <f>0</f>
        <v>0</v>
      </c>
      <c r="D8370">
        <v>0.99109522112899995</v>
      </c>
      <c r="E8370">
        <v>1.96701649175412</v>
      </c>
    </row>
    <row r="8371" spans="1:5">
      <c r="A8371" t="s">
        <v>9675</v>
      </c>
      <c r="B8371" t="s">
        <v>9683</v>
      </c>
      <c r="C8371">
        <f>0</f>
        <v>0</v>
      </c>
      <c r="D8371">
        <v>0.99109522112899995</v>
      </c>
      <c r="E8371">
        <v>1.96701649175412</v>
      </c>
    </row>
    <row r="8372" spans="1:5">
      <c r="A8372" t="s">
        <v>9675</v>
      </c>
      <c r="B8372" t="s">
        <v>9684</v>
      </c>
      <c r="C8372">
        <f>0</f>
        <v>0</v>
      </c>
      <c r="D8372">
        <v>0.99109522112899995</v>
      </c>
      <c r="E8372">
        <v>1.96701649175412</v>
      </c>
    </row>
    <row r="8373" spans="1:5">
      <c r="A8373" t="s">
        <v>9675</v>
      </c>
      <c r="B8373" t="s">
        <v>9685</v>
      </c>
      <c r="C8373">
        <f>0</f>
        <v>0</v>
      </c>
      <c r="D8373">
        <v>0.99109522112899995</v>
      </c>
      <c r="E8373">
        <v>1.96701649175412</v>
      </c>
    </row>
    <row r="8374" spans="1:5">
      <c r="A8374" t="s">
        <v>9675</v>
      </c>
      <c r="B8374" t="s">
        <v>9686</v>
      </c>
      <c r="C8374">
        <v>0</v>
      </c>
      <c r="D8374">
        <v>0.99109522112899995</v>
      </c>
      <c r="E8374">
        <v>1.96701649175412</v>
      </c>
    </row>
    <row r="8375" spans="1:5">
      <c r="A8375" t="s">
        <v>9675</v>
      </c>
      <c r="B8375" t="s">
        <v>9687</v>
      </c>
      <c r="C8375">
        <f>0.0950463040235</f>
        <v>9.5046304023500006E-2</v>
      </c>
      <c r="D8375">
        <v>0.99109522112899995</v>
      </c>
      <c r="E8375">
        <v>1.96701649175412</v>
      </c>
    </row>
    <row r="8376" spans="1:5">
      <c r="A8376" t="s">
        <v>9688</v>
      </c>
      <c r="B8376" t="s">
        <v>9689</v>
      </c>
      <c r="C8376">
        <v>0</v>
      </c>
      <c r="D8376">
        <v>0.92832054086600002</v>
      </c>
      <c r="E8376">
        <v>15.5082458770614</v>
      </c>
    </row>
    <row r="8377" spans="1:5">
      <c r="A8377" t="s">
        <v>9688</v>
      </c>
      <c r="B8377" t="s">
        <v>9690</v>
      </c>
      <c r="C8377">
        <f>0</f>
        <v>0</v>
      </c>
      <c r="D8377">
        <v>0.92832054086600002</v>
      </c>
      <c r="E8377">
        <v>15.5082458770614</v>
      </c>
    </row>
    <row r="8378" spans="1:5">
      <c r="A8378" t="s">
        <v>9688</v>
      </c>
      <c r="B8378" t="s">
        <v>9691</v>
      </c>
      <c r="C8378">
        <v>0</v>
      </c>
      <c r="D8378">
        <v>0.92832054086600002</v>
      </c>
      <c r="E8378">
        <v>15.5082458770614</v>
      </c>
    </row>
    <row r="8379" spans="1:5">
      <c r="A8379" t="s">
        <v>9688</v>
      </c>
      <c r="B8379" t="s">
        <v>9692</v>
      </c>
      <c r="C8379">
        <v>0</v>
      </c>
      <c r="D8379">
        <v>0.92832054086600002</v>
      </c>
      <c r="E8379">
        <v>15.5082458770614</v>
      </c>
    </row>
    <row r="8380" spans="1:5">
      <c r="A8380" t="s">
        <v>9688</v>
      </c>
      <c r="B8380" t="s">
        <v>9693</v>
      </c>
      <c r="C8380">
        <f>0</f>
        <v>0</v>
      </c>
      <c r="D8380">
        <v>0.92832054086600002</v>
      </c>
      <c r="E8380">
        <v>15.5082458770614</v>
      </c>
    </row>
    <row r="8381" spans="1:5">
      <c r="A8381" t="s">
        <v>9688</v>
      </c>
      <c r="B8381" t="s">
        <v>9694</v>
      </c>
      <c r="C8381">
        <f>0</f>
        <v>0</v>
      </c>
      <c r="D8381">
        <v>0.92832054086600002</v>
      </c>
      <c r="E8381">
        <v>15.5082458770614</v>
      </c>
    </row>
    <row r="8382" spans="1:5">
      <c r="A8382" t="s">
        <v>9688</v>
      </c>
      <c r="B8382" t="s">
        <v>9695</v>
      </c>
      <c r="C8382">
        <v>0</v>
      </c>
      <c r="D8382">
        <v>0.92832054086600002</v>
      </c>
      <c r="E8382">
        <v>15.5082458770614</v>
      </c>
    </row>
    <row r="8383" spans="1:5">
      <c r="A8383" t="s">
        <v>9688</v>
      </c>
      <c r="B8383" t="s">
        <v>9696</v>
      </c>
      <c r="C8383">
        <f>0.0905514542253</f>
        <v>9.0551454225300004E-2</v>
      </c>
      <c r="D8383">
        <v>0.92832054086600002</v>
      </c>
      <c r="E8383">
        <v>15.5082458770614</v>
      </c>
    </row>
    <row r="8384" spans="1:5">
      <c r="A8384" t="s">
        <v>9688</v>
      </c>
      <c r="B8384" t="s">
        <v>9697</v>
      </c>
      <c r="C8384">
        <v>0</v>
      </c>
      <c r="D8384">
        <v>0.92832054086600002</v>
      </c>
      <c r="E8384">
        <v>15.5082458770614</v>
      </c>
    </row>
    <row r="8385" spans="1:5">
      <c r="A8385" t="s">
        <v>9698</v>
      </c>
      <c r="B8385" t="s">
        <v>9699</v>
      </c>
      <c r="C8385">
        <f>0.17889101736</f>
        <v>0.17889101735999999</v>
      </c>
      <c r="D8385">
        <v>0.99217964207200005</v>
      </c>
      <c r="E8385">
        <v>8.8635682158920499</v>
      </c>
    </row>
    <row r="8386" spans="1:5">
      <c r="A8386" t="s">
        <v>9698</v>
      </c>
      <c r="B8386" t="s">
        <v>9700</v>
      </c>
      <c r="C8386">
        <v>0</v>
      </c>
      <c r="D8386">
        <v>0.99217964207200005</v>
      </c>
      <c r="E8386">
        <v>8.8635682158920499</v>
      </c>
    </row>
    <row r="8387" spans="1:5">
      <c r="A8387" t="s">
        <v>9698</v>
      </c>
      <c r="B8387" t="s">
        <v>9701</v>
      </c>
      <c r="C8387">
        <v>0</v>
      </c>
      <c r="D8387">
        <v>0.99217964207200005</v>
      </c>
      <c r="E8387">
        <v>8.8635682158920499</v>
      </c>
    </row>
    <row r="8388" spans="1:5">
      <c r="A8388" t="s">
        <v>9698</v>
      </c>
      <c r="B8388" t="s">
        <v>9702</v>
      </c>
      <c r="C8388">
        <f>0</f>
        <v>0</v>
      </c>
      <c r="D8388">
        <v>0.99217964207200005</v>
      </c>
      <c r="E8388">
        <v>8.8635682158920499</v>
      </c>
    </row>
    <row r="8389" spans="1:5">
      <c r="A8389" t="s">
        <v>9698</v>
      </c>
      <c r="B8389" t="s">
        <v>9703</v>
      </c>
      <c r="C8389">
        <v>0.33529686982399998</v>
      </c>
      <c r="D8389">
        <v>0.99217964207200005</v>
      </c>
      <c r="E8389">
        <v>8.8635682158920499</v>
      </c>
    </row>
    <row r="8390" spans="1:5">
      <c r="A8390" t="s">
        <v>9704</v>
      </c>
      <c r="B8390" t="s">
        <v>9705</v>
      </c>
      <c r="C8390">
        <f>0</f>
        <v>0</v>
      </c>
      <c r="D8390">
        <v>0.98604837591200001</v>
      </c>
      <c r="E8390">
        <v>5.0134932533733103</v>
      </c>
    </row>
    <row r="8391" spans="1:5">
      <c r="A8391" t="s">
        <v>9704</v>
      </c>
      <c r="B8391" t="s">
        <v>9706</v>
      </c>
      <c r="C8391">
        <v>0</v>
      </c>
      <c r="D8391">
        <v>0.98604837591200001</v>
      </c>
      <c r="E8391">
        <v>5.0134932533733103</v>
      </c>
    </row>
    <row r="8392" spans="1:5">
      <c r="A8392" t="s">
        <v>9704</v>
      </c>
      <c r="B8392" t="s">
        <v>9707</v>
      </c>
      <c r="C8392">
        <v>0.35876635830199999</v>
      </c>
      <c r="D8392">
        <v>0.98604837591200001</v>
      </c>
      <c r="E8392">
        <v>5.0134932533733103</v>
      </c>
    </row>
    <row r="8393" spans="1:5">
      <c r="A8393" t="s">
        <v>9704</v>
      </c>
      <c r="B8393" t="s">
        <v>9708</v>
      </c>
      <c r="C8393">
        <v>0</v>
      </c>
      <c r="D8393">
        <v>0.98604837591200001</v>
      </c>
      <c r="E8393">
        <v>5.0134932533733103</v>
      </c>
    </row>
    <row r="8394" spans="1:5">
      <c r="A8394" t="s">
        <v>9704</v>
      </c>
      <c r="B8394" t="s">
        <v>9709</v>
      </c>
      <c r="C8394">
        <v>0</v>
      </c>
      <c r="D8394">
        <v>0.98604837591200001</v>
      </c>
      <c r="E8394">
        <v>5.0134932533733103</v>
      </c>
    </row>
    <row r="8395" spans="1:5">
      <c r="A8395" t="s">
        <v>9704</v>
      </c>
      <c r="B8395" t="s">
        <v>9710</v>
      </c>
      <c r="C8395">
        <v>0</v>
      </c>
      <c r="D8395">
        <v>0.98604837591200001</v>
      </c>
      <c r="E8395">
        <v>5.0134932533733103</v>
      </c>
    </row>
    <row r="8396" spans="1:5">
      <c r="A8396" t="s">
        <v>9704</v>
      </c>
      <c r="B8396" t="s">
        <v>9711</v>
      </c>
      <c r="C8396">
        <f>0</f>
        <v>0</v>
      </c>
      <c r="D8396">
        <v>0.98604837591200001</v>
      </c>
      <c r="E8396">
        <v>5.0134932533733103</v>
      </c>
    </row>
    <row r="8397" spans="1:5">
      <c r="A8397" t="s">
        <v>9704</v>
      </c>
      <c r="B8397" t="s">
        <v>9712</v>
      </c>
      <c r="C8397">
        <v>0</v>
      </c>
      <c r="D8397">
        <v>0.98604837591200001</v>
      </c>
      <c r="E8397">
        <v>5.0134932533733103</v>
      </c>
    </row>
    <row r="8398" spans="1:5">
      <c r="A8398" t="s">
        <v>9713</v>
      </c>
      <c r="B8398" t="s">
        <v>9714</v>
      </c>
      <c r="C8398">
        <v>0</v>
      </c>
      <c r="D8398">
        <v>0.99316121879200003</v>
      </c>
      <c r="E8398">
        <v>3.97001499250374</v>
      </c>
    </row>
    <row r="8399" spans="1:5">
      <c r="A8399" t="s">
        <v>9713</v>
      </c>
      <c r="B8399" t="s">
        <v>9715</v>
      </c>
      <c r="C8399">
        <v>0</v>
      </c>
      <c r="D8399">
        <v>0.99316121879200003</v>
      </c>
      <c r="E8399">
        <v>3.97001499250374</v>
      </c>
    </row>
    <row r="8400" spans="1:5">
      <c r="A8400" t="s">
        <v>9713</v>
      </c>
      <c r="B8400" t="s">
        <v>9716</v>
      </c>
      <c r="C8400">
        <v>0</v>
      </c>
      <c r="D8400">
        <v>0.99316121879200003</v>
      </c>
      <c r="E8400">
        <v>3.97001499250374</v>
      </c>
    </row>
    <row r="8401" spans="1:5">
      <c r="A8401" t="s">
        <v>9713</v>
      </c>
      <c r="B8401" t="s">
        <v>9717</v>
      </c>
      <c r="C8401">
        <f>0</f>
        <v>0</v>
      </c>
      <c r="D8401">
        <v>0.99316121879200003</v>
      </c>
      <c r="E8401">
        <v>3.97001499250374</v>
      </c>
    </row>
    <row r="8402" spans="1:5">
      <c r="A8402" t="s">
        <v>9713</v>
      </c>
      <c r="B8402" t="s">
        <v>9718</v>
      </c>
      <c r="C8402">
        <v>0.43751102581500001</v>
      </c>
      <c r="D8402">
        <v>0.99316121879200003</v>
      </c>
      <c r="E8402">
        <v>3.97001499250374</v>
      </c>
    </row>
    <row r="8403" spans="1:5">
      <c r="A8403" t="s">
        <v>9713</v>
      </c>
      <c r="B8403" t="s">
        <v>9719</v>
      </c>
      <c r="C8403">
        <v>0</v>
      </c>
      <c r="D8403">
        <v>0.99316121879200003</v>
      </c>
      <c r="E8403">
        <v>3.97001499250374</v>
      </c>
    </row>
    <row r="8404" spans="1:5">
      <c r="A8404" t="s">
        <v>9713</v>
      </c>
      <c r="B8404" t="s">
        <v>9720</v>
      </c>
      <c r="C8404">
        <v>0</v>
      </c>
      <c r="D8404">
        <v>0.99316121879200003</v>
      </c>
      <c r="E8404">
        <v>3.97001499250374</v>
      </c>
    </row>
    <row r="8405" spans="1:5">
      <c r="A8405" t="s">
        <v>9713</v>
      </c>
      <c r="B8405" t="s">
        <v>9721</v>
      </c>
      <c r="C8405">
        <v>0</v>
      </c>
      <c r="D8405">
        <v>0.99316121879200003</v>
      </c>
      <c r="E8405">
        <v>3.97001499250374</v>
      </c>
    </row>
    <row r="8406" spans="1:5">
      <c r="A8406" t="s">
        <v>9713</v>
      </c>
      <c r="B8406" t="s">
        <v>9722</v>
      </c>
      <c r="C8406">
        <v>0</v>
      </c>
      <c r="D8406">
        <v>0.99316121879200003</v>
      </c>
      <c r="E8406">
        <v>3.97001499250374</v>
      </c>
    </row>
    <row r="8407" spans="1:5">
      <c r="A8407" t="s">
        <v>9723</v>
      </c>
      <c r="B8407" t="s">
        <v>9724</v>
      </c>
      <c r="C8407">
        <f>0</f>
        <v>0</v>
      </c>
      <c r="D8407">
        <v>0.99843265744300003</v>
      </c>
      <c r="E8407">
        <v>2.3268365817091401</v>
      </c>
    </row>
    <row r="8408" spans="1:5">
      <c r="A8408" t="s">
        <v>9723</v>
      </c>
      <c r="B8408" t="s">
        <v>9725</v>
      </c>
      <c r="C8408">
        <v>0</v>
      </c>
      <c r="D8408">
        <v>0.99843265744300003</v>
      </c>
      <c r="E8408">
        <v>2.3268365817091401</v>
      </c>
    </row>
    <row r="8409" spans="1:5">
      <c r="A8409" t="s">
        <v>9723</v>
      </c>
      <c r="B8409" t="s">
        <v>9726</v>
      </c>
      <c r="C8409">
        <v>0</v>
      </c>
      <c r="D8409">
        <v>0.99843265744300003</v>
      </c>
      <c r="E8409">
        <v>2.3268365817091401</v>
      </c>
    </row>
    <row r="8410" spans="1:5">
      <c r="A8410" t="s">
        <v>9723</v>
      </c>
      <c r="B8410" t="s">
        <v>9727</v>
      </c>
      <c r="C8410">
        <v>0</v>
      </c>
      <c r="D8410">
        <v>0.99843265744300003</v>
      </c>
      <c r="E8410">
        <v>2.3268365817091401</v>
      </c>
    </row>
    <row r="8411" spans="1:5">
      <c r="A8411" t="s">
        <v>9723</v>
      </c>
      <c r="B8411" t="s">
        <v>9728</v>
      </c>
      <c r="C8411">
        <f>0</f>
        <v>0</v>
      </c>
      <c r="D8411">
        <v>0.99843265744300003</v>
      </c>
      <c r="E8411">
        <v>2.3268365817091401</v>
      </c>
    </row>
    <row r="8412" spans="1:5">
      <c r="A8412" t="s">
        <v>9723</v>
      </c>
      <c r="B8412" t="s">
        <v>9729</v>
      </c>
      <c r="C8412">
        <f>0</f>
        <v>0</v>
      </c>
      <c r="D8412">
        <v>0.99843265744300003</v>
      </c>
      <c r="E8412">
        <v>2.3268365817091401</v>
      </c>
    </row>
    <row r="8413" spans="1:5">
      <c r="A8413" t="s">
        <v>9723</v>
      </c>
      <c r="B8413" t="s">
        <v>9730</v>
      </c>
      <c r="C8413">
        <f>0</f>
        <v>0</v>
      </c>
      <c r="D8413">
        <v>0.99843265744300003</v>
      </c>
      <c r="E8413">
        <v>2.3268365817091401</v>
      </c>
    </row>
    <row r="8414" spans="1:5">
      <c r="A8414" t="s">
        <v>9723</v>
      </c>
      <c r="B8414" t="s">
        <v>9731</v>
      </c>
      <c r="C8414">
        <v>0</v>
      </c>
      <c r="D8414">
        <v>0.99843265744300003</v>
      </c>
      <c r="E8414">
        <v>2.3268365817091401</v>
      </c>
    </row>
    <row r="8415" spans="1:5">
      <c r="A8415" t="s">
        <v>9723</v>
      </c>
      <c r="B8415" t="s">
        <v>9732</v>
      </c>
      <c r="C8415">
        <f>0</f>
        <v>0</v>
      </c>
      <c r="D8415">
        <v>0.99843265744300003</v>
      </c>
      <c r="E8415">
        <v>2.3268365817091401</v>
      </c>
    </row>
    <row r="8416" spans="1:5">
      <c r="A8416" t="s">
        <v>9723</v>
      </c>
      <c r="B8416" t="s">
        <v>9733</v>
      </c>
      <c r="C8416">
        <f>0</f>
        <v>0</v>
      </c>
      <c r="D8416">
        <v>0.99843265744300003</v>
      </c>
      <c r="E8416">
        <v>2.3268365817091401</v>
      </c>
    </row>
    <row r="8417" spans="1:5">
      <c r="A8417" t="s">
        <v>9723</v>
      </c>
      <c r="B8417" t="s">
        <v>9734</v>
      </c>
      <c r="C8417">
        <v>0</v>
      </c>
      <c r="D8417">
        <v>0.99843265744300003</v>
      </c>
      <c r="E8417">
        <v>2.3268365817091401</v>
      </c>
    </row>
    <row r="8418" spans="1:5">
      <c r="A8418" t="s">
        <v>9723</v>
      </c>
      <c r="B8418" t="s">
        <v>9735</v>
      </c>
      <c r="C8418">
        <v>0</v>
      </c>
      <c r="D8418">
        <v>0.99843265744300003</v>
      </c>
      <c r="E8418">
        <v>2.3268365817091401</v>
      </c>
    </row>
    <row r="8419" spans="1:5">
      <c r="A8419" t="s">
        <v>9723</v>
      </c>
      <c r="B8419" t="s">
        <v>9736</v>
      </c>
      <c r="C8419">
        <f>0</f>
        <v>0</v>
      </c>
      <c r="D8419">
        <v>0.99843265744300003</v>
      </c>
      <c r="E8419">
        <v>2.3268365817091401</v>
      </c>
    </row>
    <row r="8420" spans="1:5">
      <c r="A8420" t="s">
        <v>9723</v>
      </c>
      <c r="B8420" t="s">
        <v>9737</v>
      </c>
      <c r="C8420">
        <f>0</f>
        <v>0</v>
      </c>
      <c r="D8420">
        <v>0.99843265744300003</v>
      </c>
      <c r="E8420">
        <v>2.3268365817091401</v>
      </c>
    </row>
    <row r="8421" spans="1:5">
      <c r="A8421" t="s">
        <v>9723</v>
      </c>
      <c r="B8421" t="s">
        <v>9738</v>
      </c>
      <c r="C8421">
        <v>0</v>
      </c>
      <c r="D8421">
        <v>0.99843265744300003</v>
      </c>
      <c r="E8421">
        <v>2.3268365817091401</v>
      </c>
    </row>
    <row r="8422" spans="1:5">
      <c r="A8422" t="s">
        <v>9739</v>
      </c>
      <c r="B8422" t="s">
        <v>9740</v>
      </c>
      <c r="C8422">
        <v>0</v>
      </c>
      <c r="D8422" t="s">
        <v>106</v>
      </c>
      <c r="E8422">
        <v>24</v>
      </c>
    </row>
    <row r="8423" spans="1:5">
      <c r="A8423" t="s">
        <v>9739</v>
      </c>
      <c r="B8423" t="s">
        <v>9741</v>
      </c>
      <c r="C8423">
        <v>4.8516599408099999E-2</v>
      </c>
      <c r="D8423" t="s">
        <v>106</v>
      </c>
      <c r="E8423">
        <v>24</v>
      </c>
    </row>
    <row r="8424" spans="1:5">
      <c r="A8424" t="s">
        <v>9739</v>
      </c>
      <c r="B8424" t="s">
        <v>9742</v>
      </c>
      <c r="C8424">
        <v>0</v>
      </c>
      <c r="D8424" t="s">
        <v>106</v>
      </c>
      <c r="E8424">
        <v>24</v>
      </c>
    </row>
    <row r="8425" spans="1:5">
      <c r="A8425" t="s">
        <v>9739</v>
      </c>
      <c r="B8425" t="s">
        <v>9743</v>
      </c>
      <c r="C8425">
        <v>0</v>
      </c>
      <c r="D8425" t="s">
        <v>106</v>
      </c>
      <c r="E8425">
        <v>24</v>
      </c>
    </row>
    <row r="8426" spans="1:5">
      <c r="A8426" t="s">
        <v>9739</v>
      </c>
      <c r="B8426" t="s">
        <v>9744</v>
      </c>
      <c r="C8426">
        <v>0.12555659612799999</v>
      </c>
      <c r="D8426" t="s">
        <v>106</v>
      </c>
      <c r="E8426">
        <v>24</v>
      </c>
    </row>
    <row r="8427" spans="1:5">
      <c r="A8427" t="s">
        <v>9739</v>
      </c>
      <c r="B8427" t="s">
        <v>9745</v>
      </c>
      <c r="C8427">
        <v>0</v>
      </c>
      <c r="D8427" t="s">
        <v>106</v>
      </c>
      <c r="E8427">
        <v>24</v>
      </c>
    </row>
    <row r="8428" spans="1:5">
      <c r="A8428" t="s">
        <v>9739</v>
      </c>
      <c r="B8428" t="s">
        <v>9746</v>
      </c>
      <c r="C8428">
        <v>0</v>
      </c>
      <c r="D8428" t="s">
        <v>106</v>
      </c>
      <c r="E8428">
        <v>24</v>
      </c>
    </row>
    <row r="8429" spans="1:5">
      <c r="A8429" t="s">
        <v>9739</v>
      </c>
      <c r="B8429" t="s">
        <v>9747</v>
      </c>
      <c r="C8429">
        <v>0</v>
      </c>
      <c r="D8429" t="s">
        <v>106</v>
      </c>
      <c r="E8429">
        <v>24</v>
      </c>
    </row>
    <row r="8430" spans="1:5">
      <c r="A8430" t="s">
        <v>9739</v>
      </c>
      <c r="B8430" t="s">
        <v>9748</v>
      </c>
      <c r="C8430">
        <v>0</v>
      </c>
      <c r="D8430" t="s">
        <v>106</v>
      </c>
      <c r="E8430">
        <v>24</v>
      </c>
    </row>
    <row r="8431" spans="1:5">
      <c r="A8431" t="s">
        <v>9739</v>
      </c>
      <c r="B8431" t="s">
        <v>9749</v>
      </c>
      <c r="C8431">
        <f>0</f>
        <v>0</v>
      </c>
      <c r="D8431" t="s">
        <v>106</v>
      </c>
      <c r="E8431">
        <v>24</v>
      </c>
    </row>
    <row r="8432" spans="1:5">
      <c r="A8432" t="s">
        <v>9739</v>
      </c>
      <c r="B8432" t="s">
        <v>9750</v>
      </c>
      <c r="C8432">
        <v>0</v>
      </c>
      <c r="D8432" t="s">
        <v>106</v>
      </c>
      <c r="E8432">
        <v>24</v>
      </c>
    </row>
    <row r="8433" spans="1:5">
      <c r="A8433" t="s">
        <v>9751</v>
      </c>
      <c r="B8433" t="s">
        <v>9752</v>
      </c>
      <c r="C8433">
        <v>0.15428218333800001</v>
      </c>
      <c r="D8433" t="s">
        <v>106</v>
      </c>
      <c r="E8433">
        <v>19.1904047976012</v>
      </c>
    </row>
    <row r="8434" spans="1:5">
      <c r="A8434" t="s">
        <v>9753</v>
      </c>
      <c r="B8434" t="s">
        <v>9754</v>
      </c>
      <c r="C8434">
        <f>0.0502555137526</f>
        <v>5.0255513752599998E-2</v>
      </c>
      <c r="D8434" t="s">
        <v>106</v>
      </c>
      <c r="E8434">
        <v>24</v>
      </c>
    </row>
    <row r="8435" spans="1:5">
      <c r="A8435" t="s">
        <v>9753</v>
      </c>
      <c r="B8435" t="s">
        <v>9755</v>
      </c>
      <c r="C8435">
        <f>0</f>
        <v>0</v>
      </c>
      <c r="D8435" t="s">
        <v>106</v>
      </c>
      <c r="E8435">
        <v>24</v>
      </c>
    </row>
    <row r="8436" spans="1:5">
      <c r="A8436" t="s">
        <v>9753</v>
      </c>
      <c r="B8436" t="s">
        <v>9756</v>
      </c>
      <c r="C8436">
        <f>0</f>
        <v>0</v>
      </c>
      <c r="D8436" t="s">
        <v>106</v>
      </c>
      <c r="E8436">
        <v>24</v>
      </c>
    </row>
    <row r="8437" spans="1:5">
      <c r="A8437" t="s">
        <v>9753</v>
      </c>
      <c r="B8437" t="s">
        <v>9757</v>
      </c>
      <c r="C8437">
        <f>0</f>
        <v>0</v>
      </c>
      <c r="D8437" t="s">
        <v>106</v>
      </c>
      <c r="E8437">
        <v>24</v>
      </c>
    </row>
    <row r="8438" spans="1:5">
      <c r="A8438" t="s">
        <v>9753</v>
      </c>
      <c r="B8438" t="s">
        <v>9758</v>
      </c>
      <c r="C8438">
        <f>0</f>
        <v>0</v>
      </c>
      <c r="D8438" t="s">
        <v>106</v>
      </c>
      <c r="E8438">
        <v>24</v>
      </c>
    </row>
    <row r="8439" spans="1:5">
      <c r="A8439" t="s">
        <v>9753</v>
      </c>
      <c r="B8439" t="s">
        <v>9759</v>
      </c>
      <c r="C8439">
        <f>0</f>
        <v>0</v>
      </c>
      <c r="D8439" t="s">
        <v>106</v>
      </c>
      <c r="E8439">
        <v>24</v>
      </c>
    </row>
    <row r="8440" spans="1:5">
      <c r="A8440" t="s">
        <v>9753</v>
      </c>
      <c r="B8440" t="s">
        <v>9760</v>
      </c>
      <c r="C8440">
        <v>0</v>
      </c>
      <c r="D8440" t="s">
        <v>106</v>
      </c>
      <c r="E8440">
        <v>24</v>
      </c>
    </row>
    <row r="8441" spans="1:5">
      <c r="A8441" t="s">
        <v>9753</v>
      </c>
      <c r="B8441" t="s">
        <v>9761</v>
      </c>
      <c r="C8441">
        <f>0</f>
        <v>0</v>
      </c>
      <c r="D8441" t="s">
        <v>106</v>
      </c>
      <c r="E8441">
        <v>24</v>
      </c>
    </row>
    <row r="8442" spans="1:5">
      <c r="A8442" t="s">
        <v>9753</v>
      </c>
      <c r="B8442" t="s">
        <v>9762</v>
      </c>
      <c r="C8442">
        <v>0</v>
      </c>
      <c r="D8442" t="s">
        <v>106</v>
      </c>
      <c r="E8442">
        <v>24</v>
      </c>
    </row>
    <row r="8443" spans="1:5">
      <c r="A8443" t="s">
        <v>9763</v>
      </c>
      <c r="B8443" t="s">
        <v>9764</v>
      </c>
      <c r="C8443">
        <v>0.24286106552100001</v>
      </c>
      <c r="D8443">
        <v>0.92796363980399998</v>
      </c>
      <c r="E8443">
        <v>14.176911544227799</v>
      </c>
    </row>
    <row r="8444" spans="1:5">
      <c r="A8444" t="s">
        <v>9765</v>
      </c>
      <c r="B8444" t="s">
        <v>9766</v>
      </c>
      <c r="C8444">
        <f>0</f>
        <v>0</v>
      </c>
      <c r="D8444" t="s">
        <v>106</v>
      </c>
      <c r="E8444">
        <v>20.065967016491701</v>
      </c>
    </row>
    <row r="8445" spans="1:5">
      <c r="A8445" t="s">
        <v>9765</v>
      </c>
      <c r="B8445" t="s">
        <v>9767</v>
      </c>
      <c r="C8445">
        <f>0</f>
        <v>0</v>
      </c>
      <c r="D8445" t="s">
        <v>106</v>
      </c>
      <c r="E8445">
        <v>20.065967016491701</v>
      </c>
    </row>
    <row r="8446" spans="1:5">
      <c r="A8446" t="s">
        <v>9765</v>
      </c>
      <c r="B8446" t="s">
        <v>9768</v>
      </c>
      <c r="C8446">
        <v>0</v>
      </c>
      <c r="D8446" t="s">
        <v>106</v>
      </c>
      <c r="E8446">
        <v>20.065967016491701</v>
      </c>
    </row>
    <row r="8447" spans="1:5">
      <c r="A8447" t="s">
        <v>9765</v>
      </c>
      <c r="B8447" t="s">
        <v>9769</v>
      </c>
      <c r="C8447">
        <v>0.113800528338</v>
      </c>
      <c r="D8447" t="s">
        <v>106</v>
      </c>
      <c r="E8447">
        <v>20.065967016491701</v>
      </c>
    </row>
    <row r="8448" spans="1:5">
      <c r="A8448" t="s">
        <v>9765</v>
      </c>
      <c r="B8448" t="s">
        <v>9770</v>
      </c>
      <c r="C8448">
        <f>0.0395740247103</f>
        <v>3.9574024710299999E-2</v>
      </c>
      <c r="D8448" t="s">
        <v>106</v>
      </c>
      <c r="E8448">
        <v>20.065967016491701</v>
      </c>
    </row>
    <row r="8449" spans="1:5">
      <c r="A8449" t="s">
        <v>9765</v>
      </c>
      <c r="B8449" t="s">
        <v>9771</v>
      </c>
      <c r="C8449">
        <v>0</v>
      </c>
      <c r="D8449" t="s">
        <v>106</v>
      </c>
      <c r="E8449">
        <v>20.065967016491701</v>
      </c>
    </row>
    <row r="8450" spans="1:5">
      <c r="A8450" t="s">
        <v>9765</v>
      </c>
      <c r="B8450" t="s">
        <v>9772</v>
      </c>
      <c r="C8450">
        <f>0</f>
        <v>0</v>
      </c>
      <c r="D8450" t="s">
        <v>106</v>
      </c>
      <c r="E8450">
        <v>20.065967016491701</v>
      </c>
    </row>
    <row r="8451" spans="1:5">
      <c r="A8451" t="s">
        <v>9765</v>
      </c>
      <c r="B8451" t="s">
        <v>9773</v>
      </c>
      <c r="C8451">
        <f>0</f>
        <v>0</v>
      </c>
      <c r="D8451" t="s">
        <v>106</v>
      </c>
      <c r="E8451">
        <v>20.065967016491701</v>
      </c>
    </row>
    <row r="8452" spans="1:5">
      <c r="A8452" t="s">
        <v>9765</v>
      </c>
      <c r="B8452" t="s">
        <v>9774</v>
      </c>
      <c r="C8452">
        <f>0</f>
        <v>0</v>
      </c>
      <c r="D8452" t="s">
        <v>106</v>
      </c>
      <c r="E8452">
        <v>20.065967016491701</v>
      </c>
    </row>
    <row r="8453" spans="1:5">
      <c r="A8453" t="s">
        <v>9765</v>
      </c>
      <c r="B8453" t="s">
        <v>9775</v>
      </c>
      <c r="C8453">
        <f>0</f>
        <v>0</v>
      </c>
      <c r="D8453" t="s">
        <v>106</v>
      </c>
      <c r="E8453">
        <v>20.065967016491701</v>
      </c>
    </row>
    <row r="8454" spans="1:5">
      <c r="A8454" t="s">
        <v>9765</v>
      </c>
      <c r="B8454" t="s">
        <v>9776</v>
      </c>
      <c r="C8454">
        <f>0</f>
        <v>0</v>
      </c>
      <c r="D8454" t="s">
        <v>106</v>
      </c>
      <c r="E8454">
        <v>20.065967016491701</v>
      </c>
    </row>
    <row r="8455" spans="1:5">
      <c r="A8455" t="s">
        <v>9765</v>
      </c>
      <c r="B8455" t="s">
        <v>9777</v>
      </c>
      <c r="C8455">
        <f>0</f>
        <v>0</v>
      </c>
      <c r="D8455" t="s">
        <v>106</v>
      </c>
      <c r="E8455">
        <v>20.065967016491701</v>
      </c>
    </row>
    <row r="8456" spans="1:5">
      <c r="A8456" t="s">
        <v>9765</v>
      </c>
      <c r="B8456" t="s">
        <v>9778</v>
      </c>
      <c r="C8456">
        <f>0</f>
        <v>0</v>
      </c>
      <c r="D8456" t="s">
        <v>106</v>
      </c>
      <c r="E8456">
        <v>20.065967016491701</v>
      </c>
    </row>
    <row r="8457" spans="1:5">
      <c r="A8457" t="s">
        <v>9765</v>
      </c>
      <c r="B8457" t="s">
        <v>9779</v>
      </c>
      <c r="C8457">
        <f>0</f>
        <v>0</v>
      </c>
      <c r="D8457" t="s">
        <v>106</v>
      </c>
      <c r="E8457">
        <v>20.065967016491701</v>
      </c>
    </row>
    <row r="8458" spans="1:5">
      <c r="A8458" t="s">
        <v>9765</v>
      </c>
      <c r="B8458" t="s">
        <v>9780</v>
      </c>
      <c r="C8458">
        <f>0</f>
        <v>0</v>
      </c>
      <c r="D8458" t="s">
        <v>106</v>
      </c>
      <c r="E8458">
        <v>20.065967016491701</v>
      </c>
    </row>
    <row r="8459" spans="1:5">
      <c r="A8459" t="s">
        <v>9765</v>
      </c>
      <c r="B8459" t="s">
        <v>9781</v>
      </c>
      <c r="C8459">
        <f>0</f>
        <v>0</v>
      </c>
      <c r="D8459" t="s">
        <v>106</v>
      </c>
      <c r="E8459">
        <v>20.065967016491701</v>
      </c>
    </row>
    <row r="8460" spans="1:5">
      <c r="A8460" t="s">
        <v>9765</v>
      </c>
      <c r="B8460" t="s">
        <v>9782</v>
      </c>
      <c r="C8460">
        <f>0</f>
        <v>0</v>
      </c>
      <c r="D8460" t="s">
        <v>106</v>
      </c>
      <c r="E8460">
        <v>20.065967016491701</v>
      </c>
    </row>
    <row r="8461" spans="1:5">
      <c r="A8461" t="s">
        <v>9765</v>
      </c>
      <c r="B8461" t="s">
        <v>9783</v>
      </c>
      <c r="C8461">
        <f>0</f>
        <v>0</v>
      </c>
      <c r="D8461" t="s">
        <v>106</v>
      </c>
      <c r="E8461">
        <v>20.065967016491701</v>
      </c>
    </row>
    <row r="8462" spans="1:5">
      <c r="A8462" t="s">
        <v>9765</v>
      </c>
      <c r="B8462" t="s">
        <v>9784</v>
      </c>
      <c r="C8462">
        <v>0</v>
      </c>
      <c r="D8462" t="s">
        <v>106</v>
      </c>
      <c r="E8462">
        <v>20.065967016491701</v>
      </c>
    </row>
    <row r="8463" spans="1:5">
      <c r="A8463" t="s">
        <v>9765</v>
      </c>
      <c r="B8463" t="s">
        <v>9785</v>
      </c>
      <c r="C8463">
        <f>0</f>
        <v>0</v>
      </c>
      <c r="D8463" t="s">
        <v>106</v>
      </c>
      <c r="E8463">
        <v>20.065967016491701</v>
      </c>
    </row>
    <row r="8464" spans="1:5">
      <c r="A8464" t="s">
        <v>9765</v>
      </c>
      <c r="B8464" t="s">
        <v>9786</v>
      </c>
      <c r="C8464">
        <v>0</v>
      </c>
      <c r="D8464" t="s">
        <v>106</v>
      </c>
      <c r="E8464">
        <v>20.065967016491701</v>
      </c>
    </row>
    <row r="8465" spans="1:5">
      <c r="A8465" t="s">
        <v>9787</v>
      </c>
      <c r="B8465" t="s">
        <v>9788</v>
      </c>
      <c r="C8465">
        <f>0</f>
        <v>0</v>
      </c>
      <c r="D8465">
        <v>0.81989784884899997</v>
      </c>
      <c r="E8465">
        <v>1.39130434782608</v>
      </c>
    </row>
    <row r="8466" spans="1:5">
      <c r="A8466" t="s">
        <v>9787</v>
      </c>
      <c r="B8466" t="s">
        <v>9789</v>
      </c>
      <c r="C8466">
        <f>0</f>
        <v>0</v>
      </c>
      <c r="D8466">
        <v>0.81989784884899997</v>
      </c>
      <c r="E8466">
        <v>1.39130434782608</v>
      </c>
    </row>
    <row r="8467" spans="1:5">
      <c r="A8467" t="s">
        <v>9787</v>
      </c>
      <c r="B8467" t="s">
        <v>9790</v>
      </c>
      <c r="C8467">
        <f>0</f>
        <v>0</v>
      </c>
      <c r="D8467">
        <v>0.81989784884899997</v>
      </c>
      <c r="E8467">
        <v>1.39130434782608</v>
      </c>
    </row>
    <row r="8468" spans="1:5">
      <c r="A8468" t="s">
        <v>9787</v>
      </c>
      <c r="B8468" t="s">
        <v>9791</v>
      </c>
      <c r="C8468">
        <f>0</f>
        <v>0</v>
      </c>
      <c r="D8468">
        <v>0.81989784884899997</v>
      </c>
      <c r="E8468">
        <v>1.39130434782608</v>
      </c>
    </row>
    <row r="8469" spans="1:5">
      <c r="A8469" t="s">
        <v>9787</v>
      </c>
      <c r="B8469" t="s">
        <v>9792</v>
      </c>
      <c r="C8469">
        <f>0</f>
        <v>0</v>
      </c>
      <c r="D8469">
        <v>0.81989784884899997</v>
      </c>
      <c r="E8469">
        <v>1.39130434782608</v>
      </c>
    </row>
    <row r="8470" spans="1:5">
      <c r="A8470" t="s">
        <v>9787</v>
      </c>
      <c r="B8470" t="s">
        <v>9793</v>
      </c>
      <c r="C8470">
        <v>0.39941961153599997</v>
      </c>
      <c r="D8470">
        <v>0.81989784884899997</v>
      </c>
      <c r="E8470">
        <v>1.39130434782608</v>
      </c>
    </row>
    <row r="8471" spans="1:5">
      <c r="A8471" t="s">
        <v>9794</v>
      </c>
      <c r="B8471" t="s">
        <v>9795</v>
      </c>
      <c r="C8471">
        <f>0.409180072032</f>
        <v>0.40918007203200002</v>
      </c>
      <c r="D8471" t="s">
        <v>106</v>
      </c>
      <c r="E8471">
        <v>5.3493253373313303</v>
      </c>
    </row>
    <row r="8472" spans="1:5">
      <c r="A8472" t="s">
        <v>9796</v>
      </c>
      <c r="B8472" t="s">
        <v>9797</v>
      </c>
      <c r="C8472">
        <f>0.113729723482</f>
        <v>0.113729723482</v>
      </c>
      <c r="D8472">
        <v>0.75152367002599996</v>
      </c>
      <c r="E8472">
        <v>4.68965517241379</v>
      </c>
    </row>
    <row r="8473" spans="1:5">
      <c r="A8473" t="s">
        <v>9798</v>
      </c>
      <c r="B8473" t="s">
        <v>9799</v>
      </c>
      <c r="C8473">
        <v>0</v>
      </c>
      <c r="D8473">
        <v>0.96205206693300005</v>
      </c>
      <c r="E8473">
        <v>2.5547226386806599</v>
      </c>
    </row>
    <row r="8474" spans="1:5">
      <c r="A8474" t="s">
        <v>9798</v>
      </c>
      <c r="B8474" t="s">
        <v>9800</v>
      </c>
      <c r="C8474">
        <v>0</v>
      </c>
      <c r="D8474">
        <v>0.96205206693300005</v>
      </c>
      <c r="E8474">
        <v>2.5547226386806599</v>
      </c>
    </row>
    <row r="8475" spans="1:5">
      <c r="A8475" t="s">
        <v>9798</v>
      </c>
      <c r="B8475" t="s">
        <v>9801</v>
      </c>
      <c r="C8475">
        <v>0</v>
      </c>
      <c r="D8475">
        <v>0.96205206693300005</v>
      </c>
      <c r="E8475">
        <v>2.5547226386806599</v>
      </c>
    </row>
    <row r="8476" spans="1:5">
      <c r="A8476" t="s">
        <v>9798</v>
      </c>
      <c r="B8476" t="s">
        <v>9802</v>
      </c>
      <c r="C8476">
        <v>5.0423869630399999E-2</v>
      </c>
      <c r="D8476">
        <v>0.96205206693300005</v>
      </c>
      <c r="E8476">
        <v>2.5547226386806599</v>
      </c>
    </row>
    <row r="8477" spans="1:5">
      <c r="A8477" t="s">
        <v>9798</v>
      </c>
      <c r="B8477" t="s">
        <v>9803</v>
      </c>
      <c r="C8477">
        <f>0</f>
        <v>0</v>
      </c>
      <c r="D8477">
        <v>0.96205206693300005</v>
      </c>
      <c r="E8477">
        <v>2.5547226386806599</v>
      </c>
    </row>
    <row r="8478" spans="1:5">
      <c r="A8478" t="s">
        <v>9798</v>
      </c>
      <c r="B8478" t="s">
        <v>9804</v>
      </c>
      <c r="C8478">
        <v>0.62864199172699997</v>
      </c>
      <c r="D8478">
        <v>0.96205206693300005</v>
      </c>
      <c r="E8478">
        <v>2.5547226386806599</v>
      </c>
    </row>
    <row r="8479" spans="1:5">
      <c r="A8479" t="s">
        <v>9798</v>
      </c>
      <c r="B8479" t="s">
        <v>9805</v>
      </c>
      <c r="C8479">
        <v>0</v>
      </c>
      <c r="D8479">
        <v>0.96205206693300005</v>
      </c>
      <c r="E8479">
        <v>2.5547226386806599</v>
      </c>
    </row>
    <row r="8480" spans="1:5">
      <c r="A8480" t="s">
        <v>9798</v>
      </c>
      <c r="B8480" t="s">
        <v>9806</v>
      </c>
      <c r="C8480">
        <v>0</v>
      </c>
      <c r="D8480">
        <v>0.96205206693300005</v>
      </c>
      <c r="E8480">
        <v>2.5547226386806599</v>
      </c>
    </row>
    <row r="8481" spans="1:5">
      <c r="A8481" t="s">
        <v>9807</v>
      </c>
      <c r="B8481" t="s">
        <v>9808</v>
      </c>
      <c r="C8481">
        <f>0.0428879365285</f>
        <v>4.2887936528500002E-2</v>
      </c>
      <c r="D8481">
        <v>7.8135000251799994E-2</v>
      </c>
      <c r="E8481">
        <v>24</v>
      </c>
    </row>
    <row r="8482" spans="1:5">
      <c r="A8482" t="s">
        <v>9807</v>
      </c>
      <c r="B8482" t="s">
        <v>9809</v>
      </c>
      <c r="C8482">
        <v>1.8193474549199999E-2</v>
      </c>
      <c r="D8482">
        <v>7.8135000251799994E-2</v>
      </c>
      <c r="E8482">
        <v>24</v>
      </c>
    </row>
    <row r="8483" spans="1:5">
      <c r="A8483" t="s">
        <v>9810</v>
      </c>
      <c r="B8483" t="s">
        <v>9811</v>
      </c>
      <c r="C8483">
        <v>0</v>
      </c>
      <c r="D8483" t="s">
        <v>106</v>
      </c>
      <c r="E8483">
        <v>7.7361319340329802</v>
      </c>
    </row>
    <row r="8484" spans="1:5">
      <c r="A8484" t="s">
        <v>9810</v>
      </c>
      <c r="B8484" t="s">
        <v>9812</v>
      </c>
      <c r="C8484">
        <v>0</v>
      </c>
      <c r="D8484" t="s">
        <v>106</v>
      </c>
      <c r="E8484">
        <v>7.7361319340329802</v>
      </c>
    </row>
    <row r="8485" spans="1:5">
      <c r="A8485" t="s">
        <v>9810</v>
      </c>
      <c r="B8485" t="s">
        <v>9813</v>
      </c>
      <c r="C8485">
        <v>0</v>
      </c>
      <c r="D8485" t="s">
        <v>106</v>
      </c>
      <c r="E8485">
        <v>7.7361319340329802</v>
      </c>
    </row>
    <row r="8486" spans="1:5">
      <c r="A8486" t="s">
        <v>9810</v>
      </c>
      <c r="B8486" t="s">
        <v>9814</v>
      </c>
      <c r="C8486">
        <v>0</v>
      </c>
      <c r="D8486" t="s">
        <v>106</v>
      </c>
      <c r="E8486">
        <v>7.7361319340329802</v>
      </c>
    </row>
    <row r="8487" spans="1:5">
      <c r="A8487" t="s">
        <v>9810</v>
      </c>
      <c r="B8487" t="s">
        <v>9815</v>
      </c>
      <c r="C8487">
        <f>0</f>
        <v>0</v>
      </c>
      <c r="D8487" t="s">
        <v>106</v>
      </c>
      <c r="E8487">
        <v>7.7361319340329802</v>
      </c>
    </row>
    <row r="8488" spans="1:5">
      <c r="A8488" t="s">
        <v>9810</v>
      </c>
      <c r="B8488" t="s">
        <v>9816</v>
      </c>
      <c r="C8488">
        <f>0</f>
        <v>0</v>
      </c>
      <c r="D8488" t="s">
        <v>106</v>
      </c>
      <c r="E8488">
        <v>7.7361319340329802</v>
      </c>
    </row>
    <row r="8489" spans="1:5">
      <c r="A8489" t="s">
        <v>9810</v>
      </c>
      <c r="B8489" t="s">
        <v>9817</v>
      </c>
      <c r="C8489">
        <f>0</f>
        <v>0</v>
      </c>
      <c r="D8489" t="s">
        <v>106</v>
      </c>
      <c r="E8489">
        <v>7.7361319340329802</v>
      </c>
    </row>
    <row r="8490" spans="1:5">
      <c r="A8490" t="s">
        <v>9810</v>
      </c>
      <c r="B8490" t="s">
        <v>9818</v>
      </c>
      <c r="C8490">
        <f>0</f>
        <v>0</v>
      </c>
      <c r="D8490" t="s">
        <v>106</v>
      </c>
      <c r="E8490">
        <v>7.7361319340329802</v>
      </c>
    </row>
    <row r="8491" spans="1:5">
      <c r="A8491" t="s">
        <v>9819</v>
      </c>
      <c r="B8491" t="s">
        <v>9820</v>
      </c>
      <c r="C8491">
        <f>0</f>
        <v>0</v>
      </c>
      <c r="D8491">
        <v>0.93285617027800005</v>
      </c>
      <c r="E8491">
        <v>9.4632683658170897</v>
      </c>
    </row>
    <row r="8492" spans="1:5">
      <c r="A8492" t="s">
        <v>9819</v>
      </c>
      <c r="B8492" t="s">
        <v>9821</v>
      </c>
      <c r="C8492">
        <f>0</f>
        <v>0</v>
      </c>
      <c r="D8492">
        <v>0.93285617027800005</v>
      </c>
      <c r="E8492">
        <v>9.4632683658170897</v>
      </c>
    </row>
    <row r="8493" spans="1:5">
      <c r="A8493" t="s">
        <v>9819</v>
      </c>
      <c r="B8493" t="s">
        <v>9822</v>
      </c>
      <c r="C8493">
        <f>0.308758707457</f>
        <v>0.30875870745700001</v>
      </c>
      <c r="D8493">
        <v>0.93285617027800005</v>
      </c>
      <c r="E8493">
        <v>9.4632683658170897</v>
      </c>
    </row>
    <row r="8494" spans="1:5">
      <c r="A8494" t="s">
        <v>9819</v>
      </c>
      <c r="B8494" t="s">
        <v>9823</v>
      </c>
      <c r="C8494">
        <f>0</f>
        <v>0</v>
      </c>
      <c r="D8494">
        <v>0.93285617027800005</v>
      </c>
      <c r="E8494">
        <v>9.4632683658170897</v>
      </c>
    </row>
    <row r="8495" spans="1:5">
      <c r="A8495" t="s">
        <v>9819</v>
      </c>
      <c r="B8495" t="s">
        <v>9824</v>
      </c>
      <c r="C8495">
        <v>0</v>
      </c>
      <c r="D8495">
        <v>0.93285617027800005</v>
      </c>
      <c r="E8495">
        <v>9.4632683658170897</v>
      </c>
    </row>
    <row r="8496" spans="1:5">
      <c r="A8496" t="s">
        <v>9819</v>
      </c>
      <c r="B8496" t="s">
        <v>9825</v>
      </c>
      <c r="C8496">
        <v>0</v>
      </c>
      <c r="D8496">
        <v>0.93285617027800005</v>
      </c>
      <c r="E8496">
        <v>9.4632683658170897</v>
      </c>
    </row>
    <row r="8497" spans="1:5">
      <c r="A8497" t="s">
        <v>9819</v>
      </c>
      <c r="B8497" t="s">
        <v>9826</v>
      </c>
      <c r="C8497">
        <f>0</f>
        <v>0</v>
      </c>
      <c r="D8497">
        <v>0.93285617027800005</v>
      </c>
      <c r="E8497">
        <v>9.4632683658170897</v>
      </c>
    </row>
    <row r="8498" spans="1:5">
      <c r="A8498" t="s">
        <v>9819</v>
      </c>
      <c r="B8498" t="s">
        <v>9827</v>
      </c>
      <c r="C8498">
        <v>0</v>
      </c>
      <c r="D8498">
        <v>0.93285617027800005</v>
      </c>
      <c r="E8498">
        <v>9.4632683658170897</v>
      </c>
    </row>
    <row r="8499" spans="1:5">
      <c r="A8499" t="s">
        <v>9819</v>
      </c>
      <c r="B8499" t="s">
        <v>9828</v>
      </c>
      <c r="C8499">
        <v>3.6843327899899997E-2</v>
      </c>
      <c r="D8499">
        <v>0.93285617027800005</v>
      </c>
      <c r="E8499">
        <v>9.4632683658170897</v>
      </c>
    </row>
    <row r="8500" spans="1:5">
      <c r="A8500" t="s">
        <v>9819</v>
      </c>
      <c r="B8500" t="s">
        <v>9829</v>
      </c>
      <c r="C8500">
        <f>0</f>
        <v>0</v>
      </c>
      <c r="D8500">
        <v>0.93285617027800005</v>
      </c>
      <c r="E8500">
        <v>9.4632683658170897</v>
      </c>
    </row>
    <row r="8501" spans="1:5">
      <c r="A8501" t="s">
        <v>9819</v>
      </c>
      <c r="B8501" t="s">
        <v>9830</v>
      </c>
      <c r="C8501">
        <f>0</f>
        <v>0</v>
      </c>
      <c r="D8501">
        <v>0.93285617027800005</v>
      </c>
      <c r="E8501">
        <v>9.4632683658170897</v>
      </c>
    </row>
    <row r="8502" spans="1:5">
      <c r="A8502" t="s">
        <v>9819</v>
      </c>
      <c r="B8502" t="s">
        <v>9831</v>
      </c>
      <c r="C8502">
        <v>0</v>
      </c>
      <c r="D8502">
        <v>0.93285617027800005</v>
      </c>
      <c r="E8502">
        <v>9.4632683658170897</v>
      </c>
    </row>
    <row r="8503" spans="1:5">
      <c r="A8503" t="s">
        <v>9819</v>
      </c>
      <c r="B8503" t="s">
        <v>9832</v>
      </c>
      <c r="C8503">
        <v>0</v>
      </c>
      <c r="D8503">
        <v>0.93285617027800005</v>
      </c>
      <c r="E8503">
        <v>9.4632683658170897</v>
      </c>
    </row>
    <row r="8504" spans="1:5">
      <c r="A8504" t="s">
        <v>9819</v>
      </c>
      <c r="B8504" t="s">
        <v>9833</v>
      </c>
      <c r="C8504">
        <v>0</v>
      </c>
      <c r="D8504">
        <v>0.93285617027800005</v>
      </c>
      <c r="E8504">
        <v>9.4632683658170897</v>
      </c>
    </row>
    <row r="8505" spans="1:5">
      <c r="A8505" t="s">
        <v>9834</v>
      </c>
      <c r="B8505" t="s">
        <v>9835</v>
      </c>
      <c r="C8505">
        <v>0</v>
      </c>
      <c r="D8505" t="s">
        <v>106</v>
      </c>
      <c r="E8505">
        <v>6.2968515742128899</v>
      </c>
    </row>
    <row r="8506" spans="1:5">
      <c r="A8506" t="s">
        <v>9834</v>
      </c>
      <c r="B8506" t="s">
        <v>9836</v>
      </c>
      <c r="C8506">
        <v>0</v>
      </c>
      <c r="D8506" t="s">
        <v>106</v>
      </c>
      <c r="E8506">
        <v>6.2968515742128899</v>
      </c>
    </row>
    <row r="8507" spans="1:5">
      <c r="A8507" t="s">
        <v>9834</v>
      </c>
      <c r="B8507" t="s">
        <v>9837</v>
      </c>
      <c r="C8507">
        <v>0</v>
      </c>
      <c r="D8507" t="s">
        <v>106</v>
      </c>
      <c r="E8507">
        <v>6.2968515742128899</v>
      </c>
    </row>
    <row r="8508" spans="1:5">
      <c r="A8508" t="s">
        <v>9834</v>
      </c>
      <c r="B8508" t="s">
        <v>9838</v>
      </c>
      <c r="C8508">
        <v>0.54679174092500005</v>
      </c>
      <c r="D8508" t="s">
        <v>106</v>
      </c>
      <c r="E8508">
        <v>6.2968515742128899</v>
      </c>
    </row>
    <row r="8509" spans="1:5">
      <c r="A8509" t="s">
        <v>9839</v>
      </c>
      <c r="B8509" t="s">
        <v>9840</v>
      </c>
      <c r="C8509">
        <v>0</v>
      </c>
      <c r="D8509" t="s">
        <v>106</v>
      </c>
      <c r="E8509">
        <v>0.61169415292353801</v>
      </c>
    </row>
    <row r="8510" spans="1:5">
      <c r="A8510" t="s">
        <v>9839</v>
      </c>
      <c r="B8510" t="s">
        <v>9841</v>
      </c>
      <c r="C8510">
        <f>0</f>
        <v>0</v>
      </c>
      <c r="D8510" t="s">
        <v>106</v>
      </c>
      <c r="E8510">
        <v>0.61169415292353801</v>
      </c>
    </row>
    <row r="8511" spans="1:5">
      <c r="A8511" t="s">
        <v>9839</v>
      </c>
      <c r="B8511" t="s">
        <v>9842</v>
      </c>
      <c r="C8511">
        <f>0</f>
        <v>0</v>
      </c>
      <c r="D8511" t="s">
        <v>106</v>
      </c>
      <c r="E8511">
        <v>0.61169415292353801</v>
      </c>
    </row>
    <row r="8512" spans="1:5">
      <c r="A8512" t="s">
        <v>9839</v>
      </c>
      <c r="B8512" t="s">
        <v>9843</v>
      </c>
      <c r="C8512">
        <v>0</v>
      </c>
      <c r="D8512" t="s">
        <v>106</v>
      </c>
      <c r="E8512">
        <v>0.61169415292353801</v>
      </c>
    </row>
    <row r="8513" spans="1:5">
      <c r="A8513" t="s">
        <v>9839</v>
      </c>
      <c r="B8513" t="s">
        <v>9844</v>
      </c>
      <c r="C8513">
        <v>0</v>
      </c>
      <c r="D8513" t="s">
        <v>106</v>
      </c>
      <c r="E8513">
        <v>0.61169415292353801</v>
      </c>
    </row>
    <row r="8514" spans="1:5">
      <c r="A8514" t="s">
        <v>9839</v>
      </c>
      <c r="B8514" t="s">
        <v>9845</v>
      </c>
      <c r="C8514">
        <v>0</v>
      </c>
      <c r="D8514" t="s">
        <v>106</v>
      </c>
      <c r="E8514">
        <v>0.61169415292353801</v>
      </c>
    </row>
    <row r="8515" spans="1:5">
      <c r="A8515" t="s">
        <v>9839</v>
      </c>
      <c r="B8515" t="s">
        <v>9846</v>
      </c>
      <c r="C8515">
        <v>0</v>
      </c>
      <c r="D8515" t="s">
        <v>106</v>
      </c>
      <c r="E8515">
        <v>0.61169415292353801</v>
      </c>
    </row>
    <row r="8516" spans="1:5">
      <c r="A8516" t="s">
        <v>9839</v>
      </c>
      <c r="B8516" t="s">
        <v>9847</v>
      </c>
      <c r="C8516">
        <v>0</v>
      </c>
      <c r="D8516" t="s">
        <v>106</v>
      </c>
      <c r="E8516">
        <v>0.61169415292353801</v>
      </c>
    </row>
    <row r="8517" spans="1:5">
      <c r="A8517" t="s">
        <v>9839</v>
      </c>
      <c r="B8517" t="s">
        <v>9848</v>
      </c>
      <c r="C8517">
        <f>0</f>
        <v>0</v>
      </c>
      <c r="D8517" t="s">
        <v>106</v>
      </c>
      <c r="E8517">
        <v>0.61169415292353801</v>
      </c>
    </row>
    <row r="8518" spans="1:5">
      <c r="A8518" t="s">
        <v>9849</v>
      </c>
      <c r="B8518" t="s">
        <v>9850</v>
      </c>
      <c r="C8518">
        <f>0</f>
        <v>0</v>
      </c>
      <c r="D8518" t="s">
        <v>106</v>
      </c>
      <c r="E8518">
        <v>1.45127436281859</v>
      </c>
    </row>
    <row r="8519" spans="1:5">
      <c r="A8519" t="s">
        <v>9849</v>
      </c>
      <c r="B8519" t="s">
        <v>9851</v>
      </c>
      <c r="C8519">
        <v>0</v>
      </c>
      <c r="D8519" t="s">
        <v>106</v>
      </c>
      <c r="E8519">
        <v>1.45127436281859</v>
      </c>
    </row>
    <row r="8520" spans="1:5">
      <c r="A8520" t="s">
        <v>9849</v>
      </c>
      <c r="B8520" t="s">
        <v>9852</v>
      </c>
      <c r="C8520">
        <v>0</v>
      </c>
      <c r="D8520" t="s">
        <v>106</v>
      </c>
      <c r="E8520">
        <v>1.45127436281859</v>
      </c>
    </row>
    <row r="8521" spans="1:5">
      <c r="A8521" t="s">
        <v>9849</v>
      </c>
      <c r="B8521" t="s">
        <v>9853</v>
      </c>
      <c r="C8521">
        <v>0</v>
      </c>
      <c r="D8521" t="s">
        <v>106</v>
      </c>
      <c r="E8521">
        <v>1.45127436281859</v>
      </c>
    </row>
    <row r="8522" spans="1:5">
      <c r="A8522" t="s">
        <v>9849</v>
      </c>
      <c r="B8522" t="s">
        <v>9854</v>
      </c>
      <c r="C8522">
        <v>0</v>
      </c>
      <c r="D8522" t="s">
        <v>106</v>
      </c>
      <c r="E8522">
        <v>1.45127436281859</v>
      </c>
    </row>
    <row r="8523" spans="1:5">
      <c r="A8523" t="s">
        <v>9849</v>
      </c>
      <c r="B8523" t="s">
        <v>9855</v>
      </c>
      <c r="C8523">
        <v>0</v>
      </c>
      <c r="D8523" t="s">
        <v>106</v>
      </c>
      <c r="E8523">
        <v>1.45127436281859</v>
      </c>
    </row>
    <row r="8524" spans="1:5">
      <c r="A8524" t="s">
        <v>9849</v>
      </c>
      <c r="B8524" t="s">
        <v>9856</v>
      </c>
      <c r="C8524">
        <v>0</v>
      </c>
      <c r="D8524" t="s">
        <v>106</v>
      </c>
      <c r="E8524">
        <v>1.45127436281859</v>
      </c>
    </row>
    <row r="8525" spans="1:5">
      <c r="A8525" t="s">
        <v>9857</v>
      </c>
      <c r="B8525" t="s">
        <v>9858</v>
      </c>
      <c r="C8525">
        <v>0</v>
      </c>
      <c r="D8525" t="s">
        <v>106</v>
      </c>
      <c r="E8525">
        <v>3.5862068965517202</v>
      </c>
    </row>
    <row r="8526" spans="1:5">
      <c r="A8526" t="s">
        <v>9857</v>
      </c>
      <c r="B8526" t="s">
        <v>9859</v>
      </c>
      <c r="C8526">
        <f>0</f>
        <v>0</v>
      </c>
      <c r="D8526" t="s">
        <v>106</v>
      </c>
      <c r="E8526">
        <v>3.5862068965517202</v>
      </c>
    </row>
    <row r="8527" spans="1:5">
      <c r="A8527" t="s">
        <v>9857</v>
      </c>
      <c r="B8527" t="s">
        <v>9860</v>
      </c>
      <c r="C8527">
        <v>0</v>
      </c>
      <c r="D8527" t="s">
        <v>106</v>
      </c>
      <c r="E8527">
        <v>3.5862068965517202</v>
      </c>
    </row>
    <row r="8528" spans="1:5">
      <c r="A8528" t="s">
        <v>9857</v>
      </c>
      <c r="B8528" t="s">
        <v>9861</v>
      </c>
      <c r="C8528">
        <f>0</f>
        <v>0</v>
      </c>
      <c r="D8528" t="s">
        <v>106</v>
      </c>
      <c r="E8528">
        <v>3.5862068965517202</v>
      </c>
    </row>
    <row r="8529" spans="1:5">
      <c r="A8529" t="s">
        <v>9857</v>
      </c>
      <c r="B8529" t="s">
        <v>9862</v>
      </c>
      <c r="C8529">
        <f>0</f>
        <v>0</v>
      </c>
      <c r="D8529" t="s">
        <v>106</v>
      </c>
      <c r="E8529">
        <v>3.5862068965517202</v>
      </c>
    </row>
    <row r="8530" spans="1:5">
      <c r="A8530" t="s">
        <v>9857</v>
      </c>
      <c r="B8530" t="s">
        <v>9863</v>
      </c>
      <c r="C8530">
        <v>0</v>
      </c>
      <c r="D8530" t="s">
        <v>106</v>
      </c>
      <c r="E8530">
        <v>3.5862068965517202</v>
      </c>
    </row>
    <row r="8531" spans="1:5">
      <c r="A8531" t="s">
        <v>9857</v>
      </c>
      <c r="B8531" t="s">
        <v>9864</v>
      </c>
      <c r="C8531">
        <f>0.118109597894</f>
        <v>0.118109597894</v>
      </c>
      <c r="D8531" t="s">
        <v>106</v>
      </c>
      <c r="E8531">
        <v>3.5862068965517202</v>
      </c>
    </row>
    <row r="8532" spans="1:5">
      <c r="A8532" t="s">
        <v>9857</v>
      </c>
      <c r="B8532" t="s">
        <v>9865</v>
      </c>
      <c r="C8532">
        <f>0.181526022469</f>
        <v>0.18152602246899999</v>
      </c>
      <c r="D8532" t="s">
        <v>106</v>
      </c>
      <c r="E8532">
        <v>3.5862068965517202</v>
      </c>
    </row>
    <row r="8533" spans="1:5">
      <c r="A8533" t="s">
        <v>9866</v>
      </c>
      <c r="B8533" t="s">
        <v>9867</v>
      </c>
      <c r="C8533">
        <v>0.11328779550900001</v>
      </c>
      <c r="D8533" t="s">
        <v>106</v>
      </c>
      <c r="E8533">
        <v>3.3103448275862002</v>
      </c>
    </row>
    <row r="8534" spans="1:5">
      <c r="A8534" t="s">
        <v>9866</v>
      </c>
      <c r="B8534" t="s">
        <v>9868</v>
      </c>
      <c r="C8534">
        <f>0.0229836751217</f>
        <v>2.2983675121699999E-2</v>
      </c>
      <c r="D8534" t="s">
        <v>106</v>
      </c>
      <c r="E8534">
        <v>3.3103448275862002</v>
      </c>
    </row>
    <row r="8535" spans="1:5">
      <c r="A8535" t="s">
        <v>9869</v>
      </c>
      <c r="B8535" t="s">
        <v>9870</v>
      </c>
      <c r="C8535">
        <v>0</v>
      </c>
      <c r="D8535">
        <v>0.91390735403599999</v>
      </c>
      <c r="E8535">
        <v>24</v>
      </c>
    </row>
    <row r="8536" spans="1:5">
      <c r="A8536" t="s">
        <v>9869</v>
      </c>
      <c r="B8536" t="s">
        <v>9871</v>
      </c>
      <c r="C8536">
        <v>0</v>
      </c>
      <c r="D8536">
        <v>0.91390735403599999</v>
      </c>
      <c r="E8536">
        <v>24</v>
      </c>
    </row>
    <row r="8537" spans="1:5">
      <c r="A8537" t="s">
        <v>9869</v>
      </c>
      <c r="B8537" t="s">
        <v>9872</v>
      </c>
      <c r="C8537">
        <v>0</v>
      </c>
      <c r="D8537">
        <v>0.91390735403599999</v>
      </c>
      <c r="E8537">
        <v>24</v>
      </c>
    </row>
    <row r="8538" spans="1:5">
      <c r="A8538" t="s">
        <v>9869</v>
      </c>
      <c r="B8538" t="s">
        <v>9873</v>
      </c>
      <c r="C8538">
        <v>0</v>
      </c>
      <c r="D8538">
        <v>0.91390735403599999</v>
      </c>
      <c r="E8538">
        <v>24</v>
      </c>
    </row>
    <row r="8539" spans="1:5">
      <c r="A8539" t="s">
        <v>9869</v>
      </c>
      <c r="B8539" t="s">
        <v>9874</v>
      </c>
      <c r="C8539">
        <v>6.8700513881799999E-2</v>
      </c>
      <c r="D8539">
        <v>0.91390735403599999</v>
      </c>
      <c r="E8539">
        <v>24</v>
      </c>
    </row>
    <row r="8540" spans="1:5">
      <c r="A8540" t="s">
        <v>9869</v>
      </c>
      <c r="B8540" t="s">
        <v>9875</v>
      </c>
      <c r="C8540">
        <v>2.5714305357500002E-2</v>
      </c>
      <c r="D8540">
        <v>0.91390735403599999</v>
      </c>
      <c r="E8540">
        <v>24</v>
      </c>
    </row>
    <row r="8541" spans="1:5">
      <c r="A8541" t="s">
        <v>9869</v>
      </c>
      <c r="B8541" t="s">
        <v>9876</v>
      </c>
      <c r="C8541">
        <f>0</f>
        <v>0</v>
      </c>
      <c r="D8541">
        <v>0.91390735403599999</v>
      </c>
      <c r="E8541">
        <v>24</v>
      </c>
    </row>
    <row r="8542" spans="1:5">
      <c r="A8542" t="s">
        <v>9869</v>
      </c>
      <c r="B8542" t="s">
        <v>9877</v>
      </c>
      <c r="C8542">
        <f>0</f>
        <v>0</v>
      </c>
      <c r="D8542">
        <v>0.91390735403599999</v>
      </c>
      <c r="E8542">
        <v>24</v>
      </c>
    </row>
    <row r="8543" spans="1:5">
      <c r="A8543" t="s">
        <v>9869</v>
      </c>
      <c r="B8543" t="s">
        <v>9878</v>
      </c>
      <c r="C8543">
        <v>0</v>
      </c>
      <c r="D8543">
        <v>0.91390735403599999</v>
      </c>
      <c r="E8543">
        <v>24</v>
      </c>
    </row>
    <row r="8544" spans="1:5">
      <c r="A8544" t="s">
        <v>9869</v>
      </c>
      <c r="B8544" t="s">
        <v>9879</v>
      </c>
      <c r="C8544">
        <v>0</v>
      </c>
      <c r="D8544">
        <v>0.91390735403599999</v>
      </c>
      <c r="E8544">
        <v>24</v>
      </c>
    </row>
    <row r="8545" spans="1:5">
      <c r="A8545" t="s">
        <v>9880</v>
      </c>
      <c r="B8545" t="s">
        <v>9881</v>
      </c>
      <c r="C8545">
        <v>0</v>
      </c>
      <c r="D8545">
        <v>0.98886901069699995</v>
      </c>
      <c r="E8545">
        <v>1.6311844077961</v>
      </c>
    </row>
    <row r="8546" spans="1:5">
      <c r="A8546" t="s">
        <v>9880</v>
      </c>
      <c r="B8546" t="s">
        <v>9882</v>
      </c>
      <c r="C8546">
        <v>0</v>
      </c>
      <c r="D8546">
        <v>0.98886901069699995</v>
      </c>
      <c r="E8546">
        <v>1.6311844077961</v>
      </c>
    </row>
    <row r="8547" spans="1:5">
      <c r="A8547" t="s">
        <v>9880</v>
      </c>
      <c r="B8547" t="s">
        <v>9883</v>
      </c>
      <c r="C8547">
        <v>0</v>
      </c>
      <c r="D8547">
        <v>0.98886901069699995</v>
      </c>
      <c r="E8547">
        <v>1.6311844077961</v>
      </c>
    </row>
    <row r="8548" spans="1:5">
      <c r="A8548" t="s">
        <v>9880</v>
      </c>
      <c r="B8548" t="s">
        <v>9884</v>
      </c>
      <c r="C8548">
        <f>0.543425435365</f>
        <v>0.54342543536499999</v>
      </c>
      <c r="D8548">
        <v>0.98886901069699995</v>
      </c>
      <c r="E8548">
        <v>1.6311844077961</v>
      </c>
    </row>
    <row r="8549" spans="1:5">
      <c r="A8549" t="s">
        <v>9880</v>
      </c>
      <c r="B8549" t="s">
        <v>9885</v>
      </c>
      <c r="C8549">
        <v>0</v>
      </c>
      <c r="D8549">
        <v>0.98886901069699995</v>
      </c>
      <c r="E8549">
        <v>1.6311844077961</v>
      </c>
    </row>
    <row r="8550" spans="1:5">
      <c r="A8550" t="s">
        <v>9880</v>
      </c>
      <c r="B8550" t="s">
        <v>9886</v>
      </c>
      <c r="C8550">
        <v>0</v>
      </c>
      <c r="D8550">
        <v>0.98886901069699995</v>
      </c>
      <c r="E8550">
        <v>1.6311844077961</v>
      </c>
    </row>
    <row r="8551" spans="1:5">
      <c r="A8551" t="s">
        <v>9880</v>
      </c>
      <c r="B8551" t="s">
        <v>9887</v>
      </c>
      <c r="C8551">
        <v>0</v>
      </c>
      <c r="D8551">
        <v>0.98886901069699995</v>
      </c>
      <c r="E8551">
        <v>1.6311844077961</v>
      </c>
    </row>
    <row r="8552" spans="1:5">
      <c r="A8552" t="s">
        <v>9880</v>
      </c>
      <c r="B8552" t="s">
        <v>9888</v>
      </c>
      <c r="C8552">
        <v>0</v>
      </c>
      <c r="D8552">
        <v>0.98886901069699995</v>
      </c>
      <c r="E8552">
        <v>1.6311844077961</v>
      </c>
    </row>
    <row r="8553" spans="1:5">
      <c r="A8553" t="s">
        <v>9880</v>
      </c>
      <c r="B8553" t="s">
        <v>9889</v>
      </c>
      <c r="C8553">
        <v>0.12560509969299999</v>
      </c>
      <c r="D8553">
        <v>0.98886901069699995</v>
      </c>
      <c r="E8553">
        <v>1.6311844077961</v>
      </c>
    </row>
    <row r="8554" spans="1:5">
      <c r="A8554" t="s">
        <v>9890</v>
      </c>
      <c r="B8554" t="s">
        <v>9891</v>
      </c>
      <c r="C8554">
        <v>0.40894185605700001</v>
      </c>
      <c r="D8554">
        <v>0.99639691116399998</v>
      </c>
      <c r="E8554">
        <v>9.4632683658170897</v>
      </c>
    </row>
    <row r="8555" spans="1:5">
      <c r="A8555" t="s">
        <v>9890</v>
      </c>
      <c r="B8555" t="s">
        <v>9892</v>
      </c>
      <c r="C8555">
        <v>0</v>
      </c>
      <c r="D8555">
        <v>0.99639691116399998</v>
      </c>
      <c r="E8555">
        <v>9.4632683658170897</v>
      </c>
    </row>
    <row r="8556" spans="1:5">
      <c r="A8556" t="s">
        <v>9890</v>
      </c>
      <c r="B8556" t="s">
        <v>9893</v>
      </c>
      <c r="C8556">
        <f>0</f>
        <v>0</v>
      </c>
      <c r="D8556">
        <v>0.99639691116399998</v>
      </c>
      <c r="E8556">
        <v>9.4632683658170897</v>
      </c>
    </row>
    <row r="8557" spans="1:5">
      <c r="A8557" t="s">
        <v>9890</v>
      </c>
      <c r="B8557" t="s">
        <v>9894</v>
      </c>
      <c r="C8557">
        <v>0</v>
      </c>
      <c r="D8557">
        <v>0.99639691116399998</v>
      </c>
      <c r="E8557">
        <v>9.4632683658170897</v>
      </c>
    </row>
    <row r="8558" spans="1:5">
      <c r="A8558" t="s">
        <v>9890</v>
      </c>
      <c r="B8558" t="s">
        <v>9895</v>
      </c>
      <c r="C8558">
        <v>0</v>
      </c>
      <c r="D8558">
        <v>0.99639691116399998</v>
      </c>
      <c r="E8558">
        <v>9.4632683658170897</v>
      </c>
    </row>
    <row r="8559" spans="1:5">
      <c r="A8559" t="s">
        <v>9890</v>
      </c>
      <c r="B8559" t="s">
        <v>9896</v>
      </c>
      <c r="C8559">
        <v>0</v>
      </c>
      <c r="D8559">
        <v>0.99639691116399998</v>
      </c>
      <c r="E8559">
        <v>9.4632683658170897</v>
      </c>
    </row>
    <row r="8560" spans="1:5">
      <c r="A8560" t="s">
        <v>9890</v>
      </c>
      <c r="B8560" t="s">
        <v>9897</v>
      </c>
      <c r="C8560">
        <f>0</f>
        <v>0</v>
      </c>
      <c r="D8560">
        <v>0.99639691116399998</v>
      </c>
      <c r="E8560">
        <v>9.4632683658170897</v>
      </c>
    </row>
    <row r="8561" spans="1:5">
      <c r="A8561" t="s">
        <v>9898</v>
      </c>
      <c r="B8561" t="s">
        <v>9899</v>
      </c>
      <c r="C8561">
        <v>0.21395697185900001</v>
      </c>
      <c r="D8561">
        <v>0.74032077392399998</v>
      </c>
      <c r="E8561">
        <v>12.0419790104947</v>
      </c>
    </row>
    <row r="8562" spans="1:5">
      <c r="A8562" t="s">
        <v>9900</v>
      </c>
      <c r="B8562" t="s">
        <v>9901</v>
      </c>
      <c r="C8562">
        <v>0</v>
      </c>
      <c r="D8562">
        <v>0.983362707886</v>
      </c>
      <c r="E8562">
        <v>6.6806596701649097</v>
      </c>
    </row>
    <row r="8563" spans="1:5">
      <c r="A8563" t="s">
        <v>9900</v>
      </c>
      <c r="B8563" t="s">
        <v>9902</v>
      </c>
      <c r="C8563">
        <v>0</v>
      </c>
      <c r="D8563">
        <v>0.983362707886</v>
      </c>
      <c r="E8563">
        <v>6.6806596701649097</v>
      </c>
    </row>
    <row r="8564" spans="1:5">
      <c r="A8564" t="s">
        <v>9900</v>
      </c>
      <c r="B8564" t="s">
        <v>9903</v>
      </c>
      <c r="C8564">
        <f>0</f>
        <v>0</v>
      </c>
      <c r="D8564">
        <v>0.983362707886</v>
      </c>
      <c r="E8564">
        <v>6.6806596701649097</v>
      </c>
    </row>
    <row r="8565" spans="1:5">
      <c r="A8565" t="s">
        <v>9900</v>
      </c>
      <c r="B8565" t="s">
        <v>9904</v>
      </c>
      <c r="C8565">
        <f>0</f>
        <v>0</v>
      </c>
      <c r="D8565">
        <v>0.983362707886</v>
      </c>
      <c r="E8565">
        <v>6.6806596701649097</v>
      </c>
    </row>
    <row r="8566" spans="1:5">
      <c r="A8566" t="s">
        <v>9900</v>
      </c>
      <c r="B8566" t="s">
        <v>9905</v>
      </c>
      <c r="C8566">
        <v>0</v>
      </c>
      <c r="D8566">
        <v>0.983362707886</v>
      </c>
      <c r="E8566">
        <v>6.6806596701649097</v>
      </c>
    </row>
    <row r="8567" spans="1:5">
      <c r="A8567" t="s">
        <v>9900</v>
      </c>
      <c r="B8567" t="s">
        <v>9906</v>
      </c>
      <c r="C8567">
        <v>4.3882836151599998E-2</v>
      </c>
      <c r="D8567">
        <v>0.983362707886</v>
      </c>
      <c r="E8567">
        <v>6.6806596701649097</v>
      </c>
    </row>
    <row r="8568" spans="1:5">
      <c r="A8568" t="s">
        <v>9900</v>
      </c>
      <c r="B8568" t="s">
        <v>9907</v>
      </c>
      <c r="C8568">
        <v>0</v>
      </c>
      <c r="D8568">
        <v>0.983362707886</v>
      </c>
      <c r="E8568">
        <v>6.6806596701649097</v>
      </c>
    </row>
    <row r="8569" spans="1:5">
      <c r="A8569" t="s">
        <v>9900</v>
      </c>
      <c r="B8569" t="s">
        <v>9908</v>
      </c>
      <c r="C8569">
        <v>0</v>
      </c>
      <c r="D8569">
        <v>0.983362707886</v>
      </c>
      <c r="E8569">
        <v>6.6806596701649097</v>
      </c>
    </row>
    <row r="8570" spans="1:5">
      <c r="A8570" t="s">
        <v>9900</v>
      </c>
      <c r="B8570" t="s">
        <v>9909</v>
      </c>
      <c r="C8570">
        <v>0</v>
      </c>
      <c r="D8570">
        <v>0.983362707886</v>
      </c>
      <c r="E8570">
        <v>6.6806596701649097</v>
      </c>
    </row>
    <row r="8571" spans="1:5">
      <c r="A8571" t="s">
        <v>9900</v>
      </c>
      <c r="B8571" t="s">
        <v>9910</v>
      </c>
      <c r="C8571">
        <f>0</f>
        <v>0</v>
      </c>
      <c r="D8571">
        <v>0.983362707886</v>
      </c>
      <c r="E8571">
        <v>6.6806596701649097</v>
      </c>
    </row>
    <row r="8572" spans="1:5">
      <c r="A8572" t="s">
        <v>9900</v>
      </c>
      <c r="B8572" t="s">
        <v>9911</v>
      </c>
      <c r="C8572">
        <f>0</f>
        <v>0</v>
      </c>
      <c r="D8572">
        <v>0.983362707886</v>
      </c>
      <c r="E8572">
        <v>6.6806596701649097</v>
      </c>
    </row>
    <row r="8573" spans="1:5">
      <c r="A8573" t="s">
        <v>9900</v>
      </c>
      <c r="B8573" t="s">
        <v>9912</v>
      </c>
      <c r="C8573">
        <v>0</v>
      </c>
      <c r="D8573">
        <v>0.983362707886</v>
      </c>
      <c r="E8573">
        <v>6.6806596701649097</v>
      </c>
    </row>
    <row r="8574" spans="1:5">
      <c r="A8574" t="s">
        <v>9900</v>
      </c>
      <c r="B8574" t="s">
        <v>9913</v>
      </c>
      <c r="C8574">
        <v>0</v>
      </c>
      <c r="D8574">
        <v>0.983362707886</v>
      </c>
      <c r="E8574">
        <v>6.6806596701649097</v>
      </c>
    </row>
    <row r="8575" spans="1:5">
      <c r="A8575" t="s">
        <v>9900</v>
      </c>
      <c r="B8575" t="s">
        <v>9914</v>
      </c>
      <c r="C8575">
        <f>0</f>
        <v>0</v>
      </c>
      <c r="D8575">
        <v>0.983362707886</v>
      </c>
      <c r="E8575">
        <v>6.6806596701649097</v>
      </c>
    </row>
    <row r="8576" spans="1:5">
      <c r="A8576" t="s">
        <v>9915</v>
      </c>
      <c r="B8576" t="s">
        <v>9916</v>
      </c>
      <c r="C8576">
        <f>0</f>
        <v>0</v>
      </c>
      <c r="D8576">
        <v>0.94493391231299995</v>
      </c>
      <c r="E8576">
        <v>24</v>
      </c>
    </row>
    <row r="8577" spans="1:5">
      <c r="A8577" t="s">
        <v>9917</v>
      </c>
      <c r="B8577" t="s">
        <v>9918</v>
      </c>
      <c r="C8577">
        <v>0</v>
      </c>
      <c r="D8577" t="s">
        <v>106</v>
      </c>
      <c r="E8577">
        <v>5.4692653673163401</v>
      </c>
    </row>
    <row r="8578" spans="1:5">
      <c r="A8578" t="s">
        <v>9917</v>
      </c>
      <c r="B8578" t="s">
        <v>9919</v>
      </c>
      <c r="C8578">
        <f>0</f>
        <v>0</v>
      </c>
      <c r="D8578" t="s">
        <v>106</v>
      </c>
      <c r="E8578">
        <v>5.4692653673163401</v>
      </c>
    </row>
    <row r="8579" spans="1:5">
      <c r="A8579" t="s">
        <v>9917</v>
      </c>
      <c r="B8579" t="s">
        <v>9920</v>
      </c>
      <c r="C8579">
        <f>0.00554176376719</f>
        <v>5.5417637671899998E-3</v>
      </c>
      <c r="D8579" t="s">
        <v>106</v>
      </c>
      <c r="E8579">
        <v>5.4692653673163401</v>
      </c>
    </row>
    <row r="8580" spans="1:5">
      <c r="A8580" t="s">
        <v>9917</v>
      </c>
      <c r="B8580" t="s">
        <v>9921</v>
      </c>
      <c r="C8580">
        <v>0</v>
      </c>
      <c r="D8580" t="s">
        <v>106</v>
      </c>
      <c r="E8580">
        <v>5.4692653673163401</v>
      </c>
    </row>
    <row r="8581" spans="1:5">
      <c r="A8581" t="s">
        <v>9917</v>
      </c>
      <c r="B8581" t="s">
        <v>9922</v>
      </c>
      <c r="C8581">
        <v>0.61727520121900004</v>
      </c>
      <c r="D8581" t="s">
        <v>106</v>
      </c>
      <c r="E8581">
        <v>5.4692653673163401</v>
      </c>
    </row>
    <row r="8582" spans="1:5">
      <c r="A8582" t="s">
        <v>9917</v>
      </c>
      <c r="B8582" t="s">
        <v>9923</v>
      </c>
      <c r="C8582">
        <v>0</v>
      </c>
      <c r="D8582" t="s">
        <v>106</v>
      </c>
      <c r="E8582">
        <v>5.4692653673163401</v>
      </c>
    </row>
    <row r="8583" spans="1:5">
      <c r="A8583" t="s">
        <v>9917</v>
      </c>
      <c r="B8583" t="s">
        <v>9924</v>
      </c>
      <c r="C8583">
        <v>0</v>
      </c>
      <c r="D8583" t="s">
        <v>106</v>
      </c>
      <c r="E8583">
        <v>5.4692653673163401</v>
      </c>
    </row>
    <row r="8584" spans="1:5">
      <c r="A8584" t="s">
        <v>9917</v>
      </c>
      <c r="B8584" t="s">
        <v>9925</v>
      </c>
      <c r="C8584">
        <v>0</v>
      </c>
      <c r="D8584" t="s">
        <v>106</v>
      </c>
      <c r="E8584">
        <v>5.4692653673163401</v>
      </c>
    </row>
    <row r="8585" spans="1:5">
      <c r="A8585" t="s">
        <v>9917</v>
      </c>
      <c r="B8585" t="s">
        <v>9926</v>
      </c>
      <c r="C8585">
        <v>0</v>
      </c>
      <c r="D8585" t="s">
        <v>106</v>
      </c>
      <c r="E8585">
        <v>5.4692653673163401</v>
      </c>
    </row>
    <row r="8586" spans="1:5">
      <c r="A8586" t="s">
        <v>9927</v>
      </c>
      <c r="B8586" t="s">
        <v>9928</v>
      </c>
      <c r="C8586">
        <f>0</f>
        <v>0</v>
      </c>
      <c r="D8586" t="s">
        <v>106</v>
      </c>
      <c r="E8586">
        <v>0.86356821589205401</v>
      </c>
    </row>
    <row r="8587" spans="1:5">
      <c r="A8587" t="s">
        <v>9927</v>
      </c>
      <c r="B8587" t="s">
        <v>9929</v>
      </c>
      <c r="C8587">
        <f>0</f>
        <v>0</v>
      </c>
      <c r="D8587" t="s">
        <v>106</v>
      </c>
      <c r="E8587">
        <v>0.86356821589205401</v>
      </c>
    </row>
    <row r="8588" spans="1:5">
      <c r="A8588" t="s">
        <v>9927</v>
      </c>
      <c r="B8588" t="s">
        <v>9930</v>
      </c>
      <c r="C8588">
        <v>0</v>
      </c>
      <c r="D8588" t="s">
        <v>106</v>
      </c>
      <c r="E8588">
        <v>0.86356821589205401</v>
      </c>
    </row>
    <row r="8589" spans="1:5">
      <c r="A8589" t="s">
        <v>9927</v>
      </c>
      <c r="B8589" t="s">
        <v>9931</v>
      </c>
      <c r="C8589">
        <v>0</v>
      </c>
      <c r="D8589" t="s">
        <v>106</v>
      </c>
      <c r="E8589">
        <v>0.86356821589205401</v>
      </c>
    </row>
    <row r="8590" spans="1:5">
      <c r="A8590" t="s">
        <v>9927</v>
      </c>
      <c r="B8590" t="s">
        <v>9932</v>
      </c>
      <c r="C8590">
        <v>0</v>
      </c>
      <c r="D8590" t="s">
        <v>106</v>
      </c>
      <c r="E8590">
        <v>0.86356821589205401</v>
      </c>
    </row>
    <row r="8591" spans="1:5">
      <c r="A8591" t="s">
        <v>9933</v>
      </c>
      <c r="B8591" t="s">
        <v>9934</v>
      </c>
      <c r="C8591">
        <f>0</f>
        <v>0</v>
      </c>
      <c r="D8591">
        <v>0.93018167331500001</v>
      </c>
      <c r="E8591">
        <v>14.740629685157399</v>
      </c>
    </row>
    <row r="8592" spans="1:5">
      <c r="A8592" t="s">
        <v>9933</v>
      </c>
      <c r="B8592" t="s">
        <v>9935</v>
      </c>
      <c r="C8592">
        <v>0</v>
      </c>
      <c r="D8592">
        <v>0.93018167331500001</v>
      </c>
      <c r="E8592">
        <v>14.740629685157399</v>
      </c>
    </row>
    <row r="8593" spans="1:5">
      <c r="A8593" t="s">
        <v>9933</v>
      </c>
      <c r="B8593" t="s">
        <v>9936</v>
      </c>
      <c r="C8593">
        <f>0</f>
        <v>0</v>
      </c>
      <c r="D8593">
        <v>0.93018167331500001</v>
      </c>
      <c r="E8593">
        <v>14.740629685157399</v>
      </c>
    </row>
    <row r="8594" spans="1:5">
      <c r="A8594" t="s">
        <v>9933</v>
      </c>
      <c r="B8594" t="s">
        <v>9937</v>
      </c>
      <c r="C8594">
        <v>0</v>
      </c>
      <c r="D8594">
        <v>0.93018167331500001</v>
      </c>
      <c r="E8594">
        <v>14.740629685157399</v>
      </c>
    </row>
    <row r="8595" spans="1:5">
      <c r="A8595" t="s">
        <v>9933</v>
      </c>
      <c r="B8595" t="s">
        <v>9938</v>
      </c>
      <c r="C8595">
        <v>0.15573134523599999</v>
      </c>
      <c r="D8595">
        <v>0.93018167331500001</v>
      </c>
      <c r="E8595">
        <v>14.740629685157399</v>
      </c>
    </row>
    <row r="8596" spans="1:5">
      <c r="A8596" t="s">
        <v>9933</v>
      </c>
      <c r="B8596" t="s">
        <v>9939</v>
      </c>
      <c r="C8596">
        <f>0</f>
        <v>0</v>
      </c>
      <c r="D8596">
        <v>0.93018167331500001</v>
      </c>
      <c r="E8596">
        <v>14.740629685157399</v>
      </c>
    </row>
    <row r="8597" spans="1:5">
      <c r="A8597" t="s">
        <v>9933</v>
      </c>
      <c r="B8597" t="s">
        <v>9940</v>
      </c>
      <c r="C8597">
        <f>0</f>
        <v>0</v>
      </c>
      <c r="D8597">
        <v>0.93018167331500001</v>
      </c>
      <c r="E8597">
        <v>14.740629685157399</v>
      </c>
    </row>
    <row r="8598" spans="1:5">
      <c r="A8598" t="s">
        <v>9933</v>
      </c>
      <c r="B8598" t="s">
        <v>9941</v>
      </c>
      <c r="C8598">
        <f>0</f>
        <v>0</v>
      </c>
      <c r="D8598">
        <v>0.93018167331500001</v>
      </c>
      <c r="E8598">
        <v>14.740629685157399</v>
      </c>
    </row>
    <row r="8599" spans="1:5">
      <c r="A8599" t="s">
        <v>9933</v>
      </c>
      <c r="B8599" t="s">
        <v>9942</v>
      </c>
      <c r="C8599">
        <f>0</f>
        <v>0</v>
      </c>
      <c r="D8599">
        <v>0.93018167331500001</v>
      </c>
      <c r="E8599">
        <v>14.740629685157399</v>
      </c>
    </row>
    <row r="8600" spans="1:5">
      <c r="A8600" t="s">
        <v>9933</v>
      </c>
      <c r="B8600" t="s">
        <v>9943</v>
      </c>
      <c r="C8600">
        <v>0</v>
      </c>
      <c r="D8600">
        <v>0.93018167331500001</v>
      </c>
      <c r="E8600">
        <v>14.740629685157399</v>
      </c>
    </row>
    <row r="8601" spans="1:5">
      <c r="A8601" t="s">
        <v>9944</v>
      </c>
      <c r="B8601" t="s">
        <v>9945</v>
      </c>
      <c r="C8601">
        <v>0</v>
      </c>
      <c r="D8601" t="s">
        <v>106</v>
      </c>
      <c r="E8601">
        <v>1.00749625187406</v>
      </c>
    </row>
    <row r="8602" spans="1:5">
      <c r="A8602" t="s">
        <v>9944</v>
      </c>
      <c r="B8602" t="s">
        <v>9946</v>
      </c>
      <c r="C8602">
        <v>0</v>
      </c>
      <c r="D8602" t="s">
        <v>106</v>
      </c>
      <c r="E8602">
        <v>1.00749625187406</v>
      </c>
    </row>
    <row r="8603" spans="1:5">
      <c r="A8603" t="s">
        <v>9947</v>
      </c>
      <c r="B8603" t="s">
        <v>9948</v>
      </c>
      <c r="C8603">
        <v>0.55308387590600006</v>
      </c>
      <c r="D8603">
        <v>0.90167919147499997</v>
      </c>
      <c r="E8603">
        <v>1.00749625187406</v>
      </c>
    </row>
    <row r="8604" spans="1:5">
      <c r="A8604" t="s">
        <v>9947</v>
      </c>
      <c r="B8604" t="s">
        <v>9949</v>
      </c>
      <c r="C8604">
        <f>0</f>
        <v>0</v>
      </c>
      <c r="D8604">
        <v>0.90167919147499997</v>
      </c>
      <c r="E8604">
        <v>1.00749625187406</v>
      </c>
    </row>
    <row r="8605" spans="1:5">
      <c r="A8605" t="s">
        <v>9947</v>
      </c>
      <c r="B8605" t="s">
        <v>9950</v>
      </c>
      <c r="C8605">
        <f>0</f>
        <v>0</v>
      </c>
      <c r="D8605">
        <v>0.90167919147499997</v>
      </c>
      <c r="E8605">
        <v>1.00749625187406</v>
      </c>
    </row>
    <row r="8606" spans="1:5">
      <c r="A8606" t="s">
        <v>9951</v>
      </c>
      <c r="B8606" t="s">
        <v>9952</v>
      </c>
      <c r="C8606">
        <f>0</f>
        <v>0</v>
      </c>
      <c r="D8606">
        <v>0.98774409681200004</v>
      </c>
      <c r="E8606">
        <v>11.5382308845577</v>
      </c>
    </row>
    <row r="8607" spans="1:5">
      <c r="A8607" t="s">
        <v>9951</v>
      </c>
      <c r="B8607" t="s">
        <v>9953</v>
      </c>
      <c r="C8607">
        <f>0</f>
        <v>0</v>
      </c>
      <c r="D8607">
        <v>0.98774409681200004</v>
      </c>
      <c r="E8607">
        <v>11.5382308845577</v>
      </c>
    </row>
    <row r="8608" spans="1:5">
      <c r="A8608" t="s">
        <v>9951</v>
      </c>
      <c r="B8608" t="s">
        <v>9954</v>
      </c>
      <c r="C8608">
        <v>0</v>
      </c>
      <c r="D8608">
        <v>0.98774409681200004</v>
      </c>
      <c r="E8608">
        <v>11.5382308845577</v>
      </c>
    </row>
    <row r="8609" spans="1:5">
      <c r="A8609" t="s">
        <v>9951</v>
      </c>
      <c r="B8609" t="s">
        <v>9955</v>
      </c>
      <c r="C8609">
        <v>0</v>
      </c>
      <c r="D8609">
        <v>0.98774409681200004</v>
      </c>
      <c r="E8609">
        <v>11.5382308845577</v>
      </c>
    </row>
    <row r="8610" spans="1:5">
      <c r="A8610" t="s">
        <v>9951</v>
      </c>
      <c r="B8610" t="s">
        <v>9956</v>
      </c>
      <c r="C8610">
        <v>0</v>
      </c>
      <c r="D8610">
        <v>0.98774409681200004</v>
      </c>
      <c r="E8610">
        <v>11.5382308845577</v>
      </c>
    </row>
    <row r="8611" spans="1:5">
      <c r="A8611" t="s">
        <v>9951</v>
      </c>
      <c r="B8611" t="s">
        <v>9957</v>
      </c>
      <c r="C8611">
        <v>0</v>
      </c>
      <c r="D8611">
        <v>0.98774409681200004</v>
      </c>
      <c r="E8611">
        <v>11.5382308845577</v>
      </c>
    </row>
    <row r="8612" spans="1:5">
      <c r="A8612" t="s">
        <v>9951</v>
      </c>
      <c r="B8612" t="s">
        <v>9958</v>
      </c>
      <c r="C8612">
        <v>0.18393674265500001</v>
      </c>
      <c r="D8612">
        <v>0.98774409681200004</v>
      </c>
      <c r="E8612">
        <v>11.5382308845577</v>
      </c>
    </row>
    <row r="8613" spans="1:5">
      <c r="A8613" t="s">
        <v>9951</v>
      </c>
      <c r="B8613" t="s">
        <v>9959</v>
      </c>
      <c r="C8613">
        <v>0.121956036041</v>
      </c>
      <c r="D8613">
        <v>0.98774409681200004</v>
      </c>
      <c r="E8613">
        <v>11.5382308845577</v>
      </c>
    </row>
    <row r="8614" spans="1:5">
      <c r="A8614" t="s">
        <v>9951</v>
      </c>
      <c r="B8614" t="s">
        <v>9960</v>
      </c>
      <c r="C8614">
        <f>0</f>
        <v>0</v>
      </c>
      <c r="D8614">
        <v>0.98774409681200004</v>
      </c>
      <c r="E8614">
        <v>11.5382308845577</v>
      </c>
    </row>
    <row r="8615" spans="1:5">
      <c r="A8615" t="s">
        <v>9951</v>
      </c>
      <c r="B8615" t="s">
        <v>9961</v>
      </c>
      <c r="C8615">
        <v>0</v>
      </c>
      <c r="D8615">
        <v>0.98774409681200004</v>
      </c>
      <c r="E8615">
        <v>11.5382308845577</v>
      </c>
    </row>
    <row r="8616" spans="1:5">
      <c r="A8616" t="s">
        <v>9962</v>
      </c>
      <c r="B8616" t="s">
        <v>9963</v>
      </c>
      <c r="C8616">
        <v>0.22947424126900001</v>
      </c>
      <c r="D8616">
        <v>0.99368667259400001</v>
      </c>
      <c r="E8616">
        <v>11.5382308845577</v>
      </c>
    </row>
    <row r="8617" spans="1:5">
      <c r="A8617" t="s">
        <v>9962</v>
      </c>
      <c r="B8617" t="s">
        <v>9964</v>
      </c>
      <c r="C8617">
        <v>0</v>
      </c>
      <c r="D8617">
        <v>0.99368667259400001</v>
      </c>
      <c r="E8617">
        <v>11.5382308845577</v>
      </c>
    </row>
    <row r="8618" spans="1:5">
      <c r="A8618" t="s">
        <v>9962</v>
      </c>
      <c r="B8618" t="s">
        <v>9965</v>
      </c>
      <c r="C8618">
        <v>0.154528103581</v>
      </c>
      <c r="D8618">
        <v>0.99368667259400001</v>
      </c>
      <c r="E8618">
        <v>11.5382308845577</v>
      </c>
    </row>
    <row r="8619" spans="1:5">
      <c r="A8619" t="s">
        <v>9962</v>
      </c>
      <c r="B8619" t="s">
        <v>9966</v>
      </c>
      <c r="C8619">
        <v>0</v>
      </c>
      <c r="D8619">
        <v>0.99368667259400001</v>
      </c>
      <c r="E8619">
        <v>11.5382308845577</v>
      </c>
    </row>
    <row r="8620" spans="1:5">
      <c r="A8620" t="s">
        <v>9962</v>
      </c>
      <c r="B8620" t="s">
        <v>9967</v>
      </c>
      <c r="C8620">
        <f>0</f>
        <v>0</v>
      </c>
      <c r="D8620">
        <v>0.99368667259400001</v>
      </c>
      <c r="E8620">
        <v>11.5382308845577</v>
      </c>
    </row>
    <row r="8621" spans="1:5">
      <c r="A8621" t="s">
        <v>9962</v>
      </c>
      <c r="B8621" t="s">
        <v>9968</v>
      </c>
      <c r="C8621">
        <v>0</v>
      </c>
      <c r="D8621">
        <v>0.99368667259400001</v>
      </c>
      <c r="E8621">
        <v>11.5382308845577</v>
      </c>
    </row>
    <row r="8622" spans="1:5">
      <c r="A8622" t="s">
        <v>9962</v>
      </c>
      <c r="B8622" t="s">
        <v>9969</v>
      </c>
      <c r="C8622">
        <f>0</f>
        <v>0</v>
      </c>
      <c r="D8622">
        <v>0.99368667259400001</v>
      </c>
      <c r="E8622">
        <v>11.5382308845577</v>
      </c>
    </row>
    <row r="8623" spans="1:5">
      <c r="A8623" t="s">
        <v>9962</v>
      </c>
      <c r="B8623" t="s">
        <v>9970</v>
      </c>
      <c r="C8623">
        <v>0</v>
      </c>
      <c r="D8623">
        <v>0.99368667259400001</v>
      </c>
      <c r="E8623">
        <v>11.5382308845577</v>
      </c>
    </row>
    <row r="8624" spans="1:5">
      <c r="A8624" t="s">
        <v>9962</v>
      </c>
      <c r="B8624" t="s">
        <v>9971</v>
      </c>
      <c r="C8624">
        <v>0</v>
      </c>
      <c r="D8624">
        <v>0.99368667259400001</v>
      </c>
      <c r="E8624">
        <v>11.5382308845577</v>
      </c>
    </row>
    <row r="8625" spans="1:5">
      <c r="A8625" t="s">
        <v>9962</v>
      </c>
      <c r="B8625" t="s">
        <v>9972</v>
      </c>
      <c r="C8625">
        <v>0</v>
      </c>
      <c r="D8625">
        <v>0.99368667259400001</v>
      </c>
      <c r="E8625">
        <v>11.5382308845577</v>
      </c>
    </row>
    <row r="8626" spans="1:5">
      <c r="A8626" t="s">
        <v>9962</v>
      </c>
      <c r="B8626" t="s">
        <v>9973</v>
      </c>
      <c r="C8626">
        <v>0</v>
      </c>
      <c r="D8626">
        <v>0.99368667259400001</v>
      </c>
      <c r="E8626">
        <v>11.5382308845577</v>
      </c>
    </row>
    <row r="8627" spans="1:5">
      <c r="A8627" t="s">
        <v>9962</v>
      </c>
      <c r="B8627" t="s">
        <v>9974</v>
      </c>
      <c r="C8627">
        <f>0</f>
        <v>0</v>
      </c>
      <c r="D8627">
        <v>0.99368667259400001</v>
      </c>
      <c r="E8627">
        <v>11.5382308845577</v>
      </c>
    </row>
    <row r="8628" spans="1:5">
      <c r="A8628" t="s">
        <v>9975</v>
      </c>
      <c r="B8628" t="s">
        <v>9976</v>
      </c>
      <c r="C8628">
        <f>0</f>
        <v>0</v>
      </c>
      <c r="D8628" t="s">
        <v>106</v>
      </c>
      <c r="E8628">
        <v>0.82758620689655105</v>
      </c>
    </row>
    <row r="8629" spans="1:5">
      <c r="A8629" t="s">
        <v>9977</v>
      </c>
      <c r="B8629" t="s">
        <v>9978</v>
      </c>
      <c r="C8629">
        <v>0</v>
      </c>
      <c r="D8629">
        <v>0.95857007897400004</v>
      </c>
      <c r="E8629">
        <v>21.637181409295302</v>
      </c>
    </row>
    <row r="8630" spans="1:5">
      <c r="A8630" t="s">
        <v>9977</v>
      </c>
      <c r="B8630" t="s">
        <v>9979</v>
      </c>
      <c r="C8630">
        <v>0</v>
      </c>
      <c r="D8630">
        <v>0.95857007897400004</v>
      </c>
      <c r="E8630">
        <v>21.637181409295302</v>
      </c>
    </row>
    <row r="8631" spans="1:5">
      <c r="A8631" t="s">
        <v>9977</v>
      </c>
      <c r="B8631" t="s">
        <v>9980</v>
      </c>
      <c r="C8631">
        <v>0</v>
      </c>
      <c r="D8631">
        <v>0.95857007897400004</v>
      </c>
      <c r="E8631">
        <v>21.637181409295302</v>
      </c>
    </row>
    <row r="8632" spans="1:5">
      <c r="A8632" t="s">
        <v>9977</v>
      </c>
      <c r="B8632" t="s">
        <v>9981</v>
      </c>
      <c r="C8632">
        <v>0</v>
      </c>
      <c r="D8632">
        <v>0.95857007897400004</v>
      </c>
      <c r="E8632">
        <v>21.637181409295302</v>
      </c>
    </row>
    <row r="8633" spans="1:5">
      <c r="A8633" t="s">
        <v>9977</v>
      </c>
      <c r="B8633" t="s">
        <v>9982</v>
      </c>
      <c r="C8633">
        <v>0</v>
      </c>
      <c r="D8633">
        <v>0.95857007897400004</v>
      </c>
      <c r="E8633">
        <v>21.637181409295302</v>
      </c>
    </row>
    <row r="8634" spans="1:5">
      <c r="A8634" t="s">
        <v>9977</v>
      </c>
      <c r="B8634" t="s">
        <v>9983</v>
      </c>
      <c r="C8634">
        <f>0</f>
        <v>0</v>
      </c>
      <c r="D8634">
        <v>0.95857007897400004</v>
      </c>
      <c r="E8634">
        <v>21.637181409295302</v>
      </c>
    </row>
    <row r="8635" spans="1:5">
      <c r="A8635" t="s">
        <v>9977</v>
      </c>
      <c r="B8635" t="s">
        <v>9984</v>
      </c>
      <c r="C8635">
        <f>0</f>
        <v>0</v>
      </c>
      <c r="D8635">
        <v>0.95857007897400004</v>
      </c>
      <c r="E8635">
        <v>21.637181409295302</v>
      </c>
    </row>
    <row r="8636" spans="1:5">
      <c r="A8636" t="s">
        <v>9977</v>
      </c>
      <c r="B8636" t="s">
        <v>9985</v>
      </c>
      <c r="C8636">
        <v>0</v>
      </c>
      <c r="D8636">
        <v>0.95857007897400004</v>
      </c>
      <c r="E8636">
        <v>21.637181409295302</v>
      </c>
    </row>
    <row r="8637" spans="1:5">
      <c r="A8637" t="s">
        <v>9977</v>
      </c>
      <c r="B8637" t="s">
        <v>9986</v>
      </c>
      <c r="C8637">
        <f>0</f>
        <v>0</v>
      </c>
      <c r="D8637">
        <v>0.95857007897400004</v>
      </c>
      <c r="E8637">
        <v>21.637181409295302</v>
      </c>
    </row>
    <row r="8638" spans="1:5">
      <c r="A8638" t="s">
        <v>9977</v>
      </c>
      <c r="B8638" t="s">
        <v>9987</v>
      </c>
      <c r="C8638">
        <v>0</v>
      </c>
      <c r="D8638">
        <v>0.95857007897400004</v>
      </c>
      <c r="E8638">
        <v>21.637181409295302</v>
      </c>
    </row>
    <row r="8639" spans="1:5">
      <c r="A8639" t="s">
        <v>9977</v>
      </c>
      <c r="B8639" t="s">
        <v>9988</v>
      </c>
      <c r="C8639">
        <f>0.0869096811073</f>
        <v>8.6909681107300005E-2</v>
      </c>
      <c r="D8639">
        <v>0.95857007897400004</v>
      </c>
      <c r="E8639">
        <v>21.637181409295302</v>
      </c>
    </row>
    <row r="8640" spans="1:5">
      <c r="A8640" t="s">
        <v>9977</v>
      </c>
      <c r="B8640" t="s">
        <v>9989</v>
      </c>
      <c r="C8640">
        <v>1.5706213086399998E-2</v>
      </c>
      <c r="D8640">
        <v>0.95857007897400004</v>
      </c>
      <c r="E8640">
        <v>21.637181409295302</v>
      </c>
    </row>
    <row r="8641" spans="1:5">
      <c r="A8641" t="s">
        <v>9990</v>
      </c>
      <c r="B8641" t="s">
        <v>9991</v>
      </c>
      <c r="C8641">
        <v>0</v>
      </c>
      <c r="D8641">
        <v>0.86286609631599998</v>
      </c>
      <c r="E8641">
        <v>6.0569715142428704</v>
      </c>
    </row>
    <row r="8642" spans="1:5">
      <c r="A8642" t="s">
        <v>9990</v>
      </c>
      <c r="B8642" t="s">
        <v>9992</v>
      </c>
      <c r="C8642">
        <v>0</v>
      </c>
      <c r="D8642">
        <v>0.86286609631599998</v>
      </c>
      <c r="E8642">
        <v>6.0569715142428704</v>
      </c>
    </row>
    <row r="8643" spans="1:5">
      <c r="A8643" t="s">
        <v>9993</v>
      </c>
      <c r="B8643" t="s">
        <v>9994</v>
      </c>
      <c r="C8643">
        <f>0</f>
        <v>0</v>
      </c>
      <c r="D8643">
        <v>0.84275392661299997</v>
      </c>
      <c r="E8643">
        <v>23.7481259370314</v>
      </c>
    </row>
    <row r="8644" spans="1:5">
      <c r="A8644" t="s">
        <v>9993</v>
      </c>
      <c r="B8644" t="s">
        <v>9995</v>
      </c>
      <c r="C8644">
        <f>0</f>
        <v>0</v>
      </c>
      <c r="D8644">
        <v>0.84275392661299997</v>
      </c>
      <c r="E8644">
        <v>23.7481259370314</v>
      </c>
    </row>
    <row r="8645" spans="1:5">
      <c r="A8645" t="s">
        <v>9993</v>
      </c>
      <c r="B8645" t="s">
        <v>9996</v>
      </c>
      <c r="C8645">
        <f>0.0774356262861</f>
        <v>7.7435626286099998E-2</v>
      </c>
      <c r="D8645">
        <v>0.84275392661299997</v>
      </c>
      <c r="E8645">
        <v>23.7481259370314</v>
      </c>
    </row>
    <row r="8646" spans="1:5">
      <c r="A8646" t="s">
        <v>9993</v>
      </c>
      <c r="B8646" t="s">
        <v>9997</v>
      </c>
      <c r="C8646">
        <f>0.0213554894396</f>
        <v>2.1355489439600001E-2</v>
      </c>
      <c r="D8646">
        <v>0.84275392661299997</v>
      </c>
      <c r="E8646">
        <v>23.7481259370314</v>
      </c>
    </row>
    <row r="8647" spans="1:5">
      <c r="A8647" t="s">
        <v>9998</v>
      </c>
      <c r="B8647" t="s">
        <v>9999</v>
      </c>
      <c r="C8647">
        <f>0.0713719883314</f>
        <v>7.1371988331400002E-2</v>
      </c>
      <c r="D8647">
        <v>0.80180342590800002</v>
      </c>
      <c r="E8647">
        <v>13.997001499250301</v>
      </c>
    </row>
    <row r="8648" spans="1:5">
      <c r="A8648" t="s">
        <v>9998</v>
      </c>
      <c r="B8648" t="s">
        <v>10000</v>
      </c>
      <c r="C8648">
        <v>0</v>
      </c>
      <c r="D8648">
        <v>0.80180342590800002</v>
      </c>
      <c r="E8648">
        <v>13.997001499250301</v>
      </c>
    </row>
    <row r="8649" spans="1:5">
      <c r="A8649" t="s">
        <v>9998</v>
      </c>
      <c r="B8649" t="s">
        <v>10001</v>
      </c>
      <c r="C8649">
        <f>0</f>
        <v>0</v>
      </c>
      <c r="D8649">
        <v>0.80180342590800002</v>
      </c>
      <c r="E8649">
        <v>13.997001499250301</v>
      </c>
    </row>
    <row r="8650" spans="1:5">
      <c r="A8650" t="s">
        <v>9998</v>
      </c>
      <c r="B8650" t="s">
        <v>10002</v>
      </c>
      <c r="C8650">
        <v>0</v>
      </c>
      <c r="D8650">
        <v>0.80180342590800002</v>
      </c>
      <c r="E8650">
        <v>13.997001499250301</v>
      </c>
    </row>
    <row r="8651" spans="1:5">
      <c r="A8651" t="s">
        <v>9998</v>
      </c>
      <c r="B8651" t="s">
        <v>10003</v>
      </c>
      <c r="C8651">
        <v>0</v>
      </c>
      <c r="D8651">
        <v>0.80180342590800002</v>
      </c>
      <c r="E8651">
        <v>13.997001499250301</v>
      </c>
    </row>
    <row r="8652" spans="1:5">
      <c r="A8652" t="s">
        <v>10004</v>
      </c>
      <c r="B8652" t="s">
        <v>10005</v>
      </c>
      <c r="C8652">
        <f>0</f>
        <v>0</v>
      </c>
      <c r="D8652">
        <v>0.97198132635099999</v>
      </c>
      <c r="E8652">
        <v>0.215892053973013</v>
      </c>
    </row>
    <row r="8653" spans="1:5">
      <c r="A8653" t="s">
        <v>10004</v>
      </c>
      <c r="B8653" t="s">
        <v>10006</v>
      </c>
      <c r="C8653">
        <f>0</f>
        <v>0</v>
      </c>
      <c r="D8653">
        <v>0.97198132635099999</v>
      </c>
      <c r="E8653">
        <v>0.215892053973013</v>
      </c>
    </row>
    <row r="8654" spans="1:5">
      <c r="A8654" t="s">
        <v>10004</v>
      </c>
      <c r="B8654" t="s">
        <v>10007</v>
      </c>
      <c r="C8654">
        <f>0.170952156208</f>
        <v>0.170952156208</v>
      </c>
      <c r="D8654">
        <v>0.97198132635099999</v>
      </c>
      <c r="E8654">
        <v>0.215892053973013</v>
      </c>
    </row>
    <row r="8655" spans="1:5">
      <c r="A8655" t="s">
        <v>10004</v>
      </c>
      <c r="B8655" t="s">
        <v>10008</v>
      </c>
      <c r="C8655">
        <f>0</f>
        <v>0</v>
      </c>
      <c r="D8655">
        <v>0.97198132635099999</v>
      </c>
      <c r="E8655">
        <v>0.215892053973013</v>
      </c>
    </row>
    <row r="8656" spans="1:5">
      <c r="A8656" t="s">
        <v>10004</v>
      </c>
      <c r="B8656" t="s">
        <v>10009</v>
      </c>
      <c r="C8656">
        <f>0.734810916207</f>
        <v>0.73481091620700001</v>
      </c>
      <c r="D8656">
        <v>0.97198132635099999</v>
      </c>
      <c r="E8656">
        <v>0.215892053973013</v>
      </c>
    </row>
    <row r="8657" spans="1:5">
      <c r="A8657" t="s">
        <v>10004</v>
      </c>
      <c r="B8657" t="s">
        <v>10010</v>
      </c>
      <c r="C8657">
        <f>0</f>
        <v>0</v>
      </c>
      <c r="D8657">
        <v>0.97198132635099999</v>
      </c>
      <c r="E8657">
        <v>0.215892053973013</v>
      </c>
    </row>
    <row r="8658" spans="1:5">
      <c r="A8658" t="s">
        <v>10011</v>
      </c>
      <c r="B8658" t="s">
        <v>10012</v>
      </c>
      <c r="C8658">
        <v>0</v>
      </c>
      <c r="D8658">
        <v>0.78482266429299996</v>
      </c>
      <c r="E8658">
        <v>3.97001499250374</v>
      </c>
    </row>
    <row r="8659" spans="1:5">
      <c r="A8659" t="s">
        <v>10013</v>
      </c>
      <c r="B8659" t="s">
        <v>10014</v>
      </c>
      <c r="C8659">
        <v>0.13525118720400001</v>
      </c>
      <c r="D8659">
        <v>0.91316680547999995</v>
      </c>
      <c r="E8659">
        <v>19.850074962518701</v>
      </c>
    </row>
    <row r="8660" spans="1:5">
      <c r="A8660" t="s">
        <v>10013</v>
      </c>
      <c r="B8660" t="s">
        <v>10015</v>
      </c>
      <c r="C8660">
        <f>0</f>
        <v>0</v>
      </c>
      <c r="D8660">
        <v>0.91316680547999995</v>
      </c>
      <c r="E8660">
        <v>19.850074962518701</v>
      </c>
    </row>
    <row r="8661" spans="1:5">
      <c r="A8661" t="s">
        <v>10013</v>
      </c>
      <c r="B8661" t="s">
        <v>10016</v>
      </c>
      <c r="C8661">
        <f>0</f>
        <v>0</v>
      </c>
      <c r="D8661">
        <v>0.91316680547999995</v>
      </c>
      <c r="E8661">
        <v>19.850074962518701</v>
      </c>
    </row>
    <row r="8662" spans="1:5">
      <c r="A8662" t="s">
        <v>10013</v>
      </c>
      <c r="B8662" t="s">
        <v>10017</v>
      </c>
      <c r="C8662">
        <f>0</f>
        <v>0</v>
      </c>
      <c r="D8662">
        <v>0.91316680547999995</v>
      </c>
      <c r="E8662">
        <v>19.850074962518701</v>
      </c>
    </row>
    <row r="8663" spans="1:5">
      <c r="A8663" t="s">
        <v>10013</v>
      </c>
      <c r="B8663" t="s">
        <v>10018</v>
      </c>
      <c r="C8663">
        <f>0.00986553830801</f>
        <v>9.8655383080099995E-3</v>
      </c>
      <c r="D8663">
        <v>0.91316680547999995</v>
      </c>
      <c r="E8663">
        <v>19.850074962518701</v>
      </c>
    </row>
    <row r="8664" spans="1:5">
      <c r="A8664" t="s">
        <v>10019</v>
      </c>
      <c r="B8664" t="s">
        <v>10020</v>
      </c>
      <c r="C8664">
        <v>0</v>
      </c>
      <c r="D8664">
        <v>0.95474561061899998</v>
      </c>
      <c r="E8664">
        <v>1.33133433283358</v>
      </c>
    </row>
    <row r="8665" spans="1:5">
      <c r="A8665" t="s">
        <v>10019</v>
      </c>
      <c r="B8665" t="s">
        <v>10021</v>
      </c>
      <c r="C8665">
        <v>0</v>
      </c>
      <c r="D8665">
        <v>0.95474561061899998</v>
      </c>
      <c r="E8665">
        <v>1.33133433283358</v>
      </c>
    </row>
    <row r="8666" spans="1:5">
      <c r="A8666" t="s">
        <v>10019</v>
      </c>
      <c r="B8666" t="s">
        <v>10022</v>
      </c>
      <c r="C8666">
        <v>3.6103321783599998E-2</v>
      </c>
      <c r="D8666">
        <v>0.95474561061899998</v>
      </c>
      <c r="E8666">
        <v>1.33133433283358</v>
      </c>
    </row>
    <row r="8667" spans="1:5">
      <c r="A8667" t="s">
        <v>10019</v>
      </c>
      <c r="B8667" t="s">
        <v>10023</v>
      </c>
      <c r="C8667">
        <v>5.6839210948700002E-2</v>
      </c>
      <c r="D8667">
        <v>0.95474561061899998</v>
      </c>
      <c r="E8667">
        <v>1.33133433283358</v>
      </c>
    </row>
    <row r="8668" spans="1:5">
      <c r="A8668" t="s">
        <v>10019</v>
      </c>
      <c r="B8668" t="s">
        <v>10024</v>
      </c>
      <c r="C8668">
        <f>0</f>
        <v>0</v>
      </c>
      <c r="D8668">
        <v>0.95474561061899998</v>
      </c>
      <c r="E8668">
        <v>1.33133433283358</v>
      </c>
    </row>
    <row r="8669" spans="1:5">
      <c r="A8669" t="s">
        <v>10019</v>
      </c>
      <c r="B8669" t="s">
        <v>10025</v>
      </c>
      <c r="C8669">
        <v>0</v>
      </c>
      <c r="D8669">
        <v>0.95474561061899998</v>
      </c>
      <c r="E8669">
        <v>1.33133433283358</v>
      </c>
    </row>
    <row r="8670" spans="1:5">
      <c r="A8670" t="s">
        <v>10026</v>
      </c>
      <c r="B8670" t="s">
        <v>10027</v>
      </c>
      <c r="C8670">
        <v>0</v>
      </c>
      <c r="D8670">
        <v>0.99115838546799995</v>
      </c>
      <c r="E8670">
        <v>6.1769115442278801</v>
      </c>
    </row>
    <row r="8671" spans="1:5">
      <c r="A8671" t="s">
        <v>10026</v>
      </c>
      <c r="B8671" t="s">
        <v>10028</v>
      </c>
      <c r="C8671">
        <v>0</v>
      </c>
      <c r="D8671">
        <v>0.99115838546799995</v>
      </c>
      <c r="E8671">
        <v>6.1769115442278801</v>
      </c>
    </row>
    <row r="8672" spans="1:5">
      <c r="A8672" t="s">
        <v>10026</v>
      </c>
      <c r="B8672" t="s">
        <v>10029</v>
      </c>
      <c r="C8672">
        <f>0</f>
        <v>0</v>
      </c>
      <c r="D8672">
        <v>0.99115838546799995</v>
      </c>
      <c r="E8672">
        <v>6.1769115442278801</v>
      </c>
    </row>
    <row r="8673" spans="1:5">
      <c r="A8673" t="s">
        <v>10026</v>
      </c>
      <c r="B8673" t="s">
        <v>10030</v>
      </c>
      <c r="C8673">
        <v>0</v>
      </c>
      <c r="D8673">
        <v>0.99115838546799995</v>
      </c>
      <c r="E8673">
        <v>6.1769115442278801</v>
      </c>
    </row>
    <row r="8674" spans="1:5">
      <c r="A8674" t="s">
        <v>10026</v>
      </c>
      <c r="B8674" t="s">
        <v>10031</v>
      </c>
      <c r="C8674">
        <v>0</v>
      </c>
      <c r="D8674">
        <v>0.99115838546799995</v>
      </c>
      <c r="E8674">
        <v>6.1769115442278801</v>
      </c>
    </row>
    <row r="8675" spans="1:5">
      <c r="A8675" t="s">
        <v>10026</v>
      </c>
      <c r="B8675" t="s">
        <v>10032</v>
      </c>
      <c r="C8675">
        <v>0</v>
      </c>
      <c r="D8675">
        <v>0.99115838546799995</v>
      </c>
      <c r="E8675">
        <v>6.1769115442278801</v>
      </c>
    </row>
    <row r="8676" spans="1:5">
      <c r="A8676" t="s">
        <v>10026</v>
      </c>
      <c r="B8676" t="s">
        <v>10033</v>
      </c>
      <c r="C8676">
        <v>0</v>
      </c>
      <c r="D8676">
        <v>0.99115838546799995</v>
      </c>
      <c r="E8676">
        <v>6.1769115442278801</v>
      </c>
    </row>
    <row r="8677" spans="1:5">
      <c r="A8677" t="s">
        <v>10026</v>
      </c>
      <c r="B8677" t="s">
        <v>10034</v>
      </c>
      <c r="C8677">
        <v>0</v>
      </c>
      <c r="D8677">
        <v>0.99115838546799995</v>
      </c>
      <c r="E8677">
        <v>6.1769115442278801</v>
      </c>
    </row>
    <row r="8678" spans="1:5">
      <c r="A8678" t="s">
        <v>10026</v>
      </c>
      <c r="B8678" t="s">
        <v>10035</v>
      </c>
      <c r="C8678">
        <f>0</f>
        <v>0</v>
      </c>
      <c r="D8678">
        <v>0.99115838546799995</v>
      </c>
      <c r="E8678">
        <v>6.1769115442278801</v>
      </c>
    </row>
    <row r="8679" spans="1:5">
      <c r="A8679" t="s">
        <v>10026</v>
      </c>
      <c r="B8679" t="s">
        <v>10036</v>
      </c>
      <c r="C8679">
        <v>0</v>
      </c>
      <c r="D8679">
        <v>0.99115838546799995</v>
      </c>
      <c r="E8679">
        <v>6.1769115442278801</v>
      </c>
    </row>
    <row r="8680" spans="1:5">
      <c r="A8680" t="s">
        <v>10026</v>
      </c>
      <c r="B8680" t="s">
        <v>10037</v>
      </c>
      <c r="C8680">
        <f>0</f>
        <v>0</v>
      </c>
      <c r="D8680">
        <v>0.99115838546799995</v>
      </c>
      <c r="E8680">
        <v>6.1769115442278801</v>
      </c>
    </row>
    <row r="8681" spans="1:5">
      <c r="A8681" t="s">
        <v>10026</v>
      </c>
      <c r="B8681" t="s">
        <v>10038</v>
      </c>
      <c r="C8681">
        <v>0</v>
      </c>
      <c r="D8681">
        <v>0.99115838546799995</v>
      </c>
      <c r="E8681">
        <v>6.1769115442278801</v>
      </c>
    </row>
    <row r="8682" spans="1:5">
      <c r="A8682" t="s">
        <v>10026</v>
      </c>
      <c r="B8682" t="s">
        <v>10039</v>
      </c>
      <c r="C8682">
        <v>0</v>
      </c>
      <c r="D8682">
        <v>0.99115838546799995</v>
      </c>
      <c r="E8682">
        <v>6.1769115442278801</v>
      </c>
    </row>
    <row r="8683" spans="1:5">
      <c r="A8683" t="s">
        <v>10026</v>
      </c>
      <c r="B8683" t="s">
        <v>10040</v>
      </c>
      <c r="C8683">
        <v>0</v>
      </c>
      <c r="D8683">
        <v>0.99115838546799995</v>
      </c>
      <c r="E8683">
        <v>6.1769115442278801</v>
      </c>
    </row>
    <row r="8684" spans="1:5">
      <c r="A8684" t="s">
        <v>10026</v>
      </c>
      <c r="B8684" t="s">
        <v>10041</v>
      </c>
      <c r="C8684">
        <f>0</f>
        <v>0</v>
      </c>
      <c r="D8684">
        <v>0.99115838546799995</v>
      </c>
      <c r="E8684">
        <v>6.1769115442278801</v>
      </c>
    </row>
    <row r="8685" spans="1:5">
      <c r="A8685" t="s">
        <v>10026</v>
      </c>
      <c r="B8685" t="s">
        <v>10042</v>
      </c>
      <c r="C8685">
        <v>0.15316916669299999</v>
      </c>
      <c r="D8685">
        <v>0.99115838546799995</v>
      </c>
      <c r="E8685">
        <v>6.1769115442278801</v>
      </c>
    </row>
    <row r="8686" spans="1:5">
      <c r="A8686" t="s">
        <v>10043</v>
      </c>
      <c r="B8686" t="s">
        <v>10044</v>
      </c>
      <c r="C8686">
        <v>7.0174691874600001E-2</v>
      </c>
      <c r="D8686">
        <v>0.85324294881399998</v>
      </c>
      <c r="E8686">
        <v>14.176911544227799</v>
      </c>
    </row>
    <row r="8687" spans="1:5">
      <c r="A8687" t="s">
        <v>10043</v>
      </c>
      <c r="B8687" t="s">
        <v>10045</v>
      </c>
      <c r="C8687">
        <v>0</v>
      </c>
      <c r="D8687">
        <v>0.85324294881399998</v>
      </c>
      <c r="E8687">
        <v>14.176911544227799</v>
      </c>
    </row>
    <row r="8688" spans="1:5">
      <c r="A8688" t="s">
        <v>10043</v>
      </c>
      <c r="B8688" t="s">
        <v>10046</v>
      </c>
      <c r="C8688">
        <f>0</f>
        <v>0</v>
      </c>
      <c r="D8688">
        <v>0.85324294881399998</v>
      </c>
      <c r="E8688">
        <v>14.176911544227799</v>
      </c>
    </row>
    <row r="8689" spans="1:5">
      <c r="A8689" t="s">
        <v>10043</v>
      </c>
      <c r="B8689" t="s">
        <v>10047</v>
      </c>
      <c r="C8689">
        <v>0</v>
      </c>
      <c r="D8689">
        <v>0.85324294881399998</v>
      </c>
      <c r="E8689">
        <v>14.176911544227799</v>
      </c>
    </row>
    <row r="8690" spans="1:5">
      <c r="A8690" t="s">
        <v>10048</v>
      </c>
      <c r="B8690" t="s">
        <v>10049</v>
      </c>
      <c r="C8690">
        <v>0</v>
      </c>
      <c r="D8690" t="s">
        <v>106</v>
      </c>
      <c r="E8690">
        <v>2.39880059970015</v>
      </c>
    </row>
    <row r="8691" spans="1:5">
      <c r="A8691" t="s">
        <v>10048</v>
      </c>
      <c r="B8691" t="s">
        <v>10050</v>
      </c>
      <c r="C8691">
        <f>0.334067331205</f>
        <v>0.33406733120499998</v>
      </c>
      <c r="D8691" t="s">
        <v>106</v>
      </c>
      <c r="E8691">
        <v>2.39880059970015</v>
      </c>
    </row>
    <row r="8692" spans="1:5">
      <c r="A8692" t="s">
        <v>10048</v>
      </c>
      <c r="B8692" t="s">
        <v>10051</v>
      </c>
      <c r="C8692">
        <v>0</v>
      </c>
      <c r="D8692" t="s">
        <v>106</v>
      </c>
      <c r="E8692">
        <v>2.39880059970015</v>
      </c>
    </row>
    <row r="8693" spans="1:5">
      <c r="A8693" t="s">
        <v>10048</v>
      </c>
      <c r="B8693" t="s">
        <v>10052</v>
      </c>
      <c r="C8693">
        <v>0</v>
      </c>
      <c r="D8693" t="s">
        <v>106</v>
      </c>
      <c r="E8693">
        <v>2.39880059970015</v>
      </c>
    </row>
    <row r="8694" spans="1:5">
      <c r="A8694" t="s">
        <v>10048</v>
      </c>
      <c r="B8694" t="s">
        <v>10053</v>
      </c>
      <c r="C8694">
        <f>0</f>
        <v>0</v>
      </c>
      <c r="D8694" t="s">
        <v>106</v>
      </c>
      <c r="E8694">
        <v>2.39880059970015</v>
      </c>
    </row>
    <row r="8695" spans="1:5">
      <c r="A8695" t="s">
        <v>10048</v>
      </c>
      <c r="B8695" t="s">
        <v>10054</v>
      </c>
      <c r="C8695">
        <f>0.0402882802532</f>
        <v>4.0288280253199998E-2</v>
      </c>
      <c r="D8695" t="s">
        <v>106</v>
      </c>
      <c r="E8695">
        <v>2.39880059970015</v>
      </c>
    </row>
    <row r="8696" spans="1:5">
      <c r="A8696" t="s">
        <v>10048</v>
      </c>
      <c r="B8696" t="s">
        <v>10055</v>
      </c>
      <c r="C8696">
        <f>0</f>
        <v>0</v>
      </c>
      <c r="D8696" t="s">
        <v>106</v>
      </c>
      <c r="E8696">
        <v>2.39880059970015</v>
      </c>
    </row>
    <row r="8697" spans="1:5">
      <c r="A8697" t="s">
        <v>10048</v>
      </c>
      <c r="B8697" t="s">
        <v>10056</v>
      </c>
      <c r="C8697">
        <f>0</f>
        <v>0</v>
      </c>
      <c r="D8697" t="s">
        <v>106</v>
      </c>
      <c r="E8697">
        <v>2.39880059970015</v>
      </c>
    </row>
    <row r="8698" spans="1:5">
      <c r="A8698" t="s">
        <v>10048</v>
      </c>
      <c r="B8698" t="s">
        <v>10057</v>
      </c>
      <c r="C8698">
        <f>0</f>
        <v>0</v>
      </c>
      <c r="D8698" t="s">
        <v>106</v>
      </c>
      <c r="E8698">
        <v>2.39880059970015</v>
      </c>
    </row>
    <row r="8699" spans="1:5">
      <c r="A8699" t="s">
        <v>10048</v>
      </c>
      <c r="B8699" t="s">
        <v>10058</v>
      </c>
      <c r="C8699">
        <f>0</f>
        <v>0</v>
      </c>
      <c r="D8699" t="s">
        <v>106</v>
      </c>
      <c r="E8699">
        <v>2.39880059970015</v>
      </c>
    </row>
    <row r="8700" spans="1:5">
      <c r="A8700" t="s">
        <v>10048</v>
      </c>
      <c r="B8700" t="s">
        <v>10059</v>
      </c>
      <c r="C8700">
        <v>0</v>
      </c>
      <c r="D8700" t="s">
        <v>106</v>
      </c>
      <c r="E8700">
        <v>2.39880059970015</v>
      </c>
    </row>
    <row r="8701" spans="1:5">
      <c r="A8701" t="s">
        <v>10048</v>
      </c>
      <c r="B8701" t="s">
        <v>10060</v>
      </c>
      <c r="C8701">
        <f>0</f>
        <v>0</v>
      </c>
      <c r="D8701" t="s">
        <v>106</v>
      </c>
      <c r="E8701">
        <v>2.39880059970015</v>
      </c>
    </row>
    <row r="8702" spans="1:5">
      <c r="A8702" t="s">
        <v>10048</v>
      </c>
      <c r="B8702" t="s">
        <v>10061</v>
      </c>
      <c r="C8702">
        <v>0</v>
      </c>
      <c r="D8702" t="s">
        <v>106</v>
      </c>
      <c r="E8702">
        <v>2.39880059970015</v>
      </c>
    </row>
    <row r="8703" spans="1:5">
      <c r="A8703" t="s">
        <v>10062</v>
      </c>
      <c r="B8703" t="s">
        <v>10063</v>
      </c>
      <c r="C8703">
        <f>0.136799892716</f>
        <v>0.13679989271599999</v>
      </c>
      <c r="D8703">
        <v>0.877203423486</v>
      </c>
      <c r="E8703">
        <v>18.1349325337331</v>
      </c>
    </row>
    <row r="8704" spans="1:5">
      <c r="A8704" t="s">
        <v>10062</v>
      </c>
      <c r="B8704" t="s">
        <v>10064</v>
      </c>
      <c r="C8704">
        <v>0</v>
      </c>
      <c r="D8704">
        <v>0.877203423486</v>
      </c>
      <c r="E8704">
        <v>18.1349325337331</v>
      </c>
    </row>
    <row r="8705" spans="1:5">
      <c r="A8705" t="s">
        <v>10062</v>
      </c>
      <c r="B8705" t="s">
        <v>10065</v>
      </c>
      <c r="C8705">
        <v>1.8148963070799998E-2</v>
      </c>
      <c r="D8705">
        <v>0.877203423486</v>
      </c>
      <c r="E8705">
        <v>18.1349325337331</v>
      </c>
    </row>
    <row r="8706" spans="1:5">
      <c r="A8706" t="s">
        <v>10062</v>
      </c>
      <c r="B8706" t="s">
        <v>10066</v>
      </c>
      <c r="C8706">
        <v>0</v>
      </c>
      <c r="D8706">
        <v>0.877203423486</v>
      </c>
      <c r="E8706">
        <v>18.1349325337331</v>
      </c>
    </row>
    <row r="8707" spans="1:5">
      <c r="A8707" t="s">
        <v>10067</v>
      </c>
      <c r="B8707" t="s">
        <v>10068</v>
      </c>
      <c r="C8707">
        <v>0</v>
      </c>
      <c r="D8707">
        <v>0.97065244021499997</v>
      </c>
      <c r="E8707">
        <v>13.445277361319301</v>
      </c>
    </row>
    <row r="8708" spans="1:5">
      <c r="A8708" t="s">
        <v>10067</v>
      </c>
      <c r="B8708" t="s">
        <v>10069</v>
      </c>
      <c r="C8708">
        <v>6.1850787317000002E-3</v>
      </c>
      <c r="D8708">
        <v>0.97065244021499997</v>
      </c>
      <c r="E8708">
        <v>13.445277361319301</v>
      </c>
    </row>
    <row r="8709" spans="1:5">
      <c r="A8709" t="s">
        <v>10067</v>
      </c>
      <c r="B8709" t="s">
        <v>10070</v>
      </c>
      <c r="C8709">
        <f>0</f>
        <v>0</v>
      </c>
      <c r="D8709">
        <v>0.97065244021499997</v>
      </c>
      <c r="E8709">
        <v>13.445277361319301</v>
      </c>
    </row>
    <row r="8710" spans="1:5">
      <c r="A8710" t="s">
        <v>10067</v>
      </c>
      <c r="B8710" t="s">
        <v>10071</v>
      </c>
      <c r="C8710">
        <v>0</v>
      </c>
      <c r="D8710">
        <v>0.97065244021499997</v>
      </c>
      <c r="E8710">
        <v>13.445277361319301</v>
      </c>
    </row>
    <row r="8711" spans="1:5">
      <c r="A8711" t="s">
        <v>10067</v>
      </c>
      <c r="B8711" t="s">
        <v>10072</v>
      </c>
      <c r="C8711">
        <v>0</v>
      </c>
      <c r="D8711">
        <v>0.97065244021499997</v>
      </c>
      <c r="E8711">
        <v>13.445277361319301</v>
      </c>
    </row>
    <row r="8712" spans="1:5">
      <c r="A8712" t="s">
        <v>10067</v>
      </c>
      <c r="B8712" t="s">
        <v>10073</v>
      </c>
      <c r="C8712">
        <f>0</f>
        <v>0</v>
      </c>
      <c r="D8712">
        <v>0.97065244021499997</v>
      </c>
      <c r="E8712">
        <v>13.445277361319301</v>
      </c>
    </row>
    <row r="8713" spans="1:5">
      <c r="A8713" t="s">
        <v>10067</v>
      </c>
      <c r="B8713" t="s">
        <v>10074</v>
      </c>
      <c r="C8713">
        <f>0</f>
        <v>0</v>
      </c>
      <c r="D8713">
        <v>0.97065244021499997</v>
      </c>
      <c r="E8713">
        <v>13.445277361319301</v>
      </c>
    </row>
    <row r="8714" spans="1:5">
      <c r="A8714" t="s">
        <v>10067</v>
      </c>
      <c r="B8714" t="s">
        <v>10075</v>
      </c>
      <c r="C8714">
        <v>0</v>
      </c>
      <c r="D8714">
        <v>0.97065244021499997</v>
      </c>
      <c r="E8714">
        <v>13.445277361319301</v>
      </c>
    </row>
    <row r="8715" spans="1:5">
      <c r="A8715" t="s">
        <v>10067</v>
      </c>
      <c r="B8715" t="s">
        <v>10076</v>
      </c>
      <c r="C8715">
        <v>0</v>
      </c>
      <c r="D8715">
        <v>0.97065244021499997</v>
      </c>
      <c r="E8715">
        <v>13.445277361319301</v>
      </c>
    </row>
    <row r="8716" spans="1:5">
      <c r="A8716" t="s">
        <v>10067</v>
      </c>
      <c r="B8716" t="s">
        <v>10077</v>
      </c>
      <c r="C8716">
        <v>7.8030517504199995E-2</v>
      </c>
      <c r="D8716">
        <v>0.97065244021499997</v>
      </c>
      <c r="E8716">
        <v>13.445277361319301</v>
      </c>
    </row>
    <row r="8717" spans="1:5">
      <c r="A8717" t="s">
        <v>10067</v>
      </c>
      <c r="B8717" t="s">
        <v>10078</v>
      </c>
      <c r="C8717">
        <v>0</v>
      </c>
      <c r="D8717">
        <v>0.97065244021499997</v>
      </c>
      <c r="E8717">
        <v>13.445277361319301</v>
      </c>
    </row>
    <row r="8718" spans="1:5">
      <c r="A8718" t="s">
        <v>10067</v>
      </c>
      <c r="B8718" t="s">
        <v>10079</v>
      </c>
      <c r="C8718">
        <v>0</v>
      </c>
      <c r="D8718">
        <v>0.97065244021499997</v>
      </c>
      <c r="E8718">
        <v>13.445277361319301</v>
      </c>
    </row>
    <row r="8719" spans="1:5">
      <c r="A8719" t="s">
        <v>10067</v>
      </c>
      <c r="B8719" t="s">
        <v>10080</v>
      </c>
      <c r="C8719">
        <v>0</v>
      </c>
      <c r="D8719">
        <v>0.97065244021499997</v>
      </c>
      <c r="E8719">
        <v>13.445277361319301</v>
      </c>
    </row>
    <row r="8720" spans="1:5">
      <c r="A8720" t="s">
        <v>10067</v>
      </c>
      <c r="B8720" t="s">
        <v>10081</v>
      </c>
      <c r="C8720">
        <v>0</v>
      </c>
      <c r="D8720">
        <v>0.97065244021499997</v>
      </c>
      <c r="E8720">
        <v>13.445277361319301</v>
      </c>
    </row>
    <row r="8721" spans="1:5">
      <c r="A8721" t="s">
        <v>10067</v>
      </c>
      <c r="B8721" t="s">
        <v>10082</v>
      </c>
      <c r="C8721">
        <v>0</v>
      </c>
      <c r="D8721">
        <v>0.97065244021499997</v>
      </c>
      <c r="E8721">
        <v>13.445277361319301</v>
      </c>
    </row>
    <row r="8722" spans="1:5">
      <c r="A8722" t="s">
        <v>10083</v>
      </c>
      <c r="B8722" t="s">
        <v>10084</v>
      </c>
      <c r="C8722">
        <f>0</f>
        <v>0</v>
      </c>
      <c r="D8722">
        <v>0.997785535537</v>
      </c>
      <c r="E8722">
        <v>11.7061469265367</v>
      </c>
    </row>
    <row r="8723" spans="1:5">
      <c r="A8723" t="s">
        <v>10083</v>
      </c>
      <c r="B8723" t="s">
        <v>10085</v>
      </c>
      <c r="C8723">
        <v>0</v>
      </c>
      <c r="D8723">
        <v>0.997785535537</v>
      </c>
      <c r="E8723">
        <v>11.7061469265367</v>
      </c>
    </row>
    <row r="8724" spans="1:5">
      <c r="A8724" t="s">
        <v>10083</v>
      </c>
      <c r="B8724" t="s">
        <v>10086</v>
      </c>
      <c r="C8724">
        <v>0</v>
      </c>
      <c r="D8724">
        <v>0.997785535537</v>
      </c>
      <c r="E8724">
        <v>11.7061469265367</v>
      </c>
    </row>
    <row r="8725" spans="1:5">
      <c r="A8725" t="s">
        <v>10083</v>
      </c>
      <c r="B8725" t="s">
        <v>10087</v>
      </c>
      <c r="C8725">
        <v>0</v>
      </c>
      <c r="D8725">
        <v>0.997785535537</v>
      </c>
      <c r="E8725">
        <v>11.7061469265367</v>
      </c>
    </row>
    <row r="8726" spans="1:5">
      <c r="A8726" t="s">
        <v>10083</v>
      </c>
      <c r="B8726" t="s">
        <v>10088</v>
      </c>
      <c r="C8726">
        <v>5.9183751992800002E-2</v>
      </c>
      <c r="D8726">
        <v>0.997785535537</v>
      </c>
      <c r="E8726">
        <v>11.7061469265367</v>
      </c>
    </row>
    <row r="8727" spans="1:5">
      <c r="A8727" t="s">
        <v>10083</v>
      </c>
      <c r="B8727" t="s">
        <v>10089</v>
      </c>
      <c r="C8727">
        <v>0.31356806694</v>
      </c>
      <c r="D8727">
        <v>0.997785535537</v>
      </c>
      <c r="E8727">
        <v>11.7061469265367</v>
      </c>
    </row>
    <row r="8728" spans="1:5">
      <c r="A8728" t="s">
        <v>10083</v>
      </c>
      <c r="B8728" t="s">
        <v>10090</v>
      </c>
      <c r="C8728">
        <v>0</v>
      </c>
      <c r="D8728">
        <v>0.997785535537</v>
      </c>
      <c r="E8728">
        <v>11.7061469265367</v>
      </c>
    </row>
    <row r="8729" spans="1:5">
      <c r="A8729" t="s">
        <v>10083</v>
      </c>
      <c r="B8729" t="s">
        <v>10091</v>
      </c>
      <c r="C8729">
        <f>0</f>
        <v>0</v>
      </c>
      <c r="D8729">
        <v>0.997785535537</v>
      </c>
      <c r="E8729">
        <v>11.7061469265367</v>
      </c>
    </row>
    <row r="8730" spans="1:5">
      <c r="A8730" t="s">
        <v>10083</v>
      </c>
      <c r="B8730" t="s">
        <v>10092</v>
      </c>
      <c r="C8730">
        <v>0</v>
      </c>
      <c r="D8730">
        <v>0.997785535537</v>
      </c>
      <c r="E8730">
        <v>11.7061469265367</v>
      </c>
    </row>
    <row r="8731" spans="1:5">
      <c r="A8731" t="s">
        <v>10093</v>
      </c>
      <c r="B8731" t="s">
        <v>10094</v>
      </c>
      <c r="C8731">
        <v>0</v>
      </c>
      <c r="D8731">
        <v>0.99955490514000001</v>
      </c>
      <c r="E8731">
        <v>1.6911544227886</v>
      </c>
    </row>
    <row r="8732" spans="1:5">
      <c r="A8732" t="s">
        <v>10093</v>
      </c>
      <c r="B8732" t="s">
        <v>10095</v>
      </c>
      <c r="C8732">
        <f>0.0479748952984</f>
        <v>4.7974895298400003E-2</v>
      </c>
      <c r="D8732">
        <v>0.99955490514000001</v>
      </c>
      <c r="E8732">
        <v>1.6911544227886</v>
      </c>
    </row>
    <row r="8733" spans="1:5">
      <c r="A8733" t="s">
        <v>10093</v>
      </c>
      <c r="B8733" t="s">
        <v>10096</v>
      </c>
      <c r="C8733">
        <v>0.46318699249299999</v>
      </c>
      <c r="D8733">
        <v>0.99955490514000001</v>
      </c>
      <c r="E8733">
        <v>1.6911544227886</v>
      </c>
    </row>
    <row r="8734" spans="1:5">
      <c r="A8734" t="s">
        <v>10093</v>
      </c>
      <c r="B8734" t="s">
        <v>10097</v>
      </c>
      <c r="C8734">
        <v>0</v>
      </c>
      <c r="D8734">
        <v>0.99955490514000001</v>
      </c>
      <c r="E8734">
        <v>1.6911544227886</v>
      </c>
    </row>
    <row r="8735" spans="1:5">
      <c r="A8735" t="s">
        <v>10093</v>
      </c>
      <c r="B8735" t="s">
        <v>10098</v>
      </c>
      <c r="C8735">
        <f>0</f>
        <v>0</v>
      </c>
      <c r="D8735">
        <v>0.99955490514000001</v>
      </c>
      <c r="E8735">
        <v>1.6911544227886</v>
      </c>
    </row>
    <row r="8736" spans="1:5">
      <c r="A8736" t="s">
        <v>10099</v>
      </c>
      <c r="B8736" t="s">
        <v>10100</v>
      </c>
      <c r="C8736">
        <v>0.41249634687300002</v>
      </c>
      <c r="D8736">
        <v>0.99257030678699998</v>
      </c>
      <c r="E8736">
        <v>7.8680659670164896</v>
      </c>
    </row>
    <row r="8737" spans="1:5">
      <c r="A8737" t="s">
        <v>10099</v>
      </c>
      <c r="B8737" t="s">
        <v>10101</v>
      </c>
      <c r="C8737">
        <f>0</f>
        <v>0</v>
      </c>
      <c r="D8737">
        <v>0.99257030678699998</v>
      </c>
      <c r="E8737">
        <v>7.8680659670164896</v>
      </c>
    </row>
    <row r="8738" spans="1:5">
      <c r="A8738" t="s">
        <v>10099</v>
      </c>
      <c r="B8738" t="s">
        <v>10102</v>
      </c>
      <c r="C8738">
        <f>0.0482891336338</f>
        <v>4.8289133633799997E-2</v>
      </c>
      <c r="D8738">
        <v>0.99257030678699998</v>
      </c>
      <c r="E8738">
        <v>7.8680659670164896</v>
      </c>
    </row>
    <row r="8739" spans="1:5">
      <c r="A8739" t="s">
        <v>10099</v>
      </c>
      <c r="B8739" t="s">
        <v>10103</v>
      </c>
      <c r="C8739">
        <v>0</v>
      </c>
      <c r="D8739">
        <v>0.99257030678699998</v>
      </c>
      <c r="E8739">
        <v>7.8680659670164896</v>
      </c>
    </row>
    <row r="8740" spans="1:5">
      <c r="A8740" t="s">
        <v>10104</v>
      </c>
      <c r="B8740" t="s">
        <v>10105</v>
      </c>
      <c r="C8740">
        <v>0</v>
      </c>
      <c r="D8740" t="s">
        <v>106</v>
      </c>
      <c r="E8740">
        <v>11.7061469265367</v>
      </c>
    </row>
    <row r="8741" spans="1:5">
      <c r="A8741" t="s">
        <v>10104</v>
      </c>
      <c r="B8741" t="s">
        <v>10106</v>
      </c>
      <c r="C8741">
        <f>0</f>
        <v>0</v>
      </c>
      <c r="D8741" t="s">
        <v>106</v>
      </c>
      <c r="E8741">
        <v>11.7061469265367</v>
      </c>
    </row>
    <row r="8742" spans="1:5">
      <c r="A8742" t="s">
        <v>10104</v>
      </c>
      <c r="B8742" t="s">
        <v>10107</v>
      </c>
      <c r="C8742">
        <f>0</f>
        <v>0</v>
      </c>
      <c r="D8742" t="s">
        <v>106</v>
      </c>
      <c r="E8742">
        <v>11.7061469265367</v>
      </c>
    </row>
    <row r="8743" spans="1:5">
      <c r="A8743" t="s">
        <v>10104</v>
      </c>
      <c r="B8743" t="s">
        <v>10108</v>
      </c>
      <c r="C8743">
        <f>0</f>
        <v>0</v>
      </c>
      <c r="D8743" t="s">
        <v>106</v>
      </c>
      <c r="E8743">
        <v>11.7061469265367</v>
      </c>
    </row>
    <row r="8744" spans="1:5">
      <c r="A8744" t="s">
        <v>10104</v>
      </c>
      <c r="B8744" t="s">
        <v>10109</v>
      </c>
      <c r="C8744">
        <v>0</v>
      </c>
      <c r="D8744" t="s">
        <v>106</v>
      </c>
      <c r="E8744">
        <v>11.7061469265367</v>
      </c>
    </row>
    <row r="8745" spans="1:5">
      <c r="A8745" t="s">
        <v>10104</v>
      </c>
      <c r="B8745" t="s">
        <v>10110</v>
      </c>
      <c r="C8745">
        <f>0</f>
        <v>0</v>
      </c>
      <c r="D8745" t="s">
        <v>106</v>
      </c>
      <c r="E8745">
        <v>11.7061469265367</v>
      </c>
    </row>
    <row r="8746" spans="1:5">
      <c r="A8746" t="s">
        <v>10111</v>
      </c>
      <c r="B8746" t="s">
        <v>10112</v>
      </c>
      <c r="C8746">
        <v>2.84083184052E-2</v>
      </c>
      <c r="D8746" t="s">
        <v>106</v>
      </c>
      <c r="E8746">
        <v>4.4737631184407798</v>
      </c>
    </row>
    <row r="8747" spans="1:5">
      <c r="A8747" t="s">
        <v>10111</v>
      </c>
      <c r="B8747" t="s">
        <v>10113</v>
      </c>
      <c r="C8747">
        <v>0</v>
      </c>
      <c r="D8747" t="s">
        <v>106</v>
      </c>
      <c r="E8747">
        <v>4.4737631184407798</v>
      </c>
    </row>
    <row r="8748" spans="1:5">
      <c r="A8748" t="s">
        <v>10111</v>
      </c>
      <c r="B8748" t="s">
        <v>10114</v>
      </c>
      <c r="C8748">
        <f>0</f>
        <v>0</v>
      </c>
      <c r="D8748" t="s">
        <v>106</v>
      </c>
      <c r="E8748">
        <v>4.4737631184407798</v>
      </c>
    </row>
    <row r="8749" spans="1:5">
      <c r="A8749" t="s">
        <v>10111</v>
      </c>
      <c r="B8749" t="s">
        <v>10115</v>
      </c>
      <c r="C8749">
        <v>0</v>
      </c>
      <c r="D8749" t="s">
        <v>106</v>
      </c>
      <c r="E8749">
        <v>4.4737631184407798</v>
      </c>
    </row>
    <row r="8750" spans="1:5">
      <c r="A8750" t="s">
        <v>10116</v>
      </c>
      <c r="B8750" t="s">
        <v>10117</v>
      </c>
      <c r="C8750">
        <f>0</f>
        <v>0</v>
      </c>
      <c r="D8750">
        <v>0.57773149025799997</v>
      </c>
      <c r="E8750">
        <v>9.7631184407796106</v>
      </c>
    </row>
    <row r="8751" spans="1:5">
      <c r="A8751" t="s">
        <v>10116</v>
      </c>
      <c r="B8751" t="s">
        <v>10118</v>
      </c>
      <c r="C8751">
        <v>0</v>
      </c>
      <c r="D8751">
        <v>0.57773149025799997</v>
      </c>
      <c r="E8751">
        <v>9.7631184407796106</v>
      </c>
    </row>
    <row r="8752" spans="1:5">
      <c r="A8752" t="s">
        <v>10116</v>
      </c>
      <c r="B8752" t="s">
        <v>10119</v>
      </c>
      <c r="C8752">
        <v>9.3045331188399999E-2</v>
      </c>
      <c r="D8752">
        <v>0.57773149025799997</v>
      </c>
      <c r="E8752">
        <v>9.7631184407796106</v>
      </c>
    </row>
    <row r="8753" spans="1:5">
      <c r="A8753" t="s">
        <v>10120</v>
      </c>
      <c r="B8753" t="s">
        <v>10121</v>
      </c>
      <c r="C8753">
        <v>0</v>
      </c>
      <c r="D8753">
        <v>0.71967157394600001</v>
      </c>
      <c r="E8753">
        <v>15.1244377811094</v>
      </c>
    </row>
    <row r="8754" spans="1:5">
      <c r="A8754" t="s">
        <v>10120</v>
      </c>
      <c r="B8754" t="s">
        <v>10122</v>
      </c>
      <c r="C8754">
        <f>0.0503947494446</f>
        <v>5.0394749444599998E-2</v>
      </c>
      <c r="D8754">
        <v>0.71967157394600001</v>
      </c>
      <c r="E8754">
        <v>15.1244377811094</v>
      </c>
    </row>
    <row r="8755" spans="1:5">
      <c r="A8755" t="s">
        <v>10120</v>
      </c>
      <c r="B8755" t="s">
        <v>10123</v>
      </c>
      <c r="C8755">
        <v>0</v>
      </c>
      <c r="D8755">
        <v>0.71967157394600001</v>
      </c>
      <c r="E8755">
        <v>15.1244377811094</v>
      </c>
    </row>
    <row r="8756" spans="1:5">
      <c r="A8756" t="s">
        <v>10124</v>
      </c>
      <c r="B8756" t="s">
        <v>10125</v>
      </c>
      <c r="C8756">
        <v>0</v>
      </c>
      <c r="D8756">
        <v>0.48903731598099998</v>
      </c>
      <c r="E8756">
        <v>4.9055472263868003</v>
      </c>
    </row>
    <row r="8757" spans="1:5">
      <c r="A8757" t="s">
        <v>10124</v>
      </c>
      <c r="B8757" t="s">
        <v>10126</v>
      </c>
      <c r="C8757">
        <v>0</v>
      </c>
      <c r="D8757">
        <v>0.48903731598099998</v>
      </c>
      <c r="E8757">
        <v>4.9055472263868003</v>
      </c>
    </row>
    <row r="8758" spans="1:5">
      <c r="A8758" t="s">
        <v>10124</v>
      </c>
      <c r="B8758" t="s">
        <v>10127</v>
      </c>
      <c r="C8758">
        <f>0</f>
        <v>0</v>
      </c>
      <c r="D8758">
        <v>0.48903731598099998</v>
      </c>
      <c r="E8758">
        <v>4.9055472263868003</v>
      </c>
    </row>
    <row r="8759" spans="1:5">
      <c r="A8759" t="s">
        <v>10124</v>
      </c>
      <c r="B8759" t="s">
        <v>10128</v>
      </c>
      <c r="C8759">
        <v>0.61430523561200001</v>
      </c>
      <c r="D8759">
        <v>0.48903731598099998</v>
      </c>
      <c r="E8759">
        <v>4.9055472263868003</v>
      </c>
    </row>
    <row r="8760" spans="1:5">
      <c r="A8760" t="s">
        <v>10124</v>
      </c>
      <c r="B8760" t="s">
        <v>10129</v>
      </c>
      <c r="C8760">
        <v>0</v>
      </c>
      <c r="D8760">
        <v>0.48903731598099998</v>
      </c>
      <c r="E8760">
        <v>4.9055472263868003</v>
      </c>
    </row>
    <row r="8761" spans="1:5">
      <c r="A8761" t="s">
        <v>10124</v>
      </c>
      <c r="B8761" t="s">
        <v>10130</v>
      </c>
      <c r="C8761">
        <f>0</f>
        <v>0</v>
      </c>
      <c r="D8761">
        <v>0.48903731598099998</v>
      </c>
      <c r="E8761">
        <v>4.9055472263868003</v>
      </c>
    </row>
    <row r="8762" spans="1:5">
      <c r="A8762" t="s">
        <v>10124</v>
      </c>
      <c r="B8762" t="s">
        <v>10131</v>
      </c>
      <c r="C8762">
        <v>0</v>
      </c>
      <c r="D8762">
        <v>0.48903731598099998</v>
      </c>
      <c r="E8762">
        <v>4.9055472263868003</v>
      </c>
    </row>
    <row r="8763" spans="1:5">
      <c r="A8763" t="s">
        <v>10124</v>
      </c>
      <c r="B8763" t="s">
        <v>10132</v>
      </c>
      <c r="C8763">
        <v>0</v>
      </c>
      <c r="D8763">
        <v>0.48903731598099998</v>
      </c>
      <c r="E8763">
        <v>4.9055472263868003</v>
      </c>
    </row>
    <row r="8764" spans="1:5">
      <c r="A8764" t="s">
        <v>10124</v>
      </c>
      <c r="B8764" t="s">
        <v>10133</v>
      </c>
      <c r="C8764">
        <v>0</v>
      </c>
      <c r="D8764">
        <v>0.48903731598099998</v>
      </c>
      <c r="E8764">
        <v>4.9055472263868003</v>
      </c>
    </row>
    <row r="8765" spans="1:5">
      <c r="A8765" t="s">
        <v>10124</v>
      </c>
      <c r="B8765" t="s">
        <v>10134</v>
      </c>
      <c r="C8765">
        <f>0</f>
        <v>0</v>
      </c>
      <c r="D8765">
        <v>0.48903731598099998</v>
      </c>
      <c r="E8765">
        <v>4.9055472263868003</v>
      </c>
    </row>
    <row r="8766" spans="1:5">
      <c r="A8766" t="s">
        <v>10124</v>
      </c>
      <c r="B8766" t="s">
        <v>10135</v>
      </c>
      <c r="C8766">
        <v>0</v>
      </c>
      <c r="D8766">
        <v>0.48903731598099998</v>
      </c>
      <c r="E8766">
        <v>4.9055472263868003</v>
      </c>
    </row>
    <row r="8767" spans="1:5">
      <c r="A8767" t="s">
        <v>10124</v>
      </c>
      <c r="B8767" t="s">
        <v>10136</v>
      </c>
      <c r="C8767">
        <v>0</v>
      </c>
      <c r="D8767">
        <v>0.48903731598099998</v>
      </c>
      <c r="E8767">
        <v>4.9055472263868003</v>
      </c>
    </row>
    <row r="8768" spans="1:5">
      <c r="A8768" t="s">
        <v>10137</v>
      </c>
      <c r="B8768" t="s">
        <v>10138</v>
      </c>
      <c r="C8768">
        <v>0.26931721388099999</v>
      </c>
      <c r="D8768">
        <v>0.96297658166</v>
      </c>
      <c r="E8768">
        <v>15.1244377811094</v>
      </c>
    </row>
    <row r="8769" spans="1:5">
      <c r="A8769" t="s">
        <v>10137</v>
      </c>
      <c r="B8769" t="s">
        <v>10139</v>
      </c>
      <c r="C8769">
        <v>0</v>
      </c>
      <c r="D8769">
        <v>0.96297658166</v>
      </c>
      <c r="E8769">
        <v>15.1244377811094</v>
      </c>
    </row>
    <row r="8770" spans="1:5">
      <c r="A8770" t="s">
        <v>10137</v>
      </c>
      <c r="B8770" t="s">
        <v>10140</v>
      </c>
      <c r="C8770">
        <v>0</v>
      </c>
      <c r="D8770">
        <v>0.96297658166</v>
      </c>
      <c r="E8770">
        <v>15.1244377811094</v>
      </c>
    </row>
    <row r="8771" spans="1:5">
      <c r="A8771" t="s">
        <v>10137</v>
      </c>
      <c r="B8771" t="s">
        <v>10141</v>
      </c>
      <c r="C8771">
        <v>0</v>
      </c>
      <c r="D8771">
        <v>0.96297658166</v>
      </c>
      <c r="E8771">
        <v>15.1244377811094</v>
      </c>
    </row>
    <row r="8772" spans="1:5">
      <c r="A8772" t="s">
        <v>10137</v>
      </c>
      <c r="B8772" t="s">
        <v>10142</v>
      </c>
      <c r="C8772">
        <f>0</f>
        <v>0</v>
      </c>
      <c r="D8772">
        <v>0.96297658166</v>
      </c>
      <c r="E8772">
        <v>15.1244377811094</v>
      </c>
    </row>
    <row r="8773" spans="1:5">
      <c r="A8773" t="s">
        <v>10137</v>
      </c>
      <c r="B8773" t="s">
        <v>10143</v>
      </c>
      <c r="C8773">
        <f>0</f>
        <v>0</v>
      </c>
      <c r="D8773">
        <v>0.96297658166</v>
      </c>
      <c r="E8773">
        <v>15.1244377811094</v>
      </c>
    </row>
    <row r="8774" spans="1:5">
      <c r="A8774" t="s">
        <v>10144</v>
      </c>
      <c r="B8774" t="s">
        <v>10145</v>
      </c>
      <c r="C8774">
        <v>0</v>
      </c>
      <c r="D8774">
        <v>0.99610052806799998</v>
      </c>
      <c r="E8774">
        <v>1.57121439280359</v>
      </c>
    </row>
    <row r="8775" spans="1:5">
      <c r="A8775" t="s">
        <v>10144</v>
      </c>
      <c r="B8775" t="s">
        <v>10146</v>
      </c>
      <c r="C8775">
        <f>0</f>
        <v>0</v>
      </c>
      <c r="D8775">
        <v>0.99610052806799998</v>
      </c>
      <c r="E8775">
        <v>1.57121439280359</v>
      </c>
    </row>
    <row r="8776" spans="1:5">
      <c r="A8776" t="s">
        <v>10144</v>
      </c>
      <c r="B8776" t="s">
        <v>10147</v>
      </c>
      <c r="C8776">
        <f>0.0935365272161</f>
        <v>9.3536527216099993E-2</v>
      </c>
      <c r="D8776">
        <v>0.99610052806799998</v>
      </c>
      <c r="E8776">
        <v>1.57121439280359</v>
      </c>
    </row>
    <row r="8777" spans="1:5">
      <c r="A8777" t="s">
        <v>10144</v>
      </c>
      <c r="B8777" t="s">
        <v>10148</v>
      </c>
      <c r="C8777">
        <f>0.326289682378</f>
        <v>0.32628968237799999</v>
      </c>
      <c r="D8777">
        <v>0.99610052806799998</v>
      </c>
      <c r="E8777">
        <v>1.57121439280359</v>
      </c>
    </row>
    <row r="8778" spans="1:5">
      <c r="A8778" t="s">
        <v>10144</v>
      </c>
      <c r="B8778" t="s">
        <v>10149</v>
      </c>
      <c r="C8778">
        <f>0</f>
        <v>0</v>
      </c>
      <c r="D8778">
        <v>0.99610052806799998</v>
      </c>
      <c r="E8778">
        <v>1.57121439280359</v>
      </c>
    </row>
    <row r="8779" spans="1:5">
      <c r="A8779" t="s">
        <v>10144</v>
      </c>
      <c r="B8779" t="s">
        <v>10150</v>
      </c>
      <c r="C8779">
        <f>0</f>
        <v>0</v>
      </c>
      <c r="D8779">
        <v>0.99610052806799998</v>
      </c>
      <c r="E8779">
        <v>1.57121439280359</v>
      </c>
    </row>
    <row r="8780" spans="1:5">
      <c r="A8780" t="s">
        <v>10151</v>
      </c>
      <c r="B8780" t="s">
        <v>10152</v>
      </c>
      <c r="C8780">
        <v>0</v>
      </c>
      <c r="D8780" t="s">
        <v>106</v>
      </c>
      <c r="E8780">
        <v>13.445277361319301</v>
      </c>
    </row>
    <row r="8781" spans="1:5">
      <c r="A8781" t="s">
        <v>10151</v>
      </c>
      <c r="B8781" t="s">
        <v>10153</v>
      </c>
      <c r="C8781">
        <v>0</v>
      </c>
      <c r="D8781" t="s">
        <v>106</v>
      </c>
      <c r="E8781">
        <v>13.445277361319301</v>
      </c>
    </row>
    <row r="8782" spans="1:5">
      <c r="A8782" t="s">
        <v>10151</v>
      </c>
      <c r="B8782" t="s">
        <v>10154</v>
      </c>
      <c r="C8782">
        <v>0</v>
      </c>
      <c r="D8782" t="s">
        <v>106</v>
      </c>
      <c r="E8782">
        <v>13.445277361319301</v>
      </c>
    </row>
    <row r="8783" spans="1:5">
      <c r="A8783" t="s">
        <v>10151</v>
      </c>
      <c r="B8783" t="s">
        <v>10155</v>
      </c>
      <c r="C8783">
        <v>0</v>
      </c>
      <c r="D8783" t="s">
        <v>106</v>
      </c>
      <c r="E8783">
        <v>13.445277361319301</v>
      </c>
    </row>
    <row r="8784" spans="1:5">
      <c r="A8784" t="s">
        <v>10151</v>
      </c>
      <c r="B8784" t="s">
        <v>10156</v>
      </c>
      <c r="C8784">
        <f>0</f>
        <v>0</v>
      </c>
      <c r="D8784" t="s">
        <v>106</v>
      </c>
      <c r="E8784">
        <v>13.445277361319301</v>
      </c>
    </row>
    <row r="8785" spans="1:5">
      <c r="A8785" t="s">
        <v>10151</v>
      </c>
      <c r="B8785" t="s">
        <v>10157</v>
      </c>
      <c r="C8785">
        <v>0</v>
      </c>
      <c r="D8785" t="s">
        <v>106</v>
      </c>
      <c r="E8785">
        <v>13.445277361319301</v>
      </c>
    </row>
    <row r="8786" spans="1:5">
      <c r="A8786" t="s">
        <v>10158</v>
      </c>
      <c r="B8786" t="s">
        <v>10159</v>
      </c>
      <c r="C8786">
        <f>0</f>
        <v>0</v>
      </c>
      <c r="D8786">
        <v>0.48702668943100003</v>
      </c>
      <c r="E8786">
        <v>19.4182908545727</v>
      </c>
    </row>
    <row r="8787" spans="1:5">
      <c r="A8787" t="s">
        <v>10158</v>
      </c>
      <c r="B8787" t="s">
        <v>10160</v>
      </c>
      <c r="C8787">
        <v>0</v>
      </c>
      <c r="D8787">
        <v>0.48702668943100003</v>
      </c>
      <c r="E8787">
        <v>19.4182908545727</v>
      </c>
    </row>
    <row r="8788" spans="1:5">
      <c r="A8788" t="s">
        <v>10158</v>
      </c>
      <c r="B8788" t="s">
        <v>10161</v>
      </c>
      <c r="C8788">
        <v>0</v>
      </c>
      <c r="D8788">
        <v>0.48702668943100003</v>
      </c>
      <c r="E8788">
        <v>19.4182908545727</v>
      </c>
    </row>
    <row r="8789" spans="1:5">
      <c r="A8789" t="s">
        <v>10162</v>
      </c>
      <c r="B8789" t="s">
        <v>10163</v>
      </c>
      <c r="C8789">
        <v>0</v>
      </c>
      <c r="D8789">
        <v>0.69746621129399999</v>
      </c>
      <c r="E8789">
        <v>17.715142428785601</v>
      </c>
    </row>
    <row r="8790" spans="1:5">
      <c r="A8790" t="s">
        <v>10162</v>
      </c>
      <c r="B8790" t="s">
        <v>10164</v>
      </c>
      <c r="C8790">
        <f>0</f>
        <v>0</v>
      </c>
      <c r="D8790">
        <v>0.69746621129399999</v>
      </c>
      <c r="E8790">
        <v>17.715142428785601</v>
      </c>
    </row>
    <row r="8791" spans="1:5">
      <c r="A8791" t="s">
        <v>10162</v>
      </c>
      <c r="B8791" t="s">
        <v>10165</v>
      </c>
      <c r="C8791">
        <f>0</f>
        <v>0</v>
      </c>
      <c r="D8791">
        <v>0.69746621129399999</v>
      </c>
      <c r="E8791">
        <v>17.715142428785601</v>
      </c>
    </row>
    <row r="8792" spans="1:5">
      <c r="A8792" t="s">
        <v>10162</v>
      </c>
      <c r="B8792" t="s">
        <v>10166</v>
      </c>
      <c r="C8792">
        <v>0</v>
      </c>
      <c r="D8792">
        <v>0.69746621129399999</v>
      </c>
      <c r="E8792">
        <v>17.715142428785601</v>
      </c>
    </row>
    <row r="8793" spans="1:5">
      <c r="A8793" t="s">
        <v>10162</v>
      </c>
      <c r="B8793" t="s">
        <v>10167</v>
      </c>
      <c r="C8793">
        <f>0</f>
        <v>0</v>
      </c>
      <c r="D8793">
        <v>0.69746621129399999</v>
      </c>
      <c r="E8793">
        <v>17.715142428785601</v>
      </c>
    </row>
    <row r="8794" spans="1:5">
      <c r="A8794" t="s">
        <v>10162</v>
      </c>
      <c r="B8794" t="s">
        <v>10168</v>
      </c>
      <c r="C8794">
        <f>0</f>
        <v>0</v>
      </c>
      <c r="D8794">
        <v>0.69746621129399999</v>
      </c>
      <c r="E8794">
        <v>17.715142428785601</v>
      </c>
    </row>
    <row r="8795" spans="1:5">
      <c r="A8795" t="s">
        <v>10162</v>
      </c>
      <c r="B8795" t="s">
        <v>10169</v>
      </c>
      <c r="C8795">
        <f>0</f>
        <v>0</v>
      </c>
      <c r="D8795">
        <v>0.69746621129399999</v>
      </c>
      <c r="E8795">
        <v>17.715142428785601</v>
      </c>
    </row>
    <row r="8796" spans="1:5">
      <c r="A8796" t="s">
        <v>10162</v>
      </c>
      <c r="B8796" t="s">
        <v>10170</v>
      </c>
      <c r="C8796">
        <f>0</f>
        <v>0</v>
      </c>
      <c r="D8796">
        <v>0.69746621129399999</v>
      </c>
      <c r="E8796">
        <v>17.715142428785601</v>
      </c>
    </row>
    <row r="8797" spans="1:5">
      <c r="A8797" t="s">
        <v>10162</v>
      </c>
      <c r="B8797" t="s">
        <v>10171</v>
      </c>
      <c r="C8797">
        <v>0</v>
      </c>
      <c r="D8797">
        <v>0.69746621129399999</v>
      </c>
      <c r="E8797">
        <v>17.715142428785601</v>
      </c>
    </row>
    <row r="8798" spans="1:5">
      <c r="A8798" t="s">
        <v>10162</v>
      </c>
      <c r="B8798" t="s">
        <v>10172</v>
      </c>
      <c r="C8798">
        <f>0</f>
        <v>0</v>
      </c>
      <c r="D8798">
        <v>0.69746621129399999</v>
      </c>
      <c r="E8798">
        <v>17.715142428785601</v>
      </c>
    </row>
    <row r="8799" spans="1:5">
      <c r="A8799" t="s">
        <v>10162</v>
      </c>
      <c r="B8799" t="s">
        <v>10173</v>
      </c>
      <c r="C8799">
        <f>0</f>
        <v>0</v>
      </c>
      <c r="D8799">
        <v>0.69746621129399999</v>
      </c>
      <c r="E8799">
        <v>17.715142428785601</v>
      </c>
    </row>
    <row r="8800" spans="1:5">
      <c r="A8800" t="s">
        <v>10174</v>
      </c>
      <c r="B8800" t="s">
        <v>10175</v>
      </c>
      <c r="C8800">
        <f>0</f>
        <v>0</v>
      </c>
      <c r="D8800">
        <v>0.93515926121299997</v>
      </c>
      <c r="E8800">
        <v>1.00749625187406</v>
      </c>
    </row>
    <row r="8801" spans="1:5">
      <c r="A8801" t="s">
        <v>10174</v>
      </c>
      <c r="B8801" t="s">
        <v>10176</v>
      </c>
      <c r="C8801">
        <v>0</v>
      </c>
      <c r="D8801">
        <v>0.93515926121299997</v>
      </c>
      <c r="E8801">
        <v>1.00749625187406</v>
      </c>
    </row>
    <row r="8802" spans="1:5">
      <c r="A8802" t="s">
        <v>10174</v>
      </c>
      <c r="B8802" t="s">
        <v>10177</v>
      </c>
      <c r="C8802">
        <f>0</f>
        <v>0</v>
      </c>
      <c r="D8802">
        <v>0.93515926121299997</v>
      </c>
      <c r="E8802">
        <v>1.00749625187406</v>
      </c>
    </row>
    <row r="8803" spans="1:5">
      <c r="A8803" t="s">
        <v>10174</v>
      </c>
      <c r="B8803" t="s">
        <v>10178</v>
      </c>
      <c r="C8803">
        <f>0</f>
        <v>0</v>
      </c>
      <c r="D8803">
        <v>0.93515926121299997</v>
      </c>
      <c r="E8803">
        <v>1.00749625187406</v>
      </c>
    </row>
    <row r="8804" spans="1:5">
      <c r="A8804" t="s">
        <v>10174</v>
      </c>
      <c r="B8804" t="s">
        <v>10179</v>
      </c>
      <c r="C8804">
        <v>0</v>
      </c>
      <c r="D8804">
        <v>0.93515926121299997</v>
      </c>
      <c r="E8804">
        <v>1.00749625187406</v>
      </c>
    </row>
    <row r="8805" spans="1:5">
      <c r="A8805" t="s">
        <v>10174</v>
      </c>
      <c r="B8805" t="s">
        <v>10180</v>
      </c>
      <c r="C8805">
        <f>0</f>
        <v>0</v>
      </c>
      <c r="D8805">
        <v>0.93515926121299997</v>
      </c>
      <c r="E8805">
        <v>1.00749625187406</v>
      </c>
    </row>
    <row r="8806" spans="1:5">
      <c r="A8806" t="s">
        <v>10174</v>
      </c>
      <c r="B8806" t="s">
        <v>10181</v>
      </c>
      <c r="C8806">
        <f>0</f>
        <v>0</v>
      </c>
      <c r="D8806">
        <v>0.93515926121299997</v>
      </c>
      <c r="E8806">
        <v>1.00749625187406</v>
      </c>
    </row>
    <row r="8807" spans="1:5">
      <c r="A8807" t="s">
        <v>10174</v>
      </c>
      <c r="B8807" t="s">
        <v>10182</v>
      </c>
      <c r="C8807">
        <f>0</f>
        <v>0</v>
      </c>
      <c r="D8807">
        <v>0.93515926121299997</v>
      </c>
      <c r="E8807">
        <v>1.00749625187406</v>
      </c>
    </row>
    <row r="8808" spans="1:5">
      <c r="A8808" t="s">
        <v>10174</v>
      </c>
      <c r="B8808" t="s">
        <v>10183</v>
      </c>
      <c r="C8808">
        <f>0</f>
        <v>0</v>
      </c>
      <c r="D8808">
        <v>0.93515926121299997</v>
      </c>
      <c r="E8808">
        <v>1.00749625187406</v>
      </c>
    </row>
    <row r="8809" spans="1:5">
      <c r="A8809" t="s">
        <v>10174</v>
      </c>
      <c r="B8809" t="s">
        <v>10184</v>
      </c>
      <c r="C8809">
        <f>0</f>
        <v>0</v>
      </c>
      <c r="D8809">
        <v>0.93515926121299997</v>
      </c>
      <c r="E8809">
        <v>1.00749625187406</v>
      </c>
    </row>
    <row r="8810" spans="1:5">
      <c r="A8810" t="s">
        <v>10174</v>
      </c>
      <c r="B8810" t="s">
        <v>10185</v>
      </c>
      <c r="C8810">
        <v>0.11442325224</v>
      </c>
      <c r="D8810">
        <v>0.93515926121299997</v>
      </c>
      <c r="E8810">
        <v>1.00749625187406</v>
      </c>
    </row>
    <row r="8811" spans="1:5">
      <c r="A8811" t="s">
        <v>10186</v>
      </c>
      <c r="B8811" t="s">
        <v>10187</v>
      </c>
      <c r="C8811" s="1">
        <v>4.2370838125399997E-5</v>
      </c>
      <c r="D8811">
        <v>0.83014297853499996</v>
      </c>
      <c r="E8811">
        <v>5.9370314842578704</v>
      </c>
    </row>
    <row r="8812" spans="1:5">
      <c r="A8812" t="s">
        <v>10186</v>
      </c>
      <c r="B8812" t="s">
        <v>10188</v>
      </c>
      <c r="C8812">
        <f>0</f>
        <v>0</v>
      </c>
      <c r="D8812">
        <v>0.83014297853499996</v>
      </c>
      <c r="E8812">
        <v>5.9370314842578704</v>
      </c>
    </row>
    <row r="8813" spans="1:5">
      <c r="A8813" t="s">
        <v>10189</v>
      </c>
      <c r="B8813" t="s">
        <v>10190</v>
      </c>
      <c r="C8813">
        <v>8.5699624933799998E-2</v>
      </c>
      <c r="D8813">
        <v>0.485393615552</v>
      </c>
      <c r="E8813">
        <v>0.95952023988005997</v>
      </c>
    </row>
    <row r="8814" spans="1:5">
      <c r="A8814" t="s">
        <v>10191</v>
      </c>
      <c r="B8814" t="s">
        <v>10192</v>
      </c>
      <c r="C8814">
        <v>0.13758272109299999</v>
      </c>
      <c r="D8814">
        <v>0.93566081613600005</v>
      </c>
      <c r="E8814">
        <v>12.2098950524737</v>
      </c>
    </row>
    <row r="8815" spans="1:5">
      <c r="A8815" t="s">
        <v>10191</v>
      </c>
      <c r="B8815" t="s">
        <v>10193</v>
      </c>
      <c r="C8815">
        <v>0</v>
      </c>
      <c r="D8815">
        <v>0.93566081613600005</v>
      </c>
      <c r="E8815">
        <v>12.2098950524737</v>
      </c>
    </row>
    <row r="8816" spans="1:5">
      <c r="A8816" t="s">
        <v>10191</v>
      </c>
      <c r="B8816" t="s">
        <v>10194</v>
      </c>
      <c r="C8816">
        <v>0</v>
      </c>
      <c r="D8816">
        <v>0.93566081613600005</v>
      </c>
      <c r="E8816">
        <v>12.2098950524737</v>
      </c>
    </row>
    <row r="8817" spans="1:5">
      <c r="A8817" t="s">
        <v>10191</v>
      </c>
      <c r="B8817" t="s">
        <v>10195</v>
      </c>
      <c r="C8817">
        <v>0.15860501107200001</v>
      </c>
      <c r="D8817">
        <v>0.93566081613600005</v>
      </c>
      <c r="E8817">
        <v>12.2098950524737</v>
      </c>
    </row>
    <row r="8818" spans="1:5">
      <c r="A8818" t="s">
        <v>10191</v>
      </c>
      <c r="B8818" t="s">
        <v>10196</v>
      </c>
      <c r="C8818">
        <v>0</v>
      </c>
      <c r="D8818">
        <v>0.93566081613600005</v>
      </c>
      <c r="E8818">
        <v>12.2098950524737</v>
      </c>
    </row>
    <row r="8819" spans="1:5">
      <c r="A8819" t="s">
        <v>10197</v>
      </c>
      <c r="B8819" t="s">
        <v>10198</v>
      </c>
      <c r="C8819">
        <f>0.132961808991</f>
        <v>0.13296180899099999</v>
      </c>
      <c r="D8819">
        <v>0.83149617033800005</v>
      </c>
      <c r="E8819">
        <v>0.77961019490254801</v>
      </c>
    </row>
    <row r="8820" spans="1:5">
      <c r="A8820" t="s">
        <v>10197</v>
      </c>
      <c r="B8820" t="s">
        <v>10199</v>
      </c>
      <c r="C8820">
        <f>0</f>
        <v>0</v>
      </c>
      <c r="D8820">
        <v>0.83149617033800005</v>
      </c>
      <c r="E8820">
        <v>0.77961019490254801</v>
      </c>
    </row>
    <row r="8821" spans="1:5">
      <c r="A8821" t="s">
        <v>10197</v>
      </c>
      <c r="B8821" t="s">
        <v>10200</v>
      </c>
      <c r="C8821">
        <f>0</f>
        <v>0</v>
      </c>
      <c r="D8821">
        <v>0.83149617033800005</v>
      </c>
      <c r="E8821">
        <v>0.77961019490254801</v>
      </c>
    </row>
    <row r="8822" spans="1:5">
      <c r="A8822" t="s">
        <v>10197</v>
      </c>
      <c r="B8822" t="s">
        <v>10201</v>
      </c>
      <c r="C8822">
        <v>0</v>
      </c>
      <c r="D8822">
        <v>0.83149617033800005</v>
      </c>
      <c r="E8822">
        <v>0.77961019490254801</v>
      </c>
    </row>
    <row r="8823" spans="1:5">
      <c r="A8823" t="s">
        <v>10197</v>
      </c>
      <c r="B8823" t="s">
        <v>10202</v>
      </c>
      <c r="C8823">
        <f>0</f>
        <v>0</v>
      </c>
      <c r="D8823">
        <v>0.83149617033800005</v>
      </c>
      <c r="E8823">
        <v>0.77961019490254801</v>
      </c>
    </row>
    <row r="8824" spans="1:5">
      <c r="A8824" t="s">
        <v>10197</v>
      </c>
      <c r="B8824" t="s">
        <v>10203</v>
      </c>
      <c r="C8824">
        <f>0</f>
        <v>0</v>
      </c>
      <c r="D8824">
        <v>0.83149617033800005</v>
      </c>
      <c r="E8824">
        <v>0.77961019490254801</v>
      </c>
    </row>
    <row r="8825" spans="1:5">
      <c r="A8825" t="s">
        <v>10197</v>
      </c>
      <c r="B8825" t="s">
        <v>10204</v>
      </c>
      <c r="C8825">
        <v>0</v>
      </c>
      <c r="D8825">
        <v>0.83149617033800005</v>
      </c>
      <c r="E8825">
        <v>0.77961019490254801</v>
      </c>
    </row>
    <row r="8826" spans="1:5">
      <c r="A8826" t="s">
        <v>10197</v>
      </c>
      <c r="B8826" t="s">
        <v>10205</v>
      </c>
      <c r="C8826">
        <v>0</v>
      </c>
      <c r="D8826">
        <v>0.83149617033800005</v>
      </c>
      <c r="E8826">
        <v>0.77961019490254801</v>
      </c>
    </row>
    <row r="8827" spans="1:5">
      <c r="A8827" t="s">
        <v>10197</v>
      </c>
      <c r="B8827" t="s">
        <v>10206</v>
      </c>
      <c r="C8827">
        <f>0</f>
        <v>0</v>
      </c>
      <c r="D8827">
        <v>0.83149617033800005</v>
      </c>
      <c r="E8827">
        <v>0.77961019490254801</v>
      </c>
    </row>
    <row r="8828" spans="1:5">
      <c r="A8828" t="s">
        <v>10197</v>
      </c>
      <c r="B8828" t="s">
        <v>10207</v>
      </c>
      <c r="C8828">
        <f>0</f>
        <v>0</v>
      </c>
      <c r="D8828">
        <v>0.83149617033800005</v>
      </c>
      <c r="E8828">
        <v>0.77961019490254801</v>
      </c>
    </row>
    <row r="8829" spans="1:5">
      <c r="A8829" t="s">
        <v>10197</v>
      </c>
      <c r="B8829" t="s">
        <v>10208</v>
      </c>
      <c r="C8829">
        <f>0</f>
        <v>0</v>
      </c>
      <c r="D8829">
        <v>0.83149617033800005</v>
      </c>
      <c r="E8829">
        <v>0.77961019490254801</v>
      </c>
    </row>
    <row r="8830" spans="1:5">
      <c r="A8830" t="s">
        <v>10197</v>
      </c>
      <c r="B8830" t="s">
        <v>10209</v>
      </c>
      <c r="C8830">
        <f>0</f>
        <v>0</v>
      </c>
      <c r="D8830">
        <v>0.83149617033800005</v>
      </c>
      <c r="E8830">
        <v>0.77961019490254801</v>
      </c>
    </row>
    <row r="8831" spans="1:5">
      <c r="A8831" t="s">
        <v>10197</v>
      </c>
      <c r="B8831" t="s">
        <v>10210</v>
      </c>
      <c r="C8831">
        <v>0</v>
      </c>
      <c r="D8831">
        <v>0.83149617033800005</v>
      </c>
      <c r="E8831">
        <v>0.77961019490254801</v>
      </c>
    </row>
    <row r="8832" spans="1:5">
      <c r="A8832" t="s">
        <v>10197</v>
      </c>
      <c r="B8832" t="s">
        <v>10211</v>
      </c>
      <c r="C8832">
        <f>0</f>
        <v>0</v>
      </c>
      <c r="D8832">
        <v>0.83149617033800005</v>
      </c>
      <c r="E8832">
        <v>0.77961019490254801</v>
      </c>
    </row>
    <row r="8833" spans="1:5">
      <c r="A8833" t="s">
        <v>10197</v>
      </c>
      <c r="B8833" t="s">
        <v>10212</v>
      </c>
      <c r="C8833">
        <f>0</f>
        <v>0</v>
      </c>
      <c r="D8833">
        <v>0.83149617033800005</v>
      </c>
      <c r="E8833">
        <v>0.77961019490254801</v>
      </c>
    </row>
    <row r="8834" spans="1:5">
      <c r="A8834" t="s">
        <v>10197</v>
      </c>
      <c r="B8834" t="s">
        <v>10213</v>
      </c>
      <c r="C8834">
        <f>0</f>
        <v>0</v>
      </c>
      <c r="D8834">
        <v>0.83149617033800005</v>
      </c>
      <c r="E8834">
        <v>0.77961019490254801</v>
      </c>
    </row>
    <row r="8835" spans="1:5">
      <c r="A8835" t="s">
        <v>10197</v>
      </c>
      <c r="B8835" t="s">
        <v>10214</v>
      </c>
      <c r="C8835">
        <v>0</v>
      </c>
      <c r="D8835">
        <v>0.83149617033800005</v>
      </c>
      <c r="E8835">
        <v>0.77961019490254801</v>
      </c>
    </row>
    <row r="8836" spans="1:5">
      <c r="A8836" t="s">
        <v>10197</v>
      </c>
      <c r="B8836" t="s">
        <v>10215</v>
      </c>
      <c r="C8836">
        <f>0</f>
        <v>0</v>
      </c>
      <c r="D8836">
        <v>0.83149617033800005</v>
      </c>
      <c r="E8836">
        <v>0.77961019490254801</v>
      </c>
    </row>
    <row r="8837" spans="1:5">
      <c r="A8837" t="s">
        <v>10197</v>
      </c>
      <c r="B8837" t="s">
        <v>10216</v>
      </c>
      <c r="C8837">
        <v>0</v>
      </c>
      <c r="D8837">
        <v>0.83149617033800005</v>
      </c>
      <c r="E8837">
        <v>0.77961019490254801</v>
      </c>
    </row>
    <row r="8838" spans="1:5">
      <c r="A8838" t="s">
        <v>10197</v>
      </c>
      <c r="B8838" t="s">
        <v>10217</v>
      </c>
      <c r="C8838">
        <v>0</v>
      </c>
      <c r="D8838">
        <v>0.83149617033800005</v>
      </c>
      <c r="E8838">
        <v>0.77961019490254801</v>
      </c>
    </row>
    <row r="8839" spans="1:5">
      <c r="A8839" t="s">
        <v>10197</v>
      </c>
      <c r="B8839" t="s">
        <v>10218</v>
      </c>
      <c r="C8839">
        <f>0</f>
        <v>0</v>
      </c>
      <c r="D8839">
        <v>0.83149617033800005</v>
      </c>
      <c r="E8839">
        <v>0.77961019490254801</v>
      </c>
    </row>
    <row r="8840" spans="1:5">
      <c r="A8840" t="s">
        <v>10197</v>
      </c>
      <c r="B8840" t="s">
        <v>10219</v>
      </c>
      <c r="C8840">
        <f>0</f>
        <v>0</v>
      </c>
      <c r="D8840">
        <v>0.83149617033800005</v>
      </c>
      <c r="E8840">
        <v>0.77961019490254801</v>
      </c>
    </row>
    <row r="8841" spans="1:5">
      <c r="A8841" t="s">
        <v>10197</v>
      </c>
      <c r="B8841" t="s">
        <v>10220</v>
      </c>
      <c r="C8841">
        <f>0</f>
        <v>0</v>
      </c>
      <c r="D8841">
        <v>0.83149617033800005</v>
      </c>
      <c r="E8841">
        <v>0.77961019490254801</v>
      </c>
    </row>
    <row r="8842" spans="1:5">
      <c r="A8842" t="s">
        <v>10197</v>
      </c>
      <c r="B8842" t="s">
        <v>10221</v>
      </c>
      <c r="C8842">
        <v>0</v>
      </c>
      <c r="D8842">
        <v>0.83149617033800005</v>
      </c>
      <c r="E8842">
        <v>0.77961019490254801</v>
      </c>
    </row>
    <row r="8843" spans="1:5">
      <c r="A8843" t="s">
        <v>10197</v>
      </c>
      <c r="B8843" t="s">
        <v>10222</v>
      </c>
      <c r="C8843">
        <f>0</f>
        <v>0</v>
      </c>
      <c r="D8843">
        <v>0.83149617033800005</v>
      </c>
      <c r="E8843">
        <v>0.77961019490254801</v>
      </c>
    </row>
    <row r="8844" spans="1:5">
      <c r="A8844" t="s">
        <v>10197</v>
      </c>
      <c r="B8844" t="s">
        <v>10223</v>
      </c>
      <c r="C8844">
        <v>0</v>
      </c>
      <c r="D8844">
        <v>0.83149617033800005</v>
      </c>
      <c r="E8844">
        <v>0.77961019490254801</v>
      </c>
    </row>
    <row r="8845" spans="1:5">
      <c r="A8845" t="s">
        <v>10197</v>
      </c>
      <c r="B8845" t="s">
        <v>10224</v>
      </c>
      <c r="C8845">
        <f>0</f>
        <v>0</v>
      </c>
      <c r="D8845">
        <v>0.83149617033800005</v>
      </c>
      <c r="E8845">
        <v>0.77961019490254801</v>
      </c>
    </row>
    <row r="8846" spans="1:5">
      <c r="A8846" t="s">
        <v>10197</v>
      </c>
      <c r="B8846" t="s">
        <v>10225</v>
      </c>
      <c r="C8846">
        <f>0.0178913207413</f>
        <v>1.7891320741299999E-2</v>
      </c>
      <c r="D8846">
        <v>0.83149617033800005</v>
      </c>
      <c r="E8846">
        <v>0.77961019490254801</v>
      </c>
    </row>
    <row r="8847" spans="1:5">
      <c r="A8847" t="s">
        <v>10197</v>
      </c>
      <c r="B8847" t="s">
        <v>10226</v>
      </c>
      <c r="C8847">
        <f>0</f>
        <v>0</v>
      </c>
      <c r="D8847">
        <v>0.83149617033800005</v>
      </c>
      <c r="E8847">
        <v>0.77961019490254801</v>
      </c>
    </row>
    <row r="8848" spans="1:5">
      <c r="A8848" t="s">
        <v>10197</v>
      </c>
      <c r="B8848" t="s">
        <v>10227</v>
      </c>
      <c r="C8848">
        <v>0</v>
      </c>
      <c r="D8848">
        <v>0.83149617033800005</v>
      </c>
      <c r="E8848">
        <v>0.77961019490254801</v>
      </c>
    </row>
    <row r="8849" spans="1:5">
      <c r="A8849" t="s">
        <v>10197</v>
      </c>
      <c r="B8849" t="s">
        <v>10228</v>
      </c>
      <c r="C8849">
        <f>0</f>
        <v>0</v>
      </c>
      <c r="D8849">
        <v>0.83149617033800005</v>
      </c>
      <c r="E8849">
        <v>0.77961019490254801</v>
      </c>
    </row>
    <row r="8850" spans="1:5">
      <c r="A8850" t="s">
        <v>10229</v>
      </c>
      <c r="B8850" t="s">
        <v>10230</v>
      </c>
      <c r="C8850">
        <f>0.270028505246</f>
        <v>0.27002850524599997</v>
      </c>
      <c r="D8850">
        <v>0.92382510037400001</v>
      </c>
      <c r="E8850">
        <v>1.39130434782608</v>
      </c>
    </row>
    <row r="8851" spans="1:5">
      <c r="A8851" t="s">
        <v>10229</v>
      </c>
      <c r="B8851" t="s">
        <v>10231</v>
      </c>
      <c r="C8851">
        <f>0.0172945028573</f>
        <v>1.7294502857300002E-2</v>
      </c>
      <c r="D8851">
        <v>0.92382510037400001</v>
      </c>
      <c r="E8851">
        <v>1.39130434782608</v>
      </c>
    </row>
    <row r="8852" spans="1:5">
      <c r="A8852" t="s">
        <v>10229</v>
      </c>
      <c r="B8852" t="s">
        <v>10232</v>
      </c>
      <c r="C8852">
        <v>0</v>
      </c>
      <c r="D8852">
        <v>0.92382510037400001</v>
      </c>
      <c r="E8852">
        <v>1.39130434782608</v>
      </c>
    </row>
    <row r="8853" spans="1:5">
      <c r="A8853" t="s">
        <v>10229</v>
      </c>
      <c r="B8853" t="s">
        <v>10233</v>
      </c>
      <c r="C8853">
        <v>0</v>
      </c>
      <c r="D8853">
        <v>0.92382510037400001</v>
      </c>
      <c r="E8853">
        <v>1.39130434782608</v>
      </c>
    </row>
    <row r="8854" spans="1:5">
      <c r="A8854" t="s">
        <v>10229</v>
      </c>
      <c r="B8854" t="s">
        <v>10234</v>
      </c>
      <c r="C8854">
        <v>0</v>
      </c>
      <c r="D8854">
        <v>0.92382510037400001</v>
      </c>
      <c r="E8854">
        <v>1.39130434782608</v>
      </c>
    </row>
    <row r="8855" spans="1:5">
      <c r="A8855" t="s">
        <v>10229</v>
      </c>
      <c r="B8855" t="s">
        <v>10235</v>
      </c>
      <c r="C8855">
        <v>0</v>
      </c>
      <c r="D8855">
        <v>0.92382510037400001</v>
      </c>
      <c r="E8855">
        <v>1.39130434782608</v>
      </c>
    </row>
    <row r="8856" spans="1:5">
      <c r="A8856" t="s">
        <v>10236</v>
      </c>
      <c r="B8856" t="s">
        <v>10237</v>
      </c>
      <c r="C8856">
        <v>0</v>
      </c>
      <c r="D8856">
        <v>0.99818320404000005</v>
      </c>
      <c r="E8856">
        <v>1.06746626686656</v>
      </c>
    </row>
    <row r="8857" spans="1:5">
      <c r="A8857" t="s">
        <v>10236</v>
      </c>
      <c r="B8857" t="s">
        <v>10238</v>
      </c>
      <c r="C8857">
        <f>0.712992201728</f>
        <v>0.71299220172800004</v>
      </c>
      <c r="D8857">
        <v>0.99818320404000005</v>
      </c>
      <c r="E8857">
        <v>1.06746626686656</v>
      </c>
    </row>
    <row r="8858" spans="1:5">
      <c r="A8858" t="s">
        <v>10236</v>
      </c>
      <c r="B8858" t="s">
        <v>10239</v>
      </c>
      <c r="C8858">
        <v>0</v>
      </c>
      <c r="D8858">
        <v>0.99818320404000005</v>
      </c>
      <c r="E8858">
        <v>1.06746626686656</v>
      </c>
    </row>
    <row r="8859" spans="1:5">
      <c r="A8859" t="s">
        <v>10236</v>
      </c>
      <c r="B8859" t="s">
        <v>10240</v>
      </c>
      <c r="C8859">
        <f>0</f>
        <v>0</v>
      </c>
      <c r="D8859">
        <v>0.99818320404000005</v>
      </c>
      <c r="E8859">
        <v>1.06746626686656</v>
      </c>
    </row>
    <row r="8860" spans="1:5">
      <c r="A8860" t="s">
        <v>10236</v>
      </c>
      <c r="B8860" t="s">
        <v>10241</v>
      </c>
      <c r="C8860">
        <f>0</f>
        <v>0</v>
      </c>
      <c r="D8860">
        <v>0.99818320404000005</v>
      </c>
      <c r="E8860">
        <v>1.06746626686656</v>
      </c>
    </row>
    <row r="8861" spans="1:5">
      <c r="A8861" t="s">
        <v>10236</v>
      </c>
      <c r="B8861" t="s">
        <v>10242</v>
      </c>
      <c r="C8861">
        <f>0</f>
        <v>0</v>
      </c>
      <c r="D8861">
        <v>0.99818320404000005</v>
      </c>
      <c r="E8861">
        <v>1.06746626686656</v>
      </c>
    </row>
    <row r="8862" spans="1:5">
      <c r="A8862" t="s">
        <v>10236</v>
      </c>
      <c r="B8862" t="s">
        <v>10243</v>
      </c>
      <c r="C8862">
        <f>0</f>
        <v>0</v>
      </c>
      <c r="D8862">
        <v>0.99818320404000005</v>
      </c>
      <c r="E8862">
        <v>1.06746626686656</v>
      </c>
    </row>
    <row r="8863" spans="1:5">
      <c r="A8863" t="s">
        <v>10236</v>
      </c>
      <c r="B8863" t="s">
        <v>10244</v>
      </c>
      <c r="C8863">
        <f>0.0739105857249</f>
        <v>7.3910585724900002E-2</v>
      </c>
      <c r="D8863">
        <v>0.99818320404000005</v>
      </c>
      <c r="E8863">
        <v>1.06746626686656</v>
      </c>
    </row>
    <row r="8864" spans="1:5">
      <c r="A8864" t="s">
        <v>10236</v>
      </c>
      <c r="B8864" t="s">
        <v>10245</v>
      </c>
      <c r="C8864">
        <v>0</v>
      </c>
      <c r="D8864">
        <v>0.99818320404000005</v>
      </c>
      <c r="E8864">
        <v>1.06746626686656</v>
      </c>
    </row>
    <row r="8865" spans="1:5">
      <c r="A8865" t="s">
        <v>10246</v>
      </c>
      <c r="B8865" t="s">
        <v>10247</v>
      </c>
      <c r="C8865">
        <v>1.0338038633799999E-2</v>
      </c>
      <c r="D8865">
        <v>0.811917471241</v>
      </c>
      <c r="E8865">
        <v>17.307346326836502</v>
      </c>
    </row>
    <row r="8866" spans="1:5">
      <c r="A8866" t="s">
        <v>10246</v>
      </c>
      <c r="B8866" t="s">
        <v>10248</v>
      </c>
      <c r="C8866">
        <v>0</v>
      </c>
      <c r="D8866">
        <v>0.811917471241</v>
      </c>
      <c r="E8866">
        <v>17.307346326836502</v>
      </c>
    </row>
    <row r="8867" spans="1:5">
      <c r="A8867" t="s">
        <v>10246</v>
      </c>
      <c r="B8867" t="s">
        <v>10249</v>
      </c>
      <c r="C8867">
        <v>0</v>
      </c>
      <c r="D8867">
        <v>0.811917471241</v>
      </c>
      <c r="E8867">
        <v>17.307346326836502</v>
      </c>
    </row>
    <row r="8868" spans="1:5">
      <c r="A8868" t="s">
        <v>10246</v>
      </c>
      <c r="B8868" t="s">
        <v>10250</v>
      </c>
      <c r="C8868">
        <v>0</v>
      </c>
      <c r="D8868">
        <v>0.811917471241</v>
      </c>
      <c r="E8868">
        <v>17.307346326836502</v>
      </c>
    </row>
    <row r="8869" spans="1:5">
      <c r="A8869" t="s">
        <v>10246</v>
      </c>
      <c r="B8869" t="s">
        <v>10251</v>
      </c>
      <c r="C8869">
        <v>0.12370837368</v>
      </c>
      <c r="D8869">
        <v>0.811917471241</v>
      </c>
      <c r="E8869">
        <v>17.307346326836502</v>
      </c>
    </row>
    <row r="8870" spans="1:5">
      <c r="A8870" t="s">
        <v>10246</v>
      </c>
      <c r="B8870" t="s">
        <v>10252</v>
      </c>
      <c r="C8870">
        <v>0</v>
      </c>
      <c r="D8870">
        <v>0.811917471241</v>
      </c>
      <c r="E8870">
        <v>17.307346326836502</v>
      </c>
    </row>
    <row r="8871" spans="1:5">
      <c r="A8871" t="s">
        <v>10246</v>
      </c>
      <c r="B8871" t="s">
        <v>10253</v>
      </c>
      <c r="C8871">
        <v>0</v>
      </c>
      <c r="D8871">
        <v>0.811917471241</v>
      </c>
      <c r="E8871">
        <v>17.307346326836502</v>
      </c>
    </row>
    <row r="8872" spans="1:5">
      <c r="A8872" t="s">
        <v>10246</v>
      </c>
      <c r="B8872" t="s">
        <v>10254</v>
      </c>
      <c r="C8872">
        <v>0</v>
      </c>
      <c r="D8872">
        <v>0.811917471241</v>
      </c>
      <c r="E8872">
        <v>17.307346326836502</v>
      </c>
    </row>
    <row r="8873" spans="1:5">
      <c r="A8873" t="s">
        <v>10246</v>
      </c>
      <c r="B8873" t="s">
        <v>10255</v>
      </c>
      <c r="C8873">
        <v>0</v>
      </c>
      <c r="D8873">
        <v>0.811917471241</v>
      </c>
      <c r="E8873">
        <v>17.307346326836502</v>
      </c>
    </row>
    <row r="8874" spans="1:5">
      <c r="A8874" t="s">
        <v>10246</v>
      </c>
      <c r="B8874" t="s">
        <v>10256</v>
      </c>
      <c r="C8874">
        <v>0</v>
      </c>
      <c r="D8874">
        <v>0.811917471241</v>
      </c>
      <c r="E8874">
        <v>17.307346326836502</v>
      </c>
    </row>
    <row r="8875" spans="1:5">
      <c r="A8875" t="s">
        <v>10246</v>
      </c>
      <c r="B8875" t="s">
        <v>10257</v>
      </c>
      <c r="C8875">
        <v>0</v>
      </c>
      <c r="D8875">
        <v>0.811917471241</v>
      </c>
      <c r="E8875">
        <v>17.307346326836502</v>
      </c>
    </row>
    <row r="8876" spans="1:5">
      <c r="A8876" t="s">
        <v>10246</v>
      </c>
      <c r="B8876" t="s">
        <v>10258</v>
      </c>
      <c r="C8876">
        <v>0</v>
      </c>
      <c r="D8876">
        <v>0.811917471241</v>
      </c>
      <c r="E8876">
        <v>17.307346326836502</v>
      </c>
    </row>
    <row r="8877" spans="1:5">
      <c r="A8877" t="s">
        <v>10246</v>
      </c>
      <c r="B8877" t="s">
        <v>10259</v>
      </c>
      <c r="C8877">
        <v>0</v>
      </c>
      <c r="D8877">
        <v>0.811917471241</v>
      </c>
      <c r="E8877">
        <v>17.307346326836502</v>
      </c>
    </row>
    <row r="8878" spans="1:5">
      <c r="A8878" t="s">
        <v>10260</v>
      </c>
      <c r="B8878" t="s">
        <v>10261</v>
      </c>
      <c r="C8878">
        <v>0</v>
      </c>
      <c r="D8878">
        <v>0.99520085716700002</v>
      </c>
      <c r="E8878">
        <v>7.7361319340329802</v>
      </c>
    </row>
    <row r="8879" spans="1:5">
      <c r="A8879" t="s">
        <v>10260</v>
      </c>
      <c r="B8879" t="s">
        <v>10262</v>
      </c>
      <c r="C8879">
        <v>0</v>
      </c>
      <c r="D8879">
        <v>0.99520085716700002</v>
      </c>
      <c r="E8879">
        <v>7.7361319340329802</v>
      </c>
    </row>
    <row r="8880" spans="1:5">
      <c r="A8880" t="s">
        <v>10260</v>
      </c>
      <c r="B8880" t="s">
        <v>10263</v>
      </c>
      <c r="C8880">
        <f>0</f>
        <v>0</v>
      </c>
      <c r="D8880">
        <v>0.99520085716700002</v>
      </c>
      <c r="E8880">
        <v>7.7361319340329802</v>
      </c>
    </row>
    <row r="8881" spans="1:5">
      <c r="A8881" t="s">
        <v>10260</v>
      </c>
      <c r="B8881" t="s">
        <v>10264</v>
      </c>
      <c r="C8881">
        <v>0</v>
      </c>
      <c r="D8881">
        <v>0.99520085716700002</v>
      </c>
      <c r="E8881">
        <v>7.7361319340329802</v>
      </c>
    </row>
    <row r="8882" spans="1:5">
      <c r="A8882" t="s">
        <v>10260</v>
      </c>
      <c r="B8882" t="s">
        <v>10265</v>
      </c>
      <c r="C8882">
        <v>0.47451180672100002</v>
      </c>
      <c r="D8882">
        <v>0.99520085716700002</v>
      </c>
      <c r="E8882">
        <v>7.7361319340329802</v>
      </c>
    </row>
    <row r="8883" spans="1:5">
      <c r="A8883" t="s">
        <v>10260</v>
      </c>
      <c r="B8883" t="s">
        <v>10266</v>
      </c>
      <c r="C8883">
        <v>0</v>
      </c>
      <c r="D8883">
        <v>0.99520085716700002</v>
      </c>
      <c r="E8883">
        <v>7.7361319340329802</v>
      </c>
    </row>
    <row r="8884" spans="1:5">
      <c r="A8884" t="s">
        <v>10260</v>
      </c>
      <c r="B8884" t="s">
        <v>10267</v>
      </c>
      <c r="C8884">
        <f>0.0249131223989</f>
        <v>2.4913122398899999E-2</v>
      </c>
      <c r="D8884">
        <v>0.99520085716700002</v>
      </c>
      <c r="E8884">
        <v>7.7361319340329802</v>
      </c>
    </row>
    <row r="8885" spans="1:5">
      <c r="A8885" t="s">
        <v>10268</v>
      </c>
      <c r="B8885" t="s">
        <v>10269</v>
      </c>
      <c r="C8885">
        <v>0</v>
      </c>
      <c r="D8885" t="s">
        <v>106</v>
      </c>
      <c r="E8885">
        <v>5.9370314842578704</v>
      </c>
    </row>
    <row r="8886" spans="1:5">
      <c r="A8886" t="s">
        <v>10268</v>
      </c>
      <c r="B8886" t="s">
        <v>10270</v>
      </c>
      <c r="C8886">
        <f>0</f>
        <v>0</v>
      </c>
      <c r="D8886" t="s">
        <v>106</v>
      </c>
      <c r="E8886">
        <v>5.9370314842578704</v>
      </c>
    </row>
    <row r="8887" spans="1:5">
      <c r="A8887" t="s">
        <v>10268</v>
      </c>
      <c r="B8887" t="s">
        <v>10271</v>
      </c>
      <c r="C8887">
        <f>0</f>
        <v>0</v>
      </c>
      <c r="D8887" t="s">
        <v>106</v>
      </c>
      <c r="E8887">
        <v>5.9370314842578704</v>
      </c>
    </row>
    <row r="8888" spans="1:5">
      <c r="A8888" t="s">
        <v>10268</v>
      </c>
      <c r="B8888" t="s">
        <v>10272</v>
      </c>
      <c r="C8888">
        <f>0</f>
        <v>0</v>
      </c>
      <c r="D8888" t="s">
        <v>106</v>
      </c>
      <c r="E8888">
        <v>5.9370314842578704</v>
      </c>
    </row>
    <row r="8889" spans="1:5">
      <c r="A8889" t="s">
        <v>10268</v>
      </c>
      <c r="B8889" t="s">
        <v>10273</v>
      </c>
      <c r="C8889">
        <v>0</v>
      </c>
      <c r="D8889" t="s">
        <v>106</v>
      </c>
      <c r="E8889">
        <v>5.9370314842578704</v>
      </c>
    </row>
    <row r="8890" spans="1:5">
      <c r="A8890" t="s">
        <v>10268</v>
      </c>
      <c r="B8890" t="s">
        <v>10274</v>
      </c>
      <c r="C8890">
        <f>0</f>
        <v>0</v>
      </c>
      <c r="D8890" t="s">
        <v>106</v>
      </c>
      <c r="E8890">
        <v>5.9370314842578704</v>
      </c>
    </row>
    <row r="8891" spans="1:5">
      <c r="A8891" t="s">
        <v>10268</v>
      </c>
      <c r="B8891" t="s">
        <v>10275</v>
      </c>
      <c r="C8891">
        <f>0.0140311742884</f>
        <v>1.40311742884E-2</v>
      </c>
      <c r="D8891" t="s">
        <v>106</v>
      </c>
      <c r="E8891">
        <v>5.9370314842578704</v>
      </c>
    </row>
    <row r="8892" spans="1:5">
      <c r="A8892" t="s">
        <v>10268</v>
      </c>
      <c r="B8892" t="s">
        <v>10276</v>
      </c>
      <c r="C8892">
        <f>0</f>
        <v>0</v>
      </c>
      <c r="D8892" t="s">
        <v>106</v>
      </c>
      <c r="E8892">
        <v>5.9370314842578704</v>
      </c>
    </row>
    <row r="8893" spans="1:5">
      <c r="A8893" t="s">
        <v>10268</v>
      </c>
      <c r="B8893" t="s">
        <v>10277</v>
      </c>
      <c r="C8893">
        <v>0</v>
      </c>
      <c r="D8893" t="s">
        <v>106</v>
      </c>
      <c r="E8893">
        <v>5.9370314842578704</v>
      </c>
    </row>
    <row r="8894" spans="1:5">
      <c r="A8894" t="s">
        <v>10278</v>
      </c>
      <c r="B8894" t="s">
        <v>10279</v>
      </c>
      <c r="C8894">
        <v>0.46844641862600001</v>
      </c>
      <c r="D8894">
        <v>0.97586351273100003</v>
      </c>
      <c r="E8894">
        <v>5.4692653673163401</v>
      </c>
    </row>
    <row r="8895" spans="1:5">
      <c r="A8895" t="s">
        <v>10278</v>
      </c>
      <c r="B8895" t="s">
        <v>10280</v>
      </c>
      <c r="C8895">
        <v>6.2463042871500001E-2</v>
      </c>
      <c r="D8895">
        <v>0.97586351273100003</v>
      </c>
      <c r="E8895">
        <v>5.4692653673163401</v>
      </c>
    </row>
    <row r="8896" spans="1:5">
      <c r="A8896" t="s">
        <v>10281</v>
      </c>
      <c r="B8896" t="s">
        <v>10282</v>
      </c>
      <c r="C8896">
        <f>0</f>
        <v>0</v>
      </c>
      <c r="D8896">
        <v>0.79816660889799995</v>
      </c>
      <c r="E8896">
        <v>9.1634182908545707</v>
      </c>
    </row>
    <row r="8897" spans="1:5">
      <c r="A8897" t="s">
        <v>10281</v>
      </c>
      <c r="B8897" t="s">
        <v>10283</v>
      </c>
      <c r="C8897">
        <f>0</f>
        <v>0</v>
      </c>
      <c r="D8897">
        <v>0.79816660889799995</v>
      </c>
      <c r="E8897">
        <v>9.1634182908545707</v>
      </c>
    </row>
    <row r="8898" spans="1:5">
      <c r="A8898" t="s">
        <v>10281</v>
      </c>
      <c r="B8898" t="s">
        <v>10284</v>
      </c>
      <c r="C8898">
        <f>0.403975466942</f>
        <v>0.40397546694199998</v>
      </c>
      <c r="D8898">
        <v>0.79816660889799995</v>
      </c>
      <c r="E8898">
        <v>9.1634182908545707</v>
      </c>
    </row>
    <row r="8899" spans="1:5">
      <c r="A8899" t="s">
        <v>10285</v>
      </c>
      <c r="B8899" t="s">
        <v>10286</v>
      </c>
      <c r="C8899">
        <f>0</f>
        <v>0</v>
      </c>
      <c r="D8899" t="s">
        <v>106</v>
      </c>
      <c r="E8899">
        <v>5.4692653673163401</v>
      </c>
    </row>
    <row r="8900" spans="1:5">
      <c r="A8900" t="s">
        <v>10285</v>
      </c>
      <c r="B8900" t="s">
        <v>10287</v>
      </c>
      <c r="C8900">
        <v>0</v>
      </c>
      <c r="D8900" t="s">
        <v>106</v>
      </c>
      <c r="E8900">
        <v>5.4692653673163401</v>
      </c>
    </row>
    <row r="8901" spans="1:5">
      <c r="A8901" t="s">
        <v>10285</v>
      </c>
      <c r="B8901" t="s">
        <v>10288</v>
      </c>
      <c r="C8901">
        <v>0</v>
      </c>
      <c r="D8901" t="s">
        <v>106</v>
      </c>
      <c r="E8901">
        <v>5.4692653673163401</v>
      </c>
    </row>
    <row r="8902" spans="1:5">
      <c r="A8902" t="s">
        <v>10285</v>
      </c>
      <c r="B8902" t="s">
        <v>10289</v>
      </c>
      <c r="C8902">
        <f>0</f>
        <v>0</v>
      </c>
      <c r="D8902" t="s">
        <v>106</v>
      </c>
      <c r="E8902">
        <v>5.4692653673163401</v>
      </c>
    </row>
    <row r="8903" spans="1:5">
      <c r="A8903" t="s">
        <v>10290</v>
      </c>
      <c r="B8903" t="s">
        <v>10291</v>
      </c>
      <c r="C8903">
        <v>0</v>
      </c>
      <c r="D8903" t="s">
        <v>106</v>
      </c>
      <c r="E8903">
        <v>10.398800599700101</v>
      </c>
    </row>
    <row r="8904" spans="1:5">
      <c r="A8904" t="s">
        <v>10290</v>
      </c>
      <c r="B8904" t="s">
        <v>10292</v>
      </c>
      <c r="C8904">
        <f>0</f>
        <v>0</v>
      </c>
      <c r="D8904" t="s">
        <v>106</v>
      </c>
      <c r="E8904">
        <v>10.398800599700101</v>
      </c>
    </row>
    <row r="8905" spans="1:5">
      <c r="A8905" t="s">
        <v>10290</v>
      </c>
      <c r="B8905" t="s">
        <v>10293</v>
      </c>
      <c r="C8905">
        <v>0</v>
      </c>
      <c r="D8905" t="s">
        <v>106</v>
      </c>
      <c r="E8905">
        <v>10.398800599700101</v>
      </c>
    </row>
    <row r="8906" spans="1:5">
      <c r="A8906" t="s">
        <v>10290</v>
      </c>
      <c r="B8906" t="s">
        <v>10294</v>
      </c>
      <c r="C8906">
        <f>0</f>
        <v>0</v>
      </c>
      <c r="D8906" t="s">
        <v>106</v>
      </c>
      <c r="E8906">
        <v>10.398800599700101</v>
      </c>
    </row>
    <row r="8907" spans="1:5">
      <c r="A8907" t="s">
        <v>10295</v>
      </c>
      <c r="B8907" t="s">
        <v>10296</v>
      </c>
      <c r="C8907">
        <f>0</f>
        <v>0</v>
      </c>
      <c r="D8907">
        <v>0.97007212035400003</v>
      </c>
      <c r="E8907">
        <v>4.2698650674662604</v>
      </c>
    </row>
    <row r="8908" spans="1:5">
      <c r="A8908" t="s">
        <v>10295</v>
      </c>
      <c r="B8908" t="s">
        <v>10297</v>
      </c>
      <c r="C8908">
        <v>0</v>
      </c>
      <c r="D8908">
        <v>0.97007212035400003</v>
      </c>
      <c r="E8908">
        <v>4.2698650674662604</v>
      </c>
    </row>
    <row r="8909" spans="1:5">
      <c r="A8909" t="s">
        <v>10295</v>
      </c>
      <c r="B8909" t="s">
        <v>10298</v>
      </c>
      <c r="C8909">
        <v>0.14373625693600001</v>
      </c>
      <c r="D8909">
        <v>0.97007212035400003</v>
      </c>
      <c r="E8909">
        <v>4.2698650674662604</v>
      </c>
    </row>
    <row r="8910" spans="1:5">
      <c r="A8910" t="s">
        <v>10295</v>
      </c>
      <c r="B8910" t="s">
        <v>10299</v>
      </c>
      <c r="C8910">
        <f>0.0970950212319</f>
        <v>9.7095021231900003E-2</v>
      </c>
      <c r="D8910">
        <v>0.97007212035400003</v>
      </c>
      <c r="E8910">
        <v>4.2698650674662604</v>
      </c>
    </row>
    <row r="8911" spans="1:5">
      <c r="A8911" t="s">
        <v>10300</v>
      </c>
      <c r="B8911" t="s">
        <v>10301</v>
      </c>
      <c r="C8911">
        <f>0</f>
        <v>0</v>
      </c>
      <c r="D8911" t="s">
        <v>106</v>
      </c>
      <c r="E8911">
        <v>24</v>
      </c>
    </row>
    <row r="8912" spans="1:5">
      <c r="A8912" t="s">
        <v>10300</v>
      </c>
      <c r="B8912" t="s">
        <v>10302</v>
      </c>
      <c r="C8912">
        <f>0</f>
        <v>0</v>
      </c>
      <c r="D8912" t="s">
        <v>106</v>
      </c>
      <c r="E8912">
        <v>24</v>
      </c>
    </row>
    <row r="8913" spans="1:5">
      <c r="A8913" t="s">
        <v>10300</v>
      </c>
      <c r="B8913" t="s">
        <v>10303</v>
      </c>
      <c r="C8913">
        <v>0</v>
      </c>
      <c r="D8913" t="s">
        <v>106</v>
      </c>
      <c r="E8913">
        <v>24</v>
      </c>
    </row>
    <row r="8914" spans="1:5">
      <c r="A8914" t="s">
        <v>10300</v>
      </c>
      <c r="B8914" t="s">
        <v>10304</v>
      </c>
      <c r="C8914">
        <v>1.9215672064799998E-2</v>
      </c>
      <c r="D8914" t="s">
        <v>106</v>
      </c>
      <c r="E8914">
        <v>24</v>
      </c>
    </row>
    <row r="8915" spans="1:5">
      <c r="A8915" t="s">
        <v>10300</v>
      </c>
      <c r="B8915" t="s">
        <v>10305</v>
      </c>
      <c r="C8915">
        <f>0</f>
        <v>0</v>
      </c>
      <c r="D8915" t="s">
        <v>106</v>
      </c>
      <c r="E8915">
        <v>24</v>
      </c>
    </row>
    <row r="8916" spans="1:5">
      <c r="A8916" t="s">
        <v>10300</v>
      </c>
      <c r="B8916" t="s">
        <v>10306</v>
      </c>
      <c r="C8916">
        <f>0</f>
        <v>0</v>
      </c>
      <c r="D8916" t="s">
        <v>106</v>
      </c>
      <c r="E8916">
        <v>24</v>
      </c>
    </row>
    <row r="8917" spans="1:5">
      <c r="A8917" t="s">
        <v>10300</v>
      </c>
      <c r="B8917" t="s">
        <v>10307</v>
      </c>
      <c r="C8917">
        <f>0</f>
        <v>0</v>
      </c>
      <c r="D8917" t="s">
        <v>106</v>
      </c>
      <c r="E8917">
        <v>24</v>
      </c>
    </row>
    <row r="8918" spans="1:5">
      <c r="A8918" t="s">
        <v>10300</v>
      </c>
      <c r="B8918" t="s">
        <v>10308</v>
      </c>
      <c r="C8918">
        <v>0</v>
      </c>
      <c r="D8918" t="s">
        <v>106</v>
      </c>
      <c r="E8918">
        <v>24</v>
      </c>
    </row>
    <row r="8919" spans="1:5">
      <c r="A8919" t="s">
        <v>10300</v>
      </c>
      <c r="B8919" t="s">
        <v>10309</v>
      </c>
      <c r="C8919">
        <v>0</v>
      </c>
      <c r="D8919" t="s">
        <v>106</v>
      </c>
      <c r="E8919">
        <v>24</v>
      </c>
    </row>
    <row r="8920" spans="1:5">
      <c r="A8920" t="s">
        <v>10300</v>
      </c>
      <c r="B8920" t="s">
        <v>10310</v>
      </c>
      <c r="C8920">
        <v>0</v>
      </c>
      <c r="D8920" t="s">
        <v>106</v>
      </c>
      <c r="E8920">
        <v>24</v>
      </c>
    </row>
    <row r="8921" spans="1:5">
      <c r="A8921" t="s">
        <v>10300</v>
      </c>
      <c r="B8921" t="s">
        <v>10311</v>
      </c>
      <c r="C8921">
        <v>3.0959587795499999E-2</v>
      </c>
      <c r="D8921" t="s">
        <v>106</v>
      </c>
      <c r="E8921">
        <v>24</v>
      </c>
    </row>
    <row r="8922" spans="1:5">
      <c r="A8922" t="s">
        <v>10300</v>
      </c>
      <c r="B8922" t="s">
        <v>10312</v>
      </c>
      <c r="C8922">
        <v>0</v>
      </c>
      <c r="D8922" t="s">
        <v>106</v>
      </c>
      <c r="E8922">
        <v>24</v>
      </c>
    </row>
    <row r="8923" spans="1:5">
      <c r="A8923" t="s">
        <v>10313</v>
      </c>
      <c r="B8923" t="s">
        <v>10314</v>
      </c>
      <c r="C8923">
        <v>0</v>
      </c>
      <c r="D8923" t="s">
        <v>106</v>
      </c>
      <c r="E8923">
        <v>3.2263868065966999</v>
      </c>
    </row>
    <row r="8924" spans="1:5">
      <c r="A8924" t="s">
        <v>10313</v>
      </c>
      <c r="B8924" t="s">
        <v>10315</v>
      </c>
      <c r="C8924">
        <v>0.16193659056900001</v>
      </c>
      <c r="D8924" t="s">
        <v>106</v>
      </c>
      <c r="E8924">
        <v>3.2263868065966999</v>
      </c>
    </row>
    <row r="8925" spans="1:5">
      <c r="A8925" t="s">
        <v>10313</v>
      </c>
      <c r="B8925" t="s">
        <v>10316</v>
      </c>
      <c r="C8925">
        <f>0</f>
        <v>0</v>
      </c>
      <c r="D8925" t="s">
        <v>106</v>
      </c>
      <c r="E8925">
        <v>3.2263868065966999</v>
      </c>
    </row>
    <row r="8926" spans="1:5">
      <c r="A8926" t="s">
        <v>10313</v>
      </c>
      <c r="B8926" t="s">
        <v>10317</v>
      </c>
      <c r="C8926">
        <v>0</v>
      </c>
      <c r="D8926" t="s">
        <v>106</v>
      </c>
      <c r="E8926">
        <v>3.2263868065966999</v>
      </c>
    </row>
    <row r="8927" spans="1:5">
      <c r="A8927" t="s">
        <v>10313</v>
      </c>
      <c r="B8927" t="s">
        <v>10318</v>
      </c>
      <c r="C8927">
        <v>0</v>
      </c>
      <c r="D8927" t="s">
        <v>106</v>
      </c>
      <c r="E8927">
        <v>3.2263868065966999</v>
      </c>
    </row>
    <row r="8928" spans="1:5">
      <c r="A8928" t="s">
        <v>10313</v>
      </c>
      <c r="B8928" t="s">
        <v>10319</v>
      </c>
      <c r="C8928">
        <v>0</v>
      </c>
      <c r="D8928" t="s">
        <v>106</v>
      </c>
      <c r="E8928">
        <v>3.2263868065966999</v>
      </c>
    </row>
    <row r="8929" spans="1:5">
      <c r="A8929" t="s">
        <v>10313</v>
      </c>
      <c r="B8929" t="s">
        <v>10320</v>
      </c>
      <c r="C8929">
        <v>0</v>
      </c>
      <c r="D8929" t="s">
        <v>106</v>
      </c>
      <c r="E8929">
        <v>3.2263868065966999</v>
      </c>
    </row>
    <row r="8930" spans="1:5">
      <c r="A8930" t="s">
        <v>10313</v>
      </c>
      <c r="B8930" t="s">
        <v>10321</v>
      </c>
      <c r="C8930">
        <v>0.334608338472</v>
      </c>
      <c r="D8930" t="s">
        <v>106</v>
      </c>
      <c r="E8930">
        <v>3.2263868065966999</v>
      </c>
    </row>
    <row r="8931" spans="1:5">
      <c r="A8931" t="s">
        <v>10313</v>
      </c>
      <c r="B8931" t="s">
        <v>10322</v>
      </c>
      <c r="C8931">
        <v>0</v>
      </c>
      <c r="D8931" t="s">
        <v>106</v>
      </c>
      <c r="E8931">
        <v>3.2263868065966999</v>
      </c>
    </row>
    <row r="8932" spans="1:5">
      <c r="A8932" t="s">
        <v>10313</v>
      </c>
      <c r="B8932" t="s">
        <v>10323</v>
      </c>
      <c r="C8932">
        <v>0</v>
      </c>
      <c r="D8932" t="s">
        <v>106</v>
      </c>
      <c r="E8932">
        <v>3.2263868065966999</v>
      </c>
    </row>
    <row r="8933" spans="1:5">
      <c r="A8933" t="s">
        <v>10313</v>
      </c>
      <c r="B8933" t="s">
        <v>10324</v>
      </c>
      <c r="C8933">
        <v>0</v>
      </c>
      <c r="D8933" t="s">
        <v>106</v>
      </c>
      <c r="E8933">
        <v>3.2263868065966999</v>
      </c>
    </row>
    <row r="8934" spans="1:5">
      <c r="A8934" t="s">
        <v>10313</v>
      </c>
      <c r="B8934" t="s">
        <v>10325</v>
      </c>
      <c r="C8934">
        <v>0</v>
      </c>
      <c r="D8934" t="s">
        <v>106</v>
      </c>
      <c r="E8934">
        <v>3.2263868065966999</v>
      </c>
    </row>
    <row r="8935" spans="1:5">
      <c r="A8935" t="s">
        <v>10326</v>
      </c>
      <c r="B8935" t="s">
        <v>10327</v>
      </c>
      <c r="C8935">
        <f>0</f>
        <v>0</v>
      </c>
      <c r="D8935" t="s">
        <v>106</v>
      </c>
      <c r="E8935">
        <v>5.5772113943028403</v>
      </c>
    </row>
    <row r="8936" spans="1:5">
      <c r="A8936" t="s">
        <v>10326</v>
      </c>
      <c r="B8936" t="s">
        <v>10328</v>
      </c>
      <c r="C8936">
        <f>0</f>
        <v>0</v>
      </c>
      <c r="D8936" t="s">
        <v>106</v>
      </c>
      <c r="E8936">
        <v>5.5772113943028403</v>
      </c>
    </row>
    <row r="8937" spans="1:5">
      <c r="A8937" t="s">
        <v>10326</v>
      </c>
      <c r="B8937" t="s">
        <v>10329</v>
      </c>
      <c r="C8937">
        <v>0</v>
      </c>
      <c r="D8937" t="s">
        <v>106</v>
      </c>
      <c r="E8937">
        <v>5.5772113943028403</v>
      </c>
    </row>
    <row r="8938" spans="1:5">
      <c r="A8938" t="s">
        <v>10330</v>
      </c>
      <c r="B8938" t="s">
        <v>10331</v>
      </c>
      <c r="C8938">
        <v>0.47975919260700001</v>
      </c>
      <c r="D8938">
        <v>0.95959867741600002</v>
      </c>
      <c r="E8938">
        <v>8.8635682158920499</v>
      </c>
    </row>
    <row r="8939" spans="1:5">
      <c r="A8939" t="s">
        <v>10332</v>
      </c>
      <c r="B8939" t="s">
        <v>10333</v>
      </c>
      <c r="C8939">
        <f>0</f>
        <v>0</v>
      </c>
      <c r="D8939" t="s">
        <v>106</v>
      </c>
      <c r="E8939">
        <v>13.625187406296799</v>
      </c>
    </row>
    <row r="8940" spans="1:5">
      <c r="A8940" t="s">
        <v>10332</v>
      </c>
      <c r="B8940" t="s">
        <v>10334</v>
      </c>
      <c r="C8940">
        <f>0</f>
        <v>0</v>
      </c>
      <c r="D8940" t="s">
        <v>106</v>
      </c>
      <c r="E8940">
        <v>13.625187406296799</v>
      </c>
    </row>
    <row r="8941" spans="1:5">
      <c r="A8941" t="s">
        <v>10332</v>
      </c>
      <c r="B8941" t="s">
        <v>10335</v>
      </c>
      <c r="C8941">
        <f>0</f>
        <v>0</v>
      </c>
      <c r="D8941" t="s">
        <v>106</v>
      </c>
      <c r="E8941">
        <v>13.625187406296799</v>
      </c>
    </row>
    <row r="8942" spans="1:5">
      <c r="A8942" t="s">
        <v>10332</v>
      </c>
      <c r="B8942" t="s">
        <v>10336</v>
      </c>
      <c r="C8942">
        <f>0</f>
        <v>0</v>
      </c>
      <c r="D8942" t="s">
        <v>106</v>
      </c>
      <c r="E8942">
        <v>13.625187406296799</v>
      </c>
    </row>
    <row r="8943" spans="1:5">
      <c r="A8943" t="s">
        <v>10332</v>
      </c>
      <c r="B8943" t="s">
        <v>10337</v>
      </c>
      <c r="C8943">
        <f>0</f>
        <v>0</v>
      </c>
      <c r="D8943" t="s">
        <v>106</v>
      </c>
      <c r="E8943">
        <v>13.625187406296799</v>
      </c>
    </row>
    <row r="8944" spans="1:5">
      <c r="A8944" t="s">
        <v>10338</v>
      </c>
      <c r="B8944" t="s">
        <v>10339</v>
      </c>
      <c r="C8944">
        <v>0.40785381104599999</v>
      </c>
      <c r="D8944">
        <v>0.67572368294999996</v>
      </c>
      <c r="E8944">
        <v>1.51124437781109</v>
      </c>
    </row>
    <row r="8945" spans="1:5">
      <c r="A8945" t="s">
        <v>10340</v>
      </c>
      <c r="B8945" t="s">
        <v>10341</v>
      </c>
      <c r="C8945">
        <v>0.20465144721699999</v>
      </c>
      <c r="D8945">
        <v>0.96306049081099998</v>
      </c>
      <c r="E8945">
        <v>10.398800599700101</v>
      </c>
    </row>
    <row r="8946" spans="1:5">
      <c r="A8946" t="s">
        <v>10340</v>
      </c>
      <c r="B8946" t="s">
        <v>10342</v>
      </c>
      <c r="C8946">
        <v>0</v>
      </c>
      <c r="D8946">
        <v>0.96306049081099998</v>
      </c>
      <c r="E8946">
        <v>10.398800599700101</v>
      </c>
    </row>
    <row r="8947" spans="1:5">
      <c r="A8947" t="s">
        <v>10340</v>
      </c>
      <c r="B8947" t="s">
        <v>10343</v>
      </c>
      <c r="C8947">
        <v>0</v>
      </c>
      <c r="D8947">
        <v>0.96306049081099998</v>
      </c>
      <c r="E8947">
        <v>10.398800599700101</v>
      </c>
    </row>
    <row r="8948" spans="1:5">
      <c r="A8948" t="s">
        <v>10340</v>
      </c>
      <c r="B8948" t="s">
        <v>10344</v>
      </c>
      <c r="C8948">
        <v>0</v>
      </c>
      <c r="D8948">
        <v>0.96306049081099998</v>
      </c>
      <c r="E8948">
        <v>10.398800599700101</v>
      </c>
    </row>
    <row r="8949" spans="1:5">
      <c r="A8949" t="s">
        <v>10340</v>
      </c>
      <c r="B8949" t="s">
        <v>10345</v>
      </c>
      <c r="C8949">
        <f>0</f>
        <v>0</v>
      </c>
      <c r="D8949">
        <v>0.96306049081099998</v>
      </c>
      <c r="E8949">
        <v>10.398800599700101</v>
      </c>
    </row>
    <row r="8950" spans="1:5">
      <c r="A8950" t="s">
        <v>10340</v>
      </c>
      <c r="B8950" t="s">
        <v>10346</v>
      </c>
      <c r="C8950">
        <v>0</v>
      </c>
      <c r="D8950">
        <v>0.96306049081099998</v>
      </c>
      <c r="E8950">
        <v>10.398800599700101</v>
      </c>
    </row>
    <row r="8951" spans="1:5">
      <c r="A8951" t="s">
        <v>10340</v>
      </c>
      <c r="B8951" t="s">
        <v>10347</v>
      </c>
      <c r="C8951">
        <v>0</v>
      </c>
      <c r="D8951">
        <v>0.96306049081099998</v>
      </c>
      <c r="E8951">
        <v>10.398800599700101</v>
      </c>
    </row>
    <row r="8952" spans="1:5">
      <c r="A8952" t="s">
        <v>10340</v>
      </c>
      <c r="B8952" t="s">
        <v>10348</v>
      </c>
      <c r="C8952">
        <v>0</v>
      </c>
      <c r="D8952">
        <v>0.96306049081099998</v>
      </c>
      <c r="E8952">
        <v>10.398800599700101</v>
      </c>
    </row>
    <row r="8953" spans="1:5">
      <c r="A8953" t="s">
        <v>10340</v>
      </c>
      <c r="B8953" t="s">
        <v>10349</v>
      </c>
      <c r="C8953">
        <v>0</v>
      </c>
      <c r="D8953">
        <v>0.96306049081099998</v>
      </c>
      <c r="E8953">
        <v>10.398800599700101</v>
      </c>
    </row>
    <row r="8954" spans="1:5">
      <c r="A8954" t="s">
        <v>10340</v>
      </c>
      <c r="B8954" t="s">
        <v>10350</v>
      </c>
      <c r="C8954">
        <v>0</v>
      </c>
      <c r="D8954">
        <v>0.96306049081099998</v>
      </c>
      <c r="E8954">
        <v>10.398800599700101</v>
      </c>
    </row>
    <row r="8955" spans="1:5">
      <c r="A8955" t="s">
        <v>10340</v>
      </c>
      <c r="B8955" t="s">
        <v>10351</v>
      </c>
      <c r="C8955">
        <f>0</f>
        <v>0</v>
      </c>
      <c r="D8955">
        <v>0.96306049081099998</v>
      </c>
      <c r="E8955">
        <v>10.398800599700101</v>
      </c>
    </row>
    <row r="8956" spans="1:5">
      <c r="A8956" t="s">
        <v>10340</v>
      </c>
      <c r="B8956" t="s">
        <v>10352</v>
      </c>
      <c r="C8956">
        <v>0</v>
      </c>
      <c r="D8956">
        <v>0.96306049081099998</v>
      </c>
      <c r="E8956">
        <v>10.398800599700101</v>
      </c>
    </row>
    <row r="8957" spans="1:5">
      <c r="A8957" t="s">
        <v>10340</v>
      </c>
      <c r="B8957" t="s">
        <v>10353</v>
      </c>
      <c r="C8957">
        <v>0</v>
      </c>
      <c r="D8957">
        <v>0.96306049081099998</v>
      </c>
      <c r="E8957">
        <v>10.398800599700101</v>
      </c>
    </row>
    <row r="8958" spans="1:5">
      <c r="A8958" t="s">
        <v>10340</v>
      </c>
      <c r="B8958" t="s">
        <v>10354</v>
      </c>
      <c r="C8958">
        <f>0</f>
        <v>0</v>
      </c>
      <c r="D8958">
        <v>0.96306049081099998</v>
      </c>
      <c r="E8958">
        <v>10.398800599700101</v>
      </c>
    </row>
    <row r="8959" spans="1:5">
      <c r="A8959" t="s">
        <v>10355</v>
      </c>
      <c r="B8959" t="s">
        <v>10356</v>
      </c>
      <c r="C8959">
        <f>0</f>
        <v>0</v>
      </c>
      <c r="D8959">
        <v>0.98722233801000003</v>
      </c>
      <c r="E8959">
        <v>11.5382308845577</v>
      </c>
    </row>
    <row r="8960" spans="1:5">
      <c r="A8960" t="s">
        <v>10355</v>
      </c>
      <c r="B8960" t="s">
        <v>10357</v>
      </c>
      <c r="C8960">
        <v>0</v>
      </c>
      <c r="D8960">
        <v>0.98722233801000003</v>
      </c>
      <c r="E8960">
        <v>11.5382308845577</v>
      </c>
    </row>
    <row r="8961" spans="1:5">
      <c r="A8961" t="s">
        <v>10355</v>
      </c>
      <c r="B8961" t="s">
        <v>10358</v>
      </c>
      <c r="C8961">
        <v>0</v>
      </c>
      <c r="D8961">
        <v>0.98722233801000003</v>
      </c>
      <c r="E8961">
        <v>11.5382308845577</v>
      </c>
    </row>
    <row r="8962" spans="1:5">
      <c r="A8962" t="s">
        <v>10355</v>
      </c>
      <c r="B8962" t="s">
        <v>10359</v>
      </c>
      <c r="C8962">
        <v>8.4790174673200006E-2</v>
      </c>
      <c r="D8962">
        <v>0.98722233801000003</v>
      </c>
      <c r="E8962">
        <v>11.5382308845577</v>
      </c>
    </row>
    <row r="8963" spans="1:5">
      <c r="A8963" t="s">
        <v>10355</v>
      </c>
      <c r="B8963" t="s">
        <v>10360</v>
      </c>
      <c r="C8963">
        <v>0.34532157621499998</v>
      </c>
      <c r="D8963">
        <v>0.98722233801000003</v>
      </c>
      <c r="E8963">
        <v>11.5382308845577</v>
      </c>
    </row>
    <row r="8964" spans="1:5">
      <c r="A8964" t="s">
        <v>10361</v>
      </c>
      <c r="B8964" t="s">
        <v>10362</v>
      </c>
      <c r="C8964">
        <v>0</v>
      </c>
      <c r="D8964" t="s">
        <v>106</v>
      </c>
      <c r="E8964">
        <v>1.22338830584707</v>
      </c>
    </row>
    <row r="8965" spans="1:5">
      <c r="A8965" t="s">
        <v>10361</v>
      </c>
      <c r="B8965" t="s">
        <v>10363</v>
      </c>
      <c r="C8965">
        <f>0</f>
        <v>0</v>
      </c>
      <c r="D8965" t="s">
        <v>106</v>
      </c>
      <c r="E8965">
        <v>1.22338830584707</v>
      </c>
    </row>
    <row r="8966" spans="1:5">
      <c r="A8966" t="s">
        <v>10361</v>
      </c>
      <c r="B8966" t="s">
        <v>10364</v>
      </c>
      <c r="C8966">
        <v>0</v>
      </c>
      <c r="D8966" t="s">
        <v>106</v>
      </c>
      <c r="E8966">
        <v>1.22338830584707</v>
      </c>
    </row>
    <row r="8967" spans="1:5">
      <c r="A8967" t="s">
        <v>10361</v>
      </c>
      <c r="B8967" t="s">
        <v>10365</v>
      </c>
      <c r="C8967">
        <v>0</v>
      </c>
      <c r="D8967" t="s">
        <v>106</v>
      </c>
      <c r="E8967">
        <v>1.22338830584707</v>
      </c>
    </row>
    <row r="8968" spans="1:5">
      <c r="A8968" t="s">
        <v>10361</v>
      </c>
      <c r="B8968" t="s">
        <v>10366</v>
      </c>
      <c r="C8968">
        <v>0</v>
      </c>
      <c r="D8968" t="s">
        <v>106</v>
      </c>
      <c r="E8968">
        <v>1.22338830584707</v>
      </c>
    </row>
    <row r="8969" spans="1:5">
      <c r="A8969" t="s">
        <v>10361</v>
      </c>
      <c r="B8969" t="s">
        <v>10367</v>
      </c>
      <c r="C8969">
        <v>0</v>
      </c>
      <c r="D8969" t="s">
        <v>106</v>
      </c>
      <c r="E8969">
        <v>1.22338830584707</v>
      </c>
    </row>
    <row r="8970" spans="1:5">
      <c r="A8970" t="s">
        <v>10361</v>
      </c>
      <c r="B8970" t="s">
        <v>10368</v>
      </c>
      <c r="C8970">
        <v>0</v>
      </c>
      <c r="D8970" t="s">
        <v>106</v>
      </c>
      <c r="E8970">
        <v>1.22338830584707</v>
      </c>
    </row>
    <row r="8971" spans="1:5">
      <c r="A8971" t="s">
        <v>10361</v>
      </c>
      <c r="B8971" t="s">
        <v>10369</v>
      </c>
      <c r="C8971">
        <v>0</v>
      </c>
      <c r="D8971" t="s">
        <v>106</v>
      </c>
      <c r="E8971">
        <v>1.22338830584707</v>
      </c>
    </row>
    <row r="8972" spans="1:5">
      <c r="A8972" t="s">
        <v>10361</v>
      </c>
      <c r="B8972" t="s">
        <v>10370</v>
      </c>
      <c r="C8972">
        <v>0</v>
      </c>
      <c r="D8972" t="s">
        <v>106</v>
      </c>
      <c r="E8972">
        <v>1.22338830584707</v>
      </c>
    </row>
    <row r="8973" spans="1:5">
      <c r="A8973" t="s">
        <v>10361</v>
      </c>
      <c r="B8973" t="s">
        <v>10371</v>
      </c>
      <c r="C8973">
        <f>0</f>
        <v>0</v>
      </c>
      <c r="D8973" t="s">
        <v>106</v>
      </c>
      <c r="E8973">
        <v>1.22338830584707</v>
      </c>
    </row>
    <row r="8974" spans="1:5">
      <c r="A8974" t="s">
        <v>10361</v>
      </c>
      <c r="B8974" t="s">
        <v>10372</v>
      </c>
      <c r="C8974">
        <f>0</f>
        <v>0</v>
      </c>
      <c r="D8974" t="s">
        <v>106</v>
      </c>
      <c r="E8974">
        <v>1.22338830584707</v>
      </c>
    </row>
    <row r="8975" spans="1:5">
      <c r="A8975" t="s">
        <v>10361</v>
      </c>
      <c r="B8975" t="s">
        <v>10373</v>
      </c>
      <c r="C8975">
        <v>0</v>
      </c>
      <c r="D8975" t="s">
        <v>106</v>
      </c>
      <c r="E8975">
        <v>1.22338830584707</v>
      </c>
    </row>
    <row r="8976" spans="1:5">
      <c r="A8976" t="s">
        <v>10374</v>
      </c>
      <c r="B8976" t="s">
        <v>10375</v>
      </c>
      <c r="C8976">
        <v>2.3112895405599999E-2</v>
      </c>
      <c r="D8976">
        <v>0.95695628199100002</v>
      </c>
      <c r="E8976">
        <v>10.230884557721099</v>
      </c>
    </row>
    <row r="8977" spans="1:5">
      <c r="A8977" t="s">
        <v>10374</v>
      </c>
      <c r="B8977" t="s">
        <v>10376</v>
      </c>
      <c r="C8977">
        <v>0</v>
      </c>
      <c r="D8977">
        <v>0.95695628199100002</v>
      </c>
      <c r="E8977">
        <v>10.230884557721099</v>
      </c>
    </row>
    <row r="8978" spans="1:5">
      <c r="A8978" t="s">
        <v>10374</v>
      </c>
      <c r="B8978" t="s">
        <v>10377</v>
      </c>
      <c r="C8978">
        <f>0</f>
        <v>0</v>
      </c>
      <c r="D8978">
        <v>0.95695628199100002</v>
      </c>
      <c r="E8978">
        <v>10.230884557721099</v>
      </c>
    </row>
    <row r="8979" spans="1:5">
      <c r="A8979" t="s">
        <v>10374</v>
      </c>
      <c r="B8979" t="s">
        <v>10378</v>
      </c>
      <c r="C8979">
        <v>0.14317768672600001</v>
      </c>
      <c r="D8979">
        <v>0.95695628199100002</v>
      </c>
      <c r="E8979">
        <v>10.230884557721099</v>
      </c>
    </row>
    <row r="8980" spans="1:5">
      <c r="A8980" t="s">
        <v>10379</v>
      </c>
      <c r="B8980" t="s">
        <v>10380</v>
      </c>
      <c r="C8980">
        <v>0</v>
      </c>
      <c r="D8980">
        <v>0.85670551710800003</v>
      </c>
      <c r="E8980">
        <v>0.91154422788605605</v>
      </c>
    </row>
    <row r="8981" spans="1:5">
      <c r="A8981" t="s">
        <v>10379</v>
      </c>
      <c r="B8981" t="s">
        <v>10381</v>
      </c>
      <c r="C8981">
        <v>0</v>
      </c>
      <c r="D8981">
        <v>0.85670551710800003</v>
      </c>
      <c r="E8981">
        <v>0.91154422788605605</v>
      </c>
    </row>
    <row r="8982" spans="1:5">
      <c r="A8982" t="s">
        <v>10379</v>
      </c>
      <c r="B8982" t="s">
        <v>10382</v>
      </c>
      <c r="C8982">
        <f>0.034833315507</f>
        <v>3.4833315507000001E-2</v>
      </c>
      <c r="D8982">
        <v>0.85670551710800003</v>
      </c>
      <c r="E8982">
        <v>0.91154422788605605</v>
      </c>
    </row>
    <row r="8983" spans="1:5">
      <c r="A8983" t="s">
        <v>10379</v>
      </c>
      <c r="B8983" t="s">
        <v>10383</v>
      </c>
      <c r="C8983">
        <v>0</v>
      </c>
      <c r="D8983">
        <v>0.85670551710800003</v>
      </c>
      <c r="E8983">
        <v>0.91154422788605605</v>
      </c>
    </row>
    <row r="8984" spans="1:5">
      <c r="A8984" t="s">
        <v>10379</v>
      </c>
      <c r="B8984" t="s">
        <v>10384</v>
      </c>
      <c r="C8984">
        <f>0</f>
        <v>0</v>
      </c>
      <c r="D8984">
        <v>0.85670551710800003</v>
      </c>
      <c r="E8984">
        <v>0.91154422788605605</v>
      </c>
    </row>
    <row r="8985" spans="1:5">
      <c r="A8985" t="s">
        <v>10379</v>
      </c>
      <c r="B8985" t="s">
        <v>10385</v>
      </c>
      <c r="C8985">
        <v>0</v>
      </c>
      <c r="D8985">
        <v>0.85670551710800003</v>
      </c>
      <c r="E8985">
        <v>0.91154422788605605</v>
      </c>
    </row>
    <row r="8986" spans="1:5">
      <c r="A8986" t="s">
        <v>10379</v>
      </c>
      <c r="B8986" t="s">
        <v>10386</v>
      </c>
      <c r="C8986">
        <f>0</f>
        <v>0</v>
      </c>
      <c r="D8986">
        <v>0.85670551710800003</v>
      </c>
      <c r="E8986">
        <v>0.91154422788605605</v>
      </c>
    </row>
    <row r="8987" spans="1:5">
      <c r="A8987" t="s">
        <v>10379</v>
      </c>
      <c r="B8987" t="s">
        <v>10387</v>
      </c>
      <c r="C8987">
        <v>0.15633553683599999</v>
      </c>
      <c r="D8987">
        <v>0.85670551710800003</v>
      </c>
      <c r="E8987">
        <v>0.91154422788605605</v>
      </c>
    </row>
    <row r="8988" spans="1:5">
      <c r="A8988" t="s">
        <v>10379</v>
      </c>
      <c r="B8988" t="s">
        <v>10388</v>
      </c>
      <c r="C8988">
        <f>0</f>
        <v>0</v>
      </c>
      <c r="D8988">
        <v>0.85670551710800003</v>
      </c>
      <c r="E8988">
        <v>0.91154422788605605</v>
      </c>
    </row>
    <row r="8989" spans="1:5">
      <c r="A8989" t="s">
        <v>10389</v>
      </c>
      <c r="B8989" t="s">
        <v>10390</v>
      </c>
      <c r="C8989">
        <v>0</v>
      </c>
      <c r="D8989">
        <v>0.87449326181999998</v>
      </c>
      <c r="E8989">
        <v>0.107946026986506</v>
      </c>
    </row>
    <row r="8990" spans="1:5">
      <c r="A8990" t="s">
        <v>10389</v>
      </c>
      <c r="B8990" t="s">
        <v>10391</v>
      </c>
      <c r="C8990">
        <v>0</v>
      </c>
      <c r="D8990">
        <v>0.87449326181999998</v>
      </c>
      <c r="E8990">
        <v>0.107946026986506</v>
      </c>
    </row>
    <row r="8991" spans="1:5">
      <c r="A8991" t="s">
        <v>10389</v>
      </c>
      <c r="B8991" t="s">
        <v>10392</v>
      </c>
      <c r="C8991">
        <v>0.75628301728500003</v>
      </c>
      <c r="D8991">
        <v>0.87449326181999998</v>
      </c>
      <c r="E8991">
        <v>0.107946026986506</v>
      </c>
    </row>
    <row r="8992" spans="1:5">
      <c r="A8992" t="s">
        <v>10389</v>
      </c>
      <c r="B8992" t="s">
        <v>10393</v>
      </c>
      <c r="C8992">
        <f>0</f>
        <v>0</v>
      </c>
      <c r="D8992">
        <v>0.87449326181999998</v>
      </c>
      <c r="E8992">
        <v>0.107946026986506</v>
      </c>
    </row>
    <row r="8993" spans="1:5">
      <c r="A8993" t="s">
        <v>10394</v>
      </c>
      <c r="B8993" t="s">
        <v>10395</v>
      </c>
      <c r="C8993">
        <v>9.1372019202799998E-2</v>
      </c>
      <c r="D8993" t="s">
        <v>106</v>
      </c>
      <c r="E8993">
        <v>19.1904047976012</v>
      </c>
    </row>
    <row r="8994" spans="1:5">
      <c r="A8994" t="s">
        <v>10396</v>
      </c>
      <c r="B8994" t="s">
        <v>10397</v>
      </c>
      <c r="C8994">
        <f>0</f>
        <v>0</v>
      </c>
      <c r="D8994">
        <v>0.97837153329899995</v>
      </c>
      <c r="E8994">
        <v>11.370314842578701</v>
      </c>
    </row>
    <row r="8995" spans="1:5">
      <c r="A8995" t="s">
        <v>10396</v>
      </c>
      <c r="B8995" t="s">
        <v>10398</v>
      </c>
      <c r="C8995">
        <v>0</v>
      </c>
      <c r="D8995">
        <v>0.97837153329899995</v>
      </c>
      <c r="E8995">
        <v>11.370314842578701</v>
      </c>
    </row>
    <row r="8996" spans="1:5">
      <c r="A8996" t="s">
        <v>10396</v>
      </c>
      <c r="B8996" t="s">
        <v>10399</v>
      </c>
      <c r="C8996">
        <v>0</v>
      </c>
      <c r="D8996">
        <v>0.97837153329899995</v>
      </c>
      <c r="E8996">
        <v>11.370314842578701</v>
      </c>
    </row>
    <row r="8997" spans="1:5">
      <c r="A8997" t="s">
        <v>10396</v>
      </c>
      <c r="B8997" t="s">
        <v>10400</v>
      </c>
      <c r="C8997">
        <v>0</v>
      </c>
      <c r="D8997">
        <v>0.97837153329899995</v>
      </c>
      <c r="E8997">
        <v>11.370314842578701</v>
      </c>
    </row>
    <row r="8998" spans="1:5">
      <c r="A8998" t="s">
        <v>10396</v>
      </c>
      <c r="B8998" t="s">
        <v>10401</v>
      </c>
      <c r="C8998">
        <f>0.260867298664</f>
        <v>0.26086729866399999</v>
      </c>
      <c r="D8998">
        <v>0.97837153329899995</v>
      </c>
      <c r="E8998">
        <v>11.370314842578701</v>
      </c>
    </row>
    <row r="8999" spans="1:5">
      <c r="A8999" t="s">
        <v>10402</v>
      </c>
      <c r="B8999" t="s">
        <v>10403</v>
      </c>
      <c r="C8999">
        <f>0</f>
        <v>0</v>
      </c>
      <c r="D8999" t="s">
        <v>106</v>
      </c>
      <c r="E8999">
        <v>24</v>
      </c>
    </row>
    <row r="9000" spans="1:5">
      <c r="A9000" t="s">
        <v>10404</v>
      </c>
      <c r="B9000" t="s">
        <v>10405</v>
      </c>
      <c r="C9000">
        <v>0</v>
      </c>
      <c r="D9000" t="s">
        <v>106</v>
      </c>
      <c r="E9000">
        <v>20.7376311844077</v>
      </c>
    </row>
    <row r="9001" spans="1:5">
      <c r="A9001" t="s">
        <v>10404</v>
      </c>
      <c r="B9001" t="s">
        <v>10406</v>
      </c>
      <c r="C9001">
        <v>0</v>
      </c>
      <c r="D9001" t="s">
        <v>106</v>
      </c>
      <c r="E9001">
        <v>20.7376311844077</v>
      </c>
    </row>
    <row r="9002" spans="1:5">
      <c r="A9002" t="s">
        <v>10404</v>
      </c>
      <c r="B9002" t="s">
        <v>10407</v>
      </c>
      <c r="C9002">
        <v>0</v>
      </c>
      <c r="D9002" t="s">
        <v>106</v>
      </c>
      <c r="E9002">
        <v>20.7376311844077</v>
      </c>
    </row>
    <row r="9003" spans="1:5">
      <c r="A9003" t="s">
        <v>10404</v>
      </c>
      <c r="B9003" t="s">
        <v>10408</v>
      </c>
      <c r="C9003">
        <v>0</v>
      </c>
      <c r="D9003" t="s">
        <v>106</v>
      </c>
      <c r="E9003">
        <v>20.7376311844077</v>
      </c>
    </row>
    <row r="9004" spans="1:5">
      <c r="A9004" t="s">
        <v>10404</v>
      </c>
      <c r="B9004" t="s">
        <v>10409</v>
      </c>
      <c r="C9004">
        <v>0</v>
      </c>
      <c r="D9004" t="s">
        <v>106</v>
      </c>
      <c r="E9004">
        <v>20.7376311844077</v>
      </c>
    </row>
    <row r="9005" spans="1:5">
      <c r="A9005" t="s">
        <v>10410</v>
      </c>
      <c r="B9005" t="s">
        <v>10411</v>
      </c>
      <c r="C9005">
        <v>0.18215233431299999</v>
      </c>
      <c r="D9005">
        <v>0.879721044605</v>
      </c>
      <c r="E9005">
        <v>3.2263868065966999</v>
      </c>
    </row>
    <row r="9006" spans="1:5">
      <c r="A9006" t="s">
        <v>10410</v>
      </c>
      <c r="B9006" t="s">
        <v>10412</v>
      </c>
      <c r="C9006">
        <v>0.33072698123900002</v>
      </c>
      <c r="D9006">
        <v>0.879721044605</v>
      </c>
      <c r="E9006">
        <v>3.2263868065966999</v>
      </c>
    </row>
    <row r="9007" spans="1:5">
      <c r="A9007" t="s">
        <v>10410</v>
      </c>
      <c r="B9007" t="s">
        <v>10413</v>
      </c>
      <c r="C9007">
        <f>0</f>
        <v>0</v>
      </c>
      <c r="D9007">
        <v>0.879721044605</v>
      </c>
      <c r="E9007">
        <v>3.2263868065966999</v>
      </c>
    </row>
    <row r="9008" spans="1:5">
      <c r="A9008" t="s">
        <v>10410</v>
      </c>
      <c r="B9008" t="s">
        <v>10414</v>
      </c>
      <c r="C9008">
        <v>0</v>
      </c>
      <c r="D9008">
        <v>0.879721044605</v>
      </c>
      <c r="E9008">
        <v>3.2263868065966999</v>
      </c>
    </row>
    <row r="9009" spans="1:5">
      <c r="A9009" t="s">
        <v>10415</v>
      </c>
      <c r="B9009" t="s">
        <v>10416</v>
      </c>
      <c r="C9009">
        <v>0</v>
      </c>
      <c r="D9009" t="s">
        <v>106</v>
      </c>
      <c r="E9009">
        <v>0.86356821589205401</v>
      </c>
    </row>
    <row r="9010" spans="1:5">
      <c r="A9010" t="s">
        <v>10415</v>
      </c>
      <c r="B9010" t="s">
        <v>10417</v>
      </c>
      <c r="C9010">
        <f>0</f>
        <v>0</v>
      </c>
      <c r="D9010" t="s">
        <v>106</v>
      </c>
      <c r="E9010">
        <v>0.86356821589205401</v>
      </c>
    </row>
    <row r="9011" spans="1:5">
      <c r="A9011" t="s">
        <v>10415</v>
      </c>
      <c r="B9011" t="s">
        <v>10418</v>
      </c>
      <c r="C9011">
        <f>0</f>
        <v>0</v>
      </c>
      <c r="D9011" t="s">
        <v>106</v>
      </c>
      <c r="E9011">
        <v>0.86356821589205401</v>
      </c>
    </row>
    <row r="9012" spans="1:5">
      <c r="A9012" t="s">
        <v>10415</v>
      </c>
      <c r="B9012" t="s">
        <v>10419</v>
      </c>
      <c r="C9012">
        <v>0</v>
      </c>
      <c r="D9012" t="s">
        <v>106</v>
      </c>
      <c r="E9012">
        <v>0.86356821589205401</v>
      </c>
    </row>
    <row r="9013" spans="1:5">
      <c r="A9013" t="s">
        <v>10415</v>
      </c>
      <c r="B9013" t="s">
        <v>10420</v>
      </c>
      <c r="C9013">
        <f>0</f>
        <v>0</v>
      </c>
      <c r="D9013" t="s">
        <v>106</v>
      </c>
      <c r="E9013">
        <v>0.86356821589205401</v>
      </c>
    </row>
    <row r="9014" spans="1:5">
      <c r="A9014" t="s">
        <v>10415</v>
      </c>
      <c r="B9014" t="s">
        <v>10421</v>
      </c>
      <c r="C9014">
        <v>0</v>
      </c>
      <c r="D9014" t="s">
        <v>106</v>
      </c>
      <c r="E9014">
        <v>0.86356821589205401</v>
      </c>
    </row>
    <row r="9015" spans="1:5">
      <c r="A9015" t="s">
        <v>10415</v>
      </c>
      <c r="B9015" t="s">
        <v>10422</v>
      </c>
      <c r="C9015">
        <v>0</v>
      </c>
      <c r="D9015" t="s">
        <v>106</v>
      </c>
      <c r="E9015">
        <v>0.86356821589205401</v>
      </c>
    </row>
    <row r="9016" spans="1:5">
      <c r="A9016" t="s">
        <v>10415</v>
      </c>
      <c r="B9016" t="s">
        <v>10423</v>
      </c>
      <c r="C9016">
        <v>0</v>
      </c>
      <c r="D9016" t="s">
        <v>106</v>
      </c>
      <c r="E9016">
        <v>0.86356821589205401</v>
      </c>
    </row>
    <row r="9017" spans="1:5">
      <c r="A9017" t="s">
        <v>10424</v>
      </c>
      <c r="B9017" t="s">
        <v>10425</v>
      </c>
      <c r="C9017">
        <v>0</v>
      </c>
      <c r="D9017">
        <v>0.99461543975400002</v>
      </c>
      <c r="E9017">
        <v>8.2878560719640095</v>
      </c>
    </row>
    <row r="9018" spans="1:5">
      <c r="A9018" t="s">
        <v>10424</v>
      </c>
      <c r="B9018" t="s">
        <v>10426</v>
      </c>
      <c r="C9018">
        <v>0.46534942938899998</v>
      </c>
      <c r="D9018">
        <v>0.99461543975400002</v>
      </c>
      <c r="E9018">
        <v>8.2878560719640095</v>
      </c>
    </row>
    <row r="9019" spans="1:5">
      <c r="A9019" t="s">
        <v>10424</v>
      </c>
      <c r="B9019" t="s">
        <v>10427</v>
      </c>
      <c r="C9019">
        <f>0.178170387508</f>
        <v>0.17817038750799999</v>
      </c>
      <c r="D9019">
        <v>0.99461543975400002</v>
      </c>
      <c r="E9019">
        <v>8.2878560719640095</v>
      </c>
    </row>
    <row r="9020" spans="1:5">
      <c r="A9020" t="s">
        <v>10424</v>
      </c>
      <c r="B9020" t="s">
        <v>10428</v>
      </c>
      <c r="C9020">
        <f>0</f>
        <v>0</v>
      </c>
      <c r="D9020">
        <v>0.99461543975400002</v>
      </c>
      <c r="E9020">
        <v>8.2878560719640095</v>
      </c>
    </row>
    <row r="9021" spans="1:5">
      <c r="A9021" t="s">
        <v>10424</v>
      </c>
      <c r="B9021" t="s">
        <v>10429</v>
      </c>
      <c r="C9021">
        <v>0</v>
      </c>
      <c r="D9021">
        <v>0.99461543975400002</v>
      </c>
      <c r="E9021">
        <v>8.2878560719640095</v>
      </c>
    </row>
    <row r="9022" spans="1:5">
      <c r="A9022" t="s">
        <v>10424</v>
      </c>
      <c r="B9022" t="s">
        <v>10430</v>
      </c>
      <c r="C9022">
        <v>0</v>
      </c>
      <c r="D9022">
        <v>0.99461543975400002</v>
      </c>
      <c r="E9022">
        <v>8.2878560719640095</v>
      </c>
    </row>
    <row r="9023" spans="1:5">
      <c r="A9023" t="s">
        <v>10424</v>
      </c>
      <c r="B9023" t="s">
        <v>10431</v>
      </c>
      <c r="C9023">
        <v>0</v>
      </c>
      <c r="D9023">
        <v>0.99461543975400002</v>
      </c>
      <c r="E9023">
        <v>8.2878560719640095</v>
      </c>
    </row>
    <row r="9024" spans="1:5">
      <c r="A9024" t="s">
        <v>10432</v>
      </c>
      <c r="B9024" t="s">
        <v>10433</v>
      </c>
      <c r="C9024">
        <v>0</v>
      </c>
      <c r="D9024">
        <v>0.93287453675300003</v>
      </c>
      <c r="E9024">
        <v>6.1769115442278801</v>
      </c>
    </row>
    <row r="9025" spans="1:5">
      <c r="A9025" t="s">
        <v>10432</v>
      </c>
      <c r="B9025" t="s">
        <v>10434</v>
      </c>
      <c r="C9025">
        <v>0</v>
      </c>
      <c r="D9025">
        <v>0.93287453675300003</v>
      </c>
      <c r="E9025">
        <v>6.1769115442278801</v>
      </c>
    </row>
    <row r="9026" spans="1:5">
      <c r="A9026" t="s">
        <v>10432</v>
      </c>
      <c r="B9026" t="s">
        <v>10435</v>
      </c>
      <c r="C9026">
        <v>0</v>
      </c>
      <c r="D9026">
        <v>0.93287453675300003</v>
      </c>
      <c r="E9026">
        <v>6.1769115442278801</v>
      </c>
    </row>
    <row r="9027" spans="1:5">
      <c r="A9027" t="s">
        <v>10436</v>
      </c>
      <c r="B9027" t="s">
        <v>10437</v>
      </c>
      <c r="C9027">
        <f>0</f>
        <v>0</v>
      </c>
      <c r="D9027">
        <v>0.93669762722200001</v>
      </c>
      <c r="E9027">
        <v>6.2968515742128899</v>
      </c>
    </row>
    <row r="9028" spans="1:5">
      <c r="A9028" t="s">
        <v>10436</v>
      </c>
      <c r="B9028" t="s">
        <v>10438</v>
      </c>
      <c r="C9028">
        <v>0.28855964917600002</v>
      </c>
      <c r="D9028">
        <v>0.93669762722200001</v>
      </c>
      <c r="E9028">
        <v>6.2968515742128899</v>
      </c>
    </row>
    <row r="9029" spans="1:5">
      <c r="A9029" t="s">
        <v>10436</v>
      </c>
      <c r="B9029" t="s">
        <v>10439</v>
      </c>
      <c r="C9029">
        <v>0</v>
      </c>
      <c r="D9029">
        <v>0.93669762722200001</v>
      </c>
      <c r="E9029">
        <v>6.2968515742128899</v>
      </c>
    </row>
    <row r="9030" spans="1:5">
      <c r="A9030" t="s">
        <v>10436</v>
      </c>
      <c r="B9030" t="s">
        <v>10440</v>
      </c>
      <c r="C9030">
        <v>0</v>
      </c>
      <c r="D9030">
        <v>0.93669762722200001</v>
      </c>
      <c r="E9030">
        <v>6.2968515742128899</v>
      </c>
    </row>
    <row r="9031" spans="1:5">
      <c r="A9031" t="s">
        <v>10436</v>
      </c>
      <c r="B9031" t="s">
        <v>10441</v>
      </c>
      <c r="C9031">
        <v>0</v>
      </c>
      <c r="D9031">
        <v>0.93669762722200001</v>
      </c>
      <c r="E9031">
        <v>6.2968515742128899</v>
      </c>
    </row>
    <row r="9032" spans="1:5">
      <c r="A9032" t="s">
        <v>10436</v>
      </c>
      <c r="B9032" t="s">
        <v>10442</v>
      </c>
      <c r="C9032">
        <v>0</v>
      </c>
      <c r="D9032">
        <v>0.93669762722200001</v>
      </c>
      <c r="E9032">
        <v>6.2968515742128899</v>
      </c>
    </row>
    <row r="9033" spans="1:5">
      <c r="A9033" t="s">
        <v>10443</v>
      </c>
      <c r="B9033" t="s">
        <v>10444</v>
      </c>
      <c r="C9033">
        <v>0</v>
      </c>
      <c r="D9033" t="s">
        <v>106</v>
      </c>
      <c r="E9033">
        <v>4.1739130434782599</v>
      </c>
    </row>
    <row r="9034" spans="1:5">
      <c r="A9034" t="s">
        <v>10443</v>
      </c>
      <c r="B9034" t="s">
        <v>10445</v>
      </c>
      <c r="C9034">
        <v>0</v>
      </c>
      <c r="D9034" t="s">
        <v>106</v>
      </c>
      <c r="E9034">
        <v>4.1739130434782599</v>
      </c>
    </row>
    <row r="9035" spans="1:5">
      <c r="A9035" t="s">
        <v>10443</v>
      </c>
      <c r="B9035" t="s">
        <v>10446</v>
      </c>
      <c r="C9035">
        <v>0</v>
      </c>
      <c r="D9035" t="s">
        <v>106</v>
      </c>
      <c r="E9035">
        <v>4.1739130434782599</v>
      </c>
    </row>
    <row r="9036" spans="1:5">
      <c r="A9036" t="s">
        <v>10443</v>
      </c>
      <c r="B9036" t="s">
        <v>10447</v>
      </c>
      <c r="C9036">
        <v>0</v>
      </c>
      <c r="D9036" t="s">
        <v>106</v>
      </c>
      <c r="E9036">
        <v>4.1739130434782599</v>
      </c>
    </row>
    <row r="9037" spans="1:5">
      <c r="A9037" t="s">
        <v>10443</v>
      </c>
      <c r="B9037" t="s">
        <v>10448</v>
      </c>
      <c r="C9037">
        <v>0</v>
      </c>
      <c r="D9037" t="s">
        <v>106</v>
      </c>
      <c r="E9037">
        <v>4.1739130434782599</v>
      </c>
    </row>
    <row r="9038" spans="1:5">
      <c r="A9038" t="s">
        <v>10443</v>
      </c>
      <c r="B9038" t="s">
        <v>10449</v>
      </c>
      <c r="C9038">
        <v>0</v>
      </c>
      <c r="D9038" t="s">
        <v>106</v>
      </c>
      <c r="E9038">
        <v>4.1739130434782599</v>
      </c>
    </row>
    <row r="9039" spans="1:5">
      <c r="A9039" t="s">
        <v>10450</v>
      </c>
      <c r="B9039" t="s">
        <v>10451</v>
      </c>
      <c r="C9039">
        <v>0</v>
      </c>
      <c r="D9039" t="s">
        <v>106</v>
      </c>
      <c r="E9039">
        <v>13.2653673163418</v>
      </c>
    </row>
    <row r="9040" spans="1:5">
      <c r="A9040" t="s">
        <v>10450</v>
      </c>
      <c r="B9040" t="s">
        <v>10452</v>
      </c>
      <c r="C9040">
        <f>0</f>
        <v>0</v>
      </c>
      <c r="D9040" t="s">
        <v>106</v>
      </c>
      <c r="E9040">
        <v>13.2653673163418</v>
      </c>
    </row>
    <row r="9041" spans="1:5">
      <c r="A9041" t="s">
        <v>10450</v>
      </c>
      <c r="B9041" t="s">
        <v>10453</v>
      </c>
      <c r="C9041">
        <v>0</v>
      </c>
      <c r="D9041" t="s">
        <v>106</v>
      </c>
      <c r="E9041">
        <v>13.2653673163418</v>
      </c>
    </row>
    <row r="9042" spans="1:5">
      <c r="A9042" t="s">
        <v>10450</v>
      </c>
      <c r="B9042" t="s">
        <v>10454</v>
      </c>
      <c r="C9042">
        <f>0</f>
        <v>0</v>
      </c>
      <c r="D9042" t="s">
        <v>106</v>
      </c>
      <c r="E9042">
        <v>13.2653673163418</v>
      </c>
    </row>
    <row r="9043" spans="1:5">
      <c r="A9043" t="s">
        <v>10450</v>
      </c>
      <c r="B9043" t="s">
        <v>10455</v>
      </c>
      <c r="C9043">
        <f>0</f>
        <v>0</v>
      </c>
      <c r="D9043" t="s">
        <v>106</v>
      </c>
      <c r="E9043">
        <v>13.2653673163418</v>
      </c>
    </row>
    <row r="9044" spans="1:5">
      <c r="A9044" t="s">
        <v>10456</v>
      </c>
      <c r="B9044" t="s">
        <v>10457</v>
      </c>
      <c r="C9044">
        <v>0</v>
      </c>
      <c r="D9044" t="s">
        <v>106</v>
      </c>
      <c r="E9044">
        <v>22.332833583208298</v>
      </c>
    </row>
    <row r="9045" spans="1:5">
      <c r="A9045" t="s">
        <v>10456</v>
      </c>
      <c r="B9045" t="s">
        <v>10458</v>
      </c>
      <c r="C9045">
        <v>0</v>
      </c>
      <c r="D9045" t="s">
        <v>106</v>
      </c>
      <c r="E9045">
        <v>22.332833583208298</v>
      </c>
    </row>
    <row r="9046" spans="1:5">
      <c r="A9046" t="s">
        <v>10456</v>
      </c>
      <c r="B9046" t="s">
        <v>10459</v>
      </c>
      <c r="C9046">
        <v>0</v>
      </c>
      <c r="D9046" t="s">
        <v>106</v>
      </c>
      <c r="E9046">
        <v>22.332833583208298</v>
      </c>
    </row>
    <row r="9047" spans="1:5">
      <c r="A9047" t="s">
        <v>10456</v>
      </c>
      <c r="B9047" t="s">
        <v>10460</v>
      </c>
      <c r="C9047">
        <v>0</v>
      </c>
      <c r="D9047" t="s">
        <v>106</v>
      </c>
      <c r="E9047">
        <v>22.332833583208298</v>
      </c>
    </row>
    <row r="9048" spans="1:5">
      <c r="A9048" t="s">
        <v>10456</v>
      </c>
      <c r="B9048" t="s">
        <v>10461</v>
      </c>
      <c r="C9048">
        <f>0</f>
        <v>0</v>
      </c>
      <c r="D9048" t="s">
        <v>106</v>
      </c>
      <c r="E9048">
        <v>22.332833583208298</v>
      </c>
    </row>
    <row r="9049" spans="1:5">
      <c r="A9049" t="s">
        <v>10456</v>
      </c>
      <c r="B9049" t="s">
        <v>10462</v>
      </c>
      <c r="C9049">
        <f>0</f>
        <v>0</v>
      </c>
      <c r="D9049" t="s">
        <v>106</v>
      </c>
      <c r="E9049">
        <v>22.332833583208298</v>
      </c>
    </row>
    <row r="9050" spans="1:5">
      <c r="A9050" t="s">
        <v>10456</v>
      </c>
      <c r="B9050" t="s">
        <v>10463</v>
      </c>
      <c r="C9050">
        <v>0</v>
      </c>
      <c r="D9050" t="s">
        <v>106</v>
      </c>
      <c r="E9050">
        <v>22.332833583208298</v>
      </c>
    </row>
    <row r="9051" spans="1:5">
      <c r="A9051" t="s">
        <v>10456</v>
      </c>
      <c r="B9051" t="s">
        <v>10464</v>
      </c>
      <c r="C9051">
        <v>0</v>
      </c>
      <c r="D9051" t="s">
        <v>106</v>
      </c>
      <c r="E9051">
        <v>22.332833583208298</v>
      </c>
    </row>
    <row r="9052" spans="1:5">
      <c r="A9052" t="s">
        <v>10456</v>
      </c>
      <c r="B9052" t="s">
        <v>10465</v>
      </c>
      <c r="C9052">
        <f>0</f>
        <v>0</v>
      </c>
      <c r="D9052" t="s">
        <v>106</v>
      </c>
      <c r="E9052">
        <v>22.332833583208298</v>
      </c>
    </row>
    <row r="9053" spans="1:5">
      <c r="A9053" t="s">
        <v>10456</v>
      </c>
      <c r="B9053" t="s">
        <v>10466</v>
      </c>
      <c r="C9053">
        <v>0</v>
      </c>
      <c r="D9053" t="s">
        <v>106</v>
      </c>
      <c r="E9053">
        <v>22.332833583208298</v>
      </c>
    </row>
    <row r="9054" spans="1:5">
      <c r="A9054" t="s">
        <v>10467</v>
      </c>
      <c r="B9054" t="s">
        <v>10468</v>
      </c>
      <c r="C9054">
        <f>0</f>
        <v>0</v>
      </c>
      <c r="D9054" t="s">
        <v>106</v>
      </c>
      <c r="E9054">
        <v>11.7061469265367</v>
      </c>
    </row>
    <row r="9055" spans="1:5">
      <c r="A9055" t="s">
        <v>10467</v>
      </c>
      <c r="B9055" t="s">
        <v>10469</v>
      </c>
      <c r="C9055">
        <v>0</v>
      </c>
      <c r="D9055" t="s">
        <v>106</v>
      </c>
      <c r="E9055">
        <v>11.7061469265367</v>
      </c>
    </row>
    <row r="9056" spans="1:5">
      <c r="A9056" t="s">
        <v>10467</v>
      </c>
      <c r="B9056" t="s">
        <v>10470</v>
      </c>
      <c r="C9056">
        <v>0</v>
      </c>
      <c r="D9056" t="s">
        <v>106</v>
      </c>
      <c r="E9056">
        <v>11.7061469265367</v>
      </c>
    </row>
    <row r="9057" spans="1:5">
      <c r="A9057" t="s">
        <v>10471</v>
      </c>
      <c r="B9057" t="s">
        <v>10472</v>
      </c>
      <c r="C9057">
        <v>0</v>
      </c>
      <c r="D9057" t="s">
        <v>106</v>
      </c>
      <c r="E9057">
        <v>14.176911544227799</v>
      </c>
    </row>
    <row r="9058" spans="1:5">
      <c r="A9058" t="s">
        <v>10471</v>
      </c>
      <c r="B9058" t="s">
        <v>10473</v>
      </c>
      <c r="C9058">
        <f>0</f>
        <v>0</v>
      </c>
      <c r="D9058" t="s">
        <v>106</v>
      </c>
      <c r="E9058">
        <v>14.176911544227799</v>
      </c>
    </row>
    <row r="9059" spans="1:5">
      <c r="A9059" t="s">
        <v>10471</v>
      </c>
      <c r="B9059" t="s">
        <v>10474</v>
      </c>
      <c r="C9059">
        <f>0</f>
        <v>0</v>
      </c>
      <c r="D9059" t="s">
        <v>106</v>
      </c>
      <c r="E9059">
        <v>14.176911544227799</v>
      </c>
    </row>
    <row r="9060" spans="1:5">
      <c r="A9060" t="s">
        <v>10471</v>
      </c>
      <c r="B9060" t="s">
        <v>10475</v>
      </c>
      <c r="C9060">
        <v>0</v>
      </c>
      <c r="D9060" t="s">
        <v>106</v>
      </c>
      <c r="E9060">
        <v>14.176911544227799</v>
      </c>
    </row>
    <row r="9061" spans="1:5">
      <c r="A9061" t="s">
        <v>10471</v>
      </c>
      <c r="B9061" t="s">
        <v>10476</v>
      </c>
      <c r="C9061">
        <f>0</f>
        <v>0</v>
      </c>
      <c r="D9061" t="s">
        <v>106</v>
      </c>
      <c r="E9061">
        <v>14.176911544227799</v>
      </c>
    </row>
    <row r="9062" spans="1:5">
      <c r="A9062" t="s">
        <v>10477</v>
      </c>
      <c r="B9062" t="s">
        <v>10478</v>
      </c>
      <c r="C9062">
        <v>0</v>
      </c>
      <c r="D9062" t="s">
        <v>106</v>
      </c>
      <c r="E9062">
        <v>19.6341829085457</v>
      </c>
    </row>
    <row r="9063" spans="1:5">
      <c r="A9063" t="s">
        <v>10477</v>
      </c>
      <c r="B9063" t="s">
        <v>10479</v>
      </c>
      <c r="C9063">
        <v>0</v>
      </c>
      <c r="D9063" t="s">
        <v>106</v>
      </c>
      <c r="E9063">
        <v>19.6341829085457</v>
      </c>
    </row>
    <row r="9064" spans="1:5">
      <c r="A9064" t="s">
        <v>10477</v>
      </c>
      <c r="B9064" t="s">
        <v>10480</v>
      </c>
      <c r="C9064">
        <v>0</v>
      </c>
      <c r="D9064" t="s">
        <v>106</v>
      </c>
      <c r="E9064">
        <v>19.6341829085457</v>
      </c>
    </row>
    <row r="9065" spans="1:5">
      <c r="A9065" t="s">
        <v>10481</v>
      </c>
      <c r="B9065" t="s">
        <v>10482</v>
      </c>
      <c r="C9065">
        <f>0</f>
        <v>0</v>
      </c>
      <c r="D9065">
        <v>0.96172956912100005</v>
      </c>
      <c r="E9065">
        <v>11.8740629685157</v>
      </c>
    </row>
    <row r="9066" spans="1:5">
      <c r="A9066" t="s">
        <v>10481</v>
      </c>
      <c r="B9066" t="s">
        <v>10483</v>
      </c>
      <c r="C9066">
        <v>0</v>
      </c>
      <c r="D9066">
        <v>0.96172956912100005</v>
      </c>
      <c r="E9066">
        <v>11.8740629685157</v>
      </c>
    </row>
    <row r="9067" spans="1:5">
      <c r="A9067" t="s">
        <v>10481</v>
      </c>
      <c r="B9067" t="s">
        <v>10484</v>
      </c>
      <c r="C9067">
        <f>0.0820236877534</f>
        <v>8.2023687753399993E-2</v>
      </c>
      <c r="D9067">
        <v>0.96172956912100005</v>
      </c>
      <c r="E9067">
        <v>11.8740629685157</v>
      </c>
    </row>
    <row r="9068" spans="1:5">
      <c r="A9068" t="s">
        <v>10481</v>
      </c>
      <c r="B9068" t="s">
        <v>10485</v>
      </c>
      <c r="C9068">
        <f>0</f>
        <v>0</v>
      </c>
      <c r="D9068">
        <v>0.96172956912100005</v>
      </c>
      <c r="E9068">
        <v>11.8740629685157</v>
      </c>
    </row>
    <row r="9069" spans="1:5">
      <c r="A9069" t="s">
        <v>10481</v>
      </c>
      <c r="B9069" t="s">
        <v>10486</v>
      </c>
      <c r="C9069">
        <f>0.134929056198</f>
        <v>0.134929056198</v>
      </c>
      <c r="D9069">
        <v>0.96172956912100005</v>
      </c>
      <c r="E9069">
        <v>11.8740629685157</v>
      </c>
    </row>
    <row r="9070" spans="1:5">
      <c r="A9070" t="s">
        <v>10481</v>
      </c>
      <c r="B9070" t="s">
        <v>10487</v>
      </c>
      <c r="C9070">
        <v>0</v>
      </c>
      <c r="D9070">
        <v>0.96172956912100005</v>
      </c>
      <c r="E9070">
        <v>11.8740629685157</v>
      </c>
    </row>
    <row r="9071" spans="1:5">
      <c r="A9071" t="s">
        <v>10481</v>
      </c>
      <c r="B9071" t="s">
        <v>10488</v>
      </c>
      <c r="C9071">
        <f>0</f>
        <v>0</v>
      </c>
      <c r="D9071">
        <v>0.96172956912100005</v>
      </c>
      <c r="E9071">
        <v>11.8740629685157</v>
      </c>
    </row>
    <row r="9072" spans="1:5">
      <c r="A9072" t="s">
        <v>10481</v>
      </c>
      <c r="B9072" t="s">
        <v>10489</v>
      </c>
      <c r="C9072">
        <v>0</v>
      </c>
      <c r="D9072">
        <v>0.96172956912100005</v>
      </c>
      <c r="E9072">
        <v>11.8740629685157</v>
      </c>
    </row>
    <row r="9073" spans="1:5">
      <c r="A9073" t="s">
        <v>10481</v>
      </c>
      <c r="B9073" t="s">
        <v>10490</v>
      </c>
      <c r="C9073">
        <f>0</f>
        <v>0</v>
      </c>
      <c r="D9073">
        <v>0.96172956912100005</v>
      </c>
      <c r="E9073">
        <v>11.8740629685157</v>
      </c>
    </row>
    <row r="9074" spans="1:5">
      <c r="A9074" t="s">
        <v>10491</v>
      </c>
      <c r="B9074" t="s">
        <v>10492</v>
      </c>
      <c r="C9074">
        <v>0</v>
      </c>
      <c r="D9074">
        <v>0.993896946477</v>
      </c>
      <c r="E9074">
        <v>12.3898050974512</v>
      </c>
    </row>
    <row r="9075" spans="1:5">
      <c r="A9075" t="s">
        <v>10491</v>
      </c>
      <c r="B9075" t="s">
        <v>10493</v>
      </c>
      <c r="C9075">
        <v>0.12718066997399999</v>
      </c>
      <c r="D9075">
        <v>0.993896946477</v>
      </c>
      <c r="E9075">
        <v>12.3898050974512</v>
      </c>
    </row>
    <row r="9076" spans="1:5">
      <c r="A9076" t="s">
        <v>10491</v>
      </c>
      <c r="B9076" t="s">
        <v>10494</v>
      </c>
      <c r="C9076">
        <v>0</v>
      </c>
      <c r="D9076">
        <v>0.993896946477</v>
      </c>
      <c r="E9076">
        <v>12.3898050974512</v>
      </c>
    </row>
    <row r="9077" spans="1:5">
      <c r="A9077" t="s">
        <v>10491</v>
      </c>
      <c r="B9077" t="s">
        <v>10495</v>
      </c>
      <c r="C9077">
        <v>0.166175586663</v>
      </c>
      <c r="D9077">
        <v>0.993896946477</v>
      </c>
      <c r="E9077">
        <v>12.3898050974512</v>
      </c>
    </row>
    <row r="9078" spans="1:5">
      <c r="A9078" t="s">
        <v>10491</v>
      </c>
      <c r="B9078" t="s">
        <v>10496</v>
      </c>
      <c r="C9078">
        <f>0</f>
        <v>0</v>
      </c>
      <c r="D9078">
        <v>0.993896946477</v>
      </c>
      <c r="E9078">
        <v>12.3898050974512</v>
      </c>
    </row>
    <row r="9079" spans="1:5">
      <c r="A9079" t="s">
        <v>10491</v>
      </c>
      <c r="B9079" t="s">
        <v>10497</v>
      </c>
      <c r="C9079">
        <v>0</v>
      </c>
      <c r="D9079">
        <v>0.993896946477</v>
      </c>
      <c r="E9079">
        <v>12.3898050974512</v>
      </c>
    </row>
    <row r="9080" spans="1:5">
      <c r="A9080" t="s">
        <v>10491</v>
      </c>
      <c r="B9080" t="s">
        <v>10498</v>
      </c>
      <c r="C9080">
        <v>0</v>
      </c>
      <c r="D9080">
        <v>0.993896946477</v>
      </c>
      <c r="E9080">
        <v>12.3898050974512</v>
      </c>
    </row>
    <row r="9081" spans="1:5">
      <c r="A9081" t="s">
        <v>10491</v>
      </c>
      <c r="B9081" t="s">
        <v>10499</v>
      </c>
      <c r="C9081">
        <v>0</v>
      </c>
      <c r="D9081">
        <v>0.993896946477</v>
      </c>
      <c r="E9081">
        <v>12.3898050974512</v>
      </c>
    </row>
    <row r="9082" spans="1:5">
      <c r="A9082" t="s">
        <v>10491</v>
      </c>
      <c r="B9082" t="s">
        <v>10500</v>
      </c>
      <c r="C9082">
        <v>0</v>
      </c>
      <c r="D9082">
        <v>0.993896946477</v>
      </c>
      <c r="E9082">
        <v>12.3898050974512</v>
      </c>
    </row>
    <row r="9083" spans="1:5">
      <c r="A9083" t="s">
        <v>10491</v>
      </c>
      <c r="B9083" t="s">
        <v>10501</v>
      </c>
      <c r="C9083">
        <v>0</v>
      </c>
      <c r="D9083">
        <v>0.993896946477</v>
      </c>
      <c r="E9083">
        <v>12.3898050974512</v>
      </c>
    </row>
    <row r="9084" spans="1:5">
      <c r="A9084" t="s">
        <v>10502</v>
      </c>
      <c r="B9084" t="s">
        <v>10503</v>
      </c>
      <c r="C9084">
        <v>0.43359951586700002</v>
      </c>
      <c r="D9084">
        <v>0.97582336283500004</v>
      </c>
      <c r="E9084">
        <v>7.4602698650674597</v>
      </c>
    </row>
    <row r="9085" spans="1:5">
      <c r="A9085" t="s">
        <v>10502</v>
      </c>
      <c r="B9085" t="s">
        <v>10504</v>
      </c>
      <c r="C9085">
        <v>4.9433596549000001E-3</v>
      </c>
      <c r="D9085">
        <v>0.97582336283500004</v>
      </c>
      <c r="E9085">
        <v>7.4602698650674597</v>
      </c>
    </row>
    <row r="9086" spans="1:5">
      <c r="A9086" t="s">
        <v>10505</v>
      </c>
      <c r="B9086" t="s">
        <v>10506</v>
      </c>
      <c r="C9086">
        <v>0</v>
      </c>
      <c r="D9086" t="s">
        <v>106</v>
      </c>
      <c r="E9086">
        <v>23.7481259370314</v>
      </c>
    </row>
    <row r="9087" spans="1:5">
      <c r="A9087" t="s">
        <v>10505</v>
      </c>
      <c r="B9087" t="s">
        <v>10507</v>
      </c>
      <c r="C9087">
        <v>0</v>
      </c>
      <c r="D9087" t="s">
        <v>106</v>
      </c>
      <c r="E9087">
        <v>23.7481259370314</v>
      </c>
    </row>
    <row r="9088" spans="1:5">
      <c r="A9088" t="s">
        <v>10505</v>
      </c>
      <c r="B9088" t="s">
        <v>10508</v>
      </c>
      <c r="C9088">
        <v>0</v>
      </c>
      <c r="D9088" t="s">
        <v>106</v>
      </c>
      <c r="E9088">
        <v>23.7481259370314</v>
      </c>
    </row>
    <row r="9089" spans="1:5">
      <c r="A9089" t="s">
        <v>10505</v>
      </c>
      <c r="B9089" t="s">
        <v>10509</v>
      </c>
      <c r="C9089">
        <v>0</v>
      </c>
      <c r="D9089" t="s">
        <v>106</v>
      </c>
      <c r="E9089">
        <v>23.7481259370314</v>
      </c>
    </row>
    <row r="9090" spans="1:5">
      <c r="A9090" t="s">
        <v>10505</v>
      </c>
      <c r="B9090" t="s">
        <v>10510</v>
      </c>
      <c r="C9090">
        <v>0</v>
      </c>
      <c r="D9090" t="s">
        <v>106</v>
      </c>
      <c r="E9090">
        <v>23.7481259370314</v>
      </c>
    </row>
    <row r="9091" spans="1:5">
      <c r="A9091" t="s">
        <v>10505</v>
      </c>
      <c r="B9091" t="s">
        <v>10511</v>
      </c>
      <c r="C9091">
        <v>0</v>
      </c>
      <c r="D9091" t="s">
        <v>106</v>
      </c>
      <c r="E9091">
        <v>23.7481259370314</v>
      </c>
    </row>
    <row r="9092" spans="1:5">
      <c r="A9092" t="s">
        <v>10505</v>
      </c>
      <c r="B9092" t="s">
        <v>10512</v>
      </c>
      <c r="C9092">
        <f>0</f>
        <v>0</v>
      </c>
      <c r="D9092" t="s">
        <v>106</v>
      </c>
      <c r="E9092">
        <v>23.7481259370314</v>
      </c>
    </row>
    <row r="9093" spans="1:5">
      <c r="A9093" t="s">
        <v>10505</v>
      </c>
      <c r="B9093" t="s">
        <v>10513</v>
      </c>
      <c r="C9093">
        <f>0</f>
        <v>0</v>
      </c>
      <c r="D9093" t="s">
        <v>106</v>
      </c>
      <c r="E9093">
        <v>23.7481259370314</v>
      </c>
    </row>
    <row r="9094" spans="1:5">
      <c r="A9094" t="s">
        <v>10505</v>
      </c>
      <c r="B9094" t="s">
        <v>10514</v>
      </c>
      <c r="C9094">
        <f>0</f>
        <v>0</v>
      </c>
      <c r="D9094" t="s">
        <v>106</v>
      </c>
      <c r="E9094">
        <v>23.7481259370314</v>
      </c>
    </row>
    <row r="9095" spans="1:5">
      <c r="A9095" t="s">
        <v>10505</v>
      </c>
      <c r="B9095" t="s">
        <v>10515</v>
      </c>
      <c r="C9095">
        <f>0</f>
        <v>0</v>
      </c>
      <c r="D9095" t="s">
        <v>106</v>
      </c>
      <c r="E9095">
        <v>23.7481259370314</v>
      </c>
    </row>
    <row r="9096" spans="1:5">
      <c r="A9096" t="s">
        <v>10505</v>
      </c>
      <c r="B9096" t="s">
        <v>10516</v>
      </c>
      <c r="C9096">
        <v>0</v>
      </c>
      <c r="D9096" t="s">
        <v>106</v>
      </c>
      <c r="E9096">
        <v>23.7481259370314</v>
      </c>
    </row>
    <row r="9097" spans="1:5">
      <c r="A9097" t="s">
        <v>10505</v>
      </c>
      <c r="B9097" t="s">
        <v>10517</v>
      </c>
      <c r="C9097">
        <f>0</f>
        <v>0</v>
      </c>
      <c r="D9097" t="s">
        <v>106</v>
      </c>
      <c r="E9097">
        <v>23.7481259370314</v>
      </c>
    </row>
    <row r="9098" spans="1:5">
      <c r="A9098" t="s">
        <v>10505</v>
      </c>
      <c r="B9098" t="s">
        <v>10518</v>
      </c>
      <c r="C9098">
        <f>0</f>
        <v>0</v>
      </c>
      <c r="D9098" t="s">
        <v>106</v>
      </c>
      <c r="E9098">
        <v>23.7481259370314</v>
      </c>
    </row>
    <row r="9099" spans="1:5">
      <c r="A9099" t="s">
        <v>10505</v>
      </c>
      <c r="B9099" t="s">
        <v>10519</v>
      </c>
      <c r="C9099">
        <v>0.110020295103</v>
      </c>
      <c r="D9099" t="s">
        <v>106</v>
      </c>
      <c r="E9099">
        <v>23.7481259370314</v>
      </c>
    </row>
    <row r="9100" spans="1:5">
      <c r="A9100" t="s">
        <v>10505</v>
      </c>
      <c r="B9100" t="s">
        <v>10520</v>
      </c>
      <c r="C9100">
        <v>0</v>
      </c>
      <c r="D9100" t="s">
        <v>106</v>
      </c>
      <c r="E9100">
        <v>23.7481259370314</v>
      </c>
    </row>
    <row r="9101" spans="1:5">
      <c r="A9101" t="s">
        <v>10505</v>
      </c>
      <c r="B9101" t="s">
        <v>10521</v>
      </c>
      <c r="C9101">
        <v>0</v>
      </c>
      <c r="D9101" t="s">
        <v>106</v>
      </c>
      <c r="E9101">
        <v>23.7481259370314</v>
      </c>
    </row>
    <row r="9102" spans="1:5">
      <c r="A9102" t="s">
        <v>10505</v>
      </c>
      <c r="B9102" t="s">
        <v>10522</v>
      </c>
      <c r="C9102">
        <f>0</f>
        <v>0</v>
      </c>
      <c r="D9102" t="s">
        <v>106</v>
      </c>
      <c r="E9102">
        <v>23.7481259370314</v>
      </c>
    </row>
    <row r="9103" spans="1:5">
      <c r="A9103" t="s">
        <v>10505</v>
      </c>
      <c r="B9103" t="s">
        <v>10523</v>
      </c>
      <c r="C9103">
        <f>0</f>
        <v>0</v>
      </c>
      <c r="D9103" t="s">
        <v>106</v>
      </c>
      <c r="E9103">
        <v>23.7481259370314</v>
      </c>
    </row>
    <row r="9104" spans="1:5">
      <c r="A9104" t="s">
        <v>10505</v>
      </c>
      <c r="B9104" t="s">
        <v>10524</v>
      </c>
      <c r="C9104">
        <f>0</f>
        <v>0</v>
      </c>
      <c r="D9104" t="s">
        <v>106</v>
      </c>
      <c r="E9104">
        <v>23.7481259370314</v>
      </c>
    </row>
    <row r="9105" spans="1:5">
      <c r="A9105" t="s">
        <v>10505</v>
      </c>
      <c r="B9105" t="s">
        <v>10525</v>
      </c>
      <c r="C9105">
        <v>0</v>
      </c>
      <c r="D9105" t="s">
        <v>106</v>
      </c>
      <c r="E9105">
        <v>23.7481259370314</v>
      </c>
    </row>
    <row r="9106" spans="1:5">
      <c r="A9106" t="s">
        <v>10526</v>
      </c>
      <c r="B9106" t="s">
        <v>10527</v>
      </c>
      <c r="C9106">
        <f>0</f>
        <v>0</v>
      </c>
      <c r="D9106" t="s">
        <v>106</v>
      </c>
      <c r="E9106">
        <v>11.7061469265367</v>
      </c>
    </row>
    <row r="9107" spans="1:5">
      <c r="A9107" t="s">
        <v>10526</v>
      </c>
      <c r="B9107" t="s">
        <v>10528</v>
      </c>
      <c r="C9107">
        <v>0</v>
      </c>
      <c r="D9107" t="s">
        <v>106</v>
      </c>
      <c r="E9107">
        <v>11.7061469265367</v>
      </c>
    </row>
    <row r="9108" spans="1:5">
      <c r="A9108" t="s">
        <v>10526</v>
      </c>
      <c r="B9108" t="s">
        <v>10529</v>
      </c>
      <c r="C9108">
        <v>0</v>
      </c>
      <c r="D9108" t="s">
        <v>106</v>
      </c>
      <c r="E9108">
        <v>11.7061469265367</v>
      </c>
    </row>
    <row r="9109" spans="1:5">
      <c r="A9109" t="s">
        <v>10526</v>
      </c>
      <c r="B9109" t="s">
        <v>10530</v>
      </c>
      <c r="C9109">
        <f>0</f>
        <v>0</v>
      </c>
      <c r="D9109" t="s">
        <v>106</v>
      </c>
      <c r="E9109">
        <v>11.7061469265367</v>
      </c>
    </row>
    <row r="9110" spans="1:5">
      <c r="A9110" t="s">
        <v>10526</v>
      </c>
      <c r="B9110" t="s">
        <v>10531</v>
      </c>
      <c r="C9110">
        <v>0</v>
      </c>
      <c r="D9110" t="s">
        <v>106</v>
      </c>
      <c r="E9110">
        <v>11.7061469265367</v>
      </c>
    </row>
    <row r="9111" spans="1:5">
      <c r="A9111" t="s">
        <v>10526</v>
      </c>
      <c r="B9111" t="s">
        <v>10532</v>
      </c>
      <c r="C9111">
        <f>0</f>
        <v>0</v>
      </c>
      <c r="D9111" t="s">
        <v>106</v>
      </c>
      <c r="E9111">
        <v>11.7061469265367</v>
      </c>
    </row>
    <row r="9112" spans="1:5">
      <c r="A9112" t="s">
        <v>10526</v>
      </c>
      <c r="B9112" t="s">
        <v>10533</v>
      </c>
      <c r="C9112">
        <f>0</f>
        <v>0</v>
      </c>
      <c r="D9112" t="s">
        <v>106</v>
      </c>
      <c r="E9112">
        <v>11.7061469265367</v>
      </c>
    </row>
    <row r="9113" spans="1:5">
      <c r="A9113" t="s">
        <v>10526</v>
      </c>
      <c r="B9113" t="s">
        <v>10534</v>
      </c>
      <c r="C9113">
        <v>0</v>
      </c>
      <c r="D9113" t="s">
        <v>106</v>
      </c>
      <c r="E9113">
        <v>11.7061469265367</v>
      </c>
    </row>
    <row r="9114" spans="1:5">
      <c r="A9114" t="s">
        <v>10526</v>
      </c>
      <c r="B9114" t="s">
        <v>10535</v>
      </c>
      <c r="C9114">
        <f>0</f>
        <v>0</v>
      </c>
      <c r="D9114" t="s">
        <v>106</v>
      </c>
      <c r="E9114">
        <v>11.7061469265367</v>
      </c>
    </row>
    <row r="9115" spans="1:5">
      <c r="A9115" t="s">
        <v>10526</v>
      </c>
      <c r="B9115" t="s">
        <v>10536</v>
      </c>
      <c r="C9115">
        <v>0</v>
      </c>
      <c r="D9115" t="s">
        <v>106</v>
      </c>
      <c r="E9115">
        <v>11.7061469265367</v>
      </c>
    </row>
    <row r="9116" spans="1:5">
      <c r="A9116" t="s">
        <v>10537</v>
      </c>
      <c r="B9116" t="s">
        <v>10538</v>
      </c>
      <c r="C9116">
        <v>0.32661937986700001</v>
      </c>
      <c r="D9116">
        <v>0.99137177096600004</v>
      </c>
      <c r="E9116">
        <v>8.4317841079460205</v>
      </c>
    </row>
    <row r="9117" spans="1:5">
      <c r="A9117" t="s">
        <v>10537</v>
      </c>
      <c r="B9117" t="s">
        <v>10539</v>
      </c>
      <c r="C9117">
        <f>0</f>
        <v>0</v>
      </c>
      <c r="D9117">
        <v>0.99137177096600004</v>
      </c>
      <c r="E9117">
        <v>8.4317841079460205</v>
      </c>
    </row>
    <row r="9118" spans="1:5">
      <c r="A9118" t="s">
        <v>10537</v>
      </c>
      <c r="B9118" t="s">
        <v>10540</v>
      </c>
      <c r="C9118">
        <f>0</f>
        <v>0</v>
      </c>
      <c r="D9118">
        <v>0.99137177096600004</v>
      </c>
      <c r="E9118">
        <v>8.4317841079460205</v>
      </c>
    </row>
    <row r="9119" spans="1:5">
      <c r="A9119" t="s">
        <v>10537</v>
      </c>
      <c r="B9119" t="s">
        <v>10541</v>
      </c>
      <c r="C9119">
        <f>0.0790526534059</f>
        <v>7.9052653405899995E-2</v>
      </c>
      <c r="D9119">
        <v>0.99137177096600004</v>
      </c>
      <c r="E9119">
        <v>8.4317841079460205</v>
      </c>
    </row>
    <row r="9120" spans="1:5">
      <c r="A9120" t="s">
        <v>10537</v>
      </c>
      <c r="B9120" t="s">
        <v>10542</v>
      </c>
      <c r="C9120">
        <v>0</v>
      </c>
      <c r="D9120">
        <v>0.99137177096600004</v>
      </c>
      <c r="E9120">
        <v>8.4317841079460205</v>
      </c>
    </row>
    <row r="9121" spans="1:5">
      <c r="A9121" t="s">
        <v>10537</v>
      </c>
      <c r="B9121" t="s">
        <v>10543</v>
      </c>
      <c r="C9121">
        <f>0</f>
        <v>0</v>
      </c>
      <c r="D9121">
        <v>0.99137177096600004</v>
      </c>
      <c r="E9121">
        <v>8.4317841079460205</v>
      </c>
    </row>
    <row r="9122" spans="1:5">
      <c r="A9122" t="s">
        <v>10544</v>
      </c>
      <c r="B9122" t="s">
        <v>10545</v>
      </c>
      <c r="C9122">
        <v>0.11096161083099999</v>
      </c>
      <c r="D9122">
        <v>0.73836675145399999</v>
      </c>
      <c r="E9122">
        <v>17.103448275862</v>
      </c>
    </row>
    <row r="9123" spans="1:5">
      <c r="A9123" t="s">
        <v>10544</v>
      </c>
      <c r="B9123" t="s">
        <v>10546</v>
      </c>
      <c r="C9123">
        <v>0</v>
      </c>
      <c r="D9123">
        <v>0.73836675145399999</v>
      </c>
      <c r="E9123">
        <v>17.103448275862</v>
      </c>
    </row>
    <row r="9124" spans="1:5">
      <c r="A9124" t="s">
        <v>10547</v>
      </c>
      <c r="B9124" t="s">
        <v>10548</v>
      </c>
      <c r="C9124">
        <v>0</v>
      </c>
      <c r="D9124">
        <v>0.97942356547800002</v>
      </c>
      <c r="E9124">
        <v>2.96251874062968</v>
      </c>
    </row>
    <row r="9125" spans="1:5">
      <c r="A9125" t="s">
        <v>10547</v>
      </c>
      <c r="B9125" t="s">
        <v>10549</v>
      </c>
      <c r="C9125">
        <v>0</v>
      </c>
      <c r="D9125">
        <v>0.97942356547800002</v>
      </c>
      <c r="E9125">
        <v>2.96251874062968</v>
      </c>
    </row>
    <row r="9126" spans="1:5">
      <c r="A9126" t="s">
        <v>10547</v>
      </c>
      <c r="B9126" t="s">
        <v>10550</v>
      </c>
      <c r="C9126">
        <v>0</v>
      </c>
      <c r="D9126">
        <v>0.97942356547800002</v>
      </c>
      <c r="E9126">
        <v>2.96251874062968</v>
      </c>
    </row>
    <row r="9127" spans="1:5">
      <c r="A9127" t="s">
        <v>10547</v>
      </c>
      <c r="B9127" t="s">
        <v>10551</v>
      </c>
      <c r="C9127">
        <v>0</v>
      </c>
      <c r="D9127">
        <v>0.97942356547800002</v>
      </c>
      <c r="E9127">
        <v>2.96251874062968</v>
      </c>
    </row>
    <row r="9128" spans="1:5">
      <c r="A9128" t="s">
        <v>10547</v>
      </c>
      <c r="B9128" t="s">
        <v>10552</v>
      </c>
      <c r="C9128">
        <f>0.488529343703</f>
        <v>0.488529343703</v>
      </c>
      <c r="D9128">
        <v>0.97942356547800002</v>
      </c>
      <c r="E9128">
        <v>2.96251874062968</v>
      </c>
    </row>
    <row r="9129" spans="1:5">
      <c r="A9129" t="s">
        <v>10547</v>
      </c>
      <c r="B9129" t="s">
        <v>10553</v>
      </c>
      <c r="C9129">
        <f>0</f>
        <v>0</v>
      </c>
      <c r="D9129">
        <v>0.97942356547800002</v>
      </c>
      <c r="E9129">
        <v>2.96251874062968</v>
      </c>
    </row>
    <row r="9130" spans="1:5">
      <c r="A9130" t="s">
        <v>10547</v>
      </c>
      <c r="B9130" t="s">
        <v>10554</v>
      </c>
      <c r="C9130">
        <f>0.251989248627</f>
        <v>0.25198924862700001</v>
      </c>
      <c r="D9130">
        <v>0.97942356547800002</v>
      </c>
      <c r="E9130">
        <v>2.96251874062968</v>
      </c>
    </row>
    <row r="9131" spans="1:5">
      <c r="A9131" t="s">
        <v>10547</v>
      </c>
      <c r="B9131" t="s">
        <v>10555</v>
      </c>
      <c r="C9131">
        <v>0</v>
      </c>
      <c r="D9131">
        <v>0.97942356547800002</v>
      </c>
      <c r="E9131">
        <v>2.96251874062968</v>
      </c>
    </row>
    <row r="9132" spans="1:5">
      <c r="A9132" t="s">
        <v>10556</v>
      </c>
      <c r="B9132" t="s">
        <v>10557</v>
      </c>
      <c r="C9132">
        <v>9.2794826285800006E-2</v>
      </c>
      <c r="D9132">
        <v>0.96543555604200004</v>
      </c>
      <c r="E9132">
        <v>16.095952023988001</v>
      </c>
    </row>
    <row r="9133" spans="1:5">
      <c r="A9133" t="s">
        <v>10556</v>
      </c>
      <c r="B9133" t="s">
        <v>10558</v>
      </c>
      <c r="C9133">
        <v>0</v>
      </c>
      <c r="D9133">
        <v>0.96543555604200004</v>
      </c>
      <c r="E9133">
        <v>16.095952023988001</v>
      </c>
    </row>
    <row r="9134" spans="1:5">
      <c r="A9134" t="s">
        <v>10556</v>
      </c>
      <c r="B9134" t="s">
        <v>10559</v>
      </c>
      <c r="C9134">
        <v>0</v>
      </c>
      <c r="D9134">
        <v>0.96543555604200004</v>
      </c>
      <c r="E9134">
        <v>16.095952023988001</v>
      </c>
    </row>
    <row r="9135" spans="1:5">
      <c r="A9135" t="s">
        <v>10556</v>
      </c>
      <c r="B9135" t="s">
        <v>10560</v>
      </c>
      <c r="C9135">
        <v>0</v>
      </c>
      <c r="D9135">
        <v>0.96543555604200004</v>
      </c>
      <c r="E9135">
        <v>16.095952023988001</v>
      </c>
    </row>
    <row r="9136" spans="1:5">
      <c r="A9136" t="s">
        <v>10556</v>
      </c>
      <c r="B9136" t="s">
        <v>10561</v>
      </c>
      <c r="C9136">
        <v>0.12591021801800001</v>
      </c>
      <c r="D9136">
        <v>0.96543555604200004</v>
      </c>
      <c r="E9136">
        <v>16.095952023988001</v>
      </c>
    </row>
    <row r="9137" spans="1:5">
      <c r="A9137" t="s">
        <v>10556</v>
      </c>
      <c r="B9137" t="s">
        <v>10562</v>
      </c>
      <c r="C9137">
        <v>0</v>
      </c>
      <c r="D9137">
        <v>0.96543555604200004</v>
      </c>
      <c r="E9137">
        <v>16.095952023988001</v>
      </c>
    </row>
    <row r="9138" spans="1:5">
      <c r="A9138" t="s">
        <v>10556</v>
      </c>
      <c r="B9138" t="s">
        <v>10563</v>
      </c>
      <c r="C9138">
        <f>0</f>
        <v>0</v>
      </c>
      <c r="D9138">
        <v>0.96543555604200004</v>
      </c>
      <c r="E9138">
        <v>16.095952023988001</v>
      </c>
    </row>
    <row r="9139" spans="1:5">
      <c r="A9139" t="s">
        <v>10556</v>
      </c>
      <c r="B9139" t="s">
        <v>10564</v>
      </c>
      <c r="C9139">
        <v>0</v>
      </c>
      <c r="D9139">
        <v>0.96543555604200004</v>
      </c>
      <c r="E9139">
        <v>16.095952023988001</v>
      </c>
    </row>
    <row r="9140" spans="1:5">
      <c r="A9140" t="s">
        <v>10565</v>
      </c>
      <c r="B9140" t="s">
        <v>10566</v>
      </c>
      <c r="C9140">
        <f>0.0386942625441</f>
        <v>3.8694262544100001E-2</v>
      </c>
      <c r="D9140">
        <v>0.78498531749</v>
      </c>
      <c r="E9140">
        <v>5.1214392803598203</v>
      </c>
    </row>
    <row r="9141" spans="1:5">
      <c r="A9141" t="s">
        <v>10565</v>
      </c>
      <c r="B9141" t="s">
        <v>10567</v>
      </c>
      <c r="C9141">
        <f>0</f>
        <v>0</v>
      </c>
      <c r="D9141">
        <v>0.78498531749</v>
      </c>
      <c r="E9141">
        <v>5.1214392803598203</v>
      </c>
    </row>
    <row r="9142" spans="1:5">
      <c r="A9142" t="s">
        <v>10568</v>
      </c>
      <c r="B9142" t="s">
        <v>10569</v>
      </c>
      <c r="C9142">
        <v>0</v>
      </c>
      <c r="D9142" t="s">
        <v>106</v>
      </c>
      <c r="E9142">
        <v>5.5772113943028403</v>
      </c>
    </row>
    <row r="9143" spans="1:5">
      <c r="A9143" t="s">
        <v>10568</v>
      </c>
      <c r="B9143" t="s">
        <v>10570</v>
      </c>
      <c r="C9143">
        <v>0</v>
      </c>
      <c r="D9143" t="s">
        <v>106</v>
      </c>
      <c r="E9143">
        <v>5.5772113943028403</v>
      </c>
    </row>
    <row r="9144" spans="1:5">
      <c r="A9144" t="s">
        <v>10571</v>
      </c>
      <c r="B9144" t="s">
        <v>10572</v>
      </c>
      <c r="C9144">
        <v>0.193491982827</v>
      </c>
      <c r="D9144" t="s">
        <v>106</v>
      </c>
      <c r="E9144">
        <v>24</v>
      </c>
    </row>
    <row r="9145" spans="1:5">
      <c r="A9145" t="s">
        <v>10571</v>
      </c>
      <c r="B9145" t="s">
        <v>10573</v>
      </c>
      <c r="C9145">
        <f>0</f>
        <v>0</v>
      </c>
      <c r="D9145" t="s">
        <v>106</v>
      </c>
      <c r="E9145">
        <v>24</v>
      </c>
    </row>
    <row r="9146" spans="1:5">
      <c r="A9146" t="s">
        <v>10571</v>
      </c>
      <c r="B9146" t="s">
        <v>10574</v>
      </c>
      <c r="C9146">
        <v>0</v>
      </c>
      <c r="D9146" t="s">
        <v>106</v>
      </c>
      <c r="E9146">
        <v>24</v>
      </c>
    </row>
    <row r="9147" spans="1:5">
      <c r="A9147" t="s">
        <v>10571</v>
      </c>
      <c r="B9147" t="s">
        <v>10575</v>
      </c>
      <c r="C9147">
        <f>0</f>
        <v>0</v>
      </c>
      <c r="D9147" t="s">
        <v>106</v>
      </c>
      <c r="E9147">
        <v>24</v>
      </c>
    </row>
    <row r="9148" spans="1:5">
      <c r="A9148" t="s">
        <v>10571</v>
      </c>
      <c r="B9148" t="s">
        <v>10576</v>
      </c>
      <c r="C9148">
        <v>0</v>
      </c>
      <c r="D9148" t="s">
        <v>106</v>
      </c>
      <c r="E9148">
        <v>24</v>
      </c>
    </row>
    <row r="9149" spans="1:5">
      <c r="A9149" t="s">
        <v>10571</v>
      </c>
      <c r="B9149" t="s">
        <v>10577</v>
      </c>
      <c r="C9149">
        <f>0</f>
        <v>0</v>
      </c>
      <c r="D9149" t="s">
        <v>106</v>
      </c>
      <c r="E9149">
        <v>24</v>
      </c>
    </row>
    <row r="9150" spans="1:5">
      <c r="A9150" t="s">
        <v>10578</v>
      </c>
      <c r="B9150" t="s">
        <v>10579</v>
      </c>
      <c r="C9150">
        <v>9.3541125643299999E-2</v>
      </c>
      <c r="D9150">
        <v>0.87122704822899999</v>
      </c>
      <c r="E9150">
        <v>2.96251874062968</v>
      </c>
    </row>
    <row r="9151" spans="1:5">
      <c r="A9151" t="s">
        <v>10578</v>
      </c>
      <c r="B9151" t="s">
        <v>10580</v>
      </c>
      <c r="C9151">
        <v>9.6809628014499993E-2</v>
      </c>
      <c r="D9151">
        <v>0.87122704822899999</v>
      </c>
      <c r="E9151">
        <v>2.96251874062968</v>
      </c>
    </row>
    <row r="9152" spans="1:5">
      <c r="A9152" t="s">
        <v>10578</v>
      </c>
      <c r="B9152" t="s">
        <v>10581</v>
      </c>
      <c r="C9152">
        <v>0</v>
      </c>
      <c r="D9152">
        <v>0.87122704822899999</v>
      </c>
      <c r="E9152">
        <v>2.96251874062968</v>
      </c>
    </row>
    <row r="9153" spans="1:5">
      <c r="A9153" t="s">
        <v>10578</v>
      </c>
      <c r="B9153" t="s">
        <v>10582</v>
      </c>
      <c r="C9153">
        <f>0</f>
        <v>0</v>
      </c>
      <c r="D9153">
        <v>0.87122704822899999</v>
      </c>
      <c r="E9153">
        <v>2.96251874062968</v>
      </c>
    </row>
    <row r="9154" spans="1:5">
      <c r="A9154" t="s">
        <v>10578</v>
      </c>
      <c r="B9154" t="s">
        <v>10583</v>
      </c>
      <c r="C9154">
        <v>0</v>
      </c>
      <c r="D9154">
        <v>0.87122704822899999</v>
      </c>
      <c r="E9154">
        <v>2.96251874062968</v>
      </c>
    </row>
    <row r="9155" spans="1:5">
      <c r="A9155" t="s">
        <v>10578</v>
      </c>
      <c r="B9155" t="s">
        <v>10584</v>
      </c>
      <c r="C9155">
        <v>0</v>
      </c>
      <c r="D9155">
        <v>0.87122704822899999</v>
      </c>
      <c r="E9155">
        <v>2.96251874062968</v>
      </c>
    </row>
    <row r="9156" spans="1:5">
      <c r="A9156" t="s">
        <v>10578</v>
      </c>
      <c r="B9156" t="s">
        <v>10585</v>
      </c>
      <c r="C9156">
        <v>0</v>
      </c>
      <c r="D9156">
        <v>0.87122704822899999</v>
      </c>
      <c r="E9156">
        <v>2.96251874062968</v>
      </c>
    </row>
    <row r="9157" spans="1:5">
      <c r="A9157" t="s">
        <v>10586</v>
      </c>
      <c r="B9157" t="s">
        <v>10587</v>
      </c>
      <c r="C9157">
        <f>0</f>
        <v>0</v>
      </c>
      <c r="D9157">
        <v>0.83519321290600002</v>
      </c>
      <c r="E9157">
        <v>18.554722638680602</v>
      </c>
    </row>
    <row r="9158" spans="1:5">
      <c r="A9158" t="s">
        <v>10586</v>
      </c>
      <c r="B9158" t="s">
        <v>10588</v>
      </c>
      <c r="C9158">
        <f>0.0552719096356</f>
        <v>5.5271909635599997E-2</v>
      </c>
      <c r="D9158">
        <v>0.83519321290600002</v>
      </c>
      <c r="E9158">
        <v>18.554722638680602</v>
      </c>
    </row>
    <row r="9159" spans="1:5">
      <c r="A9159" t="s">
        <v>10586</v>
      </c>
      <c r="B9159" t="s">
        <v>10589</v>
      </c>
      <c r="C9159">
        <v>0</v>
      </c>
      <c r="D9159">
        <v>0.83519321290600002</v>
      </c>
      <c r="E9159">
        <v>18.554722638680602</v>
      </c>
    </row>
    <row r="9160" spans="1:5">
      <c r="A9160" t="s">
        <v>10586</v>
      </c>
      <c r="B9160" t="s">
        <v>10590</v>
      </c>
      <c r="C9160">
        <v>0</v>
      </c>
      <c r="D9160">
        <v>0.83519321290600002</v>
      </c>
      <c r="E9160">
        <v>18.554722638680602</v>
      </c>
    </row>
    <row r="9161" spans="1:5">
      <c r="A9161" t="s">
        <v>10591</v>
      </c>
      <c r="B9161" t="s">
        <v>10592</v>
      </c>
      <c r="C9161">
        <f>0</f>
        <v>0</v>
      </c>
      <c r="D9161">
        <v>0.96623646515700001</v>
      </c>
      <c r="E9161">
        <v>8.1439280359820092</v>
      </c>
    </row>
    <row r="9162" spans="1:5">
      <c r="A9162" t="s">
        <v>10591</v>
      </c>
      <c r="B9162" t="s">
        <v>10593</v>
      </c>
      <c r="C9162">
        <f>0</f>
        <v>0</v>
      </c>
      <c r="D9162">
        <v>0.96623646515700001</v>
      </c>
      <c r="E9162">
        <v>8.1439280359820092</v>
      </c>
    </row>
    <row r="9163" spans="1:5">
      <c r="A9163" t="s">
        <v>10591</v>
      </c>
      <c r="B9163" t="s">
        <v>10594</v>
      </c>
      <c r="C9163">
        <v>0</v>
      </c>
      <c r="D9163">
        <v>0.96623646515700001</v>
      </c>
      <c r="E9163">
        <v>8.1439280359820092</v>
      </c>
    </row>
    <row r="9164" spans="1:5">
      <c r="A9164" t="s">
        <v>10591</v>
      </c>
      <c r="B9164" t="s">
        <v>10595</v>
      </c>
      <c r="C9164">
        <v>0</v>
      </c>
      <c r="D9164">
        <v>0.96623646515700001</v>
      </c>
      <c r="E9164">
        <v>8.1439280359820092</v>
      </c>
    </row>
    <row r="9165" spans="1:5">
      <c r="A9165" t="s">
        <v>10591</v>
      </c>
      <c r="B9165" t="s">
        <v>10596</v>
      </c>
      <c r="C9165">
        <v>0</v>
      </c>
      <c r="D9165">
        <v>0.96623646515700001</v>
      </c>
      <c r="E9165">
        <v>8.1439280359820092</v>
      </c>
    </row>
    <row r="9166" spans="1:5">
      <c r="A9166" t="s">
        <v>10591</v>
      </c>
      <c r="B9166" t="s">
        <v>10597</v>
      </c>
      <c r="C9166">
        <f>0</f>
        <v>0</v>
      </c>
      <c r="D9166">
        <v>0.96623646515700001</v>
      </c>
      <c r="E9166">
        <v>8.1439280359820092</v>
      </c>
    </row>
    <row r="9167" spans="1:5">
      <c r="A9167" t="s">
        <v>10591</v>
      </c>
      <c r="B9167" t="s">
        <v>10598</v>
      </c>
      <c r="C9167">
        <f>0</f>
        <v>0</v>
      </c>
      <c r="D9167">
        <v>0.96623646515700001</v>
      </c>
      <c r="E9167">
        <v>8.1439280359820092</v>
      </c>
    </row>
    <row r="9168" spans="1:5">
      <c r="A9168" t="s">
        <v>10591</v>
      </c>
      <c r="B9168" t="s">
        <v>10599</v>
      </c>
      <c r="C9168">
        <v>0</v>
      </c>
      <c r="D9168">
        <v>0.96623646515700001</v>
      </c>
      <c r="E9168">
        <v>8.1439280359820092</v>
      </c>
    </row>
    <row r="9169" spans="1:5">
      <c r="A9169" t="s">
        <v>10591</v>
      </c>
      <c r="B9169" t="s">
        <v>10600</v>
      </c>
      <c r="C9169">
        <v>0</v>
      </c>
      <c r="D9169">
        <v>0.96623646515700001</v>
      </c>
      <c r="E9169">
        <v>8.1439280359820092</v>
      </c>
    </row>
    <row r="9170" spans="1:5">
      <c r="A9170" t="s">
        <v>10591</v>
      </c>
      <c r="B9170" t="s">
        <v>10601</v>
      </c>
      <c r="C9170">
        <f>0</f>
        <v>0</v>
      </c>
      <c r="D9170">
        <v>0.96623646515700001</v>
      </c>
      <c r="E9170">
        <v>8.1439280359820092</v>
      </c>
    </row>
    <row r="9171" spans="1:5">
      <c r="A9171" t="s">
        <v>10591</v>
      </c>
      <c r="B9171" t="s">
        <v>10602</v>
      </c>
      <c r="C9171">
        <v>6.4585816853799993E-2</v>
      </c>
      <c r="D9171">
        <v>0.96623646515700001</v>
      </c>
      <c r="E9171">
        <v>8.1439280359820092</v>
      </c>
    </row>
    <row r="9172" spans="1:5">
      <c r="A9172" t="s">
        <v>10591</v>
      </c>
      <c r="B9172" t="s">
        <v>10603</v>
      </c>
      <c r="C9172">
        <v>6.1671913309499997E-2</v>
      </c>
      <c r="D9172">
        <v>0.96623646515700001</v>
      </c>
      <c r="E9172">
        <v>8.1439280359820092</v>
      </c>
    </row>
    <row r="9173" spans="1:5">
      <c r="A9173" t="s">
        <v>10591</v>
      </c>
      <c r="B9173" t="s">
        <v>10604</v>
      </c>
      <c r="C9173">
        <v>0</v>
      </c>
      <c r="D9173">
        <v>0.96623646515700001</v>
      </c>
      <c r="E9173">
        <v>8.1439280359820092</v>
      </c>
    </row>
    <row r="9174" spans="1:5">
      <c r="A9174" t="s">
        <v>10591</v>
      </c>
      <c r="B9174" t="s">
        <v>10605</v>
      </c>
      <c r="C9174">
        <f>0</f>
        <v>0</v>
      </c>
      <c r="D9174">
        <v>0.96623646515700001</v>
      </c>
      <c r="E9174">
        <v>8.1439280359820092</v>
      </c>
    </row>
    <row r="9175" spans="1:5">
      <c r="A9175" t="s">
        <v>10591</v>
      </c>
      <c r="B9175" t="s">
        <v>10606</v>
      </c>
      <c r="C9175">
        <v>0</v>
      </c>
      <c r="D9175">
        <v>0.96623646515700001</v>
      </c>
      <c r="E9175">
        <v>8.1439280359820092</v>
      </c>
    </row>
    <row r="9176" spans="1:5">
      <c r="A9176" t="s">
        <v>10591</v>
      </c>
      <c r="B9176" t="s">
        <v>10607</v>
      </c>
      <c r="C9176">
        <f>0</f>
        <v>0</v>
      </c>
      <c r="D9176">
        <v>0.96623646515700001</v>
      </c>
      <c r="E9176">
        <v>8.1439280359820092</v>
      </c>
    </row>
    <row r="9177" spans="1:5">
      <c r="A9177" t="s">
        <v>10591</v>
      </c>
      <c r="B9177" t="s">
        <v>10608</v>
      </c>
      <c r="C9177">
        <v>0</v>
      </c>
      <c r="D9177">
        <v>0.96623646515700001</v>
      </c>
      <c r="E9177">
        <v>8.1439280359820092</v>
      </c>
    </row>
    <row r="9178" spans="1:5">
      <c r="A9178" t="s">
        <v>10591</v>
      </c>
      <c r="B9178" t="s">
        <v>10609</v>
      </c>
      <c r="C9178">
        <v>0</v>
      </c>
      <c r="D9178">
        <v>0.96623646515700001</v>
      </c>
      <c r="E9178">
        <v>8.1439280359820092</v>
      </c>
    </row>
    <row r="9179" spans="1:5">
      <c r="A9179" t="s">
        <v>10591</v>
      </c>
      <c r="B9179" t="s">
        <v>10610</v>
      </c>
      <c r="C9179">
        <v>0</v>
      </c>
      <c r="D9179">
        <v>0.96623646515700001</v>
      </c>
      <c r="E9179">
        <v>8.1439280359820092</v>
      </c>
    </row>
    <row r="9180" spans="1:5">
      <c r="A9180" t="s">
        <v>10591</v>
      </c>
      <c r="B9180" t="s">
        <v>10611</v>
      </c>
      <c r="C9180">
        <v>0</v>
      </c>
      <c r="D9180">
        <v>0.96623646515700001</v>
      </c>
      <c r="E9180">
        <v>8.1439280359820092</v>
      </c>
    </row>
    <row r="9181" spans="1:5">
      <c r="A9181" t="s">
        <v>10591</v>
      </c>
      <c r="B9181" t="s">
        <v>10612</v>
      </c>
      <c r="C9181">
        <v>0</v>
      </c>
      <c r="D9181">
        <v>0.96623646515700001</v>
      </c>
      <c r="E9181">
        <v>8.1439280359820092</v>
      </c>
    </row>
    <row r="9182" spans="1:5">
      <c r="A9182" t="s">
        <v>10591</v>
      </c>
      <c r="B9182" t="s">
        <v>10613</v>
      </c>
      <c r="C9182">
        <v>0</v>
      </c>
      <c r="D9182">
        <v>0.96623646515700001</v>
      </c>
      <c r="E9182">
        <v>8.1439280359820092</v>
      </c>
    </row>
    <row r="9183" spans="1:5">
      <c r="A9183" t="s">
        <v>10591</v>
      </c>
      <c r="B9183" t="s">
        <v>10614</v>
      </c>
      <c r="C9183">
        <v>0</v>
      </c>
      <c r="D9183">
        <v>0.96623646515700001</v>
      </c>
      <c r="E9183">
        <v>8.1439280359820092</v>
      </c>
    </row>
    <row r="9184" spans="1:5">
      <c r="A9184" t="s">
        <v>10591</v>
      </c>
      <c r="B9184" t="s">
        <v>10615</v>
      </c>
      <c r="C9184">
        <f>0</f>
        <v>0</v>
      </c>
      <c r="D9184">
        <v>0.96623646515700001</v>
      </c>
      <c r="E9184">
        <v>8.1439280359820092</v>
      </c>
    </row>
    <row r="9185" spans="1:5">
      <c r="A9185" t="s">
        <v>10616</v>
      </c>
      <c r="B9185" t="s">
        <v>10617</v>
      </c>
      <c r="C9185">
        <v>0.90919624055100001</v>
      </c>
      <c r="D9185">
        <v>0.99673922190300002</v>
      </c>
      <c r="E9185">
        <v>2.0989505247376301</v>
      </c>
    </row>
    <row r="9186" spans="1:5">
      <c r="A9186" t="s">
        <v>10616</v>
      </c>
      <c r="B9186" t="s">
        <v>10618</v>
      </c>
      <c r="C9186">
        <f>0</f>
        <v>0</v>
      </c>
      <c r="D9186">
        <v>0.99673922190300002</v>
      </c>
      <c r="E9186">
        <v>2.0989505247376301</v>
      </c>
    </row>
    <row r="9187" spans="1:5">
      <c r="A9187" t="s">
        <v>10616</v>
      </c>
      <c r="B9187" t="s">
        <v>10619</v>
      </c>
      <c r="C9187">
        <f>0.0649010462955</f>
        <v>6.4901046295500003E-2</v>
      </c>
      <c r="D9187">
        <v>0.99673922190300002</v>
      </c>
      <c r="E9187">
        <v>2.0989505247376301</v>
      </c>
    </row>
    <row r="9188" spans="1:5">
      <c r="A9188" t="s">
        <v>10620</v>
      </c>
      <c r="B9188" t="s">
        <v>10621</v>
      </c>
      <c r="C9188">
        <f>0</f>
        <v>0</v>
      </c>
      <c r="D9188">
        <v>0.86990411226599995</v>
      </c>
      <c r="E9188">
        <v>0.43178410794602701</v>
      </c>
    </row>
    <row r="9189" spans="1:5">
      <c r="A9189" t="s">
        <v>10620</v>
      </c>
      <c r="B9189" t="s">
        <v>10622</v>
      </c>
      <c r="C9189">
        <f>0</f>
        <v>0</v>
      </c>
      <c r="D9189">
        <v>0.86990411226599995</v>
      </c>
      <c r="E9189">
        <v>0.43178410794602701</v>
      </c>
    </row>
    <row r="9190" spans="1:5">
      <c r="A9190" t="s">
        <v>10620</v>
      </c>
      <c r="B9190" t="s">
        <v>10623</v>
      </c>
      <c r="C9190">
        <f>0</f>
        <v>0</v>
      </c>
      <c r="D9190">
        <v>0.86990411226599995</v>
      </c>
      <c r="E9190">
        <v>0.43178410794602701</v>
      </c>
    </row>
    <row r="9191" spans="1:5">
      <c r="A9191" t="s">
        <v>10620</v>
      </c>
      <c r="B9191" t="s">
        <v>10624</v>
      </c>
      <c r="C9191">
        <f>0.295851788663</f>
        <v>0.29585178866299999</v>
      </c>
      <c r="D9191">
        <v>0.86990411226599995</v>
      </c>
      <c r="E9191">
        <v>0.43178410794602701</v>
      </c>
    </row>
    <row r="9192" spans="1:5">
      <c r="A9192" t="s">
        <v>10620</v>
      </c>
      <c r="B9192" t="s">
        <v>10625</v>
      </c>
      <c r="C9192">
        <f>0</f>
        <v>0</v>
      </c>
      <c r="D9192">
        <v>0.86990411226599995</v>
      </c>
      <c r="E9192">
        <v>0.43178410794602701</v>
      </c>
    </row>
    <row r="9193" spans="1:5">
      <c r="A9193" t="s">
        <v>10620</v>
      </c>
      <c r="B9193" t="s">
        <v>10626</v>
      </c>
      <c r="C9193">
        <f>0</f>
        <v>0</v>
      </c>
      <c r="D9193">
        <v>0.86990411226599995</v>
      </c>
      <c r="E9193">
        <v>0.43178410794602701</v>
      </c>
    </row>
    <row r="9194" spans="1:5">
      <c r="A9194" t="s">
        <v>10620</v>
      </c>
      <c r="B9194" t="s">
        <v>10627</v>
      </c>
      <c r="C9194">
        <v>0</v>
      </c>
      <c r="D9194">
        <v>0.86990411226599995</v>
      </c>
      <c r="E9194">
        <v>0.43178410794602701</v>
      </c>
    </row>
    <row r="9195" spans="1:5">
      <c r="A9195" t="s">
        <v>10628</v>
      </c>
      <c r="B9195" t="s">
        <v>10629</v>
      </c>
      <c r="C9195">
        <v>0</v>
      </c>
      <c r="D9195" t="s">
        <v>106</v>
      </c>
      <c r="E9195">
        <v>2.0269865067466202</v>
      </c>
    </row>
    <row r="9196" spans="1:5">
      <c r="A9196" t="s">
        <v>10628</v>
      </c>
      <c r="B9196" t="s">
        <v>10630</v>
      </c>
      <c r="C9196">
        <v>0</v>
      </c>
      <c r="D9196" t="s">
        <v>106</v>
      </c>
      <c r="E9196">
        <v>2.0269865067466202</v>
      </c>
    </row>
    <row r="9197" spans="1:5">
      <c r="A9197" t="s">
        <v>10628</v>
      </c>
      <c r="B9197" t="s">
        <v>10631</v>
      </c>
      <c r="C9197">
        <v>0</v>
      </c>
      <c r="D9197" t="s">
        <v>106</v>
      </c>
      <c r="E9197">
        <v>2.0269865067466202</v>
      </c>
    </row>
    <row r="9198" spans="1:5">
      <c r="A9198" t="s">
        <v>10628</v>
      </c>
      <c r="B9198" t="s">
        <v>10632</v>
      </c>
      <c r="C9198">
        <v>0</v>
      </c>
      <c r="D9198" t="s">
        <v>106</v>
      </c>
      <c r="E9198">
        <v>2.0269865067466202</v>
      </c>
    </row>
    <row r="9199" spans="1:5">
      <c r="A9199" t="s">
        <v>10628</v>
      </c>
      <c r="B9199" t="s">
        <v>10633</v>
      </c>
      <c r="C9199">
        <f>0</f>
        <v>0</v>
      </c>
      <c r="D9199" t="s">
        <v>106</v>
      </c>
      <c r="E9199">
        <v>2.0269865067466202</v>
      </c>
    </row>
    <row r="9200" spans="1:5">
      <c r="A9200" t="s">
        <v>10628</v>
      </c>
      <c r="B9200" t="s">
        <v>10634</v>
      </c>
      <c r="C9200">
        <f>0</f>
        <v>0</v>
      </c>
      <c r="D9200" t="s">
        <v>106</v>
      </c>
      <c r="E9200">
        <v>2.0269865067466202</v>
      </c>
    </row>
    <row r="9201" spans="1:5">
      <c r="A9201" t="s">
        <v>10628</v>
      </c>
      <c r="B9201" t="s">
        <v>10635</v>
      </c>
      <c r="C9201">
        <f>0</f>
        <v>0</v>
      </c>
      <c r="D9201" t="s">
        <v>106</v>
      </c>
      <c r="E9201">
        <v>2.0269865067466202</v>
      </c>
    </row>
    <row r="9202" spans="1:5">
      <c r="A9202" t="s">
        <v>10628</v>
      </c>
      <c r="B9202" t="s">
        <v>10636</v>
      </c>
      <c r="C9202">
        <v>0</v>
      </c>
      <c r="D9202" t="s">
        <v>106</v>
      </c>
      <c r="E9202">
        <v>2.0269865067466202</v>
      </c>
    </row>
    <row r="9203" spans="1:5">
      <c r="A9203" t="s">
        <v>10637</v>
      </c>
      <c r="B9203" t="s">
        <v>10638</v>
      </c>
      <c r="C9203">
        <f>0</f>
        <v>0</v>
      </c>
      <c r="D9203" t="s">
        <v>106</v>
      </c>
      <c r="E9203">
        <v>15.904047976011899</v>
      </c>
    </row>
    <row r="9204" spans="1:5">
      <c r="A9204" t="s">
        <v>10637</v>
      </c>
      <c r="B9204" t="s">
        <v>10639</v>
      </c>
      <c r="C9204">
        <f>0</f>
        <v>0</v>
      </c>
      <c r="D9204" t="s">
        <v>106</v>
      </c>
      <c r="E9204">
        <v>15.904047976011899</v>
      </c>
    </row>
    <row r="9205" spans="1:5">
      <c r="A9205" t="s">
        <v>10637</v>
      </c>
      <c r="B9205" t="s">
        <v>10640</v>
      </c>
      <c r="C9205">
        <f>0</f>
        <v>0</v>
      </c>
      <c r="D9205" t="s">
        <v>106</v>
      </c>
      <c r="E9205">
        <v>15.904047976011899</v>
      </c>
    </row>
    <row r="9206" spans="1:5">
      <c r="A9206" t="s">
        <v>10637</v>
      </c>
      <c r="B9206" t="s">
        <v>10641</v>
      </c>
      <c r="C9206">
        <f>0</f>
        <v>0</v>
      </c>
      <c r="D9206" t="s">
        <v>106</v>
      </c>
      <c r="E9206">
        <v>15.904047976011899</v>
      </c>
    </row>
    <row r="9207" spans="1:5">
      <c r="A9207" t="s">
        <v>10637</v>
      </c>
      <c r="B9207" t="s">
        <v>10642</v>
      </c>
      <c r="C9207">
        <f>0</f>
        <v>0</v>
      </c>
      <c r="D9207" t="s">
        <v>106</v>
      </c>
      <c r="E9207">
        <v>15.904047976011899</v>
      </c>
    </row>
    <row r="9208" spans="1:5">
      <c r="A9208" t="s">
        <v>10643</v>
      </c>
      <c r="B9208" t="s">
        <v>10644</v>
      </c>
      <c r="C9208">
        <f>0</f>
        <v>0</v>
      </c>
      <c r="D9208" t="s">
        <v>106</v>
      </c>
      <c r="E9208">
        <v>24</v>
      </c>
    </row>
    <row r="9209" spans="1:5">
      <c r="A9209" t="s">
        <v>10643</v>
      </c>
      <c r="B9209" t="s">
        <v>10645</v>
      </c>
      <c r="C9209">
        <v>0</v>
      </c>
      <c r="D9209" t="s">
        <v>106</v>
      </c>
      <c r="E9209">
        <v>24</v>
      </c>
    </row>
    <row r="9210" spans="1:5">
      <c r="A9210" t="s">
        <v>10643</v>
      </c>
      <c r="B9210" t="s">
        <v>10646</v>
      </c>
      <c r="C9210">
        <v>1.33158425328E-2</v>
      </c>
      <c r="D9210" t="s">
        <v>106</v>
      </c>
      <c r="E9210">
        <v>24</v>
      </c>
    </row>
    <row r="9211" spans="1:5">
      <c r="A9211" t="s">
        <v>10643</v>
      </c>
      <c r="B9211" t="s">
        <v>10647</v>
      </c>
      <c r="C9211">
        <f>0</f>
        <v>0</v>
      </c>
      <c r="D9211" t="s">
        <v>106</v>
      </c>
      <c r="E9211">
        <v>24</v>
      </c>
    </row>
    <row r="9212" spans="1:5">
      <c r="A9212" t="s">
        <v>10643</v>
      </c>
      <c r="B9212" t="s">
        <v>10648</v>
      </c>
      <c r="C9212">
        <f>0</f>
        <v>0</v>
      </c>
      <c r="D9212" t="s">
        <v>106</v>
      </c>
      <c r="E9212">
        <v>24</v>
      </c>
    </row>
    <row r="9213" spans="1:5">
      <c r="A9213" t="s">
        <v>10643</v>
      </c>
      <c r="B9213" t="s">
        <v>10649</v>
      </c>
      <c r="C9213">
        <v>0</v>
      </c>
      <c r="D9213" t="s">
        <v>106</v>
      </c>
      <c r="E9213">
        <v>24</v>
      </c>
    </row>
    <row r="9214" spans="1:5">
      <c r="A9214" t="s">
        <v>10643</v>
      </c>
      <c r="B9214" t="s">
        <v>10650</v>
      </c>
      <c r="C9214">
        <v>4.9433706954399997E-2</v>
      </c>
      <c r="D9214" t="s">
        <v>106</v>
      </c>
      <c r="E9214">
        <v>24</v>
      </c>
    </row>
    <row r="9215" spans="1:5">
      <c r="A9215" t="s">
        <v>10643</v>
      </c>
      <c r="B9215" t="s">
        <v>10651</v>
      </c>
      <c r="C9215">
        <v>0</v>
      </c>
      <c r="D9215" t="s">
        <v>106</v>
      </c>
      <c r="E9215">
        <v>24</v>
      </c>
    </row>
    <row r="9216" spans="1:5">
      <c r="A9216" t="s">
        <v>10643</v>
      </c>
      <c r="B9216" t="s">
        <v>10652</v>
      </c>
      <c r="C9216">
        <f>0</f>
        <v>0</v>
      </c>
      <c r="D9216" t="s">
        <v>106</v>
      </c>
      <c r="E9216">
        <v>24</v>
      </c>
    </row>
    <row r="9217" spans="1:5">
      <c r="A9217" t="s">
        <v>10643</v>
      </c>
      <c r="B9217" t="s">
        <v>10653</v>
      </c>
      <c r="C9217">
        <f>0</f>
        <v>0</v>
      </c>
      <c r="D9217" t="s">
        <v>106</v>
      </c>
      <c r="E9217">
        <v>24</v>
      </c>
    </row>
    <row r="9218" spans="1:5">
      <c r="A9218" t="s">
        <v>10643</v>
      </c>
      <c r="B9218" t="s">
        <v>10654</v>
      </c>
      <c r="C9218">
        <f>0</f>
        <v>0</v>
      </c>
      <c r="D9218" t="s">
        <v>106</v>
      </c>
      <c r="E9218">
        <v>24</v>
      </c>
    </row>
    <row r="9219" spans="1:5">
      <c r="A9219" t="s">
        <v>10655</v>
      </c>
      <c r="B9219" t="s">
        <v>10656</v>
      </c>
      <c r="C9219">
        <f>0</f>
        <v>0</v>
      </c>
      <c r="D9219">
        <v>0.70792209075800006</v>
      </c>
      <c r="E9219">
        <v>3.13043478260869</v>
      </c>
    </row>
    <row r="9220" spans="1:5">
      <c r="A9220" t="s">
        <v>10655</v>
      </c>
      <c r="B9220" t="s">
        <v>10657</v>
      </c>
      <c r="C9220">
        <v>0</v>
      </c>
      <c r="D9220">
        <v>0.70792209075800006</v>
      </c>
      <c r="E9220">
        <v>3.13043478260869</v>
      </c>
    </row>
    <row r="9221" spans="1:5">
      <c r="A9221" t="s">
        <v>10655</v>
      </c>
      <c r="B9221" t="s">
        <v>10658</v>
      </c>
      <c r="C9221">
        <f>0</f>
        <v>0</v>
      </c>
      <c r="D9221">
        <v>0.70792209075800006</v>
      </c>
      <c r="E9221">
        <v>3.13043478260869</v>
      </c>
    </row>
    <row r="9222" spans="1:5">
      <c r="A9222" t="s">
        <v>10655</v>
      </c>
      <c r="B9222" t="s">
        <v>10659</v>
      </c>
      <c r="C9222">
        <v>0.101284587385</v>
      </c>
      <c r="D9222">
        <v>0.70792209075800006</v>
      </c>
      <c r="E9222">
        <v>3.13043478260869</v>
      </c>
    </row>
    <row r="9223" spans="1:5">
      <c r="A9223" t="s">
        <v>10655</v>
      </c>
      <c r="B9223" t="s">
        <v>10660</v>
      </c>
      <c r="C9223">
        <f>0</f>
        <v>0</v>
      </c>
      <c r="D9223">
        <v>0.70792209075800006</v>
      </c>
      <c r="E9223">
        <v>3.13043478260869</v>
      </c>
    </row>
    <row r="9224" spans="1:5">
      <c r="A9224" t="s">
        <v>10655</v>
      </c>
      <c r="B9224" t="s">
        <v>10661</v>
      </c>
      <c r="C9224">
        <f>0</f>
        <v>0</v>
      </c>
      <c r="D9224">
        <v>0.70792209075800006</v>
      </c>
      <c r="E9224">
        <v>3.13043478260869</v>
      </c>
    </row>
    <row r="9225" spans="1:5">
      <c r="A9225" t="s">
        <v>10662</v>
      </c>
      <c r="B9225" t="s">
        <v>10663</v>
      </c>
      <c r="C9225">
        <v>0.10432730503400001</v>
      </c>
      <c r="D9225">
        <v>0.50646590887200005</v>
      </c>
      <c r="E9225">
        <v>16.095952023988001</v>
      </c>
    </row>
    <row r="9226" spans="1:5">
      <c r="A9226" t="s">
        <v>10664</v>
      </c>
      <c r="B9226" t="s">
        <v>10665</v>
      </c>
      <c r="C9226">
        <v>0</v>
      </c>
      <c r="D9226">
        <v>0.89160910667299997</v>
      </c>
      <c r="E9226">
        <v>3.0464767616191901</v>
      </c>
    </row>
    <row r="9227" spans="1:5">
      <c r="A9227" t="s">
        <v>10664</v>
      </c>
      <c r="B9227" t="s">
        <v>10666</v>
      </c>
      <c r="C9227">
        <v>0</v>
      </c>
      <c r="D9227">
        <v>0.89160910667299997</v>
      </c>
      <c r="E9227">
        <v>3.0464767616191901</v>
      </c>
    </row>
    <row r="9228" spans="1:5">
      <c r="A9228" t="s">
        <v>10664</v>
      </c>
      <c r="B9228" t="s">
        <v>10667</v>
      </c>
      <c r="C9228">
        <v>0</v>
      </c>
      <c r="D9228">
        <v>0.89160910667299997</v>
      </c>
      <c r="E9228">
        <v>3.0464767616191901</v>
      </c>
    </row>
    <row r="9229" spans="1:5">
      <c r="A9229" t="s">
        <v>10664</v>
      </c>
      <c r="B9229" t="s">
        <v>10668</v>
      </c>
      <c r="C9229">
        <v>0</v>
      </c>
      <c r="D9229">
        <v>0.89160910667299997</v>
      </c>
      <c r="E9229">
        <v>3.0464767616191901</v>
      </c>
    </row>
    <row r="9230" spans="1:5">
      <c r="A9230" t="s">
        <v>10664</v>
      </c>
      <c r="B9230" t="s">
        <v>10669</v>
      </c>
      <c r="C9230">
        <f>0</f>
        <v>0</v>
      </c>
      <c r="D9230">
        <v>0.89160910667299997</v>
      </c>
      <c r="E9230">
        <v>3.0464767616191901</v>
      </c>
    </row>
    <row r="9231" spans="1:5">
      <c r="A9231" t="s">
        <v>10664</v>
      </c>
      <c r="B9231" t="s">
        <v>10670</v>
      </c>
      <c r="C9231">
        <v>0.30724663528099999</v>
      </c>
      <c r="D9231">
        <v>0.89160910667299997</v>
      </c>
      <c r="E9231">
        <v>3.0464767616191901</v>
      </c>
    </row>
    <row r="9232" spans="1:5">
      <c r="A9232" t="s">
        <v>10664</v>
      </c>
      <c r="B9232" t="s">
        <v>10671</v>
      </c>
      <c r="C9232">
        <v>0</v>
      </c>
      <c r="D9232">
        <v>0.89160910667299997</v>
      </c>
      <c r="E9232">
        <v>3.0464767616191901</v>
      </c>
    </row>
    <row r="9233" spans="1:5">
      <c r="A9233" t="s">
        <v>10672</v>
      </c>
      <c r="B9233" t="s">
        <v>10673</v>
      </c>
      <c r="C9233">
        <f>0</f>
        <v>0</v>
      </c>
      <c r="D9233">
        <v>0.87982203278299997</v>
      </c>
      <c r="E9233">
        <v>2.6386806596701602</v>
      </c>
    </row>
    <row r="9234" spans="1:5">
      <c r="A9234" t="s">
        <v>10672</v>
      </c>
      <c r="B9234" t="s">
        <v>10674</v>
      </c>
      <c r="C9234">
        <f>0</f>
        <v>0</v>
      </c>
      <c r="D9234">
        <v>0.87982203278299997</v>
      </c>
      <c r="E9234">
        <v>2.6386806596701602</v>
      </c>
    </row>
    <row r="9235" spans="1:5">
      <c r="A9235" t="s">
        <v>10672</v>
      </c>
      <c r="B9235" t="s">
        <v>10675</v>
      </c>
      <c r="C9235">
        <v>0</v>
      </c>
      <c r="D9235">
        <v>0.87982203278299997</v>
      </c>
      <c r="E9235">
        <v>2.6386806596701602</v>
      </c>
    </row>
    <row r="9236" spans="1:5">
      <c r="A9236" t="s">
        <v>10672</v>
      </c>
      <c r="B9236" t="s">
        <v>10676</v>
      </c>
      <c r="C9236">
        <v>0</v>
      </c>
      <c r="D9236">
        <v>0.87982203278299997</v>
      </c>
      <c r="E9236">
        <v>2.6386806596701602</v>
      </c>
    </row>
    <row r="9237" spans="1:5">
      <c r="A9237" t="s">
        <v>10672</v>
      </c>
      <c r="B9237" t="s">
        <v>10677</v>
      </c>
      <c r="C9237">
        <f>0</f>
        <v>0</v>
      </c>
      <c r="D9237">
        <v>0.87982203278299997</v>
      </c>
      <c r="E9237">
        <v>2.6386806596701602</v>
      </c>
    </row>
    <row r="9238" spans="1:5">
      <c r="A9238" t="s">
        <v>10672</v>
      </c>
      <c r="B9238" t="s">
        <v>10678</v>
      </c>
      <c r="C9238">
        <f>0</f>
        <v>0</v>
      </c>
      <c r="D9238">
        <v>0.87982203278299997</v>
      </c>
      <c r="E9238">
        <v>2.6386806596701602</v>
      </c>
    </row>
    <row r="9239" spans="1:5">
      <c r="A9239" t="s">
        <v>10679</v>
      </c>
      <c r="B9239" t="s">
        <v>10680</v>
      </c>
      <c r="C9239">
        <f>0</f>
        <v>0</v>
      </c>
      <c r="D9239" t="s">
        <v>106</v>
      </c>
      <c r="E9239">
        <v>6.6806596701649097</v>
      </c>
    </row>
    <row r="9240" spans="1:5">
      <c r="A9240" t="s">
        <v>10679</v>
      </c>
      <c r="B9240" t="s">
        <v>10681</v>
      </c>
      <c r="C9240">
        <f>0.0202087983514</f>
        <v>2.0208798351399999E-2</v>
      </c>
      <c r="D9240" t="s">
        <v>106</v>
      </c>
      <c r="E9240">
        <v>6.6806596701649097</v>
      </c>
    </row>
    <row r="9241" spans="1:5">
      <c r="A9241" t="s">
        <v>10679</v>
      </c>
      <c r="B9241" t="s">
        <v>10682</v>
      </c>
      <c r="C9241">
        <f>0</f>
        <v>0</v>
      </c>
      <c r="D9241" t="s">
        <v>106</v>
      </c>
      <c r="E9241">
        <v>6.6806596701649097</v>
      </c>
    </row>
    <row r="9242" spans="1:5">
      <c r="A9242" t="s">
        <v>10679</v>
      </c>
      <c r="B9242" t="s">
        <v>10683</v>
      </c>
      <c r="C9242">
        <v>0</v>
      </c>
      <c r="D9242" t="s">
        <v>106</v>
      </c>
      <c r="E9242">
        <v>6.6806596701649097</v>
      </c>
    </row>
    <row r="9243" spans="1:5">
      <c r="A9243" t="s">
        <v>10684</v>
      </c>
      <c r="B9243" t="s">
        <v>10685</v>
      </c>
      <c r="C9243">
        <f>0</f>
        <v>0</v>
      </c>
      <c r="D9243">
        <v>0.959858999805</v>
      </c>
      <c r="E9243">
        <v>0.91154422788605605</v>
      </c>
    </row>
    <row r="9244" spans="1:5">
      <c r="A9244" t="s">
        <v>10684</v>
      </c>
      <c r="B9244" t="s">
        <v>10686</v>
      </c>
      <c r="C9244">
        <f>0</f>
        <v>0</v>
      </c>
      <c r="D9244">
        <v>0.959858999805</v>
      </c>
      <c r="E9244">
        <v>0.91154422788605605</v>
      </c>
    </row>
    <row r="9245" spans="1:5">
      <c r="A9245" t="s">
        <v>10684</v>
      </c>
      <c r="B9245" t="s">
        <v>10687</v>
      </c>
      <c r="C9245">
        <f>0</f>
        <v>0</v>
      </c>
      <c r="D9245">
        <v>0.959858999805</v>
      </c>
      <c r="E9245">
        <v>0.91154422788605605</v>
      </c>
    </row>
    <row r="9246" spans="1:5">
      <c r="A9246" t="s">
        <v>10684</v>
      </c>
      <c r="B9246" t="s">
        <v>10688</v>
      </c>
      <c r="C9246">
        <f>0</f>
        <v>0</v>
      </c>
      <c r="D9246">
        <v>0.959858999805</v>
      </c>
      <c r="E9246">
        <v>0.91154422788605605</v>
      </c>
    </row>
    <row r="9247" spans="1:5">
      <c r="A9247" t="s">
        <v>10684</v>
      </c>
      <c r="B9247" t="s">
        <v>10689</v>
      </c>
      <c r="C9247">
        <f>0</f>
        <v>0</v>
      </c>
      <c r="D9247">
        <v>0.959858999805</v>
      </c>
      <c r="E9247">
        <v>0.91154422788605605</v>
      </c>
    </row>
    <row r="9248" spans="1:5">
      <c r="A9248" t="s">
        <v>10684</v>
      </c>
      <c r="B9248" t="s">
        <v>10690</v>
      </c>
      <c r="C9248">
        <f>0</f>
        <v>0</v>
      </c>
      <c r="D9248">
        <v>0.959858999805</v>
      </c>
      <c r="E9248">
        <v>0.91154422788605605</v>
      </c>
    </row>
    <row r="9249" spans="1:5">
      <c r="A9249" t="s">
        <v>10684</v>
      </c>
      <c r="B9249" t="s">
        <v>10691</v>
      </c>
      <c r="C9249">
        <f>0</f>
        <v>0</v>
      </c>
      <c r="D9249">
        <v>0.959858999805</v>
      </c>
      <c r="E9249">
        <v>0.91154422788605605</v>
      </c>
    </row>
    <row r="9250" spans="1:5">
      <c r="A9250" t="s">
        <v>10684</v>
      </c>
      <c r="B9250" t="s">
        <v>10692</v>
      </c>
      <c r="C9250">
        <v>0</v>
      </c>
      <c r="D9250">
        <v>0.959858999805</v>
      </c>
      <c r="E9250">
        <v>0.91154422788605605</v>
      </c>
    </row>
    <row r="9251" spans="1:5">
      <c r="A9251" t="s">
        <v>10684</v>
      </c>
      <c r="B9251" t="s">
        <v>10693</v>
      </c>
      <c r="C9251">
        <f>0.255507639109</f>
        <v>0.25550763910899998</v>
      </c>
      <c r="D9251">
        <v>0.959858999805</v>
      </c>
      <c r="E9251">
        <v>0.91154422788605605</v>
      </c>
    </row>
    <row r="9252" spans="1:5">
      <c r="A9252" t="s">
        <v>10684</v>
      </c>
      <c r="B9252" t="s">
        <v>10694</v>
      </c>
      <c r="C9252">
        <v>0</v>
      </c>
      <c r="D9252">
        <v>0.959858999805</v>
      </c>
      <c r="E9252">
        <v>0.91154422788605605</v>
      </c>
    </row>
    <row r="9253" spans="1:5">
      <c r="A9253" t="s">
        <v>10684</v>
      </c>
      <c r="B9253" t="s">
        <v>10695</v>
      </c>
      <c r="C9253">
        <f>0</f>
        <v>0</v>
      </c>
      <c r="D9253">
        <v>0.959858999805</v>
      </c>
      <c r="E9253">
        <v>0.91154422788605605</v>
      </c>
    </row>
    <row r="9254" spans="1:5">
      <c r="A9254" t="s">
        <v>10684</v>
      </c>
      <c r="B9254" t="s">
        <v>10696</v>
      </c>
      <c r="C9254">
        <f>0</f>
        <v>0</v>
      </c>
      <c r="D9254">
        <v>0.959858999805</v>
      </c>
      <c r="E9254">
        <v>0.91154422788605605</v>
      </c>
    </row>
    <row r="9255" spans="1:5">
      <c r="A9255" t="s">
        <v>10684</v>
      </c>
      <c r="B9255" t="s">
        <v>10697</v>
      </c>
      <c r="C9255">
        <f>0</f>
        <v>0</v>
      </c>
      <c r="D9255">
        <v>0.959858999805</v>
      </c>
      <c r="E9255">
        <v>0.91154422788605605</v>
      </c>
    </row>
    <row r="9256" spans="1:5">
      <c r="A9256" t="s">
        <v>10684</v>
      </c>
      <c r="B9256" t="s">
        <v>10698</v>
      </c>
      <c r="C9256">
        <f>0</f>
        <v>0</v>
      </c>
      <c r="D9256">
        <v>0.959858999805</v>
      </c>
      <c r="E9256">
        <v>0.91154422788605605</v>
      </c>
    </row>
    <row r="9257" spans="1:5">
      <c r="A9257" t="s">
        <v>10684</v>
      </c>
      <c r="B9257" t="s">
        <v>10699</v>
      </c>
      <c r="C9257">
        <f>0</f>
        <v>0</v>
      </c>
      <c r="D9257">
        <v>0.959858999805</v>
      </c>
      <c r="E9257">
        <v>0.91154422788605605</v>
      </c>
    </row>
    <row r="9258" spans="1:5">
      <c r="A9258" t="s">
        <v>10684</v>
      </c>
      <c r="B9258" t="s">
        <v>10700</v>
      </c>
      <c r="C9258">
        <f>0.0678321669566</f>
        <v>6.7832166956600007E-2</v>
      </c>
      <c r="D9258">
        <v>0.959858999805</v>
      </c>
      <c r="E9258">
        <v>0.91154422788605605</v>
      </c>
    </row>
    <row r="9259" spans="1:5">
      <c r="A9259" t="s">
        <v>10684</v>
      </c>
      <c r="B9259" t="s">
        <v>10701</v>
      </c>
      <c r="C9259">
        <f>0</f>
        <v>0</v>
      </c>
      <c r="D9259">
        <v>0.959858999805</v>
      </c>
      <c r="E9259">
        <v>0.91154422788605605</v>
      </c>
    </row>
    <row r="9260" spans="1:5">
      <c r="A9260" t="s">
        <v>10684</v>
      </c>
      <c r="B9260" t="s">
        <v>10702</v>
      </c>
      <c r="C9260">
        <f>0</f>
        <v>0</v>
      </c>
      <c r="D9260">
        <v>0.959858999805</v>
      </c>
      <c r="E9260">
        <v>0.91154422788605605</v>
      </c>
    </row>
    <row r="9261" spans="1:5">
      <c r="A9261" t="s">
        <v>10684</v>
      </c>
      <c r="B9261" t="s">
        <v>10703</v>
      </c>
      <c r="C9261">
        <f>0</f>
        <v>0</v>
      </c>
      <c r="D9261">
        <v>0.959858999805</v>
      </c>
      <c r="E9261">
        <v>0.91154422788605605</v>
      </c>
    </row>
    <row r="9262" spans="1:5">
      <c r="A9262" t="s">
        <v>10704</v>
      </c>
      <c r="B9262" t="s">
        <v>10705</v>
      </c>
      <c r="C9262">
        <v>6.5805955269900004E-2</v>
      </c>
      <c r="D9262">
        <v>0.97653615958100004</v>
      </c>
      <c r="E9262">
        <v>13.0854572713643</v>
      </c>
    </row>
    <row r="9263" spans="1:5">
      <c r="A9263" t="s">
        <v>10704</v>
      </c>
      <c r="B9263" t="s">
        <v>10706</v>
      </c>
      <c r="C9263">
        <f>0.215885354047</f>
        <v>0.21588535404699999</v>
      </c>
      <c r="D9263">
        <v>0.97653615958100004</v>
      </c>
      <c r="E9263">
        <v>13.0854572713643</v>
      </c>
    </row>
    <row r="9264" spans="1:5">
      <c r="A9264" t="s">
        <v>10704</v>
      </c>
      <c r="B9264" t="s">
        <v>10707</v>
      </c>
      <c r="C9264">
        <f>0</f>
        <v>0</v>
      </c>
      <c r="D9264">
        <v>0.97653615958100004</v>
      </c>
      <c r="E9264">
        <v>13.0854572713643</v>
      </c>
    </row>
    <row r="9265" spans="1:5">
      <c r="A9265" t="s">
        <v>10704</v>
      </c>
      <c r="B9265" t="s">
        <v>10708</v>
      </c>
      <c r="C9265">
        <v>0</v>
      </c>
      <c r="D9265">
        <v>0.97653615958100004</v>
      </c>
      <c r="E9265">
        <v>13.0854572713643</v>
      </c>
    </row>
    <row r="9266" spans="1:5">
      <c r="A9266" t="s">
        <v>10709</v>
      </c>
      <c r="B9266" t="s">
        <v>10710</v>
      </c>
      <c r="C9266">
        <v>0.15767856069</v>
      </c>
      <c r="D9266">
        <v>0.75348218214999996</v>
      </c>
      <c r="E9266">
        <v>14.176911544227799</v>
      </c>
    </row>
    <row r="9267" spans="1:5">
      <c r="A9267" t="s">
        <v>10709</v>
      </c>
      <c r="B9267" t="s">
        <v>10711</v>
      </c>
      <c r="C9267">
        <f>0.0869334918946</f>
        <v>8.6933491894600007E-2</v>
      </c>
      <c r="D9267">
        <v>0.75348218214999996</v>
      </c>
      <c r="E9267">
        <v>14.176911544227799</v>
      </c>
    </row>
    <row r="9268" spans="1:5">
      <c r="A9268" t="s">
        <v>10709</v>
      </c>
      <c r="B9268" t="s">
        <v>10712</v>
      </c>
      <c r="C9268">
        <v>0</v>
      </c>
      <c r="D9268">
        <v>0.75348218214999996</v>
      </c>
      <c r="E9268">
        <v>14.176911544227799</v>
      </c>
    </row>
    <row r="9269" spans="1:5">
      <c r="A9269" t="s">
        <v>10713</v>
      </c>
      <c r="B9269" t="s">
        <v>10714</v>
      </c>
      <c r="C9269">
        <v>0</v>
      </c>
      <c r="D9269">
        <v>0.84302521803399999</v>
      </c>
      <c r="E9269">
        <v>22.104947526236799</v>
      </c>
    </row>
    <row r="9270" spans="1:5">
      <c r="A9270" t="s">
        <v>10713</v>
      </c>
      <c r="B9270" t="s">
        <v>10715</v>
      </c>
      <c r="C9270">
        <v>0</v>
      </c>
      <c r="D9270">
        <v>0.84302521803399999</v>
      </c>
      <c r="E9270">
        <v>22.104947526236799</v>
      </c>
    </row>
    <row r="9271" spans="1:5">
      <c r="A9271" t="s">
        <v>10713</v>
      </c>
      <c r="B9271" t="s">
        <v>10716</v>
      </c>
      <c r="C9271">
        <f>0</f>
        <v>0</v>
      </c>
      <c r="D9271">
        <v>0.84302521803399999</v>
      </c>
      <c r="E9271">
        <v>22.104947526236799</v>
      </c>
    </row>
    <row r="9272" spans="1:5">
      <c r="A9272" t="s">
        <v>10713</v>
      </c>
      <c r="B9272" t="s">
        <v>10717</v>
      </c>
      <c r="C9272">
        <v>0</v>
      </c>
      <c r="D9272">
        <v>0.84302521803399999</v>
      </c>
      <c r="E9272">
        <v>22.104947526236799</v>
      </c>
    </row>
    <row r="9273" spans="1:5">
      <c r="A9273" t="s">
        <v>10713</v>
      </c>
      <c r="B9273" t="s">
        <v>10718</v>
      </c>
      <c r="C9273">
        <v>0</v>
      </c>
      <c r="D9273">
        <v>0.84302521803399999</v>
      </c>
      <c r="E9273">
        <v>22.104947526236799</v>
      </c>
    </row>
    <row r="9274" spans="1:5">
      <c r="A9274" t="s">
        <v>10713</v>
      </c>
      <c r="B9274" t="s">
        <v>10719</v>
      </c>
      <c r="C9274">
        <f>0.0388868858503</f>
        <v>3.88868858503E-2</v>
      </c>
      <c r="D9274">
        <v>0.84302521803399999</v>
      </c>
      <c r="E9274">
        <v>22.104947526236799</v>
      </c>
    </row>
    <row r="9275" spans="1:5">
      <c r="A9275" t="s">
        <v>10713</v>
      </c>
      <c r="B9275" t="s">
        <v>10720</v>
      </c>
      <c r="C9275">
        <v>0</v>
      </c>
      <c r="D9275">
        <v>0.84302521803399999</v>
      </c>
      <c r="E9275">
        <v>22.104947526236799</v>
      </c>
    </row>
    <row r="9276" spans="1:5">
      <c r="A9276" t="s">
        <v>10713</v>
      </c>
      <c r="B9276" t="s">
        <v>10721</v>
      </c>
      <c r="C9276">
        <f>0</f>
        <v>0</v>
      </c>
      <c r="D9276">
        <v>0.84302521803399999</v>
      </c>
      <c r="E9276">
        <v>22.104947526236799</v>
      </c>
    </row>
    <row r="9277" spans="1:5">
      <c r="A9277" t="s">
        <v>10722</v>
      </c>
      <c r="B9277" t="s">
        <v>10723</v>
      </c>
      <c r="C9277">
        <f>0</f>
        <v>0</v>
      </c>
      <c r="D9277">
        <v>0.96719181226899997</v>
      </c>
      <c r="E9277">
        <v>1.45127436281859</v>
      </c>
    </row>
    <row r="9278" spans="1:5">
      <c r="A9278" t="s">
        <v>10722</v>
      </c>
      <c r="B9278" t="s">
        <v>10724</v>
      </c>
      <c r="C9278">
        <f>0</f>
        <v>0</v>
      </c>
      <c r="D9278">
        <v>0.96719181226899997</v>
      </c>
      <c r="E9278">
        <v>1.45127436281859</v>
      </c>
    </row>
    <row r="9279" spans="1:5">
      <c r="A9279" t="s">
        <v>10722</v>
      </c>
      <c r="B9279" t="s">
        <v>10725</v>
      </c>
      <c r="C9279">
        <f>0.220504080789</f>
        <v>0.220504080789</v>
      </c>
      <c r="D9279">
        <v>0.96719181226899997</v>
      </c>
      <c r="E9279">
        <v>1.45127436281859</v>
      </c>
    </row>
    <row r="9280" spans="1:5">
      <c r="A9280" t="s">
        <v>10722</v>
      </c>
      <c r="B9280" t="s">
        <v>10726</v>
      </c>
      <c r="C9280">
        <f>0.507588927034</f>
        <v>0.50758892703400005</v>
      </c>
      <c r="D9280">
        <v>0.96719181226899997</v>
      </c>
      <c r="E9280">
        <v>1.45127436281859</v>
      </c>
    </row>
    <row r="9281" spans="1:5">
      <c r="A9281" t="s">
        <v>10722</v>
      </c>
      <c r="B9281" t="s">
        <v>10727</v>
      </c>
      <c r="C9281">
        <v>0</v>
      </c>
      <c r="D9281">
        <v>0.96719181226899997</v>
      </c>
      <c r="E9281">
        <v>1.45127436281859</v>
      </c>
    </row>
    <row r="9282" spans="1:5">
      <c r="A9282" t="s">
        <v>10722</v>
      </c>
      <c r="B9282" t="s">
        <v>10728</v>
      </c>
      <c r="C9282">
        <f>0</f>
        <v>0</v>
      </c>
      <c r="D9282">
        <v>0.96719181226899997</v>
      </c>
      <c r="E9282">
        <v>1.45127436281859</v>
      </c>
    </row>
    <row r="9283" spans="1:5">
      <c r="A9283" t="s">
        <v>10729</v>
      </c>
      <c r="B9283" t="s">
        <v>10730</v>
      </c>
      <c r="C9283">
        <v>0</v>
      </c>
      <c r="D9283">
        <v>0.97199844338100005</v>
      </c>
      <c r="E9283">
        <v>0.86356821589205401</v>
      </c>
    </row>
    <row r="9284" spans="1:5">
      <c r="A9284" t="s">
        <v>10729</v>
      </c>
      <c r="B9284" t="s">
        <v>10731</v>
      </c>
      <c r="C9284">
        <v>0</v>
      </c>
      <c r="D9284">
        <v>0.97199844338100005</v>
      </c>
      <c r="E9284">
        <v>0.86356821589205401</v>
      </c>
    </row>
    <row r="9285" spans="1:5">
      <c r="A9285" t="s">
        <v>10729</v>
      </c>
      <c r="B9285" t="s">
        <v>10732</v>
      </c>
      <c r="C9285">
        <f>0</f>
        <v>0</v>
      </c>
      <c r="D9285">
        <v>0.97199844338100005</v>
      </c>
      <c r="E9285">
        <v>0.86356821589205401</v>
      </c>
    </row>
    <row r="9286" spans="1:5">
      <c r="A9286" t="s">
        <v>10729</v>
      </c>
      <c r="B9286" t="s">
        <v>10733</v>
      </c>
      <c r="C9286">
        <f>0.274760397472</f>
        <v>0.27476039747199998</v>
      </c>
      <c r="D9286">
        <v>0.97199844338100005</v>
      </c>
      <c r="E9286">
        <v>0.86356821589205401</v>
      </c>
    </row>
    <row r="9287" spans="1:5">
      <c r="A9287" t="s">
        <v>10729</v>
      </c>
      <c r="B9287" t="s">
        <v>10734</v>
      </c>
      <c r="C9287">
        <v>0</v>
      </c>
      <c r="D9287">
        <v>0.97199844338100005</v>
      </c>
      <c r="E9287">
        <v>0.86356821589205401</v>
      </c>
    </row>
    <row r="9288" spans="1:5">
      <c r="A9288" t="s">
        <v>10729</v>
      </c>
      <c r="B9288" t="s">
        <v>10735</v>
      </c>
      <c r="C9288">
        <v>0</v>
      </c>
      <c r="D9288">
        <v>0.97199844338100005</v>
      </c>
      <c r="E9288">
        <v>0.86356821589205401</v>
      </c>
    </row>
    <row r="9289" spans="1:5">
      <c r="A9289" t="s">
        <v>10729</v>
      </c>
      <c r="B9289" t="s">
        <v>10736</v>
      </c>
      <c r="C9289">
        <v>0</v>
      </c>
      <c r="D9289">
        <v>0.97199844338100005</v>
      </c>
      <c r="E9289">
        <v>0.86356821589205401</v>
      </c>
    </row>
    <row r="9290" spans="1:5">
      <c r="A9290" t="s">
        <v>10729</v>
      </c>
      <c r="B9290" t="s">
        <v>10737</v>
      </c>
      <c r="C9290">
        <v>0</v>
      </c>
      <c r="D9290">
        <v>0.97199844338100005</v>
      </c>
      <c r="E9290">
        <v>0.86356821589205401</v>
      </c>
    </row>
    <row r="9291" spans="1:5">
      <c r="A9291" t="s">
        <v>10729</v>
      </c>
      <c r="B9291" t="s">
        <v>10738</v>
      </c>
      <c r="C9291">
        <v>0</v>
      </c>
      <c r="D9291">
        <v>0.97199844338100005</v>
      </c>
      <c r="E9291">
        <v>0.86356821589205401</v>
      </c>
    </row>
    <row r="9292" spans="1:5">
      <c r="A9292" t="s">
        <v>10729</v>
      </c>
      <c r="B9292" t="s">
        <v>10739</v>
      </c>
      <c r="C9292">
        <v>0</v>
      </c>
      <c r="D9292">
        <v>0.97199844338100005</v>
      </c>
      <c r="E9292">
        <v>0.86356821589205401</v>
      </c>
    </row>
    <row r="9293" spans="1:5">
      <c r="A9293" t="s">
        <v>10729</v>
      </c>
      <c r="B9293" t="s">
        <v>10740</v>
      </c>
      <c r="C9293">
        <v>0</v>
      </c>
      <c r="D9293">
        <v>0.97199844338100005</v>
      </c>
      <c r="E9293">
        <v>0.86356821589205401</v>
      </c>
    </row>
    <row r="9294" spans="1:5">
      <c r="A9294" t="s">
        <v>10741</v>
      </c>
      <c r="B9294" t="s">
        <v>10742</v>
      </c>
      <c r="C9294">
        <v>0</v>
      </c>
      <c r="D9294" t="s">
        <v>106</v>
      </c>
      <c r="E9294">
        <v>5.69715142428785</v>
      </c>
    </row>
    <row r="9295" spans="1:5">
      <c r="A9295" t="s">
        <v>10741</v>
      </c>
      <c r="B9295" t="s">
        <v>10743</v>
      </c>
      <c r="C9295">
        <v>0</v>
      </c>
      <c r="D9295" t="s">
        <v>106</v>
      </c>
      <c r="E9295">
        <v>5.69715142428785</v>
      </c>
    </row>
    <row r="9296" spans="1:5">
      <c r="A9296" t="s">
        <v>10741</v>
      </c>
      <c r="B9296" t="s">
        <v>10744</v>
      </c>
      <c r="C9296">
        <v>0</v>
      </c>
      <c r="D9296" t="s">
        <v>106</v>
      </c>
      <c r="E9296">
        <v>5.69715142428785</v>
      </c>
    </row>
    <row r="9297" spans="1:5">
      <c r="A9297" t="s">
        <v>10745</v>
      </c>
      <c r="B9297" t="s">
        <v>10746</v>
      </c>
      <c r="C9297">
        <v>0</v>
      </c>
      <c r="D9297">
        <v>0.601675714656</v>
      </c>
      <c r="E9297">
        <v>1.7631184407796101</v>
      </c>
    </row>
    <row r="9298" spans="1:5">
      <c r="A9298" t="s">
        <v>10745</v>
      </c>
      <c r="B9298" t="s">
        <v>10747</v>
      </c>
      <c r="C9298">
        <v>0</v>
      </c>
      <c r="D9298">
        <v>0.601675714656</v>
      </c>
      <c r="E9298">
        <v>1.7631184407796101</v>
      </c>
    </row>
    <row r="9299" spans="1:5">
      <c r="A9299" t="s">
        <v>10745</v>
      </c>
      <c r="B9299" t="s">
        <v>10748</v>
      </c>
      <c r="C9299">
        <v>3.8489101699899997E-2</v>
      </c>
      <c r="D9299">
        <v>0.601675714656</v>
      </c>
      <c r="E9299">
        <v>1.7631184407796101</v>
      </c>
    </row>
    <row r="9300" spans="1:5">
      <c r="A9300" t="s">
        <v>10749</v>
      </c>
      <c r="B9300" t="s">
        <v>10750</v>
      </c>
      <c r="C9300">
        <f>0</f>
        <v>0</v>
      </c>
      <c r="D9300">
        <v>0.90729564382500005</v>
      </c>
      <c r="E9300">
        <v>24</v>
      </c>
    </row>
    <row r="9301" spans="1:5">
      <c r="A9301" t="s">
        <v>10749</v>
      </c>
      <c r="B9301" t="s">
        <v>10751</v>
      </c>
      <c r="C9301">
        <f>0.21191562816</f>
        <v>0.21191562816000001</v>
      </c>
      <c r="D9301">
        <v>0.90729564382500005</v>
      </c>
      <c r="E9301">
        <v>24</v>
      </c>
    </row>
    <row r="9302" spans="1:5">
      <c r="A9302" t="s">
        <v>10749</v>
      </c>
      <c r="B9302" t="s">
        <v>10752</v>
      </c>
      <c r="C9302">
        <v>2.4723675172400001E-2</v>
      </c>
      <c r="D9302">
        <v>0.90729564382500005</v>
      </c>
      <c r="E9302">
        <v>24</v>
      </c>
    </row>
    <row r="9303" spans="1:5">
      <c r="A9303" t="s">
        <v>10753</v>
      </c>
      <c r="B9303" t="s">
        <v>10754</v>
      </c>
      <c r="C9303">
        <f>0.12477794554</f>
        <v>0.12477794554</v>
      </c>
      <c r="D9303">
        <v>0.94631005040799998</v>
      </c>
      <c r="E9303">
        <v>1.96701649175412</v>
      </c>
    </row>
    <row r="9304" spans="1:5">
      <c r="A9304" t="s">
        <v>10753</v>
      </c>
      <c r="B9304" t="s">
        <v>10755</v>
      </c>
      <c r="C9304">
        <f>0.056020572014</f>
        <v>5.6020572014E-2</v>
      </c>
      <c r="D9304">
        <v>0.94631005040799998</v>
      </c>
      <c r="E9304">
        <v>1.96701649175412</v>
      </c>
    </row>
    <row r="9305" spans="1:5">
      <c r="A9305" t="s">
        <v>10753</v>
      </c>
      <c r="B9305" t="s">
        <v>10756</v>
      </c>
      <c r="C9305">
        <v>0</v>
      </c>
      <c r="D9305">
        <v>0.94631005040799998</v>
      </c>
      <c r="E9305">
        <v>1.96701649175412</v>
      </c>
    </row>
    <row r="9306" spans="1:5">
      <c r="A9306" t="s">
        <v>10753</v>
      </c>
      <c r="B9306" t="s">
        <v>10757</v>
      </c>
      <c r="C9306">
        <v>0</v>
      </c>
      <c r="D9306">
        <v>0.94631005040799998</v>
      </c>
      <c r="E9306">
        <v>1.96701649175412</v>
      </c>
    </row>
    <row r="9307" spans="1:5">
      <c r="A9307" t="s">
        <v>10753</v>
      </c>
      <c r="B9307" t="s">
        <v>10758</v>
      </c>
      <c r="C9307">
        <v>0</v>
      </c>
      <c r="D9307">
        <v>0.94631005040799998</v>
      </c>
      <c r="E9307">
        <v>1.96701649175412</v>
      </c>
    </row>
    <row r="9308" spans="1:5">
      <c r="A9308" t="s">
        <v>10753</v>
      </c>
      <c r="B9308" t="s">
        <v>10759</v>
      </c>
      <c r="C9308">
        <v>0</v>
      </c>
      <c r="D9308">
        <v>0.94631005040799998</v>
      </c>
      <c r="E9308">
        <v>1.96701649175412</v>
      </c>
    </row>
    <row r="9309" spans="1:5">
      <c r="A9309" t="s">
        <v>10760</v>
      </c>
      <c r="B9309" t="s">
        <v>10761</v>
      </c>
      <c r="C9309">
        <v>0</v>
      </c>
      <c r="D9309">
        <v>0.75022215191999997</v>
      </c>
      <c r="E9309">
        <v>3.68215892053973</v>
      </c>
    </row>
    <row r="9310" spans="1:5">
      <c r="A9310" t="s">
        <v>10760</v>
      </c>
      <c r="B9310" t="s">
        <v>10762</v>
      </c>
      <c r="C9310">
        <f>0</f>
        <v>0</v>
      </c>
      <c r="D9310">
        <v>0.75022215191999997</v>
      </c>
      <c r="E9310">
        <v>3.68215892053973</v>
      </c>
    </row>
    <row r="9311" spans="1:5">
      <c r="A9311" t="s">
        <v>10760</v>
      </c>
      <c r="B9311" t="s">
        <v>10763</v>
      </c>
      <c r="C9311">
        <f>0</f>
        <v>0</v>
      </c>
      <c r="D9311">
        <v>0.75022215191999997</v>
      </c>
      <c r="E9311">
        <v>3.68215892053973</v>
      </c>
    </row>
    <row r="9312" spans="1:5">
      <c r="A9312" t="s">
        <v>10760</v>
      </c>
      <c r="B9312" t="s">
        <v>10764</v>
      </c>
      <c r="C9312">
        <f>0</f>
        <v>0</v>
      </c>
      <c r="D9312">
        <v>0.75022215191999997</v>
      </c>
      <c r="E9312">
        <v>3.68215892053973</v>
      </c>
    </row>
    <row r="9313" spans="1:5">
      <c r="A9313" t="s">
        <v>10760</v>
      </c>
      <c r="B9313" t="s">
        <v>10765</v>
      </c>
      <c r="C9313">
        <f>0</f>
        <v>0</v>
      </c>
      <c r="D9313">
        <v>0.75022215191999997</v>
      </c>
      <c r="E9313">
        <v>3.68215892053973</v>
      </c>
    </row>
    <row r="9314" spans="1:5">
      <c r="A9314" t="s">
        <v>10760</v>
      </c>
      <c r="B9314" t="s">
        <v>10766</v>
      </c>
      <c r="C9314">
        <f>0</f>
        <v>0</v>
      </c>
      <c r="D9314">
        <v>0.75022215191999997</v>
      </c>
      <c r="E9314">
        <v>3.68215892053973</v>
      </c>
    </row>
    <row r="9315" spans="1:5">
      <c r="A9315" t="s">
        <v>10760</v>
      </c>
      <c r="B9315" t="s">
        <v>10767</v>
      </c>
      <c r="C9315">
        <v>9.8304216027699995E-3</v>
      </c>
      <c r="D9315">
        <v>0.75022215191999997</v>
      </c>
      <c r="E9315">
        <v>3.68215892053973</v>
      </c>
    </row>
    <row r="9316" spans="1:5">
      <c r="A9316" t="s">
        <v>10760</v>
      </c>
      <c r="B9316" t="s">
        <v>10768</v>
      </c>
      <c r="C9316">
        <v>0.27544022258099998</v>
      </c>
      <c r="D9316">
        <v>0.75022215191999997</v>
      </c>
      <c r="E9316">
        <v>3.68215892053973</v>
      </c>
    </row>
    <row r="9317" spans="1:5">
      <c r="A9317" t="s">
        <v>10760</v>
      </c>
      <c r="B9317" t="s">
        <v>10769</v>
      </c>
      <c r="C9317">
        <f>0</f>
        <v>0</v>
      </c>
      <c r="D9317">
        <v>0.75022215191999997</v>
      </c>
      <c r="E9317">
        <v>3.68215892053973</v>
      </c>
    </row>
    <row r="9318" spans="1:5">
      <c r="A9318" t="s">
        <v>10760</v>
      </c>
      <c r="B9318" t="s">
        <v>10770</v>
      </c>
      <c r="C9318">
        <v>0</v>
      </c>
      <c r="D9318">
        <v>0.75022215191999997</v>
      </c>
      <c r="E9318">
        <v>3.68215892053973</v>
      </c>
    </row>
    <row r="9319" spans="1:5">
      <c r="A9319" t="s">
        <v>10771</v>
      </c>
      <c r="B9319" t="s">
        <v>10772</v>
      </c>
      <c r="C9319">
        <v>0</v>
      </c>
      <c r="D9319" t="s">
        <v>106</v>
      </c>
      <c r="E9319">
        <v>19.4182908545727</v>
      </c>
    </row>
    <row r="9320" spans="1:5">
      <c r="A9320" t="s">
        <v>10771</v>
      </c>
      <c r="B9320" t="s">
        <v>10773</v>
      </c>
      <c r="C9320">
        <f>0.021313418042</f>
        <v>2.1313418042000001E-2</v>
      </c>
      <c r="D9320" t="s">
        <v>106</v>
      </c>
      <c r="E9320">
        <v>19.4182908545727</v>
      </c>
    </row>
    <row r="9321" spans="1:5">
      <c r="A9321" t="s">
        <v>10771</v>
      </c>
      <c r="B9321" t="s">
        <v>10774</v>
      </c>
      <c r="C9321">
        <f>0.191519696353</f>
        <v>0.19151969635300001</v>
      </c>
      <c r="D9321" t="s">
        <v>106</v>
      </c>
      <c r="E9321">
        <v>19.4182908545727</v>
      </c>
    </row>
    <row r="9322" spans="1:5">
      <c r="A9322" t="s">
        <v>10771</v>
      </c>
      <c r="B9322" t="s">
        <v>10775</v>
      </c>
      <c r="C9322">
        <v>0</v>
      </c>
      <c r="D9322" t="s">
        <v>106</v>
      </c>
      <c r="E9322">
        <v>19.4182908545727</v>
      </c>
    </row>
    <row r="9323" spans="1:5">
      <c r="A9323" t="s">
        <v>10771</v>
      </c>
      <c r="B9323" t="s">
        <v>10776</v>
      </c>
      <c r="C9323">
        <f>0</f>
        <v>0</v>
      </c>
      <c r="D9323" t="s">
        <v>106</v>
      </c>
      <c r="E9323">
        <v>19.4182908545727</v>
      </c>
    </row>
    <row r="9324" spans="1:5">
      <c r="A9324" t="s">
        <v>10771</v>
      </c>
      <c r="B9324" t="s">
        <v>10777</v>
      </c>
      <c r="C9324">
        <v>0</v>
      </c>
      <c r="D9324" t="s">
        <v>106</v>
      </c>
      <c r="E9324">
        <v>19.4182908545727</v>
      </c>
    </row>
    <row r="9325" spans="1:5">
      <c r="A9325" t="s">
        <v>10771</v>
      </c>
      <c r="B9325" t="s">
        <v>10778</v>
      </c>
      <c r="C9325">
        <f>0</f>
        <v>0</v>
      </c>
      <c r="D9325" t="s">
        <v>106</v>
      </c>
      <c r="E9325">
        <v>19.4182908545727</v>
      </c>
    </row>
    <row r="9326" spans="1:5">
      <c r="A9326" t="s">
        <v>10771</v>
      </c>
      <c r="B9326" t="s">
        <v>10779</v>
      </c>
      <c r="C9326">
        <f>0</f>
        <v>0</v>
      </c>
      <c r="D9326" t="s">
        <v>106</v>
      </c>
      <c r="E9326">
        <v>19.4182908545727</v>
      </c>
    </row>
    <row r="9327" spans="1:5">
      <c r="A9327" t="s">
        <v>10780</v>
      </c>
      <c r="B9327" t="s">
        <v>10781</v>
      </c>
      <c r="C9327">
        <f>0</f>
        <v>0</v>
      </c>
      <c r="D9327">
        <v>0.77494800861599999</v>
      </c>
      <c r="E9327">
        <v>13.2653673163418</v>
      </c>
    </row>
    <row r="9328" spans="1:5">
      <c r="A9328" t="s">
        <v>10780</v>
      </c>
      <c r="B9328" t="s">
        <v>10782</v>
      </c>
      <c r="C9328">
        <v>0</v>
      </c>
      <c r="D9328">
        <v>0.77494800861599999</v>
      </c>
      <c r="E9328">
        <v>13.2653673163418</v>
      </c>
    </row>
    <row r="9329" spans="1:5">
      <c r="A9329" t="s">
        <v>10780</v>
      </c>
      <c r="B9329" t="s">
        <v>10783</v>
      </c>
      <c r="C9329">
        <v>0</v>
      </c>
      <c r="D9329">
        <v>0.77494800861599999</v>
      </c>
      <c r="E9329">
        <v>13.2653673163418</v>
      </c>
    </row>
    <row r="9330" spans="1:5">
      <c r="A9330" t="s">
        <v>10780</v>
      </c>
      <c r="B9330" t="s">
        <v>10784</v>
      </c>
      <c r="C9330">
        <v>0</v>
      </c>
      <c r="D9330">
        <v>0.77494800861599999</v>
      </c>
      <c r="E9330">
        <v>13.2653673163418</v>
      </c>
    </row>
    <row r="9331" spans="1:5">
      <c r="A9331" t="s">
        <v>10780</v>
      </c>
      <c r="B9331" t="s">
        <v>10785</v>
      </c>
      <c r="C9331">
        <f>0.134245370509</f>
        <v>0.13424537050900001</v>
      </c>
      <c r="D9331">
        <v>0.77494800861599999</v>
      </c>
      <c r="E9331">
        <v>13.2653673163418</v>
      </c>
    </row>
    <row r="9332" spans="1:5">
      <c r="A9332" t="s">
        <v>10780</v>
      </c>
      <c r="B9332" t="s">
        <v>10786</v>
      </c>
      <c r="C9332">
        <f>0</f>
        <v>0</v>
      </c>
      <c r="D9332">
        <v>0.77494800861599999</v>
      </c>
      <c r="E9332">
        <v>13.2653673163418</v>
      </c>
    </row>
    <row r="9333" spans="1:5">
      <c r="A9333" t="s">
        <v>10780</v>
      </c>
      <c r="B9333" t="s">
        <v>10787</v>
      </c>
      <c r="C9333">
        <f>0</f>
        <v>0</v>
      </c>
      <c r="D9333">
        <v>0.77494800861599999</v>
      </c>
      <c r="E9333">
        <v>13.2653673163418</v>
      </c>
    </row>
    <row r="9334" spans="1:5">
      <c r="A9334" t="s">
        <v>10780</v>
      </c>
      <c r="B9334" t="s">
        <v>10788</v>
      </c>
      <c r="C9334">
        <f>0</f>
        <v>0</v>
      </c>
      <c r="D9334">
        <v>0.77494800861599999</v>
      </c>
      <c r="E9334">
        <v>13.2653673163418</v>
      </c>
    </row>
    <row r="9335" spans="1:5">
      <c r="A9335" t="s">
        <v>10780</v>
      </c>
      <c r="B9335" t="s">
        <v>10789</v>
      </c>
      <c r="C9335">
        <f>0</f>
        <v>0</v>
      </c>
      <c r="D9335">
        <v>0.77494800861599999</v>
      </c>
      <c r="E9335">
        <v>13.2653673163418</v>
      </c>
    </row>
    <row r="9336" spans="1:5">
      <c r="A9336" t="s">
        <v>10780</v>
      </c>
      <c r="B9336" t="s">
        <v>10790</v>
      </c>
      <c r="C9336">
        <f>0</f>
        <v>0</v>
      </c>
      <c r="D9336">
        <v>0.77494800861599999</v>
      </c>
      <c r="E9336">
        <v>13.2653673163418</v>
      </c>
    </row>
    <row r="9337" spans="1:5">
      <c r="A9337" t="s">
        <v>10791</v>
      </c>
      <c r="B9337" t="s">
        <v>10792</v>
      </c>
      <c r="C9337">
        <f>0</f>
        <v>0</v>
      </c>
      <c r="D9337">
        <v>0.88522773796700005</v>
      </c>
      <c r="E9337">
        <v>8.4317841079460205</v>
      </c>
    </row>
    <row r="9338" spans="1:5">
      <c r="A9338" t="s">
        <v>10791</v>
      </c>
      <c r="B9338" t="s">
        <v>10793</v>
      </c>
      <c r="C9338">
        <f>0</f>
        <v>0</v>
      </c>
      <c r="D9338">
        <v>0.88522773796700005</v>
      </c>
      <c r="E9338">
        <v>8.4317841079460205</v>
      </c>
    </row>
    <row r="9339" spans="1:5">
      <c r="A9339" t="s">
        <v>10791</v>
      </c>
      <c r="B9339" t="s">
        <v>10794</v>
      </c>
      <c r="C9339">
        <v>0</v>
      </c>
      <c r="D9339">
        <v>0.88522773796700005</v>
      </c>
      <c r="E9339">
        <v>8.4317841079460205</v>
      </c>
    </row>
    <row r="9340" spans="1:5">
      <c r="A9340" t="s">
        <v>10791</v>
      </c>
      <c r="B9340" t="s">
        <v>10795</v>
      </c>
      <c r="C9340">
        <v>0</v>
      </c>
      <c r="D9340">
        <v>0.88522773796700005</v>
      </c>
      <c r="E9340">
        <v>8.4317841079460205</v>
      </c>
    </row>
    <row r="9341" spans="1:5">
      <c r="A9341" t="s">
        <v>10791</v>
      </c>
      <c r="B9341" t="s">
        <v>10796</v>
      </c>
      <c r="C9341">
        <f>0</f>
        <v>0</v>
      </c>
      <c r="D9341">
        <v>0.88522773796700005</v>
      </c>
      <c r="E9341">
        <v>8.4317841079460205</v>
      </c>
    </row>
    <row r="9342" spans="1:5">
      <c r="A9342" t="s">
        <v>10791</v>
      </c>
      <c r="B9342" t="s">
        <v>10797</v>
      </c>
      <c r="C9342">
        <v>0.14997843594400001</v>
      </c>
      <c r="D9342">
        <v>0.88522773796700005</v>
      </c>
      <c r="E9342">
        <v>8.4317841079460205</v>
      </c>
    </row>
    <row r="9343" spans="1:5">
      <c r="A9343" t="s">
        <v>10791</v>
      </c>
      <c r="B9343" t="s">
        <v>10798</v>
      </c>
      <c r="C9343">
        <v>0</v>
      </c>
      <c r="D9343">
        <v>0.88522773796700005</v>
      </c>
      <c r="E9343">
        <v>8.4317841079460205</v>
      </c>
    </row>
    <row r="9344" spans="1:5">
      <c r="A9344" t="s">
        <v>10791</v>
      </c>
      <c r="B9344" t="s">
        <v>10799</v>
      </c>
      <c r="C9344">
        <v>0</v>
      </c>
      <c r="D9344">
        <v>0.88522773796700005</v>
      </c>
      <c r="E9344">
        <v>8.4317841079460205</v>
      </c>
    </row>
    <row r="9345" spans="1:5">
      <c r="A9345" t="s">
        <v>10800</v>
      </c>
      <c r="B9345" t="s">
        <v>10801</v>
      </c>
      <c r="C9345">
        <f>0.167347091389</f>
        <v>0.167347091389</v>
      </c>
      <c r="D9345" t="s">
        <v>106</v>
      </c>
      <c r="E9345">
        <v>24</v>
      </c>
    </row>
    <row r="9346" spans="1:5">
      <c r="A9346" t="s">
        <v>10802</v>
      </c>
      <c r="B9346" t="s">
        <v>10803</v>
      </c>
      <c r="C9346">
        <v>0.196354226031</v>
      </c>
      <c r="D9346">
        <v>0.99268949683899999</v>
      </c>
      <c r="E9346">
        <v>1.2713643178410701</v>
      </c>
    </row>
    <row r="9347" spans="1:5">
      <c r="A9347" t="s">
        <v>10802</v>
      </c>
      <c r="B9347" t="s">
        <v>10804</v>
      </c>
      <c r="C9347">
        <v>0</v>
      </c>
      <c r="D9347">
        <v>0.99268949683899999</v>
      </c>
      <c r="E9347">
        <v>1.2713643178410701</v>
      </c>
    </row>
    <row r="9348" spans="1:5">
      <c r="A9348" t="s">
        <v>10802</v>
      </c>
      <c r="B9348" t="s">
        <v>10805</v>
      </c>
      <c r="C9348">
        <f>0</f>
        <v>0</v>
      </c>
      <c r="D9348">
        <v>0.99268949683899999</v>
      </c>
      <c r="E9348">
        <v>1.2713643178410701</v>
      </c>
    </row>
    <row r="9349" spans="1:5">
      <c r="A9349" t="s">
        <v>10802</v>
      </c>
      <c r="B9349" t="s">
        <v>10806</v>
      </c>
      <c r="C9349">
        <v>0</v>
      </c>
      <c r="D9349">
        <v>0.99268949683899999</v>
      </c>
      <c r="E9349">
        <v>1.2713643178410701</v>
      </c>
    </row>
    <row r="9350" spans="1:5">
      <c r="A9350" t="s">
        <v>10802</v>
      </c>
      <c r="B9350" t="s">
        <v>10807</v>
      </c>
      <c r="C9350">
        <v>0.90340650480499995</v>
      </c>
      <c r="D9350">
        <v>0.99268949683899999</v>
      </c>
      <c r="E9350">
        <v>1.2713643178410701</v>
      </c>
    </row>
    <row r="9351" spans="1:5">
      <c r="A9351" t="s">
        <v>10808</v>
      </c>
      <c r="B9351" t="s">
        <v>10809</v>
      </c>
      <c r="C9351">
        <v>0.463382200779</v>
      </c>
      <c r="D9351">
        <v>0.92617159311899999</v>
      </c>
      <c r="E9351">
        <v>10.710644677661101</v>
      </c>
    </row>
    <row r="9352" spans="1:5">
      <c r="A9352" t="s">
        <v>10808</v>
      </c>
      <c r="B9352" t="s">
        <v>10810</v>
      </c>
      <c r="C9352">
        <f>0.0886411539975</f>
        <v>8.86411539975E-2</v>
      </c>
      <c r="D9352">
        <v>0.92617159311899999</v>
      </c>
      <c r="E9352">
        <v>10.710644677661101</v>
      </c>
    </row>
    <row r="9353" spans="1:5">
      <c r="A9353" t="s">
        <v>10808</v>
      </c>
      <c r="B9353" t="s">
        <v>10811</v>
      </c>
      <c r="C9353">
        <v>0</v>
      </c>
      <c r="D9353">
        <v>0.92617159311899999</v>
      </c>
      <c r="E9353">
        <v>10.710644677661101</v>
      </c>
    </row>
    <row r="9354" spans="1:5">
      <c r="A9354" t="s">
        <v>10808</v>
      </c>
      <c r="B9354" t="s">
        <v>10812</v>
      </c>
      <c r="C9354">
        <v>0</v>
      </c>
      <c r="D9354">
        <v>0.92617159311899999</v>
      </c>
      <c r="E9354">
        <v>10.710644677661101</v>
      </c>
    </row>
    <row r="9355" spans="1:5">
      <c r="A9355" t="s">
        <v>10813</v>
      </c>
      <c r="B9355" t="s">
        <v>10814</v>
      </c>
      <c r="C9355">
        <f>0</f>
        <v>0</v>
      </c>
      <c r="D9355">
        <v>0.82229749216600001</v>
      </c>
      <c r="E9355">
        <v>12.9175412293853</v>
      </c>
    </row>
    <row r="9356" spans="1:5">
      <c r="A9356" t="s">
        <v>10813</v>
      </c>
      <c r="B9356" t="s">
        <v>10815</v>
      </c>
      <c r="C9356">
        <v>0</v>
      </c>
      <c r="D9356">
        <v>0.82229749216600001</v>
      </c>
      <c r="E9356">
        <v>12.9175412293853</v>
      </c>
    </row>
    <row r="9357" spans="1:5">
      <c r="A9357" t="s">
        <v>10813</v>
      </c>
      <c r="B9357" t="s">
        <v>10816</v>
      </c>
      <c r="C9357">
        <v>0</v>
      </c>
      <c r="D9357">
        <v>0.82229749216600001</v>
      </c>
      <c r="E9357">
        <v>12.9175412293853</v>
      </c>
    </row>
    <row r="9358" spans="1:5">
      <c r="A9358" t="s">
        <v>10813</v>
      </c>
      <c r="B9358" t="s">
        <v>10817</v>
      </c>
      <c r="C9358">
        <f>0</f>
        <v>0</v>
      </c>
      <c r="D9358">
        <v>0.82229749216600001</v>
      </c>
      <c r="E9358">
        <v>12.9175412293853</v>
      </c>
    </row>
    <row r="9359" spans="1:5">
      <c r="A9359" t="s">
        <v>10813</v>
      </c>
      <c r="B9359" t="s">
        <v>10818</v>
      </c>
      <c r="C9359">
        <v>0</v>
      </c>
      <c r="D9359">
        <v>0.82229749216600001</v>
      </c>
      <c r="E9359">
        <v>12.9175412293853</v>
      </c>
    </row>
    <row r="9360" spans="1:5">
      <c r="A9360" t="s">
        <v>10813</v>
      </c>
      <c r="B9360" t="s">
        <v>10819</v>
      </c>
      <c r="C9360">
        <v>0.14067371321200001</v>
      </c>
      <c r="D9360">
        <v>0.82229749216600001</v>
      </c>
      <c r="E9360">
        <v>12.9175412293853</v>
      </c>
    </row>
    <row r="9361" spans="1:5">
      <c r="A9361" t="s">
        <v>10813</v>
      </c>
      <c r="B9361" t="s">
        <v>10820</v>
      </c>
      <c r="C9361">
        <v>0</v>
      </c>
      <c r="D9361">
        <v>0.82229749216600001</v>
      </c>
      <c r="E9361">
        <v>12.9175412293853</v>
      </c>
    </row>
    <row r="9362" spans="1:5">
      <c r="A9362" t="s">
        <v>10821</v>
      </c>
      <c r="B9362" t="s">
        <v>10822</v>
      </c>
      <c r="C9362">
        <v>0</v>
      </c>
      <c r="D9362" t="s">
        <v>106</v>
      </c>
      <c r="E9362">
        <v>1.96701649175412</v>
      </c>
    </row>
    <row r="9363" spans="1:5">
      <c r="A9363" t="s">
        <v>10821</v>
      </c>
      <c r="B9363" t="s">
        <v>10823</v>
      </c>
      <c r="C9363">
        <v>0</v>
      </c>
      <c r="D9363" t="s">
        <v>106</v>
      </c>
      <c r="E9363">
        <v>1.96701649175412</v>
      </c>
    </row>
    <row r="9364" spans="1:5">
      <c r="A9364" t="s">
        <v>10821</v>
      </c>
      <c r="B9364" t="s">
        <v>10824</v>
      </c>
      <c r="C9364">
        <f>0</f>
        <v>0</v>
      </c>
      <c r="D9364" t="s">
        <v>106</v>
      </c>
      <c r="E9364">
        <v>1.96701649175412</v>
      </c>
    </row>
    <row r="9365" spans="1:5">
      <c r="A9365" t="s">
        <v>10821</v>
      </c>
      <c r="B9365" t="s">
        <v>10825</v>
      </c>
      <c r="C9365">
        <v>0</v>
      </c>
      <c r="D9365" t="s">
        <v>106</v>
      </c>
      <c r="E9365">
        <v>1.96701649175412</v>
      </c>
    </row>
    <row r="9366" spans="1:5">
      <c r="A9366" t="s">
        <v>10821</v>
      </c>
      <c r="B9366" t="s">
        <v>10826</v>
      </c>
      <c r="C9366">
        <v>0</v>
      </c>
      <c r="D9366" t="s">
        <v>106</v>
      </c>
      <c r="E9366">
        <v>1.96701649175412</v>
      </c>
    </row>
    <row r="9367" spans="1:5">
      <c r="A9367" t="s">
        <v>10821</v>
      </c>
      <c r="B9367" t="s">
        <v>10827</v>
      </c>
      <c r="C9367">
        <f>0</f>
        <v>0</v>
      </c>
      <c r="D9367" t="s">
        <v>106</v>
      </c>
      <c r="E9367">
        <v>1.96701649175412</v>
      </c>
    </row>
    <row r="9368" spans="1:5">
      <c r="A9368" t="s">
        <v>10821</v>
      </c>
      <c r="B9368" t="s">
        <v>10828</v>
      </c>
      <c r="C9368">
        <v>0</v>
      </c>
      <c r="D9368" t="s">
        <v>106</v>
      </c>
      <c r="E9368">
        <v>1.96701649175412</v>
      </c>
    </row>
    <row r="9369" spans="1:5">
      <c r="A9369" t="s">
        <v>10821</v>
      </c>
      <c r="B9369" t="s">
        <v>10829</v>
      </c>
      <c r="C9369">
        <f>0</f>
        <v>0</v>
      </c>
      <c r="D9369" t="s">
        <v>106</v>
      </c>
      <c r="E9369">
        <v>1.96701649175412</v>
      </c>
    </row>
    <row r="9370" spans="1:5">
      <c r="A9370" t="s">
        <v>10821</v>
      </c>
      <c r="B9370" t="s">
        <v>10830</v>
      </c>
      <c r="C9370">
        <v>0</v>
      </c>
      <c r="D9370" t="s">
        <v>106</v>
      </c>
      <c r="E9370">
        <v>1.96701649175412</v>
      </c>
    </row>
    <row r="9371" spans="1:5">
      <c r="A9371" t="s">
        <v>10821</v>
      </c>
      <c r="B9371" t="s">
        <v>10831</v>
      </c>
      <c r="C9371">
        <v>0</v>
      </c>
      <c r="D9371" t="s">
        <v>106</v>
      </c>
      <c r="E9371">
        <v>1.96701649175412</v>
      </c>
    </row>
    <row r="9372" spans="1:5">
      <c r="A9372" t="s">
        <v>10821</v>
      </c>
      <c r="B9372" t="s">
        <v>10832</v>
      </c>
      <c r="C9372">
        <f>0</f>
        <v>0</v>
      </c>
      <c r="D9372" t="s">
        <v>106</v>
      </c>
      <c r="E9372">
        <v>1.96701649175412</v>
      </c>
    </row>
    <row r="9373" spans="1:5">
      <c r="A9373" t="s">
        <v>10821</v>
      </c>
      <c r="B9373" t="s">
        <v>10833</v>
      </c>
      <c r="C9373">
        <f>0</f>
        <v>0</v>
      </c>
      <c r="D9373" t="s">
        <v>106</v>
      </c>
      <c r="E9373">
        <v>1.96701649175412</v>
      </c>
    </row>
    <row r="9374" spans="1:5">
      <c r="A9374" t="s">
        <v>10834</v>
      </c>
      <c r="B9374" t="s">
        <v>10835</v>
      </c>
      <c r="C9374">
        <f>0</f>
        <v>0</v>
      </c>
      <c r="D9374">
        <v>0.95948687526800003</v>
      </c>
      <c r="E9374">
        <v>5.9370314842578704</v>
      </c>
    </row>
    <row r="9375" spans="1:5">
      <c r="A9375" t="s">
        <v>10834</v>
      </c>
      <c r="B9375" t="s">
        <v>10836</v>
      </c>
      <c r="C9375">
        <f>0</f>
        <v>0</v>
      </c>
      <c r="D9375">
        <v>0.95948687526800003</v>
      </c>
      <c r="E9375">
        <v>5.9370314842578704</v>
      </c>
    </row>
    <row r="9376" spans="1:5">
      <c r="A9376" t="s">
        <v>10834</v>
      </c>
      <c r="B9376" t="s">
        <v>10837</v>
      </c>
      <c r="C9376">
        <f>0</f>
        <v>0</v>
      </c>
      <c r="D9376">
        <v>0.95948687526800003</v>
      </c>
      <c r="E9376">
        <v>5.9370314842578704</v>
      </c>
    </row>
    <row r="9377" spans="1:5">
      <c r="A9377" t="s">
        <v>10834</v>
      </c>
      <c r="B9377" t="s">
        <v>10838</v>
      </c>
      <c r="C9377">
        <v>0</v>
      </c>
      <c r="D9377">
        <v>0.95948687526800003</v>
      </c>
      <c r="E9377">
        <v>5.9370314842578704</v>
      </c>
    </row>
    <row r="9378" spans="1:5">
      <c r="A9378" t="s">
        <v>10834</v>
      </c>
      <c r="B9378" t="s">
        <v>10839</v>
      </c>
      <c r="C9378">
        <f>0</f>
        <v>0</v>
      </c>
      <c r="D9378">
        <v>0.95948687526800003</v>
      </c>
      <c r="E9378">
        <v>5.9370314842578704</v>
      </c>
    </row>
    <row r="9379" spans="1:5">
      <c r="A9379" t="s">
        <v>10834</v>
      </c>
      <c r="B9379" t="s">
        <v>10840</v>
      </c>
      <c r="C9379">
        <v>0</v>
      </c>
      <c r="D9379">
        <v>0.95948687526800003</v>
      </c>
      <c r="E9379">
        <v>5.9370314842578704</v>
      </c>
    </row>
    <row r="9380" spans="1:5">
      <c r="A9380" t="s">
        <v>10834</v>
      </c>
      <c r="B9380" t="s">
        <v>10841</v>
      </c>
      <c r="C9380">
        <v>0</v>
      </c>
      <c r="D9380">
        <v>0.95948687526800003</v>
      </c>
      <c r="E9380">
        <v>5.9370314842578704</v>
      </c>
    </row>
    <row r="9381" spans="1:5">
      <c r="A9381" t="s">
        <v>10834</v>
      </c>
      <c r="B9381" t="s">
        <v>10842</v>
      </c>
      <c r="C9381">
        <f>0</f>
        <v>0</v>
      </c>
      <c r="D9381">
        <v>0.95948687526800003</v>
      </c>
      <c r="E9381">
        <v>5.9370314842578704</v>
      </c>
    </row>
    <row r="9382" spans="1:5">
      <c r="A9382" t="s">
        <v>10834</v>
      </c>
      <c r="B9382" t="s">
        <v>10843</v>
      </c>
      <c r="C9382">
        <f>0</f>
        <v>0</v>
      </c>
      <c r="D9382">
        <v>0.95948687526800003</v>
      </c>
      <c r="E9382">
        <v>5.9370314842578704</v>
      </c>
    </row>
    <row r="9383" spans="1:5">
      <c r="A9383" t="s">
        <v>10834</v>
      </c>
      <c r="B9383" t="s">
        <v>10844</v>
      </c>
      <c r="C9383">
        <f>0</f>
        <v>0</v>
      </c>
      <c r="D9383">
        <v>0.95948687526800003</v>
      </c>
      <c r="E9383">
        <v>5.9370314842578704</v>
      </c>
    </row>
    <row r="9384" spans="1:5">
      <c r="A9384" t="s">
        <v>10834</v>
      </c>
      <c r="B9384" t="s">
        <v>10845</v>
      </c>
      <c r="C9384">
        <f>0</f>
        <v>0</v>
      </c>
      <c r="D9384">
        <v>0.95948687526800003</v>
      </c>
      <c r="E9384">
        <v>5.9370314842578704</v>
      </c>
    </row>
    <row r="9385" spans="1:5">
      <c r="A9385" t="s">
        <v>10834</v>
      </c>
      <c r="B9385" t="s">
        <v>10846</v>
      </c>
      <c r="C9385">
        <v>0</v>
      </c>
      <c r="D9385">
        <v>0.95948687526800003</v>
      </c>
      <c r="E9385">
        <v>5.9370314842578704</v>
      </c>
    </row>
    <row r="9386" spans="1:5">
      <c r="A9386" t="s">
        <v>10834</v>
      </c>
      <c r="B9386" t="s">
        <v>10847</v>
      </c>
      <c r="C9386">
        <v>0</v>
      </c>
      <c r="D9386">
        <v>0.95948687526800003</v>
      </c>
      <c r="E9386">
        <v>5.9370314842578704</v>
      </c>
    </row>
    <row r="9387" spans="1:5">
      <c r="A9387" t="s">
        <v>10848</v>
      </c>
      <c r="B9387" t="s">
        <v>10849</v>
      </c>
      <c r="C9387">
        <f>0</f>
        <v>0</v>
      </c>
      <c r="D9387" t="s">
        <v>106</v>
      </c>
      <c r="E9387">
        <v>14.176911544227799</v>
      </c>
    </row>
    <row r="9388" spans="1:5">
      <c r="A9388" t="s">
        <v>10848</v>
      </c>
      <c r="B9388" t="s">
        <v>10850</v>
      </c>
      <c r="C9388">
        <f>0</f>
        <v>0</v>
      </c>
      <c r="D9388" t="s">
        <v>106</v>
      </c>
      <c r="E9388">
        <v>14.176911544227799</v>
      </c>
    </row>
    <row r="9389" spans="1:5">
      <c r="A9389" t="s">
        <v>10848</v>
      </c>
      <c r="B9389" t="s">
        <v>10851</v>
      </c>
      <c r="C9389">
        <v>0</v>
      </c>
      <c r="D9389" t="s">
        <v>106</v>
      </c>
      <c r="E9389">
        <v>14.176911544227799</v>
      </c>
    </row>
    <row r="9390" spans="1:5">
      <c r="A9390" t="s">
        <v>10848</v>
      </c>
      <c r="B9390" t="s">
        <v>10852</v>
      </c>
      <c r="C9390">
        <v>0</v>
      </c>
      <c r="D9390" t="s">
        <v>106</v>
      </c>
      <c r="E9390">
        <v>14.176911544227799</v>
      </c>
    </row>
    <row r="9391" spans="1:5">
      <c r="A9391" t="s">
        <v>10848</v>
      </c>
      <c r="B9391" t="s">
        <v>10853</v>
      </c>
      <c r="C9391">
        <f>0</f>
        <v>0</v>
      </c>
      <c r="D9391" t="s">
        <v>106</v>
      </c>
      <c r="E9391">
        <v>14.176911544227799</v>
      </c>
    </row>
    <row r="9392" spans="1:5">
      <c r="A9392" t="s">
        <v>10848</v>
      </c>
      <c r="B9392" t="s">
        <v>10854</v>
      </c>
      <c r="C9392">
        <f>0</f>
        <v>0</v>
      </c>
      <c r="D9392" t="s">
        <v>106</v>
      </c>
      <c r="E9392">
        <v>14.176911544227799</v>
      </c>
    </row>
    <row r="9393" spans="1:5">
      <c r="A9393" t="s">
        <v>10848</v>
      </c>
      <c r="B9393" t="s">
        <v>10855</v>
      </c>
      <c r="C9393">
        <v>0</v>
      </c>
      <c r="D9393" t="s">
        <v>106</v>
      </c>
      <c r="E9393">
        <v>14.176911544227799</v>
      </c>
    </row>
    <row r="9394" spans="1:5">
      <c r="A9394" t="s">
        <v>10856</v>
      </c>
      <c r="B9394" t="s">
        <v>10857</v>
      </c>
      <c r="C9394">
        <v>0</v>
      </c>
      <c r="D9394" t="s">
        <v>106</v>
      </c>
      <c r="E9394">
        <v>24</v>
      </c>
    </row>
    <row r="9395" spans="1:5">
      <c r="A9395" t="s">
        <v>10856</v>
      </c>
      <c r="B9395" t="s">
        <v>10858</v>
      </c>
      <c r="C9395">
        <f>0</f>
        <v>0</v>
      </c>
      <c r="D9395" t="s">
        <v>106</v>
      </c>
      <c r="E9395">
        <v>24</v>
      </c>
    </row>
    <row r="9396" spans="1:5">
      <c r="A9396" t="s">
        <v>10856</v>
      </c>
      <c r="B9396" t="s">
        <v>10859</v>
      </c>
      <c r="C9396">
        <v>0</v>
      </c>
      <c r="D9396" t="s">
        <v>106</v>
      </c>
      <c r="E9396">
        <v>24</v>
      </c>
    </row>
    <row r="9397" spans="1:5">
      <c r="A9397" t="s">
        <v>10856</v>
      </c>
      <c r="B9397" t="s">
        <v>10860</v>
      </c>
      <c r="C9397">
        <v>0</v>
      </c>
      <c r="D9397" t="s">
        <v>106</v>
      </c>
      <c r="E9397">
        <v>24</v>
      </c>
    </row>
    <row r="9398" spans="1:5">
      <c r="A9398" t="s">
        <v>10861</v>
      </c>
      <c r="B9398" t="s">
        <v>10862</v>
      </c>
      <c r="C9398">
        <v>0.29036819718599999</v>
      </c>
      <c r="D9398">
        <v>0.99829193234199998</v>
      </c>
      <c r="E9398">
        <v>8.2878560719640095</v>
      </c>
    </row>
    <row r="9399" spans="1:5">
      <c r="A9399" t="s">
        <v>10861</v>
      </c>
      <c r="B9399" t="s">
        <v>10863</v>
      </c>
      <c r="C9399">
        <v>0</v>
      </c>
      <c r="D9399">
        <v>0.99829193234199998</v>
      </c>
      <c r="E9399">
        <v>8.2878560719640095</v>
      </c>
    </row>
    <row r="9400" spans="1:5">
      <c r="A9400" t="s">
        <v>10861</v>
      </c>
      <c r="B9400" t="s">
        <v>10864</v>
      </c>
      <c r="C9400">
        <v>0</v>
      </c>
      <c r="D9400">
        <v>0.99829193234199998</v>
      </c>
      <c r="E9400">
        <v>8.2878560719640095</v>
      </c>
    </row>
    <row r="9401" spans="1:5">
      <c r="A9401" t="s">
        <v>10861</v>
      </c>
      <c r="B9401" t="s">
        <v>10865</v>
      </c>
      <c r="C9401">
        <v>0</v>
      </c>
      <c r="D9401">
        <v>0.99829193234199998</v>
      </c>
      <c r="E9401">
        <v>8.2878560719640095</v>
      </c>
    </row>
    <row r="9402" spans="1:5">
      <c r="A9402" t="s">
        <v>10861</v>
      </c>
      <c r="B9402" t="s">
        <v>10866</v>
      </c>
      <c r="C9402">
        <v>0</v>
      </c>
      <c r="D9402">
        <v>0.99829193234199998</v>
      </c>
      <c r="E9402">
        <v>8.2878560719640095</v>
      </c>
    </row>
    <row r="9403" spans="1:5">
      <c r="A9403" t="s">
        <v>10861</v>
      </c>
      <c r="B9403" t="s">
        <v>10867</v>
      </c>
      <c r="C9403">
        <v>0.19435231969700001</v>
      </c>
      <c r="D9403">
        <v>0.99829193234199998</v>
      </c>
      <c r="E9403">
        <v>8.2878560719640095</v>
      </c>
    </row>
    <row r="9404" spans="1:5">
      <c r="A9404" t="s">
        <v>10861</v>
      </c>
      <c r="B9404" t="s">
        <v>10868</v>
      </c>
      <c r="C9404">
        <v>0</v>
      </c>
      <c r="D9404">
        <v>0.99829193234199998</v>
      </c>
      <c r="E9404">
        <v>8.2878560719640095</v>
      </c>
    </row>
    <row r="9405" spans="1:5">
      <c r="A9405" t="s">
        <v>10861</v>
      </c>
      <c r="B9405" t="s">
        <v>10869</v>
      </c>
      <c r="C9405">
        <v>0</v>
      </c>
      <c r="D9405">
        <v>0.99829193234199998</v>
      </c>
      <c r="E9405">
        <v>8.2878560719640095</v>
      </c>
    </row>
    <row r="9406" spans="1:5">
      <c r="A9406" t="s">
        <v>10861</v>
      </c>
      <c r="B9406" t="s">
        <v>10870</v>
      </c>
      <c r="C9406">
        <v>0</v>
      </c>
      <c r="D9406">
        <v>0.99829193234199998</v>
      </c>
      <c r="E9406">
        <v>8.2878560719640095</v>
      </c>
    </row>
    <row r="9407" spans="1:5">
      <c r="A9407" t="s">
        <v>10861</v>
      </c>
      <c r="B9407" t="s">
        <v>10871</v>
      </c>
      <c r="C9407">
        <v>0</v>
      </c>
      <c r="D9407">
        <v>0.99829193234199998</v>
      </c>
      <c r="E9407">
        <v>8.2878560719640095</v>
      </c>
    </row>
    <row r="9408" spans="1:5">
      <c r="A9408" t="s">
        <v>10861</v>
      </c>
      <c r="B9408" t="s">
        <v>10872</v>
      </c>
      <c r="C9408">
        <v>0</v>
      </c>
      <c r="D9408">
        <v>0.99829193234199998</v>
      </c>
      <c r="E9408">
        <v>8.2878560719640095</v>
      </c>
    </row>
    <row r="9409" spans="1:5">
      <c r="A9409" t="s">
        <v>10873</v>
      </c>
      <c r="B9409" t="s">
        <v>10874</v>
      </c>
      <c r="C9409">
        <v>0</v>
      </c>
      <c r="D9409">
        <v>0.76047735850200004</v>
      </c>
      <c r="E9409">
        <v>3.5862068965517202</v>
      </c>
    </row>
    <row r="9410" spans="1:5">
      <c r="A9410" t="s">
        <v>10873</v>
      </c>
      <c r="B9410" t="s">
        <v>10875</v>
      </c>
      <c r="C9410">
        <f>0</f>
        <v>0</v>
      </c>
      <c r="D9410">
        <v>0.76047735850200004</v>
      </c>
      <c r="E9410">
        <v>3.5862068965517202</v>
      </c>
    </row>
    <row r="9411" spans="1:5">
      <c r="A9411" t="s">
        <v>10876</v>
      </c>
      <c r="B9411" t="s">
        <v>10877</v>
      </c>
      <c r="C9411">
        <v>0</v>
      </c>
      <c r="D9411">
        <v>0.958347634969</v>
      </c>
      <c r="E9411">
        <v>24</v>
      </c>
    </row>
    <row r="9412" spans="1:5">
      <c r="A9412" t="s">
        <v>10876</v>
      </c>
      <c r="B9412" t="s">
        <v>10878</v>
      </c>
      <c r="C9412">
        <v>0</v>
      </c>
      <c r="D9412">
        <v>0.958347634969</v>
      </c>
      <c r="E9412">
        <v>24</v>
      </c>
    </row>
    <row r="9413" spans="1:5">
      <c r="A9413" t="s">
        <v>10879</v>
      </c>
      <c r="B9413" t="s">
        <v>10880</v>
      </c>
      <c r="C9413">
        <f>0.144959794667</f>
        <v>0.14495979466700001</v>
      </c>
      <c r="D9413" t="s">
        <v>106</v>
      </c>
      <c r="E9413">
        <v>17.307346326836502</v>
      </c>
    </row>
    <row r="9414" spans="1:5">
      <c r="A9414" t="s">
        <v>10879</v>
      </c>
      <c r="B9414" t="s">
        <v>10881</v>
      </c>
      <c r="C9414">
        <f>0</f>
        <v>0</v>
      </c>
      <c r="D9414" t="s">
        <v>106</v>
      </c>
      <c r="E9414">
        <v>17.307346326836502</v>
      </c>
    </row>
    <row r="9415" spans="1:5">
      <c r="A9415" t="s">
        <v>10879</v>
      </c>
      <c r="B9415" t="s">
        <v>10882</v>
      </c>
      <c r="C9415">
        <f>0.0105232648834</f>
        <v>1.05232648834E-2</v>
      </c>
      <c r="D9415" t="s">
        <v>106</v>
      </c>
      <c r="E9415">
        <v>17.307346326836502</v>
      </c>
    </row>
    <row r="9416" spans="1:5">
      <c r="A9416" t="s">
        <v>10879</v>
      </c>
      <c r="B9416" t="s">
        <v>10883</v>
      </c>
      <c r="C9416">
        <v>0</v>
      </c>
      <c r="D9416" t="s">
        <v>106</v>
      </c>
      <c r="E9416">
        <v>17.307346326836502</v>
      </c>
    </row>
    <row r="9417" spans="1:5">
      <c r="A9417" t="s">
        <v>10879</v>
      </c>
      <c r="B9417" t="s">
        <v>10884</v>
      </c>
      <c r="C9417">
        <f>0</f>
        <v>0</v>
      </c>
      <c r="D9417" t="s">
        <v>106</v>
      </c>
      <c r="E9417">
        <v>17.307346326836502</v>
      </c>
    </row>
    <row r="9418" spans="1:5">
      <c r="A9418" t="s">
        <v>10879</v>
      </c>
      <c r="B9418" t="s">
        <v>10885</v>
      </c>
      <c r="C9418">
        <v>0</v>
      </c>
      <c r="D9418" t="s">
        <v>106</v>
      </c>
      <c r="E9418">
        <v>17.307346326836502</v>
      </c>
    </row>
    <row r="9419" spans="1:5">
      <c r="A9419" t="s">
        <v>10879</v>
      </c>
      <c r="B9419" t="s">
        <v>10886</v>
      </c>
      <c r="C9419">
        <v>0</v>
      </c>
      <c r="D9419" t="s">
        <v>106</v>
      </c>
      <c r="E9419">
        <v>17.307346326836502</v>
      </c>
    </row>
    <row r="9420" spans="1:5">
      <c r="A9420" t="s">
        <v>10879</v>
      </c>
      <c r="B9420" t="s">
        <v>10887</v>
      </c>
      <c r="C9420">
        <v>0</v>
      </c>
      <c r="D9420" t="s">
        <v>106</v>
      </c>
      <c r="E9420">
        <v>17.307346326836502</v>
      </c>
    </row>
    <row r="9421" spans="1:5">
      <c r="A9421" t="s">
        <v>10879</v>
      </c>
      <c r="B9421" t="s">
        <v>10888</v>
      </c>
      <c r="C9421">
        <f>0</f>
        <v>0</v>
      </c>
      <c r="D9421" t="s">
        <v>106</v>
      </c>
      <c r="E9421">
        <v>17.307346326836502</v>
      </c>
    </row>
    <row r="9422" spans="1:5">
      <c r="A9422" t="s">
        <v>10879</v>
      </c>
      <c r="B9422" t="s">
        <v>10889</v>
      </c>
      <c r="C9422">
        <f>0</f>
        <v>0</v>
      </c>
      <c r="D9422" t="s">
        <v>106</v>
      </c>
      <c r="E9422">
        <v>17.307346326836502</v>
      </c>
    </row>
    <row r="9423" spans="1:5">
      <c r="A9423" t="s">
        <v>10879</v>
      </c>
      <c r="B9423" t="s">
        <v>10890</v>
      </c>
      <c r="C9423">
        <f>0</f>
        <v>0</v>
      </c>
      <c r="D9423" t="s">
        <v>106</v>
      </c>
      <c r="E9423">
        <v>17.307346326836502</v>
      </c>
    </row>
    <row r="9424" spans="1:5">
      <c r="A9424" t="s">
        <v>10879</v>
      </c>
      <c r="B9424" t="s">
        <v>10891</v>
      </c>
      <c r="C9424">
        <v>0</v>
      </c>
      <c r="D9424" t="s">
        <v>106</v>
      </c>
      <c r="E9424">
        <v>17.307346326836502</v>
      </c>
    </row>
    <row r="9425" spans="1:5">
      <c r="A9425" t="s">
        <v>10879</v>
      </c>
      <c r="B9425" t="s">
        <v>10892</v>
      </c>
      <c r="C9425">
        <f>0</f>
        <v>0</v>
      </c>
      <c r="D9425" t="s">
        <v>106</v>
      </c>
      <c r="E9425">
        <v>17.307346326836502</v>
      </c>
    </row>
    <row r="9426" spans="1:5">
      <c r="A9426" t="s">
        <v>10879</v>
      </c>
      <c r="B9426" t="s">
        <v>10893</v>
      </c>
      <c r="C9426">
        <f>0</f>
        <v>0</v>
      </c>
      <c r="D9426" t="s">
        <v>106</v>
      </c>
      <c r="E9426">
        <v>17.307346326836502</v>
      </c>
    </row>
    <row r="9427" spans="1:5">
      <c r="A9427" t="s">
        <v>10879</v>
      </c>
      <c r="B9427" t="s">
        <v>10894</v>
      </c>
      <c r="C9427">
        <v>0</v>
      </c>
      <c r="D9427" t="s">
        <v>106</v>
      </c>
      <c r="E9427">
        <v>17.307346326836502</v>
      </c>
    </row>
    <row r="9428" spans="1:5">
      <c r="A9428" t="s">
        <v>10879</v>
      </c>
      <c r="B9428" t="s">
        <v>10895</v>
      </c>
      <c r="C9428">
        <f>0</f>
        <v>0</v>
      </c>
      <c r="D9428" t="s">
        <v>106</v>
      </c>
      <c r="E9428">
        <v>17.307346326836502</v>
      </c>
    </row>
    <row r="9429" spans="1:5">
      <c r="A9429" t="s">
        <v>10896</v>
      </c>
      <c r="B9429" t="s">
        <v>10897</v>
      </c>
      <c r="C9429">
        <f>0</f>
        <v>0</v>
      </c>
      <c r="D9429" t="s">
        <v>106</v>
      </c>
      <c r="E9429">
        <v>24</v>
      </c>
    </row>
    <row r="9430" spans="1:5">
      <c r="A9430" t="s">
        <v>10896</v>
      </c>
      <c r="B9430" t="s">
        <v>10898</v>
      </c>
      <c r="C9430">
        <v>0</v>
      </c>
      <c r="D9430" t="s">
        <v>106</v>
      </c>
      <c r="E9430">
        <v>24</v>
      </c>
    </row>
    <row r="9431" spans="1:5">
      <c r="A9431" t="s">
        <v>10896</v>
      </c>
      <c r="B9431" t="s">
        <v>10899</v>
      </c>
      <c r="C9431">
        <v>0</v>
      </c>
      <c r="D9431" t="s">
        <v>106</v>
      </c>
      <c r="E9431">
        <v>24</v>
      </c>
    </row>
    <row r="9432" spans="1:5">
      <c r="A9432" t="s">
        <v>10896</v>
      </c>
      <c r="B9432" t="s">
        <v>10900</v>
      </c>
      <c r="C9432">
        <f>0</f>
        <v>0</v>
      </c>
      <c r="D9432" t="s">
        <v>106</v>
      </c>
      <c r="E9432">
        <v>24</v>
      </c>
    </row>
    <row r="9433" spans="1:5">
      <c r="A9433" t="s">
        <v>10896</v>
      </c>
      <c r="B9433" t="s">
        <v>10901</v>
      </c>
      <c r="C9433">
        <f>0</f>
        <v>0</v>
      </c>
      <c r="D9433" t="s">
        <v>106</v>
      </c>
      <c r="E9433">
        <v>24</v>
      </c>
    </row>
    <row r="9434" spans="1:5">
      <c r="A9434" t="s">
        <v>10896</v>
      </c>
      <c r="B9434" t="s">
        <v>10902</v>
      </c>
      <c r="C9434">
        <v>0</v>
      </c>
      <c r="D9434" t="s">
        <v>106</v>
      </c>
      <c r="E9434">
        <v>24</v>
      </c>
    </row>
    <row r="9435" spans="1:5">
      <c r="A9435" t="s">
        <v>10896</v>
      </c>
      <c r="B9435" t="s">
        <v>10903</v>
      </c>
      <c r="C9435">
        <f>0.0793118067551</f>
        <v>7.9311806755099995E-2</v>
      </c>
      <c r="D9435" t="s">
        <v>106</v>
      </c>
      <c r="E9435">
        <v>24</v>
      </c>
    </row>
    <row r="9436" spans="1:5">
      <c r="A9436" t="s">
        <v>10896</v>
      </c>
      <c r="B9436" t="s">
        <v>10904</v>
      </c>
      <c r="C9436">
        <f>0</f>
        <v>0</v>
      </c>
      <c r="D9436" t="s">
        <v>106</v>
      </c>
      <c r="E9436">
        <v>24</v>
      </c>
    </row>
    <row r="9437" spans="1:5">
      <c r="A9437" t="s">
        <v>10905</v>
      </c>
      <c r="B9437" t="s">
        <v>10906</v>
      </c>
      <c r="C9437">
        <v>0</v>
      </c>
      <c r="D9437">
        <v>0.98890122792400004</v>
      </c>
      <c r="E9437">
        <v>0.91154422788605605</v>
      </c>
    </row>
    <row r="9438" spans="1:5">
      <c r="A9438" t="s">
        <v>10905</v>
      </c>
      <c r="B9438" t="s">
        <v>10907</v>
      </c>
      <c r="C9438">
        <v>0</v>
      </c>
      <c r="D9438">
        <v>0.98890122792400004</v>
      </c>
      <c r="E9438">
        <v>0.91154422788605605</v>
      </c>
    </row>
    <row r="9439" spans="1:5">
      <c r="A9439" t="s">
        <v>10905</v>
      </c>
      <c r="B9439" t="s">
        <v>10908</v>
      </c>
      <c r="C9439">
        <v>0.29639010211099998</v>
      </c>
      <c r="D9439">
        <v>0.98890122792400004</v>
      </c>
      <c r="E9439">
        <v>0.91154422788605605</v>
      </c>
    </row>
    <row r="9440" spans="1:5">
      <c r="A9440" t="s">
        <v>10905</v>
      </c>
      <c r="B9440" t="s">
        <v>10909</v>
      </c>
      <c r="C9440">
        <f>0</f>
        <v>0</v>
      </c>
      <c r="D9440">
        <v>0.98890122792400004</v>
      </c>
      <c r="E9440">
        <v>0.91154422788605605</v>
      </c>
    </row>
    <row r="9441" spans="1:5">
      <c r="A9441" t="s">
        <v>10905</v>
      </c>
      <c r="B9441" t="s">
        <v>10910</v>
      </c>
      <c r="C9441">
        <v>0</v>
      </c>
      <c r="D9441">
        <v>0.98890122792400004</v>
      </c>
      <c r="E9441">
        <v>0.91154422788605605</v>
      </c>
    </row>
    <row r="9442" spans="1:5">
      <c r="A9442" t="s">
        <v>10905</v>
      </c>
      <c r="B9442" t="s">
        <v>10911</v>
      </c>
      <c r="C9442">
        <v>0.25776885903899999</v>
      </c>
      <c r="D9442">
        <v>0.98890122792400004</v>
      </c>
      <c r="E9442">
        <v>0.91154422788605605</v>
      </c>
    </row>
    <row r="9443" spans="1:5">
      <c r="A9443" t="s">
        <v>10912</v>
      </c>
      <c r="B9443" t="s">
        <v>10913</v>
      </c>
      <c r="C9443">
        <v>0</v>
      </c>
      <c r="D9443" t="s">
        <v>106</v>
      </c>
      <c r="E9443">
        <v>1.22338830584707</v>
      </c>
    </row>
    <row r="9444" spans="1:5">
      <c r="A9444" t="s">
        <v>10912</v>
      </c>
      <c r="B9444" t="s">
        <v>10914</v>
      </c>
      <c r="C9444">
        <v>0</v>
      </c>
      <c r="D9444" t="s">
        <v>106</v>
      </c>
      <c r="E9444">
        <v>1.22338830584707</v>
      </c>
    </row>
    <row r="9445" spans="1:5">
      <c r="A9445" t="s">
        <v>10912</v>
      </c>
      <c r="B9445" t="s">
        <v>10915</v>
      </c>
      <c r="C9445">
        <v>0</v>
      </c>
      <c r="D9445" t="s">
        <v>106</v>
      </c>
      <c r="E9445">
        <v>1.22338830584707</v>
      </c>
    </row>
    <row r="9446" spans="1:5">
      <c r="A9446" t="s">
        <v>10916</v>
      </c>
      <c r="B9446" t="s">
        <v>10917</v>
      </c>
      <c r="C9446">
        <v>0</v>
      </c>
      <c r="D9446">
        <v>0.99389082796299999</v>
      </c>
      <c r="E9446">
        <v>6.0569715142428704</v>
      </c>
    </row>
    <row r="9447" spans="1:5">
      <c r="A9447" t="s">
        <v>10916</v>
      </c>
      <c r="B9447" t="s">
        <v>10918</v>
      </c>
      <c r="C9447">
        <v>0.47975029054599999</v>
      </c>
      <c r="D9447">
        <v>0.99389082796299999</v>
      </c>
      <c r="E9447">
        <v>6.0569715142428704</v>
      </c>
    </row>
    <row r="9448" spans="1:5">
      <c r="A9448" t="s">
        <v>10916</v>
      </c>
      <c r="B9448" t="s">
        <v>10919</v>
      </c>
      <c r="C9448">
        <v>0</v>
      </c>
      <c r="D9448">
        <v>0.99389082796299999</v>
      </c>
      <c r="E9448">
        <v>6.0569715142428704</v>
      </c>
    </row>
    <row r="9449" spans="1:5">
      <c r="A9449" t="s">
        <v>10916</v>
      </c>
      <c r="B9449" t="s">
        <v>10920</v>
      </c>
      <c r="C9449">
        <f>0</f>
        <v>0</v>
      </c>
      <c r="D9449">
        <v>0.99389082796299999</v>
      </c>
      <c r="E9449">
        <v>6.0569715142428704</v>
      </c>
    </row>
    <row r="9450" spans="1:5">
      <c r="A9450" t="s">
        <v>10916</v>
      </c>
      <c r="B9450" t="s">
        <v>10921</v>
      </c>
      <c r="C9450">
        <v>0</v>
      </c>
      <c r="D9450">
        <v>0.99389082796299999</v>
      </c>
      <c r="E9450">
        <v>6.0569715142428704</v>
      </c>
    </row>
    <row r="9451" spans="1:5">
      <c r="A9451" t="s">
        <v>10916</v>
      </c>
      <c r="B9451" t="s">
        <v>10922</v>
      </c>
      <c r="C9451">
        <v>0</v>
      </c>
      <c r="D9451">
        <v>0.99389082796299999</v>
      </c>
      <c r="E9451">
        <v>6.0569715142428704</v>
      </c>
    </row>
    <row r="9452" spans="1:5">
      <c r="A9452" t="s">
        <v>10916</v>
      </c>
      <c r="B9452" t="s">
        <v>10923</v>
      </c>
      <c r="C9452">
        <f>0</f>
        <v>0</v>
      </c>
      <c r="D9452">
        <v>0.99389082796299999</v>
      </c>
      <c r="E9452">
        <v>6.0569715142428704</v>
      </c>
    </row>
    <row r="9453" spans="1:5">
      <c r="A9453" t="s">
        <v>10916</v>
      </c>
      <c r="B9453" t="s">
        <v>10924</v>
      </c>
      <c r="C9453">
        <v>0</v>
      </c>
      <c r="D9453">
        <v>0.99389082796299999</v>
      </c>
      <c r="E9453">
        <v>6.0569715142428704</v>
      </c>
    </row>
    <row r="9454" spans="1:5">
      <c r="A9454" t="s">
        <v>10916</v>
      </c>
      <c r="B9454" t="s">
        <v>10925</v>
      </c>
      <c r="C9454">
        <v>0.16609999908500001</v>
      </c>
      <c r="D9454">
        <v>0.99389082796299999</v>
      </c>
      <c r="E9454">
        <v>6.0569715142428704</v>
      </c>
    </row>
    <row r="9455" spans="1:5">
      <c r="A9455" t="s">
        <v>10926</v>
      </c>
      <c r="B9455" t="s">
        <v>10927</v>
      </c>
      <c r="C9455">
        <v>0</v>
      </c>
      <c r="D9455">
        <v>0.95888888649399995</v>
      </c>
      <c r="E9455">
        <v>17.307346326836502</v>
      </c>
    </row>
    <row r="9456" spans="1:5">
      <c r="A9456" t="s">
        <v>10926</v>
      </c>
      <c r="B9456" t="s">
        <v>10928</v>
      </c>
      <c r="C9456">
        <f>0</f>
        <v>0</v>
      </c>
      <c r="D9456">
        <v>0.95888888649399995</v>
      </c>
      <c r="E9456">
        <v>17.307346326836502</v>
      </c>
    </row>
    <row r="9457" spans="1:5">
      <c r="A9457" t="s">
        <v>10926</v>
      </c>
      <c r="B9457" t="s">
        <v>10929</v>
      </c>
      <c r="C9457">
        <v>0</v>
      </c>
      <c r="D9457">
        <v>0.95888888649399995</v>
      </c>
      <c r="E9457">
        <v>17.307346326836502</v>
      </c>
    </row>
    <row r="9458" spans="1:5">
      <c r="A9458" t="s">
        <v>10926</v>
      </c>
      <c r="B9458" t="s">
        <v>10930</v>
      </c>
      <c r="C9458">
        <v>0</v>
      </c>
      <c r="D9458">
        <v>0.95888888649399995</v>
      </c>
      <c r="E9458">
        <v>17.307346326836502</v>
      </c>
    </row>
    <row r="9459" spans="1:5">
      <c r="A9459" t="s">
        <v>10931</v>
      </c>
      <c r="B9459" t="s">
        <v>10932</v>
      </c>
      <c r="C9459">
        <v>0.21482011329199999</v>
      </c>
      <c r="D9459">
        <v>0.96558569808000005</v>
      </c>
      <c r="E9459">
        <v>24</v>
      </c>
    </row>
    <row r="9460" spans="1:5">
      <c r="A9460" t="s">
        <v>10933</v>
      </c>
      <c r="B9460" t="s">
        <v>10934</v>
      </c>
      <c r="C9460">
        <f>0</f>
        <v>0</v>
      </c>
      <c r="D9460">
        <v>0.99752639026300005</v>
      </c>
      <c r="E9460">
        <v>0.91154422788605605</v>
      </c>
    </row>
    <row r="9461" spans="1:5">
      <c r="A9461" t="s">
        <v>10933</v>
      </c>
      <c r="B9461" t="s">
        <v>10935</v>
      </c>
      <c r="C9461">
        <f>0</f>
        <v>0</v>
      </c>
      <c r="D9461">
        <v>0.99752639026300005</v>
      </c>
      <c r="E9461">
        <v>0.91154422788605605</v>
      </c>
    </row>
    <row r="9462" spans="1:5">
      <c r="A9462" t="s">
        <v>10933</v>
      </c>
      <c r="B9462" t="s">
        <v>10936</v>
      </c>
      <c r="C9462">
        <f>0</f>
        <v>0</v>
      </c>
      <c r="D9462">
        <v>0.99752639026300005</v>
      </c>
      <c r="E9462">
        <v>0.91154422788605605</v>
      </c>
    </row>
    <row r="9463" spans="1:5">
      <c r="A9463" t="s">
        <v>10933</v>
      </c>
      <c r="B9463" t="s">
        <v>10937</v>
      </c>
      <c r="C9463">
        <f>0</f>
        <v>0</v>
      </c>
      <c r="D9463">
        <v>0.99752639026300005</v>
      </c>
      <c r="E9463">
        <v>0.91154422788605605</v>
      </c>
    </row>
    <row r="9464" spans="1:5">
      <c r="A9464" t="s">
        <v>10933</v>
      </c>
      <c r="B9464" t="s">
        <v>10938</v>
      </c>
      <c r="C9464">
        <f>0</f>
        <v>0</v>
      </c>
      <c r="D9464">
        <v>0.99752639026300005</v>
      </c>
      <c r="E9464">
        <v>0.91154422788605605</v>
      </c>
    </row>
    <row r="9465" spans="1:5">
      <c r="A9465" t="s">
        <v>10933</v>
      </c>
      <c r="B9465" t="s">
        <v>10939</v>
      </c>
      <c r="C9465">
        <f>0</f>
        <v>0</v>
      </c>
      <c r="D9465">
        <v>0.99752639026300005</v>
      </c>
      <c r="E9465">
        <v>0.91154422788605605</v>
      </c>
    </row>
    <row r="9466" spans="1:5">
      <c r="A9466" t="s">
        <v>10933</v>
      </c>
      <c r="B9466" t="s">
        <v>10940</v>
      </c>
      <c r="C9466">
        <f>0</f>
        <v>0</v>
      </c>
      <c r="D9466">
        <v>0.99752639026300005</v>
      </c>
      <c r="E9466">
        <v>0.91154422788605605</v>
      </c>
    </row>
    <row r="9467" spans="1:5">
      <c r="A9467" t="s">
        <v>10933</v>
      </c>
      <c r="B9467" t="s">
        <v>10941</v>
      </c>
      <c r="C9467">
        <f>0.417199368322</f>
        <v>0.417199368322</v>
      </c>
      <c r="D9467">
        <v>0.99752639026300005</v>
      </c>
      <c r="E9467">
        <v>0.91154422788605605</v>
      </c>
    </row>
    <row r="9468" spans="1:5">
      <c r="A9468" t="s">
        <v>10933</v>
      </c>
      <c r="B9468" t="s">
        <v>10942</v>
      </c>
      <c r="C9468">
        <v>0</v>
      </c>
      <c r="D9468">
        <v>0.99752639026300005</v>
      </c>
      <c r="E9468">
        <v>0.91154422788605605</v>
      </c>
    </row>
    <row r="9469" spans="1:5">
      <c r="A9469" t="s">
        <v>10933</v>
      </c>
      <c r="B9469" t="s">
        <v>10943</v>
      </c>
      <c r="C9469">
        <f>0</f>
        <v>0</v>
      </c>
      <c r="D9469">
        <v>0.99752639026300005</v>
      </c>
      <c r="E9469">
        <v>0.91154422788605605</v>
      </c>
    </row>
    <row r="9470" spans="1:5">
      <c r="A9470" t="s">
        <v>10933</v>
      </c>
      <c r="B9470" t="s">
        <v>10944</v>
      </c>
      <c r="C9470">
        <f>0</f>
        <v>0</v>
      </c>
      <c r="D9470">
        <v>0.99752639026300005</v>
      </c>
      <c r="E9470">
        <v>0.91154422788605605</v>
      </c>
    </row>
    <row r="9471" spans="1:5">
      <c r="A9471" t="s">
        <v>10933</v>
      </c>
      <c r="B9471" t="s">
        <v>10945</v>
      </c>
      <c r="C9471">
        <v>0.30441478803499999</v>
      </c>
      <c r="D9471">
        <v>0.99752639026300005</v>
      </c>
      <c r="E9471">
        <v>0.91154422788605605</v>
      </c>
    </row>
    <row r="9472" spans="1:5">
      <c r="A9472" t="s">
        <v>10933</v>
      </c>
      <c r="B9472" t="s">
        <v>10946</v>
      </c>
      <c r="C9472">
        <f>0</f>
        <v>0</v>
      </c>
      <c r="D9472">
        <v>0.99752639026300005</v>
      </c>
      <c r="E9472">
        <v>0.91154422788605605</v>
      </c>
    </row>
    <row r="9473" spans="1:5">
      <c r="A9473" t="s">
        <v>10933</v>
      </c>
      <c r="B9473" t="s">
        <v>10947</v>
      </c>
      <c r="C9473">
        <f>0</f>
        <v>0</v>
      </c>
      <c r="D9473">
        <v>0.99752639026300005</v>
      </c>
      <c r="E9473">
        <v>0.91154422788605605</v>
      </c>
    </row>
    <row r="9474" spans="1:5">
      <c r="A9474" t="s">
        <v>10933</v>
      </c>
      <c r="B9474" t="s">
        <v>10948</v>
      </c>
      <c r="C9474">
        <f>0</f>
        <v>0</v>
      </c>
      <c r="D9474">
        <v>0.99752639026300005</v>
      </c>
      <c r="E9474">
        <v>0.91154422788605605</v>
      </c>
    </row>
    <row r="9475" spans="1:5">
      <c r="A9475" t="s">
        <v>10933</v>
      </c>
      <c r="B9475" t="s">
        <v>10949</v>
      </c>
      <c r="C9475">
        <f>0</f>
        <v>0</v>
      </c>
      <c r="D9475">
        <v>0.99752639026300005</v>
      </c>
      <c r="E9475">
        <v>0.91154422788605605</v>
      </c>
    </row>
    <row r="9476" spans="1:5">
      <c r="A9476" t="s">
        <v>10933</v>
      </c>
      <c r="B9476" t="s">
        <v>10950</v>
      </c>
      <c r="C9476">
        <f>0</f>
        <v>0</v>
      </c>
      <c r="D9476">
        <v>0.99752639026300005</v>
      </c>
      <c r="E9476">
        <v>0.91154422788605605</v>
      </c>
    </row>
    <row r="9477" spans="1:5">
      <c r="A9477" t="s">
        <v>10933</v>
      </c>
      <c r="B9477" t="s">
        <v>10951</v>
      </c>
      <c r="C9477">
        <f>0</f>
        <v>0</v>
      </c>
      <c r="D9477">
        <v>0.99752639026300005</v>
      </c>
      <c r="E9477">
        <v>0.91154422788605605</v>
      </c>
    </row>
    <row r="9478" spans="1:5">
      <c r="A9478" t="s">
        <v>10933</v>
      </c>
      <c r="B9478" t="s">
        <v>10952</v>
      </c>
      <c r="C9478">
        <f>0</f>
        <v>0</v>
      </c>
      <c r="D9478">
        <v>0.99752639026300005</v>
      </c>
      <c r="E9478">
        <v>0.91154422788605605</v>
      </c>
    </row>
    <row r="9479" spans="1:5">
      <c r="A9479" t="s">
        <v>10933</v>
      </c>
      <c r="B9479" t="s">
        <v>10953</v>
      </c>
      <c r="C9479">
        <f>0</f>
        <v>0</v>
      </c>
      <c r="D9479">
        <v>0.99752639026300005</v>
      </c>
      <c r="E9479">
        <v>0.91154422788605605</v>
      </c>
    </row>
    <row r="9480" spans="1:5">
      <c r="A9480" t="s">
        <v>10933</v>
      </c>
      <c r="B9480" t="s">
        <v>10954</v>
      </c>
      <c r="C9480">
        <f>0</f>
        <v>0</v>
      </c>
      <c r="D9480">
        <v>0.99752639026300005</v>
      </c>
      <c r="E9480">
        <v>0.91154422788605605</v>
      </c>
    </row>
    <row r="9481" spans="1:5">
      <c r="A9481" t="s">
        <v>10933</v>
      </c>
      <c r="B9481" t="s">
        <v>10955</v>
      </c>
      <c r="C9481">
        <f>0</f>
        <v>0</v>
      </c>
      <c r="D9481">
        <v>0.99752639026300005</v>
      </c>
      <c r="E9481">
        <v>0.91154422788605605</v>
      </c>
    </row>
    <row r="9482" spans="1:5">
      <c r="A9482" t="s">
        <v>10933</v>
      </c>
      <c r="B9482" t="s">
        <v>10956</v>
      </c>
      <c r="C9482">
        <f>0</f>
        <v>0</v>
      </c>
      <c r="D9482">
        <v>0.99752639026300005</v>
      </c>
      <c r="E9482">
        <v>0.91154422788605605</v>
      </c>
    </row>
    <row r="9483" spans="1:5">
      <c r="A9483" t="s">
        <v>10933</v>
      </c>
      <c r="B9483" t="s">
        <v>10957</v>
      </c>
      <c r="C9483">
        <v>0</v>
      </c>
      <c r="D9483">
        <v>0.99752639026300005</v>
      </c>
      <c r="E9483">
        <v>0.91154422788605605</v>
      </c>
    </row>
    <row r="9484" spans="1:5">
      <c r="A9484" t="s">
        <v>10958</v>
      </c>
      <c r="B9484" t="s">
        <v>10959</v>
      </c>
      <c r="C9484">
        <v>9.0284448653099994E-2</v>
      </c>
      <c r="D9484">
        <v>0.85341734642400002</v>
      </c>
      <c r="E9484">
        <v>24</v>
      </c>
    </row>
    <row r="9485" spans="1:5">
      <c r="A9485" t="s">
        <v>10958</v>
      </c>
      <c r="B9485" t="s">
        <v>10960</v>
      </c>
      <c r="C9485">
        <v>0</v>
      </c>
      <c r="D9485">
        <v>0.85341734642400002</v>
      </c>
      <c r="E9485">
        <v>24</v>
      </c>
    </row>
    <row r="9486" spans="1:5">
      <c r="A9486" t="s">
        <v>10958</v>
      </c>
      <c r="B9486" t="s">
        <v>10961</v>
      </c>
      <c r="C9486">
        <v>3.8763994354500002E-2</v>
      </c>
      <c r="D9486">
        <v>0.85341734642400002</v>
      </c>
      <c r="E9486">
        <v>24</v>
      </c>
    </row>
    <row r="9487" spans="1:5">
      <c r="A9487" t="s">
        <v>10958</v>
      </c>
      <c r="B9487" t="s">
        <v>10962</v>
      </c>
      <c r="C9487">
        <v>0</v>
      </c>
      <c r="D9487">
        <v>0.85341734642400002</v>
      </c>
      <c r="E9487">
        <v>24</v>
      </c>
    </row>
    <row r="9488" spans="1:5">
      <c r="A9488" t="s">
        <v>10963</v>
      </c>
      <c r="B9488" t="s">
        <v>10964</v>
      </c>
      <c r="C9488">
        <v>0.24758873567799999</v>
      </c>
      <c r="D9488">
        <v>0.93540035475899996</v>
      </c>
      <c r="E9488">
        <v>14.176911544227799</v>
      </c>
    </row>
    <row r="9489" spans="1:5">
      <c r="A9489" t="s">
        <v>10963</v>
      </c>
      <c r="B9489" t="s">
        <v>10965</v>
      </c>
      <c r="C9489">
        <v>0</v>
      </c>
      <c r="D9489">
        <v>0.93540035475899996</v>
      </c>
      <c r="E9489">
        <v>14.176911544227799</v>
      </c>
    </row>
    <row r="9490" spans="1:5">
      <c r="A9490" t="s">
        <v>10966</v>
      </c>
      <c r="B9490" t="s">
        <v>10967</v>
      </c>
      <c r="C9490">
        <v>0.447363138401</v>
      </c>
      <c r="D9490">
        <v>0.989902053547</v>
      </c>
      <c r="E9490">
        <v>10.878560719640101</v>
      </c>
    </row>
    <row r="9491" spans="1:5">
      <c r="A9491" t="s">
        <v>10966</v>
      </c>
      <c r="B9491" t="s">
        <v>10968</v>
      </c>
      <c r="C9491">
        <v>2.1374256921199999E-3</v>
      </c>
      <c r="D9491">
        <v>0.989902053547</v>
      </c>
      <c r="E9491">
        <v>10.878560719640101</v>
      </c>
    </row>
    <row r="9492" spans="1:5">
      <c r="A9492" t="s">
        <v>10969</v>
      </c>
      <c r="B9492" t="s">
        <v>10970</v>
      </c>
      <c r="C9492">
        <v>8.2909359419999995E-2</v>
      </c>
      <c r="D9492">
        <v>0.78452383622099997</v>
      </c>
      <c r="E9492">
        <v>4.7976011994003001</v>
      </c>
    </row>
    <row r="9493" spans="1:5">
      <c r="A9493" t="s">
        <v>10971</v>
      </c>
      <c r="B9493" t="s">
        <v>10972</v>
      </c>
      <c r="C9493">
        <v>0.60775121924599995</v>
      </c>
      <c r="D9493">
        <v>0.99440537954200003</v>
      </c>
      <c r="E9493">
        <v>8.4317841079460205</v>
      </c>
    </row>
    <row r="9494" spans="1:5">
      <c r="A9494" t="s">
        <v>10973</v>
      </c>
      <c r="B9494" t="s">
        <v>10974</v>
      </c>
      <c r="C9494">
        <f>0</f>
        <v>0</v>
      </c>
      <c r="D9494" t="s">
        <v>106</v>
      </c>
      <c r="E9494">
        <v>5.8170914542728598</v>
      </c>
    </row>
    <row r="9495" spans="1:5">
      <c r="A9495" t="s">
        <v>10973</v>
      </c>
      <c r="B9495" t="s">
        <v>10975</v>
      </c>
      <c r="C9495">
        <f>0</f>
        <v>0</v>
      </c>
      <c r="D9495" t="s">
        <v>106</v>
      </c>
      <c r="E9495">
        <v>5.8170914542728598</v>
      </c>
    </row>
    <row r="9496" spans="1:5">
      <c r="A9496" t="s">
        <v>10976</v>
      </c>
      <c r="B9496" t="s">
        <v>10977</v>
      </c>
      <c r="C9496">
        <v>0</v>
      </c>
      <c r="D9496" t="s">
        <v>106</v>
      </c>
      <c r="E9496">
        <v>1.8230884557721101</v>
      </c>
    </row>
    <row r="9497" spans="1:5">
      <c r="A9497" t="s">
        <v>10976</v>
      </c>
      <c r="B9497" t="s">
        <v>10978</v>
      </c>
      <c r="C9497">
        <v>0</v>
      </c>
      <c r="D9497" t="s">
        <v>106</v>
      </c>
      <c r="E9497">
        <v>1.8230884557721101</v>
      </c>
    </row>
    <row r="9498" spans="1:5">
      <c r="A9498" t="s">
        <v>10976</v>
      </c>
      <c r="B9498" t="s">
        <v>10979</v>
      </c>
      <c r="C9498">
        <v>0</v>
      </c>
      <c r="D9498" t="s">
        <v>106</v>
      </c>
      <c r="E9498">
        <v>1.8230884557721101</v>
      </c>
    </row>
    <row r="9499" spans="1:5">
      <c r="A9499" t="s">
        <v>10976</v>
      </c>
      <c r="B9499" t="s">
        <v>10980</v>
      </c>
      <c r="C9499">
        <v>0</v>
      </c>
      <c r="D9499" t="s">
        <v>106</v>
      </c>
      <c r="E9499">
        <v>1.8230884557721101</v>
      </c>
    </row>
    <row r="9500" spans="1:5">
      <c r="A9500" t="s">
        <v>10976</v>
      </c>
      <c r="B9500" t="s">
        <v>10981</v>
      </c>
      <c r="C9500">
        <v>0</v>
      </c>
      <c r="D9500" t="s">
        <v>106</v>
      </c>
      <c r="E9500">
        <v>1.8230884557721101</v>
      </c>
    </row>
    <row r="9501" spans="1:5">
      <c r="A9501" t="s">
        <v>10976</v>
      </c>
      <c r="B9501" t="s">
        <v>10982</v>
      </c>
      <c r="C9501">
        <v>0</v>
      </c>
      <c r="D9501" t="s">
        <v>106</v>
      </c>
      <c r="E9501">
        <v>1.8230884557721101</v>
      </c>
    </row>
    <row r="9502" spans="1:5">
      <c r="A9502" t="s">
        <v>10976</v>
      </c>
      <c r="B9502" t="s">
        <v>10983</v>
      </c>
      <c r="C9502">
        <v>0</v>
      </c>
      <c r="D9502" t="s">
        <v>106</v>
      </c>
      <c r="E9502">
        <v>1.8230884557721101</v>
      </c>
    </row>
    <row r="9503" spans="1:5">
      <c r="A9503" t="s">
        <v>10976</v>
      </c>
      <c r="B9503" t="s">
        <v>10984</v>
      </c>
      <c r="C9503">
        <v>0</v>
      </c>
      <c r="D9503" t="s">
        <v>106</v>
      </c>
      <c r="E9503">
        <v>1.8230884557721101</v>
      </c>
    </row>
    <row r="9504" spans="1:5">
      <c r="A9504" t="s">
        <v>10985</v>
      </c>
      <c r="B9504" t="s">
        <v>10986</v>
      </c>
      <c r="C9504">
        <f>0.0410665630321</f>
        <v>4.1066563032099997E-2</v>
      </c>
      <c r="D9504">
        <v>0.93968577815200005</v>
      </c>
      <c r="E9504">
        <v>22.332833583208298</v>
      </c>
    </row>
    <row r="9505" spans="1:5">
      <c r="A9505" t="s">
        <v>10985</v>
      </c>
      <c r="B9505" t="s">
        <v>10987</v>
      </c>
      <c r="C9505">
        <f>0</f>
        <v>0</v>
      </c>
      <c r="D9505">
        <v>0.93968577815200005</v>
      </c>
      <c r="E9505">
        <v>22.332833583208298</v>
      </c>
    </row>
    <row r="9506" spans="1:5">
      <c r="A9506" t="s">
        <v>10985</v>
      </c>
      <c r="B9506" t="s">
        <v>10988</v>
      </c>
      <c r="C9506">
        <v>3.5129578247199998E-2</v>
      </c>
      <c r="D9506">
        <v>0.93968577815200005</v>
      </c>
      <c r="E9506">
        <v>22.332833583208298</v>
      </c>
    </row>
    <row r="9507" spans="1:5">
      <c r="A9507" t="s">
        <v>10985</v>
      </c>
      <c r="B9507" t="s">
        <v>10989</v>
      </c>
      <c r="C9507">
        <v>0</v>
      </c>
      <c r="D9507">
        <v>0.93968577815200005</v>
      </c>
      <c r="E9507">
        <v>22.332833583208298</v>
      </c>
    </row>
    <row r="9508" spans="1:5">
      <c r="A9508" t="s">
        <v>10985</v>
      </c>
      <c r="B9508" t="s">
        <v>10990</v>
      </c>
      <c r="C9508">
        <v>0</v>
      </c>
      <c r="D9508">
        <v>0.93968577815200005</v>
      </c>
      <c r="E9508">
        <v>22.332833583208298</v>
      </c>
    </row>
    <row r="9509" spans="1:5">
      <c r="A9509" t="s">
        <v>10991</v>
      </c>
      <c r="B9509" t="s">
        <v>10992</v>
      </c>
      <c r="C9509">
        <v>0.176778475904</v>
      </c>
      <c r="D9509" t="s">
        <v>106</v>
      </c>
      <c r="E9509">
        <v>20.065967016491701</v>
      </c>
    </row>
    <row r="9510" spans="1:5">
      <c r="A9510" t="s">
        <v>10991</v>
      </c>
      <c r="B9510" t="s">
        <v>10993</v>
      </c>
      <c r="C9510">
        <v>2.1430893852300001E-2</v>
      </c>
      <c r="D9510" t="s">
        <v>106</v>
      </c>
      <c r="E9510">
        <v>20.065967016491701</v>
      </c>
    </row>
    <row r="9511" spans="1:5">
      <c r="A9511" t="s">
        <v>10991</v>
      </c>
      <c r="B9511" t="s">
        <v>10994</v>
      </c>
      <c r="C9511">
        <v>0</v>
      </c>
      <c r="D9511" t="s">
        <v>106</v>
      </c>
      <c r="E9511">
        <v>20.065967016491701</v>
      </c>
    </row>
    <row r="9512" spans="1:5">
      <c r="A9512" t="s">
        <v>10995</v>
      </c>
      <c r="B9512" t="s">
        <v>10996</v>
      </c>
      <c r="C9512">
        <v>0</v>
      </c>
      <c r="D9512" t="s">
        <v>106</v>
      </c>
      <c r="E9512">
        <v>21.637181409295302</v>
      </c>
    </row>
    <row r="9513" spans="1:5">
      <c r="A9513" t="s">
        <v>10995</v>
      </c>
      <c r="B9513" t="s">
        <v>10997</v>
      </c>
      <c r="C9513">
        <f>0</f>
        <v>0</v>
      </c>
      <c r="D9513" t="s">
        <v>106</v>
      </c>
      <c r="E9513">
        <v>21.637181409295302</v>
      </c>
    </row>
    <row r="9514" spans="1:5">
      <c r="A9514" t="s">
        <v>10995</v>
      </c>
      <c r="B9514" t="s">
        <v>10998</v>
      </c>
      <c r="C9514">
        <v>0</v>
      </c>
      <c r="D9514" t="s">
        <v>106</v>
      </c>
      <c r="E9514">
        <v>21.637181409295302</v>
      </c>
    </row>
    <row r="9515" spans="1:5">
      <c r="A9515" t="s">
        <v>10995</v>
      </c>
      <c r="B9515" t="s">
        <v>10999</v>
      </c>
      <c r="C9515">
        <v>0</v>
      </c>
      <c r="D9515" t="s">
        <v>106</v>
      </c>
      <c r="E9515">
        <v>21.637181409295302</v>
      </c>
    </row>
    <row r="9516" spans="1:5">
      <c r="A9516" t="s">
        <v>11000</v>
      </c>
      <c r="B9516" t="s">
        <v>11001</v>
      </c>
      <c r="C9516">
        <f>0</f>
        <v>0</v>
      </c>
      <c r="D9516" t="s">
        <v>106</v>
      </c>
      <c r="E9516">
        <v>1.16341829085457</v>
      </c>
    </row>
    <row r="9517" spans="1:5">
      <c r="A9517" t="s">
        <v>11000</v>
      </c>
      <c r="B9517" t="s">
        <v>11002</v>
      </c>
      <c r="C9517">
        <f>0</f>
        <v>0</v>
      </c>
      <c r="D9517" t="s">
        <v>106</v>
      </c>
      <c r="E9517">
        <v>1.16341829085457</v>
      </c>
    </row>
    <row r="9518" spans="1:5">
      <c r="A9518" t="s">
        <v>11000</v>
      </c>
      <c r="B9518" t="s">
        <v>11003</v>
      </c>
      <c r="C9518">
        <f>0</f>
        <v>0</v>
      </c>
      <c r="D9518" t="s">
        <v>106</v>
      </c>
      <c r="E9518">
        <v>1.16341829085457</v>
      </c>
    </row>
    <row r="9519" spans="1:5">
      <c r="A9519" t="s">
        <v>11000</v>
      </c>
      <c r="B9519" t="s">
        <v>11004</v>
      </c>
      <c r="C9519">
        <f>0</f>
        <v>0</v>
      </c>
      <c r="D9519" t="s">
        <v>106</v>
      </c>
      <c r="E9519">
        <v>1.16341829085457</v>
      </c>
    </row>
    <row r="9520" spans="1:5">
      <c r="A9520" t="s">
        <v>11005</v>
      </c>
      <c r="B9520" t="s">
        <v>11006</v>
      </c>
      <c r="C9520">
        <v>0</v>
      </c>
      <c r="D9520">
        <v>0.99122281566600001</v>
      </c>
      <c r="E9520">
        <v>12.3898050974512</v>
      </c>
    </row>
    <row r="9521" spans="1:5">
      <c r="A9521" t="s">
        <v>11005</v>
      </c>
      <c r="B9521" t="s">
        <v>11007</v>
      </c>
      <c r="C9521">
        <f>0</f>
        <v>0</v>
      </c>
      <c r="D9521">
        <v>0.99122281566600001</v>
      </c>
      <c r="E9521">
        <v>12.3898050974512</v>
      </c>
    </row>
    <row r="9522" spans="1:5">
      <c r="A9522" t="s">
        <v>11005</v>
      </c>
      <c r="B9522" t="s">
        <v>11008</v>
      </c>
      <c r="C9522">
        <v>0</v>
      </c>
      <c r="D9522">
        <v>0.99122281566600001</v>
      </c>
      <c r="E9522">
        <v>12.3898050974512</v>
      </c>
    </row>
    <row r="9523" spans="1:5">
      <c r="A9523" t="s">
        <v>11005</v>
      </c>
      <c r="B9523" t="s">
        <v>11009</v>
      </c>
      <c r="C9523">
        <v>0</v>
      </c>
      <c r="D9523">
        <v>0.99122281566600001</v>
      </c>
      <c r="E9523">
        <v>12.3898050974512</v>
      </c>
    </row>
    <row r="9524" spans="1:5">
      <c r="A9524" t="s">
        <v>11005</v>
      </c>
      <c r="B9524" t="s">
        <v>11010</v>
      </c>
      <c r="C9524">
        <v>0.207454979899</v>
      </c>
      <c r="D9524">
        <v>0.99122281566600001</v>
      </c>
      <c r="E9524">
        <v>12.3898050974512</v>
      </c>
    </row>
    <row r="9525" spans="1:5">
      <c r="A9525" t="s">
        <v>11005</v>
      </c>
      <c r="B9525" t="s">
        <v>11011</v>
      </c>
      <c r="C9525">
        <v>0</v>
      </c>
      <c r="D9525">
        <v>0.99122281566600001</v>
      </c>
      <c r="E9525">
        <v>12.3898050974512</v>
      </c>
    </row>
    <row r="9526" spans="1:5">
      <c r="A9526" t="s">
        <v>11005</v>
      </c>
      <c r="B9526" t="s">
        <v>11012</v>
      </c>
      <c r="C9526">
        <v>0</v>
      </c>
      <c r="D9526">
        <v>0.99122281566600001</v>
      </c>
      <c r="E9526">
        <v>12.3898050974512</v>
      </c>
    </row>
    <row r="9527" spans="1:5">
      <c r="A9527" t="s">
        <v>11005</v>
      </c>
      <c r="B9527" t="s">
        <v>11013</v>
      </c>
      <c r="C9527">
        <v>0</v>
      </c>
      <c r="D9527">
        <v>0.99122281566600001</v>
      </c>
      <c r="E9527">
        <v>12.3898050974512</v>
      </c>
    </row>
    <row r="9528" spans="1:5">
      <c r="A9528" t="s">
        <v>11005</v>
      </c>
      <c r="B9528" t="s">
        <v>11014</v>
      </c>
      <c r="C9528">
        <v>0</v>
      </c>
      <c r="D9528">
        <v>0.99122281566600001</v>
      </c>
      <c r="E9528">
        <v>12.3898050974512</v>
      </c>
    </row>
    <row r="9529" spans="1:5">
      <c r="A9529" t="s">
        <v>11005</v>
      </c>
      <c r="B9529" t="s">
        <v>11015</v>
      </c>
      <c r="C9529">
        <v>0</v>
      </c>
      <c r="D9529">
        <v>0.99122281566600001</v>
      </c>
      <c r="E9529">
        <v>12.3898050974512</v>
      </c>
    </row>
    <row r="9530" spans="1:5">
      <c r="A9530" t="s">
        <v>11005</v>
      </c>
      <c r="B9530" t="s">
        <v>11016</v>
      </c>
      <c r="C9530">
        <v>0</v>
      </c>
      <c r="D9530">
        <v>0.99122281566600001</v>
      </c>
      <c r="E9530">
        <v>12.3898050974512</v>
      </c>
    </row>
    <row r="9531" spans="1:5">
      <c r="A9531" t="s">
        <v>11005</v>
      </c>
      <c r="B9531" t="s">
        <v>11017</v>
      </c>
      <c r="C9531">
        <v>0</v>
      </c>
      <c r="D9531">
        <v>0.99122281566600001</v>
      </c>
      <c r="E9531">
        <v>12.3898050974512</v>
      </c>
    </row>
    <row r="9532" spans="1:5">
      <c r="A9532" t="s">
        <v>11005</v>
      </c>
      <c r="B9532" t="s">
        <v>11018</v>
      </c>
      <c r="C9532">
        <v>0</v>
      </c>
      <c r="D9532">
        <v>0.99122281566600001</v>
      </c>
      <c r="E9532">
        <v>12.3898050974512</v>
      </c>
    </row>
    <row r="9533" spans="1:5">
      <c r="A9533" t="s">
        <v>11005</v>
      </c>
      <c r="B9533" t="s">
        <v>11019</v>
      </c>
      <c r="C9533">
        <v>0</v>
      </c>
      <c r="D9533">
        <v>0.99122281566600001</v>
      </c>
      <c r="E9533">
        <v>12.3898050974512</v>
      </c>
    </row>
    <row r="9534" spans="1:5">
      <c r="A9534" t="s">
        <v>11020</v>
      </c>
      <c r="B9534" t="s">
        <v>11021</v>
      </c>
      <c r="C9534">
        <f>0.114781049706</f>
        <v>0.114781049706</v>
      </c>
      <c r="D9534">
        <v>0.59962365654899996</v>
      </c>
      <c r="E9534">
        <v>0.215892053973013</v>
      </c>
    </row>
    <row r="9535" spans="1:5">
      <c r="A9535" t="s">
        <v>11020</v>
      </c>
      <c r="B9535" t="s">
        <v>11022</v>
      </c>
      <c r="C9535">
        <v>1.54878364772E-2</v>
      </c>
      <c r="D9535">
        <v>0.59962365654899996</v>
      </c>
      <c r="E9535">
        <v>0.215892053973013</v>
      </c>
    </row>
    <row r="9536" spans="1:5">
      <c r="A9536" t="s">
        <v>11020</v>
      </c>
      <c r="B9536" t="s">
        <v>11023</v>
      </c>
      <c r="C9536">
        <v>0</v>
      </c>
      <c r="D9536">
        <v>0.59962365654899996</v>
      </c>
      <c r="E9536">
        <v>0.215892053973013</v>
      </c>
    </row>
    <row r="9537" spans="1:5">
      <c r="A9537" t="s">
        <v>11024</v>
      </c>
      <c r="B9537" t="s">
        <v>11025</v>
      </c>
      <c r="C9537">
        <f>0.0244760814407</f>
        <v>2.4476081440700001E-2</v>
      </c>
      <c r="D9537">
        <v>0.96399661253199997</v>
      </c>
      <c r="E9537">
        <v>9.7631184407796106</v>
      </c>
    </row>
    <row r="9538" spans="1:5">
      <c r="A9538" t="s">
        <v>11024</v>
      </c>
      <c r="B9538" t="s">
        <v>11026</v>
      </c>
      <c r="C9538">
        <f>0.180875041176</f>
        <v>0.18087504117600001</v>
      </c>
      <c r="D9538">
        <v>0.96399661253199997</v>
      </c>
      <c r="E9538">
        <v>9.7631184407796106</v>
      </c>
    </row>
    <row r="9539" spans="1:5">
      <c r="A9539" t="s">
        <v>11024</v>
      </c>
      <c r="B9539" t="s">
        <v>11027</v>
      </c>
      <c r="C9539">
        <f>0</f>
        <v>0</v>
      </c>
      <c r="D9539">
        <v>0.96399661253199997</v>
      </c>
      <c r="E9539">
        <v>9.7631184407796106</v>
      </c>
    </row>
    <row r="9540" spans="1:5">
      <c r="A9540" t="s">
        <v>11024</v>
      </c>
      <c r="B9540" t="s">
        <v>11028</v>
      </c>
      <c r="C9540">
        <f>0</f>
        <v>0</v>
      </c>
      <c r="D9540">
        <v>0.96399661253199997</v>
      </c>
      <c r="E9540">
        <v>9.7631184407796106</v>
      </c>
    </row>
    <row r="9541" spans="1:5">
      <c r="A9541" t="s">
        <v>11024</v>
      </c>
      <c r="B9541" t="s">
        <v>11029</v>
      </c>
      <c r="C9541">
        <v>0</v>
      </c>
      <c r="D9541">
        <v>0.96399661253199997</v>
      </c>
      <c r="E9541">
        <v>9.7631184407796106</v>
      </c>
    </row>
    <row r="9542" spans="1:5">
      <c r="A9542" t="s">
        <v>11024</v>
      </c>
      <c r="B9542" t="s">
        <v>11030</v>
      </c>
      <c r="C9542">
        <f>0</f>
        <v>0</v>
      </c>
      <c r="D9542">
        <v>0.96399661253199997</v>
      </c>
      <c r="E9542">
        <v>9.7631184407796106</v>
      </c>
    </row>
    <row r="9543" spans="1:5">
      <c r="A9543" t="s">
        <v>11031</v>
      </c>
      <c r="B9543" t="s">
        <v>11032</v>
      </c>
      <c r="C9543">
        <v>0</v>
      </c>
      <c r="D9543">
        <v>0.993315994684</v>
      </c>
      <c r="E9543">
        <v>17.715142428785601</v>
      </c>
    </row>
    <row r="9544" spans="1:5">
      <c r="A9544" t="s">
        <v>11031</v>
      </c>
      <c r="B9544" t="s">
        <v>11033</v>
      </c>
      <c r="C9544">
        <v>5.3651722672600002E-2</v>
      </c>
      <c r="D9544">
        <v>0.993315994684</v>
      </c>
      <c r="E9544">
        <v>17.715142428785601</v>
      </c>
    </row>
    <row r="9545" spans="1:5">
      <c r="A9545" t="s">
        <v>11031</v>
      </c>
      <c r="B9545" t="s">
        <v>11034</v>
      </c>
      <c r="C9545">
        <v>0.12620968439999999</v>
      </c>
      <c r="D9545">
        <v>0.993315994684</v>
      </c>
      <c r="E9545">
        <v>17.715142428785601</v>
      </c>
    </row>
    <row r="9546" spans="1:5">
      <c r="A9546" t="s">
        <v>11031</v>
      </c>
      <c r="B9546" t="s">
        <v>11035</v>
      </c>
      <c r="C9546">
        <v>0</v>
      </c>
      <c r="D9546">
        <v>0.993315994684</v>
      </c>
      <c r="E9546">
        <v>17.715142428785601</v>
      </c>
    </row>
    <row r="9547" spans="1:5">
      <c r="A9547" t="s">
        <v>11031</v>
      </c>
      <c r="B9547" t="s">
        <v>11036</v>
      </c>
      <c r="C9547">
        <v>0</v>
      </c>
      <c r="D9547">
        <v>0.993315994684</v>
      </c>
      <c r="E9547">
        <v>17.715142428785601</v>
      </c>
    </row>
    <row r="9548" spans="1:5">
      <c r="A9548" t="s">
        <v>11031</v>
      </c>
      <c r="B9548" t="s">
        <v>11037</v>
      </c>
      <c r="C9548">
        <f>0</f>
        <v>0</v>
      </c>
      <c r="D9548">
        <v>0.993315994684</v>
      </c>
      <c r="E9548">
        <v>17.715142428785601</v>
      </c>
    </row>
    <row r="9549" spans="1:5">
      <c r="A9549" t="s">
        <v>11038</v>
      </c>
      <c r="B9549" t="s">
        <v>11039</v>
      </c>
      <c r="C9549">
        <f>0.170229942202</f>
        <v>0.170229942202</v>
      </c>
      <c r="D9549" t="s">
        <v>106</v>
      </c>
      <c r="E9549">
        <v>17.715142428785601</v>
      </c>
    </row>
    <row r="9550" spans="1:5">
      <c r="A9550" t="s">
        <v>11038</v>
      </c>
      <c r="B9550" t="s">
        <v>11040</v>
      </c>
      <c r="C9550">
        <f>0</f>
        <v>0</v>
      </c>
      <c r="D9550" t="s">
        <v>106</v>
      </c>
      <c r="E9550">
        <v>17.715142428785601</v>
      </c>
    </row>
    <row r="9551" spans="1:5">
      <c r="A9551" t="s">
        <v>11038</v>
      </c>
      <c r="B9551" t="s">
        <v>11041</v>
      </c>
      <c r="C9551">
        <f>0</f>
        <v>0</v>
      </c>
      <c r="D9551" t="s">
        <v>106</v>
      </c>
      <c r="E9551">
        <v>17.715142428785601</v>
      </c>
    </row>
    <row r="9552" spans="1:5">
      <c r="A9552" t="s">
        <v>11038</v>
      </c>
      <c r="B9552" t="s">
        <v>11042</v>
      </c>
      <c r="C9552">
        <f>0</f>
        <v>0</v>
      </c>
      <c r="D9552" t="s">
        <v>106</v>
      </c>
      <c r="E9552">
        <v>17.715142428785601</v>
      </c>
    </row>
    <row r="9553" spans="1:5">
      <c r="A9553" t="s">
        <v>11038</v>
      </c>
      <c r="B9553" t="s">
        <v>11043</v>
      </c>
      <c r="C9553">
        <v>0</v>
      </c>
      <c r="D9553" t="s">
        <v>106</v>
      </c>
      <c r="E9553">
        <v>17.715142428785601</v>
      </c>
    </row>
    <row r="9554" spans="1:5">
      <c r="A9554" t="s">
        <v>11038</v>
      </c>
      <c r="B9554" t="s">
        <v>11044</v>
      </c>
      <c r="C9554">
        <f>0</f>
        <v>0</v>
      </c>
      <c r="D9554" t="s">
        <v>106</v>
      </c>
      <c r="E9554">
        <v>17.715142428785601</v>
      </c>
    </row>
    <row r="9555" spans="1:5">
      <c r="A9555" t="s">
        <v>11038</v>
      </c>
      <c r="B9555" t="s">
        <v>11045</v>
      </c>
      <c r="C9555">
        <f>0</f>
        <v>0</v>
      </c>
      <c r="D9555" t="s">
        <v>106</v>
      </c>
      <c r="E9555">
        <v>17.715142428785601</v>
      </c>
    </row>
    <row r="9556" spans="1:5">
      <c r="A9556" t="s">
        <v>11046</v>
      </c>
      <c r="B9556" t="s">
        <v>11047</v>
      </c>
      <c r="C9556">
        <v>0</v>
      </c>
      <c r="D9556" t="s">
        <v>106</v>
      </c>
      <c r="E9556">
        <v>20.7376311844077</v>
      </c>
    </row>
    <row r="9557" spans="1:5">
      <c r="A9557" t="s">
        <v>11046</v>
      </c>
      <c r="B9557" t="s">
        <v>11048</v>
      </c>
      <c r="C9557">
        <f>0</f>
        <v>0</v>
      </c>
      <c r="D9557" t="s">
        <v>106</v>
      </c>
      <c r="E9557">
        <v>20.7376311844077</v>
      </c>
    </row>
    <row r="9558" spans="1:5">
      <c r="A9558" t="s">
        <v>11046</v>
      </c>
      <c r="B9558" t="s">
        <v>11049</v>
      </c>
      <c r="C9558">
        <v>0</v>
      </c>
      <c r="D9558" t="s">
        <v>106</v>
      </c>
      <c r="E9558">
        <v>20.7376311844077</v>
      </c>
    </row>
    <row r="9559" spans="1:5">
      <c r="A9559" t="s">
        <v>11046</v>
      </c>
      <c r="B9559" t="s">
        <v>11050</v>
      </c>
      <c r="C9559">
        <f>0</f>
        <v>0</v>
      </c>
      <c r="D9559" t="s">
        <v>106</v>
      </c>
      <c r="E9559">
        <v>20.7376311844077</v>
      </c>
    </row>
    <row r="9560" spans="1:5">
      <c r="A9560" t="s">
        <v>11046</v>
      </c>
      <c r="B9560" t="s">
        <v>11051</v>
      </c>
      <c r="C9560">
        <f>0</f>
        <v>0</v>
      </c>
      <c r="D9560" t="s">
        <v>106</v>
      </c>
      <c r="E9560">
        <v>20.7376311844077</v>
      </c>
    </row>
    <row r="9561" spans="1:5">
      <c r="A9561" t="s">
        <v>11046</v>
      </c>
      <c r="B9561" t="s">
        <v>11052</v>
      </c>
      <c r="C9561">
        <f>0</f>
        <v>0</v>
      </c>
      <c r="D9561" t="s">
        <v>106</v>
      </c>
      <c r="E9561">
        <v>20.7376311844077</v>
      </c>
    </row>
    <row r="9562" spans="1:5">
      <c r="A9562" t="s">
        <v>11046</v>
      </c>
      <c r="B9562" t="s">
        <v>11053</v>
      </c>
      <c r="C9562">
        <v>0</v>
      </c>
      <c r="D9562" t="s">
        <v>106</v>
      </c>
      <c r="E9562">
        <v>20.7376311844077</v>
      </c>
    </row>
    <row r="9563" spans="1:5">
      <c r="A9563" t="s">
        <v>11046</v>
      </c>
      <c r="B9563" t="s">
        <v>11054</v>
      </c>
      <c r="C9563">
        <f>0</f>
        <v>0</v>
      </c>
      <c r="D9563" t="s">
        <v>106</v>
      </c>
      <c r="E9563">
        <v>20.7376311844077</v>
      </c>
    </row>
    <row r="9564" spans="1:5">
      <c r="A9564" t="s">
        <v>11046</v>
      </c>
      <c r="B9564" t="s">
        <v>11055</v>
      </c>
      <c r="C9564">
        <v>0</v>
      </c>
      <c r="D9564" t="s">
        <v>106</v>
      </c>
      <c r="E9564">
        <v>20.7376311844077</v>
      </c>
    </row>
    <row r="9565" spans="1:5">
      <c r="A9565" t="s">
        <v>11046</v>
      </c>
      <c r="B9565" t="s">
        <v>11056</v>
      </c>
      <c r="C9565">
        <v>0</v>
      </c>
      <c r="D9565" t="s">
        <v>106</v>
      </c>
      <c r="E9565">
        <v>20.7376311844077</v>
      </c>
    </row>
    <row r="9566" spans="1:5">
      <c r="A9566" t="s">
        <v>11046</v>
      </c>
      <c r="B9566" t="s">
        <v>11057</v>
      </c>
      <c r="C9566">
        <v>0</v>
      </c>
      <c r="D9566" t="s">
        <v>106</v>
      </c>
      <c r="E9566">
        <v>20.7376311844077</v>
      </c>
    </row>
    <row r="9567" spans="1:5">
      <c r="A9567" t="s">
        <v>11046</v>
      </c>
      <c r="B9567" t="s">
        <v>11058</v>
      </c>
      <c r="C9567">
        <v>0</v>
      </c>
      <c r="D9567" t="s">
        <v>106</v>
      </c>
      <c r="E9567">
        <v>20.7376311844077</v>
      </c>
    </row>
    <row r="9568" spans="1:5">
      <c r="A9568" t="s">
        <v>11059</v>
      </c>
      <c r="B9568" t="s">
        <v>11060</v>
      </c>
      <c r="C9568">
        <f>0</f>
        <v>0</v>
      </c>
      <c r="D9568">
        <v>0.79351107699300005</v>
      </c>
      <c r="E9568">
        <v>19.1904047976012</v>
      </c>
    </row>
    <row r="9569" spans="1:5">
      <c r="A9569" t="s">
        <v>11059</v>
      </c>
      <c r="B9569" t="s">
        <v>11061</v>
      </c>
      <c r="C9569">
        <v>0</v>
      </c>
      <c r="D9569">
        <v>0.79351107699300005</v>
      </c>
      <c r="E9569">
        <v>19.1904047976012</v>
      </c>
    </row>
    <row r="9570" spans="1:5">
      <c r="A9570" t="s">
        <v>11059</v>
      </c>
      <c r="B9570" t="s">
        <v>11062</v>
      </c>
      <c r="C9570">
        <f>0</f>
        <v>0</v>
      </c>
      <c r="D9570">
        <v>0.79351107699300005</v>
      </c>
      <c r="E9570">
        <v>19.1904047976012</v>
      </c>
    </row>
    <row r="9571" spans="1:5">
      <c r="A9571" t="s">
        <v>11063</v>
      </c>
      <c r="B9571" t="s">
        <v>11064</v>
      </c>
      <c r="C9571">
        <v>0.23989980243100001</v>
      </c>
      <c r="D9571">
        <v>0.98991947488900001</v>
      </c>
      <c r="E9571">
        <v>10.398800599700101</v>
      </c>
    </row>
    <row r="9572" spans="1:5">
      <c r="A9572" t="s">
        <v>11063</v>
      </c>
      <c r="B9572" t="s">
        <v>11065</v>
      </c>
      <c r="C9572">
        <v>0</v>
      </c>
      <c r="D9572">
        <v>0.98991947488900001</v>
      </c>
      <c r="E9572">
        <v>10.398800599700101</v>
      </c>
    </row>
    <row r="9573" spans="1:5">
      <c r="A9573" t="s">
        <v>11063</v>
      </c>
      <c r="B9573" t="s">
        <v>11066</v>
      </c>
      <c r="C9573">
        <v>0</v>
      </c>
      <c r="D9573">
        <v>0.98991947488900001</v>
      </c>
      <c r="E9573">
        <v>10.398800599700101</v>
      </c>
    </row>
    <row r="9574" spans="1:5">
      <c r="A9574" t="s">
        <v>11063</v>
      </c>
      <c r="B9574" t="s">
        <v>11067</v>
      </c>
      <c r="C9574">
        <v>0.41018055251300001</v>
      </c>
      <c r="D9574">
        <v>0.98991947488900001</v>
      </c>
      <c r="E9574">
        <v>10.398800599700101</v>
      </c>
    </row>
    <row r="9575" spans="1:5">
      <c r="A9575" t="s">
        <v>11063</v>
      </c>
      <c r="B9575" t="s">
        <v>11068</v>
      </c>
      <c r="C9575">
        <f>0</f>
        <v>0</v>
      </c>
      <c r="D9575">
        <v>0.98991947488900001</v>
      </c>
      <c r="E9575">
        <v>10.398800599700101</v>
      </c>
    </row>
    <row r="9576" spans="1:5">
      <c r="A9576" t="s">
        <v>11063</v>
      </c>
      <c r="B9576" t="s">
        <v>11069</v>
      </c>
      <c r="C9576">
        <v>0</v>
      </c>
      <c r="D9576">
        <v>0.98991947488900001</v>
      </c>
      <c r="E9576">
        <v>10.398800599700101</v>
      </c>
    </row>
    <row r="9577" spans="1:5">
      <c r="A9577" t="s">
        <v>11063</v>
      </c>
      <c r="B9577" t="s">
        <v>11070</v>
      </c>
      <c r="C9577">
        <f>0</f>
        <v>0</v>
      </c>
      <c r="D9577">
        <v>0.98991947488900001</v>
      </c>
      <c r="E9577">
        <v>10.398800599700101</v>
      </c>
    </row>
    <row r="9578" spans="1:5">
      <c r="A9578" t="s">
        <v>11063</v>
      </c>
      <c r="B9578" t="s">
        <v>11071</v>
      </c>
      <c r="C9578">
        <f>0</f>
        <v>0</v>
      </c>
      <c r="D9578">
        <v>0.98991947488900001</v>
      </c>
      <c r="E9578">
        <v>10.398800599700101</v>
      </c>
    </row>
    <row r="9579" spans="1:5">
      <c r="A9579" t="s">
        <v>11063</v>
      </c>
      <c r="B9579" t="s">
        <v>11072</v>
      </c>
      <c r="C9579">
        <v>0</v>
      </c>
      <c r="D9579">
        <v>0.98991947488900001</v>
      </c>
      <c r="E9579">
        <v>10.398800599700101</v>
      </c>
    </row>
    <row r="9580" spans="1:5">
      <c r="A9580" t="s">
        <v>11063</v>
      </c>
      <c r="B9580" t="s">
        <v>11073</v>
      </c>
      <c r="C9580">
        <v>0</v>
      </c>
      <c r="D9580">
        <v>0.98991947488900001</v>
      </c>
      <c r="E9580">
        <v>10.398800599700101</v>
      </c>
    </row>
    <row r="9581" spans="1:5">
      <c r="A9581" t="s">
        <v>11074</v>
      </c>
      <c r="B9581" t="s">
        <v>11075</v>
      </c>
      <c r="C9581">
        <v>0.15651131263199999</v>
      </c>
      <c r="D9581" t="s">
        <v>106</v>
      </c>
      <c r="E9581">
        <v>22.800599700149899</v>
      </c>
    </row>
    <row r="9582" spans="1:5">
      <c r="A9582" t="s">
        <v>11074</v>
      </c>
      <c r="B9582" t="s">
        <v>11076</v>
      </c>
      <c r="C9582">
        <f>0</f>
        <v>0</v>
      </c>
      <c r="D9582" t="s">
        <v>106</v>
      </c>
      <c r="E9582">
        <v>22.800599700149899</v>
      </c>
    </row>
    <row r="9583" spans="1:5">
      <c r="A9583" t="s">
        <v>11074</v>
      </c>
      <c r="B9583" t="s">
        <v>11077</v>
      </c>
      <c r="C9583">
        <f>0</f>
        <v>0</v>
      </c>
      <c r="D9583" t="s">
        <v>106</v>
      </c>
      <c r="E9583">
        <v>22.800599700149899</v>
      </c>
    </row>
    <row r="9584" spans="1:5">
      <c r="A9584" t="s">
        <v>11074</v>
      </c>
      <c r="B9584" t="s">
        <v>11078</v>
      </c>
      <c r="C9584">
        <f>0.055172692104</f>
        <v>5.5172692103999998E-2</v>
      </c>
      <c r="D9584" t="s">
        <v>106</v>
      </c>
      <c r="E9584">
        <v>22.800599700149899</v>
      </c>
    </row>
    <row r="9585" spans="1:5">
      <c r="A9585" t="s">
        <v>11074</v>
      </c>
      <c r="B9585" t="s">
        <v>11079</v>
      </c>
      <c r="C9585">
        <f>0</f>
        <v>0</v>
      </c>
      <c r="D9585" t="s">
        <v>106</v>
      </c>
      <c r="E9585">
        <v>22.800599700149899</v>
      </c>
    </row>
    <row r="9586" spans="1:5">
      <c r="A9586" t="s">
        <v>11074</v>
      </c>
      <c r="B9586" t="s">
        <v>11080</v>
      </c>
      <c r="C9586">
        <f>0</f>
        <v>0</v>
      </c>
      <c r="D9586" t="s">
        <v>106</v>
      </c>
      <c r="E9586">
        <v>22.800599700149899</v>
      </c>
    </row>
    <row r="9587" spans="1:5">
      <c r="A9587" t="s">
        <v>11074</v>
      </c>
      <c r="B9587" t="s">
        <v>11081</v>
      </c>
      <c r="C9587">
        <v>0</v>
      </c>
      <c r="D9587" t="s">
        <v>106</v>
      </c>
      <c r="E9587">
        <v>22.800599700149899</v>
      </c>
    </row>
    <row r="9588" spans="1:5">
      <c r="A9588" t="s">
        <v>11074</v>
      </c>
      <c r="B9588" t="s">
        <v>11082</v>
      </c>
      <c r="C9588">
        <f>0</f>
        <v>0</v>
      </c>
      <c r="D9588" t="s">
        <v>106</v>
      </c>
      <c r="E9588">
        <v>22.800599700149899</v>
      </c>
    </row>
    <row r="9589" spans="1:5">
      <c r="A9589" t="s">
        <v>11074</v>
      </c>
      <c r="B9589" t="s">
        <v>11083</v>
      </c>
      <c r="C9589">
        <f>0</f>
        <v>0</v>
      </c>
      <c r="D9589" t="s">
        <v>106</v>
      </c>
      <c r="E9589">
        <v>22.800599700149899</v>
      </c>
    </row>
    <row r="9590" spans="1:5">
      <c r="A9590" t="s">
        <v>11074</v>
      </c>
      <c r="B9590" t="s">
        <v>11084</v>
      </c>
      <c r="C9590">
        <v>0</v>
      </c>
      <c r="D9590" t="s">
        <v>106</v>
      </c>
      <c r="E9590">
        <v>22.800599700149899</v>
      </c>
    </row>
    <row r="9591" spans="1:5">
      <c r="A9591" t="s">
        <v>11085</v>
      </c>
      <c r="B9591" t="s">
        <v>11086</v>
      </c>
      <c r="C9591">
        <f>0</f>
        <v>0</v>
      </c>
      <c r="D9591">
        <v>0.84310084138899999</v>
      </c>
      <c r="E9591">
        <v>1.89505247376311</v>
      </c>
    </row>
    <row r="9592" spans="1:5">
      <c r="A9592" t="s">
        <v>11085</v>
      </c>
      <c r="B9592" t="s">
        <v>11087</v>
      </c>
      <c r="C9592">
        <v>0</v>
      </c>
      <c r="D9592">
        <v>0.84310084138899999</v>
      </c>
      <c r="E9592">
        <v>1.89505247376311</v>
      </c>
    </row>
    <row r="9593" spans="1:5">
      <c r="A9593" t="s">
        <v>11085</v>
      </c>
      <c r="B9593" t="s">
        <v>11088</v>
      </c>
      <c r="C9593">
        <v>0</v>
      </c>
      <c r="D9593">
        <v>0.84310084138899999</v>
      </c>
      <c r="E9593">
        <v>1.89505247376311</v>
      </c>
    </row>
    <row r="9594" spans="1:5">
      <c r="A9594" t="s">
        <v>11085</v>
      </c>
      <c r="B9594" t="s">
        <v>11089</v>
      </c>
      <c r="C9594">
        <v>0</v>
      </c>
      <c r="D9594">
        <v>0.84310084138899999</v>
      </c>
      <c r="E9594">
        <v>1.89505247376311</v>
      </c>
    </row>
    <row r="9595" spans="1:5">
      <c r="A9595" t="s">
        <v>11085</v>
      </c>
      <c r="B9595" t="s">
        <v>11090</v>
      </c>
      <c r="C9595">
        <v>0</v>
      </c>
      <c r="D9595">
        <v>0.84310084138899999</v>
      </c>
      <c r="E9595">
        <v>1.89505247376311</v>
      </c>
    </row>
    <row r="9596" spans="1:5">
      <c r="A9596" t="s">
        <v>11085</v>
      </c>
      <c r="B9596" t="s">
        <v>11091</v>
      </c>
      <c r="C9596">
        <v>4.1926362943199999E-2</v>
      </c>
      <c r="D9596">
        <v>0.84310084138899999</v>
      </c>
      <c r="E9596">
        <v>1.89505247376311</v>
      </c>
    </row>
    <row r="9597" spans="1:5">
      <c r="A9597" t="s">
        <v>11085</v>
      </c>
      <c r="B9597" t="s">
        <v>11092</v>
      </c>
      <c r="C9597">
        <f>0</f>
        <v>0</v>
      </c>
      <c r="D9597">
        <v>0.84310084138899999</v>
      </c>
      <c r="E9597">
        <v>1.89505247376311</v>
      </c>
    </row>
    <row r="9598" spans="1:5">
      <c r="A9598" t="s">
        <v>11093</v>
      </c>
      <c r="B9598" t="s">
        <v>11094</v>
      </c>
      <c r="C9598">
        <f>0.0101822011172</f>
        <v>1.01822011172E-2</v>
      </c>
      <c r="D9598" t="s">
        <v>106</v>
      </c>
      <c r="E9598">
        <v>18.770614692653599</v>
      </c>
    </row>
    <row r="9599" spans="1:5">
      <c r="A9599" t="s">
        <v>11093</v>
      </c>
      <c r="B9599" t="s">
        <v>11095</v>
      </c>
      <c r="C9599">
        <v>0</v>
      </c>
      <c r="D9599" t="s">
        <v>106</v>
      </c>
      <c r="E9599">
        <v>18.770614692653599</v>
      </c>
    </row>
    <row r="9600" spans="1:5">
      <c r="A9600" t="s">
        <v>11093</v>
      </c>
      <c r="B9600" t="s">
        <v>11096</v>
      </c>
      <c r="C9600">
        <v>0</v>
      </c>
      <c r="D9600" t="s">
        <v>106</v>
      </c>
      <c r="E9600">
        <v>18.770614692653599</v>
      </c>
    </row>
    <row r="9601" spans="1:5">
      <c r="A9601" t="s">
        <v>11093</v>
      </c>
      <c r="B9601" t="s">
        <v>11097</v>
      </c>
      <c r="C9601">
        <v>1.31017137758E-2</v>
      </c>
      <c r="D9601" t="s">
        <v>106</v>
      </c>
      <c r="E9601">
        <v>18.770614692653599</v>
      </c>
    </row>
    <row r="9602" spans="1:5">
      <c r="A9602" t="s">
        <v>11093</v>
      </c>
      <c r="B9602" t="s">
        <v>11098</v>
      </c>
      <c r="C9602">
        <f>0</f>
        <v>0</v>
      </c>
      <c r="D9602" t="s">
        <v>106</v>
      </c>
      <c r="E9602">
        <v>18.770614692653599</v>
      </c>
    </row>
    <row r="9603" spans="1:5">
      <c r="A9603" t="s">
        <v>11093</v>
      </c>
      <c r="B9603" t="s">
        <v>11099</v>
      </c>
      <c r="C9603">
        <v>0</v>
      </c>
      <c r="D9603" t="s">
        <v>106</v>
      </c>
      <c r="E9603">
        <v>18.770614692653599</v>
      </c>
    </row>
    <row r="9604" spans="1:5">
      <c r="A9604" t="s">
        <v>11093</v>
      </c>
      <c r="B9604" t="s">
        <v>11100</v>
      </c>
      <c r="C9604">
        <v>0</v>
      </c>
      <c r="D9604" t="s">
        <v>106</v>
      </c>
      <c r="E9604">
        <v>18.770614692653599</v>
      </c>
    </row>
    <row r="9605" spans="1:5">
      <c r="A9605" t="s">
        <v>11101</v>
      </c>
      <c r="B9605" t="s">
        <v>11102</v>
      </c>
      <c r="C9605">
        <f>0</f>
        <v>0</v>
      </c>
      <c r="D9605" t="s">
        <v>106</v>
      </c>
      <c r="E9605">
        <v>15.700149925037399</v>
      </c>
    </row>
    <row r="9606" spans="1:5">
      <c r="A9606" t="s">
        <v>11101</v>
      </c>
      <c r="B9606" t="s">
        <v>11103</v>
      </c>
      <c r="C9606">
        <f>0</f>
        <v>0</v>
      </c>
      <c r="D9606" t="s">
        <v>106</v>
      </c>
      <c r="E9606">
        <v>15.700149925037399</v>
      </c>
    </row>
    <row r="9607" spans="1:5">
      <c r="A9607" t="s">
        <v>11101</v>
      </c>
      <c r="B9607" t="s">
        <v>11104</v>
      </c>
      <c r="C9607">
        <v>0</v>
      </c>
      <c r="D9607" t="s">
        <v>106</v>
      </c>
      <c r="E9607">
        <v>15.700149925037399</v>
      </c>
    </row>
    <row r="9608" spans="1:5">
      <c r="A9608" t="s">
        <v>11101</v>
      </c>
      <c r="B9608" t="s">
        <v>11105</v>
      </c>
      <c r="C9608">
        <v>0</v>
      </c>
      <c r="D9608" t="s">
        <v>106</v>
      </c>
      <c r="E9608">
        <v>15.700149925037399</v>
      </c>
    </row>
    <row r="9609" spans="1:5">
      <c r="A9609" t="s">
        <v>11101</v>
      </c>
      <c r="B9609" t="s">
        <v>11106</v>
      </c>
      <c r="C9609">
        <f>0</f>
        <v>0</v>
      </c>
      <c r="D9609" t="s">
        <v>106</v>
      </c>
      <c r="E9609">
        <v>15.700149925037399</v>
      </c>
    </row>
    <row r="9610" spans="1:5">
      <c r="A9610" t="s">
        <v>11101</v>
      </c>
      <c r="B9610" t="s">
        <v>11107</v>
      </c>
      <c r="C9610">
        <f>0</f>
        <v>0</v>
      </c>
      <c r="D9610" t="s">
        <v>106</v>
      </c>
      <c r="E9610">
        <v>15.700149925037399</v>
      </c>
    </row>
    <row r="9611" spans="1:5">
      <c r="A9611" t="s">
        <v>11101</v>
      </c>
      <c r="B9611" t="s">
        <v>11108</v>
      </c>
      <c r="C9611">
        <f>0</f>
        <v>0</v>
      </c>
      <c r="D9611" t="s">
        <v>106</v>
      </c>
      <c r="E9611">
        <v>15.700149925037399</v>
      </c>
    </row>
    <row r="9612" spans="1:5">
      <c r="A9612" t="s">
        <v>11101</v>
      </c>
      <c r="B9612" t="s">
        <v>11109</v>
      </c>
      <c r="C9612">
        <f>0</f>
        <v>0</v>
      </c>
      <c r="D9612" t="s">
        <v>106</v>
      </c>
      <c r="E9612">
        <v>15.700149925037399</v>
      </c>
    </row>
    <row r="9613" spans="1:5">
      <c r="A9613" t="s">
        <v>11101</v>
      </c>
      <c r="B9613" t="s">
        <v>11110</v>
      </c>
      <c r="C9613">
        <f>0</f>
        <v>0</v>
      </c>
      <c r="D9613" t="s">
        <v>106</v>
      </c>
      <c r="E9613">
        <v>15.700149925037399</v>
      </c>
    </row>
    <row r="9614" spans="1:5">
      <c r="A9614" t="s">
        <v>11101</v>
      </c>
      <c r="B9614" t="s">
        <v>11111</v>
      </c>
      <c r="C9614">
        <f>0</f>
        <v>0</v>
      </c>
      <c r="D9614" t="s">
        <v>106</v>
      </c>
      <c r="E9614">
        <v>15.700149925037399</v>
      </c>
    </row>
    <row r="9615" spans="1:5">
      <c r="A9615" t="s">
        <v>11101</v>
      </c>
      <c r="B9615" t="s">
        <v>11112</v>
      </c>
      <c r="C9615">
        <f>0</f>
        <v>0</v>
      </c>
      <c r="D9615" t="s">
        <v>106</v>
      </c>
      <c r="E9615">
        <v>15.700149925037399</v>
      </c>
    </row>
    <row r="9616" spans="1:5">
      <c r="A9616" t="s">
        <v>11101</v>
      </c>
      <c r="B9616" t="s">
        <v>11113</v>
      </c>
      <c r="C9616">
        <f>0</f>
        <v>0</v>
      </c>
      <c r="D9616" t="s">
        <v>106</v>
      </c>
      <c r="E9616">
        <v>15.700149925037399</v>
      </c>
    </row>
    <row r="9617" spans="1:5">
      <c r="A9617" t="s">
        <v>11101</v>
      </c>
      <c r="B9617" t="s">
        <v>11114</v>
      </c>
      <c r="C9617">
        <f>0</f>
        <v>0</v>
      </c>
      <c r="D9617" t="s">
        <v>106</v>
      </c>
      <c r="E9617">
        <v>15.700149925037399</v>
      </c>
    </row>
    <row r="9618" spans="1:5">
      <c r="A9618" t="s">
        <v>11115</v>
      </c>
      <c r="B9618" t="s">
        <v>11116</v>
      </c>
      <c r="C9618">
        <f>0</f>
        <v>0</v>
      </c>
      <c r="D9618">
        <v>0.95598024893300004</v>
      </c>
      <c r="E9618">
        <v>4.3778110944527704</v>
      </c>
    </row>
    <row r="9619" spans="1:5">
      <c r="A9619" t="s">
        <v>11115</v>
      </c>
      <c r="B9619" t="s">
        <v>11117</v>
      </c>
      <c r="C9619">
        <f>0.527166423499</f>
        <v>0.527166423499</v>
      </c>
      <c r="D9619">
        <v>0.95598024893300004</v>
      </c>
      <c r="E9619">
        <v>4.3778110944527704</v>
      </c>
    </row>
    <row r="9620" spans="1:5">
      <c r="A9620" t="s">
        <v>11115</v>
      </c>
      <c r="B9620" t="s">
        <v>11118</v>
      </c>
      <c r="C9620">
        <f>0</f>
        <v>0</v>
      </c>
      <c r="D9620">
        <v>0.95598024893300004</v>
      </c>
      <c r="E9620">
        <v>4.3778110944527704</v>
      </c>
    </row>
    <row r="9621" spans="1:5">
      <c r="A9621" t="s">
        <v>11115</v>
      </c>
      <c r="B9621" t="s">
        <v>11119</v>
      </c>
      <c r="C9621">
        <f>0</f>
        <v>0</v>
      </c>
      <c r="D9621">
        <v>0.95598024893300004</v>
      </c>
      <c r="E9621">
        <v>4.3778110944527704</v>
      </c>
    </row>
    <row r="9622" spans="1:5">
      <c r="A9622" t="s">
        <v>11115</v>
      </c>
      <c r="B9622" t="s">
        <v>11120</v>
      </c>
      <c r="C9622">
        <f>0.127571942848</f>
        <v>0.127571942848</v>
      </c>
      <c r="D9622">
        <v>0.95598024893300004</v>
      </c>
      <c r="E9622">
        <v>4.3778110944527704</v>
      </c>
    </row>
    <row r="9623" spans="1:5">
      <c r="A9623" t="s">
        <v>11115</v>
      </c>
      <c r="B9623" t="s">
        <v>11121</v>
      </c>
      <c r="C9623">
        <f>0</f>
        <v>0</v>
      </c>
      <c r="D9623">
        <v>0.95598024893300004</v>
      </c>
      <c r="E9623">
        <v>4.3778110944527704</v>
      </c>
    </row>
    <row r="9624" spans="1:5">
      <c r="A9624" t="s">
        <v>11115</v>
      </c>
      <c r="B9624" t="s">
        <v>11122</v>
      </c>
      <c r="C9624">
        <f>0</f>
        <v>0</v>
      </c>
      <c r="D9624">
        <v>0.95598024893300004</v>
      </c>
      <c r="E9624">
        <v>4.3778110944527704</v>
      </c>
    </row>
    <row r="9625" spans="1:5">
      <c r="A9625" t="s">
        <v>11115</v>
      </c>
      <c r="B9625" t="s">
        <v>11123</v>
      </c>
      <c r="C9625">
        <f>0</f>
        <v>0</v>
      </c>
      <c r="D9625">
        <v>0.95598024893300004</v>
      </c>
      <c r="E9625">
        <v>4.3778110944527704</v>
      </c>
    </row>
    <row r="9626" spans="1:5">
      <c r="A9626" t="s">
        <v>11124</v>
      </c>
      <c r="B9626" t="s">
        <v>11125</v>
      </c>
      <c r="C9626">
        <v>2.0965309651100002E-2</v>
      </c>
      <c r="D9626">
        <v>0.97237697359300002</v>
      </c>
      <c r="E9626">
        <v>19.850074962518701</v>
      </c>
    </row>
    <row r="9627" spans="1:5">
      <c r="A9627" t="s">
        <v>11124</v>
      </c>
      <c r="B9627" t="s">
        <v>11126</v>
      </c>
      <c r="C9627">
        <v>0.208360836242</v>
      </c>
      <c r="D9627">
        <v>0.97237697359300002</v>
      </c>
      <c r="E9627">
        <v>19.850074962518701</v>
      </c>
    </row>
    <row r="9628" spans="1:5">
      <c r="A9628" t="s">
        <v>11124</v>
      </c>
      <c r="B9628" t="s">
        <v>11127</v>
      </c>
      <c r="C9628">
        <f>0</f>
        <v>0</v>
      </c>
      <c r="D9628">
        <v>0.97237697359300002</v>
      </c>
      <c r="E9628">
        <v>19.850074962518701</v>
      </c>
    </row>
    <row r="9629" spans="1:5">
      <c r="A9629" t="s">
        <v>11128</v>
      </c>
      <c r="B9629" t="s">
        <v>11129</v>
      </c>
      <c r="C9629">
        <v>9.3971017543700006E-2</v>
      </c>
      <c r="D9629" t="s">
        <v>106</v>
      </c>
      <c r="E9629">
        <v>2.8785607196401801</v>
      </c>
    </row>
    <row r="9630" spans="1:5">
      <c r="A9630" t="s">
        <v>11128</v>
      </c>
      <c r="B9630" t="s">
        <v>11130</v>
      </c>
      <c r="C9630">
        <v>0.69916163375899998</v>
      </c>
      <c r="D9630" t="s">
        <v>106</v>
      </c>
      <c r="E9630">
        <v>2.8785607196401801</v>
      </c>
    </row>
    <row r="9631" spans="1:5">
      <c r="A9631" t="s">
        <v>11128</v>
      </c>
      <c r="B9631" t="s">
        <v>11131</v>
      </c>
      <c r="C9631">
        <f>0</f>
        <v>0</v>
      </c>
      <c r="D9631" t="s">
        <v>106</v>
      </c>
      <c r="E9631">
        <v>2.8785607196401801</v>
      </c>
    </row>
    <row r="9632" spans="1:5">
      <c r="A9632" t="s">
        <v>11132</v>
      </c>
      <c r="B9632" t="s">
        <v>11133</v>
      </c>
      <c r="C9632">
        <v>0.49375928029999999</v>
      </c>
      <c r="D9632">
        <v>0.84455470941300004</v>
      </c>
      <c r="E9632">
        <v>1.2713643178410701</v>
      </c>
    </row>
    <row r="9633" spans="1:5">
      <c r="A9633" t="s">
        <v>11132</v>
      </c>
      <c r="B9633" t="s">
        <v>11134</v>
      </c>
      <c r="C9633">
        <v>0</v>
      </c>
      <c r="D9633">
        <v>0.84455470941300004</v>
      </c>
      <c r="E9633">
        <v>1.2713643178410701</v>
      </c>
    </row>
    <row r="9634" spans="1:5">
      <c r="A9634" t="s">
        <v>11132</v>
      </c>
      <c r="B9634" t="s">
        <v>11135</v>
      </c>
      <c r="C9634">
        <v>0</v>
      </c>
      <c r="D9634">
        <v>0.84455470941300004</v>
      </c>
      <c r="E9634">
        <v>1.2713643178410701</v>
      </c>
    </row>
    <row r="9635" spans="1:5">
      <c r="A9635" t="s">
        <v>11136</v>
      </c>
      <c r="B9635" t="s">
        <v>11137</v>
      </c>
      <c r="C9635">
        <v>0.171310853328</v>
      </c>
      <c r="D9635">
        <v>0.95231504916700005</v>
      </c>
      <c r="E9635">
        <v>16.095952023988001</v>
      </c>
    </row>
    <row r="9636" spans="1:5">
      <c r="A9636" t="s">
        <v>11136</v>
      </c>
      <c r="B9636" t="s">
        <v>11138</v>
      </c>
      <c r="C9636">
        <v>2.5250113988399998E-3</v>
      </c>
      <c r="D9636">
        <v>0.95231504916700005</v>
      </c>
      <c r="E9636">
        <v>16.095952023988001</v>
      </c>
    </row>
    <row r="9637" spans="1:5">
      <c r="A9637" t="s">
        <v>11136</v>
      </c>
      <c r="B9637" t="s">
        <v>11139</v>
      </c>
      <c r="C9637">
        <v>0</v>
      </c>
      <c r="D9637">
        <v>0.95231504916700005</v>
      </c>
      <c r="E9637">
        <v>16.095952023988001</v>
      </c>
    </row>
    <row r="9638" spans="1:5">
      <c r="A9638" t="s">
        <v>11140</v>
      </c>
      <c r="B9638" t="s">
        <v>11141</v>
      </c>
      <c r="C9638">
        <v>0</v>
      </c>
      <c r="D9638">
        <v>0.92369390580999999</v>
      </c>
      <c r="E9638">
        <v>18.986506746626599</v>
      </c>
    </row>
    <row r="9639" spans="1:5">
      <c r="A9639" t="s">
        <v>11140</v>
      </c>
      <c r="B9639" t="s">
        <v>11142</v>
      </c>
      <c r="C9639">
        <v>0</v>
      </c>
      <c r="D9639">
        <v>0.92369390580999999</v>
      </c>
      <c r="E9639">
        <v>18.986506746626599</v>
      </c>
    </row>
    <row r="9640" spans="1:5">
      <c r="A9640" t="s">
        <v>11140</v>
      </c>
      <c r="B9640" t="s">
        <v>11143</v>
      </c>
      <c r="C9640">
        <v>0</v>
      </c>
      <c r="D9640">
        <v>0.92369390580999999</v>
      </c>
      <c r="E9640">
        <v>18.986506746626599</v>
      </c>
    </row>
    <row r="9641" spans="1:5">
      <c r="A9641" t="s">
        <v>11140</v>
      </c>
      <c r="B9641" t="s">
        <v>11144</v>
      </c>
      <c r="C9641">
        <v>0.17989064067999999</v>
      </c>
      <c r="D9641">
        <v>0.92369390580999999</v>
      </c>
      <c r="E9641">
        <v>18.986506746626599</v>
      </c>
    </row>
    <row r="9642" spans="1:5">
      <c r="A9642" t="s">
        <v>11145</v>
      </c>
      <c r="B9642" t="s">
        <v>11146</v>
      </c>
      <c r="C9642">
        <f>0.0529276311163</f>
        <v>5.29276311163E-2</v>
      </c>
      <c r="D9642">
        <v>0.73368626762900002</v>
      </c>
      <c r="E9642">
        <v>16.695652173913</v>
      </c>
    </row>
    <row r="9643" spans="1:5">
      <c r="A9643" t="s">
        <v>11145</v>
      </c>
      <c r="B9643" t="s">
        <v>11147</v>
      </c>
      <c r="C9643">
        <v>0</v>
      </c>
      <c r="D9643">
        <v>0.73368626762900002</v>
      </c>
      <c r="E9643">
        <v>16.695652173913</v>
      </c>
    </row>
    <row r="9644" spans="1:5">
      <c r="A9644" t="s">
        <v>11145</v>
      </c>
      <c r="B9644" t="s">
        <v>11148</v>
      </c>
      <c r="C9644">
        <v>0</v>
      </c>
      <c r="D9644">
        <v>0.73368626762900002</v>
      </c>
      <c r="E9644">
        <v>16.695652173913</v>
      </c>
    </row>
    <row r="9645" spans="1:5">
      <c r="A9645" t="s">
        <v>11145</v>
      </c>
      <c r="B9645" t="s">
        <v>11149</v>
      </c>
      <c r="C9645">
        <f>0.0296938149008</f>
        <v>2.9693814900799999E-2</v>
      </c>
      <c r="D9645">
        <v>0.73368626762900002</v>
      </c>
      <c r="E9645">
        <v>16.695652173913</v>
      </c>
    </row>
    <row r="9646" spans="1:5">
      <c r="A9646" t="s">
        <v>11145</v>
      </c>
      <c r="B9646" t="s">
        <v>11150</v>
      </c>
      <c r="C9646">
        <v>0</v>
      </c>
      <c r="D9646">
        <v>0.73368626762900002</v>
      </c>
      <c r="E9646">
        <v>16.695652173913</v>
      </c>
    </row>
    <row r="9647" spans="1:5">
      <c r="A9647" t="s">
        <v>11145</v>
      </c>
      <c r="B9647" t="s">
        <v>11151</v>
      </c>
      <c r="C9647">
        <f>0</f>
        <v>0</v>
      </c>
      <c r="D9647">
        <v>0.73368626762900002</v>
      </c>
      <c r="E9647">
        <v>16.695652173913</v>
      </c>
    </row>
    <row r="9648" spans="1:5">
      <c r="A9648" t="s">
        <v>11145</v>
      </c>
      <c r="B9648" t="s">
        <v>11152</v>
      </c>
      <c r="C9648">
        <v>0</v>
      </c>
      <c r="D9648">
        <v>0.73368626762900002</v>
      </c>
      <c r="E9648">
        <v>16.695652173913</v>
      </c>
    </row>
    <row r="9649" spans="1:5">
      <c r="A9649" t="s">
        <v>11145</v>
      </c>
      <c r="B9649" t="s">
        <v>11153</v>
      </c>
      <c r="C9649">
        <v>0</v>
      </c>
      <c r="D9649">
        <v>0.73368626762900002</v>
      </c>
      <c r="E9649">
        <v>16.695652173913</v>
      </c>
    </row>
    <row r="9650" spans="1:5">
      <c r="A9650" t="s">
        <v>11145</v>
      </c>
      <c r="B9650" t="s">
        <v>11154</v>
      </c>
      <c r="C9650">
        <f>0</f>
        <v>0</v>
      </c>
      <c r="D9650">
        <v>0.73368626762900002</v>
      </c>
      <c r="E9650">
        <v>16.695652173913</v>
      </c>
    </row>
    <row r="9651" spans="1:5">
      <c r="A9651" t="s">
        <v>11145</v>
      </c>
      <c r="B9651" t="s">
        <v>11155</v>
      </c>
      <c r="C9651">
        <v>0</v>
      </c>
      <c r="D9651">
        <v>0.73368626762900002</v>
      </c>
      <c r="E9651">
        <v>16.695652173913</v>
      </c>
    </row>
    <row r="9652" spans="1:5">
      <c r="A9652" t="s">
        <v>11145</v>
      </c>
      <c r="B9652" t="s">
        <v>11156</v>
      </c>
      <c r="C9652">
        <f>0</f>
        <v>0</v>
      </c>
      <c r="D9652">
        <v>0.73368626762900002</v>
      </c>
      <c r="E9652">
        <v>16.695652173913</v>
      </c>
    </row>
    <row r="9653" spans="1:5">
      <c r="A9653" t="s">
        <v>11157</v>
      </c>
      <c r="B9653" t="s">
        <v>11158</v>
      </c>
      <c r="C9653">
        <f>0</f>
        <v>0</v>
      </c>
      <c r="D9653">
        <v>0.97435418929100004</v>
      </c>
      <c r="E9653">
        <v>24</v>
      </c>
    </row>
    <row r="9654" spans="1:5">
      <c r="A9654" t="s">
        <v>11157</v>
      </c>
      <c r="B9654" t="s">
        <v>11159</v>
      </c>
      <c r="C9654">
        <v>0</v>
      </c>
      <c r="D9654">
        <v>0.97435418929100004</v>
      </c>
      <c r="E9654">
        <v>24</v>
      </c>
    </row>
    <row r="9655" spans="1:5">
      <c r="A9655" t="s">
        <v>11157</v>
      </c>
      <c r="B9655" t="s">
        <v>11160</v>
      </c>
      <c r="C9655">
        <f>0</f>
        <v>0</v>
      </c>
      <c r="D9655">
        <v>0.97435418929100004</v>
      </c>
      <c r="E9655">
        <v>24</v>
      </c>
    </row>
    <row r="9656" spans="1:5">
      <c r="A9656" t="s">
        <v>11157</v>
      </c>
      <c r="B9656" t="s">
        <v>11161</v>
      </c>
      <c r="C9656">
        <v>0</v>
      </c>
      <c r="D9656">
        <v>0.97435418929100004</v>
      </c>
      <c r="E9656">
        <v>24</v>
      </c>
    </row>
    <row r="9657" spans="1:5">
      <c r="A9657" t="s">
        <v>11157</v>
      </c>
      <c r="B9657" t="s">
        <v>11162</v>
      </c>
      <c r="C9657">
        <v>0</v>
      </c>
      <c r="D9657">
        <v>0.97435418929100004</v>
      </c>
      <c r="E9657">
        <v>24</v>
      </c>
    </row>
    <row r="9658" spans="1:5">
      <c r="A9658" t="s">
        <v>11157</v>
      </c>
      <c r="B9658" t="s">
        <v>11163</v>
      </c>
      <c r="C9658">
        <f>0</f>
        <v>0</v>
      </c>
      <c r="D9658">
        <v>0.97435418929100004</v>
      </c>
      <c r="E9658">
        <v>24</v>
      </c>
    </row>
    <row r="9659" spans="1:5">
      <c r="A9659" t="s">
        <v>11157</v>
      </c>
      <c r="B9659" t="s">
        <v>11164</v>
      </c>
      <c r="C9659">
        <v>0</v>
      </c>
      <c r="D9659">
        <v>0.97435418929100004</v>
      </c>
      <c r="E9659">
        <v>24</v>
      </c>
    </row>
    <row r="9660" spans="1:5">
      <c r="A9660" t="s">
        <v>11157</v>
      </c>
      <c r="B9660" t="s">
        <v>11165</v>
      </c>
      <c r="C9660">
        <f>0</f>
        <v>0</v>
      </c>
      <c r="D9660">
        <v>0.97435418929100004</v>
      </c>
      <c r="E9660">
        <v>24</v>
      </c>
    </row>
    <row r="9661" spans="1:5">
      <c r="A9661" t="s">
        <v>11157</v>
      </c>
      <c r="B9661" t="s">
        <v>11166</v>
      </c>
      <c r="C9661">
        <f>0</f>
        <v>0</v>
      </c>
      <c r="D9661">
        <v>0.97435418929100004</v>
      </c>
      <c r="E9661">
        <v>24</v>
      </c>
    </row>
    <row r="9662" spans="1:5">
      <c r="A9662" t="s">
        <v>11157</v>
      </c>
      <c r="B9662" t="s">
        <v>11167</v>
      </c>
      <c r="C9662">
        <f>0</f>
        <v>0</v>
      </c>
      <c r="D9662">
        <v>0.97435418929100004</v>
      </c>
      <c r="E9662">
        <v>24</v>
      </c>
    </row>
    <row r="9663" spans="1:5">
      <c r="A9663" t="s">
        <v>11168</v>
      </c>
      <c r="B9663" t="s">
        <v>11169</v>
      </c>
      <c r="C9663">
        <v>0</v>
      </c>
      <c r="D9663" t="s">
        <v>106</v>
      </c>
      <c r="E9663">
        <v>5.0134932533733103</v>
      </c>
    </row>
    <row r="9664" spans="1:5">
      <c r="A9664" t="s">
        <v>11168</v>
      </c>
      <c r="B9664" t="s">
        <v>11170</v>
      </c>
      <c r="C9664">
        <v>0.66197371688100004</v>
      </c>
      <c r="D9664" t="s">
        <v>106</v>
      </c>
      <c r="E9664">
        <v>5.0134932533733103</v>
      </c>
    </row>
    <row r="9665" spans="1:5">
      <c r="A9665" t="s">
        <v>11168</v>
      </c>
      <c r="B9665" t="s">
        <v>11171</v>
      </c>
      <c r="C9665">
        <v>0</v>
      </c>
      <c r="D9665" t="s">
        <v>106</v>
      </c>
      <c r="E9665">
        <v>5.0134932533733103</v>
      </c>
    </row>
    <row r="9666" spans="1:5">
      <c r="A9666" t="s">
        <v>11168</v>
      </c>
      <c r="B9666" t="s">
        <v>11172</v>
      </c>
      <c r="C9666">
        <f>0</f>
        <v>0</v>
      </c>
      <c r="D9666" t="s">
        <v>106</v>
      </c>
      <c r="E9666">
        <v>5.0134932533733103</v>
      </c>
    </row>
    <row r="9667" spans="1:5">
      <c r="A9667" t="s">
        <v>11168</v>
      </c>
      <c r="B9667" t="s">
        <v>11173</v>
      </c>
      <c r="C9667">
        <f>0.0278611723562</f>
        <v>2.78611723562E-2</v>
      </c>
      <c r="D9667" t="s">
        <v>106</v>
      </c>
      <c r="E9667">
        <v>5.0134932533733103</v>
      </c>
    </row>
    <row r="9668" spans="1:5">
      <c r="A9668" t="s">
        <v>11168</v>
      </c>
      <c r="B9668" t="s">
        <v>11174</v>
      </c>
      <c r="C9668">
        <v>0</v>
      </c>
      <c r="D9668" t="s">
        <v>106</v>
      </c>
      <c r="E9668">
        <v>5.0134932533733103</v>
      </c>
    </row>
    <row r="9669" spans="1:5">
      <c r="A9669" t="s">
        <v>11168</v>
      </c>
      <c r="B9669" t="s">
        <v>11175</v>
      </c>
      <c r="C9669">
        <v>0</v>
      </c>
      <c r="D9669" t="s">
        <v>106</v>
      </c>
      <c r="E9669">
        <v>5.0134932533733103</v>
      </c>
    </row>
    <row r="9670" spans="1:5">
      <c r="A9670" t="s">
        <v>11168</v>
      </c>
      <c r="B9670" t="s">
        <v>11176</v>
      </c>
      <c r="C9670">
        <v>0</v>
      </c>
      <c r="D9670" t="s">
        <v>106</v>
      </c>
      <c r="E9670">
        <v>5.0134932533733103</v>
      </c>
    </row>
    <row r="9671" spans="1:5">
      <c r="A9671" t="s">
        <v>11177</v>
      </c>
      <c r="B9671" t="s">
        <v>11178</v>
      </c>
      <c r="C9671">
        <v>4.9245004012599999E-2</v>
      </c>
      <c r="D9671">
        <v>0.38915325094100001</v>
      </c>
      <c r="E9671">
        <v>6.0569715142428704</v>
      </c>
    </row>
    <row r="9672" spans="1:5">
      <c r="A9672" t="s">
        <v>11177</v>
      </c>
      <c r="B9672" t="s">
        <v>11179</v>
      </c>
      <c r="C9672">
        <v>0</v>
      </c>
      <c r="D9672">
        <v>0.38915325094100001</v>
      </c>
      <c r="E9672">
        <v>6.0569715142428704</v>
      </c>
    </row>
    <row r="9673" spans="1:5">
      <c r="A9673" t="s">
        <v>11177</v>
      </c>
      <c r="B9673" t="s">
        <v>11180</v>
      </c>
      <c r="C9673">
        <v>0</v>
      </c>
      <c r="D9673">
        <v>0.38915325094100001</v>
      </c>
      <c r="E9673">
        <v>6.0569715142428704</v>
      </c>
    </row>
    <row r="9674" spans="1:5">
      <c r="A9674" t="s">
        <v>11177</v>
      </c>
      <c r="B9674" t="s">
        <v>11181</v>
      </c>
      <c r="C9674">
        <v>1.52430842299E-4</v>
      </c>
      <c r="D9674">
        <v>0.38915325094100001</v>
      </c>
      <c r="E9674">
        <v>6.0569715142428704</v>
      </c>
    </row>
    <row r="9675" spans="1:5">
      <c r="A9675" t="s">
        <v>11182</v>
      </c>
      <c r="B9675" t="s">
        <v>11183</v>
      </c>
      <c r="C9675">
        <v>0.14033319573</v>
      </c>
      <c r="D9675">
        <v>0.96715579853300004</v>
      </c>
      <c r="E9675">
        <v>12.9175412293853</v>
      </c>
    </row>
    <row r="9676" spans="1:5">
      <c r="A9676" t="s">
        <v>11182</v>
      </c>
      <c r="B9676" t="s">
        <v>11184</v>
      </c>
      <c r="C9676">
        <f>0</f>
        <v>0</v>
      </c>
      <c r="D9676">
        <v>0.96715579853300004</v>
      </c>
      <c r="E9676">
        <v>12.9175412293853</v>
      </c>
    </row>
    <row r="9677" spans="1:5">
      <c r="A9677" t="s">
        <v>11182</v>
      </c>
      <c r="B9677" t="s">
        <v>11185</v>
      </c>
      <c r="C9677">
        <f>0</f>
        <v>0</v>
      </c>
      <c r="D9677">
        <v>0.96715579853300004</v>
      </c>
      <c r="E9677">
        <v>12.9175412293853</v>
      </c>
    </row>
    <row r="9678" spans="1:5">
      <c r="A9678" t="s">
        <v>11182</v>
      </c>
      <c r="B9678" t="s">
        <v>11186</v>
      </c>
      <c r="C9678">
        <v>0</v>
      </c>
      <c r="D9678">
        <v>0.96715579853300004</v>
      </c>
      <c r="E9678">
        <v>12.9175412293853</v>
      </c>
    </row>
    <row r="9679" spans="1:5">
      <c r="A9679" t="s">
        <v>11182</v>
      </c>
      <c r="B9679" t="s">
        <v>11187</v>
      </c>
      <c r="C9679">
        <v>0</v>
      </c>
      <c r="D9679">
        <v>0.96715579853300004</v>
      </c>
      <c r="E9679">
        <v>12.9175412293853</v>
      </c>
    </row>
    <row r="9680" spans="1:5">
      <c r="A9680" t="s">
        <v>11182</v>
      </c>
      <c r="B9680" t="s">
        <v>11188</v>
      </c>
      <c r="C9680">
        <f>0</f>
        <v>0</v>
      </c>
      <c r="D9680">
        <v>0.96715579853300004</v>
      </c>
      <c r="E9680">
        <v>12.9175412293853</v>
      </c>
    </row>
    <row r="9681" spans="1:5">
      <c r="A9681" t="s">
        <v>11182</v>
      </c>
      <c r="B9681" t="s">
        <v>11189</v>
      </c>
      <c r="C9681">
        <v>7.9283266055399995E-2</v>
      </c>
      <c r="D9681">
        <v>0.96715579853300004</v>
      </c>
      <c r="E9681">
        <v>12.9175412293853</v>
      </c>
    </row>
    <row r="9682" spans="1:5">
      <c r="A9682" t="s">
        <v>11190</v>
      </c>
      <c r="B9682" t="s">
        <v>11191</v>
      </c>
      <c r="C9682">
        <v>1.3299761205399999E-3</v>
      </c>
      <c r="D9682">
        <v>0.91263072527800004</v>
      </c>
      <c r="E9682">
        <v>0.40779610194902499</v>
      </c>
    </row>
    <row r="9683" spans="1:5">
      <c r="A9683" t="s">
        <v>11190</v>
      </c>
      <c r="B9683" t="s">
        <v>11192</v>
      </c>
      <c r="C9683">
        <v>0.312511704833</v>
      </c>
      <c r="D9683">
        <v>0.91263072527800004</v>
      </c>
      <c r="E9683">
        <v>0.40779610194902499</v>
      </c>
    </row>
    <row r="9684" spans="1:5">
      <c r="A9684" t="s">
        <v>11190</v>
      </c>
      <c r="B9684" t="s">
        <v>11193</v>
      </c>
      <c r="C9684">
        <f>0</f>
        <v>0</v>
      </c>
      <c r="D9684">
        <v>0.91263072527800004</v>
      </c>
      <c r="E9684">
        <v>0.40779610194902499</v>
      </c>
    </row>
    <row r="9685" spans="1:5">
      <c r="A9685" t="s">
        <v>11190</v>
      </c>
      <c r="B9685" t="s">
        <v>11194</v>
      </c>
      <c r="C9685">
        <v>0</v>
      </c>
      <c r="D9685">
        <v>0.91263072527800004</v>
      </c>
      <c r="E9685">
        <v>0.40779610194902499</v>
      </c>
    </row>
    <row r="9686" spans="1:5">
      <c r="A9686" t="s">
        <v>11195</v>
      </c>
      <c r="B9686" t="s">
        <v>11196</v>
      </c>
      <c r="C9686">
        <v>0</v>
      </c>
      <c r="D9686" t="s">
        <v>106</v>
      </c>
      <c r="E9686">
        <v>20.7376311844077</v>
      </c>
    </row>
    <row r="9687" spans="1:5">
      <c r="A9687" t="s">
        <v>11195</v>
      </c>
      <c r="B9687" t="s">
        <v>11197</v>
      </c>
      <c r="C9687">
        <v>0</v>
      </c>
      <c r="D9687" t="s">
        <v>106</v>
      </c>
      <c r="E9687">
        <v>20.7376311844077</v>
      </c>
    </row>
    <row r="9688" spans="1:5">
      <c r="A9688" t="s">
        <v>11195</v>
      </c>
      <c r="B9688" t="s">
        <v>11198</v>
      </c>
      <c r="C9688">
        <f>0</f>
        <v>0</v>
      </c>
      <c r="D9688" t="s">
        <v>106</v>
      </c>
      <c r="E9688">
        <v>20.7376311844077</v>
      </c>
    </row>
    <row r="9689" spans="1:5">
      <c r="A9689" t="s">
        <v>11199</v>
      </c>
      <c r="B9689" t="s">
        <v>11200</v>
      </c>
      <c r="C9689">
        <v>0</v>
      </c>
      <c r="D9689">
        <v>0.92059064048899997</v>
      </c>
      <c r="E9689">
        <v>11.7061469265367</v>
      </c>
    </row>
    <row r="9690" spans="1:5">
      <c r="A9690" t="s">
        <v>11199</v>
      </c>
      <c r="B9690" t="s">
        <v>11201</v>
      </c>
      <c r="C9690">
        <f>0</f>
        <v>0</v>
      </c>
      <c r="D9690">
        <v>0.92059064048899997</v>
      </c>
      <c r="E9690">
        <v>11.7061469265367</v>
      </c>
    </row>
    <row r="9691" spans="1:5">
      <c r="A9691" t="s">
        <v>11199</v>
      </c>
      <c r="B9691" t="s">
        <v>11202</v>
      </c>
      <c r="C9691">
        <f>0</f>
        <v>0</v>
      </c>
      <c r="D9691">
        <v>0.92059064048899997</v>
      </c>
      <c r="E9691">
        <v>11.7061469265367</v>
      </c>
    </row>
    <row r="9692" spans="1:5">
      <c r="A9692" t="s">
        <v>11199</v>
      </c>
      <c r="B9692" t="s">
        <v>11203</v>
      </c>
      <c r="C9692">
        <v>0</v>
      </c>
      <c r="D9692">
        <v>0.92059064048899997</v>
      </c>
      <c r="E9692">
        <v>11.7061469265367</v>
      </c>
    </row>
    <row r="9693" spans="1:5">
      <c r="A9693" t="s">
        <v>11199</v>
      </c>
      <c r="B9693" t="s">
        <v>11204</v>
      </c>
      <c r="C9693">
        <v>0</v>
      </c>
      <c r="D9693">
        <v>0.92059064048899997</v>
      </c>
      <c r="E9693">
        <v>11.7061469265367</v>
      </c>
    </row>
    <row r="9694" spans="1:5">
      <c r="A9694" t="s">
        <v>11199</v>
      </c>
      <c r="B9694" t="s">
        <v>11205</v>
      </c>
      <c r="C9694">
        <f>0</f>
        <v>0</v>
      </c>
      <c r="D9694">
        <v>0.92059064048899997</v>
      </c>
      <c r="E9694">
        <v>11.7061469265367</v>
      </c>
    </row>
    <row r="9695" spans="1:5">
      <c r="A9695" t="s">
        <v>11199</v>
      </c>
      <c r="B9695" t="s">
        <v>11206</v>
      </c>
      <c r="C9695">
        <v>0</v>
      </c>
      <c r="D9695">
        <v>0.92059064048899997</v>
      </c>
      <c r="E9695">
        <v>11.7061469265367</v>
      </c>
    </row>
    <row r="9696" spans="1:5">
      <c r="A9696" t="s">
        <v>11199</v>
      </c>
      <c r="B9696" t="s">
        <v>11207</v>
      </c>
      <c r="C9696">
        <f>0</f>
        <v>0</v>
      </c>
      <c r="D9696">
        <v>0.92059064048899997</v>
      </c>
      <c r="E9696">
        <v>11.7061469265367</v>
      </c>
    </row>
    <row r="9697" spans="1:5">
      <c r="A9697" t="s">
        <v>11199</v>
      </c>
      <c r="B9697" t="s">
        <v>11208</v>
      </c>
      <c r="C9697">
        <v>0.18229941650100001</v>
      </c>
      <c r="D9697">
        <v>0.92059064048899997</v>
      </c>
      <c r="E9697">
        <v>11.7061469265367</v>
      </c>
    </row>
    <row r="9698" spans="1:5">
      <c r="A9698" t="s">
        <v>11209</v>
      </c>
      <c r="B9698" t="s">
        <v>11210</v>
      </c>
      <c r="C9698">
        <f>0</f>
        <v>0</v>
      </c>
      <c r="D9698">
        <v>0.95800361098499998</v>
      </c>
      <c r="E9698">
        <v>13.0854572713643</v>
      </c>
    </row>
    <row r="9699" spans="1:5">
      <c r="A9699" t="s">
        <v>11209</v>
      </c>
      <c r="B9699" t="s">
        <v>11211</v>
      </c>
      <c r="C9699">
        <f>0</f>
        <v>0</v>
      </c>
      <c r="D9699">
        <v>0.95800361098499998</v>
      </c>
      <c r="E9699">
        <v>13.0854572713643</v>
      </c>
    </row>
    <row r="9700" spans="1:5">
      <c r="A9700" t="s">
        <v>11209</v>
      </c>
      <c r="B9700" t="s">
        <v>11212</v>
      </c>
      <c r="C9700">
        <v>0.31585873749400001</v>
      </c>
      <c r="D9700">
        <v>0.95800361098499998</v>
      </c>
      <c r="E9700">
        <v>13.0854572713643</v>
      </c>
    </row>
    <row r="9701" spans="1:5">
      <c r="A9701" t="s">
        <v>11209</v>
      </c>
      <c r="B9701" t="s">
        <v>11213</v>
      </c>
      <c r="C9701">
        <v>0</v>
      </c>
      <c r="D9701">
        <v>0.95800361098499998</v>
      </c>
      <c r="E9701">
        <v>13.0854572713643</v>
      </c>
    </row>
    <row r="9702" spans="1:5">
      <c r="A9702" t="s">
        <v>11209</v>
      </c>
      <c r="B9702" t="s">
        <v>11214</v>
      </c>
      <c r="C9702">
        <v>1.46142300125E-2</v>
      </c>
      <c r="D9702">
        <v>0.95800361098499998</v>
      </c>
      <c r="E9702">
        <v>13.0854572713643</v>
      </c>
    </row>
    <row r="9703" spans="1:5">
      <c r="A9703" t="s">
        <v>11209</v>
      </c>
      <c r="B9703" t="s">
        <v>11215</v>
      </c>
      <c r="C9703">
        <f>0</f>
        <v>0</v>
      </c>
      <c r="D9703">
        <v>0.95800361098499998</v>
      </c>
      <c r="E9703">
        <v>13.0854572713643</v>
      </c>
    </row>
    <row r="9704" spans="1:5">
      <c r="A9704" t="s">
        <v>11216</v>
      </c>
      <c r="B9704" t="s">
        <v>11217</v>
      </c>
      <c r="C9704">
        <f>0</f>
        <v>0</v>
      </c>
      <c r="D9704" t="s">
        <v>106</v>
      </c>
      <c r="E9704">
        <v>15.1244377811094</v>
      </c>
    </row>
    <row r="9705" spans="1:5">
      <c r="A9705" t="s">
        <v>11218</v>
      </c>
      <c r="B9705" t="s">
        <v>11219</v>
      </c>
      <c r="C9705">
        <v>0</v>
      </c>
      <c r="D9705" t="s">
        <v>106</v>
      </c>
      <c r="E9705">
        <v>14.9325337331334</v>
      </c>
    </row>
    <row r="9706" spans="1:5">
      <c r="A9706" t="s">
        <v>11218</v>
      </c>
      <c r="B9706" t="s">
        <v>11220</v>
      </c>
      <c r="C9706">
        <v>0</v>
      </c>
      <c r="D9706" t="s">
        <v>106</v>
      </c>
      <c r="E9706">
        <v>14.9325337331334</v>
      </c>
    </row>
    <row r="9707" spans="1:5">
      <c r="A9707" t="s">
        <v>11218</v>
      </c>
      <c r="B9707" t="s">
        <v>11221</v>
      </c>
      <c r="C9707">
        <v>0</v>
      </c>
      <c r="D9707" t="s">
        <v>106</v>
      </c>
      <c r="E9707">
        <v>14.9325337331334</v>
      </c>
    </row>
    <row r="9708" spans="1:5">
      <c r="A9708" t="s">
        <v>11218</v>
      </c>
      <c r="B9708" t="s">
        <v>11222</v>
      </c>
      <c r="C9708">
        <v>0</v>
      </c>
      <c r="D9708" t="s">
        <v>106</v>
      </c>
      <c r="E9708">
        <v>14.9325337331334</v>
      </c>
    </row>
    <row r="9709" spans="1:5">
      <c r="A9709" t="s">
        <v>11218</v>
      </c>
      <c r="B9709" t="s">
        <v>11223</v>
      </c>
      <c r="C9709">
        <f>0</f>
        <v>0</v>
      </c>
      <c r="D9709" t="s">
        <v>106</v>
      </c>
      <c r="E9709">
        <v>14.9325337331334</v>
      </c>
    </row>
    <row r="9710" spans="1:5">
      <c r="A9710" t="s">
        <v>11218</v>
      </c>
      <c r="B9710" t="s">
        <v>11224</v>
      </c>
      <c r="C9710">
        <v>0</v>
      </c>
      <c r="D9710" t="s">
        <v>106</v>
      </c>
      <c r="E9710">
        <v>14.9325337331334</v>
      </c>
    </row>
    <row r="9711" spans="1:5">
      <c r="A9711" t="s">
        <v>11218</v>
      </c>
      <c r="B9711" t="s">
        <v>11225</v>
      </c>
      <c r="C9711">
        <f>0</f>
        <v>0</v>
      </c>
      <c r="D9711" t="s">
        <v>106</v>
      </c>
      <c r="E9711">
        <v>14.9325337331334</v>
      </c>
    </row>
    <row r="9712" spans="1:5">
      <c r="A9712" t="s">
        <v>11226</v>
      </c>
      <c r="B9712" t="s">
        <v>11227</v>
      </c>
      <c r="C9712">
        <f>0.0489122729033</f>
        <v>4.8912272903299997E-2</v>
      </c>
      <c r="D9712">
        <v>0.92176795413299994</v>
      </c>
      <c r="E9712">
        <v>24</v>
      </c>
    </row>
    <row r="9713" spans="1:5">
      <c r="A9713" t="s">
        <v>11226</v>
      </c>
      <c r="B9713" t="s">
        <v>11228</v>
      </c>
      <c r="C9713">
        <f>0.0305761781898</f>
        <v>3.0576178189800001E-2</v>
      </c>
      <c r="D9713">
        <v>0.92176795413299994</v>
      </c>
      <c r="E9713">
        <v>24</v>
      </c>
    </row>
    <row r="9714" spans="1:5">
      <c r="A9714" t="s">
        <v>11229</v>
      </c>
      <c r="B9714" t="s">
        <v>11230</v>
      </c>
      <c r="C9714">
        <f>0</f>
        <v>0</v>
      </c>
      <c r="D9714">
        <v>0.99436895240300005</v>
      </c>
      <c r="E9714">
        <v>20.2938530734632</v>
      </c>
    </row>
    <row r="9715" spans="1:5">
      <c r="A9715" t="s">
        <v>11229</v>
      </c>
      <c r="B9715" t="s">
        <v>11231</v>
      </c>
      <c r="C9715">
        <f>0</f>
        <v>0</v>
      </c>
      <c r="D9715">
        <v>0.99436895240300005</v>
      </c>
      <c r="E9715">
        <v>20.2938530734632</v>
      </c>
    </row>
    <row r="9716" spans="1:5">
      <c r="A9716" t="s">
        <v>11229</v>
      </c>
      <c r="B9716" t="s">
        <v>11232</v>
      </c>
      <c r="C9716">
        <f>0</f>
        <v>0</v>
      </c>
      <c r="D9716">
        <v>0.99436895240300005</v>
      </c>
      <c r="E9716">
        <v>20.2938530734632</v>
      </c>
    </row>
    <row r="9717" spans="1:5">
      <c r="A9717" t="s">
        <v>11233</v>
      </c>
      <c r="B9717" t="s">
        <v>11234</v>
      </c>
      <c r="C9717">
        <v>0.13448282186800001</v>
      </c>
      <c r="D9717">
        <v>0.997610394314</v>
      </c>
      <c r="E9717">
        <v>15.1244377811094</v>
      </c>
    </row>
    <row r="9718" spans="1:5">
      <c r="A9718" t="s">
        <v>11233</v>
      </c>
      <c r="B9718" t="s">
        <v>11235</v>
      </c>
      <c r="C9718">
        <v>0</v>
      </c>
      <c r="D9718">
        <v>0.997610394314</v>
      </c>
      <c r="E9718">
        <v>15.1244377811094</v>
      </c>
    </row>
    <row r="9719" spans="1:5">
      <c r="A9719" t="s">
        <v>11233</v>
      </c>
      <c r="B9719" t="s">
        <v>11236</v>
      </c>
      <c r="C9719">
        <f>0</f>
        <v>0</v>
      </c>
      <c r="D9719">
        <v>0.997610394314</v>
      </c>
      <c r="E9719">
        <v>15.1244377811094</v>
      </c>
    </row>
    <row r="9720" spans="1:5">
      <c r="A9720" t="s">
        <v>11233</v>
      </c>
      <c r="B9720" t="s">
        <v>11237</v>
      </c>
      <c r="C9720">
        <f>0</f>
        <v>0</v>
      </c>
      <c r="D9720">
        <v>0.997610394314</v>
      </c>
      <c r="E9720">
        <v>15.1244377811094</v>
      </c>
    </row>
    <row r="9721" spans="1:5">
      <c r="A9721" t="s">
        <v>11233</v>
      </c>
      <c r="B9721" t="s">
        <v>11238</v>
      </c>
      <c r="C9721">
        <f>0</f>
        <v>0</v>
      </c>
      <c r="D9721">
        <v>0.997610394314</v>
      </c>
      <c r="E9721">
        <v>15.1244377811094</v>
      </c>
    </row>
    <row r="9722" spans="1:5">
      <c r="A9722" t="s">
        <v>11233</v>
      </c>
      <c r="B9722" t="s">
        <v>11239</v>
      </c>
      <c r="C9722">
        <v>3.3692620369800003E-2</v>
      </c>
      <c r="D9722">
        <v>0.997610394314</v>
      </c>
      <c r="E9722">
        <v>15.1244377811094</v>
      </c>
    </row>
    <row r="9723" spans="1:5">
      <c r="A9723" t="s">
        <v>11233</v>
      </c>
      <c r="B9723" t="s">
        <v>11240</v>
      </c>
      <c r="C9723">
        <f>0</f>
        <v>0</v>
      </c>
      <c r="D9723">
        <v>0.997610394314</v>
      </c>
      <c r="E9723">
        <v>15.1244377811094</v>
      </c>
    </row>
    <row r="9724" spans="1:5">
      <c r="A9724" t="s">
        <v>11233</v>
      </c>
      <c r="B9724" t="s">
        <v>11241</v>
      </c>
      <c r="C9724">
        <v>0</v>
      </c>
      <c r="D9724">
        <v>0.997610394314</v>
      </c>
      <c r="E9724">
        <v>15.1244377811094</v>
      </c>
    </row>
    <row r="9725" spans="1:5">
      <c r="A9725" t="s">
        <v>11233</v>
      </c>
      <c r="B9725" t="s">
        <v>11242</v>
      </c>
      <c r="C9725">
        <v>0</v>
      </c>
      <c r="D9725">
        <v>0.997610394314</v>
      </c>
      <c r="E9725">
        <v>15.1244377811094</v>
      </c>
    </row>
    <row r="9726" spans="1:5">
      <c r="A9726" t="s">
        <v>11233</v>
      </c>
      <c r="B9726" t="s">
        <v>11243</v>
      </c>
      <c r="C9726">
        <v>0</v>
      </c>
      <c r="D9726">
        <v>0.997610394314</v>
      </c>
      <c r="E9726">
        <v>15.1244377811094</v>
      </c>
    </row>
    <row r="9727" spans="1:5">
      <c r="A9727" t="s">
        <v>11244</v>
      </c>
      <c r="B9727" t="s">
        <v>11245</v>
      </c>
      <c r="C9727">
        <v>0.12526069971000001</v>
      </c>
      <c r="D9727">
        <v>0.99331077716600003</v>
      </c>
      <c r="E9727">
        <v>13.0854572713643</v>
      </c>
    </row>
    <row r="9728" spans="1:5">
      <c r="A9728" t="s">
        <v>11244</v>
      </c>
      <c r="B9728" t="s">
        <v>11246</v>
      </c>
      <c r="C9728">
        <f>0</f>
        <v>0</v>
      </c>
      <c r="D9728">
        <v>0.99331077716600003</v>
      </c>
      <c r="E9728">
        <v>13.0854572713643</v>
      </c>
    </row>
    <row r="9729" spans="1:5">
      <c r="A9729" t="s">
        <v>11244</v>
      </c>
      <c r="B9729" t="s">
        <v>11247</v>
      </c>
      <c r="C9729">
        <v>0</v>
      </c>
      <c r="D9729">
        <v>0.99331077716600003</v>
      </c>
      <c r="E9729">
        <v>13.0854572713643</v>
      </c>
    </row>
    <row r="9730" spans="1:5">
      <c r="A9730" t="s">
        <v>11244</v>
      </c>
      <c r="B9730" t="s">
        <v>11248</v>
      </c>
      <c r="C9730">
        <v>0</v>
      </c>
      <c r="D9730">
        <v>0.99331077716600003</v>
      </c>
      <c r="E9730">
        <v>13.0854572713643</v>
      </c>
    </row>
    <row r="9731" spans="1:5">
      <c r="A9731" t="s">
        <v>11244</v>
      </c>
      <c r="B9731" t="s">
        <v>11249</v>
      </c>
      <c r="C9731">
        <v>0</v>
      </c>
      <c r="D9731">
        <v>0.99331077716600003</v>
      </c>
      <c r="E9731">
        <v>13.0854572713643</v>
      </c>
    </row>
    <row r="9732" spans="1:5">
      <c r="A9732" t="s">
        <v>11244</v>
      </c>
      <c r="B9732" t="s">
        <v>11250</v>
      </c>
      <c r="C9732">
        <f>0</f>
        <v>0</v>
      </c>
      <c r="D9732">
        <v>0.99331077716600003</v>
      </c>
      <c r="E9732">
        <v>13.0854572713643</v>
      </c>
    </row>
    <row r="9733" spans="1:5">
      <c r="A9733" t="s">
        <v>11244</v>
      </c>
      <c r="B9733" t="s">
        <v>11251</v>
      </c>
      <c r="C9733">
        <v>0</v>
      </c>
      <c r="D9733">
        <v>0.99331077716600003</v>
      </c>
      <c r="E9733">
        <v>13.0854572713643</v>
      </c>
    </row>
    <row r="9734" spans="1:5">
      <c r="A9734" t="s">
        <v>11244</v>
      </c>
      <c r="B9734" t="s">
        <v>11252</v>
      </c>
      <c r="C9734">
        <f>0</f>
        <v>0</v>
      </c>
      <c r="D9734">
        <v>0.99331077716600003</v>
      </c>
      <c r="E9734">
        <v>13.0854572713643</v>
      </c>
    </row>
    <row r="9735" spans="1:5">
      <c r="A9735" t="s">
        <v>11244</v>
      </c>
      <c r="B9735" t="s">
        <v>11253</v>
      </c>
      <c r="C9735">
        <f>0</f>
        <v>0</v>
      </c>
      <c r="D9735">
        <v>0.99331077716600003</v>
      </c>
      <c r="E9735">
        <v>13.0854572713643</v>
      </c>
    </row>
    <row r="9736" spans="1:5">
      <c r="A9736" t="s">
        <v>11244</v>
      </c>
      <c r="B9736" t="s">
        <v>11254</v>
      </c>
      <c r="C9736">
        <f>0</f>
        <v>0</v>
      </c>
      <c r="D9736">
        <v>0.99331077716600003</v>
      </c>
      <c r="E9736">
        <v>13.0854572713643</v>
      </c>
    </row>
    <row r="9737" spans="1:5">
      <c r="A9737" t="s">
        <v>11244</v>
      </c>
      <c r="B9737" t="s">
        <v>11255</v>
      </c>
      <c r="C9737">
        <f>0.0387490619198</f>
        <v>3.8749061919800001E-2</v>
      </c>
      <c r="D9737">
        <v>0.99331077716600003</v>
      </c>
      <c r="E9737">
        <v>13.0854572713643</v>
      </c>
    </row>
    <row r="9738" spans="1:5">
      <c r="A9738" t="s">
        <v>11244</v>
      </c>
      <c r="B9738" t="s">
        <v>11256</v>
      </c>
      <c r="C9738">
        <f>0</f>
        <v>0</v>
      </c>
      <c r="D9738">
        <v>0.99331077716600003</v>
      </c>
      <c r="E9738">
        <v>13.0854572713643</v>
      </c>
    </row>
    <row r="9739" spans="1:5">
      <c r="A9739" t="s">
        <v>11244</v>
      </c>
      <c r="B9739" t="s">
        <v>11257</v>
      </c>
      <c r="C9739">
        <f>0</f>
        <v>0</v>
      </c>
      <c r="D9739">
        <v>0.99331077716600003</v>
      </c>
      <c r="E9739">
        <v>13.0854572713643</v>
      </c>
    </row>
    <row r="9740" spans="1:5">
      <c r="A9740" t="s">
        <v>11244</v>
      </c>
      <c r="B9740" t="s">
        <v>11258</v>
      </c>
      <c r="C9740">
        <v>0</v>
      </c>
      <c r="D9740">
        <v>0.99331077716600003</v>
      </c>
      <c r="E9740">
        <v>13.0854572713643</v>
      </c>
    </row>
    <row r="9741" spans="1:5">
      <c r="A9741" t="s">
        <v>11244</v>
      </c>
      <c r="B9741" t="s">
        <v>11259</v>
      </c>
      <c r="C9741">
        <v>0</v>
      </c>
      <c r="D9741">
        <v>0.99331077716600003</v>
      </c>
      <c r="E9741">
        <v>13.0854572713643</v>
      </c>
    </row>
    <row r="9742" spans="1:5">
      <c r="A9742" t="s">
        <v>11260</v>
      </c>
      <c r="B9742" t="s">
        <v>11261</v>
      </c>
      <c r="C9742">
        <v>0</v>
      </c>
      <c r="D9742" t="s">
        <v>106</v>
      </c>
      <c r="E9742">
        <v>24</v>
      </c>
    </row>
    <row r="9743" spans="1:5">
      <c r="A9743" t="s">
        <v>11262</v>
      </c>
      <c r="B9743" t="s">
        <v>11263</v>
      </c>
      <c r="C9743">
        <v>2.9947543641599999E-2</v>
      </c>
      <c r="D9743">
        <v>0.86433220566299995</v>
      </c>
      <c r="E9743">
        <v>12.9175412293853</v>
      </c>
    </row>
    <row r="9744" spans="1:5">
      <c r="A9744" t="s">
        <v>11262</v>
      </c>
      <c r="B9744" t="s">
        <v>11264</v>
      </c>
      <c r="C9744">
        <v>0</v>
      </c>
      <c r="D9744">
        <v>0.86433220566299995</v>
      </c>
      <c r="E9744">
        <v>12.9175412293853</v>
      </c>
    </row>
    <row r="9745" spans="1:5">
      <c r="A9745" t="s">
        <v>11262</v>
      </c>
      <c r="B9745" t="s">
        <v>11265</v>
      </c>
      <c r="C9745">
        <v>0.113829366313</v>
      </c>
      <c r="D9745">
        <v>0.86433220566299995</v>
      </c>
      <c r="E9745">
        <v>12.9175412293853</v>
      </c>
    </row>
    <row r="9746" spans="1:5">
      <c r="A9746" t="s">
        <v>11262</v>
      </c>
      <c r="B9746" t="s">
        <v>11266</v>
      </c>
      <c r="C9746">
        <v>0</v>
      </c>
      <c r="D9746">
        <v>0.86433220566299995</v>
      </c>
      <c r="E9746">
        <v>12.9175412293853</v>
      </c>
    </row>
    <row r="9747" spans="1:5">
      <c r="A9747" t="s">
        <v>11262</v>
      </c>
      <c r="B9747" t="s">
        <v>11267</v>
      </c>
      <c r="C9747">
        <v>0</v>
      </c>
      <c r="D9747">
        <v>0.86433220566299995</v>
      </c>
      <c r="E9747">
        <v>12.9175412293853</v>
      </c>
    </row>
    <row r="9748" spans="1:5">
      <c r="A9748" t="s">
        <v>11268</v>
      </c>
      <c r="B9748" t="s">
        <v>11269</v>
      </c>
      <c r="C9748">
        <f>0</f>
        <v>0</v>
      </c>
      <c r="D9748">
        <v>0.93946136480700004</v>
      </c>
      <c r="E9748">
        <v>9.4632683658170897</v>
      </c>
    </row>
    <row r="9749" spans="1:5">
      <c r="A9749" t="s">
        <v>11268</v>
      </c>
      <c r="B9749" t="s">
        <v>11270</v>
      </c>
      <c r="C9749">
        <v>0</v>
      </c>
      <c r="D9749">
        <v>0.93946136480700004</v>
      </c>
      <c r="E9749">
        <v>9.4632683658170897</v>
      </c>
    </row>
    <row r="9750" spans="1:5">
      <c r="A9750" t="s">
        <v>11268</v>
      </c>
      <c r="B9750" t="s">
        <v>11271</v>
      </c>
      <c r="C9750">
        <v>0</v>
      </c>
      <c r="D9750">
        <v>0.93946136480700004</v>
      </c>
      <c r="E9750">
        <v>9.4632683658170897</v>
      </c>
    </row>
    <row r="9751" spans="1:5">
      <c r="A9751" t="s">
        <v>11268</v>
      </c>
      <c r="B9751" t="s">
        <v>11272</v>
      </c>
      <c r="C9751">
        <v>0</v>
      </c>
      <c r="D9751">
        <v>0.93946136480700004</v>
      </c>
      <c r="E9751">
        <v>9.4632683658170897</v>
      </c>
    </row>
    <row r="9752" spans="1:5">
      <c r="A9752" t="s">
        <v>11268</v>
      </c>
      <c r="B9752" t="s">
        <v>11273</v>
      </c>
      <c r="C9752">
        <f>0</f>
        <v>0</v>
      </c>
      <c r="D9752">
        <v>0.93946136480700004</v>
      </c>
      <c r="E9752">
        <v>9.4632683658170897</v>
      </c>
    </row>
    <row r="9753" spans="1:5">
      <c r="A9753" t="s">
        <v>11268</v>
      </c>
      <c r="B9753" t="s">
        <v>11274</v>
      </c>
      <c r="C9753">
        <v>0</v>
      </c>
      <c r="D9753">
        <v>0.93946136480700004</v>
      </c>
      <c r="E9753">
        <v>9.4632683658170897</v>
      </c>
    </row>
    <row r="9754" spans="1:5">
      <c r="A9754" t="s">
        <v>11268</v>
      </c>
      <c r="B9754" t="s">
        <v>11275</v>
      </c>
      <c r="C9754">
        <v>0</v>
      </c>
      <c r="D9754">
        <v>0.93946136480700004</v>
      </c>
      <c r="E9754">
        <v>9.4632683658170897</v>
      </c>
    </row>
    <row r="9755" spans="1:5">
      <c r="A9755" t="s">
        <v>11268</v>
      </c>
      <c r="B9755" t="s">
        <v>11276</v>
      </c>
      <c r="C9755">
        <v>0</v>
      </c>
      <c r="D9755">
        <v>0.93946136480700004</v>
      </c>
      <c r="E9755">
        <v>9.4632683658170897</v>
      </c>
    </row>
    <row r="9756" spans="1:5">
      <c r="A9756" t="s">
        <v>11268</v>
      </c>
      <c r="B9756" t="s">
        <v>11277</v>
      </c>
      <c r="C9756">
        <f>0</f>
        <v>0</v>
      </c>
      <c r="D9756">
        <v>0.93946136480700004</v>
      </c>
      <c r="E9756">
        <v>9.4632683658170897</v>
      </c>
    </row>
    <row r="9757" spans="1:5">
      <c r="A9757" t="s">
        <v>11268</v>
      </c>
      <c r="B9757" t="s">
        <v>11278</v>
      </c>
      <c r="C9757">
        <v>0.28304864258200002</v>
      </c>
      <c r="D9757">
        <v>0.93946136480700004</v>
      </c>
      <c r="E9757">
        <v>9.4632683658170897</v>
      </c>
    </row>
    <row r="9758" spans="1:5">
      <c r="A9758" t="s">
        <v>11268</v>
      </c>
      <c r="B9758" t="s">
        <v>11279</v>
      </c>
      <c r="C9758">
        <f>0</f>
        <v>0</v>
      </c>
      <c r="D9758">
        <v>0.93946136480700004</v>
      </c>
      <c r="E9758">
        <v>9.4632683658170897</v>
      </c>
    </row>
    <row r="9759" spans="1:5">
      <c r="A9759" t="s">
        <v>11268</v>
      </c>
      <c r="B9759" t="s">
        <v>11280</v>
      </c>
      <c r="C9759">
        <f>0</f>
        <v>0</v>
      </c>
      <c r="D9759">
        <v>0.93946136480700004</v>
      </c>
      <c r="E9759">
        <v>9.4632683658170897</v>
      </c>
    </row>
    <row r="9760" spans="1:5">
      <c r="A9760" t="s">
        <v>11268</v>
      </c>
      <c r="B9760" t="s">
        <v>11281</v>
      </c>
      <c r="C9760">
        <f>0</f>
        <v>0</v>
      </c>
      <c r="D9760">
        <v>0.93946136480700004</v>
      </c>
      <c r="E9760">
        <v>9.4632683658170897</v>
      </c>
    </row>
    <row r="9761" spans="1:5">
      <c r="A9761" t="s">
        <v>11268</v>
      </c>
      <c r="B9761" t="s">
        <v>11282</v>
      </c>
      <c r="C9761">
        <v>0</v>
      </c>
      <c r="D9761">
        <v>0.93946136480700004</v>
      </c>
      <c r="E9761">
        <v>9.4632683658170897</v>
      </c>
    </row>
    <row r="9762" spans="1:5">
      <c r="A9762" t="s">
        <v>11268</v>
      </c>
      <c r="B9762" t="s">
        <v>11283</v>
      </c>
      <c r="C9762">
        <f>0.00863225175626</f>
        <v>8.6322517562599996E-3</v>
      </c>
      <c r="D9762">
        <v>0.93946136480700004</v>
      </c>
      <c r="E9762">
        <v>9.4632683658170897</v>
      </c>
    </row>
    <row r="9763" spans="1:5">
      <c r="A9763" t="s">
        <v>11284</v>
      </c>
      <c r="B9763" t="s">
        <v>11285</v>
      </c>
      <c r="C9763">
        <v>0.372715225255</v>
      </c>
      <c r="D9763">
        <v>0.98591611252800004</v>
      </c>
      <c r="E9763">
        <v>1.00749625187406</v>
      </c>
    </row>
    <row r="9764" spans="1:5">
      <c r="A9764" t="s">
        <v>11284</v>
      </c>
      <c r="B9764" t="s">
        <v>11286</v>
      </c>
      <c r="C9764">
        <v>0</v>
      </c>
      <c r="D9764">
        <v>0.98591611252800004</v>
      </c>
      <c r="E9764">
        <v>1.00749625187406</v>
      </c>
    </row>
    <row r="9765" spans="1:5">
      <c r="A9765" t="s">
        <v>11284</v>
      </c>
      <c r="B9765" t="s">
        <v>11287</v>
      </c>
      <c r="C9765">
        <v>0</v>
      </c>
      <c r="D9765">
        <v>0.98591611252800004</v>
      </c>
      <c r="E9765">
        <v>1.00749625187406</v>
      </c>
    </row>
    <row r="9766" spans="1:5">
      <c r="A9766" t="s">
        <v>11284</v>
      </c>
      <c r="B9766" t="s">
        <v>11288</v>
      </c>
      <c r="C9766">
        <v>6.6815461856900002E-2</v>
      </c>
      <c r="D9766">
        <v>0.98591611252800004</v>
      </c>
      <c r="E9766">
        <v>1.00749625187406</v>
      </c>
    </row>
    <row r="9767" spans="1:5">
      <c r="A9767" t="s">
        <v>11284</v>
      </c>
      <c r="B9767" t="s">
        <v>11289</v>
      </c>
      <c r="C9767">
        <f>0</f>
        <v>0</v>
      </c>
      <c r="D9767">
        <v>0.98591611252800004</v>
      </c>
      <c r="E9767">
        <v>1.00749625187406</v>
      </c>
    </row>
    <row r="9768" spans="1:5">
      <c r="A9768" t="s">
        <v>11284</v>
      </c>
      <c r="B9768" t="s">
        <v>11290</v>
      </c>
      <c r="C9768">
        <v>0</v>
      </c>
      <c r="D9768">
        <v>0.98591611252800004</v>
      </c>
      <c r="E9768">
        <v>1.00749625187406</v>
      </c>
    </row>
    <row r="9769" spans="1:5">
      <c r="A9769" t="s">
        <v>11284</v>
      </c>
      <c r="B9769" t="s">
        <v>11291</v>
      </c>
      <c r="C9769">
        <f>0</f>
        <v>0</v>
      </c>
      <c r="D9769">
        <v>0.98591611252800004</v>
      </c>
      <c r="E9769">
        <v>1.00749625187406</v>
      </c>
    </row>
    <row r="9770" spans="1:5">
      <c r="A9770" t="s">
        <v>11284</v>
      </c>
      <c r="B9770" t="s">
        <v>11292</v>
      </c>
      <c r="C9770">
        <v>0</v>
      </c>
      <c r="D9770">
        <v>0.98591611252800004</v>
      </c>
      <c r="E9770">
        <v>1.00749625187406</v>
      </c>
    </row>
    <row r="9771" spans="1:5">
      <c r="A9771" t="s">
        <v>11284</v>
      </c>
      <c r="B9771" t="s">
        <v>11293</v>
      </c>
      <c r="C9771">
        <v>0</v>
      </c>
      <c r="D9771">
        <v>0.98591611252800004</v>
      </c>
      <c r="E9771">
        <v>1.00749625187406</v>
      </c>
    </row>
    <row r="9772" spans="1:5">
      <c r="A9772" t="s">
        <v>11284</v>
      </c>
      <c r="B9772" t="s">
        <v>11294</v>
      </c>
      <c r="C9772">
        <v>0</v>
      </c>
      <c r="D9772">
        <v>0.98591611252800004</v>
      </c>
      <c r="E9772">
        <v>1.00749625187406</v>
      </c>
    </row>
    <row r="9773" spans="1:5">
      <c r="A9773" t="s">
        <v>11284</v>
      </c>
      <c r="B9773" t="s">
        <v>11295</v>
      </c>
      <c r="C9773">
        <f>0</f>
        <v>0</v>
      </c>
      <c r="D9773">
        <v>0.98591611252800004</v>
      </c>
      <c r="E9773">
        <v>1.00749625187406</v>
      </c>
    </row>
    <row r="9774" spans="1:5">
      <c r="A9774" t="s">
        <v>11296</v>
      </c>
      <c r="B9774" t="s">
        <v>11297</v>
      </c>
      <c r="C9774">
        <f>0</f>
        <v>0</v>
      </c>
      <c r="D9774" t="s">
        <v>106</v>
      </c>
      <c r="E9774">
        <v>24</v>
      </c>
    </row>
    <row r="9775" spans="1:5">
      <c r="A9775" t="s">
        <v>11296</v>
      </c>
      <c r="B9775" t="s">
        <v>11298</v>
      </c>
      <c r="C9775">
        <v>0</v>
      </c>
      <c r="D9775" t="s">
        <v>106</v>
      </c>
      <c r="E9775">
        <v>24</v>
      </c>
    </row>
    <row r="9776" spans="1:5">
      <c r="A9776" t="s">
        <v>11296</v>
      </c>
      <c r="B9776" t="s">
        <v>11299</v>
      </c>
      <c r="C9776">
        <f>0</f>
        <v>0</v>
      </c>
      <c r="D9776" t="s">
        <v>106</v>
      </c>
      <c r="E9776">
        <v>24</v>
      </c>
    </row>
    <row r="9777" spans="1:5">
      <c r="A9777" t="s">
        <v>11296</v>
      </c>
      <c r="B9777" t="s">
        <v>11300</v>
      </c>
      <c r="C9777">
        <f>0</f>
        <v>0</v>
      </c>
      <c r="D9777" t="s">
        <v>106</v>
      </c>
      <c r="E9777">
        <v>24</v>
      </c>
    </row>
    <row r="9778" spans="1:5">
      <c r="A9778" t="s">
        <v>11296</v>
      </c>
      <c r="B9778" t="s">
        <v>11301</v>
      </c>
      <c r="C9778">
        <v>0</v>
      </c>
      <c r="D9778" t="s">
        <v>106</v>
      </c>
      <c r="E9778">
        <v>24</v>
      </c>
    </row>
    <row r="9779" spans="1:5">
      <c r="A9779" t="s">
        <v>11296</v>
      </c>
      <c r="B9779" t="s">
        <v>11302</v>
      </c>
      <c r="C9779">
        <v>0</v>
      </c>
      <c r="D9779" t="s">
        <v>106</v>
      </c>
      <c r="E9779">
        <v>24</v>
      </c>
    </row>
    <row r="9780" spans="1:5">
      <c r="A9780" t="s">
        <v>11296</v>
      </c>
      <c r="B9780" t="s">
        <v>11303</v>
      </c>
      <c r="C9780">
        <v>0</v>
      </c>
      <c r="D9780" t="s">
        <v>106</v>
      </c>
      <c r="E9780">
        <v>24</v>
      </c>
    </row>
    <row r="9781" spans="1:5">
      <c r="A9781" t="s">
        <v>11296</v>
      </c>
      <c r="B9781" t="s">
        <v>11304</v>
      </c>
      <c r="C9781">
        <v>0</v>
      </c>
      <c r="D9781" t="s">
        <v>106</v>
      </c>
      <c r="E9781">
        <v>24</v>
      </c>
    </row>
    <row r="9782" spans="1:5">
      <c r="A9782" t="s">
        <v>11296</v>
      </c>
      <c r="B9782" t="s">
        <v>11305</v>
      </c>
      <c r="C9782">
        <v>0</v>
      </c>
      <c r="D9782" t="s">
        <v>106</v>
      </c>
      <c r="E9782">
        <v>24</v>
      </c>
    </row>
    <row r="9783" spans="1:5">
      <c r="A9783" t="s">
        <v>11296</v>
      </c>
      <c r="B9783" t="s">
        <v>11306</v>
      </c>
      <c r="C9783">
        <f>0</f>
        <v>0</v>
      </c>
      <c r="D9783" t="s">
        <v>106</v>
      </c>
      <c r="E9783">
        <v>24</v>
      </c>
    </row>
    <row r="9784" spans="1:5">
      <c r="A9784" t="s">
        <v>11296</v>
      </c>
      <c r="B9784" t="s">
        <v>11307</v>
      </c>
      <c r="C9784">
        <v>0</v>
      </c>
      <c r="D9784" t="s">
        <v>106</v>
      </c>
      <c r="E9784">
        <v>24</v>
      </c>
    </row>
    <row r="9785" spans="1:5">
      <c r="A9785" t="s">
        <v>11296</v>
      </c>
      <c r="B9785" t="s">
        <v>11308</v>
      </c>
      <c r="C9785">
        <f>0</f>
        <v>0</v>
      </c>
      <c r="D9785" t="s">
        <v>106</v>
      </c>
      <c r="E9785">
        <v>24</v>
      </c>
    </row>
    <row r="9786" spans="1:5">
      <c r="A9786" t="s">
        <v>11296</v>
      </c>
      <c r="B9786" t="s">
        <v>11309</v>
      </c>
      <c r="C9786">
        <v>0</v>
      </c>
      <c r="D9786" t="s">
        <v>106</v>
      </c>
      <c r="E9786">
        <v>24</v>
      </c>
    </row>
    <row r="9787" spans="1:5">
      <c r="A9787" t="s">
        <v>11296</v>
      </c>
      <c r="B9787" t="s">
        <v>11310</v>
      </c>
      <c r="C9787">
        <v>0.102118463598</v>
      </c>
      <c r="D9787" t="s">
        <v>106</v>
      </c>
      <c r="E9787">
        <v>24</v>
      </c>
    </row>
    <row r="9788" spans="1:5">
      <c r="A9788" t="s">
        <v>11296</v>
      </c>
      <c r="B9788" t="s">
        <v>11311</v>
      </c>
      <c r="C9788">
        <v>0</v>
      </c>
      <c r="D9788" t="s">
        <v>106</v>
      </c>
      <c r="E9788">
        <v>24</v>
      </c>
    </row>
    <row r="9789" spans="1:5">
      <c r="A9789" t="s">
        <v>11296</v>
      </c>
      <c r="B9789" t="s">
        <v>11312</v>
      </c>
      <c r="C9789">
        <v>0</v>
      </c>
      <c r="D9789" t="s">
        <v>106</v>
      </c>
      <c r="E9789">
        <v>24</v>
      </c>
    </row>
    <row r="9790" spans="1:5">
      <c r="A9790" t="s">
        <v>11296</v>
      </c>
      <c r="B9790" t="s">
        <v>11313</v>
      </c>
      <c r="C9790">
        <v>0</v>
      </c>
      <c r="D9790" t="s">
        <v>106</v>
      </c>
      <c r="E9790">
        <v>24</v>
      </c>
    </row>
    <row r="9791" spans="1:5">
      <c r="A9791" t="s">
        <v>11296</v>
      </c>
      <c r="B9791" t="s">
        <v>11314</v>
      </c>
      <c r="C9791">
        <v>0</v>
      </c>
      <c r="D9791" t="s">
        <v>106</v>
      </c>
      <c r="E9791">
        <v>24</v>
      </c>
    </row>
    <row r="9792" spans="1:5">
      <c r="A9792" t="s">
        <v>11296</v>
      </c>
      <c r="B9792" t="s">
        <v>11315</v>
      </c>
      <c r="C9792">
        <v>0</v>
      </c>
      <c r="D9792" t="s">
        <v>106</v>
      </c>
      <c r="E9792">
        <v>24</v>
      </c>
    </row>
    <row r="9793" spans="1:5">
      <c r="A9793" t="s">
        <v>11296</v>
      </c>
      <c r="B9793" t="s">
        <v>11316</v>
      </c>
      <c r="C9793">
        <f>0</f>
        <v>0</v>
      </c>
      <c r="D9793" t="s">
        <v>106</v>
      </c>
      <c r="E9793">
        <v>24</v>
      </c>
    </row>
    <row r="9794" spans="1:5">
      <c r="A9794" t="s">
        <v>11317</v>
      </c>
      <c r="B9794" t="s">
        <v>11318</v>
      </c>
      <c r="C9794">
        <v>0.11540689768700001</v>
      </c>
      <c r="D9794">
        <v>0.81165619526999999</v>
      </c>
      <c r="E9794">
        <v>2.0269865067466202</v>
      </c>
    </row>
    <row r="9795" spans="1:5">
      <c r="A9795" t="s">
        <v>11317</v>
      </c>
      <c r="B9795" t="s">
        <v>11319</v>
      </c>
      <c r="C9795">
        <v>3.0372909979499998E-2</v>
      </c>
      <c r="D9795">
        <v>0.81165619526999999</v>
      </c>
      <c r="E9795">
        <v>2.0269865067466202</v>
      </c>
    </row>
    <row r="9796" spans="1:5">
      <c r="A9796" t="s">
        <v>11317</v>
      </c>
      <c r="B9796" t="s">
        <v>11320</v>
      </c>
      <c r="C9796">
        <f>0</f>
        <v>0</v>
      </c>
      <c r="D9796">
        <v>0.81165619526999999</v>
      </c>
      <c r="E9796">
        <v>2.0269865067466202</v>
      </c>
    </row>
    <row r="9797" spans="1:5">
      <c r="A9797" t="s">
        <v>11317</v>
      </c>
      <c r="B9797" t="s">
        <v>11321</v>
      </c>
      <c r="C9797">
        <v>0.14213146008999999</v>
      </c>
      <c r="D9797">
        <v>0.81165619526999999</v>
      </c>
      <c r="E9797">
        <v>2.0269865067466202</v>
      </c>
    </row>
    <row r="9798" spans="1:5">
      <c r="A9798" t="s">
        <v>11322</v>
      </c>
      <c r="B9798" t="s">
        <v>11323</v>
      </c>
      <c r="C9798">
        <f>0</f>
        <v>0</v>
      </c>
      <c r="D9798">
        <v>0.923425274129</v>
      </c>
      <c r="E9798">
        <v>3.13043478260869</v>
      </c>
    </row>
    <row r="9799" spans="1:5">
      <c r="A9799" t="s">
        <v>11322</v>
      </c>
      <c r="B9799" t="s">
        <v>11324</v>
      </c>
      <c r="C9799">
        <v>0</v>
      </c>
      <c r="D9799">
        <v>0.923425274129</v>
      </c>
      <c r="E9799">
        <v>3.13043478260869</v>
      </c>
    </row>
    <row r="9800" spans="1:5">
      <c r="A9800" t="s">
        <v>11322</v>
      </c>
      <c r="B9800" t="s">
        <v>11325</v>
      </c>
      <c r="C9800">
        <v>0</v>
      </c>
      <c r="D9800">
        <v>0.923425274129</v>
      </c>
      <c r="E9800">
        <v>3.13043478260869</v>
      </c>
    </row>
    <row r="9801" spans="1:5">
      <c r="A9801" t="s">
        <v>11322</v>
      </c>
      <c r="B9801" t="s">
        <v>11326</v>
      </c>
      <c r="C9801">
        <f>0</f>
        <v>0</v>
      </c>
      <c r="D9801">
        <v>0.923425274129</v>
      </c>
      <c r="E9801">
        <v>3.13043478260869</v>
      </c>
    </row>
    <row r="9802" spans="1:5">
      <c r="A9802" t="s">
        <v>11322</v>
      </c>
      <c r="B9802" t="s">
        <v>11327</v>
      </c>
      <c r="C9802">
        <v>0</v>
      </c>
      <c r="D9802">
        <v>0.923425274129</v>
      </c>
      <c r="E9802">
        <v>3.13043478260869</v>
      </c>
    </row>
    <row r="9803" spans="1:5">
      <c r="A9803" t="s">
        <v>11322</v>
      </c>
      <c r="B9803" t="s">
        <v>11328</v>
      </c>
      <c r="C9803">
        <v>0</v>
      </c>
      <c r="D9803">
        <v>0.923425274129</v>
      </c>
      <c r="E9803">
        <v>3.13043478260869</v>
      </c>
    </row>
    <row r="9804" spans="1:5">
      <c r="A9804" t="s">
        <v>11322</v>
      </c>
      <c r="B9804" t="s">
        <v>11329</v>
      </c>
      <c r="C9804">
        <v>0</v>
      </c>
      <c r="D9804">
        <v>0.923425274129</v>
      </c>
      <c r="E9804">
        <v>3.13043478260869</v>
      </c>
    </row>
    <row r="9805" spans="1:5">
      <c r="A9805" t="s">
        <v>11322</v>
      </c>
      <c r="B9805" t="s">
        <v>11330</v>
      </c>
      <c r="C9805">
        <v>0</v>
      </c>
      <c r="D9805">
        <v>0.923425274129</v>
      </c>
      <c r="E9805">
        <v>3.13043478260869</v>
      </c>
    </row>
    <row r="9806" spans="1:5">
      <c r="A9806" t="s">
        <v>11322</v>
      </c>
      <c r="B9806" t="s">
        <v>11331</v>
      </c>
      <c r="C9806">
        <v>0.32701143383999998</v>
      </c>
      <c r="D9806">
        <v>0.923425274129</v>
      </c>
      <c r="E9806">
        <v>3.13043478260869</v>
      </c>
    </row>
    <row r="9807" spans="1:5">
      <c r="A9807" t="s">
        <v>11322</v>
      </c>
      <c r="B9807" t="s">
        <v>11332</v>
      </c>
      <c r="C9807">
        <f>0</f>
        <v>0</v>
      </c>
      <c r="D9807">
        <v>0.923425274129</v>
      </c>
      <c r="E9807">
        <v>3.13043478260869</v>
      </c>
    </row>
    <row r="9808" spans="1:5">
      <c r="A9808" t="s">
        <v>11322</v>
      </c>
      <c r="B9808" t="s">
        <v>11333</v>
      </c>
      <c r="C9808">
        <v>0</v>
      </c>
      <c r="D9808">
        <v>0.923425274129</v>
      </c>
      <c r="E9808">
        <v>3.13043478260869</v>
      </c>
    </row>
    <row r="9809" spans="1:5">
      <c r="A9809" t="s">
        <v>11322</v>
      </c>
      <c r="B9809" t="s">
        <v>11334</v>
      </c>
      <c r="C9809">
        <f>0</f>
        <v>0</v>
      </c>
      <c r="D9809">
        <v>0.923425274129</v>
      </c>
      <c r="E9809">
        <v>3.13043478260869</v>
      </c>
    </row>
    <row r="9810" spans="1:5">
      <c r="A9810" t="s">
        <v>11322</v>
      </c>
      <c r="B9810" t="s">
        <v>11335</v>
      </c>
      <c r="C9810">
        <v>0</v>
      </c>
      <c r="D9810">
        <v>0.923425274129</v>
      </c>
      <c r="E9810">
        <v>3.13043478260869</v>
      </c>
    </row>
    <row r="9811" spans="1:5">
      <c r="A9811" t="s">
        <v>11322</v>
      </c>
      <c r="B9811" t="s">
        <v>11336</v>
      </c>
      <c r="C9811">
        <v>0</v>
      </c>
      <c r="D9811">
        <v>0.923425274129</v>
      </c>
      <c r="E9811">
        <v>3.13043478260869</v>
      </c>
    </row>
    <row r="9812" spans="1:5">
      <c r="A9812" t="s">
        <v>11322</v>
      </c>
      <c r="B9812" t="s">
        <v>11337</v>
      </c>
      <c r="C9812">
        <f>0</f>
        <v>0</v>
      </c>
      <c r="D9812">
        <v>0.923425274129</v>
      </c>
      <c r="E9812">
        <v>3.13043478260869</v>
      </c>
    </row>
    <row r="9813" spans="1:5">
      <c r="A9813" t="s">
        <v>11322</v>
      </c>
      <c r="B9813" t="s">
        <v>11338</v>
      </c>
      <c r="C9813">
        <f>0</f>
        <v>0</v>
      </c>
      <c r="D9813">
        <v>0.923425274129</v>
      </c>
      <c r="E9813">
        <v>3.13043478260869</v>
      </c>
    </row>
    <row r="9814" spans="1:5">
      <c r="A9814" t="s">
        <v>11322</v>
      </c>
      <c r="B9814" t="s">
        <v>11339</v>
      </c>
      <c r="C9814">
        <f>0</f>
        <v>0</v>
      </c>
      <c r="D9814">
        <v>0.923425274129</v>
      </c>
      <c r="E9814">
        <v>3.13043478260869</v>
      </c>
    </row>
    <row r="9815" spans="1:5">
      <c r="A9815" t="s">
        <v>11322</v>
      </c>
      <c r="B9815" t="s">
        <v>11340</v>
      </c>
      <c r="C9815">
        <v>0</v>
      </c>
      <c r="D9815">
        <v>0.923425274129</v>
      </c>
      <c r="E9815">
        <v>3.13043478260869</v>
      </c>
    </row>
    <row r="9816" spans="1:5">
      <c r="A9816" t="s">
        <v>11322</v>
      </c>
      <c r="B9816" t="s">
        <v>11341</v>
      </c>
      <c r="C9816">
        <f>0.0255242268863</f>
        <v>2.5524226886299999E-2</v>
      </c>
      <c r="D9816">
        <v>0.923425274129</v>
      </c>
      <c r="E9816">
        <v>3.13043478260869</v>
      </c>
    </row>
    <row r="9817" spans="1:5">
      <c r="A9817" t="s">
        <v>11322</v>
      </c>
      <c r="B9817" t="s">
        <v>11342</v>
      </c>
      <c r="C9817">
        <v>0</v>
      </c>
      <c r="D9817">
        <v>0.923425274129</v>
      </c>
      <c r="E9817">
        <v>3.13043478260869</v>
      </c>
    </row>
    <row r="9818" spans="1:5">
      <c r="A9818" t="s">
        <v>11322</v>
      </c>
      <c r="B9818" t="s">
        <v>11343</v>
      </c>
      <c r="C9818">
        <v>0</v>
      </c>
      <c r="D9818">
        <v>0.923425274129</v>
      </c>
      <c r="E9818">
        <v>3.13043478260869</v>
      </c>
    </row>
    <row r="9819" spans="1:5">
      <c r="A9819" t="s">
        <v>11322</v>
      </c>
      <c r="B9819" t="s">
        <v>11344</v>
      </c>
      <c r="C9819">
        <f>0</f>
        <v>0</v>
      </c>
      <c r="D9819">
        <v>0.923425274129</v>
      </c>
      <c r="E9819">
        <v>3.13043478260869</v>
      </c>
    </row>
    <row r="9820" spans="1:5">
      <c r="A9820" t="s">
        <v>11345</v>
      </c>
      <c r="B9820" t="s">
        <v>11346</v>
      </c>
      <c r="C9820">
        <v>0</v>
      </c>
      <c r="D9820">
        <v>0.99744642024200003</v>
      </c>
      <c r="E9820">
        <v>2.0989505247376301</v>
      </c>
    </row>
    <row r="9821" spans="1:5">
      <c r="A9821" t="s">
        <v>11345</v>
      </c>
      <c r="B9821" t="s">
        <v>11347</v>
      </c>
      <c r="C9821">
        <v>0</v>
      </c>
      <c r="D9821">
        <v>0.99744642024200003</v>
      </c>
      <c r="E9821">
        <v>2.0989505247376301</v>
      </c>
    </row>
    <row r="9822" spans="1:5">
      <c r="A9822" t="s">
        <v>11345</v>
      </c>
      <c r="B9822" t="s">
        <v>11348</v>
      </c>
      <c r="C9822">
        <v>0</v>
      </c>
      <c r="D9822">
        <v>0.99744642024200003</v>
      </c>
      <c r="E9822">
        <v>2.0989505247376301</v>
      </c>
    </row>
    <row r="9823" spans="1:5">
      <c r="A9823" t="s">
        <v>11345</v>
      </c>
      <c r="B9823" t="s">
        <v>11349</v>
      </c>
      <c r="C9823">
        <v>0</v>
      </c>
      <c r="D9823">
        <v>0.99744642024200003</v>
      </c>
      <c r="E9823">
        <v>2.0989505247376301</v>
      </c>
    </row>
    <row r="9824" spans="1:5">
      <c r="A9824" t="s">
        <v>11345</v>
      </c>
      <c r="B9824" t="s">
        <v>11350</v>
      </c>
      <c r="C9824">
        <v>0.224198212595</v>
      </c>
      <c r="D9824">
        <v>0.99744642024200003</v>
      </c>
      <c r="E9824">
        <v>2.0989505247376301</v>
      </c>
    </row>
    <row r="9825" spans="1:5">
      <c r="A9825" t="s">
        <v>11345</v>
      </c>
      <c r="B9825" t="s">
        <v>11351</v>
      </c>
      <c r="C9825">
        <f>0</f>
        <v>0</v>
      </c>
      <c r="D9825">
        <v>0.99744642024200003</v>
      </c>
      <c r="E9825">
        <v>2.0989505247376301</v>
      </c>
    </row>
    <row r="9826" spans="1:5">
      <c r="A9826" t="s">
        <v>11345</v>
      </c>
      <c r="B9826" t="s">
        <v>11352</v>
      </c>
      <c r="C9826">
        <v>0.40306045288499998</v>
      </c>
      <c r="D9826">
        <v>0.99744642024200003</v>
      </c>
      <c r="E9826">
        <v>2.0989505247376301</v>
      </c>
    </row>
    <row r="9827" spans="1:5">
      <c r="A9827" t="s">
        <v>11353</v>
      </c>
      <c r="B9827" t="s">
        <v>11354</v>
      </c>
      <c r="C9827">
        <v>0.45543595408799997</v>
      </c>
      <c r="D9827">
        <v>0.963278322922</v>
      </c>
      <c r="E9827">
        <v>0.95952023988005997</v>
      </c>
    </row>
    <row r="9828" spans="1:5">
      <c r="A9828" t="s">
        <v>11353</v>
      </c>
      <c r="B9828" t="s">
        <v>11355</v>
      </c>
      <c r="C9828">
        <f>0.161704611499</f>
        <v>0.16170461149900001</v>
      </c>
      <c r="D9828">
        <v>0.963278322922</v>
      </c>
      <c r="E9828">
        <v>0.95952023988005997</v>
      </c>
    </row>
    <row r="9829" spans="1:5">
      <c r="A9829" t="s">
        <v>11356</v>
      </c>
      <c r="B9829" t="s">
        <v>11357</v>
      </c>
      <c r="C9829">
        <v>0</v>
      </c>
      <c r="D9829">
        <v>0.95905287387100002</v>
      </c>
      <c r="E9829">
        <v>2.1709145427286298</v>
      </c>
    </row>
    <row r="9830" spans="1:5">
      <c r="A9830" t="s">
        <v>11356</v>
      </c>
      <c r="B9830" t="s">
        <v>11358</v>
      </c>
      <c r="C9830">
        <f>0</f>
        <v>0</v>
      </c>
      <c r="D9830">
        <v>0.95905287387100002</v>
      </c>
      <c r="E9830">
        <v>2.1709145427286298</v>
      </c>
    </row>
    <row r="9831" spans="1:5">
      <c r="A9831" t="s">
        <v>11356</v>
      </c>
      <c r="B9831" t="s">
        <v>11359</v>
      </c>
      <c r="C9831">
        <f>0</f>
        <v>0</v>
      </c>
      <c r="D9831">
        <v>0.95905287387100002</v>
      </c>
      <c r="E9831">
        <v>2.1709145427286298</v>
      </c>
    </row>
    <row r="9832" spans="1:5">
      <c r="A9832" t="s">
        <v>11356</v>
      </c>
      <c r="B9832" t="s">
        <v>11360</v>
      </c>
      <c r="C9832">
        <v>0</v>
      </c>
      <c r="D9832">
        <v>0.95905287387100002</v>
      </c>
      <c r="E9832">
        <v>2.1709145427286298</v>
      </c>
    </row>
    <row r="9833" spans="1:5">
      <c r="A9833" t="s">
        <v>11356</v>
      </c>
      <c r="B9833" t="s">
        <v>11361</v>
      </c>
      <c r="C9833">
        <v>0</v>
      </c>
      <c r="D9833">
        <v>0.95905287387100002</v>
      </c>
      <c r="E9833">
        <v>2.1709145427286298</v>
      </c>
    </row>
    <row r="9834" spans="1:5">
      <c r="A9834" t="s">
        <v>11356</v>
      </c>
      <c r="B9834" t="s">
        <v>11362</v>
      </c>
      <c r="C9834">
        <v>0</v>
      </c>
      <c r="D9834">
        <v>0.95905287387100002</v>
      </c>
      <c r="E9834">
        <v>2.1709145427286298</v>
      </c>
    </row>
    <row r="9835" spans="1:5">
      <c r="A9835" t="s">
        <v>11363</v>
      </c>
      <c r="B9835" t="s">
        <v>11364</v>
      </c>
      <c r="C9835">
        <v>0</v>
      </c>
      <c r="D9835" t="s">
        <v>106</v>
      </c>
      <c r="E9835">
        <v>5.4692653673163401</v>
      </c>
    </row>
    <row r="9836" spans="1:5">
      <c r="A9836" t="s">
        <v>11363</v>
      </c>
      <c r="B9836" t="s">
        <v>11365</v>
      </c>
      <c r="C9836">
        <v>0.25593315361500002</v>
      </c>
      <c r="D9836" t="s">
        <v>106</v>
      </c>
      <c r="E9836">
        <v>5.4692653673163401</v>
      </c>
    </row>
    <row r="9837" spans="1:5">
      <c r="A9837" t="s">
        <v>11363</v>
      </c>
      <c r="B9837" t="s">
        <v>11366</v>
      </c>
      <c r="C9837">
        <f>0</f>
        <v>0</v>
      </c>
      <c r="D9837" t="s">
        <v>106</v>
      </c>
      <c r="E9837">
        <v>5.4692653673163401</v>
      </c>
    </row>
    <row r="9838" spans="1:5">
      <c r="A9838" t="s">
        <v>11363</v>
      </c>
      <c r="B9838" t="s">
        <v>11367</v>
      </c>
      <c r="C9838">
        <v>0.33908962633099998</v>
      </c>
      <c r="D9838" t="s">
        <v>106</v>
      </c>
      <c r="E9838">
        <v>5.4692653673163401</v>
      </c>
    </row>
    <row r="9839" spans="1:5">
      <c r="A9839" t="s">
        <v>11368</v>
      </c>
      <c r="B9839" t="s">
        <v>11369</v>
      </c>
      <c r="C9839">
        <f>0.225228169447</f>
        <v>0.225228169447</v>
      </c>
      <c r="D9839">
        <v>0.98696439764900001</v>
      </c>
      <c r="E9839">
        <v>1.22338830584707</v>
      </c>
    </row>
    <row r="9840" spans="1:5">
      <c r="A9840" t="s">
        <v>11368</v>
      </c>
      <c r="B9840" t="s">
        <v>11370</v>
      </c>
      <c r="C9840">
        <f>0</f>
        <v>0</v>
      </c>
      <c r="D9840">
        <v>0.98696439764900001</v>
      </c>
      <c r="E9840">
        <v>1.22338830584707</v>
      </c>
    </row>
    <row r="9841" spans="1:5">
      <c r="A9841" t="s">
        <v>11368</v>
      </c>
      <c r="B9841" t="s">
        <v>11371</v>
      </c>
      <c r="C9841">
        <f>0</f>
        <v>0</v>
      </c>
      <c r="D9841">
        <v>0.98696439764900001</v>
      </c>
      <c r="E9841">
        <v>1.22338830584707</v>
      </c>
    </row>
    <row r="9842" spans="1:5">
      <c r="A9842" t="s">
        <v>11368</v>
      </c>
      <c r="B9842" t="s">
        <v>11372</v>
      </c>
      <c r="C9842">
        <f>0</f>
        <v>0</v>
      </c>
      <c r="D9842">
        <v>0.98696439764900001</v>
      </c>
      <c r="E9842">
        <v>1.22338830584707</v>
      </c>
    </row>
    <row r="9843" spans="1:5">
      <c r="A9843" t="s">
        <v>11368</v>
      </c>
      <c r="B9843" t="s">
        <v>11373</v>
      </c>
      <c r="C9843">
        <v>0</v>
      </c>
      <c r="D9843">
        <v>0.98696439764900001</v>
      </c>
      <c r="E9843">
        <v>1.22338830584707</v>
      </c>
    </row>
    <row r="9844" spans="1:5">
      <c r="A9844" t="s">
        <v>11368</v>
      </c>
      <c r="B9844" t="s">
        <v>11374</v>
      </c>
      <c r="C9844">
        <f>0</f>
        <v>0</v>
      </c>
      <c r="D9844">
        <v>0.98696439764900001</v>
      </c>
      <c r="E9844">
        <v>1.22338830584707</v>
      </c>
    </row>
    <row r="9845" spans="1:5">
      <c r="A9845" t="s">
        <v>11368</v>
      </c>
      <c r="B9845" t="s">
        <v>11375</v>
      </c>
      <c r="C9845">
        <v>0.49912407707099998</v>
      </c>
      <c r="D9845">
        <v>0.98696439764900001</v>
      </c>
      <c r="E9845">
        <v>1.22338830584707</v>
      </c>
    </row>
    <row r="9846" spans="1:5">
      <c r="A9846" t="s">
        <v>11376</v>
      </c>
      <c r="B9846" t="s">
        <v>11377</v>
      </c>
      <c r="C9846">
        <v>0</v>
      </c>
      <c r="D9846" t="s">
        <v>106</v>
      </c>
      <c r="E9846">
        <v>15.5082458770614</v>
      </c>
    </row>
    <row r="9847" spans="1:5">
      <c r="A9847" t="s">
        <v>11376</v>
      </c>
      <c r="B9847" t="s">
        <v>11378</v>
      </c>
      <c r="C9847">
        <f>0</f>
        <v>0</v>
      </c>
      <c r="D9847" t="s">
        <v>106</v>
      </c>
      <c r="E9847">
        <v>15.5082458770614</v>
      </c>
    </row>
    <row r="9848" spans="1:5">
      <c r="A9848" t="s">
        <v>11376</v>
      </c>
      <c r="B9848" t="s">
        <v>11379</v>
      </c>
      <c r="C9848">
        <v>0</v>
      </c>
      <c r="D9848" t="s">
        <v>106</v>
      </c>
      <c r="E9848">
        <v>15.5082458770614</v>
      </c>
    </row>
    <row r="9849" spans="1:5">
      <c r="A9849" t="s">
        <v>11376</v>
      </c>
      <c r="B9849" t="s">
        <v>11380</v>
      </c>
      <c r="C9849">
        <v>0</v>
      </c>
      <c r="D9849" t="s">
        <v>106</v>
      </c>
      <c r="E9849">
        <v>15.5082458770614</v>
      </c>
    </row>
    <row r="9850" spans="1:5">
      <c r="A9850" t="s">
        <v>11376</v>
      </c>
      <c r="B9850" t="s">
        <v>11381</v>
      </c>
      <c r="C9850">
        <v>0</v>
      </c>
      <c r="D9850" t="s">
        <v>106</v>
      </c>
      <c r="E9850">
        <v>15.5082458770614</v>
      </c>
    </row>
    <row r="9851" spans="1:5">
      <c r="A9851" t="s">
        <v>11376</v>
      </c>
      <c r="B9851" t="s">
        <v>11382</v>
      </c>
      <c r="C9851">
        <f>0</f>
        <v>0</v>
      </c>
      <c r="D9851" t="s">
        <v>106</v>
      </c>
      <c r="E9851">
        <v>15.5082458770614</v>
      </c>
    </row>
    <row r="9852" spans="1:5">
      <c r="A9852" t="s">
        <v>11376</v>
      </c>
      <c r="B9852" t="s">
        <v>11383</v>
      </c>
      <c r="C9852">
        <v>0</v>
      </c>
      <c r="D9852" t="s">
        <v>106</v>
      </c>
      <c r="E9852">
        <v>15.5082458770614</v>
      </c>
    </row>
    <row r="9853" spans="1:5">
      <c r="A9853" t="s">
        <v>11376</v>
      </c>
      <c r="B9853" t="s">
        <v>11384</v>
      </c>
      <c r="C9853">
        <v>0</v>
      </c>
      <c r="D9853" t="s">
        <v>106</v>
      </c>
      <c r="E9853">
        <v>15.5082458770614</v>
      </c>
    </row>
    <row r="9854" spans="1:5">
      <c r="A9854" t="s">
        <v>11385</v>
      </c>
      <c r="B9854" t="s">
        <v>11386</v>
      </c>
      <c r="C9854">
        <v>0</v>
      </c>
      <c r="D9854">
        <v>0.93985762329599998</v>
      </c>
      <c r="E9854">
        <v>3.68215892053973</v>
      </c>
    </row>
    <row r="9855" spans="1:5">
      <c r="A9855" t="s">
        <v>11385</v>
      </c>
      <c r="B9855" t="s">
        <v>11387</v>
      </c>
      <c r="C9855">
        <f>0</f>
        <v>0</v>
      </c>
      <c r="D9855">
        <v>0.93985762329599998</v>
      </c>
      <c r="E9855">
        <v>3.68215892053973</v>
      </c>
    </row>
    <row r="9856" spans="1:5">
      <c r="A9856" t="s">
        <v>11385</v>
      </c>
      <c r="B9856" t="s">
        <v>11388</v>
      </c>
      <c r="C9856">
        <v>0</v>
      </c>
      <c r="D9856">
        <v>0.93985762329599998</v>
      </c>
      <c r="E9856">
        <v>3.68215892053973</v>
      </c>
    </row>
    <row r="9857" spans="1:5">
      <c r="A9857" t="s">
        <v>11385</v>
      </c>
      <c r="B9857" t="s">
        <v>11389</v>
      </c>
      <c r="C9857">
        <v>0</v>
      </c>
      <c r="D9857">
        <v>0.93985762329599998</v>
      </c>
      <c r="E9857">
        <v>3.68215892053973</v>
      </c>
    </row>
    <row r="9858" spans="1:5">
      <c r="A9858" t="s">
        <v>11385</v>
      </c>
      <c r="B9858" t="s">
        <v>11390</v>
      </c>
      <c r="C9858">
        <v>0</v>
      </c>
      <c r="D9858">
        <v>0.93985762329599998</v>
      </c>
      <c r="E9858">
        <v>3.68215892053973</v>
      </c>
    </row>
    <row r="9859" spans="1:5">
      <c r="A9859" t="s">
        <v>11385</v>
      </c>
      <c r="B9859" t="s">
        <v>11391</v>
      </c>
      <c r="C9859">
        <v>0.147390978187</v>
      </c>
      <c r="D9859">
        <v>0.93985762329599998</v>
      </c>
      <c r="E9859">
        <v>3.68215892053973</v>
      </c>
    </row>
    <row r="9860" spans="1:5">
      <c r="A9860" t="s">
        <v>11385</v>
      </c>
      <c r="B9860" t="s">
        <v>11392</v>
      </c>
      <c r="C9860">
        <v>0</v>
      </c>
      <c r="D9860">
        <v>0.93985762329599998</v>
      </c>
      <c r="E9860">
        <v>3.68215892053973</v>
      </c>
    </row>
    <row r="9861" spans="1:5">
      <c r="A9861" t="s">
        <v>11385</v>
      </c>
      <c r="B9861" t="s">
        <v>11393</v>
      </c>
      <c r="C9861">
        <v>0</v>
      </c>
      <c r="D9861">
        <v>0.93985762329599998</v>
      </c>
      <c r="E9861">
        <v>3.68215892053973</v>
      </c>
    </row>
    <row r="9862" spans="1:5">
      <c r="A9862" t="s">
        <v>11385</v>
      </c>
      <c r="B9862" t="s">
        <v>11394</v>
      </c>
      <c r="C9862">
        <v>0</v>
      </c>
      <c r="D9862">
        <v>0.93985762329599998</v>
      </c>
      <c r="E9862">
        <v>3.68215892053973</v>
      </c>
    </row>
    <row r="9863" spans="1:5">
      <c r="A9863" t="s">
        <v>11385</v>
      </c>
      <c r="B9863" t="s">
        <v>11395</v>
      </c>
      <c r="C9863">
        <f>0</f>
        <v>0</v>
      </c>
      <c r="D9863">
        <v>0.93985762329599998</v>
      </c>
      <c r="E9863">
        <v>3.68215892053973</v>
      </c>
    </row>
    <row r="9864" spans="1:5">
      <c r="A9864" t="s">
        <v>11385</v>
      </c>
      <c r="B9864" t="s">
        <v>11396</v>
      </c>
      <c r="C9864">
        <v>0</v>
      </c>
      <c r="D9864">
        <v>0.93985762329599998</v>
      </c>
      <c r="E9864">
        <v>3.68215892053973</v>
      </c>
    </row>
    <row r="9865" spans="1:5">
      <c r="A9865" t="s">
        <v>11385</v>
      </c>
      <c r="B9865" t="s">
        <v>11397</v>
      </c>
      <c r="C9865">
        <v>0</v>
      </c>
      <c r="D9865">
        <v>0.93985762329599998</v>
      </c>
      <c r="E9865">
        <v>3.68215892053973</v>
      </c>
    </row>
    <row r="9866" spans="1:5">
      <c r="A9866" t="s">
        <v>11398</v>
      </c>
      <c r="B9866" t="s">
        <v>11399</v>
      </c>
      <c r="C9866">
        <f>0</f>
        <v>0</v>
      </c>
      <c r="D9866" t="s">
        <v>106</v>
      </c>
      <c r="E9866">
        <v>3.5862068965517202</v>
      </c>
    </row>
    <row r="9867" spans="1:5">
      <c r="A9867" t="s">
        <v>11398</v>
      </c>
      <c r="B9867" t="s">
        <v>11400</v>
      </c>
      <c r="C9867">
        <v>3.4406962896299999E-2</v>
      </c>
      <c r="D9867" t="s">
        <v>106</v>
      </c>
      <c r="E9867">
        <v>3.5862068965517202</v>
      </c>
    </row>
    <row r="9868" spans="1:5">
      <c r="A9868" t="s">
        <v>11398</v>
      </c>
      <c r="B9868" t="s">
        <v>11401</v>
      </c>
      <c r="C9868">
        <v>0</v>
      </c>
      <c r="D9868" t="s">
        <v>106</v>
      </c>
      <c r="E9868">
        <v>3.5862068965517202</v>
      </c>
    </row>
    <row r="9869" spans="1:5">
      <c r="A9869" t="s">
        <v>11398</v>
      </c>
      <c r="B9869" t="s">
        <v>11402</v>
      </c>
      <c r="C9869">
        <f>0</f>
        <v>0</v>
      </c>
      <c r="D9869" t="s">
        <v>106</v>
      </c>
      <c r="E9869">
        <v>3.5862068965517202</v>
      </c>
    </row>
    <row r="9870" spans="1:5">
      <c r="A9870" t="s">
        <v>11398</v>
      </c>
      <c r="B9870" t="s">
        <v>11403</v>
      </c>
      <c r="C9870">
        <f>0</f>
        <v>0</v>
      </c>
      <c r="D9870" t="s">
        <v>106</v>
      </c>
      <c r="E9870">
        <v>3.5862068965517202</v>
      </c>
    </row>
    <row r="9871" spans="1:5">
      <c r="A9871" t="s">
        <v>11404</v>
      </c>
      <c r="B9871" t="s">
        <v>11405</v>
      </c>
      <c r="C9871">
        <v>5.1030672380299999E-2</v>
      </c>
      <c r="D9871">
        <v>0.99478812185099996</v>
      </c>
      <c r="E9871">
        <v>5.69715142428785</v>
      </c>
    </row>
    <row r="9872" spans="1:5">
      <c r="A9872" t="s">
        <v>11404</v>
      </c>
      <c r="B9872" t="s">
        <v>11406</v>
      </c>
      <c r="C9872">
        <f>0</f>
        <v>0</v>
      </c>
      <c r="D9872">
        <v>0.99478812185099996</v>
      </c>
      <c r="E9872">
        <v>5.69715142428785</v>
      </c>
    </row>
    <row r="9873" spans="1:5">
      <c r="A9873" t="s">
        <v>11404</v>
      </c>
      <c r="B9873" t="s">
        <v>11407</v>
      </c>
      <c r="C9873">
        <v>0</v>
      </c>
      <c r="D9873">
        <v>0.99478812185099996</v>
      </c>
      <c r="E9873">
        <v>5.69715142428785</v>
      </c>
    </row>
    <row r="9874" spans="1:5">
      <c r="A9874" t="s">
        <v>11404</v>
      </c>
      <c r="B9874" t="s">
        <v>11408</v>
      </c>
      <c r="C9874">
        <f>0</f>
        <v>0</v>
      </c>
      <c r="D9874">
        <v>0.99478812185099996</v>
      </c>
      <c r="E9874">
        <v>5.69715142428785</v>
      </c>
    </row>
    <row r="9875" spans="1:5">
      <c r="A9875" t="s">
        <v>11404</v>
      </c>
      <c r="B9875" t="s">
        <v>11409</v>
      </c>
      <c r="C9875">
        <f>0</f>
        <v>0</v>
      </c>
      <c r="D9875">
        <v>0.99478812185099996</v>
      </c>
      <c r="E9875">
        <v>5.69715142428785</v>
      </c>
    </row>
    <row r="9876" spans="1:5">
      <c r="A9876" t="s">
        <v>11404</v>
      </c>
      <c r="B9876" t="s">
        <v>11410</v>
      </c>
      <c r="C9876">
        <v>0.42651524079399999</v>
      </c>
      <c r="D9876">
        <v>0.99478812185099996</v>
      </c>
      <c r="E9876">
        <v>5.69715142428785</v>
      </c>
    </row>
    <row r="9877" spans="1:5">
      <c r="A9877" t="s">
        <v>11404</v>
      </c>
      <c r="B9877" t="s">
        <v>11411</v>
      </c>
      <c r="C9877">
        <f>0</f>
        <v>0</v>
      </c>
      <c r="D9877">
        <v>0.99478812185099996</v>
      </c>
      <c r="E9877">
        <v>5.69715142428785</v>
      </c>
    </row>
    <row r="9878" spans="1:5">
      <c r="A9878" t="s">
        <v>11404</v>
      </c>
      <c r="B9878" t="s">
        <v>11412</v>
      </c>
      <c r="C9878">
        <v>0</v>
      </c>
      <c r="D9878">
        <v>0.99478812185099996</v>
      </c>
      <c r="E9878">
        <v>5.69715142428785</v>
      </c>
    </row>
    <row r="9879" spans="1:5">
      <c r="A9879" t="s">
        <v>11404</v>
      </c>
      <c r="B9879" t="s">
        <v>11413</v>
      </c>
      <c r="C9879">
        <v>0</v>
      </c>
      <c r="D9879">
        <v>0.99478812185099996</v>
      </c>
      <c r="E9879">
        <v>5.69715142428785</v>
      </c>
    </row>
    <row r="9880" spans="1:5">
      <c r="A9880" t="s">
        <v>11404</v>
      </c>
      <c r="B9880" t="s">
        <v>11414</v>
      </c>
      <c r="C9880">
        <f>0</f>
        <v>0</v>
      </c>
      <c r="D9880">
        <v>0.99478812185099996</v>
      </c>
      <c r="E9880">
        <v>5.69715142428785</v>
      </c>
    </row>
    <row r="9881" spans="1:5">
      <c r="A9881" t="s">
        <v>11404</v>
      </c>
      <c r="B9881" t="s">
        <v>11415</v>
      </c>
      <c r="C9881">
        <f>0</f>
        <v>0</v>
      </c>
      <c r="D9881">
        <v>0.99478812185099996</v>
      </c>
      <c r="E9881">
        <v>5.69715142428785</v>
      </c>
    </row>
    <row r="9882" spans="1:5">
      <c r="A9882" t="s">
        <v>11404</v>
      </c>
      <c r="B9882" t="s">
        <v>11416</v>
      </c>
      <c r="C9882">
        <v>0</v>
      </c>
      <c r="D9882">
        <v>0.99478812185099996</v>
      </c>
      <c r="E9882">
        <v>5.69715142428785</v>
      </c>
    </row>
    <row r="9883" spans="1:5">
      <c r="A9883" t="s">
        <v>11404</v>
      </c>
      <c r="B9883" t="s">
        <v>11417</v>
      </c>
      <c r="C9883">
        <v>0</v>
      </c>
      <c r="D9883">
        <v>0.99478812185099996</v>
      </c>
      <c r="E9883">
        <v>5.69715142428785</v>
      </c>
    </row>
    <row r="9884" spans="1:5">
      <c r="A9884" t="s">
        <v>11404</v>
      </c>
      <c r="B9884" t="s">
        <v>11418</v>
      </c>
      <c r="C9884">
        <f>0</f>
        <v>0</v>
      </c>
      <c r="D9884">
        <v>0.99478812185099996</v>
      </c>
      <c r="E9884">
        <v>5.69715142428785</v>
      </c>
    </row>
    <row r="9885" spans="1:5">
      <c r="A9885" t="s">
        <v>11404</v>
      </c>
      <c r="B9885" t="s">
        <v>11419</v>
      </c>
      <c r="C9885">
        <f>0</f>
        <v>0</v>
      </c>
      <c r="D9885">
        <v>0.99478812185099996</v>
      </c>
      <c r="E9885">
        <v>5.69715142428785</v>
      </c>
    </row>
    <row r="9886" spans="1:5">
      <c r="A9886" t="s">
        <v>11404</v>
      </c>
      <c r="B9886" t="s">
        <v>11420</v>
      </c>
      <c r="C9886">
        <v>0</v>
      </c>
      <c r="D9886">
        <v>0.99478812185099996</v>
      </c>
      <c r="E9886">
        <v>5.69715142428785</v>
      </c>
    </row>
    <row r="9887" spans="1:5">
      <c r="A9887" t="s">
        <v>11404</v>
      </c>
      <c r="B9887" t="s">
        <v>11421</v>
      </c>
      <c r="C9887">
        <v>0</v>
      </c>
      <c r="D9887">
        <v>0.99478812185099996</v>
      </c>
      <c r="E9887">
        <v>5.69715142428785</v>
      </c>
    </row>
    <row r="9888" spans="1:5">
      <c r="A9888" t="s">
        <v>11404</v>
      </c>
      <c r="B9888" t="s">
        <v>11422</v>
      </c>
      <c r="C9888">
        <f>0</f>
        <v>0</v>
      </c>
      <c r="D9888">
        <v>0.99478812185099996</v>
      </c>
      <c r="E9888">
        <v>5.69715142428785</v>
      </c>
    </row>
    <row r="9889" spans="1:5">
      <c r="A9889" t="s">
        <v>11404</v>
      </c>
      <c r="B9889" t="s">
        <v>11423</v>
      </c>
      <c r="C9889">
        <v>0</v>
      </c>
      <c r="D9889">
        <v>0.99478812185099996</v>
      </c>
      <c r="E9889">
        <v>5.69715142428785</v>
      </c>
    </row>
    <row r="9890" spans="1:5">
      <c r="A9890" t="s">
        <v>11404</v>
      </c>
      <c r="B9890" t="s">
        <v>11424</v>
      </c>
      <c r="C9890">
        <v>0</v>
      </c>
      <c r="D9890">
        <v>0.99478812185099996</v>
      </c>
      <c r="E9890">
        <v>5.69715142428785</v>
      </c>
    </row>
    <row r="9891" spans="1:5">
      <c r="A9891" t="s">
        <v>11404</v>
      </c>
      <c r="B9891" t="s">
        <v>11425</v>
      </c>
      <c r="C9891">
        <f>0</f>
        <v>0</v>
      </c>
      <c r="D9891">
        <v>0.99478812185099996</v>
      </c>
      <c r="E9891">
        <v>5.69715142428785</v>
      </c>
    </row>
    <row r="9892" spans="1:5">
      <c r="A9892" t="s">
        <v>11404</v>
      </c>
      <c r="B9892" t="s">
        <v>11426</v>
      </c>
      <c r="C9892">
        <v>0</v>
      </c>
      <c r="D9892">
        <v>0.99478812185099996</v>
      </c>
      <c r="E9892">
        <v>5.69715142428785</v>
      </c>
    </row>
    <row r="9893" spans="1:5">
      <c r="A9893" t="s">
        <v>11404</v>
      </c>
      <c r="B9893" t="s">
        <v>11427</v>
      </c>
      <c r="C9893">
        <f>0</f>
        <v>0</v>
      </c>
      <c r="D9893">
        <v>0.99478812185099996</v>
      </c>
      <c r="E9893">
        <v>5.69715142428785</v>
      </c>
    </row>
    <row r="9894" spans="1:5">
      <c r="A9894" t="s">
        <v>11428</v>
      </c>
      <c r="B9894" t="s">
        <v>11429</v>
      </c>
      <c r="C9894">
        <f>0</f>
        <v>0</v>
      </c>
      <c r="D9894" t="s">
        <v>106</v>
      </c>
      <c r="E9894">
        <v>4.2698650674662604</v>
      </c>
    </row>
    <row r="9895" spans="1:5">
      <c r="A9895" t="s">
        <v>11428</v>
      </c>
      <c r="B9895" t="s">
        <v>11430</v>
      </c>
      <c r="C9895">
        <f>0</f>
        <v>0</v>
      </c>
      <c r="D9895" t="s">
        <v>106</v>
      </c>
      <c r="E9895">
        <v>4.2698650674662604</v>
      </c>
    </row>
    <row r="9896" spans="1:5">
      <c r="A9896" t="s">
        <v>11428</v>
      </c>
      <c r="B9896" t="s">
        <v>11431</v>
      </c>
      <c r="C9896">
        <f>0</f>
        <v>0</v>
      </c>
      <c r="D9896" t="s">
        <v>106</v>
      </c>
      <c r="E9896">
        <v>4.2698650674662604</v>
      </c>
    </row>
    <row r="9897" spans="1:5">
      <c r="A9897" t="s">
        <v>11428</v>
      </c>
      <c r="B9897" t="s">
        <v>11432</v>
      </c>
      <c r="C9897">
        <f>0</f>
        <v>0</v>
      </c>
      <c r="D9897" t="s">
        <v>106</v>
      </c>
      <c r="E9897">
        <v>4.2698650674662604</v>
      </c>
    </row>
    <row r="9898" spans="1:5">
      <c r="A9898" t="s">
        <v>11428</v>
      </c>
      <c r="B9898" t="s">
        <v>11433</v>
      </c>
      <c r="C9898">
        <f>0</f>
        <v>0</v>
      </c>
      <c r="D9898" t="s">
        <v>106</v>
      </c>
      <c r="E9898">
        <v>4.2698650674662604</v>
      </c>
    </row>
    <row r="9899" spans="1:5">
      <c r="A9899" t="s">
        <v>11434</v>
      </c>
      <c r="B9899" t="s">
        <v>11435</v>
      </c>
      <c r="C9899">
        <v>0</v>
      </c>
      <c r="D9899">
        <v>0.90329598763600005</v>
      </c>
      <c r="E9899">
        <v>1.6911544227886</v>
      </c>
    </row>
    <row r="9900" spans="1:5">
      <c r="A9900" t="s">
        <v>11434</v>
      </c>
      <c r="B9900" t="s">
        <v>11436</v>
      </c>
      <c r="C9900">
        <v>3.3152704269900003E-2</v>
      </c>
      <c r="D9900">
        <v>0.90329598763600005</v>
      </c>
      <c r="E9900">
        <v>1.6911544227886</v>
      </c>
    </row>
    <row r="9901" spans="1:5">
      <c r="A9901" t="s">
        <v>11434</v>
      </c>
      <c r="B9901" t="s">
        <v>11437</v>
      </c>
      <c r="C9901">
        <v>0</v>
      </c>
      <c r="D9901">
        <v>0.90329598763600005</v>
      </c>
      <c r="E9901">
        <v>1.6911544227886</v>
      </c>
    </row>
    <row r="9902" spans="1:5">
      <c r="A9902" t="s">
        <v>11434</v>
      </c>
      <c r="B9902" t="s">
        <v>11438</v>
      </c>
      <c r="C9902">
        <v>0</v>
      </c>
      <c r="D9902">
        <v>0.90329598763600005</v>
      </c>
      <c r="E9902">
        <v>1.6911544227886</v>
      </c>
    </row>
    <row r="9903" spans="1:5">
      <c r="A9903" t="s">
        <v>11434</v>
      </c>
      <c r="B9903" t="s">
        <v>11439</v>
      </c>
      <c r="C9903">
        <v>0.41125197906299998</v>
      </c>
      <c r="D9903">
        <v>0.90329598763600005</v>
      </c>
      <c r="E9903">
        <v>1.6911544227886</v>
      </c>
    </row>
    <row r="9904" spans="1:5">
      <c r="A9904" t="s">
        <v>11434</v>
      </c>
      <c r="B9904" t="s">
        <v>11440</v>
      </c>
      <c r="C9904">
        <v>0</v>
      </c>
      <c r="D9904">
        <v>0.90329598763600005</v>
      </c>
      <c r="E9904">
        <v>1.6911544227886</v>
      </c>
    </row>
    <row r="9905" spans="1:5">
      <c r="A9905" t="s">
        <v>11434</v>
      </c>
      <c r="B9905" t="s">
        <v>11441</v>
      </c>
      <c r="C9905">
        <v>0</v>
      </c>
      <c r="D9905">
        <v>0.90329598763600005</v>
      </c>
      <c r="E9905">
        <v>1.6911544227886</v>
      </c>
    </row>
    <row r="9906" spans="1:5">
      <c r="A9906" t="s">
        <v>11434</v>
      </c>
      <c r="B9906" t="s">
        <v>11442</v>
      </c>
      <c r="C9906">
        <v>0</v>
      </c>
      <c r="D9906">
        <v>0.90329598763600005</v>
      </c>
      <c r="E9906">
        <v>1.6911544227886</v>
      </c>
    </row>
    <row r="9907" spans="1:5">
      <c r="A9907" t="s">
        <v>11443</v>
      </c>
      <c r="B9907" t="s">
        <v>11444</v>
      </c>
      <c r="C9907">
        <f>0</f>
        <v>0</v>
      </c>
      <c r="D9907" t="s">
        <v>106</v>
      </c>
      <c r="E9907">
        <v>24</v>
      </c>
    </row>
    <row r="9908" spans="1:5">
      <c r="A9908" t="s">
        <v>11443</v>
      </c>
      <c r="B9908" t="s">
        <v>11445</v>
      </c>
      <c r="C9908">
        <f>0</f>
        <v>0</v>
      </c>
      <c r="D9908" t="s">
        <v>106</v>
      </c>
      <c r="E9908">
        <v>24</v>
      </c>
    </row>
    <row r="9909" spans="1:5">
      <c r="A9909" t="s">
        <v>11443</v>
      </c>
      <c r="B9909" t="s">
        <v>11446</v>
      </c>
      <c r="C9909">
        <v>0</v>
      </c>
      <c r="D9909" t="s">
        <v>106</v>
      </c>
      <c r="E9909">
        <v>24</v>
      </c>
    </row>
    <row r="9910" spans="1:5">
      <c r="A9910" t="s">
        <v>11443</v>
      </c>
      <c r="B9910" t="s">
        <v>11447</v>
      </c>
      <c r="C9910">
        <v>0</v>
      </c>
      <c r="D9910" t="s">
        <v>106</v>
      </c>
      <c r="E9910">
        <v>24</v>
      </c>
    </row>
    <row r="9911" spans="1:5">
      <c r="A9911" t="s">
        <v>11443</v>
      </c>
      <c r="B9911" t="s">
        <v>11448</v>
      </c>
      <c r="C9911">
        <v>0.13065843995599999</v>
      </c>
      <c r="D9911" t="s">
        <v>106</v>
      </c>
      <c r="E9911">
        <v>24</v>
      </c>
    </row>
    <row r="9912" spans="1:5">
      <c r="A9912" t="s">
        <v>11443</v>
      </c>
      <c r="B9912" t="s">
        <v>11449</v>
      </c>
      <c r="C9912">
        <v>0</v>
      </c>
      <c r="D9912" t="s">
        <v>106</v>
      </c>
      <c r="E9912">
        <v>24</v>
      </c>
    </row>
    <row r="9913" spans="1:5">
      <c r="A9913" t="s">
        <v>11443</v>
      </c>
      <c r="B9913" t="s">
        <v>11450</v>
      </c>
      <c r="C9913">
        <v>5.2487024940899997E-2</v>
      </c>
      <c r="D9913" t="s">
        <v>106</v>
      </c>
      <c r="E9913">
        <v>24</v>
      </c>
    </row>
    <row r="9914" spans="1:5">
      <c r="A9914" t="s">
        <v>11443</v>
      </c>
      <c r="B9914" t="s">
        <v>11451</v>
      </c>
      <c r="C9914">
        <f>0</f>
        <v>0</v>
      </c>
      <c r="D9914" t="s">
        <v>106</v>
      </c>
      <c r="E9914">
        <v>24</v>
      </c>
    </row>
    <row r="9915" spans="1:5">
      <c r="A9915" t="s">
        <v>11443</v>
      </c>
      <c r="B9915" t="s">
        <v>11452</v>
      </c>
      <c r="C9915">
        <f>0</f>
        <v>0</v>
      </c>
      <c r="D9915" t="s">
        <v>106</v>
      </c>
      <c r="E9915">
        <v>24</v>
      </c>
    </row>
    <row r="9916" spans="1:5">
      <c r="A9916" t="s">
        <v>11453</v>
      </c>
      <c r="B9916" t="s">
        <v>11454</v>
      </c>
      <c r="C9916">
        <v>0</v>
      </c>
      <c r="D9916" t="s">
        <v>106</v>
      </c>
      <c r="E9916">
        <v>0.69565217391304301</v>
      </c>
    </row>
    <row r="9917" spans="1:5">
      <c r="A9917" t="s">
        <v>11453</v>
      </c>
      <c r="B9917" t="s">
        <v>11455</v>
      </c>
      <c r="C9917">
        <v>0</v>
      </c>
      <c r="D9917" t="s">
        <v>106</v>
      </c>
      <c r="E9917">
        <v>0.69565217391304301</v>
      </c>
    </row>
    <row r="9918" spans="1:5">
      <c r="A9918" t="s">
        <v>11456</v>
      </c>
      <c r="B9918" t="s">
        <v>11457</v>
      </c>
      <c r="C9918">
        <f>0</f>
        <v>0</v>
      </c>
      <c r="D9918">
        <v>0.96374072941699995</v>
      </c>
      <c r="E9918">
        <v>14.740629685157399</v>
      </c>
    </row>
    <row r="9919" spans="1:5">
      <c r="A9919" t="s">
        <v>11456</v>
      </c>
      <c r="B9919" t="s">
        <v>11458</v>
      </c>
      <c r="C9919">
        <v>0</v>
      </c>
      <c r="D9919">
        <v>0.96374072941699995</v>
      </c>
      <c r="E9919">
        <v>14.740629685157399</v>
      </c>
    </row>
    <row r="9920" spans="1:5">
      <c r="A9920" t="s">
        <v>11456</v>
      </c>
      <c r="B9920" t="s">
        <v>11459</v>
      </c>
      <c r="C9920">
        <v>0</v>
      </c>
      <c r="D9920">
        <v>0.96374072941699995</v>
      </c>
      <c r="E9920">
        <v>14.740629685157399</v>
      </c>
    </row>
    <row r="9921" spans="1:5">
      <c r="A9921" t="s">
        <v>11456</v>
      </c>
      <c r="B9921" t="s">
        <v>11460</v>
      </c>
      <c r="C9921">
        <v>0</v>
      </c>
      <c r="D9921">
        <v>0.96374072941699995</v>
      </c>
      <c r="E9921">
        <v>14.740629685157399</v>
      </c>
    </row>
    <row r="9922" spans="1:5">
      <c r="A9922" t="s">
        <v>11456</v>
      </c>
      <c r="B9922" t="s">
        <v>11461</v>
      </c>
      <c r="C9922">
        <v>0</v>
      </c>
      <c r="D9922">
        <v>0.96374072941699995</v>
      </c>
      <c r="E9922">
        <v>14.740629685157399</v>
      </c>
    </row>
    <row r="9923" spans="1:5">
      <c r="A9923" t="s">
        <v>11456</v>
      </c>
      <c r="B9923" t="s">
        <v>11462</v>
      </c>
      <c r="C9923">
        <v>0</v>
      </c>
      <c r="D9923">
        <v>0.96374072941699995</v>
      </c>
      <c r="E9923">
        <v>14.740629685157399</v>
      </c>
    </row>
    <row r="9924" spans="1:5">
      <c r="A9924" t="s">
        <v>11456</v>
      </c>
      <c r="B9924" t="s">
        <v>11463</v>
      </c>
      <c r="C9924">
        <f>0</f>
        <v>0</v>
      </c>
      <c r="D9924">
        <v>0.96374072941699995</v>
      </c>
      <c r="E9924">
        <v>14.740629685157399</v>
      </c>
    </row>
    <row r="9925" spans="1:5">
      <c r="A9925" t="s">
        <v>11456</v>
      </c>
      <c r="B9925" t="s">
        <v>11464</v>
      </c>
      <c r="C9925">
        <f>0</f>
        <v>0</v>
      </c>
      <c r="D9925">
        <v>0.96374072941699995</v>
      </c>
      <c r="E9925">
        <v>14.740629685157399</v>
      </c>
    </row>
    <row r="9926" spans="1:5">
      <c r="A9926" t="s">
        <v>11456</v>
      </c>
      <c r="B9926" t="s">
        <v>11465</v>
      </c>
      <c r="C9926">
        <v>0</v>
      </c>
      <c r="D9926">
        <v>0.96374072941699995</v>
      </c>
      <c r="E9926">
        <v>14.740629685157399</v>
      </c>
    </row>
    <row r="9927" spans="1:5">
      <c r="A9927" t="s">
        <v>11456</v>
      </c>
      <c r="B9927" t="s">
        <v>11466</v>
      </c>
      <c r="C9927">
        <v>0</v>
      </c>
      <c r="D9927">
        <v>0.96374072941699995</v>
      </c>
      <c r="E9927">
        <v>14.740629685157399</v>
      </c>
    </row>
    <row r="9928" spans="1:5">
      <c r="A9928" t="s">
        <v>11456</v>
      </c>
      <c r="B9928" t="s">
        <v>11467</v>
      </c>
      <c r="C9928">
        <v>0.13237584979600001</v>
      </c>
      <c r="D9928">
        <v>0.96374072941699995</v>
      </c>
      <c r="E9928">
        <v>14.740629685157399</v>
      </c>
    </row>
    <row r="9929" spans="1:5">
      <c r="A9929" t="s">
        <v>11456</v>
      </c>
      <c r="B9929" t="s">
        <v>11468</v>
      </c>
      <c r="C9929">
        <v>0</v>
      </c>
      <c r="D9929">
        <v>0.96374072941699995</v>
      </c>
      <c r="E9929">
        <v>14.740629685157399</v>
      </c>
    </row>
    <row r="9930" spans="1:5">
      <c r="A9930" t="s">
        <v>11456</v>
      </c>
      <c r="B9930" t="s">
        <v>11469</v>
      </c>
      <c r="C9930">
        <v>0.143428963238</v>
      </c>
      <c r="D9930">
        <v>0.96374072941699995</v>
      </c>
      <c r="E9930">
        <v>14.740629685157399</v>
      </c>
    </row>
    <row r="9931" spans="1:5">
      <c r="A9931" t="s">
        <v>11470</v>
      </c>
      <c r="B9931" t="s">
        <v>11471</v>
      </c>
      <c r="C9931">
        <v>0</v>
      </c>
      <c r="D9931" t="s">
        <v>106</v>
      </c>
      <c r="E9931">
        <v>5.3493253373313303</v>
      </c>
    </row>
    <row r="9932" spans="1:5">
      <c r="A9932" t="s">
        <v>11470</v>
      </c>
      <c r="B9932" t="s">
        <v>11472</v>
      </c>
      <c r="C9932">
        <v>5.6868721366100002E-2</v>
      </c>
      <c r="D9932" t="s">
        <v>106</v>
      </c>
      <c r="E9932">
        <v>5.3493253373313303</v>
      </c>
    </row>
    <row r="9933" spans="1:5">
      <c r="A9933" t="s">
        <v>11470</v>
      </c>
      <c r="B9933" t="s">
        <v>11473</v>
      </c>
      <c r="C9933">
        <v>0</v>
      </c>
      <c r="D9933" t="s">
        <v>106</v>
      </c>
      <c r="E9933">
        <v>5.3493253373313303</v>
      </c>
    </row>
    <row r="9934" spans="1:5">
      <c r="A9934" t="s">
        <v>11470</v>
      </c>
      <c r="B9934" t="s">
        <v>11474</v>
      </c>
      <c r="C9934">
        <f>0</f>
        <v>0</v>
      </c>
      <c r="D9934" t="s">
        <v>106</v>
      </c>
      <c r="E9934">
        <v>5.3493253373313303</v>
      </c>
    </row>
    <row r="9935" spans="1:5">
      <c r="A9935" t="s">
        <v>11470</v>
      </c>
      <c r="B9935" t="s">
        <v>11475</v>
      </c>
      <c r="C9935">
        <f>0</f>
        <v>0</v>
      </c>
      <c r="D9935" t="s">
        <v>106</v>
      </c>
      <c r="E9935">
        <v>5.3493253373313303</v>
      </c>
    </row>
    <row r="9936" spans="1:5">
      <c r="A9936" t="s">
        <v>11470</v>
      </c>
      <c r="B9936" t="s">
        <v>11476</v>
      </c>
      <c r="C9936">
        <f>0</f>
        <v>0</v>
      </c>
      <c r="D9936" t="s">
        <v>106</v>
      </c>
      <c r="E9936">
        <v>5.3493253373313303</v>
      </c>
    </row>
    <row r="9937" spans="1:5">
      <c r="A9937" t="s">
        <v>11470</v>
      </c>
      <c r="B9937" t="s">
        <v>11477</v>
      </c>
      <c r="C9937">
        <v>0</v>
      </c>
      <c r="D9937" t="s">
        <v>106</v>
      </c>
      <c r="E9937">
        <v>5.3493253373313303</v>
      </c>
    </row>
    <row r="9938" spans="1:5">
      <c r="A9938" t="s">
        <v>11470</v>
      </c>
      <c r="B9938" t="s">
        <v>11478</v>
      </c>
      <c r="C9938">
        <f>0</f>
        <v>0</v>
      </c>
      <c r="D9938" t="s">
        <v>106</v>
      </c>
      <c r="E9938">
        <v>5.3493253373313303</v>
      </c>
    </row>
    <row r="9939" spans="1:5">
      <c r="A9939" t="s">
        <v>11470</v>
      </c>
      <c r="B9939" t="s">
        <v>11479</v>
      </c>
      <c r="C9939">
        <v>0</v>
      </c>
      <c r="D9939" t="s">
        <v>106</v>
      </c>
      <c r="E9939">
        <v>5.3493253373313303</v>
      </c>
    </row>
    <row r="9940" spans="1:5">
      <c r="A9940" t="s">
        <v>11470</v>
      </c>
      <c r="B9940" t="s">
        <v>11480</v>
      </c>
      <c r="C9940">
        <v>0</v>
      </c>
      <c r="D9940" t="s">
        <v>106</v>
      </c>
      <c r="E9940">
        <v>5.3493253373313303</v>
      </c>
    </row>
    <row r="9941" spans="1:5">
      <c r="A9941" t="s">
        <v>11470</v>
      </c>
      <c r="B9941" t="s">
        <v>11481</v>
      </c>
      <c r="C9941">
        <v>0</v>
      </c>
      <c r="D9941" t="s">
        <v>106</v>
      </c>
      <c r="E9941">
        <v>5.3493253373313303</v>
      </c>
    </row>
    <row r="9942" spans="1:5">
      <c r="A9942" t="s">
        <v>11470</v>
      </c>
      <c r="B9942" t="s">
        <v>11482</v>
      </c>
      <c r="C9942">
        <v>0</v>
      </c>
      <c r="D9942" t="s">
        <v>106</v>
      </c>
      <c r="E9942">
        <v>5.3493253373313303</v>
      </c>
    </row>
    <row r="9943" spans="1:5">
      <c r="A9943" t="s">
        <v>11483</v>
      </c>
      <c r="B9943" t="s">
        <v>11484</v>
      </c>
      <c r="C9943">
        <f>0</f>
        <v>0</v>
      </c>
      <c r="D9943">
        <v>0.89551091024700002</v>
      </c>
      <c r="E9943">
        <v>15.5082458770614</v>
      </c>
    </row>
    <row r="9944" spans="1:5">
      <c r="A9944" t="s">
        <v>11483</v>
      </c>
      <c r="B9944" t="s">
        <v>11485</v>
      </c>
      <c r="C9944">
        <v>0</v>
      </c>
      <c r="D9944">
        <v>0.89551091024700002</v>
      </c>
      <c r="E9944">
        <v>15.5082458770614</v>
      </c>
    </row>
    <row r="9945" spans="1:5">
      <c r="A9945" t="s">
        <v>11483</v>
      </c>
      <c r="B9945" t="s">
        <v>11486</v>
      </c>
      <c r="C9945">
        <v>0</v>
      </c>
      <c r="D9945">
        <v>0.89551091024700002</v>
      </c>
      <c r="E9945">
        <v>15.5082458770614</v>
      </c>
    </row>
    <row r="9946" spans="1:5">
      <c r="A9946" t="s">
        <v>11483</v>
      </c>
      <c r="B9946" t="s">
        <v>11487</v>
      </c>
      <c r="C9946">
        <f>0</f>
        <v>0</v>
      </c>
      <c r="D9946">
        <v>0.89551091024700002</v>
      </c>
      <c r="E9946">
        <v>15.5082458770614</v>
      </c>
    </row>
    <row r="9947" spans="1:5">
      <c r="A9947" t="s">
        <v>11483</v>
      </c>
      <c r="B9947" t="s">
        <v>11488</v>
      </c>
      <c r="C9947">
        <v>0</v>
      </c>
      <c r="D9947">
        <v>0.89551091024700002</v>
      </c>
      <c r="E9947">
        <v>15.5082458770614</v>
      </c>
    </row>
    <row r="9948" spans="1:5">
      <c r="A9948" t="s">
        <v>11483</v>
      </c>
      <c r="B9948" t="s">
        <v>11489</v>
      </c>
      <c r="C9948">
        <f>0</f>
        <v>0</v>
      </c>
      <c r="D9948">
        <v>0.89551091024700002</v>
      </c>
      <c r="E9948">
        <v>15.5082458770614</v>
      </c>
    </row>
    <row r="9949" spans="1:5">
      <c r="A9949" t="s">
        <v>11483</v>
      </c>
      <c r="B9949" t="s">
        <v>11490</v>
      </c>
      <c r="C9949">
        <f>0.0530847383267</f>
        <v>5.30847383267E-2</v>
      </c>
      <c r="D9949">
        <v>0.89551091024700002</v>
      </c>
      <c r="E9949">
        <v>15.5082458770614</v>
      </c>
    </row>
    <row r="9950" spans="1:5">
      <c r="A9950" t="s">
        <v>11483</v>
      </c>
      <c r="B9950" t="s">
        <v>11491</v>
      </c>
      <c r="C9950">
        <f>0</f>
        <v>0</v>
      </c>
      <c r="D9950">
        <v>0.89551091024700002</v>
      </c>
      <c r="E9950">
        <v>15.5082458770614</v>
      </c>
    </row>
    <row r="9951" spans="1:5">
      <c r="A9951" t="s">
        <v>11492</v>
      </c>
      <c r="B9951" t="s">
        <v>11493</v>
      </c>
      <c r="C9951">
        <f>0</f>
        <v>0</v>
      </c>
      <c r="D9951">
        <v>0.86424778535900004</v>
      </c>
      <c r="E9951">
        <v>1.6311844077961</v>
      </c>
    </row>
    <row r="9952" spans="1:5">
      <c r="A9952" t="s">
        <v>11492</v>
      </c>
      <c r="B9952" t="s">
        <v>11494</v>
      </c>
      <c r="C9952">
        <v>0</v>
      </c>
      <c r="D9952">
        <v>0.86424778535900004</v>
      </c>
      <c r="E9952">
        <v>1.6311844077961</v>
      </c>
    </row>
    <row r="9953" spans="1:5">
      <c r="A9953" t="s">
        <v>11492</v>
      </c>
      <c r="B9953" t="s">
        <v>11495</v>
      </c>
      <c r="C9953">
        <v>0</v>
      </c>
      <c r="D9953">
        <v>0.86424778535900004</v>
      </c>
      <c r="E9953">
        <v>1.6311844077961</v>
      </c>
    </row>
    <row r="9954" spans="1:5">
      <c r="A9954" t="s">
        <v>11492</v>
      </c>
      <c r="B9954" t="s">
        <v>11496</v>
      </c>
      <c r="C9954">
        <v>0</v>
      </c>
      <c r="D9954">
        <v>0.86424778535900004</v>
      </c>
      <c r="E9954">
        <v>1.6311844077961</v>
      </c>
    </row>
    <row r="9955" spans="1:5">
      <c r="A9955" t="s">
        <v>11492</v>
      </c>
      <c r="B9955" t="s">
        <v>11497</v>
      </c>
      <c r="C9955">
        <v>0</v>
      </c>
      <c r="D9955">
        <v>0.86424778535900004</v>
      </c>
      <c r="E9955">
        <v>1.6311844077961</v>
      </c>
    </row>
    <row r="9956" spans="1:5">
      <c r="A9956" t="s">
        <v>11492</v>
      </c>
      <c r="B9956" t="s">
        <v>11498</v>
      </c>
      <c r="C9956">
        <f>0</f>
        <v>0</v>
      </c>
      <c r="D9956">
        <v>0.86424778535900004</v>
      </c>
      <c r="E9956">
        <v>1.6311844077961</v>
      </c>
    </row>
    <row r="9957" spans="1:5">
      <c r="A9957" t="s">
        <v>11492</v>
      </c>
      <c r="B9957" t="s">
        <v>11499</v>
      </c>
      <c r="C9957">
        <v>0.143081659661</v>
      </c>
      <c r="D9957">
        <v>0.86424778535900004</v>
      </c>
      <c r="E9957">
        <v>1.6311844077961</v>
      </c>
    </row>
    <row r="9958" spans="1:5">
      <c r="A9958" t="s">
        <v>11492</v>
      </c>
      <c r="B9958" t="s">
        <v>11500</v>
      </c>
      <c r="C9958">
        <f>0</f>
        <v>0</v>
      </c>
      <c r="D9958">
        <v>0.86424778535900004</v>
      </c>
      <c r="E9958">
        <v>1.6311844077961</v>
      </c>
    </row>
    <row r="9959" spans="1:5">
      <c r="A9959" t="s">
        <v>11492</v>
      </c>
      <c r="B9959" t="s">
        <v>11501</v>
      </c>
      <c r="C9959">
        <f>0</f>
        <v>0</v>
      </c>
      <c r="D9959">
        <v>0.86424778535900004</v>
      </c>
      <c r="E9959">
        <v>1.6311844077961</v>
      </c>
    </row>
    <row r="9960" spans="1:5">
      <c r="A9960" t="s">
        <v>11492</v>
      </c>
      <c r="B9960" t="s">
        <v>11502</v>
      </c>
      <c r="C9960">
        <f>0</f>
        <v>0</v>
      </c>
      <c r="D9960">
        <v>0.86424778535900004</v>
      </c>
      <c r="E9960">
        <v>1.6311844077961</v>
      </c>
    </row>
    <row r="9961" spans="1:5">
      <c r="A9961" t="s">
        <v>11492</v>
      </c>
      <c r="B9961" t="s">
        <v>11503</v>
      </c>
      <c r="C9961">
        <f>0</f>
        <v>0</v>
      </c>
      <c r="D9961">
        <v>0.86424778535900004</v>
      </c>
      <c r="E9961">
        <v>1.6311844077961</v>
      </c>
    </row>
    <row r="9962" spans="1:5">
      <c r="A9962" t="s">
        <v>11492</v>
      </c>
      <c r="B9962" t="s">
        <v>11504</v>
      </c>
      <c r="C9962">
        <v>0</v>
      </c>
      <c r="D9962">
        <v>0.86424778535900004</v>
      </c>
      <c r="E9962">
        <v>1.6311844077961</v>
      </c>
    </row>
    <row r="9963" spans="1:5">
      <c r="A9963" t="s">
        <v>11492</v>
      </c>
      <c r="B9963" t="s">
        <v>11505</v>
      </c>
      <c r="C9963">
        <v>0</v>
      </c>
      <c r="D9963">
        <v>0.86424778535900004</v>
      </c>
      <c r="E9963">
        <v>1.6311844077961</v>
      </c>
    </row>
    <row r="9964" spans="1:5">
      <c r="A9964" t="s">
        <v>11492</v>
      </c>
      <c r="B9964" t="s">
        <v>11506</v>
      </c>
      <c r="C9964">
        <v>0</v>
      </c>
      <c r="D9964">
        <v>0.86424778535900004</v>
      </c>
      <c r="E9964">
        <v>1.6311844077961</v>
      </c>
    </row>
    <row r="9965" spans="1:5">
      <c r="A9965" t="s">
        <v>11492</v>
      </c>
      <c r="B9965" t="s">
        <v>11507</v>
      </c>
      <c r="C9965">
        <f>0</f>
        <v>0</v>
      </c>
      <c r="D9965">
        <v>0.86424778535900004</v>
      </c>
      <c r="E9965">
        <v>1.6311844077961</v>
      </c>
    </row>
    <row r="9966" spans="1:5">
      <c r="A9966" t="s">
        <v>11492</v>
      </c>
      <c r="B9966" t="s">
        <v>11508</v>
      </c>
      <c r="C9966">
        <v>0</v>
      </c>
      <c r="D9966">
        <v>0.86424778535900004</v>
      </c>
      <c r="E9966">
        <v>1.6311844077961</v>
      </c>
    </row>
    <row r="9967" spans="1:5">
      <c r="A9967" t="s">
        <v>11509</v>
      </c>
      <c r="B9967" t="s">
        <v>11510</v>
      </c>
      <c r="C9967">
        <f>0</f>
        <v>0</v>
      </c>
      <c r="D9967" t="s">
        <v>106</v>
      </c>
      <c r="E9967">
        <v>22.332833583208298</v>
      </c>
    </row>
    <row r="9968" spans="1:5">
      <c r="A9968" t="s">
        <v>11509</v>
      </c>
      <c r="B9968" t="s">
        <v>11511</v>
      </c>
      <c r="C9968">
        <f>0</f>
        <v>0</v>
      </c>
      <c r="D9968" t="s">
        <v>106</v>
      </c>
      <c r="E9968">
        <v>22.332833583208298</v>
      </c>
    </row>
    <row r="9969" spans="1:5">
      <c r="A9969" t="s">
        <v>11509</v>
      </c>
      <c r="B9969" t="s">
        <v>11512</v>
      </c>
      <c r="C9969">
        <v>0</v>
      </c>
      <c r="D9969" t="s">
        <v>106</v>
      </c>
      <c r="E9969">
        <v>22.332833583208298</v>
      </c>
    </row>
    <row r="9970" spans="1:5">
      <c r="A9970" t="s">
        <v>11509</v>
      </c>
      <c r="B9970" t="s">
        <v>11513</v>
      </c>
      <c r="C9970">
        <f>0</f>
        <v>0</v>
      </c>
      <c r="D9970" t="s">
        <v>106</v>
      </c>
      <c r="E9970">
        <v>22.332833583208298</v>
      </c>
    </row>
    <row r="9971" spans="1:5">
      <c r="A9971" t="s">
        <v>11509</v>
      </c>
      <c r="B9971" t="s">
        <v>11514</v>
      </c>
      <c r="C9971">
        <f>0</f>
        <v>0</v>
      </c>
      <c r="D9971" t="s">
        <v>106</v>
      </c>
      <c r="E9971">
        <v>22.332833583208298</v>
      </c>
    </row>
    <row r="9972" spans="1:5">
      <c r="A9972" t="s">
        <v>11515</v>
      </c>
      <c r="B9972" t="s">
        <v>11516</v>
      </c>
      <c r="C9972">
        <v>0</v>
      </c>
      <c r="D9972" t="s">
        <v>106</v>
      </c>
      <c r="E9972">
        <v>9.1634182908545707</v>
      </c>
    </row>
    <row r="9973" spans="1:5">
      <c r="A9973" t="s">
        <v>11517</v>
      </c>
      <c r="B9973" t="s">
        <v>11518</v>
      </c>
      <c r="C9973">
        <f>0</f>
        <v>0</v>
      </c>
      <c r="D9973">
        <v>0.94750207047199997</v>
      </c>
      <c r="E9973">
        <v>1.39130434782608</v>
      </c>
    </row>
    <row r="9974" spans="1:5">
      <c r="A9974" t="s">
        <v>11517</v>
      </c>
      <c r="B9974" t="s">
        <v>11519</v>
      </c>
      <c r="C9974">
        <v>0</v>
      </c>
      <c r="D9974">
        <v>0.94750207047199997</v>
      </c>
      <c r="E9974">
        <v>1.39130434782608</v>
      </c>
    </row>
    <row r="9975" spans="1:5">
      <c r="A9975" t="s">
        <v>11517</v>
      </c>
      <c r="B9975" t="s">
        <v>11520</v>
      </c>
      <c r="C9975">
        <f>0.129935878541</f>
        <v>0.129935878541</v>
      </c>
      <c r="D9975">
        <v>0.94750207047199997</v>
      </c>
      <c r="E9975">
        <v>1.39130434782608</v>
      </c>
    </row>
    <row r="9976" spans="1:5">
      <c r="A9976" t="s">
        <v>11517</v>
      </c>
      <c r="B9976" t="s">
        <v>11521</v>
      </c>
      <c r="C9976">
        <f>0.0226500874333</f>
        <v>2.2650087433299999E-2</v>
      </c>
      <c r="D9976">
        <v>0.94750207047199997</v>
      </c>
      <c r="E9976">
        <v>1.39130434782608</v>
      </c>
    </row>
    <row r="9977" spans="1:5">
      <c r="A9977" t="s">
        <v>11522</v>
      </c>
      <c r="B9977" t="s">
        <v>11523</v>
      </c>
      <c r="C9977">
        <f>0</f>
        <v>0</v>
      </c>
      <c r="D9977">
        <v>0.99214363012600004</v>
      </c>
      <c r="E9977">
        <v>24</v>
      </c>
    </row>
    <row r="9978" spans="1:5">
      <c r="A9978" t="s">
        <v>11522</v>
      </c>
      <c r="B9978" t="s">
        <v>11524</v>
      </c>
      <c r="C9978">
        <v>0</v>
      </c>
      <c r="D9978">
        <v>0.99214363012600004</v>
      </c>
      <c r="E9978">
        <v>24</v>
      </c>
    </row>
    <row r="9979" spans="1:5">
      <c r="A9979" t="s">
        <v>11522</v>
      </c>
      <c r="B9979" t="s">
        <v>11525</v>
      </c>
      <c r="C9979">
        <f>0</f>
        <v>0</v>
      </c>
      <c r="D9979">
        <v>0.99214363012600004</v>
      </c>
      <c r="E9979">
        <v>24</v>
      </c>
    </row>
    <row r="9980" spans="1:5">
      <c r="A9980" t="s">
        <v>11522</v>
      </c>
      <c r="B9980" t="s">
        <v>11526</v>
      </c>
      <c r="C9980">
        <f>0</f>
        <v>0</v>
      </c>
      <c r="D9980">
        <v>0.99214363012600004</v>
      </c>
      <c r="E9980">
        <v>24</v>
      </c>
    </row>
    <row r="9981" spans="1:5">
      <c r="A9981" t="s">
        <v>11522</v>
      </c>
      <c r="B9981" t="s">
        <v>11527</v>
      </c>
      <c r="C9981">
        <f>0</f>
        <v>0</v>
      </c>
      <c r="D9981">
        <v>0.99214363012600004</v>
      </c>
      <c r="E9981">
        <v>24</v>
      </c>
    </row>
    <row r="9982" spans="1:5">
      <c r="A9982" t="s">
        <v>11528</v>
      </c>
      <c r="B9982" t="s">
        <v>11529</v>
      </c>
      <c r="C9982">
        <v>0.13611634916000001</v>
      </c>
      <c r="D9982">
        <v>0.98184962412900001</v>
      </c>
      <c r="E9982">
        <v>10.230884557721099</v>
      </c>
    </row>
    <row r="9983" spans="1:5">
      <c r="A9983" t="s">
        <v>11528</v>
      </c>
      <c r="B9983" t="s">
        <v>11530</v>
      </c>
      <c r="C9983">
        <v>0</v>
      </c>
      <c r="D9983">
        <v>0.98184962412900001</v>
      </c>
      <c r="E9983">
        <v>10.230884557721099</v>
      </c>
    </row>
    <row r="9984" spans="1:5">
      <c r="A9984" t="s">
        <v>11528</v>
      </c>
      <c r="B9984" t="s">
        <v>11531</v>
      </c>
      <c r="C9984">
        <v>8.7348879844900001E-2</v>
      </c>
      <c r="D9984">
        <v>0.98184962412900001</v>
      </c>
      <c r="E9984">
        <v>10.230884557721099</v>
      </c>
    </row>
    <row r="9985" spans="1:5">
      <c r="A9985" t="s">
        <v>11528</v>
      </c>
      <c r="B9985" t="s">
        <v>11532</v>
      </c>
      <c r="C9985">
        <v>0</v>
      </c>
      <c r="D9985">
        <v>0.98184962412900001</v>
      </c>
      <c r="E9985">
        <v>10.230884557721099</v>
      </c>
    </row>
    <row r="9986" spans="1:5">
      <c r="A9986" t="s">
        <v>11528</v>
      </c>
      <c r="B9986" t="s">
        <v>11533</v>
      </c>
      <c r="C9986">
        <f>0</f>
        <v>0</v>
      </c>
      <c r="D9986">
        <v>0.98184962412900001</v>
      </c>
      <c r="E9986">
        <v>10.230884557721099</v>
      </c>
    </row>
    <row r="9987" spans="1:5">
      <c r="A9987" t="s">
        <v>11528</v>
      </c>
      <c r="B9987" t="s">
        <v>11534</v>
      </c>
      <c r="C9987">
        <v>0</v>
      </c>
      <c r="D9987">
        <v>0.98184962412900001</v>
      </c>
      <c r="E9987">
        <v>10.230884557721099</v>
      </c>
    </row>
    <row r="9988" spans="1:5">
      <c r="A9988" t="s">
        <v>11528</v>
      </c>
      <c r="B9988" t="s">
        <v>11535</v>
      </c>
      <c r="C9988">
        <v>0</v>
      </c>
      <c r="D9988">
        <v>0.98184962412900001</v>
      </c>
      <c r="E9988">
        <v>10.230884557721099</v>
      </c>
    </row>
    <row r="9989" spans="1:5">
      <c r="A9989" t="s">
        <v>11528</v>
      </c>
      <c r="B9989" t="s">
        <v>11536</v>
      </c>
      <c r="C9989">
        <v>0</v>
      </c>
      <c r="D9989">
        <v>0.98184962412900001</v>
      </c>
      <c r="E9989">
        <v>10.230884557721099</v>
      </c>
    </row>
    <row r="9990" spans="1:5">
      <c r="A9990" t="s">
        <v>11528</v>
      </c>
      <c r="B9990" t="s">
        <v>11537</v>
      </c>
      <c r="C9990">
        <f>0</f>
        <v>0</v>
      </c>
      <c r="D9990">
        <v>0.98184962412900001</v>
      </c>
      <c r="E9990">
        <v>10.230884557721099</v>
      </c>
    </row>
    <row r="9991" spans="1:5">
      <c r="A9991" t="s">
        <v>11528</v>
      </c>
      <c r="B9991" t="s">
        <v>11538</v>
      </c>
      <c r="C9991">
        <v>0</v>
      </c>
      <c r="D9991">
        <v>0.98184962412900001</v>
      </c>
      <c r="E9991">
        <v>10.230884557721099</v>
      </c>
    </row>
    <row r="9992" spans="1:5">
      <c r="A9992" t="s">
        <v>11528</v>
      </c>
      <c r="B9992" t="s">
        <v>11539</v>
      </c>
      <c r="C9992">
        <v>0</v>
      </c>
      <c r="D9992">
        <v>0.98184962412900001</v>
      </c>
      <c r="E9992">
        <v>10.230884557721099</v>
      </c>
    </row>
    <row r="9993" spans="1:5">
      <c r="A9993" t="s">
        <v>11540</v>
      </c>
      <c r="B9993" t="s">
        <v>11541</v>
      </c>
      <c r="C9993">
        <f>0</f>
        <v>0</v>
      </c>
      <c r="D9993">
        <v>0.89332113931299995</v>
      </c>
      <c r="E9993">
        <v>1.2713643178410701</v>
      </c>
    </row>
    <row r="9994" spans="1:5">
      <c r="A9994" t="s">
        <v>11540</v>
      </c>
      <c r="B9994" t="s">
        <v>11542</v>
      </c>
      <c r="C9994">
        <f>0</f>
        <v>0</v>
      </c>
      <c r="D9994">
        <v>0.89332113931299995</v>
      </c>
      <c r="E9994">
        <v>1.2713643178410701</v>
      </c>
    </row>
    <row r="9995" spans="1:5">
      <c r="A9995" t="s">
        <v>11540</v>
      </c>
      <c r="B9995" t="s">
        <v>11543</v>
      </c>
      <c r="C9995">
        <f>0.048435243626</f>
        <v>4.8435243625999998E-2</v>
      </c>
      <c r="D9995">
        <v>0.89332113931299995</v>
      </c>
      <c r="E9995">
        <v>1.2713643178410701</v>
      </c>
    </row>
    <row r="9996" spans="1:5">
      <c r="A9996" t="s">
        <v>11540</v>
      </c>
      <c r="B9996" t="s">
        <v>11544</v>
      </c>
      <c r="C9996">
        <v>0</v>
      </c>
      <c r="D9996">
        <v>0.89332113931299995</v>
      </c>
      <c r="E9996">
        <v>1.2713643178410701</v>
      </c>
    </row>
    <row r="9997" spans="1:5">
      <c r="A9997" t="s">
        <v>11540</v>
      </c>
      <c r="B9997" t="s">
        <v>11545</v>
      </c>
      <c r="C9997">
        <f>0</f>
        <v>0</v>
      </c>
      <c r="D9997">
        <v>0.89332113931299995</v>
      </c>
      <c r="E9997">
        <v>1.2713643178410701</v>
      </c>
    </row>
    <row r="9998" spans="1:5">
      <c r="A9998" t="s">
        <v>11546</v>
      </c>
      <c r="B9998" t="s">
        <v>11547</v>
      </c>
      <c r="C9998">
        <f>0</f>
        <v>0</v>
      </c>
      <c r="D9998">
        <v>0.98273730680299998</v>
      </c>
      <c r="E9998">
        <v>16.695652173913</v>
      </c>
    </row>
    <row r="9999" spans="1:5">
      <c r="A9999" t="s">
        <v>11546</v>
      </c>
      <c r="B9999" t="s">
        <v>11548</v>
      </c>
      <c r="C9999">
        <f>0</f>
        <v>0</v>
      </c>
      <c r="D9999">
        <v>0.98273730680299998</v>
      </c>
      <c r="E9999">
        <v>16.695652173913</v>
      </c>
    </row>
    <row r="10000" spans="1:5">
      <c r="A10000" t="s">
        <v>11546</v>
      </c>
      <c r="B10000" t="s">
        <v>11549</v>
      </c>
      <c r="C10000">
        <v>0</v>
      </c>
      <c r="D10000">
        <v>0.98273730680299998</v>
      </c>
      <c r="E10000">
        <v>16.695652173913</v>
      </c>
    </row>
    <row r="10001" spans="1:5">
      <c r="A10001" t="s">
        <v>11546</v>
      </c>
      <c r="B10001" t="s">
        <v>11550</v>
      </c>
      <c r="C10001">
        <f>0</f>
        <v>0</v>
      </c>
      <c r="D10001">
        <v>0.98273730680299998</v>
      </c>
      <c r="E10001">
        <v>16.695652173913</v>
      </c>
    </row>
    <row r="10002" spans="1:5">
      <c r="A10002" t="s">
        <v>11546</v>
      </c>
      <c r="B10002" t="s">
        <v>11551</v>
      </c>
      <c r="C10002">
        <v>0</v>
      </c>
      <c r="D10002">
        <v>0.98273730680299998</v>
      </c>
      <c r="E10002">
        <v>16.695652173913</v>
      </c>
    </row>
    <row r="10003" spans="1:5">
      <c r="A10003" t="s">
        <v>11546</v>
      </c>
      <c r="B10003" t="s">
        <v>11552</v>
      </c>
      <c r="C10003">
        <f>0</f>
        <v>0</v>
      </c>
      <c r="D10003">
        <v>0.98273730680299998</v>
      </c>
      <c r="E10003">
        <v>16.695652173913</v>
      </c>
    </row>
    <row r="10004" spans="1:5">
      <c r="A10004" t="s">
        <v>11553</v>
      </c>
      <c r="B10004" t="s">
        <v>11554</v>
      </c>
      <c r="C10004">
        <v>0</v>
      </c>
      <c r="D10004">
        <v>0.97213798877299995</v>
      </c>
      <c r="E10004">
        <v>24</v>
      </c>
    </row>
    <row r="10005" spans="1:5">
      <c r="A10005" t="s">
        <v>11553</v>
      </c>
      <c r="B10005" t="s">
        <v>11555</v>
      </c>
      <c r="C10005">
        <v>0</v>
      </c>
      <c r="D10005">
        <v>0.97213798877299995</v>
      </c>
      <c r="E10005">
        <v>24</v>
      </c>
    </row>
    <row r="10006" spans="1:5">
      <c r="A10006" t="s">
        <v>11553</v>
      </c>
      <c r="B10006" t="s">
        <v>11556</v>
      </c>
      <c r="C10006">
        <v>2.78322085192E-2</v>
      </c>
      <c r="D10006">
        <v>0.97213798877299995</v>
      </c>
      <c r="E10006">
        <v>24</v>
      </c>
    </row>
    <row r="10007" spans="1:5">
      <c r="A10007" t="s">
        <v>11553</v>
      </c>
      <c r="B10007" t="s">
        <v>11557</v>
      </c>
      <c r="C10007">
        <v>4.9618721027500003E-3</v>
      </c>
      <c r="D10007">
        <v>0.97213798877299995</v>
      </c>
      <c r="E10007">
        <v>24</v>
      </c>
    </row>
    <row r="10008" spans="1:5">
      <c r="A10008" t="s">
        <v>11553</v>
      </c>
      <c r="B10008" t="s">
        <v>11558</v>
      </c>
      <c r="C10008">
        <v>0</v>
      </c>
      <c r="D10008">
        <v>0.97213798877299995</v>
      </c>
      <c r="E10008">
        <v>24</v>
      </c>
    </row>
    <row r="10009" spans="1:5">
      <c r="A10009" t="s">
        <v>11553</v>
      </c>
      <c r="B10009" t="s">
        <v>11559</v>
      </c>
      <c r="C10009">
        <v>0</v>
      </c>
      <c r="D10009">
        <v>0.97213798877299995</v>
      </c>
      <c r="E10009">
        <v>24</v>
      </c>
    </row>
    <row r="10010" spans="1:5">
      <c r="A10010" t="s">
        <v>11553</v>
      </c>
      <c r="B10010" t="s">
        <v>11560</v>
      </c>
      <c r="C10010">
        <v>0</v>
      </c>
      <c r="D10010">
        <v>0.97213798877299995</v>
      </c>
      <c r="E10010">
        <v>24</v>
      </c>
    </row>
    <row r="10011" spans="1:5">
      <c r="A10011" t="s">
        <v>11553</v>
      </c>
      <c r="B10011" t="s">
        <v>11561</v>
      </c>
      <c r="C10011">
        <v>0</v>
      </c>
      <c r="D10011">
        <v>0.97213798877299995</v>
      </c>
      <c r="E10011">
        <v>24</v>
      </c>
    </row>
    <row r="10012" spans="1:5">
      <c r="A10012" t="s">
        <v>11553</v>
      </c>
      <c r="B10012" t="s">
        <v>11562</v>
      </c>
      <c r="C10012">
        <v>0</v>
      </c>
      <c r="D10012">
        <v>0.97213798877299995</v>
      </c>
      <c r="E10012">
        <v>24</v>
      </c>
    </row>
    <row r="10013" spans="1:5">
      <c r="A10013" t="s">
        <v>11553</v>
      </c>
      <c r="B10013" t="s">
        <v>11563</v>
      </c>
      <c r="C10013">
        <v>0</v>
      </c>
      <c r="D10013">
        <v>0.97213798877299995</v>
      </c>
      <c r="E10013">
        <v>24</v>
      </c>
    </row>
    <row r="10014" spans="1:5">
      <c r="A10014" t="s">
        <v>11564</v>
      </c>
      <c r="B10014" t="s">
        <v>11565</v>
      </c>
      <c r="C10014">
        <v>0</v>
      </c>
      <c r="D10014">
        <v>0.99250517273200001</v>
      </c>
      <c r="E10014">
        <v>6.6806596701649097</v>
      </c>
    </row>
    <row r="10015" spans="1:5">
      <c r="A10015" t="s">
        <v>11564</v>
      </c>
      <c r="B10015" t="s">
        <v>11566</v>
      </c>
      <c r="C10015">
        <v>0</v>
      </c>
      <c r="D10015">
        <v>0.99250517273200001</v>
      </c>
      <c r="E10015">
        <v>6.6806596701649097</v>
      </c>
    </row>
    <row r="10016" spans="1:5">
      <c r="A10016" t="s">
        <v>11564</v>
      </c>
      <c r="B10016" t="s">
        <v>11567</v>
      </c>
      <c r="C10016">
        <f>0</f>
        <v>0</v>
      </c>
      <c r="D10016">
        <v>0.99250517273200001</v>
      </c>
      <c r="E10016">
        <v>6.6806596701649097</v>
      </c>
    </row>
    <row r="10017" spans="1:5">
      <c r="A10017" t="s">
        <v>11564</v>
      </c>
      <c r="B10017" t="s">
        <v>11568</v>
      </c>
      <c r="C10017">
        <v>0.33829124508800001</v>
      </c>
      <c r="D10017">
        <v>0.99250517273200001</v>
      </c>
      <c r="E10017">
        <v>6.6806596701649097</v>
      </c>
    </row>
    <row r="10018" spans="1:5">
      <c r="A10018" t="s">
        <v>11564</v>
      </c>
      <c r="B10018" t="s">
        <v>11569</v>
      </c>
      <c r="C10018">
        <v>0</v>
      </c>
      <c r="D10018">
        <v>0.99250517273200001</v>
      </c>
      <c r="E10018">
        <v>6.6806596701649097</v>
      </c>
    </row>
    <row r="10019" spans="1:5">
      <c r="A10019" t="s">
        <v>11564</v>
      </c>
      <c r="B10019" t="s">
        <v>11570</v>
      </c>
      <c r="C10019">
        <v>3.1850191033700001E-2</v>
      </c>
      <c r="D10019">
        <v>0.99250517273200001</v>
      </c>
      <c r="E10019">
        <v>6.6806596701649097</v>
      </c>
    </row>
    <row r="10020" spans="1:5">
      <c r="A10020" t="s">
        <v>11571</v>
      </c>
      <c r="B10020" t="s">
        <v>11572</v>
      </c>
      <c r="C10020">
        <v>0</v>
      </c>
      <c r="D10020">
        <v>0.96117178385299995</v>
      </c>
      <c r="E10020">
        <v>15.700149925037399</v>
      </c>
    </row>
    <row r="10021" spans="1:5">
      <c r="A10021" t="s">
        <v>11571</v>
      </c>
      <c r="B10021" t="s">
        <v>11573</v>
      </c>
      <c r="C10021">
        <v>0</v>
      </c>
      <c r="D10021">
        <v>0.96117178385299995</v>
      </c>
      <c r="E10021">
        <v>15.700149925037399</v>
      </c>
    </row>
    <row r="10022" spans="1:5">
      <c r="A10022" t="s">
        <v>11571</v>
      </c>
      <c r="B10022" t="s">
        <v>11574</v>
      </c>
      <c r="C10022">
        <f>0</f>
        <v>0</v>
      </c>
      <c r="D10022">
        <v>0.96117178385299995</v>
      </c>
      <c r="E10022">
        <v>15.700149925037399</v>
      </c>
    </row>
    <row r="10023" spans="1:5">
      <c r="A10023" t="s">
        <v>11571</v>
      </c>
      <c r="B10023" t="s">
        <v>11575</v>
      </c>
      <c r="C10023">
        <v>0</v>
      </c>
      <c r="D10023">
        <v>0.96117178385299995</v>
      </c>
      <c r="E10023">
        <v>15.700149925037399</v>
      </c>
    </row>
    <row r="10024" spans="1:5">
      <c r="A10024" t="s">
        <v>11571</v>
      </c>
      <c r="B10024" t="s">
        <v>11576</v>
      </c>
      <c r="C10024">
        <v>0</v>
      </c>
      <c r="D10024">
        <v>0.96117178385299995</v>
      </c>
      <c r="E10024">
        <v>15.700149925037399</v>
      </c>
    </row>
    <row r="10025" spans="1:5">
      <c r="A10025" t="s">
        <v>11571</v>
      </c>
      <c r="B10025" t="s">
        <v>11577</v>
      </c>
      <c r="C10025">
        <v>0</v>
      </c>
      <c r="D10025">
        <v>0.96117178385299995</v>
      </c>
      <c r="E10025">
        <v>15.700149925037399</v>
      </c>
    </row>
    <row r="10026" spans="1:5">
      <c r="A10026" t="s">
        <v>11571</v>
      </c>
      <c r="B10026" t="s">
        <v>11578</v>
      </c>
      <c r="C10026">
        <f>0</f>
        <v>0</v>
      </c>
      <c r="D10026">
        <v>0.96117178385299995</v>
      </c>
      <c r="E10026">
        <v>15.700149925037399</v>
      </c>
    </row>
    <row r="10027" spans="1:5">
      <c r="A10027" t="s">
        <v>11571</v>
      </c>
      <c r="B10027" t="s">
        <v>11579</v>
      </c>
      <c r="C10027">
        <v>0</v>
      </c>
      <c r="D10027">
        <v>0.96117178385299995</v>
      </c>
      <c r="E10027">
        <v>15.700149925037399</v>
      </c>
    </row>
    <row r="10028" spans="1:5">
      <c r="A10028" t="s">
        <v>11571</v>
      </c>
      <c r="B10028" t="s">
        <v>11580</v>
      </c>
      <c r="C10028">
        <v>0</v>
      </c>
      <c r="D10028">
        <v>0.96117178385299995</v>
      </c>
      <c r="E10028">
        <v>15.700149925037399</v>
      </c>
    </row>
    <row r="10029" spans="1:5">
      <c r="A10029" t="s">
        <v>11571</v>
      </c>
      <c r="B10029" t="s">
        <v>11581</v>
      </c>
      <c r="C10029">
        <f>0</f>
        <v>0</v>
      </c>
      <c r="D10029">
        <v>0.96117178385299995</v>
      </c>
      <c r="E10029">
        <v>15.700149925037399</v>
      </c>
    </row>
    <row r="10030" spans="1:5">
      <c r="A10030" t="s">
        <v>11571</v>
      </c>
      <c r="B10030" t="s">
        <v>11582</v>
      </c>
      <c r="C10030">
        <v>0</v>
      </c>
      <c r="D10030">
        <v>0.96117178385299995</v>
      </c>
      <c r="E10030">
        <v>15.700149925037399</v>
      </c>
    </row>
    <row r="10031" spans="1:5">
      <c r="A10031" t="s">
        <v>11571</v>
      </c>
      <c r="B10031" t="s">
        <v>11583</v>
      </c>
      <c r="C10031">
        <f>0</f>
        <v>0</v>
      </c>
      <c r="D10031">
        <v>0.96117178385299995</v>
      </c>
      <c r="E10031">
        <v>15.700149925037399</v>
      </c>
    </row>
    <row r="10032" spans="1:5">
      <c r="A10032" t="s">
        <v>11571</v>
      </c>
      <c r="B10032" t="s">
        <v>11584</v>
      </c>
      <c r="C10032">
        <f>0</f>
        <v>0</v>
      </c>
      <c r="D10032">
        <v>0.96117178385299995</v>
      </c>
      <c r="E10032">
        <v>15.700149925037399</v>
      </c>
    </row>
    <row r="10033" spans="1:5">
      <c r="A10033" t="s">
        <v>11571</v>
      </c>
      <c r="B10033" t="s">
        <v>11585</v>
      </c>
      <c r="C10033">
        <f>0</f>
        <v>0</v>
      </c>
      <c r="D10033">
        <v>0.96117178385299995</v>
      </c>
      <c r="E10033">
        <v>15.700149925037399</v>
      </c>
    </row>
    <row r="10034" spans="1:5">
      <c r="A10034" t="s">
        <v>11571</v>
      </c>
      <c r="B10034" t="s">
        <v>11586</v>
      </c>
      <c r="C10034">
        <v>0</v>
      </c>
      <c r="D10034">
        <v>0.96117178385299995</v>
      </c>
      <c r="E10034">
        <v>15.700149925037399</v>
      </c>
    </row>
    <row r="10035" spans="1:5">
      <c r="A10035" t="s">
        <v>11571</v>
      </c>
      <c r="B10035" t="s">
        <v>11587</v>
      </c>
      <c r="C10035">
        <v>1.92651120675E-2</v>
      </c>
      <c r="D10035">
        <v>0.96117178385299995</v>
      </c>
      <c r="E10035">
        <v>15.700149925037399</v>
      </c>
    </row>
    <row r="10036" spans="1:5">
      <c r="A10036" t="s">
        <v>11571</v>
      </c>
      <c r="B10036" t="s">
        <v>11588</v>
      </c>
      <c r="C10036">
        <f>0</f>
        <v>0</v>
      </c>
      <c r="D10036">
        <v>0.96117178385299995</v>
      </c>
      <c r="E10036">
        <v>15.700149925037399</v>
      </c>
    </row>
    <row r="10037" spans="1:5">
      <c r="A10037" t="s">
        <v>11571</v>
      </c>
      <c r="B10037" t="s">
        <v>11589</v>
      </c>
      <c r="C10037">
        <f>0</f>
        <v>0</v>
      </c>
      <c r="D10037">
        <v>0.96117178385299995</v>
      </c>
      <c r="E10037">
        <v>15.700149925037399</v>
      </c>
    </row>
    <row r="10038" spans="1:5">
      <c r="A10038" t="s">
        <v>11571</v>
      </c>
      <c r="B10038" t="s">
        <v>11590</v>
      </c>
      <c r="C10038">
        <v>2.38177349463E-2</v>
      </c>
      <c r="D10038">
        <v>0.96117178385299995</v>
      </c>
      <c r="E10038">
        <v>15.700149925037399</v>
      </c>
    </row>
    <row r="10039" spans="1:5">
      <c r="A10039" t="s">
        <v>11571</v>
      </c>
      <c r="B10039" t="s">
        <v>11591</v>
      </c>
      <c r="C10039">
        <f>0</f>
        <v>0</v>
      </c>
      <c r="D10039">
        <v>0.96117178385299995</v>
      </c>
      <c r="E10039">
        <v>15.700149925037399</v>
      </c>
    </row>
    <row r="10040" spans="1:5">
      <c r="A10040" t="s">
        <v>11571</v>
      </c>
      <c r="B10040" t="s">
        <v>11592</v>
      </c>
      <c r="C10040">
        <v>0</v>
      </c>
      <c r="D10040">
        <v>0.96117178385299995</v>
      </c>
      <c r="E10040">
        <v>15.700149925037399</v>
      </c>
    </row>
    <row r="10041" spans="1:5">
      <c r="A10041" t="s">
        <v>11571</v>
      </c>
      <c r="B10041" t="s">
        <v>11593</v>
      </c>
      <c r="C10041">
        <v>0</v>
      </c>
      <c r="D10041">
        <v>0.96117178385299995</v>
      </c>
      <c r="E10041">
        <v>15.700149925037399</v>
      </c>
    </row>
    <row r="10042" spans="1:5">
      <c r="A10042" t="s">
        <v>11571</v>
      </c>
      <c r="B10042" t="s">
        <v>11594</v>
      </c>
      <c r="C10042">
        <v>0</v>
      </c>
      <c r="D10042">
        <v>0.96117178385299995</v>
      </c>
      <c r="E10042">
        <v>15.700149925037399</v>
      </c>
    </row>
    <row r="10043" spans="1:5">
      <c r="A10043" t="s">
        <v>11571</v>
      </c>
      <c r="B10043" t="s">
        <v>11595</v>
      </c>
      <c r="C10043">
        <v>0</v>
      </c>
      <c r="D10043">
        <v>0.96117178385299995</v>
      </c>
      <c r="E10043">
        <v>15.700149925037399</v>
      </c>
    </row>
    <row r="10044" spans="1:5">
      <c r="A10044" t="s">
        <v>11571</v>
      </c>
      <c r="B10044" t="s">
        <v>11596</v>
      </c>
      <c r="C10044">
        <v>0</v>
      </c>
      <c r="D10044">
        <v>0.96117178385299995</v>
      </c>
      <c r="E10044">
        <v>15.700149925037399</v>
      </c>
    </row>
    <row r="10045" spans="1:5">
      <c r="A10045" t="s">
        <v>11571</v>
      </c>
      <c r="B10045" t="s">
        <v>11597</v>
      </c>
      <c r="C10045">
        <f>0</f>
        <v>0</v>
      </c>
      <c r="D10045">
        <v>0.96117178385299995</v>
      </c>
      <c r="E10045">
        <v>15.700149925037399</v>
      </c>
    </row>
    <row r="10046" spans="1:5">
      <c r="A10046" t="s">
        <v>11571</v>
      </c>
      <c r="B10046" t="s">
        <v>11598</v>
      </c>
      <c r="C10046">
        <f>0</f>
        <v>0</v>
      </c>
      <c r="D10046">
        <v>0.96117178385299995</v>
      </c>
      <c r="E10046">
        <v>15.700149925037399</v>
      </c>
    </row>
    <row r="10047" spans="1:5">
      <c r="A10047" t="s">
        <v>11571</v>
      </c>
      <c r="B10047" t="s">
        <v>11599</v>
      </c>
      <c r="C10047">
        <v>0</v>
      </c>
      <c r="D10047">
        <v>0.96117178385299995</v>
      </c>
      <c r="E10047">
        <v>15.700149925037399</v>
      </c>
    </row>
    <row r="10048" spans="1:5">
      <c r="A10048" t="s">
        <v>11600</v>
      </c>
      <c r="B10048" t="s">
        <v>11601</v>
      </c>
      <c r="C10048">
        <v>0.26171949492899999</v>
      </c>
      <c r="D10048">
        <v>0.91708891923699998</v>
      </c>
      <c r="E10048">
        <v>0.82758620689655105</v>
      </c>
    </row>
    <row r="10049" spans="1:5">
      <c r="A10049" t="s">
        <v>11600</v>
      </c>
      <c r="B10049" t="s">
        <v>11602</v>
      </c>
      <c r="C10049">
        <v>0.14731161745400001</v>
      </c>
      <c r="D10049">
        <v>0.91708891923699998</v>
      </c>
      <c r="E10049">
        <v>0.82758620689655105</v>
      </c>
    </row>
    <row r="10050" spans="1:5">
      <c r="A10050" t="s">
        <v>11600</v>
      </c>
      <c r="B10050" t="s">
        <v>11603</v>
      </c>
      <c r="C10050">
        <v>0</v>
      </c>
      <c r="D10050">
        <v>0.91708891923699998</v>
      </c>
      <c r="E10050">
        <v>0.82758620689655105</v>
      </c>
    </row>
    <row r="10051" spans="1:5">
      <c r="A10051" t="s">
        <v>11604</v>
      </c>
      <c r="B10051" t="s">
        <v>11605</v>
      </c>
      <c r="C10051">
        <v>0</v>
      </c>
      <c r="D10051">
        <v>0.93619340040099996</v>
      </c>
      <c r="E10051">
        <v>1.33133433283358</v>
      </c>
    </row>
    <row r="10052" spans="1:5">
      <c r="A10052" t="s">
        <v>11604</v>
      </c>
      <c r="B10052" t="s">
        <v>11606</v>
      </c>
      <c r="C10052">
        <v>0</v>
      </c>
      <c r="D10052">
        <v>0.93619340040099996</v>
      </c>
      <c r="E10052">
        <v>1.33133433283358</v>
      </c>
    </row>
    <row r="10053" spans="1:5">
      <c r="A10053" t="s">
        <v>11604</v>
      </c>
      <c r="B10053" t="s">
        <v>11607</v>
      </c>
      <c r="C10053">
        <f>0</f>
        <v>0</v>
      </c>
      <c r="D10053">
        <v>0.93619340040099996</v>
      </c>
      <c r="E10053">
        <v>1.33133433283358</v>
      </c>
    </row>
    <row r="10054" spans="1:5">
      <c r="A10054" t="s">
        <v>11604</v>
      </c>
      <c r="B10054" t="s">
        <v>11608</v>
      </c>
      <c r="C10054">
        <v>0</v>
      </c>
      <c r="D10054">
        <v>0.93619340040099996</v>
      </c>
      <c r="E10054">
        <v>1.33133433283358</v>
      </c>
    </row>
    <row r="10055" spans="1:5">
      <c r="A10055" t="s">
        <v>11604</v>
      </c>
      <c r="B10055" t="s">
        <v>11609</v>
      </c>
      <c r="C10055">
        <f>0</f>
        <v>0</v>
      </c>
      <c r="D10055">
        <v>0.93619340040099996</v>
      </c>
      <c r="E10055">
        <v>1.33133433283358</v>
      </c>
    </row>
    <row r="10056" spans="1:5">
      <c r="A10056" t="s">
        <v>11604</v>
      </c>
      <c r="B10056" t="s">
        <v>11610</v>
      </c>
      <c r="C10056">
        <f>0.292365807219</f>
        <v>0.29236580721900002</v>
      </c>
      <c r="D10056">
        <v>0.93619340040099996</v>
      </c>
      <c r="E10056">
        <v>1.33133433283358</v>
      </c>
    </row>
    <row r="10057" spans="1:5">
      <c r="A10057" t="s">
        <v>11604</v>
      </c>
      <c r="B10057" t="s">
        <v>11611</v>
      </c>
      <c r="C10057">
        <v>0</v>
      </c>
      <c r="D10057">
        <v>0.93619340040099996</v>
      </c>
      <c r="E10057">
        <v>1.33133433283358</v>
      </c>
    </row>
    <row r="10058" spans="1:5">
      <c r="A10058" t="s">
        <v>11604</v>
      </c>
      <c r="B10058" t="s">
        <v>11612</v>
      </c>
      <c r="C10058">
        <v>0</v>
      </c>
      <c r="D10058">
        <v>0.93619340040099996</v>
      </c>
      <c r="E10058">
        <v>1.33133433283358</v>
      </c>
    </row>
    <row r="10059" spans="1:5">
      <c r="A10059" t="s">
        <v>11604</v>
      </c>
      <c r="B10059" t="s">
        <v>11613</v>
      </c>
      <c r="C10059">
        <f>0.00987500238361</f>
        <v>9.8750023836100004E-3</v>
      </c>
      <c r="D10059">
        <v>0.93619340040099996</v>
      </c>
      <c r="E10059">
        <v>1.33133433283358</v>
      </c>
    </row>
    <row r="10060" spans="1:5">
      <c r="A10060" t="s">
        <v>11614</v>
      </c>
      <c r="B10060" t="s">
        <v>11615</v>
      </c>
      <c r="C10060">
        <v>0</v>
      </c>
      <c r="D10060">
        <v>0.84278801235699996</v>
      </c>
      <c r="E10060">
        <v>14.740629685157399</v>
      </c>
    </row>
    <row r="10061" spans="1:5">
      <c r="A10061" t="s">
        <v>11614</v>
      </c>
      <c r="B10061" t="s">
        <v>11616</v>
      </c>
      <c r="C10061">
        <v>0.127636613944</v>
      </c>
      <c r="D10061">
        <v>0.84278801235699996</v>
      </c>
      <c r="E10061">
        <v>14.740629685157399</v>
      </c>
    </row>
    <row r="10062" spans="1:5">
      <c r="A10062" t="s">
        <v>11617</v>
      </c>
      <c r="B10062" t="s">
        <v>11618</v>
      </c>
      <c r="C10062">
        <f>0</f>
        <v>0</v>
      </c>
      <c r="D10062">
        <v>0.94477808019700005</v>
      </c>
      <c r="E10062">
        <v>6.9325337331334298</v>
      </c>
    </row>
    <row r="10063" spans="1:5">
      <c r="A10063" t="s">
        <v>11619</v>
      </c>
      <c r="B10063" t="s">
        <v>11620</v>
      </c>
      <c r="C10063">
        <v>1.4551993071599999E-2</v>
      </c>
      <c r="D10063">
        <v>0.97050495103199996</v>
      </c>
      <c r="E10063">
        <v>24</v>
      </c>
    </row>
    <row r="10064" spans="1:5">
      <c r="A10064" t="s">
        <v>11619</v>
      </c>
      <c r="B10064" t="s">
        <v>11621</v>
      </c>
      <c r="C10064">
        <v>0</v>
      </c>
      <c r="D10064">
        <v>0.97050495103199996</v>
      </c>
      <c r="E10064">
        <v>24</v>
      </c>
    </row>
    <row r="10065" spans="1:5">
      <c r="A10065" t="s">
        <v>11619</v>
      </c>
      <c r="B10065" t="s">
        <v>11622</v>
      </c>
      <c r="C10065">
        <f>0</f>
        <v>0</v>
      </c>
      <c r="D10065">
        <v>0.97050495103199996</v>
      </c>
      <c r="E10065">
        <v>24</v>
      </c>
    </row>
    <row r="10066" spans="1:5">
      <c r="A10066" t="s">
        <v>11619</v>
      </c>
      <c r="B10066" t="s">
        <v>11623</v>
      </c>
      <c r="C10066">
        <f>0</f>
        <v>0</v>
      </c>
      <c r="D10066">
        <v>0.97050495103199996</v>
      </c>
      <c r="E10066">
        <v>24</v>
      </c>
    </row>
    <row r="10067" spans="1:5">
      <c r="A10067" t="s">
        <v>11619</v>
      </c>
      <c r="B10067" t="s">
        <v>11624</v>
      </c>
      <c r="C10067">
        <f>0</f>
        <v>0</v>
      </c>
      <c r="D10067">
        <v>0.97050495103199996</v>
      </c>
      <c r="E10067">
        <v>24</v>
      </c>
    </row>
    <row r="10068" spans="1:5">
      <c r="A10068" t="s">
        <v>11619</v>
      </c>
      <c r="B10068" t="s">
        <v>11625</v>
      </c>
      <c r="C10068">
        <v>0</v>
      </c>
      <c r="D10068">
        <v>0.97050495103199996</v>
      </c>
      <c r="E10068">
        <v>24</v>
      </c>
    </row>
    <row r="10069" spans="1:5">
      <c r="A10069" t="s">
        <v>11619</v>
      </c>
      <c r="B10069" t="s">
        <v>11626</v>
      </c>
      <c r="C10069">
        <f>0</f>
        <v>0</v>
      </c>
      <c r="D10069">
        <v>0.97050495103199996</v>
      </c>
      <c r="E10069">
        <v>24</v>
      </c>
    </row>
    <row r="10070" spans="1:5">
      <c r="A10070" t="s">
        <v>11619</v>
      </c>
      <c r="B10070" t="s">
        <v>11627</v>
      </c>
      <c r="C10070">
        <v>0</v>
      </c>
      <c r="D10070">
        <v>0.97050495103199996</v>
      </c>
      <c r="E10070">
        <v>24</v>
      </c>
    </row>
    <row r="10071" spans="1:5">
      <c r="A10071" t="s">
        <v>11619</v>
      </c>
      <c r="B10071" t="s">
        <v>11628</v>
      </c>
      <c r="C10071">
        <f>0</f>
        <v>0</v>
      </c>
      <c r="D10071">
        <v>0.97050495103199996</v>
      </c>
      <c r="E10071">
        <v>24</v>
      </c>
    </row>
    <row r="10072" spans="1:5">
      <c r="A10072" t="s">
        <v>11619</v>
      </c>
      <c r="B10072" t="s">
        <v>11629</v>
      </c>
      <c r="C10072">
        <v>0</v>
      </c>
      <c r="D10072">
        <v>0.97050495103199996</v>
      </c>
      <c r="E10072">
        <v>24</v>
      </c>
    </row>
    <row r="10073" spans="1:5">
      <c r="A10073" t="s">
        <v>11619</v>
      </c>
      <c r="B10073" t="s">
        <v>11630</v>
      </c>
      <c r="C10073">
        <f>0</f>
        <v>0</v>
      </c>
      <c r="D10073">
        <v>0.97050495103199996</v>
      </c>
      <c r="E10073">
        <v>24</v>
      </c>
    </row>
    <row r="10074" spans="1:5">
      <c r="A10074" t="s">
        <v>11631</v>
      </c>
      <c r="B10074" t="s">
        <v>11632</v>
      </c>
      <c r="C10074">
        <v>8.2327406995500001E-3</v>
      </c>
      <c r="D10074">
        <v>0.92419280487300004</v>
      </c>
      <c r="E10074">
        <v>6.2968515742128899</v>
      </c>
    </row>
    <row r="10075" spans="1:5">
      <c r="A10075" t="s">
        <v>11631</v>
      </c>
      <c r="B10075" t="s">
        <v>11633</v>
      </c>
      <c r="C10075">
        <v>0</v>
      </c>
      <c r="D10075">
        <v>0.92419280487300004</v>
      </c>
      <c r="E10075">
        <v>6.2968515742128899</v>
      </c>
    </row>
    <row r="10076" spans="1:5">
      <c r="A10076" t="s">
        <v>11631</v>
      </c>
      <c r="B10076" t="s">
        <v>11634</v>
      </c>
      <c r="C10076">
        <v>3.39734228665E-3</v>
      </c>
      <c r="D10076">
        <v>0.92419280487300004</v>
      </c>
      <c r="E10076">
        <v>6.2968515742128899</v>
      </c>
    </row>
    <row r="10077" spans="1:5">
      <c r="A10077" t="s">
        <v>11635</v>
      </c>
      <c r="B10077" t="s">
        <v>11636</v>
      </c>
      <c r="C10077">
        <f>0.170621168366</f>
        <v>0.170621168366</v>
      </c>
      <c r="D10077">
        <v>0.99032381202300002</v>
      </c>
      <c r="E10077">
        <v>11.5382308845577</v>
      </c>
    </row>
    <row r="10078" spans="1:5">
      <c r="A10078" t="s">
        <v>11635</v>
      </c>
      <c r="B10078" t="s">
        <v>11637</v>
      </c>
      <c r="C10078">
        <f>0</f>
        <v>0</v>
      </c>
      <c r="D10078">
        <v>0.99032381202300002</v>
      </c>
      <c r="E10078">
        <v>11.5382308845577</v>
      </c>
    </row>
    <row r="10079" spans="1:5">
      <c r="A10079" t="s">
        <v>11635</v>
      </c>
      <c r="B10079" t="s">
        <v>11638</v>
      </c>
      <c r="C10079">
        <v>0</v>
      </c>
      <c r="D10079">
        <v>0.99032381202300002</v>
      </c>
      <c r="E10079">
        <v>11.5382308845577</v>
      </c>
    </row>
    <row r="10080" spans="1:5">
      <c r="A10080" t="s">
        <v>11635</v>
      </c>
      <c r="B10080" t="s">
        <v>11639</v>
      </c>
      <c r="C10080">
        <v>3.78943173858E-2</v>
      </c>
      <c r="D10080">
        <v>0.99032381202300002</v>
      </c>
      <c r="E10080">
        <v>11.5382308845577</v>
      </c>
    </row>
    <row r="10081" spans="1:5">
      <c r="A10081" t="s">
        <v>11635</v>
      </c>
      <c r="B10081" t="s">
        <v>11640</v>
      </c>
      <c r="C10081">
        <f>0</f>
        <v>0</v>
      </c>
      <c r="D10081">
        <v>0.99032381202300002</v>
      </c>
      <c r="E10081">
        <v>11.5382308845577</v>
      </c>
    </row>
    <row r="10082" spans="1:5">
      <c r="A10082" t="s">
        <v>11641</v>
      </c>
      <c r="B10082" t="s">
        <v>11642</v>
      </c>
      <c r="C10082">
        <v>0</v>
      </c>
      <c r="D10082">
        <v>0.98943526916799995</v>
      </c>
      <c r="E10082">
        <v>2.96251874062968</v>
      </c>
    </row>
    <row r="10083" spans="1:5">
      <c r="A10083" t="s">
        <v>11641</v>
      </c>
      <c r="B10083" t="s">
        <v>11643</v>
      </c>
      <c r="C10083">
        <v>0</v>
      </c>
      <c r="D10083">
        <v>0.98943526916799995</v>
      </c>
      <c r="E10083">
        <v>2.96251874062968</v>
      </c>
    </row>
    <row r="10084" spans="1:5">
      <c r="A10084" t="s">
        <v>11641</v>
      </c>
      <c r="B10084" t="s">
        <v>11644</v>
      </c>
      <c r="C10084">
        <v>0</v>
      </c>
      <c r="D10084">
        <v>0.98943526916799995</v>
      </c>
      <c r="E10084">
        <v>2.96251874062968</v>
      </c>
    </row>
    <row r="10085" spans="1:5">
      <c r="A10085" t="s">
        <v>11641</v>
      </c>
      <c r="B10085" t="s">
        <v>11645</v>
      </c>
      <c r="C10085">
        <v>0</v>
      </c>
      <c r="D10085">
        <v>0.98943526916799995</v>
      </c>
      <c r="E10085">
        <v>2.96251874062968</v>
      </c>
    </row>
    <row r="10086" spans="1:5">
      <c r="A10086" t="s">
        <v>11641</v>
      </c>
      <c r="B10086" t="s">
        <v>11646</v>
      </c>
      <c r="C10086">
        <f>0</f>
        <v>0</v>
      </c>
      <c r="D10086">
        <v>0.98943526916799995</v>
      </c>
      <c r="E10086">
        <v>2.96251874062968</v>
      </c>
    </row>
    <row r="10087" spans="1:5">
      <c r="A10087" t="s">
        <v>11641</v>
      </c>
      <c r="B10087" t="s">
        <v>11647</v>
      </c>
      <c r="C10087">
        <v>0.15411176789200001</v>
      </c>
      <c r="D10087">
        <v>0.98943526916799995</v>
      </c>
      <c r="E10087">
        <v>2.96251874062968</v>
      </c>
    </row>
    <row r="10088" spans="1:5">
      <c r="A10088" t="s">
        <v>11641</v>
      </c>
      <c r="B10088" t="s">
        <v>11648</v>
      </c>
      <c r="C10088">
        <v>0</v>
      </c>
      <c r="D10088">
        <v>0.98943526916799995</v>
      </c>
      <c r="E10088">
        <v>2.96251874062968</v>
      </c>
    </row>
    <row r="10089" spans="1:5">
      <c r="A10089" t="s">
        <v>11641</v>
      </c>
      <c r="B10089" t="s">
        <v>11649</v>
      </c>
      <c r="C10089">
        <v>0</v>
      </c>
      <c r="D10089">
        <v>0.98943526916799995</v>
      </c>
      <c r="E10089">
        <v>2.96251874062968</v>
      </c>
    </row>
    <row r="10090" spans="1:5">
      <c r="A10090" t="s">
        <v>11641</v>
      </c>
      <c r="B10090" t="s">
        <v>11650</v>
      </c>
      <c r="C10090">
        <v>0</v>
      </c>
      <c r="D10090">
        <v>0.98943526916799995</v>
      </c>
      <c r="E10090">
        <v>2.96251874062968</v>
      </c>
    </row>
    <row r="10091" spans="1:5">
      <c r="A10091" t="s">
        <v>11641</v>
      </c>
      <c r="B10091" t="s">
        <v>11651</v>
      </c>
      <c r="C10091">
        <v>0.183921256196</v>
      </c>
      <c r="D10091">
        <v>0.98943526916799995</v>
      </c>
      <c r="E10091">
        <v>2.96251874062968</v>
      </c>
    </row>
    <row r="10092" spans="1:5">
      <c r="A10092" t="s">
        <v>11652</v>
      </c>
      <c r="B10092" t="s">
        <v>11653</v>
      </c>
      <c r="C10092">
        <v>0.20883115003899999</v>
      </c>
      <c r="D10092">
        <v>0.99484959056099997</v>
      </c>
      <c r="E10092">
        <v>4.3778110944527704</v>
      </c>
    </row>
    <row r="10093" spans="1:5">
      <c r="A10093" t="s">
        <v>11652</v>
      </c>
      <c r="B10093" t="s">
        <v>11654</v>
      </c>
      <c r="C10093">
        <f>0</f>
        <v>0</v>
      </c>
      <c r="D10093">
        <v>0.99484959056099997</v>
      </c>
      <c r="E10093">
        <v>4.3778110944527704</v>
      </c>
    </row>
    <row r="10094" spans="1:5">
      <c r="A10094" t="s">
        <v>11652</v>
      </c>
      <c r="B10094" t="s">
        <v>11655</v>
      </c>
      <c r="C10094">
        <v>0</v>
      </c>
      <c r="D10094">
        <v>0.99484959056099997</v>
      </c>
      <c r="E10094">
        <v>4.3778110944527704</v>
      </c>
    </row>
    <row r="10095" spans="1:5">
      <c r="A10095" t="s">
        <v>11652</v>
      </c>
      <c r="B10095" t="s">
        <v>11656</v>
      </c>
      <c r="C10095">
        <v>0</v>
      </c>
      <c r="D10095">
        <v>0.99484959056099997</v>
      </c>
      <c r="E10095">
        <v>4.3778110944527704</v>
      </c>
    </row>
    <row r="10096" spans="1:5">
      <c r="A10096" t="s">
        <v>11652</v>
      </c>
      <c r="B10096" t="s">
        <v>11657</v>
      </c>
      <c r="C10096">
        <f>0</f>
        <v>0</v>
      </c>
      <c r="D10096">
        <v>0.99484959056099997</v>
      </c>
      <c r="E10096">
        <v>4.3778110944527704</v>
      </c>
    </row>
    <row r="10097" spans="1:5">
      <c r="A10097" t="s">
        <v>11652</v>
      </c>
      <c r="B10097" t="s">
        <v>11658</v>
      </c>
      <c r="C10097">
        <v>0</v>
      </c>
      <c r="D10097">
        <v>0.99484959056099997</v>
      </c>
      <c r="E10097">
        <v>4.3778110944527704</v>
      </c>
    </row>
    <row r="10098" spans="1:5">
      <c r="A10098" t="s">
        <v>11652</v>
      </c>
      <c r="B10098" t="s">
        <v>11659</v>
      </c>
      <c r="C10098">
        <v>0.19700806027100001</v>
      </c>
      <c r="D10098">
        <v>0.99484959056099997</v>
      </c>
      <c r="E10098">
        <v>4.3778110944527704</v>
      </c>
    </row>
    <row r="10099" spans="1:5">
      <c r="A10099" t="s">
        <v>11660</v>
      </c>
      <c r="B10099" t="s">
        <v>11661</v>
      </c>
      <c r="C10099">
        <v>0.14090212332900001</v>
      </c>
      <c r="D10099">
        <v>0.91112100259600004</v>
      </c>
      <c r="E10099">
        <v>1.00749625187406</v>
      </c>
    </row>
    <row r="10100" spans="1:5">
      <c r="A10100" t="s">
        <v>11660</v>
      </c>
      <c r="B10100" t="s">
        <v>11662</v>
      </c>
      <c r="C10100">
        <f>0.573939928865</f>
        <v>0.573939928865</v>
      </c>
      <c r="D10100">
        <v>0.91112100259600004</v>
      </c>
      <c r="E10100">
        <v>1.00749625187406</v>
      </c>
    </row>
    <row r="10101" spans="1:5">
      <c r="A10101" t="s">
        <v>11663</v>
      </c>
      <c r="B10101" t="s">
        <v>11664</v>
      </c>
      <c r="C10101">
        <v>0</v>
      </c>
      <c r="D10101">
        <v>0.68845964431499995</v>
      </c>
      <c r="E10101">
        <v>6.0569715142428704</v>
      </c>
    </row>
    <row r="10102" spans="1:5">
      <c r="A10102" t="s">
        <v>11663</v>
      </c>
      <c r="B10102" t="s">
        <v>11665</v>
      </c>
      <c r="C10102">
        <v>0.13146485819500001</v>
      </c>
      <c r="D10102">
        <v>0.68845964431499995</v>
      </c>
      <c r="E10102">
        <v>6.0569715142428704</v>
      </c>
    </row>
    <row r="10103" spans="1:5">
      <c r="A10103" t="s">
        <v>11663</v>
      </c>
      <c r="B10103" t="s">
        <v>11666</v>
      </c>
      <c r="C10103">
        <f>0</f>
        <v>0</v>
      </c>
      <c r="D10103">
        <v>0.68845964431499995</v>
      </c>
      <c r="E10103">
        <v>6.0569715142428704</v>
      </c>
    </row>
    <row r="10104" spans="1:5">
      <c r="A10104" t="s">
        <v>11667</v>
      </c>
      <c r="B10104" t="s">
        <v>11668</v>
      </c>
      <c r="C10104">
        <f>0.193181511029</f>
        <v>0.193181511029</v>
      </c>
      <c r="D10104">
        <v>0.98991149114400001</v>
      </c>
      <c r="E10104">
        <v>0.95952023988005997</v>
      </c>
    </row>
    <row r="10105" spans="1:5">
      <c r="A10105" t="s">
        <v>11667</v>
      </c>
      <c r="B10105" t="s">
        <v>11669</v>
      </c>
      <c r="C10105">
        <f>0</f>
        <v>0</v>
      </c>
      <c r="D10105">
        <v>0.98991149114400001</v>
      </c>
      <c r="E10105">
        <v>0.95952023988005997</v>
      </c>
    </row>
    <row r="10106" spans="1:5">
      <c r="A10106" t="s">
        <v>11667</v>
      </c>
      <c r="B10106" t="s">
        <v>11670</v>
      </c>
      <c r="C10106">
        <v>0.20439299928599999</v>
      </c>
      <c r="D10106">
        <v>0.98991149114400001</v>
      </c>
      <c r="E10106">
        <v>0.95952023988005997</v>
      </c>
    </row>
    <row r="10107" spans="1:5">
      <c r="A10107" t="s">
        <v>11671</v>
      </c>
      <c r="B10107" t="s">
        <v>11672</v>
      </c>
      <c r="C10107">
        <f>0</f>
        <v>0</v>
      </c>
      <c r="D10107">
        <v>0.620176851641</v>
      </c>
      <c r="E10107">
        <v>3.13043478260869</v>
      </c>
    </row>
    <row r="10108" spans="1:5">
      <c r="A10108" t="s">
        <v>11671</v>
      </c>
      <c r="B10108" t="s">
        <v>11673</v>
      </c>
      <c r="C10108">
        <f>0</f>
        <v>0</v>
      </c>
      <c r="D10108">
        <v>0.620176851641</v>
      </c>
      <c r="E10108">
        <v>3.13043478260869</v>
      </c>
    </row>
    <row r="10109" spans="1:5">
      <c r="A10109" t="s">
        <v>11671</v>
      </c>
      <c r="B10109" t="s">
        <v>11674</v>
      </c>
      <c r="C10109">
        <v>4.8274334490699997E-2</v>
      </c>
      <c r="D10109">
        <v>0.620176851641</v>
      </c>
      <c r="E10109">
        <v>3.13043478260869</v>
      </c>
    </row>
    <row r="10110" spans="1:5">
      <c r="A10110" t="s">
        <v>11671</v>
      </c>
      <c r="B10110" t="s">
        <v>11675</v>
      </c>
      <c r="C10110">
        <v>0</v>
      </c>
      <c r="D10110">
        <v>0.620176851641</v>
      </c>
      <c r="E10110">
        <v>3.13043478260869</v>
      </c>
    </row>
    <row r="10111" spans="1:5">
      <c r="A10111" t="s">
        <v>11676</v>
      </c>
      <c r="B10111" t="s">
        <v>11677</v>
      </c>
      <c r="C10111">
        <v>0</v>
      </c>
      <c r="D10111">
        <v>0.30711485874400002</v>
      </c>
      <c r="E10111">
        <v>6.6806596701649097</v>
      </c>
    </row>
    <row r="10112" spans="1:5">
      <c r="A10112" t="s">
        <v>11676</v>
      </c>
      <c r="B10112" t="s">
        <v>11678</v>
      </c>
      <c r="C10112">
        <f>0.00177192540321</f>
        <v>1.77192540321E-3</v>
      </c>
      <c r="D10112">
        <v>0.30711485874400002</v>
      </c>
      <c r="E10112">
        <v>6.6806596701649097</v>
      </c>
    </row>
    <row r="10113" spans="1:5">
      <c r="A10113" t="s">
        <v>11676</v>
      </c>
      <c r="B10113" t="s">
        <v>11679</v>
      </c>
      <c r="C10113">
        <v>0</v>
      </c>
      <c r="D10113">
        <v>0.30711485874400002</v>
      </c>
      <c r="E10113">
        <v>6.6806596701649097</v>
      </c>
    </row>
    <row r="10114" spans="1:5">
      <c r="A10114" t="s">
        <v>11676</v>
      </c>
      <c r="B10114" t="s">
        <v>11680</v>
      </c>
      <c r="C10114">
        <v>0</v>
      </c>
      <c r="D10114">
        <v>0.30711485874400002</v>
      </c>
      <c r="E10114">
        <v>6.6806596701649097</v>
      </c>
    </row>
    <row r="10115" spans="1:5">
      <c r="A10115" t="s">
        <v>11676</v>
      </c>
      <c r="B10115" t="s">
        <v>11681</v>
      </c>
      <c r="C10115">
        <v>0.51415548289299995</v>
      </c>
      <c r="D10115">
        <v>0.30711485874400002</v>
      </c>
      <c r="E10115">
        <v>6.6806596701649097</v>
      </c>
    </row>
    <row r="10116" spans="1:5">
      <c r="A10116" t="s">
        <v>11676</v>
      </c>
      <c r="B10116" t="s">
        <v>11682</v>
      </c>
      <c r="C10116">
        <v>0</v>
      </c>
      <c r="D10116">
        <v>0.30711485874400002</v>
      </c>
      <c r="E10116">
        <v>6.6806596701649097</v>
      </c>
    </row>
    <row r="10117" spans="1:5">
      <c r="A10117" t="s">
        <v>11683</v>
      </c>
      <c r="B10117" t="s">
        <v>11684</v>
      </c>
      <c r="C10117">
        <f>0</f>
        <v>0</v>
      </c>
      <c r="D10117">
        <v>0.97349858303000003</v>
      </c>
      <c r="E10117">
        <v>10.710644677661101</v>
      </c>
    </row>
    <row r="10118" spans="1:5">
      <c r="A10118" t="s">
        <v>11683</v>
      </c>
      <c r="B10118" t="s">
        <v>11685</v>
      </c>
      <c r="C10118">
        <v>0.30034959586299997</v>
      </c>
      <c r="D10118">
        <v>0.97349858303000003</v>
      </c>
      <c r="E10118">
        <v>10.710644677661101</v>
      </c>
    </row>
    <row r="10119" spans="1:5">
      <c r="A10119" t="s">
        <v>11683</v>
      </c>
      <c r="B10119" t="s">
        <v>11686</v>
      </c>
      <c r="C10119">
        <f>0</f>
        <v>0</v>
      </c>
      <c r="D10119">
        <v>0.97349858303000003</v>
      </c>
      <c r="E10119">
        <v>10.710644677661101</v>
      </c>
    </row>
    <row r="10120" spans="1:5">
      <c r="A10120" t="s">
        <v>11683</v>
      </c>
      <c r="B10120" t="s">
        <v>11687</v>
      </c>
      <c r="C10120">
        <f>0</f>
        <v>0</v>
      </c>
      <c r="D10120">
        <v>0.97349858303000003</v>
      </c>
      <c r="E10120">
        <v>10.710644677661101</v>
      </c>
    </row>
    <row r="10121" spans="1:5">
      <c r="A10121" t="s">
        <v>11683</v>
      </c>
      <c r="B10121" t="s">
        <v>11688</v>
      </c>
      <c r="C10121">
        <v>0</v>
      </c>
      <c r="D10121">
        <v>0.97349858303000003</v>
      </c>
      <c r="E10121">
        <v>10.710644677661101</v>
      </c>
    </row>
    <row r="10122" spans="1:5">
      <c r="A10122" t="s">
        <v>11683</v>
      </c>
      <c r="B10122" t="s">
        <v>11689</v>
      </c>
      <c r="C10122">
        <v>0.281936909322</v>
      </c>
      <c r="D10122">
        <v>0.97349858303000003</v>
      </c>
      <c r="E10122">
        <v>10.710644677661101</v>
      </c>
    </row>
    <row r="10123" spans="1:5">
      <c r="A10123" t="s">
        <v>11690</v>
      </c>
      <c r="B10123" t="s">
        <v>11691</v>
      </c>
      <c r="C10123">
        <f>0</f>
        <v>0</v>
      </c>
      <c r="D10123" t="s">
        <v>106</v>
      </c>
      <c r="E10123">
        <v>23.7481259370314</v>
      </c>
    </row>
    <row r="10124" spans="1:5">
      <c r="A10124" t="s">
        <v>11690</v>
      </c>
      <c r="B10124" t="s">
        <v>11692</v>
      </c>
      <c r="C10124">
        <f>0</f>
        <v>0</v>
      </c>
      <c r="D10124" t="s">
        <v>106</v>
      </c>
      <c r="E10124">
        <v>23.7481259370314</v>
      </c>
    </row>
    <row r="10125" spans="1:5">
      <c r="A10125" t="s">
        <v>11693</v>
      </c>
      <c r="B10125" t="s">
        <v>11694</v>
      </c>
      <c r="C10125">
        <v>0.35060701449699999</v>
      </c>
      <c r="D10125">
        <v>0.98135935948099995</v>
      </c>
      <c r="E10125">
        <v>13.0854572713643</v>
      </c>
    </row>
    <row r="10126" spans="1:5">
      <c r="A10126" t="s">
        <v>11693</v>
      </c>
      <c r="B10126" t="s">
        <v>11695</v>
      </c>
      <c r="C10126">
        <v>0</v>
      </c>
      <c r="D10126">
        <v>0.98135935948099995</v>
      </c>
      <c r="E10126">
        <v>13.0854572713643</v>
      </c>
    </row>
    <row r="10127" spans="1:5">
      <c r="A10127" t="s">
        <v>11693</v>
      </c>
      <c r="B10127" t="s">
        <v>11696</v>
      </c>
      <c r="C10127">
        <f>0</f>
        <v>0</v>
      </c>
      <c r="D10127">
        <v>0.98135935948099995</v>
      </c>
      <c r="E10127">
        <v>13.0854572713643</v>
      </c>
    </row>
    <row r="10128" spans="1:5">
      <c r="A10128" t="s">
        <v>11697</v>
      </c>
      <c r="B10128" t="s">
        <v>11698</v>
      </c>
      <c r="C10128">
        <f>0</f>
        <v>0</v>
      </c>
      <c r="D10128" t="s">
        <v>106</v>
      </c>
      <c r="E10128">
        <v>11.8740629685157</v>
      </c>
    </row>
    <row r="10129" spans="1:5">
      <c r="A10129" t="s">
        <v>11697</v>
      </c>
      <c r="B10129" t="s">
        <v>11699</v>
      </c>
      <c r="C10129">
        <v>0</v>
      </c>
      <c r="D10129" t="s">
        <v>106</v>
      </c>
      <c r="E10129">
        <v>11.8740629685157</v>
      </c>
    </row>
    <row r="10130" spans="1:5">
      <c r="A10130" t="s">
        <v>11697</v>
      </c>
      <c r="B10130" t="s">
        <v>11700</v>
      </c>
      <c r="C10130">
        <v>0</v>
      </c>
      <c r="D10130" t="s">
        <v>106</v>
      </c>
      <c r="E10130">
        <v>11.8740629685157</v>
      </c>
    </row>
    <row r="10131" spans="1:5">
      <c r="A10131" t="s">
        <v>11697</v>
      </c>
      <c r="B10131" t="s">
        <v>11701</v>
      </c>
      <c r="C10131">
        <v>0</v>
      </c>
      <c r="D10131" t="s">
        <v>106</v>
      </c>
      <c r="E10131">
        <v>11.8740629685157</v>
      </c>
    </row>
    <row r="10132" spans="1:5">
      <c r="A10132" t="s">
        <v>11697</v>
      </c>
      <c r="B10132" t="s">
        <v>11702</v>
      </c>
      <c r="C10132">
        <f>0</f>
        <v>0</v>
      </c>
      <c r="D10132" t="s">
        <v>106</v>
      </c>
      <c r="E10132">
        <v>11.8740629685157</v>
      </c>
    </row>
    <row r="10133" spans="1:5">
      <c r="A10133" t="s">
        <v>11697</v>
      </c>
      <c r="B10133" t="s">
        <v>11703</v>
      </c>
      <c r="C10133">
        <v>0</v>
      </c>
      <c r="D10133" t="s">
        <v>106</v>
      </c>
      <c r="E10133">
        <v>11.8740629685157</v>
      </c>
    </row>
    <row r="10134" spans="1:5">
      <c r="A10134" t="s">
        <v>11697</v>
      </c>
      <c r="B10134" t="s">
        <v>11704</v>
      </c>
      <c r="C10134">
        <v>0</v>
      </c>
      <c r="D10134" t="s">
        <v>106</v>
      </c>
      <c r="E10134">
        <v>11.8740629685157</v>
      </c>
    </row>
    <row r="10135" spans="1:5">
      <c r="A10135" t="s">
        <v>11705</v>
      </c>
      <c r="B10135" t="s">
        <v>11706</v>
      </c>
      <c r="C10135">
        <v>0</v>
      </c>
      <c r="D10135">
        <v>0.57526153482999998</v>
      </c>
      <c r="E10135">
        <v>23.7481259370314</v>
      </c>
    </row>
    <row r="10136" spans="1:5">
      <c r="A10136" t="s">
        <v>11705</v>
      </c>
      <c r="B10136" t="s">
        <v>11707</v>
      </c>
      <c r="C10136">
        <v>0</v>
      </c>
      <c r="D10136">
        <v>0.57526153482999998</v>
      </c>
      <c r="E10136">
        <v>23.7481259370314</v>
      </c>
    </row>
    <row r="10137" spans="1:5">
      <c r="A10137" t="s">
        <v>11705</v>
      </c>
      <c r="B10137" t="s">
        <v>11708</v>
      </c>
      <c r="C10137">
        <v>0</v>
      </c>
      <c r="D10137">
        <v>0.57526153482999998</v>
      </c>
      <c r="E10137">
        <v>23.7481259370314</v>
      </c>
    </row>
    <row r="10138" spans="1:5">
      <c r="A10138" t="s">
        <v>11705</v>
      </c>
      <c r="B10138" t="s">
        <v>11709</v>
      </c>
      <c r="C10138">
        <f>0</f>
        <v>0</v>
      </c>
      <c r="D10138">
        <v>0.57526153482999998</v>
      </c>
      <c r="E10138">
        <v>23.7481259370314</v>
      </c>
    </row>
    <row r="10139" spans="1:5">
      <c r="A10139" t="s">
        <v>11705</v>
      </c>
      <c r="B10139" t="s">
        <v>11710</v>
      </c>
      <c r="C10139">
        <f>0</f>
        <v>0</v>
      </c>
      <c r="D10139">
        <v>0.57526153482999998</v>
      </c>
      <c r="E10139">
        <v>23.7481259370314</v>
      </c>
    </row>
    <row r="10140" spans="1:5">
      <c r="A10140" t="s">
        <v>11705</v>
      </c>
      <c r="B10140" t="s">
        <v>11711</v>
      </c>
      <c r="C10140">
        <v>0</v>
      </c>
      <c r="D10140">
        <v>0.57526153482999998</v>
      </c>
      <c r="E10140">
        <v>23.7481259370314</v>
      </c>
    </row>
    <row r="10141" spans="1:5">
      <c r="A10141" t="s">
        <v>11705</v>
      </c>
      <c r="B10141" t="s">
        <v>11712</v>
      </c>
      <c r="C10141">
        <v>0</v>
      </c>
      <c r="D10141">
        <v>0.57526153482999998</v>
      </c>
      <c r="E10141">
        <v>23.7481259370314</v>
      </c>
    </row>
    <row r="10142" spans="1:5">
      <c r="A10142" t="s">
        <v>11705</v>
      </c>
      <c r="B10142" t="s">
        <v>11713</v>
      </c>
      <c r="C10142">
        <v>0</v>
      </c>
      <c r="D10142">
        <v>0.57526153482999998</v>
      </c>
      <c r="E10142">
        <v>23.7481259370314</v>
      </c>
    </row>
    <row r="10143" spans="1:5">
      <c r="A10143" t="s">
        <v>11705</v>
      </c>
      <c r="B10143" t="s">
        <v>11714</v>
      </c>
      <c r="C10143">
        <v>2.2051658819400001E-2</v>
      </c>
      <c r="D10143">
        <v>0.57526153482999998</v>
      </c>
      <c r="E10143">
        <v>23.7481259370314</v>
      </c>
    </row>
    <row r="10144" spans="1:5">
      <c r="A10144" t="s">
        <v>11705</v>
      </c>
      <c r="B10144" t="s">
        <v>11715</v>
      </c>
      <c r="C10144">
        <v>0</v>
      </c>
      <c r="D10144">
        <v>0.57526153482999998</v>
      </c>
      <c r="E10144">
        <v>23.7481259370314</v>
      </c>
    </row>
    <row r="10145" spans="1:5">
      <c r="A10145" t="s">
        <v>11705</v>
      </c>
      <c r="B10145" t="s">
        <v>11716</v>
      </c>
      <c r="C10145">
        <v>0</v>
      </c>
      <c r="D10145">
        <v>0.57526153482999998</v>
      </c>
      <c r="E10145">
        <v>23.7481259370314</v>
      </c>
    </row>
    <row r="10146" spans="1:5">
      <c r="A10146" t="s">
        <v>11717</v>
      </c>
      <c r="B10146" t="s">
        <v>11718</v>
      </c>
      <c r="C10146">
        <v>0</v>
      </c>
      <c r="D10146">
        <v>0.99315236496600001</v>
      </c>
      <c r="E10146">
        <v>3.8740629685157399</v>
      </c>
    </row>
    <row r="10147" spans="1:5">
      <c r="A10147" t="s">
        <v>11717</v>
      </c>
      <c r="B10147" t="s">
        <v>11719</v>
      </c>
      <c r="C10147">
        <v>0</v>
      </c>
      <c r="D10147">
        <v>0.99315236496600001</v>
      </c>
      <c r="E10147">
        <v>3.8740629685157399</v>
      </c>
    </row>
    <row r="10148" spans="1:5">
      <c r="A10148" t="s">
        <v>11717</v>
      </c>
      <c r="B10148" t="s">
        <v>11720</v>
      </c>
      <c r="C10148">
        <v>0.21572608407800001</v>
      </c>
      <c r="D10148">
        <v>0.99315236496600001</v>
      </c>
      <c r="E10148">
        <v>3.8740629685157399</v>
      </c>
    </row>
    <row r="10149" spans="1:5">
      <c r="A10149" t="s">
        <v>11721</v>
      </c>
      <c r="B10149" t="s">
        <v>11722</v>
      </c>
      <c r="C10149">
        <v>0.10045635141000001</v>
      </c>
      <c r="D10149">
        <v>0.244946875905</v>
      </c>
      <c r="E10149">
        <v>7.8680659670164896</v>
      </c>
    </row>
    <row r="10150" spans="1:5">
      <c r="A10150" t="s">
        <v>11723</v>
      </c>
      <c r="B10150" t="s">
        <v>11724</v>
      </c>
      <c r="C10150">
        <v>0.38497708077999998</v>
      </c>
      <c r="D10150">
        <v>0.98991007580500001</v>
      </c>
      <c r="E10150">
        <v>6.9325337331334298</v>
      </c>
    </row>
    <row r="10151" spans="1:5">
      <c r="A10151" t="s">
        <v>11723</v>
      </c>
      <c r="B10151" t="s">
        <v>11725</v>
      </c>
      <c r="C10151">
        <v>0.40523791933800002</v>
      </c>
      <c r="D10151">
        <v>0.98991007580500001</v>
      </c>
      <c r="E10151">
        <v>6.9325337331334298</v>
      </c>
    </row>
    <row r="10152" spans="1:5">
      <c r="A10152" t="s">
        <v>11726</v>
      </c>
      <c r="B10152" t="s">
        <v>11727</v>
      </c>
      <c r="C10152">
        <f>0.166488427249</f>
        <v>0.16648842724900001</v>
      </c>
      <c r="D10152">
        <v>0.83749065648999999</v>
      </c>
      <c r="E10152">
        <v>17.511244377811</v>
      </c>
    </row>
    <row r="10153" spans="1:5">
      <c r="A10153" t="s">
        <v>11726</v>
      </c>
      <c r="B10153" t="s">
        <v>11728</v>
      </c>
      <c r="C10153">
        <f>0.102031864635</f>
        <v>0.102031864635</v>
      </c>
      <c r="D10153">
        <v>0.83749065648999999</v>
      </c>
      <c r="E10153">
        <v>17.511244377811</v>
      </c>
    </row>
    <row r="10154" spans="1:5">
      <c r="A10154" t="s">
        <v>11729</v>
      </c>
      <c r="B10154" t="s">
        <v>11730</v>
      </c>
      <c r="C10154">
        <v>0</v>
      </c>
      <c r="D10154">
        <v>0.90404385015099997</v>
      </c>
      <c r="E10154">
        <v>11.5382308845577</v>
      </c>
    </row>
    <row r="10155" spans="1:5">
      <c r="A10155" t="s">
        <v>11729</v>
      </c>
      <c r="B10155" t="s">
        <v>11731</v>
      </c>
      <c r="C10155">
        <f>0</f>
        <v>0</v>
      </c>
      <c r="D10155">
        <v>0.90404385015099997</v>
      </c>
      <c r="E10155">
        <v>11.5382308845577</v>
      </c>
    </row>
    <row r="10156" spans="1:5">
      <c r="A10156" t="s">
        <v>11729</v>
      </c>
      <c r="B10156" t="s">
        <v>11732</v>
      </c>
      <c r="C10156">
        <v>0.29421248247999998</v>
      </c>
      <c r="D10156">
        <v>0.90404385015099997</v>
      </c>
      <c r="E10156">
        <v>11.5382308845577</v>
      </c>
    </row>
    <row r="10157" spans="1:5">
      <c r="A10157" t="s">
        <v>11729</v>
      </c>
      <c r="B10157" t="s">
        <v>11733</v>
      </c>
      <c r="C10157">
        <v>0</v>
      </c>
      <c r="D10157">
        <v>0.90404385015099997</v>
      </c>
      <c r="E10157">
        <v>11.5382308845577</v>
      </c>
    </row>
    <row r="10158" spans="1:5">
      <c r="A10158" t="s">
        <v>11729</v>
      </c>
      <c r="B10158" t="s">
        <v>11734</v>
      </c>
      <c r="C10158">
        <v>0</v>
      </c>
      <c r="D10158">
        <v>0.90404385015099997</v>
      </c>
      <c r="E10158">
        <v>11.5382308845577</v>
      </c>
    </row>
    <row r="10159" spans="1:5">
      <c r="A10159" t="s">
        <v>11735</v>
      </c>
      <c r="B10159" t="s">
        <v>11730</v>
      </c>
      <c r="C10159">
        <v>0.253886827466</v>
      </c>
      <c r="D10159">
        <v>0.91420173786500003</v>
      </c>
      <c r="E10159">
        <v>15.904047976011899</v>
      </c>
    </row>
    <row r="10160" spans="1:5">
      <c r="A10160" t="s">
        <v>11736</v>
      </c>
      <c r="B10160" t="s">
        <v>11737</v>
      </c>
      <c r="C10160">
        <v>0</v>
      </c>
      <c r="D10160">
        <v>0.98228041447799996</v>
      </c>
      <c r="E10160">
        <v>0.61169415292353801</v>
      </c>
    </row>
    <row r="10161" spans="1:5">
      <c r="A10161" t="s">
        <v>11736</v>
      </c>
      <c r="B10161" t="s">
        <v>11738</v>
      </c>
      <c r="C10161">
        <f>0</f>
        <v>0</v>
      </c>
      <c r="D10161">
        <v>0.98228041447799996</v>
      </c>
      <c r="E10161">
        <v>0.61169415292353801</v>
      </c>
    </row>
    <row r="10162" spans="1:5">
      <c r="A10162" t="s">
        <v>11736</v>
      </c>
      <c r="B10162" t="s">
        <v>11739</v>
      </c>
      <c r="C10162">
        <f>0.113707034836</f>
        <v>0.113707034836</v>
      </c>
      <c r="D10162">
        <v>0.98228041447799996</v>
      </c>
      <c r="E10162">
        <v>0.61169415292353801</v>
      </c>
    </row>
    <row r="10163" spans="1:5">
      <c r="A10163" t="s">
        <v>11736</v>
      </c>
      <c r="B10163" t="s">
        <v>11740</v>
      </c>
      <c r="C10163">
        <f>0</f>
        <v>0</v>
      </c>
      <c r="D10163">
        <v>0.98228041447799996</v>
      </c>
      <c r="E10163">
        <v>0.61169415292353801</v>
      </c>
    </row>
    <row r="10164" spans="1:5">
      <c r="A10164" t="s">
        <v>11736</v>
      </c>
      <c r="B10164" t="s">
        <v>11741</v>
      </c>
      <c r="C10164">
        <f>0</f>
        <v>0</v>
      </c>
      <c r="D10164">
        <v>0.98228041447799996</v>
      </c>
      <c r="E10164">
        <v>0.61169415292353801</v>
      </c>
    </row>
    <row r="10165" spans="1:5">
      <c r="A10165" t="s">
        <v>11736</v>
      </c>
      <c r="B10165" t="s">
        <v>11742</v>
      </c>
      <c r="C10165">
        <f>0</f>
        <v>0</v>
      </c>
      <c r="D10165">
        <v>0.98228041447799996</v>
      </c>
      <c r="E10165">
        <v>0.61169415292353801</v>
      </c>
    </row>
    <row r="10166" spans="1:5">
      <c r="A10166" t="s">
        <v>11736</v>
      </c>
      <c r="B10166" t="s">
        <v>11743</v>
      </c>
      <c r="C10166">
        <v>0</v>
      </c>
      <c r="D10166">
        <v>0.98228041447799996</v>
      </c>
      <c r="E10166">
        <v>0.61169415292353801</v>
      </c>
    </row>
    <row r="10167" spans="1:5">
      <c r="A10167" t="s">
        <v>11736</v>
      </c>
      <c r="B10167" t="s">
        <v>11744</v>
      </c>
      <c r="C10167">
        <v>0.45900197704099999</v>
      </c>
      <c r="D10167">
        <v>0.98228041447799996</v>
      </c>
      <c r="E10167">
        <v>0.61169415292353801</v>
      </c>
    </row>
    <row r="10168" spans="1:5">
      <c r="A10168" t="s">
        <v>11736</v>
      </c>
      <c r="B10168" t="s">
        <v>11745</v>
      </c>
      <c r="C10168">
        <v>0</v>
      </c>
      <c r="D10168">
        <v>0.98228041447799996</v>
      </c>
      <c r="E10168">
        <v>0.61169415292353801</v>
      </c>
    </row>
    <row r="10169" spans="1:5">
      <c r="A10169" t="s">
        <v>11746</v>
      </c>
      <c r="B10169" t="s">
        <v>11747</v>
      </c>
      <c r="C10169">
        <v>0</v>
      </c>
      <c r="D10169">
        <v>0.91513871172799999</v>
      </c>
      <c r="E10169">
        <v>4.2698650674662604</v>
      </c>
    </row>
    <row r="10170" spans="1:5">
      <c r="A10170" t="s">
        <v>11746</v>
      </c>
      <c r="B10170" t="s">
        <v>11748</v>
      </c>
      <c r="C10170">
        <v>6.1725300935999997E-2</v>
      </c>
      <c r="D10170">
        <v>0.91513871172799999</v>
      </c>
      <c r="E10170">
        <v>4.2698650674662604</v>
      </c>
    </row>
    <row r="10171" spans="1:5">
      <c r="A10171" t="s">
        <v>11746</v>
      </c>
      <c r="B10171" t="s">
        <v>11749</v>
      </c>
      <c r="C10171">
        <f>0</f>
        <v>0</v>
      </c>
      <c r="D10171">
        <v>0.91513871172799999</v>
      </c>
      <c r="E10171">
        <v>4.2698650674662604</v>
      </c>
    </row>
    <row r="10172" spans="1:5">
      <c r="A10172" t="s">
        <v>11746</v>
      </c>
      <c r="B10172" t="s">
        <v>11750</v>
      </c>
      <c r="C10172">
        <v>0</v>
      </c>
      <c r="D10172">
        <v>0.91513871172799999</v>
      </c>
      <c r="E10172">
        <v>4.2698650674662604</v>
      </c>
    </row>
    <row r="10173" spans="1:5">
      <c r="A10173" t="s">
        <v>11746</v>
      </c>
      <c r="B10173" t="s">
        <v>11751</v>
      </c>
      <c r="C10173">
        <f>0</f>
        <v>0</v>
      </c>
      <c r="D10173">
        <v>0.91513871172799999</v>
      </c>
      <c r="E10173">
        <v>4.2698650674662604</v>
      </c>
    </row>
    <row r="10174" spans="1:5">
      <c r="A10174" t="s">
        <v>11746</v>
      </c>
      <c r="B10174" t="s">
        <v>11752</v>
      </c>
      <c r="C10174">
        <f>0</f>
        <v>0</v>
      </c>
      <c r="D10174">
        <v>0.91513871172799999</v>
      </c>
      <c r="E10174">
        <v>4.2698650674662604</v>
      </c>
    </row>
    <row r="10175" spans="1:5">
      <c r="A10175" t="s">
        <v>11746</v>
      </c>
      <c r="B10175" t="s">
        <v>11753</v>
      </c>
      <c r="C10175">
        <v>0.16657912526999999</v>
      </c>
      <c r="D10175">
        <v>0.91513871172799999</v>
      </c>
      <c r="E10175">
        <v>4.2698650674662604</v>
      </c>
    </row>
    <row r="10176" spans="1:5">
      <c r="A10176" t="s">
        <v>11746</v>
      </c>
      <c r="B10176" t="s">
        <v>11754</v>
      </c>
      <c r="C10176">
        <f>0</f>
        <v>0</v>
      </c>
      <c r="D10176">
        <v>0.91513871172799999</v>
      </c>
      <c r="E10176">
        <v>4.2698650674662604</v>
      </c>
    </row>
    <row r="10177" spans="1:5">
      <c r="A10177" t="s">
        <v>11755</v>
      </c>
      <c r="B10177" t="s">
        <v>11756</v>
      </c>
      <c r="C10177">
        <v>0</v>
      </c>
      <c r="D10177" t="s">
        <v>106</v>
      </c>
      <c r="E10177">
        <v>23.040479760119901</v>
      </c>
    </row>
    <row r="10178" spans="1:5">
      <c r="A10178" t="s">
        <v>11755</v>
      </c>
      <c r="B10178" t="s">
        <v>11757</v>
      </c>
      <c r="C10178">
        <v>0</v>
      </c>
      <c r="D10178" t="s">
        <v>106</v>
      </c>
      <c r="E10178">
        <v>23.040479760119901</v>
      </c>
    </row>
    <row r="10179" spans="1:5">
      <c r="A10179" t="s">
        <v>11755</v>
      </c>
      <c r="B10179" t="s">
        <v>11758</v>
      </c>
      <c r="C10179">
        <v>0</v>
      </c>
      <c r="D10179" t="s">
        <v>106</v>
      </c>
      <c r="E10179">
        <v>23.040479760119901</v>
      </c>
    </row>
    <row r="10180" spans="1:5">
      <c r="A10180" t="s">
        <v>11755</v>
      </c>
      <c r="B10180" t="s">
        <v>11759</v>
      </c>
      <c r="C10180">
        <v>0</v>
      </c>
      <c r="D10180" t="s">
        <v>106</v>
      </c>
      <c r="E10180">
        <v>23.040479760119901</v>
      </c>
    </row>
    <row r="10181" spans="1:5">
      <c r="A10181" t="s">
        <v>11755</v>
      </c>
      <c r="B10181" t="s">
        <v>11760</v>
      </c>
      <c r="C10181">
        <v>0</v>
      </c>
      <c r="D10181" t="s">
        <v>106</v>
      </c>
      <c r="E10181">
        <v>23.040479760119901</v>
      </c>
    </row>
    <row r="10182" spans="1:5">
      <c r="A10182" t="s">
        <v>11755</v>
      </c>
      <c r="B10182" t="s">
        <v>11761</v>
      </c>
      <c r="C10182">
        <v>0</v>
      </c>
      <c r="D10182" t="s">
        <v>106</v>
      </c>
      <c r="E10182">
        <v>23.040479760119901</v>
      </c>
    </row>
    <row r="10183" spans="1:5">
      <c r="A10183" t="s">
        <v>11755</v>
      </c>
      <c r="B10183" t="s">
        <v>11762</v>
      </c>
      <c r="C10183">
        <v>0</v>
      </c>
      <c r="D10183" t="s">
        <v>106</v>
      </c>
      <c r="E10183">
        <v>23.040479760119901</v>
      </c>
    </row>
    <row r="10184" spans="1:5">
      <c r="A10184" t="s">
        <v>11763</v>
      </c>
      <c r="B10184" t="s">
        <v>11764</v>
      </c>
      <c r="C10184">
        <v>0.361480643441</v>
      </c>
      <c r="D10184">
        <v>0.99222537896600005</v>
      </c>
      <c r="E10184">
        <v>9.9190404797601204</v>
      </c>
    </row>
    <row r="10185" spans="1:5">
      <c r="A10185" t="s">
        <v>11763</v>
      </c>
      <c r="B10185" t="s">
        <v>11765</v>
      </c>
      <c r="C10185">
        <v>0</v>
      </c>
      <c r="D10185">
        <v>0.99222537896600005</v>
      </c>
      <c r="E10185">
        <v>9.9190404797601204</v>
      </c>
    </row>
    <row r="10186" spans="1:5">
      <c r="A10186" t="s">
        <v>11763</v>
      </c>
      <c r="B10186" t="s">
        <v>11766</v>
      </c>
      <c r="C10186">
        <v>0</v>
      </c>
      <c r="D10186">
        <v>0.99222537896600005</v>
      </c>
      <c r="E10186">
        <v>9.9190404797601204</v>
      </c>
    </row>
    <row r="10187" spans="1:5">
      <c r="A10187" t="s">
        <v>11763</v>
      </c>
      <c r="B10187" t="s">
        <v>11767</v>
      </c>
      <c r="C10187">
        <v>0</v>
      </c>
      <c r="D10187">
        <v>0.99222537896600005</v>
      </c>
      <c r="E10187">
        <v>9.9190404797601204</v>
      </c>
    </row>
    <row r="10188" spans="1:5">
      <c r="A10188" t="s">
        <v>11763</v>
      </c>
      <c r="B10188" t="s">
        <v>11768</v>
      </c>
      <c r="C10188">
        <f>0</f>
        <v>0</v>
      </c>
      <c r="D10188">
        <v>0.99222537896600005</v>
      </c>
      <c r="E10188">
        <v>9.9190404797601204</v>
      </c>
    </row>
    <row r="10189" spans="1:5">
      <c r="A10189" t="s">
        <v>11763</v>
      </c>
      <c r="B10189" t="s">
        <v>11769</v>
      </c>
      <c r="C10189">
        <v>0</v>
      </c>
      <c r="D10189">
        <v>0.99222537896600005</v>
      </c>
      <c r="E10189">
        <v>9.9190404797601204</v>
      </c>
    </row>
    <row r="10190" spans="1:5">
      <c r="A10190" t="s">
        <v>11763</v>
      </c>
      <c r="B10190" t="s">
        <v>11770</v>
      </c>
      <c r="C10190">
        <v>3.0123564332700001E-2</v>
      </c>
      <c r="D10190">
        <v>0.99222537896600005</v>
      </c>
      <c r="E10190">
        <v>9.9190404797601204</v>
      </c>
    </row>
    <row r="10191" spans="1:5">
      <c r="A10191" t="s">
        <v>11763</v>
      </c>
      <c r="B10191" t="s">
        <v>11771</v>
      </c>
      <c r="C10191">
        <f>0</f>
        <v>0</v>
      </c>
      <c r="D10191">
        <v>0.99222537896600005</v>
      </c>
      <c r="E10191">
        <v>9.9190404797601204</v>
      </c>
    </row>
    <row r="10192" spans="1:5">
      <c r="A10192" t="s">
        <v>11763</v>
      </c>
      <c r="B10192" t="s">
        <v>11772</v>
      </c>
      <c r="C10192">
        <f>0</f>
        <v>0</v>
      </c>
      <c r="D10192">
        <v>0.99222537896600005</v>
      </c>
      <c r="E10192">
        <v>9.9190404797601204</v>
      </c>
    </row>
    <row r="10193" spans="1:5">
      <c r="A10193" t="s">
        <v>11763</v>
      </c>
      <c r="B10193" t="s">
        <v>11773</v>
      </c>
      <c r="C10193">
        <v>0</v>
      </c>
      <c r="D10193">
        <v>0.99222537896600005</v>
      </c>
      <c r="E10193">
        <v>9.9190404797601204</v>
      </c>
    </row>
    <row r="10194" spans="1:5">
      <c r="A10194" t="s">
        <v>11763</v>
      </c>
      <c r="B10194" t="s">
        <v>11774</v>
      </c>
      <c r="C10194">
        <f>0</f>
        <v>0</v>
      </c>
      <c r="D10194">
        <v>0.99222537896600005</v>
      </c>
      <c r="E10194">
        <v>9.9190404797601204</v>
      </c>
    </row>
    <row r="10195" spans="1:5">
      <c r="A10195" t="s">
        <v>11763</v>
      </c>
      <c r="B10195" t="s">
        <v>11775</v>
      </c>
      <c r="C10195">
        <v>0</v>
      </c>
      <c r="D10195">
        <v>0.99222537896600005</v>
      </c>
      <c r="E10195">
        <v>9.9190404797601204</v>
      </c>
    </row>
    <row r="10196" spans="1:5">
      <c r="A10196" t="s">
        <v>11763</v>
      </c>
      <c r="B10196" t="s">
        <v>11776</v>
      </c>
      <c r="C10196">
        <f>0</f>
        <v>0</v>
      </c>
      <c r="D10196">
        <v>0.99222537896600005</v>
      </c>
      <c r="E10196">
        <v>9.9190404797601204</v>
      </c>
    </row>
    <row r="10197" spans="1:5">
      <c r="A10197" t="s">
        <v>11777</v>
      </c>
      <c r="B10197" t="s">
        <v>11778</v>
      </c>
      <c r="C10197">
        <v>5.1150010189100004E-3</v>
      </c>
      <c r="D10197">
        <v>0.841531931186</v>
      </c>
      <c r="E10197">
        <v>5.5772113943028403</v>
      </c>
    </row>
    <row r="10198" spans="1:5">
      <c r="A10198" t="s">
        <v>11777</v>
      </c>
      <c r="B10198" t="s">
        <v>11779</v>
      </c>
      <c r="C10198">
        <f>0</f>
        <v>0</v>
      </c>
      <c r="D10198">
        <v>0.841531931186</v>
      </c>
      <c r="E10198">
        <v>5.5772113943028403</v>
      </c>
    </row>
    <row r="10199" spans="1:5">
      <c r="A10199" t="s">
        <v>11777</v>
      </c>
      <c r="B10199" t="s">
        <v>11780</v>
      </c>
      <c r="C10199">
        <f>0</f>
        <v>0</v>
      </c>
      <c r="D10199">
        <v>0.841531931186</v>
      </c>
      <c r="E10199">
        <v>5.5772113943028403</v>
      </c>
    </row>
    <row r="10200" spans="1:5">
      <c r="A10200" t="s">
        <v>11781</v>
      </c>
      <c r="B10200" t="s">
        <v>11782</v>
      </c>
      <c r="C10200">
        <v>3.5588490808900003E-2</v>
      </c>
      <c r="D10200">
        <v>0.98549883638500002</v>
      </c>
      <c r="E10200">
        <v>24</v>
      </c>
    </row>
    <row r="10201" spans="1:5">
      <c r="A10201" t="s">
        <v>11781</v>
      </c>
      <c r="B10201" t="s">
        <v>11783</v>
      </c>
      <c r="C10201">
        <v>0</v>
      </c>
      <c r="D10201">
        <v>0.98549883638500002</v>
      </c>
      <c r="E10201">
        <v>24</v>
      </c>
    </row>
    <row r="10202" spans="1:5">
      <c r="A10202" t="s">
        <v>11781</v>
      </c>
      <c r="B10202" t="s">
        <v>11784</v>
      </c>
      <c r="C10202">
        <f>0</f>
        <v>0</v>
      </c>
      <c r="D10202">
        <v>0.98549883638500002</v>
      </c>
      <c r="E10202">
        <v>24</v>
      </c>
    </row>
    <row r="10203" spans="1:5">
      <c r="A10203" t="s">
        <v>11781</v>
      </c>
      <c r="B10203" t="s">
        <v>11785</v>
      </c>
      <c r="C10203">
        <v>0.14225238902199999</v>
      </c>
      <c r="D10203">
        <v>0.98549883638500002</v>
      </c>
      <c r="E10203">
        <v>24</v>
      </c>
    </row>
    <row r="10204" spans="1:5">
      <c r="A10204" t="s">
        <v>11781</v>
      </c>
      <c r="B10204" t="s">
        <v>11786</v>
      </c>
      <c r="C10204">
        <v>0</v>
      </c>
      <c r="D10204">
        <v>0.98549883638500002</v>
      </c>
      <c r="E10204">
        <v>24</v>
      </c>
    </row>
    <row r="10205" spans="1:5">
      <c r="A10205" t="s">
        <v>11787</v>
      </c>
      <c r="B10205" t="s">
        <v>11788</v>
      </c>
      <c r="C10205">
        <v>0</v>
      </c>
      <c r="D10205" t="s">
        <v>106</v>
      </c>
      <c r="E10205">
        <v>8.8635682158920499</v>
      </c>
    </row>
    <row r="10206" spans="1:5">
      <c r="A10206" t="s">
        <v>11787</v>
      </c>
      <c r="B10206" t="s">
        <v>11789</v>
      </c>
      <c r="C10206">
        <v>0</v>
      </c>
      <c r="D10206" t="s">
        <v>106</v>
      </c>
      <c r="E10206">
        <v>8.8635682158920499</v>
      </c>
    </row>
    <row r="10207" spans="1:5">
      <c r="A10207" t="s">
        <v>11787</v>
      </c>
      <c r="B10207" t="s">
        <v>11790</v>
      </c>
      <c r="C10207">
        <v>0</v>
      </c>
      <c r="D10207" t="s">
        <v>106</v>
      </c>
      <c r="E10207">
        <v>8.8635682158920499</v>
      </c>
    </row>
    <row r="10208" spans="1:5">
      <c r="A10208" t="s">
        <v>11787</v>
      </c>
      <c r="B10208" t="s">
        <v>11791</v>
      </c>
      <c r="C10208">
        <v>0</v>
      </c>
      <c r="D10208" t="s">
        <v>106</v>
      </c>
      <c r="E10208">
        <v>8.8635682158920499</v>
      </c>
    </row>
    <row r="10209" spans="1:5">
      <c r="A10209" t="s">
        <v>11787</v>
      </c>
      <c r="B10209" t="s">
        <v>11792</v>
      </c>
      <c r="C10209">
        <f>0</f>
        <v>0</v>
      </c>
      <c r="D10209" t="s">
        <v>106</v>
      </c>
      <c r="E10209">
        <v>8.8635682158920499</v>
      </c>
    </row>
    <row r="10210" spans="1:5">
      <c r="A10210" t="s">
        <v>11787</v>
      </c>
      <c r="B10210" t="s">
        <v>11793</v>
      </c>
      <c r="C10210">
        <v>0</v>
      </c>
      <c r="D10210" t="s">
        <v>106</v>
      </c>
      <c r="E10210">
        <v>8.8635682158920499</v>
      </c>
    </row>
    <row r="10211" spans="1:5">
      <c r="A10211" t="s">
        <v>11787</v>
      </c>
      <c r="B10211" t="s">
        <v>11794</v>
      </c>
      <c r="C10211">
        <v>0</v>
      </c>
      <c r="D10211" t="s">
        <v>106</v>
      </c>
      <c r="E10211">
        <v>8.8635682158920499</v>
      </c>
    </row>
    <row r="10212" spans="1:5">
      <c r="A10212" t="s">
        <v>11787</v>
      </c>
      <c r="B10212" t="s">
        <v>11795</v>
      </c>
      <c r="C10212">
        <f>0</f>
        <v>0</v>
      </c>
      <c r="D10212" t="s">
        <v>106</v>
      </c>
      <c r="E10212">
        <v>8.8635682158920499</v>
      </c>
    </row>
    <row r="10213" spans="1:5">
      <c r="A10213" t="s">
        <v>11787</v>
      </c>
      <c r="B10213" t="s">
        <v>11796</v>
      </c>
      <c r="C10213">
        <v>0</v>
      </c>
      <c r="D10213" t="s">
        <v>106</v>
      </c>
      <c r="E10213">
        <v>8.8635682158920499</v>
      </c>
    </row>
    <row r="10214" spans="1:5">
      <c r="A10214" t="s">
        <v>11787</v>
      </c>
      <c r="B10214" t="s">
        <v>11797</v>
      </c>
      <c r="C10214">
        <v>0</v>
      </c>
      <c r="D10214" t="s">
        <v>106</v>
      </c>
      <c r="E10214">
        <v>8.8635682158920499</v>
      </c>
    </row>
    <row r="10215" spans="1:5">
      <c r="A10215" t="s">
        <v>11787</v>
      </c>
      <c r="B10215" t="s">
        <v>11798</v>
      </c>
      <c r="C10215">
        <v>0</v>
      </c>
      <c r="D10215" t="s">
        <v>106</v>
      </c>
      <c r="E10215">
        <v>8.8635682158920499</v>
      </c>
    </row>
    <row r="10216" spans="1:5">
      <c r="A10216" t="s">
        <v>11787</v>
      </c>
      <c r="B10216" t="s">
        <v>11799</v>
      </c>
      <c r="C10216">
        <f>0</f>
        <v>0</v>
      </c>
      <c r="D10216" t="s">
        <v>106</v>
      </c>
      <c r="E10216">
        <v>8.8635682158920499</v>
      </c>
    </row>
    <row r="10217" spans="1:5">
      <c r="A10217" t="s">
        <v>11787</v>
      </c>
      <c r="B10217" t="s">
        <v>11800</v>
      </c>
      <c r="C10217">
        <v>0</v>
      </c>
      <c r="D10217" t="s">
        <v>106</v>
      </c>
      <c r="E10217">
        <v>8.8635682158920499</v>
      </c>
    </row>
    <row r="10218" spans="1:5">
      <c r="A10218" t="s">
        <v>11801</v>
      </c>
      <c r="B10218" t="s">
        <v>11802</v>
      </c>
      <c r="C10218">
        <v>5.74519312189E-2</v>
      </c>
      <c r="D10218">
        <v>0.91378059517700005</v>
      </c>
      <c r="E10218">
        <v>4.1739130434782599</v>
      </c>
    </row>
    <row r="10219" spans="1:5">
      <c r="A10219" t="s">
        <v>11801</v>
      </c>
      <c r="B10219" t="s">
        <v>11803</v>
      </c>
      <c r="C10219">
        <v>0</v>
      </c>
      <c r="D10219">
        <v>0.91378059517700005</v>
      </c>
      <c r="E10219">
        <v>4.1739130434782599</v>
      </c>
    </row>
    <row r="10220" spans="1:5">
      <c r="A10220" t="s">
        <v>11801</v>
      </c>
      <c r="B10220" t="s">
        <v>11804</v>
      </c>
      <c r="C10220">
        <f>0.337803297336</f>
        <v>0.33780329733600001</v>
      </c>
      <c r="D10220">
        <v>0.91378059517700005</v>
      </c>
      <c r="E10220">
        <v>4.1739130434782599</v>
      </c>
    </row>
    <row r="10221" spans="1:5">
      <c r="A10221" t="s">
        <v>11801</v>
      </c>
      <c r="B10221" t="s">
        <v>11805</v>
      </c>
      <c r="C10221">
        <f>0</f>
        <v>0</v>
      </c>
      <c r="D10221">
        <v>0.91378059517700005</v>
      </c>
      <c r="E10221">
        <v>4.1739130434782599</v>
      </c>
    </row>
    <row r="10222" spans="1:5">
      <c r="A10222" t="s">
        <v>11806</v>
      </c>
      <c r="B10222" t="s">
        <v>11807</v>
      </c>
      <c r="C10222">
        <f>0</f>
        <v>0</v>
      </c>
      <c r="D10222">
        <v>0.98320137584</v>
      </c>
      <c r="E10222">
        <v>0.82758620689655105</v>
      </c>
    </row>
    <row r="10223" spans="1:5">
      <c r="A10223" t="s">
        <v>11806</v>
      </c>
      <c r="B10223" t="s">
        <v>11808</v>
      </c>
      <c r="C10223">
        <f>0.0314450326322</f>
        <v>3.1445032632199998E-2</v>
      </c>
      <c r="D10223">
        <v>0.98320137584</v>
      </c>
      <c r="E10223">
        <v>0.82758620689655105</v>
      </c>
    </row>
    <row r="10224" spans="1:5">
      <c r="A10224" t="s">
        <v>11806</v>
      </c>
      <c r="B10224" t="s">
        <v>11809</v>
      </c>
      <c r="C10224">
        <f>0.660739769855</f>
        <v>0.66073976985500005</v>
      </c>
      <c r="D10224">
        <v>0.98320137584</v>
      </c>
      <c r="E10224">
        <v>0.82758620689655105</v>
      </c>
    </row>
    <row r="10225" spans="1:5">
      <c r="A10225" t="s">
        <v>11806</v>
      </c>
      <c r="B10225" t="s">
        <v>11810</v>
      </c>
      <c r="C10225">
        <f>0</f>
        <v>0</v>
      </c>
      <c r="D10225">
        <v>0.98320137584</v>
      </c>
      <c r="E10225">
        <v>0.82758620689655105</v>
      </c>
    </row>
    <row r="10226" spans="1:5">
      <c r="A10226" t="s">
        <v>11811</v>
      </c>
      <c r="B10226" t="s">
        <v>11812</v>
      </c>
      <c r="C10226">
        <v>0.160809787654</v>
      </c>
      <c r="D10226">
        <v>0.86670021809999997</v>
      </c>
      <c r="E10226">
        <v>11.8740629685157</v>
      </c>
    </row>
    <row r="10227" spans="1:5">
      <c r="A10227" t="s">
        <v>11811</v>
      </c>
      <c r="B10227" t="s">
        <v>11813</v>
      </c>
      <c r="C10227">
        <v>0</v>
      </c>
      <c r="D10227">
        <v>0.86670021809999997</v>
      </c>
      <c r="E10227">
        <v>11.8740629685157</v>
      </c>
    </row>
    <row r="10228" spans="1:5">
      <c r="A10228" t="s">
        <v>11811</v>
      </c>
      <c r="B10228" t="s">
        <v>11814</v>
      </c>
      <c r="C10228">
        <v>0</v>
      </c>
      <c r="D10228">
        <v>0.86670021809999997</v>
      </c>
      <c r="E10228">
        <v>11.8740629685157</v>
      </c>
    </row>
    <row r="10229" spans="1:5">
      <c r="A10229" t="s">
        <v>11811</v>
      </c>
      <c r="B10229" t="s">
        <v>11815</v>
      </c>
      <c r="C10229">
        <v>0.230838398158</v>
      </c>
      <c r="D10229">
        <v>0.86670021809999997</v>
      </c>
      <c r="E10229">
        <v>11.8740629685157</v>
      </c>
    </row>
    <row r="10230" spans="1:5">
      <c r="A10230" t="s">
        <v>11811</v>
      </c>
      <c r="B10230" t="s">
        <v>11816</v>
      </c>
      <c r="C10230">
        <v>0</v>
      </c>
      <c r="D10230">
        <v>0.86670021809999997</v>
      </c>
      <c r="E10230">
        <v>11.8740629685157</v>
      </c>
    </row>
    <row r="10231" spans="1:5">
      <c r="A10231" t="s">
        <v>11811</v>
      </c>
      <c r="B10231" t="s">
        <v>11817</v>
      </c>
      <c r="C10231">
        <v>0</v>
      </c>
      <c r="D10231">
        <v>0.86670021809999997</v>
      </c>
      <c r="E10231">
        <v>11.8740629685157</v>
      </c>
    </row>
    <row r="10232" spans="1:5">
      <c r="A10232" t="s">
        <v>11811</v>
      </c>
      <c r="B10232" t="s">
        <v>11818</v>
      </c>
      <c r="C10232">
        <v>0</v>
      </c>
      <c r="D10232">
        <v>0.86670021809999997</v>
      </c>
      <c r="E10232">
        <v>11.8740629685157</v>
      </c>
    </row>
    <row r="10233" spans="1:5">
      <c r="A10233" t="s">
        <v>11819</v>
      </c>
      <c r="B10233" t="s">
        <v>11820</v>
      </c>
      <c r="C10233">
        <f>0</f>
        <v>0</v>
      </c>
      <c r="D10233">
        <v>0.99900754164600003</v>
      </c>
      <c r="E10233">
        <v>7.3283358320839502</v>
      </c>
    </row>
    <row r="10234" spans="1:5">
      <c r="A10234" t="s">
        <v>11819</v>
      </c>
      <c r="B10234" t="s">
        <v>11821</v>
      </c>
      <c r="C10234">
        <v>0</v>
      </c>
      <c r="D10234">
        <v>0.99900754164600003</v>
      </c>
      <c r="E10234">
        <v>7.3283358320839502</v>
      </c>
    </row>
    <row r="10235" spans="1:5">
      <c r="A10235" t="s">
        <v>11819</v>
      </c>
      <c r="B10235" t="s">
        <v>11822</v>
      </c>
      <c r="C10235">
        <v>0</v>
      </c>
      <c r="D10235">
        <v>0.99900754164600003</v>
      </c>
      <c r="E10235">
        <v>7.3283358320839502</v>
      </c>
    </row>
    <row r="10236" spans="1:5">
      <c r="A10236" t="s">
        <v>11819</v>
      </c>
      <c r="B10236" t="s">
        <v>11823</v>
      </c>
      <c r="C10236">
        <f>0</f>
        <v>0</v>
      </c>
      <c r="D10236">
        <v>0.99900754164600003</v>
      </c>
      <c r="E10236">
        <v>7.3283358320839502</v>
      </c>
    </row>
    <row r="10237" spans="1:5">
      <c r="A10237" t="s">
        <v>11819</v>
      </c>
      <c r="B10237" t="s">
        <v>11824</v>
      </c>
      <c r="C10237">
        <v>0.36977786517099998</v>
      </c>
      <c r="D10237">
        <v>0.99900754164600003</v>
      </c>
      <c r="E10237">
        <v>7.3283358320839502</v>
      </c>
    </row>
    <row r="10238" spans="1:5">
      <c r="A10238" t="s">
        <v>11819</v>
      </c>
      <c r="B10238" t="s">
        <v>11825</v>
      </c>
      <c r="C10238">
        <f>0</f>
        <v>0</v>
      </c>
      <c r="D10238">
        <v>0.99900754164600003</v>
      </c>
      <c r="E10238">
        <v>7.3283358320839502</v>
      </c>
    </row>
    <row r="10239" spans="1:5">
      <c r="A10239" t="s">
        <v>11819</v>
      </c>
      <c r="B10239" t="s">
        <v>11826</v>
      </c>
      <c r="C10239">
        <v>0</v>
      </c>
      <c r="D10239">
        <v>0.99900754164600003</v>
      </c>
      <c r="E10239">
        <v>7.3283358320839502</v>
      </c>
    </row>
    <row r="10240" spans="1:5">
      <c r="A10240" t="s">
        <v>11819</v>
      </c>
      <c r="B10240" t="s">
        <v>11827</v>
      </c>
      <c r="C10240">
        <v>0</v>
      </c>
      <c r="D10240">
        <v>0.99900754164600003</v>
      </c>
      <c r="E10240">
        <v>7.3283358320839502</v>
      </c>
    </row>
    <row r="10241" spans="1:5">
      <c r="A10241" t="s">
        <v>11819</v>
      </c>
      <c r="B10241" t="s">
        <v>11828</v>
      </c>
      <c r="C10241">
        <v>0</v>
      </c>
      <c r="D10241">
        <v>0.99900754164600003</v>
      </c>
      <c r="E10241">
        <v>7.3283358320839502</v>
      </c>
    </row>
    <row r="10242" spans="1:5">
      <c r="A10242" t="s">
        <v>11819</v>
      </c>
      <c r="B10242" t="s">
        <v>11829</v>
      </c>
      <c r="C10242">
        <v>0</v>
      </c>
      <c r="D10242">
        <v>0.99900754164600003</v>
      </c>
      <c r="E10242">
        <v>7.3283358320839502</v>
      </c>
    </row>
    <row r="10243" spans="1:5">
      <c r="A10243" t="s">
        <v>11819</v>
      </c>
      <c r="B10243" t="s">
        <v>11830</v>
      </c>
      <c r="C10243">
        <f>0</f>
        <v>0</v>
      </c>
      <c r="D10243">
        <v>0.99900754164600003</v>
      </c>
      <c r="E10243">
        <v>7.3283358320839502</v>
      </c>
    </row>
    <row r="10244" spans="1:5">
      <c r="A10244" t="s">
        <v>11819</v>
      </c>
      <c r="B10244" t="s">
        <v>11831</v>
      </c>
      <c r="C10244">
        <v>0</v>
      </c>
      <c r="D10244">
        <v>0.99900754164600003</v>
      </c>
      <c r="E10244">
        <v>7.3283358320839502</v>
      </c>
    </row>
    <row r="10245" spans="1:5">
      <c r="A10245" t="s">
        <v>11819</v>
      </c>
      <c r="B10245" t="s">
        <v>11832</v>
      </c>
      <c r="C10245">
        <v>0</v>
      </c>
      <c r="D10245">
        <v>0.99900754164600003</v>
      </c>
      <c r="E10245">
        <v>7.3283358320839502</v>
      </c>
    </row>
    <row r="10246" spans="1:5">
      <c r="A10246" t="s">
        <v>11819</v>
      </c>
      <c r="B10246" t="s">
        <v>11833</v>
      </c>
      <c r="C10246">
        <f>0</f>
        <v>0</v>
      </c>
      <c r="D10246">
        <v>0.99900754164600003</v>
      </c>
      <c r="E10246">
        <v>7.3283358320839502</v>
      </c>
    </row>
    <row r="10247" spans="1:5">
      <c r="A10247" t="s">
        <v>11819</v>
      </c>
      <c r="B10247" t="s">
        <v>11834</v>
      </c>
      <c r="C10247">
        <v>0</v>
      </c>
      <c r="D10247">
        <v>0.99900754164600003</v>
      </c>
      <c r="E10247">
        <v>7.3283358320839502</v>
      </c>
    </row>
    <row r="10248" spans="1:5">
      <c r="A10248" t="s">
        <v>11819</v>
      </c>
      <c r="B10248" t="s">
        <v>11835</v>
      </c>
      <c r="C10248">
        <f>0</f>
        <v>0</v>
      </c>
      <c r="D10248">
        <v>0.99900754164600003</v>
      </c>
      <c r="E10248">
        <v>7.3283358320839502</v>
      </c>
    </row>
    <row r="10249" spans="1:5">
      <c r="A10249" t="s">
        <v>11819</v>
      </c>
      <c r="B10249" t="s">
        <v>11836</v>
      </c>
      <c r="C10249">
        <v>0</v>
      </c>
      <c r="D10249">
        <v>0.99900754164600003</v>
      </c>
      <c r="E10249">
        <v>7.3283358320839502</v>
      </c>
    </row>
    <row r="10250" spans="1:5">
      <c r="A10250" t="s">
        <v>11819</v>
      </c>
      <c r="B10250" t="s">
        <v>11837</v>
      </c>
      <c r="C10250">
        <f>0</f>
        <v>0</v>
      </c>
      <c r="D10250">
        <v>0.99900754164600003</v>
      </c>
      <c r="E10250">
        <v>7.3283358320839502</v>
      </c>
    </row>
    <row r="10251" spans="1:5">
      <c r="A10251" t="s">
        <v>11819</v>
      </c>
      <c r="B10251" t="s">
        <v>11838</v>
      </c>
      <c r="C10251">
        <v>0</v>
      </c>
      <c r="D10251">
        <v>0.99900754164600003</v>
      </c>
      <c r="E10251">
        <v>7.3283358320839502</v>
      </c>
    </row>
    <row r="10252" spans="1:5">
      <c r="A10252" t="s">
        <v>11819</v>
      </c>
      <c r="B10252" t="s">
        <v>11839</v>
      </c>
      <c r="C10252">
        <v>0</v>
      </c>
      <c r="D10252">
        <v>0.99900754164600003</v>
      </c>
      <c r="E10252">
        <v>7.3283358320839502</v>
      </c>
    </row>
    <row r="10253" spans="1:5">
      <c r="A10253" t="s">
        <v>11819</v>
      </c>
      <c r="B10253" t="s">
        <v>11840</v>
      </c>
      <c r="C10253">
        <f>0</f>
        <v>0</v>
      </c>
      <c r="D10253">
        <v>0.99900754164600003</v>
      </c>
      <c r="E10253">
        <v>7.3283358320839502</v>
      </c>
    </row>
    <row r="10254" spans="1:5">
      <c r="A10254" t="s">
        <v>11819</v>
      </c>
      <c r="B10254" t="s">
        <v>11841</v>
      </c>
      <c r="C10254">
        <v>0</v>
      </c>
      <c r="D10254">
        <v>0.99900754164600003</v>
      </c>
      <c r="E10254">
        <v>7.3283358320839502</v>
      </c>
    </row>
    <row r="10255" spans="1:5">
      <c r="A10255" t="s">
        <v>11819</v>
      </c>
      <c r="B10255" t="s">
        <v>11842</v>
      </c>
      <c r="C10255">
        <v>0</v>
      </c>
      <c r="D10255">
        <v>0.99900754164600003</v>
      </c>
      <c r="E10255">
        <v>7.3283358320839502</v>
      </c>
    </row>
    <row r="10256" spans="1:5">
      <c r="A10256" t="s">
        <v>11819</v>
      </c>
      <c r="B10256" t="s">
        <v>11843</v>
      </c>
      <c r="C10256">
        <v>0.21033411577899999</v>
      </c>
      <c r="D10256">
        <v>0.99900754164600003</v>
      </c>
      <c r="E10256">
        <v>7.3283358320839502</v>
      </c>
    </row>
    <row r="10257" spans="1:5">
      <c r="A10257" t="s">
        <v>11819</v>
      </c>
      <c r="B10257" t="s">
        <v>11844</v>
      </c>
      <c r="C10257">
        <v>0</v>
      </c>
      <c r="D10257">
        <v>0.99900754164600003</v>
      </c>
      <c r="E10257">
        <v>7.3283358320839502</v>
      </c>
    </row>
    <row r="10258" spans="1:5">
      <c r="A10258" t="s">
        <v>11819</v>
      </c>
      <c r="B10258" t="s">
        <v>11845</v>
      </c>
      <c r="C10258">
        <f>0</f>
        <v>0</v>
      </c>
      <c r="D10258">
        <v>0.99900754164600003</v>
      </c>
      <c r="E10258">
        <v>7.3283358320839502</v>
      </c>
    </row>
    <row r="10259" spans="1:5">
      <c r="A10259" t="s">
        <v>11819</v>
      </c>
      <c r="B10259" t="s">
        <v>11846</v>
      </c>
      <c r="C10259">
        <f>0</f>
        <v>0</v>
      </c>
      <c r="D10259">
        <v>0.99900754164600003</v>
      </c>
      <c r="E10259">
        <v>7.3283358320839502</v>
      </c>
    </row>
    <row r="10260" spans="1:5">
      <c r="A10260" t="s">
        <v>11847</v>
      </c>
      <c r="B10260" t="s">
        <v>11848</v>
      </c>
      <c r="C10260">
        <f>0</f>
        <v>0</v>
      </c>
      <c r="D10260">
        <v>0.97579027999599999</v>
      </c>
      <c r="E10260">
        <v>10.5547226386806</v>
      </c>
    </row>
    <row r="10261" spans="1:5">
      <c r="A10261" t="s">
        <v>11847</v>
      </c>
      <c r="B10261" t="s">
        <v>11849</v>
      </c>
      <c r="C10261">
        <f>0</f>
        <v>0</v>
      </c>
      <c r="D10261">
        <v>0.97579027999599999</v>
      </c>
      <c r="E10261">
        <v>10.5547226386806</v>
      </c>
    </row>
    <row r="10262" spans="1:5">
      <c r="A10262" t="s">
        <v>11847</v>
      </c>
      <c r="B10262" t="s">
        <v>11850</v>
      </c>
      <c r="C10262">
        <f>0</f>
        <v>0</v>
      </c>
      <c r="D10262">
        <v>0.97579027999599999</v>
      </c>
      <c r="E10262">
        <v>10.5547226386806</v>
      </c>
    </row>
    <row r="10263" spans="1:5">
      <c r="A10263" t="s">
        <v>11847</v>
      </c>
      <c r="B10263" t="s">
        <v>11851</v>
      </c>
      <c r="C10263">
        <f>0</f>
        <v>0</v>
      </c>
      <c r="D10263">
        <v>0.97579027999599999</v>
      </c>
      <c r="E10263">
        <v>10.5547226386806</v>
      </c>
    </row>
    <row r="10264" spans="1:5">
      <c r="A10264" t="s">
        <v>11847</v>
      </c>
      <c r="B10264" t="s">
        <v>11852</v>
      </c>
      <c r="C10264">
        <f>0</f>
        <v>0</v>
      </c>
      <c r="D10264">
        <v>0.97579027999599999</v>
      </c>
      <c r="E10264">
        <v>10.5547226386806</v>
      </c>
    </row>
    <row r="10265" spans="1:5">
      <c r="A10265" t="s">
        <v>11847</v>
      </c>
      <c r="B10265" t="s">
        <v>11853</v>
      </c>
      <c r="C10265">
        <f>0</f>
        <v>0</v>
      </c>
      <c r="D10265">
        <v>0.97579027999599999</v>
      </c>
      <c r="E10265">
        <v>10.5547226386806</v>
      </c>
    </row>
    <row r="10266" spans="1:5">
      <c r="A10266" t="s">
        <v>11847</v>
      </c>
      <c r="B10266" t="s">
        <v>11854</v>
      </c>
      <c r="C10266">
        <f>0</f>
        <v>0</v>
      </c>
      <c r="D10266">
        <v>0.97579027999599999</v>
      </c>
      <c r="E10266">
        <v>10.5547226386806</v>
      </c>
    </row>
    <row r="10267" spans="1:5">
      <c r="A10267" t="s">
        <v>11847</v>
      </c>
      <c r="B10267" t="s">
        <v>11855</v>
      </c>
      <c r="C10267">
        <f>0</f>
        <v>0</v>
      </c>
      <c r="D10267">
        <v>0.97579027999599999</v>
      </c>
      <c r="E10267">
        <v>10.5547226386806</v>
      </c>
    </row>
    <row r="10268" spans="1:5">
      <c r="A10268" t="s">
        <v>11847</v>
      </c>
      <c r="B10268" t="s">
        <v>11856</v>
      </c>
      <c r="C10268">
        <f>0.503503797726</f>
        <v>0.50350379772599996</v>
      </c>
      <c r="D10268">
        <v>0.97579027999599999</v>
      </c>
      <c r="E10268">
        <v>10.5547226386806</v>
      </c>
    </row>
    <row r="10269" spans="1:5">
      <c r="A10269" t="s">
        <v>11847</v>
      </c>
      <c r="B10269" t="s">
        <v>11857</v>
      </c>
      <c r="C10269">
        <f>0</f>
        <v>0</v>
      </c>
      <c r="D10269">
        <v>0.97579027999599999</v>
      </c>
      <c r="E10269">
        <v>10.5547226386806</v>
      </c>
    </row>
    <row r="10270" spans="1:5">
      <c r="A10270" t="s">
        <v>11847</v>
      </c>
      <c r="B10270" t="s">
        <v>11858</v>
      </c>
      <c r="C10270">
        <f>0</f>
        <v>0</v>
      </c>
      <c r="D10270">
        <v>0.97579027999599999</v>
      </c>
      <c r="E10270">
        <v>10.5547226386806</v>
      </c>
    </row>
    <row r="10271" spans="1:5">
      <c r="A10271" t="s">
        <v>11859</v>
      </c>
      <c r="B10271" t="s">
        <v>11860</v>
      </c>
      <c r="C10271">
        <v>0.106662441991</v>
      </c>
      <c r="D10271">
        <v>0.90417409880800004</v>
      </c>
      <c r="E10271">
        <v>5.9370314842578704</v>
      </c>
    </row>
    <row r="10272" spans="1:5">
      <c r="A10272" t="s">
        <v>11859</v>
      </c>
      <c r="B10272" t="s">
        <v>11861</v>
      </c>
      <c r="C10272">
        <v>8.0074139430899999E-2</v>
      </c>
      <c r="D10272">
        <v>0.90417409880800004</v>
      </c>
      <c r="E10272">
        <v>5.9370314842578704</v>
      </c>
    </row>
    <row r="10273" spans="1:5">
      <c r="A10273" t="s">
        <v>11862</v>
      </c>
      <c r="B10273" t="s">
        <v>11863</v>
      </c>
      <c r="C10273">
        <v>0</v>
      </c>
      <c r="D10273">
        <v>0.97529378704299996</v>
      </c>
      <c r="E10273">
        <v>1.16341829085457</v>
      </c>
    </row>
    <row r="10274" spans="1:5">
      <c r="A10274" t="s">
        <v>11862</v>
      </c>
      <c r="B10274" t="s">
        <v>11864</v>
      </c>
      <c r="C10274">
        <v>0</v>
      </c>
      <c r="D10274">
        <v>0.97529378704299996</v>
      </c>
      <c r="E10274">
        <v>1.16341829085457</v>
      </c>
    </row>
    <row r="10275" spans="1:5">
      <c r="A10275" t="s">
        <v>11862</v>
      </c>
      <c r="B10275" t="s">
        <v>11865</v>
      </c>
      <c r="C10275">
        <v>0</v>
      </c>
      <c r="D10275">
        <v>0.97529378704299996</v>
      </c>
      <c r="E10275">
        <v>1.16341829085457</v>
      </c>
    </row>
    <row r="10276" spans="1:5">
      <c r="A10276" t="s">
        <v>11862</v>
      </c>
      <c r="B10276" t="s">
        <v>11866</v>
      </c>
      <c r="C10276">
        <v>0</v>
      </c>
      <c r="D10276">
        <v>0.97529378704299996</v>
      </c>
      <c r="E10276">
        <v>1.16341829085457</v>
      </c>
    </row>
    <row r="10277" spans="1:5">
      <c r="A10277" t="s">
        <v>11862</v>
      </c>
      <c r="B10277" t="s">
        <v>11867</v>
      </c>
      <c r="C10277">
        <f>0</f>
        <v>0</v>
      </c>
      <c r="D10277">
        <v>0.97529378704299996</v>
      </c>
      <c r="E10277">
        <v>1.16341829085457</v>
      </c>
    </row>
    <row r="10278" spans="1:5">
      <c r="A10278" t="s">
        <v>11862</v>
      </c>
      <c r="B10278" t="s">
        <v>11868</v>
      </c>
      <c r="C10278">
        <v>0.45949890823599998</v>
      </c>
      <c r="D10278">
        <v>0.97529378704299996</v>
      </c>
      <c r="E10278">
        <v>1.16341829085457</v>
      </c>
    </row>
    <row r="10279" spans="1:5">
      <c r="A10279" t="s">
        <v>11862</v>
      </c>
      <c r="B10279" t="s">
        <v>11869</v>
      </c>
      <c r="C10279">
        <v>0</v>
      </c>
      <c r="D10279">
        <v>0.97529378704299996</v>
      </c>
      <c r="E10279">
        <v>1.16341829085457</v>
      </c>
    </row>
    <row r="10280" spans="1:5">
      <c r="A10280" t="s">
        <v>11862</v>
      </c>
      <c r="B10280" t="s">
        <v>11870</v>
      </c>
      <c r="C10280">
        <v>0</v>
      </c>
      <c r="D10280">
        <v>0.97529378704299996</v>
      </c>
      <c r="E10280">
        <v>1.16341829085457</v>
      </c>
    </row>
    <row r="10281" spans="1:5">
      <c r="A10281" t="s">
        <v>11862</v>
      </c>
      <c r="B10281" t="s">
        <v>11871</v>
      </c>
      <c r="C10281">
        <v>0</v>
      </c>
      <c r="D10281">
        <v>0.97529378704299996</v>
      </c>
      <c r="E10281">
        <v>1.16341829085457</v>
      </c>
    </row>
    <row r="10282" spans="1:5">
      <c r="A10282" t="s">
        <v>11862</v>
      </c>
      <c r="B10282" t="s">
        <v>11872</v>
      </c>
      <c r="C10282">
        <v>0</v>
      </c>
      <c r="D10282">
        <v>0.97529378704299996</v>
      </c>
      <c r="E10282">
        <v>1.16341829085457</v>
      </c>
    </row>
    <row r="10283" spans="1:5">
      <c r="A10283" t="s">
        <v>11862</v>
      </c>
      <c r="B10283" t="s">
        <v>11873</v>
      </c>
      <c r="C10283">
        <f>0</f>
        <v>0</v>
      </c>
      <c r="D10283">
        <v>0.97529378704299996</v>
      </c>
      <c r="E10283">
        <v>1.16341829085457</v>
      </c>
    </row>
    <row r="10284" spans="1:5">
      <c r="A10284" t="s">
        <v>11862</v>
      </c>
      <c r="B10284" t="s">
        <v>11874</v>
      </c>
      <c r="C10284">
        <v>5.11567242786E-3</v>
      </c>
      <c r="D10284">
        <v>0.97529378704299996</v>
      </c>
      <c r="E10284">
        <v>1.16341829085457</v>
      </c>
    </row>
    <row r="10285" spans="1:5">
      <c r="A10285" t="s">
        <v>11875</v>
      </c>
      <c r="B10285" t="s">
        <v>11876</v>
      </c>
      <c r="C10285">
        <v>0</v>
      </c>
      <c r="D10285" t="s">
        <v>106</v>
      </c>
      <c r="E10285">
        <v>4.58170914542728</v>
      </c>
    </row>
    <row r="10286" spans="1:5">
      <c r="A10286" t="s">
        <v>11875</v>
      </c>
      <c r="B10286" t="s">
        <v>11877</v>
      </c>
      <c r="C10286">
        <v>0</v>
      </c>
      <c r="D10286" t="s">
        <v>106</v>
      </c>
      <c r="E10286">
        <v>4.58170914542728</v>
      </c>
    </row>
    <row r="10287" spans="1:5">
      <c r="A10287" t="s">
        <v>11875</v>
      </c>
      <c r="B10287" t="s">
        <v>11878</v>
      </c>
      <c r="C10287">
        <v>0</v>
      </c>
      <c r="D10287" t="s">
        <v>106</v>
      </c>
      <c r="E10287">
        <v>4.58170914542728</v>
      </c>
    </row>
    <row r="10288" spans="1:5">
      <c r="A10288" t="s">
        <v>11879</v>
      </c>
      <c r="B10288" t="s">
        <v>11880</v>
      </c>
      <c r="C10288">
        <v>0</v>
      </c>
      <c r="D10288" t="s">
        <v>106</v>
      </c>
      <c r="E10288">
        <v>1.7631184407796101</v>
      </c>
    </row>
    <row r="10289" spans="1:5">
      <c r="A10289" t="s">
        <v>11879</v>
      </c>
      <c r="B10289" t="s">
        <v>11881</v>
      </c>
      <c r="C10289">
        <v>0</v>
      </c>
      <c r="D10289" t="s">
        <v>106</v>
      </c>
      <c r="E10289">
        <v>1.7631184407796101</v>
      </c>
    </row>
    <row r="10290" spans="1:5">
      <c r="A10290" t="s">
        <v>11882</v>
      </c>
      <c r="B10290" t="s">
        <v>11883</v>
      </c>
      <c r="C10290">
        <v>1.58590287952E-2</v>
      </c>
      <c r="D10290">
        <v>0.90888551914100002</v>
      </c>
      <c r="E10290">
        <v>1.16341829085457</v>
      </c>
    </row>
    <row r="10291" spans="1:5">
      <c r="A10291" t="s">
        <v>11882</v>
      </c>
      <c r="B10291" t="s">
        <v>11884</v>
      </c>
      <c r="C10291">
        <f>0</f>
        <v>0</v>
      </c>
      <c r="D10291">
        <v>0.90888551914100002</v>
      </c>
      <c r="E10291">
        <v>1.16341829085457</v>
      </c>
    </row>
    <row r="10292" spans="1:5">
      <c r="A10292" t="s">
        <v>11882</v>
      </c>
      <c r="B10292" t="s">
        <v>11885</v>
      </c>
      <c r="C10292">
        <v>0.17910730402</v>
      </c>
      <c r="D10292">
        <v>0.90888551914100002</v>
      </c>
      <c r="E10292">
        <v>1.16341829085457</v>
      </c>
    </row>
    <row r="10293" spans="1:5">
      <c r="A10293" t="s">
        <v>11882</v>
      </c>
      <c r="B10293" t="s">
        <v>11886</v>
      </c>
      <c r="C10293">
        <v>0</v>
      </c>
      <c r="D10293">
        <v>0.90888551914100002</v>
      </c>
      <c r="E10293">
        <v>1.16341829085457</v>
      </c>
    </row>
    <row r="10294" spans="1:5">
      <c r="A10294" t="s">
        <v>11887</v>
      </c>
      <c r="B10294" t="s">
        <v>11888</v>
      </c>
      <c r="C10294">
        <v>0</v>
      </c>
      <c r="D10294" t="s">
        <v>106</v>
      </c>
      <c r="E10294">
        <v>24</v>
      </c>
    </row>
    <row r="10295" spans="1:5">
      <c r="A10295" t="s">
        <v>11887</v>
      </c>
      <c r="B10295" t="s">
        <v>11889</v>
      </c>
      <c r="C10295">
        <v>9.55663903196E-2</v>
      </c>
      <c r="D10295" t="s">
        <v>106</v>
      </c>
      <c r="E10295">
        <v>24</v>
      </c>
    </row>
    <row r="10296" spans="1:5">
      <c r="A10296" t="s">
        <v>11887</v>
      </c>
      <c r="B10296" t="s">
        <v>11890</v>
      </c>
      <c r="C10296">
        <v>0</v>
      </c>
      <c r="D10296" t="s">
        <v>106</v>
      </c>
      <c r="E10296">
        <v>24</v>
      </c>
    </row>
    <row r="10297" spans="1:5">
      <c r="A10297" t="s">
        <v>11887</v>
      </c>
      <c r="B10297" t="s">
        <v>11891</v>
      </c>
      <c r="C10297">
        <v>3.4046599408300002E-2</v>
      </c>
      <c r="D10297" t="s">
        <v>106</v>
      </c>
      <c r="E10297">
        <v>24</v>
      </c>
    </row>
    <row r="10298" spans="1:5">
      <c r="A10298" t="s">
        <v>11887</v>
      </c>
      <c r="B10298" t="s">
        <v>11892</v>
      </c>
      <c r="C10298">
        <v>0</v>
      </c>
      <c r="D10298" t="s">
        <v>106</v>
      </c>
      <c r="E10298">
        <v>24</v>
      </c>
    </row>
    <row r="10299" spans="1:5">
      <c r="A10299" t="s">
        <v>11887</v>
      </c>
      <c r="B10299" t="s">
        <v>11893</v>
      </c>
      <c r="C10299">
        <v>0</v>
      </c>
      <c r="D10299" t="s">
        <v>106</v>
      </c>
      <c r="E10299">
        <v>24</v>
      </c>
    </row>
    <row r="10300" spans="1:5">
      <c r="A10300" t="s">
        <v>11894</v>
      </c>
      <c r="B10300" t="s">
        <v>11895</v>
      </c>
      <c r="C10300">
        <f>0</f>
        <v>0</v>
      </c>
      <c r="D10300" t="s">
        <v>106</v>
      </c>
      <c r="E10300">
        <v>24</v>
      </c>
    </row>
    <row r="10301" spans="1:5">
      <c r="A10301" t="s">
        <v>11894</v>
      </c>
      <c r="B10301" t="s">
        <v>11896</v>
      </c>
      <c r="C10301">
        <v>0</v>
      </c>
      <c r="D10301" t="s">
        <v>106</v>
      </c>
      <c r="E10301">
        <v>24</v>
      </c>
    </row>
    <row r="10302" spans="1:5">
      <c r="A10302" t="s">
        <v>11894</v>
      </c>
      <c r="B10302" t="s">
        <v>11897</v>
      </c>
      <c r="C10302">
        <v>0</v>
      </c>
      <c r="D10302" t="s">
        <v>106</v>
      </c>
      <c r="E10302">
        <v>24</v>
      </c>
    </row>
    <row r="10303" spans="1:5">
      <c r="A10303" t="s">
        <v>11894</v>
      </c>
      <c r="B10303" t="s">
        <v>11898</v>
      </c>
      <c r="C10303">
        <f>0</f>
        <v>0</v>
      </c>
      <c r="D10303" t="s">
        <v>106</v>
      </c>
      <c r="E10303">
        <v>24</v>
      </c>
    </row>
    <row r="10304" spans="1:5">
      <c r="A10304" t="s">
        <v>11899</v>
      </c>
      <c r="B10304" t="s">
        <v>11900</v>
      </c>
      <c r="C10304">
        <v>0</v>
      </c>
      <c r="D10304">
        <v>0.98271245503399995</v>
      </c>
      <c r="E10304">
        <v>11.202398800599701</v>
      </c>
    </row>
    <row r="10305" spans="1:5">
      <c r="A10305" t="s">
        <v>11899</v>
      </c>
      <c r="B10305" t="s">
        <v>11901</v>
      </c>
      <c r="C10305">
        <v>0</v>
      </c>
      <c r="D10305">
        <v>0.98271245503399995</v>
      </c>
      <c r="E10305">
        <v>11.202398800599701</v>
      </c>
    </row>
    <row r="10306" spans="1:5">
      <c r="A10306" t="s">
        <v>11899</v>
      </c>
      <c r="B10306" t="s">
        <v>11902</v>
      </c>
      <c r="C10306">
        <v>0</v>
      </c>
      <c r="D10306">
        <v>0.98271245503399995</v>
      </c>
      <c r="E10306">
        <v>11.202398800599701</v>
      </c>
    </row>
    <row r="10307" spans="1:5">
      <c r="A10307" t="s">
        <v>11899</v>
      </c>
      <c r="B10307" t="s">
        <v>11903</v>
      </c>
      <c r="C10307">
        <f>0</f>
        <v>0</v>
      </c>
      <c r="D10307">
        <v>0.98271245503399995</v>
      </c>
      <c r="E10307">
        <v>11.202398800599701</v>
      </c>
    </row>
    <row r="10308" spans="1:5">
      <c r="A10308" t="s">
        <v>11899</v>
      </c>
      <c r="B10308" t="s">
        <v>11904</v>
      </c>
      <c r="C10308">
        <f>0</f>
        <v>0</v>
      </c>
      <c r="D10308">
        <v>0.98271245503399995</v>
      </c>
      <c r="E10308">
        <v>11.202398800599701</v>
      </c>
    </row>
    <row r="10309" spans="1:5">
      <c r="A10309" t="s">
        <v>11899</v>
      </c>
      <c r="B10309" t="s">
        <v>11905</v>
      </c>
      <c r="C10309">
        <f>0</f>
        <v>0</v>
      </c>
      <c r="D10309">
        <v>0.98271245503399995</v>
      </c>
      <c r="E10309">
        <v>11.202398800599701</v>
      </c>
    </row>
    <row r="10310" spans="1:5">
      <c r="A10310" t="s">
        <v>11899</v>
      </c>
      <c r="B10310" t="s">
        <v>11906</v>
      </c>
      <c r="C10310">
        <v>0.12858546472400001</v>
      </c>
      <c r="D10310">
        <v>0.98271245503399995</v>
      </c>
      <c r="E10310">
        <v>11.202398800599701</v>
      </c>
    </row>
    <row r="10311" spans="1:5">
      <c r="A10311" t="s">
        <v>11899</v>
      </c>
      <c r="B10311" t="s">
        <v>11907</v>
      </c>
      <c r="C10311">
        <v>0</v>
      </c>
      <c r="D10311">
        <v>0.98271245503399995</v>
      </c>
      <c r="E10311">
        <v>11.202398800599701</v>
      </c>
    </row>
    <row r="10312" spans="1:5">
      <c r="A10312" t="s">
        <v>11899</v>
      </c>
      <c r="B10312" t="s">
        <v>11908</v>
      </c>
      <c r="C10312">
        <v>0</v>
      </c>
      <c r="D10312">
        <v>0.98271245503399995</v>
      </c>
      <c r="E10312">
        <v>11.202398800599701</v>
      </c>
    </row>
    <row r="10313" spans="1:5">
      <c r="A10313" t="s">
        <v>11899</v>
      </c>
      <c r="B10313" t="s">
        <v>11909</v>
      </c>
      <c r="C10313">
        <f>0</f>
        <v>0</v>
      </c>
      <c r="D10313">
        <v>0.98271245503399995</v>
      </c>
      <c r="E10313">
        <v>11.202398800599701</v>
      </c>
    </row>
    <row r="10314" spans="1:5">
      <c r="A10314" t="s">
        <v>11899</v>
      </c>
      <c r="B10314" t="s">
        <v>11910</v>
      </c>
      <c r="C10314">
        <f>0.0651796991564</f>
        <v>6.5179699156399998E-2</v>
      </c>
      <c r="D10314">
        <v>0.98271245503399995</v>
      </c>
      <c r="E10314">
        <v>11.202398800599701</v>
      </c>
    </row>
    <row r="10315" spans="1:5">
      <c r="A10315" t="s">
        <v>11899</v>
      </c>
      <c r="B10315" t="s">
        <v>11911</v>
      </c>
      <c r="C10315">
        <v>0</v>
      </c>
      <c r="D10315">
        <v>0.98271245503399995</v>
      </c>
      <c r="E10315">
        <v>11.202398800599701</v>
      </c>
    </row>
    <row r="10316" spans="1:5">
      <c r="A10316" t="s">
        <v>11912</v>
      </c>
      <c r="B10316" t="s">
        <v>11913</v>
      </c>
      <c r="C10316">
        <v>0</v>
      </c>
      <c r="D10316">
        <v>0.75366665295699997</v>
      </c>
      <c r="E10316">
        <v>4.58170914542728</v>
      </c>
    </row>
    <row r="10317" spans="1:5">
      <c r="A10317" t="s">
        <v>11912</v>
      </c>
      <c r="B10317" t="s">
        <v>11914</v>
      </c>
      <c r="C10317">
        <v>0</v>
      </c>
      <c r="D10317">
        <v>0.75366665295699997</v>
      </c>
      <c r="E10317">
        <v>4.58170914542728</v>
      </c>
    </row>
    <row r="10318" spans="1:5">
      <c r="A10318" t="s">
        <v>11912</v>
      </c>
      <c r="B10318" t="s">
        <v>11915</v>
      </c>
      <c r="C10318">
        <v>0</v>
      </c>
      <c r="D10318">
        <v>0.75366665295699997</v>
      </c>
      <c r="E10318">
        <v>4.58170914542728</v>
      </c>
    </row>
    <row r="10319" spans="1:5">
      <c r="A10319" t="s">
        <v>11912</v>
      </c>
      <c r="B10319" t="s">
        <v>11916</v>
      </c>
      <c r="C10319">
        <f>0</f>
        <v>0</v>
      </c>
      <c r="D10319">
        <v>0.75366665295699997</v>
      </c>
      <c r="E10319">
        <v>4.58170914542728</v>
      </c>
    </row>
    <row r="10320" spans="1:5">
      <c r="A10320" t="s">
        <v>11912</v>
      </c>
      <c r="B10320" t="s">
        <v>11917</v>
      </c>
      <c r="C10320">
        <v>0</v>
      </c>
      <c r="D10320">
        <v>0.75366665295699997</v>
      </c>
      <c r="E10320">
        <v>4.58170914542728</v>
      </c>
    </row>
    <row r="10321" spans="1:5">
      <c r="A10321" t="s">
        <v>11912</v>
      </c>
      <c r="B10321" t="s">
        <v>11918</v>
      </c>
      <c r="C10321">
        <f>0</f>
        <v>0</v>
      </c>
      <c r="D10321">
        <v>0.75366665295699997</v>
      </c>
      <c r="E10321">
        <v>4.58170914542728</v>
      </c>
    </row>
    <row r="10322" spans="1:5">
      <c r="A10322" t="s">
        <v>11912</v>
      </c>
      <c r="B10322" t="s">
        <v>11919</v>
      </c>
      <c r="C10322">
        <v>0</v>
      </c>
      <c r="D10322">
        <v>0.75366665295699997</v>
      </c>
      <c r="E10322">
        <v>4.58170914542728</v>
      </c>
    </row>
    <row r="10323" spans="1:5">
      <c r="A10323" t="s">
        <v>11920</v>
      </c>
      <c r="B10323" t="s">
        <v>11921</v>
      </c>
      <c r="C10323">
        <v>0.26692368349899998</v>
      </c>
      <c r="D10323">
        <v>0.93349874741799999</v>
      </c>
      <c r="E10323">
        <v>1.6311844077961</v>
      </c>
    </row>
    <row r="10324" spans="1:5">
      <c r="A10324" t="s">
        <v>11920</v>
      </c>
      <c r="B10324" t="s">
        <v>11922</v>
      </c>
      <c r="C10324">
        <v>0</v>
      </c>
      <c r="D10324">
        <v>0.93349874741799999</v>
      </c>
      <c r="E10324">
        <v>1.6311844077961</v>
      </c>
    </row>
    <row r="10325" spans="1:5">
      <c r="A10325" t="s">
        <v>11920</v>
      </c>
      <c r="B10325" t="s">
        <v>11923</v>
      </c>
      <c r="C10325">
        <f>0</f>
        <v>0</v>
      </c>
      <c r="D10325">
        <v>0.93349874741799999</v>
      </c>
      <c r="E10325">
        <v>1.6311844077961</v>
      </c>
    </row>
    <row r="10326" spans="1:5">
      <c r="A10326" t="s">
        <v>11920</v>
      </c>
      <c r="B10326" t="s">
        <v>11924</v>
      </c>
      <c r="C10326">
        <f>0</f>
        <v>0</v>
      </c>
      <c r="D10326">
        <v>0.93349874741799999</v>
      </c>
      <c r="E10326">
        <v>1.6311844077961</v>
      </c>
    </row>
    <row r="10327" spans="1:5">
      <c r="A10327" t="s">
        <v>11920</v>
      </c>
      <c r="B10327" t="s">
        <v>11925</v>
      </c>
      <c r="C10327">
        <v>0</v>
      </c>
      <c r="D10327">
        <v>0.93349874741799999</v>
      </c>
      <c r="E10327">
        <v>1.6311844077961</v>
      </c>
    </row>
    <row r="10328" spans="1:5">
      <c r="A10328" t="s">
        <v>11920</v>
      </c>
      <c r="B10328" t="s">
        <v>11926</v>
      </c>
      <c r="C10328">
        <v>0</v>
      </c>
      <c r="D10328">
        <v>0.93349874741799999</v>
      </c>
      <c r="E10328">
        <v>1.6311844077961</v>
      </c>
    </row>
    <row r="10329" spans="1:5">
      <c r="A10329" t="s">
        <v>11920</v>
      </c>
      <c r="B10329" t="s">
        <v>11927</v>
      </c>
      <c r="C10329">
        <v>1.60803909279E-2</v>
      </c>
      <c r="D10329">
        <v>0.93349874741799999</v>
      </c>
      <c r="E10329">
        <v>1.6311844077961</v>
      </c>
    </row>
    <row r="10330" spans="1:5">
      <c r="A10330" t="s">
        <v>11920</v>
      </c>
      <c r="B10330" t="s">
        <v>11928</v>
      </c>
      <c r="C10330">
        <f>0</f>
        <v>0</v>
      </c>
      <c r="D10330">
        <v>0.93349874741799999</v>
      </c>
      <c r="E10330">
        <v>1.6311844077961</v>
      </c>
    </row>
    <row r="10331" spans="1:5">
      <c r="A10331" t="s">
        <v>11929</v>
      </c>
      <c r="B10331" t="s">
        <v>11930</v>
      </c>
      <c r="C10331">
        <v>0</v>
      </c>
      <c r="D10331">
        <v>0.99533597443699995</v>
      </c>
      <c r="E10331">
        <v>5.9370314842578704</v>
      </c>
    </row>
    <row r="10332" spans="1:5">
      <c r="A10332" t="s">
        <v>11929</v>
      </c>
      <c r="B10332" t="s">
        <v>11931</v>
      </c>
      <c r="C10332">
        <v>0</v>
      </c>
      <c r="D10332">
        <v>0.99533597443699995</v>
      </c>
      <c r="E10332">
        <v>5.9370314842578704</v>
      </c>
    </row>
    <row r="10333" spans="1:5">
      <c r="A10333" t="s">
        <v>11929</v>
      </c>
      <c r="B10333" t="s">
        <v>11932</v>
      </c>
      <c r="C10333">
        <v>0</v>
      </c>
      <c r="D10333">
        <v>0.99533597443699995</v>
      </c>
      <c r="E10333">
        <v>5.9370314842578704</v>
      </c>
    </row>
    <row r="10334" spans="1:5">
      <c r="A10334" t="s">
        <v>11929</v>
      </c>
      <c r="B10334" t="s">
        <v>11933</v>
      </c>
      <c r="C10334">
        <v>0</v>
      </c>
      <c r="D10334">
        <v>0.99533597443699995</v>
      </c>
      <c r="E10334">
        <v>5.9370314842578704</v>
      </c>
    </row>
    <row r="10335" spans="1:5">
      <c r="A10335" t="s">
        <v>11929</v>
      </c>
      <c r="B10335" t="s">
        <v>11934</v>
      </c>
      <c r="C10335">
        <v>0</v>
      </c>
      <c r="D10335">
        <v>0.99533597443699995</v>
      </c>
      <c r="E10335">
        <v>5.9370314842578704</v>
      </c>
    </row>
    <row r="10336" spans="1:5">
      <c r="A10336" t="s">
        <v>11929</v>
      </c>
      <c r="B10336" t="s">
        <v>11935</v>
      </c>
      <c r="C10336">
        <v>0</v>
      </c>
      <c r="D10336">
        <v>0.99533597443699995</v>
      </c>
      <c r="E10336">
        <v>5.9370314842578704</v>
      </c>
    </row>
    <row r="10337" spans="1:5">
      <c r="A10337" t="s">
        <v>11929</v>
      </c>
      <c r="B10337" t="s">
        <v>11936</v>
      </c>
      <c r="C10337">
        <f>0</f>
        <v>0</v>
      </c>
      <c r="D10337">
        <v>0.99533597443699995</v>
      </c>
      <c r="E10337">
        <v>5.9370314842578704</v>
      </c>
    </row>
    <row r="10338" spans="1:5">
      <c r="A10338" t="s">
        <v>11937</v>
      </c>
      <c r="B10338" t="s">
        <v>11938</v>
      </c>
      <c r="C10338">
        <v>0</v>
      </c>
      <c r="D10338">
        <v>0.95954050766900001</v>
      </c>
      <c r="E10338">
        <v>10.878560719640101</v>
      </c>
    </row>
    <row r="10339" spans="1:5">
      <c r="A10339" t="s">
        <v>11937</v>
      </c>
      <c r="B10339" t="s">
        <v>11939</v>
      </c>
      <c r="C10339">
        <v>0</v>
      </c>
      <c r="D10339">
        <v>0.95954050766900001</v>
      </c>
      <c r="E10339">
        <v>10.878560719640101</v>
      </c>
    </row>
    <row r="10340" spans="1:5">
      <c r="A10340" t="s">
        <v>11937</v>
      </c>
      <c r="B10340" t="s">
        <v>11940</v>
      </c>
      <c r="C10340">
        <v>0.15414436077900001</v>
      </c>
      <c r="D10340">
        <v>0.95954050766900001</v>
      </c>
      <c r="E10340">
        <v>10.878560719640101</v>
      </c>
    </row>
    <row r="10341" spans="1:5">
      <c r="A10341" t="s">
        <v>11937</v>
      </c>
      <c r="B10341" t="s">
        <v>11941</v>
      </c>
      <c r="C10341">
        <v>0.20368943816099999</v>
      </c>
      <c r="D10341">
        <v>0.95954050766900001</v>
      </c>
      <c r="E10341">
        <v>10.878560719640101</v>
      </c>
    </row>
    <row r="10342" spans="1:5">
      <c r="A10342" t="s">
        <v>11937</v>
      </c>
      <c r="B10342" t="s">
        <v>11942</v>
      </c>
      <c r="C10342">
        <f>0</f>
        <v>0</v>
      </c>
      <c r="D10342">
        <v>0.95954050766900001</v>
      </c>
      <c r="E10342">
        <v>10.878560719640101</v>
      </c>
    </row>
    <row r="10343" spans="1:5">
      <c r="A10343" t="s">
        <v>11937</v>
      </c>
      <c r="B10343" t="s">
        <v>11943</v>
      </c>
      <c r="C10343">
        <v>0</v>
      </c>
      <c r="D10343">
        <v>0.95954050766900001</v>
      </c>
      <c r="E10343">
        <v>10.878560719640101</v>
      </c>
    </row>
    <row r="10344" spans="1:5">
      <c r="A10344" t="s">
        <v>11944</v>
      </c>
      <c r="B10344" t="s">
        <v>11945</v>
      </c>
      <c r="C10344">
        <v>0.13050324438399999</v>
      </c>
      <c r="D10344" t="s">
        <v>106</v>
      </c>
      <c r="E10344">
        <v>24</v>
      </c>
    </row>
    <row r="10345" spans="1:5">
      <c r="A10345" t="s">
        <v>11944</v>
      </c>
      <c r="B10345" t="s">
        <v>11946</v>
      </c>
      <c r="C10345">
        <f>0</f>
        <v>0</v>
      </c>
      <c r="D10345" t="s">
        <v>106</v>
      </c>
      <c r="E10345">
        <v>24</v>
      </c>
    </row>
    <row r="10346" spans="1:5">
      <c r="A10346" t="s">
        <v>11947</v>
      </c>
      <c r="B10346" t="s">
        <v>11948</v>
      </c>
      <c r="C10346">
        <v>0</v>
      </c>
      <c r="D10346">
        <v>0.75142215197899997</v>
      </c>
      <c r="E10346">
        <v>1.51124437781109</v>
      </c>
    </row>
    <row r="10347" spans="1:5">
      <c r="A10347" t="s">
        <v>11947</v>
      </c>
      <c r="B10347" t="s">
        <v>11949</v>
      </c>
      <c r="C10347">
        <v>0.17237050185700001</v>
      </c>
      <c r="D10347">
        <v>0.75142215197899997</v>
      </c>
      <c r="E10347">
        <v>1.51124437781109</v>
      </c>
    </row>
    <row r="10348" spans="1:5">
      <c r="A10348" t="s">
        <v>11947</v>
      </c>
      <c r="B10348" t="s">
        <v>11950</v>
      </c>
      <c r="C10348">
        <v>0</v>
      </c>
      <c r="D10348">
        <v>0.75142215197899997</v>
      </c>
      <c r="E10348">
        <v>1.51124437781109</v>
      </c>
    </row>
    <row r="10349" spans="1:5">
      <c r="A10349" t="s">
        <v>11951</v>
      </c>
      <c r="B10349" t="s">
        <v>11952</v>
      </c>
      <c r="C10349">
        <f>0</f>
        <v>0</v>
      </c>
      <c r="D10349">
        <v>0.99117491274299996</v>
      </c>
      <c r="E10349">
        <v>5.0134932533733103</v>
      </c>
    </row>
    <row r="10350" spans="1:5">
      <c r="A10350" t="s">
        <v>11951</v>
      </c>
      <c r="B10350" t="s">
        <v>11953</v>
      </c>
      <c r="C10350">
        <v>0</v>
      </c>
      <c r="D10350">
        <v>0.99117491274299996</v>
      </c>
      <c r="E10350">
        <v>5.0134932533733103</v>
      </c>
    </row>
    <row r="10351" spans="1:5">
      <c r="A10351" t="s">
        <v>11951</v>
      </c>
      <c r="B10351" t="s">
        <v>11954</v>
      </c>
      <c r="C10351">
        <f>0</f>
        <v>0</v>
      </c>
      <c r="D10351">
        <v>0.99117491274299996</v>
      </c>
      <c r="E10351">
        <v>5.0134932533733103</v>
      </c>
    </row>
    <row r="10352" spans="1:5">
      <c r="A10352" t="s">
        <v>11951</v>
      </c>
      <c r="B10352" t="s">
        <v>11955</v>
      </c>
      <c r="C10352">
        <v>0</v>
      </c>
      <c r="D10352">
        <v>0.99117491274299996</v>
      </c>
      <c r="E10352">
        <v>5.0134932533733103</v>
      </c>
    </row>
    <row r="10353" spans="1:5">
      <c r="A10353" t="s">
        <v>11951</v>
      </c>
      <c r="B10353" t="s">
        <v>11956</v>
      </c>
      <c r="C10353">
        <f>0</f>
        <v>0</v>
      </c>
      <c r="D10353">
        <v>0.99117491274299996</v>
      </c>
      <c r="E10353">
        <v>5.0134932533733103</v>
      </c>
    </row>
    <row r="10354" spans="1:5">
      <c r="A10354" t="s">
        <v>11951</v>
      </c>
      <c r="B10354" t="s">
        <v>11957</v>
      </c>
      <c r="C10354">
        <v>0</v>
      </c>
      <c r="D10354">
        <v>0.99117491274299996</v>
      </c>
      <c r="E10354">
        <v>5.0134932533733103</v>
      </c>
    </row>
    <row r="10355" spans="1:5">
      <c r="A10355" t="s">
        <v>11951</v>
      </c>
      <c r="B10355" t="s">
        <v>11958</v>
      </c>
      <c r="C10355">
        <v>0.42807739448999998</v>
      </c>
      <c r="D10355">
        <v>0.99117491274299996</v>
      </c>
      <c r="E10355">
        <v>5.0134932533733103</v>
      </c>
    </row>
    <row r="10356" spans="1:5">
      <c r="A10356" t="s">
        <v>11951</v>
      </c>
      <c r="B10356" t="s">
        <v>11959</v>
      </c>
      <c r="C10356">
        <v>0</v>
      </c>
      <c r="D10356">
        <v>0.99117491274299996</v>
      </c>
      <c r="E10356">
        <v>5.0134932533733103</v>
      </c>
    </row>
    <row r="10357" spans="1:5">
      <c r="A10357" t="s">
        <v>11951</v>
      </c>
      <c r="B10357" t="s">
        <v>11960</v>
      </c>
      <c r="C10357">
        <f>0</f>
        <v>0</v>
      </c>
      <c r="D10357">
        <v>0.99117491274299996</v>
      </c>
      <c r="E10357">
        <v>5.0134932533733103</v>
      </c>
    </row>
    <row r="10358" spans="1:5">
      <c r="A10358" t="s">
        <v>11951</v>
      </c>
      <c r="B10358" t="s">
        <v>11961</v>
      </c>
      <c r="C10358">
        <f>0</f>
        <v>0</v>
      </c>
      <c r="D10358">
        <v>0.99117491274299996</v>
      </c>
      <c r="E10358">
        <v>5.0134932533733103</v>
      </c>
    </row>
    <row r="10359" spans="1:5">
      <c r="A10359" t="s">
        <v>11951</v>
      </c>
      <c r="B10359" t="s">
        <v>11962</v>
      </c>
      <c r="C10359">
        <f>0</f>
        <v>0</v>
      </c>
      <c r="D10359">
        <v>0.99117491274299996</v>
      </c>
      <c r="E10359">
        <v>5.0134932533733103</v>
      </c>
    </row>
    <row r="10360" spans="1:5">
      <c r="A10360" t="s">
        <v>11951</v>
      </c>
      <c r="B10360" t="s">
        <v>11963</v>
      </c>
      <c r="C10360">
        <v>0</v>
      </c>
      <c r="D10360">
        <v>0.99117491274299996</v>
      </c>
      <c r="E10360">
        <v>5.0134932533733103</v>
      </c>
    </row>
    <row r="10361" spans="1:5">
      <c r="A10361" t="s">
        <v>11951</v>
      </c>
      <c r="B10361" t="s">
        <v>11964</v>
      </c>
      <c r="C10361">
        <f>0</f>
        <v>0</v>
      </c>
      <c r="D10361">
        <v>0.99117491274299996</v>
      </c>
      <c r="E10361">
        <v>5.0134932533733103</v>
      </c>
    </row>
    <row r="10362" spans="1:5">
      <c r="A10362" t="s">
        <v>11951</v>
      </c>
      <c r="B10362" t="s">
        <v>11965</v>
      </c>
      <c r="C10362">
        <f>0</f>
        <v>0</v>
      </c>
      <c r="D10362">
        <v>0.99117491274299996</v>
      </c>
      <c r="E10362">
        <v>5.0134932533733103</v>
      </c>
    </row>
    <row r="10363" spans="1:5">
      <c r="A10363" t="s">
        <v>11951</v>
      </c>
      <c r="B10363" t="s">
        <v>11966</v>
      </c>
      <c r="C10363">
        <v>0.109631377709</v>
      </c>
      <c r="D10363">
        <v>0.99117491274299996</v>
      </c>
      <c r="E10363">
        <v>5.0134932533733103</v>
      </c>
    </row>
    <row r="10364" spans="1:5">
      <c r="A10364" t="s">
        <v>11951</v>
      </c>
      <c r="B10364" t="s">
        <v>11967</v>
      </c>
      <c r="C10364">
        <v>0</v>
      </c>
      <c r="D10364">
        <v>0.99117491274299996</v>
      </c>
      <c r="E10364">
        <v>5.0134932533733103</v>
      </c>
    </row>
    <row r="10365" spans="1:5">
      <c r="A10365" t="s">
        <v>11951</v>
      </c>
      <c r="B10365" t="s">
        <v>11968</v>
      </c>
      <c r="C10365">
        <f>0</f>
        <v>0</v>
      </c>
      <c r="D10365">
        <v>0.99117491274299996</v>
      </c>
      <c r="E10365">
        <v>5.0134932533733103</v>
      </c>
    </row>
    <row r="10366" spans="1:5">
      <c r="A10366" t="s">
        <v>11951</v>
      </c>
      <c r="B10366" t="s">
        <v>11969</v>
      </c>
      <c r="C10366">
        <f>0</f>
        <v>0</v>
      </c>
      <c r="D10366">
        <v>0.99117491274299996</v>
      </c>
      <c r="E10366">
        <v>5.0134932533733103</v>
      </c>
    </row>
    <row r="10367" spans="1:5">
      <c r="A10367" t="s">
        <v>11951</v>
      </c>
      <c r="B10367" t="s">
        <v>11970</v>
      </c>
      <c r="C10367">
        <f>0</f>
        <v>0</v>
      </c>
      <c r="D10367">
        <v>0.99117491274299996</v>
      </c>
      <c r="E10367">
        <v>5.0134932533733103</v>
      </c>
    </row>
    <row r="10368" spans="1:5">
      <c r="A10368" t="s">
        <v>11951</v>
      </c>
      <c r="B10368" t="s">
        <v>11971</v>
      </c>
      <c r="C10368">
        <v>0</v>
      </c>
      <c r="D10368">
        <v>0.99117491274299996</v>
      </c>
      <c r="E10368">
        <v>5.0134932533733103</v>
      </c>
    </row>
    <row r="10369" spans="1:5">
      <c r="A10369" t="s">
        <v>11951</v>
      </c>
      <c r="B10369" t="s">
        <v>11972</v>
      </c>
      <c r="C10369">
        <f>0</f>
        <v>0</v>
      </c>
      <c r="D10369">
        <v>0.99117491274299996</v>
      </c>
      <c r="E10369">
        <v>5.0134932533733103</v>
      </c>
    </row>
    <row r="10370" spans="1:5">
      <c r="A10370" t="s">
        <v>11951</v>
      </c>
      <c r="B10370" t="s">
        <v>11973</v>
      </c>
      <c r="C10370">
        <f>0</f>
        <v>0</v>
      </c>
      <c r="D10370">
        <v>0.99117491274299996</v>
      </c>
      <c r="E10370">
        <v>5.0134932533733103</v>
      </c>
    </row>
    <row r="10371" spans="1:5">
      <c r="A10371" t="s">
        <v>11951</v>
      </c>
      <c r="B10371" t="s">
        <v>11974</v>
      </c>
      <c r="C10371">
        <f>0</f>
        <v>0</v>
      </c>
      <c r="D10371">
        <v>0.99117491274299996</v>
      </c>
      <c r="E10371">
        <v>5.0134932533733103</v>
      </c>
    </row>
    <row r="10372" spans="1:5">
      <c r="A10372" t="s">
        <v>11975</v>
      </c>
      <c r="B10372" t="s">
        <v>11976</v>
      </c>
      <c r="C10372">
        <v>0</v>
      </c>
      <c r="D10372" t="s">
        <v>106</v>
      </c>
      <c r="E10372">
        <v>18.554722638680602</v>
      </c>
    </row>
    <row r="10373" spans="1:5">
      <c r="A10373" t="s">
        <v>11975</v>
      </c>
      <c r="B10373" t="s">
        <v>11977</v>
      </c>
      <c r="C10373">
        <v>0</v>
      </c>
      <c r="D10373" t="s">
        <v>106</v>
      </c>
      <c r="E10373">
        <v>18.554722638680602</v>
      </c>
    </row>
    <row r="10374" spans="1:5">
      <c r="A10374" t="s">
        <v>11975</v>
      </c>
      <c r="B10374" t="s">
        <v>11978</v>
      </c>
      <c r="C10374">
        <v>0</v>
      </c>
      <c r="D10374" t="s">
        <v>106</v>
      </c>
      <c r="E10374">
        <v>18.554722638680602</v>
      </c>
    </row>
    <row r="10375" spans="1:5">
      <c r="A10375" t="s">
        <v>11975</v>
      </c>
      <c r="B10375" t="s">
        <v>11979</v>
      </c>
      <c r="C10375">
        <v>0</v>
      </c>
      <c r="D10375" t="s">
        <v>106</v>
      </c>
      <c r="E10375">
        <v>18.554722638680602</v>
      </c>
    </row>
    <row r="10376" spans="1:5">
      <c r="A10376" t="s">
        <v>11980</v>
      </c>
      <c r="B10376" t="s">
        <v>11981</v>
      </c>
      <c r="C10376">
        <v>4.1893502886600001E-2</v>
      </c>
      <c r="D10376">
        <v>0.89559286681899997</v>
      </c>
      <c r="E10376">
        <v>11.7061469265367</v>
      </c>
    </row>
    <row r="10377" spans="1:5">
      <c r="A10377" t="s">
        <v>11980</v>
      </c>
      <c r="B10377" t="s">
        <v>11982</v>
      </c>
      <c r="C10377">
        <v>0.219021874985</v>
      </c>
      <c r="D10377">
        <v>0.89559286681899997</v>
      </c>
      <c r="E10377">
        <v>11.7061469265367</v>
      </c>
    </row>
    <row r="10378" spans="1:5">
      <c r="A10378" t="s">
        <v>11980</v>
      </c>
      <c r="B10378" t="s">
        <v>11983</v>
      </c>
      <c r="C10378">
        <v>0</v>
      </c>
      <c r="D10378">
        <v>0.89559286681899997</v>
      </c>
      <c r="E10378">
        <v>11.7061469265367</v>
      </c>
    </row>
    <row r="10379" spans="1:5">
      <c r="A10379" t="s">
        <v>11980</v>
      </c>
      <c r="B10379" t="s">
        <v>11984</v>
      </c>
      <c r="C10379">
        <v>0</v>
      </c>
      <c r="D10379">
        <v>0.89559286681899997</v>
      </c>
      <c r="E10379">
        <v>11.7061469265367</v>
      </c>
    </row>
    <row r="10380" spans="1:5">
      <c r="A10380" t="s">
        <v>11985</v>
      </c>
      <c r="B10380" t="s">
        <v>11986</v>
      </c>
      <c r="C10380">
        <v>8.1333481527900001E-2</v>
      </c>
      <c r="D10380">
        <v>0.91271090002599997</v>
      </c>
      <c r="E10380">
        <v>9.0194902548725597</v>
      </c>
    </row>
    <row r="10381" spans="1:5">
      <c r="A10381" t="s">
        <v>11985</v>
      </c>
      <c r="B10381" t="s">
        <v>11987</v>
      </c>
      <c r="C10381">
        <f>0</f>
        <v>0</v>
      </c>
      <c r="D10381">
        <v>0.91271090002599997</v>
      </c>
      <c r="E10381">
        <v>9.0194902548725597</v>
      </c>
    </row>
    <row r="10382" spans="1:5">
      <c r="A10382" t="s">
        <v>11985</v>
      </c>
      <c r="B10382" t="s">
        <v>11988</v>
      </c>
      <c r="C10382">
        <f>0</f>
        <v>0</v>
      </c>
      <c r="D10382">
        <v>0.91271090002599997</v>
      </c>
      <c r="E10382">
        <v>9.0194902548725597</v>
      </c>
    </row>
    <row r="10383" spans="1:5">
      <c r="A10383" t="s">
        <v>11985</v>
      </c>
      <c r="B10383" t="s">
        <v>11989</v>
      </c>
      <c r="C10383">
        <f>0</f>
        <v>0</v>
      </c>
      <c r="D10383">
        <v>0.91271090002599997</v>
      </c>
      <c r="E10383">
        <v>9.0194902548725597</v>
      </c>
    </row>
    <row r="10384" spans="1:5">
      <c r="A10384" t="s">
        <v>11985</v>
      </c>
      <c r="B10384" t="s">
        <v>11990</v>
      </c>
      <c r="C10384">
        <f>0</f>
        <v>0</v>
      </c>
      <c r="D10384">
        <v>0.91271090002599997</v>
      </c>
      <c r="E10384">
        <v>9.0194902548725597</v>
      </c>
    </row>
    <row r="10385" spans="1:5">
      <c r="A10385" t="s">
        <v>11985</v>
      </c>
      <c r="B10385" t="s">
        <v>11991</v>
      </c>
      <c r="C10385">
        <v>0</v>
      </c>
      <c r="D10385">
        <v>0.91271090002599997</v>
      </c>
      <c r="E10385">
        <v>9.0194902548725597</v>
      </c>
    </row>
    <row r="10386" spans="1:5">
      <c r="A10386" t="s">
        <v>11992</v>
      </c>
      <c r="B10386" t="s">
        <v>11993</v>
      </c>
      <c r="C10386">
        <f>0.743773434507</f>
        <v>0.74377343450699995</v>
      </c>
      <c r="D10386">
        <v>0.92792379321600005</v>
      </c>
      <c r="E10386">
        <v>1.51124437781109</v>
      </c>
    </row>
    <row r="10387" spans="1:5">
      <c r="A10387" t="s">
        <v>11994</v>
      </c>
      <c r="B10387" t="s">
        <v>11995</v>
      </c>
      <c r="C10387">
        <f>0.0140638384354</f>
        <v>1.4063838435399999E-2</v>
      </c>
      <c r="D10387">
        <v>0.88079754994100001</v>
      </c>
      <c r="E10387">
        <v>5.2413793103448203</v>
      </c>
    </row>
    <row r="10388" spans="1:5">
      <c r="A10388" t="s">
        <v>11994</v>
      </c>
      <c r="B10388" t="s">
        <v>11996</v>
      </c>
      <c r="C10388">
        <f>0.0526665716195</f>
        <v>5.2666571619500002E-2</v>
      </c>
      <c r="D10388">
        <v>0.88079754994100001</v>
      </c>
      <c r="E10388">
        <v>5.2413793103448203</v>
      </c>
    </row>
    <row r="10389" spans="1:5">
      <c r="A10389" t="s">
        <v>11994</v>
      </c>
      <c r="B10389" t="s">
        <v>11997</v>
      </c>
      <c r="C10389">
        <f>0</f>
        <v>0</v>
      </c>
      <c r="D10389">
        <v>0.88079754994100001</v>
      </c>
      <c r="E10389">
        <v>5.2413793103448203</v>
      </c>
    </row>
    <row r="10390" spans="1:5">
      <c r="A10390" t="s">
        <v>11998</v>
      </c>
      <c r="B10390" t="s">
        <v>11999</v>
      </c>
      <c r="C10390">
        <f>0</f>
        <v>0</v>
      </c>
      <c r="D10390">
        <v>0.81600371952899997</v>
      </c>
      <c r="E10390">
        <v>4.9055472263868003</v>
      </c>
    </row>
    <row r="10391" spans="1:5">
      <c r="A10391" t="s">
        <v>11998</v>
      </c>
      <c r="B10391" t="s">
        <v>12000</v>
      </c>
      <c r="C10391">
        <f>0</f>
        <v>0</v>
      </c>
      <c r="D10391">
        <v>0.81600371952899997</v>
      </c>
      <c r="E10391">
        <v>4.9055472263868003</v>
      </c>
    </row>
    <row r="10392" spans="1:5">
      <c r="A10392" t="s">
        <v>11998</v>
      </c>
      <c r="B10392" t="s">
        <v>12001</v>
      </c>
      <c r="C10392">
        <f>0</f>
        <v>0</v>
      </c>
      <c r="D10392">
        <v>0.81600371952899997</v>
      </c>
      <c r="E10392">
        <v>4.9055472263868003</v>
      </c>
    </row>
    <row r="10393" spans="1:5">
      <c r="A10393" t="s">
        <v>11998</v>
      </c>
      <c r="B10393" t="s">
        <v>12002</v>
      </c>
      <c r="C10393">
        <v>0</v>
      </c>
      <c r="D10393">
        <v>0.81600371952899997</v>
      </c>
      <c r="E10393">
        <v>4.9055472263868003</v>
      </c>
    </row>
    <row r="10394" spans="1:5">
      <c r="A10394" t="s">
        <v>11998</v>
      </c>
      <c r="B10394" t="s">
        <v>12003</v>
      </c>
      <c r="C10394">
        <f>0.216991091983</f>
        <v>0.21699109198300001</v>
      </c>
      <c r="D10394">
        <v>0.81600371952899997</v>
      </c>
      <c r="E10394">
        <v>4.9055472263868003</v>
      </c>
    </row>
    <row r="10395" spans="1:5">
      <c r="A10395" t="s">
        <v>11998</v>
      </c>
      <c r="B10395" t="s">
        <v>12004</v>
      </c>
      <c r="C10395">
        <v>8.2264461995399996E-2</v>
      </c>
      <c r="D10395">
        <v>0.81600371952899997</v>
      </c>
      <c r="E10395">
        <v>4.9055472263868003</v>
      </c>
    </row>
    <row r="10396" spans="1:5">
      <c r="A10396" t="s">
        <v>12005</v>
      </c>
      <c r="B10396" t="s">
        <v>12006</v>
      </c>
      <c r="C10396">
        <f>0</f>
        <v>0</v>
      </c>
      <c r="D10396" t="s">
        <v>106</v>
      </c>
      <c r="E10396">
        <v>7.3283358320839502</v>
      </c>
    </row>
    <row r="10397" spans="1:5">
      <c r="A10397" t="s">
        <v>12005</v>
      </c>
      <c r="B10397" t="s">
        <v>12007</v>
      </c>
      <c r="C10397">
        <v>0</v>
      </c>
      <c r="D10397" t="s">
        <v>106</v>
      </c>
      <c r="E10397">
        <v>7.3283358320839502</v>
      </c>
    </row>
    <row r="10398" spans="1:5">
      <c r="A10398" t="s">
        <v>12005</v>
      </c>
      <c r="B10398" t="s">
        <v>12008</v>
      </c>
      <c r="C10398">
        <v>0</v>
      </c>
      <c r="D10398" t="s">
        <v>106</v>
      </c>
      <c r="E10398">
        <v>7.3283358320839502</v>
      </c>
    </row>
    <row r="10399" spans="1:5">
      <c r="A10399" t="s">
        <v>12009</v>
      </c>
      <c r="B10399" t="s">
        <v>12010</v>
      </c>
      <c r="C10399">
        <v>0</v>
      </c>
      <c r="D10399">
        <v>0.95517864673700004</v>
      </c>
      <c r="E10399">
        <v>23.7481259370314</v>
      </c>
    </row>
    <row r="10400" spans="1:5">
      <c r="A10400" t="s">
        <v>12009</v>
      </c>
      <c r="B10400" t="s">
        <v>12011</v>
      </c>
      <c r="C10400">
        <v>6.91991344033E-2</v>
      </c>
      <c r="D10400">
        <v>0.95517864673700004</v>
      </c>
      <c r="E10400">
        <v>23.7481259370314</v>
      </c>
    </row>
    <row r="10401" spans="1:5">
      <c r="A10401" t="s">
        <v>12009</v>
      </c>
      <c r="B10401" t="s">
        <v>12012</v>
      </c>
      <c r="C10401">
        <v>0</v>
      </c>
      <c r="D10401">
        <v>0.95517864673700004</v>
      </c>
      <c r="E10401">
        <v>23.7481259370314</v>
      </c>
    </row>
    <row r="10402" spans="1:5">
      <c r="A10402" t="s">
        <v>12009</v>
      </c>
      <c r="B10402" t="s">
        <v>12013</v>
      </c>
      <c r="C10402">
        <v>0</v>
      </c>
      <c r="D10402">
        <v>0.95517864673700004</v>
      </c>
      <c r="E10402">
        <v>23.7481259370314</v>
      </c>
    </row>
    <row r="10403" spans="1:5">
      <c r="A10403" t="s">
        <v>12009</v>
      </c>
      <c r="B10403" t="s">
        <v>12014</v>
      </c>
      <c r="C10403">
        <f>0.0230076918334</f>
        <v>2.3007691833399999E-2</v>
      </c>
      <c r="D10403">
        <v>0.95517864673700004</v>
      </c>
      <c r="E10403">
        <v>23.7481259370314</v>
      </c>
    </row>
    <row r="10404" spans="1:5">
      <c r="A10404" t="s">
        <v>12015</v>
      </c>
      <c r="B10404" t="s">
        <v>12016</v>
      </c>
      <c r="C10404">
        <v>0</v>
      </c>
      <c r="D10404">
        <v>0.76195608847899998</v>
      </c>
      <c r="E10404">
        <v>20.509745127436201</v>
      </c>
    </row>
    <row r="10405" spans="1:5">
      <c r="A10405" t="s">
        <v>12015</v>
      </c>
      <c r="B10405" t="s">
        <v>12017</v>
      </c>
      <c r="C10405">
        <v>0.10820609253000001</v>
      </c>
      <c r="D10405">
        <v>0.76195608847899998</v>
      </c>
      <c r="E10405">
        <v>20.509745127436201</v>
      </c>
    </row>
    <row r="10406" spans="1:5">
      <c r="A10406" t="s">
        <v>12015</v>
      </c>
      <c r="B10406" t="s">
        <v>12018</v>
      </c>
      <c r="C10406">
        <f>0</f>
        <v>0</v>
      </c>
      <c r="D10406">
        <v>0.76195608847899998</v>
      </c>
      <c r="E10406">
        <v>20.509745127436201</v>
      </c>
    </row>
    <row r="10407" spans="1:5">
      <c r="A10407" t="s">
        <v>12015</v>
      </c>
      <c r="B10407" t="s">
        <v>12019</v>
      </c>
      <c r="C10407">
        <v>0</v>
      </c>
      <c r="D10407">
        <v>0.76195608847899998</v>
      </c>
      <c r="E10407">
        <v>20.509745127436201</v>
      </c>
    </row>
    <row r="10408" spans="1:5">
      <c r="A10408" t="s">
        <v>12015</v>
      </c>
      <c r="B10408" t="s">
        <v>12020</v>
      </c>
      <c r="C10408">
        <f>0</f>
        <v>0</v>
      </c>
      <c r="D10408">
        <v>0.76195608847899998</v>
      </c>
      <c r="E10408">
        <v>20.509745127436201</v>
      </c>
    </row>
    <row r="10409" spans="1:5">
      <c r="A10409" t="s">
        <v>12021</v>
      </c>
      <c r="B10409" t="s">
        <v>12022</v>
      </c>
      <c r="C10409">
        <v>0</v>
      </c>
      <c r="D10409">
        <v>0.98419646977899999</v>
      </c>
      <c r="E10409">
        <v>9.4632683658170897</v>
      </c>
    </row>
    <row r="10410" spans="1:5">
      <c r="A10410" t="s">
        <v>12021</v>
      </c>
      <c r="B10410" t="s">
        <v>12023</v>
      </c>
      <c r="C10410">
        <v>0.60955731201200003</v>
      </c>
      <c r="D10410">
        <v>0.98419646977899999</v>
      </c>
      <c r="E10410">
        <v>9.4632683658170897</v>
      </c>
    </row>
    <row r="10411" spans="1:5">
      <c r="A10411" t="s">
        <v>12021</v>
      </c>
      <c r="B10411" t="s">
        <v>12024</v>
      </c>
      <c r="C10411">
        <v>0</v>
      </c>
      <c r="D10411">
        <v>0.98419646977899999</v>
      </c>
      <c r="E10411">
        <v>9.4632683658170897</v>
      </c>
    </row>
    <row r="10412" spans="1:5">
      <c r="A10412" t="s">
        <v>12021</v>
      </c>
      <c r="B10412" t="s">
        <v>12025</v>
      </c>
      <c r="C10412">
        <f>0</f>
        <v>0</v>
      </c>
      <c r="D10412">
        <v>0.98419646977899999</v>
      </c>
      <c r="E10412">
        <v>9.4632683658170897</v>
      </c>
    </row>
    <row r="10413" spans="1:5">
      <c r="A10413" t="s">
        <v>12021</v>
      </c>
      <c r="B10413" t="s">
        <v>12026</v>
      </c>
      <c r="C10413">
        <f>0.029740334869</f>
        <v>2.9740334869000001E-2</v>
      </c>
      <c r="D10413">
        <v>0.98419646977899999</v>
      </c>
      <c r="E10413">
        <v>9.4632683658170897</v>
      </c>
    </row>
    <row r="10414" spans="1:5">
      <c r="A10414" t="s">
        <v>12021</v>
      </c>
      <c r="B10414" t="s">
        <v>12027</v>
      </c>
      <c r="C10414">
        <f>0</f>
        <v>0</v>
      </c>
      <c r="D10414">
        <v>0.98419646977899999</v>
      </c>
      <c r="E10414">
        <v>9.4632683658170897</v>
      </c>
    </row>
    <row r="10415" spans="1:5">
      <c r="A10415" t="s">
        <v>12021</v>
      </c>
      <c r="B10415" t="s">
        <v>12028</v>
      </c>
      <c r="C10415">
        <v>0</v>
      </c>
      <c r="D10415">
        <v>0.98419646977899999</v>
      </c>
      <c r="E10415">
        <v>9.4632683658170897</v>
      </c>
    </row>
    <row r="10416" spans="1:5">
      <c r="A10416" t="s">
        <v>12029</v>
      </c>
      <c r="B10416" t="s">
        <v>12030</v>
      </c>
      <c r="C10416">
        <v>0.54939948311099995</v>
      </c>
      <c r="D10416">
        <v>0.619993003082</v>
      </c>
      <c r="E10416">
        <v>2.79460269865067</v>
      </c>
    </row>
    <row r="10417" spans="1:5">
      <c r="A10417" t="s">
        <v>12031</v>
      </c>
      <c r="B10417" t="s">
        <v>12032</v>
      </c>
      <c r="C10417">
        <f>0</f>
        <v>0</v>
      </c>
      <c r="D10417">
        <v>0.99529483432999999</v>
      </c>
      <c r="E10417">
        <v>1.00749625187406</v>
      </c>
    </row>
    <row r="10418" spans="1:5">
      <c r="A10418" t="s">
        <v>12031</v>
      </c>
      <c r="B10418" t="s">
        <v>12033</v>
      </c>
      <c r="C10418">
        <f>0</f>
        <v>0</v>
      </c>
      <c r="D10418">
        <v>0.99529483432999999</v>
      </c>
      <c r="E10418">
        <v>1.00749625187406</v>
      </c>
    </row>
    <row r="10419" spans="1:5">
      <c r="A10419" t="s">
        <v>12031</v>
      </c>
      <c r="B10419" t="s">
        <v>12034</v>
      </c>
      <c r="C10419">
        <f>0</f>
        <v>0</v>
      </c>
      <c r="D10419">
        <v>0.99529483432999999</v>
      </c>
      <c r="E10419">
        <v>1.00749625187406</v>
      </c>
    </row>
    <row r="10420" spans="1:5">
      <c r="A10420" t="s">
        <v>12031</v>
      </c>
      <c r="B10420" t="s">
        <v>12035</v>
      </c>
      <c r="C10420">
        <f>0</f>
        <v>0</v>
      </c>
      <c r="D10420">
        <v>0.99529483432999999</v>
      </c>
      <c r="E10420">
        <v>1.00749625187406</v>
      </c>
    </row>
    <row r="10421" spans="1:5">
      <c r="A10421" t="s">
        <v>12031</v>
      </c>
      <c r="B10421" t="s">
        <v>12036</v>
      </c>
      <c r="C10421">
        <f>0</f>
        <v>0</v>
      </c>
      <c r="D10421">
        <v>0.99529483432999999</v>
      </c>
      <c r="E10421">
        <v>1.00749625187406</v>
      </c>
    </row>
    <row r="10422" spans="1:5">
      <c r="A10422" t="s">
        <v>12031</v>
      </c>
      <c r="B10422" t="s">
        <v>12037</v>
      </c>
      <c r="C10422">
        <f>0</f>
        <v>0</v>
      </c>
      <c r="D10422">
        <v>0.99529483432999999</v>
      </c>
      <c r="E10422">
        <v>1.00749625187406</v>
      </c>
    </row>
    <row r="10423" spans="1:5">
      <c r="A10423" t="s">
        <v>12031</v>
      </c>
      <c r="B10423" t="s">
        <v>12038</v>
      </c>
      <c r="C10423">
        <f>0.00271370805542</f>
        <v>2.7137080554200002E-3</v>
      </c>
      <c r="D10423">
        <v>0.99529483432999999</v>
      </c>
      <c r="E10423">
        <v>1.00749625187406</v>
      </c>
    </row>
    <row r="10424" spans="1:5">
      <c r="A10424" t="s">
        <v>12031</v>
      </c>
      <c r="B10424" t="s">
        <v>12039</v>
      </c>
      <c r="C10424">
        <v>0</v>
      </c>
      <c r="D10424">
        <v>0.99529483432999999</v>
      </c>
      <c r="E10424">
        <v>1.00749625187406</v>
      </c>
    </row>
    <row r="10425" spans="1:5">
      <c r="A10425" t="s">
        <v>12031</v>
      </c>
      <c r="B10425" t="s">
        <v>12040</v>
      </c>
      <c r="C10425">
        <v>0</v>
      </c>
      <c r="D10425">
        <v>0.99529483432999999</v>
      </c>
      <c r="E10425">
        <v>1.00749625187406</v>
      </c>
    </row>
    <row r="10426" spans="1:5">
      <c r="A10426" t="s">
        <v>12031</v>
      </c>
      <c r="B10426" t="s">
        <v>12041</v>
      </c>
      <c r="C10426">
        <f>0</f>
        <v>0</v>
      </c>
      <c r="D10426">
        <v>0.99529483432999999</v>
      </c>
      <c r="E10426">
        <v>1.00749625187406</v>
      </c>
    </row>
    <row r="10427" spans="1:5">
      <c r="A10427" t="s">
        <v>12031</v>
      </c>
      <c r="B10427" t="s">
        <v>12042</v>
      </c>
      <c r="C10427">
        <v>0.83188413590599997</v>
      </c>
      <c r="D10427">
        <v>0.99529483432999999</v>
      </c>
      <c r="E10427">
        <v>1.00749625187406</v>
      </c>
    </row>
    <row r="10428" spans="1:5">
      <c r="A10428" t="s">
        <v>12031</v>
      </c>
      <c r="B10428" t="s">
        <v>12043</v>
      </c>
      <c r="C10428">
        <f>0</f>
        <v>0</v>
      </c>
      <c r="D10428">
        <v>0.99529483432999999</v>
      </c>
      <c r="E10428">
        <v>1.00749625187406</v>
      </c>
    </row>
    <row r="10429" spans="1:5">
      <c r="A10429" t="s">
        <v>12044</v>
      </c>
      <c r="B10429" t="s">
        <v>12045</v>
      </c>
      <c r="C10429">
        <f>0</f>
        <v>0</v>
      </c>
      <c r="D10429">
        <v>0.77833027294199997</v>
      </c>
      <c r="E10429">
        <v>4.9055472263868003</v>
      </c>
    </row>
    <row r="10430" spans="1:5">
      <c r="A10430" t="s">
        <v>12044</v>
      </c>
      <c r="B10430" t="s">
        <v>12046</v>
      </c>
      <c r="C10430">
        <f>0</f>
        <v>0</v>
      </c>
      <c r="D10430">
        <v>0.77833027294199997</v>
      </c>
      <c r="E10430">
        <v>4.9055472263868003</v>
      </c>
    </row>
    <row r="10431" spans="1:5">
      <c r="A10431" t="s">
        <v>12044</v>
      </c>
      <c r="B10431" t="s">
        <v>12047</v>
      </c>
      <c r="C10431">
        <f>0</f>
        <v>0</v>
      </c>
      <c r="D10431">
        <v>0.77833027294199997</v>
      </c>
      <c r="E10431">
        <v>4.9055472263868003</v>
      </c>
    </row>
    <row r="10432" spans="1:5">
      <c r="A10432" t="s">
        <v>12044</v>
      </c>
      <c r="B10432" t="s">
        <v>12048</v>
      </c>
      <c r="C10432">
        <v>0</v>
      </c>
      <c r="D10432">
        <v>0.77833027294199997</v>
      </c>
      <c r="E10432">
        <v>4.9055472263868003</v>
      </c>
    </row>
    <row r="10433" spans="1:5">
      <c r="A10433" t="s">
        <v>12044</v>
      </c>
      <c r="B10433" t="s">
        <v>12049</v>
      </c>
      <c r="C10433">
        <f>0</f>
        <v>0</v>
      </c>
      <c r="D10433">
        <v>0.77833027294199997</v>
      </c>
      <c r="E10433">
        <v>4.9055472263868003</v>
      </c>
    </row>
    <row r="10434" spans="1:5">
      <c r="A10434" t="s">
        <v>12044</v>
      </c>
      <c r="B10434" t="s">
        <v>12050</v>
      </c>
      <c r="C10434">
        <v>0</v>
      </c>
      <c r="D10434">
        <v>0.77833027294199997</v>
      </c>
      <c r="E10434">
        <v>4.9055472263868003</v>
      </c>
    </row>
    <row r="10435" spans="1:5">
      <c r="A10435" t="s">
        <v>12044</v>
      </c>
      <c r="B10435" t="s">
        <v>12051</v>
      </c>
      <c r="C10435">
        <f>0</f>
        <v>0</v>
      </c>
      <c r="D10435">
        <v>0.77833027294199997</v>
      </c>
      <c r="E10435">
        <v>4.9055472263868003</v>
      </c>
    </row>
    <row r="10436" spans="1:5">
      <c r="A10436" t="s">
        <v>12044</v>
      </c>
      <c r="B10436" t="s">
        <v>12052</v>
      </c>
      <c r="C10436">
        <v>0</v>
      </c>
      <c r="D10436">
        <v>0.77833027294199997</v>
      </c>
      <c r="E10436">
        <v>4.9055472263868003</v>
      </c>
    </row>
    <row r="10437" spans="1:5">
      <c r="A10437" t="s">
        <v>12044</v>
      </c>
      <c r="B10437" t="s">
        <v>12053</v>
      </c>
      <c r="C10437">
        <v>0</v>
      </c>
      <c r="D10437">
        <v>0.77833027294199997</v>
      </c>
      <c r="E10437">
        <v>4.9055472263868003</v>
      </c>
    </row>
    <row r="10438" spans="1:5">
      <c r="A10438" t="s">
        <v>12044</v>
      </c>
      <c r="B10438" t="s">
        <v>12054</v>
      </c>
      <c r="C10438">
        <v>0</v>
      </c>
      <c r="D10438">
        <v>0.77833027294199997</v>
      </c>
      <c r="E10438">
        <v>4.9055472263868003</v>
      </c>
    </row>
    <row r="10439" spans="1:5">
      <c r="A10439" t="s">
        <v>12044</v>
      </c>
      <c r="B10439" t="s">
        <v>12055</v>
      </c>
      <c r="C10439">
        <f>0</f>
        <v>0</v>
      </c>
      <c r="D10439">
        <v>0.77833027294199997</v>
      </c>
      <c r="E10439">
        <v>4.9055472263868003</v>
      </c>
    </row>
    <row r="10440" spans="1:5">
      <c r="A10440" t="s">
        <v>12044</v>
      </c>
      <c r="B10440" t="s">
        <v>12056</v>
      </c>
      <c r="C10440">
        <f>0</f>
        <v>0</v>
      </c>
      <c r="D10440">
        <v>0.77833027294199997</v>
      </c>
      <c r="E10440">
        <v>4.9055472263868003</v>
      </c>
    </row>
    <row r="10441" spans="1:5">
      <c r="A10441" t="s">
        <v>12044</v>
      </c>
      <c r="B10441" t="s">
        <v>12057</v>
      </c>
      <c r="C10441">
        <f>0</f>
        <v>0</v>
      </c>
      <c r="D10441">
        <v>0.77833027294199997</v>
      </c>
      <c r="E10441">
        <v>4.9055472263868003</v>
      </c>
    </row>
    <row r="10442" spans="1:5">
      <c r="A10442" t="s">
        <v>12058</v>
      </c>
      <c r="B10442" t="s">
        <v>12059</v>
      </c>
      <c r="C10442">
        <v>6.6266774960399996E-2</v>
      </c>
      <c r="D10442">
        <v>0.99015635225700005</v>
      </c>
      <c r="E10442">
        <v>9.0194902548725597</v>
      </c>
    </row>
    <row r="10443" spans="1:5">
      <c r="A10443" t="s">
        <v>12058</v>
      </c>
      <c r="B10443" t="s">
        <v>12060</v>
      </c>
      <c r="C10443">
        <v>0</v>
      </c>
      <c r="D10443">
        <v>0.99015635225700005</v>
      </c>
      <c r="E10443">
        <v>9.0194902548725597</v>
      </c>
    </row>
    <row r="10444" spans="1:5">
      <c r="A10444" t="s">
        <v>12058</v>
      </c>
      <c r="B10444" t="s">
        <v>12061</v>
      </c>
      <c r="C10444">
        <f>0</f>
        <v>0</v>
      </c>
      <c r="D10444">
        <v>0.99015635225700005</v>
      </c>
      <c r="E10444">
        <v>9.0194902548725597</v>
      </c>
    </row>
    <row r="10445" spans="1:5">
      <c r="A10445" t="s">
        <v>12058</v>
      </c>
      <c r="B10445" t="s">
        <v>12062</v>
      </c>
      <c r="C10445">
        <v>0</v>
      </c>
      <c r="D10445">
        <v>0.99015635225700005</v>
      </c>
      <c r="E10445">
        <v>9.0194902548725597</v>
      </c>
    </row>
    <row r="10446" spans="1:5">
      <c r="A10446" t="s">
        <v>12058</v>
      </c>
      <c r="B10446" t="s">
        <v>12063</v>
      </c>
      <c r="C10446">
        <v>0</v>
      </c>
      <c r="D10446">
        <v>0.99015635225700005</v>
      </c>
      <c r="E10446">
        <v>9.0194902548725597</v>
      </c>
    </row>
    <row r="10447" spans="1:5">
      <c r="A10447" t="s">
        <v>12058</v>
      </c>
      <c r="B10447" t="s">
        <v>12064</v>
      </c>
      <c r="C10447">
        <f>0</f>
        <v>0</v>
      </c>
      <c r="D10447">
        <v>0.99015635225700005</v>
      </c>
      <c r="E10447">
        <v>9.0194902548725597</v>
      </c>
    </row>
    <row r="10448" spans="1:5">
      <c r="A10448" t="s">
        <v>12058</v>
      </c>
      <c r="B10448" t="s">
        <v>12065</v>
      </c>
      <c r="C10448">
        <v>0</v>
      </c>
      <c r="D10448">
        <v>0.99015635225700005</v>
      </c>
      <c r="E10448">
        <v>9.0194902548725597</v>
      </c>
    </row>
    <row r="10449" spans="1:5">
      <c r="A10449" t="s">
        <v>12058</v>
      </c>
      <c r="B10449" t="s">
        <v>12066</v>
      </c>
      <c r="C10449">
        <v>2.7874315751099998E-2</v>
      </c>
      <c r="D10449">
        <v>0.99015635225700005</v>
      </c>
      <c r="E10449">
        <v>9.0194902548725597</v>
      </c>
    </row>
    <row r="10450" spans="1:5">
      <c r="A10450" t="s">
        <v>12058</v>
      </c>
      <c r="B10450" t="s">
        <v>12067</v>
      </c>
      <c r="C10450">
        <f>0</f>
        <v>0</v>
      </c>
      <c r="D10450">
        <v>0.99015635225700005</v>
      </c>
      <c r="E10450">
        <v>9.0194902548725597</v>
      </c>
    </row>
    <row r="10451" spans="1:5">
      <c r="A10451" t="s">
        <v>12058</v>
      </c>
      <c r="B10451" t="s">
        <v>12068</v>
      </c>
      <c r="C10451">
        <v>0</v>
      </c>
      <c r="D10451">
        <v>0.99015635225700005</v>
      </c>
      <c r="E10451">
        <v>9.0194902548725597</v>
      </c>
    </row>
    <row r="10452" spans="1:5">
      <c r="A10452" t="s">
        <v>12069</v>
      </c>
      <c r="B10452" t="s">
        <v>12070</v>
      </c>
      <c r="C10452">
        <v>0</v>
      </c>
      <c r="D10452">
        <v>0.71972201094599997</v>
      </c>
      <c r="E10452">
        <v>12.0419790104947</v>
      </c>
    </row>
    <row r="10453" spans="1:5">
      <c r="A10453" t="s">
        <v>12069</v>
      </c>
      <c r="B10453" t="s">
        <v>12071</v>
      </c>
      <c r="C10453">
        <f>0.0661011517537</f>
        <v>6.6101151753700002E-2</v>
      </c>
      <c r="D10453">
        <v>0.71972201094599997</v>
      </c>
      <c r="E10453">
        <v>12.0419790104947</v>
      </c>
    </row>
    <row r="10454" spans="1:5">
      <c r="A10454" t="s">
        <v>12069</v>
      </c>
      <c r="B10454" t="s">
        <v>12072</v>
      </c>
      <c r="C10454">
        <f>0</f>
        <v>0</v>
      </c>
      <c r="D10454">
        <v>0.71972201094599997</v>
      </c>
      <c r="E10454">
        <v>12.0419790104947</v>
      </c>
    </row>
    <row r="10455" spans="1:5">
      <c r="A10455" t="s">
        <v>12069</v>
      </c>
      <c r="B10455" t="s">
        <v>12073</v>
      </c>
      <c r="C10455">
        <f>0</f>
        <v>0</v>
      </c>
      <c r="D10455">
        <v>0.71972201094599997</v>
      </c>
      <c r="E10455">
        <v>12.0419790104947</v>
      </c>
    </row>
    <row r="10456" spans="1:5">
      <c r="A10456" t="s">
        <v>12069</v>
      </c>
      <c r="B10456" t="s">
        <v>12074</v>
      </c>
      <c r="C10456">
        <v>0</v>
      </c>
      <c r="D10456">
        <v>0.71972201094599997</v>
      </c>
      <c r="E10456">
        <v>12.0419790104947</v>
      </c>
    </row>
    <row r="10457" spans="1:5">
      <c r="A10457" t="s">
        <v>12069</v>
      </c>
      <c r="B10457" t="s">
        <v>12075</v>
      </c>
      <c r="C10457">
        <v>0</v>
      </c>
      <c r="D10457">
        <v>0.71972201094599997</v>
      </c>
      <c r="E10457">
        <v>12.0419790104947</v>
      </c>
    </row>
    <row r="10458" spans="1:5">
      <c r="A10458" t="s">
        <v>12069</v>
      </c>
      <c r="B10458" t="s">
        <v>12076</v>
      </c>
      <c r="C10458">
        <f>0</f>
        <v>0</v>
      </c>
      <c r="D10458">
        <v>0.71972201094599997</v>
      </c>
      <c r="E10458">
        <v>12.0419790104947</v>
      </c>
    </row>
    <row r="10459" spans="1:5">
      <c r="A10459" t="s">
        <v>12069</v>
      </c>
      <c r="B10459" t="s">
        <v>12077</v>
      </c>
      <c r="C10459">
        <f>0</f>
        <v>0</v>
      </c>
      <c r="D10459">
        <v>0.71972201094599997</v>
      </c>
      <c r="E10459">
        <v>12.0419790104947</v>
      </c>
    </row>
    <row r="10460" spans="1:5">
      <c r="A10460" t="s">
        <v>12078</v>
      </c>
      <c r="B10460" t="s">
        <v>12079</v>
      </c>
      <c r="C10460">
        <f>0</f>
        <v>0</v>
      </c>
      <c r="D10460">
        <v>0.99815970502899998</v>
      </c>
      <c r="E10460">
        <v>5.69715142428785</v>
      </c>
    </row>
    <row r="10461" spans="1:5">
      <c r="A10461" t="s">
        <v>12078</v>
      </c>
      <c r="B10461" t="s">
        <v>12080</v>
      </c>
      <c r="C10461">
        <f>0</f>
        <v>0</v>
      </c>
      <c r="D10461">
        <v>0.99815970502899998</v>
      </c>
      <c r="E10461">
        <v>5.69715142428785</v>
      </c>
    </row>
    <row r="10462" spans="1:5">
      <c r="A10462" t="s">
        <v>12078</v>
      </c>
      <c r="B10462" t="s">
        <v>12081</v>
      </c>
      <c r="C10462">
        <v>0.100979297422</v>
      </c>
      <c r="D10462">
        <v>0.99815970502899998</v>
      </c>
      <c r="E10462">
        <v>5.69715142428785</v>
      </c>
    </row>
    <row r="10463" spans="1:5">
      <c r="A10463" t="s">
        <v>12078</v>
      </c>
      <c r="B10463" t="s">
        <v>12082</v>
      </c>
      <c r="C10463">
        <f>0</f>
        <v>0</v>
      </c>
      <c r="D10463">
        <v>0.99815970502899998</v>
      </c>
      <c r="E10463">
        <v>5.69715142428785</v>
      </c>
    </row>
    <row r="10464" spans="1:5">
      <c r="A10464" t="s">
        <v>12078</v>
      </c>
      <c r="B10464" t="s">
        <v>12083</v>
      </c>
      <c r="C10464">
        <v>0</v>
      </c>
      <c r="D10464">
        <v>0.99815970502899998</v>
      </c>
      <c r="E10464">
        <v>5.69715142428785</v>
      </c>
    </row>
    <row r="10465" spans="1:5">
      <c r="A10465" t="s">
        <v>12078</v>
      </c>
      <c r="B10465" t="s">
        <v>12084</v>
      </c>
      <c r="C10465">
        <v>7.9302091657100005E-2</v>
      </c>
      <c r="D10465">
        <v>0.99815970502899998</v>
      </c>
      <c r="E10465">
        <v>5.69715142428785</v>
      </c>
    </row>
    <row r="10466" spans="1:5">
      <c r="A10466" t="s">
        <v>12078</v>
      </c>
      <c r="B10466" t="s">
        <v>12085</v>
      </c>
      <c r="C10466">
        <v>0</v>
      </c>
      <c r="D10466">
        <v>0.99815970502899998</v>
      </c>
      <c r="E10466">
        <v>5.69715142428785</v>
      </c>
    </row>
    <row r="10467" spans="1:5">
      <c r="A10467" t="s">
        <v>12086</v>
      </c>
      <c r="B10467" t="s">
        <v>12087</v>
      </c>
      <c r="C10467">
        <v>0</v>
      </c>
      <c r="D10467">
        <v>0.97300990680999999</v>
      </c>
      <c r="E10467">
        <v>22.104947526236799</v>
      </c>
    </row>
    <row r="10468" spans="1:5">
      <c r="A10468" t="s">
        <v>12086</v>
      </c>
      <c r="B10468" t="s">
        <v>12088</v>
      </c>
      <c r="C10468">
        <v>0</v>
      </c>
      <c r="D10468">
        <v>0.97300990680999999</v>
      </c>
      <c r="E10468">
        <v>22.104947526236799</v>
      </c>
    </row>
    <row r="10469" spans="1:5">
      <c r="A10469" t="s">
        <v>12086</v>
      </c>
      <c r="B10469" t="s">
        <v>12089</v>
      </c>
      <c r="C10469">
        <v>0</v>
      </c>
      <c r="D10469">
        <v>0.97300990680999999</v>
      </c>
      <c r="E10469">
        <v>22.104947526236799</v>
      </c>
    </row>
    <row r="10470" spans="1:5">
      <c r="A10470" t="s">
        <v>12086</v>
      </c>
      <c r="B10470" t="s">
        <v>12090</v>
      </c>
      <c r="C10470">
        <f>0.0285450294939</f>
        <v>2.85450294939E-2</v>
      </c>
      <c r="D10470">
        <v>0.97300990680999999</v>
      </c>
      <c r="E10470">
        <v>22.104947526236799</v>
      </c>
    </row>
    <row r="10471" spans="1:5">
      <c r="A10471" t="s">
        <v>12086</v>
      </c>
      <c r="B10471" t="s">
        <v>12091</v>
      </c>
      <c r="C10471">
        <f>0</f>
        <v>0</v>
      </c>
      <c r="D10471">
        <v>0.97300990680999999</v>
      </c>
      <c r="E10471">
        <v>22.104947526236799</v>
      </c>
    </row>
    <row r="10472" spans="1:5">
      <c r="A10472" t="s">
        <v>12086</v>
      </c>
      <c r="B10472" t="s">
        <v>12092</v>
      </c>
      <c r="C10472">
        <v>0</v>
      </c>
      <c r="D10472">
        <v>0.97300990680999999</v>
      </c>
      <c r="E10472">
        <v>22.104947526236799</v>
      </c>
    </row>
    <row r="10473" spans="1:5">
      <c r="A10473" t="s">
        <v>12086</v>
      </c>
      <c r="B10473" t="s">
        <v>12093</v>
      </c>
      <c r="C10473">
        <f>0</f>
        <v>0</v>
      </c>
      <c r="D10473">
        <v>0.97300990680999999</v>
      </c>
      <c r="E10473">
        <v>22.104947526236799</v>
      </c>
    </row>
    <row r="10474" spans="1:5">
      <c r="A10474" t="s">
        <v>12086</v>
      </c>
      <c r="B10474" t="s">
        <v>12094</v>
      </c>
      <c r="C10474">
        <f>0</f>
        <v>0</v>
      </c>
      <c r="D10474">
        <v>0.97300990680999999</v>
      </c>
      <c r="E10474">
        <v>22.104947526236799</v>
      </c>
    </row>
    <row r="10475" spans="1:5">
      <c r="A10475" t="s">
        <v>12086</v>
      </c>
      <c r="B10475" t="s">
        <v>12095</v>
      </c>
      <c r="C10475">
        <f>0.159686957709</f>
        <v>0.15968695770899999</v>
      </c>
      <c r="D10475">
        <v>0.97300990680999999</v>
      </c>
      <c r="E10475">
        <v>22.104947526236799</v>
      </c>
    </row>
    <row r="10476" spans="1:5">
      <c r="A10476" t="s">
        <v>12096</v>
      </c>
      <c r="B10476" t="s">
        <v>12097</v>
      </c>
      <c r="C10476">
        <v>0</v>
      </c>
      <c r="D10476" t="s">
        <v>106</v>
      </c>
      <c r="E10476">
        <v>11.7061469265367</v>
      </c>
    </row>
    <row r="10477" spans="1:5">
      <c r="A10477" t="s">
        <v>12096</v>
      </c>
      <c r="B10477" t="s">
        <v>12098</v>
      </c>
      <c r="C10477">
        <f>0</f>
        <v>0</v>
      </c>
      <c r="D10477" t="s">
        <v>106</v>
      </c>
      <c r="E10477">
        <v>11.7061469265367</v>
      </c>
    </row>
    <row r="10478" spans="1:5">
      <c r="A10478" t="s">
        <v>12096</v>
      </c>
      <c r="B10478" t="s">
        <v>12099</v>
      </c>
      <c r="C10478">
        <v>0</v>
      </c>
      <c r="D10478" t="s">
        <v>106</v>
      </c>
      <c r="E10478">
        <v>11.7061469265367</v>
      </c>
    </row>
    <row r="10479" spans="1:5">
      <c r="A10479" t="s">
        <v>12096</v>
      </c>
      <c r="B10479" t="s">
        <v>12100</v>
      </c>
      <c r="C10479">
        <f>0</f>
        <v>0</v>
      </c>
      <c r="D10479" t="s">
        <v>106</v>
      </c>
      <c r="E10479">
        <v>11.7061469265367</v>
      </c>
    </row>
    <row r="10480" spans="1:5">
      <c r="A10480" t="s">
        <v>12096</v>
      </c>
      <c r="B10480" t="s">
        <v>12101</v>
      </c>
      <c r="C10480">
        <f>0</f>
        <v>0</v>
      </c>
      <c r="D10480" t="s">
        <v>106</v>
      </c>
      <c r="E10480">
        <v>11.7061469265367</v>
      </c>
    </row>
    <row r="10481" spans="1:5">
      <c r="A10481" t="s">
        <v>12096</v>
      </c>
      <c r="B10481" t="s">
        <v>12102</v>
      </c>
      <c r="C10481">
        <v>0</v>
      </c>
      <c r="D10481" t="s">
        <v>106</v>
      </c>
      <c r="E10481">
        <v>11.7061469265367</v>
      </c>
    </row>
    <row r="10482" spans="1:5">
      <c r="A10482" t="s">
        <v>12096</v>
      </c>
      <c r="B10482" t="s">
        <v>12103</v>
      </c>
      <c r="C10482">
        <v>0</v>
      </c>
      <c r="D10482" t="s">
        <v>106</v>
      </c>
      <c r="E10482">
        <v>11.7061469265367</v>
      </c>
    </row>
    <row r="10483" spans="1:5">
      <c r="A10483" t="s">
        <v>12096</v>
      </c>
      <c r="B10483" t="s">
        <v>12104</v>
      </c>
      <c r="C10483">
        <v>0</v>
      </c>
      <c r="D10483" t="s">
        <v>106</v>
      </c>
      <c r="E10483">
        <v>11.7061469265367</v>
      </c>
    </row>
    <row r="10484" spans="1:5">
      <c r="A10484" t="s">
        <v>12096</v>
      </c>
      <c r="B10484" t="s">
        <v>12105</v>
      </c>
      <c r="C10484">
        <v>0</v>
      </c>
      <c r="D10484" t="s">
        <v>106</v>
      </c>
      <c r="E10484">
        <v>11.7061469265367</v>
      </c>
    </row>
    <row r="10485" spans="1:5">
      <c r="A10485" t="s">
        <v>12096</v>
      </c>
      <c r="B10485" t="s">
        <v>12106</v>
      </c>
      <c r="C10485">
        <f>0</f>
        <v>0</v>
      </c>
      <c r="D10485" t="s">
        <v>106</v>
      </c>
      <c r="E10485">
        <v>11.7061469265367</v>
      </c>
    </row>
    <row r="10486" spans="1:5">
      <c r="A10486" t="s">
        <v>12096</v>
      </c>
      <c r="B10486" t="s">
        <v>12107</v>
      </c>
      <c r="C10486">
        <v>0</v>
      </c>
      <c r="D10486" t="s">
        <v>106</v>
      </c>
      <c r="E10486">
        <v>11.7061469265367</v>
      </c>
    </row>
    <row r="10487" spans="1:5">
      <c r="A10487" t="s">
        <v>12096</v>
      </c>
      <c r="B10487" t="s">
        <v>12108</v>
      </c>
      <c r="C10487">
        <f>0</f>
        <v>0</v>
      </c>
      <c r="D10487" t="s">
        <v>106</v>
      </c>
      <c r="E10487">
        <v>11.7061469265367</v>
      </c>
    </row>
    <row r="10488" spans="1:5">
      <c r="A10488" t="s">
        <v>12109</v>
      </c>
      <c r="B10488" t="s">
        <v>12110</v>
      </c>
      <c r="C10488">
        <v>0</v>
      </c>
      <c r="D10488">
        <v>0.78624784247900004</v>
      </c>
      <c r="E10488">
        <v>24</v>
      </c>
    </row>
    <row r="10489" spans="1:5">
      <c r="A10489" t="s">
        <v>12109</v>
      </c>
      <c r="B10489" t="s">
        <v>12111</v>
      </c>
      <c r="C10489">
        <v>0</v>
      </c>
      <c r="D10489">
        <v>0.78624784247900004</v>
      </c>
      <c r="E10489">
        <v>24</v>
      </c>
    </row>
    <row r="10490" spans="1:5">
      <c r="A10490" t="s">
        <v>12109</v>
      </c>
      <c r="B10490" t="s">
        <v>12112</v>
      </c>
      <c r="C10490">
        <v>0</v>
      </c>
      <c r="D10490">
        <v>0.78624784247900004</v>
      </c>
      <c r="E10490">
        <v>24</v>
      </c>
    </row>
    <row r="10491" spans="1:5">
      <c r="A10491" t="s">
        <v>12109</v>
      </c>
      <c r="B10491" t="s">
        <v>12113</v>
      </c>
      <c r="C10491">
        <f>0</f>
        <v>0</v>
      </c>
      <c r="D10491">
        <v>0.78624784247900004</v>
      </c>
      <c r="E10491">
        <v>24</v>
      </c>
    </row>
    <row r="10492" spans="1:5">
      <c r="A10492" t="s">
        <v>12109</v>
      </c>
      <c r="B10492" t="s">
        <v>12114</v>
      </c>
      <c r="C10492">
        <v>0</v>
      </c>
      <c r="D10492">
        <v>0.78624784247900004</v>
      </c>
      <c r="E10492">
        <v>24</v>
      </c>
    </row>
    <row r="10493" spans="1:5">
      <c r="A10493" t="s">
        <v>12115</v>
      </c>
      <c r="B10493" t="s">
        <v>12116</v>
      </c>
      <c r="C10493">
        <f>0</f>
        <v>0</v>
      </c>
      <c r="D10493" t="s">
        <v>106</v>
      </c>
      <c r="E10493">
        <v>5.9370314842578704</v>
      </c>
    </row>
    <row r="10494" spans="1:5">
      <c r="A10494" t="s">
        <v>12115</v>
      </c>
      <c r="B10494" t="s">
        <v>12117</v>
      </c>
      <c r="C10494">
        <v>0.117810944579</v>
      </c>
      <c r="D10494" t="s">
        <v>106</v>
      </c>
      <c r="E10494">
        <v>5.9370314842578704</v>
      </c>
    </row>
    <row r="10495" spans="1:5">
      <c r="A10495" t="s">
        <v>12115</v>
      </c>
      <c r="B10495" t="s">
        <v>12118</v>
      </c>
      <c r="C10495">
        <f>0</f>
        <v>0</v>
      </c>
      <c r="D10495" t="s">
        <v>106</v>
      </c>
      <c r="E10495">
        <v>5.9370314842578704</v>
      </c>
    </row>
    <row r="10496" spans="1:5">
      <c r="A10496" t="s">
        <v>12115</v>
      </c>
      <c r="B10496" t="s">
        <v>12119</v>
      </c>
      <c r="C10496">
        <v>0</v>
      </c>
      <c r="D10496" t="s">
        <v>106</v>
      </c>
      <c r="E10496">
        <v>5.9370314842578704</v>
      </c>
    </row>
    <row r="10497" spans="1:5">
      <c r="A10497" t="s">
        <v>12115</v>
      </c>
      <c r="B10497" t="s">
        <v>12120</v>
      </c>
      <c r="C10497">
        <f>0</f>
        <v>0</v>
      </c>
      <c r="D10497" t="s">
        <v>106</v>
      </c>
      <c r="E10497">
        <v>5.9370314842578704</v>
      </c>
    </row>
    <row r="10498" spans="1:5">
      <c r="A10498" t="s">
        <v>12115</v>
      </c>
      <c r="B10498" t="s">
        <v>12121</v>
      </c>
      <c r="C10498">
        <v>0</v>
      </c>
      <c r="D10498" t="s">
        <v>106</v>
      </c>
      <c r="E10498">
        <v>5.9370314842578704</v>
      </c>
    </row>
    <row r="10499" spans="1:5">
      <c r="A10499" t="s">
        <v>12122</v>
      </c>
      <c r="B10499" t="s">
        <v>12123</v>
      </c>
      <c r="C10499">
        <v>0</v>
      </c>
      <c r="D10499">
        <v>0.99622163398600005</v>
      </c>
      <c r="E10499">
        <v>1.00749625187406</v>
      </c>
    </row>
    <row r="10500" spans="1:5">
      <c r="A10500" t="s">
        <v>12122</v>
      </c>
      <c r="B10500" t="s">
        <v>12124</v>
      </c>
      <c r="C10500">
        <f>0.0213181220882</f>
        <v>2.1318122088200001E-2</v>
      </c>
      <c r="D10500">
        <v>0.99622163398600005</v>
      </c>
      <c r="E10500">
        <v>1.00749625187406</v>
      </c>
    </row>
    <row r="10501" spans="1:5">
      <c r="A10501" t="s">
        <v>12122</v>
      </c>
      <c r="B10501" t="s">
        <v>12125</v>
      </c>
      <c r="C10501">
        <v>0</v>
      </c>
      <c r="D10501">
        <v>0.99622163398600005</v>
      </c>
      <c r="E10501">
        <v>1.00749625187406</v>
      </c>
    </row>
    <row r="10502" spans="1:5">
      <c r="A10502" t="s">
        <v>12122</v>
      </c>
      <c r="B10502" t="s">
        <v>12126</v>
      </c>
      <c r="C10502">
        <v>0.599847986552</v>
      </c>
      <c r="D10502">
        <v>0.99622163398600005</v>
      </c>
      <c r="E10502">
        <v>1.00749625187406</v>
      </c>
    </row>
    <row r="10503" spans="1:5">
      <c r="A10503" t="s">
        <v>12122</v>
      </c>
      <c r="B10503" t="s">
        <v>12127</v>
      </c>
      <c r="C10503">
        <v>0</v>
      </c>
      <c r="D10503">
        <v>0.99622163398600005</v>
      </c>
      <c r="E10503">
        <v>1.00749625187406</v>
      </c>
    </row>
    <row r="10504" spans="1:5">
      <c r="A10504" t="s">
        <v>12122</v>
      </c>
      <c r="B10504" t="s">
        <v>12128</v>
      </c>
      <c r="C10504">
        <v>0</v>
      </c>
      <c r="D10504">
        <v>0.99622163398600005</v>
      </c>
      <c r="E10504">
        <v>1.00749625187406</v>
      </c>
    </row>
    <row r="10505" spans="1:5">
      <c r="A10505" t="s">
        <v>12129</v>
      </c>
      <c r="B10505" t="s">
        <v>12130</v>
      </c>
      <c r="C10505">
        <v>0</v>
      </c>
      <c r="D10505" t="s">
        <v>106</v>
      </c>
      <c r="E10505">
        <v>24</v>
      </c>
    </row>
    <row r="10506" spans="1:5">
      <c r="A10506" t="s">
        <v>12129</v>
      </c>
      <c r="B10506" t="s">
        <v>12131</v>
      </c>
      <c r="C10506">
        <v>0.144363844188</v>
      </c>
      <c r="D10506" t="s">
        <v>106</v>
      </c>
      <c r="E10506">
        <v>24</v>
      </c>
    </row>
    <row r="10507" spans="1:5">
      <c r="A10507" t="s">
        <v>12129</v>
      </c>
      <c r="B10507" t="s">
        <v>12132</v>
      </c>
      <c r="C10507">
        <v>3.8666033197899997E-2</v>
      </c>
      <c r="D10507" t="s">
        <v>106</v>
      </c>
      <c r="E10507">
        <v>24</v>
      </c>
    </row>
    <row r="10508" spans="1:5">
      <c r="A10508" t="s">
        <v>12129</v>
      </c>
      <c r="B10508" t="s">
        <v>12133</v>
      </c>
      <c r="C10508">
        <v>0</v>
      </c>
      <c r="D10508" t="s">
        <v>106</v>
      </c>
      <c r="E10508">
        <v>24</v>
      </c>
    </row>
    <row r="10509" spans="1:5">
      <c r="A10509" t="s">
        <v>12129</v>
      </c>
      <c r="B10509" t="s">
        <v>12134</v>
      </c>
      <c r="C10509">
        <f>0</f>
        <v>0</v>
      </c>
      <c r="D10509" t="s">
        <v>106</v>
      </c>
      <c r="E10509">
        <v>24</v>
      </c>
    </row>
    <row r="10510" spans="1:5">
      <c r="A10510" t="s">
        <v>12135</v>
      </c>
      <c r="B10510" t="s">
        <v>12136</v>
      </c>
      <c r="C10510">
        <v>7.0473167564399997E-3</v>
      </c>
      <c r="D10510">
        <v>0.35732049922699999</v>
      </c>
      <c r="E10510">
        <v>6.9325337331334298</v>
      </c>
    </row>
    <row r="10511" spans="1:5">
      <c r="A10511" t="s">
        <v>12135</v>
      </c>
      <c r="B10511" t="s">
        <v>12137</v>
      </c>
      <c r="C10511">
        <v>0.222114768287</v>
      </c>
      <c r="D10511">
        <v>0.35732049922699999</v>
      </c>
      <c r="E10511">
        <v>6.9325337331334298</v>
      </c>
    </row>
    <row r="10512" spans="1:5">
      <c r="A10512" t="s">
        <v>12138</v>
      </c>
      <c r="B10512" t="s">
        <v>12139</v>
      </c>
      <c r="C10512">
        <v>0.340804339038</v>
      </c>
      <c r="D10512">
        <v>0.99831057985100002</v>
      </c>
      <c r="E10512">
        <v>8.2878560719640095</v>
      </c>
    </row>
    <row r="10513" spans="1:5">
      <c r="A10513" t="s">
        <v>12138</v>
      </c>
      <c r="B10513" t="s">
        <v>12140</v>
      </c>
      <c r="C10513">
        <v>0.138181508043</v>
      </c>
      <c r="D10513">
        <v>0.99831057985100002</v>
      </c>
      <c r="E10513">
        <v>8.2878560719640095</v>
      </c>
    </row>
    <row r="10514" spans="1:5">
      <c r="A10514" t="s">
        <v>12141</v>
      </c>
      <c r="B10514" t="s">
        <v>12142</v>
      </c>
      <c r="C10514">
        <f>0</f>
        <v>0</v>
      </c>
      <c r="D10514" t="s">
        <v>106</v>
      </c>
      <c r="E10514">
        <v>6.1769115442278801</v>
      </c>
    </row>
    <row r="10515" spans="1:5">
      <c r="A10515" t="s">
        <v>12141</v>
      </c>
      <c r="B10515" t="s">
        <v>12143</v>
      </c>
      <c r="C10515">
        <f>0</f>
        <v>0</v>
      </c>
      <c r="D10515" t="s">
        <v>106</v>
      </c>
      <c r="E10515">
        <v>6.1769115442278801</v>
      </c>
    </row>
    <row r="10516" spans="1:5">
      <c r="A10516" t="s">
        <v>12141</v>
      </c>
      <c r="B10516" t="s">
        <v>12144</v>
      </c>
      <c r="C10516">
        <v>0.16489641308799999</v>
      </c>
      <c r="D10516" t="s">
        <v>106</v>
      </c>
      <c r="E10516">
        <v>6.1769115442278801</v>
      </c>
    </row>
    <row r="10517" spans="1:5">
      <c r="A10517" t="s">
        <v>12141</v>
      </c>
      <c r="B10517" t="s">
        <v>12145</v>
      </c>
      <c r="C10517">
        <f>0</f>
        <v>0</v>
      </c>
      <c r="D10517" t="s">
        <v>106</v>
      </c>
      <c r="E10517">
        <v>6.1769115442278801</v>
      </c>
    </row>
    <row r="10518" spans="1:5">
      <c r="A10518" t="s">
        <v>12141</v>
      </c>
      <c r="B10518" t="s">
        <v>12146</v>
      </c>
      <c r="C10518">
        <f>0</f>
        <v>0</v>
      </c>
      <c r="D10518" t="s">
        <v>106</v>
      </c>
      <c r="E10518">
        <v>6.1769115442278801</v>
      </c>
    </row>
    <row r="10519" spans="1:5">
      <c r="A10519" t="s">
        <v>12141</v>
      </c>
      <c r="B10519" t="s">
        <v>12147</v>
      </c>
      <c r="C10519">
        <f>0</f>
        <v>0</v>
      </c>
      <c r="D10519" t="s">
        <v>106</v>
      </c>
      <c r="E10519">
        <v>6.1769115442278801</v>
      </c>
    </row>
    <row r="10520" spans="1:5">
      <c r="A10520" t="s">
        <v>12141</v>
      </c>
      <c r="B10520" t="s">
        <v>12148</v>
      </c>
      <c r="C10520">
        <f>0.024347350585</f>
        <v>2.4347350585E-2</v>
      </c>
      <c r="D10520" t="s">
        <v>106</v>
      </c>
      <c r="E10520">
        <v>6.1769115442278801</v>
      </c>
    </row>
    <row r="10521" spans="1:5">
      <c r="A10521" t="s">
        <v>12141</v>
      </c>
      <c r="B10521" t="s">
        <v>12149</v>
      </c>
      <c r="C10521">
        <f>0</f>
        <v>0</v>
      </c>
      <c r="D10521" t="s">
        <v>106</v>
      </c>
      <c r="E10521">
        <v>6.1769115442278801</v>
      </c>
    </row>
    <row r="10522" spans="1:5">
      <c r="A10522" t="s">
        <v>12141</v>
      </c>
      <c r="B10522" t="s">
        <v>12150</v>
      </c>
      <c r="C10522">
        <f>0</f>
        <v>0</v>
      </c>
      <c r="D10522" t="s">
        <v>106</v>
      </c>
      <c r="E10522">
        <v>6.1769115442278801</v>
      </c>
    </row>
    <row r="10523" spans="1:5">
      <c r="A10523" t="s">
        <v>12141</v>
      </c>
      <c r="B10523" t="s">
        <v>12151</v>
      </c>
      <c r="C10523">
        <v>0</v>
      </c>
      <c r="D10523" t="s">
        <v>106</v>
      </c>
      <c r="E10523">
        <v>6.1769115442278801</v>
      </c>
    </row>
    <row r="10524" spans="1:5">
      <c r="A10524" t="s">
        <v>12152</v>
      </c>
      <c r="B10524" t="s">
        <v>12153</v>
      </c>
      <c r="C10524">
        <f>0.184481428678</f>
        <v>0.18448142867799999</v>
      </c>
      <c r="D10524">
        <v>0.97462897243900004</v>
      </c>
      <c r="E10524">
        <v>2.7106446776611599</v>
      </c>
    </row>
    <row r="10525" spans="1:5">
      <c r="A10525" t="s">
        <v>12152</v>
      </c>
      <c r="B10525" t="s">
        <v>12154</v>
      </c>
      <c r="C10525">
        <v>0</v>
      </c>
      <c r="D10525">
        <v>0.97462897243900004</v>
      </c>
      <c r="E10525">
        <v>2.7106446776611599</v>
      </c>
    </row>
    <row r="10526" spans="1:5">
      <c r="A10526" t="s">
        <v>12152</v>
      </c>
      <c r="B10526" t="s">
        <v>12155</v>
      </c>
      <c r="C10526">
        <f>0.370700722556</f>
        <v>0.37070072255600001</v>
      </c>
      <c r="D10526">
        <v>0.97462897243900004</v>
      </c>
      <c r="E10526">
        <v>2.7106446776611599</v>
      </c>
    </row>
    <row r="10527" spans="1:5">
      <c r="A10527" t="s">
        <v>12156</v>
      </c>
      <c r="B10527" t="s">
        <v>12157</v>
      </c>
      <c r="C10527">
        <v>0</v>
      </c>
      <c r="D10527" t="s">
        <v>106</v>
      </c>
      <c r="E10527">
        <v>7.0644677661169402</v>
      </c>
    </row>
    <row r="10528" spans="1:5">
      <c r="A10528" t="s">
        <v>12156</v>
      </c>
      <c r="B10528" t="s">
        <v>12158</v>
      </c>
      <c r="C10528">
        <v>0.229922938907</v>
      </c>
      <c r="D10528" t="s">
        <v>106</v>
      </c>
      <c r="E10528">
        <v>7.0644677661169402</v>
      </c>
    </row>
    <row r="10529" spans="1:5">
      <c r="A10529" t="s">
        <v>12156</v>
      </c>
      <c r="B10529" t="s">
        <v>12159</v>
      </c>
      <c r="C10529">
        <f>0</f>
        <v>0</v>
      </c>
      <c r="D10529" t="s">
        <v>106</v>
      </c>
      <c r="E10529">
        <v>7.0644677661169402</v>
      </c>
    </row>
    <row r="10530" spans="1:5">
      <c r="A10530" t="s">
        <v>12156</v>
      </c>
      <c r="B10530" t="s">
        <v>12160</v>
      </c>
      <c r="C10530">
        <v>0.143399868943</v>
      </c>
      <c r="D10530" t="s">
        <v>106</v>
      </c>
      <c r="E10530">
        <v>7.0644677661169402</v>
      </c>
    </row>
    <row r="10531" spans="1:5">
      <c r="A10531" t="s">
        <v>12156</v>
      </c>
      <c r="B10531" t="s">
        <v>12161</v>
      </c>
      <c r="C10531">
        <v>0</v>
      </c>
      <c r="D10531" t="s">
        <v>106</v>
      </c>
      <c r="E10531">
        <v>7.0644677661169402</v>
      </c>
    </row>
    <row r="10532" spans="1:5">
      <c r="A10532" t="s">
        <v>12156</v>
      </c>
      <c r="B10532" t="s">
        <v>12162</v>
      </c>
      <c r="C10532">
        <f>0</f>
        <v>0</v>
      </c>
      <c r="D10532" t="s">
        <v>106</v>
      </c>
      <c r="E10532">
        <v>7.0644677661169402</v>
      </c>
    </row>
    <row r="10533" spans="1:5">
      <c r="A10533" t="s">
        <v>12163</v>
      </c>
      <c r="B10533" t="s">
        <v>12164</v>
      </c>
      <c r="C10533">
        <v>0</v>
      </c>
      <c r="D10533" t="s">
        <v>106</v>
      </c>
      <c r="E10533">
        <v>2.0269865067466202</v>
      </c>
    </row>
    <row r="10534" spans="1:5">
      <c r="A10534" t="s">
        <v>12163</v>
      </c>
      <c r="B10534" t="s">
        <v>12165</v>
      </c>
      <c r="C10534">
        <v>0</v>
      </c>
      <c r="D10534" t="s">
        <v>106</v>
      </c>
      <c r="E10534">
        <v>2.0269865067466202</v>
      </c>
    </row>
    <row r="10535" spans="1:5">
      <c r="A10535" t="s">
        <v>12166</v>
      </c>
      <c r="B10535" t="s">
        <v>12167</v>
      </c>
      <c r="C10535">
        <f>0</f>
        <v>0</v>
      </c>
      <c r="D10535">
        <v>0.90405799711400003</v>
      </c>
      <c r="E10535">
        <v>1.7631184407796101</v>
      </c>
    </row>
    <row r="10536" spans="1:5">
      <c r="A10536" t="s">
        <v>12166</v>
      </c>
      <c r="B10536" t="s">
        <v>12168</v>
      </c>
      <c r="C10536">
        <f>0</f>
        <v>0</v>
      </c>
      <c r="D10536">
        <v>0.90405799711400003</v>
      </c>
      <c r="E10536">
        <v>1.7631184407796101</v>
      </c>
    </row>
    <row r="10537" spans="1:5">
      <c r="A10537" t="s">
        <v>12166</v>
      </c>
      <c r="B10537" t="s">
        <v>12169</v>
      </c>
      <c r="C10537">
        <f>0.196569432053</f>
        <v>0.19656943205300001</v>
      </c>
      <c r="D10537">
        <v>0.90405799711400003</v>
      </c>
      <c r="E10537">
        <v>1.7631184407796101</v>
      </c>
    </row>
    <row r="10538" spans="1:5">
      <c r="A10538" t="s">
        <v>12166</v>
      </c>
      <c r="B10538" t="s">
        <v>12170</v>
      </c>
      <c r="C10538">
        <f>0</f>
        <v>0</v>
      </c>
      <c r="D10538">
        <v>0.90405799711400003</v>
      </c>
      <c r="E10538">
        <v>1.7631184407796101</v>
      </c>
    </row>
    <row r="10539" spans="1:5">
      <c r="A10539" t="s">
        <v>12166</v>
      </c>
      <c r="B10539" t="s">
        <v>12171</v>
      </c>
      <c r="C10539">
        <f>0</f>
        <v>0</v>
      </c>
      <c r="D10539">
        <v>0.90405799711400003</v>
      </c>
      <c r="E10539">
        <v>1.7631184407796101</v>
      </c>
    </row>
    <row r="10540" spans="1:5">
      <c r="A10540" t="s">
        <v>12172</v>
      </c>
      <c r="B10540" t="s">
        <v>12173</v>
      </c>
      <c r="C10540">
        <f>0.208250726409</f>
        <v>0.208250726409</v>
      </c>
      <c r="D10540">
        <v>0.733864121983</v>
      </c>
      <c r="E10540">
        <v>2.96251874062968</v>
      </c>
    </row>
    <row r="10541" spans="1:5">
      <c r="A10541" t="s">
        <v>12174</v>
      </c>
      <c r="B10541" t="s">
        <v>12175</v>
      </c>
      <c r="C10541">
        <f>0.115524145465</f>
        <v>0.11552414546500001</v>
      </c>
      <c r="D10541">
        <v>0.86221409352599998</v>
      </c>
      <c r="E10541">
        <v>3.8740629685157399</v>
      </c>
    </row>
    <row r="10542" spans="1:5">
      <c r="A10542" t="s">
        <v>12174</v>
      </c>
      <c r="B10542" t="s">
        <v>12176</v>
      </c>
      <c r="C10542">
        <v>2.77309458799E-2</v>
      </c>
      <c r="D10542">
        <v>0.86221409352599998</v>
      </c>
      <c r="E10542">
        <v>3.8740629685157399</v>
      </c>
    </row>
    <row r="10543" spans="1:5">
      <c r="A10543" t="s">
        <v>12177</v>
      </c>
      <c r="B10543" t="s">
        <v>12178</v>
      </c>
      <c r="C10543">
        <f>0</f>
        <v>0</v>
      </c>
      <c r="D10543" t="s">
        <v>106</v>
      </c>
      <c r="E10543">
        <v>1.8230884557721101</v>
      </c>
    </row>
    <row r="10544" spans="1:5">
      <c r="A10544" t="s">
        <v>12179</v>
      </c>
      <c r="B10544" t="s">
        <v>12180</v>
      </c>
      <c r="C10544">
        <f>0</f>
        <v>0</v>
      </c>
      <c r="D10544">
        <v>0.99143657468299995</v>
      </c>
      <c r="E10544">
        <v>9.4632683658170897</v>
      </c>
    </row>
    <row r="10545" spans="1:5">
      <c r="A10545" t="s">
        <v>12179</v>
      </c>
      <c r="B10545" t="s">
        <v>12181</v>
      </c>
      <c r="C10545">
        <f>0.136893329888</f>
        <v>0.13689332988799999</v>
      </c>
      <c r="D10545">
        <v>0.99143657468299995</v>
      </c>
      <c r="E10545">
        <v>9.4632683658170897</v>
      </c>
    </row>
    <row r="10546" spans="1:5">
      <c r="A10546" t="s">
        <v>12179</v>
      </c>
      <c r="B10546" t="s">
        <v>12182</v>
      </c>
      <c r="C10546">
        <f>0.159096863541</f>
        <v>0.159096863541</v>
      </c>
      <c r="D10546">
        <v>0.99143657468299995</v>
      </c>
      <c r="E10546">
        <v>9.4632683658170897</v>
      </c>
    </row>
    <row r="10547" spans="1:5">
      <c r="A10547" t="s">
        <v>12179</v>
      </c>
      <c r="B10547" t="s">
        <v>12183</v>
      </c>
      <c r="C10547">
        <v>0</v>
      </c>
      <c r="D10547">
        <v>0.99143657468299995</v>
      </c>
      <c r="E10547">
        <v>9.4632683658170897</v>
      </c>
    </row>
    <row r="10548" spans="1:5">
      <c r="A10548" t="s">
        <v>12179</v>
      </c>
      <c r="B10548" t="s">
        <v>12184</v>
      </c>
      <c r="C10548">
        <f>0</f>
        <v>0</v>
      </c>
      <c r="D10548">
        <v>0.99143657468299995</v>
      </c>
      <c r="E10548">
        <v>9.4632683658170897</v>
      </c>
    </row>
    <row r="10549" spans="1:5">
      <c r="A10549" t="s">
        <v>12179</v>
      </c>
      <c r="B10549" t="s">
        <v>12185</v>
      </c>
      <c r="C10549">
        <f>0</f>
        <v>0</v>
      </c>
      <c r="D10549">
        <v>0.99143657468299995</v>
      </c>
      <c r="E10549">
        <v>9.4632683658170897</v>
      </c>
    </row>
    <row r="10550" spans="1:5">
      <c r="A10550" t="s">
        <v>12186</v>
      </c>
      <c r="B10550" t="s">
        <v>12187</v>
      </c>
      <c r="C10550">
        <v>0.55224305303099996</v>
      </c>
      <c r="D10550">
        <v>0.860269218994</v>
      </c>
      <c r="E10550">
        <v>6.2968515742128899</v>
      </c>
    </row>
    <row r="10551" spans="1:5">
      <c r="A10551" t="s">
        <v>12188</v>
      </c>
      <c r="B10551" t="s">
        <v>12189</v>
      </c>
      <c r="C10551">
        <f>0</f>
        <v>0</v>
      </c>
      <c r="D10551">
        <v>0.94211062138299995</v>
      </c>
      <c r="E10551">
        <v>20.2938530734632</v>
      </c>
    </row>
    <row r="10552" spans="1:5">
      <c r="A10552" t="s">
        <v>12188</v>
      </c>
      <c r="B10552" t="s">
        <v>12190</v>
      </c>
      <c r="C10552">
        <v>0</v>
      </c>
      <c r="D10552">
        <v>0.94211062138299995</v>
      </c>
      <c r="E10552">
        <v>20.2938530734632</v>
      </c>
    </row>
    <row r="10553" spans="1:5">
      <c r="A10553" t="s">
        <v>12188</v>
      </c>
      <c r="B10553" t="s">
        <v>12191</v>
      </c>
      <c r="C10553">
        <f>0</f>
        <v>0</v>
      </c>
      <c r="D10553">
        <v>0.94211062138299995</v>
      </c>
      <c r="E10553">
        <v>20.2938530734632</v>
      </c>
    </row>
    <row r="10554" spans="1:5">
      <c r="A10554" t="s">
        <v>12188</v>
      </c>
      <c r="B10554" t="s">
        <v>12192</v>
      </c>
      <c r="C10554">
        <v>0.20915536327500001</v>
      </c>
      <c r="D10554">
        <v>0.94211062138299995</v>
      </c>
      <c r="E10554">
        <v>20.2938530734632</v>
      </c>
    </row>
    <row r="10555" spans="1:5">
      <c r="A10555" t="s">
        <v>12188</v>
      </c>
      <c r="B10555" t="s">
        <v>12193</v>
      </c>
      <c r="C10555">
        <f>0</f>
        <v>0</v>
      </c>
      <c r="D10555">
        <v>0.94211062138299995</v>
      </c>
      <c r="E10555">
        <v>20.2938530734632</v>
      </c>
    </row>
    <row r="10556" spans="1:5">
      <c r="A10556" t="s">
        <v>12194</v>
      </c>
      <c r="B10556" t="s">
        <v>12195</v>
      </c>
      <c r="C10556">
        <v>0.51803954065400004</v>
      </c>
      <c r="D10556">
        <v>0.98120771229899995</v>
      </c>
      <c r="E10556">
        <v>8.3958020989505194E-2</v>
      </c>
    </row>
    <row r="10557" spans="1:5">
      <c r="A10557" t="s">
        <v>12194</v>
      </c>
      <c r="B10557" t="s">
        <v>12196</v>
      </c>
      <c r="C10557">
        <f>0</f>
        <v>0</v>
      </c>
      <c r="D10557">
        <v>0.98120771229899995</v>
      </c>
      <c r="E10557">
        <v>8.3958020989505194E-2</v>
      </c>
    </row>
    <row r="10558" spans="1:5">
      <c r="A10558" t="s">
        <v>12194</v>
      </c>
      <c r="B10558" t="s">
        <v>12197</v>
      </c>
      <c r="C10558">
        <f>0.530217529295</f>
        <v>0.53021752929499999</v>
      </c>
      <c r="D10558">
        <v>0.98120771229899995</v>
      </c>
      <c r="E10558">
        <v>8.3958020989505194E-2</v>
      </c>
    </row>
    <row r="10559" spans="1:5">
      <c r="A10559" t="s">
        <v>12198</v>
      </c>
      <c r="B10559" t="s">
        <v>12199</v>
      </c>
      <c r="C10559">
        <f>0.0976081861552</f>
        <v>9.7608186155200005E-2</v>
      </c>
      <c r="D10559">
        <v>0.85274148141600004</v>
      </c>
      <c r="E10559">
        <v>9.9190404797601204</v>
      </c>
    </row>
    <row r="10560" spans="1:5">
      <c r="A10560" t="s">
        <v>12198</v>
      </c>
      <c r="B10560" t="s">
        <v>12200</v>
      </c>
      <c r="C10560">
        <v>0</v>
      </c>
      <c r="D10560">
        <v>0.85274148141600004</v>
      </c>
      <c r="E10560">
        <v>9.9190404797601204</v>
      </c>
    </row>
    <row r="10561" spans="1:5">
      <c r="A10561" t="s">
        <v>12198</v>
      </c>
      <c r="B10561" t="s">
        <v>12201</v>
      </c>
      <c r="C10561">
        <v>0</v>
      </c>
      <c r="D10561">
        <v>0.85274148141600004</v>
      </c>
      <c r="E10561">
        <v>9.9190404797601204</v>
      </c>
    </row>
    <row r="10562" spans="1:5">
      <c r="A10562" t="s">
        <v>12198</v>
      </c>
      <c r="B10562" t="s">
        <v>12202</v>
      </c>
      <c r="C10562">
        <f>0</f>
        <v>0</v>
      </c>
      <c r="D10562">
        <v>0.85274148141600004</v>
      </c>
      <c r="E10562">
        <v>9.9190404797601204</v>
      </c>
    </row>
    <row r="10563" spans="1:5">
      <c r="A10563" t="s">
        <v>12198</v>
      </c>
      <c r="B10563" t="s">
        <v>12203</v>
      </c>
      <c r="C10563">
        <f>0.106757218796</f>
        <v>0.106757218796</v>
      </c>
      <c r="D10563">
        <v>0.85274148141600004</v>
      </c>
      <c r="E10563">
        <v>9.9190404797601204</v>
      </c>
    </row>
    <row r="10564" spans="1:5">
      <c r="A10564" t="s">
        <v>12198</v>
      </c>
      <c r="B10564" t="s">
        <v>12204</v>
      </c>
      <c r="C10564">
        <f>0</f>
        <v>0</v>
      </c>
      <c r="D10564">
        <v>0.85274148141600004</v>
      </c>
      <c r="E10564">
        <v>9.9190404797601204</v>
      </c>
    </row>
    <row r="10565" spans="1:5">
      <c r="A10565" t="s">
        <v>12198</v>
      </c>
      <c r="B10565" t="s">
        <v>12205</v>
      </c>
      <c r="C10565">
        <f>0</f>
        <v>0</v>
      </c>
      <c r="D10565">
        <v>0.85274148141600004</v>
      </c>
      <c r="E10565">
        <v>9.9190404797601204</v>
      </c>
    </row>
    <row r="10566" spans="1:5">
      <c r="A10566" t="s">
        <v>12198</v>
      </c>
      <c r="B10566" t="s">
        <v>12206</v>
      </c>
      <c r="C10566">
        <f>0</f>
        <v>0</v>
      </c>
      <c r="D10566">
        <v>0.85274148141600004</v>
      </c>
      <c r="E10566">
        <v>9.9190404797601204</v>
      </c>
    </row>
    <row r="10567" spans="1:5">
      <c r="A10567" t="s">
        <v>12198</v>
      </c>
      <c r="B10567" t="s">
        <v>12207</v>
      </c>
      <c r="C10567">
        <f>0</f>
        <v>0</v>
      </c>
      <c r="D10567">
        <v>0.85274148141600004</v>
      </c>
      <c r="E10567">
        <v>9.9190404797601204</v>
      </c>
    </row>
    <row r="10568" spans="1:5">
      <c r="A10568" t="s">
        <v>12208</v>
      </c>
      <c r="B10568" t="s">
        <v>12209</v>
      </c>
      <c r="C10568">
        <f>0</f>
        <v>0</v>
      </c>
      <c r="D10568">
        <v>0.31189288836899998</v>
      </c>
      <c r="E10568">
        <v>3.68215892053973</v>
      </c>
    </row>
    <row r="10569" spans="1:5">
      <c r="A10569" t="s">
        <v>12208</v>
      </c>
      <c r="B10569" t="s">
        <v>12210</v>
      </c>
      <c r="C10569">
        <f>0</f>
        <v>0</v>
      </c>
      <c r="D10569">
        <v>0.31189288836899998</v>
      </c>
      <c r="E10569">
        <v>3.68215892053973</v>
      </c>
    </row>
    <row r="10570" spans="1:5">
      <c r="A10570" t="s">
        <v>12208</v>
      </c>
      <c r="B10570" t="s">
        <v>12211</v>
      </c>
      <c r="C10570">
        <f>0</f>
        <v>0</v>
      </c>
      <c r="D10570">
        <v>0.31189288836899998</v>
      </c>
      <c r="E10570">
        <v>3.68215892053973</v>
      </c>
    </row>
    <row r="10571" spans="1:5">
      <c r="A10571" t="s">
        <v>12208</v>
      </c>
      <c r="B10571" t="s">
        <v>12212</v>
      </c>
      <c r="C10571">
        <f>0</f>
        <v>0</v>
      </c>
      <c r="D10571">
        <v>0.31189288836899998</v>
      </c>
      <c r="E10571">
        <v>3.68215892053973</v>
      </c>
    </row>
    <row r="10572" spans="1:5">
      <c r="A10572" t="s">
        <v>12208</v>
      </c>
      <c r="B10572" t="s">
        <v>12213</v>
      </c>
      <c r="C10572">
        <f>0</f>
        <v>0</v>
      </c>
      <c r="D10572">
        <v>0.31189288836899998</v>
      </c>
      <c r="E10572">
        <v>3.68215892053973</v>
      </c>
    </row>
    <row r="10573" spans="1:5">
      <c r="A10573" t="s">
        <v>12208</v>
      </c>
      <c r="B10573" t="s">
        <v>12214</v>
      </c>
      <c r="C10573">
        <v>0</v>
      </c>
      <c r="D10573">
        <v>0.31189288836899998</v>
      </c>
      <c r="E10573">
        <v>3.68215892053973</v>
      </c>
    </row>
    <row r="10574" spans="1:5">
      <c r="A10574" t="s">
        <v>12208</v>
      </c>
      <c r="B10574" t="s">
        <v>12215</v>
      </c>
      <c r="C10574">
        <v>0</v>
      </c>
      <c r="D10574">
        <v>0.31189288836899998</v>
      </c>
      <c r="E10574">
        <v>3.68215892053973</v>
      </c>
    </row>
    <row r="10575" spans="1:5">
      <c r="A10575" t="s">
        <v>12208</v>
      </c>
      <c r="B10575" t="s">
        <v>12216</v>
      </c>
      <c r="C10575">
        <v>0.120354562336</v>
      </c>
      <c r="D10575">
        <v>0.31189288836899998</v>
      </c>
      <c r="E10575">
        <v>3.68215892053973</v>
      </c>
    </row>
    <row r="10576" spans="1:5">
      <c r="A10576" t="s">
        <v>12208</v>
      </c>
      <c r="B10576" t="s">
        <v>12217</v>
      </c>
      <c r="C10576">
        <v>0</v>
      </c>
      <c r="D10576">
        <v>0.31189288836899998</v>
      </c>
      <c r="E10576">
        <v>3.68215892053973</v>
      </c>
    </row>
    <row r="10577" spans="1:5">
      <c r="A10577" t="s">
        <v>12218</v>
      </c>
      <c r="B10577" t="s">
        <v>12219</v>
      </c>
      <c r="C10577">
        <v>0</v>
      </c>
      <c r="D10577">
        <v>0.963259861218</v>
      </c>
      <c r="E10577">
        <v>1.89505247376311</v>
      </c>
    </row>
    <row r="10578" spans="1:5">
      <c r="A10578" t="s">
        <v>12218</v>
      </c>
      <c r="B10578" t="s">
        <v>12220</v>
      </c>
      <c r="C10578">
        <f>0.177446469232</f>
        <v>0.177446469232</v>
      </c>
      <c r="D10578">
        <v>0.963259861218</v>
      </c>
      <c r="E10578">
        <v>1.89505247376311</v>
      </c>
    </row>
    <row r="10579" spans="1:5">
      <c r="A10579" t="s">
        <v>12218</v>
      </c>
      <c r="B10579" t="s">
        <v>12221</v>
      </c>
      <c r="C10579">
        <f>0</f>
        <v>0</v>
      </c>
      <c r="D10579">
        <v>0.963259861218</v>
      </c>
      <c r="E10579">
        <v>1.89505247376311</v>
      </c>
    </row>
    <row r="10580" spans="1:5">
      <c r="A10580" t="s">
        <v>12218</v>
      </c>
      <c r="B10580" t="s">
        <v>12222</v>
      </c>
      <c r="C10580">
        <f>0</f>
        <v>0</v>
      </c>
      <c r="D10580">
        <v>0.963259861218</v>
      </c>
      <c r="E10580">
        <v>1.89505247376311</v>
      </c>
    </row>
    <row r="10581" spans="1:5">
      <c r="A10581" t="s">
        <v>12218</v>
      </c>
      <c r="B10581" t="s">
        <v>12223</v>
      </c>
      <c r="C10581">
        <v>3.5204371124699999E-2</v>
      </c>
      <c r="D10581">
        <v>0.963259861218</v>
      </c>
      <c r="E10581">
        <v>1.89505247376311</v>
      </c>
    </row>
    <row r="10582" spans="1:5">
      <c r="A10582" t="s">
        <v>12218</v>
      </c>
      <c r="B10582" t="s">
        <v>12224</v>
      </c>
      <c r="C10582">
        <v>0</v>
      </c>
      <c r="D10582">
        <v>0.963259861218</v>
      </c>
      <c r="E10582">
        <v>1.89505247376311</v>
      </c>
    </row>
    <row r="10583" spans="1:5">
      <c r="A10583" t="s">
        <v>12218</v>
      </c>
      <c r="B10583" t="s">
        <v>12225</v>
      </c>
      <c r="C10583">
        <f>0</f>
        <v>0</v>
      </c>
      <c r="D10583">
        <v>0.963259861218</v>
      </c>
      <c r="E10583">
        <v>1.89505247376311</v>
      </c>
    </row>
    <row r="10584" spans="1:5">
      <c r="A10584" t="s">
        <v>12218</v>
      </c>
      <c r="B10584" t="s">
        <v>12226</v>
      </c>
      <c r="C10584">
        <f>0</f>
        <v>0</v>
      </c>
      <c r="D10584">
        <v>0.963259861218</v>
      </c>
      <c r="E10584">
        <v>1.89505247376311</v>
      </c>
    </row>
    <row r="10585" spans="1:5">
      <c r="A10585" t="s">
        <v>12227</v>
      </c>
      <c r="B10585" t="s">
        <v>12228</v>
      </c>
      <c r="C10585">
        <v>5.2923748355699997E-2</v>
      </c>
      <c r="D10585">
        <v>0.99375913265500004</v>
      </c>
      <c r="E10585">
        <v>10.230884557721099</v>
      </c>
    </row>
    <row r="10586" spans="1:5">
      <c r="A10586" t="s">
        <v>12227</v>
      </c>
      <c r="B10586" t="s">
        <v>12229</v>
      </c>
      <c r="C10586">
        <v>0</v>
      </c>
      <c r="D10586">
        <v>0.99375913265500004</v>
      </c>
      <c r="E10586">
        <v>10.230884557721099</v>
      </c>
    </row>
    <row r="10587" spans="1:5">
      <c r="A10587" t="s">
        <v>12227</v>
      </c>
      <c r="B10587" t="s">
        <v>12230</v>
      </c>
      <c r="C10587">
        <v>0</v>
      </c>
      <c r="D10587">
        <v>0.99375913265500004</v>
      </c>
      <c r="E10587">
        <v>10.230884557721099</v>
      </c>
    </row>
    <row r="10588" spans="1:5">
      <c r="A10588" t="s">
        <v>12227</v>
      </c>
      <c r="B10588" t="s">
        <v>12231</v>
      </c>
      <c r="C10588">
        <v>0.16404983215899999</v>
      </c>
      <c r="D10588">
        <v>0.99375913265500004</v>
      </c>
      <c r="E10588">
        <v>10.230884557721099</v>
      </c>
    </row>
    <row r="10589" spans="1:5">
      <c r="A10589" t="s">
        <v>12232</v>
      </c>
      <c r="B10589" t="s">
        <v>12233</v>
      </c>
      <c r="C10589">
        <v>0.115411626554</v>
      </c>
      <c r="D10589">
        <v>0.59277361355199998</v>
      </c>
      <c r="E10589">
        <v>4.0659670164917499</v>
      </c>
    </row>
    <row r="10590" spans="1:5">
      <c r="A10590" t="s">
        <v>12232</v>
      </c>
      <c r="B10590" t="s">
        <v>12234</v>
      </c>
      <c r="C10590">
        <v>0</v>
      </c>
      <c r="D10590">
        <v>0.59277361355199998</v>
      </c>
      <c r="E10590">
        <v>4.0659670164917499</v>
      </c>
    </row>
    <row r="10591" spans="1:5">
      <c r="A10591" t="s">
        <v>12232</v>
      </c>
      <c r="B10591" t="s">
        <v>12235</v>
      </c>
      <c r="C10591">
        <v>0</v>
      </c>
      <c r="D10591">
        <v>0.59277361355199998</v>
      </c>
      <c r="E10591">
        <v>4.0659670164917499</v>
      </c>
    </row>
    <row r="10592" spans="1:5">
      <c r="A10592" t="s">
        <v>12232</v>
      </c>
      <c r="B10592" t="s">
        <v>12236</v>
      </c>
      <c r="C10592">
        <v>0</v>
      </c>
      <c r="D10592">
        <v>0.59277361355199998</v>
      </c>
      <c r="E10592">
        <v>4.0659670164917499</v>
      </c>
    </row>
    <row r="10593" spans="1:5">
      <c r="A10593" t="s">
        <v>12232</v>
      </c>
      <c r="B10593" t="s">
        <v>12237</v>
      </c>
      <c r="C10593">
        <v>0</v>
      </c>
      <c r="D10593">
        <v>0.59277361355199998</v>
      </c>
      <c r="E10593">
        <v>4.0659670164917499</v>
      </c>
    </row>
    <row r="10594" spans="1:5">
      <c r="A10594" t="s">
        <v>12232</v>
      </c>
      <c r="B10594" t="s">
        <v>12238</v>
      </c>
      <c r="C10594">
        <v>0</v>
      </c>
      <c r="D10594">
        <v>0.59277361355199998</v>
      </c>
      <c r="E10594">
        <v>4.0659670164917499</v>
      </c>
    </row>
    <row r="10595" spans="1:5">
      <c r="A10595" t="s">
        <v>12232</v>
      </c>
      <c r="B10595" t="s">
        <v>12239</v>
      </c>
      <c r="C10595">
        <v>0</v>
      </c>
      <c r="D10595">
        <v>0.59277361355199998</v>
      </c>
      <c r="E10595">
        <v>4.0659670164917499</v>
      </c>
    </row>
    <row r="10596" spans="1:5">
      <c r="A10596" t="s">
        <v>12232</v>
      </c>
      <c r="B10596" t="s">
        <v>12240</v>
      </c>
      <c r="C10596">
        <v>0</v>
      </c>
      <c r="D10596">
        <v>0.59277361355199998</v>
      </c>
      <c r="E10596">
        <v>4.0659670164917499</v>
      </c>
    </row>
    <row r="10597" spans="1:5">
      <c r="A10597" t="s">
        <v>12232</v>
      </c>
      <c r="B10597" t="s">
        <v>12241</v>
      </c>
      <c r="C10597">
        <f>0</f>
        <v>0</v>
      </c>
      <c r="D10597">
        <v>0.59277361355199998</v>
      </c>
      <c r="E10597">
        <v>4.0659670164917499</v>
      </c>
    </row>
    <row r="10598" spans="1:5">
      <c r="A10598" t="s">
        <v>12232</v>
      </c>
      <c r="B10598" t="s">
        <v>12242</v>
      </c>
      <c r="C10598">
        <v>0.30104998007900002</v>
      </c>
      <c r="D10598">
        <v>0.59277361355199998</v>
      </c>
      <c r="E10598">
        <v>4.0659670164917499</v>
      </c>
    </row>
    <row r="10599" spans="1:5">
      <c r="A10599" t="s">
        <v>12232</v>
      </c>
      <c r="B10599" t="s">
        <v>12243</v>
      </c>
      <c r="C10599">
        <v>0</v>
      </c>
      <c r="D10599">
        <v>0.59277361355199998</v>
      </c>
      <c r="E10599">
        <v>4.0659670164917499</v>
      </c>
    </row>
    <row r="10600" spans="1:5">
      <c r="A10600" t="s">
        <v>12232</v>
      </c>
      <c r="B10600" t="s">
        <v>12244</v>
      </c>
      <c r="C10600">
        <f>0</f>
        <v>0</v>
      </c>
      <c r="D10600">
        <v>0.59277361355199998</v>
      </c>
      <c r="E10600">
        <v>4.0659670164917499</v>
      </c>
    </row>
    <row r="10601" spans="1:5">
      <c r="A10601" t="s">
        <v>12232</v>
      </c>
      <c r="B10601" t="s">
        <v>12245</v>
      </c>
      <c r="C10601">
        <f>0</f>
        <v>0</v>
      </c>
      <c r="D10601">
        <v>0.59277361355199998</v>
      </c>
      <c r="E10601">
        <v>4.0659670164917499</v>
      </c>
    </row>
    <row r="10602" spans="1:5">
      <c r="A10602" t="s">
        <v>12232</v>
      </c>
      <c r="B10602" t="s">
        <v>12246</v>
      </c>
      <c r="C10602">
        <v>0</v>
      </c>
      <c r="D10602">
        <v>0.59277361355199998</v>
      </c>
      <c r="E10602">
        <v>4.0659670164917499</v>
      </c>
    </row>
    <row r="10603" spans="1:5">
      <c r="A10603" t="s">
        <v>12232</v>
      </c>
      <c r="B10603" t="s">
        <v>12247</v>
      </c>
      <c r="C10603">
        <v>0</v>
      </c>
      <c r="D10603">
        <v>0.59277361355199998</v>
      </c>
      <c r="E10603">
        <v>4.0659670164917499</v>
      </c>
    </row>
    <row r="10604" spans="1:5">
      <c r="A10604" t="s">
        <v>12232</v>
      </c>
      <c r="B10604" t="s">
        <v>12248</v>
      </c>
      <c r="C10604">
        <v>0</v>
      </c>
      <c r="D10604">
        <v>0.59277361355199998</v>
      </c>
      <c r="E10604">
        <v>4.0659670164917499</v>
      </c>
    </row>
    <row r="10605" spans="1:5">
      <c r="A10605" t="s">
        <v>12249</v>
      </c>
      <c r="B10605" t="s">
        <v>12250</v>
      </c>
      <c r="C10605">
        <f>0.0351072466242</f>
        <v>3.5107246624199999E-2</v>
      </c>
      <c r="D10605">
        <v>0.91035644472199995</v>
      </c>
      <c r="E10605">
        <v>8.4317841079460205</v>
      </c>
    </row>
    <row r="10606" spans="1:5">
      <c r="A10606" t="s">
        <v>12249</v>
      </c>
      <c r="B10606" t="s">
        <v>12251</v>
      </c>
      <c r="C10606">
        <f>0.115532885242</f>
        <v>0.11553288524200001</v>
      </c>
      <c r="D10606">
        <v>0.91035644472199995</v>
      </c>
      <c r="E10606">
        <v>8.4317841079460205</v>
      </c>
    </row>
    <row r="10607" spans="1:5">
      <c r="A10607" t="s">
        <v>12249</v>
      </c>
      <c r="B10607" t="s">
        <v>12252</v>
      </c>
      <c r="C10607">
        <f>0</f>
        <v>0</v>
      </c>
      <c r="D10607">
        <v>0.91035644472199995</v>
      </c>
      <c r="E10607">
        <v>8.4317841079460205</v>
      </c>
    </row>
    <row r="10608" spans="1:5">
      <c r="A10608" t="s">
        <v>12249</v>
      </c>
      <c r="B10608" t="s">
        <v>12253</v>
      </c>
      <c r="C10608">
        <v>0</v>
      </c>
      <c r="D10608">
        <v>0.91035644472199995</v>
      </c>
      <c r="E10608">
        <v>8.4317841079460205</v>
      </c>
    </row>
    <row r="10609" spans="1:5">
      <c r="A10609" t="s">
        <v>12249</v>
      </c>
      <c r="B10609" t="s">
        <v>12254</v>
      </c>
      <c r="C10609">
        <f>0</f>
        <v>0</v>
      </c>
      <c r="D10609">
        <v>0.91035644472199995</v>
      </c>
      <c r="E10609">
        <v>8.4317841079460205</v>
      </c>
    </row>
    <row r="10610" spans="1:5">
      <c r="A10610" t="s">
        <v>12249</v>
      </c>
      <c r="B10610" t="s">
        <v>12255</v>
      </c>
      <c r="C10610">
        <v>0</v>
      </c>
      <c r="D10610">
        <v>0.91035644472199995</v>
      </c>
      <c r="E10610">
        <v>8.4317841079460205</v>
      </c>
    </row>
    <row r="10611" spans="1:5">
      <c r="A10611" t="s">
        <v>12249</v>
      </c>
      <c r="B10611" t="s">
        <v>12256</v>
      </c>
      <c r="C10611">
        <f>0</f>
        <v>0</v>
      </c>
      <c r="D10611">
        <v>0.91035644472199995</v>
      </c>
      <c r="E10611">
        <v>8.4317841079460205</v>
      </c>
    </row>
    <row r="10612" spans="1:5">
      <c r="A10612" t="s">
        <v>12249</v>
      </c>
      <c r="B10612" t="s">
        <v>12257</v>
      </c>
      <c r="C10612">
        <v>0</v>
      </c>
      <c r="D10612">
        <v>0.91035644472199995</v>
      </c>
      <c r="E10612">
        <v>8.4317841079460205</v>
      </c>
    </row>
    <row r="10613" spans="1:5">
      <c r="A10613" t="s">
        <v>12258</v>
      </c>
      <c r="B10613" t="s">
        <v>12259</v>
      </c>
      <c r="C10613">
        <f>0</f>
        <v>0</v>
      </c>
      <c r="D10613">
        <v>0.97712332157699999</v>
      </c>
      <c r="E10613">
        <v>13.0854572713643</v>
      </c>
    </row>
    <row r="10614" spans="1:5">
      <c r="A10614" t="s">
        <v>12258</v>
      </c>
      <c r="B10614" t="s">
        <v>12260</v>
      </c>
      <c r="C10614">
        <f>0</f>
        <v>0</v>
      </c>
      <c r="D10614">
        <v>0.97712332157699999</v>
      </c>
      <c r="E10614">
        <v>13.0854572713643</v>
      </c>
    </row>
    <row r="10615" spans="1:5">
      <c r="A10615" t="s">
        <v>12258</v>
      </c>
      <c r="B10615" t="s">
        <v>12261</v>
      </c>
      <c r="C10615">
        <v>0</v>
      </c>
      <c r="D10615">
        <v>0.97712332157699999</v>
      </c>
      <c r="E10615">
        <v>13.0854572713643</v>
      </c>
    </row>
    <row r="10616" spans="1:5">
      <c r="A10616" t="s">
        <v>12258</v>
      </c>
      <c r="B10616" t="s">
        <v>12262</v>
      </c>
      <c r="C10616">
        <f>0</f>
        <v>0</v>
      </c>
      <c r="D10616">
        <v>0.97712332157699999</v>
      </c>
      <c r="E10616">
        <v>13.0854572713643</v>
      </c>
    </row>
    <row r="10617" spans="1:5">
      <c r="A10617" t="s">
        <v>12258</v>
      </c>
      <c r="B10617" t="s">
        <v>12263</v>
      </c>
      <c r="C10617">
        <f>0.185010424189</f>
        <v>0.18501042418899999</v>
      </c>
      <c r="D10617">
        <v>0.97712332157699999</v>
      </c>
      <c r="E10617">
        <v>13.0854572713643</v>
      </c>
    </row>
    <row r="10618" spans="1:5">
      <c r="A10618" t="s">
        <v>12258</v>
      </c>
      <c r="B10618" t="s">
        <v>12264</v>
      </c>
      <c r="C10618">
        <f>0</f>
        <v>0</v>
      </c>
      <c r="D10618">
        <v>0.97712332157699999</v>
      </c>
      <c r="E10618">
        <v>13.0854572713643</v>
      </c>
    </row>
    <row r="10619" spans="1:5">
      <c r="A10619" t="s">
        <v>12258</v>
      </c>
      <c r="B10619" t="s">
        <v>12265</v>
      </c>
      <c r="C10619">
        <f>0.178498088171</f>
        <v>0.17849808817099999</v>
      </c>
      <c r="D10619">
        <v>0.97712332157699999</v>
      </c>
      <c r="E10619">
        <v>13.0854572713643</v>
      </c>
    </row>
    <row r="10620" spans="1:5">
      <c r="A10620" t="s">
        <v>12258</v>
      </c>
      <c r="B10620" t="s">
        <v>12266</v>
      </c>
      <c r="C10620">
        <f>0</f>
        <v>0</v>
      </c>
      <c r="D10620">
        <v>0.97712332157699999</v>
      </c>
      <c r="E10620">
        <v>13.0854572713643</v>
      </c>
    </row>
    <row r="10621" spans="1:5">
      <c r="A10621" t="s">
        <v>12258</v>
      </c>
      <c r="B10621" t="s">
        <v>12267</v>
      </c>
      <c r="C10621">
        <v>0</v>
      </c>
      <c r="D10621">
        <v>0.97712332157699999</v>
      </c>
      <c r="E10621">
        <v>13.0854572713643</v>
      </c>
    </row>
    <row r="10622" spans="1:5">
      <c r="A10622" t="s">
        <v>12258</v>
      </c>
      <c r="B10622" t="s">
        <v>12268</v>
      </c>
      <c r="C10622">
        <f>0</f>
        <v>0</v>
      </c>
      <c r="D10622">
        <v>0.97712332157699999</v>
      </c>
      <c r="E10622">
        <v>13.0854572713643</v>
      </c>
    </row>
    <row r="10623" spans="1:5">
      <c r="A10623" t="s">
        <v>12258</v>
      </c>
      <c r="B10623" t="s">
        <v>12269</v>
      </c>
      <c r="C10623">
        <f>0</f>
        <v>0</v>
      </c>
      <c r="D10623">
        <v>0.97712332157699999</v>
      </c>
      <c r="E10623">
        <v>13.0854572713643</v>
      </c>
    </row>
    <row r="10624" spans="1:5">
      <c r="A10624" t="s">
        <v>12270</v>
      </c>
      <c r="B10624" t="s">
        <v>12271</v>
      </c>
      <c r="C10624">
        <f>0</f>
        <v>0</v>
      </c>
      <c r="D10624">
        <v>0.92845198624799996</v>
      </c>
      <c r="E10624">
        <v>1.7631184407796101</v>
      </c>
    </row>
    <row r="10625" spans="1:5">
      <c r="A10625" t="s">
        <v>12270</v>
      </c>
      <c r="B10625" t="s">
        <v>12272</v>
      </c>
      <c r="C10625">
        <f>0</f>
        <v>0</v>
      </c>
      <c r="D10625">
        <v>0.92845198624799996</v>
      </c>
      <c r="E10625">
        <v>1.7631184407796101</v>
      </c>
    </row>
    <row r="10626" spans="1:5">
      <c r="A10626" t="s">
        <v>12270</v>
      </c>
      <c r="B10626" t="s">
        <v>12273</v>
      </c>
      <c r="C10626">
        <v>0</v>
      </c>
      <c r="D10626">
        <v>0.92845198624799996</v>
      </c>
      <c r="E10626">
        <v>1.7631184407796101</v>
      </c>
    </row>
    <row r="10627" spans="1:5">
      <c r="A10627" t="s">
        <v>12270</v>
      </c>
      <c r="B10627" t="s">
        <v>12274</v>
      </c>
      <c r="C10627">
        <f>0</f>
        <v>0</v>
      </c>
      <c r="D10627">
        <v>0.92845198624799996</v>
      </c>
      <c r="E10627">
        <v>1.7631184407796101</v>
      </c>
    </row>
    <row r="10628" spans="1:5">
      <c r="A10628" t="s">
        <v>12270</v>
      </c>
      <c r="B10628" t="s">
        <v>12275</v>
      </c>
      <c r="C10628">
        <f>0</f>
        <v>0</v>
      </c>
      <c r="D10628">
        <v>0.92845198624799996</v>
      </c>
      <c r="E10628">
        <v>1.7631184407796101</v>
      </c>
    </row>
    <row r="10629" spans="1:5">
      <c r="A10629" t="s">
        <v>12270</v>
      </c>
      <c r="B10629" t="s">
        <v>12276</v>
      </c>
      <c r="C10629">
        <f>0</f>
        <v>0</v>
      </c>
      <c r="D10629">
        <v>0.92845198624799996</v>
      </c>
      <c r="E10629">
        <v>1.7631184407796101</v>
      </c>
    </row>
    <row r="10630" spans="1:5">
      <c r="A10630" t="s">
        <v>12270</v>
      </c>
      <c r="B10630" t="s">
        <v>12277</v>
      </c>
      <c r="C10630">
        <f>0</f>
        <v>0</v>
      </c>
      <c r="D10630">
        <v>0.92845198624799996</v>
      </c>
      <c r="E10630">
        <v>1.7631184407796101</v>
      </c>
    </row>
    <row r="10631" spans="1:5">
      <c r="A10631" t="s">
        <v>12270</v>
      </c>
      <c r="B10631" t="s">
        <v>12278</v>
      </c>
      <c r="C10631">
        <f>0.0302148186473</f>
        <v>3.0214818647299999E-2</v>
      </c>
      <c r="D10631">
        <v>0.92845198624799996</v>
      </c>
      <c r="E10631">
        <v>1.7631184407796101</v>
      </c>
    </row>
    <row r="10632" spans="1:5">
      <c r="A10632" t="s">
        <v>12279</v>
      </c>
      <c r="B10632" t="s">
        <v>12280</v>
      </c>
      <c r="C10632">
        <f>0</f>
        <v>0</v>
      </c>
      <c r="D10632">
        <v>0.88123924904100004</v>
      </c>
      <c r="E10632">
        <v>13.625187406296799</v>
      </c>
    </row>
    <row r="10633" spans="1:5">
      <c r="A10633" t="s">
        <v>12279</v>
      </c>
      <c r="B10633" t="s">
        <v>12281</v>
      </c>
      <c r="C10633">
        <v>0</v>
      </c>
      <c r="D10633">
        <v>0.88123924904100004</v>
      </c>
      <c r="E10633">
        <v>13.625187406296799</v>
      </c>
    </row>
    <row r="10634" spans="1:5">
      <c r="A10634" t="s">
        <v>12279</v>
      </c>
      <c r="B10634" t="s">
        <v>12282</v>
      </c>
      <c r="C10634">
        <f>0</f>
        <v>0</v>
      </c>
      <c r="D10634">
        <v>0.88123924904100004</v>
      </c>
      <c r="E10634">
        <v>13.625187406296799</v>
      </c>
    </row>
    <row r="10635" spans="1:5">
      <c r="A10635" t="s">
        <v>12279</v>
      </c>
      <c r="B10635" t="s">
        <v>12283</v>
      </c>
      <c r="C10635">
        <v>0.12864178034099999</v>
      </c>
      <c r="D10635">
        <v>0.88123924904100004</v>
      </c>
      <c r="E10635">
        <v>13.625187406296799</v>
      </c>
    </row>
    <row r="10636" spans="1:5">
      <c r="A10636" t="s">
        <v>12279</v>
      </c>
      <c r="B10636" t="s">
        <v>12284</v>
      </c>
      <c r="C10636">
        <f>0.0673993411663</f>
        <v>6.7399341166300003E-2</v>
      </c>
      <c r="D10636">
        <v>0.88123924904100004</v>
      </c>
      <c r="E10636">
        <v>13.625187406296799</v>
      </c>
    </row>
    <row r="10637" spans="1:5">
      <c r="A10637" t="s">
        <v>12285</v>
      </c>
      <c r="B10637" t="s">
        <v>12286</v>
      </c>
      <c r="C10637">
        <v>0.16797777933300001</v>
      </c>
      <c r="D10637">
        <v>0.99936543748600004</v>
      </c>
      <c r="E10637">
        <v>12.5577211394302</v>
      </c>
    </row>
    <row r="10638" spans="1:5">
      <c r="A10638" t="s">
        <v>12285</v>
      </c>
      <c r="B10638" t="s">
        <v>12287</v>
      </c>
      <c r="C10638">
        <v>0</v>
      </c>
      <c r="D10638">
        <v>0.99936543748600004</v>
      </c>
      <c r="E10638">
        <v>12.5577211394302</v>
      </c>
    </row>
    <row r="10639" spans="1:5">
      <c r="A10639" t="s">
        <v>12285</v>
      </c>
      <c r="B10639" t="s">
        <v>12288</v>
      </c>
      <c r="C10639">
        <v>0</v>
      </c>
      <c r="D10639">
        <v>0.99936543748600004</v>
      </c>
      <c r="E10639">
        <v>12.5577211394302</v>
      </c>
    </row>
    <row r="10640" spans="1:5">
      <c r="A10640" t="s">
        <v>12285</v>
      </c>
      <c r="B10640" t="s">
        <v>12289</v>
      </c>
      <c r="C10640">
        <v>0</v>
      </c>
      <c r="D10640">
        <v>0.99936543748600004</v>
      </c>
      <c r="E10640">
        <v>12.5577211394302</v>
      </c>
    </row>
    <row r="10641" spans="1:5">
      <c r="A10641" t="s">
        <v>12285</v>
      </c>
      <c r="B10641" t="s">
        <v>12290</v>
      </c>
      <c r="C10641">
        <v>0</v>
      </c>
      <c r="D10641">
        <v>0.99936543748600004</v>
      </c>
      <c r="E10641">
        <v>12.5577211394302</v>
      </c>
    </row>
    <row r="10642" spans="1:5">
      <c r="A10642" t="s">
        <v>12285</v>
      </c>
      <c r="B10642" t="s">
        <v>12291</v>
      </c>
      <c r="C10642">
        <v>0</v>
      </c>
      <c r="D10642">
        <v>0.99936543748600004</v>
      </c>
      <c r="E10642">
        <v>12.5577211394302</v>
      </c>
    </row>
    <row r="10643" spans="1:5">
      <c r="A10643" t="s">
        <v>12285</v>
      </c>
      <c r="B10643" t="s">
        <v>12292</v>
      </c>
      <c r="C10643">
        <v>0.14946190165199999</v>
      </c>
      <c r="D10643">
        <v>0.99936543748600004</v>
      </c>
      <c r="E10643">
        <v>12.5577211394302</v>
      </c>
    </row>
    <row r="10644" spans="1:5">
      <c r="A10644" t="s">
        <v>12285</v>
      </c>
      <c r="B10644" t="s">
        <v>12293</v>
      </c>
      <c r="C10644">
        <v>0</v>
      </c>
      <c r="D10644">
        <v>0.99936543748600004</v>
      </c>
      <c r="E10644">
        <v>12.5577211394302</v>
      </c>
    </row>
    <row r="10645" spans="1:5">
      <c r="A10645" t="s">
        <v>12285</v>
      </c>
      <c r="B10645" t="s">
        <v>12294</v>
      </c>
      <c r="C10645">
        <v>0</v>
      </c>
      <c r="D10645">
        <v>0.99936543748600004</v>
      </c>
      <c r="E10645">
        <v>12.5577211394302</v>
      </c>
    </row>
    <row r="10646" spans="1:5">
      <c r="A10646" t="s">
        <v>12295</v>
      </c>
      <c r="B10646" t="s">
        <v>12296</v>
      </c>
      <c r="C10646">
        <v>0</v>
      </c>
      <c r="D10646">
        <v>0.93242140875400004</v>
      </c>
      <c r="E10646">
        <v>3.5862068965517202</v>
      </c>
    </row>
    <row r="10647" spans="1:5">
      <c r="A10647" t="s">
        <v>12295</v>
      </c>
      <c r="B10647" t="s">
        <v>12297</v>
      </c>
      <c r="C10647">
        <f>0</f>
        <v>0</v>
      </c>
      <c r="D10647">
        <v>0.93242140875400004</v>
      </c>
      <c r="E10647">
        <v>3.5862068965517202</v>
      </c>
    </row>
    <row r="10648" spans="1:5">
      <c r="A10648" t="s">
        <v>12295</v>
      </c>
      <c r="B10648" t="s">
        <v>12298</v>
      </c>
      <c r="C10648">
        <v>0</v>
      </c>
      <c r="D10648">
        <v>0.93242140875400004</v>
      </c>
      <c r="E10648">
        <v>3.5862068965517202</v>
      </c>
    </row>
    <row r="10649" spans="1:5">
      <c r="A10649" t="s">
        <v>12295</v>
      </c>
      <c r="B10649" t="s">
        <v>12299</v>
      </c>
      <c r="C10649">
        <f>0</f>
        <v>0</v>
      </c>
      <c r="D10649">
        <v>0.93242140875400004</v>
      </c>
      <c r="E10649">
        <v>3.5862068965517202</v>
      </c>
    </row>
    <row r="10650" spans="1:5">
      <c r="A10650" t="s">
        <v>12295</v>
      </c>
      <c r="B10650" t="s">
        <v>12300</v>
      </c>
      <c r="C10650">
        <f>0</f>
        <v>0</v>
      </c>
      <c r="D10650">
        <v>0.93242140875400004</v>
      </c>
      <c r="E10650">
        <v>3.5862068965517202</v>
      </c>
    </row>
    <row r="10651" spans="1:5">
      <c r="A10651" t="s">
        <v>12295</v>
      </c>
      <c r="B10651" t="s">
        <v>12301</v>
      </c>
      <c r="C10651">
        <v>0</v>
      </c>
      <c r="D10651">
        <v>0.93242140875400004</v>
      </c>
      <c r="E10651">
        <v>3.5862068965517202</v>
      </c>
    </row>
    <row r="10652" spans="1:5">
      <c r="A10652" t="s">
        <v>12295</v>
      </c>
      <c r="B10652" t="s">
        <v>12302</v>
      </c>
      <c r="C10652">
        <v>0</v>
      </c>
      <c r="D10652">
        <v>0.93242140875400004</v>
      </c>
      <c r="E10652">
        <v>3.5862068965517202</v>
      </c>
    </row>
    <row r="10653" spans="1:5">
      <c r="A10653" t="s">
        <v>12303</v>
      </c>
      <c r="B10653" t="s">
        <v>12304</v>
      </c>
      <c r="C10653">
        <f>0</f>
        <v>0</v>
      </c>
      <c r="D10653">
        <v>0.98617928393700005</v>
      </c>
      <c r="E10653">
        <v>9.3073463268365799</v>
      </c>
    </row>
    <row r="10654" spans="1:5">
      <c r="A10654" t="s">
        <v>12303</v>
      </c>
      <c r="B10654" t="s">
        <v>12305</v>
      </c>
      <c r="C10654">
        <v>0</v>
      </c>
      <c r="D10654">
        <v>0.98617928393700005</v>
      </c>
      <c r="E10654">
        <v>9.3073463268365799</v>
      </c>
    </row>
    <row r="10655" spans="1:5">
      <c r="A10655" t="s">
        <v>12303</v>
      </c>
      <c r="B10655" t="s">
        <v>12306</v>
      </c>
      <c r="C10655">
        <f>0</f>
        <v>0</v>
      </c>
      <c r="D10655">
        <v>0.98617928393700005</v>
      </c>
      <c r="E10655">
        <v>9.3073463268365799</v>
      </c>
    </row>
    <row r="10656" spans="1:5">
      <c r="A10656" t="s">
        <v>12303</v>
      </c>
      <c r="B10656" t="s">
        <v>12307</v>
      </c>
      <c r="C10656">
        <f>0.119180669849</f>
        <v>0.119180669849</v>
      </c>
      <c r="D10656">
        <v>0.98617928393700005</v>
      </c>
      <c r="E10656">
        <v>9.3073463268365799</v>
      </c>
    </row>
    <row r="10657" spans="1:5">
      <c r="A10657" t="s">
        <v>12303</v>
      </c>
      <c r="B10657" t="s">
        <v>12308</v>
      </c>
      <c r="C10657">
        <f>0.311345992915</f>
        <v>0.31134599291499998</v>
      </c>
      <c r="D10657">
        <v>0.98617928393700005</v>
      </c>
      <c r="E10657">
        <v>9.3073463268365799</v>
      </c>
    </row>
    <row r="10658" spans="1:5">
      <c r="A10658" t="s">
        <v>12303</v>
      </c>
      <c r="B10658" t="s">
        <v>12309</v>
      </c>
      <c r="C10658">
        <f>0.0231057559816</f>
        <v>2.3105755981600001E-2</v>
      </c>
      <c r="D10658">
        <v>0.98617928393700005</v>
      </c>
      <c r="E10658">
        <v>9.3073463268365799</v>
      </c>
    </row>
    <row r="10659" spans="1:5">
      <c r="A10659" t="s">
        <v>12303</v>
      </c>
      <c r="B10659" t="s">
        <v>12310</v>
      </c>
      <c r="C10659">
        <v>0</v>
      </c>
      <c r="D10659">
        <v>0.98617928393700005</v>
      </c>
      <c r="E10659">
        <v>9.3073463268365799</v>
      </c>
    </row>
    <row r="10660" spans="1:5">
      <c r="A10660" t="s">
        <v>12303</v>
      </c>
      <c r="B10660" t="s">
        <v>12311</v>
      </c>
      <c r="C10660">
        <f>0</f>
        <v>0</v>
      </c>
      <c r="D10660">
        <v>0.98617928393700005</v>
      </c>
      <c r="E10660">
        <v>9.3073463268365799</v>
      </c>
    </row>
    <row r="10661" spans="1:5">
      <c r="A10661" t="s">
        <v>12312</v>
      </c>
      <c r="B10661" t="s">
        <v>12313</v>
      </c>
      <c r="C10661">
        <f>0</f>
        <v>0</v>
      </c>
      <c r="D10661">
        <v>0.90534520269399998</v>
      </c>
      <c r="E10661">
        <v>1.6911544227886</v>
      </c>
    </row>
    <row r="10662" spans="1:5">
      <c r="A10662" t="s">
        <v>12312</v>
      </c>
      <c r="B10662" t="s">
        <v>12314</v>
      </c>
      <c r="C10662">
        <f>0.150716352185</f>
        <v>0.15071635218500001</v>
      </c>
      <c r="D10662">
        <v>0.90534520269399998</v>
      </c>
      <c r="E10662">
        <v>1.6911544227886</v>
      </c>
    </row>
    <row r="10663" spans="1:5">
      <c r="A10663" t="s">
        <v>12312</v>
      </c>
      <c r="B10663" t="s">
        <v>12315</v>
      </c>
      <c r="C10663">
        <f>0</f>
        <v>0</v>
      </c>
      <c r="D10663">
        <v>0.90534520269399998</v>
      </c>
      <c r="E10663">
        <v>1.6911544227886</v>
      </c>
    </row>
    <row r="10664" spans="1:5">
      <c r="A10664" t="s">
        <v>12312</v>
      </c>
      <c r="B10664" t="s">
        <v>12316</v>
      </c>
      <c r="C10664">
        <f>0</f>
        <v>0</v>
      </c>
      <c r="D10664">
        <v>0.90534520269399998</v>
      </c>
      <c r="E10664">
        <v>1.6911544227886</v>
      </c>
    </row>
    <row r="10665" spans="1:5">
      <c r="A10665" t="s">
        <v>12312</v>
      </c>
      <c r="B10665" t="s">
        <v>12317</v>
      </c>
      <c r="C10665">
        <f>0</f>
        <v>0</v>
      </c>
      <c r="D10665">
        <v>0.90534520269399998</v>
      </c>
      <c r="E10665">
        <v>1.6911544227886</v>
      </c>
    </row>
    <row r="10666" spans="1:5">
      <c r="A10666" t="s">
        <v>12312</v>
      </c>
      <c r="B10666" t="s">
        <v>12318</v>
      </c>
      <c r="C10666">
        <f>0</f>
        <v>0</v>
      </c>
      <c r="D10666">
        <v>0.90534520269399998</v>
      </c>
      <c r="E10666">
        <v>1.6911544227886</v>
      </c>
    </row>
    <row r="10667" spans="1:5">
      <c r="A10667" t="s">
        <v>12312</v>
      </c>
      <c r="B10667" t="s">
        <v>12319</v>
      </c>
      <c r="C10667">
        <v>0</v>
      </c>
      <c r="D10667">
        <v>0.90534520269399998</v>
      </c>
      <c r="E10667">
        <v>1.6911544227886</v>
      </c>
    </row>
    <row r="10668" spans="1:5">
      <c r="A10668" t="s">
        <v>12312</v>
      </c>
      <c r="B10668" t="s">
        <v>12320</v>
      </c>
      <c r="C10668">
        <f>0.0427251697866</f>
        <v>4.2725169786600001E-2</v>
      </c>
      <c r="D10668">
        <v>0.90534520269399998</v>
      </c>
      <c r="E10668">
        <v>1.6911544227886</v>
      </c>
    </row>
    <row r="10669" spans="1:5">
      <c r="A10669" t="s">
        <v>12321</v>
      </c>
      <c r="B10669" t="s">
        <v>12322</v>
      </c>
      <c r="C10669">
        <f>0</f>
        <v>0</v>
      </c>
      <c r="D10669">
        <v>0.99502505020900001</v>
      </c>
      <c r="E10669">
        <v>11.370314842578701</v>
      </c>
    </row>
    <row r="10670" spans="1:5">
      <c r="A10670" t="s">
        <v>12321</v>
      </c>
      <c r="B10670" t="s">
        <v>12323</v>
      </c>
      <c r="C10670">
        <f>0.104519123088</f>
        <v>0.104519123088</v>
      </c>
      <c r="D10670">
        <v>0.99502505020900001</v>
      </c>
      <c r="E10670">
        <v>11.370314842578701</v>
      </c>
    </row>
    <row r="10671" spans="1:5">
      <c r="A10671" t="s">
        <v>12321</v>
      </c>
      <c r="B10671" t="s">
        <v>12324</v>
      </c>
      <c r="C10671">
        <f>0</f>
        <v>0</v>
      </c>
      <c r="D10671">
        <v>0.99502505020900001</v>
      </c>
      <c r="E10671">
        <v>11.370314842578701</v>
      </c>
    </row>
    <row r="10672" spans="1:5">
      <c r="A10672" t="s">
        <v>12321</v>
      </c>
      <c r="B10672" t="s">
        <v>12325</v>
      </c>
      <c r="C10672">
        <f>0</f>
        <v>0</v>
      </c>
      <c r="D10672">
        <v>0.99502505020900001</v>
      </c>
      <c r="E10672">
        <v>11.370314842578701</v>
      </c>
    </row>
    <row r="10673" spans="1:5">
      <c r="A10673" t="s">
        <v>12321</v>
      </c>
      <c r="B10673" t="s">
        <v>12326</v>
      </c>
      <c r="C10673">
        <v>0</v>
      </c>
      <c r="D10673">
        <v>0.99502505020900001</v>
      </c>
      <c r="E10673">
        <v>11.370314842578701</v>
      </c>
    </row>
    <row r="10674" spans="1:5">
      <c r="A10674" t="s">
        <v>12321</v>
      </c>
      <c r="B10674" t="s">
        <v>12327</v>
      </c>
      <c r="C10674">
        <v>0</v>
      </c>
      <c r="D10674">
        <v>0.99502505020900001</v>
      </c>
      <c r="E10674">
        <v>11.370314842578701</v>
      </c>
    </row>
    <row r="10675" spans="1:5">
      <c r="A10675" t="s">
        <v>12321</v>
      </c>
      <c r="B10675" t="s">
        <v>12328</v>
      </c>
      <c r="C10675">
        <f>0.40305222924</f>
        <v>0.40305222924</v>
      </c>
      <c r="D10675">
        <v>0.99502505020900001</v>
      </c>
      <c r="E10675">
        <v>11.370314842578701</v>
      </c>
    </row>
    <row r="10676" spans="1:5">
      <c r="A10676" t="s">
        <v>12329</v>
      </c>
      <c r="B10676" t="s">
        <v>12330</v>
      </c>
      <c r="C10676">
        <f>0</f>
        <v>0</v>
      </c>
      <c r="D10676">
        <v>0.94076844606400001</v>
      </c>
      <c r="E10676">
        <v>9.1634182908545707</v>
      </c>
    </row>
    <row r="10677" spans="1:5">
      <c r="A10677" t="s">
        <v>12329</v>
      </c>
      <c r="B10677" t="s">
        <v>12331</v>
      </c>
      <c r="C10677">
        <f>0</f>
        <v>0</v>
      </c>
      <c r="D10677">
        <v>0.94076844606400001</v>
      </c>
      <c r="E10677">
        <v>9.1634182908545707</v>
      </c>
    </row>
    <row r="10678" spans="1:5">
      <c r="A10678" t="s">
        <v>12329</v>
      </c>
      <c r="B10678" t="s">
        <v>12332</v>
      </c>
      <c r="C10678">
        <f>0.0702973034299</f>
        <v>7.0297303429899996E-2</v>
      </c>
      <c r="D10678">
        <v>0.94076844606400001</v>
      </c>
      <c r="E10678">
        <v>9.1634182908545707</v>
      </c>
    </row>
    <row r="10679" spans="1:5">
      <c r="A10679" t="s">
        <v>12329</v>
      </c>
      <c r="B10679" t="s">
        <v>12333</v>
      </c>
      <c r="C10679">
        <f>0.344405932791</f>
        <v>0.34440593279100001</v>
      </c>
      <c r="D10679">
        <v>0.94076844606400001</v>
      </c>
      <c r="E10679">
        <v>9.1634182908545707</v>
      </c>
    </row>
    <row r="10680" spans="1:5">
      <c r="A10680" t="s">
        <v>12329</v>
      </c>
      <c r="B10680" t="s">
        <v>12334</v>
      </c>
      <c r="C10680">
        <f>0</f>
        <v>0</v>
      </c>
      <c r="D10680">
        <v>0.94076844606400001</v>
      </c>
      <c r="E10680">
        <v>9.1634182908545707</v>
      </c>
    </row>
    <row r="10681" spans="1:5">
      <c r="A10681" t="s">
        <v>12329</v>
      </c>
      <c r="B10681" t="s">
        <v>12335</v>
      </c>
      <c r="C10681">
        <v>0</v>
      </c>
      <c r="D10681">
        <v>0.94076844606400001</v>
      </c>
      <c r="E10681">
        <v>9.1634182908545707</v>
      </c>
    </row>
    <row r="10682" spans="1:5">
      <c r="A10682" t="s">
        <v>12329</v>
      </c>
      <c r="B10682" t="s">
        <v>12336</v>
      </c>
      <c r="C10682">
        <f>0</f>
        <v>0</v>
      </c>
      <c r="D10682">
        <v>0.94076844606400001</v>
      </c>
      <c r="E10682">
        <v>9.1634182908545707</v>
      </c>
    </row>
    <row r="10683" spans="1:5">
      <c r="A10683" t="s">
        <v>12329</v>
      </c>
      <c r="B10683" t="s">
        <v>12337</v>
      </c>
      <c r="C10683">
        <f>0</f>
        <v>0</v>
      </c>
      <c r="D10683">
        <v>0.94076844606400001</v>
      </c>
      <c r="E10683">
        <v>9.1634182908545707</v>
      </c>
    </row>
    <row r="10684" spans="1:5">
      <c r="A10684" t="s">
        <v>12329</v>
      </c>
      <c r="B10684" t="s">
        <v>12338</v>
      </c>
      <c r="C10684">
        <f>0</f>
        <v>0</v>
      </c>
      <c r="D10684">
        <v>0.94076844606400001</v>
      </c>
      <c r="E10684">
        <v>9.1634182908545707</v>
      </c>
    </row>
    <row r="10685" spans="1:5">
      <c r="A10685" t="s">
        <v>12329</v>
      </c>
      <c r="B10685" t="s">
        <v>12339</v>
      </c>
      <c r="C10685">
        <v>0</v>
      </c>
      <c r="D10685">
        <v>0.94076844606400001</v>
      </c>
      <c r="E10685">
        <v>9.1634182908545707</v>
      </c>
    </row>
    <row r="10686" spans="1:5">
      <c r="A10686" t="s">
        <v>12340</v>
      </c>
      <c r="B10686" t="s">
        <v>12341</v>
      </c>
      <c r="C10686">
        <v>0</v>
      </c>
      <c r="D10686">
        <v>0.96750623661099999</v>
      </c>
      <c r="E10686">
        <v>6.4287856071964002</v>
      </c>
    </row>
    <row r="10687" spans="1:5">
      <c r="A10687" t="s">
        <v>12340</v>
      </c>
      <c r="B10687" t="s">
        <v>12342</v>
      </c>
      <c r="C10687">
        <f>0</f>
        <v>0</v>
      </c>
      <c r="D10687">
        <v>0.96750623661099999</v>
      </c>
      <c r="E10687">
        <v>6.4287856071964002</v>
      </c>
    </row>
    <row r="10688" spans="1:5">
      <c r="A10688" t="s">
        <v>12340</v>
      </c>
      <c r="B10688" t="s">
        <v>12343</v>
      </c>
      <c r="C10688">
        <f>0.17459384018</f>
        <v>0.17459384017999999</v>
      </c>
      <c r="D10688">
        <v>0.96750623661099999</v>
      </c>
      <c r="E10688">
        <v>6.4287856071964002</v>
      </c>
    </row>
    <row r="10689" spans="1:5">
      <c r="A10689" t="s">
        <v>12340</v>
      </c>
      <c r="B10689" t="s">
        <v>12344</v>
      </c>
      <c r="C10689">
        <v>0</v>
      </c>
      <c r="D10689">
        <v>0.96750623661099999</v>
      </c>
      <c r="E10689">
        <v>6.4287856071964002</v>
      </c>
    </row>
    <row r="10690" spans="1:5">
      <c r="A10690" t="s">
        <v>12340</v>
      </c>
      <c r="B10690" t="s">
        <v>12345</v>
      </c>
      <c r="C10690">
        <f>0</f>
        <v>0</v>
      </c>
      <c r="D10690">
        <v>0.96750623661099999</v>
      </c>
      <c r="E10690">
        <v>6.4287856071964002</v>
      </c>
    </row>
    <row r="10691" spans="1:5">
      <c r="A10691" t="s">
        <v>12340</v>
      </c>
      <c r="B10691" t="s">
        <v>12346</v>
      </c>
      <c r="C10691">
        <f>0</f>
        <v>0</v>
      </c>
      <c r="D10691">
        <v>0.96750623661099999</v>
      </c>
      <c r="E10691">
        <v>6.4287856071964002</v>
      </c>
    </row>
    <row r="10692" spans="1:5">
      <c r="A10692" t="s">
        <v>12340</v>
      </c>
      <c r="B10692" t="s">
        <v>12347</v>
      </c>
      <c r="C10692">
        <v>0</v>
      </c>
      <c r="D10692">
        <v>0.96750623661099999</v>
      </c>
      <c r="E10692">
        <v>6.4287856071964002</v>
      </c>
    </row>
    <row r="10693" spans="1:5">
      <c r="A10693" t="s">
        <v>12340</v>
      </c>
      <c r="B10693" t="s">
        <v>12348</v>
      </c>
      <c r="C10693">
        <v>0</v>
      </c>
      <c r="D10693">
        <v>0.96750623661099999</v>
      </c>
      <c r="E10693">
        <v>6.4287856071964002</v>
      </c>
    </row>
    <row r="10694" spans="1:5">
      <c r="A10694" t="s">
        <v>12340</v>
      </c>
      <c r="B10694" t="s">
        <v>12349</v>
      </c>
      <c r="C10694">
        <f>0</f>
        <v>0</v>
      </c>
      <c r="D10694">
        <v>0.96750623661099999</v>
      </c>
      <c r="E10694">
        <v>6.4287856071964002</v>
      </c>
    </row>
    <row r="10695" spans="1:5">
      <c r="A10695" t="s">
        <v>12350</v>
      </c>
      <c r="B10695" t="s">
        <v>12351</v>
      </c>
      <c r="C10695">
        <v>0</v>
      </c>
      <c r="D10695">
        <v>0.99102279406100002</v>
      </c>
      <c r="E10695">
        <v>18.554722638680602</v>
      </c>
    </row>
    <row r="10696" spans="1:5">
      <c r="A10696" t="s">
        <v>12350</v>
      </c>
      <c r="B10696" t="s">
        <v>12352</v>
      </c>
      <c r="C10696">
        <v>0</v>
      </c>
      <c r="D10696">
        <v>0.99102279406100002</v>
      </c>
      <c r="E10696">
        <v>18.554722638680602</v>
      </c>
    </row>
    <row r="10697" spans="1:5">
      <c r="A10697" t="s">
        <v>12350</v>
      </c>
      <c r="B10697" t="s">
        <v>12353</v>
      </c>
      <c r="C10697">
        <v>0.11600267605800001</v>
      </c>
      <c r="D10697">
        <v>0.99102279406100002</v>
      </c>
      <c r="E10697">
        <v>18.554722638680602</v>
      </c>
    </row>
    <row r="10698" spans="1:5">
      <c r="A10698" t="s">
        <v>12350</v>
      </c>
      <c r="B10698" t="s">
        <v>12354</v>
      </c>
      <c r="C10698">
        <v>0</v>
      </c>
      <c r="D10698">
        <v>0.99102279406100002</v>
      </c>
      <c r="E10698">
        <v>18.554722638680602</v>
      </c>
    </row>
    <row r="10699" spans="1:5">
      <c r="A10699" t="s">
        <v>12350</v>
      </c>
      <c r="B10699" t="s">
        <v>12355</v>
      </c>
      <c r="C10699">
        <v>0.10804729057199999</v>
      </c>
      <c r="D10699">
        <v>0.99102279406100002</v>
      </c>
      <c r="E10699">
        <v>18.554722638680602</v>
      </c>
    </row>
    <row r="10700" spans="1:5">
      <c r="A10700" t="s">
        <v>12356</v>
      </c>
      <c r="B10700" t="s">
        <v>12357</v>
      </c>
      <c r="C10700">
        <v>0.91820360610899998</v>
      </c>
      <c r="D10700">
        <v>0.96252873891099999</v>
      </c>
      <c r="E10700">
        <v>1.8230884557721101</v>
      </c>
    </row>
    <row r="10701" spans="1:5">
      <c r="A10701" t="s">
        <v>12356</v>
      </c>
      <c r="B10701" t="s">
        <v>12358</v>
      </c>
      <c r="C10701">
        <f>0</f>
        <v>0</v>
      </c>
      <c r="D10701">
        <v>0.96252873891099999</v>
      </c>
      <c r="E10701">
        <v>1.8230884557721101</v>
      </c>
    </row>
    <row r="10702" spans="1:5">
      <c r="A10702" t="s">
        <v>12356</v>
      </c>
      <c r="B10702" t="s">
        <v>12359</v>
      </c>
      <c r="C10702">
        <f>0.104203763999</f>
        <v>0.104203763999</v>
      </c>
      <c r="D10702">
        <v>0.96252873891099999</v>
      </c>
      <c r="E10702">
        <v>1.8230884557721101</v>
      </c>
    </row>
    <row r="10703" spans="1:5">
      <c r="A10703" t="s">
        <v>12356</v>
      </c>
      <c r="B10703" t="s">
        <v>12360</v>
      </c>
      <c r="C10703">
        <v>0</v>
      </c>
      <c r="D10703">
        <v>0.96252873891099999</v>
      </c>
      <c r="E10703">
        <v>1.8230884557721101</v>
      </c>
    </row>
    <row r="10704" spans="1:5">
      <c r="A10704" t="s">
        <v>12361</v>
      </c>
      <c r="B10704" t="s">
        <v>12362</v>
      </c>
      <c r="C10704">
        <v>0.22735588034599999</v>
      </c>
      <c r="D10704">
        <v>0.99746587828400002</v>
      </c>
      <c r="E10704">
        <v>5.9370314842578704</v>
      </c>
    </row>
    <row r="10705" spans="1:5">
      <c r="A10705" t="s">
        <v>12361</v>
      </c>
      <c r="B10705" t="s">
        <v>12363</v>
      </c>
      <c r="C10705">
        <v>0.217547474721</v>
      </c>
      <c r="D10705">
        <v>0.99746587828400002</v>
      </c>
      <c r="E10705">
        <v>5.9370314842578704</v>
      </c>
    </row>
    <row r="10706" spans="1:5">
      <c r="A10706" t="s">
        <v>12361</v>
      </c>
      <c r="B10706" t="s">
        <v>12364</v>
      </c>
      <c r="C10706">
        <f>0</f>
        <v>0</v>
      </c>
      <c r="D10706">
        <v>0.99746587828400002</v>
      </c>
      <c r="E10706">
        <v>5.9370314842578704</v>
      </c>
    </row>
    <row r="10707" spans="1:5">
      <c r="A10707" t="s">
        <v>12361</v>
      </c>
      <c r="B10707" t="s">
        <v>12365</v>
      </c>
      <c r="C10707">
        <f>0</f>
        <v>0</v>
      </c>
      <c r="D10707">
        <v>0.99746587828400002</v>
      </c>
      <c r="E10707">
        <v>5.9370314842578704</v>
      </c>
    </row>
    <row r="10708" spans="1:5">
      <c r="A10708" t="s">
        <v>12361</v>
      </c>
      <c r="B10708" t="s">
        <v>12366</v>
      </c>
      <c r="C10708">
        <v>0</v>
      </c>
      <c r="D10708">
        <v>0.99746587828400002</v>
      </c>
      <c r="E10708">
        <v>5.9370314842578704</v>
      </c>
    </row>
    <row r="10709" spans="1:5">
      <c r="A10709" t="s">
        <v>12361</v>
      </c>
      <c r="B10709" t="s">
        <v>12367</v>
      </c>
      <c r="C10709">
        <v>0</v>
      </c>
      <c r="D10709">
        <v>0.99746587828400002</v>
      </c>
      <c r="E10709">
        <v>5.9370314842578704</v>
      </c>
    </row>
    <row r="10710" spans="1:5">
      <c r="A10710" t="s">
        <v>12361</v>
      </c>
      <c r="B10710" t="s">
        <v>12368</v>
      </c>
      <c r="C10710">
        <f>0</f>
        <v>0</v>
      </c>
      <c r="D10710">
        <v>0.99746587828400002</v>
      </c>
      <c r="E10710">
        <v>5.9370314842578704</v>
      </c>
    </row>
    <row r="10711" spans="1:5">
      <c r="A10711" t="s">
        <v>12361</v>
      </c>
      <c r="B10711" t="s">
        <v>12369</v>
      </c>
      <c r="C10711">
        <v>0</v>
      </c>
      <c r="D10711">
        <v>0.99746587828400002</v>
      </c>
      <c r="E10711">
        <v>5.9370314842578704</v>
      </c>
    </row>
    <row r="10712" spans="1:5">
      <c r="A10712" t="s">
        <v>12370</v>
      </c>
      <c r="B10712" t="s">
        <v>12371</v>
      </c>
      <c r="C10712">
        <v>0</v>
      </c>
      <c r="D10712" t="s">
        <v>106</v>
      </c>
      <c r="E10712">
        <v>4.58170914542728</v>
      </c>
    </row>
    <row r="10713" spans="1:5">
      <c r="A10713" t="s">
        <v>12372</v>
      </c>
      <c r="B10713" t="s">
        <v>12373</v>
      </c>
      <c r="C10713">
        <v>0</v>
      </c>
      <c r="D10713" t="s">
        <v>106</v>
      </c>
      <c r="E10713">
        <v>19.850074962518701</v>
      </c>
    </row>
    <row r="10714" spans="1:5">
      <c r="A10714" t="s">
        <v>12372</v>
      </c>
      <c r="B10714" t="s">
        <v>12374</v>
      </c>
      <c r="C10714">
        <v>1.6968737575899999E-2</v>
      </c>
      <c r="D10714" t="s">
        <v>106</v>
      </c>
      <c r="E10714">
        <v>19.850074962518701</v>
      </c>
    </row>
    <row r="10715" spans="1:5">
      <c r="A10715" t="s">
        <v>12372</v>
      </c>
      <c r="B10715" t="s">
        <v>12375</v>
      </c>
      <c r="C10715">
        <v>0</v>
      </c>
      <c r="D10715" t="s">
        <v>106</v>
      </c>
      <c r="E10715">
        <v>19.850074962518701</v>
      </c>
    </row>
    <row r="10716" spans="1:5">
      <c r="A10716" t="s">
        <v>12372</v>
      </c>
      <c r="B10716" t="s">
        <v>12376</v>
      </c>
      <c r="C10716">
        <v>0</v>
      </c>
      <c r="D10716" t="s">
        <v>106</v>
      </c>
      <c r="E10716">
        <v>19.850074962518701</v>
      </c>
    </row>
    <row r="10717" spans="1:5">
      <c r="A10717" t="s">
        <v>12372</v>
      </c>
      <c r="B10717" t="s">
        <v>12377</v>
      </c>
      <c r="C10717">
        <v>0</v>
      </c>
      <c r="D10717" t="s">
        <v>106</v>
      </c>
      <c r="E10717">
        <v>19.850074962518701</v>
      </c>
    </row>
    <row r="10718" spans="1:5">
      <c r="A10718" t="s">
        <v>12372</v>
      </c>
      <c r="B10718" t="s">
        <v>12378</v>
      </c>
      <c r="C10718">
        <v>3.73352917837E-2</v>
      </c>
      <c r="D10718" t="s">
        <v>106</v>
      </c>
      <c r="E10718">
        <v>19.850074962518701</v>
      </c>
    </row>
    <row r="10719" spans="1:5">
      <c r="A10719" t="s">
        <v>12379</v>
      </c>
      <c r="B10719" t="s">
        <v>12380</v>
      </c>
      <c r="C10719">
        <v>0.29228974333399999</v>
      </c>
      <c r="D10719">
        <v>0.99203732115200005</v>
      </c>
      <c r="E10719">
        <v>15.316341829085401</v>
      </c>
    </row>
    <row r="10720" spans="1:5">
      <c r="A10720" t="s">
        <v>12379</v>
      </c>
      <c r="B10720" t="s">
        <v>12381</v>
      </c>
      <c r="C10720">
        <v>0</v>
      </c>
      <c r="D10720">
        <v>0.99203732115200005</v>
      </c>
      <c r="E10720">
        <v>15.316341829085401</v>
      </c>
    </row>
    <row r="10721" spans="1:5">
      <c r="A10721" t="s">
        <v>12382</v>
      </c>
      <c r="B10721" t="s">
        <v>12383</v>
      </c>
      <c r="C10721">
        <v>0</v>
      </c>
      <c r="D10721" t="s">
        <v>106</v>
      </c>
      <c r="E10721">
        <v>2.0269865067466202</v>
      </c>
    </row>
    <row r="10722" spans="1:5">
      <c r="A10722" t="s">
        <v>12382</v>
      </c>
      <c r="B10722" t="s">
        <v>12384</v>
      </c>
      <c r="C10722">
        <f>0</f>
        <v>0</v>
      </c>
      <c r="D10722" t="s">
        <v>106</v>
      </c>
      <c r="E10722">
        <v>2.0269865067466202</v>
      </c>
    </row>
    <row r="10723" spans="1:5">
      <c r="A10723" t="s">
        <v>12382</v>
      </c>
      <c r="B10723" t="s">
        <v>12385</v>
      </c>
      <c r="C10723">
        <f>0</f>
        <v>0</v>
      </c>
      <c r="D10723" t="s">
        <v>106</v>
      </c>
      <c r="E10723">
        <v>2.0269865067466202</v>
      </c>
    </row>
    <row r="10724" spans="1:5">
      <c r="A10724" t="s">
        <v>12382</v>
      </c>
      <c r="B10724" t="s">
        <v>12386</v>
      </c>
      <c r="C10724">
        <v>0</v>
      </c>
      <c r="D10724" t="s">
        <v>106</v>
      </c>
      <c r="E10724">
        <v>2.0269865067466202</v>
      </c>
    </row>
    <row r="10725" spans="1:5">
      <c r="A10725" t="s">
        <v>12382</v>
      </c>
      <c r="B10725" t="s">
        <v>12387</v>
      </c>
      <c r="C10725">
        <v>0</v>
      </c>
      <c r="D10725" t="s">
        <v>106</v>
      </c>
      <c r="E10725">
        <v>2.0269865067466202</v>
      </c>
    </row>
    <row r="10726" spans="1:5">
      <c r="A10726" t="s">
        <v>12382</v>
      </c>
      <c r="B10726" t="s">
        <v>12388</v>
      </c>
      <c r="C10726">
        <v>0</v>
      </c>
      <c r="D10726" t="s">
        <v>106</v>
      </c>
      <c r="E10726">
        <v>2.0269865067466202</v>
      </c>
    </row>
    <row r="10727" spans="1:5">
      <c r="A10727" t="s">
        <v>12389</v>
      </c>
      <c r="B10727" t="s">
        <v>12390</v>
      </c>
      <c r="C10727">
        <f>0.0139233651761</f>
        <v>1.3923365176099999E-2</v>
      </c>
      <c r="D10727">
        <v>0.94946292873299998</v>
      </c>
      <c r="E10727">
        <v>15.1244377811094</v>
      </c>
    </row>
    <row r="10728" spans="1:5">
      <c r="A10728" t="s">
        <v>12389</v>
      </c>
      <c r="B10728" t="s">
        <v>12391</v>
      </c>
      <c r="C10728">
        <v>0</v>
      </c>
      <c r="D10728">
        <v>0.94946292873299998</v>
      </c>
      <c r="E10728">
        <v>15.1244377811094</v>
      </c>
    </row>
    <row r="10729" spans="1:5">
      <c r="A10729" t="s">
        <v>12389</v>
      </c>
      <c r="B10729" t="s">
        <v>12392</v>
      </c>
      <c r="C10729">
        <v>0.40769176631199999</v>
      </c>
      <c r="D10729">
        <v>0.94946292873299998</v>
      </c>
      <c r="E10729">
        <v>15.1244377811094</v>
      </c>
    </row>
    <row r="10730" spans="1:5">
      <c r="A10730" t="s">
        <v>12393</v>
      </c>
      <c r="B10730" t="s">
        <v>12394</v>
      </c>
      <c r="C10730">
        <f>0.11311856731</f>
        <v>0.11311856731</v>
      </c>
      <c r="D10730">
        <v>0.98963648362300005</v>
      </c>
      <c r="E10730">
        <v>16.491754122938499</v>
      </c>
    </row>
    <row r="10731" spans="1:5">
      <c r="A10731" t="s">
        <v>12395</v>
      </c>
      <c r="B10731" t="s">
        <v>12396</v>
      </c>
      <c r="C10731">
        <v>0.42360204325</v>
      </c>
      <c r="D10731" t="s">
        <v>106</v>
      </c>
      <c r="E10731">
        <v>5.2413793103448203</v>
      </c>
    </row>
    <row r="10732" spans="1:5">
      <c r="A10732" t="s">
        <v>12395</v>
      </c>
      <c r="B10732" t="s">
        <v>12397</v>
      </c>
      <c r="C10732">
        <f>0</f>
        <v>0</v>
      </c>
      <c r="D10732" t="s">
        <v>106</v>
      </c>
      <c r="E10732">
        <v>5.2413793103448203</v>
      </c>
    </row>
    <row r="10733" spans="1:5">
      <c r="A10733" t="s">
        <v>12395</v>
      </c>
      <c r="B10733" t="s">
        <v>12398</v>
      </c>
      <c r="C10733">
        <f>0</f>
        <v>0</v>
      </c>
      <c r="D10733" t="s">
        <v>106</v>
      </c>
      <c r="E10733">
        <v>5.2413793103448203</v>
      </c>
    </row>
    <row r="10734" spans="1:5">
      <c r="A10734" t="s">
        <v>12395</v>
      </c>
      <c r="B10734" t="s">
        <v>12399</v>
      </c>
      <c r="C10734">
        <f>0</f>
        <v>0</v>
      </c>
      <c r="D10734" t="s">
        <v>106</v>
      </c>
      <c r="E10734">
        <v>5.2413793103448203</v>
      </c>
    </row>
    <row r="10735" spans="1:5">
      <c r="A10735" t="s">
        <v>12395</v>
      </c>
      <c r="B10735" t="s">
        <v>12400</v>
      </c>
      <c r="C10735">
        <f>0</f>
        <v>0</v>
      </c>
      <c r="D10735" t="s">
        <v>106</v>
      </c>
      <c r="E10735">
        <v>5.2413793103448203</v>
      </c>
    </row>
    <row r="10736" spans="1:5">
      <c r="A10736" t="s">
        <v>12395</v>
      </c>
      <c r="B10736" t="s">
        <v>12401</v>
      </c>
      <c r="C10736">
        <f>0</f>
        <v>0</v>
      </c>
      <c r="D10736" t="s">
        <v>106</v>
      </c>
      <c r="E10736">
        <v>5.2413793103448203</v>
      </c>
    </row>
    <row r="10737" spans="1:5">
      <c r="A10737" t="s">
        <v>12395</v>
      </c>
      <c r="B10737" t="s">
        <v>12402</v>
      </c>
      <c r="C10737">
        <v>0</v>
      </c>
      <c r="D10737" t="s">
        <v>106</v>
      </c>
      <c r="E10737">
        <v>5.2413793103448203</v>
      </c>
    </row>
    <row r="10738" spans="1:5">
      <c r="A10738" t="s">
        <v>12395</v>
      </c>
      <c r="B10738" t="s">
        <v>12403</v>
      </c>
      <c r="C10738">
        <v>7.6320859840499994E-2</v>
      </c>
      <c r="D10738" t="s">
        <v>106</v>
      </c>
      <c r="E10738">
        <v>5.2413793103448203</v>
      </c>
    </row>
    <row r="10739" spans="1:5">
      <c r="A10739" t="s">
        <v>12395</v>
      </c>
      <c r="B10739" t="s">
        <v>12404</v>
      </c>
      <c r="C10739">
        <f>0</f>
        <v>0</v>
      </c>
      <c r="D10739" t="s">
        <v>106</v>
      </c>
      <c r="E10739">
        <v>5.2413793103448203</v>
      </c>
    </row>
    <row r="10740" spans="1:5">
      <c r="A10740" t="s">
        <v>12395</v>
      </c>
      <c r="B10740" t="s">
        <v>12405</v>
      </c>
      <c r="C10740">
        <f>0</f>
        <v>0</v>
      </c>
      <c r="D10740" t="s">
        <v>106</v>
      </c>
      <c r="E10740">
        <v>5.2413793103448203</v>
      </c>
    </row>
    <row r="10741" spans="1:5">
      <c r="A10741" t="s">
        <v>12395</v>
      </c>
      <c r="B10741" t="s">
        <v>12406</v>
      </c>
      <c r="C10741">
        <f>0</f>
        <v>0</v>
      </c>
      <c r="D10741" t="s">
        <v>106</v>
      </c>
      <c r="E10741">
        <v>5.2413793103448203</v>
      </c>
    </row>
    <row r="10742" spans="1:5">
      <c r="A10742" t="s">
        <v>12395</v>
      </c>
      <c r="B10742" t="s">
        <v>12407</v>
      </c>
      <c r="C10742">
        <f>0</f>
        <v>0</v>
      </c>
      <c r="D10742" t="s">
        <v>106</v>
      </c>
      <c r="E10742">
        <v>5.2413793103448203</v>
      </c>
    </row>
    <row r="10743" spans="1:5">
      <c r="A10743" t="s">
        <v>12408</v>
      </c>
      <c r="B10743" t="s">
        <v>12409</v>
      </c>
      <c r="C10743">
        <v>0.112335631932</v>
      </c>
      <c r="D10743">
        <v>0.98851015905399997</v>
      </c>
      <c r="E10743">
        <v>1.57121439280359</v>
      </c>
    </row>
    <row r="10744" spans="1:5">
      <c r="A10744" t="s">
        <v>12408</v>
      </c>
      <c r="B10744" t="s">
        <v>12410</v>
      </c>
      <c r="C10744">
        <v>0.35813746966799997</v>
      </c>
      <c r="D10744">
        <v>0.98851015905399997</v>
      </c>
      <c r="E10744">
        <v>1.57121439280359</v>
      </c>
    </row>
    <row r="10745" spans="1:5">
      <c r="A10745" t="s">
        <v>12408</v>
      </c>
      <c r="B10745" t="s">
        <v>12411</v>
      </c>
      <c r="C10745">
        <f>0</f>
        <v>0</v>
      </c>
      <c r="D10745">
        <v>0.98851015905399997</v>
      </c>
      <c r="E10745">
        <v>1.57121439280359</v>
      </c>
    </row>
    <row r="10746" spans="1:5">
      <c r="A10746" t="s">
        <v>12408</v>
      </c>
      <c r="B10746" t="s">
        <v>12412</v>
      </c>
      <c r="C10746">
        <v>0</v>
      </c>
      <c r="D10746">
        <v>0.98851015905399997</v>
      </c>
      <c r="E10746">
        <v>1.57121439280359</v>
      </c>
    </row>
    <row r="10747" spans="1:5">
      <c r="A10747" t="s">
        <v>12413</v>
      </c>
      <c r="B10747" t="s">
        <v>12414</v>
      </c>
      <c r="C10747">
        <f>0.0179749627044</f>
        <v>1.7974962704400001E-2</v>
      </c>
      <c r="D10747">
        <v>0.56523053661400002</v>
      </c>
      <c r="E10747">
        <v>7.4602698650674597</v>
      </c>
    </row>
    <row r="10748" spans="1:5">
      <c r="A10748" t="s">
        <v>12413</v>
      </c>
      <c r="B10748" t="s">
        <v>12415</v>
      </c>
      <c r="C10748">
        <f>0</f>
        <v>0</v>
      </c>
      <c r="D10748">
        <v>0.56523053661400002</v>
      </c>
      <c r="E10748">
        <v>7.4602698650674597</v>
      </c>
    </row>
    <row r="10749" spans="1:5">
      <c r="A10749" t="s">
        <v>12413</v>
      </c>
      <c r="B10749" t="s">
        <v>12416</v>
      </c>
      <c r="C10749">
        <f>0</f>
        <v>0</v>
      </c>
      <c r="D10749">
        <v>0.56523053661400002</v>
      </c>
      <c r="E10749">
        <v>7.4602698650674597</v>
      </c>
    </row>
    <row r="10750" spans="1:5">
      <c r="A10750" t="s">
        <v>12413</v>
      </c>
      <c r="B10750" t="s">
        <v>12417</v>
      </c>
      <c r="C10750">
        <v>0</v>
      </c>
      <c r="D10750">
        <v>0.56523053661400002</v>
      </c>
      <c r="E10750">
        <v>7.4602698650674597</v>
      </c>
    </row>
    <row r="10751" spans="1:5">
      <c r="A10751" t="s">
        <v>12413</v>
      </c>
      <c r="B10751" t="s">
        <v>12418</v>
      </c>
      <c r="C10751">
        <f>0</f>
        <v>0</v>
      </c>
      <c r="D10751">
        <v>0.56523053661400002</v>
      </c>
      <c r="E10751">
        <v>7.4602698650674597</v>
      </c>
    </row>
    <row r="10752" spans="1:5">
      <c r="A10752" t="s">
        <v>12413</v>
      </c>
      <c r="B10752" t="s">
        <v>12419</v>
      </c>
      <c r="C10752">
        <f>0</f>
        <v>0</v>
      </c>
      <c r="D10752">
        <v>0.56523053661400002</v>
      </c>
      <c r="E10752">
        <v>7.4602698650674597</v>
      </c>
    </row>
    <row r="10753" spans="1:5">
      <c r="A10753" t="s">
        <v>12413</v>
      </c>
      <c r="B10753" t="s">
        <v>12420</v>
      </c>
      <c r="C10753">
        <f>0</f>
        <v>0</v>
      </c>
      <c r="D10753">
        <v>0.56523053661400002</v>
      </c>
      <c r="E10753">
        <v>7.4602698650674597</v>
      </c>
    </row>
    <row r="10754" spans="1:5">
      <c r="A10754" t="s">
        <v>12413</v>
      </c>
      <c r="B10754" t="s">
        <v>12421</v>
      </c>
      <c r="C10754">
        <v>0</v>
      </c>
      <c r="D10754">
        <v>0.56523053661400002</v>
      </c>
      <c r="E10754">
        <v>7.4602698650674597</v>
      </c>
    </row>
    <row r="10755" spans="1:5">
      <c r="A10755" t="s">
        <v>12422</v>
      </c>
      <c r="B10755" t="s">
        <v>12423</v>
      </c>
      <c r="C10755">
        <v>0</v>
      </c>
      <c r="D10755" t="s">
        <v>106</v>
      </c>
      <c r="E10755">
        <v>11.0344827586206</v>
      </c>
    </row>
    <row r="10756" spans="1:5">
      <c r="A10756" t="s">
        <v>12422</v>
      </c>
      <c r="B10756" t="s">
        <v>12424</v>
      </c>
      <c r="C10756">
        <v>0</v>
      </c>
      <c r="D10756" t="s">
        <v>106</v>
      </c>
      <c r="E10756">
        <v>11.0344827586206</v>
      </c>
    </row>
    <row r="10757" spans="1:5">
      <c r="A10757" t="s">
        <v>12422</v>
      </c>
      <c r="B10757" t="s">
        <v>12425</v>
      </c>
      <c r="C10757">
        <v>0</v>
      </c>
      <c r="D10757" t="s">
        <v>106</v>
      </c>
      <c r="E10757">
        <v>11.0344827586206</v>
      </c>
    </row>
    <row r="10758" spans="1:5">
      <c r="A10758" t="s">
        <v>12422</v>
      </c>
      <c r="B10758" t="s">
        <v>12426</v>
      </c>
      <c r="C10758">
        <v>0</v>
      </c>
      <c r="D10758" t="s">
        <v>106</v>
      </c>
      <c r="E10758">
        <v>11.0344827586206</v>
      </c>
    </row>
    <row r="10759" spans="1:5">
      <c r="A10759" t="s">
        <v>12422</v>
      </c>
      <c r="B10759" t="s">
        <v>12427</v>
      </c>
      <c r="C10759">
        <v>0</v>
      </c>
      <c r="D10759" t="s">
        <v>106</v>
      </c>
      <c r="E10759">
        <v>11.0344827586206</v>
      </c>
    </row>
    <row r="10760" spans="1:5">
      <c r="A10760" t="s">
        <v>12422</v>
      </c>
      <c r="B10760" t="s">
        <v>12428</v>
      </c>
      <c r="C10760">
        <f>0</f>
        <v>0</v>
      </c>
      <c r="D10760" t="s">
        <v>106</v>
      </c>
      <c r="E10760">
        <v>11.0344827586206</v>
      </c>
    </row>
    <row r="10761" spans="1:5">
      <c r="A10761" t="s">
        <v>12422</v>
      </c>
      <c r="B10761" t="s">
        <v>12429</v>
      </c>
      <c r="C10761">
        <f>0</f>
        <v>0</v>
      </c>
      <c r="D10761" t="s">
        <v>106</v>
      </c>
      <c r="E10761">
        <v>11.0344827586206</v>
      </c>
    </row>
    <row r="10762" spans="1:5">
      <c r="A10762" t="s">
        <v>12422</v>
      </c>
      <c r="B10762" t="s">
        <v>12430</v>
      </c>
      <c r="C10762">
        <v>0</v>
      </c>
      <c r="D10762" t="s">
        <v>106</v>
      </c>
      <c r="E10762">
        <v>11.0344827586206</v>
      </c>
    </row>
    <row r="10763" spans="1:5">
      <c r="A10763" t="s">
        <v>12431</v>
      </c>
      <c r="B10763" t="s">
        <v>12432</v>
      </c>
      <c r="C10763">
        <v>0</v>
      </c>
      <c r="D10763">
        <v>0.995204215708</v>
      </c>
      <c r="E10763">
        <v>10.0749625187406</v>
      </c>
    </row>
    <row r="10764" spans="1:5">
      <c r="A10764" t="s">
        <v>12431</v>
      </c>
      <c r="B10764" t="s">
        <v>12433</v>
      </c>
      <c r="C10764">
        <v>0.37565778134599997</v>
      </c>
      <c r="D10764">
        <v>0.995204215708</v>
      </c>
      <c r="E10764">
        <v>10.0749625187406</v>
      </c>
    </row>
    <row r="10765" spans="1:5">
      <c r="A10765" t="s">
        <v>12431</v>
      </c>
      <c r="B10765" t="s">
        <v>12434</v>
      </c>
      <c r="C10765">
        <f>0</f>
        <v>0</v>
      </c>
      <c r="D10765">
        <v>0.995204215708</v>
      </c>
      <c r="E10765">
        <v>10.0749625187406</v>
      </c>
    </row>
    <row r="10766" spans="1:5">
      <c r="A10766" t="s">
        <v>12431</v>
      </c>
      <c r="B10766" t="s">
        <v>12435</v>
      </c>
      <c r="C10766">
        <f>0</f>
        <v>0</v>
      </c>
      <c r="D10766">
        <v>0.995204215708</v>
      </c>
      <c r="E10766">
        <v>10.0749625187406</v>
      </c>
    </row>
    <row r="10767" spans="1:5">
      <c r="A10767" t="s">
        <v>12431</v>
      </c>
      <c r="B10767" t="s">
        <v>12436</v>
      </c>
      <c r="C10767">
        <f>0</f>
        <v>0</v>
      </c>
      <c r="D10767">
        <v>0.995204215708</v>
      </c>
      <c r="E10767">
        <v>10.0749625187406</v>
      </c>
    </row>
    <row r="10768" spans="1:5">
      <c r="A10768" t="s">
        <v>12431</v>
      </c>
      <c r="B10768" t="s">
        <v>12437</v>
      </c>
      <c r="C10768">
        <v>0</v>
      </c>
      <c r="D10768">
        <v>0.995204215708</v>
      </c>
      <c r="E10768">
        <v>10.0749625187406</v>
      </c>
    </row>
    <row r="10769" spans="1:5">
      <c r="A10769" t="s">
        <v>12431</v>
      </c>
      <c r="B10769" t="s">
        <v>12438</v>
      </c>
      <c r="C10769">
        <v>0.112076536915</v>
      </c>
      <c r="D10769">
        <v>0.995204215708</v>
      </c>
      <c r="E10769">
        <v>10.0749625187406</v>
      </c>
    </row>
    <row r="10770" spans="1:5">
      <c r="A10770" t="s">
        <v>12439</v>
      </c>
      <c r="B10770" t="s">
        <v>12440</v>
      </c>
      <c r="C10770">
        <v>0</v>
      </c>
      <c r="D10770">
        <v>0.93797683529300002</v>
      </c>
      <c r="E10770">
        <v>24</v>
      </c>
    </row>
    <row r="10771" spans="1:5">
      <c r="A10771" t="s">
        <v>12439</v>
      </c>
      <c r="B10771" t="s">
        <v>12441</v>
      </c>
      <c r="C10771">
        <v>0</v>
      </c>
      <c r="D10771">
        <v>0.93797683529300002</v>
      </c>
      <c r="E10771">
        <v>24</v>
      </c>
    </row>
    <row r="10772" spans="1:5">
      <c r="A10772" t="s">
        <v>12439</v>
      </c>
      <c r="B10772" t="s">
        <v>12442</v>
      </c>
      <c r="C10772">
        <v>0</v>
      </c>
      <c r="D10772">
        <v>0.93797683529300002</v>
      </c>
      <c r="E10772">
        <v>24</v>
      </c>
    </row>
    <row r="10773" spans="1:5">
      <c r="A10773" t="s">
        <v>12439</v>
      </c>
      <c r="B10773" t="s">
        <v>12443</v>
      </c>
      <c r="C10773">
        <v>0</v>
      </c>
      <c r="D10773">
        <v>0.93797683529300002</v>
      </c>
      <c r="E10773">
        <v>24</v>
      </c>
    </row>
    <row r="10774" spans="1:5">
      <c r="A10774" t="s">
        <v>12439</v>
      </c>
      <c r="B10774" t="s">
        <v>12444</v>
      </c>
      <c r="C10774">
        <v>0</v>
      </c>
      <c r="D10774">
        <v>0.93797683529300002</v>
      </c>
      <c r="E10774">
        <v>24</v>
      </c>
    </row>
    <row r="10775" spans="1:5">
      <c r="A10775" t="s">
        <v>12439</v>
      </c>
      <c r="B10775" t="s">
        <v>12445</v>
      </c>
      <c r="C10775">
        <v>0</v>
      </c>
      <c r="D10775">
        <v>0.93797683529300002</v>
      </c>
      <c r="E10775">
        <v>24</v>
      </c>
    </row>
    <row r="10776" spans="1:5">
      <c r="A10776" t="s">
        <v>12439</v>
      </c>
      <c r="B10776" t="s">
        <v>12446</v>
      </c>
      <c r="C10776">
        <v>0</v>
      </c>
      <c r="D10776">
        <v>0.93797683529300002</v>
      </c>
      <c r="E10776">
        <v>24</v>
      </c>
    </row>
    <row r="10777" spans="1:5">
      <c r="A10777" t="s">
        <v>12447</v>
      </c>
      <c r="B10777" t="s">
        <v>12448</v>
      </c>
      <c r="C10777">
        <f>0</f>
        <v>0</v>
      </c>
      <c r="D10777">
        <v>0.97057059989899996</v>
      </c>
      <c r="E10777">
        <v>12.5577211394302</v>
      </c>
    </row>
    <row r="10778" spans="1:5">
      <c r="A10778" t="s">
        <v>12447</v>
      </c>
      <c r="B10778" t="s">
        <v>12449</v>
      </c>
      <c r="C10778">
        <v>0</v>
      </c>
      <c r="D10778">
        <v>0.97057059989899996</v>
      </c>
      <c r="E10778">
        <v>12.5577211394302</v>
      </c>
    </row>
    <row r="10779" spans="1:5">
      <c r="A10779" t="s">
        <v>12447</v>
      </c>
      <c r="B10779" t="s">
        <v>12450</v>
      </c>
      <c r="C10779">
        <f>0.330569771316</f>
        <v>0.33056977131600002</v>
      </c>
      <c r="D10779">
        <v>0.97057059989899996</v>
      </c>
      <c r="E10779">
        <v>12.5577211394302</v>
      </c>
    </row>
    <row r="10780" spans="1:5">
      <c r="A10780" t="s">
        <v>12447</v>
      </c>
      <c r="B10780" t="s">
        <v>12451</v>
      </c>
      <c r="C10780">
        <f>0.108367071938</f>
        <v>0.10836707193800001</v>
      </c>
      <c r="D10780">
        <v>0.97057059989899996</v>
      </c>
      <c r="E10780">
        <v>12.5577211394302</v>
      </c>
    </row>
    <row r="10781" spans="1:5">
      <c r="A10781" t="s">
        <v>12447</v>
      </c>
      <c r="B10781" t="s">
        <v>12452</v>
      </c>
      <c r="C10781">
        <f>0</f>
        <v>0</v>
      </c>
      <c r="D10781">
        <v>0.97057059989899996</v>
      </c>
      <c r="E10781">
        <v>12.5577211394302</v>
      </c>
    </row>
    <row r="10782" spans="1:5">
      <c r="A10782" t="s">
        <v>12453</v>
      </c>
      <c r="B10782" t="s">
        <v>12454</v>
      </c>
      <c r="C10782">
        <v>5.0760747412600003E-3</v>
      </c>
      <c r="D10782">
        <v>0.67634416878799997</v>
      </c>
      <c r="E10782">
        <v>0.91154422788605605</v>
      </c>
    </row>
    <row r="10783" spans="1:5">
      <c r="A10783" t="s">
        <v>12453</v>
      </c>
      <c r="B10783" t="s">
        <v>12455</v>
      </c>
      <c r="C10783">
        <v>0</v>
      </c>
      <c r="D10783">
        <v>0.67634416878799997</v>
      </c>
      <c r="E10783">
        <v>0.91154422788605605</v>
      </c>
    </row>
    <row r="10784" spans="1:5">
      <c r="A10784" t="s">
        <v>12453</v>
      </c>
      <c r="B10784" t="s">
        <v>12456</v>
      </c>
      <c r="C10784">
        <f>0</f>
        <v>0</v>
      </c>
      <c r="D10784">
        <v>0.67634416878799997</v>
      </c>
      <c r="E10784">
        <v>0.91154422788605605</v>
      </c>
    </row>
    <row r="10785" spans="1:5">
      <c r="A10785" t="s">
        <v>12453</v>
      </c>
      <c r="B10785" t="s">
        <v>12457</v>
      </c>
      <c r="C10785">
        <f>0</f>
        <v>0</v>
      </c>
      <c r="D10785">
        <v>0.67634416878799997</v>
      </c>
      <c r="E10785">
        <v>0.91154422788605605</v>
      </c>
    </row>
    <row r="10786" spans="1:5">
      <c r="A10786" t="s">
        <v>12453</v>
      </c>
      <c r="B10786" t="s">
        <v>12458</v>
      </c>
      <c r="C10786">
        <v>0</v>
      </c>
      <c r="D10786">
        <v>0.67634416878799997</v>
      </c>
      <c r="E10786">
        <v>0.91154422788605605</v>
      </c>
    </row>
    <row r="10787" spans="1:5">
      <c r="A10787" t="s">
        <v>12459</v>
      </c>
      <c r="B10787" t="s">
        <v>12460</v>
      </c>
      <c r="C10787">
        <v>0.36727774615100001</v>
      </c>
      <c r="D10787">
        <v>0.994597488709</v>
      </c>
      <c r="E10787">
        <v>8.2878560719640095</v>
      </c>
    </row>
    <row r="10788" spans="1:5">
      <c r="A10788" t="s">
        <v>12459</v>
      </c>
      <c r="B10788" t="s">
        <v>12461</v>
      </c>
      <c r="C10788">
        <v>0.33530475944100002</v>
      </c>
      <c r="D10788">
        <v>0.994597488709</v>
      </c>
      <c r="E10788">
        <v>8.2878560719640095</v>
      </c>
    </row>
    <row r="10789" spans="1:5">
      <c r="A10789" t="s">
        <v>12459</v>
      </c>
      <c r="B10789" t="s">
        <v>12462</v>
      </c>
      <c r="C10789">
        <f>0</f>
        <v>0</v>
      </c>
      <c r="D10789">
        <v>0.994597488709</v>
      </c>
      <c r="E10789">
        <v>8.2878560719640095</v>
      </c>
    </row>
    <row r="10790" spans="1:5">
      <c r="A10790" t="s">
        <v>12459</v>
      </c>
      <c r="B10790" t="s">
        <v>12463</v>
      </c>
      <c r="C10790">
        <f>0</f>
        <v>0</v>
      </c>
      <c r="D10790">
        <v>0.994597488709</v>
      </c>
      <c r="E10790">
        <v>8.2878560719640095</v>
      </c>
    </row>
    <row r="10791" spans="1:5">
      <c r="A10791" t="s">
        <v>12459</v>
      </c>
      <c r="B10791" t="s">
        <v>12464</v>
      </c>
      <c r="C10791">
        <f>0</f>
        <v>0</v>
      </c>
      <c r="D10791">
        <v>0.994597488709</v>
      </c>
      <c r="E10791">
        <v>8.2878560719640095</v>
      </c>
    </row>
    <row r="10792" spans="1:5">
      <c r="A10792" t="s">
        <v>12459</v>
      </c>
      <c r="B10792" t="s">
        <v>12465</v>
      </c>
      <c r="C10792">
        <f>0</f>
        <v>0</v>
      </c>
      <c r="D10792">
        <v>0.994597488709</v>
      </c>
      <c r="E10792">
        <v>8.2878560719640095</v>
      </c>
    </row>
    <row r="10793" spans="1:5">
      <c r="A10793" t="s">
        <v>12459</v>
      </c>
      <c r="B10793" t="s">
        <v>12466</v>
      </c>
      <c r="C10793">
        <f>0</f>
        <v>0</v>
      </c>
      <c r="D10793">
        <v>0.994597488709</v>
      </c>
      <c r="E10793">
        <v>8.2878560719640095</v>
      </c>
    </row>
    <row r="10794" spans="1:5">
      <c r="A10794" t="s">
        <v>12467</v>
      </c>
      <c r="B10794" t="s">
        <v>12468</v>
      </c>
      <c r="C10794">
        <f>0</f>
        <v>0</v>
      </c>
      <c r="D10794">
        <v>0.95656754239399999</v>
      </c>
      <c r="E10794">
        <v>1.22338830584707</v>
      </c>
    </row>
    <row r="10795" spans="1:5">
      <c r="A10795" t="s">
        <v>12467</v>
      </c>
      <c r="B10795" t="s">
        <v>12469</v>
      </c>
      <c r="C10795">
        <f>0.229417593904</f>
        <v>0.22941759390399999</v>
      </c>
      <c r="D10795">
        <v>0.95656754239399999</v>
      </c>
      <c r="E10795">
        <v>1.22338830584707</v>
      </c>
    </row>
    <row r="10796" spans="1:5">
      <c r="A10796" t="s">
        <v>12467</v>
      </c>
      <c r="B10796" t="s">
        <v>12470</v>
      </c>
      <c r="C10796">
        <f>0</f>
        <v>0</v>
      </c>
      <c r="D10796">
        <v>0.95656754239399999</v>
      </c>
      <c r="E10796">
        <v>1.22338830584707</v>
      </c>
    </row>
    <row r="10797" spans="1:5">
      <c r="A10797" t="s">
        <v>12467</v>
      </c>
      <c r="B10797" t="s">
        <v>12471</v>
      </c>
      <c r="C10797">
        <f>0.285026776978</f>
        <v>0.285026776978</v>
      </c>
      <c r="D10797">
        <v>0.95656754239399999</v>
      </c>
      <c r="E10797">
        <v>1.22338830584707</v>
      </c>
    </row>
    <row r="10798" spans="1:5">
      <c r="A10798" t="s">
        <v>12467</v>
      </c>
      <c r="B10798" t="s">
        <v>12472</v>
      </c>
      <c r="C10798">
        <v>0</v>
      </c>
      <c r="D10798">
        <v>0.95656754239399999</v>
      </c>
      <c r="E10798">
        <v>1.22338830584707</v>
      </c>
    </row>
    <row r="10799" spans="1:5">
      <c r="A10799" t="s">
        <v>12473</v>
      </c>
      <c r="B10799" t="s">
        <v>12474</v>
      </c>
      <c r="C10799">
        <f>0.0979041469929</f>
        <v>9.7904146992899996E-2</v>
      </c>
      <c r="D10799">
        <v>0.89361350249899996</v>
      </c>
      <c r="E10799">
        <v>10.230884557721099</v>
      </c>
    </row>
    <row r="10800" spans="1:5">
      <c r="A10800" t="s">
        <v>12473</v>
      </c>
      <c r="B10800" t="s">
        <v>12475</v>
      </c>
      <c r="C10800">
        <f>0</f>
        <v>0</v>
      </c>
      <c r="D10800">
        <v>0.89361350249899996</v>
      </c>
      <c r="E10800">
        <v>10.230884557721099</v>
      </c>
    </row>
    <row r="10801" spans="1:5">
      <c r="A10801" t="s">
        <v>12473</v>
      </c>
      <c r="B10801" t="s">
        <v>12476</v>
      </c>
      <c r="C10801">
        <v>0</v>
      </c>
      <c r="D10801">
        <v>0.89361350249899996</v>
      </c>
      <c r="E10801">
        <v>10.230884557721099</v>
      </c>
    </row>
    <row r="10802" spans="1:5">
      <c r="A10802" t="s">
        <v>12473</v>
      </c>
      <c r="B10802" t="s">
        <v>12477</v>
      </c>
      <c r="C10802">
        <f>0</f>
        <v>0</v>
      </c>
      <c r="D10802">
        <v>0.89361350249899996</v>
      </c>
      <c r="E10802">
        <v>10.230884557721099</v>
      </c>
    </row>
    <row r="10803" spans="1:5">
      <c r="A10803" t="s">
        <v>12473</v>
      </c>
      <c r="B10803" t="s">
        <v>12478</v>
      </c>
      <c r="C10803">
        <f>0.0378552562081</f>
        <v>3.7855256208099999E-2</v>
      </c>
      <c r="D10803">
        <v>0.89361350249899996</v>
      </c>
      <c r="E10803">
        <v>10.230884557721099</v>
      </c>
    </row>
    <row r="10804" spans="1:5">
      <c r="A10804" t="s">
        <v>12473</v>
      </c>
      <c r="B10804" t="s">
        <v>12479</v>
      </c>
      <c r="C10804">
        <v>0</v>
      </c>
      <c r="D10804">
        <v>0.89361350249899996</v>
      </c>
      <c r="E10804">
        <v>10.230884557721099</v>
      </c>
    </row>
    <row r="10805" spans="1:5">
      <c r="A10805" t="s">
        <v>12480</v>
      </c>
      <c r="B10805" t="s">
        <v>12481</v>
      </c>
      <c r="C10805">
        <v>0.188161954987</v>
      </c>
      <c r="D10805" t="s">
        <v>106</v>
      </c>
      <c r="E10805">
        <v>24</v>
      </c>
    </row>
    <row r="10806" spans="1:5">
      <c r="A10806" t="s">
        <v>12480</v>
      </c>
      <c r="B10806" t="s">
        <v>12482</v>
      </c>
      <c r="C10806">
        <f>0</f>
        <v>0</v>
      </c>
      <c r="D10806" t="s">
        <v>106</v>
      </c>
      <c r="E10806">
        <v>24</v>
      </c>
    </row>
    <row r="10807" spans="1:5">
      <c r="A10807" t="s">
        <v>12480</v>
      </c>
      <c r="B10807" t="s">
        <v>12483</v>
      </c>
      <c r="C10807">
        <f>0</f>
        <v>0</v>
      </c>
      <c r="D10807" t="s">
        <v>106</v>
      </c>
      <c r="E10807">
        <v>24</v>
      </c>
    </row>
    <row r="10808" spans="1:5">
      <c r="A10808" t="s">
        <v>12484</v>
      </c>
      <c r="B10808" t="s">
        <v>12485</v>
      </c>
      <c r="C10808">
        <v>5.2114788085800001E-2</v>
      </c>
      <c r="D10808">
        <v>0.98652783724399995</v>
      </c>
      <c r="E10808">
        <v>19.850074962518701</v>
      </c>
    </row>
    <row r="10809" spans="1:5">
      <c r="A10809" t="s">
        <v>12484</v>
      </c>
      <c r="B10809" t="s">
        <v>12486</v>
      </c>
      <c r="C10809">
        <v>0</v>
      </c>
      <c r="D10809">
        <v>0.98652783724399995</v>
      </c>
      <c r="E10809">
        <v>19.850074962518701</v>
      </c>
    </row>
    <row r="10810" spans="1:5">
      <c r="A10810" t="s">
        <v>12484</v>
      </c>
      <c r="B10810" t="s">
        <v>12487</v>
      </c>
      <c r="C10810">
        <f>0</f>
        <v>0</v>
      </c>
      <c r="D10810">
        <v>0.98652783724399995</v>
      </c>
      <c r="E10810">
        <v>19.850074962518701</v>
      </c>
    </row>
    <row r="10811" spans="1:5">
      <c r="A10811" t="s">
        <v>12484</v>
      </c>
      <c r="B10811" t="s">
        <v>12488</v>
      </c>
      <c r="C10811">
        <v>0</v>
      </c>
      <c r="D10811">
        <v>0.98652783724399995</v>
      </c>
      <c r="E10811">
        <v>19.850074962518701</v>
      </c>
    </row>
    <row r="10812" spans="1:5">
      <c r="A10812" t="s">
        <v>12484</v>
      </c>
      <c r="B10812" t="s">
        <v>12489</v>
      </c>
      <c r="C10812">
        <v>0</v>
      </c>
      <c r="D10812">
        <v>0.98652783724399995</v>
      </c>
      <c r="E10812">
        <v>19.850074962518701</v>
      </c>
    </row>
    <row r="10813" spans="1:5">
      <c r="A10813" t="s">
        <v>12484</v>
      </c>
      <c r="B10813" t="s">
        <v>12490</v>
      </c>
      <c r="C10813">
        <v>0</v>
      </c>
      <c r="D10813">
        <v>0.98652783724399995</v>
      </c>
      <c r="E10813">
        <v>19.850074962518701</v>
      </c>
    </row>
    <row r="10814" spans="1:5">
      <c r="A10814" t="s">
        <v>12484</v>
      </c>
      <c r="B10814" t="s">
        <v>12491</v>
      </c>
      <c r="C10814">
        <v>0.10919949812599999</v>
      </c>
      <c r="D10814">
        <v>0.98652783724399995</v>
      </c>
      <c r="E10814">
        <v>19.850074962518701</v>
      </c>
    </row>
    <row r="10815" spans="1:5">
      <c r="A10815" t="s">
        <v>12492</v>
      </c>
      <c r="B10815" t="s">
        <v>12493</v>
      </c>
      <c r="C10815">
        <f>0</f>
        <v>0</v>
      </c>
      <c r="D10815" t="s">
        <v>106</v>
      </c>
      <c r="E10815">
        <v>6.2968515742128899</v>
      </c>
    </row>
    <row r="10816" spans="1:5">
      <c r="A10816" t="s">
        <v>12492</v>
      </c>
      <c r="B10816" t="s">
        <v>12494</v>
      </c>
      <c r="C10816">
        <f>0</f>
        <v>0</v>
      </c>
      <c r="D10816" t="s">
        <v>106</v>
      </c>
      <c r="E10816">
        <v>6.2968515742128899</v>
      </c>
    </row>
    <row r="10817" spans="1:5">
      <c r="A10817" t="s">
        <v>12492</v>
      </c>
      <c r="B10817" t="s">
        <v>12495</v>
      </c>
      <c r="C10817">
        <v>0</v>
      </c>
      <c r="D10817" t="s">
        <v>106</v>
      </c>
      <c r="E10817">
        <v>6.2968515742128899</v>
      </c>
    </row>
    <row r="10818" spans="1:5">
      <c r="A10818" t="s">
        <v>12492</v>
      </c>
      <c r="B10818" t="s">
        <v>12496</v>
      </c>
      <c r="C10818">
        <f>0</f>
        <v>0</v>
      </c>
      <c r="D10818" t="s">
        <v>106</v>
      </c>
      <c r="E10818">
        <v>6.2968515742128899</v>
      </c>
    </row>
    <row r="10819" spans="1:5">
      <c r="A10819" t="s">
        <v>12492</v>
      </c>
      <c r="B10819" t="s">
        <v>12497</v>
      </c>
      <c r="C10819">
        <v>0</v>
      </c>
      <c r="D10819" t="s">
        <v>106</v>
      </c>
      <c r="E10819">
        <v>6.2968515742128899</v>
      </c>
    </row>
    <row r="10820" spans="1:5">
      <c r="A10820" t="s">
        <v>12492</v>
      </c>
      <c r="B10820" t="s">
        <v>12498</v>
      </c>
      <c r="C10820">
        <f>0</f>
        <v>0</v>
      </c>
      <c r="D10820" t="s">
        <v>106</v>
      </c>
      <c r="E10820">
        <v>6.2968515742128899</v>
      </c>
    </row>
    <row r="10821" spans="1:5">
      <c r="A10821" t="s">
        <v>12492</v>
      </c>
      <c r="B10821" t="s">
        <v>12499</v>
      </c>
      <c r="C10821">
        <f>0</f>
        <v>0</v>
      </c>
      <c r="D10821" t="s">
        <v>106</v>
      </c>
      <c r="E10821">
        <v>6.2968515742128899</v>
      </c>
    </row>
    <row r="10822" spans="1:5">
      <c r="A10822" t="s">
        <v>12492</v>
      </c>
      <c r="B10822" t="s">
        <v>12500</v>
      </c>
      <c r="C10822">
        <f>0</f>
        <v>0</v>
      </c>
      <c r="D10822" t="s">
        <v>106</v>
      </c>
      <c r="E10822">
        <v>6.2968515742128899</v>
      </c>
    </row>
    <row r="10823" spans="1:5">
      <c r="A10823" t="s">
        <v>12501</v>
      </c>
      <c r="B10823" t="s">
        <v>12502</v>
      </c>
      <c r="C10823">
        <f>0.0250361952381</f>
        <v>2.5036195238099999E-2</v>
      </c>
      <c r="D10823">
        <v>0.93135903754100002</v>
      </c>
      <c r="E10823">
        <v>24</v>
      </c>
    </row>
    <row r="10824" spans="1:5">
      <c r="A10824" t="s">
        <v>12501</v>
      </c>
      <c r="B10824" t="s">
        <v>12503</v>
      </c>
      <c r="C10824">
        <v>9.4976011663699997E-2</v>
      </c>
      <c r="D10824">
        <v>0.93135903754100002</v>
      </c>
      <c r="E10824">
        <v>24</v>
      </c>
    </row>
    <row r="10825" spans="1:5">
      <c r="A10825" t="s">
        <v>12501</v>
      </c>
      <c r="B10825" t="s">
        <v>12504</v>
      </c>
      <c r="C10825">
        <v>0</v>
      </c>
      <c r="D10825">
        <v>0.93135903754100002</v>
      </c>
      <c r="E10825">
        <v>24</v>
      </c>
    </row>
    <row r="10826" spans="1:5">
      <c r="A10826" t="s">
        <v>12505</v>
      </c>
      <c r="B10826" t="s">
        <v>12506</v>
      </c>
      <c r="C10826">
        <v>0</v>
      </c>
      <c r="D10826">
        <v>0.95176020962100005</v>
      </c>
      <c r="E10826">
        <v>6.0569715142428704</v>
      </c>
    </row>
    <row r="10827" spans="1:5">
      <c r="A10827" t="s">
        <v>12505</v>
      </c>
      <c r="B10827" t="s">
        <v>12507</v>
      </c>
      <c r="C10827">
        <v>0</v>
      </c>
      <c r="D10827">
        <v>0.95176020962100005</v>
      </c>
      <c r="E10827">
        <v>6.0569715142428704</v>
      </c>
    </row>
    <row r="10828" spans="1:5">
      <c r="A10828" t="s">
        <v>12505</v>
      </c>
      <c r="B10828" t="s">
        <v>12508</v>
      </c>
      <c r="C10828">
        <v>4.4088090562900001E-3</v>
      </c>
      <c r="D10828">
        <v>0.95176020962100005</v>
      </c>
      <c r="E10828">
        <v>6.0569715142428704</v>
      </c>
    </row>
    <row r="10829" spans="1:5">
      <c r="A10829" t="s">
        <v>12505</v>
      </c>
      <c r="B10829" t="s">
        <v>12509</v>
      </c>
      <c r="C10829">
        <f>0.00171581641873</f>
        <v>1.7158164187300001E-3</v>
      </c>
      <c r="D10829">
        <v>0.95176020962100005</v>
      </c>
      <c r="E10829">
        <v>6.0569715142428704</v>
      </c>
    </row>
    <row r="10830" spans="1:5">
      <c r="A10830" t="s">
        <v>12505</v>
      </c>
      <c r="B10830" t="s">
        <v>12510</v>
      </c>
      <c r="C10830">
        <v>0</v>
      </c>
      <c r="D10830">
        <v>0.95176020962100005</v>
      </c>
      <c r="E10830">
        <v>6.0569715142428704</v>
      </c>
    </row>
    <row r="10831" spans="1:5">
      <c r="A10831" t="s">
        <v>12511</v>
      </c>
      <c r="B10831" t="s">
        <v>12512</v>
      </c>
      <c r="C10831">
        <f>0</f>
        <v>0</v>
      </c>
      <c r="D10831">
        <v>0.95808032342399996</v>
      </c>
      <c r="E10831">
        <v>23.7481259370314</v>
      </c>
    </row>
    <row r="10832" spans="1:5">
      <c r="A10832" t="s">
        <v>12511</v>
      </c>
      <c r="B10832" t="s">
        <v>12513</v>
      </c>
      <c r="C10832">
        <f>0</f>
        <v>0</v>
      </c>
      <c r="D10832">
        <v>0.95808032342399996</v>
      </c>
      <c r="E10832">
        <v>23.7481259370314</v>
      </c>
    </row>
    <row r="10833" spans="1:5">
      <c r="A10833" t="s">
        <v>12511</v>
      </c>
      <c r="B10833" t="s">
        <v>12514</v>
      </c>
      <c r="C10833">
        <f>0</f>
        <v>0</v>
      </c>
      <c r="D10833">
        <v>0.95808032342399996</v>
      </c>
      <c r="E10833">
        <v>23.7481259370314</v>
      </c>
    </row>
    <row r="10834" spans="1:5">
      <c r="A10834" t="s">
        <v>12511</v>
      </c>
      <c r="B10834" t="s">
        <v>12515</v>
      </c>
      <c r="C10834">
        <v>0</v>
      </c>
      <c r="D10834">
        <v>0.95808032342399996</v>
      </c>
      <c r="E10834">
        <v>23.7481259370314</v>
      </c>
    </row>
    <row r="10835" spans="1:5">
      <c r="A10835" t="s">
        <v>12511</v>
      </c>
      <c r="B10835" t="s">
        <v>12516</v>
      </c>
      <c r="C10835">
        <f>0</f>
        <v>0</v>
      </c>
      <c r="D10835">
        <v>0.95808032342399996</v>
      </c>
      <c r="E10835">
        <v>23.7481259370314</v>
      </c>
    </row>
    <row r="10836" spans="1:5">
      <c r="A10836" t="s">
        <v>12511</v>
      </c>
      <c r="B10836" t="s">
        <v>12517</v>
      </c>
      <c r="C10836">
        <v>0</v>
      </c>
      <c r="D10836">
        <v>0.95808032342399996</v>
      </c>
      <c r="E10836">
        <v>23.7481259370314</v>
      </c>
    </row>
    <row r="10837" spans="1:5">
      <c r="A10837" t="s">
        <v>12511</v>
      </c>
      <c r="B10837" t="s">
        <v>12518</v>
      </c>
      <c r="C10837">
        <f>0</f>
        <v>0</v>
      </c>
      <c r="D10837">
        <v>0.95808032342399996</v>
      </c>
      <c r="E10837">
        <v>23.7481259370314</v>
      </c>
    </row>
    <row r="10838" spans="1:5">
      <c r="A10838" t="s">
        <v>12511</v>
      </c>
      <c r="B10838" t="s">
        <v>12519</v>
      </c>
      <c r="C10838">
        <f>0.00290174677583</f>
        <v>2.9017467758299998E-3</v>
      </c>
      <c r="D10838">
        <v>0.95808032342399996</v>
      </c>
      <c r="E10838">
        <v>23.7481259370314</v>
      </c>
    </row>
    <row r="10839" spans="1:5">
      <c r="A10839" t="s">
        <v>12511</v>
      </c>
      <c r="B10839" t="s">
        <v>12520</v>
      </c>
      <c r="C10839">
        <f>0</f>
        <v>0</v>
      </c>
      <c r="D10839">
        <v>0.95808032342399996</v>
      </c>
      <c r="E10839">
        <v>23.7481259370314</v>
      </c>
    </row>
    <row r="10840" spans="1:5">
      <c r="A10840" t="s">
        <v>12511</v>
      </c>
      <c r="B10840" t="s">
        <v>12521</v>
      </c>
      <c r="C10840">
        <f>0</f>
        <v>0</v>
      </c>
      <c r="D10840">
        <v>0.95808032342399996</v>
      </c>
      <c r="E10840">
        <v>23.7481259370314</v>
      </c>
    </row>
    <row r="10841" spans="1:5">
      <c r="A10841" t="s">
        <v>12511</v>
      </c>
      <c r="B10841" t="s">
        <v>12522</v>
      </c>
      <c r="C10841">
        <v>4.8160849914399999E-2</v>
      </c>
      <c r="D10841">
        <v>0.95808032342399996</v>
      </c>
      <c r="E10841">
        <v>23.7481259370314</v>
      </c>
    </row>
    <row r="10842" spans="1:5">
      <c r="A10842" t="s">
        <v>12523</v>
      </c>
      <c r="B10842" t="s">
        <v>12524</v>
      </c>
      <c r="C10842">
        <f>0</f>
        <v>0</v>
      </c>
      <c r="D10842">
        <v>0.95828523138300004</v>
      </c>
      <c r="E10842">
        <v>8.2878560719640095</v>
      </c>
    </row>
    <row r="10843" spans="1:5">
      <c r="A10843" t="s">
        <v>12523</v>
      </c>
      <c r="B10843" t="s">
        <v>12525</v>
      </c>
      <c r="C10843">
        <v>0</v>
      </c>
      <c r="D10843">
        <v>0.95828523138300004</v>
      </c>
      <c r="E10843">
        <v>8.2878560719640095</v>
      </c>
    </row>
    <row r="10844" spans="1:5">
      <c r="A10844" t="s">
        <v>12523</v>
      </c>
      <c r="B10844" t="s">
        <v>12526</v>
      </c>
      <c r="C10844">
        <v>0</v>
      </c>
      <c r="D10844">
        <v>0.95828523138300004</v>
      </c>
      <c r="E10844">
        <v>8.2878560719640095</v>
      </c>
    </row>
    <row r="10845" spans="1:5">
      <c r="A10845" t="s">
        <v>12523</v>
      </c>
      <c r="B10845" t="s">
        <v>12527</v>
      </c>
      <c r="C10845">
        <v>6.4313443091299993E-2</v>
      </c>
      <c r="D10845">
        <v>0.95828523138300004</v>
      </c>
      <c r="E10845">
        <v>8.2878560719640095</v>
      </c>
    </row>
    <row r="10846" spans="1:5">
      <c r="A10846" t="s">
        <v>12523</v>
      </c>
      <c r="B10846" t="s">
        <v>12528</v>
      </c>
      <c r="C10846">
        <f>0</f>
        <v>0</v>
      </c>
      <c r="D10846">
        <v>0.95828523138300004</v>
      </c>
      <c r="E10846">
        <v>8.2878560719640095</v>
      </c>
    </row>
    <row r="10847" spans="1:5">
      <c r="A10847" t="s">
        <v>12523</v>
      </c>
      <c r="B10847" t="s">
        <v>12529</v>
      </c>
      <c r="C10847">
        <v>0</v>
      </c>
      <c r="D10847">
        <v>0.95828523138300004</v>
      </c>
      <c r="E10847">
        <v>8.2878560719640095</v>
      </c>
    </row>
    <row r="10848" spans="1:5">
      <c r="A10848" t="s">
        <v>12523</v>
      </c>
      <c r="B10848" t="s">
        <v>12530</v>
      </c>
      <c r="C10848">
        <f>0</f>
        <v>0</v>
      </c>
      <c r="D10848">
        <v>0.95828523138300004</v>
      </c>
      <c r="E10848">
        <v>8.2878560719640095</v>
      </c>
    </row>
    <row r="10849" spans="1:5">
      <c r="A10849" t="s">
        <v>12523</v>
      </c>
      <c r="B10849" t="s">
        <v>12531</v>
      </c>
      <c r="C10849">
        <v>0</v>
      </c>
      <c r="D10849">
        <v>0.95828523138300004</v>
      </c>
      <c r="E10849">
        <v>8.2878560719640095</v>
      </c>
    </row>
    <row r="10850" spans="1:5">
      <c r="A10850" t="s">
        <v>12523</v>
      </c>
      <c r="B10850" t="s">
        <v>12532</v>
      </c>
      <c r="C10850">
        <f>0</f>
        <v>0</v>
      </c>
      <c r="D10850">
        <v>0.95828523138300004</v>
      </c>
      <c r="E10850">
        <v>8.2878560719640095</v>
      </c>
    </row>
    <row r="10851" spans="1:5">
      <c r="A10851" t="s">
        <v>12523</v>
      </c>
      <c r="B10851" t="s">
        <v>12533</v>
      </c>
      <c r="C10851">
        <f>0</f>
        <v>0</v>
      </c>
      <c r="D10851">
        <v>0.95828523138300004</v>
      </c>
      <c r="E10851">
        <v>8.2878560719640095</v>
      </c>
    </row>
    <row r="10852" spans="1:5">
      <c r="A10852" t="s">
        <v>12523</v>
      </c>
      <c r="B10852" t="s">
        <v>12534</v>
      </c>
      <c r="C10852">
        <v>0</v>
      </c>
      <c r="D10852">
        <v>0.95828523138300004</v>
      </c>
      <c r="E10852">
        <v>8.2878560719640095</v>
      </c>
    </row>
    <row r="10853" spans="1:5">
      <c r="A10853" t="s">
        <v>12523</v>
      </c>
      <c r="B10853" t="s">
        <v>12535</v>
      </c>
      <c r="C10853">
        <f>0</f>
        <v>0</v>
      </c>
      <c r="D10853">
        <v>0.95828523138300004</v>
      </c>
      <c r="E10853">
        <v>8.2878560719640095</v>
      </c>
    </row>
    <row r="10854" spans="1:5">
      <c r="A10854" t="s">
        <v>12536</v>
      </c>
      <c r="B10854" t="s">
        <v>12537</v>
      </c>
      <c r="C10854">
        <v>0</v>
      </c>
      <c r="D10854">
        <v>0.97426022265699996</v>
      </c>
      <c r="E10854">
        <v>7.5922038980509701</v>
      </c>
    </row>
    <row r="10855" spans="1:5">
      <c r="A10855" t="s">
        <v>12536</v>
      </c>
      <c r="B10855" t="s">
        <v>12538</v>
      </c>
      <c r="C10855">
        <f>0</f>
        <v>0</v>
      </c>
      <c r="D10855">
        <v>0.97426022265699996</v>
      </c>
      <c r="E10855">
        <v>7.5922038980509701</v>
      </c>
    </row>
    <row r="10856" spans="1:5">
      <c r="A10856" t="s">
        <v>12536</v>
      </c>
      <c r="B10856" t="s">
        <v>12539</v>
      </c>
      <c r="C10856">
        <f>0</f>
        <v>0</v>
      </c>
      <c r="D10856">
        <v>0.97426022265699996</v>
      </c>
      <c r="E10856">
        <v>7.5922038980509701</v>
      </c>
    </row>
    <row r="10857" spans="1:5">
      <c r="A10857" t="s">
        <v>12536</v>
      </c>
      <c r="B10857" t="s">
        <v>12540</v>
      </c>
      <c r="C10857">
        <f>0.153281099557</f>
        <v>0.15328109955700001</v>
      </c>
      <c r="D10857">
        <v>0.97426022265699996</v>
      </c>
      <c r="E10857">
        <v>7.5922038980509701</v>
      </c>
    </row>
    <row r="10858" spans="1:5">
      <c r="A10858" t="s">
        <v>12536</v>
      </c>
      <c r="B10858" t="s">
        <v>12541</v>
      </c>
      <c r="C10858">
        <v>0</v>
      </c>
      <c r="D10858">
        <v>0.97426022265699996</v>
      </c>
      <c r="E10858">
        <v>7.5922038980509701</v>
      </c>
    </row>
    <row r="10859" spans="1:5">
      <c r="A10859" t="s">
        <v>12536</v>
      </c>
      <c r="B10859" t="s">
        <v>12542</v>
      </c>
      <c r="C10859">
        <f>0.334099433753</f>
        <v>0.334099433753</v>
      </c>
      <c r="D10859">
        <v>0.97426022265699996</v>
      </c>
      <c r="E10859">
        <v>7.5922038980509701</v>
      </c>
    </row>
    <row r="10860" spans="1:5">
      <c r="A10860" t="s">
        <v>12543</v>
      </c>
      <c r="B10860" t="s">
        <v>12544</v>
      </c>
      <c r="C10860">
        <v>0</v>
      </c>
      <c r="D10860">
        <v>0.92422103700799996</v>
      </c>
      <c r="E10860">
        <v>5.0134932533733103</v>
      </c>
    </row>
    <row r="10861" spans="1:5">
      <c r="A10861" t="s">
        <v>12543</v>
      </c>
      <c r="B10861" t="s">
        <v>12545</v>
      </c>
      <c r="C10861">
        <f>0</f>
        <v>0</v>
      </c>
      <c r="D10861">
        <v>0.92422103700799996</v>
      </c>
      <c r="E10861">
        <v>5.0134932533733103</v>
      </c>
    </row>
    <row r="10862" spans="1:5">
      <c r="A10862" t="s">
        <v>12546</v>
      </c>
      <c r="B10862" t="s">
        <v>12547</v>
      </c>
      <c r="C10862">
        <f>0.469593824277</f>
        <v>0.46959382427700003</v>
      </c>
      <c r="D10862">
        <v>0.99011932222800003</v>
      </c>
      <c r="E10862">
        <v>0.77961019490254801</v>
      </c>
    </row>
    <row r="10863" spans="1:5">
      <c r="A10863" t="s">
        <v>12546</v>
      </c>
      <c r="B10863" t="s">
        <v>12548</v>
      </c>
      <c r="C10863">
        <f>0.193144749385</f>
        <v>0.19314474938500001</v>
      </c>
      <c r="D10863">
        <v>0.99011932222800003</v>
      </c>
      <c r="E10863">
        <v>0.77961019490254801</v>
      </c>
    </row>
    <row r="10864" spans="1:5">
      <c r="A10864" t="s">
        <v>12546</v>
      </c>
      <c r="B10864" t="s">
        <v>12549</v>
      </c>
      <c r="C10864">
        <f>0</f>
        <v>0</v>
      </c>
      <c r="D10864">
        <v>0.99011932222800003</v>
      </c>
      <c r="E10864">
        <v>0.77961019490254801</v>
      </c>
    </row>
    <row r="10865" spans="1:5">
      <c r="A10865" t="s">
        <v>12546</v>
      </c>
      <c r="B10865" t="s">
        <v>12550</v>
      </c>
      <c r="C10865">
        <v>0</v>
      </c>
      <c r="D10865">
        <v>0.99011932222800003</v>
      </c>
      <c r="E10865">
        <v>0.77961019490254801</v>
      </c>
    </row>
    <row r="10866" spans="1:5">
      <c r="A10866" t="s">
        <v>12551</v>
      </c>
      <c r="B10866" t="s">
        <v>12552</v>
      </c>
      <c r="C10866">
        <f>0</f>
        <v>0</v>
      </c>
      <c r="D10866">
        <v>0.99815338020900002</v>
      </c>
      <c r="E10866">
        <v>6.6806596701649097</v>
      </c>
    </row>
    <row r="10867" spans="1:5">
      <c r="A10867" t="s">
        <v>12551</v>
      </c>
      <c r="B10867" t="s">
        <v>12553</v>
      </c>
      <c r="C10867">
        <v>0.47704379278999998</v>
      </c>
      <c r="D10867">
        <v>0.99815338020900002</v>
      </c>
      <c r="E10867">
        <v>6.6806596701649097</v>
      </c>
    </row>
    <row r="10868" spans="1:5">
      <c r="A10868" t="s">
        <v>12551</v>
      </c>
      <c r="B10868" t="s">
        <v>12554</v>
      </c>
      <c r="C10868">
        <f>0</f>
        <v>0</v>
      </c>
      <c r="D10868">
        <v>0.99815338020900002</v>
      </c>
      <c r="E10868">
        <v>6.6806596701649097</v>
      </c>
    </row>
    <row r="10869" spans="1:5">
      <c r="A10869" t="s">
        <v>12551</v>
      </c>
      <c r="B10869" t="s">
        <v>12555</v>
      </c>
      <c r="C10869">
        <f>0</f>
        <v>0</v>
      </c>
      <c r="D10869">
        <v>0.99815338020900002</v>
      </c>
      <c r="E10869">
        <v>6.6806596701649097</v>
      </c>
    </row>
    <row r="10870" spans="1:5">
      <c r="A10870" t="s">
        <v>12551</v>
      </c>
      <c r="B10870" t="s">
        <v>12556</v>
      </c>
      <c r="C10870">
        <f>0</f>
        <v>0</v>
      </c>
      <c r="D10870">
        <v>0.99815338020900002</v>
      </c>
      <c r="E10870">
        <v>6.6806596701649097</v>
      </c>
    </row>
    <row r="10871" spans="1:5">
      <c r="A10871" t="s">
        <v>12551</v>
      </c>
      <c r="B10871" t="s">
        <v>12557</v>
      </c>
      <c r="C10871">
        <f>0.0263965009644</f>
        <v>2.6396500964400001E-2</v>
      </c>
      <c r="D10871">
        <v>0.99815338020900002</v>
      </c>
      <c r="E10871">
        <v>6.6806596701649097</v>
      </c>
    </row>
    <row r="10872" spans="1:5">
      <c r="A10872" t="s">
        <v>12551</v>
      </c>
      <c r="B10872" t="s">
        <v>12558</v>
      </c>
      <c r="C10872">
        <f>0</f>
        <v>0</v>
      </c>
      <c r="D10872">
        <v>0.99815338020900002</v>
      </c>
      <c r="E10872">
        <v>6.6806596701649097</v>
      </c>
    </row>
    <row r="10873" spans="1:5">
      <c r="A10873" t="s">
        <v>12559</v>
      </c>
      <c r="B10873" t="s">
        <v>12560</v>
      </c>
      <c r="C10873">
        <v>0.202940525693</v>
      </c>
      <c r="D10873">
        <v>0.95858746897000002</v>
      </c>
      <c r="E10873">
        <v>8.0119940029985006</v>
      </c>
    </row>
    <row r="10874" spans="1:5">
      <c r="A10874" t="s">
        <v>12559</v>
      </c>
      <c r="B10874" t="s">
        <v>12561</v>
      </c>
      <c r="C10874">
        <f>0</f>
        <v>0</v>
      </c>
      <c r="D10874">
        <v>0.95858746897000002</v>
      </c>
      <c r="E10874">
        <v>8.0119940029985006</v>
      </c>
    </row>
    <row r="10875" spans="1:5">
      <c r="A10875" t="s">
        <v>12559</v>
      </c>
      <c r="B10875" t="s">
        <v>12562</v>
      </c>
      <c r="C10875">
        <v>0</v>
      </c>
      <c r="D10875">
        <v>0.95858746897000002</v>
      </c>
      <c r="E10875">
        <v>8.0119940029985006</v>
      </c>
    </row>
    <row r="10876" spans="1:5">
      <c r="A10876" t="s">
        <v>12563</v>
      </c>
      <c r="B10876" t="s">
        <v>12564</v>
      </c>
      <c r="C10876">
        <v>0</v>
      </c>
      <c r="D10876">
        <v>0.96876371815399998</v>
      </c>
      <c r="E10876">
        <v>2.0989505247376301</v>
      </c>
    </row>
    <row r="10877" spans="1:5">
      <c r="A10877" t="s">
        <v>12563</v>
      </c>
      <c r="B10877" t="s">
        <v>12565</v>
      </c>
      <c r="C10877">
        <f>0.05125480234</f>
        <v>5.1254802340000002E-2</v>
      </c>
      <c r="D10877">
        <v>0.96876371815399998</v>
      </c>
      <c r="E10877">
        <v>2.0989505247376301</v>
      </c>
    </row>
    <row r="10878" spans="1:5">
      <c r="A10878" t="s">
        <v>12563</v>
      </c>
      <c r="B10878" t="s">
        <v>12566</v>
      </c>
      <c r="C10878">
        <v>0</v>
      </c>
      <c r="D10878">
        <v>0.96876371815399998</v>
      </c>
      <c r="E10878">
        <v>2.0989505247376301</v>
      </c>
    </row>
    <row r="10879" spans="1:5">
      <c r="A10879" t="s">
        <v>12563</v>
      </c>
      <c r="B10879" t="s">
        <v>12567</v>
      </c>
      <c r="C10879">
        <v>0</v>
      </c>
      <c r="D10879">
        <v>0.96876371815399998</v>
      </c>
      <c r="E10879">
        <v>2.0989505247376301</v>
      </c>
    </row>
    <row r="10880" spans="1:5">
      <c r="A10880" t="s">
        <v>12563</v>
      </c>
      <c r="B10880" t="s">
        <v>12568</v>
      </c>
      <c r="C10880">
        <v>0.233859992687</v>
      </c>
      <c r="D10880">
        <v>0.96876371815399998</v>
      </c>
      <c r="E10880">
        <v>2.0989505247376301</v>
      </c>
    </row>
    <row r="10881" spans="1:5">
      <c r="A10881" t="s">
        <v>12563</v>
      </c>
      <c r="B10881" t="s">
        <v>12569</v>
      </c>
      <c r="C10881">
        <v>0</v>
      </c>
      <c r="D10881">
        <v>0.96876371815399998</v>
      </c>
      <c r="E10881">
        <v>2.0989505247376301</v>
      </c>
    </row>
    <row r="10882" spans="1:5">
      <c r="A10882" t="s">
        <v>12563</v>
      </c>
      <c r="B10882" t="s">
        <v>12570</v>
      </c>
      <c r="C10882">
        <v>0</v>
      </c>
      <c r="D10882">
        <v>0.96876371815399998</v>
      </c>
      <c r="E10882">
        <v>2.0989505247376301</v>
      </c>
    </row>
    <row r="10883" spans="1:5">
      <c r="A10883" t="s">
        <v>12563</v>
      </c>
      <c r="B10883" t="s">
        <v>12571</v>
      </c>
      <c r="C10883">
        <f>0</f>
        <v>0</v>
      </c>
      <c r="D10883">
        <v>0.96876371815399998</v>
      </c>
      <c r="E10883">
        <v>2.0989505247376301</v>
      </c>
    </row>
    <row r="10884" spans="1:5">
      <c r="A10884" t="s">
        <v>12572</v>
      </c>
      <c r="B10884" t="s">
        <v>12573</v>
      </c>
      <c r="C10884">
        <f>0</f>
        <v>0</v>
      </c>
      <c r="D10884" t="s">
        <v>106</v>
      </c>
      <c r="E10884">
        <v>6.9325337331334298</v>
      </c>
    </row>
    <row r="10885" spans="1:5">
      <c r="A10885" t="s">
        <v>12572</v>
      </c>
      <c r="B10885" t="s">
        <v>12574</v>
      </c>
      <c r="C10885">
        <f>0</f>
        <v>0</v>
      </c>
      <c r="D10885" t="s">
        <v>106</v>
      </c>
      <c r="E10885">
        <v>6.9325337331334298</v>
      </c>
    </row>
    <row r="10886" spans="1:5">
      <c r="A10886" t="s">
        <v>12572</v>
      </c>
      <c r="B10886" t="s">
        <v>12575</v>
      </c>
      <c r="C10886">
        <f>0</f>
        <v>0</v>
      </c>
      <c r="D10886" t="s">
        <v>106</v>
      </c>
      <c r="E10886">
        <v>6.9325337331334298</v>
      </c>
    </row>
    <row r="10887" spans="1:5">
      <c r="A10887" t="s">
        <v>12572</v>
      </c>
      <c r="B10887" t="s">
        <v>12576</v>
      </c>
      <c r="C10887">
        <f>0</f>
        <v>0</v>
      </c>
      <c r="D10887" t="s">
        <v>106</v>
      </c>
      <c r="E10887">
        <v>6.9325337331334298</v>
      </c>
    </row>
    <row r="10888" spans="1:5">
      <c r="A10888" t="s">
        <v>12572</v>
      </c>
      <c r="B10888" t="s">
        <v>12577</v>
      </c>
      <c r="C10888">
        <f>0</f>
        <v>0</v>
      </c>
      <c r="D10888" t="s">
        <v>106</v>
      </c>
      <c r="E10888">
        <v>6.9325337331334298</v>
      </c>
    </row>
    <row r="10889" spans="1:5">
      <c r="A10889" t="s">
        <v>12572</v>
      </c>
      <c r="B10889" t="s">
        <v>12578</v>
      </c>
      <c r="C10889">
        <f>0</f>
        <v>0</v>
      </c>
      <c r="D10889" t="s">
        <v>106</v>
      </c>
      <c r="E10889">
        <v>6.9325337331334298</v>
      </c>
    </row>
    <row r="10890" spans="1:5">
      <c r="A10890" t="s">
        <v>12572</v>
      </c>
      <c r="B10890" t="s">
        <v>12579</v>
      </c>
      <c r="C10890">
        <v>0</v>
      </c>
      <c r="D10890" t="s">
        <v>106</v>
      </c>
      <c r="E10890">
        <v>6.9325337331334298</v>
      </c>
    </row>
    <row r="10891" spans="1:5">
      <c r="A10891" t="s">
        <v>12572</v>
      </c>
      <c r="B10891" t="s">
        <v>12580</v>
      </c>
      <c r="C10891">
        <f>0.434774052265</f>
        <v>0.43477405226499999</v>
      </c>
      <c r="D10891" t="s">
        <v>106</v>
      </c>
      <c r="E10891">
        <v>6.9325337331334298</v>
      </c>
    </row>
    <row r="10892" spans="1:5">
      <c r="A10892" t="s">
        <v>12572</v>
      </c>
      <c r="B10892" t="s">
        <v>12581</v>
      </c>
      <c r="C10892">
        <f>0.11681272773</f>
        <v>0.11681272773</v>
      </c>
      <c r="D10892" t="s">
        <v>106</v>
      </c>
      <c r="E10892">
        <v>6.9325337331334298</v>
      </c>
    </row>
    <row r="10893" spans="1:5">
      <c r="A10893" t="s">
        <v>12572</v>
      </c>
      <c r="B10893" t="s">
        <v>12582</v>
      </c>
      <c r="C10893">
        <f>0</f>
        <v>0</v>
      </c>
      <c r="D10893" t="s">
        <v>106</v>
      </c>
      <c r="E10893">
        <v>6.9325337331334298</v>
      </c>
    </row>
    <row r="10894" spans="1:5">
      <c r="A10894" t="s">
        <v>12572</v>
      </c>
      <c r="B10894" t="s">
        <v>12583</v>
      </c>
      <c r="C10894">
        <f>0</f>
        <v>0</v>
      </c>
      <c r="D10894" t="s">
        <v>106</v>
      </c>
      <c r="E10894">
        <v>6.9325337331334298</v>
      </c>
    </row>
    <row r="10895" spans="1:5">
      <c r="A10895" t="s">
        <v>12572</v>
      </c>
      <c r="B10895" t="s">
        <v>12584</v>
      </c>
      <c r="C10895">
        <f>0</f>
        <v>0</v>
      </c>
      <c r="D10895" t="s">
        <v>106</v>
      </c>
      <c r="E10895">
        <v>6.9325337331334298</v>
      </c>
    </row>
    <row r="10896" spans="1:5">
      <c r="A10896" t="s">
        <v>12572</v>
      </c>
      <c r="B10896" t="s">
        <v>12585</v>
      </c>
      <c r="C10896">
        <v>0</v>
      </c>
      <c r="D10896" t="s">
        <v>106</v>
      </c>
      <c r="E10896">
        <v>6.9325337331334298</v>
      </c>
    </row>
    <row r="10897" spans="1:5">
      <c r="A10897" t="s">
        <v>12586</v>
      </c>
      <c r="B10897" t="s">
        <v>12587</v>
      </c>
      <c r="C10897">
        <f>0</f>
        <v>0</v>
      </c>
      <c r="D10897">
        <v>0.94905380579900001</v>
      </c>
      <c r="E10897">
        <v>6.2968515742128899</v>
      </c>
    </row>
    <row r="10898" spans="1:5">
      <c r="A10898" t="s">
        <v>12586</v>
      </c>
      <c r="B10898" t="s">
        <v>12588</v>
      </c>
      <c r="C10898">
        <v>0</v>
      </c>
      <c r="D10898">
        <v>0.94905380579900001</v>
      </c>
      <c r="E10898">
        <v>6.2968515742128899</v>
      </c>
    </row>
    <row r="10899" spans="1:5">
      <c r="A10899" t="s">
        <v>12586</v>
      </c>
      <c r="B10899" t="s">
        <v>12589</v>
      </c>
      <c r="C10899">
        <f>0</f>
        <v>0</v>
      </c>
      <c r="D10899">
        <v>0.94905380579900001</v>
      </c>
      <c r="E10899">
        <v>6.2968515742128899</v>
      </c>
    </row>
    <row r="10900" spans="1:5">
      <c r="A10900" t="s">
        <v>12586</v>
      </c>
      <c r="B10900" t="s">
        <v>12590</v>
      </c>
      <c r="C10900">
        <f>0</f>
        <v>0</v>
      </c>
      <c r="D10900">
        <v>0.94905380579900001</v>
      </c>
      <c r="E10900">
        <v>6.2968515742128899</v>
      </c>
    </row>
    <row r="10901" spans="1:5">
      <c r="A10901" t="s">
        <v>12586</v>
      </c>
      <c r="B10901" t="s">
        <v>12591</v>
      </c>
      <c r="C10901">
        <f>0</f>
        <v>0</v>
      </c>
      <c r="D10901">
        <v>0.94905380579900001</v>
      </c>
      <c r="E10901">
        <v>6.2968515742128899</v>
      </c>
    </row>
    <row r="10902" spans="1:5">
      <c r="A10902" t="s">
        <v>12586</v>
      </c>
      <c r="B10902" t="s">
        <v>12592</v>
      </c>
      <c r="C10902">
        <f>0</f>
        <v>0</v>
      </c>
      <c r="D10902">
        <v>0.94905380579900001</v>
      </c>
      <c r="E10902">
        <v>6.2968515742128899</v>
      </c>
    </row>
    <row r="10903" spans="1:5">
      <c r="A10903" t="s">
        <v>12586</v>
      </c>
      <c r="B10903" t="s">
        <v>12593</v>
      </c>
      <c r="C10903">
        <f>0</f>
        <v>0</v>
      </c>
      <c r="D10903">
        <v>0.94905380579900001</v>
      </c>
      <c r="E10903">
        <v>6.2968515742128899</v>
      </c>
    </row>
    <row r="10904" spans="1:5">
      <c r="A10904" t="s">
        <v>12586</v>
      </c>
      <c r="B10904" t="s">
        <v>12594</v>
      </c>
      <c r="C10904">
        <f>0</f>
        <v>0</v>
      </c>
      <c r="D10904">
        <v>0.94905380579900001</v>
      </c>
      <c r="E10904">
        <v>6.2968515742128899</v>
      </c>
    </row>
    <row r="10905" spans="1:5">
      <c r="A10905" t="s">
        <v>12586</v>
      </c>
      <c r="B10905" t="s">
        <v>12595</v>
      </c>
      <c r="C10905">
        <f>0</f>
        <v>0</v>
      </c>
      <c r="D10905">
        <v>0.94905380579900001</v>
      </c>
      <c r="E10905">
        <v>6.2968515742128899</v>
      </c>
    </row>
    <row r="10906" spans="1:5">
      <c r="A10906" t="s">
        <v>12586</v>
      </c>
      <c r="B10906" t="s">
        <v>12596</v>
      </c>
      <c r="C10906">
        <f>0</f>
        <v>0</v>
      </c>
      <c r="D10906">
        <v>0.94905380579900001</v>
      </c>
      <c r="E10906">
        <v>6.2968515742128899</v>
      </c>
    </row>
    <row r="10907" spans="1:5">
      <c r="A10907" t="s">
        <v>12586</v>
      </c>
      <c r="B10907" t="s">
        <v>12597</v>
      </c>
      <c r="C10907">
        <f>0</f>
        <v>0</v>
      </c>
      <c r="D10907">
        <v>0.94905380579900001</v>
      </c>
      <c r="E10907">
        <v>6.2968515742128899</v>
      </c>
    </row>
    <row r="10908" spans="1:5">
      <c r="A10908" t="s">
        <v>12598</v>
      </c>
      <c r="B10908" t="s">
        <v>12599</v>
      </c>
      <c r="C10908">
        <f>0</f>
        <v>0</v>
      </c>
      <c r="D10908">
        <v>0.89947398545400004</v>
      </c>
      <c r="E10908">
        <v>7.1964017991004496</v>
      </c>
    </row>
    <row r="10909" spans="1:5">
      <c r="A10909" t="s">
        <v>12598</v>
      </c>
      <c r="B10909" t="s">
        <v>12600</v>
      </c>
      <c r="C10909">
        <f>0</f>
        <v>0</v>
      </c>
      <c r="D10909">
        <v>0.89947398545400004</v>
      </c>
      <c r="E10909">
        <v>7.1964017991004496</v>
      </c>
    </row>
    <row r="10910" spans="1:5">
      <c r="A10910" t="s">
        <v>12598</v>
      </c>
      <c r="B10910" t="s">
        <v>12601</v>
      </c>
      <c r="C10910">
        <f>0</f>
        <v>0</v>
      </c>
      <c r="D10910">
        <v>0.89947398545400004</v>
      </c>
      <c r="E10910">
        <v>7.1964017991004496</v>
      </c>
    </row>
    <row r="10911" spans="1:5">
      <c r="A10911" t="s">
        <v>12598</v>
      </c>
      <c r="B10911" t="s">
        <v>12602</v>
      </c>
      <c r="C10911">
        <f>0.207387031071</f>
        <v>0.20738703107100001</v>
      </c>
      <c r="D10911">
        <v>0.89947398545400004</v>
      </c>
      <c r="E10911">
        <v>7.1964017991004496</v>
      </c>
    </row>
    <row r="10912" spans="1:5">
      <c r="A10912" t="s">
        <v>12598</v>
      </c>
      <c r="B10912" t="s">
        <v>12603</v>
      </c>
      <c r="C10912">
        <f>0</f>
        <v>0</v>
      </c>
      <c r="D10912">
        <v>0.89947398545400004</v>
      </c>
      <c r="E10912">
        <v>7.1964017991004496</v>
      </c>
    </row>
    <row r="10913" spans="1:5">
      <c r="A10913" t="s">
        <v>12604</v>
      </c>
      <c r="B10913" t="s">
        <v>12605</v>
      </c>
      <c r="C10913">
        <f>0.180982146565</f>
        <v>0.180982146565</v>
      </c>
      <c r="D10913" t="s">
        <v>106</v>
      </c>
      <c r="E10913">
        <v>4.4737631184407798</v>
      </c>
    </row>
    <row r="10914" spans="1:5">
      <c r="A10914" t="s">
        <v>12604</v>
      </c>
      <c r="B10914" t="s">
        <v>12606</v>
      </c>
      <c r="C10914">
        <f>0</f>
        <v>0</v>
      </c>
      <c r="D10914" t="s">
        <v>106</v>
      </c>
      <c r="E10914">
        <v>4.4737631184407798</v>
      </c>
    </row>
    <row r="10915" spans="1:5">
      <c r="A10915" t="s">
        <v>12604</v>
      </c>
      <c r="B10915" t="s">
        <v>12607</v>
      </c>
      <c r="C10915">
        <f>0.0650321685045</f>
        <v>6.5032168504499999E-2</v>
      </c>
      <c r="D10915" t="s">
        <v>106</v>
      </c>
      <c r="E10915">
        <v>4.4737631184407798</v>
      </c>
    </row>
    <row r="10916" spans="1:5">
      <c r="A10916" t="s">
        <v>12604</v>
      </c>
      <c r="B10916" t="s">
        <v>12608</v>
      </c>
      <c r="C10916">
        <f>0</f>
        <v>0</v>
      </c>
      <c r="D10916" t="s">
        <v>106</v>
      </c>
      <c r="E10916">
        <v>4.4737631184407798</v>
      </c>
    </row>
    <row r="10917" spans="1:5">
      <c r="A10917" t="s">
        <v>12604</v>
      </c>
      <c r="B10917" t="s">
        <v>12609</v>
      </c>
      <c r="C10917">
        <v>0</v>
      </c>
      <c r="D10917" t="s">
        <v>106</v>
      </c>
      <c r="E10917">
        <v>4.4737631184407798</v>
      </c>
    </row>
    <row r="10918" spans="1:5">
      <c r="A10918" t="s">
        <v>12604</v>
      </c>
      <c r="B10918" t="s">
        <v>12610</v>
      </c>
      <c r="C10918">
        <f>0</f>
        <v>0</v>
      </c>
      <c r="D10918" t="s">
        <v>106</v>
      </c>
      <c r="E10918">
        <v>4.4737631184407798</v>
      </c>
    </row>
    <row r="10919" spans="1:5">
      <c r="A10919" t="s">
        <v>12604</v>
      </c>
      <c r="B10919" t="s">
        <v>12611</v>
      </c>
      <c r="C10919">
        <f>0</f>
        <v>0</v>
      </c>
      <c r="D10919" t="s">
        <v>106</v>
      </c>
      <c r="E10919">
        <v>4.4737631184407798</v>
      </c>
    </row>
    <row r="10920" spans="1:5">
      <c r="A10920" t="s">
        <v>12604</v>
      </c>
      <c r="B10920" t="s">
        <v>12612</v>
      </c>
      <c r="C10920">
        <v>0</v>
      </c>
      <c r="D10920" t="s">
        <v>106</v>
      </c>
      <c r="E10920">
        <v>4.4737631184407798</v>
      </c>
    </row>
    <row r="10921" spans="1:5">
      <c r="A10921" t="s">
        <v>12613</v>
      </c>
      <c r="B10921" t="s">
        <v>12614</v>
      </c>
      <c r="C10921">
        <f>0</f>
        <v>0</v>
      </c>
      <c r="D10921">
        <v>0.99011569266599997</v>
      </c>
      <c r="E10921">
        <v>11.370314842578701</v>
      </c>
    </row>
    <row r="10922" spans="1:5">
      <c r="A10922" t="s">
        <v>12613</v>
      </c>
      <c r="B10922" t="s">
        <v>12615</v>
      </c>
      <c r="C10922">
        <v>0.133353985649</v>
      </c>
      <c r="D10922">
        <v>0.99011569266599997</v>
      </c>
      <c r="E10922">
        <v>11.370314842578701</v>
      </c>
    </row>
    <row r="10923" spans="1:5">
      <c r="A10923" t="s">
        <v>12613</v>
      </c>
      <c r="B10923" t="s">
        <v>12616</v>
      </c>
      <c r="C10923">
        <f>0</f>
        <v>0</v>
      </c>
      <c r="D10923">
        <v>0.99011569266599997</v>
      </c>
      <c r="E10923">
        <v>11.370314842578701</v>
      </c>
    </row>
    <row r="10924" spans="1:5">
      <c r="A10924" t="s">
        <v>12613</v>
      </c>
      <c r="B10924" t="s">
        <v>12617</v>
      </c>
      <c r="C10924">
        <f>0.0164282083296</f>
        <v>1.64282083296E-2</v>
      </c>
      <c r="D10924">
        <v>0.99011569266599997</v>
      </c>
      <c r="E10924">
        <v>11.370314842578701</v>
      </c>
    </row>
    <row r="10925" spans="1:5">
      <c r="A10925" t="s">
        <v>12613</v>
      </c>
      <c r="B10925" t="s">
        <v>12618</v>
      </c>
      <c r="C10925">
        <f>0</f>
        <v>0</v>
      </c>
      <c r="D10925">
        <v>0.99011569266599997</v>
      </c>
      <c r="E10925">
        <v>11.370314842578701</v>
      </c>
    </row>
    <row r="10926" spans="1:5">
      <c r="A10926" t="s">
        <v>12613</v>
      </c>
      <c r="B10926" t="s">
        <v>12619</v>
      </c>
      <c r="C10926">
        <f>0</f>
        <v>0</v>
      </c>
      <c r="D10926">
        <v>0.99011569266599997</v>
      </c>
      <c r="E10926">
        <v>11.370314842578701</v>
      </c>
    </row>
    <row r="10927" spans="1:5">
      <c r="A10927" t="s">
        <v>12613</v>
      </c>
      <c r="B10927" t="s">
        <v>12620</v>
      </c>
      <c r="C10927">
        <v>0</v>
      </c>
      <c r="D10927">
        <v>0.99011569266599997</v>
      </c>
      <c r="E10927">
        <v>11.370314842578701</v>
      </c>
    </row>
    <row r="10928" spans="1:5">
      <c r="A10928" t="s">
        <v>12613</v>
      </c>
      <c r="B10928" t="s">
        <v>12621</v>
      </c>
      <c r="C10928">
        <f>0</f>
        <v>0</v>
      </c>
      <c r="D10928">
        <v>0.99011569266599997</v>
      </c>
      <c r="E10928">
        <v>11.370314842578701</v>
      </c>
    </row>
    <row r="10929" spans="1:5">
      <c r="A10929" t="s">
        <v>12613</v>
      </c>
      <c r="B10929" t="s">
        <v>12622</v>
      </c>
      <c r="C10929">
        <v>0</v>
      </c>
      <c r="D10929">
        <v>0.99011569266599997</v>
      </c>
      <c r="E10929">
        <v>11.370314842578701</v>
      </c>
    </row>
    <row r="10930" spans="1:5">
      <c r="A10930" t="s">
        <v>12613</v>
      </c>
      <c r="B10930" t="s">
        <v>12623</v>
      </c>
      <c r="C10930">
        <v>0</v>
      </c>
      <c r="D10930">
        <v>0.99011569266599997</v>
      </c>
      <c r="E10930">
        <v>11.370314842578701</v>
      </c>
    </row>
    <row r="10931" spans="1:5">
      <c r="A10931" t="s">
        <v>12613</v>
      </c>
      <c r="B10931" t="s">
        <v>12624</v>
      </c>
      <c r="C10931">
        <f>0</f>
        <v>0</v>
      </c>
      <c r="D10931">
        <v>0.99011569266599997</v>
      </c>
      <c r="E10931">
        <v>11.370314842578701</v>
      </c>
    </row>
    <row r="10932" spans="1:5">
      <c r="A10932" t="s">
        <v>12613</v>
      </c>
      <c r="B10932" t="s">
        <v>12625</v>
      </c>
      <c r="C10932">
        <v>0</v>
      </c>
      <c r="D10932">
        <v>0.99011569266599997</v>
      </c>
      <c r="E10932">
        <v>11.370314842578701</v>
      </c>
    </row>
    <row r="10933" spans="1:5">
      <c r="A10933" t="s">
        <v>12613</v>
      </c>
      <c r="B10933" t="s">
        <v>12626</v>
      </c>
      <c r="C10933">
        <f>0</f>
        <v>0</v>
      </c>
      <c r="D10933">
        <v>0.99011569266599997</v>
      </c>
      <c r="E10933">
        <v>11.370314842578701</v>
      </c>
    </row>
    <row r="10934" spans="1:5">
      <c r="A10934" t="s">
        <v>12613</v>
      </c>
      <c r="B10934" t="s">
        <v>12627</v>
      </c>
      <c r="C10934">
        <v>0</v>
      </c>
      <c r="D10934">
        <v>0.99011569266599997</v>
      </c>
      <c r="E10934">
        <v>11.370314842578701</v>
      </c>
    </row>
    <row r="10935" spans="1:5">
      <c r="A10935" t="s">
        <v>12628</v>
      </c>
      <c r="B10935" t="s">
        <v>12629</v>
      </c>
      <c r="C10935">
        <v>0</v>
      </c>
      <c r="D10935">
        <v>0.94285114407699999</v>
      </c>
      <c r="E10935">
        <v>24</v>
      </c>
    </row>
    <row r="10936" spans="1:5">
      <c r="A10936" t="s">
        <v>12628</v>
      </c>
      <c r="B10936" t="s">
        <v>12630</v>
      </c>
      <c r="C10936">
        <f>0.153370876323</f>
        <v>0.153370876323</v>
      </c>
      <c r="D10936">
        <v>0.94285114407699999</v>
      </c>
      <c r="E10936">
        <v>24</v>
      </c>
    </row>
    <row r="10937" spans="1:5">
      <c r="A10937" t="s">
        <v>12628</v>
      </c>
      <c r="B10937" t="s">
        <v>12631</v>
      </c>
      <c r="C10937">
        <f>0</f>
        <v>0</v>
      </c>
      <c r="D10937">
        <v>0.94285114407699999</v>
      </c>
      <c r="E10937">
        <v>24</v>
      </c>
    </row>
    <row r="10938" spans="1:5">
      <c r="A10938" t="s">
        <v>12628</v>
      </c>
      <c r="B10938" t="s">
        <v>12632</v>
      </c>
      <c r="C10938">
        <f>0</f>
        <v>0</v>
      </c>
      <c r="D10938">
        <v>0.94285114407699999</v>
      </c>
      <c r="E10938">
        <v>24</v>
      </c>
    </row>
    <row r="10939" spans="1:5">
      <c r="A10939" t="s">
        <v>12628</v>
      </c>
      <c r="B10939" t="s">
        <v>12633</v>
      </c>
      <c r="C10939">
        <f>0</f>
        <v>0</v>
      </c>
      <c r="D10939">
        <v>0.94285114407699999</v>
      </c>
      <c r="E10939">
        <v>24</v>
      </c>
    </row>
    <row r="10940" spans="1:5">
      <c r="A10940" t="s">
        <v>12628</v>
      </c>
      <c r="B10940" t="s">
        <v>12634</v>
      </c>
      <c r="C10940">
        <f>0</f>
        <v>0</v>
      </c>
      <c r="D10940">
        <v>0.94285114407699999</v>
      </c>
      <c r="E10940">
        <v>24</v>
      </c>
    </row>
    <row r="10941" spans="1:5">
      <c r="A10941" t="s">
        <v>12628</v>
      </c>
      <c r="B10941" t="s">
        <v>12635</v>
      </c>
      <c r="C10941">
        <f>0</f>
        <v>0</v>
      </c>
      <c r="D10941">
        <v>0.94285114407699999</v>
      </c>
      <c r="E10941">
        <v>24</v>
      </c>
    </row>
    <row r="10942" spans="1:5">
      <c r="A10942" t="s">
        <v>12628</v>
      </c>
      <c r="B10942" t="s">
        <v>12636</v>
      </c>
      <c r="C10942">
        <v>7.1627103907900003E-3</v>
      </c>
      <c r="D10942">
        <v>0.94285114407699999</v>
      </c>
      <c r="E10942">
        <v>24</v>
      </c>
    </row>
    <row r="10943" spans="1:5">
      <c r="A10943" t="s">
        <v>12637</v>
      </c>
      <c r="B10943" t="s">
        <v>12638</v>
      </c>
      <c r="C10943">
        <f>0.0083235350896</f>
        <v>8.3235350895999993E-3</v>
      </c>
      <c r="D10943">
        <v>0.88130515916200003</v>
      </c>
      <c r="E10943">
        <v>16.095952023988001</v>
      </c>
    </row>
    <row r="10944" spans="1:5">
      <c r="A10944" t="s">
        <v>12637</v>
      </c>
      <c r="B10944" t="s">
        <v>12639</v>
      </c>
      <c r="C10944">
        <f>0</f>
        <v>0</v>
      </c>
      <c r="D10944">
        <v>0.88130515916200003</v>
      </c>
      <c r="E10944">
        <v>16.095952023988001</v>
      </c>
    </row>
    <row r="10945" spans="1:5">
      <c r="A10945" t="s">
        <v>12637</v>
      </c>
      <c r="B10945" t="s">
        <v>12640</v>
      </c>
      <c r="C10945">
        <f>0</f>
        <v>0</v>
      </c>
      <c r="D10945">
        <v>0.88130515916200003</v>
      </c>
      <c r="E10945">
        <v>16.095952023988001</v>
      </c>
    </row>
    <row r="10946" spans="1:5">
      <c r="A10946" t="s">
        <v>12637</v>
      </c>
      <c r="B10946" t="s">
        <v>12641</v>
      </c>
      <c r="C10946">
        <f>0</f>
        <v>0</v>
      </c>
      <c r="D10946">
        <v>0.88130515916200003</v>
      </c>
      <c r="E10946">
        <v>16.095952023988001</v>
      </c>
    </row>
    <row r="10947" spans="1:5">
      <c r="A10947" t="s">
        <v>12637</v>
      </c>
      <c r="B10947" t="s">
        <v>12642</v>
      </c>
      <c r="C10947">
        <v>0</v>
      </c>
      <c r="D10947">
        <v>0.88130515916200003</v>
      </c>
      <c r="E10947">
        <v>16.095952023988001</v>
      </c>
    </row>
    <row r="10948" spans="1:5">
      <c r="A10948" t="s">
        <v>12637</v>
      </c>
      <c r="B10948" t="s">
        <v>12643</v>
      </c>
      <c r="C10948">
        <f>0.0667564201445</f>
        <v>6.6756420144500006E-2</v>
      </c>
      <c r="D10948">
        <v>0.88130515916200003</v>
      </c>
      <c r="E10948">
        <v>16.095952023988001</v>
      </c>
    </row>
    <row r="10949" spans="1:5">
      <c r="A10949" t="s">
        <v>12637</v>
      </c>
      <c r="B10949" t="s">
        <v>12644</v>
      </c>
      <c r="C10949">
        <f>0</f>
        <v>0</v>
      </c>
      <c r="D10949">
        <v>0.88130515916200003</v>
      </c>
      <c r="E10949">
        <v>16.095952023988001</v>
      </c>
    </row>
    <row r="10950" spans="1:5">
      <c r="A10950" t="s">
        <v>12645</v>
      </c>
      <c r="B10950" t="s">
        <v>12646</v>
      </c>
      <c r="C10950">
        <v>0</v>
      </c>
      <c r="D10950" t="s">
        <v>106</v>
      </c>
      <c r="E10950">
        <v>24</v>
      </c>
    </row>
    <row r="10951" spans="1:5">
      <c r="A10951" t="s">
        <v>12645</v>
      </c>
      <c r="B10951" t="s">
        <v>12647</v>
      </c>
      <c r="C10951">
        <v>0</v>
      </c>
      <c r="D10951" t="s">
        <v>106</v>
      </c>
      <c r="E10951">
        <v>24</v>
      </c>
    </row>
    <row r="10952" spans="1:5">
      <c r="A10952" t="s">
        <v>12645</v>
      </c>
      <c r="B10952" t="s">
        <v>12648</v>
      </c>
      <c r="C10952">
        <v>0</v>
      </c>
      <c r="D10952" t="s">
        <v>106</v>
      </c>
      <c r="E10952">
        <v>24</v>
      </c>
    </row>
    <row r="10953" spans="1:5">
      <c r="A10953" t="s">
        <v>12645</v>
      </c>
      <c r="B10953" t="s">
        <v>12649</v>
      </c>
      <c r="C10953">
        <v>0</v>
      </c>
      <c r="D10953" t="s">
        <v>106</v>
      </c>
      <c r="E10953">
        <v>24</v>
      </c>
    </row>
    <row r="10954" spans="1:5">
      <c r="A10954" t="s">
        <v>12645</v>
      </c>
      <c r="B10954" t="s">
        <v>12650</v>
      </c>
      <c r="C10954">
        <v>1.7805366283700001E-2</v>
      </c>
      <c r="D10954" t="s">
        <v>106</v>
      </c>
      <c r="E10954">
        <v>24</v>
      </c>
    </row>
    <row r="10955" spans="1:5">
      <c r="A10955" t="s">
        <v>12645</v>
      </c>
      <c r="B10955" t="s">
        <v>12651</v>
      </c>
      <c r="C10955">
        <f>0</f>
        <v>0</v>
      </c>
      <c r="D10955" t="s">
        <v>106</v>
      </c>
      <c r="E10955">
        <v>24</v>
      </c>
    </row>
    <row r="10956" spans="1:5">
      <c r="A10956" t="s">
        <v>12645</v>
      </c>
      <c r="B10956" t="s">
        <v>12652</v>
      </c>
      <c r="C10956">
        <v>0</v>
      </c>
      <c r="D10956" t="s">
        <v>106</v>
      </c>
      <c r="E10956">
        <v>24</v>
      </c>
    </row>
    <row r="10957" spans="1:5">
      <c r="A10957" t="s">
        <v>12645</v>
      </c>
      <c r="B10957" t="s">
        <v>12653</v>
      </c>
      <c r="C10957">
        <v>3.4740642864799998E-2</v>
      </c>
      <c r="D10957" t="s">
        <v>106</v>
      </c>
      <c r="E10957">
        <v>24</v>
      </c>
    </row>
    <row r="10958" spans="1:5">
      <c r="A10958" t="s">
        <v>12645</v>
      </c>
      <c r="B10958" t="s">
        <v>12654</v>
      </c>
      <c r="C10958">
        <v>0</v>
      </c>
      <c r="D10958" t="s">
        <v>106</v>
      </c>
      <c r="E10958">
        <v>24</v>
      </c>
    </row>
    <row r="10959" spans="1:5">
      <c r="A10959" t="s">
        <v>12655</v>
      </c>
      <c r="B10959" t="s">
        <v>12656</v>
      </c>
      <c r="C10959">
        <f>0</f>
        <v>0</v>
      </c>
      <c r="D10959">
        <v>0.96274071146499995</v>
      </c>
      <c r="E10959">
        <v>11.370314842578701</v>
      </c>
    </row>
    <row r="10960" spans="1:5">
      <c r="A10960" t="s">
        <v>12655</v>
      </c>
      <c r="B10960" t="s">
        <v>12657</v>
      </c>
      <c r="C10960">
        <f>0</f>
        <v>0</v>
      </c>
      <c r="D10960">
        <v>0.96274071146499995</v>
      </c>
      <c r="E10960">
        <v>11.370314842578701</v>
      </c>
    </row>
    <row r="10961" spans="1:5">
      <c r="A10961" t="s">
        <v>12655</v>
      </c>
      <c r="B10961" t="s">
        <v>12658</v>
      </c>
      <c r="C10961">
        <f>0</f>
        <v>0</v>
      </c>
      <c r="D10961">
        <v>0.96274071146499995</v>
      </c>
      <c r="E10961">
        <v>11.370314842578701</v>
      </c>
    </row>
    <row r="10962" spans="1:5">
      <c r="A10962" t="s">
        <v>12655</v>
      </c>
      <c r="B10962" t="s">
        <v>12659</v>
      </c>
      <c r="C10962">
        <v>0</v>
      </c>
      <c r="D10962">
        <v>0.96274071146499995</v>
      </c>
      <c r="E10962">
        <v>11.370314842578701</v>
      </c>
    </row>
    <row r="10963" spans="1:5">
      <c r="A10963" t="s">
        <v>12655</v>
      </c>
      <c r="B10963" t="s">
        <v>12660</v>
      </c>
      <c r="C10963">
        <f>0</f>
        <v>0</v>
      </c>
      <c r="D10963">
        <v>0.96274071146499995</v>
      </c>
      <c r="E10963">
        <v>11.370314842578701</v>
      </c>
    </row>
    <row r="10964" spans="1:5">
      <c r="A10964" t="s">
        <v>12655</v>
      </c>
      <c r="B10964" t="s">
        <v>12661</v>
      </c>
      <c r="C10964">
        <f>0</f>
        <v>0</v>
      </c>
      <c r="D10964">
        <v>0.96274071146499995</v>
      </c>
      <c r="E10964">
        <v>11.370314842578701</v>
      </c>
    </row>
    <row r="10965" spans="1:5">
      <c r="A10965" t="s">
        <v>12655</v>
      </c>
      <c r="B10965" t="s">
        <v>12662</v>
      </c>
      <c r="C10965">
        <f>0</f>
        <v>0</v>
      </c>
      <c r="D10965">
        <v>0.96274071146499995</v>
      </c>
      <c r="E10965">
        <v>11.370314842578701</v>
      </c>
    </row>
    <row r="10966" spans="1:5">
      <c r="A10966" t="s">
        <v>12655</v>
      </c>
      <c r="B10966" t="s">
        <v>12663</v>
      </c>
      <c r="C10966">
        <f>0</f>
        <v>0</v>
      </c>
      <c r="D10966">
        <v>0.96274071146499995</v>
      </c>
      <c r="E10966">
        <v>11.370314842578701</v>
      </c>
    </row>
    <row r="10967" spans="1:5">
      <c r="A10967" t="s">
        <v>12655</v>
      </c>
      <c r="B10967" t="s">
        <v>12664</v>
      </c>
      <c r="C10967">
        <v>0</v>
      </c>
      <c r="D10967">
        <v>0.96274071146499995</v>
      </c>
      <c r="E10967">
        <v>11.370314842578701</v>
      </c>
    </row>
    <row r="10968" spans="1:5">
      <c r="A10968" t="s">
        <v>12655</v>
      </c>
      <c r="B10968" t="s">
        <v>12665</v>
      </c>
      <c r="C10968">
        <f>0.241021136996</f>
        <v>0.241021136996</v>
      </c>
      <c r="D10968">
        <v>0.96274071146499995</v>
      </c>
      <c r="E10968">
        <v>11.370314842578701</v>
      </c>
    </row>
    <row r="10969" spans="1:5">
      <c r="A10969" t="s">
        <v>12655</v>
      </c>
      <c r="B10969" t="s">
        <v>12666</v>
      </c>
      <c r="C10969">
        <v>0</v>
      </c>
      <c r="D10969">
        <v>0.96274071146499995</v>
      </c>
      <c r="E10969">
        <v>11.370314842578701</v>
      </c>
    </row>
    <row r="10970" spans="1:5">
      <c r="A10970" t="s">
        <v>12655</v>
      </c>
      <c r="B10970" t="s">
        <v>12667</v>
      </c>
      <c r="C10970">
        <f>0</f>
        <v>0</v>
      </c>
      <c r="D10970">
        <v>0.96274071146499995</v>
      </c>
      <c r="E10970">
        <v>11.370314842578701</v>
      </c>
    </row>
    <row r="10971" spans="1:5">
      <c r="A10971" t="s">
        <v>12655</v>
      </c>
      <c r="B10971" t="s">
        <v>12668</v>
      </c>
      <c r="C10971">
        <f>0</f>
        <v>0</v>
      </c>
      <c r="D10971">
        <v>0.96274071146499995</v>
      </c>
      <c r="E10971">
        <v>11.370314842578701</v>
      </c>
    </row>
    <row r="10972" spans="1:5">
      <c r="A10972" t="s">
        <v>12669</v>
      </c>
      <c r="B10972" t="s">
        <v>12670</v>
      </c>
      <c r="C10972">
        <f>0</f>
        <v>0</v>
      </c>
      <c r="D10972" t="s">
        <v>106</v>
      </c>
      <c r="E10972">
        <v>24</v>
      </c>
    </row>
    <row r="10973" spans="1:5">
      <c r="A10973" t="s">
        <v>12669</v>
      </c>
      <c r="B10973" t="s">
        <v>12671</v>
      </c>
      <c r="C10973">
        <f>0.0549342562368</f>
        <v>5.4934256236799997E-2</v>
      </c>
      <c r="D10973" t="s">
        <v>106</v>
      </c>
      <c r="E10973">
        <v>24</v>
      </c>
    </row>
    <row r="10974" spans="1:5">
      <c r="A10974" t="s">
        <v>12669</v>
      </c>
      <c r="B10974" t="s">
        <v>12672</v>
      </c>
      <c r="C10974">
        <v>0</v>
      </c>
      <c r="D10974" t="s">
        <v>106</v>
      </c>
      <c r="E10974">
        <v>24</v>
      </c>
    </row>
    <row r="10975" spans="1:5">
      <c r="A10975" t="s">
        <v>12669</v>
      </c>
      <c r="B10975" t="s">
        <v>12673</v>
      </c>
      <c r="C10975">
        <f>0</f>
        <v>0</v>
      </c>
      <c r="D10975" t="s">
        <v>106</v>
      </c>
      <c r="E10975">
        <v>24</v>
      </c>
    </row>
    <row r="10976" spans="1:5">
      <c r="A10976" t="s">
        <v>12669</v>
      </c>
      <c r="B10976" t="s">
        <v>12674</v>
      </c>
      <c r="C10976">
        <f>0</f>
        <v>0</v>
      </c>
      <c r="D10976" t="s">
        <v>106</v>
      </c>
      <c r="E10976">
        <v>24</v>
      </c>
    </row>
    <row r="10977" spans="1:5">
      <c r="A10977" t="s">
        <v>12669</v>
      </c>
      <c r="B10977" t="s">
        <v>12675</v>
      </c>
      <c r="C10977">
        <f>0</f>
        <v>0</v>
      </c>
      <c r="D10977" t="s">
        <v>106</v>
      </c>
      <c r="E10977">
        <v>24</v>
      </c>
    </row>
    <row r="10978" spans="1:5">
      <c r="A10978" t="s">
        <v>12669</v>
      </c>
      <c r="B10978" t="s">
        <v>12676</v>
      </c>
      <c r="C10978">
        <v>0</v>
      </c>
      <c r="D10978" t="s">
        <v>106</v>
      </c>
      <c r="E10978">
        <v>24</v>
      </c>
    </row>
    <row r="10979" spans="1:5">
      <c r="A10979" t="s">
        <v>12669</v>
      </c>
      <c r="B10979" t="s">
        <v>12677</v>
      </c>
      <c r="C10979">
        <f>0</f>
        <v>0</v>
      </c>
      <c r="D10979" t="s">
        <v>106</v>
      </c>
      <c r="E10979">
        <v>24</v>
      </c>
    </row>
    <row r="10980" spans="1:5">
      <c r="A10980" t="s">
        <v>12678</v>
      </c>
      <c r="B10980" t="s">
        <v>12679</v>
      </c>
      <c r="C10980">
        <v>6.14013772286E-2</v>
      </c>
      <c r="D10980">
        <v>0.96270130180400004</v>
      </c>
      <c r="E10980">
        <v>1.06746626686656</v>
      </c>
    </row>
    <row r="10981" spans="1:5">
      <c r="A10981" t="s">
        <v>12678</v>
      </c>
      <c r="B10981" t="s">
        <v>12680</v>
      </c>
      <c r="C10981">
        <v>0</v>
      </c>
      <c r="D10981">
        <v>0.96270130180400004</v>
      </c>
      <c r="E10981">
        <v>1.06746626686656</v>
      </c>
    </row>
    <row r="10982" spans="1:5">
      <c r="A10982" t="s">
        <v>12678</v>
      </c>
      <c r="B10982" t="s">
        <v>12681</v>
      </c>
      <c r="C10982">
        <v>0</v>
      </c>
      <c r="D10982">
        <v>0.96270130180400004</v>
      </c>
      <c r="E10982">
        <v>1.06746626686656</v>
      </c>
    </row>
    <row r="10983" spans="1:5">
      <c r="A10983" t="s">
        <v>12678</v>
      </c>
      <c r="B10983" t="s">
        <v>12682</v>
      </c>
      <c r="C10983">
        <v>0</v>
      </c>
      <c r="D10983">
        <v>0.96270130180400004</v>
      </c>
      <c r="E10983">
        <v>1.06746626686656</v>
      </c>
    </row>
    <row r="10984" spans="1:5">
      <c r="A10984" t="s">
        <v>12678</v>
      </c>
      <c r="B10984" t="s">
        <v>12683</v>
      </c>
      <c r="C10984">
        <v>0.28561174310600002</v>
      </c>
      <c r="D10984">
        <v>0.96270130180400004</v>
      </c>
      <c r="E10984">
        <v>1.06746626686656</v>
      </c>
    </row>
    <row r="10985" spans="1:5">
      <c r="A10985" t="s">
        <v>12678</v>
      </c>
      <c r="B10985" t="s">
        <v>12684</v>
      </c>
      <c r="C10985">
        <v>0</v>
      </c>
      <c r="D10985">
        <v>0.96270130180400004</v>
      </c>
      <c r="E10985">
        <v>1.06746626686656</v>
      </c>
    </row>
    <row r="10986" spans="1:5">
      <c r="A10986" t="s">
        <v>12678</v>
      </c>
      <c r="B10986" t="s">
        <v>12685</v>
      </c>
      <c r="C10986">
        <f>0</f>
        <v>0</v>
      </c>
      <c r="D10986">
        <v>0.96270130180400004</v>
      </c>
      <c r="E10986">
        <v>1.06746626686656</v>
      </c>
    </row>
    <row r="10987" spans="1:5">
      <c r="A10987" t="s">
        <v>12678</v>
      </c>
      <c r="B10987" t="s">
        <v>12686</v>
      </c>
      <c r="C10987">
        <v>0</v>
      </c>
      <c r="D10987">
        <v>0.96270130180400004</v>
      </c>
      <c r="E10987">
        <v>1.06746626686656</v>
      </c>
    </row>
    <row r="10988" spans="1:5">
      <c r="A10988" t="s">
        <v>12678</v>
      </c>
      <c r="B10988" t="s">
        <v>12687</v>
      </c>
      <c r="C10988">
        <f>0</f>
        <v>0</v>
      </c>
      <c r="D10988">
        <v>0.96270130180400004</v>
      </c>
      <c r="E10988">
        <v>1.06746626686656</v>
      </c>
    </row>
    <row r="10989" spans="1:5">
      <c r="A10989" t="s">
        <v>12678</v>
      </c>
      <c r="B10989" t="s">
        <v>12688</v>
      </c>
      <c r="C10989">
        <f>0</f>
        <v>0</v>
      </c>
      <c r="D10989">
        <v>0.96270130180400004</v>
      </c>
      <c r="E10989">
        <v>1.06746626686656</v>
      </c>
    </row>
    <row r="10990" spans="1:5">
      <c r="A10990" t="s">
        <v>12678</v>
      </c>
      <c r="B10990" t="s">
        <v>12689</v>
      </c>
      <c r="C10990">
        <f>0</f>
        <v>0</v>
      </c>
      <c r="D10990">
        <v>0.96270130180400004</v>
      </c>
      <c r="E10990">
        <v>1.06746626686656</v>
      </c>
    </row>
    <row r="10991" spans="1:5">
      <c r="A10991" t="s">
        <v>12678</v>
      </c>
      <c r="B10991" t="s">
        <v>12690</v>
      </c>
      <c r="C10991">
        <v>0</v>
      </c>
      <c r="D10991">
        <v>0.96270130180400004</v>
      </c>
      <c r="E10991">
        <v>1.06746626686656</v>
      </c>
    </row>
    <row r="10992" spans="1:5">
      <c r="A10992" t="s">
        <v>12678</v>
      </c>
      <c r="B10992" t="s">
        <v>12691</v>
      </c>
      <c r="C10992">
        <f>0</f>
        <v>0</v>
      </c>
      <c r="D10992">
        <v>0.96270130180400004</v>
      </c>
      <c r="E10992">
        <v>1.06746626686656</v>
      </c>
    </row>
    <row r="10993" spans="1:5">
      <c r="A10993" t="s">
        <v>12678</v>
      </c>
      <c r="B10993" t="s">
        <v>12692</v>
      </c>
      <c r="C10993">
        <v>0</v>
      </c>
      <c r="D10993">
        <v>0.96270130180400004</v>
      </c>
      <c r="E10993">
        <v>1.06746626686656</v>
      </c>
    </row>
    <row r="10994" spans="1:5">
      <c r="A10994" t="s">
        <v>12678</v>
      </c>
      <c r="B10994" t="s">
        <v>12693</v>
      </c>
      <c r="C10994">
        <v>0</v>
      </c>
      <c r="D10994">
        <v>0.96270130180400004</v>
      </c>
      <c r="E10994">
        <v>1.06746626686656</v>
      </c>
    </row>
    <row r="10995" spans="1:5">
      <c r="A10995" t="s">
        <v>12694</v>
      </c>
      <c r="B10995" t="s">
        <v>12695</v>
      </c>
      <c r="C10995">
        <v>0</v>
      </c>
      <c r="D10995">
        <v>0.96564285369799996</v>
      </c>
      <c r="E10995">
        <v>0.503748125937031</v>
      </c>
    </row>
    <row r="10996" spans="1:5">
      <c r="A10996" t="s">
        <v>12694</v>
      </c>
      <c r="B10996" t="s">
        <v>12696</v>
      </c>
      <c r="C10996">
        <f>0.155572686712</f>
        <v>0.155572686712</v>
      </c>
      <c r="D10996">
        <v>0.96564285369799996</v>
      </c>
      <c r="E10996">
        <v>0.503748125937031</v>
      </c>
    </row>
    <row r="10997" spans="1:5">
      <c r="A10997" t="s">
        <v>12694</v>
      </c>
      <c r="B10997" t="s">
        <v>12697</v>
      </c>
      <c r="C10997">
        <v>0.69069920355000003</v>
      </c>
      <c r="D10997">
        <v>0.96564285369799996</v>
      </c>
      <c r="E10997">
        <v>0.503748125937031</v>
      </c>
    </row>
    <row r="10998" spans="1:5">
      <c r="A10998" t="s">
        <v>12694</v>
      </c>
      <c r="B10998" t="s">
        <v>12698</v>
      </c>
      <c r="C10998">
        <v>0</v>
      </c>
      <c r="D10998">
        <v>0.96564285369799996</v>
      </c>
      <c r="E10998">
        <v>0.503748125937031</v>
      </c>
    </row>
    <row r="10999" spans="1:5">
      <c r="A10999" t="s">
        <v>12694</v>
      </c>
      <c r="B10999" t="s">
        <v>12699</v>
      </c>
      <c r="C10999">
        <f>0</f>
        <v>0</v>
      </c>
      <c r="D10999">
        <v>0.96564285369799996</v>
      </c>
      <c r="E10999">
        <v>0.503748125937031</v>
      </c>
    </row>
    <row r="11000" spans="1:5">
      <c r="A11000" t="s">
        <v>12700</v>
      </c>
      <c r="B11000" t="s">
        <v>12701</v>
      </c>
      <c r="C11000">
        <f>0</f>
        <v>0</v>
      </c>
      <c r="D11000" t="s">
        <v>106</v>
      </c>
      <c r="E11000">
        <v>1.39130434782608</v>
      </c>
    </row>
    <row r="11001" spans="1:5">
      <c r="A11001" t="s">
        <v>12700</v>
      </c>
      <c r="B11001" t="s">
        <v>12702</v>
      </c>
      <c r="C11001">
        <v>0</v>
      </c>
      <c r="D11001" t="s">
        <v>106</v>
      </c>
      <c r="E11001">
        <v>1.39130434782608</v>
      </c>
    </row>
    <row r="11002" spans="1:5">
      <c r="A11002" t="s">
        <v>12700</v>
      </c>
      <c r="B11002" t="s">
        <v>12703</v>
      </c>
      <c r="C11002">
        <f>0</f>
        <v>0</v>
      </c>
      <c r="D11002" t="s">
        <v>106</v>
      </c>
      <c r="E11002">
        <v>1.39130434782608</v>
      </c>
    </row>
    <row r="11003" spans="1:5">
      <c r="A11003" t="s">
        <v>12700</v>
      </c>
      <c r="B11003" t="s">
        <v>12704</v>
      </c>
      <c r="C11003">
        <f>0</f>
        <v>0</v>
      </c>
      <c r="D11003" t="s">
        <v>106</v>
      </c>
      <c r="E11003">
        <v>1.39130434782608</v>
      </c>
    </row>
    <row r="11004" spans="1:5">
      <c r="A11004" t="s">
        <v>12705</v>
      </c>
      <c r="B11004" t="s">
        <v>12706</v>
      </c>
      <c r="C11004">
        <v>0</v>
      </c>
      <c r="D11004">
        <v>0.86516936301799996</v>
      </c>
      <c r="E11004">
        <v>11.8740629685157</v>
      </c>
    </row>
    <row r="11005" spans="1:5">
      <c r="A11005" t="s">
        <v>12705</v>
      </c>
      <c r="B11005" t="s">
        <v>12707</v>
      </c>
      <c r="C11005">
        <v>0.10615669222</v>
      </c>
      <c r="D11005">
        <v>0.86516936301799996</v>
      </c>
      <c r="E11005">
        <v>11.8740629685157</v>
      </c>
    </row>
    <row r="11006" spans="1:5">
      <c r="A11006" t="s">
        <v>12705</v>
      </c>
      <c r="B11006" t="s">
        <v>12708</v>
      </c>
      <c r="C11006">
        <v>0</v>
      </c>
      <c r="D11006">
        <v>0.86516936301799996</v>
      </c>
      <c r="E11006">
        <v>11.8740629685157</v>
      </c>
    </row>
    <row r="11007" spans="1:5">
      <c r="A11007" t="s">
        <v>12705</v>
      </c>
      <c r="B11007" t="s">
        <v>12709</v>
      </c>
      <c r="C11007">
        <v>0</v>
      </c>
      <c r="D11007">
        <v>0.86516936301799996</v>
      </c>
      <c r="E11007">
        <v>11.8740629685157</v>
      </c>
    </row>
    <row r="11008" spans="1:5">
      <c r="A11008" t="s">
        <v>12710</v>
      </c>
      <c r="B11008" t="s">
        <v>12711</v>
      </c>
      <c r="C11008">
        <f>0</f>
        <v>0</v>
      </c>
      <c r="D11008" t="s">
        <v>106</v>
      </c>
      <c r="E11008">
        <v>2.0269865067466202</v>
      </c>
    </row>
    <row r="11009" spans="1:5">
      <c r="A11009" t="s">
        <v>12712</v>
      </c>
      <c r="B11009" t="s">
        <v>12713</v>
      </c>
      <c r="C11009">
        <f>0</f>
        <v>0</v>
      </c>
      <c r="D11009" t="s">
        <v>106</v>
      </c>
      <c r="E11009">
        <v>23.280359820089899</v>
      </c>
    </row>
    <row r="11010" spans="1:5">
      <c r="A11010" t="s">
        <v>12714</v>
      </c>
      <c r="B11010" t="s">
        <v>12715</v>
      </c>
      <c r="C11010">
        <v>0</v>
      </c>
      <c r="D11010">
        <v>0.97307922751200004</v>
      </c>
      <c r="E11010">
        <v>24</v>
      </c>
    </row>
    <row r="11011" spans="1:5">
      <c r="A11011" t="s">
        <v>12714</v>
      </c>
      <c r="B11011" t="s">
        <v>12716</v>
      </c>
      <c r="C11011">
        <f>0</f>
        <v>0</v>
      </c>
      <c r="D11011">
        <v>0.97307922751200004</v>
      </c>
      <c r="E11011">
        <v>24</v>
      </c>
    </row>
    <row r="11012" spans="1:5">
      <c r="A11012" t="s">
        <v>12714</v>
      </c>
      <c r="B11012" t="s">
        <v>12717</v>
      </c>
      <c r="C11012">
        <v>0</v>
      </c>
      <c r="D11012">
        <v>0.97307922751200004</v>
      </c>
      <c r="E11012">
        <v>24</v>
      </c>
    </row>
    <row r="11013" spans="1:5">
      <c r="A11013" t="s">
        <v>12714</v>
      </c>
      <c r="B11013" t="s">
        <v>12718</v>
      </c>
      <c r="C11013">
        <v>0</v>
      </c>
      <c r="D11013">
        <v>0.97307922751200004</v>
      </c>
      <c r="E11013">
        <v>24</v>
      </c>
    </row>
    <row r="11014" spans="1:5">
      <c r="A11014" t="s">
        <v>12714</v>
      </c>
      <c r="B11014" t="s">
        <v>12719</v>
      </c>
      <c r="C11014">
        <v>2.9726101283699999E-2</v>
      </c>
      <c r="D11014">
        <v>0.97307922751200004</v>
      </c>
      <c r="E11014">
        <v>24</v>
      </c>
    </row>
    <row r="11015" spans="1:5">
      <c r="A11015" t="s">
        <v>12714</v>
      </c>
      <c r="B11015" t="s">
        <v>12720</v>
      </c>
      <c r="C11015">
        <v>0</v>
      </c>
      <c r="D11015">
        <v>0.97307922751200004</v>
      </c>
      <c r="E11015">
        <v>24</v>
      </c>
    </row>
    <row r="11016" spans="1:5">
      <c r="A11016" t="s">
        <v>12714</v>
      </c>
      <c r="B11016" t="s">
        <v>12721</v>
      </c>
      <c r="C11016">
        <v>0</v>
      </c>
      <c r="D11016">
        <v>0.97307922751200004</v>
      </c>
      <c r="E11016">
        <v>24</v>
      </c>
    </row>
    <row r="11017" spans="1:5">
      <c r="A11017" t="s">
        <v>12714</v>
      </c>
      <c r="B11017" t="s">
        <v>12722</v>
      </c>
      <c r="C11017">
        <v>0</v>
      </c>
      <c r="D11017">
        <v>0.97307922751200004</v>
      </c>
      <c r="E11017">
        <v>24</v>
      </c>
    </row>
    <row r="11018" spans="1:5">
      <c r="A11018" t="s">
        <v>12714</v>
      </c>
      <c r="B11018" t="s">
        <v>12723</v>
      </c>
      <c r="C11018">
        <v>0</v>
      </c>
      <c r="D11018">
        <v>0.97307922751200004</v>
      </c>
      <c r="E11018">
        <v>24</v>
      </c>
    </row>
    <row r="11019" spans="1:5">
      <c r="A11019" t="s">
        <v>12714</v>
      </c>
      <c r="B11019" t="s">
        <v>12724</v>
      </c>
      <c r="C11019">
        <v>0</v>
      </c>
      <c r="D11019">
        <v>0.97307922751200004</v>
      </c>
      <c r="E11019">
        <v>24</v>
      </c>
    </row>
    <row r="11020" spans="1:5">
      <c r="A11020" t="s">
        <v>12714</v>
      </c>
      <c r="B11020" t="s">
        <v>12725</v>
      </c>
      <c r="C11020">
        <f>0</f>
        <v>0</v>
      </c>
      <c r="D11020">
        <v>0.97307922751200004</v>
      </c>
      <c r="E11020">
        <v>24</v>
      </c>
    </row>
    <row r="11021" spans="1:5">
      <c r="A11021" t="s">
        <v>12714</v>
      </c>
      <c r="B11021" t="s">
        <v>12726</v>
      </c>
      <c r="C11021">
        <f>0.0024605708089</f>
        <v>2.4605708089E-3</v>
      </c>
      <c r="D11021">
        <v>0.97307922751200004</v>
      </c>
      <c r="E11021">
        <v>24</v>
      </c>
    </row>
    <row r="11022" spans="1:5">
      <c r="A11022" t="s">
        <v>12714</v>
      </c>
      <c r="B11022" t="s">
        <v>12727</v>
      </c>
      <c r="C11022">
        <v>0</v>
      </c>
      <c r="D11022">
        <v>0.97307922751200004</v>
      </c>
      <c r="E11022">
        <v>24</v>
      </c>
    </row>
    <row r="11023" spans="1:5">
      <c r="A11023" t="s">
        <v>12714</v>
      </c>
      <c r="B11023" t="s">
        <v>12728</v>
      </c>
      <c r="C11023">
        <v>0</v>
      </c>
      <c r="D11023">
        <v>0.97307922751200004</v>
      </c>
      <c r="E11023">
        <v>24</v>
      </c>
    </row>
    <row r="11024" spans="1:5">
      <c r="A11024" t="s">
        <v>12714</v>
      </c>
      <c r="B11024" t="s">
        <v>12729</v>
      </c>
      <c r="C11024">
        <v>0</v>
      </c>
      <c r="D11024">
        <v>0.97307922751200004</v>
      </c>
      <c r="E11024">
        <v>24</v>
      </c>
    </row>
    <row r="11025" spans="1:5">
      <c r="A11025" t="s">
        <v>12714</v>
      </c>
      <c r="B11025" t="s">
        <v>12730</v>
      </c>
      <c r="C11025">
        <v>0</v>
      </c>
      <c r="D11025">
        <v>0.97307922751200004</v>
      </c>
      <c r="E11025">
        <v>24</v>
      </c>
    </row>
    <row r="11026" spans="1:5">
      <c r="A11026" t="s">
        <v>12714</v>
      </c>
      <c r="B11026" t="s">
        <v>12731</v>
      </c>
      <c r="C11026">
        <f>0</f>
        <v>0</v>
      </c>
      <c r="D11026">
        <v>0.97307922751200004</v>
      </c>
      <c r="E11026">
        <v>24</v>
      </c>
    </row>
    <row r="11027" spans="1:5">
      <c r="A11027" t="s">
        <v>12714</v>
      </c>
      <c r="B11027" t="s">
        <v>12732</v>
      </c>
      <c r="C11027">
        <v>0</v>
      </c>
      <c r="D11027">
        <v>0.97307922751200004</v>
      </c>
      <c r="E11027">
        <v>24</v>
      </c>
    </row>
    <row r="11028" spans="1:5">
      <c r="A11028" t="s">
        <v>12733</v>
      </c>
      <c r="B11028" t="s">
        <v>12734</v>
      </c>
      <c r="C11028">
        <v>0</v>
      </c>
      <c r="D11028">
        <v>0.94190060794700003</v>
      </c>
      <c r="E11028">
        <v>2.7106446776611599</v>
      </c>
    </row>
    <row r="11029" spans="1:5">
      <c r="A11029" t="s">
        <v>12733</v>
      </c>
      <c r="B11029" t="s">
        <v>12735</v>
      </c>
      <c r="C11029">
        <f>0</f>
        <v>0</v>
      </c>
      <c r="D11029">
        <v>0.94190060794700003</v>
      </c>
      <c r="E11029">
        <v>2.7106446776611599</v>
      </c>
    </row>
    <row r="11030" spans="1:5">
      <c r="A11030" t="s">
        <v>12733</v>
      </c>
      <c r="B11030" t="s">
        <v>12736</v>
      </c>
      <c r="C11030">
        <f>0</f>
        <v>0</v>
      </c>
      <c r="D11030">
        <v>0.94190060794700003</v>
      </c>
      <c r="E11030">
        <v>2.7106446776611599</v>
      </c>
    </row>
    <row r="11031" spans="1:5">
      <c r="A11031" t="s">
        <v>12733</v>
      </c>
      <c r="B11031" t="s">
        <v>12737</v>
      </c>
      <c r="C11031">
        <f>0.208102198632</f>
        <v>0.208102198632</v>
      </c>
      <c r="D11031">
        <v>0.94190060794700003</v>
      </c>
      <c r="E11031">
        <v>2.7106446776611599</v>
      </c>
    </row>
    <row r="11032" spans="1:5">
      <c r="A11032" t="s">
        <v>12733</v>
      </c>
      <c r="B11032" t="s">
        <v>12738</v>
      </c>
      <c r="C11032">
        <v>0.27605325460899999</v>
      </c>
      <c r="D11032">
        <v>0.94190060794700003</v>
      </c>
      <c r="E11032">
        <v>2.7106446776611599</v>
      </c>
    </row>
    <row r="11033" spans="1:5">
      <c r="A11033" t="s">
        <v>12733</v>
      </c>
      <c r="B11033" t="s">
        <v>12739</v>
      </c>
      <c r="C11033">
        <f>0</f>
        <v>0</v>
      </c>
      <c r="D11033">
        <v>0.94190060794700003</v>
      </c>
      <c r="E11033">
        <v>2.7106446776611599</v>
      </c>
    </row>
    <row r="11034" spans="1:5">
      <c r="A11034" t="s">
        <v>12733</v>
      </c>
      <c r="B11034" t="s">
        <v>12740</v>
      </c>
      <c r="C11034">
        <f>0</f>
        <v>0</v>
      </c>
      <c r="D11034">
        <v>0.94190060794700003</v>
      </c>
      <c r="E11034">
        <v>2.7106446776611599</v>
      </c>
    </row>
    <row r="11035" spans="1:5">
      <c r="A11035" t="s">
        <v>12741</v>
      </c>
      <c r="B11035" t="s">
        <v>12742</v>
      </c>
      <c r="C11035">
        <v>0</v>
      </c>
      <c r="D11035">
        <v>0.82346054285400005</v>
      </c>
      <c r="E11035">
        <v>5.4692653673163401</v>
      </c>
    </row>
    <row r="11036" spans="1:5">
      <c r="A11036" t="s">
        <v>12741</v>
      </c>
      <c r="B11036" t="s">
        <v>12743</v>
      </c>
      <c r="C11036">
        <v>0</v>
      </c>
      <c r="D11036">
        <v>0.82346054285400005</v>
      </c>
      <c r="E11036">
        <v>5.4692653673163401</v>
      </c>
    </row>
    <row r="11037" spans="1:5">
      <c r="A11037" t="s">
        <v>12741</v>
      </c>
      <c r="B11037" t="s">
        <v>12744</v>
      </c>
      <c r="C11037">
        <f>0</f>
        <v>0</v>
      </c>
      <c r="D11037">
        <v>0.82346054285400005</v>
      </c>
      <c r="E11037">
        <v>5.4692653673163401</v>
      </c>
    </row>
    <row r="11038" spans="1:5">
      <c r="A11038" t="s">
        <v>12741</v>
      </c>
      <c r="B11038" t="s">
        <v>12745</v>
      </c>
      <c r="C11038">
        <v>0</v>
      </c>
      <c r="D11038">
        <v>0.82346054285400005</v>
      </c>
      <c r="E11038">
        <v>5.4692653673163401</v>
      </c>
    </row>
    <row r="11039" spans="1:5">
      <c r="A11039" t="s">
        <v>12741</v>
      </c>
      <c r="B11039" t="s">
        <v>12746</v>
      </c>
      <c r="C11039">
        <f>0</f>
        <v>0</v>
      </c>
      <c r="D11039">
        <v>0.82346054285400005</v>
      </c>
      <c r="E11039">
        <v>5.4692653673163401</v>
      </c>
    </row>
    <row r="11040" spans="1:5">
      <c r="A11040" t="s">
        <v>12741</v>
      </c>
      <c r="B11040" t="s">
        <v>12747</v>
      </c>
      <c r="C11040">
        <v>0</v>
      </c>
      <c r="D11040">
        <v>0.82346054285400005</v>
      </c>
      <c r="E11040">
        <v>5.4692653673163401</v>
      </c>
    </row>
    <row r="11041" spans="1:5">
      <c r="A11041" t="s">
        <v>12741</v>
      </c>
      <c r="B11041" t="s">
        <v>12748</v>
      </c>
      <c r="C11041">
        <f>0</f>
        <v>0</v>
      </c>
      <c r="D11041">
        <v>0.82346054285400005</v>
      </c>
      <c r="E11041">
        <v>5.4692653673163401</v>
      </c>
    </row>
    <row r="11042" spans="1:5">
      <c r="A11042" t="s">
        <v>12741</v>
      </c>
      <c r="B11042" t="s">
        <v>12749</v>
      </c>
      <c r="C11042">
        <v>7.3835921757299999E-2</v>
      </c>
      <c r="D11042">
        <v>0.82346054285400005</v>
      </c>
      <c r="E11042">
        <v>5.4692653673163401</v>
      </c>
    </row>
    <row r="11043" spans="1:5">
      <c r="A11043" t="s">
        <v>12741</v>
      </c>
      <c r="B11043" t="s">
        <v>12750</v>
      </c>
      <c r="C11043">
        <v>0</v>
      </c>
      <c r="D11043">
        <v>0.82346054285400005</v>
      </c>
      <c r="E11043">
        <v>5.4692653673163401</v>
      </c>
    </row>
    <row r="11044" spans="1:5">
      <c r="A11044" t="s">
        <v>12741</v>
      </c>
      <c r="B11044" t="s">
        <v>12751</v>
      </c>
      <c r="C11044">
        <f>0</f>
        <v>0</v>
      </c>
      <c r="D11044">
        <v>0.82346054285400005</v>
      </c>
      <c r="E11044">
        <v>5.4692653673163401</v>
      </c>
    </row>
    <row r="11045" spans="1:5">
      <c r="A11045" t="s">
        <v>12741</v>
      </c>
      <c r="B11045" t="s">
        <v>12752</v>
      </c>
      <c r="C11045">
        <f>0</f>
        <v>0</v>
      </c>
      <c r="D11045">
        <v>0.82346054285400005</v>
      </c>
      <c r="E11045">
        <v>5.4692653673163401</v>
      </c>
    </row>
    <row r="11046" spans="1:5">
      <c r="A11046" t="s">
        <v>12741</v>
      </c>
      <c r="B11046" t="s">
        <v>12753</v>
      </c>
      <c r="C11046">
        <v>0</v>
      </c>
      <c r="D11046">
        <v>0.82346054285400005</v>
      </c>
      <c r="E11046">
        <v>5.4692653673163401</v>
      </c>
    </row>
    <row r="11047" spans="1:5">
      <c r="A11047" t="s">
        <v>12741</v>
      </c>
      <c r="B11047" t="s">
        <v>12754</v>
      </c>
      <c r="C11047">
        <f>0</f>
        <v>0</v>
      </c>
      <c r="D11047">
        <v>0.82346054285400005</v>
      </c>
      <c r="E11047">
        <v>5.4692653673163401</v>
      </c>
    </row>
    <row r="11048" spans="1:5">
      <c r="A11048" t="s">
        <v>12755</v>
      </c>
      <c r="B11048" t="s">
        <v>12756</v>
      </c>
      <c r="C11048">
        <f>0</f>
        <v>0</v>
      </c>
      <c r="D11048" t="s">
        <v>106</v>
      </c>
      <c r="E11048">
        <v>1.45127436281859</v>
      </c>
    </row>
    <row r="11049" spans="1:5">
      <c r="A11049" t="s">
        <v>12755</v>
      </c>
      <c r="B11049" t="s">
        <v>12757</v>
      </c>
      <c r="C11049">
        <f>0</f>
        <v>0</v>
      </c>
      <c r="D11049" t="s">
        <v>106</v>
      </c>
      <c r="E11049">
        <v>1.45127436281859</v>
      </c>
    </row>
    <row r="11050" spans="1:5">
      <c r="A11050" t="s">
        <v>12755</v>
      </c>
      <c r="B11050" t="s">
        <v>12758</v>
      </c>
      <c r="C11050">
        <f>0</f>
        <v>0</v>
      </c>
      <c r="D11050" t="s">
        <v>106</v>
      </c>
      <c r="E11050">
        <v>1.45127436281859</v>
      </c>
    </row>
    <row r="11051" spans="1:5">
      <c r="A11051" t="s">
        <v>12755</v>
      </c>
      <c r="B11051" t="s">
        <v>12759</v>
      </c>
      <c r="C11051">
        <v>0</v>
      </c>
      <c r="D11051" t="s">
        <v>106</v>
      </c>
      <c r="E11051">
        <v>1.45127436281859</v>
      </c>
    </row>
    <row r="11052" spans="1:5">
      <c r="A11052" t="s">
        <v>12755</v>
      </c>
      <c r="B11052" t="s">
        <v>12760</v>
      </c>
      <c r="C11052">
        <f>0</f>
        <v>0</v>
      </c>
      <c r="D11052" t="s">
        <v>106</v>
      </c>
      <c r="E11052">
        <v>1.45127436281859</v>
      </c>
    </row>
    <row r="11053" spans="1:5">
      <c r="A11053" t="s">
        <v>12755</v>
      </c>
      <c r="B11053" t="s">
        <v>12761</v>
      </c>
      <c r="C11053">
        <f>0</f>
        <v>0</v>
      </c>
      <c r="D11053" t="s">
        <v>106</v>
      </c>
      <c r="E11053">
        <v>1.45127436281859</v>
      </c>
    </row>
    <row r="11054" spans="1:5">
      <c r="A11054" t="s">
        <v>12762</v>
      </c>
      <c r="B11054" t="s">
        <v>12763</v>
      </c>
      <c r="C11054">
        <v>0</v>
      </c>
      <c r="D11054">
        <v>0.98470059858199999</v>
      </c>
      <c r="E11054">
        <v>2.0269865067466202</v>
      </c>
    </row>
    <row r="11055" spans="1:5">
      <c r="A11055" t="s">
        <v>12762</v>
      </c>
      <c r="B11055" t="s">
        <v>12764</v>
      </c>
      <c r="C11055">
        <v>7.1094004034100003E-2</v>
      </c>
      <c r="D11055">
        <v>0.98470059858199999</v>
      </c>
      <c r="E11055">
        <v>2.0269865067466202</v>
      </c>
    </row>
    <row r="11056" spans="1:5">
      <c r="A11056" t="s">
        <v>12762</v>
      </c>
      <c r="B11056" t="s">
        <v>12765</v>
      </c>
      <c r="C11056">
        <v>0.108768824328</v>
      </c>
      <c r="D11056">
        <v>0.98470059858199999</v>
      </c>
      <c r="E11056">
        <v>2.0269865067466202</v>
      </c>
    </row>
    <row r="11057" spans="1:5">
      <c r="A11057" t="s">
        <v>12762</v>
      </c>
      <c r="B11057" t="s">
        <v>12766</v>
      </c>
      <c r="C11057">
        <v>0</v>
      </c>
      <c r="D11057">
        <v>0.98470059858199999</v>
      </c>
      <c r="E11057">
        <v>2.0269865067466202</v>
      </c>
    </row>
    <row r="11058" spans="1:5">
      <c r="A11058" t="s">
        <v>12762</v>
      </c>
      <c r="B11058" t="s">
        <v>12767</v>
      </c>
      <c r="C11058">
        <f>0</f>
        <v>0</v>
      </c>
      <c r="D11058">
        <v>0.98470059858199999</v>
      </c>
      <c r="E11058">
        <v>2.0269865067466202</v>
      </c>
    </row>
    <row r="11059" spans="1:5">
      <c r="A11059" t="s">
        <v>12762</v>
      </c>
      <c r="B11059" t="s">
        <v>12768</v>
      </c>
      <c r="C11059">
        <v>0</v>
      </c>
      <c r="D11059">
        <v>0.98470059858199999</v>
      </c>
      <c r="E11059">
        <v>2.0269865067466202</v>
      </c>
    </row>
    <row r="11060" spans="1:5">
      <c r="A11060" t="s">
        <v>12762</v>
      </c>
      <c r="B11060" t="s">
        <v>12769</v>
      </c>
      <c r="C11060">
        <v>0</v>
      </c>
      <c r="D11060">
        <v>0.98470059858199999</v>
      </c>
      <c r="E11060">
        <v>2.0269865067466202</v>
      </c>
    </row>
    <row r="11061" spans="1:5">
      <c r="A11061" t="s">
        <v>12762</v>
      </c>
      <c r="B11061" t="s">
        <v>12770</v>
      </c>
      <c r="C11061">
        <f>0</f>
        <v>0</v>
      </c>
      <c r="D11061">
        <v>0.98470059858199999</v>
      </c>
      <c r="E11061">
        <v>2.0269865067466202</v>
      </c>
    </row>
    <row r="11062" spans="1:5">
      <c r="A11062" t="s">
        <v>12762</v>
      </c>
      <c r="B11062" t="s">
        <v>12771</v>
      </c>
      <c r="C11062">
        <f>0</f>
        <v>0</v>
      </c>
      <c r="D11062">
        <v>0.98470059858199999</v>
      </c>
      <c r="E11062">
        <v>2.0269865067466202</v>
      </c>
    </row>
    <row r="11063" spans="1:5">
      <c r="A11063" t="s">
        <v>12772</v>
      </c>
      <c r="B11063" t="s">
        <v>12773</v>
      </c>
      <c r="C11063">
        <v>0</v>
      </c>
      <c r="D11063">
        <v>0.964873688565</v>
      </c>
      <c r="E11063">
        <v>20.965517241379299</v>
      </c>
    </row>
    <row r="11064" spans="1:5">
      <c r="A11064" t="s">
        <v>12772</v>
      </c>
      <c r="B11064" t="s">
        <v>12774</v>
      </c>
      <c r="C11064">
        <v>0</v>
      </c>
      <c r="D11064">
        <v>0.964873688565</v>
      </c>
      <c r="E11064">
        <v>20.965517241379299</v>
      </c>
    </row>
    <row r="11065" spans="1:5">
      <c r="A11065" t="s">
        <v>12772</v>
      </c>
      <c r="B11065" t="s">
        <v>12775</v>
      </c>
      <c r="C11065">
        <v>0</v>
      </c>
      <c r="D11065">
        <v>0.964873688565</v>
      </c>
      <c r="E11065">
        <v>20.965517241379299</v>
      </c>
    </row>
    <row r="11066" spans="1:5">
      <c r="A11066" t="s">
        <v>12772</v>
      </c>
      <c r="B11066" t="s">
        <v>12776</v>
      </c>
      <c r="C11066">
        <v>0</v>
      </c>
      <c r="D11066">
        <v>0.964873688565</v>
      </c>
      <c r="E11066">
        <v>20.965517241379299</v>
      </c>
    </row>
    <row r="11067" spans="1:5">
      <c r="A11067" t="s">
        <v>12772</v>
      </c>
      <c r="B11067" t="s">
        <v>12777</v>
      </c>
      <c r="C11067">
        <v>0</v>
      </c>
      <c r="D11067">
        <v>0.964873688565</v>
      </c>
      <c r="E11067">
        <v>20.965517241379299</v>
      </c>
    </row>
    <row r="11068" spans="1:5">
      <c r="A11068" t="s">
        <v>12772</v>
      </c>
      <c r="B11068" t="s">
        <v>12778</v>
      </c>
      <c r="C11068">
        <f>0</f>
        <v>0</v>
      </c>
      <c r="D11068">
        <v>0.964873688565</v>
      </c>
      <c r="E11068">
        <v>20.965517241379299</v>
      </c>
    </row>
    <row r="11069" spans="1:5">
      <c r="A11069" t="s">
        <v>12772</v>
      </c>
      <c r="B11069" t="s">
        <v>12779</v>
      </c>
      <c r="C11069">
        <v>0</v>
      </c>
      <c r="D11069">
        <v>0.964873688565</v>
      </c>
      <c r="E11069">
        <v>20.965517241379299</v>
      </c>
    </row>
    <row r="11070" spans="1:5">
      <c r="A11070" t="s">
        <v>12772</v>
      </c>
      <c r="B11070" t="s">
        <v>12780</v>
      </c>
      <c r="C11070">
        <v>0</v>
      </c>
      <c r="D11070">
        <v>0.964873688565</v>
      </c>
      <c r="E11070">
        <v>20.965517241379299</v>
      </c>
    </row>
    <row r="11071" spans="1:5">
      <c r="A11071" t="s">
        <v>12772</v>
      </c>
      <c r="B11071" t="s">
        <v>12781</v>
      </c>
      <c r="C11071">
        <v>0</v>
      </c>
      <c r="D11071">
        <v>0.964873688565</v>
      </c>
      <c r="E11071">
        <v>20.965517241379299</v>
      </c>
    </row>
    <row r="11072" spans="1:5">
      <c r="A11072" t="s">
        <v>12772</v>
      </c>
      <c r="B11072" t="s">
        <v>12782</v>
      </c>
      <c r="C11072">
        <v>5.5958139994599997E-2</v>
      </c>
      <c r="D11072">
        <v>0.964873688565</v>
      </c>
      <c r="E11072">
        <v>20.965517241379299</v>
      </c>
    </row>
    <row r="11073" spans="1:5">
      <c r="A11073" t="s">
        <v>12783</v>
      </c>
      <c r="B11073" t="s">
        <v>12784</v>
      </c>
      <c r="C11073">
        <f>0</f>
        <v>0</v>
      </c>
      <c r="D11073">
        <v>0.96479850688699997</v>
      </c>
      <c r="E11073">
        <v>3.0464767616191901</v>
      </c>
    </row>
    <row r="11074" spans="1:5">
      <c r="A11074" t="s">
        <v>12783</v>
      </c>
      <c r="B11074" t="s">
        <v>12785</v>
      </c>
      <c r="C11074">
        <f>0.120565631178</f>
        <v>0.120565631178</v>
      </c>
      <c r="D11074">
        <v>0.96479850688699997</v>
      </c>
      <c r="E11074">
        <v>3.0464767616191901</v>
      </c>
    </row>
    <row r="11075" spans="1:5">
      <c r="A11075" t="s">
        <v>12783</v>
      </c>
      <c r="B11075" t="s">
        <v>12786</v>
      </c>
      <c r="C11075">
        <v>0.30200681128500001</v>
      </c>
      <c r="D11075">
        <v>0.96479850688699997</v>
      </c>
      <c r="E11075">
        <v>3.0464767616191901</v>
      </c>
    </row>
    <row r="11076" spans="1:5">
      <c r="A11076" t="s">
        <v>12783</v>
      </c>
      <c r="B11076" t="s">
        <v>12787</v>
      </c>
      <c r="C11076">
        <f>0</f>
        <v>0</v>
      </c>
      <c r="D11076">
        <v>0.96479850688699997</v>
      </c>
      <c r="E11076">
        <v>3.0464767616191901</v>
      </c>
    </row>
    <row r="11077" spans="1:5">
      <c r="A11077" t="s">
        <v>12783</v>
      </c>
      <c r="B11077" t="s">
        <v>12788</v>
      </c>
      <c r="C11077">
        <v>0</v>
      </c>
      <c r="D11077">
        <v>0.96479850688699997</v>
      </c>
      <c r="E11077">
        <v>3.0464767616191901</v>
      </c>
    </row>
    <row r="11078" spans="1:5">
      <c r="A11078" t="s">
        <v>12783</v>
      </c>
      <c r="B11078" t="s">
        <v>12789</v>
      </c>
      <c r="C11078">
        <v>0</v>
      </c>
      <c r="D11078">
        <v>0.96479850688699997</v>
      </c>
      <c r="E11078">
        <v>3.0464767616191901</v>
      </c>
    </row>
    <row r="11079" spans="1:5">
      <c r="A11079" t="s">
        <v>12783</v>
      </c>
      <c r="B11079" t="s">
        <v>12790</v>
      </c>
      <c r="C11079">
        <f>0</f>
        <v>0</v>
      </c>
      <c r="D11079">
        <v>0.96479850688699997</v>
      </c>
      <c r="E11079">
        <v>3.0464767616191901</v>
      </c>
    </row>
    <row r="11080" spans="1:5">
      <c r="A11080" t="s">
        <v>12783</v>
      </c>
      <c r="B11080" t="s">
        <v>12791</v>
      </c>
      <c r="C11080">
        <f>0</f>
        <v>0</v>
      </c>
      <c r="D11080">
        <v>0.96479850688699997</v>
      </c>
      <c r="E11080">
        <v>3.0464767616191901</v>
      </c>
    </row>
    <row r="11081" spans="1:5">
      <c r="A11081" t="s">
        <v>12792</v>
      </c>
      <c r="B11081" t="s">
        <v>12793</v>
      </c>
      <c r="C11081">
        <f>0</f>
        <v>0</v>
      </c>
      <c r="D11081" t="s">
        <v>106</v>
      </c>
      <c r="E11081">
        <v>5.69715142428785</v>
      </c>
    </row>
    <row r="11082" spans="1:5">
      <c r="A11082" t="s">
        <v>12792</v>
      </c>
      <c r="B11082" t="s">
        <v>12794</v>
      </c>
      <c r="C11082">
        <v>0</v>
      </c>
      <c r="D11082" t="s">
        <v>106</v>
      </c>
      <c r="E11082">
        <v>5.69715142428785</v>
      </c>
    </row>
    <row r="11083" spans="1:5">
      <c r="A11083" t="s">
        <v>12792</v>
      </c>
      <c r="B11083" t="s">
        <v>12795</v>
      </c>
      <c r="C11083">
        <f>0</f>
        <v>0</v>
      </c>
      <c r="D11083" t="s">
        <v>106</v>
      </c>
      <c r="E11083">
        <v>5.69715142428785</v>
      </c>
    </row>
    <row r="11084" spans="1:5">
      <c r="A11084" t="s">
        <v>12792</v>
      </c>
      <c r="B11084" t="s">
        <v>12796</v>
      </c>
      <c r="C11084">
        <v>0</v>
      </c>
      <c r="D11084" t="s">
        <v>106</v>
      </c>
      <c r="E11084">
        <v>5.69715142428785</v>
      </c>
    </row>
    <row r="11085" spans="1:5">
      <c r="A11085" t="s">
        <v>12792</v>
      </c>
      <c r="B11085" t="s">
        <v>12797</v>
      </c>
      <c r="C11085">
        <f>0</f>
        <v>0</v>
      </c>
      <c r="D11085" t="s">
        <v>106</v>
      </c>
      <c r="E11085">
        <v>5.69715142428785</v>
      </c>
    </row>
    <row r="11086" spans="1:5">
      <c r="A11086" t="s">
        <v>12792</v>
      </c>
      <c r="B11086" t="s">
        <v>12798</v>
      </c>
      <c r="C11086">
        <v>0</v>
      </c>
      <c r="D11086" t="s">
        <v>106</v>
      </c>
      <c r="E11086">
        <v>5.69715142428785</v>
      </c>
    </row>
    <row r="11087" spans="1:5">
      <c r="A11087" t="s">
        <v>12792</v>
      </c>
      <c r="B11087" t="s">
        <v>12799</v>
      </c>
      <c r="C11087">
        <f>0</f>
        <v>0</v>
      </c>
      <c r="D11087" t="s">
        <v>106</v>
      </c>
      <c r="E11087">
        <v>5.69715142428785</v>
      </c>
    </row>
    <row r="11088" spans="1:5">
      <c r="A11088" t="s">
        <v>12792</v>
      </c>
      <c r="B11088" t="s">
        <v>12800</v>
      </c>
      <c r="C11088">
        <v>0</v>
      </c>
      <c r="D11088" t="s">
        <v>106</v>
      </c>
      <c r="E11088">
        <v>5.69715142428785</v>
      </c>
    </row>
    <row r="11089" spans="1:5">
      <c r="A11089" t="s">
        <v>12792</v>
      </c>
      <c r="B11089" t="s">
        <v>12801</v>
      </c>
      <c r="C11089">
        <v>0</v>
      </c>
      <c r="D11089" t="s">
        <v>106</v>
      </c>
      <c r="E11089">
        <v>5.69715142428785</v>
      </c>
    </row>
    <row r="11090" spans="1:5">
      <c r="A11090" t="s">
        <v>12792</v>
      </c>
      <c r="B11090" t="s">
        <v>12802</v>
      </c>
      <c r="C11090">
        <v>0</v>
      </c>
      <c r="D11090" t="s">
        <v>106</v>
      </c>
      <c r="E11090">
        <v>5.69715142428785</v>
      </c>
    </row>
    <row r="11091" spans="1:5">
      <c r="A11091" t="s">
        <v>12792</v>
      </c>
      <c r="B11091" t="s">
        <v>12803</v>
      </c>
      <c r="C11091">
        <f>0</f>
        <v>0</v>
      </c>
      <c r="D11091" t="s">
        <v>106</v>
      </c>
      <c r="E11091">
        <v>5.69715142428785</v>
      </c>
    </row>
    <row r="11092" spans="1:5">
      <c r="A11092" t="s">
        <v>12792</v>
      </c>
      <c r="B11092" t="s">
        <v>12804</v>
      </c>
      <c r="C11092">
        <v>0</v>
      </c>
      <c r="D11092" t="s">
        <v>106</v>
      </c>
      <c r="E11092">
        <v>5.69715142428785</v>
      </c>
    </row>
    <row r="11093" spans="1:5">
      <c r="A11093" t="s">
        <v>12792</v>
      </c>
      <c r="B11093" t="s">
        <v>12805</v>
      </c>
      <c r="C11093">
        <f>0</f>
        <v>0</v>
      </c>
      <c r="D11093" t="s">
        <v>106</v>
      </c>
      <c r="E11093">
        <v>5.69715142428785</v>
      </c>
    </row>
    <row r="11094" spans="1:5">
      <c r="A11094" t="s">
        <v>12806</v>
      </c>
      <c r="B11094" t="s">
        <v>12807</v>
      </c>
      <c r="C11094">
        <v>0</v>
      </c>
      <c r="D11094">
        <v>0.56298568343800004</v>
      </c>
      <c r="E11094">
        <v>24</v>
      </c>
    </row>
    <row r="11095" spans="1:5">
      <c r="A11095" t="s">
        <v>12806</v>
      </c>
      <c r="B11095" t="s">
        <v>12808</v>
      </c>
      <c r="C11095">
        <v>0.19037739877199999</v>
      </c>
      <c r="D11095">
        <v>0.56298568343800004</v>
      </c>
      <c r="E11095">
        <v>24</v>
      </c>
    </row>
    <row r="11096" spans="1:5">
      <c r="A11096" t="s">
        <v>12806</v>
      </c>
      <c r="B11096" t="s">
        <v>12809</v>
      </c>
      <c r="C11096">
        <f>0.00108380045007</f>
        <v>1.0838004500699999E-3</v>
      </c>
      <c r="D11096">
        <v>0.56298568343800004</v>
      </c>
      <c r="E11096">
        <v>24</v>
      </c>
    </row>
    <row r="11097" spans="1:5">
      <c r="A11097" t="s">
        <v>12810</v>
      </c>
      <c r="B11097" t="s">
        <v>12811</v>
      </c>
      <c r="C11097">
        <f>0.109182450815</f>
        <v>0.109182450815</v>
      </c>
      <c r="D11097">
        <v>0.90164749088700002</v>
      </c>
      <c r="E11097">
        <v>0.65967016491754105</v>
      </c>
    </row>
    <row r="11098" spans="1:5">
      <c r="A11098" t="s">
        <v>12810</v>
      </c>
      <c r="B11098" t="s">
        <v>12812</v>
      </c>
      <c r="C11098">
        <f>0</f>
        <v>0</v>
      </c>
      <c r="D11098">
        <v>0.90164749088700002</v>
      </c>
      <c r="E11098">
        <v>0.65967016491754105</v>
      </c>
    </row>
    <row r="11099" spans="1:5">
      <c r="A11099" t="s">
        <v>12810</v>
      </c>
      <c r="B11099" t="s">
        <v>12813</v>
      </c>
      <c r="C11099">
        <f>0.113787701456</f>
        <v>0.11378770145600001</v>
      </c>
      <c r="D11099">
        <v>0.90164749088700002</v>
      </c>
      <c r="E11099">
        <v>0.65967016491754105</v>
      </c>
    </row>
    <row r="11100" spans="1:5">
      <c r="A11100" t="s">
        <v>12810</v>
      </c>
      <c r="B11100" t="s">
        <v>12814</v>
      </c>
      <c r="C11100">
        <v>0</v>
      </c>
      <c r="D11100">
        <v>0.90164749088700002</v>
      </c>
      <c r="E11100">
        <v>0.65967016491754105</v>
      </c>
    </row>
    <row r="11101" spans="1:5">
      <c r="A11101" t="s">
        <v>12810</v>
      </c>
      <c r="B11101" t="s">
        <v>12815</v>
      </c>
      <c r="C11101">
        <f>0</f>
        <v>0</v>
      </c>
      <c r="D11101">
        <v>0.90164749088700002</v>
      </c>
      <c r="E11101">
        <v>0.65967016491754105</v>
      </c>
    </row>
    <row r="11102" spans="1:5">
      <c r="A11102" t="s">
        <v>12816</v>
      </c>
      <c r="B11102" t="s">
        <v>12817</v>
      </c>
      <c r="C11102">
        <v>0</v>
      </c>
      <c r="D11102">
        <v>0.99679909981899995</v>
      </c>
      <c r="E11102">
        <v>8.4317841079460205</v>
      </c>
    </row>
    <row r="11103" spans="1:5">
      <c r="A11103" t="s">
        <v>12816</v>
      </c>
      <c r="B11103" t="s">
        <v>12818</v>
      </c>
      <c r="C11103">
        <v>0.42372710390200002</v>
      </c>
      <c r="D11103">
        <v>0.99679909981899995</v>
      </c>
      <c r="E11103">
        <v>8.4317841079460205</v>
      </c>
    </row>
    <row r="11104" spans="1:5">
      <c r="A11104" t="s">
        <v>12816</v>
      </c>
      <c r="B11104" t="s">
        <v>12819</v>
      </c>
      <c r="C11104">
        <f>0.0286214004664</f>
        <v>2.86214004664E-2</v>
      </c>
      <c r="D11104">
        <v>0.99679909981899995</v>
      </c>
      <c r="E11104">
        <v>8.4317841079460205</v>
      </c>
    </row>
    <row r="11105" spans="1:5">
      <c r="A11105" t="s">
        <v>12816</v>
      </c>
      <c r="B11105" t="s">
        <v>12820</v>
      </c>
      <c r="C11105">
        <v>0</v>
      </c>
      <c r="D11105">
        <v>0.99679909981899995</v>
      </c>
      <c r="E11105">
        <v>8.4317841079460205</v>
      </c>
    </row>
    <row r="11106" spans="1:5">
      <c r="A11106" t="s">
        <v>12816</v>
      </c>
      <c r="B11106" t="s">
        <v>12821</v>
      </c>
      <c r="C11106">
        <v>0</v>
      </c>
      <c r="D11106">
        <v>0.99679909981899995</v>
      </c>
      <c r="E11106">
        <v>8.4317841079460205</v>
      </c>
    </row>
    <row r="11107" spans="1:5">
      <c r="A11107" t="s">
        <v>12816</v>
      </c>
      <c r="B11107" t="s">
        <v>12822</v>
      </c>
      <c r="C11107">
        <f>0</f>
        <v>0</v>
      </c>
      <c r="D11107">
        <v>0.99679909981899995</v>
      </c>
      <c r="E11107">
        <v>8.4317841079460205</v>
      </c>
    </row>
    <row r="11108" spans="1:5">
      <c r="A11108" t="s">
        <v>12816</v>
      </c>
      <c r="B11108" t="s">
        <v>12823</v>
      </c>
      <c r="C11108">
        <v>0</v>
      </c>
      <c r="D11108">
        <v>0.99679909981899995</v>
      </c>
      <c r="E11108">
        <v>8.4317841079460205</v>
      </c>
    </row>
    <row r="11109" spans="1:5">
      <c r="A11109" t="s">
        <v>12816</v>
      </c>
      <c r="B11109" t="s">
        <v>12824</v>
      </c>
      <c r="C11109">
        <f>0</f>
        <v>0</v>
      </c>
      <c r="D11109">
        <v>0.99679909981899995</v>
      </c>
      <c r="E11109">
        <v>8.4317841079460205</v>
      </c>
    </row>
    <row r="11110" spans="1:5">
      <c r="A11110" t="s">
        <v>12816</v>
      </c>
      <c r="B11110" t="s">
        <v>12825</v>
      </c>
      <c r="C11110">
        <v>0</v>
      </c>
      <c r="D11110">
        <v>0.99679909981899995</v>
      </c>
      <c r="E11110">
        <v>8.4317841079460205</v>
      </c>
    </row>
    <row r="11111" spans="1:5">
      <c r="A11111" t="s">
        <v>12826</v>
      </c>
      <c r="B11111" t="s">
        <v>12827</v>
      </c>
      <c r="C11111">
        <f>0</f>
        <v>0</v>
      </c>
      <c r="D11111">
        <v>0.99546380544500002</v>
      </c>
      <c r="E11111">
        <v>7.0644677661169402</v>
      </c>
    </row>
    <row r="11112" spans="1:5">
      <c r="A11112" t="s">
        <v>12826</v>
      </c>
      <c r="B11112" t="s">
        <v>12828</v>
      </c>
      <c r="C11112">
        <v>0</v>
      </c>
      <c r="D11112">
        <v>0.99546380544500002</v>
      </c>
      <c r="E11112">
        <v>7.0644677661169402</v>
      </c>
    </row>
    <row r="11113" spans="1:5">
      <c r="A11113" t="s">
        <v>12826</v>
      </c>
      <c r="B11113" t="s">
        <v>12829</v>
      </c>
      <c r="C11113">
        <f>0</f>
        <v>0</v>
      </c>
      <c r="D11113">
        <v>0.99546380544500002</v>
      </c>
      <c r="E11113">
        <v>7.0644677661169402</v>
      </c>
    </row>
    <row r="11114" spans="1:5">
      <c r="A11114" t="s">
        <v>12826</v>
      </c>
      <c r="B11114" t="s">
        <v>12830</v>
      </c>
      <c r="C11114">
        <f>0</f>
        <v>0</v>
      </c>
      <c r="D11114">
        <v>0.99546380544500002</v>
      </c>
      <c r="E11114">
        <v>7.0644677661169402</v>
      </c>
    </row>
    <row r="11115" spans="1:5">
      <c r="A11115" t="s">
        <v>12826</v>
      </c>
      <c r="B11115" t="s">
        <v>12831</v>
      </c>
      <c r="C11115">
        <f>0</f>
        <v>0</v>
      </c>
      <c r="D11115">
        <v>0.99546380544500002</v>
      </c>
      <c r="E11115">
        <v>7.0644677661169402</v>
      </c>
    </row>
    <row r="11116" spans="1:5">
      <c r="A11116" t="s">
        <v>12826</v>
      </c>
      <c r="B11116" t="s">
        <v>12832</v>
      </c>
      <c r="C11116">
        <f>0</f>
        <v>0</v>
      </c>
      <c r="D11116">
        <v>0.99546380544500002</v>
      </c>
      <c r="E11116">
        <v>7.0644677661169402</v>
      </c>
    </row>
    <row r="11117" spans="1:5">
      <c r="A11117" t="s">
        <v>12826</v>
      </c>
      <c r="B11117" t="s">
        <v>12833</v>
      </c>
      <c r="C11117">
        <f>0</f>
        <v>0</v>
      </c>
      <c r="D11117">
        <v>0.99546380544500002</v>
      </c>
      <c r="E11117">
        <v>7.0644677661169402</v>
      </c>
    </row>
    <row r="11118" spans="1:5">
      <c r="A11118" t="s">
        <v>12826</v>
      </c>
      <c r="B11118" t="s">
        <v>12834</v>
      </c>
      <c r="C11118">
        <f>0</f>
        <v>0</v>
      </c>
      <c r="D11118">
        <v>0.99546380544500002</v>
      </c>
      <c r="E11118">
        <v>7.0644677661169402</v>
      </c>
    </row>
    <row r="11119" spans="1:5">
      <c r="A11119" t="s">
        <v>12826</v>
      </c>
      <c r="B11119" t="s">
        <v>12835</v>
      </c>
      <c r="C11119">
        <v>0</v>
      </c>
      <c r="D11119">
        <v>0.99546380544500002</v>
      </c>
      <c r="E11119">
        <v>7.0644677661169402</v>
      </c>
    </row>
    <row r="11120" spans="1:5">
      <c r="A11120" t="s">
        <v>12826</v>
      </c>
      <c r="B11120" t="s">
        <v>12836</v>
      </c>
      <c r="C11120">
        <v>0</v>
      </c>
      <c r="D11120">
        <v>0.99546380544500002</v>
      </c>
      <c r="E11120">
        <v>7.0644677661169402</v>
      </c>
    </row>
    <row r="11121" spans="1:5">
      <c r="A11121" t="s">
        <v>12826</v>
      </c>
      <c r="B11121" t="s">
        <v>12837</v>
      </c>
      <c r="C11121">
        <v>0</v>
      </c>
      <c r="D11121">
        <v>0.99546380544500002</v>
      </c>
      <c r="E11121">
        <v>7.0644677661169402</v>
      </c>
    </row>
    <row r="11122" spans="1:5">
      <c r="A11122" t="s">
        <v>12826</v>
      </c>
      <c r="B11122" t="s">
        <v>12838</v>
      </c>
      <c r="C11122">
        <v>0</v>
      </c>
      <c r="D11122">
        <v>0.99546380544500002</v>
      </c>
      <c r="E11122">
        <v>7.0644677661169402</v>
      </c>
    </row>
    <row r="11123" spans="1:5">
      <c r="A11123" t="s">
        <v>12826</v>
      </c>
      <c r="B11123" t="s">
        <v>12839</v>
      </c>
      <c r="C11123">
        <f>0.145633381349</f>
        <v>0.145633381349</v>
      </c>
      <c r="D11123">
        <v>0.99546380544500002</v>
      </c>
      <c r="E11123">
        <v>7.0644677661169402</v>
      </c>
    </row>
    <row r="11124" spans="1:5">
      <c r="A11124" t="s">
        <v>12826</v>
      </c>
      <c r="B11124" t="s">
        <v>12840</v>
      </c>
      <c r="C11124">
        <f>0</f>
        <v>0</v>
      </c>
      <c r="D11124">
        <v>0.99546380544500002</v>
      </c>
      <c r="E11124">
        <v>7.0644677661169402</v>
      </c>
    </row>
    <row r="11125" spans="1:5">
      <c r="A11125" t="s">
        <v>12826</v>
      </c>
      <c r="B11125" t="s">
        <v>12841</v>
      </c>
      <c r="C11125">
        <v>0</v>
      </c>
      <c r="D11125">
        <v>0.99546380544500002</v>
      </c>
      <c r="E11125">
        <v>7.0644677661169402</v>
      </c>
    </row>
    <row r="11126" spans="1:5">
      <c r="A11126" t="s">
        <v>12826</v>
      </c>
      <c r="B11126" t="s">
        <v>12842</v>
      </c>
      <c r="C11126">
        <f>0</f>
        <v>0</v>
      </c>
      <c r="D11126">
        <v>0.99546380544500002</v>
      </c>
      <c r="E11126">
        <v>7.0644677661169402</v>
      </c>
    </row>
    <row r="11127" spans="1:5">
      <c r="A11127" t="s">
        <v>12826</v>
      </c>
      <c r="B11127" t="s">
        <v>12843</v>
      </c>
      <c r="C11127">
        <f>0</f>
        <v>0</v>
      </c>
      <c r="D11127">
        <v>0.99546380544500002</v>
      </c>
      <c r="E11127">
        <v>7.0644677661169402</v>
      </c>
    </row>
    <row r="11128" spans="1:5">
      <c r="A11128" t="s">
        <v>12826</v>
      </c>
      <c r="B11128" t="s">
        <v>12844</v>
      </c>
      <c r="C11128">
        <f>0</f>
        <v>0</v>
      </c>
      <c r="D11128">
        <v>0.99546380544500002</v>
      </c>
      <c r="E11128">
        <v>7.0644677661169402</v>
      </c>
    </row>
    <row r="11129" spans="1:5">
      <c r="A11129" t="s">
        <v>12826</v>
      </c>
      <c r="B11129" t="s">
        <v>12845</v>
      </c>
      <c r="C11129">
        <f>0</f>
        <v>0</v>
      </c>
      <c r="D11129">
        <v>0.99546380544500002</v>
      </c>
      <c r="E11129">
        <v>7.0644677661169402</v>
      </c>
    </row>
    <row r="11130" spans="1:5">
      <c r="A11130" t="s">
        <v>12826</v>
      </c>
      <c r="B11130" t="s">
        <v>12846</v>
      </c>
      <c r="C11130">
        <f>0</f>
        <v>0</v>
      </c>
      <c r="D11130">
        <v>0.99546380544500002</v>
      </c>
      <c r="E11130">
        <v>7.0644677661169402</v>
      </c>
    </row>
    <row r="11131" spans="1:5">
      <c r="A11131" t="s">
        <v>12826</v>
      </c>
      <c r="B11131" t="s">
        <v>12847</v>
      </c>
      <c r="C11131">
        <f>0</f>
        <v>0</v>
      </c>
      <c r="D11131">
        <v>0.99546380544500002</v>
      </c>
      <c r="E11131">
        <v>7.0644677661169402</v>
      </c>
    </row>
    <row r="11132" spans="1:5">
      <c r="A11132" t="s">
        <v>12826</v>
      </c>
      <c r="B11132" t="s">
        <v>12848</v>
      </c>
      <c r="C11132">
        <v>0</v>
      </c>
      <c r="D11132">
        <v>0.99546380544500002</v>
      </c>
      <c r="E11132">
        <v>7.0644677661169402</v>
      </c>
    </row>
    <row r="11133" spans="1:5">
      <c r="A11133" t="s">
        <v>12826</v>
      </c>
      <c r="B11133" t="s">
        <v>12849</v>
      </c>
      <c r="C11133">
        <f>0</f>
        <v>0</v>
      </c>
      <c r="D11133">
        <v>0.99546380544500002</v>
      </c>
      <c r="E11133">
        <v>7.0644677661169402</v>
      </c>
    </row>
    <row r="11134" spans="1:5">
      <c r="A11134" t="s">
        <v>12826</v>
      </c>
      <c r="B11134" t="s">
        <v>12850</v>
      </c>
      <c r="C11134">
        <f>0</f>
        <v>0</v>
      </c>
      <c r="D11134">
        <v>0.99546380544500002</v>
      </c>
      <c r="E11134">
        <v>7.0644677661169402</v>
      </c>
    </row>
    <row r="11135" spans="1:5">
      <c r="A11135" t="s">
        <v>12826</v>
      </c>
      <c r="B11135" t="s">
        <v>12851</v>
      </c>
      <c r="C11135">
        <f>0.0609418544742</f>
        <v>6.0941854474200002E-2</v>
      </c>
      <c r="D11135">
        <v>0.99546380544500002</v>
      </c>
      <c r="E11135">
        <v>7.0644677661169402</v>
      </c>
    </row>
    <row r="11136" spans="1:5">
      <c r="A11136" t="s">
        <v>12826</v>
      </c>
      <c r="B11136" t="s">
        <v>12852</v>
      </c>
      <c r="C11136">
        <f>0</f>
        <v>0</v>
      </c>
      <c r="D11136">
        <v>0.99546380544500002</v>
      </c>
      <c r="E11136">
        <v>7.0644677661169402</v>
      </c>
    </row>
    <row r="11137" spans="1:5">
      <c r="A11137" t="s">
        <v>12826</v>
      </c>
      <c r="B11137" t="s">
        <v>12853</v>
      </c>
      <c r="C11137">
        <f>0</f>
        <v>0</v>
      </c>
      <c r="D11137">
        <v>0.99546380544500002</v>
      </c>
      <c r="E11137">
        <v>7.0644677661169402</v>
      </c>
    </row>
    <row r="11138" spans="1:5">
      <c r="A11138" t="s">
        <v>12826</v>
      </c>
      <c r="B11138" t="s">
        <v>12854</v>
      </c>
      <c r="C11138">
        <f>0</f>
        <v>0</v>
      </c>
      <c r="D11138">
        <v>0.99546380544500002</v>
      </c>
      <c r="E11138">
        <v>7.0644677661169402</v>
      </c>
    </row>
    <row r="11139" spans="1:5">
      <c r="A11139" t="s">
        <v>12826</v>
      </c>
      <c r="B11139" t="s">
        <v>12855</v>
      </c>
      <c r="C11139">
        <v>0</v>
      </c>
      <c r="D11139">
        <v>0.99546380544500002</v>
      </c>
      <c r="E11139">
        <v>7.0644677661169402</v>
      </c>
    </row>
    <row r="11140" spans="1:5">
      <c r="A11140" t="s">
        <v>12856</v>
      </c>
      <c r="B11140" t="s">
        <v>12857</v>
      </c>
      <c r="C11140">
        <v>0.71542196743499997</v>
      </c>
      <c r="D11140">
        <v>0.98518171982299996</v>
      </c>
      <c r="E11140">
        <v>0.37181409295352302</v>
      </c>
    </row>
    <row r="11141" spans="1:5">
      <c r="A11141" t="s">
        <v>12856</v>
      </c>
      <c r="B11141" t="s">
        <v>12858</v>
      </c>
      <c r="C11141">
        <v>0</v>
      </c>
      <c r="D11141">
        <v>0.98518171982299996</v>
      </c>
      <c r="E11141">
        <v>0.37181409295352302</v>
      </c>
    </row>
    <row r="11142" spans="1:5">
      <c r="A11142" t="s">
        <v>12856</v>
      </c>
      <c r="B11142" t="s">
        <v>12859</v>
      </c>
      <c r="C11142">
        <f>0.0166333908469</f>
        <v>1.6633390846899999E-2</v>
      </c>
      <c r="D11142">
        <v>0.98518171982299996</v>
      </c>
      <c r="E11142">
        <v>0.37181409295352302</v>
      </c>
    </row>
    <row r="11143" spans="1:5">
      <c r="A11143" t="s">
        <v>12856</v>
      </c>
      <c r="B11143" t="s">
        <v>12860</v>
      </c>
      <c r="C11143">
        <v>0</v>
      </c>
      <c r="D11143">
        <v>0.98518171982299996</v>
      </c>
      <c r="E11143">
        <v>0.37181409295352302</v>
      </c>
    </row>
    <row r="11144" spans="1:5">
      <c r="A11144" t="s">
        <v>12856</v>
      </c>
      <c r="B11144" t="s">
        <v>12861</v>
      </c>
      <c r="C11144">
        <v>0</v>
      </c>
      <c r="D11144">
        <v>0.98518171982299996</v>
      </c>
      <c r="E11144">
        <v>0.37181409295352302</v>
      </c>
    </row>
    <row r="11145" spans="1:5">
      <c r="A11145" t="s">
        <v>12856</v>
      </c>
      <c r="B11145" t="s">
        <v>12862</v>
      </c>
      <c r="C11145">
        <v>0</v>
      </c>
      <c r="D11145">
        <v>0.98518171982299996</v>
      </c>
      <c r="E11145">
        <v>0.37181409295352302</v>
      </c>
    </row>
    <row r="11146" spans="1:5">
      <c r="A11146" t="s">
        <v>12863</v>
      </c>
      <c r="B11146" t="s">
        <v>12864</v>
      </c>
      <c r="C11146">
        <f>0</f>
        <v>0</v>
      </c>
      <c r="D11146">
        <v>0.92881132465799998</v>
      </c>
      <c r="E11146">
        <v>15.904047976011899</v>
      </c>
    </row>
    <row r="11147" spans="1:5">
      <c r="A11147" t="s">
        <v>12863</v>
      </c>
      <c r="B11147" t="s">
        <v>12865</v>
      </c>
      <c r="C11147">
        <f>0</f>
        <v>0</v>
      </c>
      <c r="D11147">
        <v>0.92881132465799998</v>
      </c>
      <c r="E11147">
        <v>15.904047976011899</v>
      </c>
    </row>
    <row r="11148" spans="1:5">
      <c r="A11148" t="s">
        <v>12863</v>
      </c>
      <c r="B11148" t="s">
        <v>12866</v>
      </c>
      <c r="C11148">
        <v>0</v>
      </c>
      <c r="D11148">
        <v>0.92881132465799998</v>
      </c>
      <c r="E11148">
        <v>15.904047976011899</v>
      </c>
    </row>
    <row r="11149" spans="1:5">
      <c r="A11149" t="s">
        <v>12863</v>
      </c>
      <c r="B11149" t="s">
        <v>12867</v>
      </c>
      <c r="C11149">
        <v>0</v>
      </c>
      <c r="D11149">
        <v>0.92881132465799998</v>
      </c>
      <c r="E11149">
        <v>15.904047976011899</v>
      </c>
    </row>
    <row r="11150" spans="1:5">
      <c r="A11150" t="s">
        <v>12863</v>
      </c>
      <c r="B11150" t="s">
        <v>12868</v>
      </c>
      <c r="C11150">
        <f>0.0128099206649</f>
        <v>1.28099206649E-2</v>
      </c>
      <c r="D11150">
        <v>0.92881132465799998</v>
      </c>
      <c r="E11150">
        <v>15.904047976011899</v>
      </c>
    </row>
    <row r="11151" spans="1:5">
      <c r="A11151" t="s">
        <v>12863</v>
      </c>
      <c r="B11151" t="s">
        <v>12869</v>
      </c>
      <c r="C11151">
        <v>3.4141976288699999E-2</v>
      </c>
      <c r="D11151">
        <v>0.92881132465799998</v>
      </c>
      <c r="E11151">
        <v>15.904047976011899</v>
      </c>
    </row>
    <row r="11152" spans="1:5">
      <c r="A11152" t="s">
        <v>12863</v>
      </c>
      <c r="B11152" t="s">
        <v>12870</v>
      </c>
      <c r="C11152">
        <v>0</v>
      </c>
      <c r="D11152">
        <v>0.92881132465799998</v>
      </c>
      <c r="E11152">
        <v>15.904047976011899</v>
      </c>
    </row>
    <row r="11153" spans="1:5">
      <c r="A11153" t="s">
        <v>12863</v>
      </c>
      <c r="B11153" t="s">
        <v>12871</v>
      </c>
      <c r="C11153">
        <v>0</v>
      </c>
      <c r="D11153">
        <v>0.92881132465799998</v>
      </c>
      <c r="E11153">
        <v>15.904047976011899</v>
      </c>
    </row>
    <row r="11154" spans="1:5">
      <c r="A11154" t="s">
        <v>12863</v>
      </c>
      <c r="B11154" t="s">
        <v>12872</v>
      </c>
      <c r="C11154">
        <f>0</f>
        <v>0</v>
      </c>
      <c r="D11154">
        <v>0.92881132465799998</v>
      </c>
      <c r="E11154">
        <v>15.904047976011899</v>
      </c>
    </row>
    <row r="11155" spans="1:5">
      <c r="A11155" t="s">
        <v>12863</v>
      </c>
      <c r="B11155" t="s">
        <v>12873</v>
      </c>
      <c r="C11155">
        <v>0</v>
      </c>
      <c r="D11155">
        <v>0.92881132465799998</v>
      </c>
      <c r="E11155">
        <v>15.904047976011899</v>
      </c>
    </row>
    <row r="11156" spans="1:5">
      <c r="A11156" t="s">
        <v>12863</v>
      </c>
      <c r="B11156" t="s">
        <v>12874</v>
      </c>
      <c r="C11156">
        <v>0</v>
      </c>
      <c r="D11156">
        <v>0.92881132465799998</v>
      </c>
      <c r="E11156">
        <v>15.904047976011899</v>
      </c>
    </row>
    <row r="11157" spans="1:5">
      <c r="A11157" t="s">
        <v>12863</v>
      </c>
      <c r="B11157" t="s">
        <v>12875</v>
      </c>
      <c r="C11157">
        <v>0</v>
      </c>
      <c r="D11157">
        <v>0.92881132465799998</v>
      </c>
      <c r="E11157">
        <v>15.904047976011899</v>
      </c>
    </row>
    <row r="11158" spans="1:5">
      <c r="A11158" t="s">
        <v>12863</v>
      </c>
      <c r="B11158" t="s">
        <v>12876</v>
      </c>
      <c r="C11158">
        <v>0</v>
      </c>
      <c r="D11158">
        <v>0.92881132465799998</v>
      </c>
      <c r="E11158">
        <v>15.904047976011899</v>
      </c>
    </row>
    <row r="11159" spans="1:5">
      <c r="A11159" t="s">
        <v>12863</v>
      </c>
      <c r="B11159" t="s">
        <v>12877</v>
      </c>
      <c r="C11159">
        <f>0</f>
        <v>0</v>
      </c>
      <c r="D11159">
        <v>0.92881132465799998</v>
      </c>
      <c r="E11159">
        <v>15.904047976011899</v>
      </c>
    </row>
    <row r="11160" spans="1:5">
      <c r="A11160" t="s">
        <v>12863</v>
      </c>
      <c r="B11160" t="s">
        <v>12878</v>
      </c>
      <c r="C11160">
        <v>0</v>
      </c>
      <c r="D11160">
        <v>0.92881132465799998</v>
      </c>
      <c r="E11160">
        <v>15.904047976011899</v>
      </c>
    </row>
    <row r="11161" spans="1:5">
      <c r="A11161" t="s">
        <v>12879</v>
      </c>
      <c r="B11161" t="s">
        <v>12880</v>
      </c>
      <c r="C11161">
        <v>0</v>
      </c>
      <c r="D11161">
        <v>0.81955142424299998</v>
      </c>
      <c r="E11161">
        <v>19.850074962518701</v>
      </c>
    </row>
    <row r="11162" spans="1:5">
      <c r="A11162" t="s">
        <v>12879</v>
      </c>
      <c r="B11162" t="s">
        <v>12881</v>
      </c>
      <c r="C11162">
        <v>0</v>
      </c>
      <c r="D11162">
        <v>0.81955142424299998</v>
      </c>
      <c r="E11162">
        <v>19.850074962518701</v>
      </c>
    </row>
    <row r="11163" spans="1:5">
      <c r="A11163" t="s">
        <v>12879</v>
      </c>
      <c r="B11163" t="s">
        <v>12882</v>
      </c>
      <c r="C11163">
        <f>0</f>
        <v>0</v>
      </c>
      <c r="D11163">
        <v>0.81955142424299998</v>
      </c>
      <c r="E11163">
        <v>19.850074962518701</v>
      </c>
    </row>
    <row r="11164" spans="1:5">
      <c r="A11164" t="s">
        <v>12879</v>
      </c>
      <c r="B11164" t="s">
        <v>12883</v>
      </c>
      <c r="C11164">
        <f>0</f>
        <v>0</v>
      </c>
      <c r="D11164">
        <v>0.81955142424299998</v>
      </c>
      <c r="E11164">
        <v>19.850074962518701</v>
      </c>
    </row>
    <row r="11165" spans="1:5">
      <c r="A11165" t="s">
        <v>12879</v>
      </c>
      <c r="B11165" t="s">
        <v>12884</v>
      </c>
      <c r="C11165">
        <v>0</v>
      </c>
      <c r="D11165">
        <v>0.81955142424299998</v>
      </c>
      <c r="E11165">
        <v>19.850074962518701</v>
      </c>
    </row>
    <row r="11166" spans="1:5">
      <c r="A11166" t="s">
        <v>12879</v>
      </c>
      <c r="B11166" t="s">
        <v>12885</v>
      </c>
      <c r="C11166">
        <f>0.124524336119</f>
        <v>0.124524336119</v>
      </c>
      <c r="D11166">
        <v>0.81955142424299998</v>
      </c>
      <c r="E11166">
        <v>19.850074962518701</v>
      </c>
    </row>
    <row r="11167" spans="1:5">
      <c r="A11167" t="s">
        <v>12879</v>
      </c>
      <c r="B11167" t="s">
        <v>12886</v>
      </c>
      <c r="C11167">
        <v>0</v>
      </c>
      <c r="D11167">
        <v>0.81955142424299998</v>
      </c>
      <c r="E11167">
        <v>19.850074962518701</v>
      </c>
    </row>
    <row r="11168" spans="1:5">
      <c r="A11168" t="s">
        <v>12879</v>
      </c>
      <c r="B11168" t="s">
        <v>12887</v>
      </c>
      <c r="C11168">
        <v>0</v>
      </c>
      <c r="D11168">
        <v>0.81955142424299998</v>
      </c>
      <c r="E11168">
        <v>19.850074962518701</v>
      </c>
    </row>
    <row r="11169" spans="1:5">
      <c r="A11169" t="s">
        <v>12879</v>
      </c>
      <c r="B11169" t="s">
        <v>12888</v>
      </c>
      <c r="C11169">
        <f>0</f>
        <v>0</v>
      </c>
      <c r="D11169">
        <v>0.81955142424299998</v>
      </c>
      <c r="E11169">
        <v>19.850074962518701</v>
      </c>
    </row>
    <row r="11170" spans="1:5">
      <c r="A11170" t="s">
        <v>12879</v>
      </c>
      <c r="B11170" t="s">
        <v>12889</v>
      </c>
      <c r="C11170">
        <v>0</v>
      </c>
      <c r="D11170">
        <v>0.81955142424299998</v>
      </c>
      <c r="E11170">
        <v>19.850074962518701</v>
      </c>
    </row>
    <row r="11171" spans="1:5">
      <c r="A11171" t="s">
        <v>12879</v>
      </c>
      <c r="B11171" t="s">
        <v>12890</v>
      </c>
      <c r="C11171">
        <v>0</v>
      </c>
      <c r="D11171">
        <v>0.81955142424299998</v>
      </c>
      <c r="E11171">
        <v>19.850074962518701</v>
      </c>
    </row>
    <row r="11172" spans="1:5">
      <c r="A11172" t="s">
        <v>12891</v>
      </c>
      <c r="B11172" t="s">
        <v>12892</v>
      </c>
      <c r="C11172">
        <v>0.38136254758999999</v>
      </c>
      <c r="D11172" t="s">
        <v>106</v>
      </c>
      <c r="E11172">
        <v>5.3493253373313303</v>
      </c>
    </row>
    <row r="11173" spans="1:5">
      <c r="A11173" t="s">
        <v>12891</v>
      </c>
      <c r="B11173" t="s">
        <v>12893</v>
      </c>
      <c r="C11173">
        <v>0.12937287971799999</v>
      </c>
      <c r="D11173" t="s">
        <v>106</v>
      </c>
      <c r="E11173">
        <v>5.3493253373313303</v>
      </c>
    </row>
    <row r="11174" spans="1:5">
      <c r="A11174" t="s">
        <v>12891</v>
      </c>
      <c r="B11174" t="s">
        <v>12894</v>
      </c>
      <c r="C11174">
        <f>0</f>
        <v>0</v>
      </c>
      <c r="D11174" t="s">
        <v>106</v>
      </c>
      <c r="E11174">
        <v>5.3493253373313303</v>
      </c>
    </row>
    <row r="11175" spans="1:5">
      <c r="A11175" t="s">
        <v>12891</v>
      </c>
      <c r="B11175" t="s">
        <v>12895</v>
      </c>
      <c r="C11175">
        <v>0</v>
      </c>
      <c r="D11175" t="s">
        <v>106</v>
      </c>
      <c r="E11175">
        <v>5.3493253373313303</v>
      </c>
    </row>
    <row r="11176" spans="1:5">
      <c r="A11176" t="s">
        <v>12896</v>
      </c>
      <c r="B11176" t="s">
        <v>12897</v>
      </c>
      <c r="C11176">
        <f>0</f>
        <v>0</v>
      </c>
      <c r="D11176">
        <v>0.99910272296799996</v>
      </c>
      <c r="E11176">
        <v>7.7361319340329802</v>
      </c>
    </row>
    <row r="11177" spans="1:5">
      <c r="A11177" t="s">
        <v>12896</v>
      </c>
      <c r="B11177" t="s">
        <v>12898</v>
      </c>
      <c r="C11177">
        <v>0</v>
      </c>
      <c r="D11177">
        <v>0.99910272296799996</v>
      </c>
      <c r="E11177">
        <v>7.7361319340329802</v>
      </c>
    </row>
    <row r="11178" spans="1:5">
      <c r="A11178" t="s">
        <v>12896</v>
      </c>
      <c r="B11178" t="s">
        <v>12899</v>
      </c>
      <c r="C11178">
        <v>0</v>
      </c>
      <c r="D11178">
        <v>0.99910272296799996</v>
      </c>
      <c r="E11178">
        <v>7.7361319340329802</v>
      </c>
    </row>
    <row r="11179" spans="1:5">
      <c r="A11179" t="s">
        <v>12896</v>
      </c>
      <c r="B11179" t="s">
        <v>12900</v>
      </c>
      <c r="C11179">
        <v>0.13025016336299999</v>
      </c>
      <c r="D11179">
        <v>0.99910272296799996</v>
      </c>
      <c r="E11179">
        <v>7.7361319340329802</v>
      </c>
    </row>
    <row r="11180" spans="1:5">
      <c r="A11180" t="s">
        <v>12896</v>
      </c>
      <c r="B11180" t="s">
        <v>12901</v>
      </c>
      <c r="C11180">
        <v>0.667536137689</v>
      </c>
      <c r="D11180">
        <v>0.99910272296799996</v>
      </c>
      <c r="E11180">
        <v>7.7361319340329802</v>
      </c>
    </row>
    <row r="11181" spans="1:5">
      <c r="A11181" t="s">
        <v>12896</v>
      </c>
      <c r="B11181" t="s">
        <v>12902</v>
      </c>
      <c r="C11181">
        <f>0</f>
        <v>0</v>
      </c>
      <c r="D11181">
        <v>0.99910272296799996</v>
      </c>
      <c r="E11181">
        <v>7.7361319340329802</v>
      </c>
    </row>
    <row r="11182" spans="1:5">
      <c r="A11182" t="s">
        <v>12903</v>
      </c>
      <c r="B11182" t="s">
        <v>12904</v>
      </c>
      <c r="C11182">
        <f>0</f>
        <v>0</v>
      </c>
      <c r="D11182" t="s">
        <v>106</v>
      </c>
      <c r="E11182">
        <v>3.68215892053973</v>
      </c>
    </row>
    <row r="11183" spans="1:5">
      <c r="A11183" t="s">
        <v>12903</v>
      </c>
      <c r="B11183" t="s">
        <v>12905</v>
      </c>
      <c r="C11183">
        <v>5.6218538036599999E-2</v>
      </c>
      <c r="D11183" t="s">
        <v>106</v>
      </c>
      <c r="E11183">
        <v>3.68215892053973</v>
      </c>
    </row>
    <row r="11184" spans="1:5">
      <c r="A11184" t="s">
        <v>12903</v>
      </c>
      <c r="B11184" t="s">
        <v>12906</v>
      </c>
      <c r="C11184">
        <v>0</v>
      </c>
      <c r="D11184" t="s">
        <v>106</v>
      </c>
      <c r="E11184">
        <v>3.68215892053973</v>
      </c>
    </row>
    <row r="11185" spans="1:5">
      <c r="A11185" t="s">
        <v>12903</v>
      </c>
      <c r="B11185" t="s">
        <v>12907</v>
      </c>
      <c r="C11185">
        <v>0</v>
      </c>
      <c r="D11185" t="s">
        <v>106</v>
      </c>
      <c r="E11185">
        <v>3.68215892053973</v>
      </c>
    </row>
    <row r="11186" spans="1:5">
      <c r="A11186" t="s">
        <v>12903</v>
      </c>
      <c r="B11186" t="s">
        <v>12908</v>
      </c>
      <c r="C11186">
        <v>0</v>
      </c>
      <c r="D11186" t="s">
        <v>106</v>
      </c>
      <c r="E11186">
        <v>3.68215892053973</v>
      </c>
    </row>
    <row r="11187" spans="1:5">
      <c r="A11187" t="s">
        <v>12903</v>
      </c>
      <c r="B11187" t="s">
        <v>12909</v>
      </c>
      <c r="C11187">
        <v>0</v>
      </c>
      <c r="D11187" t="s">
        <v>106</v>
      </c>
      <c r="E11187">
        <v>3.68215892053973</v>
      </c>
    </row>
    <row r="11188" spans="1:5">
      <c r="A11188" t="s">
        <v>12903</v>
      </c>
      <c r="B11188" t="s">
        <v>12910</v>
      </c>
      <c r="C11188">
        <v>0</v>
      </c>
      <c r="D11188" t="s">
        <v>106</v>
      </c>
      <c r="E11188">
        <v>3.68215892053973</v>
      </c>
    </row>
    <row r="11189" spans="1:5">
      <c r="A11189" t="s">
        <v>12903</v>
      </c>
      <c r="B11189" t="s">
        <v>12911</v>
      </c>
      <c r="C11189">
        <v>0</v>
      </c>
      <c r="D11189" t="s">
        <v>106</v>
      </c>
      <c r="E11189">
        <v>3.68215892053973</v>
      </c>
    </row>
    <row r="11190" spans="1:5">
      <c r="A11190" t="s">
        <v>12903</v>
      </c>
      <c r="B11190" t="s">
        <v>12912</v>
      </c>
      <c r="C11190">
        <v>0</v>
      </c>
      <c r="D11190" t="s">
        <v>106</v>
      </c>
      <c r="E11190">
        <v>3.68215892053973</v>
      </c>
    </row>
    <row r="11191" spans="1:5">
      <c r="A11191" t="s">
        <v>12903</v>
      </c>
      <c r="B11191" t="s">
        <v>12913</v>
      </c>
      <c r="C11191">
        <v>0</v>
      </c>
      <c r="D11191" t="s">
        <v>106</v>
      </c>
      <c r="E11191">
        <v>3.68215892053973</v>
      </c>
    </row>
    <row r="11192" spans="1:5">
      <c r="A11192" t="s">
        <v>12903</v>
      </c>
      <c r="B11192" t="s">
        <v>12914</v>
      </c>
      <c r="C11192">
        <v>0</v>
      </c>
      <c r="D11192" t="s">
        <v>106</v>
      </c>
      <c r="E11192">
        <v>3.68215892053973</v>
      </c>
    </row>
    <row r="11193" spans="1:5">
      <c r="A11193" t="s">
        <v>12915</v>
      </c>
      <c r="B11193" t="s">
        <v>12916</v>
      </c>
      <c r="C11193">
        <v>0</v>
      </c>
      <c r="D11193">
        <v>0.97469753314800001</v>
      </c>
      <c r="E11193">
        <v>9.9190404797601204</v>
      </c>
    </row>
    <row r="11194" spans="1:5">
      <c r="A11194" t="s">
        <v>12915</v>
      </c>
      <c r="B11194" t="s">
        <v>12917</v>
      </c>
      <c r="C11194">
        <v>0</v>
      </c>
      <c r="D11194">
        <v>0.97469753314800001</v>
      </c>
      <c r="E11194">
        <v>9.9190404797601204</v>
      </c>
    </row>
    <row r="11195" spans="1:5">
      <c r="A11195" t="s">
        <v>12915</v>
      </c>
      <c r="B11195" t="s">
        <v>12918</v>
      </c>
      <c r="C11195">
        <f>0.122822116627</f>
        <v>0.122822116627</v>
      </c>
      <c r="D11195">
        <v>0.97469753314800001</v>
      </c>
      <c r="E11195">
        <v>9.9190404797601204</v>
      </c>
    </row>
    <row r="11196" spans="1:5">
      <c r="A11196" t="s">
        <v>12915</v>
      </c>
      <c r="B11196" t="s">
        <v>12919</v>
      </c>
      <c r="C11196">
        <f>0</f>
        <v>0</v>
      </c>
      <c r="D11196">
        <v>0.97469753314800001</v>
      </c>
      <c r="E11196">
        <v>9.9190404797601204</v>
      </c>
    </row>
    <row r="11197" spans="1:5">
      <c r="A11197" t="s">
        <v>12915</v>
      </c>
      <c r="B11197" t="s">
        <v>12920</v>
      </c>
      <c r="C11197">
        <v>0</v>
      </c>
      <c r="D11197">
        <v>0.97469753314800001</v>
      </c>
      <c r="E11197">
        <v>9.9190404797601204</v>
      </c>
    </row>
    <row r="11198" spans="1:5">
      <c r="A11198" t="s">
        <v>12915</v>
      </c>
      <c r="B11198" t="s">
        <v>12921</v>
      </c>
      <c r="C11198">
        <v>0</v>
      </c>
      <c r="D11198">
        <v>0.97469753314800001</v>
      </c>
      <c r="E11198">
        <v>9.9190404797601204</v>
      </c>
    </row>
    <row r="11199" spans="1:5">
      <c r="A11199" t="s">
        <v>12915</v>
      </c>
      <c r="B11199" t="s">
        <v>12922</v>
      </c>
      <c r="C11199">
        <f>0.299101183623</f>
        <v>0.29910118362299998</v>
      </c>
      <c r="D11199">
        <v>0.97469753314800001</v>
      </c>
      <c r="E11199">
        <v>9.9190404797601204</v>
      </c>
    </row>
    <row r="11200" spans="1:5">
      <c r="A11200" t="s">
        <v>12915</v>
      </c>
      <c r="B11200" t="s">
        <v>12923</v>
      </c>
      <c r="C11200">
        <v>0</v>
      </c>
      <c r="D11200">
        <v>0.97469753314800001</v>
      </c>
      <c r="E11200">
        <v>9.9190404797601204</v>
      </c>
    </row>
    <row r="11201" spans="1:5">
      <c r="A11201" t="s">
        <v>12915</v>
      </c>
      <c r="B11201" t="s">
        <v>12924</v>
      </c>
      <c r="C11201">
        <f>0</f>
        <v>0</v>
      </c>
      <c r="D11201">
        <v>0.97469753314800001</v>
      </c>
      <c r="E11201">
        <v>9.9190404797601204</v>
      </c>
    </row>
    <row r="11202" spans="1:5">
      <c r="A11202" t="s">
        <v>12925</v>
      </c>
      <c r="B11202" t="s">
        <v>12926</v>
      </c>
      <c r="C11202">
        <v>0.34884716364700002</v>
      </c>
      <c r="D11202">
        <v>0.99698674019900002</v>
      </c>
      <c r="E11202">
        <v>10.878560719640101</v>
      </c>
    </row>
    <row r="11203" spans="1:5">
      <c r="A11203" t="s">
        <v>12925</v>
      </c>
      <c r="B11203" t="s">
        <v>12927</v>
      </c>
      <c r="C11203">
        <f>0.114306915685</f>
        <v>0.114306915685</v>
      </c>
      <c r="D11203">
        <v>0.99698674019900002</v>
      </c>
      <c r="E11203">
        <v>10.878560719640101</v>
      </c>
    </row>
    <row r="11204" spans="1:5">
      <c r="A11204" t="s">
        <v>12928</v>
      </c>
      <c r="B11204" t="s">
        <v>12929</v>
      </c>
      <c r="C11204">
        <v>0</v>
      </c>
      <c r="D11204">
        <v>0.90879965863400003</v>
      </c>
      <c r="E11204">
        <v>4.68965517241379</v>
      </c>
    </row>
    <row r="11205" spans="1:5">
      <c r="A11205" t="s">
        <v>12928</v>
      </c>
      <c r="B11205" t="s">
        <v>12930</v>
      </c>
      <c r="C11205">
        <v>0.27949435300199998</v>
      </c>
      <c r="D11205">
        <v>0.90879965863400003</v>
      </c>
      <c r="E11205">
        <v>4.68965517241379</v>
      </c>
    </row>
    <row r="11206" spans="1:5">
      <c r="A11206" t="s">
        <v>12928</v>
      </c>
      <c r="B11206" t="s">
        <v>12931</v>
      </c>
      <c r="C11206">
        <f>0</f>
        <v>0</v>
      </c>
      <c r="D11206">
        <v>0.90879965863400003</v>
      </c>
      <c r="E11206">
        <v>4.68965517241379</v>
      </c>
    </row>
    <row r="11207" spans="1:5">
      <c r="A11207" t="s">
        <v>12928</v>
      </c>
      <c r="B11207" t="s">
        <v>12932</v>
      </c>
      <c r="C11207">
        <f>0</f>
        <v>0</v>
      </c>
      <c r="D11207">
        <v>0.90879965863400003</v>
      </c>
      <c r="E11207">
        <v>4.68965517241379</v>
      </c>
    </row>
    <row r="11208" spans="1:5">
      <c r="A11208" t="s">
        <v>12928</v>
      </c>
      <c r="B11208" t="s">
        <v>12933</v>
      </c>
      <c r="C11208">
        <v>0.42158424615399998</v>
      </c>
      <c r="D11208">
        <v>0.90879965863400003</v>
      </c>
      <c r="E11208">
        <v>4.68965517241379</v>
      </c>
    </row>
    <row r="11209" spans="1:5">
      <c r="A11209" t="s">
        <v>12934</v>
      </c>
      <c r="B11209" t="s">
        <v>12935</v>
      </c>
      <c r="C11209">
        <v>0</v>
      </c>
      <c r="D11209">
        <v>0.95941028324800004</v>
      </c>
      <c r="E11209">
        <v>5.3493253373313303</v>
      </c>
    </row>
    <row r="11210" spans="1:5">
      <c r="A11210" t="s">
        <v>12934</v>
      </c>
      <c r="B11210" t="s">
        <v>12936</v>
      </c>
      <c r="C11210">
        <f>0</f>
        <v>0</v>
      </c>
      <c r="D11210">
        <v>0.95941028324800004</v>
      </c>
      <c r="E11210">
        <v>5.3493253373313303</v>
      </c>
    </row>
    <row r="11211" spans="1:5">
      <c r="A11211" t="s">
        <v>12934</v>
      </c>
      <c r="B11211" t="s">
        <v>12937</v>
      </c>
      <c r="C11211">
        <f>0</f>
        <v>0</v>
      </c>
      <c r="D11211">
        <v>0.95941028324800004</v>
      </c>
      <c r="E11211">
        <v>5.3493253373313303</v>
      </c>
    </row>
    <row r="11212" spans="1:5">
      <c r="A11212" t="s">
        <v>12934</v>
      </c>
      <c r="B11212" t="s">
        <v>12938</v>
      </c>
      <c r="C11212">
        <v>0</v>
      </c>
      <c r="D11212">
        <v>0.95941028324800004</v>
      </c>
      <c r="E11212">
        <v>5.3493253373313303</v>
      </c>
    </row>
    <row r="11213" spans="1:5">
      <c r="A11213" t="s">
        <v>12934</v>
      </c>
      <c r="B11213" t="s">
        <v>12939</v>
      </c>
      <c r="C11213">
        <f>0</f>
        <v>0</v>
      </c>
      <c r="D11213">
        <v>0.95941028324800004</v>
      </c>
      <c r="E11213">
        <v>5.3493253373313303</v>
      </c>
    </row>
    <row r="11214" spans="1:5">
      <c r="A11214" t="s">
        <v>12934</v>
      </c>
      <c r="B11214" t="s">
        <v>12940</v>
      </c>
      <c r="C11214">
        <v>0</v>
      </c>
      <c r="D11214">
        <v>0.95941028324800004</v>
      </c>
      <c r="E11214">
        <v>5.3493253373313303</v>
      </c>
    </row>
    <row r="11215" spans="1:5">
      <c r="A11215" t="s">
        <v>12941</v>
      </c>
      <c r="B11215" t="s">
        <v>12942</v>
      </c>
      <c r="C11215">
        <v>0</v>
      </c>
      <c r="D11215" t="s">
        <v>106</v>
      </c>
      <c r="E11215">
        <v>19.850074962518701</v>
      </c>
    </row>
    <row r="11216" spans="1:5">
      <c r="A11216" t="s">
        <v>12941</v>
      </c>
      <c r="B11216" t="s">
        <v>12943</v>
      </c>
      <c r="C11216">
        <v>0</v>
      </c>
      <c r="D11216" t="s">
        <v>106</v>
      </c>
      <c r="E11216">
        <v>19.850074962518701</v>
      </c>
    </row>
    <row r="11217" spans="1:5">
      <c r="A11217" t="s">
        <v>12941</v>
      </c>
      <c r="B11217" t="s">
        <v>12944</v>
      </c>
      <c r="C11217">
        <v>0</v>
      </c>
      <c r="D11217" t="s">
        <v>106</v>
      </c>
      <c r="E11217">
        <v>19.850074962518701</v>
      </c>
    </row>
    <row r="11218" spans="1:5">
      <c r="A11218" t="s">
        <v>12945</v>
      </c>
      <c r="B11218" t="s">
        <v>12946</v>
      </c>
      <c r="C11218">
        <v>0</v>
      </c>
      <c r="D11218">
        <v>0.97582125696099997</v>
      </c>
      <c r="E11218">
        <v>16.695652173913</v>
      </c>
    </row>
    <row r="11219" spans="1:5">
      <c r="A11219" t="s">
        <v>12945</v>
      </c>
      <c r="B11219" t="s">
        <v>12947</v>
      </c>
      <c r="C11219">
        <v>0</v>
      </c>
      <c r="D11219">
        <v>0.97582125696099997</v>
      </c>
      <c r="E11219">
        <v>16.695652173913</v>
      </c>
    </row>
    <row r="11220" spans="1:5">
      <c r="A11220" t="s">
        <v>12945</v>
      </c>
      <c r="B11220" t="s">
        <v>12948</v>
      </c>
      <c r="C11220">
        <v>0</v>
      </c>
      <c r="D11220">
        <v>0.97582125696099997</v>
      </c>
      <c r="E11220">
        <v>16.695652173913</v>
      </c>
    </row>
    <row r="11221" spans="1:5">
      <c r="A11221" t="s">
        <v>12945</v>
      </c>
      <c r="B11221" t="s">
        <v>12949</v>
      </c>
      <c r="C11221">
        <v>0</v>
      </c>
      <c r="D11221">
        <v>0.97582125696099997</v>
      </c>
      <c r="E11221">
        <v>16.695652173913</v>
      </c>
    </row>
    <row r="11222" spans="1:5">
      <c r="A11222" t="s">
        <v>12945</v>
      </c>
      <c r="B11222" t="s">
        <v>12950</v>
      </c>
      <c r="C11222">
        <f>0.125874538976</f>
        <v>0.12587453897600001</v>
      </c>
      <c r="D11222">
        <v>0.97582125696099997</v>
      </c>
      <c r="E11222">
        <v>16.695652173913</v>
      </c>
    </row>
    <row r="11223" spans="1:5">
      <c r="A11223" t="s">
        <v>12945</v>
      </c>
      <c r="B11223" t="s">
        <v>12951</v>
      </c>
      <c r="C11223">
        <f>0.102194367083</f>
        <v>0.102194367083</v>
      </c>
      <c r="D11223">
        <v>0.97582125696099997</v>
      </c>
      <c r="E11223">
        <v>16.695652173913</v>
      </c>
    </row>
    <row r="11224" spans="1:5">
      <c r="A11224" t="s">
        <v>12952</v>
      </c>
      <c r="B11224" t="s">
        <v>12953</v>
      </c>
      <c r="C11224">
        <v>0</v>
      </c>
      <c r="D11224" t="s">
        <v>106</v>
      </c>
      <c r="E11224">
        <v>20.509745127436201</v>
      </c>
    </row>
    <row r="11225" spans="1:5">
      <c r="A11225" t="s">
        <v>12952</v>
      </c>
      <c r="B11225" t="s">
        <v>12954</v>
      </c>
      <c r="C11225">
        <v>0</v>
      </c>
      <c r="D11225" t="s">
        <v>106</v>
      </c>
      <c r="E11225">
        <v>20.509745127436201</v>
      </c>
    </row>
    <row r="11226" spans="1:5">
      <c r="A11226" t="s">
        <v>12952</v>
      </c>
      <c r="B11226" t="s">
        <v>12955</v>
      </c>
      <c r="C11226">
        <v>0.16506001225399999</v>
      </c>
      <c r="D11226" t="s">
        <v>106</v>
      </c>
      <c r="E11226">
        <v>20.509745127436201</v>
      </c>
    </row>
    <row r="11227" spans="1:5">
      <c r="A11227" t="s">
        <v>12952</v>
      </c>
      <c r="B11227" t="s">
        <v>12956</v>
      </c>
      <c r="C11227">
        <v>0</v>
      </c>
      <c r="D11227" t="s">
        <v>106</v>
      </c>
      <c r="E11227">
        <v>20.509745127436201</v>
      </c>
    </row>
    <row r="11228" spans="1:5">
      <c r="A11228" t="s">
        <v>12952</v>
      </c>
      <c r="B11228" t="s">
        <v>12957</v>
      </c>
      <c r="C11228">
        <v>0</v>
      </c>
      <c r="D11228" t="s">
        <v>106</v>
      </c>
      <c r="E11228">
        <v>20.509745127436201</v>
      </c>
    </row>
    <row r="11229" spans="1:5">
      <c r="A11229" t="s">
        <v>12952</v>
      </c>
      <c r="B11229" t="s">
        <v>12958</v>
      </c>
      <c r="C11229">
        <v>0</v>
      </c>
      <c r="D11229" t="s">
        <v>106</v>
      </c>
      <c r="E11229">
        <v>20.509745127436201</v>
      </c>
    </row>
    <row r="11230" spans="1:5">
      <c r="A11230" t="s">
        <v>12952</v>
      </c>
      <c r="B11230" t="s">
        <v>12959</v>
      </c>
      <c r="C11230">
        <v>0</v>
      </c>
      <c r="D11230" t="s">
        <v>106</v>
      </c>
      <c r="E11230">
        <v>20.509745127436201</v>
      </c>
    </row>
    <row r="11231" spans="1:5">
      <c r="A11231" t="s">
        <v>12952</v>
      </c>
      <c r="B11231" t="s">
        <v>12960</v>
      </c>
      <c r="C11231">
        <v>0</v>
      </c>
      <c r="D11231" t="s">
        <v>106</v>
      </c>
      <c r="E11231">
        <v>20.509745127436201</v>
      </c>
    </row>
    <row r="11232" spans="1:5">
      <c r="A11232" t="s">
        <v>12952</v>
      </c>
      <c r="B11232" t="s">
        <v>12961</v>
      </c>
      <c r="C11232">
        <f>0</f>
        <v>0</v>
      </c>
      <c r="D11232" t="s">
        <v>106</v>
      </c>
      <c r="E11232">
        <v>20.509745127436201</v>
      </c>
    </row>
    <row r="11233" spans="1:5">
      <c r="A11233" t="s">
        <v>12952</v>
      </c>
      <c r="B11233" t="s">
        <v>12962</v>
      </c>
      <c r="C11233">
        <v>0</v>
      </c>
      <c r="D11233" t="s">
        <v>106</v>
      </c>
      <c r="E11233">
        <v>20.509745127436201</v>
      </c>
    </row>
    <row r="11234" spans="1:5">
      <c r="A11234" t="s">
        <v>12952</v>
      </c>
      <c r="B11234" t="s">
        <v>12963</v>
      </c>
      <c r="C11234">
        <v>0</v>
      </c>
      <c r="D11234" t="s">
        <v>106</v>
      </c>
      <c r="E11234">
        <v>20.509745127436201</v>
      </c>
    </row>
    <row r="11235" spans="1:5">
      <c r="A11235" t="s">
        <v>12952</v>
      </c>
      <c r="B11235" t="s">
        <v>12964</v>
      </c>
      <c r="C11235">
        <v>0</v>
      </c>
      <c r="D11235" t="s">
        <v>106</v>
      </c>
      <c r="E11235">
        <v>20.509745127436201</v>
      </c>
    </row>
    <row r="11236" spans="1:5">
      <c r="A11236" t="s">
        <v>12952</v>
      </c>
      <c r="B11236" t="s">
        <v>12965</v>
      </c>
      <c r="C11236">
        <v>0</v>
      </c>
      <c r="D11236" t="s">
        <v>106</v>
      </c>
      <c r="E11236">
        <v>20.509745127436201</v>
      </c>
    </row>
    <row r="11237" spans="1:5">
      <c r="A11237" t="s">
        <v>12952</v>
      </c>
      <c r="B11237" t="s">
        <v>12966</v>
      </c>
      <c r="C11237">
        <v>0</v>
      </c>
      <c r="D11237" t="s">
        <v>106</v>
      </c>
      <c r="E11237">
        <v>20.509745127436201</v>
      </c>
    </row>
    <row r="11238" spans="1:5">
      <c r="A11238" t="s">
        <v>12952</v>
      </c>
      <c r="B11238" t="s">
        <v>12967</v>
      </c>
      <c r="C11238">
        <v>0</v>
      </c>
      <c r="D11238" t="s">
        <v>106</v>
      </c>
      <c r="E11238">
        <v>20.509745127436201</v>
      </c>
    </row>
    <row r="11239" spans="1:5">
      <c r="A11239" t="s">
        <v>12952</v>
      </c>
      <c r="B11239" t="s">
        <v>12968</v>
      </c>
      <c r="C11239">
        <v>0</v>
      </c>
      <c r="D11239" t="s">
        <v>106</v>
      </c>
      <c r="E11239">
        <v>20.509745127436201</v>
      </c>
    </row>
    <row r="11240" spans="1:5">
      <c r="A11240" t="s">
        <v>12952</v>
      </c>
      <c r="B11240" t="s">
        <v>12969</v>
      </c>
      <c r="C11240">
        <v>0</v>
      </c>
      <c r="D11240" t="s">
        <v>106</v>
      </c>
      <c r="E11240">
        <v>20.509745127436201</v>
      </c>
    </row>
    <row r="11241" spans="1:5">
      <c r="A11241" t="s">
        <v>12970</v>
      </c>
      <c r="B11241" t="s">
        <v>12971</v>
      </c>
      <c r="C11241">
        <v>0</v>
      </c>
      <c r="D11241">
        <v>0.98600518340300003</v>
      </c>
      <c r="E11241">
        <v>6.0569715142428704</v>
      </c>
    </row>
    <row r="11242" spans="1:5">
      <c r="A11242" t="s">
        <v>12970</v>
      </c>
      <c r="B11242" t="s">
        <v>12972</v>
      </c>
      <c r="C11242">
        <v>0.51411890523500003</v>
      </c>
      <c r="D11242">
        <v>0.98600518340300003</v>
      </c>
      <c r="E11242">
        <v>6.0569715142428704</v>
      </c>
    </row>
    <row r="11243" spans="1:5">
      <c r="A11243" t="s">
        <v>12970</v>
      </c>
      <c r="B11243" t="s">
        <v>12973</v>
      </c>
      <c r="C11243">
        <v>5.3093020205299997E-2</v>
      </c>
      <c r="D11243">
        <v>0.98600518340300003</v>
      </c>
      <c r="E11243">
        <v>6.0569715142428704</v>
      </c>
    </row>
    <row r="11244" spans="1:5">
      <c r="A11244" t="s">
        <v>12970</v>
      </c>
      <c r="B11244" t="s">
        <v>12974</v>
      </c>
      <c r="C11244">
        <v>0</v>
      </c>
      <c r="D11244">
        <v>0.98600518340300003</v>
      </c>
      <c r="E11244">
        <v>6.0569715142428704</v>
      </c>
    </row>
    <row r="11245" spans="1:5">
      <c r="A11245" t="s">
        <v>12975</v>
      </c>
      <c r="B11245" t="s">
        <v>12976</v>
      </c>
      <c r="C11245">
        <f>0.251062280012</f>
        <v>0.25106228001199998</v>
      </c>
      <c r="D11245">
        <v>0.67420473991200003</v>
      </c>
      <c r="E11245">
        <v>1.45127436281859</v>
      </c>
    </row>
    <row r="11246" spans="1:5">
      <c r="A11246" t="s">
        <v>12977</v>
      </c>
      <c r="B11246" t="s">
        <v>12978</v>
      </c>
      <c r="C11246">
        <v>4.2935209948599999E-2</v>
      </c>
      <c r="D11246">
        <v>0.76543756123999995</v>
      </c>
      <c r="E11246">
        <v>7.3283358320839502</v>
      </c>
    </row>
    <row r="11247" spans="1:5">
      <c r="A11247" t="s">
        <v>12977</v>
      </c>
      <c r="B11247" t="s">
        <v>12979</v>
      </c>
      <c r="C11247">
        <v>2.7751939682200001E-2</v>
      </c>
      <c r="D11247">
        <v>0.76543756123999995</v>
      </c>
      <c r="E11247">
        <v>7.3283358320839502</v>
      </c>
    </row>
    <row r="11248" spans="1:5">
      <c r="A11248" t="s">
        <v>12977</v>
      </c>
      <c r="B11248" t="s">
        <v>12980</v>
      </c>
      <c r="C11248">
        <v>0</v>
      </c>
      <c r="D11248">
        <v>0.76543756123999995</v>
      </c>
      <c r="E11248">
        <v>7.3283358320839502</v>
      </c>
    </row>
    <row r="11249" spans="1:5">
      <c r="A11249" t="s">
        <v>12977</v>
      </c>
      <c r="B11249" t="s">
        <v>12981</v>
      </c>
      <c r="C11249">
        <v>0</v>
      </c>
      <c r="D11249">
        <v>0.76543756123999995</v>
      </c>
      <c r="E11249">
        <v>7.3283358320839502</v>
      </c>
    </row>
    <row r="11250" spans="1:5">
      <c r="A11250" t="s">
        <v>12977</v>
      </c>
      <c r="B11250" t="s">
        <v>12982</v>
      </c>
      <c r="C11250">
        <v>0</v>
      </c>
      <c r="D11250">
        <v>0.76543756123999995</v>
      </c>
      <c r="E11250">
        <v>7.3283358320839502</v>
      </c>
    </row>
    <row r="11251" spans="1:5">
      <c r="A11251" t="s">
        <v>12977</v>
      </c>
      <c r="B11251" t="s">
        <v>12983</v>
      </c>
      <c r="C11251">
        <v>0</v>
      </c>
      <c r="D11251">
        <v>0.76543756123999995</v>
      </c>
      <c r="E11251">
        <v>7.3283358320839502</v>
      </c>
    </row>
    <row r="11252" spans="1:5">
      <c r="A11252" t="s">
        <v>12977</v>
      </c>
      <c r="B11252" t="s">
        <v>12984</v>
      </c>
      <c r="C11252">
        <v>0</v>
      </c>
      <c r="D11252">
        <v>0.76543756123999995</v>
      </c>
      <c r="E11252">
        <v>7.3283358320839502</v>
      </c>
    </row>
    <row r="11253" spans="1:5">
      <c r="A11253" t="s">
        <v>12977</v>
      </c>
      <c r="B11253" t="s">
        <v>12985</v>
      </c>
      <c r="C11253">
        <v>0</v>
      </c>
      <c r="D11253">
        <v>0.76543756123999995</v>
      </c>
      <c r="E11253">
        <v>7.3283358320839502</v>
      </c>
    </row>
    <row r="11254" spans="1:5">
      <c r="A11254" t="s">
        <v>12977</v>
      </c>
      <c r="B11254" t="s">
        <v>12986</v>
      </c>
      <c r="C11254">
        <v>0</v>
      </c>
      <c r="D11254">
        <v>0.76543756123999995</v>
      </c>
      <c r="E11254">
        <v>7.3283358320839502</v>
      </c>
    </row>
    <row r="11255" spans="1:5">
      <c r="A11255" t="s">
        <v>12987</v>
      </c>
      <c r="B11255" t="s">
        <v>12988</v>
      </c>
      <c r="C11255">
        <v>0.16228182177</v>
      </c>
      <c r="D11255">
        <v>0.97967185835000004</v>
      </c>
      <c r="E11255">
        <v>5.8170914542728598</v>
      </c>
    </row>
    <row r="11256" spans="1:5">
      <c r="A11256" t="s">
        <v>12987</v>
      </c>
      <c r="B11256" t="s">
        <v>12989</v>
      </c>
      <c r="C11256">
        <v>1.3481049544299999E-2</v>
      </c>
      <c r="D11256">
        <v>0.97967185835000004</v>
      </c>
      <c r="E11256">
        <v>5.8170914542728598</v>
      </c>
    </row>
    <row r="11257" spans="1:5">
      <c r="A11257" t="s">
        <v>12990</v>
      </c>
      <c r="B11257" t="s">
        <v>12991</v>
      </c>
      <c r="C11257">
        <v>0</v>
      </c>
      <c r="D11257" t="s">
        <v>106</v>
      </c>
      <c r="E11257">
        <v>0.77961019490254801</v>
      </c>
    </row>
    <row r="11258" spans="1:5">
      <c r="A11258" t="s">
        <v>12990</v>
      </c>
      <c r="B11258" t="s">
        <v>12992</v>
      </c>
      <c r="C11258">
        <f>0</f>
        <v>0</v>
      </c>
      <c r="D11258" t="s">
        <v>106</v>
      </c>
      <c r="E11258">
        <v>0.77961019490254801</v>
      </c>
    </row>
    <row r="11259" spans="1:5">
      <c r="A11259" t="s">
        <v>12990</v>
      </c>
      <c r="B11259" t="s">
        <v>12993</v>
      </c>
      <c r="C11259">
        <v>0</v>
      </c>
      <c r="D11259" t="s">
        <v>106</v>
      </c>
      <c r="E11259">
        <v>0.77961019490254801</v>
      </c>
    </row>
    <row r="11260" spans="1:5">
      <c r="A11260" t="s">
        <v>12990</v>
      </c>
      <c r="B11260" t="s">
        <v>12994</v>
      </c>
      <c r="C11260">
        <v>0</v>
      </c>
      <c r="D11260" t="s">
        <v>106</v>
      </c>
      <c r="E11260">
        <v>0.77961019490254801</v>
      </c>
    </row>
    <row r="11261" spans="1:5">
      <c r="A11261" t="s">
        <v>12990</v>
      </c>
      <c r="B11261" t="s">
        <v>12995</v>
      </c>
      <c r="C11261">
        <v>0</v>
      </c>
      <c r="D11261" t="s">
        <v>106</v>
      </c>
      <c r="E11261">
        <v>0.77961019490254801</v>
      </c>
    </row>
    <row r="11262" spans="1:5">
      <c r="A11262" t="s">
        <v>12990</v>
      </c>
      <c r="B11262" t="s">
        <v>12996</v>
      </c>
      <c r="C11262">
        <f>0</f>
        <v>0</v>
      </c>
      <c r="D11262" t="s">
        <v>106</v>
      </c>
      <c r="E11262">
        <v>0.77961019490254801</v>
      </c>
    </row>
    <row r="11263" spans="1:5">
      <c r="A11263" t="s">
        <v>12990</v>
      </c>
      <c r="B11263" t="s">
        <v>12997</v>
      </c>
      <c r="C11263">
        <v>0</v>
      </c>
      <c r="D11263" t="s">
        <v>106</v>
      </c>
      <c r="E11263">
        <v>0.77961019490254801</v>
      </c>
    </row>
    <row r="11264" spans="1:5">
      <c r="A11264" t="s">
        <v>12990</v>
      </c>
      <c r="B11264" t="s">
        <v>12998</v>
      </c>
      <c r="C11264">
        <f>0</f>
        <v>0</v>
      </c>
      <c r="D11264" t="s">
        <v>106</v>
      </c>
      <c r="E11264">
        <v>0.77961019490254801</v>
      </c>
    </row>
    <row r="11265" spans="1:5">
      <c r="A11265" t="s">
        <v>12990</v>
      </c>
      <c r="B11265" t="s">
        <v>12999</v>
      </c>
      <c r="C11265">
        <v>0</v>
      </c>
      <c r="D11265" t="s">
        <v>106</v>
      </c>
      <c r="E11265">
        <v>0.77961019490254801</v>
      </c>
    </row>
    <row r="11266" spans="1:5">
      <c r="A11266" t="s">
        <v>12990</v>
      </c>
      <c r="B11266" t="s">
        <v>13000</v>
      </c>
      <c r="C11266">
        <f>0</f>
        <v>0</v>
      </c>
      <c r="D11266" t="s">
        <v>106</v>
      </c>
      <c r="E11266">
        <v>0.77961019490254801</v>
      </c>
    </row>
    <row r="11267" spans="1:5">
      <c r="A11267" t="s">
        <v>12990</v>
      </c>
      <c r="B11267" t="s">
        <v>13001</v>
      </c>
      <c r="C11267">
        <v>0</v>
      </c>
      <c r="D11267" t="s">
        <v>106</v>
      </c>
      <c r="E11267">
        <v>0.77961019490254801</v>
      </c>
    </row>
    <row r="11268" spans="1:5">
      <c r="A11268" t="s">
        <v>12990</v>
      </c>
      <c r="B11268" t="s">
        <v>13002</v>
      </c>
      <c r="C11268">
        <f>0</f>
        <v>0</v>
      </c>
      <c r="D11268" t="s">
        <v>106</v>
      </c>
      <c r="E11268">
        <v>0.77961019490254801</v>
      </c>
    </row>
    <row r="11269" spans="1:5">
      <c r="A11269" t="s">
        <v>12990</v>
      </c>
      <c r="B11269" t="s">
        <v>13003</v>
      </c>
      <c r="C11269">
        <v>0</v>
      </c>
      <c r="D11269" t="s">
        <v>106</v>
      </c>
      <c r="E11269">
        <v>0.77961019490254801</v>
      </c>
    </row>
    <row r="11270" spans="1:5">
      <c r="A11270" t="s">
        <v>12990</v>
      </c>
      <c r="B11270" t="s">
        <v>13004</v>
      </c>
      <c r="C11270">
        <v>0</v>
      </c>
      <c r="D11270" t="s">
        <v>106</v>
      </c>
      <c r="E11270">
        <v>0.77961019490254801</v>
      </c>
    </row>
    <row r="11271" spans="1:5">
      <c r="A11271" t="s">
        <v>12990</v>
      </c>
      <c r="B11271" t="s">
        <v>13005</v>
      </c>
      <c r="C11271">
        <v>0</v>
      </c>
      <c r="D11271" t="s">
        <v>106</v>
      </c>
      <c r="E11271">
        <v>0.77961019490254801</v>
      </c>
    </row>
    <row r="11272" spans="1:5">
      <c r="A11272" t="s">
        <v>13006</v>
      </c>
      <c r="B11272" t="s">
        <v>13007</v>
      </c>
      <c r="C11272">
        <v>0</v>
      </c>
      <c r="D11272">
        <v>0.96397598968300002</v>
      </c>
      <c r="E11272">
        <v>13.2653673163418</v>
      </c>
    </row>
    <row r="11273" spans="1:5">
      <c r="A11273" t="s">
        <v>13006</v>
      </c>
      <c r="B11273" t="s">
        <v>13008</v>
      </c>
      <c r="C11273">
        <v>0</v>
      </c>
      <c r="D11273">
        <v>0.96397598968300002</v>
      </c>
      <c r="E11273">
        <v>13.2653673163418</v>
      </c>
    </row>
    <row r="11274" spans="1:5">
      <c r="A11274" t="s">
        <v>13006</v>
      </c>
      <c r="B11274" t="s">
        <v>13009</v>
      </c>
      <c r="C11274">
        <f>0</f>
        <v>0</v>
      </c>
      <c r="D11274">
        <v>0.96397598968300002</v>
      </c>
      <c r="E11274">
        <v>13.2653673163418</v>
      </c>
    </row>
    <row r="11275" spans="1:5">
      <c r="A11275" t="s">
        <v>13006</v>
      </c>
      <c r="B11275" t="s">
        <v>13010</v>
      </c>
      <c r="C11275">
        <f>0</f>
        <v>0</v>
      </c>
      <c r="D11275">
        <v>0.96397598968300002</v>
      </c>
      <c r="E11275">
        <v>13.2653673163418</v>
      </c>
    </row>
    <row r="11276" spans="1:5">
      <c r="A11276" t="s">
        <v>13006</v>
      </c>
      <c r="B11276" t="s">
        <v>13011</v>
      </c>
      <c r="C11276">
        <f>0</f>
        <v>0</v>
      </c>
      <c r="D11276">
        <v>0.96397598968300002</v>
      </c>
      <c r="E11276">
        <v>13.2653673163418</v>
      </c>
    </row>
    <row r="11277" spans="1:5">
      <c r="A11277" t="s">
        <v>13006</v>
      </c>
      <c r="B11277" t="s">
        <v>13012</v>
      </c>
      <c r="C11277">
        <v>0</v>
      </c>
      <c r="D11277">
        <v>0.96397598968300002</v>
      </c>
      <c r="E11277">
        <v>13.2653673163418</v>
      </c>
    </row>
    <row r="11278" spans="1:5">
      <c r="A11278" t="s">
        <v>13006</v>
      </c>
      <c r="B11278" t="s">
        <v>13013</v>
      </c>
      <c r="C11278">
        <v>0</v>
      </c>
      <c r="D11278">
        <v>0.96397598968300002</v>
      </c>
      <c r="E11278">
        <v>13.2653673163418</v>
      </c>
    </row>
    <row r="11279" spans="1:5">
      <c r="A11279" t="s">
        <v>13006</v>
      </c>
      <c r="B11279" t="s">
        <v>13014</v>
      </c>
      <c r="C11279">
        <v>0.14216525695099999</v>
      </c>
      <c r="D11279">
        <v>0.96397598968300002</v>
      </c>
      <c r="E11279">
        <v>13.2653673163418</v>
      </c>
    </row>
    <row r="11280" spans="1:5">
      <c r="A11280" t="s">
        <v>13006</v>
      </c>
      <c r="B11280" t="s">
        <v>13015</v>
      </c>
      <c r="C11280">
        <v>0</v>
      </c>
      <c r="D11280">
        <v>0.96397598968300002</v>
      </c>
      <c r="E11280">
        <v>13.2653673163418</v>
      </c>
    </row>
    <row r="11281" spans="1:5">
      <c r="A11281" t="s">
        <v>13006</v>
      </c>
      <c r="B11281" t="s">
        <v>13016</v>
      </c>
      <c r="C11281">
        <f>0</f>
        <v>0</v>
      </c>
      <c r="D11281">
        <v>0.96397598968300002</v>
      </c>
      <c r="E11281">
        <v>13.2653673163418</v>
      </c>
    </row>
    <row r="11282" spans="1:5">
      <c r="A11282" t="s">
        <v>13006</v>
      </c>
      <c r="B11282" t="s">
        <v>13017</v>
      </c>
      <c r="C11282">
        <v>6.3621509445199995E-2</v>
      </c>
      <c r="D11282">
        <v>0.96397598968300002</v>
      </c>
      <c r="E11282">
        <v>13.2653673163418</v>
      </c>
    </row>
    <row r="11283" spans="1:5">
      <c r="A11283" t="s">
        <v>13006</v>
      </c>
      <c r="B11283" t="s">
        <v>13018</v>
      </c>
      <c r="C11283">
        <f>0</f>
        <v>0</v>
      </c>
      <c r="D11283">
        <v>0.96397598968300002</v>
      </c>
      <c r="E11283">
        <v>13.2653673163418</v>
      </c>
    </row>
    <row r="11284" spans="1:5">
      <c r="A11284" t="s">
        <v>13006</v>
      </c>
      <c r="B11284" t="s">
        <v>13019</v>
      </c>
      <c r="C11284">
        <f>0</f>
        <v>0</v>
      </c>
      <c r="D11284">
        <v>0.96397598968300002</v>
      </c>
      <c r="E11284">
        <v>13.2653673163418</v>
      </c>
    </row>
    <row r="11285" spans="1:5">
      <c r="A11285" t="s">
        <v>13006</v>
      </c>
      <c r="B11285" t="s">
        <v>13020</v>
      </c>
      <c r="C11285">
        <v>0</v>
      </c>
      <c r="D11285">
        <v>0.96397598968300002</v>
      </c>
      <c r="E11285">
        <v>13.2653673163418</v>
      </c>
    </row>
    <row r="11286" spans="1:5">
      <c r="A11286" t="s">
        <v>13006</v>
      </c>
      <c r="B11286" t="s">
        <v>13021</v>
      </c>
      <c r="C11286">
        <f>0</f>
        <v>0</v>
      </c>
      <c r="D11286">
        <v>0.96397598968300002</v>
      </c>
      <c r="E11286">
        <v>13.2653673163418</v>
      </c>
    </row>
    <row r="11287" spans="1:5">
      <c r="A11287" t="s">
        <v>13006</v>
      </c>
      <c r="B11287" t="s">
        <v>13022</v>
      </c>
      <c r="C11287">
        <v>0</v>
      </c>
      <c r="D11287">
        <v>0.96397598968300002</v>
      </c>
      <c r="E11287">
        <v>13.2653673163418</v>
      </c>
    </row>
    <row r="11288" spans="1:5">
      <c r="A11288" t="s">
        <v>13006</v>
      </c>
      <c r="B11288" t="s">
        <v>13023</v>
      </c>
      <c r="C11288">
        <v>0</v>
      </c>
      <c r="D11288">
        <v>0.96397598968300002</v>
      </c>
      <c r="E11288">
        <v>13.2653673163418</v>
      </c>
    </row>
    <row r="11289" spans="1:5">
      <c r="A11289" t="s">
        <v>13006</v>
      </c>
      <c r="B11289" t="s">
        <v>13024</v>
      </c>
      <c r="C11289">
        <v>0</v>
      </c>
      <c r="D11289">
        <v>0.96397598968300002</v>
      </c>
      <c r="E11289">
        <v>13.2653673163418</v>
      </c>
    </row>
    <row r="11290" spans="1:5">
      <c r="A11290" t="s">
        <v>13006</v>
      </c>
      <c r="B11290" t="s">
        <v>13025</v>
      </c>
      <c r="C11290">
        <f>0</f>
        <v>0</v>
      </c>
      <c r="D11290">
        <v>0.96397598968300002</v>
      </c>
      <c r="E11290">
        <v>13.2653673163418</v>
      </c>
    </row>
    <row r="11291" spans="1:5">
      <c r="A11291" t="s">
        <v>13006</v>
      </c>
      <c r="B11291" t="s">
        <v>13026</v>
      </c>
      <c r="C11291">
        <f>0</f>
        <v>0</v>
      </c>
      <c r="D11291">
        <v>0.96397598968300002</v>
      </c>
      <c r="E11291">
        <v>13.2653673163418</v>
      </c>
    </row>
    <row r="11292" spans="1:5">
      <c r="A11292" t="s">
        <v>13006</v>
      </c>
      <c r="B11292" t="s">
        <v>13027</v>
      </c>
      <c r="C11292">
        <f>0</f>
        <v>0</v>
      </c>
      <c r="D11292">
        <v>0.96397598968300002</v>
      </c>
      <c r="E11292">
        <v>13.2653673163418</v>
      </c>
    </row>
    <row r="11293" spans="1:5">
      <c r="A11293" t="s">
        <v>13006</v>
      </c>
      <c r="B11293" t="s">
        <v>13028</v>
      </c>
      <c r="C11293">
        <f>0</f>
        <v>0</v>
      </c>
      <c r="D11293">
        <v>0.96397598968300002</v>
      </c>
      <c r="E11293">
        <v>13.2653673163418</v>
      </c>
    </row>
    <row r="11294" spans="1:5">
      <c r="A11294" t="s">
        <v>13006</v>
      </c>
      <c r="B11294" t="s">
        <v>13029</v>
      </c>
      <c r="C11294">
        <f>0</f>
        <v>0</v>
      </c>
      <c r="D11294">
        <v>0.96397598968300002</v>
      </c>
      <c r="E11294">
        <v>13.2653673163418</v>
      </c>
    </row>
    <row r="11295" spans="1:5">
      <c r="A11295" t="s">
        <v>13030</v>
      </c>
      <c r="B11295" t="s">
        <v>13031</v>
      </c>
      <c r="C11295">
        <v>0</v>
      </c>
      <c r="D11295">
        <v>0.98116411617699995</v>
      </c>
      <c r="E11295">
        <v>2.96251874062968</v>
      </c>
    </row>
    <row r="11296" spans="1:5">
      <c r="A11296" t="s">
        <v>13030</v>
      </c>
      <c r="B11296" t="s">
        <v>13032</v>
      </c>
      <c r="C11296">
        <f>0</f>
        <v>0</v>
      </c>
      <c r="D11296">
        <v>0.98116411617699995</v>
      </c>
      <c r="E11296">
        <v>2.96251874062968</v>
      </c>
    </row>
    <row r="11297" spans="1:5">
      <c r="A11297" t="s">
        <v>13030</v>
      </c>
      <c r="B11297" t="s">
        <v>13033</v>
      </c>
      <c r="C11297">
        <v>0</v>
      </c>
      <c r="D11297">
        <v>0.98116411617699995</v>
      </c>
      <c r="E11297">
        <v>2.96251874062968</v>
      </c>
    </row>
    <row r="11298" spans="1:5">
      <c r="A11298" t="s">
        <v>13030</v>
      </c>
      <c r="B11298" t="s">
        <v>13034</v>
      </c>
      <c r="C11298">
        <f>0</f>
        <v>0</v>
      </c>
      <c r="D11298">
        <v>0.98116411617699995</v>
      </c>
      <c r="E11298">
        <v>2.96251874062968</v>
      </c>
    </row>
    <row r="11299" spans="1:5">
      <c r="A11299" t="s">
        <v>13030</v>
      </c>
      <c r="B11299" t="s">
        <v>13035</v>
      </c>
      <c r="C11299">
        <v>0.31615426583599998</v>
      </c>
      <c r="D11299">
        <v>0.98116411617699995</v>
      </c>
      <c r="E11299">
        <v>2.96251874062968</v>
      </c>
    </row>
    <row r="11300" spans="1:5">
      <c r="A11300" t="s">
        <v>13030</v>
      </c>
      <c r="B11300" t="s">
        <v>13036</v>
      </c>
      <c r="C11300">
        <f>0</f>
        <v>0</v>
      </c>
      <c r="D11300">
        <v>0.98116411617699995</v>
      </c>
      <c r="E11300">
        <v>2.96251874062968</v>
      </c>
    </row>
    <row r="11301" spans="1:5">
      <c r="A11301" t="s">
        <v>13037</v>
      </c>
      <c r="B11301" t="s">
        <v>13038</v>
      </c>
      <c r="C11301">
        <v>0</v>
      </c>
      <c r="D11301">
        <v>0.973714505422</v>
      </c>
      <c r="E11301">
        <v>15.5082458770614</v>
      </c>
    </row>
    <row r="11302" spans="1:5">
      <c r="A11302" t="s">
        <v>13037</v>
      </c>
      <c r="B11302" t="s">
        <v>13039</v>
      </c>
      <c r="C11302">
        <v>0</v>
      </c>
      <c r="D11302">
        <v>0.973714505422</v>
      </c>
      <c r="E11302">
        <v>15.5082458770614</v>
      </c>
    </row>
    <row r="11303" spans="1:5">
      <c r="A11303" t="s">
        <v>13037</v>
      </c>
      <c r="B11303" t="s">
        <v>13040</v>
      </c>
      <c r="C11303">
        <v>6.2069466684399999E-2</v>
      </c>
      <c r="D11303">
        <v>0.973714505422</v>
      </c>
      <c r="E11303">
        <v>15.5082458770614</v>
      </c>
    </row>
    <row r="11304" spans="1:5">
      <c r="A11304" t="s">
        <v>13037</v>
      </c>
      <c r="B11304" t="s">
        <v>13041</v>
      </c>
      <c r="C11304">
        <v>0</v>
      </c>
      <c r="D11304">
        <v>0.973714505422</v>
      </c>
      <c r="E11304">
        <v>15.5082458770614</v>
      </c>
    </row>
    <row r="11305" spans="1:5">
      <c r="A11305" t="s">
        <v>13037</v>
      </c>
      <c r="B11305" t="s">
        <v>13042</v>
      </c>
      <c r="C11305">
        <f>0</f>
        <v>0</v>
      </c>
      <c r="D11305">
        <v>0.973714505422</v>
      </c>
      <c r="E11305">
        <v>15.5082458770614</v>
      </c>
    </row>
    <row r="11306" spans="1:5">
      <c r="A11306" t="s">
        <v>13037</v>
      </c>
      <c r="B11306" t="s">
        <v>13043</v>
      </c>
      <c r="C11306">
        <v>0</v>
      </c>
      <c r="D11306">
        <v>0.973714505422</v>
      </c>
      <c r="E11306">
        <v>15.5082458770614</v>
      </c>
    </row>
    <row r="11307" spans="1:5">
      <c r="A11307" t="s">
        <v>13037</v>
      </c>
      <c r="B11307" t="s">
        <v>13044</v>
      </c>
      <c r="C11307">
        <f>0</f>
        <v>0</v>
      </c>
      <c r="D11307">
        <v>0.973714505422</v>
      </c>
      <c r="E11307">
        <v>15.5082458770614</v>
      </c>
    </row>
    <row r="11308" spans="1:5">
      <c r="A11308" t="s">
        <v>13037</v>
      </c>
      <c r="B11308" t="s">
        <v>13045</v>
      </c>
      <c r="C11308">
        <v>0.21138771410000001</v>
      </c>
      <c r="D11308">
        <v>0.973714505422</v>
      </c>
      <c r="E11308">
        <v>15.5082458770614</v>
      </c>
    </row>
    <row r="11309" spans="1:5">
      <c r="A11309" t="s">
        <v>13046</v>
      </c>
      <c r="B11309" t="s">
        <v>13047</v>
      </c>
      <c r="C11309">
        <v>0</v>
      </c>
      <c r="D11309" t="s">
        <v>106</v>
      </c>
      <c r="E11309">
        <v>12.2098950524737</v>
      </c>
    </row>
    <row r="11310" spans="1:5">
      <c r="A11310" t="s">
        <v>13046</v>
      </c>
      <c r="B11310" t="s">
        <v>13048</v>
      </c>
      <c r="C11310">
        <v>0</v>
      </c>
      <c r="D11310" t="s">
        <v>106</v>
      </c>
      <c r="E11310">
        <v>12.2098950524737</v>
      </c>
    </row>
    <row r="11311" spans="1:5">
      <c r="A11311" t="s">
        <v>13046</v>
      </c>
      <c r="B11311" t="s">
        <v>13049</v>
      </c>
      <c r="C11311">
        <v>0</v>
      </c>
      <c r="D11311" t="s">
        <v>106</v>
      </c>
      <c r="E11311">
        <v>12.2098950524737</v>
      </c>
    </row>
    <row r="11312" spans="1:5">
      <c r="A11312" t="s">
        <v>13046</v>
      </c>
      <c r="B11312" t="s">
        <v>13050</v>
      </c>
      <c r="C11312">
        <v>0</v>
      </c>
      <c r="D11312" t="s">
        <v>106</v>
      </c>
      <c r="E11312">
        <v>12.2098950524737</v>
      </c>
    </row>
    <row r="11313" spans="1:5">
      <c r="A11313" t="s">
        <v>13046</v>
      </c>
      <c r="B11313" t="s">
        <v>13051</v>
      </c>
      <c r="C11313">
        <f>0</f>
        <v>0</v>
      </c>
      <c r="D11313" t="s">
        <v>106</v>
      </c>
      <c r="E11313">
        <v>12.2098950524737</v>
      </c>
    </row>
    <row r="11314" spans="1:5">
      <c r="A11314" t="s">
        <v>13052</v>
      </c>
      <c r="B11314" t="s">
        <v>13053</v>
      </c>
      <c r="C11314">
        <v>0</v>
      </c>
      <c r="D11314" t="s">
        <v>106</v>
      </c>
      <c r="E11314">
        <v>2.1709145427286298</v>
      </c>
    </row>
    <row r="11315" spans="1:5">
      <c r="A11315" t="s">
        <v>13052</v>
      </c>
      <c r="B11315" t="s">
        <v>13054</v>
      </c>
      <c r="C11315">
        <v>0</v>
      </c>
      <c r="D11315" t="s">
        <v>106</v>
      </c>
      <c r="E11315">
        <v>2.1709145427286298</v>
      </c>
    </row>
    <row r="11316" spans="1:5">
      <c r="A11316" t="s">
        <v>13052</v>
      </c>
      <c r="B11316" t="s">
        <v>13055</v>
      </c>
      <c r="C11316">
        <v>0</v>
      </c>
      <c r="D11316" t="s">
        <v>106</v>
      </c>
      <c r="E11316">
        <v>2.1709145427286298</v>
      </c>
    </row>
    <row r="11317" spans="1:5">
      <c r="A11317" t="s">
        <v>13052</v>
      </c>
      <c r="B11317" t="s">
        <v>13056</v>
      </c>
      <c r="C11317">
        <f>0</f>
        <v>0</v>
      </c>
      <c r="D11317" t="s">
        <v>106</v>
      </c>
      <c r="E11317">
        <v>2.1709145427286298</v>
      </c>
    </row>
    <row r="11318" spans="1:5">
      <c r="A11318" t="s">
        <v>13052</v>
      </c>
      <c r="B11318" t="s">
        <v>13057</v>
      </c>
      <c r="C11318">
        <v>0.116047551493</v>
      </c>
      <c r="D11318" t="s">
        <v>106</v>
      </c>
      <c r="E11318">
        <v>2.1709145427286298</v>
      </c>
    </row>
    <row r="11319" spans="1:5">
      <c r="A11319" t="s">
        <v>13052</v>
      </c>
      <c r="B11319" t="s">
        <v>13058</v>
      </c>
      <c r="C11319">
        <v>0</v>
      </c>
      <c r="D11319" t="s">
        <v>106</v>
      </c>
      <c r="E11319">
        <v>2.1709145427286298</v>
      </c>
    </row>
    <row r="11320" spans="1:5">
      <c r="A11320" t="s">
        <v>13052</v>
      </c>
      <c r="B11320" t="s">
        <v>13059</v>
      </c>
      <c r="C11320">
        <v>0</v>
      </c>
      <c r="D11320" t="s">
        <v>106</v>
      </c>
      <c r="E11320">
        <v>2.1709145427286298</v>
      </c>
    </row>
    <row r="11321" spans="1:5">
      <c r="A11321" t="s">
        <v>13060</v>
      </c>
      <c r="B11321" t="s">
        <v>13061</v>
      </c>
      <c r="C11321">
        <v>0</v>
      </c>
      <c r="D11321">
        <v>0.99375006522700005</v>
      </c>
      <c r="E11321">
        <v>4.2698650674662604</v>
      </c>
    </row>
    <row r="11322" spans="1:5">
      <c r="A11322" t="s">
        <v>13060</v>
      </c>
      <c r="B11322" t="s">
        <v>13062</v>
      </c>
      <c r="C11322">
        <v>0</v>
      </c>
      <c r="D11322">
        <v>0.99375006522700005</v>
      </c>
      <c r="E11322">
        <v>4.2698650674662604</v>
      </c>
    </row>
    <row r="11323" spans="1:5">
      <c r="A11323" t="s">
        <v>13060</v>
      </c>
      <c r="B11323" t="s">
        <v>13063</v>
      </c>
      <c r="C11323">
        <v>0</v>
      </c>
      <c r="D11323">
        <v>0.99375006522700005</v>
      </c>
      <c r="E11323">
        <v>4.2698650674662604</v>
      </c>
    </row>
    <row r="11324" spans="1:5">
      <c r="A11324" t="s">
        <v>13060</v>
      </c>
      <c r="B11324" t="s">
        <v>13064</v>
      </c>
      <c r="C11324">
        <v>0.54342682695300004</v>
      </c>
      <c r="D11324">
        <v>0.99375006522700005</v>
      </c>
      <c r="E11324">
        <v>4.2698650674662604</v>
      </c>
    </row>
    <row r="11325" spans="1:5">
      <c r="A11325" t="s">
        <v>13060</v>
      </c>
      <c r="B11325" t="s">
        <v>13065</v>
      </c>
      <c r="C11325">
        <v>0</v>
      </c>
      <c r="D11325">
        <v>0.99375006522700005</v>
      </c>
      <c r="E11325">
        <v>4.2698650674662604</v>
      </c>
    </row>
    <row r="11326" spans="1:5">
      <c r="A11326" t="s">
        <v>13060</v>
      </c>
      <c r="B11326" t="s">
        <v>13066</v>
      </c>
      <c r="C11326">
        <v>8.8104447164700006E-2</v>
      </c>
      <c r="D11326">
        <v>0.99375006522700005</v>
      </c>
      <c r="E11326">
        <v>4.2698650674662604</v>
      </c>
    </row>
    <row r="11327" spans="1:5">
      <c r="A11327" t="s">
        <v>13060</v>
      </c>
      <c r="B11327" t="s">
        <v>13067</v>
      </c>
      <c r="C11327">
        <v>0</v>
      </c>
      <c r="D11327">
        <v>0.99375006522700005</v>
      </c>
      <c r="E11327">
        <v>4.2698650674662604</v>
      </c>
    </row>
    <row r="11328" spans="1:5">
      <c r="A11328" t="s">
        <v>13060</v>
      </c>
      <c r="B11328" t="s">
        <v>13068</v>
      </c>
      <c r="C11328">
        <f>0</f>
        <v>0</v>
      </c>
      <c r="D11328">
        <v>0.99375006522700005</v>
      </c>
      <c r="E11328">
        <v>4.2698650674662604</v>
      </c>
    </row>
    <row r="11329" spans="1:5">
      <c r="A11329" t="s">
        <v>13060</v>
      </c>
      <c r="B11329" t="s">
        <v>13069</v>
      </c>
      <c r="C11329">
        <f>0</f>
        <v>0</v>
      </c>
      <c r="D11329">
        <v>0.99375006522700005</v>
      </c>
      <c r="E11329">
        <v>4.2698650674662604</v>
      </c>
    </row>
    <row r="11330" spans="1:5">
      <c r="A11330" t="s">
        <v>13060</v>
      </c>
      <c r="B11330" t="s">
        <v>13070</v>
      </c>
      <c r="C11330">
        <v>0</v>
      </c>
      <c r="D11330">
        <v>0.99375006522700005</v>
      </c>
      <c r="E11330">
        <v>4.2698650674662604</v>
      </c>
    </row>
    <row r="11331" spans="1:5">
      <c r="A11331" t="s">
        <v>13060</v>
      </c>
      <c r="B11331" t="s">
        <v>13071</v>
      </c>
      <c r="C11331">
        <v>0</v>
      </c>
      <c r="D11331">
        <v>0.99375006522700005</v>
      </c>
      <c r="E11331">
        <v>4.2698650674662604</v>
      </c>
    </row>
    <row r="11332" spans="1:5">
      <c r="A11332" t="s">
        <v>13072</v>
      </c>
      <c r="B11332" t="s">
        <v>13073</v>
      </c>
      <c r="C11332">
        <f>0</f>
        <v>0</v>
      </c>
      <c r="D11332">
        <v>0.51215639631400001</v>
      </c>
      <c r="E11332">
        <v>6.9325337331334298</v>
      </c>
    </row>
    <row r="11333" spans="1:5">
      <c r="A11333" t="s">
        <v>13072</v>
      </c>
      <c r="B11333" t="s">
        <v>13074</v>
      </c>
      <c r="C11333">
        <v>0</v>
      </c>
      <c r="D11333">
        <v>0.51215639631400001</v>
      </c>
      <c r="E11333">
        <v>6.9325337331334298</v>
      </c>
    </row>
    <row r="11334" spans="1:5">
      <c r="A11334" t="s">
        <v>13072</v>
      </c>
      <c r="B11334" t="s">
        <v>13075</v>
      </c>
      <c r="C11334">
        <v>0</v>
      </c>
      <c r="D11334">
        <v>0.51215639631400001</v>
      </c>
      <c r="E11334">
        <v>6.9325337331334298</v>
      </c>
    </row>
    <row r="11335" spans="1:5">
      <c r="A11335" t="s">
        <v>13076</v>
      </c>
      <c r="B11335" t="s">
        <v>13077</v>
      </c>
      <c r="C11335">
        <v>0</v>
      </c>
      <c r="D11335">
        <v>0.98297153622099998</v>
      </c>
      <c r="E11335">
        <v>3.97001499250374</v>
      </c>
    </row>
    <row r="11336" spans="1:5">
      <c r="A11336" t="s">
        <v>13076</v>
      </c>
      <c r="B11336" t="s">
        <v>13078</v>
      </c>
      <c r="C11336">
        <v>0</v>
      </c>
      <c r="D11336">
        <v>0.98297153622099998</v>
      </c>
      <c r="E11336">
        <v>3.97001499250374</v>
      </c>
    </row>
    <row r="11337" spans="1:5">
      <c r="A11337" t="s">
        <v>13076</v>
      </c>
      <c r="B11337" t="s">
        <v>13079</v>
      </c>
      <c r="C11337">
        <v>0.26776216768599997</v>
      </c>
      <c r="D11337">
        <v>0.98297153622099998</v>
      </c>
      <c r="E11337">
        <v>3.97001499250374</v>
      </c>
    </row>
    <row r="11338" spans="1:5">
      <c r="A11338" t="s">
        <v>13076</v>
      </c>
      <c r="B11338" t="s">
        <v>13080</v>
      </c>
      <c r="C11338">
        <f>0</f>
        <v>0</v>
      </c>
      <c r="D11338">
        <v>0.98297153622099998</v>
      </c>
      <c r="E11338">
        <v>3.97001499250374</v>
      </c>
    </row>
    <row r="11339" spans="1:5">
      <c r="A11339" t="s">
        <v>13076</v>
      </c>
      <c r="B11339" t="s">
        <v>13081</v>
      </c>
      <c r="C11339">
        <v>0.85656425972799999</v>
      </c>
      <c r="D11339">
        <v>0.98297153622099998</v>
      </c>
      <c r="E11339">
        <v>3.97001499250374</v>
      </c>
    </row>
    <row r="11340" spans="1:5">
      <c r="A11340" t="s">
        <v>13082</v>
      </c>
      <c r="B11340" t="s">
        <v>13083</v>
      </c>
      <c r="C11340">
        <v>9.8212113320400002E-2</v>
      </c>
      <c r="D11340">
        <v>0.99855752924800001</v>
      </c>
      <c r="E11340">
        <v>24</v>
      </c>
    </row>
    <row r="11341" spans="1:5">
      <c r="A11341" t="s">
        <v>13082</v>
      </c>
      <c r="B11341" t="s">
        <v>13084</v>
      </c>
      <c r="C11341">
        <v>0.108482510159</v>
      </c>
      <c r="D11341">
        <v>0.99855752924800001</v>
      </c>
      <c r="E11341">
        <v>24</v>
      </c>
    </row>
    <row r="11342" spans="1:5">
      <c r="A11342" t="s">
        <v>13082</v>
      </c>
      <c r="B11342" t="s">
        <v>13085</v>
      </c>
      <c r="C11342">
        <v>0</v>
      </c>
      <c r="D11342">
        <v>0.99855752924800001</v>
      </c>
      <c r="E11342">
        <v>24</v>
      </c>
    </row>
    <row r="11343" spans="1:5">
      <c r="A11343" t="s">
        <v>13082</v>
      </c>
      <c r="B11343" t="s">
        <v>13086</v>
      </c>
      <c r="C11343">
        <v>0</v>
      </c>
      <c r="D11343">
        <v>0.99855752924800001</v>
      </c>
      <c r="E11343">
        <v>24</v>
      </c>
    </row>
    <row r="11344" spans="1:5">
      <c r="A11344" t="s">
        <v>13087</v>
      </c>
      <c r="B11344" t="s">
        <v>13088</v>
      </c>
      <c r="C11344">
        <f>0</f>
        <v>0</v>
      </c>
      <c r="D11344">
        <v>0.97487068034500002</v>
      </c>
      <c r="E11344">
        <v>0.37181409295352302</v>
      </c>
    </row>
    <row r="11345" spans="1:5">
      <c r="A11345" t="s">
        <v>13087</v>
      </c>
      <c r="B11345" t="s">
        <v>13089</v>
      </c>
      <c r="C11345">
        <f>0</f>
        <v>0</v>
      </c>
      <c r="D11345">
        <v>0.97487068034500002</v>
      </c>
      <c r="E11345">
        <v>0.37181409295352302</v>
      </c>
    </row>
    <row r="11346" spans="1:5">
      <c r="A11346" t="s">
        <v>13087</v>
      </c>
      <c r="B11346" t="s">
        <v>13090</v>
      </c>
      <c r="C11346">
        <f>0</f>
        <v>0</v>
      </c>
      <c r="D11346">
        <v>0.97487068034500002</v>
      </c>
      <c r="E11346">
        <v>0.37181409295352302</v>
      </c>
    </row>
    <row r="11347" spans="1:5">
      <c r="A11347" t="s">
        <v>13087</v>
      </c>
      <c r="B11347" t="s">
        <v>13091</v>
      </c>
      <c r="C11347">
        <f>0</f>
        <v>0</v>
      </c>
      <c r="D11347">
        <v>0.97487068034500002</v>
      </c>
      <c r="E11347">
        <v>0.37181409295352302</v>
      </c>
    </row>
    <row r="11348" spans="1:5">
      <c r="A11348" t="s">
        <v>13087</v>
      </c>
      <c r="B11348" t="s">
        <v>13092</v>
      </c>
      <c r="C11348">
        <f>0.32731487617</f>
        <v>0.32731487616999999</v>
      </c>
      <c r="D11348">
        <v>0.97487068034500002</v>
      </c>
      <c r="E11348">
        <v>0.37181409295352302</v>
      </c>
    </row>
    <row r="11349" spans="1:5">
      <c r="A11349" t="s">
        <v>13087</v>
      </c>
      <c r="B11349" t="s">
        <v>13093</v>
      </c>
      <c r="C11349">
        <f>0.115377300028</f>
        <v>0.11537730002799999</v>
      </c>
      <c r="D11349">
        <v>0.97487068034500002</v>
      </c>
      <c r="E11349">
        <v>0.37181409295352302</v>
      </c>
    </row>
    <row r="11350" spans="1:5">
      <c r="A11350" t="s">
        <v>13087</v>
      </c>
      <c r="B11350" t="s">
        <v>13094</v>
      </c>
      <c r="C11350">
        <f>0</f>
        <v>0</v>
      </c>
      <c r="D11350">
        <v>0.97487068034500002</v>
      </c>
      <c r="E11350">
        <v>0.37181409295352302</v>
      </c>
    </row>
    <row r="11351" spans="1:5">
      <c r="A11351" t="s">
        <v>13087</v>
      </c>
      <c r="B11351" t="s">
        <v>13095</v>
      </c>
      <c r="C11351">
        <f>0</f>
        <v>0</v>
      </c>
      <c r="D11351">
        <v>0.97487068034500002</v>
      </c>
      <c r="E11351">
        <v>0.37181409295352302</v>
      </c>
    </row>
    <row r="11352" spans="1:5">
      <c r="A11352" t="s">
        <v>13087</v>
      </c>
      <c r="B11352" t="s">
        <v>13096</v>
      </c>
      <c r="C11352">
        <f>0</f>
        <v>0</v>
      </c>
      <c r="D11352">
        <v>0.97487068034500002</v>
      </c>
      <c r="E11352">
        <v>0.37181409295352302</v>
      </c>
    </row>
    <row r="11353" spans="1:5">
      <c r="A11353" t="s">
        <v>13097</v>
      </c>
      <c r="B11353" t="s">
        <v>13098</v>
      </c>
      <c r="C11353">
        <f>0</f>
        <v>0</v>
      </c>
      <c r="D11353">
        <v>0.67990469936599995</v>
      </c>
      <c r="E11353">
        <v>10.5547226386806</v>
      </c>
    </row>
    <row r="11354" spans="1:5">
      <c r="A11354" t="s">
        <v>13097</v>
      </c>
      <c r="B11354" t="s">
        <v>13099</v>
      </c>
      <c r="C11354">
        <v>0.25535336282400001</v>
      </c>
      <c r="D11354">
        <v>0.67990469936599995</v>
      </c>
      <c r="E11354">
        <v>10.5547226386806</v>
      </c>
    </row>
    <row r="11355" spans="1:5">
      <c r="A11355" t="s">
        <v>13097</v>
      </c>
      <c r="B11355" t="s">
        <v>13100</v>
      </c>
      <c r="C11355">
        <v>0</v>
      </c>
      <c r="D11355">
        <v>0.67990469936599995</v>
      </c>
      <c r="E11355">
        <v>10.5547226386806</v>
      </c>
    </row>
    <row r="11356" spans="1:5">
      <c r="A11356" t="s">
        <v>13101</v>
      </c>
      <c r="B11356" t="s">
        <v>13102</v>
      </c>
      <c r="C11356">
        <f>0</f>
        <v>0</v>
      </c>
      <c r="D11356" t="s">
        <v>106</v>
      </c>
      <c r="E11356">
        <v>3.40629685157421</v>
      </c>
    </row>
    <row r="11357" spans="1:5">
      <c r="A11357" t="s">
        <v>13103</v>
      </c>
      <c r="B11357" t="s">
        <v>13104</v>
      </c>
      <c r="C11357">
        <v>0</v>
      </c>
      <c r="D11357">
        <v>0.99535049427300004</v>
      </c>
      <c r="E11357">
        <v>11.0344827586206</v>
      </c>
    </row>
    <row r="11358" spans="1:5">
      <c r="A11358" t="s">
        <v>13103</v>
      </c>
      <c r="B11358" t="s">
        <v>13105</v>
      </c>
      <c r="C11358">
        <v>0</v>
      </c>
      <c r="D11358">
        <v>0.99535049427300004</v>
      </c>
      <c r="E11358">
        <v>11.0344827586206</v>
      </c>
    </row>
    <row r="11359" spans="1:5">
      <c r="A11359" t="s">
        <v>13103</v>
      </c>
      <c r="B11359" t="s">
        <v>13106</v>
      </c>
      <c r="C11359">
        <v>0</v>
      </c>
      <c r="D11359">
        <v>0.99535049427300004</v>
      </c>
      <c r="E11359">
        <v>11.0344827586206</v>
      </c>
    </row>
    <row r="11360" spans="1:5">
      <c r="A11360" t="s">
        <v>13103</v>
      </c>
      <c r="B11360" t="s">
        <v>13107</v>
      </c>
      <c r="C11360">
        <v>0.386363000066</v>
      </c>
      <c r="D11360">
        <v>0.99535049427300004</v>
      </c>
      <c r="E11360">
        <v>11.0344827586206</v>
      </c>
    </row>
    <row r="11361" spans="1:5">
      <c r="A11361" t="s">
        <v>13103</v>
      </c>
      <c r="B11361" t="s">
        <v>13108</v>
      </c>
      <c r="C11361">
        <v>1.986368883E-2</v>
      </c>
      <c r="D11361">
        <v>0.99535049427300004</v>
      </c>
      <c r="E11361">
        <v>11.0344827586206</v>
      </c>
    </row>
    <row r="11362" spans="1:5">
      <c r="A11362" t="s">
        <v>13103</v>
      </c>
      <c r="B11362" t="s">
        <v>13109</v>
      </c>
      <c r="C11362">
        <v>0</v>
      </c>
      <c r="D11362">
        <v>0.99535049427300004</v>
      </c>
      <c r="E11362">
        <v>11.0344827586206</v>
      </c>
    </row>
    <row r="11363" spans="1:5">
      <c r="A11363" t="s">
        <v>13103</v>
      </c>
      <c r="B11363" t="s">
        <v>13110</v>
      </c>
      <c r="C11363">
        <f>0</f>
        <v>0</v>
      </c>
      <c r="D11363">
        <v>0.99535049427300004</v>
      </c>
      <c r="E11363">
        <v>11.0344827586206</v>
      </c>
    </row>
    <row r="11364" spans="1:5">
      <c r="A11364" t="s">
        <v>13103</v>
      </c>
      <c r="B11364" t="s">
        <v>13111</v>
      </c>
      <c r="C11364">
        <v>0</v>
      </c>
      <c r="D11364">
        <v>0.99535049427300004</v>
      </c>
      <c r="E11364">
        <v>11.0344827586206</v>
      </c>
    </row>
    <row r="11365" spans="1:5">
      <c r="A11365" t="s">
        <v>13112</v>
      </c>
      <c r="B11365" t="s">
        <v>13113</v>
      </c>
      <c r="C11365">
        <v>0.583862680651</v>
      </c>
      <c r="D11365">
        <v>0.99839157055200001</v>
      </c>
      <c r="E11365">
        <v>0.91154422788605605</v>
      </c>
    </row>
    <row r="11366" spans="1:5">
      <c r="A11366" t="s">
        <v>13112</v>
      </c>
      <c r="B11366" t="s">
        <v>13114</v>
      </c>
      <c r="C11366">
        <f>0</f>
        <v>0</v>
      </c>
      <c r="D11366">
        <v>0.99839157055200001</v>
      </c>
      <c r="E11366">
        <v>0.91154422788605605</v>
      </c>
    </row>
    <row r="11367" spans="1:5">
      <c r="A11367" t="s">
        <v>13112</v>
      </c>
      <c r="B11367" t="s">
        <v>13115</v>
      </c>
      <c r="C11367">
        <v>0.31462775509699997</v>
      </c>
      <c r="D11367">
        <v>0.99839157055200001</v>
      </c>
      <c r="E11367">
        <v>0.91154422788605605</v>
      </c>
    </row>
    <row r="11368" spans="1:5">
      <c r="A11368" t="s">
        <v>13112</v>
      </c>
      <c r="B11368" t="s">
        <v>13116</v>
      </c>
      <c r="C11368">
        <f>0</f>
        <v>0</v>
      </c>
      <c r="D11368">
        <v>0.99839157055200001</v>
      </c>
      <c r="E11368">
        <v>0.91154422788605605</v>
      </c>
    </row>
    <row r="11369" spans="1:5">
      <c r="A11369" t="s">
        <v>13117</v>
      </c>
      <c r="B11369" t="s">
        <v>13118</v>
      </c>
      <c r="C11369">
        <f>0</f>
        <v>0</v>
      </c>
      <c r="D11369">
        <v>0.76702590989300001</v>
      </c>
      <c r="E11369">
        <v>0.86356821589205401</v>
      </c>
    </row>
    <row r="11370" spans="1:5">
      <c r="A11370" t="s">
        <v>13117</v>
      </c>
      <c r="B11370" t="s">
        <v>13119</v>
      </c>
      <c r="C11370">
        <v>0</v>
      </c>
      <c r="D11370">
        <v>0.76702590989300001</v>
      </c>
      <c r="E11370">
        <v>0.86356821589205401</v>
      </c>
    </row>
    <row r="11371" spans="1:5">
      <c r="A11371" t="s">
        <v>13117</v>
      </c>
      <c r="B11371" t="s">
        <v>13120</v>
      </c>
      <c r="C11371">
        <v>0</v>
      </c>
      <c r="D11371">
        <v>0.76702590989300001</v>
      </c>
      <c r="E11371">
        <v>0.86356821589205401</v>
      </c>
    </row>
    <row r="11372" spans="1:5">
      <c r="A11372" t="s">
        <v>13117</v>
      </c>
      <c r="B11372" t="s">
        <v>13121</v>
      </c>
      <c r="C11372">
        <f>0</f>
        <v>0</v>
      </c>
      <c r="D11372">
        <v>0.76702590989300001</v>
      </c>
      <c r="E11372">
        <v>0.86356821589205401</v>
      </c>
    </row>
    <row r="11373" spans="1:5">
      <c r="A11373" t="s">
        <v>13117</v>
      </c>
      <c r="B11373" t="s">
        <v>13122</v>
      </c>
      <c r="C11373">
        <v>0</v>
      </c>
      <c r="D11373">
        <v>0.76702590989300001</v>
      </c>
      <c r="E11373">
        <v>0.86356821589205401</v>
      </c>
    </row>
    <row r="11374" spans="1:5">
      <c r="A11374" t="s">
        <v>13117</v>
      </c>
      <c r="B11374" t="s">
        <v>13123</v>
      </c>
      <c r="C11374">
        <f>0.0182345255305</f>
        <v>1.82345255305E-2</v>
      </c>
      <c r="D11374">
        <v>0.76702590989300001</v>
      </c>
      <c r="E11374">
        <v>0.86356821589205401</v>
      </c>
    </row>
    <row r="11375" spans="1:5">
      <c r="A11375" t="s">
        <v>13124</v>
      </c>
      <c r="B11375" t="s">
        <v>13125</v>
      </c>
      <c r="C11375">
        <v>0</v>
      </c>
      <c r="D11375">
        <v>0.62325949055899998</v>
      </c>
      <c r="E11375">
        <v>6.1769115442278801</v>
      </c>
    </row>
    <row r="11376" spans="1:5">
      <c r="A11376" t="s">
        <v>13126</v>
      </c>
      <c r="B11376" t="s">
        <v>13127</v>
      </c>
      <c r="C11376">
        <v>0</v>
      </c>
      <c r="D11376">
        <v>0.98738026570100001</v>
      </c>
      <c r="E11376">
        <v>6.5487256371814002</v>
      </c>
    </row>
    <row r="11377" spans="1:5">
      <c r="A11377" t="s">
        <v>13128</v>
      </c>
      <c r="B11377" t="s">
        <v>13129</v>
      </c>
      <c r="C11377">
        <v>0</v>
      </c>
      <c r="D11377">
        <v>0.72581866253600003</v>
      </c>
      <c r="E11377">
        <v>1.8230884557721101</v>
      </c>
    </row>
    <row r="11378" spans="1:5">
      <c r="A11378" t="s">
        <v>13128</v>
      </c>
      <c r="B11378" t="s">
        <v>13130</v>
      </c>
      <c r="C11378">
        <f>0.0149712644234</f>
        <v>1.4971264423400001E-2</v>
      </c>
      <c r="D11378">
        <v>0.72581866253600003</v>
      </c>
      <c r="E11378">
        <v>1.8230884557721101</v>
      </c>
    </row>
    <row r="11379" spans="1:5">
      <c r="A11379" t="s">
        <v>13128</v>
      </c>
      <c r="B11379" t="s">
        <v>13131</v>
      </c>
      <c r="C11379">
        <f>0</f>
        <v>0</v>
      </c>
      <c r="D11379">
        <v>0.72581866253600003</v>
      </c>
      <c r="E11379">
        <v>1.8230884557721101</v>
      </c>
    </row>
    <row r="11380" spans="1:5">
      <c r="A11380" t="s">
        <v>13132</v>
      </c>
      <c r="B11380" t="s">
        <v>13133</v>
      </c>
      <c r="C11380">
        <v>0</v>
      </c>
      <c r="D11380">
        <v>0.90462064600900005</v>
      </c>
      <c r="E11380">
        <v>6.5487256371814002</v>
      </c>
    </row>
    <row r="11381" spans="1:5">
      <c r="A11381" t="s">
        <v>13132</v>
      </c>
      <c r="B11381" t="s">
        <v>13134</v>
      </c>
      <c r="C11381">
        <v>0</v>
      </c>
      <c r="D11381">
        <v>0.90462064600900005</v>
      </c>
      <c r="E11381">
        <v>6.5487256371814002</v>
      </c>
    </row>
    <row r="11382" spans="1:5">
      <c r="A11382" t="s">
        <v>13132</v>
      </c>
      <c r="B11382" t="s">
        <v>13135</v>
      </c>
      <c r="C11382">
        <f>0</f>
        <v>0</v>
      </c>
      <c r="D11382">
        <v>0.90462064600900005</v>
      </c>
      <c r="E11382">
        <v>6.5487256371814002</v>
      </c>
    </row>
    <row r="11383" spans="1:5">
      <c r="A11383" t="s">
        <v>13132</v>
      </c>
      <c r="B11383" t="s">
        <v>13136</v>
      </c>
      <c r="C11383">
        <v>0</v>
      </c>
      <c r="D11383">
        <v>0.90462064600900005</v>
      </c>
      <c r="E11383">
        <v>6.5487256371814002</v>
      </c>
    </row>
    <row r="11384" spans="1:5">
      <c r="A11384" t="s">
        <v>13132</v>
      </c>
      <c r="B11384" t="s">
        <v>13137</v>
      </c>
      <c r="C11384">
        <v>0</v>
      </c>
      <c r="D11384">
        <v>0.90462064600900005</v>
      </c>
      <c r="E11384">
        <v>6.5487256371814002</v>
      </c>
    </row>
    <row r="11385" spans="1:5">
      <c r="A11385" t="s">
        <v>13132</v>
      </c>
      <c r="B11385" t="s">
        <v>13138</v>
      </c>
      <c r="C11385">
        <v>0</v>
      </c>
      <c r="D11385">
        <v>0.90462064600900005</v>
      </c>
      <c r="E11385">
        <v>6.5487256371814002</v>
      </c>
    </row>
    <row r="11386" spans="1:5">
      <c r="A11386" t="s">
        <v>13132</v>
      </c>
      <c r="B11386" t="s">
        <v>13139</v>
      </c>
      <c r="C11386">
        <f>0</f>
        <v>0</v>
      </c>
      <c r="D11386">
        <v>0.90462064600900005</v>
      </c>
      <c r="E11386">
        <v>6.5487256371814002</v>
      </c>
    </row>
    <row r="11387" spans="1:5">
      <c r="A11387" t="s">
        <v>13132</v>
      </c>
      <c r="B11387" t="s">
        <v>13140</v>
      </c>
      <c r="C11387">
        <v>0.111654179302</v>
      </c>
      <c r="D11387">
        <v>0.90462064600900005</v>
      </c>
      <c r="E11387">
        <v>6.5487256371814002</v>
      </c>
    </row>
    <row r="11388" spans="1:5">
      <c r="A11388" t="s">
        <v>13132</v>
      </c>
      <c r="B11388" t="s">
        <v>13141</v>
      </c>
      <c r="C11388">
        <v>0.20534124582499999</v>
      </c>
      <c r="D11388">
        <v>0.90462064600900005</v>
      </c>
      <c r="E11388">
        <v>6.5487256371814002</v>
      </c>
    </row>
    <row r="11389" spans="1:5">
      <c r="A11389" t="s">
        <v>13142</v>
      </c>
      <c r="B11389" t="s">
        <v>13143</v>
      </c>
      <c r="C11389">
        <v>5.5383595623199999E-2</v>
      </c>
      <c r="D11389">
        <v>0.96303527824400004</v>
      </c>
      <c r="E11389">
        <v>13.997001499250301</v>
      </c>
    </row>
    <row r="11390" spans="1:5">
      <c r="A11390" t="s">
        <v>13142</v>
      </c>
      <c r="B11390" t="s">
        <v>13144</v>
      </c>
      <c r="C11390">
        <v>0</v>
      </c>
      <c r="D11390">
        <v>0.96303527824400004</v>
      </c>
      <c r="E11390">
        <v>13.997001499250301</v>
      </c>
    </row>
    <row r="11391" spans="1:5">
      <c r="A11391" t="s">
        <v>13142</v>
      </c>
      <c r="B11391" t="s">
        <v>13145</v>
      </c>
      <c r="C11391">
        <v>0.148169965678</v>
      </c>
      <c r="D11391">
        <v>0.96303527824400004</v>
      </c>
      <c r="E11391">
        <v>13.997001499250301</v>
      </c>
    </row>
    <row r="11392" spans="1:5">
      <c r="A11392" t="s">
        <v>13142</v>
      </c>
      <c r="B11392" t="s">
        <v>13146</v>
      </c>
      <c r="C11392">
        <v>0</v>
      </c>
      <c r="D11392">
        <v>0.96303527824400004</v>
      </c>
      <c r="E11392">
        <v>13.997001499250301</v>
      </c>
    </row>
    <row r="11393" spans="1:5">
      <c r="A11393" t="s">
        <v>13142</v>
      </c>
      <c r="B11393" t="s">
        <v>13147</v>
      </c>
      <c r="C11393">
        <f>0</f>
        <v>0</v>
      </c>
      <c r="D11393">
        <v>0.96303527824400004</v>
      </c>
      <c r="E11393">
        <v>13.997001499250301</v>
      </c>
    </row>
    <row r="11394" spans="1:5">
      <c r="A11394" t="s">
        <v>13148</v>
      </c>
      <c r="B11394" t="s">
        <v>13149</v>
      </c>
      <c r="C11394">
        <v>0</v>
      </c>
      <c r="D11394" t="s">
        <v>106</v>
      </c>
      <c r="E11394">
        <v>10.878560719640101</v>
      </c>
    </row>
    <row r="11395" spans="1:5">
      <c r="A11395" t="s">
        <v>13150</v>
      </c>
      <c r="B11395" t="s">
        <v>13151</v>
      </c>
      <c r="C11395">
        <v>0</v>
      </c>
      <c r="D11395" t="s">
        <v>106</v>
      </c>
      <c r="E11395">
        <v>5.2413793103448203</v>
      </c>
    </row>
    <row r="11396" spans="1:5">
      <c r="A11396" t="s">
        <v>13150</v>
      </c>
      <c r="B11396" t="s">
        <v>13152</v>
      </c>
      <c r="C11396">
        <v>0</v>
      </c>
      <c r="D11396" t="s">
        <v>106</v>
      </c>
      <c r="E11396">
        <v>5.2413793103448203</v>
      </c>
    </row>
    <row r="11397" spans="1:5">
      <c r="A11397" t="s">
        <v>13150</v>
      </c>
      <c r="B11397" t="s">
        <v>13153</v>
      </c>
      <c r="C11397">
        <v>0</v>
      </c>
      <c r="D11397" t="s">
        <v>106</v>
      </c>
      <c r="E11397">
        <v>5.2413793103448203</v>
      </c>
    </row>
    <row r="11398" spans="1:5">
      <c r="A11398" t="s">
        <v>13150</v>
      </c>
      <c r="B11398" t="s">
        <v>13154</v>
      </c>
      <c r="C11398">
        <v>0</v>
      </c>
      <c r="D11398" t="s">
        <v>106</v>
      </c>
      <c r="E11398">
        <v>5.2413793103448203</v>
      </c>
    </row>
    <row r="11399" spans="1:5">
      <c r="A11399" t="s">
        <v>13155</v>
      </c>
      <c r="B11399" t="s">
        <v>13156</v>
      </c>
      <c r="C11399">
        <v>0.224995877219</v>
      </c>
      <c r="D11399">
        <v>0.98050206417399999</v>
      </c>
      <c r="E11399">
        <v>11.5382308845577</v>
      </c>
    </row>
    <row r="11400" spans="1:5">
      <c r="A11400" t="s">
        <v>13155</v>
      </c>
      <c r="B11400" t="s">
        <v>13157</v>
      </c>
      <c r="C11400">
        <f>0</f>
        <v>0</v>
      </c>
      <c r="D11400">
        <v>0.98050206417399999</v>
      </c>
      <c r="E11400">
        <v>11.5382308845577</v>
      </c>
    </row>
    <row r="11401" spans="1:5">
      <c r="A11401" t="s">
        <v>13155</v>
      </c>
      <c r="B11401" t="s">
        <v>13158</v>
      </c>
      <c r="C11401">
        <v>0</v>
      </c>
      <c r="D11401">
        <v>0.98050206417399999</v>
      </c>
      <c r="E11401">
        <v>11.5382308845577</v>
      </c>
    </row>
    <row r="11402" spans="1:5">
      <c r="A11402" t="s">
        <v>13155</v>
      </c>
      <c r="B11402" t="s">
        <v>13159</v>
      </c>
      <c r="C11402">
        <v>0</v>
      </c>
      <c r="D11402">
        <v>0.98050206417399999</v>
      </c>
      <c r="E11402">
        <v>11.5382308845577</v>
      </c>
    </row>
    <row r="11403" spans="1:5">
      <c r="A11403" t="s">
        <v>13155</v>
      </c>
      <c r="B11403" t="s">
        <v>13160</v>
      </c>
      <c r="C11403">
        <v>0</v>
      </c>
      <c r="D11403">
        <v>0.98050206417399999</v>
      </c>
      <c r="E11403">
        <v>11.5382308845577</v>
      </c>
    </row>
    <row r="11404" spans="1:5">
      <c r="A11404" t="s">
        <v>13155</v>
      </c>
      <c r="B11404" t="s">
        <v>13161</v>
      </c>
      <c r="C11404">
        <v>0.182640866077</v>
      </c>
      <c r="D11404">
        <v>0.98050206417399999</v>
      </c>
      <c r="E11404">
        <v>11.5382308845577</v>
      </c>
    </row>
    <row r="11405" spans="1:5">
      <c r="A11405" t="s">
        <v>13162</v>
      </c>
      <c r="B11405" t="s">
        <v>13163</v>
      </c>
      <c r="C11405">
        <f>0.0910511526786</f>
        <v>9.1051152678600006E-2</v>
      </c>
      <c r="D11405">
        <v>0.97239806948200003</v>
      </c>
      <c r="E11405">
        <v>24</v>
      </c>
    </row>
    <row r="11406" spans="1:5">
      <c r="A11406" t="s">
        <v>13162</v>
      </c>
      <c r="B11406" t="s">
        <v>13164</v>
      </c>
      <c r="C11406">
        <v>0</v>
      </c>
      <c r="D11406">
        <v>0.97239806948200003</v>
      </c>
      <c r="E11406">
        <v>24</v>
      </c>
    </row>
    <row r="11407" spans="1:5">
      <c r="A11407" t="s">
        <v>13165</v>
      </c>
      <c r="B11407" t="s">
        <v>13166</v>
      </c>
      <c r="C11407">
        <v>0.65109218845700001</v>
      </c>
      <c r="D11407" t="s">
        <v>106</v>
      </c>
      <c r="E11407">
        <v>4.0659670164917499</v>
      </c>
    </row>
    <row r="11408" spans="1:5">
      <c r="A11408" t="s">
        <v>13165</v>
      </c>
      <c r="B11408" t="s">
        <v>13167</v>
      </c>
      <c r="C11408">
        <f>0.143640272951</f>
        <v>0.14364027295099999</v>
      </c>
      <c r="D11408" t="s">
        <v>106</v>
      </c>
      <c r="E11408">
        <v>4.0659670164917499</v>
      </c>
    </row>
    <row r="11409" spans="1:5">
      <c r="A11409" t="s">
        <v>13165</v>
      </c>
      <c r="B11409" t="s">
        <v>13168</v>
      </c>
      <c r="C11409">
        <v>0</v>
      </c>
      <c r="D11409" t="s">
        <v>106</v>
      </c>
      <c r="E11409">
        <v>4.0659670164917499</v>
      </c>
    </row>
    <row r="11410" spans="1:5">
      <c r="A11410" t="s">
        <v>13169</v>
      </c>
      <c r="B11410" t="s">
        <v>13170</v>
      </c>
      <c r="C11410">
        <v>0.21952911262300001</v>
      </c>
      <c r="D11410">
        <v>0.97198240597100005</v>
      </c>
      <c r="E11410">
        <v>8.5757121439280297</v>
      </c>
    </row>
    <row r="11411" spans="1:5">
      <c r="A11411" t="s">
        <v>13169</v>
      </c>
      <c r="B11411" t="s">
        <v>13171</v>
      </c>
      <c r="C11411">
        <v>0.106076098466</v>
      </c>
      <c r="D11411">
        <v>0.97198240597100005</v>
      </c>
      <c r="E11411">
        <v>8.5757121439280297</v>
      </c>
    </row>
    <row r="11412" spans="1:5">
      <c r="A11412" t="s">
        <v>13169</v>
      </c>
      <c r="B11412" t="s">
        <v>13172</v>
      </c>
      <c r="C11412">
        <v>0</v>
      </c>
      <c r="D11412">
        <v>0.97198240597100005</v>
      </c>
      <c r="E11412">
        <v>8.5757121439280297</v>
      </c>
    </row>
    <row r="11413" spans="1:5">
      <c r="A11413" t="s">
        <v>13173</v>
      </c>
      <c r="B11413" t="s">
        <v>13174</v>
      </c>
      <c r="C11413">
        <v>0.265780062195</v>
      </c>
      <c r="D11413">
        <v>0.98440441863999995</v>
      </c>
      <c r="E11413">
        <v>13.8170914542728</v>
      </c>
    </row>
    <row r="11414" spans="1:5">
      <c r="A11414" t="s">
        <v>13173</v>
      </c>
      <c r="B11414" t="s">
        <v>13175</v>
      </c>
      <c r="C11414">
        <v>0</v>
      </c>
      <c r="D11414">
        <v>0.98440441863999995</v>
      </c>
      <c r="E11414">
        <v>13.8170914542728</v>
      </c>
    </row>
    <row r="11415" spans="1:5">
      <c r="A11415" t="s">
        <v>13173</v>
      </c>
      <c r="B11415" t="s">
        <v>13176</v>
      </c>
      <c r="C11415">
        <v>0</v>
      </c>
      <c r="D11415">
        <v>0.98440441863999995</v>
      </c>
      <c r="E11415">
        <v>13.8170914542728</v>
      </c>
    </row>
    <row r="11416" spans="1:5">
      <c r="A11416" t="s">
        <v>13173</v>
      </c>
      <c r="B11416" t="s">
        <v>13177</v>
      </c>
      <c r="C11416">
        <v>0.11600970506199999</v>
      </c>
      <c r="D11416">
        <v>0.98440441863999995</v>
      </c>
      <c r="E11416">
        <v>13.8170914542728</v>
      </c>
    </row>
    <row r="11417" spans="1:5">
      <c r="A11417" t="s">
        <v>13178</v>
      </c>
      <c r="B11417" t="s">
        <v>13179</v>
      </c>
      <c r="C11417">
        <v>0.34905397885299999</v>
      </c>
      <c r="D11417">
        <v>0.94055281675400004</v>
      </c>
      <c r="E11417">
        <v>11.7061469265367</v>
      </c>
    </row>
    <row r="11418" spans="1:5">
      <c r="A11418" t="s">
        <v>13178</v>
      </c>
      <c r="B11418" t="s">
        <v>13180</v>
      </c>
      <c r="C11418">
        <f>0</f>
        <v>0</v>
      </c>
      <c r="D11418">
        <v>0.94055281675400004</v>
      </c>
      <c r="E11418">
        <v>11.7061469265367</v>
      </c>
    </row>
    <row r="11419" spans="1:5">
      <c r="A11419" t="s">
        <v>13178</v>
      </c>
      <c r="B11419" t="s">
        <v>13181</v>
      </c>
      <c r="C11419">
        <f>0</f>
        <v>0</v>
      </c>
      <c r="D11419">
        <v>0.94055281675400004</v>
      </c>
      <c r="E11419">
        <v>11.7061469265367</v>
      </c>
    </row>
    <row r="11420" spans="1:5">
      <c r="A11420" t="s">
        <v>13182</v>
      </c>
      <c r="B11420" t="s">
        <v>13183</v>
      </c>
      <c r="C11420">
        <f>0</f>
        <v>0</v>
      </c>
      <c r="D11420" t="s">
        <v>106</v>
      </c>
      <c r="E11420">
        <v>8.4317841079460205</v>
      </c>
    </row>
    <row r="11421" spans="1:5">
      <c r="A11421" t="s">
        <v>13182</v>
      </c>
      <c r="B11421" t="s">
        <v>13184</v>
      </c>
      <c r="C11421">
        <v>0</v>
      </c>
      <c r="D11421" t="s">
        <v>106</v>
      </c>
      <c r="E11421">
        <v>8.4317841079460205</v>
      </c>
    </row>
    <row r="11422" spans="1:5">
      <c r="A11422" t="s">
        <v>13182</v>
      </c>
      <c r="B11422" t="s">
        <v>13185</v>
      </c>
      <c r="C11422">
        <f>0</f>
        <v>0</v>
      </c>
      <c r="D11422" t="s">
        <v>106</v>
      </c>
      <c r="E11422">
        <v>8.4317841079460205</v>
      </c>
    </row>
    <row r="11423" spans="1:5">
      <c r="A11423" t="s">
        <v>13182</v>
      </c>
      <c r="B11423" t="s">
        <v>13186</v>
      </c>
      <c r="C11423">
        <v>0</v>
      </c>
      <c r="D11423" t="s">
        <v>106</v>
      </c>
      <c r="E11423">
        <v>8.4317841079460205</v>
      </c>
    </row>
    <row r="11424" spans="1:5">
      <c r="A11424" t="s">
        <v>13187</v>
      </c>
      <c r="B11424" t="s">
        <v>13188</v>
      </c>
      <c r="C11424">
        <f>0.0184197887631</f>
        <v>1.8419788763099999E-2</v>
      </c>
      <c r="D11424" t="s">
        <v>106</v>
      </c>
      <c r="E11424">
        <v>24</v>
      </c>
    </row>
    <row r="11425" spans="1:5">
      <c r="A11425" t="s">
        <v>13187</v>
      </c>
      <c r="B11425" t="s">
        <v>13189</v>
      </c>
      <c r="C11425">
        <f>0</f>
        <v>0</v>
      </c>
      <c r="D11425" t="s">
        <v>106</v>
      </c>
      <c r="E11425">
        <v>24</v>
      </c>
    </row>
    <row r="11426" spans="1:5">
      <c r="A11426" t="s">
        <v>13187</v>
      </c>
      <c r="B11426" t="s">
        <v>13190</v>
      </c>
      <c r="C11426">
        <f>0.0471034834189</f>
        <v>4.71034834189E-2</v>
      </c>
      <c r="D11426" t="s">
        <v>106</v>
      </c>
      <c r="E11426">
        <v>24</v>
      </c>
    </row>
    <row r="11427" spans="1:5">
      <c r="A11427" t="s">
        <v>13187</v>
      </c>
      <c r="B11427" t="s">
        <v>13191</v>
      </c>
      <c r="C11427">
        <f>0</f>
        <v>0</v>
      </c>
      <c r="D11427" t="s">
        <v>106</v>
      </c>
      <c r="E11427">
        <v>24</v>
      </c>
    </row>
    <row r="11428" spans="1:5">
      <c r="A11428" t="s">
        <v>13187</v>
      </c>
      <c r="B11428" t="s">
        <v>13192</v>
      </c>
      <c r="C11428">
        <v>0</v>
      </c>
      <c r="D11428" t="s">
        <v>106</v>
      </c>
      <c r="E11428">
        <v>24</v>
      </c>
    </row>
    <row r="11429" spans="1:5">
      <c r="A11429" t="s">
        <v>13187</v>
      </c>
      <c r="B11429" t="s">
        <v>13193</v>
      </c>
      <c r="C11429">
        <v>0</v>
      </c>
      <c r="D11429" t="s">
        <v>106</v>
      </c>
      <c r="E11429">
        <v>24</v>
      </c>
    </row>
    <row r="11430" spans="1:5">
      <c r="A11430" t="s">
        <v>13194</v>
      </c>
      <c r="B11430" t="s">
        <v>13195</v>
      </c>
      <c r="C11430">
        <v>0</v>
      </c>
      <c r="D11430">
        <v>0.98145964481500003</v>
      </c>
      <c r="E11430">
        <v>1.96701649175412</v>
      </c>
    </row>
    <row r="11431" spans="1:5">
      <c r="A11431" t="s">
        <v>13194</v>
      </c>
      <c r="B11431" t="s">
        <v>13196</v>
      </c>
      <c r="C11431">
        <f>0.176594539038</f>
        <v>0.17659453903799999</v>
      </c>
      <c r="D11431">
        <v>0.98145964481500003</v>
      </c>
      <c r="E11431">
        <v>1.96701649175412</v>
      </c>
    </row>
    <row r="11432" spans="1:5">
      <c r="A11432" t="s">
        <v>13194</v>
      </c>
      <c r="B11432" t="s">
        <v>13197</v>
      </c>
      <c r="C11432">
        <f>0.0970855152474</f>
        <v>9.70855152474E-2</v>
      </c>
      <c r="D11432">
        <v>0.98145964481500003</v>
      </c>
      <c r="E11432">
        <v>1.96701649175412</v>
      </c>
    </row>
    <row r="11433" spans="1:5">
      <c r="A11433" t="s">
        <v>13194</v>
      </c>
      <c r="B11433" t="s">
        <v>13198</v>
      </c>
      <c r="C11433">
        <f>0</f>
        <v>0</v>
      </c>
      <c r="D11433">
        <v>0.98145964481500003</v>
      </c>
      <c r="E11433">
        <v>1.96701649175412</v>
      </c>
    </row>
    <row r="11434" spans="1:5">
      <c r="A11434" t="s">
        <v>13199</v>
      </c>
      <c r="B11434" t="s">
        <v>13200</v>
      </c>
      <c r="C11434">
        <f>0</f>
        <v>0</v>
      </c>
      <c r="D11434" t="s">
        <v>106</v>
      </c>
      <c r="E11434">
        <v>0.61169415292353801</v>
      </c>
    </row>
    <row r="11435" spans="1:5">
      <c r="A11435" t="s">
        <v>13199</v>
      </c>
      <c r="B11435" t="s">
        <v>13201</v>
      </c>
      <c r="C11435">
        <v>0</v>
      </c>
      <c r="D11435" t="s">
        <v>106</v>
      </c>
      <c r="E11435">
        <v>0.61169415292353801</v>
      </c>
    </row>
    <row r="11436" spans="1:5">
      <c r="A11436" t="s">
        <v>13199</v>
      </c>
      <c r="B11436" t="s">
        <v>13202</v>
      </c>
      <c r="C11436">
        <v>0</v>
      </c>
      <c r="D11436" t="s">
        <v>106</v>
      </c>
      <c r="E11436">
        <v>0.61169415292353801</v>
      </c>
    </row>
    <row r="11437" spans="1:5">
      <c r="A11437" t="s">
        <v>13199</v>
      </c>
      <c r="B11437" t="s">
        <v>13203</v>
      </c>
      <c r="C11437">
        <v>0</v>
      </c>
      <c r="D11437" t="s">
        <v>106</v>
      </c>
      <c r="E11437">
        <v>0.61169415292353801</v>
      </c>
    </row>
    <row r="11438" spans="1:5">
      <c r="A11438" t="s">
        <v>13199</v>
      </c>
      <c r="B11438" t="s">
        <v>13204</v>
      </c>
      <c r="C11438">
        <v>0</v>
      </c>
      <c r="D11438" t="s">
        <v>106</v>
      </c>
      <c r="E11438">
        <v>0.61169415292353801</v>
      </c>
    </row>
    <row r="11439" spans="1:5">
      <c r="A11439" t="s">
        <v>13199</v>
      </c>
      <c r="B11439" t="s">
        <v>13205</v>
      </c>
      <c r="C11439">
        <v>0</v>
      </c>
      <c r="D11439" t="s">
        <v>106</v>
      </c>
      <c r="E11439">
        <v>0.61169415292353801</v>
      </c>
    </row>
    <row r="11440" spans="1:5">
      <c r="A11440" t="s">
        <v>13206</v>
      </c>
      <c r="B11440" t="s">
        <v>13207</v>
      </c>
      <c r="C11440">
        <f>0</f>
        <v>0</v>
      </c>
      <c r="D11440" t="s">
        <v>106</v>
      </c>
      <c r="E11440">
        <v>1.96701649175412</v>
      </c>
    </row>
    <row r="11441" spans="1:5">
      <c r="A11441" t="s">
        <v>13206</v>
      </c>
      <c r="B11441" t="s">
        <v>13208</v>
      </c>
      <c r="C11441">
        <f>0</f>
        <v>0</v>
      </c>
      <c r="D11441" t="s">
        <v>106</v>
      </c>
      <c r="E11441">
        <v>1.96701649175412</v>
      </c>
    </row>
    <row r="11442" spans="1:5">
      <c r="A11442" t="s">
        <v>13206</v>
      </c>
      <c r="B11442" t="s">
        <v>13209</v>
      </c>
      <c r="C11442">
        <f>0</f>
        <v>0</v>
      </c>
      <c r="D11442" t="s">
        <v>106</v>
      </c>
      <c r="E11442">
        <v>1.96701649175412</v>
      </c>
    </row>
    <row r="11443" spans="1:5">
      <c r="A11443" t="s">
        <v>13206</v>
      </c>
      <c r="B11443" t="s">
        <v>13210</v>
      </c>
      <c r="C11443">
        <f>0</f>
        <v>0</v>
      </c>
      <c r="D11443" t="s">
        <v>106</v>
      </c>
      <c r="E11443">
        <v>1.96701649175412</v>
      </c>
    </row>
    <row r="11444" spans="1:5">
      <c r="A11444" t="s">
        <v>13206</v>
      </c>
      <c r="B11444" t="s">
        <v>13211</v>
      </c>
      <c r="C11444">
        <f>0</f>
        <v>0</v>
      </c>
      <c r="D11444" t="s">
        <v>106</v>
      </c>
      <c r="E11444">
        <v>1.96701649175412</v>
      </c>
    </row>
    <row r="11445" spans="1:5">
      <c r="A11445" t="s">
        <v>13206</v>
      </c>
      <c r="B11445" t="s">
        <v>13212</v>
      </c>
      <c r="C11445">
        <f>0</f>
        <v>0</v>
      </c>
      <c r="D11445" t="s">
        <v>106</v>
      </c>
      <c r="E11445">
        <v>1.96701649175412</v>
      </c>
    </row>
    <row r="11446" spans="1:5">
      <c r="A11446" t="s">
        <v>13213</v>
      </c>
      <c r="B11446" t="s">
        <v>13214</v>
      </c>
      <c r="C11446">
        <v>0</v>
      </c>
      <c r="D11446">
        <v>0.97378989033200003</v>
      </c>
      <c r="E11446">
        <v>0.46776611694152898</v>
      </c>
    </row>
    <row r="11447" spans="1:5">
      <c r="A11447" t="s">
        <v>13213</v>
      </c>
      <c r="B11447" t="s">
        <v>13215</v>
      </c>
      <c r="C11447">
        <v>0</v>
      </c>
      <c r="D11447">
        <v>0.97378989033200003</v>
      </c>
      <c r="E11447">
        <v>0.46776611694152898</v>
      </c>
    </row>
    <row r="11448" spans="1:5">
      <c r="A11448" t="s">
        <v>13213</v>
      </c>
      <c r="B11448" t="s">
        <v>13216</v>
      </c>
      <c r="C11448">
        <v>0</v>
      </c>
      <c r="D11448">
        <v>0.97378989033200003</v>
      </c>
      <c r="E11448">
        <v>0.46776611694152898</v>
      </c>
    </row>
    <row r="11449" spans="1:5">
      <c r="A11449" t="s">
        <v>13213</v>
      </c>
      <c r="B11449" t="s">
        <v>13217</v>
      </c>
      <c r="C11449">
        <f>0</f>
        <v>0</v>
      </c>
      <c r="D11449">
        <v>0.97378989033200003</v>
      </c>
      <c r="E11449">
        <v>0.46776611694152898</v>
      </c>
    </row>
    <row r="11450" spans="1:5">
      <c r="A11450" t="s">
        <v>13213</v>
      </c>
      <c r="B11450" t="s">
        <v>13218</v>
      </c>
      <c r="C11450">
        <f>0</f>
        <v>0</v>
      </c>
      <c r="D11450">
        <v>0.97378989033200003</v>
      </c>
      <c r="E11450">
        <v>0.46776611694152898</v>
      </c>
    </row>
    <row r="11451" spans="1:5">
      <c r="A11451" t="s">
        <v>13213</v>
      </c>
      <c r="B11451" t="s">
        <v>13219</v>
      </c>
      <c r="C11451">
        <f>0</f>
        <v>0</v>
      </c>
      <c r="D11451">
        <v>0.97378989033200003</v>
      </c>
      <c r="E11451">
        <v>0.46776611694152898</v>
      </c>
    </row>
    <row r="11452" spans="1:5">
      <c r="A11452" t="s">
        <v>13213</v>
      </c>
      <c r="B11452" t="s">
        <v>13220</v>
      </c>
      <c r="C11452">
        <f>0</f>
        <v>0</v>
      </c>
      <c r="D11452">
        <v>0.97378989033200003</v>
      </c>
      <c r="E11452">
        <v>0.46776611694152898</v>
      </c>
    </row>
    <row r="11453" spans="1:5">
      <c r="A11453" t="s">
        <v>13213</v>
      </c>
      <c r="B11453" t="s">
        <v>13221</v>
      </c>
      <c r="C11453">
        <v>0</v>
      </c>
      <c r="D11453">
        <v>0.97378989033200003</v>
      </c>
      <c r="E11453">
        <v>0.46776611694152898</v>
      </c>
    </row>
    <row r="11454" spans="1:5">
      <c r="A11454" t="s">
        <v>13213</v>
      </c>
      <c r="B11454" t="s">
        <v>13222</v>
      </c>
      <c r="C11454">
        <v>0</v>
      </c>
      <c r="D11454">
        <v>0.97378989033200003</v>
      </c>
      <c r="E11454">
        <v>0.46776611694152898</v>
      </c>
    </row>
    <row r="11455" spans="1:5">
      <c r="A11455" t="s">
        <v>13213</v>
      </c>
      <c r="B11455" t="s">
        <v>13223</v>
      </c>
      <c r="C11455">
        <v>0.44838250486699999</v>
      </c>
      <c r="D11455">
        <v>0.97378989033200003</v>
      </c>
      <c r="E11455">
        <v>0.46776611694152898</v>
      </c>
    </row>
    <row r="11456" spans="1:5">
      <c r="A11456" t="s">
        <v>13224</v>
      </c>
      <c r="B11456" t="s">
        <v>13225</v>
      </c>
      <c r="C11456">
        <f>0</f>
        <v>0</v>
      </c>
      <c r="D11456">
        <v>0.99545604580799996</v>
      </c>
      <c r="E11456">
        <v>3.2263868065966999</v>
      </c>
    </row>
    <row r="11457" spans="1:5">
      <c r="A11457" t="s">
        <v>13224</v>
      </c>
      <c r="B11457" t="s">
        <v>13226</v>
      </c>
      <c r="C11457">
        <f>0.0665380740287</f>
        <v>6.6538074028700003E-2</v>
      </c>
      <c r="D11457">
        <v>0.99545604580799996</v>
      </c>
      <c r="E11457">
        <v>3.2263868065966999</v>
      </c>
    </row>
    <row r="11458" spans="1:5">
      <c r="A11458" t="s">
        <v>13224</v>
      </c>
      <c r="B11458" t="s">
        <v>13227</v>
      </c>
      <c r="C11458">
        <v>0</v>
      </c>
      <c r="D11458">
        <v>0.99545604580799996</v>
      </c>
      <c r="E11458">
        <v>3.2263868065966999</v>
      </c>
    </row>
    <row r="11459" spans="1:5">
      <c r="A11459" t="s">
        <v>13224</v>
      </c>
      <c r="B11459" t="s">
        <v>13228</v>
      </c>
      <c r="C11459">
        <f>0</f>
        <v>0</v>
      </c>
      <c r="D11459">
        <v>0.99545604580799996</v>
      </c>
      <c r="E11459">
        <v>3.2263868065966999</v>
      </c>
    </row>
    <row r="11460" spans="1:5">
      <c r="A11460" t="s">
        <v>13224</v>
      </c>
      <c r="B11460" t="s">
        <v>13229</v>
      </c>
      <c r="C11460">
        <f>0</f>
        <v>0</v>
      </c>
      <c r="D11460">
        <v>0.99545604580799996</v>
      </c>
      <c r="E11460">
        <v>3.2263868065966999</v>
      </c>
    </row>
    <row r="11461" spans="1:5">
      <c r="A11461" t="s">
        <v>13224</v>
      </c>
      <c r="B11461" t="s">
        <v>13230</v>
      </c>
      <c r="C11461">
        <f>0</f>
        <v>0</v>
      </c>
      <c r="D11461">
        <v>0.99545604580799996</v>
      </c>
      <c r="E11461">
        <v>3.2263868065966999</v>
      </c>
    </row>
    <row r="11462" spans="1:5">
      <c r="A11462" t="s">
        <v>13224</v>
      </c>
      <c r="B11462" t="s">
        <v>13231</v>
      </c>
      <c r="C11462">
        <f>0</f>
        <v>0</v>
      </c>
      <c r="D11462">
        <v>0.99545604580799996</v>
      </c>
      <c r="E11462">
        <v>3.2263868065966999</v>
      </c>
    </row>
    <row r="11463" spans="1:5">
      <c r="A11463" t="s">
        <v>13224</v>
      </c>
      <c r="B11463" t="s">
        <v>13232</v>
      </c>
      <c r="C11463">
        <f>0</f>
        <v>0</v>
      </c>
      <c r="D11463">
        <v>0.99545604580799996</v>
      </c>
      <c r="E11463">
        <v>3.2263868065966999</v>
      </c>
    </row>
    <row r="11464" spans="1:5">
      <c r="A11464" t="s">
        <v>13224</v>
      </c>
      <c r="B11464" t="s">
        <v>13233</v>
      </c>
      <c r="C11464">
        <v>0.70974051898599999</v>
      </c>
      <c r="D11464">
        <v>0.99545604580799996</v>
      </c>
      <c r="E11464">
        <v>3.2263868065966999</v>
      </c>
    </row>
    <row r="11465" spans="1:5">
      <c r="A11465" t="s">
        <v>13234</v>
      </c>
      <c r="B11465" t="s">
        <v>13235</v>
      </c>
      <c r="C11465">
        <f>0.325349481036</f>
        <v>0.32534948103599998</v>
      </c>
      <c r="D11465">
        <v>0.87524934780100005</v>
      </c>
      <c r="E11465">
        <v>14.9325337331334</v>
      </c>
    </row>
    <row r="11466" spans="1:5">
      <c r="A11466" t="s">
        <v>13234</v>
      </c>
      <c r="B11466" t="s">
        <v>13236</v>
      </c>
      <c r="C11466">
        <f>0.0332563814103</f>
        <v>3.3256381410299997E-2</v>
      </c>
      <c r="D11466">
        <v>0.87524934780100005</v>
      </c>
      <c r="E11466">
        <v>14.9325337331334</v>
      </c>
    </row>
    <row r="11467" spans="1:5">
      <c r="A11467" t="s">
        <v>13237</v>
      </c>
      <c r="B11467" t="s">
        <v>13238</v>
      </c>
      <c r="C11467">
        <f>0</f>
        <v>0</v>
      </c>
      <c r="D11467" t="s">
        <v>106</v>
      </c>
      <c r="E11467">
        <v>0.82758620689655105</v>
      </c>
    </row>
    <row r="11468" spans="1:5">
      <c r="A11468" t="s">
        <v>13237</v>
      </c>
      <c r="B11468" t="s">
        <v>13239</v>
      </c>
      <c r="C11468">
        <v>0</v>
      </c>
      <c r="D11468" t="s">
        <v>106</v>
      </c>
      <c r="E11468">
        <v>0.82758620689655105</v>
      </c>
    </row>
    <row r="11469" spans="1:5">
      <c r="A11469" t="s">
        <v>13237</v>
      </c>
      <c r="B11469" t="s">
        <v>13240</v>
      </c>
      <c r="C11469">
        <v>0</v>
      </c>
      <c r="D11469" t="s">
        <v>106</v>
      </c>
      <c r="E11469">
        <v>0.82758620689655105</v>
      </c>
    </row>
    <row r="11470" spans="1:5">
      <c r="A11470" t="s">
        <v>13237</v>
      </c>
      <c r="B11470" t="s">
        <v>13241</v>
      </c>
      <c r="C11470">
        <f>0</f>
        <v>0</v>
      </c>
      <c r="D11470" t="s">
        <v>106</v>
      </c>
      <c r="E11470">
        <v>0.82758620689655105</v>
      </c>
    </row>
    <row r="11471" spans="1:5">
      <c r="A11471" t="s">
        <v>13237</v>
      </c>
      <c r="B11471" t="s">
        <v>13242</v>
      </c>
      <c r="C11471">
        <f>0</f>
        <v>0</v>
      </c>
      <c r="D11471" t="s">
        <v>106</v>
      </c>
      <c r="E11471">
        <v>0.82758620689655105</v>
      </c>
    </row>
    <row r="11472" spans="1:5">
      <c r="A11472" t="s">
        <v>13237</v>
      </c>
      <c r="B11472" t="s">
        <v>13243</v>
      </c>
      <c r="C11472">
        <f>0</f>
        <v>0</v>
      </c>
      <c r="D11472" t="s">
        <v>106</v>
      </c>
      <c r="E11472">
        <v>0.82758620689655105</v>
      </c>
    </row>
    <row r="11473" spans="1:5">
      <c r="A11473" t="s">
        <v>13237</v>
      </c>
      <c r="B11473" t="s">
        <v>13244</v>
      </c>
      <c r="C11473">
        <f>0</f>
        <v>0</v>
      </c>
      <c r="D11473" t="s">
        <v>106</v>
      </c>
      <c r="E11473">
        <v>0.82758620689655105</v>
      </c>
    </row>
    <row r="11474" spans="1:5">
      <c r="A11474" t="s">
        <v>13245</v>
      </c>
      <c r="B11474" t="s">
        <v>13246</v>
      </c>
      <c r="C11474">
        <f>0</f>
        <v>0</v>
      </c>
      <c r="D11474" t="s">
        <v>106</v>
      </c>
      <c r="E11474">
        <v>9.4632683658170897</v>
      </c>
    </row>
    <row r="11475" spans="1:5">
      <c r="A11475" t="s">
        <v>13245</v>
      </c>
      <c r="B11475" t="s">
        <v>13247</v>
      </c>
      <c r="C11475">
        <f>0</f>
        <v>0</v>
      </c>
      <c r="D11475" t="s">
        <v>106</v>
      </c>
      <c r="E11475">
        <v>9.4632683658170897</v>
      </c>
    </row>
    <row r="11476" spans="1:5">
      <c r="A11476" t="s">
        <v>13245</v>
      </c>
      <c r="B11476" t="s">
        <v>13248</v>
      </c>
      <c r="C11476">
        <v>0</v>
      </c>
      <c r="D11476" t="s">
        <v>106</v>
      </c>
      <c r="E11476">
        <v>9.4632683658170897</v>
      </c>
    </row>
    <row r="11477" spans="1:5">
      <c r="A11477" t="s">
        <v>13245</v>
      </c>
      <c r="B11477" t="s">
        <v>13249</v>
      </c>
      <c r="C11477">
        <f>0</f>
        <v>0</v>
      </c>
      <c r="D11477" t="s">
        <v>106</v>
      </c>
      <c r="E11477">
        <v>9.4632683658170897</v>
      </c>
    </row>
    <row r="11478" spans="1:5">
      <c r="A11478" t="s">
        <v>13245</v>
      </c>
      <c r="B11478" t="s">
        <v>13250</v>
      </c>
      <c r="C11478">
        <v>0</v>
      </c>
      <c r="D11478" t="s">
        <v>106</v>
      </c>
      <c r="E11478">
        <v>9.4632683658170897</v>
      </c>
    </row>
    <row r="11479" spans="1:5">
      <c r="A11479" t="s">
        <v>13245</v>
      </c>
      <c r="B11479" t="s">
        <v>13251</v>
      </c>
      <c r="C11479">
        <f>0</f>
        <v>0</v>
      </c>
      <c r="D11479" t="s">
        <v>106</v>
      </c>
      <c r="E11479">
        <v>9.4632683658170897</v>
      </c>
    </row>
    <row r="11480" spans="1:5">
      <c r="A11480" t="s">
        <v>13245</v>
      </c>
      <c r="B11480" t="s">
        <v>13252</v>
      </c>
      <c r="C11480">
        <f>0</f>
        <v>0</v>
      </c>
      <c r="D11480" t="s">
        <v>106</v>
      </c>
      <c r="E11480">
        <v>9.4632683658170897</v>
      </c>
    </row>
    <row r="11481" spans="1:5">
      <c r="A11481" t="s">
        <v>13245</v>
      </c>
      <c r="B11481" t="s">
        <v>13253</v>
      </c>
      <c r="C11481">
        <f>0</f>
        <v>0</v>
      </c>
      <c r="D11481" t="s">
        <v>106</v>
      </c>
      <c r="E11481">
        <v>9.4632683658170897</v>
      </c>
    </row>
    <row r="11482" spans="1:5">
      <c r="A11482" t="s">
        <v>13245</v>
      </c>
      <c r="B11482" t="s">
        <v>13254</v>
      </c>
      <c r="C11482">
        <v>0</v>
      </c>
      <c r="D11482" t="s">
        <v>106</v>
      </c>
      <c r="E11482">
        <v>9.4632683658170897</v>
      </c>
    </row>
    <row r="11483" spans="1:5">
      <c r="A11483" t="s">
        <v>13255</v>
      </c>
      <c r="B11483" t="s">
        <v>13256</v>
      </c>
      <c r="C11483">
        <v>0.118222736785</v>
      </c>
      <c r="D11483">
        <v>0.59707918560399997</v>
      </c>
      <c r="E11483">
        <v>24</v>
      </c>
    </row>
    <row r="11484" spans="1:5">
      <c r="A11484" t="s">
        <v>13255</v>
      </c>
      <c r="B11484" t="s">
        <v>13257</v>
      </c>
      <c r="C11484">
        <f>0</f>
        <v>0</v>
      </c>
      <c r="D11484">
        <v>0.59707918560399997</v>
      </c>
      <c r="E11484">
        <v>24</v>
      </c>
    </row>
    <row r="11485" spans="1:5">
      <c r="A11485" t="s">
        <v>13255</v>
      </c>
      <c r="B11485" t="s">
        <v>13258</v>
      </c>
      <c r="C11485">
        <f>0</f>
        <v>0</v>
      </c>
      <c r="D11485">
        <v>0.59707918560399997</v>
      </c>
      <c r="E11485">
        <v>24</v>
      </c>
    </row>
    <row r="11486" spans="1:5">
      <c r="A11486" t="s">
        <v>13255</v>
      </c>
      <c r="B11486" t="s">
        <v>13259</v>
      </c>
      <c r="C11486">
        <f>0.0261748637396</f>
        <v>2.6174863739599999E-2</v>
      </c>
      <c r="D11486">
        <v>0.59707918560399997</v>
      </c>
      <c r="E11486">
        <v>24</v>
      </c>
    </row>
    <row r="11487" spans="1:5">
      <c r="A11487" t="s">
        <v>13255</v>
      </c>
      <c r="B11487" t="s">
        <v>13260</v>
      </c>
      <c r="C11487">
        <v>0</v>
      </c>
      <c r="D11487">
        <v>0.59707918560399997</v>
      </c>
      <c r="E11487">
        <v>24</v>
      </c>
    </row>
    <row r="11488" spans="1:5">
      <c r="A11488" t="s">
        <v>13255</v>
      </c>
      <c r="B11488" t="s">
        <v>13261</v>
      </c>
      <c r="C11488">
        <f>0</f>
        <v>0</v>
      </c>
      <c r="D11488">
        <v>0.59707918560399997</v>
      </c>
      <c r="E11488">
        <v>24</v>
      </c>
    </row>
    <row r="11489" spans="1:5">
      <c r="A11489" t="s">
        <v>13262</v>
      </c>
      <c r="B11489" t="s">
        <v>13263</v>
      </c>
      <c r="C11489">
        <v>0.49617838222900001</v>
      </c>
      <c r="D11489">
        <v>0.86406178607399997</v>
      </c>
      <c r="E11489">
        <v>1.00749625187406</v>
      </c>
    </row>
    <row r="11490" spans="1:5">
      <c r="A11490" t="s">
        <v>13262</v>
      </c>
      <c r="B11490" t="s">
        <v>13264</v>
      </c>
      <c r="C11490">
        <v>0</v>
      </c>
      <c r="D11490">
        <v>0.86406178607399997</v>
      </c>
      <c r="E11490">
        <v>1.00749625187406</v>
      </c>
    </row>
    <row r="11491" spans="1:5">
      <c r="A11491" t="s">
        <v>13262</v>
      </c>
      <c r="B11491" t="s">
        <v>13265</v>
      </c>
      <c r="C11491">
        <v>0</v>
      </c>
      <c r="D11491">
        <v>0.86406178607399997</v>
      </c>
      <c r="E11491">
        <v>1.00749625187406</v>
      </c>
    </row>
    <row r="11492" spans="1:5">
      <c r="A11492" t="s">
        <v>13262</v>
      </c>
      <c r="B11492" t="s">
        <v>13266</v>
      </c>
      <c r="C11492">
        <f>0</f>
        <v>0</v>
      </c>
      <c r="D11492">
        <v>0.86406178607399997</v>
      </c>
      <c r="E11492">
        <v>1.00749625187406</v>
      </c>
    </row>
    <row r="11493" spans="1:5">
      <c r="A11493" t="s">
        <v>13267</v>
      </c>
      <c r="B11493" t="s">
        <v>13268</v>
      </c>
      <c r="C11493">
        <f>0</f>
        <v>0</v>
      </c>
      <c r="D11493" t="s">
        <v>106</v>
      </c>
      <c r="E11493">
        <v>0.46776611694152898</v>
      </c>
    </row>
    <row r="11494" spans="1:5">
      <c r="A11494" t="s">
        <v>13267</v>
      </c>
      <c r="B11494" t="s">
        <v>13269</v>
      </c>
      <c r="C11494">
        <f>0</f>
        <v>0</v>
      </c>
      <c r="D11494" t="s">
        <v>106</v>
      </c>
      <c r="E11494">
        <v>0.46776611694152898</v>
      </c>
    </row>
    <row r="11495" spans="1:5">
      <c r="A11495" t="s">
        <v>13267</v>
      </c>
      <c r="B11495" t="s">
        <v>13270</v>
      </c>
      <c r="C11495">
        <f>0</f>
        <v>0</v>
      </c>
      <c r="D11495" t="s">
        <v>106</v>
      </c>
      <c r="E11495">
        <v>0.46776611694152898</v>
      </c>
    </row>
    <row r="11496" spans="1:5">
      <c r="A11496" t="s">
        <v>13267</v>
      </c>
      <c r="B11496" t="s">
        <v>13271</v>
      </c>
      <c r="C11496">
        <f>0</f>
        <v>0</v>
      </c>
      <c r="D11496" t="s">
        <v>106</v>
      </c>
      <c r="E11496">
        <v>0.46776611694152898</v>
      </c>
    </row>
    <row r="11497" spans="1:5">
      <c r="A11497" t="s">
        <v>13272</v>
      </c>
      <c r="B11497" t="s">
        <v>13273</v>
      </c>
      <c r="C11497">
        <f>0.0641770793191</f>
        <v>6.4177079319099994E-2</v>
      </c>
      <c r="D11497">
        <v>0.62850303792600004</v>
      </c>
      <c r="E11497">
        <v>6.5487256371814002</v>
      </c>
    </row>
    <row r="11498" spans="1:5">
      <c r="A11498" t="s">
        <v>13272</v>
      </c>
      <c r="B11498" t="s">
        <v>13274</v>
      </c>
      <c r="C11498">
        <f>0</f>
        <v>0</v>
      </c>
      <c r="D11498">
        <v>0.62850303792600004</v>
      </c>
      <c r="E11498">
        <v>6.5487256371814002</v>
      </c>
    </row>
    <row r="11499" spans="1:5">
      <c r="A11499" t="s">
        <v>13272</v>
      </c>
      <c r="B11499" t="s">
        <v>13275</v>
      </c>
      <c r="C11499">
        <v>0</v>
      </c>
      <c r="D11499">
        <v>0.62850303792600004</v>
      </c>
      <c r="E11499">
        <v>6.5487256371814002</v>
      </c>
    </row>
    <row r="11500" spans="1:5">
      <c r="A11500" t="s">
        <v>13272</v>
      </c>
      <c r="B11500" t="s">
        <v>13276</v>
      </c>
      <c r="C11500">
        <f>0</f>
        <v>0</v>
      </c>
      <c r="D11500">
        <v>0.62850303792600004</v>
      </c>
      <c r="E11500">
        <v>6.5487256371814002</v>
      </c>
    </row>
    <row r="11501" spans="1:5">
      <c r="A11501" t="s">
        <v>13272</v>
      </c>
      <c r="B11501" t="s">
        <v>13277</v>
      </c>
      <c r="C11501">
        <f>0</f>
        <v>0</v>
      </c>
      <c r="D11501">
        <v>0.62850303792600004</v>
      </c>
      <c r="E11501">
        <v>6.5487256371814002</v>
      </c>
    </row>
    <row r="11502" spans="1:5">
      <c r="A11502" t="s">
        <v>13272</v>
      </c>
      <c r="B11502" t="s">
        <v>13278</v>
      </c>
      <c r="C11502">
        <f>0</f>
        <v>0</v>
      </c>
      <c r="D11502">
        <v>0.62850303792600004</v>
      </c>
      <c r="E11502">
        <v>6.5487256371814002</v>
      </c>
    </row>
    <row r="11503" spans="1:5">
      <c r="A11503" t="s">
        <v>13272</v>
      </c>
      <c r="B11503" t="s">
        <v>13279</v>
      </c>
      <c r="C11503">
        <f>0</f>
        <v>0</v>
      </c>
      <c r="D11503">
        <v>0.62850303792600004</v>
      </c>
      <c r="E11503">
        <v>6.5487256371814002</v>
      </c>
    </row>
    <row r="11504" spans="1:5">
      <c r="A11504" t="s">
        <v>13272</v>
      </c>
      <c r="B11504" t="s">
        <v>13280</v>
      </c>
      <c r="C11504">
        <f>0</f>
        <v>0</v>
      </c>
      <c r="D11504">
        <v>0.62850303792600004</v>
      </c>
      <c r="E11504">
        <v>6.5487256371814002</v>
      </c>
    </row>
    <row r="11505" spans="1:5">
      <c r="A11505" t="s">
        <v>13281</v>
      </c>
      <c r="B11505" t="s">
        <v>13282</v>
      </c>
      <c r="C11505">
        <v>0</v>
      </c>
      <c r="D11505">
        <v>0.99441555138299997</v>
      </c>
      <c r="E11505">
        <v>6.0569715142428704</v>
      </c>
    </row>
    <row r="11506" spans="1:5">
      <c r="A11506" t="s">
        <v>13281</v>
      </c>
      <c r="B11506" t="s">
        <v>13283</v>
      </c>
      <c r="C11506">
        <v>0</v>
      </c>
      <c r="D11506">
        <v>0.99441555138299997</v>
      </c>
      <c r="E11506">
        <v>6.0569715142428704</v>
      </c>
    </row>
    <row r="11507" spans="1:5">
      <c r="A11507" t="s">
        <v>13281</v>
      </c>
      <c r="B11507" t="s">
        <v>13284</v>
      </c>
      <c r="C11507">
        <v>0</v>
      </c>
      <c r="D11507">
        <v>0.99441555138299997</v>
      </c>
      <c r="E11507">
        <v>6.0569715142428704</v>
      </c>
    </row>
    <row r="11508" spans="1:5">
      <c r="A11508" t="s">
        <v>13281</v>
      </c>
      <c r="B11508" t="s">
        <v>13285</v>
      </c>
      <c r="C11508">
        <v>0</v>
      </c>
      <c r="D11508">
        <v>0.99441555138299997</v>
      </c>
      <c r="E11508">
        <v>6.0569715142428704</v>
      </c>
    </row>
    <row r="11509" spans="1:5">
      <c r="A11509" t="s">
        <v>13281</v>
      </c>
      <c r="B11509" t="s">
        <v>13286</v>
      </c>
      <c r="C11509">
        <v>0</v>
      </c>
      <c r="D11509">
        <v>0.99441555138299997</v>
      </c>
      <c r="E11509">
        <v>6.0569715142428704</v>
      </c>
    </row>
    <row r="11510" spans="1:5">
      <c r="A11510" t="s">
        <v>13281</v>
      </c>
      <c r="B11510" t="s">
        <v>13287</v>
      </c>
      <c r="C11510">
        <v>0</v>
      </c>
      <c r="D11510">
        <v>0.99441555138299997</v>
      </c>
      <c r="E11510">
        <v>6.0569715142428704</v>
      </c>
    </row>
    <row r="11511" spans="1:5">
      <c r="A11511" t="s">
        <v>13281</v>
      </c>
      <c r="B11511" t="s">
        <v>13288</v>
      </c>
      <c r="C11511">
        <v>0</v>
      </c>
      <c r="D11511">
        <v>0.99441555138299997</v>
      </c>
      <c r="E11511">
        <v>6.0569715142428704</v>
      </c>
    </row>
    <row r="11512" spans="1:5">
      <c r="A11512" t="s">
        <v>13281</v>
      </c>
      <c r="B11512" t="s">
        <v>13289</v>
      </c>
      <c r="C11512">
        <v>0</v>
      </c>
      <c r="D11512">
        <v>0.99441555138299997</v>
      </c>
      <c r="E11512">
        <v>6.0569715142428704</v>
      </c>
    </row>
    <row r="11513" spans="1:5">
      <c r="A11513" t="s">
        <v>13281</v>
      </c>
      <c r="B11513" t="s">
        <v>13290</v>
      </c>
      <c r="C11513">
        <f>0</f>
        <v>0</v>
      </c>
      <c r="D11513">
        <v>0.99441555138299997</v>
      </c>
      <c r="E11513">
        <v>6.0569715142428704</v>
      </c>
    </row>
    <row r="11514" spans="1:5">
      <c r="A11514" t="s">
        <v>13281</v>
      </c>
      <c r="B11514" t="s">
        <v>13291</v>
      </c>
      <c r="C11514">
        <v>0</v>
      </c>
      <c r="D11514">
        <v>0.99441555138299997</v>
      </c>
      <c r="E11514">
        <v>6.0569715142428704</v>
      </c>
    </row>
    <row r="11515" spans="1:5">
      <c r="A11515" t="s">
        <v>13281</v>
      </c>
      <c r="B11515" t="s">
        <v>13292</v>
      </c>
      <c r="C11515">
        <f>0</f>
        <v>0</v>
      </c>
      <c r="D11515">
        <v>0.99441555138299997</v>
      </c>
      <c r="E11515">
        <v>6.0569715142428704</v>
      </c>
    </row>
    <row r="11516" spans="1:5">
      <c r="A11516" t="s">
        <v>13281</v>
      </c>
      <c r="B11516" t="s">
        <v>13293</v>
      </c>
      <c r="C11516">
        <f>0</f>
        <v>0</v>
      </c>
      <c r="D11516">
        <v>0.99441555138299997</v>
      </c>
      <c r="E11516">
        <v>6.0569715142428704</v>
      </c>
    </row>
    <row r="11517" spans="1:5">
      <c r="A11517" t="s">
        <v>13281</v>
      </c>
      <c r="B11517" t="s">
        <v>13294</v>
      </c>
      <c r="C11517">
        <v>0</v>
      </c>
      <c r="D11517">
        <v>0.99441555138299997</v>
      </c>
      <c r="E11517">
        <v>6.0569715142428704</v>
      </c>
    </row>
    <row r="11518" spans="1:5">
      <c r="A11518" t="s">
        <v>13281</v>
      </c>
      <c r="B11518" t="s">
        <v>13295</v>
      </c>
      <c r="C11518">
        <f>0</f>
        <v>0</v>
      </c>
      <c r="D11518">
        <v>0.99441555138299997</v>
      </c>
      <c r="E11518">
        <v>6.0569715142428704</v>
      </c>
    </row>
    <row r="11519" spans="1:5">
      <c r="A11519" t="s">
        <v>13281</v>
      </c>
      <c r="B11519" t="s">
        <v>13296</v>
      </c>
      <c r="C11519">
        <v>0</v>
      </c>
      <c r="D11519">
        <v>0.99441555138299997</v>
      </c>
      <c r="E11519">
        <v>6.0569715142428704</v>
      </c>
    </row>
    <row r="11520" spans="1:5">
      <c r="A11520" t="s">
        <v>13297</v>
      </c>
      <c r="B11520" t="s">
        <v>13298</v>
      </c>
      <c r="C11520">
        <f>0</f>
        <v>0</v>
      </c>
      <c r="D11520">
        <v>0.374076312804</v>
      </c>
      <c r="E11520">
        <v>24</v>
      </c>
    </row>
    <row r="11521" spans="1:5">
      <c r="A11521" t="s">
        <v>13297</v>
      </c>
      <c r="B11521" t="s">
        <v>13299</v>
      </c>
      <c r="C11521">
        <f>0</f>
        <v>0</v>
      </c>
      <c r="D11521">
        <v>0.374076312804</v>
      </c>
      <c r="E11521">
        <v>24</v>
      </c>
    </row>
    <row r="11522" spans="1:5">
      <c r="A11522" t="s">
        <v>13297</v>
      </c>
      <c r="B11522" t="s">
        <v>13300</v>
      </c>
      <c r="C11522">
        <v>2.6300989004600001E-2</v>
      </c>
      <c r="D11522">
        <v>0.374076312804</v>
      </c>
      <c r="E11522">
        <v>24</v>
      </c>
    </row>
    <row r="11523" spans="1:5">
      <c r="A11523" t="s">
        <v>13301</v>
      </c>
      <c r="B11523" t="s">
        <v>13302</v>
      </c>
      <c r="C11523">
        <v>0</v>
      </c>
      <c r="D11523" t="s">
        <v>106</v>
      </c>
      <c r="E11523">
        <v>18.986506746626599</v>
      </c>
    </row>
    <row r="11524" spans="1:5">
      <c r="A11524" t="s">
        <v>13301</v>
      </c>
      <c r="B11524" t="s">
        <v>13303</v>
      </c>
      <c r="C11524">
        <v>0</v>
      </c>
      <c r="D11524" t="s">
        <v>106</v>
      </c>
      <c r="E11524">
        <v>18.986506746626599</v>
      </c>
    </row>
    <row r="11525" spans="1:5">
      <c r="A11525" t="s">
        <v>13301</v>
      </c>
      <c r="B11525" t="s">
        <v>13304</v>
      </c>
      <c r="C11525">
        <v>0</v>
      </c>
      <c r="D11525" t="s">
        <v>106</v>
      </c>
      <c r="E11525">
        <v>18.986506746626599</v>
      </c>
    </row>
    <row r="11526" spans="1:5">
      <c r="A11526" t="s">
        <v>13301</v>
      </c>
      <c r="B11526" t="s">
        <v>13305</v>
      </c>
      <c r="C11526">
        <f>0</f>
        <v>0</v>
      </c>
      <c r="D11526" t="s">
        <v>106</v>
      </c>
      <c r="E11526">
        <v>18.986506746626599</v>
      </c>
    </row>
    <row r="11527" spans="1:5">
      <c r="A11527" t="s">
        <v>13301</v>
      </c>
      <c r="B11527" t="s">
        <v>13306</v>
      </c>
      <c r="C11527">
        <v>0</v>
      </c>
      <c r="D11527" t="s">
        <v>106</v>
      </c>
      <c r="E11527">
        <v>18.986506746626599</v>
      </c>
    </row>
    <row r="11528" spans="1:5">
      <c r="A11528" t="s">
        <v>13301</v>
      </c>
      <c r="B11528" t="s">
        <v>13307</v>
      </c>
      <c r="C11528">
        <f>0</f>
        <v>0</v>
      </c>
      <c r="D11528" t="s">
        <v>106</v>
      </c>
      <c r="E11528">
        <v>18.986506746626599</v>
      </c>
    </row>
    <row r="11529" spans="1:5">
      <c r="A11529" t="s">
        <v>13308</v>
      </c>
      <c r="B11529" t="s">
        <v>13309</v>
      </c>
      <c r="C11529">
        <f>0</f>
        <v>0</v>
      </c>
      <c r="D11529">
        <v>0.87444022247300002</v>
      </c>
      <c r="E11529">
        <v>0.503748125937031</v>
      </c>
    </row>
    <row r="11530" spans="1:5">
      <c r="A11530" t="s">
        <v>13308</v>
      </c>
      <c r="B11530" t="s">
        <v>13310</v>
      </c>
      <c r="C11530">
        <v>0.13695898954800001</v>
      </c>
      <c r="D11530">
        <v>0.87444022247300002</v>
      </c>
      <c r="E11530">
        <v>0.503748125937031</v>
      </c>
    </row>
    <row r="11531" spans="1:5">
      <c r="A11531" t="s">
        <v>13308</v>
      </c>
      <c r="B11531" t="s">
        <v>13311</v>
      </c>
      <c r="C11531">
        <v>0</v>
      </c>
      <c r="D11531">
        <v>0.87444022247300002</v>
      </c>
      <c r="E11531">
        <v>0.503748125937031</v>
      </c>
    </row>
    <row r="11532" spans="1:5">
      <c r="A11532" t="s">
        <v>13308</v>
      </c>
      <c r="B11532" t="s">
        <v>13312</v>
      </c>
      <c r="C11532">
        <f>0.233949168365</f>
        <v>0.23394916836499999</v>
      </c>
      <c r="D11532">
        <v>0.87444022247300002</v>
      </c>
      <c r="E11532">
        <v>0.503748125937031</v>
      </c>
    </row>
    <row r="11533" spans="1:5">
      <c r="A11533" t="s">
        <v>13313</v>
      </c>
      <c r="B11533" t="s">
        <v>13314</v>
      </c>
      <c r="C11533">
        <v>0</v>
      </c>
      <c r="D11533">
        <v>0.82787232962400004</v>
      </c>
      <c r="E11533">
        <v>8.8635682158920499</v>
      </c>
    </row>
    <row r="11534" spans="1:5">
      <c r="A11534" t="s">
        <v>13313</v>
      </c>
      <c r="B11534" t="s">
        <v>13315</v>
      </c>
      <c r="C11534">
        <v>0</v>
      </c>
      <c r="D11534">
        <v>0.82787232962400004</v>
      </c>
      <c r="E11534">
        <v>8.8635682158920499</v>
      </c>
    </row>
    <row r="11535" spans="1:5">
      <c r="A11535" t="s">
        <v>13313</v>
      </c>
      <c r="B11535" t="s">
        <v>13316</v>
      </c>
      <c r="C11535">
        <v>0</v>
      </c>
      <c r="D11535">
        <v>0.82787232962400004</v>
      </c>
      <c r="E11535">
        <v>8.8635682158920499</v>
      </c>
    </row>
    <row r="11536" spans="1:5">
      <c r="A11536" t="s">
        <v>13313</v>
      </c>
      <c r="B11536" t="s">
        <v>13317</v>
      </c>
      <c r="C11536">
        <v>0</v>
      </c>
      <c r="D11536">
        <v>0.82787232962400004</v>
      </c>
      <c r="E11536">
        <v>8.8635682158920499</v>
      </c>
    </row>
    <row r="11537" spans="1:5">
      <c r="A11537" t="s">
        <v>13313</v>
      </c>
      <c r="B11537" t="s">
        <v>13318</v>
      </c>
      <c r="C11537">
        <v>0</v>
      </c>
      <c r="D11537">
        <v>0.82787232962400004</v>
      </c>
      <c r="E11537">
        <v>8.8635682158920499</v>
      </c>
    </row>
    <row r="11538" spans="1:5">
      <c r="A11538" t="s">
        <v>13313</v>
      </c>
      <c r="B11538" t="s">
        <v>13319</v>
      </c>
      <c r="C11538">
        <v>0</v>
      </c>
      <c r="D11538">
        <v>0.82787232962400004</v>
      </c>
      <c r="E11538">
        <v>8.8635682158920499</v>
      </c>
    </row>
    <row r="11539" spans="1:5">
      <c r="A11539" t="s">
        <v>13313</v>
      </c>
      <c r="B11539" t="s">
        <v>13320</v>
      </c>
      <c r="C11539">
        <v>4.6528459104100001E-2</v>
      </c>
      <c r="D11539">
        <v>0.82787232962400004</v>
      </c>
      <c r="E11539">
        <v>8.8635682158920499</v>
      </c>
    </row>
    <row r="11540" spans="1:5">
      <c r="A11540" t="s">
        <v>13313</v>
      </c>
      <c r="B11540" t="s">
        <v>13321</v>
      </c>
      <c r="C11540">
        <v>0</v>
      </c>
      <c r="D11540">
        <v>0.82787232962400004</v>
      </c>
      <c r="E11540">
        <v>8.8635682158920499</v>
      </c>
    </row>
    <row r="11541" spans="1:5">
      <c r="A11541" t="s">
        <v>13313</v>
      </c>
      <c r="B11541" t="s">
        <v>13322</v>
      </c>
      <c r="C11541">
        <v>0</v>
      </c>
      <c r="D11541">
        <v>0.82787232962400004</v>
      </c>
      <c r="E11541">
        <v>8.8635682158920499</v>
      </c>
    </row>
    <row r="11542" spans="1:5">
      <c r="A11542" t="s">
        <v>13313</v>
      </c>
      <c r="B11542" t="s">
        <v>13323</v>
      </c>
      <c r="C11542">
        <v>0</v>
      </c>
      <c r="D11542">
        <v>0.82787232962400004</v>
      </c>
      <c r="E11542">
        <v>8.8635682158920499</v>
      </c>
    </row>
    <row r="11543" spans="1:5">
      <c r="A11543" t="s">
        <v>13313</v>
      </c>
      <c r="B11543" t="s">
        <v>13324</v>
      </c>
      <c r="C11543">
        <f>0</f>
        <v>0</v>
      </c>
      <c r="D11543">
        <v>0.82787232962400004</v>
      </c>
      <c r="E11543">
        <v>8.8635682158920499</v>
      </c>
    </row>
    <row r="11544" spans="1:5">
      <c r="A11544" t="s">
        <v>13313</v>
      </c>
      <c r="B11544" t="s">
        <v>13325</v>
      </c>
      <c r="C11544">
        <v>0</v>
      </c>
      <c r="D11544">
        <v>0.82787232962400004</v>
      </c>
      <c r="E11544">
        <v>8.8635682158920499</v>
      </c>
    </row>
    <row r="11545" spans="1:5">
      <c r="A11545" t="s">
        <v>13313</v>
      </c>
      <c r="B11545" t="s">
        <v>13326</v>
      </c>
      <c r="C11545">
        <v>0</v>
      </c>
      <c r="D11545">
        <v>0.82787232962400004</v>
      </c>
      <c r="E11545">
        <v>8.8635682158920499</v>
      </c>
    </row>
    <row r="11546" spans="1:5">
      <c r="A11546" t="s">
        <v>13313</v>
      </c>
      <c r="B11546" t="s">
        <v>13327</v>
      </c>
      <c r="C11546">
        <v>0</v>
      </c>
      <c r="D11546">
        <v>0.82787232962400004</v>
      </c>
      <c r="E11546">
        <v>8.8635682158920499</v>
      </c>
    </row>
    <row r="11547" spans="1:5">
      <c r="A11547" t="s">
        <v>13313</v>
      </c>
      <c r="B11547" t="s">
        <v>13328</v>
      </c>
      <c r="C11547">
        <v>0</v>
      </c>
      <c r="D11547">
        <v>0.82787232962400004</v>
      </c>
      <c r="E11547">
        <v>8.8635682158920499</v>
      </c>
    </row>
    <row r="11548" spans="1:5">
      <c r="A11548" t="s">
        <v>13313</v>
      </c>
      <c r="B11548" t="s">
        <v>13329</v>
      </c>
      <c r="C11548">
        <v>0</v>
      </c>
      <c r="D11548">
        <v>0.82787232962400004</v>
      </c>
      <c r="E11548">
        <v>8.8635682158920499</v>
      </c>
    </row>
    <row r="11549" spans="1:5">
      <c r="A11549" t="s">
        <v>13313</v>
      </c>
      <c r="B11549" t="s">
        <v>13330</v>
      </c>
      <c r="C11549">
        <v>0</v>
      </c>
      <c r="D11549">
        <v>0.82787232962400004</v>
      </c>
      <c r="E11549">
        <v>8.8635682158920499</v>
      </c>
    </row>
    <row r="11550" spans="1:5">
      <c r="A11550" t="s">
        <v>13313</v>
      </c>
      <c r="B11550" t="s">
        <v>13331</v>
      </c>
      <c r="C11550">
        <v>0</v>
      </c>
      <c r="D11550">
        <v>0.82787232962400004</v>
      </c>
      <c r="E11550">
        <v>8.8635682158920499</v>
      </c>
    </row>
    <row r="11551" spans="1:5">
      <c r="A11551" t="s">
        <v>13313</v>
      </c>
      <c r="B11551" t="s">
        <v>13332</v>
      </c>
      <c r="C11551">
        <v>0</v>
      </c>
      <c r="D11551">
        <v>0.82787232962400004</v>
      </c>
      <c r="E11551">
        <v>8.8635682158920499</v>
      </c>
    </row>
    <row r="11552" spans="1:5">
      <c r="A11552" t="s">
        <v>13313</v>
      </c>
      <c r="B11552" t="s">
        <v>13333</v>
      </c>
      <c r="C11552">
        <v>0</v>
      </c>
      <c r="D11552">
        <v>0.82787232962400004</v>
      </c>
      <c r="E11552">
        <v>8.8635682158920499</v>
      </c>
    </row>
    <row r="11553" spans="1:5">
      <c r="A11553" t="s">
        <v>13313</v>
      </c>
      <c r="B11553" t="s">
        <v>13334</v>
      </c>
      <c r="C11553">
        <v>8.5128402052300003E-2</v>
      </c>
      <c r="D11553">
        <v>0.82787232962400004</v>
      </c>
      <c r="E11553">
        <v>8.8635682158920499</v>
      </c>
    </row>
    <row r="11554" spans="1:5">
      <c r="A11554" t="s">
        <v>13335</v>
      </c>
      <c r="B11554" t="s">
        <v>13336</v>
      </c>
      <c r="C11554">
        <f>0.0978635048843</f>
        <v>9.7863504884299998E-2</v>
      </c>
      <c r="D11554">
        <v>0.52653879067999998</v>
      </c>
      <c r="E11554">
        <v>2.0269865067466202</v>
      </c>
    </row>
    <row r="11555" spans="1:5">
      <c r="A11555" t="s">
        <v>13337</v>
      </c>
      <c r="B11555" t="s">
        <v>13338</v>
      </c>
      <c r="C11555">
        <f>0</f>
        <v>0</v>
      </c>
      <c r="D11555">
        <v>0.92896097734799998</v>
      </c>
      <c r="E11555">
        <v>0.69565217391304301</v>
      </c>
    </row>
    <row r="11556" spans="1:5">
      <c r="A11556" t="s">
        <v>13337</v>
      </c>
      <c r="B11556" t="s">
        <v>13339</v>
      </c>
      <c r="C11556">
        <f>0</f>
        <v>0</v>
      </c>
      <c r="D11556">
        <v>0.92896097734799998</v>
      </c>
      <c r="E11556">
        <v>0.69565217391304301</v>
      </c>
    </row>
    <row r="11557" spans="1:5">
      <c r="A11557" t="s">
        <v>13337</v>
      </c>
      <c r="B11557" t="s">
        <v>13340</v>
      </c>
      <c r="C11557">
        <v>0</v>
      </c>
      <c r="D11557">
        <v>0.92896097734799998</v>
      </c>
      <c r="E11557">
        <v>0.69565217391304301</v>
      </c>
    </row>
    <row r="11558" spans="1:5">
      <c r="A11558" t="s">
        <v>13337</v>
      </c>
      <c r="B11558" t="s">
        <v>13341</v>
      </c>
      <c r="C11558">
        <v>0</v>
      </c>
      <c r="D11558">
        <v>0.92896097734799998</v>
      </c>
      <c r="E11558">
        <v>0.69565217391304301</v>
      </c>
    </row>
    <row r="11559" spans="1:5">
      <c r="A11559" t="s">
        <v>13337</v>
      </c>
      <c r="B11559" t="s">
        <v>13342</v>
      </c>
      <c r="C11559">
        <v>0.112345921177</v>
      </c>
      <c r="D11559">
        <v>0.92896097734799998</v>
      </c>
      <c r="E11559">
        <v>0.69565217391304301</v>
      </c>
    </row>
    <row r="11560" spans="1:5">
      <c r="A11560" t="s">
        <v>13337</v>
      </c>
      <c r="B11560" t="s">
        <v>13343</v>
      </c>
      <c r="C11560">
        <v>0</v>
      </c>
      <c r="D11560">
        <v>0.92896097734799998</v>
      </c>
      <c r="E11560">
        <v>0.69565217391304301</v>
      </c>
    </row>
    <row r="11561" spans="1:5">
      <c r="A11561" t="s">
        <v>13337</v>
      </c>
      <c r="B11561" t="s">
        <v>13344</v>
      </c>
      <c r="C11561">
        <f>0.0729908087916</f>
        <v>7.2990808791599998E-2</v>
      </c>
      <c r="D11561">
        <v>0.92896097734799998</v>
      </c>
      <c r="E11561">
        <v>0.69565217391304301</v>
      </c>
    </row>
    <row r="11562" spans="1:5">
      <c r="A11562" t="s">
        <v>13337</v>
      </c>
      <c r="B11562" t="s">
        <v>13345</v>
      </c>
      <c r="C11562">
        <v>0</v>
      </c>
      <c r="D11562">
        <v>0.92896097734799998</v>
      </c>
      <c r="E11562">
        <v>0.69565217391304301</v>
      </c>
    </row>
    <row r="11563" spans="1:5">
      <c r="A11563" t="s">
        <v>13337</v>
      </c>
      <c r="B11563" t="s">
        <v>13346</v>
      </c>
      <c r="C11563">
        <v>0</v>
      </c>
      <c r="D11563">
        <v>0.92896097734799998</v>
      </c>
      <c r="E11563">
        <v>0.69565217391304301</v>
      </c>
    </row>
    <row r="11564" spans="1:5">
      <c r="A11564" t="s">
        <v>13337</v>
      </c>
      <c r="B11564" t="s">
        <v>13347</v>
      </c>
      <c r="C11564">
        <v>0</v>
      </c>
      <c r="D11564">
        <v>0.92896097734799998</v>
      </c>
      <c r="E11564">
        <v>0.69565217391304301</v>
      </c>
    </row>
    <row r="11565" spans="1:5">
      <c r="A11565" t="s">
        <v>13337</v>
      </c>
      <c r="B11565" t="s">
        <v>13348</v>
      </c>
      <c r="C11565">
        <f>0</f>
        <v>0</v>
      </c>
      <c r="D11565">
        <v>0.92896097734799998</v>
      </c>
      <c r="E11565">
        <v>0.69565217391304301</v>
      </c>
    </row>
    <row r="11566" spans="1:5">
      <c r="A11566" t="s">
        <v>13349</v>
      </c>
      <c r="B11566" t="s">
        <v>13350</v>
      </c>
      <c r="C11566">
        <v>0</v>
      </c>
      <c r="D11566">
        <v>0.88576945623799996</v>
      </c>
      <c r="E11566">
        <v>1.51124437781109</v>
      </c>
    </row>
    <row r="11567" spans="1:5">
      <c r="A11567" t="s">
        <v>13349</v>
      </c>
      <c r="B11567" t="s">
        <v>13351</v>
      </c>
      <c r="C11567">
        <v>0</v>
      </c>
      <c r="D11567">
        <v>0.88576945623799996</v>
      </c>
      <c r="E11567">
        <v>1.51124437781109</v>
      </c>
    </row>
    <row r="11568" spans="1:5">
      <c r="A11568" t="s">
        <v>13349</v>
      </c>
      <c r="B11568" t="s">
        <v>13352</v>
      </c>
      <c r="C11568">
        <f>0.200010743423</f>
        <v>0.20001074342299999</v>
      </c>
      <c r="D11568">
        <v>0.88576945623799996</v>
      </c>
      <c r="E11568">
        <v>1.51124437781109</v>
      </c>
    </row>
    <row r="11569" spans="1:5">
      <c r="A11569" t="s">
        <v>13349</v>
      </c>
      <c r="B11569" t="s">
        <v>13353</v>
      </c>
      <c r="C11569">
        <f>0</f>
        <v>0</v>
      </c>
      <c r="D11569">
        <v>0.88576945623799996</v>
      </c>
      <c r="E11569">
        <v>1.51124437781109</v>
      </c>
    </row>
    <row r="11570" spans="1:5">
      <c r="A11570" t="s">
        <v>13349</v>
      </c>
      <c r="B11570" t="s">
        <v>13354</v>
      </c>
      <c r="C11570">
        <v>0</v>
      </c>
      <c r="D11570">
        <v>0.88576945623799996</v>
      </c>
      <c r="E11570">
        <v>1.51124437781109</v>
      </c>
    </row>
    <row r="11571" spans="1:5">
      <c r="A11571" t="s">
        <v>13349</v>
      </c>
      <c r="B11571" t="s">
        <v>13355</v>
      </c>
      <c r="C11571">
        <v>0</v>
      </c>
      <c r="D11571">
        <v>0.88576945623799996</v>
      </c>
      <c r="E11571">
        <v>1.51124437781109</v>
      </c>
    </row>
    <row r="11572" spans="1:5">
      <c r="A11572" t="s">
        <v>13349</v>
      </c>
      <c r="B11572" t="s">
        <v>13356</v>
      </c>
      <c r="C11572">
        <v>0</v>
      </c>
      <c r="D11572">
        <v>0.88576945623799996</v>
      </c>
      <c r="E11572">
        <v>1.51124437781109</v>
      </c>
    </row>
    <row r="11573" spans="1:5">
      <c r="A11573" t="s">
        <v>13349</v>
      </c>
      <c r="B11573" t="s">
        <v>13357</v>
      </c>
      <c r="C11573">
        <v>3.9312620736499999E-2</v>
      </c>
      <c r="D11573">
        <v>0.88576945623799996</v>
      </c>
      <c r="E11573">
        <v>1.51124437781109</v>
      </c>
    </row>
    <row r="11574" spans="1:5">
      <c r="A11574" t="s">
        <v>13349</v>
      </c>
      <c r="B11574" t="s">
        <v>13358</v>
      </c>
      <c r="C11574">
        <f>0</f>
        <v>0</v>
      </c>
      <c r="D11574">
        <v>0.88576945623799996</v>
      </c>
      <c r="E11574">
        <v>1.51124437781109</v>
      </c>
    </row>
    <row r="11575" spans="1:5">
      <c r="A11575" t="s">
        <v>13359</v>
      </c>
      <c r="B11575" t="s">
        <v>13360</v>
      </c>
      <c r="C11575">
        <f>0</f>
        <v>0</v>
      </c>
      <c r="D11575" t="s">
        <v>106</v>
      </c>
      <c r="E11575">
        <v>2.2548725637181399</v>
      </c>
    </row>
    <row r="11576" spans="1:5">
      <c r="A11576" t="s">
        <v>13359</v>
      </c>
      <c r="B11576" t="s">
        <v>13361</v>
      </c>
      <c r="C11576">
        <f>0</f>
        <v>0</v>
      </c>
      <c r="D11576" t="s">
        <v>106</v>
      </c>
      <c r="E11576">
        <v>2.2548725637181399</v>
      </c>
    </row>
    <row r="11577" spans="1:5">
      <c r="A11577" t="s">
        <v>13359</v>
      </c>
      <c r="B11577" t="s">
        <v>13362</v>
      </c>
      <c r="C11577">
        <f>0</f>
        <v>0</v>
      </c>
      <c r="D11577" t="s">
        <v>106</v>
      </c>
      <c r="E11577">
        <v>2.2548725637181399</v>
      </c>
    </row>
    <row r="11578" spans="1:5">
      <c r="A11578" t="s">
        <v>13359</v>
      </c>
      <c r="B11578" t="s">
        <v>13363</v>
      </c>
      <c r="C11578">
        <v>0</v>
      </c>
      <c r="D11578" t="s">
        <v>106</v>
      </c>
      <c r="E11578">
        <v>2.2548725637181399</v>
      </c>
    </row>
    <row r="11579" spans="1:5">
      <c r="A11579" t="s">
        <v>13359</v>
      </c>
      <c r="B11579" t="s">
        <v>13364</v>
      </c>
      <c r="C11579">
        <v>0</v>
      </c>
      <c r="D11579" t="s">
        <v>106</v>
      </c>
      <c r="E11579">
        <v>2.2548725637181399</v>
      </c>
    </row>
    <row r="11580" spans="1:5">
      <c r="A11580" t="s">
        <v>13365</v>
      </c>
      <c r="B11580" t="s">
        <v>13366</v>
      </c>
      <c r="C11580">
        <f>0</f>
        <v>0</v>
      </c>
      <c r="D11580">
        <v>0.90929949823900003</v>
      </c>
      <c r="E11580">
        <v>1.6311844077961</v>
      </c>
    </row>
    <row r="11581" spans="1:5">
      <c r="A11581" t="s">
        <v>13365</v>
      </c>
      <c r="B11581" t="s">
        <v>13367</v>
      </c>
      <c r="C11581">
        <v>0</v>
      </c>
      <c r="D11581">
        <v>0.90929949823900003</v>
      </c>
      <c r="E11581">
        <v>1.6311844077961</v>
      </c>
    </row>
    <row r="11582" spans="1:5">
      <c r="A11582" t="s">
        <v>13365</v>
      </c>
      <c r="B11582" t="s">
        <v>13368</v>
      </c>
      <c r="C11582">
        <v>0.36419530066900002</v>
      </c>
      <c r="D11582">
        <v>0.90929949823900003</v>
      </c>
      <c r="E11582">
        <v>1.6311844077961</v>
      </c>
    </row>
    <row r="11583" spans="1:5">
      <c r="A11583" t="s">
        <v>13369</v>
      </c>
      <c r="B11583" t="s">
        <v>13370</v>
      </c>
      <c r="C11583">
        <f>0</f>
        <v>0</v>
      </c>
      <c r="D11583">
        <v>0.91416246430899994</v>
      </c>
      <c r="E11583">
        <v>24</v>
      </c>
    </row>
    <row r="11584" spans="1:5">
      <c r="A11584" t="s">
        <v>13369</v>
      </c>
      <c r="B11584" t="s">
        <v>13371</v>
      </c>
      <c r="C11584">
        <f>0.118689441102</f>
        <v>0.118689441102</v>
      </c>
      <c r="D11584">
        <v>0.91416246430899994</v>
      </c>
      <c r="E11584">
        <v>24</v>
      </c>
    </row>
    <row r="11585" spans="1:5">
      <c r="A11585" t="s">
        <v>13369</v>
      </c>
      <c r="B11585" t="s">
        <v>13372</v>
      </c>
      <c r="C11585">
        <v>0</v>
      </c>
      <c r="D11585">
        <v>0.91416246430899994</v>
      </c>
      <c r="E11585">
        <v>24</v>
      </c>
    </row>
    <row r="11586" spans="1:5">
      <c r="A11586" t="s">
        <v>13369</v>
      </c>
      <c r="B11586" t="s">
        <v>13373</v>
      </c>
      <c r="C11586">
        <f>0.0322650737881</f>
        <v>3.22650737881E-2</v>
      </c>
      <c r="D11586">
        <v>0.91416246430899994</v>
      </c>
      <c r="E11586">
        <v>24</v>
      </c>
    </row>
    <row r="11587" spans="1:5">
      <c r="A11587" t="s">
        <v>13374</v>
      </c>
      <c r="B11587" t="s">
        <v>13375</v>
      </c>
      <c r="C11587">
        <v>0.40657064639700002</v>
      </c>
      <c r="D11587">
        <v>0.998001732852</v>
      </c>
      <c r="E11587">
        <v>11.0344827586206</v>
      </c>
    </row>
    <row r="11588" spans="1:5">
      <c r="A11588" t="s">
        <v>13374</v>
      </c>
      <c r="B11588" t="s">
        <v>13376</v>
      </c>
      <c r="C11588">
        <f>0</f>
        <v>0</v>
      </c>
      <c r="D11588">
        <v>0.998001732852</v>
      </c>
      <c r="E11588">
        <v>11.0344827586206</v>
      </c>
    </row>
    <row r="11589" spans="1:5">
      <c r="A11589" t="s">
        <v>13374</v>
      </c>
      <c r="B11589" t="s">
        <v>13377</v>
      </c>
      <c r="C11589">
        <f>0.21749388314</f>
        <v>0.21749388314000001</v>
      </c>
      <c r="D11589">
        <v>0.998001732852</v>
      </c>
      <c r="E11589">
        <v>11.0344827586206</v>
      </c>
    </row>
    <row r="11590" spans="1:5">
      <c r="A11590" t="s">
        <v>13374</v>
      </c>
      <c r="B11590" t="s">
        <v>13378</v>
      </c>
      <c r="C11590">
        <f>0</f>
        <v>0</v>
      </c>
      <c r="D11590">
        <v>0.998001732852</v>
      </c>
      <c r="E11590">
        <v>11.0344827586206</v>
      </c>
    </row>
    <row r="11591" spans="1:5">
      <c r="A11591" t="s">
        <v>13374</v>
      </c>
      <c r="B11591" t="s">
        <v>13379</v>
      </c>
      <c r="C11591">
        <f>0</f>
        <v>0</v>
      </c>
      <c r="D11591">
        <v>0.998001732852</v>
      </c>
      <c r="E11591">
        <v>11.0344827586206</v>
      </c>
    </row>
    <row r="11592" spans="1:5">
      <c r="A11592" t="s">
        <v>13380</v>
      </c>
      <c r="B11592" t="s">
        <v>13381</v>
      </c>
      <c r="C11592">
        <v>0</v>
      </c>
      <c r="D11592" t="s">
        <v>106</v>
      </c>
      <c r="E11592">
        <v>10.878560719640101</v>
      </c>
    </row>
    <row r="11593" spans="1:5">
      <c r="A11593" t="s">
        <v>13380</v>
      </c>
      <c r="B11593" t="s">
        <v>13382</v>
      </c>
      <c r="C11593">
        <v>0</v>
      </c>
      <c r="D11593" t="s">
        <v>106</v>
      </c>
      <c r="E11593">
        <v>10.878560719640101</v>
      </c>
    </row>
    <row r="11594" spans="1:5">
      <c r="A11594" t="s">
        <v>13380</v>
      </c>
      <c r="B11594" t="s">
        <v>13383</v>
      </c>
      <c r="C11594">
        <v>0</v>
      </c>
      <c r="D11594" t="s">
        <v>106</v>
      </c>
      <c r="E11594">
        <v>10.878560719640101</v>
      </c>
    </row>
    <row r="11595" spans="1:5">
      <c r="A11595" t="s">
        <v>13380</v>
      </c>
      <c r="B11595" t="s">
        <v>13384</v>
      </c>
      <c r="C11595">
        <v>0</v>
      </c>
      <c r="D11595" t="s">
        <v>106</v>
      </c>
      <c r="E11595">
        <v>10.878560719640101</v>
      </c>
    </row>
    <row r="11596" spans="1:5">
      <c r="A11596" t="s">
        <v>13380</v>
      </c>
      <c r="B11596" t="s">
        <v>13385</v>
      </c>
      <c r="C11596">
        <v>0</v>
      </c>
      <c r="D11596" t="s">
        <v>106</v>
      </c>
      <c r="E11596">
        <v>10.878560719640101</v>
      </c>
    </row>
    <row r="11597" spans="1:5">
      <c r="A11597" t="s">
        <v>13380</v>
      </c>
      <c r="B11597" t="s">
        <v>13386</v>
      </c>
      <c r="C11597">
        <f>0</f>
        <v>0</v>
      </c>
      <c r="D11597" t="s">
        <v>106</v>
      </c>
      <c r="E11597">
        <v>10.878560719640101</v>
      </c>
    </row>
    <row r="11598" spans="1:5">
      <c r="A11598" t="s">
        <v>13380</v>
      </c>
      <c r="B11598" t="s">
        <v>13387</v>
      </c>
      <c r="C11598">
        <f>0</f>
        <v>0</v>
      </c>
      <c r="D11598" t="s">
        <v>106</v>
      </c>
      <c r="E11598">
        <v>10.878560719640101</v>
      </c>
    </row>
    <row r="11599" spans="1:5">
      <c r="A11599" t="s">
        <v>13380</v>
      </c>
      <c r="B11599" t="s">
        <v>13388</v>
      </c>
      <c r="C11599">
        <f>0</f>
        <v>0</v>
      </c>
      <c r="D11599" t="s">
        <v>106</v>
      </c>
      <c r="E11599">
        <v>10.878560719640101</v>
      </c>
    </row>
    <row r="11600" spans="1:5">
      <c r="A11600" t="s">
        <v>13380</v>
      </c>
      <c r="B11600" t="s">
        <v>13389</v>
      </c>
      <c r="C11600">
        <v>0</v>
      </c>
      <c r="D11600" t="s">
        <v>106</v>
      </c>
      <c r="E11600">
        <v>10.878560719640101</v>
      </c>
    </row>
    <row r="11601" spans="1:5">
      <c r="A11601" t="s">
        <v>13380</v>
      </c>
      <c r="B11601" t="s">
        <v>13390</v>
      </c>
      <c r="C11601">
        <v>0</v>
      </c>
      <c r="D11601" t="s">
        <v>106</v>
      </c>
      <c r="E11601">
        <v>10.878560719640101</v>
      </c>
    </row>
    <row r="11602" spans="1:5">
      <c r="A11602" t="s">
        <v>13380</v>
      </c>
      <c r="B11602" t="s">
        <v>13391</v>
      </c>
      <c r="C11602">
        <v>0</v>
      </c>
      <c r="D11602" t="s">
        <v>106</v>
      </c>
      <c r="E11602">
        <v>10.878560719640101</v>
      </c>
    </row>
    <row r="11603" spans="1:5">
      <c r="A11603" t="s">
        <v>13380</v>
      </c>
      <c r="B11603" t="s">
        <v>13392</v>
      </c>
      <c r="C11603">
        <f>0</f>
        <v>0</v>
      </c>
      <c r="D11603" t="s">
        <v>106</v>
      </c>
      <c r="E11603">
        <v>10.878560719640101</v>
      </c>
    </row>
    <row r="11604" spans="1:5">
      <c r="A11604" t="s">
        <v>13380</v>
      </c>
      <c r="B11604" t="s">
        <v>13393</v>
      </c>
      <c r="C11604">
        <v>0</v>
      </c>
      <c r="D11604" t="s">
        <v>106</v>
      </c>
      <c r="E11604">
        <v>10.878560719640101</v>
      </c>
    </row>
    <row r="11605" spans="1:5">
      <c r="A11605" t="s">
        <v>13380</v>
      </c>
      <c r="B11605" t="s">
        <v>13394</v>
      </c>
      <c r="C11605">
        <v>0</v>
      </c>
      <c r="D11605" t="s">
        <v>106</v>
      </c>
      <c r="E11605">
        <v>10.878560719640101</v>
      </c>
    </row>
    <row r="11606" spans="1:5">
      <c r="A11606" t="s">
        <v>13380</v>
      </c>
      <c r="B11606" t="s">
        <v>13395</v>
      </c>
      <c r="C11606">
        <f>0</f>
        <v>0</v>
      </c>
      <c r="D11606" t="s">
        <v>106</v>
      </c>
      <c r="E11606">
        <v>10.878560719640101</v>
      </c>
    </row>
    <row r="11607" spans="1:5">
      <c r="A11607" t="s">
        <v>13380</v>
      </c>
      <c r="B11607" t="s">
        <v>13396</v>
      </c>
      <c r="C11607">
        <f>0</f>
        <v>0</v>
      </c>
      <c r="D11607" t="s">
        <v>106</v>
      </c>
      <c r="E11607">
        <v>10.878560719640101</v>
      </c>
    </row>
    <row r="11608" spans="1:5">
      <c r="A11608" t="s">
        <v>13380</v>
      </c>
      <c r="B11608" t="s">
        <v>13397</v>
      </c>
      <c r="C11608">
        <f>0</f>
        <v>0</v>
      </c>
      <c r="D11608" t="s">
        <v>106</v>
      </c>
      <c r="E11608">
        <v>10.878560719640101</v>
      </c>
    </row>
    <row r="11609" spans="1:5">
      <c r="A11609" t="s">
        <v>13380</v>
      </c>
      <c r="B11609" t="s">
        <v>13398</v>
      </c>
      <c r="C11609">
        <v>0</v>
      </c>
      <c r="D11609" t="s">
        <v>106</v>
      </c>
      <c r="E11609">
        <v>10.878560719640101</v>
      </c>
    </row>
    <row r="11610" spans="1:5">
      <c r="A11610" t="s">
        <v>13380</v>
      </c>
      <c r="B11610" t="s">
        <v>13399</v>
      </c>
      <c r="C11610">
        <v>0</v>
      </c>
      <c r="D11610" t="s">
        <v>106</v>
      </c>
      <c r="E11610">
        <v>10.878560719640101</v>
      </c>
    </row>
    <row r="11611" spans="1:5">
      <c r="A11611" t="s">
        <v>13380</v>
      </c>
      <c r="B11611" t="s">
        <v>13400</v>
      </c>
      <c r="C11611">
        <v>0</v>
      </c>
      <c r="D11611" t="s">
        <v>106</v>
      </c>
      <c r="E11611">
        <v>10.878560719640101</v>
      </c>
    </row>
    <row r="11612" spans="1:5">
      <c r="A11612" t="s">
        <v>13380</v>
      </c>
      <c r="B11612" t="s">
        <v>13401</v>
      </c>
      <c r="C11612">
        <f>0</f>
        <v>0</v>
      </c>
      <c r="D11612" t="s">
        <v>106</v>
      </c>
      <c r="E11612">
        <v>10.878560719640101</v>
      </c>
    </row>
    <row r="11613" spans="1:5">
      <c r="A11613" t="s">
        <v>13380</v>
      </c>
      <c r="B11613" t="s">
        <v>13402</v>
      </c>
      <c r="C11613">
        <v>0</v>
      </c>
      <c r="D11613" t="s">
        <v>106</v>
      </c>
      <c r="E11613">
        <v>10.878560719640101</v>
      </c>
    </row>
    <row r="11614" spans="1:5">
      <c r="A11614" t="s">
        <v>13380</v>
      </c>
      <c r="B11614" t="s">
        <v>13403</v>
      </c>
      <c r="C11614">
        <v>0</v>
      </c>
      <c r="D11614" t="s">
        <v>106</v>
      </c>
      <c r="E11614">
        <v>10.878560719640101</v>
      </c>
    </row>
    <row r="11615" spans="1:5">
      <c r="A11615" t="s">
        <v>13380</v>
      </c>
      <c r="B11615" t="s">
        <v>13404</v>
      </c>
      <c r="C11615">
        <f>0</f>
        <v>0</v>
      </c>
      <c r="D11615" t="s">
        <v>106</v>
      </c>
      <c r="E11615">
        <v>10.878560719640101</v>
      </c>
    </row>
    <row r="11616" spans="1:5">
      <c r="A11616" t="s">
        <v>13380</v>
      </c>
      <c r="B11616" t="s">
        <v>13405</v>
      </c>
      <c r="C11616">
        <v>0</v>
      </c>
      <c r="D11616" t="s">
        <v>106</v>
      </c>
      <c r="E11616">
        <v>10.878560719640101</v>
      </c>
    </row>
    <row r="11617" spans="1:5">
      <c r="A11617" t="s">
        <v>13380</v>
      </c>
      <c r="B11617" t="s">
        <v>13406</v>
      </c>
      <c r="C11617">
        <f>0</f>
        <v>0</v>
      </c>
      <c r="D11617" t="s">
        <v>106</v>
      </c>
      <c r="E11617">
        <v>10.878560719640101</v>
      </c>
    </row>
    <row r="11618" spans="1:5">
      <c r="A11618" t="s">
        <v>13380</v>
      </c>
      <c r="B11618" t="s">
        <v>13407</v>
      </c>
      <c r="C11618">
        <v>0</v>
      </c>
      <c r="D11618" t="s">
        <v>106</v>
      </c>
      <c r="E11618">
        <v>10.878560719640101</v>
      </c>
    </row>
    <row r="11619" spans="1:5">
      <c r="A11619" t="s">
        <v>13380</v>
      </c>
      <c r="B11619" t="s">
        <v>13408</v>
      </c>
      <c r="C11619">
        <f>0</f>
        <v>0</v>
      </c>
      <c r="D11619" t="s">
        <v>106</v>
      </c>
      <c r="E11619">
        <v>10.878560719640101</v>
      </c>
    </row>
    <row r="11620" spans="1:5">
      <c r="A11620" t="s">
        <v>13380</v>
      </c>
      <c r="B11620" t="s">
        <v>13409</v>
      </c>
      <c r="C11620">
        <v>0</v>
      </c>
      <c r="D11620" t="s">
        <v>106</v>
      </c>
      <c r="E11620">
        <v>10.878560719640101</v>
      </c>
    </row>
    <row r="11621" spans="1:5">
      <c r="A11621" t="s">
        <v>13410</v>
      </c>
      <c r="B11621" t="s">
        <v>13411</v>
      </c>
      <c r="C11621">
        <f>0</f>
        <v>0</v>
      </c>
      <c r="D11621" t="s">
        <v>106</v>
      </c>
      <c r="E11621">
        <v>4.1739130434782599</v>
      </c>
    </row>
    <row r="11622" spans="1:5">
      <c r="A11622" t="s">
        <v>13410</v>
      </c>
      <c r="B11622" t="s">
        <v>13412</v>
      </c>
      <c r="C11622">
        <v>0</v>
      </c>
      <c r="D11622" t="s">
        <v>106</v>
      </c>
      <c r="E11622">
        <v>4.1739130434782599</v>
      </c>
    </row>
    <row r="11623" spans="1:5">
      <c r="A11623" t="s">
        <v>13410</v>
      </c>
      <c r="B11623" t="s">
        <v>13413</v>
      </c>
      <c r="C11623">
        <f>0</f>
        <v>0</v>
      </c>
      <c r="D11623" t="s">
        <v>106</v>
      </c>
      <c r="E11623">
        <v>4.1739130434782599</v>
      </c>
    </row>
    <row r="11624" spans="1:5">
      <c r="A11624" t="s">
        <v>13410</v>
      </c>
      <c r="B11624" t="s">
        <v>13414</v>
      </c>
      <c r="C11624">
        <f>0</f>
        <v>0</v>
      </c>
      <c r="D11624" t="s">
        <v>106</v>
      </c>
      <c r="E11624">
        <v>4.1739130434782599</v>
      </c>
    </row>
    <row r="11625" spans="1:5">
      <c r="A11625" t="s">
        <v>13415</v>
      </c>
      <c r="B11625" t="s">
        <v>13416</v>
      </c>
      <c r="C11625">
        <v>0.29758859678999999</v>
      </c>
      <c r="D11625">
        <v>0.85129796385400003</v>
      </c>
      <c r="E11625">
        <v>9.7631184407796106</v>
      </c>
    </row>
    <row r="11626" spans="1:5">
      <c r="A11626" t="s">
        <v>13415</v>
      </c>
      <c r="B11626" t="s">
        <v>13417</v>
      </c>
      <c r="C11626">
        <v>0</v>
      </c>
      <c r="D11626">
        <v>0.85129796385400003</v>
      </c>
      <c r="E11626">
        <v>9.7631184407796106</v>
      </c>
    </row>
    <row r="11627" spans="1:5">
      <c r="A11627" t="s">
        <v>13415</v>
      </c>
      <c r="B11627" t="s">
        <v>13418</v>
      </c>
      <c r="C11627">
        <f>0</f>
        <v>0</v>
      </c>
      <c r="D11627">
        <v>0.85129796385400003</v>
      </c>
      <c r="E11627">
        <v>9.7631184407796106</v>
      </c>
    </row>
    <row r="11628" spans="1:5">
      <c r="A11628" t="s">
        <v>13415</v>
      </c>
      <c r="B11628" t="s">
        <v>13419</v>
      </c>
      <c r="C11628">
        <v>7.2314693428899998E-2</v>
      </c>
      <c r="D11628">
        <v>0.85129796385400003</v>
      </c>
      <c r="E11628">
        <v>9.7631184407796106</v>
      </c>
    </row>
    <row r="11629" spans="1:5">
      <c r="A11629" t="s">
        <v>13420</v>
      </c>
      <c r="B11629" t="s">
        <v>13421</v>
      </c>
      <c r="C11629">
        <v>0</v>
      </c>
      <c r="D11629">
        <v>0.905897632851</v>
      </c>
      <c r="E11629">
        <v>24</v>
      </c>
    </row>
    <row r="11630" spans="1:5">
      <c r="A11630" t="s">
        <v>13420</v>
      </c>
      <c r="B11630" t="s">
        <v>13422</v>
      </c>
      <c r="C11630">
        <v>0</v>
      </c>
      <c r="D11630">
        <v>0.905897632851</v>
      </c>
      <c r="E11630">
        <v>24</v>
      </c>
    </row>
    <row r="11631" spans="1:5">
      <c r="A11631" t="s">
        <v>13420</v>
      </c>
      <c r="B11631" t="s">
        <v>13423</v>
      </c>
      <c r="C11631">
        <v>0</v>
      </c>
      <c r="D11631">
        <v>0.905897632851</v>
      </c>
      <c r="E11631">
        <v>24</v>
      </c>
    </row>
    <row r="11632" spans="1:5">
      <c r="A11632" t="s">
        <v>13420</v>
      </c>
      <c r="B11632" t="s">
        <v>13424</v>
      </c>
      <c r="C11632">
        <v>5.4442063452599998E-2</v>
      </c>
      <c r="D11632">
        <v>0.905897632851</v>
      </c>
      <c r="E11632">
        <v>24</v>
      </c>
    </row>
    <row r="11633" spans="1:5">
      <c r="A11633" t="s">
        <v>13425</v>
      </c>
      <c r="B11633" t="s">
        <v>13426</v>
      </c>
      <c r="C11633">
        <v>0</v>
      </c>
      <c r="D11633" t="s">
        <v>106</v>
      </c>
      <c r="E11633">
        <v>22.5727136431784</v>
      </c>
    </row>
    <row r="11634" spans="1:5">
      <c r="A11634" t="s">
        <v>13425</v>
      </c>
      <c r="B11634" t="s">
        <v>13427</v>
      </c>
      <c r="C11634">
        <f>0.152155247533</f>
        <v>0.152155247533</v>
      </c>
      <c r="D11634" t="s">
        <v>106</v>
      </c>
      <c r="E11634">
        <v>22.5727136431784</v>
      </c>
    </row>
    <row r="11635" spans="1:5">
      <c r="A11635" t="s">
        <v>13428</v>
      </c>
      <c r="B11635" t="s">
        <v>13429</v>
      </c>
      <c r="C11635">
        <v>0</v>
      </c>
      <c r="D11635">
        <v>0.82266413522199999</v>
      </c>
      <c r="E11635">
        <v>8.2878560719640095</v>
      </c>
    </row>
    <row r="11636" spans="1:5">
      <c r="A11636" t="s">
        <v>13428</v>
      </c>
      <c r="B11636" t="s">
        <v>13430</v>
      </c>
      <c r="C11636">
        <v>0</v>
      </c>
      <c r="D11636">
        <v>0.82266413522199999</v>
      </c>
      <c r="E11636">
        <v>8.2878560719640095</v>
      </c>
    </row>
    <row r="11637" spans="1:5">
      <c r="A11637" t="s">
        <v>13428</v>
      </c>
      <c r="B11637" t="s">
        <v>13431</v>
      </c>
      <c r="C11637">
        <v>0</v>
      </c>
      <c r="D11637">
        <v>0.82266413522199999</v>
      </c>
      <c r="E11637">
        <v>8.2878560719640095</v>
      </c>
    </row>
    <row r="11638" spans="1:5">
      <c r="A11638" t="s">
        <v>13428</v>
      </c>
      <c r="B11638" t="s">
        <v>13432</v>
      </c>
      <c r="C11638">
        <v>0.16928925585599999</v>
      </c>
      <c r="D11638">
        <v>0.82266413522199999</v>
      </c>
      <c r="E11638">
        <v>8.2878560719640095</v>
      </c>
    </row>
    <row r="11639" spans="1:5">
      <c r="A11639" t="s">
        <v>13428</v>
      </c>
      <c r="B11639" t="s">
        <v>13433</v>
      </c>
      <c r="C11639">
        <v>0</v>
      </c>
      <c r="D11639">
        <v>0.82266413522199999</v>
      </c>
      <c r="E11639">
        <v>8.2878560719640095</v>
      </c>
    </row>
    <row r="11640" spans="1:5">
      <c r="A11640" t="s">
        <v>13428</v>
      </c>
      <c r="B11640" t="s">
        <v>13434</v>
      </c>
      <c r="C11640">
        <f>0</f>
        <v>0</v>
      </c>
      <c r="D11640">
        <v>0.82266413522199999</v>
      </c>
      <c r="E11640">
        <v>8.2878560719640095</v>
      </c>
    </row>
    <row r="11641" spans="1:5">
      <c r="A11641" t="s">
        <v>13428</v>
      </c>
      <c r="B11641" t="s">
        <v>13435</v>
      </c>
      <c r="C11641">
        <v>0</v>
      </c>
      <c r="D11641">
        <v>0.82266413522199999</v>
      </c>
      <c r="E11641">
        <v>8.2878560719640095</v>
      </c>
    </row>
    <row r="11642" spans="1:5">
      <c r="A11642" t="s">
        <v>13436</v>
      </c>
      <c r="B11642" t="s">
        <v>13437</v>
      </c>
      <c r="C11642">
        <f>0</f>
        <v>0</v>
      </c>
      <c r="D11642" t="s">
        <v>106</v>
      </c>
      <c r="E11642">
        <v>12.7376311844077</v>
      </c>
    </row>
    <row r="11643" spans="1:5">
      <c r="A11643" t="s">
        <v>13436</v>
      </c>
      <c r="B11643" t="s">
        <v>13438</v>
      </c>
      <c r="C11643">
        <f>0</f>
        <v>0</v>
      </c>
      <c r="D11643" t="s">
        <v>106</v>
      </c>
      <c r="E11643">
        <v>12.7376311844077</v>
      </c>
    </row>
    <row r="11644" spans="1:5">
      <c r="A11644" t="s">
        <v>13439</v>
      </c>
      <c r="B11644" t="s">
        <v>13440</v>
      </c>
      <c r="C11644">
        <v>0</v>
      </c>
      <c r="D11644" t="s">
        <v>106</v>
      </c>
      <c r="E11644">
        <v>0.82758620689655105</v>
      </c>
    </row>
    <row r="11645" spans="1:5">
      <c r="A11645" t="s">
        <v>13439</v>
      </c>
      <c r="B11645" t="s">
        <v>13441</v>
      </c>
      <c r="C11645">
        <v>0</v>
      </c>
      <c r="D11645" t="s">
        <v>106</v>
      </c>
      <c r="E11645">
        <v>0.82758620689655105</v>
      </c>
    </row>
    <row r="11646" spans="1:5">
      <c r="A11646" t="s">
        <v>13439</v>
      </c>
      <c r="B11646" t="s">
        <v>13442</v>
      </c>
      <c r="C11646">
        <v>0</v>
      </c>
      <c r="D11646" t="s">
        <v>106</v>
      </c>
      <c r="E11646">
        <v>0.82758620689655105</v>
      </c>
    </row>
    <row r="11647" spans="1:5">
      <c r="A11647" t="s">
        <v>13439</v>
      </c>
      <c r="B11647" t="s">
        <v>13443</v>
      </c>
      <c r="C11647">
        <v>0</v>
      </c>
      <c r="D11647" t="s">
        <v>106</v>
      </c>
      <c r="E11647">
        <v>0.82758620689655105</v>
      </c>
    </row>
    <row r="11648" spans="1:5">
      <c r="A11648" t="s">
        <v>13439</v>
      </c>
      <c r="B11648" t="s">
        <v>13444</v>
      </c>
      <c r="C11648">
        <f>0</f>
        <v>0</v>
      </c>
      <c r="D11648" t="s">
        <v>106</v>
      </c>
      <c r="E11648">
        <v>0.82758620689655105</v>
      </c>
    </row>
    <row r="11649" spans="1:5">
      <c r="A11649" t="s">
        <v>13439</v>
      </c>
      <c r="B11649" t="s">
        <v>13445</v>
      </c>
      <c r="C11649">
        <f>0</f>
        <v>0</v>
      </c>
      <c r="D11649" t="s">
        <v>106</v>
      </c>
      <c r="E11649">
        <v>0.82758620689655105</v>
      </c>
    </row>
    <row r="11650" spans="1:5">
      <c r="A11650" t="s">
        <v>13446</v>
      </c>
      <c r="B11650" t="s">
        <v>13447</v>
      </c>
      <c r="C11650">
        <v>0.19736955808000001</v>
      </c>
      <c r="D11650">
        <v>0.98005852088099998</v>
      </c>
      <c r="E11650">
        <v>14.3688155922038</v>
      </c>
    </row>
    <row r="11651" spans="1:5">
      <c r="A11651" t="s">
        <v>13446</v>
      </c>
      <c r="B11651" t="s">
        <v>13448</v>
      </c>
      <c r="C11651">
        <v>0.15578413053699999</v>
      </c>
      <c r="D11651">
        <v>0.98005852088099998</v>
      </c>
      <c r="E11651">
        <v>14.3688155922038</v>
      </c>
    </row>
    <row r="11652" spans="1:5">
      <c r="A11652" t="s">
        <v>13446</v>
      </c>
      <c r="B11652" t="s">
        <v>13449</v>
      </c>
      <c r="C11652">
        <v>0</v>
      </c>
      <c r="D11652">
        <v>0.98005852088099998</v>
      </c>
      <c r="E11652">
        <v>14.3688155922038</v>
      </c>
    </row>
    <row r="11653" spans="1:5">
      <c r="A11653" t="s">
        <v>13450</v>
      </c>
      <c r="B11653" t="s">
        <v>13451</v>
      </c>
      <c r="C11653">
        <v>0.12461876931800001</v>
      </c>
      <c r="D11653">
        <v>0.98304069563100005</v>
      </c>
      <c r="E11653">
        <v>15.1244377811094</v>
      </c>
    </row>
    <row r="11654" spans="1:5">
      <c r="A11654" t="s">
        <v>13450</v>
      </c>
      <c r="B11654" t="s">
        <v>13452</v>
      </c>
      <c r="C11654">
        <v>0</v>
      </c>
      <c r="D11654">
        <v>0.98304069563100005</v>
      </c>
      <c r="E11654">
        <v>15.1244377811094</v>
      </c>
    </row>
    <row r="11655" spans="1:5">
      <c r="A11655" t="s">
        <v>13450</v>
      </c>
      <c r="B11655" t="s">
        <v>13453</v>
      </c>
      <c r="C11655">
        <v>0</v>
      </c>
      <c r="D11655">
        <v>0.98304069563100005</v>
      </c>
      <c r="E11655">
        <v>15.1244377811094</v>
      </c>
    </row>
    <row r="11656" spans="1:5">
      <c r="A11656" t="s">
        <v>13450</v>
      </c>
      <c r="B11656" t="s">
        <v>13454</v>
      </c>
      <c r="C11656">
        <v>6.9644893930099996E-2</v>
      </c>
      <c r="D11656">
        <v>0.98304069563100005</v>
      </c>
      <c r="E11656">
        <v>15.1244377811094</v>
      </c>
    </row>
    <row r="11657" spans="1:5">
      <c r="A11657" t="s">
        <v>13450</v>
      </c>
      <c r="B11657" t="s">
        <v>13455</v>
      </c>
      <c r="C11657">
        <v>0</v>
      </c>
      <c r="D11657">
        <v>0.98304069563100005</v>
      </c>
      <c r="E11657">
        <v>15.1244377811094</v>
      </c>
    </row>
    <row r="11658" spans="1:5">
      <c r="A11658" t="s">
        <v>13450</v>
      </c>
      <c r="B11658" t="s">
        <v>13456</v>
      </c>
      <c r="C11658">
        <v>0</v>
      </c>
      <c r="D11658">
        <v>0.98304069563100005</v>
      </c>
      <c r="E11658">
        <v>15.1244377811094</v>
      </c>
    </row>
    <row r="11659" spans="1:5">
      <c r="A11659" t="s">
        <v>13450</v>
      </c>
      <c r="B11659" t="s">
        <v>13457</v>
      </c>
      <c r="C11659">
        <v>0</v>
      </c>
      <c r="D11659">
        <v>0.98304069563100005</v>
      </c>
      <c r="E11659">
        <v>15.1244377811094</v>
      </c>
    </row>
    <row r="11660" spans="1:5">
      <c r="A11660" t="s">
        <v>13450</v>
      </c>
      <c r="B11660" t="s">
        <v>13458</v>
      </c>
      <c r="C11660">
        <v>0</v>
      </c>
      <c r="D11660">
        <v>0.98304069563100005</v>
      </c>
      <c r="E11660">
        <v>15.1244377811094</v>
      </c>
    </row>
    <row r="11661" spans="1:5">
      <c r="A11661" t="s">
        <v>13459</v>
      </c>
      <c r="B11661" t="s">
        <v>13460</v>
      </c>
      <c r="C11661">
        <v>0</v>
      </c>
      <c r="D11661">
        <v>0.77315164200399999</v>
      </c>
      <c r="E11661">
        <v>3.8740629685157399</v>
      </c>
    </row>
    <row r="11662" spans="1:5">
      <c r="A11662" t="s">
        <v>13459</v>
      </c>
      <c r="B11662" t="s">
        <v>13461</v>
      </c>
      <c r="C11662">
        <f>0</f>
        <v>0</v>
      </c>
      <c r="D11662">
        <v>0.77315164200399999</v>
      </c>
      <c r="E11662">
        <v>3.8740629685157399</v>
      </c>
    </row>
    <row r="11663" spans="1:5">
      <c r="A11663" t="s">
        <v>13459</v>
      </c>
      <c r="B11663" t="s">
        <v>13462</v>
      </c>
      <c r="C11663">
        <v>3.6815749991900001E-2</v>
      </c>
      <c r="D11663">
        <v>0.77315164200399999</v>
      </c>
      <c r="E11663">
        <v>3.8740629685157399</v>
      </c>
    </row>
    <row r="11664" spans="1:5">
      <c r="A11664" t="s">
        <v>13459</v>
      </c>
      <c r="B11664" t="s">
        <v>13463</v>
      </c>
      <c r="C11664">
        <f>0</f>
        <v>0</v>
      </c>
      <c r="D11664">
        <v>0.77315164200399999</v>
      </c>
      <c r="E11664">
        <v>3.8740629685157399</v>
      </c>
    </row>
    <row r="11665" spans="1:5">
      <c r="A11665" t="s">
        <v>13459</v>
      </c>
      <c r="B11665" t="s">
        <v>13464</v>
      </c>
      <c r="C11665">
        <f>0</f>
        <v>0</v>
      </c>
      <c r="D11665">
        <v>0.77315164200399999</v>
      </c>
      <c r="E11665">
        <v>3.8740629685157399</v>
      </c>
    </row>
    <row r="11666" spans="1:5">
      <c r="A11666" t="s">
        <v>13459</v>
      </c>
      <c r="B11666" t="s">
        <v>13465</v>
      </c>
      <c r="C11666">
        <f>0</f>
        <v>0</v>
      </c>
      <c r="D11666">
        <v>0.77315164200399999</v>
      </c>
      <c r="E11666">
        <v>3.8740629685157399</v>
      </c>
    </row>
    <row r="11667" spans="1:5">
      <c r="A11667" t="s">
        <v>13459</v>
      </c>
      <c r="B11667" t="s">
        <v>13466</v>
      </c>
      <c r="C11667">
        <v>0</v>
      </c>
      <c r="D11667">
        <v>0.77315164200399999</v>
      </c>
      <c r="E11667">
        <v>3.8740629685157399</v>
      </c>
    </row>
    <row r="11668" spans="1:5">
      <c r="A11668" t="s">
        <v>13459</v>
      </c>
      <c r="B11668" t="s">
        <v>13467</v>
      </c>
      <c r="C11668">
        <f>0</f>
        <v>0</v>
      </c>
      <c r="D11668">
        <v>0.77315164200399999</v>
      </c>
      <c r="E11668">
        <v>3.8740629685157399</v>
      </c>
    </row>
    <row r="11669" spans="1:5">
      <c r="A11669" t="s">
        <v>13459</v>
      </c>
      <c r="B11669" t="s">
        <v>13468</v>
      </c>
      <c r="C11669">
        <v>0</v>
      </c>
      <c r="D11669">
        <v>0.77315164200399999</v>
      </c>
      <c r="E11669">
        <v>3.8740629685157399</v>
      </c>
    </row>
    <row r="11670" spans="1:5">
      <c r="A11670" t="s">
        <v>13459</v>
      </c>
      <c r="B11670" t="s">
        <v>13469</v>
      </c>
      <c r="C11670">
        <f>0</f>
        <v>0</v>
      </c>
      <c r="D11670">
        <v>0.77315164200399999</v>
      </c>
      <c r="E11670">
        <v>3.8740629685157399</v>
      </c>
    </row>
    <row r="11671" spans="1:5">
      <c r="A11671" t="s">
        <v>13459</v>
      </c>
      <c r="B11671" t="s">
        <v>13470</v>
      </c>
      <c r="C11671">
        <f>0</f>
        <v>0</v>
      </c>
      <c r="D11671">
        <v>0.77315164200399999</v>
      </c>
      <c r="E11671">
        <v>3.8740629685157399</v>
      </c>
    </row>
    <row r="11672" spans="1:5">
      <c r="A11672" t="s">
        <v>13459</v>
      </c>
      <c r="B11672" t="s">
        <v>13471</v>
      </c>
      <c r="C11672">
        <v>0</v>
      </c>
      <c r="D11672">
        <v>0.77315164200399999</v>
      </c>
      <c r="E11672">
        <v>3.8740629685157399</v>
      </c>
    </row>
    <row r="11673" spans="1:5">
      <c r="A11673" t="s">
        <v>13459</v>
      </c>
      <c r="B11673" t="s">
        <v>13472</v>
      </c>
      <c r="C11673">
        <f>0</f>
        <v>0</v>
      </c>
      <c r="D11673">
        <v>0.77315164200399999</v>
      </c>
      <c r="E11673">
        <v>3.8740629685157399</v>
      </c>
    </row>
    <row r="11674" spans="1:5">
      <c r="A11674" t="s">
        <v>13459</v>
      </c>
      <c r="B11674" t="s">
        <v>13473</v>
      </c>
      <c r="C11674">
        <v>0</v>
      </c>
      <c r="D11674">
        <v>0.77315164200399999</v>
      </c>
      <c r="E11674">
        <v>3.8740629685157399</v>
      </c>
    </row>
    <row r="11675" spans="1:5">
      <c r="A11675" t="s">
        <v>13459</v>
      </c>
      <c r="B11675" t="s">
        <v>13474</v>
      </c>
      <c r="C11675">
        <v>0</v>
      </c>
      <c r="D11675">
        <v>0.77315164200399999</v>
      </c>
      <c r="E11675">
        <v>3.8740629685157399</v>
      </c>
    </row>
    <row r="11676" spans="1:5">
      <c r="A11676" t="s">
        <v>13475</v>
      </c>
      <c r="B11676" t="s">
        <v>13476</v>
      </c>
      <c r="C11676">
        <v>0.310351842913</v>
      </c>
      <c r="D11676">
        <v>0.97812939546099997</v>
      </c>
      <c r="E11676">
        <v>0.77961019490254801</v>
      </c>
    </row>
    <row r="11677" spans="1:5">
      <c r="A11677" t="s">
        <v>13475</v>
      </c>
      <c r="B11677" t="s">
        <v>13477</v>
      </c>
      <c r="C11677">
        <v>0</v>
      </c>
      <c r="D11677">
        <v>0.97812939546099997</v>
      </c>
      <c r="E11677">
        <v>0.77961019490254801</v>
      </c>
    </row>
    <row r="11678" spans="1:5">
      <c r="A11678" t="s">
        <v>13475</v>
      </c>
      <c r="B11678" t="s">
        <v>13478</v>
      </c>
      <c r="C11678">
        <f>0</f>
        <v>0</v>
      </c>
      <c r="D11678">
        <v>0.97812939546099997</v>
      </c>
      <c r="E11678">
        <v>0.77961019490254801</v>
      </c>
    </row>
    <row r="11679" spans="1:5">
      <c r="A11679" t="s">
        <v>13475</v>
      </c>
      <c r="B11679" t="s">
        <v>13479</v>
      </c>
      <c r="C11679">
        <v>0</v>
      </c>
      <c r="D11679">
        <v>0.97812939546099997</v>
      </c>
      <c r="E11679">
        <v>0.77961019490254801</v>
      </c>
    </row>
    <row r="11680" spans="1:5">
      <c r="A11680" t="s">
        <v>13475</v>
      </c>
      <c r="B11680" t="s">
        <v>13480</v>
      </c>
      <c r="C11680">
        <v>0</v>
      </c>
      <c r="D11680">
        <v>0.97812939546099997</v>
      </c>
      <c r="E11680">
        <v>0.77961019490254801</v>
      </c>
    </row>
    <row r="11681" spans="1:5">
      <c r="A11681" t="s">
        <v>13475</v>
      </c>
      <c r="B11681" t="s">
        <v>13481</v>
      </c>
      <c r="C11681">
        <v>0</v>
      </c>
      <c r="D11681">
        <v>0.97812939546099997</v>
      </c>
      <c r="E11681">
        <v>0.77961019490254801</v>
      </c>
    </row>
    <row r="11682" spans="1:5">
      <c r="A11682" t="s">
        <v>13475</v>
      </c>
      <c r="B11682" t="s">
        <v>13482</v>
      </c>
      <c r="C11682">
        <f>0.134345906201</f>
        <v>0.13434590620100001</v>
      </c>
      <c r="D11682">
        <v>0.97812939546099997</v>
      </c>
      <c r="E11682">
        <v>0.77961019490254801</v>
      </c>
    </row>
    <row r="11683" spans="1:5">
      <c r="A11683" t="s">
        <v>13475</v>
      </c>
      <c r="B11683" t="s">
        <v>13483</v>
      </c>
      <c r="C11683">
        <f>0</f>
        <v>0</v>
      </c>
      <c r="D11683">
        <v>0.97812939546099997</v>
      </c>
      <c r="E11683">
        <v>0.77961019490254801</v>
      </c>
    </row>
    <row r="11684" spans="1:5">
      <c r="A11684" t="s">
        <v>13475</v>
      </c>
      <c r="B11684" t="s">
        <v>13484</v>
      </c>
      <c r="C11684">
        <v>0</v>
      </c>
      <c r="D11684">
        <v>0.97812939546099997</v>
      </c>
      <c r="E11684">
        <v>0.77961019490254801</v>
      </c>
    </row>
    <row r="11685" spans="1:5">
      <c r="A11685" t="s">
        <v>13475</v>
      </c>
      <c r="B11685" t="s">
        <v>13485</v>
      </c>
      <c r="C11685">
        <f>0</f>
        <v>0</v>
      </c>
      <c r="D11685">
        <v>0.97812939546099997</v>
      </c>
      <c r="E11685">
        <v>0.77961019490254801</v>
      </c>
    </row>
    <row r="11686" spans="1:5">
      <c r="A11686" t="s">
        <v>13475</v>
      </c>
      <c r="B11686" t="s">
        <v>13486</v>
      </c>
      <c r="C11686">
        <f>0</f>
        <v>0</v>
      </c>
      <c r="D11686">
        <v>0.97812939546099997</v>
      </c>
      <c r="E11686">
        <v>0.77961019490254801</v>
      </c>
    </row>
    <row r="11687" spans="1:5">
      <c r="A11687" t="s">
        <v>13487</v>
      </c>
      <c r="B11687" t="s">
        <v>13488</v>
      </c>
      <c r="C11687">
        <f>0</f>
        <v>0</v>
      </c>
      <c r="D11687">
        <v>0.85920334554699995</v>
      </c>
      <c r="E11687">
        <v>9.7631184407796106</v>
      </c>
    </row>
    <row r="11688" spans="1:5">
      <c r="A11688" t="s">
        <v>13487</v>
      </c>
      <c r="B11688" t="s">
        <v>13489</v>
      </c>
      <c r="C11688">
        <v>0.36973931563899998</v>
      </c>
      <c r="D11688">
        <v>0.85920334554699995</v>
      </c>
      <c r="E11688">
        <v>9.7631184407796106</v>
      </c>
    </row>
    <row r="11689" spans="1:5">
      <c r="A11689" t="s">
        <v>13487</v>
      </c>
      <c r="B11689" t="s">
        <v>13490</v>
      </c>
      <c r="C11689">
        <f>0.0291325783753</f>
        <v>2.9132578375299999E-2</v>
      </c>
      <c r="D11689">
        <v>0.85920334554699995</v>
      </c>
      <c r="E11689">
        <v>9.7631184407796106</v>
      </c>
    </row>
    <row r="11690" spans="1:5">
      <c r="A11690" t="s">
        <v>13491</v>
      </c>
      <c r="B11690" t="s">
        <v>13492</v>
      </c>
      <c r="C11690">
        <v>0</v>
      </c>
      <c r="D11690">
        <v>0.96164607397000001</v>
      </c>
      <c r="E11690">
        <v>0.91154422788605605</v>
      </c>
    </row>
    <row r="11691" spans="1:5">
      <c r="A11691" t="s">
        <v>13491</v>
      </c>
      <c r="B11691" t="s">
        <v>13493</v>
      </c>
      <c r="C11691">
        <f>0.0295046221074</f>
        <v>2.95046221074E-2</v>
      </c>
      <c r="D11691">
        <v>0.96164607397000001</v>
      </c>
      <c r="E11691">
        <v>0.91154422788605605</v>
      </c>
    </row>
    <row r="11692" spans="1:5">
      <c r="A11692" t="s">
        <v>13491</v>
      </c>
      <c r="B11692" t="s">
        <v>13494</v>
      </c>
      <c r="C11692">
        <v>0</v>
      </c>
      <c r="D11692">
        <v>0.96164607397000001</v>
      </c>
      <c r="E11692">
        <v>0.91154422788605605</v>
      </c>
    </row>
    <row r="11693" spans="1:5">
      <c r="A11693" t="s">
        <v>13491</v>
      </c>
      <c r="B11693" t="s">
        <v>13495</v>
      </c>
      <c r="C11693">
        <v>0</v>
      </c>
      <c r="D11693">
        <v>0.96164607397000001</v>
      </c>
      <c r="E11693">
        <v>0.91154422788605605</v>
      </c>
    </row>
    <row r="11694" spans="1:5">
      <c r="A11694" t="s">
        <v>13491</v>
      </c>
      <c r="B11694" t="s">
        <v>13496</v>
      </c>
      <c r="C11694">
        <v>0</v>
      </c>
      <c r="D11694">
        <v>0.96164607397000001</v>
      </c>
      <c r="E11694">
        <v>0.91154422788605605</v>
      </c>
    </row>
    <row r="11695" spans="1:5">
      <c r="A11695" t="s">
        <v>13491</v>
      </c>
      <c r="B11695" t="s">
        <v>13497</v>
      </c>
      <c r="C11695">
        <v>0</v>
      </c>
      <c r="D11695">
        <v>0.96164607397000001</v>
      </c>
      <c r="E11695">
        <v>0.91154422788605605</v>
      </c>
    </row>
    <row r="11696" spans="1:5">
      <c r="A11696" t="s">
        <v>13491</v>
      </c>
      <c r="B11696" t="s">
        <v>13498</v>
      </c>
      <c r="C11696">
        <v>0</v>
      </c>
      <c r="D11696">
        <v>0.96164607397000001</v>
      </c>
      <c r="E11696">
        <v>0.91154422788605605</v>
      </c>
    </row>
    <row r="11697" spans="1:5">
      <c r="A11697" t="s">
        <v>13491</v>
      </c>
      <c r="B11697" t="s">
        <v>13499</v>
      </c>
      <c r="C11697">
        <v>0.404308341347</v>
      </c>
      <c r="D11697">
        <v>0.96164607397000001</v>
      </c>
      <c r="E11697">
        <v>0.91154422788605605</v>
      </c>
    </row>
    <row r="11698" spans="1:5">
      <c r="A11698" t="s">
        <v>13500</v>
      </c>
      <c r="B11698" t="s">
        <v>13501</v>
      </c>
      <c r="C11698">
        <v>0</v>
      </c>
      <c r="D11698" t="s">
        <v>106</v>
      </c>
      <c r="E11698">
        <v>0.82758620689655105</v>
      </c>
    </row>
    <row r="11699" spans="1:5">
      <c r="A11699" t="s">
        <v>13500</v>
      </c>
      <c r="B11699" t="s">
        <v>13502</v>
      </c>
      <c r="C11699">
        <v>0</v>
      </c>
      <c r="D11699" t="s">
        <v>106</v>
      </c>
      <c r="E11699">
        <v>0.82758620689655105</v>
      </c>
    </row>
    <row r="11700" spans="1:5">
      <c r="A11700" t="s">
        <v>13500</v>
      </c>
      <c r="B11700" t="s">
        <v>13503</v>
      </c>
      <c r="C11700">
        <f>0</f>
        <v>0</v>
      </c>
      <c r="D11700" t="s">
        <v>106</v>
      </c>
      <c r="E11700">
        <v>0.82758620689655105</v>
      </c>
    </row>
    <row r="11701" spans="1:5">
      <c r="A11701" t="s">
        <v>13500</v>
      </c>
      <c r="B11701" t="s">
        <v>13504</v>
      </c>
      <c r="C11701">
        <v>0</v>
      </c>
      <c r="D11701" t="s">
        <v>106</v>
      </c>
      <c r="E11701">
        <v>0.82758620689655105</v>
      </c>
    </row>
    <row r="11702" spans="1:5">
      <c r="A11702" t="s">
        <v>13500</v>
      </c>
      <c r="B11702" t="s">
        <v>13505</v>
      </c>
      <c r="C11702">
        <v>0</v>
      </c>
      <c r="D11702" t="s">
        <v>106</v>
      </c>
      <c r="E11702">
        <v>0.82758620689655105</v>
      </c>
    </row>
    <row r="11703" spans="1:5">
      <c r="A11703" t="s">
        <v>13500</v>
      </c>
      <c r="B11703" t="s">
        <v>13506</v>
      </c>
      <c r="C11703">
        <f>0</f>
        <v>0</v>
      </c>
      <c r="D11703" t="s">
        <v>106</v>
      </c>
      <c r="E11703">
        <v>0.82758620689655105</v>
      </c>
    </row>
    <row r="11704" spans="1:5">
      <c r="A11704" t="s">
        <v>13500</v>
      </c>
      <c r="B11704" t="s">
        <v>13507</v>
      </c>
      <c r="C11704">
        <v>0</v>
      </c>
      <c r="D11704" t="s">
        <v>106</v>
      </c>
      <c r="E11704">
        <v>0.82758620689655105</v>
      </c>
    </row>
    <row r="11705" spans="1:5">
      <c r="A11705" t="s">
        <v>13500</v>
      </c>
      <c r="B11705" t="s">
        <v>13508</v>
      </c>
      <c r="C11705">
        <v>0</v>
      </c>
      <c r="D11705" t="s">
        <v>106</v>
      </c>
      <c r="E11705">
        <v>0.82758620689655105</v>
      </c>
    </row>
    <row r="11706" spans="1:5">
      <c r="A11706" t="s">
        <v>13500</v>
      </c>
      <c r="B11706" t="s">
        <v>13509</v>
      </c>
      <c r="C11706">
        <v>0</v>
      </c>
      <c r="D11706" t="s">
        <v>106</v>
      </c>
      <c r="E11706">
        <v>0.82758620689655105</v>
      </c>
    </row>
    <row r="11707" spans="1:5">
      <c r="A11707" t="s">
        <v>13500</v>
      </c>
      <c r="B11707" t="s">
        <v>13510</v>
      </c>
      <c r="C11707">
        <v>0</v>
      </c>
      <c r="D11707" t="s">
        <v>106</v>
      </c>
      <c r="E11707">
        <v>0.82758620689655105</v>
      </c>
    </row>
    <row r="11708" spans="1:5">
      <c r="A11708" t="s">
        <v>13500</v>
      </c>
      <c r="B11708" t="s">
        <v>13511</v>
      </c>
      <c r="C11708">
        <f>0</f>
        <v>0</v>
      </c>
      <c r="D11708" t="s">
        <v>106</v>
      </c>
      <c r="E11708">
        <v>0.82758620689655105</v>
      </c>
    </row>
    <row r="11709" spans="1:5">
      <c r="A11709" t="s">
        <v>13512</v>
      </c>
      <c r="B11709" t="s">
        <v>13513</v>
      </c>
      <c r="C11709">
        <f>0</f>
        <v>0</v>
      </c>
      <c r="D11709">
        <v>0.825050792004</v>
      </c>
      <c r="E11709">
        <v>2.0989505247376301</v>
      </c>
    </row>
    <row r="11710" spans="1:5">
      <c r="A11710" t="s">
        <v>13512</v>
      </c>
      <c r="B11710" t="s">
        <v>13514</v>
      </c>
      <c r="C11710">
        <f>0</f>
        <v>0</v>
      </c>
      <c r="D11710">
        <v>0.825050792004</v>
      </c>
      <c r="E11710">
        <v>2.0989505247376301</v>
      </c>
    </row>
    <row r="11711" spans="1:5">
      <c r="A11711" t="s">
        <v>13512</v>
      </c>
      <c r="B11711" t="s">
        <v>13515</v>
      </c>
      <c r="C11711">
        <f>0.212168899339</f>
        <v>0.21216889933899999</v>
      </c>
      <c r="D11711">
        <v>0.825050792004</v>
      </c>
      <c r="E11711">
        <v>2.0989505247376301</v>
      </c>
    </row>
    <row r="11712" spans="1:5">
      <c r="A11712" t="s">
        <v>13512</v>
      </c>
      <c r="B11712" t="s">
        <v>13516</v>
      </c>
      <c r="C11712">
        <f>0</f>
        <v>0</v>
      </c>
      <c r="D11712">
        <v>0.825050792004</v>
      </c>
      <c r="E11712">
        <v>2.0989505247376301</v>
      </c>
    </row>
    <row r="11713" spans="1:5">
      <c r="A11713" t="s">
        <v>13512</v>
      </c>
      <c r="B11713" t="s">
        <v>13517</v>
      </c>
      <c r="C11713">
        <f>0</f>
        <v>0</v>
      </c>
      <c r="D11713">
        <v>0.825050792004</v>
      </c>
      <c r="E11713">
        <v>2.0989505247376301</v>
      </c>
    </row>
    <row r="11714" spans="1:5">
      <c r="A11714" t="s">
        <v>13518</v>
      </c>
      <c r="B11714" t="s">
        <v>13519</v>
      </c>
      <c r="C11714">
        <f>0</f>
        <v>0</v>
      </c>
      <c r="D11714" t="s">
        <v>106</v>
      </c>
      <c r="E11714">
        <v>7.5922038980509701</v>
      </c>
    </row>
    <row r="11715" spans="1:5">
      <c r="A11715" t="s">
        <v>13518</v>
      </c>
      <c r="B11715" t="s">
        <v>13520</v>
      </c>
      <c r="C11715">
        <f>0</f>
        <v>0</v>
      </c>
      <c r="D11715" t="s">
        <v>106</v>
      </c>
      <c r="E11715">
        <v>7.5922038980509701</v>
      </c>
    </row>
    <row r="11716" spans="1:5">
      <c r="A11716" t="s">
        <v>13518</v>
      </c>
      <c r="B11716" t="s">
        <v>13521</v>
      </c>
      <c r="C11716">
        <v>0</v>
      </c>
      <c r="D11716" t="s">
        <v>106</v>
      </c>
      <c r="E11716">
        <v>7.5922038980509701</v>
      </c>
    </row>
    <row r="11717" spans="1:5">
      <c r="A11717" t="s">
        <v>13518</v>
      </c>
      <c r="B11717" t="s">
        <v>13522</v>
      </c>
      <c r="C11717">
        <f>0</f>
        <v>0</v>
      </c>
      <c r="D11717" t="s">
        <v>106</v>
      </c>
      <c r="E11717">
        <v>7.5922038980509701</v>
      </c>
    </row>
    <row r="11718" spans="1:5">
      <c r="A11718" t="s">
        <v>13518</v>
      </c>
      <c r="B11718" t="s">
        <v>13523</v>
      </c>
      <c r="C11718">
        <f>0</f>
        <v>0</v>
      </c>
      <c r="D11718" t="s">
        <v>106</v>
      </c>
      <c r="E11718">
        <v>7.5922038980509701</v>
      </c>
    </row>
    <row r="11719" spans="1:5">
      <c r="A11719" t="s">
        <v>13518</v>
      </c>
      <c r="B11719" t="s">
        <v>13524</v>
      </c>
      <c r="C11719">
        <f>0</f>
        <v>0</v>
      </c>
      <c r="D11719" t="s">
        <v>106</v>
      </c>
      <c r="E11719">
        <v>7.5922038980509701</v>
      </c>
    </row>
    <row r="11720" spans="1:5">
      <c r="A11720" t="s">
        <v>13518</v>
      </c>
      <c r="B11720" t="s">
        <v>13525</v>
      </c>
      <c r="C11720">
        <v>0</v>
      </c>
      <c r="D11720" t="s">
        <v>106</v>
      </c>
      <c r="E11720">
        <v>7.5922038980509701</v>
      </c>
    </row>
    <row r="11721" spans="1:5">
      <c r="A11721" t="s">
        <v>13518</v>
      </c>
      <c r="B11721" t="s">
        <v>13526</v>
      </c>
      <c r="C11721">
        <v>0</v>
      </c>
      <c r="D11721" t="s">
        <v>106</v>
      </c>
      <c r="E11721">
        <v>7.5922038980509701</v>
      </c>
    </row>
    <row r="11722" spans="1:5">
      <c r="A11722" t="s">
        <v>13527</v>
      </c>
      <c r="B11722" t="s">
        <v>13528</v>
      </c>
      <c r="C11722">
        <v>0</v>
      </c>
      <c r="D11722">
        <v>0.99968200264600005</v>
      </c>
      <c r="E11722">
        <v>5.69715142428785</v>
      </c>
    </row>
    <row r="11723" spans="1:5">
      <c r="A11723" t="s">
        <v>13527</v>
      </c>
      <c r="B11723" t="s">
        <v>13529</v>
      </c>
      <c r="C11723">
        <f>0.0563890127833</f>
        <v>5.6389012783299997E-2</v>
      </c>
      <c r="D11723">
        <v>0.99968200264600005</v>
      </c>
      <c r="E11723">
        <v>5.69715142428785</v>
      </c>
    </row>
    <row r="11724" spans="1:5">
      <c r="A11724" t="s">
        <v>13527</v>
      </c>
      <c r="B11724" t="s">
        <v>13530</v>
      </c>
      <c r="C11724">
        <v>0</v>
      </c>
      <c r="D11724">
        <v>0.99968200264600005</v>
      </c>
      <c r="E11724">
        <v>5.69715142428785</v>
      </c>
    </row>
    <row r="11725" spans="1:5">
      <c r="A11725" t="s">
        <v>13527</v>
      </c>
      <c r="B11725" t="s">
        <v>13531</v>
      </c>
      <c r="C11725">
        <f>0.133358254562</f>
        <v>0.13335825456200001</v>
      </c>
      <c r="D11725">
        <v>0.99968200264600005</v>
      </c>
      <c r="E11725">
        <v>5.69715142428785</v>
      </c>
    </row>
    <row r="11726" spans="1:5">
      <c r="A11726" t="s">
        <v>13527</v>
      </c>
      <c r="B11726" t="s">
        <v>13532</v>
      </c>
      <c r="C11726">
        <f>0</f>
        <v>0</v>
      </c>
      <c r="D11726">
        <v>0.99968200264600005</v>
      </c>
      <c r="E11726">
        <v>5.69715142428785</v>
      </c>
    </row>
    <row r="11727" spans="1:5">
      <c r="A11727" t="s">
        <v>13527</v>
      </c>
      <c r="B11727" t="s">
        <v>13533</v>
      </c>
      <c r="C11727">
        <f>0</f>
        <v>0</v>
      </c>
      <c r="D11727">
        <v>0.99968200264600005</v>
      </c>
      <c r="E11727">
        <v>5.69715142428785</v>
      </c>
    </row>
    <row r="11728" spans="1:5">
      <c r="A11728" t="s">
        <v>13527</v>
      </c>
      <c r="B11728" t="s">
        <v>13534</v>
      </c>
      <c r="C11728">
        <f>0</f>
        <v>0</v>
      </c>
      <c r="D11728">
        <v>0.99968200264600005</v>
      </c>
      <c r="E11728">
        <v>5.69715142428785</v>
      </c>
    </row>
    <row r="11729" spans="1:5">
      <c r="A11729" t="s">
        <v>13535</v>
      </c>
      <c r="B11729" t="s">
        <v>13536</v>
      </c>
      <c r="C11729">
        <f>0.200670056234</f>
        <v>0.200670056234</v>
      </c>
      <c r="D11729">
        <v>0.95313077851000005</v>
      </c>
      <c r="E11729">
        <v>11.0344827586206</v>
      </c>
    </row>
    <row r="11730" spans="1:5">
      <c r="A11730" t="s">
        <v>13535</v>
      </c>
      <c r="B11730" t="s">
        <v>13537</v>
      </c>
      <c r="C11730">
        <v>0.27573587476599998</v>
      </c>
      <c r="D11730">
        <v>0.95313077851000005</v>
      </c>
      <c r="E11730">
        <v>11.0344827586206</v>
      </c>
    </row>
    <row r="11731" spans="1:5">
      <c r="A11731" t="s">
        <v>13535</v>
      </c>
      <c r="B11731" t="s">
        <v>13538</v>
      </c>
      <c r="C11731">
        <v>0</v>
      </c>
      <c r="D11731">
        <v>0.95313077851000005</v>
      </c>
      <c r="E11731">
        <v>11.0344827586206</v>
      </c>
    </row>
    <row r="11732" spans="1:5">
      <c r="A11732" t="s">
        <v>13535</v>
      </c>
      <c r="B11732" t="s">
        <v>13539</v>
      </c>
      <c r="C11732">
        <v>0</v>
      </c>
      <c r="D11732">
        <v>0.95313077851000005</v>
      </c>
      <c r="E11732">
        <v>11.0344827586206</v>
      </c>
    </row>
    <row r="11733" spans="1:5">
      <c r="A11733" t="s">
        <v>13540</v>
      </c>
      <c r="B11733" t="s">
        <v>13541</v>
      </c>
      <c r="C11733">
        <v>0.19697388724699999</v>
      </c>
      <c r="D11733">
        <v>0.89093723604899999</v>
      </c>
      <c r="E11733">
        <v>8.5757121439280297</v>
      </c>
    </row>
    <row r="11734" spans="1:5">
      <c r="A11734" t="s">
        <v>13540</v>
      </c>
      <c r="B11734" t="s">
        <v>13542</v>
      </c>
      <c r="C11734">
        <v>0</v>
      </c>
      <c r="D11734">
        <v>0.89093723604899999</v>
      </c>
      <c r="E11734">
        <v>8.5757121439280297</v>
      </c>
    </row>
    <row r="11735" spans="1:5">
      <c r="A11735" t="s">
        <v>13540</v>
      </c>
      <c r="B11735" t="s">
        <v>13543</v>
      </c>
      <c r="C11735">
        <v>0</v>
      </c>
      <c r="D11735">
        <v>0.89093723604899999</v>
      </c>
      <c r="E11735">
        <v>8.5757121439280297</v>
      </c>
    </row>
    <row r="11736" spans="1:5">
      <c r="A11736" t="s">
        <v>13540</v>
      </c>
      <c r="B11736" t="s">
        <v>13544</v>
      </c>
      <c r="C11736">
        <v>0</v>
      </c>
      <c r="D11736">
        <v>0.89093723604899999</v>
      </c>
      <c r="E11736">
        <v>8.5757121439280297</v>
      </c>
    </row>
    <row r="11737" spans="1:5">
      <c r="A11737" t="s">
        <v>13545</v>
      </c>
      <c r="B11737" t="s">
        <v>13546</v>
      </c>
      <c r="C11737">
        <v>0</v>
      </c>
      <c r="D11737">
        <v>0.86155206219199998</v>
      </c>
      <c r="E11737">
        <v>7.8680659670164896</v>
      </c>
    </row>
    <row r="11738" spans="1:5">
      <c r="A11738" t="s">
        <v>13545</v>
      </c>
      <c r="B11738" t="s">
        <v>13547</v>
      </c>
      <c r="C11738">
        <v>3.97704149816E-2</v>
      </c>
      <c r="D11738">
        <v>0.86155206219199998</v>
      </c>
      <c r="E11738">
        <v>7.8680659670164896</v>
      </c>
    </row>
    <row r="11739" spans="1:5">
      <c r="A11739" t="s">
        <v>13545</v>
      </c>
      <c r="B11739" t="s">
        <v>13548</v>
      </c>
      <c r="C11739">
        <f>0</f>
        <v>0</v>
      </c>
      <c r="D11739">
        <v>0.86155206219199998</v>
      </c>
      <c r="E11739">
        <v>7.8680659670164896</v>
      </c>
    </row>
    <row r="11740" spans="1:5">
      <c r="A11740" t="s">
        <v>13545</v>
      </c>
      <c r="B11740" t="s">
        <v>13549</v>
      </c>
      <c r="C11740">
        <f>0</f>
        <v>0</v>
      </c>
      <c r="D11740">
        <v>0.86155206219199998</v>
      </c>
      <c r="E11740">
        <v>7.8680659670164896</v>
      </c>
    </row>
    <row r="11741" spans="1:5">
      <c r="A11741" t="s">
        <v>13545</v>
      </c>
      <c r="B11741" t="s">
        <v>13550</v>
      </c>
      <c r="C11741">
        <v>0</v>
      </c>
      <c r="D11741">
        <v>0.86155206219199998</v>
      </c>
      <c r="E11741">
        <v>7.8680659670164896</v>
      </c>
    </row>
    <row r="11742" spans="1:5">
      <c r="A11742" t="s">
        <v>13545</v>
      </c>
      <c r="B11742" t="s">
        <v>13551</v>
      </c>
      <c r="C11742">
        <v>0.17984232127399999</v>
      </c>
      <c r="D11742">
        <v>0.86155206219199998</v>
      </c>
      <c r="E11742">
        <v>7.8680659670164896</v>
      </c>
    </row>
    <row r="11743" spans="1:5">
      <c r="A11743" t="s">
        <v>13545</v>
      </c>
      <c r="B11743" t="s">
        <v>13552</v>
      </c>
      <c r="C11743">
        <v>0</v>
      </c>
      <c r="D11743">
        <v>0.86155206219199998</v>
      </c>
      <c r="E11743">
        <v>7.8680659670164896</v>
      </c>
    </row>
    <row r="11744" spans="1:5">
      <c r="A11744" t="s">
        <v>13553</v>
      </c>
      <c r="B11744" t="s">
        <v>13554</v>
      </c>
      <c r="C11744">
        <v>4.4289424459700001E-2</v>
      </c>
      <c r="D11744">
        <v>0.32189658990100001</v>
      </c>
      <c r="E11744">
        <v>6.8005997001499203</v>
      </c>
    </row>
    <row r="11745" spans="1:5">
      <c r="A11745" t="s">
        <v>13553</v>
      </c>
      <c r="B11745" t="s">
        <v>13555</v>
      </c>
      <c r="C11745">
        <v>0</v>
      </c>
      <c r="D11745">
        <v>0.32189658990100001</v>
      </c>
      <c r="E11745">
        <v>6.8005997001499203</v>
      </c>
    </row>
    <row r="11746" spans="1:5">
      <c r="A11746" t="s">
        <v>13556</v>
      </c>
      <c r="B11746" t="s">
        <v>13557</v>
      </c>
      <c r="C11746">
        <f>0</f>
        <v>0</v>
      </c>
      <c r="D11746">
        <v>0.98929707742299999</v>
      </c>
      <c r="E11746">
        <v>5.9370314842578704</v>
      </c>
    </row>
    <row r="11747" spans="1:5">
      <c r="A11747" t="s">
        <v>13556</v>
      </c>
      <c r="B11747" t="s">
        <v>13558</v>
      </c>
      <c r="C11747">
        <f>0</f>
        <v>0</v>
      </c>
      <c r="D11747">
        <v>0.98929707742299999</v>
      </c>
      <c r="E11747">
        <v>5.9370314842578704</v>
      </c>
    </row>
    <row r="11748" spans="1:5">
      <c r="A11748" t="s">
        <v>13559</v>
      </c>
      <c r="B11748" t="s">
        <v>13560</v>
      </c>
      <c r="C11748">
        <v>0</v>
      </c>
      <c r="D11748">
        <v>0.98829153071800002</v>
      </c>
      <c r="E11748">
        <v>0.23988005997001499</v>
      </c>
    </row>
    <row r="11749" spans="1:5">
      <c r="A11749" t="s">
        <v>13559</v>
      </c>
      <c r="B11749" t="s">
        <v>13561</v>
      </c>
      <c r="C11749">
        <v>0.78398959380699995</v>
      </c>
      <c r="D11749">
        <v>0.98829153071800002</v>
      </c>
      <c r="E11749">
        <v>0.23988005997001499</v>
      </c>
    </row>
    <row r="11750" spans="1:5">
      <c r="A11750" t="s">
        <v>13559</v>
      </c>
      <c r="B11750" t="s">
        <v>13562</v>
      </c>
      <c r="C11750">
        <f>0</f>
        <v>0</v>
      </c>
      <c r="D11750">
        <v>0.98829153071800002</v>
      </c>
      <c r="E11750">
        <v>0.23988005997001499</v>
      </c>
    </row>
    <row r="11751" spans="1:5">
      <c r="A11751" t="s">
        <v>13559</v>
      </c>
      <c r="B11751" t="s">
        <v>13563</v>
      </c>
      <c r="C11751">
        <f>0.0583112787359</f>
        <v>5.8311278735900002E-2</v>
      </c>
      <c r="D11751">
        <v>0.98829153071800002</v>
      </c>
      <c r="E11751">
        <v>0.23988005997001499</v>
      </c>
    </row>
    <row r="11752" spans="1:5">
      <c r="A11752" t="s">
        <v>13559</v>
      </c>
      <c r="B11752" t="s">
        <v>13564</v>
      </c>
      <c r="C11752">
        <f>0</f>
        <v>0</v>
      </c>
      <c r="D11752">
        <v>0.98829153071800002</v>
      </c>
      <c r="E11752">
        <v>0.23988005997001499</v>
      </c>
    </row>
    <row r="11753" spans="1:5">
      <c r="A11753" t="s">
        <v>13559</v>
      </c>
      <c r="B11753" t="s">
        <v>13565</v>
      </c>
      <c r="C11753">
        <f>0</f>
        <v>0</v>
      </c>
      <c r="D11753">
        <v>0.98829153071800002</v>
      </c>
      <c r="E11753">
        <v>0.23988005997001499</v>
      </c>
    </row>
    <row r="11754" spans="1:5">
      <c r="A11754" t="s">
        <v>13566</v>
      </c>
      <c r="B11754" t="s">
        <v>13567</v>
      </c>
      <c r="C11754">
        <v>6.6703057334199997E-2</v>
      </c>
      <c r="D11754">
        <v>0.98399029122299997</v>
      </c>
      <c r="E11754">
        <v>13.445277361319301</v>
      </c>
    </row>
    <row r="11755" spans="1:5">
      <c r="A11755" t="s">
        <v>13566</v>
      </c>
      <c r="B11755" t="s">
        <v>13568</v>
      </c>
      <c r="C11755">
        <v>0</v>
      </c>
      <c r="D11755">
        <v>0.98399029122299997</v>
      </c>
      <c r="E11755">
        <v>13.445277361319301</v>
      </c>
    </row>
    <row r="11756" spans="1:5">
      <c r="A11756" t="s">
        <v>13566</v>
      </c>
      <c r="B11756" t="s">
        <v>13569</v>
      </c>
      <c r="C11756">
        <f>0.127565830236</f>
        <v>0.12756583023599999</v>
      </c>
      <c r="D11756">
        <v>0.98399029122299997</v>
      </c>
      <c r="E11756">
        <v>13.445277361319301</v>
      </c>
    </row>
    <row r="11757" spans="1:5">
      <c r="A11757" t="s">
        <v>13566</v>
      </c>
      <c r="B11757" t="s">
        <v>13570</v>
      </c>
      <c r="C11757">
        <v>0</v>
      </c>
      <c r="D11757">
        <v>0.98399029122299997</v>
      </c>
      <c r="E11757">
        <v>13.445277361319301</v>
      </c>
    </row>
    <row r="11758" spans="1:5">
      <c r="A11758" t="s">
        <v>13566</v>
      </c>
      <c r="B11758" t="s">
        <v>13571</v>
      </c>
      <c r="C11758">
        <f>0</f>
        <v>0</v>
      </c>
      <c r="D11758">
        <v>0.98399029122299997</v>
      </c>
      <c r="E11758">
        <v>13.445277361319301</v>
      </c>
    </row>
    <row r="11759" spans="1:5">
      <c r="A11759" t="s">
        <v>13566</v>
      </c>
      <c r="B11759" t="s">
        <v>13572</v>
      </c>
      <c r="C11759">
        <f>0</f>
        <v>0</v>
      </c>
      <c r="D11759">
        <v>0.98399029122299997</v>
      </c>
      <c r="E11759">
        <v>13.445277361319301</v>
      </c>
    </row>
    <row r="11760" spans="1:5">
      <c r="A11760" t="s">
        <v>13566</v>
      </c>
      <c r="B11760" t="s">
        <v>13573</v>
      </c>
      <c r="C11760">
        <f>0</f>
        <v>0</v>
      </c>
      <c r="D11760">
        <v>0.98399029122299997</v>
      </c>
      <c r="E11760">
        <v>13.445277361319301</v>
      </c>
    </row>
    <row r="11761" spans="1:5">
      <c r="A11761" t="s">
        <v>13566</v>
      </c>
      <c r="B11761" t="s">
        <v>13574</v>
      </c>
      <c r="C11761">
        <f>0</f>
        <v>0</v>
      </c>
      <c r="D11761">
        <v>0.98399029122299997</v>
      </c>
      <c r="E11761">
        <v>13.445277361319301</v>
      </c>
    </row>
    <row r="11762" spans="1:5">
      <c r="A11762" t="s">
        <v>13566</v>
      </c>
      <c r="B11762" t="s">
        <v>13575</v>
      </c>
      <c r="C11762">
        <v>0</v>
      </c>
      <c r="D11762">
        <v>0.98399029122299997</v>
      </c>
      <c r="E11762">
        <v>13.445277361319301</v>
      </c>
    </row>
    <row r="11763" spans="1:5">
      <c r="A11763" t="s">
        <v>13566</v>
      </c>
      <c r="B11763" t="s">
        <v>13576</v>
      </c>
      <c r="C11763">
        <f>0</f>
        <v>0</v>
      </c>
      <c r="D11763">
        <v>0.98399029122299997</v>
      </c>
      <c r="E11763">
        <v>13.445277361319301</v>
      </c>
    </row>
    <row r="11764" spans="1:5">
      <c r="A11764" t="s">
        <v>13577</v>
      </c>
      <c r="B11764" t="s">
        <v>13578</v>
      </c>
      <c r="C11764">
        <f>0</f>
        <v>0</v>
      </c>
      <c r="D11764" t="s">
        <v>106</v>
      </c>
      <c r="E11764">
        <v>4.7976011994003001</v>
      </c>
    </row>
    <row r="11765" spans="1:5">
      <c r="A11765" t="s">
        <v>13577</v>
      </c>
      <c r="B11765" t="s">
        <v>13579</v>
      </c>
      <c r="C11765">
        <v>0</v>
      </c>
      <c r="D11765" t="s">
        <v>106</v>
      </c>
      <c r="E11765">
        <v>4.7976011994003001</v>
      </c>
    </row>
    <row r="11766" spans="1:5">
      <c r="A11766" t="s">
        <v>13577</v>
      </c>
      <c r="B11766" t="s">
        <v>13580</v>
      </c>
      <c r="C11766">
        <v>0</v>
      </c>
      <c r="D11766" t="s">
        <v>106</v>
      </c>
      <c r="E11766">
        <v>4.7976011994003001</v>
      </c>
    </row>
    <row r="11767" spans="1:5">
      <c r="A11767" t="s">
        <v>13577</v>
      </c>
      <c r="B11767" t="s">
        <v>13581</v>
      </c>
      <c r="C11767">
        <v>0</v>
      </c>
      <c r="D11767" t="s">
        <v>106</v>
      </c>
      <c r="E11767">
        <v>4.7976011994003001</v>
      </c>
    </row>
    <row r="11768" spans="1:5">
      <c r="A11768" t="s">
        <v>13577</v>
      </c>
      <c r="B11768" t="s">
        <v>13582</v>
      </c>
      <c r="C11768">
        <v>0</v>
      </c>
      <c r="D11768" t="s">
        <v>106</v>
      </c>
      <c r="E11768">
        <v>4.7976011994003001</v>
      </c>
    </row>
    <row r="11769" spans="1:5">
      <c r="A11769" t="s">
        <v>13577</v>
      </c>
      <c r="B11769" t="s">
        <v>13583</v>
      </c>
      <c r="C11769">
        <f>0</f>
        <v>0</v>
      </c>
      <c r="D11769" t="s">
        <v>106</v>
      </c>
      <c r="E11769">
        <v>4.7976011994003001</v>
      </c>
    </row>
    <row r="11770" spans="1:5">
      <c r="A11770" t="s">
        <v>13577</v>
      </c>
      <c r="B11770" t="s">
        <v>13584</v>
      </c>
      <c r="C11770">
        <v>0</v>
      </c>
      <c r="D11770" t="s">
        <v>106</v>
      </c>
      <c r="E11770">
        <v>4.7976011994003001</v>
      </c>
    </row>
    <row r="11771" spans="1:5">
      <c r="A11771" t="s">
        <v>13577</v>
      </c>
      <c r="B11771" t="s">
        <v>13585</v>
      </c>
      <c r="C11771">
        <v>0</v>
      </c>
      <c r="D11771" t="s">
        <v>106</v>
      </c>
      <c r="E11771">
        <v>4.7976011994003001</v>
      </c>
    </row>
    <row r="11772" spans="1:5">
      <c r="A11772" t="s">
        <v>13586</v>
      </c>
      <c r="B11772" t="s">
        <v>13587</v>
      </c>
      <c r="C11772">
        <v>0</v>
      </c>
      <c r="D11772">
        <v>0.99261250657199995</v>
      </c>
      <c r="E11772">
        <v>14.9325337331334</v>
      </c>
    </row>
    <row r="11773" spans="1:5">
      <c r="A11773" t="s">
        <v>13586</v>
      </c>
      <c r="B11773" t="s">
        <v>13588</v>
      </c>
      <c r="C11773">
        <v>2.8417004898399999E-2</v>
      </c>
      <c r="D11773">
        <v>0.99261250657199995</v>
      </c>
      <c r="E11773">
        <v>14.9325337331334</v>
      </c>
    </row>
    <row r="11774" spans="1:5">
      <c r="A11774" t="s">
        <v>13586</v>
      </c>
      <c r="B11774" t="s">
        <v>13589</v>
      </c>
      <c r="C11774">
        <v>0.25294467455000003</v>
      </c>
      <c r="D11774">
        <v>0.99261250657199995</v>
      </c>
      <c r="E11774">
        <v>14.9325337331334</v>
      </c>
    </row>
    <row r="11775" spans="1:5">
      <c r="A11775" t="s">
        <v>13586</v>
      </c>
      <c r="B11775" t="s">
        <v>13590</v>
      </c>
      <c r="C11775">
        <v>0</v>
      </c>
      <c r="D11775">
        <v>0.99261250657199995</v>
      </c>
      <c r="E11775">
        <v>14.9325337331334</v>
      </c>
    </row>
    <row r="11776" spans="1:5">
      <c r="A11776" t="s">
        <v>13586</v>
      </c>
      <c r="B11776" t="s">
        <v>13591</v>
      </c>
      <c r="C11776">
        <v>0</v>
      </c>
      <c r="D11776">
        <v>0.99261250657199995</v>
      </c>
      <c r="E11776">
        <v>14.9325337331334</v>
      </c>
    </row>
    <row r="11777" spans="1:5">
      <c r="A11777" t="s">
        <v>13586</v>
      </c>
      <c r="B11777" t="s">
        <v>13592</v>
      </c>
      <c r="C11777">
        <v>0</v>
      </c>
      <c r="D11777">
        <v>0.99261250657199995</v>
      </c>
      <c r="E11777">
        <v>14.9325337331334</v>
      </c>
    </row>
    <row r="11778" spans="1:5">
      <c r="A11778" t="s">
        <v>13593</v>
      </c>
      <c r="B11778" t="s">
        <v>13594</v>
      </c>
      <c r="C11778">
        <f>0</f>
        <v>0</v>
      </c>
      <c r="D11778">
        <v>0.96935999435499998</v>
      </c>
      <c r="E11778">
        <v>5.8170914542728598</v>
      </c>
    </row>
    <row r="11779" spans="1:5">
      <c r="A11779" t="s">
        <v>13593</v>
      </c>
      <c r="B11779" t="s">
        <v>13595</v>
      </c>
      <c r="C11779">
        <f>0</f>
        <v>0</v>
      </c>
      <c r="D11779">
        <v>0.96935999435499998</v>
      </c>
      <c r="E11779">
        <v>5.8170914542728598</v>
      </c>
    </row>
    <row r="11780" spans="1:5">
      <c r="A11780" t="s">
        <v>13593</v>
      </c>
      <c r="B11780" t="s">
        <v>13596</v>
      </c>
      <c r="C11780">
        <v>0</v>
      </c>
      <c r="D11780">
        <v>0.96935999435499998</v>
      </c>
      <c r="E11780">
        <v>5.8170914542728598</v>
      </c>
    </row>
    <row r="11781" spans="1:5">
      <c r="A11781" t="s">
        <v>13593</v>
      </c>
      <c r="B11781" t="s">
        <v>13597</v>
      </c>
      <c r="C11781">
        <v>0</v>
      </c>
      <c r="D11781">
        <v>0.96935999435499998</v>
      </c>
      <c r="E11781">
        <v>5.8170914542728598</v>
      </c>
    </row>
    <row r="11782" spans="1:5">
      <c r="A11782" t="s">
        <v>13593</v>
      </c>
      <c r="B11782" t="s">
        <v>13598</v>
      </c>
      <c r="C11782">
        <v>0</v>
      </c>
      <c r="D11782">
        <v>0.96935999435499998</v>
      </c>
      <c r="E11782">
        <v>5.8170914542728598</v>
      </c>
    </row>
    <row r="11783" spans="1:5">
      <c r="A11783" t="s">
        <v>13593</v>
      </c>
      <c r="B11783" t="s">
        <v>13599</v>
      </c>
      <c r="C11783">
        <f>0</f>
        <v>0</v>
      </c>
      <c r="D11783">
        <v>0.96935999435499998</v>
      </c>
      <c r="E11783">
        <v>5.8170914542728598</v>
      </c>
    </row>
    <row r="11784" spans="1:5">
      <c r="A11784" t="s">
        <v>13593</v>
      </c>
      <c r="B11784" t="s">
        <v>13600</v>
      </c>
      <c r="C11784">
        <f>0</f>
        <v>0</v>
      </c>
      <c r="D11784">
        <v>0.96935999435499998</v>
      </c>
      <c r="E11784">
        <v>5.8170914542728598</v>
      </c>
    </row>
    <row r="11785" spans="1:5">
      <c r="A11785" t="s">
        <v>13593</v>
      </c>
      <c r="B11785" t="s">
        <v>13601</v>
      </c>
      <c r="C11785">
        <f>0</f>
        <v>0</v>
      </c>
      <c r="D11785">
        <v>0.96935999435499998</v>
      </c>
      <c r="E11785">
        <v>5.8170914542728598</v>
      </c>
    </row>
    <row r="11786" spans="1:5">
      <c r="A11786" t="s">
        <v>13593</v>
      </c>
      <c r="B11786" t="s">
        <v>13602</v>
      </c>
      <c r="C11786">
        <v>0.105002415815</v>
      </c>
      <c r="D11786">
        <v>0.96935999435499998</v>
      </c>
      <c r="E11786">
        <v>5.8170914542728598</v>
      </c>
    </row>
    <row r="11787" spans="1:5">
      <c r="A11787" t="s">
        <v>13593</v>
      </c>
      <c r="B11787" t="s">
        <v>13603</v>
      </c>
      <c r="C11787">
        <f>0</f>
        <v>0</v>
      </c>
      <c r="D11787">
        <v>0.96935999435499998</v>
      </c>
      <c r="E11787">
        <v>5.8170914542728598</v>
      </c>
    </row>
    <row r="11788" spans="1:5">
      <c r="A11788" t="s">
        <v>13593</v>
      </c>
      <c r="B11788" t="s">
        <v>13604</v>
      </c>
      <c r="C11788">
        <f>0</f>
        <v>0</v>
      </c>
      <c r="D11788">
        <v>0.96935999435499998</v>
      </c>
      <c r="E11788">
        <v>5.8170914542728598</v>
      </c>
    </row>
    <row r="11789" spans="1:5">
      <c r="A11789" t="s">
        <v>13593</v>
      </c>
      <c r="B11789" t="s">
        <v>13605</v>
      </c>
      <c r="C11789">
        <f>0</f>
        <v>0</v>
      </c>
      <c r="D11789">
        <v>0.96935999435499998</v>
      </c>
      <c r="E11789">
        <v>5.8170914542728598</v>
      </c>
    </row>
    <row r="11790" spans="1:5">
      <c r="A11790" t="s">
        <v>13593</v>
      </c>
      <c r="B11790" t="s">
        <v>13606</v>
      </c>
      <c r="C11790">
        <f>0</f>
        <v>0</v>
      </c>
      <c r="D11790">
        <v>0.96935999435499998</v>
      </c>
      <c r="E11790">
        <v>5.8170914542728598</v>
      </c>
    </row>
    <row r="11791" spans="1:5">
      <c r="A11791" t="s">
        <v>13593</v>
      </c>
      <c r="B11791" t="s">
        <v>13607</v>
      </c>
      <c r="C11791">
        <v>0</v>
      </c>
      <c r="D11791">
        <v>0.96935999435499998</v>
      </c>
      <c r="E11791">
        <v>5.8170914542728598</v>
      </c>
    </row>
    <row r="11792" spans="1:5">
      <c r="A11792" t="s">
        <v>13593</v>
      </c>
      <c r="B11792" t="s">
        <v>13608</v>
      </c>
      <c r="C11792">
        <f>0</f>
        <v>0</v>
      </c>
      <c r="D11792">
        <v>0.96935999435499998</v>
      </c>
      <c r="E11792">
        <v>5.8170914542728598</v>
      </c>
    </row>
    <row r="11793" spans="1:5">
      <c r="A11793" t="s">
        <v>13593</v>
      </c>
      <c r="B11793" t="s">
        <v>13609</v>
      </c>
      <c r="C11793">
        <v>0</v>
      </c>
      <c r="D11793">
        <v>0.96935999435499998</v>
      </c>
      <c r="E11793">
        <v>5.8170914542728598</v>
      </c>
    </row>
    <row r="11794" spans="1:5">
      <c r="A11794" t="s">
        <v>13593</v>
      </c>
      <c r="B11794" t="s">
        <v>13610</v>
      </c>
      <c r="C11794">
        <f>0.00184322935483</f>
        <v>1.8432293548300001E-3</v>
      </c>
      <c r="D11794">
        <v>0.96935999435499998</v>
      </c>
      <c r="E11794">
        <v>5.8170914542728598</v>
      </c>
    </row>
    <row r="11795" spans="1:5">
      <c r="A11795" t="s">
        <v>13611</v>
      </c>
      <c r="B11795" t="s">
        <v>13612</v>
      </c>
      <c r="C11795">
        <f>0</f>
        <v>0</v>
      </c>
      <c r="D11795" t="s">
        <v>106</v>
      </c>
      <c r="E11795">
        <v>3.5862068965517202</v>
      </c>
    </row>
    <row r="11796" spans="1:5">
      <c r="A11796" t="s">
        <v>13611</v>
      </c>
      <c r="B11796" t="s">
        <v>13613</v>
      </c>
      <c r="C11796">
        <v>0</v>
      </c>
      <c r="D11796" t="s">
        <v>106</v>
      </c>
      <c r="E11796">
        <v>3.5862068965517202</v>
      </c>
    </row>
    <row r="11797" spans="1:5">
      <c r="A11797" t="s">
        <v>13611</v>
      </c>
      <c r="B11797" t="s">
        <v>13614</v>
      </c>
      <c r="C11797">
        <v>7.3014880177399996E-3</v>
      </c>
      <c r="D11797" t="s">
        <v>106</v>
      </c>
      <c r="E11797">
        <v>3.5862068965517202</v>
      </c>
    </row>
    <row r="11798" spans="1:5">
      <c r="A11798" t="s">
        <v>13611</v>
      </c>
      <c r="B11798" t="s">
        <v>13615</v>
      </c>
      <c r="C11798">
        <v>8.8678500833799995E-2</v>
      </c>
      <c r="D11798" t="s">
        <v>106</v>
      </c>
      <c r="E11798">
        <v>3.5862068965517202</v>
      </c>
    </row>
    <row r="11799" spans="1:5">
      <c r="A11799" t="s">
        <v>13611</v>
      </c>
      <c r="B11799" t="s">
        <v>13616</v>
      </c>
      <c r="C11799">
        <v>0</v>
      </c>
      <c r="D11799" t="s">
        <v>106</v>
      </c>
      <c r="E11799">
        <v>3.5862068965517202</v>
      </c>
    </row>
    <row r="11800" spans="1:5">
      <c r="A11800" t="s">
        <v>13617</v>
      </c>
      <c r="B11800" t="s">
        <v>13618</v>
      </c>
      <c r="C11800">
        <f>0</f>
        <v>0</v>
      </c>
      <c r="D11800">
        <v>0.58286397810199997</v>
      </c>
      <c r="E11800">
        <v>5.69715142428785</v>
      </c>
    </row>
    <row r="11801" spans="1:5">
      <c r="A11801" t="s">
        <v>13617</v>
      </c>
      <c r="B11801" t="s">
        <v>13619</v>
      </c>
      <c r="C11801">
        <v>0</v>
      </c>
      <c r="D11801">
        <v>0.58286397810199997</v>
      </c>
      <c r="E11801">
        <v>5.69715142428785</v>
      </c>
    </row>
    <row r="11802" spans="1:5">
      <c r="A11802" t="s">
        <v>13617</v>
      </c>
      <c r="B11802" t="s">
        <v>13620</v>
      </c>
      <c r="C11802">
        <f>0</f>
        <v>0</v>
      </c>
      <c r="D11802">
        <v>0.58286397810199997</v>
      </c>
      <c r="E11802">
        <v>5.69715142428785</v>
      </c>
    </row>
    <row r="11803" spans="1:5">
      <c r="A11803" t="s">
        <v>13617</v>
      </c>
      <c r="B11803" t="s">
        <v>13621</v>
      </c>
      <c r="C11803">
        <f>0.112368911005</f>
        <v>0.112368911005</v>
      </c>
      <c r="D11803">
        <v>0.58286397810199997</v>
      </c>
      <c r="E11803">
        <v>5.69715142428785</v>
      </c>
    </row>
    <row r="11804" spans="1:5">
      <c r="A11804" t="s">
        <v>13617</v>
      </c>
      <c r="B11804" t="s">
        <v>13622</v>
      </c>
      <c r="C11804">
        <f>0</f>
        <v>0</v>
      </c>
      <c r="D11804">
        <v>0.58286397810199997</v>
      </c>
      <c r="E11804">
        <v>5.69715142428785</v>
      </c>
    </row>
    <row r="11805" spans="1:5">
      <c r="A11805" t="s">
        <v>13623</v>
      </c>
      <c r="B11805" t="s">
        <v>13624</v>
      </c>
      <c r="C11805">
        <v>0.23270655448800001</v>
      </c>
      <c r="D11805">
        <v>0.89199681198500003</v>
      </c>
      <c r="E11805">
        <v>11.7061469265367</v>
      </c>
    </row>
    <row r="11806" spans="1:5">
      <c r="A11806" t="s">
        <v>13623</v>
      </c>
      <c r="B11806" t="s">
        <v>13625</v>
      </c>
      <c r="C11806">
        <f>0</f>
        <v>0</v>
      </c>
      <c r="D11806">
        <v>0.89199681198500003</v>
      </c>
      <c r="E11806">
        <v>11.7061469265367</v>
      </c>
    </row>
    <row r="11807" spans="1:5">
      <c r="A11807" t="s">
        <v>13623</v>
      </c>
      <c r="B11807" t="s">
        <v>13626</v>
      </c>
      <c r="C11807">
        <v>0</v>
      </c>
      <c r="D11807">
        <v>0.89199681198500003</v>
      </c>
      <c r="E11807">
        <v>11.7061469265367</v>
      </c>
    </row>
    <row r="11808" spans="1:5">
      <c r="A11808" t="s">
        <v>13627</v>
      </c>
      <c r="B11808" t="s">
        <v>13628</v>
      </c>
      <c r="C11808">
        <v>0.125646380616</v>
      </c>
      <c r="D11808">
        <v>0.87427809154000002</v>
      </c>
      <c r="E11808">
        <v>8.1439280359820092</v>
      </c>
    </row>
    <row r="11809" spans="1:5">
      <c r="A11809" t="s">
        <v>13627</v>
      </c>
      <c r="B11809" t="s">
        <v>13629</v>
      </c>
      <c r="C11809">
        <v>0</v>
      </c>
      <c r="D11809">
        <v>0.87427809154000002</v>
      </c>
      <c r="E11809">
        <v>8.1439280359820092</v>
      </c>
    </row>
    <row r="11810" spans="1:5">
      <c r="A11810" t="s">
        <v>13627</v>
      </c>
      <c r="B11810" t="s">
        <v>13630</v>
      </c>
      <c r="C11810">
        <v>0</v>
      </c>
      <c r="D11810">
        <v>0.87427809154000002</v>
      </c>
      <c r="E11810">
        <v>8.1439280359820092</v>
      </c>
    </row>
    <row r="11811" spans="1:5">
      <c r="A11811" t="s">
        <v>13627</v>
      </c>
      <c r="B11811" t="s">
        <v>13631</v>
      </c>
      <c r="C11811">
        <v>0</v>
      </c>
      <c r="D11811">
        <v>0.87427809154000002</v>
      </c>
      <c r="E11811">
        <v>8.1439280359820092</v>
      </c>
    </row>
    <row r="11812" spans="1:5">
      <c r="A11812" t="s">
        <v>13627</v>
      </c>
      <c r="B11812" t="s">
        <v>13632</v>
      </c>
      <c r="C11812">
        <f>0</f>
        <v>0</v>
      </c>
      <c r="D11812">
        <v>0.87427809154000002</v>
      </c>
      <c r="E11812">
        <v>8.1439280359820092</v>
      </c>
    </row>
    <row r="11813" spans="1:5">
      <c r="A11813" t="s">
        <v>13633</v>
      </c>
      <c r="B11813" t="s">
        <v>13634</v>
      </c>
      <c r="C11813">
        <f>0</f>
        <v>0</v>
      </c>
      <c r="D11813">
        <v>0.98794232347499999</v>
      </c>
      <c r="E11813">
        <v>1.96701649175412</v>
      </c>
    </row>
    <row r="11814" spans="1:5">
      <c r="A11814" t="s">
        <v>13633</v>
      </c>
      <c r="B11814" t="s">
        <v>13635</v>
      </c>
      <c r="C11814">
        <f>0</f>
        <v>0</v>
      </c>
      <c r="D11814">
        <v>0.98794232347499999</v>
      </c>
      <c r="E11814">
        <v>1.96701649175412</v>
      </c>
    </row>
    <row r="11815" spans="1:5">
      <c r="A11815" t="s">
        <v>13633</v>
      </c>
      <c r="B11815" t="s">
        <v>13636</v>
      </c>
      <c r="C11815">
        <f>0</f>
        <v>0</v>
      </c>
      <c r="D11815">
        <v>0.98794232347499999</v>
      </c>
      <c r="E11815">
        <v>1.96701649175412</v>
      </c>
    </row>
    <row r="11816" spans="1:5">
      <c r="A11816" t="s">
        <v>13633</v>
      </c>
      <c r="B11816" t="s">
        <v>13637</v>
      </c>
      <c r="C11816">
        <v>0</v>
      </c>
      <c r="D11816">
        <v>0.98794232347499999</v>
      </c>
      <c r="E11816">
        <v>1.96701649175412</v>
      </c>
    </row>
    <row r="11817" spans="1:5">
      <c r="A11817" t="s">
        <v>13633</v>
      </c>
      <c r="B11817" t="s">
        <v>13638</v>
      </c>
      <c r="C11817">
        <f>0</f>
        <v>0</v>
      </c>
      <c r="D11817">
        <v>0.98794232347499999</v>
      </c>
      <c r="E11817">
        <v>1.96701649175412</v>
      </c>
    </row>
    <row r="11818" spans="1:5">
      <c r="A11818" t="s">
        <v>13633</v>
      </c>
      <c r="B11818" t="s">
        <v>13639</v>
      </c>
      <c r="C11818">
        <f>0</f>
        <v>0</v>
      </c>
      <c r="D11818">
        <v>0.98794232347499999</v>
      </c>
      <c r="E11818">
        <v>1.96701649175412</v>
      </c>
    </row>
    <row r="11819" spans="1:5">
      <c r="A11819" t="s">
        <v>13633</v>
      </c>
      <c r="B11819" t="s">
        <v>13640</v>
      </c>
      <c r="C11819">
        <f>0</f>
        <v>0</v>
      </c>
      <c r="D11819">
        <v>0.98794232347499999</v>
      </c>
      <c r="E11819">
        <v>1.96701649175412</v>
      </c>
    </row>
    <row r="11820" spans="1:5">
      <c r="A11820" t="s">
        <v>13633</v>
      </c>
      <c r="B11820" t="s">
        <v>13641</v>
      </c>
      <c r="C11820">
        <f>0</f>
        <v>0</v>
      </c>
      <c r="D11820">
        <v>0.98794232347499999</v>
      </c>
      <c r="E11820">
        <v>1.96701649175412</v>
      </c>
    </row>
    <row r="11821" spans="1:5">
      <c r="A11821" t="s">
        <v>13633</v>
      </c>
      <c r="B11821" t="s">
        <v>13642</v>
      </c>
      <c r="C11821">
        <f>0.245403658283</f>
        <v>0.24540365828300001</v>
      </c>
      <c r="D11821">
        <v>0.98794232347499999</v>
      </c>
      <c r="E11821">
        <v>1.96701649175412</v>
      </c>
    </row>
    <row r="11822" spans="1:5">
      <c r="A11822" t="s">
        <v>13633</v>
      </c>
      <c r="B11822" t="s">
        <v>13643</v>
      </c>
      <c r="C11822">
        <v>0</v>
      </c>
      <c r="D11822">
        <v>0.98794232347499999</v>
      </c>
      <c r="E11822">
        <v>1.96701649175412</v>
      </c>
    </row>
    <row r="11823" spans="1:5">
      <c r="A11823" t="s">
        <v>13633</v>
      </c>
      <c r="B11823" t="s">
        <v>13644</v>
      </c>
      <c r="C11823">
        <f>0.284840891054</f>
        <v>0.28484089105400001</v>
      </c>
      <c r="D11823">
        <v>0.98794232347499999</v>
      </c>
      <c r="E11823">
        <v>1.96701649175412</v>
      </c>
    </row>
    <row r="11824" spans="1:5">
      <c r="A11824" t="s">
        <v>13633</v>
      </c>
      <c r="B11824" t="s">
        <v>13645</v>
      </c>
      <c r="C11824">
        <f>0</f>
        <v>0</v>
      </c>
      <c r="D11824">
        <v>0.98794232347499999</v>
      </c>
      <c r="E11824">
        <v>1.96701649175412</v>
      </c>
    </row>
    <row r="11825" spans="1:5">
      <c r="A11825" t="s">
        <v>13633</v>
      </c>
      <c r="B11825" t="s">
        <v>13646</v>
      </c>
      <c r="C11825">
        <v>0</v>
      </c>
      <c r="D11825">
        <v>0.98794232347499999</v>
      </c>
      <c r="E11825">
        <v>1.96701649175412</v>
      </c>
    </row>
    <row r="11826" spans="1:5">
      <c r="A11826" t="s">
        <v>13647</v>
      </c>
      <c r="B11826" t="s">
        <v>13648</v>
      </c>
      <c r="C11826">
        <f>0</f>
        <v>0</v>
      </c>
      <c r="D11826">
        <v>0.97983058752800001</v>
      </c>
      <c r="E11826">
        <v>23.508245877061398</v>
      </c>
    </row>
    <row r="11827" spans="1:5">
      <c r="A11827" t="s">
        <v>13647</v>
      </c>
      <c r="B11827" t="s">
        <v>13649</v>
      </c>
      <c r="C11827">
        <v>0</v>
      </c>
      <c r="D11827">
        <v>0.97983058752800001</v>
      </c>
      <c r="E11827">
        <v>23.508245877061398</v>
      </c>
    </row>
    <row r="11828" spans="1:5">
      <c r="A11828" t="s">
        <v>13650</v>
      </c>
      <c r="B11828" t="s">
        <v>13651</v>
      </c>
      <c r="C11828">
        <f>0.0620036518953</f>
        <v>6.2003651895300001E-2</v>
      </c>
      <c r="D11828">
        <v>0.89348054277699995</v>
      </c>
      <c r="E11828">
        <v>11.5382308845577</v>
      </c>
    </row>
    <row r="11829" spans="1:5">
      <c r="A11829" t="s">
        <v>13650</v>
      </c>
      <c r="B11829" t="s">
        <v>13652</v>
      </c>
      <c r="C11829">
        <v>0</v>
      </c>
      <c r="D11829">
        <v>0.89348054277699995</v>
      </c>
      <c r="E11829">
        <v>11.5382308845577</v>
      </c>
    </row>
    <row r="11830" spans="1:5">
      <c r="A11830" t="s">
        <v>13650</v>
      </c>
      <c r="B11830" t="s">
        <v>13653</v>
      </c>
      <c r="C11830">
        <f>0</f>
        <v>0</v>
      </c>
      <c r="D11830">
        <v>0.89348054277699995</v>
      </c>
      <c r="E11830">
        <v>11.5382308845577</v>
      </c>
    </row>
    <row r="11831" spans="1:5">
      <c r="A11831" t="s">
        <v>13650</v>
      </c>
      <c r="B11831" t="s">
        <v>13654</v>
      </c>
      <c r="C11831">
        <f>0</f>
        <v>0</v>
      </c>
      <c r="D11831">
        <v>0.89348054277699995</v>
      </c>
      <c r="E11831">
        <v>11.5382308845577</v>
      </c>
    </row>
    <row r="11832" spans="1:5">
      <c r="A11832" t="s">
        <v>13650</v>
      </c>
      <c r="B11832" t="s">
        <v>13655</v>
      </c>
      <c r="C11832">
        <f>0</f>
        <v>0</v>
      </c>
      <c r="D11832">
        <v>0.89348054277699995</v>
      </c>
      <c r="E11832">
        <v>11.5382308845577</v>
      </c>
    </row>
    <row r="11833" spans="1:5">
      <c r="A11833" t="s">
        <v>13650</v>
      </c>
      <c r="B11833" t="s">
        <v>13656</v>
      </c>
      <c r="C11833">
        <f>0</f>
        <v>0</v>
      </c>
      <c r="D11833">
        <v>0.89348054277699995</v>
      </c>
      <c r="E11833">
        <v>11.5382308845577</v>
      </c>
    </row>
    <row r="11834" spans="1:5">
      <c r="A11834" t="s">
        <v>13650</v>
      </c>
      <c r="B11834" t="s">
        <v>13657</v>
      </c>
      <c r="C11834">
        <f>0</f>
        <v>0</v>
      </c>
      <c r="D11834">
        <v>0.89348054277699995</v>
      </c>
      <c r="E11834">
        <v>11.5382308845577</v>
      </c>
    </row>
    <row r="11835" spans="1:5">
      <c r="A11835" t="s">
        <v>13658</v>
      </c>
      <c r="B11835" t="s">
        <v>13659</v>
      </c>
      <c r="C11835">
        <v>0</v>
      </c>
      <c r="D11835">
        <v>0.99880907652499995</v>
      </c>
      <c r="E11835">
        <v>5.8170914542728598</v>
      </c>
    </row>
    <row r="11836" spans="1:5">
      <c r="A11836" t="s">
        <v>13658</v>
      </c>
      <c r="B11836" t="s">
        <v>13660</v>
      </c>
      <c r="C11836">
        <v>0</v>
      </c>
      <c r="D11836">
        <v>0.99880907652499995</v>
      </c>
      <c r="E11836">
        <v>5.8170914542728598</v>
      </c>
    </row>
    <row r="11837" spans="1:5">
      <c r="A11837" t="s">
        <v>13658</v>
      </c>
      <c r="B11837" t="s">
        <v>13661</v>
      </c>
      <c r="C11837">
        <v>0</v>
      </c>
      <c r="D11837">
        <v>0.99880907652499995</v>
      </c>
      <c r="E11837">
        <v>5.8170914542728598</v>
      </c>
    </row>
    <row r="11838" spans="1:5">
      <c r="A11838" t="s">
        <v>13658</v>
      </c>
      <c r="B11838" t="s">
        <v>13662</v>
      </c>
      <c r="C11838">
        <v>0</v>
      </c>
      <c r="D11838">
        <v>0.99880907652499995</v>
      </c>
      <c r="E11838">
        <v>5.8170914542728598</v>
      </c>
    </row>
    <row r="11839" spans="1:5">
      <c r="A11839" t="s">
        <v>13658</v>
      </c>
      <c r="B11839" t="s">
        <v>13663</v>
      </c>
      <c r="C11839">
        <v>0.31724858849400001</v>
      </c>
      <c r="D11839">
        <v>0.99880907652499995</v>
      </c>
      <c r="E11839">
        <v>5.8170914542728598</v>
      </c>
    </row>
    <row r="11840" spans="1:5">
      <c r="A11840" t="s">
        <v>13658</v>
      </c>
      <c r="B11840" t="s">
        <v>13664</v>
      </c>
      <c r="C11840">
        <v>0.56720761880000004</v>
      </c>
      <c r="D11840">
        <v>0.99880907652499995</v>
      </c>
      <c r="E11840">
        <v>5.8170914542728598</v>
      </c>
    </row>
    <row r="11841" spans="1:5">
      <c r="A11841" t="s">
        <v>13658</v>
      </c>
      <c r="B11841" t="s">
        <v>13665</v>
      </c>
      <c r="C11841">
        <v>0</v>
      </c>
      <c r="D11841">
        <v>0.99880907652499995</v>
      </c>
      <c r="E11841">
        <v>5.8170914542728598</v>
      </c>
    </row>
    <row r="11842" spans="1:5">
      <c r="A11842" t="s">
        <v>13666</v>
      </c>
      <c r="B11842" t="s">
        <v>13667</v>
      </c>
      <c r="C11842">
        <v>0.162977804074</v>
      </c>
      <c r="D11842">
        <v>0.66559585066100002</v>
      </c>
      <c r="E11842">
        <v>24</v>
      </c>
    </row>
    <row r="11843" spans="1:5">
      <c r="A11843" t="s">
        <v>13666</v>
      </c>
      <c r="B11843" t="s">
        <v>13668</v>
      </c>
      <c r="C11843">
        <f>0</f>
        <v>0</v>
      </c>
      <c r="D11843">
        <v>0.66559585066100002</v>
      </c>
      <c r="E11843">
        <v>24</v>
      </c>
    </row>
    <row r="11844" spans="1:5">
      <c r="A11844" t="s">
        <v>13666</v>
      </c>
      <c r="B11844" t="s">
        <v>13669</v>
      </c>
      <c r="C11844">
        <f>0</f>
        <v>0</v>
      </c>
      <c r="D11844">
        <v>0.66559585066100002</v>
      </c>
      <c r="E11844">
        <v>24</v>
      </c>
    </row>
    <row r="11845" spans="1:5">
      <c r="A11845" t="s">
        <v>13670</v>
      </c>
      <c r="B11845" t="s">
        <v>13671</v>
      </c>
      <c r="C11845">
        <v>0.69360138571100005</v>
      </c>
      <c r="D11845">
        <v>0.99659295500099998</v>
      </c>
      <c r="E11845">
        <v>9.4632683658170897</v>
      </c>
    </row>
    <row r="11846" spans="1:5">
      <c r="A11846" t="s">
        <v>13670</v>
      </c>
      <c r="B11846" t="s">
        <v>13672</v>
      </c>
      <c r="C11846">
        <v>0</v>
      </c>
      <c r="D11846">
        <v>0.99659295500099998</v>
      </c>
      <c r="E11846">
        <v>9.4632683658170897</v>
      </c>
    </row>
    <row r="11847" spans="1:5">
      <c r="A11847" t="s">
        <v>13670</v>
      </c>
      <c r="B11847" t="s">
        <v>13673</v>
      </c>
      <c r="C11847">
        <f>0.133074341262</f>
        <v>0.13307434126199999</v>
      </c>
      <c r="D11847">
        <v>0.99659295500099998</v>
      </c>
      <c r="E11847">
        <v>9.4632683658170897</v>
      </c>
    </row>
    <row r="11848" spans="1:5">
      <c r="A11848" t="s">
        <v>13670</v>
      </c>
      <c r="B11848" t="s">
        <v>13674</v>
      </c>
      <c r="C11848">
        <f>0</f>
        <v>0</v>
      </c>
      <c r="D11848">
        <v>0.99659295500099998</v>
      </c>
      <c r="E11848">
        <v>9.4632683658170897</v>
      </c>
    </row>
    <row r="11849" spans="1:5">
      <c r="A11849" t="s">
        <v>13675</v>
      </c>
      <c r="B11849" t="s">
        <v>13676</v>
      </c>
      <c r="C11849">
        <v>0</v>
      </c>
      <c r="D11849" t="s">
        <v>106</v>
      </c>
      <c r="E11849">
        <v>0.91154422788605605</v>
      </c>
    </row>
    <row r="11850" spans="1:5">
      <c r="A11850" t="s">
        <v>13675</v>
      </c>
      <c r="B11850" t="s">
        <v>13677</v>
      </c>
      <c r="C11850">
        <v>0</v>
      </c>
      <c r="D11850" t="s">
        <v>106</v>
      </c>
      <c r="E11850">
        <v>0.91154422788605605</v>
      </c>
    </row>
    <row r="11851" spans="1:5">
      <c r="A11851" t="s">
        <v>13675</v>
      </c>
      <c r="B11851" t="s">
        <v>13678</v>
      </c>
      <c r="C11851">
        <v>0</v>
      </c>
      <c r="D11851" t="s">
        <v>106</v>
      </c>
      <c r="E11851">
        <v>0.91154422788605605</v>
      </c>
    </row>
    <row r="11852" spans="1:5">
      <c r="A11852" t="s">
        <v>13675</v>
      </c>
      <c r="B11852" t="s">
        <v>13679</v>
      </c>
      <c r="C11852">
        <v>0</v>
      </c>
      <c r="D11852" t="s">
        <v>106</v>
      </c>
      <c r="E11852">
        <v>0.91154422788605605</v>
      </c>
    </row>
    <row r="11853" spans="1:5">
      <c r="A11853" t="s">
        <v>13680</v>
      </c>
      <c r="B11853" t="s">
        <v>13681</v>
      </c>
      <c r="C11853">
        <v>0</v>
      </c>
      <c r="D11853">
        <v>0.99701354230200001</v>
      </c>
      <c r="E11853">
        <v>0.86356821589205401</v>
      </c>
    </row>
    <row r="11854" spans="1:5">
      <c r="A11854" t="s">
        <v>13680</v>
      </c>
      <c r="B11854" t="s">
        <v>13682</v>
      </c>
      <c r="C11854">
        <v>0</v>
      </c>
      <c r="D11854">
        <v>0.99701354230200001</v>
      </c>
      <c r="E11854">
        <v>0.86356821589205401</v>
      </c>
    </row>
    <row r="11855" spans="1:5">
      <c r="A11855" t="s">
        <v>13680</v>
      </c>
      <c r="B11855" t="s">
        <v>13683</v>
      </c>
      <c r="C11855">
        <v>0</v>
      </c>
      <c r="D11855">
        <v>0.99701354230200001</v>
      </c>
      <c r="E11855">
        <v>0.86356821589205401</v>
      </c>
    </row>
    <row r="11856" spans="1:5">
      <c r="A11856" t="s">
        <v>13680</v>
      </c>
      <c r="B11856" t="s">
        <v>13684</v>
      </c>
      <c r="C11856">
        <v>0.110239119306</v>
      </c>
      <c r="D11856">
        <v>0.99701354230200001</v>
      </c>
      <c r="E11856">
        <v>0.86356821589205401</v>
      </c>
    </row>
    <row r="11857" spans="1:5">
      <c r="A11857" t="s">
        <v>13680</v>
      </c>
      <c r="B11857" t="s">
        <v>13685</v>
      </c>
      <c r="C11857">
        <v>0</v>
      </c>
      <c r="D11857">
        <v>0.99701354230200001</v>
      </c>
      <c r="E11857">
        <v>0.86356821589205401</v>
      </c>
    </row>
    <row r="11858" spans="1:5">
      <c r="A11858" t="s">
        <v>13680</v>
      </c>
      <c r="B11858" t="s">
        <v>13686</v>
      </c>
      <c r="C11858">
        <v>0.67692706094999999</v>
      </c>
      <c r="D11858">
        <v>0.99701354230200001</v>
      </c>
      <c r="E11858">
        <v>0.86356821589205401</v>
      </c>
    </row>
    <row r="11859" spans="1:5">
      <c r="A11859" t="s">
        <v>13680</v>
      </c>
      <c r="B11859" t="s">
        <v>13687</v>
      </c>
      <c r="C11859">
        <v>0</v>
      </c>
      <c r="D11859">
        <v>0.99701354230200001</v>
      </c>
      <c r="E11859">
        <v>0.86356821589205401</v>
      </c>
    </row>
    <row r="11860" spans="1:5">
      <c r="A11860" t="s">
        <v>13680</v>
      </c>
      <c r="B11860" t="s">
        <v>13688</v>
      </c>
      <c r="C11860">
        <v>0</v>
      </c>
      <c r="D11860">
        <v>0.99701354230200001</v>
      </c>
      <c r="E11860">
        <v>0.86356821589205401</v>
      </c>
    </row>
    <row r="11861" spans="1:5">
      <c r="A11861" t="s">
        <v>13680</v>
      </c>
      <c r="B11861" t="s">
        <v>13689</v>
      </c>
      <c r="C11861">
        <f>0</f>
        <v>0</v>
      </c>
      <c r="D11861">
        <v>0.99701354230200001</v>
      </c>
      <c r="E11861">
        <v>0.86356821589205401</v>
      </c>
    </row>
    <row r="11862" spans="1:5">
      <c r="A11862" t="s">
        <v>13690</v>
      </c>
      <c r="B11862" t="s">
        <v>13691</v>
      </c>
      <c r="C11862">
        <f>0</f>
        <v>0</v>
      </c>
      <c r="D11862">
        <v>0.94047818594800003</v>
      </c>
      <c r="E11862">
        <v>10.230884557721099</v>
      </c>
    </row>
    <row r="11863" spans="1:5">
      <c r="A11863" t="s">
        <v>13690</v>
      </c>
      <c r="B11863" t="s">
        <v>13692</v>
      </c>
      <c r="C11863">
        <f>0</f>
        <v>0</v>
      </c>
      <c r="D11863">
        <v>0.94047818594800003</v>
      </c>
      <c r="E11863">
        <v>10.230884557721099</v>
      </c>
    </row>
    <row r="11864" spans="1:5">
      <c r="A11864" t="s">
        <v>13690</v>
      </c>
      <c r="B11864" t="s">
        <v>13693</v>
      </c>
      <c r="C11864">
        <f>0</f>
        <v>0</v>
      </c>
      <c r="D11864">
        <v>0.94047818594800003</v>
      </c>
      <c r="E11864">
        <v>10.230884557721099</v>
      </c>
    </row>
    <row r="11865" spans="1:5">
      <c r="A11865" t="s">
        <v>13690</v>
      </c>
      <c r="B11865" t="s">
        <v>13694</v>
      </c>
      <c r="C11865">
        <f>0</f>
        <v>0</v>
      </c>
      <c r="D11865">
        <v>0.94047818594800003</v>
      </c>
      <c r="E11865">
        <v>10.230884557721099</v>
      </c>
    </row>
    <row r="11866" spans="1:5">
      <c r="A11866" t="s">
        <v>13690</v>
      </c>
      <c r="B11866" t="s">
        <v>13695</v>
      </c>
      <c r="C11866">
        <f>0</f>
        <v>0</v>
      </c>
      <c r="D11866">
        <v>0.94047818594800003</v>
      </c>
      <c r="E11866">
        <v>10.230884557721099</v>
      </c>
    </row>
    <row r="11867" spans="1:5">
      <c r="A11867" t="s">
        <v>13690</v>
      </c>
      <c r="B11867" t="s">
        <v>13696</v>
      </c>
      <c r="C11867">
        <v>0</v>
      </c>
      <c r="D11867">
        <v>0.94047818594800003</v>
      </c>
      <c r="E11867">
        <v>10.230884557721099</v>
      </c>
    </row>
    <row r="11868" spans="1:5">
      <c r="A11868" t="s">
        <v>13690</v>
      </c>
      <c r="B11868" t="s">
        <v>13697</v>
      </c>
      <c r="C11868">
        <f>0</f>
        <v>0</v>
      </c>
      <c r="D11868">
        <v>0.94047818594800003</v>
      </c>
      <c r="E11868">
        <v>10.230884557721099</v>
      </c>
    </row>
    <row r="11869" spans="1:5">
      <c r="A11869" t="s">
        <v>13690</v>
      </c>
      <c r="B11869" t="s">
        <v>13698</v>
      </c>
      <c r="C11869">
        <v>0.330864234305</v>
      </c>
      <c r="D11869">
        <v>0.94047818594800003</v>
      </c>
      <c r="E11869">
        <v>10.230884557721099</v>
      </c>
    </row>
    <row r="11870" spans="1:5">
      <c r="A11870" t="s">
        <v>13690</v>
      </c>
      <c r="B11870" t="s">
        <v>13699</v>
      </c>
      <c r="C11870">
        <f>0</f>
        <v>0</v>
      </c>
      <c r="D11870">
        <v>0.94047818594800003</v>
      </c>
      <c r="E11870">
        <v>10.230884557721099</v>
      </c>
    </row>
    <row r="11871" spans="1:5">
      <c r="A11871" t="s">
        <v>13690</v>
      </c>
      <c r="B11871" t="s">
        <v>13700</v>
      </c>
      <c r="C11871">
        <f>0</f>
        <v>0</v>
      </c>
      <c r="D11871">
        <v>0.94047818594800003</v>
      </c>
      <c r="E11871">
        <v>10.230884557721099</v>
      </c>
    </row>
    <row r="11872" spans="1:5">
      <c r="A11872" t="s">
        <v>13690</v>
      </c>
      <c r="B11872" t="s">
        <v>13701</v>
      </c>
      <c r="C11872">
        <f>0</f>
        <v>0</v>
      </c>
      <c r="D11872">
        <v>0.94047818594800003</v>
      </c>
      <c r="E11872">
        <v>10.230884557721099</v>
      </c>
    </row>
    <row r="11873" spans="1:5">
      <c r="A11873" t="s">
        <v>13690</v>
      </c>
      <c r="B11873" t="s">
        <v>13702</v>
      </c>
      <c r="C11873">
        <v>0</v>
      </c>
      <c r="D11873">
        <v>0.94047818594800003</v>
      </c>
      <c r="E11873">
        <v>10.230884557721099</v>
      </c>
    </row>
    <row r="11874" spans="1:5">
      <c r="A11874" t="s">
        <v>13690</v>
      </c>
      <c r="B11874" t="s">
        <v>13703</v>
      </c>
      <c r="C11874">
        <v>2.1120302663800002E-2</v>
      </c>
      <c r="D11874">
        <v>0.94047818594800003</v>
      </c>
      <c r="E11874">
        <v>10.230884557721099</v>
      </c>
    </row>
    <row r="11875" spans="1:5">
      <c r="A11875" t="s">
        <v>13704</v>
      </c>
      <c r="B11875" t="s">
        <v>13705</v>
      </c>
      <c r="C11875">
        <f>0</f>
        <v>0</v>
      </c>
      <c r="D11875">
        <v>0.94575775625400005</v>
      </c>
      <c r="E11875">
        <v>1.16341829085457</v>
      </c>
    </row>
    <row r="11876" spans="1:5">
      <c r="A11876" t="s">
        <v>13704</v>
      </c>
      <c r="B11876" t="s">
        <v>13706</v>
      </c>
      <c r="C11876">
        <f>0.72789754081</f>
        <v>0.72789754081000002</v>
      </c>
      <c r="D11876">
        <v>0.94575775625400005</v>
      </c>
      <c r="E11876">
        <v>1.16341829085457</v>
      </c>
    </row>
    <row r="11877" spans="1:5">
      <c r="A11877" t="s">
        <v>13704</v>
      </c>
      <c r="B11877" t="s">
        <v>13707</v>
      </c>
      <c r="C11877">
        <f>0.201981826056</f>
        <v>0.20198182605600001</v>
      </c>
      <c r="D11877">
        <v>0.94575775625400005</v>
      </c>
      <c r="E11877">
        <v>1.16341829085457</v>
      </c>
    </row>
    <row r="11878" spans="1:5">
      <c r="A11878" t="s">
        <v>13704</v>
      </c>
      <c r="B11878" t="s">
        <v>13708</v>
      </c>
      <c r="C11878">
        <f>0</f>
        <v>0</v>
      </c>
      <c r="D11878">
        <v>0.94575775625400005</v>
      </c>
      <c r="E11878">
        <v>1.16341829085457</v>
      </c>
    </row>
    <row r="11879" spans="1:5">
      <c r="A11879" t="s">
        <v>13709</v>
      </c>
      <c r="B11879" t="s">
        <v>13710</v>
      </c>
      <c r="C11879">
        <v>0</v>
      </c>
      <c r="D11879">
        <v>0.91689426003499996</v>
      </c>
      <c r="E11879">
        <v>9.4632683658170897</v>
      </c>
    </row>
    <row r="11880" spans="1:5">
      <c r="A11880" t="s">
        <v>13709</v>
      </c>
      <c r="B11880" t="s">
        <v>13711</v>
      </c>
      <c r="C11880">
        <v>0</v>
      </c>
      <c r="D11880">
        <v>0.91689426003499996</v>
      </c>
      <c r="E11880">
        <v>9.4632683658170897</v>
      </c>
    </row>
    <row r="11881" spans="1:5">
      <c r="A11881" t="s">
        <v>13709</v>
      </c>
      <c r="B11881" t="s">
        <v>13712</v>
      </c>
      <c r="C11881">
        <f>0</f>
        <v>0</v>
      </c>
      <c r="D11881">
        <v>0.91689426003499996</v>
      </c>
      <c r="E11881">
        <v>9.4632683658170897</v>
      </c>
    </row>
    <row r="11882" spans="1:5">
      <c r="A11882" t="s">
        <v>13709</v>
      </c>
      <c r="B11882" t="s">
        <v>13713</v>
      </c>
      <c r="C11882">
        <f>0</f>
        <v>0</v>
      </c>
      <c r="D11882">
        <v>0.91689426003499996</v>
      </c>
      <c r="E11882">
        <v>9.4632683658170897</v>
      </c>
    </row>
    <row r="11883" spans="1:5">
      <c r="A11883" t="s">
        <v>13709</v>
      </c>
      <c r="B11883" t="s">
        <v>13714</v>
      </c>
      <c r="C11883">
        <v>0</v>
      </c>
      <c r="D11883">
        <v>0.91689426003499996</v>
      </c>
      <c r="E11883">
        <v>9.4632683658170897</v>
      </c>
    </row>
    <row r="11884" spans="1:5">
      <c r="A11884" t="s">
        <v>13709</v>
      </c>
      <c r="B11884" t="s">
        <v>13715</v>
      </c>
      <c r="C11884">
        <v>0.117001639842</v>
      </c>
      <c r="D11884">
        <v>0.91689426003499996</v>
      </c>
      <c r="E11884">
        <v>9.4632683658170897</v>
      </c>
    </row>
    <row r="11885" spans="1:5">
      <c r="A11885" t="s">
        <v>13709</v>
      </c>
      <c r="B11885" t="s">
        <v>13716</v>
      </c>
      <c r="C11885">
        <f>0</f>
        <v>0</v>
      </c>
      <c r="D11885">
        <v>0.91689426003499996</v>
      </c>
      <c r="E11885">
        <v>9.4632683658170897</v>
      </c>
    </row>
    <row r="11886" spans="1:5">
      <c r="A11886" t="s">
        <v>13709</v>
      </c>
      <c r="B11886" t="s">
        <v>13717</v>
      </c>
      <c r="C11886">
        <v>0</v>
      </c>
      <c r="D11886">
        <v>0.91689426003499996</v>
      </c>
      <c r="E11886">
        <v>9.4632683658170897</v>
      </c>
    </row>
    <row r="11887" spans="1:5">
      <c r="A11887" t="s">
        <v>13709</v>
      </c>
      <c r="B11887" t="s">
        <v>13718</v>
      </c>
      <c r="C11887">
        <f>0</f>
        <v>0</v>
      </c>
      <c r="D11887">
        <v>0.91689426003499996</v>
      </c>
      <c r="E11887">
        <v>9.4632683658170897</v>
      </c>
    </row>
    <row r="11888" spans="1:5">
      <c r="A11888" t="s">
        <v>13709</v>
      </c>
      <c r="B11888" t="s">
        <v>13719</v>
      </c>
      <c r="C11888">
        <f>0</f>
        <v>0</v>
      </c>
      <c r="D11888">
        <v>0.91689426003499996</v>
      </c>
      <c r="E11888">
        <v>9.4632683658170897</v>
      </c>
    </row>
    <row r="11889" spans="1:5">
      <c r="A11889" t="s">
        <v>13720</v>
      </c>
      <c r="B11889" t="s">
        <v>13721</v>
      </c>
      <c r="C11889">
        <f>-1.03343967366</f>
        <v>-1.03343967366</v>
      </c>
      <c r="D11889">
        <v>0.99555071054300004</v>
      </c>
      <c r="E11889">
        <v>1.00749625187406</v>
      </c>
    </row>
    <row r="11890" spans="1:5">
      <c r="A11890" t="s">
        <v>13720</v>
      </c>
      <c r="B11890" t="s">
        <v>13722</v>
      </c>
      <c r="C11890">
        <v>0.69045492171900003</v>
      </c>
      <c r="D11890">
        <v>0.99555071054300004</v>
      </c>
      <c r="E11890">
        <v>1.00749625187406</v>
      </c>
    </row>
    <row r="11891" spans="1:5">
      <c r="A11891" t="s">
        <v>13720</v>
      </c>
      <c r="B11891" t="s">
        <v>13723</v>
      </c>
      <c r="C11891">
        <v>0</v>
      </c>
      <c r="D11891">
        <v>0.99555071054300004</v>
      </c>
      <c r="E11891">
        <v>1.00749625187406</v>
      </c>
    </row>
    <row r="11892" spans="1:5">
      <c r="A11892" t="s">
        <v>13724</v>
      </c>
      <c r="B11892" t="s">
        <v>13725</v>
      </c>
      <c r="C11892">
        <f>0</f>
        <v>0</v>
      </c>
      <c r="D11892" t="s">
        <v>106</v>
      </c>
      <c r="E11892">
        <v>10.230884557721099</v>
      </c>
    </row>
    <row r="11893" spans="1:5">
      <c r="A11893" t="s">
        <v>13724</v>
      </c>
      <c r="B11893" t="s">
        <v>13726</v>
      </c>
      <c r="C11893">
        <f>0</f>
        <v>0</v>
      </c>
      <c r="D11893" t="s">
        <v>106</v>
      </c>
      <c r="E11893">
        <v>10.230884557721099</v>
      </c>
    </row>
    <row r="11894" spans="1:5">
      <c r="A11894" t="s">
        <v>13724</v>
      </c>
      <c r="B11894" t="s">
        <v>13727</v>
      </c>
      <c r="C11894">
        <f>0</f>
        <v>0</v>
      </c>
      <c r="D11894" t="s">
        <v>106</v>
      </c>
      <c r="E11894">
        <v>10.230884557721099</v>
      </c>
    </row>
    <row r="11895" spans="1:5">
      <c r="A11895" t="s">
        <v>13724</v>
      </c>
      <c r="B11895" t="s">
        <v>13728</v>
      </c>
      <c r="C11895">
        <f>0</f>
        <v>0</v>
      </c>
      <c r="D11895" t="s">
        <v>106</v>
      </c>
      <c r="E11895">
        <v>10.230884557721099</v>
      </c>
    </row>
    <row r="11896" spans="1:5">
      <c r="A11896" t="s">
        <v>13724</v>
      </c>
      <c r="B11896" t="s">
        <v>13729</v>
      </c>
      <c r="C11896">
        <f>0</f>
        <v>0</v>
      </c>
      <c r="D11896" t="s">
        <v>106</v>
      </c>
      <c r="E11896">
        <v>10.230884557721099</v>
      </c>
    </row>
    <row r="11897" spans="1:5">
      <c r="A11897" t="s">
        <v>13724</v>
      </c>
      <c r="B11897" t="s">
        <v>13730</v>
      </c>
      <c r="C11897">
        <v>0</v>
      </c>
      <c r="D11897" t="s">
        <v>106</v>
      </c>
      <c r="E11897">
        <v>10.230884557721099</v>
      </c>
    </row>
    <row r="11898" spans="1:5">
      <c r="A11898" t="s">
        <v>13731</v>
      </c>
      <c r="B11898" t="s">
        <v>13732</v>
      </c>
      <c r="C11898">
        <v>9.5369589610100003E-2</v>
      </c>
      <c r="D11898">
        <v>0.88969405537799995</v>
      </c>
      <c r="E11898">
        <v>19.4182908545727</v>
      </c>
    </row>
    <row r="11899" spans="1:5">
      <c r="A11899" t="s">
        <v>13731</v>
      </c>
      <c r="B11899" t="s">
        <v>13733</v>
      </c>
      <c r="C11899">
        <f>0</f>
        <v>0</v>
      </c>
      <c r="D11899">
        <v>0.88969405537799995</v>
      </c>
      <c r="E11899">
        <v>19.4182908545727</v>
      </c>
    </row>
    <row r="11900" spans="1:5">
      <c r="A11900" t="s">
        <v>13731</v>
      </c>
      <c r="B11900" t="s">
        <v>13734</v>
      </c>
      <c r="C11900">
        <f>0</f>
        <v>0</v>
      </c>
      <c r="D11900">
        <v>0.88969405537799995</v>
      </c>
      <c r="E11900">
        <v>19.4182908545727</v>
      </c>
    </row>
    <row r="11901" spans="1:5">
      <c r="A11901" t="s">
        <v>13731</v>
      </c>
      <c r="B11901" t="s">
        <v>13735</v>
      </c>
      <c r="C11901">
        <v>9.7668500621400006E-2</v>
      </c>
      <c r="D11901">
        <v>0.88969405537799995</v>
      </c>
      <c r="E11901">
        <v>19.4182908545727</v>
      </c>
    </row>
    <row r="11902" spans="1:5">
      <c r="A11902" t="s">
        <v>13731</v>
      </c>
      <c r="B11902" t="s">
        <v>13736</v>
      </c>
      <c r="C11902">
        <v>0</v>
      </c>
      <c r="D11902">
        <v>0.88969405537799995</v>
      </c>
      <c r="E11902">
        <v>19.4182908545727</v>
      </c>
    </row>
    <row r="11903" spans="1:5">
      <c r="A11903" t="s">
        <v>13731</v>
      </c>
      <c r="B11903" t="s">
        <v>13737</v>
      </c>
      <c r="C11903">
        <f>0</f>
        <v>0</v>
      </c>
      <c r="D11903">
        <v>0.88969405537799995</v>
      </c>
      <c r="E11903">
        <v>19.4182908545727</v>
      </c>
    </row>
    <row r="11904" spans="1:5">
      <c r="A11904" t="s">
        <v>13731</v>
      </c>
      <c r="B11904" t="s">
        <v>13738</v>
      </c>
      <c r="C11904">
        <v>0</v>
      </c>
      <c r="D11904">
        <v>0.88969405537799995</v>
      </c>
      <c r="E11904">
        <v>19.4182908545727</v>
      </c>
    </row>
    <row r="11905" spans="1:5">
      <c r="A11905" t="s">
        <v>13739</v>
      </c>
      <c r="B11905" t="s">
        <v>13740</v>
      </c>
      <c r="C11905">
        <f>0</f>
        <v>0</v>
      </c>
      <c r="D11905">
        <v>0.806489926277</v>
      </c>
      <c r="E11905">
        <v>20.2938530734632</v>
      </c>
    </row>
    <row r="11906" spans="1:5">
      <c r="A11906" t="s">
        <v>13739</v>
      </c>
      <c r="B11906" t="s">
        <v>13741</v>
      </c>
      <c r="C11906">
        <f>0.096706025103</f>
        <v>9.6706025102999998E-2</v>
      </c>
      <c r="D11906">
        <v>0.806489926277</v>
      </c>
      <c r="E11906">
        <v>20.2938530734632</v>
      </c>
    </row>
    <row r="11907" spans="1:5">
      <c r="A11907" t="s">
        <v>13739</v>
      </c>
      <c r="B11907" t="s">
        <v>13742</v>
      </c>
      <c r="C11907">
        <f>0.0671812875488</f>
        <v>6.7181287548799998E-2</v>
      </c>
      <c r="D11907">
        <v>0.806489926277</v>
      </c>
      <c r="E11907">
        <v>20.2938530734632</v>
      </c>
    </row>
    <row r="11908" spans="1:5">
      <c r="A11908" t="s">
        <v>13743</v>
      </c>
      <c r="B11908" t="s">
        <v>13744</v>
      </c>
      <c r="C11908">
        <f>0</f>
        <v>0</v>
      </c>
      <c r="D11908">
        <v>0.94016831009599999</v>
      </c>
      <c r="E11908">
        <v>10.0749625187406</v>
      </c>
    </row>
    <row r="11909" spans="1:5">
      <c r="A11909" t="s">
        <v>13743</v>
      </c>
      <c r="B11909" t="s">
        <v>13745</v>
      </c>
      <c r="C11909">
        <v>0</v>
      </c>
      <c r="D11909">
        <v>0.94016831009599999</v>
      </c>
      <c r="E11909">
        <v>10.0749625187406</v>
      </c>
    </row>
    <row r="11910" spans="1:5">
      <c r="A11910" t="s">
        <v>13743</v>
      </c>
      <c r="B11910" t="s">
        <v>13746</v>
      </c>
      <c r="C11910">
        <v>0</v>
      </c>
      <c r="D11910">
        <v>0.94016831009599999</v>
      </c>
      <c r="E11910">
        <v>10.0749625187406</v>
      </c>
    </row>
    <row r="11911" spans="1:5">
      <c r="A11911" t="s">
        <v>13743</v>
      </c>
      <c r="B11911" t="s">
        <v>13747</v>
      </c>
      <c r="C11911">
        <f>0</f>
        <v>0</v>
      </c>
      <c r="D11911">
        <v>0.94016831009599999</v>
      </c>
      <c r="E11911">
        <v>10.0749625187406</v>
      </c>
    </row>
    <row r="11912" spans="1:5">
      <c r="A11912" t="s">
        <v>13743</v>
      </c>
      <c r="B11912" t="s">
        <v>13748</v>
      </c>
      <c r="C11912">
        <v>0</v>
      </c>
      <c r="D11912">
        <v>0.94016831009599999</v>
      </c>
      <c r="E11912">
        <v>10.0749625187406</v>
      </c>
    </row>
    <row r="11913" spans="1:5">
      <c r="A11913" t="s">
        <v>13743</v>
      </c>
      <c r="B11913" t="s">
        <v>13749</v>
      </c>
      <c r="C11913">
        <v>2.5639713459399999E-2</v>
      </c>
      <c r="D11913">
        <v>0.94016831009599999</v>
      </c>
      <c r="E11913">
        <v>10.0749625187406</v>
      </c>
    </row>
    <row r="11914" spans="1:5">
      <c r="A11914" t="s">
        <v>13743</v>
      </c>
      <c r="B11914" t="s">
        <v>13750</v>
      </c>
      <c r="C11914">
        <v>8.8566444719999998E-2</v>
      </c>
      <c r="D11914">
        <v>0.94016831009599999</v>
      </c>
      <c r="E11914">
        <v>10.0749625187406</v>
      </c>
    </row>
    <row r="11915" spans="1:5">
      <c r="A11915" t="s">
        <v>13743</v>
      </c>
      <c r="B11915" t="s">
        <v>13751</v>
      </c>
      <c r="C11915">
        <f>0</f>
        <v>0</v>
      </c>
      <c r="D11915">
        <v>0.94016831009599999</v>
      </c>
      <c r="E11915">
        <v>10.0749625187406</v>
      </c>
    </row>
    <row r="11916" spans="1:5">
      <c r="A11916" t="s">
        <v>13743</v>
      </c>
      <c r="B11916" t="s">
        <v>13752</v>
      </c>
      <c r="C11916">
        <f>0</f>
        <v>0</v>
      </c>
      <c r="D11916">
        <v>0.94016831009599999</v>
      </c>
      <c r="E11916">
        <v>10.0749625187406</v>
      </c>
    </row>
    <row r="11917" spans="1:5">
      <c r="A11917" t="s">
        <v>13743</v>
      </c>
      <c r="B11917" t="s">
        <v>13753</v>
      </c>
      <c r="C11917">
        <v>0</v>
      </c>
      <c r="D11917">
        <v>0.94016831009599999</v>
      </c>
      <c r="E11917">
        <v>10.0749625187406</v>
      </c>
    </row>
    <row r="11918" spans="1:5">
      <c r="A11918" t="s">
        <v>13743</v>
      </c>
      <c r="B11918" t="s">
        <v>13754</v>
      </c>
      <c r="C11918">
        <v>0</v>
      </c>
      <c r="D11918">
        <v>0.94016831009599999</v>
      </c>
      <c r="E11918">
        <v>10.0749625187406</v>
      </c>
    </row>
    <row r="11919" spans="1:5">
      <c r="A11919" t="s">
        <v>13755</v>
      </c>
      <c r="B11919" t="s">
        <v>13756</v>
      </c>
      <c r="C11919">
        <v>2.8770349257700001E-2</v>
      </c>
      <c r="D11919">
        <v>0.77815475204200002</v>
      </c>
      <c r="E11919">
        <v>24</v>
      </c>
    </row>
    <row r="11920" spans="1:5">
      <c r="A11920" t="s">
        <v>13755</v>
      </c>
      <c r="B11920" t="s">
        <v>13757</v>
      </c>
      <c r="C11920">
        <v>3.4318185762199999E-2</v>
      </c>
      <c r="D11920">
        <v>0.77815475204200002</v>
      </c>
      <c r="E11920">
        <v>24</v>
      </c>
    </row>
    <row r="11921" spans="1:5">
      <c r="A11921" t="s">
        <v>13755</v>
      </c>
      <c r="B11921" t="s">
        <v>13758</v>
      </c>
      <c r="C11921">
        <v>0</v>
      </c>
      <c r="D11921">
        <v>0.77815475204200002</v>
      </c>
      <c r="E11921">
        <v>24</v>
      </c>
    </row>
    <row r="11922" spans="1:5">
      <c r="A11922" t="s">
        <v>13759</v>
      </c>
      <c r="B11922" t="s">
        <v>13760</v>
      </c>
      <c r="C11922">
        <f>0.217920534328</f>
        <v>0.21792053432799999</v>
      </c>
      <c r="D11922">
        <v>0.85402203617100003</v>
      </c>
      <c r="E11922">
        <v>14.3688155922038</v>
      </c>
    </row>
    <row r="11923" spans="1:5">
      <c r="A11923" t="s">
        <v>13759</v>
      </c>
      <c r="B11923" t="s">
        <v>13761</v>
      </c>
      <c r="C11923">
        <v>0</v>
      </c>
      <c r="D11923">
        <v>0.85402203617100003</v>
      </c>
      <c r="E11923">
        <v>14.3688155922038</v>
      </c>
    </row>
    <row r="11924" spans="1:5">
      <c r="A11924" t="s">
        <v>13759</v>
      </c>
      <c r="B11924" t="s">
        <v>13762</v>
      </c>
      <c r="C11924">
        <v>0</v>
      </c>
      <c r="D11924">
        <v>0.85402203617100003</v>
      </c>
      <c r="E11924">
        <v>14.3688155922038</v>
      </c>
    </row>
    <row r="11925" spans="1:5">
      <c r="A11925" t="s">
        <v>13763</v>
      </c>
      <c r="B11925" t="s">
        <v>13764</v>
      </c>
      <c r="C11925">
        <v>3.0228994673000002E-2</v>
      </c>
      <c r="D11925">
        <v>0.95685104152300005</v>
      </c>
      <c r="E11925">
        <v>24</v>
      </c>
    </row>
    <row r="11926" spans="1:5">
      <c r="A11926" t="s">
        <v>13763</v>
      </c>
      <c r="B11926" t="s">
        <v>13765</v>
      </c>
      <c r="C11926">
        <v>0.164383619945</v>
      </c>
      <c r="D11926">
        <v>0.95685104152300005</v>
      </c>
      <c r="E11926">
        <v>24</v>
      </c>
    </row>
    <row r="11927" spans="1:5">
      <c r="A11927" t="s">
        <v>13763</v>
      </c>
      <c r="B11927" t="s">
        <v>13766</v>
      </c>
      <c r="C11927">
        <v>0</v>
      </c>
      <c r="D11927">
        <v>0.95685104152300005</v>
      </c>
      <c r="E11927">
        <v>24</v>
      </c>
    </row>
    <row r="11928" spans="1:5">
      <c r="A11928" t="s">
        <v>13763</v>
      </c>
      <c r="B11928" t="s">
        <v>13767</v>
      </c>
      <c r="C11928">
        <v>0</v>
      </c>
      <c r="D11928">
        <v>0.95685104152300005</v>
      </c>
      <c r="E11928">
        <v>24</v>
      </c>
    </row>
    <row r="11929" spans="1:5">
      <c r="A11929" t="s">
        <v>13768</v>
      </c>
      <c r="B11929" t="s">
        <v>13769</v>
      </c>
      <c r="C11929">
        <v>0.18649836125800001</v>
      </c>
      <c r="D11929">
        <v>0.88941006470499995</v>
      </c>
      <c r="E11929">
        <v>13.445277361319301</v>
      </c>
    </row>
    <row r="11930" spans="1:5">
      <c r="A11930" t="s">
        <v>13768</v>
      </c>
      <c r="B11930" t="s">
        <v>13770</v>
      </c>
      <c r="C11930">
        <f>0.0934901002788</f>
        <v>9.3490100278800004E-2</v>
      </c>
      <c r="D11930">
        <v>0.88941006470499995</v>
      </c>
      <c r="E11930">
        <v>13.445277361319301</v>
      </c>
    </row>
    <row r="11931" spans="1:5">
      <c r="A11931" t="s">
        <v>13771</v>
      </c>
      <c r="B11931" t="s">
        <v>13772</v>
      </c>
      <c r="C11931">
        <f>0</f>
        <v>0</v>
      </c>
      <c r="D11931">
        <v>0.98673013529999998</v>
      </c>
      <c r="E11931">
        <v>5.4692653673163401</v>
      </c>
    </row>
    <row r="11932" spans="1:5">
      <c r="A11932" t="s">
        <v>13771</v>
      </c>
      <c r="B11932" t="s">
        <v>13773</v>
      </c>
      <c r="C11932">
        <f>0</f>
        <v>0</v>
      </c>
      <c r="D11932">
        <v>0.98673013529999998</v>
      </c>
      <c r="E11932">
        <v>5.4692653673163401</v>
      </c>
    </row>
    <row r="11933" spans="1:5">
      <c r="A11933" t="s">
        <v>13771</v>
      </c>
      <c r="B11933" t="s">
        <v>13774</v>
      </c>
      <c r="C11933">
        <f>0</f>
        <v>0</v>
      </c>
      <c r="D11933">
        <v>0.98673013529999998</v>
      </c>
      <c r="E11933">
        <v>5.4692653673163401</v>
      </c>
    </row>
    <row r="11934" spans="1:5">
      <c r="A11934" t="s">
        <v>13771</v>
      </c>
      <c r="B11934" t="s">
        <v>13775</v>
      </c>
      <c r="C11934">
        <f>0</f>
        <v>0</v>
      </c>
      <c r="D11934">
        <v>0.98673013529999998</v>
      </c>
      <c r="E11934">
        <v>5.4692653673163401</v>
      </c>
    </row>
    <row r="11935" spans="1:5">
      <c r="A11935" t="s">
        <v>13771</v>
      </c>
      <c r="B11935" t="s">
        <v>13776</v>
      </c>
      <c r="C11935">
        <f>0</f>
        <v>0</v>
      </c>
      <c r="D11935">
        <v>0.98673013529999998</v>
      </c>
      <c r="E11935">
        <v>5.4692653673163401</v>
      </c>
    </row>
    <row r="11936" spans="1:5">
      <c r="A11936" t="s">
        <v>13771</v>
      </c>
      <c r="B11936" t="s">
        <v>13777</v>
      </c>
      <c r="C11936">
        <v>0</v>
      </c>
      <c r="D11936">
        <v>0.98673013529999998</v>
      </c>
      <c r="E11936">
        <v>5.4692653673163401</v>
      </c>
    </row>
    <row r="11937" spans="1:5">
      <c r="A11937" t="s">
        <v>13778</v>
      </c>
      <c r="B11937" t="s">
        <v>13779</v>
      </c>
      <c r="C11937">
        <f>0</f>
        <v>0</v>
      </c>
      <c r="D11937" t="s">
        <v>106</v>
      </c>
      <c r="E11937">
        <v>1.96701649175412</v>
      </c>
    </row>
    <row r="11938" spans="1:5">
      <c r="A11938" t="s">
        <v>13778</v>
      </c>
      <c r="B11938" t="s">
        <v>13780</v>
      </c>
      <c r="C11938">
        <f>0</f>
        <v>0</v>
      </c>
      <c r="D11938" t="s">
        <v>106</v>
      </c>
      <c r="E11938">
        <v>1.96701649175412</v>
      </c>
    </row>
    <row r="11939" spans="1:5">
      <c r="A11939" t="s">
        <v>13778</v>
      </c>
      <c r="B11939" t="s">
        <v>13781</v>
      </c>
      <c r="C11939">
        <v>0</v>
      </c>
      <c r="D11939" t="s">
        <v>106</v>
      </c>
      <c r="E11939">
        <v>1.96701649175412</v>
      </c>
    </row>
    <row r="11940" spans="1:5">
      <c r="A11940" t="s">
        <v>13778</v>
      </c>
      <c r="B11940" t="s">
        <v>13782</v>
      </c>
      <c r="C11940">
        <f>0</f>
        <v>0</v>
      </c>
      <c r="D11940" t="s">
        <v>106</v>
      </c>
      <c r="E11940">
        <v>1.96701649175412</v>
      </c>
    </row>
    <row r="11941" spans="1:5">
      <c r="A11941" t="s">
        <v>13778</v>
      </c>
      <c r="B11941" t="s">
        <v>13783</v>
      </c>
      <c r="C11941">
        <f>0</f>
        <v>0</v>
      </c>
      <c r="D11941" t="s">
        <v>106</v>
      </c>
      <c r="E11941">
        <v>1.96701649175412</v>
      </c>
    </row>
    <row r="11942" spans="1:5">
      <c r="A11942" t="s">
        <v>13778</v>
      </c>
      <c r="B11942" t="s">
        <v>13784</v>
      </c>
      <c r="C11942">
        <f>0</f>
        <v>0</v>
      </c>
      <c r="D11942" t="s">
        <v>106</v>
      </c>
      <c r="E11942">
        <v>1.96701649175412</v>
      </c>
    </row>
    <row r="11943" spans="1:5">
      <c r="A11943" t="s">
        <v>13778</v>
      </c>
      <c r="B11943" t="s">
        <v>13785</v>
      </c>
      <c r="C11943">
        <f>0</f>
        <v>0</v>
      </c>
      <c r="D11943" t="s">
        <v>106</v>
      </c>
      <c r="E11943">
        <v>1.96701649175412</v>
      </c>
    </row>
    <row r="11944" spans="1:5">
      <c r="A11944" t="s">
        <v>13778</v>
      </c>
      <c r="B11944" t="s">
        <v>13786</v>
      </c>
      <c r="C11944">
        <f>0</f>
        <v>0</v>
      </c>
      <c r="D11944" t="s">
        <v>106</v>
      </c>
      <c r="E11944">
        <v>1.96701649175412</v>
      </c>
    </row>
    <row r="11945" spans="1:5">
      <c r="A11945" t="s">
        <v>13778</v>
      </c>
      <c r="B11945" t="s">
        <v>13787</v>
      </c>
      <c r="C11945">
        <f>0</f>
        <v>0</v>
      </c>
      <c r="D11945" t="s">
        <v>106</v>
      </c>
      <c r="E11945">
        <v>1.96701649175412</v>
      </c>
    </row>
    <row r="11946" spans="1:5">
      <c r="A11946" t="s">
        <v>13778</v>
      </c>
      <c r="B11946" t="s">
        <v>13788</v>
      </c>
      <c r="C11946">
        <f>0</f>
        <v>0</v>
      </c>
      <c r="D11946" t="s">
        <v>106</v>
      </c>
      <c r="E11946">
        <v>1.96701649175412</v>
      </c>
    </row>
    <row r="11947" spans="1:5">
      <c r="A11947" t="s">
        <v>13778</v>
      </c>
      <c r="B11947" t="s">
        <v>13789</v>
      </c>
      <c r="C11947">
        <f>0</f>
        <v>0</v>
      </c>
      <c r="D11947" t="s">
        <v>106</v>
      </c>
      <c r="E11947">
        <v>1.96701649175412</v>
      </c>
    </row>
    <row r="11948" spans="1:5">
      <c r="A11948" t="s">
        <v>13778</v>
      </c>
      <c r="B11948" t="s">
        <v>13790</v>
      </c>
      <c r="C11948">
        <v>0</v>
      </c>
      <c r="D11948" t="s">
        <v>106</v>
      </c>
      <c r="E11948">
        <v>1.96701649175412</v>
      </c>
    </row>
    <row r="11949" spans="1:5">
      <c r="A11949" t="s">
        <v>13778</v>
      </c>
      <c r="B11949" t="s">
        <v>13791</v>
      </c>
      <c r="C11949">
        <v>0</v>
      </c>
      <c r="D11949" t="s">
        <v>106</v>
      </c>
      <c r="E11949">
        <v>1.96701649175412</v>
      </c>
    </row>
    <row r="11950" spans="1:5">
      <c r="A11950" t="s">
        <v>13778</v>
      </c>
      <c r="B11950" t="s">
        <v>13792</v>
      </c>
      <c r="C11950">
        <f>0</f>
        <v>0</v>
      </c>
      <c r="D11950" t="s">
        <v>106</v>
      </c>
      <c r="E11950">
        <v>1.96701649175412</v>
      </c>
    </row>
    <row r="11951" spans="1:5">
      <c r="A11951" t="s">
        <v>13778</v>
      </c>
      <c r="B11951" t="s">
        <v>13793</v>
      </c>
      <c r="C11951">
        <f>0</f>
        <v>0</v>
      </c>
      <c r="D11951" t="s">
        <v>106</v>
      </c>
      <c r="E11951">
        <v>1.96701649175412</v>
      </c>
    </row>
    <row r="11952" spans="1:5">
      <c r="A11952" t="s">
        <v>13778</v>
      </c>
      <c r="B11952" t="s">
        <v>13794</v>
      </c>
      <c r="C11952">
        <f>0</f>
        <v>0</v>
      </c>
      <c r="D11952" t="s">
        <v>106</v>
      </c>
      <c r="E11952">
        <v>1.96701649175412</v>
      </c>
    </row>
    <row r="11953" spans="1:5">
      <c r="A11953" t="s">
        <v>13795</v>
      </c>
      <c r="B11953" t="s">
        <v>13796</v>
      </c>
      <c r="C11953">
        <f>0</f>
        <v>0</v>
      </c>
      <c r="D11953" t="s">
        <v>106</v>
      </c>
      <c r="E11953">
        <v>1.57121439280359</v>
      </c>
    </row>
    <row r="11954" spans="1:5">
      <c r="A11954" t="s">
        <v>13795</v>
      </c>
      <c r="B11954" t="s">
        <v>13797</v>
      </c>
      <c r="C11954">
        <f>0</f>
        <v>0</v>
      </c>
      <c r="D11954" t="s">
        <v>106</v>
      </c>
      <c r="E11954">
        <v>1.57121439280359</v>
      </c>
    </row>
    <row r="11955" spans="1:5">
      <c r="A11955" t="s">
        <v>13795</v>
      </c>
      <c r="B11955" t="s">
        <v>13798</v>
      </c>
      <c r="C11955">
        <f>0</f>
        <v>0</v>
      </c>
      <c r="D11955" t="s">
        <v>106</v>
      </c>
      <c r="E11955">
        <v>1.57121439280359</v>
      </c>
    </row>
    <row r="11956" spans="1:5">
      <c r="A11956" t="s">
        <v>13795</v>
      </c>
      <c r="B11956" t="s">
        <v>13799</v>
      </c>
      <c r="C11956">
        <v>0</v>
      </c>
      <c r="D11956" t="s">
        <v>106</v>
      </c>
      <c r="E11956">
        <v>1.57121439280359</v>
      </c>
    </row>
    <row r="11957" spans="1:5">
      <c r="A11957" t="s">
        <v>13800</v>
      </c>
      <c r="B11957" t="s">
        <v>13801</v>
      </c>
      <c r="C11957">
        <v>0</v>
      </c>
      <c r="D11957">
        <v>0.99009626831700004</v>
      </c>
      <c r="E11957">
        <v>5.1214392803598203</v>
      </c>
    </row>
    <row r="11958" spans="1:5">
      <c r="A11958" t="s">
        <v>13800</v>
      </c>
      <c r="B11958" t="s">
        <v>13802</v>
      </c>
      <c r="C11958">
        <v>0</v>
      </c>
      <c r="D11958">
        <v>0.99009626831700004</v>
      </c>
      <c r="E11958">
        <v>5.1214392803598203</v>
      </c>
    </row>
    <row r="11959" spans="1:5">
      <c r="A11959" t="s">
        <v>13800</v>
      </c>
      <c r="B11959" t="s">
        <v>13803</v>
      </c>
      <c r="C11959">
        <f>0</f>
        <v>0</v>
      </c>
      <c r="D11959">
        <v>0.99009626831700004</v>
      </c>
      <c r="E11959">
        <v>5.1214392803598203</v>
      </c>
    </row>
    <row r="11960" spans="1:5">
      <c r="A11960" t="s">
        <v>13800</v>
      </c>
      <c r="B11960" t="s">
        <v>13804</v>
      </c>
      <c r="C11960">
        <v>0</v>
      </c>
      <c r="D11960">
        <v>0.99009626831700004</v>
      </c>
      <c r="E11960">
        <v>5.1214392803598203</v>
      </c>
    </row>
    <row r="11961" spans="1:5">
      <c r="A11961" t="s">
        <v>13800</v>
      </c>
      <c r="B11961" t="s">
        <v>13805</v>
      </c>
      <c r="C11961">
        <f>0</f>
        <v>0</v>
      </c>
      <c r="D11961">
        <v>0.99009626831700004</v>
      </c>
      <c r="E11961">
        <v>5.1214392803598203</v>
      </c>
    </row>
    <row r="11962" spans="1:5">
      <c r="A11962" t="s">
        <v>13800</v>
      </c>
      <c r="B11962" t="s">
        <v>13806</v>
      </c>
      <c r="C11962">
        <f>0.0959298327507</f>
        <v>9.5929832750699995E-2</v>
      </c>
      <c r="D11962">
        <v>0.99009626831700004</v>
      </c>
      <c r="E11962">
        <v>5.1214392803598203</v>
      </c>
    </row>
    <row r="11963" spans="1:5">
      <c r="A11963" t="s">
        <v>13807</v>
      </c>
      <c r="B11963" t="s">
        <v>13808</v>
      </c>
      <c r="C11963">
        <v>4.6801621514600003E-2</v>
      </c>
      <c r="D11963">
        <v>0.98512307208799998</v>
      </c>
      <c r="E11963">
        <v>23.040479760119901</v>
      </c>
    </row>
    <row r="11964" spans="1:5">
      <c r="A11964" t="s">
        <v>13807</v>
      </c>
      <c r="B11964" t="s">
        <v>13809</v>
      </c>
      <c r="C11964">
        <v>4.9941777675599998E-3</v>
      </c>
      <c r="D11964">
        <v>0.98512307208799998</v>
      </c>
      <c r="E11964">
        <v>23.040479760119901</v>
      </c>
    </row>
    <row r="11965" spans="1:5">
      <c r="A11965" t="s">
        <v>13810</v>
      </c>
      <c r="B11965" t="s">
        <v>13811</v>
      </c>
      <c r="C11965">
        <f>0.0288820340798</f>
        <v>2.8882034079800001E-2</v>
      </c>
      <c r="D11965">
        <v>0.95001084550100001</v>
      </c>
      <c r="E11965">
        <v>24</v>
      </c>
    </row>
    <row r="11966" spans="1:5">
      <c r="A11966" t="s">
        <v>13810</v>
      </c>
      <c r="B11966" t="s">
        <v>13812</v>
      </c>
      <c r="C11966">
        <v>4.0775533074200003E-2</v>
      </c>
      <c r="D11966">
        <v>0.95001084550100001</v>
      </c>
      <c r="E11966">
        <v>24</v>
      </c>
    </row>
    <row r="11967" spans="1:5">
      <c r="A11967" t="s">
        <v>13813</v>
      </c>
      <c r="B11967" t="s">
        <v>13814</v>
      </c>
      <c r="C11967">
        <v>0</v>
      </c>
      <c r="D11967" t="s">
        <v>106</v>
      </c>
      <c r="E11967">
        <v>5.69715142428785</v>
      </c>
    </row>
    <row r="11968" spans="1:5">
      <c r="A11968" t="s">
        <v>13813</v>
      </c>
      <c r="B11968" t="s">
        <v>13815</v>
      </c>
      <c r="C11968">
        <f>0</f>
        <v>0</v>
      </c>
      <c r="D11968" t="s">
        <v>106</v>
      </c>
      <c r="E11968">
        <v>5.69715142428785</v>
      </c>
    </row>
    <row r="11969" spans="1:5">
      <c r="A11969" t="s">
        <v>13813</v>
      </c>
      <c r="B11969" t="s">
        <v>13816</v>
      </c>
      <c r="C11969">
        <v>0</v>
      </c>
      <c r="D11969" t="s">
        <v>106</v>
      </c>
      <c r="E11969">
        <v>5.69715142428785</v>
      </c>
    </row>
    <row r="11970" spans="1:5">
      <c r="A11970" t="s">
        <v>13813</v>
      </c>
      <c r="B11970" t="s">
        <v>13817</v>
      </c>
      <c r="C11970">
        <f>0</f>
        <v>0</v>
      </c>
      <c r="D11970" t="s">
        <v>106</v>
      </c>
      <c r="E11970">
        <v>5.69715142428785</v>
      </c>
    </row>
    <row r="11971" spans="1:5">
      <c r="A11971" t="s">
        <v>13813</v>
      </c>
      <c r="B11971" t="s">
        <v>13818</v>
      </c>
      <c r="C11971">
        <v>0</v>
      </c>
      <c r="D11971" t="s">
        <v>106</v>
      </c>
      <c r="E11971">
        <v>5.69715142428785</v>
      </c>
    </row>
    <row r="11972" spans="1:5">
      <c r="A11972" t="s">
        <v>13813</v>
      </c>
      <c r="B11972" t="s">
        <v>13819</v>
      </c>
      <c r="C11972">
        <v>0</v>
      </c>
      <c r="D11972" t="s">
        <v>106</v>
      </c>
      <c r="E11972">
        <v>5.69715142428785</v>
      </c>
    </row>
    <row r="11973" spans="1:5">
      <c r="A11973" t="s">
        <v>13813</v>
      </c>
      <c r="B11973" t="s">
        <v>13820</v>
      </c>
      <c r="C11973">
        <v>0</v>
      </c>
      <c r="D11973" t="s">
        <v>106</v>
      </c>
      <c r="E11973">
        <v>5.69715142428785</v>
      </c>
    </row>
    <row r="11974" spans="1:5">
      <c r="A11974" t="s">
        <v>13813</v>
      </c>
      <c r="B11974" t="s">
        <v>13821</v>
      </c>
      <c r="C11974">
        <v>0</v>
      </c>
      <c r="D11974" t="s">
        <v>106</v>
      </c>
      <c r="E11974">
        <v>5.69715142428785</v>
      </c>
    </row>
    <row r="11975" spans="1:5">
      <c r="A11975" t="s">
        <v>13813</v>
      </c>
      <c r="B11975" t="s">
        <v>13822</v>
      </c>
      <c r="C11975">
        <v>0</v>
      </c>
      <c r="D11975" t="s">
        <v>106</v>
      </c>
      <c r="E11975">
        <v>5.69715142428785</v>
      </c>
    </row>
    <row r="11976" spans="1:5">
      <c r="A11976" t="s">
        <v>13813</v>
      </c>
      <c r="B11976" t="s">
        <v>13823</v>
      </c>
      <c r="C11976">
        <v>0</v>
      </c>
      <c r="D11976" t="s">
        <v>106</v>
      </c>
      <c r="E11976">
        <v>5.69715142428785</v>
      </c>
    </row>
    <row r="11977" spans="1:5">
      <c r="A11977" t="s">
        <v>13813</v>
      </c>
      <c r="B11977" t="s">
        <v>13824</v>
      </c>
      <c r="C11977">
        <v>0</v>
      </c>
      <c r="D11977" t="s">
        <v>106</v>
      </c>
      <c r="E11977">
        <v>5.69715142428785</v>
      </c>
    </row>
    <row r="11978" spans="1:5">
      <c r="A11978" t="s">
        <v>13813</v>
      </c>
      <c r="B11978" t="s">
        <v>13825</v>
      </c>
      <c r="C11978">
        <v>0</v>
      </c>
      <c r="D11978" t="s">
        <v>106</v>
      </c>
      <c r="E11978">
        <v>5.69715142428785</v>
      </c>
    </row>
    <row r="11979" spans="1:5">
      <c r="A11979" t="s">
        <v>13826</v>
      </c>
      <c r="B11979" t="s">
        <v>13827</v>
      </c>
      <c r="C11979">
        <f>0</f>
        <v>0</v>
      </c>
      <c r="D11979">
        <v>0.99796790231300003</v>
      </c>
      <c r="E11979">
        <v>24</v>
      </c>
    </row>
    <row r="11980" spans="1:5">
      <c r="A11980" t="s">
        <v>13826</v>
      </c>
      <c r="B11980" t="s">
        <v>13828</v>
      </c>
      <c r="C11980">
        <f>0</f>
        <v>0</v>
      </c>
      <c r="D11980">
        <v>0.99796790231300003</v>
      </c>
      <c r="E11980">
        <v>24</v>
      </c>
    </row>
    <row r="11981" spans="1:5">
      <c r="A11981" t="s">
        <v>13826</v>
      </c>
      <c r="B11981" t="s">
        <v>13829</v>
      </c>
      <c r="C11981">
        <v>0.11873938295899999</v>
      </c>
      <c r="D11981">
        <v>0.99796790231300003</v>
      </c>
      <c r="E11981">
        <v>24</v>
      </c>
    </row>
    <row r="11982" spans="1:5">
      <c r="A11982" t="s">
        <v>13826</v>
      </c>
      <c r="B11982" t="s">
        <v>13830</v>
      </c>
      <c r="C11982">
        <v>8.9696255372800002E-2</v>
      </c>
      <c r="D11982">
        <v>0.99796790231300003</v>
      </c>
      <c r="E11982">
        <v>24</v>
      </c>
    </row>
    <row r="11983" spans="1:5">
      <c r="A11983" t="s">
        <v>13826</v>
      </c>
      <c r="B11983" t="s">
        <v>13831</v>
      </c>
      <c r="C11983">
        <f>0</f>
        <v>0</v>
      </c>
      <c r="D11983">
        <v>0.99796790231300003</v>
      </c>
      <c r="E11983">
        <v>24</v>
      </c>
    </row>
    <row r="11984" spans="1:5">
      <c r="A11984" t="s">
        <v>13832</v>
      </c>
      <c r="B11984" t="s">
        <v>13833</v>
      </c>
      <c r="C11984">
        <v>0.141365631642</v>
      </c>
      <c r="D11984">
        <v>0.81082291709599996</v>
      </c>
      <c r="E11984">
        <v>10.0749625187406</v>
      </c>
    </row>
    <row r="11985" spans="1:5">
      <c r="A11985" t="s">
        <v>13832</v>
      </c>
      <c r="B11985" t="s">
        <v>13834</v>
      </c>
      <c r="C11985">
        <f>0</f>
        <v>0</v>
      </c>
      <c r="D11985">
        <v>0.81082291709599996</v>
      </c>
      <c r="E11985">
        <v>10.0749625187406</v>
      </c>
    </row>
    <row r="11986" spans="1:5">
      <c r="A11986" t="s">
        <v>13835</v>
      </c>
      <c r="B11986" t="s">
        <v>13836</v>
      </c>
      <c r="C11986">
        <v>3.5788444289900002E-2</v>
      </c>
      <c r="D11986">
        <v>0.45310595683999999</v>
      </c>
      <c r="E11986">
        <v>1.96701649175412</v>
      </c>
    </row>
    <row r="11987" spans="1:5">
      <c r="A11987" t="s">
        <v>13835</v>
      </c>
      <c r="B11987" t="s">
        <v>13837</v>
      </c>
      <c r="C11987">
        <f>0</f>
        <v>0</v>
      </c>
      <c r="D11987">
        <v>0.45310595683999999</v>
      </c>
      <c r="E11987">
        <v>1.96701649175412</v>
      </c>
    </row>
    <row r="11988" spans="1:5">
      <c r="A11988" t="s">
        <v>13835</v>
      </c>
      <c r="B11988" t="s">
        <v>13838</v>
      </c>
      <c r="C11988">
        <f>0</f>
        <v>0</v>
      </c>
      <c r="D11988">
        <v>0.45310595683999999</v>
      </c>
      <c r="E11988">
        <v>1.96701649175412</v>
      </c>
    </row>
    <row r="11989" spans="1:5">
      <c r="A11989" t="s">
        <v>13835</v>
      </c>
      <c r="B11989" t="s">
        <v>13839</v>
      </c>
      <c r="C11989">
        <v>0</v>
      </c>
      <c r="D11989">
        <v>0.45310595683999999</v>
      </c>
      <c r="E11989">
        <v>1.96701649175412</v>
      </c>
    </row>
    <row r="11990" spans="1:5">
      <c r="A11990" t="s">
        <v>13840</v>
      </c>
      <c r="B11990" t="s">
        <v>13841</v>
      </c>
      <c r="C11990">
        <v>2.7107804690200001E-2</v>
      </c>
      <c r="D11990">
        <v>0.88429969293199995</v>
      </c>
      <c r="E11990">
        <v>12.2098950524737</v>
      </c>
    </row>
    <row r="11991" spans="1:5">
      <c r="A11991" t="s">
        <v>13840</v>
      </c>
      <c r="B11991" t="s">
        <v>13842</v>
      </c>
      <c r="C11991">
        <f>0</f>
        <v>0</v>
      </c>
      <c r="D11991">
        <v>0.88429969293199995</v>
      </c>
      <c r="E11991">
        <v>12.2098950524737</v>
      </c>
    </row>
    <row r="11992" spans="1:5">
      <c r="A11992" t="s">
        <v>13840</v>
      </c>
      <c r="B11992" t="s">
        <v>13843</v>
      </c>
      <c r="C11992">
        <f>0</f>
        <v>0</v>
      </c>
      <c r="D11992">
        <v>0.88429969293199995</v>
      </c>
      <c r="E11992">
        <v>12.2098950524737</v>
      </c>
    </row>
    <row r="11993" spans="1:5">
      <c r="A11993" t="s">
        <v>13840</v>
      </c>
      <c r="B11993" t="s">
        <v>13844</v>
      </c>
      <c r="C11993">
        <v>7.2702612783200005E-2</v>
      </c>
      <c r="D11993">
        <v>0.88429969293199995</v>
      </c>
      <c r="E11993">
        <v>12.2098950524737</v>
      </c>
    </row>
    <row r="11994" spans="1:5">
      <c r="A11994" t="s">
        <v>13840</v>
      </c>
      <c r="B11994" t="s">
        <v>13845</v>
      </c>
      <c r="C11994">
        <v>0</v>
      </c>
      <c r="D11994">
        <v>0.88429969293199995</v>
      </c>
      <c r="E11994">
        <v>12.2098950524737</v>
      </c>
    </row>
    <row r="11995" spans="1:5">
      <c r="A11995" t="s">
        <v>13840</v>
      </c>
      <c r="B11995" t="s">
        <v>13846</v>
      </c>
      <c r="C11995">
        <v>0</v>
      </c>
      <c r="D11995">
        <v>0.88429969293199995</v>
      </c>
      <c r="E11995">
        <v>12.2098950524737</v>
      </c>
    </row>
    <row r="11996" spans="1:5">
      <c r="A11996" t="s">
        <v>13840</v>
      </c>
      <c r="B11996" t="s">
        <v>13847</v>
      </c>
      <c r="C11996">
        <v>0</v>
      </c>
      <c r="D11996">
        <v>0.88429969293199995</v>
      </c>
      <c r="E11996">
        <v>12.2098950524737</v>
      </c>
    </row>
    <row r="11997" spans="1:5">
      <c r="A11997" t="s">
        <v>13840</v>
      </c>
      <c r="B11997" t="s">
        <v>13848</v>
      </c>
      <c r="C11997">
        <v>0</v>
      </c>
      <c r="D11997">
        <v>0.88429969293199995</v>
      </c>
      <c r="E11997">
        <v>12.2098950524737</v>
      </c>
    </row>
    <row r="11998" spans="1:5">
      <c r="A11998" t="s">
        <v>13849</v>
      </c>
      <c r="B11998" t="s">
        <v>13850</v>
      </c>
      <c r="C11998">
        <f>0.261394489777</f>
        <v>0.26139448977700003</v>
      </c>
      <c r="D11998">
        <v>0.87424582259200001</v>
      </c>
      <c r="E11998">
        <v>1.11544227886056</v>
      </c>
    </row>
    <row r="11999" spans="1:5">
      <c r="A11999" t="s">
        <v>13851</v>
      </c>
      <c r="B11999" t="s">
        <v>13852</v>
      </c>
      <c r="C11999">
        <v>0.34976956938100001</v>
      </c>
      <c r="D11999">
        <v>0.96494753854100002</v>
      </c>
      <c r="E11999">
        <v>0.503748125937031</v>
      </c>
    </row>
    <row r="12000" spans="1:5">
      <c r="A12000" t="s">
        <v>13851</v>
      </c>
      <c r="B12000" t="s">
        <v>13853</v>
      </c>
      <c r="C12000">
        <f>0.737042331008</f>
        <v>0.73704233100799998</v>
      </c>
      <c r="D12000">
        <v>0.96494753854100002</v>
      </c>
      <c r="E12000">
        <v>0.503748125937031</v>
      </c>
    </row>
    <row r="12001" spans="1:5">
      <c r="A12001" t="s">
        <v>13854</v>
      </c>
      <c r="B12001" t="s">
        <v>13855</v>
      </c>
      <c r="C12001">
        <v>8.4008793721200001E-2</v>
      </c>
      <c r="D12001">
        <v>0.99248620280400002</v>
      </c>
      <c r="E12001">
        <v>10.398800599700101</v>
      </c>
    </row>
    <row r="12002" spans="1:5">
      <c r="A12002" t="s">
        <v>13854</v>
      </c>
      <c r="B12002" t="s">
        <v>13856</v>
      </c>
      <c r="C12002">
        <v>0.224238823675</v>
      </c>
      <c r="D12002">
        <v>0.99248620280400002</v>
      </c>
      <c r="E12002">
        <v>10.398800599700101</v>
      </c>
    </row>
    <row r="12003" spans="1:5">
      <c r="A12003" t="s">
        <v>13854</v>
      </c>
      <c r="B12003" t="s">
        <v>13857</v>
      </c>
      <c r="C12003">
        <f>0</f>
        <v>0</v>
      </c>
      <c r="D12003">
        <v>0.99248620280400002</v>
      </c>
      <c r="E12003">
        <v>10.398800599700101</v>
      </c>
    </row>
    <row r="12004" spans="1:5">
      <c r="A12004" t="s">
        <v>13858</v>
      </c>
      <c r="B12004" t="s">
        <v>13859</v>
      </c>
      <c r="C12004">
        <v>0</v>
      </c>
      <c r="D12004" t="s">
        <v>106</v>
      </c>
      <c r="E12004">
        <v>4.68965517241379</v>
      </c>
    </row>
    <row r="12005" spans="1:5">
      <c r="A12005" t="s">
        <v>13858</v>
      </c>
      <c r="B12005" t="s">
        <v>13860</v>
      </c>
      <c r="C12005">
        <v>0</v>
      </c>
      <c r="D12005" t="s">
        <v>106</v>
      </c>
      <c r="E12005">
        <v>4.68965517241379</v>
      </c>
    </row>
    <row r="12006" spans="1:5">
      <c r="A12006" t="s">
        <v>13858</v>
      </c>
      <c r="B12006" t="s">
        <v>13861</v>
      </c>
      <c r="C12006">
        <v>0</v>
      </c>
      <c r="D12006" t="s">
        <v>106</v>
      </c>
      <c r="E12006">
        <v>4.68965517241379</v>
      </c>
    </row>
    <row r="12007" spans="1:5">
      <c r="A12007" t="s">
        <v>13858</v>
      </c>
      <c r="B12007" t="s">
        <v>13862</v>
      </c>
      <c r="C12007">
        <f>0</f>
        <v>0</v>
      </c>
      <c r="D12007" t="s">
        <v>106</v>
      </c>
      <c r="E12007">
        <v>4.68965517241379</v>
      </c>
    </row>
    <row r="12008" spans="1:5">
      <c r="A12008" t="s">
        <v>13858</v>
      </c>
      <c r="B12008" t="s">
        <v>13863</v>
      </c>
      <c r="C12008">
        <v>0.123658041607</v>
      </c>
      <c r="D12008" t="s">
        <v>106</v>
      </c>
      <c r="E12008">
        <v>4.68965517241379</v>
      </c>
    </row>
    <row r="12009" spans="1:5">
      <c r="A12009" t="s">
        <v>13858</v>
      </c>
      <c r="B12009" t="s">
        <v>13864</v>
      </c>
      <c r="C12009">
        <v>2.76722834456E-2</v>
      </c>
      <c r="D12009" t="s">
        <v>106</v>
      </c>
      <c r="E12009">
        <v>4.68965517241379</v>
      </c>
    </row>
    <row r="12010" spans="1:5">
      <c r="A12010" t="s">
        <v>13865</v>
      </c>
      <c r="B12010" t="s">
        <v>13866</v>
      </c>
      <c r="C12010">
        <f>0.151463469564</f>
        <v>0.151463469564</v>
      </c>
      <c r="D12010">
        <v>0.99003801281799997</v>
      </c>
      <c r="E12010">
        <v>8.8635682158920499</v>
      </c>
    </row>
    <row r="12011" spans="1:5">
      <c r="A12011" t="s">
        <v>13865</v>
      </c>
      <c r="B12011" t="s">
        <v>13867</v>
      </c>
      <c r="C12011">
        <f>0</f>
        <v>0</v>
      </c>
      <c r="D12011">
        <v>0.99003801281799997</v>
      </c>
      <c r="E12011">
        <v>8.8635682158920499</v>
      </c>
    </row>
    <row r="12012" spans="1:5">
      <c r="A12012" t="s">
        <v>13865</v>
      </c>
      <c r="B12012" t="s">
        <v>13868</v>
      </c>
      <c r="C12012">
        <v>0.77421741041500003</v>
      </c>
      <c r="D12012">
        <v>0.99003801281799997</v>
      </c>
      <c r="E12012">
        <v>8.8635682158920499</v>
      </c>
    </row>
    <row r="12013" spans="1:5">
      <c r="A12013" t="s">
        <v>13869</v>
      </c>
      <c r="B12013" t="s">
        <v>13870</v>
      </c>
      <c r="C12013">
        <v>0</v>
      </c>
      <c r="D12013">
        <v>0.98949350639400002</v>
      </c>
      <c r="E12013">
        <v>4.58170914542728</v>
      </c>
    </row>
    <row r="12014" spans="1:5">
      <c r="A12014" t="s">
        <v>13869</v>
      </c>
      <c r="B12014" t="s">
        <v>13871</v>
      </c>
      <c r="C12014">
        <v>0.27204187917799999</v>
      </c>
      <c r="D12014">
        <v>0.98949350639400002</v>
      </c>
      <c r="E12014">
        <v>4.58170914542728</v>
      </c>
    </row>
    <row r="12015" spans="1:5">
      <c r="A12015" t="s">
        <v>13869</v>
      </c>
      <c r="B12015" t="s">
        <v>13872</v>
      </c>
      <c r="C12015">
        <v>3.8615473511899999E-2</v>
      </c>
      <c r="D12015">
        <v>0.98949350639400002</v>
      </c>
      <c r="E12015">
        <v>4.58170914542728</v>
      </c>
    </row>
    <row r="12016" spans="1:5">
      <c r="A12016" t="s">
        <v>13869</v>
      </c>
      <c r="B12016" t="s">
        <v>13873</v>
      </c>
      <c r="C12016">
        <v>0</v>
      </c>
      <c r="D12016">
        <v>0.98949350639400002</v>
      </c>
      <c r="E12016">
        <v>4.58170914542728</v>
      </c>
    </row>
    <row r="12017" spans="1:5">
      <c r="A12017" t="s">
        <v>13869</v>
      </c>
      <c r="B12017" t="s">
        <v>13874</v>
      </c>
      <c r="C12017">
        <v>0</v>
      </c>
      <c r="D12017">
        <v>0.98949350639400002</v>
      </c>
      <c r="E12017">
        <v>4.58170914542728</v>
      </c>
    </row>
    <row r="12018" spans="1:5">
      <c r="A12018" t="s">
        <v>13869</v>
      </c>
      <c r="B12018" t="s">
        <v>13875</v>
      </c>
      <c r="C12018">
        <v>0</v>
      </c>
      <c r="D12018">
        <v>0.98949350639400002</v>
      </c>
      <c r="E12018">
        <v>4.58170914542728</v>
      </c>
    </row>
    <row r="12019" spans="1:5">
      <c r="A12019" t="s">
        <v>13869</v>
      </c>
      <c r="B12019" t="s">
        <v>13876</v>
      </c>
      <c r="C12019">
        <f>0</f>
        <v>0</v>
      </c>
      <c r="D12019">
        <v>0.98949350639400002</v>
      </c>
      <c r="E12019">
        <v>4.58170914542728</v>
      </c>
    </row>
    <row r="12020" spans="1:5">
      <c r="A12020" t="s">
        <v>13869</v>
      </c>
      <c r="B12020" t="s">
        <v>13877</v>
      </c>
      <c r="C12020">
        <v>0</v>
      </c>
      <c r="D12020">
        <v>0.98949350639400002</v>
      </c>
      <c r="E12020">
        <v>4.58170914542728</v>
      </c>
    </row>
    <row r="12021" spans="1:5">
      <c r="A12021" t="s">
        <v>13869</v>
      </c>
      <c r="B12021" t="s">
        <v>13878</v>
      </c>
      <c r="C12021">
        <v>0</v>
      </c>
      <c r="D12021">
        <v>0.98949350639400002</v>
      </c>
      <c r="E12021">
        <v>4.58170914542728</v>
      </c>
    </row>
    <row r="12022" spans="1:5">
      <c r="A12022" t="s">
        <v>13879</v>
      </c>
      <c r="B12022" t="s">
        <v>13880</v>
      </c>
      <c r="C12022">
        <f>0</f>
        <v>0</v>
      </c>
      <c r="D12022">
        <v>0.97090543402600005</v>
      </c>
      <c r="E12022">
        <v>7.1964017991004496</v>
      </c>
    </row>
    <row r="12023" spans="1:5">
      <c r="A12023" t="s">
        <v>13879</v>
      </c>
      <c r="B12023" t="s">
        <v>13881</v>
      </c>
      <c r="C12023">
        <f>0.219937886908</f>
        <v>0.21993788690800001</v>
      </c>
      <c r="D12023">
        <v>0.97090543402600005</v>
      </c>
      <c r="E12023">
        <v>7.1964017991004496</v>
      </c>
    </row>
    <row r="12024" spans="1:5">
      <c r="A12024" t="s">
        <v>13879</v>
      </c>
      <c r="B12024" t="s">
        <v>13882</v>
      </c>
      <c r="C12024">
        <v>0.27914495013500001</v>
      </c>
      <c r="D12024">
        <v>0.97090543402600005</v>
      </c>
      <c r="E12024">
        <v>7.1964017991004496</v>
      </c>
    </row>
    <row r="12025" spans="1:5">
      <c r="A12025" t="s">
        <v>13883</v>
      </c>
      <c r="B12025" t="s">
        <v>13884</v>
      </c>
      <c r="C12025">
        <v>0.26773487584599998</v>
      </c>
      <c r="D12025">
        <v>0.70788034357499996</v>
      </c>
      <c r="E12025">
        <v>0.61169415292353801</v>
      </c>
    </row>
    <row r="12026" spans="1:5">
      <c r="A12026" t="s">
        <v>13883</v>
      </c>
      <c r="B12026" t="s">
        <v>13885</v>
      </c>
      <c r="C12026">
        <v>0</v>
      </c>
      <c r="D12026">
        <v>0.70788034357499996</v>
      </c>
      <c r="E12026">
        <v>0.61169415292353801</v>
      </c>
    </row>
    <row r="12027" spans="1:5">
      <c r="A12027" t="s">
        <v>13886</v>
      </c>
      <c r="B12027" t="s">
        <v>13887</v>
      </c>
      <c r="C12027">
        <f>0</f>
        <v>0</v>
      </c>
      <c r="D12027">
        <v>0.90817115963999995</v>
      </c>
      <c r="E12027">
        <v>2.79460269865067</v>
      </c>
    </row>
    <row r="12028" spans="1:5">
      <c r="A12028" t="s">
        <v>13886</v>
      </c>
      <c r="B12028" t="s">
        <v>13888</v>
      </c>
      <c r="C12028">
        <f>0.147610580272</f>
        <v>0.147610580272</v>
      </c>
      <c r="D12028">
        <v>0.90817115963999995</v>
      </c>
      <c r="E12028">
        <v>2.79460269865067</v>
      </c>
    </row>
    <row r="12029" spans="1:5">
      <c r="A12029" t="s">
        <v>13886</v>
      </c>
      <c r="B12029" t="s">
        <v>13889</v>
      </c>
      <c r="C12029">
        <f>0</f>
        <v>0</v>
      </c>
      <c r="D12029">
        <v>0.90817115963999995</v>
      </c>
      <c r="E12029">
        <v>2.79460269865067</v>
      </c>
    </row>
    <row r="12030" spans="1:5">
      <c r="A12030" t="s">
        <v>13886</v>
      </c>
      <c r="B12030" t="s">
        <v>13890</v>
      </c>
      <c r="C12030">
        <f>0</f>
        <v>0</v>
      </c>
      <c r="D12030">
        <v>0.90817115963999995</v>
      </c>
      <c r="E12030">
        <v>2.79460269865067</v>
      </c>
    </row>
    <row r="12031" spans="1:5">
      <c r="A12031" t="s">
        <v>13891</v>
      </c>
      <c r="B12031" t="s">
        <v>13892</v>
      </c>
      <c r="C12031">
        <f>0.0442067087077</f>
        <v>4.42067087077E-2</v>
      </c>
      <c r="D12031" t="s">
        <v>106</v>
      </c>
      <c r="E12031">
        <v>2.8785607196401801</v>
      </c>
    </row>
    <row r="12032" spans="1:5">
      <c r="A12032" t="s">
        <v>13891</v>
      </c>
      <c r="B12032" t="s">
        <v>13893</v>
      </c>
      <c r="C12032">
        <v>0.41529290881999997</v>
      </c>
      <c r="D12032" t="s">
        <v>106</v>
      </c>
      <c r="E12032">
        <v>2.8785607196401801</v>
      </c>
    </row>
    <row r="12033" spans="1:5">
      <c r="A12033" t="s">
        <v>13891</v>
      </c>
      <c r="B12033" t="s">
        <v>13894</v>
      </c>
      <c r="C12033">
        <f>0</f>
        <v>0</v>
      </c>
      <c r="D12033" t="s">
        <v>106</v>
      </c>
      <c r="E12033">
        <v>2.8785607196401801</v>
      </c>
    </row>
    <row r="12034" spans="1:5">
      <c r="A12034" t="s">
        <v>13895</v>
      </c>
      <c r="B12034" t="s">
        <v>13896</v>
      </c>
      <c r="C12034">
        <f>0</f>
        <v>0</v>
      </c>
      <c r="D12034" t="s">
        <v>106</v>
      </c>
      <c r="E12034">
        <v>3.5862068965517202</v>
      </c>
    </row>
    <row r="12035" spans="1:5">
      <c r="A12035" t="s">
        <v>13895</v>
      </c>
      <c r="B12035" t="s">
        <v>13897</v>
      </c>
      <c r="C12035">
        <f>0</f>
        <v>0</v>
      </c>
      <c r="D12035" t="s">
        <v>106</v>
      </c>
      <c r="E12035">
        <v>3.5862068965517202</v>
      </c>
    </row>
    <row r="12036" spans="1:5">
      <c r="A12036" t="s">
        <v>13895</v>
      </c>
      <c r="B12036" t="s">
        <v>13898</v>
      </c>
      <c r="C12036">
        <v>0</v>
      </c>
      <c r="D12036" t="s">
        <v>106</v>
      </c>
      <c r="E12036">
        <v>3.5862068965517202</v>
      </c>
    </row>
    <row r="12037" spans="1:5">
      <c r="A12037" t="s">
        <v>13895</v>
      </c>
      <c r="B12037" t="s">
        <v>13899</v>
      </c>
      <c r="C12037">
        <f>0</f>
        <v>0</v>
      </c>
      <c r="D12037" t="s">
        <v>106</v>
      </c>
      <c r="E12037">
        <v>3.5862068965517202</v>
      </c>
    </row>
    <row r="12038" spans="1:5">
      <c r="A12038" t="s">
        <v>13895</v>
      </c>
      <c r="B12038" t="s">
        <v>13900</v>
      </c>
      <c r="C12038">
        <f>0</f>
        <v>0</v>
      </c>
      <c r="D12038" t="s">
        <v>106</v>
      </c>
      <c r="E12038">
        <v>3.5862068965517202</v>
      </c>
    </row>
    <row r="12039" spans="1:5">
      <c r="A12039" t="s">
        <v>13895</v>
      </c>
      <c r="B12039" t="s">
        <v>13901</v>
      </c>
      <c r="C12039">
        <f>0</f>
        <v>0</v>
      </c>
      <c r="D12039" t="s">
        <v>106</v>
      </c>
      <c r="E12039">
        <v>3.5862068965517202</v>
      </c>
    </row>
    <row r="12040" spans="1:5">
      <c r="A12040" t="s">
        <v>13895</v>
      </c>
      <c r="B12040" t="s">
        <v>13902</v>
      </c>
      <c r="C12040">
        <f>0</f>
        <v>0</v>
      </c>
      <c r="D12040" t="s">
        <v>106</v>
      </c>
      <c r="E12040">
        <v>3.5862068965517202</v>
      </c>
    </row>
    <row r="12041" spans="1:5">
      <c r="A12041" t="s">
        <v>13895</v>
      </c>
      <c r="B12041" t="s">
        <v>13903</v>
      </c>
      <c r="C12041">
        <v>0</v>
      </c>
      <c r="D12041" t="s">
        <v>106</v>
      </c>
      <c r="E12041">
        <v>3.5862068965517202</v>
      </c>
    </row>
    <row r="12042" spans="1:5">
      <c r="A12042" t="s">
        <v>13895</v>
      </c>
      <c r="B12042" t="s">
        <v>13904</v>
      </c>
      <c r="C12042">
        <f>0</f>
        <v>0</v>
      </c>
      <c r="D12042" t="s">
        <v>106</v>
      </c>
      <c r="E12042">
        <v>3.5862068965517202</v>
      </c>
    </row>
    <row r="12043" spans="1:5">
      <c r="A12043" t="s">
        <v>13895</v>
      </c>
      <c r="B12043" t="s">
        <v>13905</v>
      </c>
      <c r="C12043">
        <f>0</f>
        <v>0</v>
      </c>
      <c r="D12043" t="s">
        <v>106</v>
      </c>
      <c r="E12043">
        <v>3.5862068965517202</v>
      </c>
    </row>
    <row r="12044" spans="1:5">
      <c r="A12044" t="s">
        <v>13895</v>
      </c>
      <c r="B12044" t="s">
        <v>13906</v>
      </c>
      <c r="C12044">
        <v>0.14953797506700001</v>
      </c>
      <c r="D12044" t="s">
        <v>106</v>
      </c>
      <c r="E12044">
        <v>3.5862068965517202</v>
      </c>
    </row>
    <row r="12045" spans="1:5">
      <c r="A12045" t="s">
        <v>13895</v>
      </c>
      <c r="B12045" t="s">
        <v>13907</v>
      </c>
      <c r="C12045">
        <f>0</f>
        <v>0</v>
      </c>
      <c r="D12045" t="s">
        <v>106</v>
      </c>
      <c r="E12045">
        <v>3.5862068965517202</v>
      </c>
    </row>
    <row r="12046" spans="1:5">
      <c r="A12046" t="s">
        <v>13895</v>
      </c>
      <c r="B12046" t="s">
        <v>13908</v>
      </c>
      <c r="C12046">
        <f>0</f>
        <v>0</v>
      </c>
      <c r="D12046" t="s">
        <v>106</v>
      </c>
      <c r="E12046">
        <v>3.5862068965517202</v>
      </c>
    </row>
    <row r="12047" spans="1:5">
      <c r="A12047" t="s">
        <v>13895</v>
      </c>
      <c r="B12047" t="s">
        <v>13909</v>
      </c>
      <c r="C12047">
        <f>0</f>
        <v>0</v>
      </c>
      <c r="D12047" t="s">
        <v>106</v>
      </c>
      <c r="E12047">
        <v>3.5862068965517202</v>
      </c>
    </row>
    <row r="12048" spans="1:5">
      <c r="A12048" t="s">
        <v>13895</v>
      </c>
      <c r="B12048" t="s">
        <v>13910</v>
      </c>
      <c r="C12048">
        <f>0</f>
        <v>0</v>
      </c>
      <c r="D12048" t="s">
        <v>106</v>
      </c>
      <c r="E12048">
        <v>3.5862068965517202</v>
      </c>
    </row>
    <row r="12049" spans="1:5">
      <c r="A12049" t="s">
        <v>13895</v>
      </c>
      <c r="B12049" t="s">
        <v>13911</v>
      </c>
      <c r="C12049">
        <v>0</v>
      </c>
      <c r="D12049" t="s">
        <v>106</v>
      </c>
      <c r="E12049">
        <v>3.5862068965517202</v>
      </c>
    </row>
    <row r="12050" spans="1:5">
      <c r="A12050" t="s">
        <v>13912</v>
      </c>
      <c r="B12050" t="s">
        <v>13913</v>
      </c>
      <c r="C12050">
        <v>0</v>
      </c>
      <c r="D12050">
        <v>0.97133841437000001</v>
      </c>
      <c r="E12050">
        <v>2.7106446776611599</v>
      </c>
    </row>
    <row r="12051" spans="1:5">
      <c r="A12051" t="s">
        <v>13912</v>
      </c>
      <c r="B12051" t="s">
        <v>13914</v>
      </c>
      <c r="C12051">
        <v>0.22244516249999999</v>
      </c>
      <c r="D12051">
        <v>0.97133841437000001</v>
      </c>
      <c r="E12051">
        <v>2.7106446776611599</v>
      </c>
    </row>
    <row r="12052" spans="1:5">
      <c r="A12052" t="s">
        <v>13912</v>
      </c>
      <c r="B12052" t="s">
        <v>13915</v>
      </c>
      <c r="C12052">
        <v>0</v>
      </c>
      <c r="D12052">
        <v>0.97133841437000001</v>
      </c>
      <c r="E12052">
        <v>2.7106446776611599</v>
      </c>
    </row>
    <row r="12053" spans="1:5">
      <c r="A12053" t="s">
        <v>13912</v>
      </c>
      <c r="B12053" t="s">
        <v>13916</v>
      </c>
      <c r="C12053">
        <v>0.316015262884</v>
      </c>
      <c r="D12053">
        <v>0.97133841437000001</v>
      </c>
      <c r="E12053">
        <v>2.7106446776611599</v>
      </c>
    </row>
    <row r="12054" spans="1:5">
      <c r="A12054" t="s">
        <v>13912</v>
      </c>
      <c r="B12054" t="s">
        <v>13917</v>
      </c>
      <c r="C12054">
        <v>0</v>
      </c>
      <c r="D12054">
        <v>0.97133841437000001</v>
      </c>
      <c r="E12054">
        <v>2.7106446776611599</v>
      </c>
    </row>
    <row r="12055" spans="1:5">
      <c r="A12055" t="s">
        <v>13918</v>
      </c>
      <c r="B12055" t="s">
        <v>13919</v>
      </c>
      <c r="C12055">
        <f>0</f>
        <v>0</v>
      </c>
      <c r="D12055">
        <v>0.80892017218800005</v>
      </c>
      <c r="E12055">
        <v>20.7376311844077</v>
      </c>
    </row>
    <row r="12056" spans="1:5">
      <c r="A12056" t="s">
        <v>13918</v>
      </c>
      <c r="B12056" t="s">
        <v>13920</v>
      </c>
      <c r="C12056">
        <f>0.0572805644757</f>
        <v>5.7280564475699999E-2</v>
      </c>
      <c r="D12056">
        <v>0.80892017218800005</v>
      </c>
      <c r="E12056">
        <v>20.7376311844077</v>
      </c>
    </row>
    <row r="12057" spans="1:5">
      <c r="A12057" t="s">
        <v>13921</v>
      </c>
      <c r="B12057" t="s">
        <v>13922</v>
      </c>
      <c r="C12057">
        <f>0</f>
        <v>0</v>
      </c>
      <c r="D12057" t="s">
        <v>106</v>
      </c>
      <c r="E12057">
        <v>2.1709145427286298</v>
      </c>
    </row>
    <row r="12058" spans="1:5">
      <c r="A12058" t="s">
        <v>13921</v>
      </c>
      <c r="B12058" t="s">
        <v>13923</v>
      </c>
      <c r="C12058">
        <f>0</f>
        <v>0</v>
      </c>
      <c r="D12058" t="s">
        <v>106</v>
      </c>
      <c r="E12058">
        <v>2.1709145427286298</v>
      </c>
    </row>
    <row r="12059" spans="1:5">
      <c r="A12059" t="s">
        <v>13921</v>
      </c>
      <c r="B12059" t="s">
        <v>13924</v>
      </c>
      <c r="C12059">
        <f>0</f>
        <v>0</v>
      </c>
      <c r="D12059" t="s">
        <v>106</v>
      </c>
      <c r="E12059">
        <v>2.1709145427286298</v>
      </c>
    </row>
    <row r="12060" spans="1:5">
      <c r="A12060" t="s">
        <v>13921</v>
      </c>
      <c r="B12060" t="s">
        <v>13925</v>
      </c>
      <c r="C12060">
        <f>0</f>
        <v>0</v>
      </c>
      <c r="D12060" t="s">
        <v>106</v>
      </c>
      <c r="E12060">
        <v>2.1709145427286298</v>
      </c>
    </row>
    <row r="12061" spans="1:5">
      <c r="A12061" t="s">
        <v>13926</v>
      </c>
      <c r="B12061" t="s">
        <v>13927</v>
      </c>
      <c r="C12061">
        <f>0</f>
        <v>0</v>
      </c>
      <c r="D12061">
        <v>0.87413102604199999</v>
      </c>
      <c r="E12061">
        <v>16.491754122938499</v>
      </c>
    </row>
    <row r="12062" spans="1:5">
      <c r="A12062" t="s">
        <v>13928</v>
      </c>
      <c r="B12062" t="s">
        <v>13929</v>
      </c>
      <c r="C12062">
        <v>0</v>
      </c>
      <c r="D12062" t="s">
        <v>106</v>
      </c>
      <c r="E12062">
        <v>1.39130434782608</v>
      </c>
    </row>
    <row r="12063" spans="1:5">
      <c r="A12063" t="s">
        <v>13928</v>
      </c>
      <c r="B12063" t="s">
        <v>13930</v>
      </c>
      <c r="C12063">
        <v>0</v>
      </c>
      <c r="D12063" t="s">
        <v>106</v>
      </c>
      <c r="E12063">
        <v>1.39130434782608</v>
      </c>
    </row>
    <row r="12064" spans="1:5">
      <c r="A12064" t="s">
        <v>13928</v>
      </c>
      <c r="B12064" t="s">
        <v>13931</v>
      </c>
      <c r="C12064">
        <f>0</f>
        <v>0</v>
      </c>
      <c r="D12064" t="s">
        <v>106</v>
      </c>
      <c r="E12064">
        <v>1.39130434782608</v>
      </c>
    </row>
    <row r="12065" spans="1:5">
      <c r="A12065" t="s">
        <v>13932</v>
      </c>
      <c r="B12065" t="s">
        <v>13933</v>
      </c>
      <c r="C12065">
        <f>0</f>
        <v>0</v>
      </c>
      <c r="D12065" t="s">
        <v>106</v>
      </c>
      <c r="E12065">
        <v>14.740629685157399</v>
      </c>
    </row>
    <row r="12066" spans="1:5">
      <c r="A12066" t="s">
        <v>13932</v>
      </c>
      <c r="B12066" t="s">
        <v>13934</v>
      </c>
      <c r="C12066">
        <f>0</f>
        <v>0</v>
      </c>
      <c r="D12066" t="s">
        <v>106</v>
      </c>
      <c r="E12066">
        <v>14.740629685157399</v>
      </c>
    </row>
    <row r="12067" spans="1:5">
      <c r="A12067" t="s">
        <v>13932</v>
      </c>
      <c r="B12067" t="s">
        <v>13935</v>
      </c>
      <c r="C12067">
        <v>0</v>
      </c>
      <c r="D12067" t="s">
        <v>106</v>
      </c>
      <c r="E12067">
        <v>14.740629685157399</v>
      </c>
    </row>
    <row r="12068" spans="1:5">
      <c r="A12068" t="s">
        <v>13936</v>
      </c>
      <c r="B12068" t="s">
        <v>13937</v>
      </c>
      <c r="C12068">
        <v>1.5754882111900001E-2</v>
      </c>
      <c r="D12068">
        <v>0.97398782060099998</v>
      </c>
      <c r="E12068">
        <v>14.5487256371814</v>
      </c>
    </row>
    <row r="12069" spans="1:5">
      <c r="A12069" t="s">
        <v>13936</v>
      </c>
      <c r="B12069" t="s">
        <v>13938</v>
      </c>
      <c r="C12069">
        <v>4.7227642649100003E-2</v>
      </c>
      <c r="D12069">
        <v>0.97398782060099998</v>
      </c>
      <c r="E12069">
        <v>14.5487256371814</v>
      </c>
    </row>
    <row r="12070" spans="1:5">
      <c r="A12070" t="s">
        <v>13936</v>
      </c>
      <c r="B12070" t="s">
        <v>13939</v>
      </c>
      <c r="C12070">
        <f>0</f>
        <v>0</v>
      </c>
      <c r="D12070">
        <v>0.97398782060099998</v>
      </c>
      <c r="E12070">
        <v>14.5487256371814</v>
      </c>
    </row>
    <row r="12071" spans="1:5">
      <c r="A12071" t="s">
        <v>13936</v>
      </c>
      <c r="B12071" t="s">
        <v>13940</v>
      </c>
      <c r="C12071">
        <v>0</v>
      </c>
      <c r="D12071">
        <v>0.97398782060099998</v>
      </c>
      <c r="E12071">
        <v>14.5487256371814</v>
      </c>
    </row>
    <row r="12072" spans="1:5">
      <c r="A12072" t="s">
        <v>13941</v>
      </c>
      <c r="B12072" t="s">
        <v>13942</v>
      </c>
      <c r="C12072">
        <v>0</v>
      </c>
      <c r="D12072">
        <v>0.97663376156000004</v>
      </c>
      <c r="E12072">
        <v>16.899550224887498</v>
      </c>
    </row>
    <row r="12073" spans="1:5">
      <c r="A12073" t="s">
        <v>13941</v>
      </c>
      <c r="B12073" t="s">
        <v>13943</v>
      </c>
      <c r="C12073">
        <v>0</v>
      </c>
      <c r="D12073">
        <v>0.97663376156000004</v>
      </c>
      <c r="E12073">
        <v>16.899550224887498</v>
      </c>
    </row>
    <row r="12074" spans="1:5">
      <c r="A12074" t="s">
        <v>13941</v>
      </c>
      <c r="B12074" t="s">
        <v>13944</v>
      </c>
      <c r="C12074">
        <v>0</v>
      </c>
      <c r="D12074">
        <v>0.97663376156000004</v>
      </c>
      <c r="E12074">
        <v>16.899550224887498</v>
      </c>
    </row>
    <row r="12075" spans="1:5">
      <c r="A12075" t="s">
        <v>13941</v>
      </c>
      <c r="B12075" t="s">
        <v>13945</v>
      </c>
      <c r="C12075">
        <v>0</v>
      </c>
      <c r="D12075">
        <v>0.97663376156000004</v>
      </c>
      <c r="E12075">
        <v>16.899550224887498</v>
      </c>
    </row>
    <row r="12076" spans="1:5">
      <c r="A12076" t="s">
        <v>13941</v>
      </c>
      <c r="B12076" t="s">
        <v>13946</v>
      </c>
      <c r="C12076">
        <f>0</f>
        <v>0</v>
      </c>
      <c r="D12076">
        <v>0.97663376156000004</v>
      </c>
      <c r="E12076">
        <v>16.899550224887498</v>
      </c>
    </row>
    <row r="12077" spans="1:5">
      <c r="A12077" t="s">
        <v>13941</v>
      </c>
      <c r="B12077" t="s">
        <v>13947</v>
      </c>
      <c r="C12077">
        <v>0</v>
      </c>
      <c r="D12077">
        <v>0.97663376156000004</v>
      </c>
      <c r="E12077">
        <v>16.899550224887498</v>
      </c>
    </row>
    <row r="12078" spans="1:5">
      <c r="A12078" t="s">
        <v>13941</v>
      </c>
      <c r="B12078" t="s">
        <v>13948</v>
      </c>
      <c r="C12078">
        <f>0</f>
        <v>0</v>
      </c>
      <c r="D12078">
        <v>0.97663376156000004</v>
      </c>
      <c r="E12078">
        <v>16.899550224887498</v>
      </c>
    </row>
    <row r="12079" spans="1:5">
      <c r="A12079" t="s">
        <v>13941</v>
      </c>
      <c r="B12079" t="s">
        <v>13949</v>
      </c>
      <c r="C12079">
        <v>0</v>
      </c>
      <c r="D12079">
        <v>0.97663376156000004</v>
      </c>
      <c r="E12079">
        <v>16.899550224887498</v>
      </c>
    </row>
    <row r="12080" spans="1:5">
      <c r="A12080" t="s">
        <v>13941</v>
      </c>
      <c r="B12080" t="s">
        <v>13950</v>
      </c>
      <c r="C12080">
        <v>0</v>
      </c>
      <c r="D12080">
        <v>0.97663376156000004</v>
      </c>
      <c r="E12080">
        <v>16.899550224887498</v>
      </c>
    </row>
    <row r="12081" spans="1:5">
      <c r="A12081" t="s">
        <v>13941</v>
      </c>
      <c r="B12081" t="s">
        <v>13951</v>
      </c>
      <c r="C12081">
        <f>0</f>
        <v>0</v>
      </c>
      <c r="D12081">
        <v>0.97663376156000004</v>
      </c>
      <c r="E12081">
        <v>16.899550224887498</v>
      </c>
    </row>
    <row r="12082" spans="1:5">
      <c r="A12082" t="s">
        <v>13941</v>
      </c>
      <c r="B12082" t="s">
        <v>13952</v>
      </c>
      <c r="C12082">
        <f>0</f>
        <v>0</v>
      </c>
      <c r="D12082">
        <v>0.97663376156000004</v>
      </c>
      <c r="E12082">
        <v>16.899550224887498</v>
      </c>
    </row>
    <row r="12083" spans="1:5">
      <c r="A12083" t="s">
        <v>13941</v>
      </c>
      <c r="B12083" t="s">
        <v>13953</v>
      </c>
      <c r="C12083">
        <f>0</f>
        <v>0</v>
      </c>
      <c r="D12083">
        <v>0.97663376156000004</v>
      </c>
      <c r="E12083">
        <v>16.899550224887498</v>
      </c>
    </row>
    <row r="12084" spans="1:5">
      <c r="A12084" t="s">
        <v>13941</v>
      </c>
      <c r="B12084" t="s">
        <v>13954</v>
      </c>
      <c r="C12084">
        <v>0</v>
      </c>
      <c r="D12084">
        <v>0.97663376156000004</v>
      </c>
      <c r="E12084">
        <v>16.899550224887498</v>
      </c>
    </row>
    <row r="12085" spans="1:5">
      <c r="A12085" t="s">
        <v>13941</v>
      </c>
      <c r="B12085" t="s">
        <v>13955</v>
      </c>
      <c r="C12085">
        <v>0</v>
      </c>
      <c r="D12085">
        <v>0.97663376156000004</v>
      </c>
      <c r="E12085">
        <v>16.899550224887498</v>
      </c>
    </row>
    <row r="12086" spans="1:5">
      <c r="A12086" t="s">
        <v>13941</v>
      </c>
      <c r="B12086" t="s">
        <v>13956</v>
      </c>
      <c r="C12086">
        <f>0</f>
        <v>0</v>
      </c>
      <c r="D12086">
        <v>0.97663376156000004</v>
      </c>
      <c r="E12086">
        <v>16.899550224887498</v>
      </c>
    </row>
    <row r="12087" spans="1:5">
      <c r="A12087" t="s">
        <v>13941</v>
      </c>
      <c r="B12087" t="s">
        <v>13957</v>
      </c>
      <c r="C12087">
        <v>0</v>
      </c>
      <c r="D12087">
        <v>0.97663376156000004</v>
      </c>
      <c r="E12087">
        <v>16.899550224887498</v>
      </c>
    </row>
    <row r="12088" spans="1:5">
      <c r="A12088" t="s">
        <v>13941</v>
      </c>
      <c r="B12088" t="s">
        <v>13958</v>
      </c>
      <c r="C12088">
        <v>0</v>
      </c>
      <c r="D12088">
        <v>0.97663376156000004</v>
      </c>
      <c r="E12088">
        <v>16.899550224887498</v>
      </c>
    </row>
    <row r="12089" spans="1:5">
      <c r="A12089" t="s">
        <v>13941</v>
      </c>
      <c r="B12089" t="s">
        <v>13959</v>
      </c>
      <c r="C12089">
        <v>0</v>
      </c>
      <c r="D12089">
        <v>0.97663376156000004</v>
      </c>
      <c r="E12089">
        <v>16.899550224887498</v>
      </c>
    </row>
    <row r="12090" spans="1:5">
      <c r="A12090" t="s">
        <v>13941</v>
      </c>
      <c r="B12090" t="s">
        <v>13960</v>
      </c>
      <c r="C12090">
        <v>0</v>
      </c>
      <c r="D12090">
        <v>0.97663376156000004</v>
      </c>
      <c r="E12090">
        <v>16.899550224887498</v>
      </c>
    </row>
    <row r="12091" spans="1:5">
      <c r="A12091" t="s">
        <v>13941</v>
      </c>
      <c r="B12091" t="s">
        <v>13961</v>
      </c>
      <c r="C12091">
        <v>0</v>
      </c>
      <c r="D12091">
        <v>0.97663376156000004</v>
      </c>
      <c r="E12091">
        <v>16.899550224887498</v>
      </c>
    </row>
    <row r="12092" spans="1:5">
      <c r="A12092" t="s">
        <v>13962</v>
      </c>
      <c r="B12092" t="s">
        <v>13963</v>
      </c>
      <c r="C12092">
        <f>0</f>
        <v>0</v>
      </c>
      <c r="D12092" t="s">
        <v>106</v>
      </c>
      <c r="E12092">
        <v>13.2653673163418</v>
      </c>
    </row>
    <row r="12093" spans="1:5">
      <c r="A12093" t="s">
        <v>13962</v>
      </c>
      <c r="B12093" t="s">
        <v>13964</v>
      </c>
      <c r="C12093">
        <f>0</f>
        <v>0</v>
      </c>
      <c r="D12093" t="s">
        <v>106</v>
      </c>
      <c r="E12093">
        <v>13.2653673163418</v>
      </c>
    </row>
    <row r="12094" spans="1:5">
      <c r="A12094" t="s">
        <v>13962</v>
      </c>
      <c r="B12094" t="s">
        <v>13965</v>
      </c>
      <c r="C12094">
        <v>0</v>
      </c>
      <c r="D12094" t="s">
        <v>106</v>
      </c>
      <c r="E12094">
        <v>13.2653673163418</v>
      </c>
    </row>
    <row r="12095" spans="1:5">
      <c r="A12095" t="s">
        <v>13962</v>
      </c>
      <c r="B12095" t="s">
        <v>13966</v>
      </c>
      <c r="C12095">
        <f>0</f>
        <v>0</v>
      </c>
      <c r="D12095" t="s">
        <v>106</v>
      </c>
      <c r="E12095">
        <v>13.2653673163418</v>
      </c>
    </row>
    <row r="12096" spans="1:5">
      <c r="A12096" t="s">
        <v>13962</v>
      </c>
      <c r="B12096" t="s">
        <v>13967</v>
      </c>
      <c r="C12096">
        <f>0</f>
        <v>0</v>
      </c>
      <c r="D12096" t="s">
        <v>106</v>
      </c>
      <c r="E12096">
        <v>13.2653673163418</v>
      </c>
    </row>
    <row r="12097" spans="1:5">
      <c r="A12097" t="s">
        <v>13962</v>
      </c>
      <c r="B12097" t="s">
        <v>13968</v>
      </c>
      <c r="C12097">
        <f>0</f>
        <v>0</v>
      </c>
      <c r="D12097" t="s">
        <v>106</v>
      </c>
      <c r="E12097">
        <v>13.2653673163418</v>
      </c>
    </row>
    <row r="12098" spans="1:5">
      <c r="A12098" t="s">
        <v>13969</v>
      </c>
      <c r="B12098" t="s">
        <v>13970</v>
      </c>
      <c r="C12098">
        <f>0</f>
        <v>0</v>
      </c>
      <c r="D12098" t="s">
        <v>106</v>
      </c>
      <c r="E12098">
        <v>2.3268365817091401</v>
      </c>
    </row>
    <row r="12099" spans="1:5">
      <c r="A12099" t="s">
        <v>13969</v>
      </c>
      <c r="B12099" t="s">
        <v>13971</v>
      </c>
      <c r="C12099">
        <f>0</f>
        <v>0</v>
      </c>
      <c r="D12099" t="s">
        <v>106</v>
      </c>
      <c r="E12099">
        <v>2.3268365817091401</v>
      </c>
    </row>
    <row r="12100" spans="1:5">
      <c r="A12100" t="s">
        <v>13969</v>
      </c>
      <c r="B12100" t="s">
        <v>13972</v>
      </c>
      <c r="C12100">
        <f>0</f>
        <v>0</v>
      </c>
      <c r="D12100" t="s">
        <v>106</v>
      </c>
      <c r="E12100">
        <v>2.3268365817091401</v>
      </c>
    </row>
    <row r="12101" spans="1:5">
      <c r="A12101" t="s">
        <v>13969</v>
      </c>
      <c r="B12101" t="s">
        <v>13973</v>
      </c>
      <c r="C12101">
        <f>0</f>
        <v>0</v>
      </c>
      <c r="D12101" t="s">
        <v>106</v>
      </c>
      <c r="E12101">
        <v>2.3268365817091401</v>
      </c>
    </row>
    <row r="12102" spans="1:5">
      <c r="A12102" t="s">
        <v>13969</v>
      </c>
      <c r="B12102" t="s">
        <v>13974</v>
      </c>
      <c r="C12102">
        <f>0</f>
        <v>0</v>
      </c>
      <c r="D12102" t="s">
        <v>106</v>
      </c>
      <c r="E12102">
        <v>2.3268365817091401</v>
      </c>
    </row>
    <row r="12103" spans="1:5">
      <c r="A12103" t="s">
        <v>13969</v>
      </c>
      <c r="B12103" t="s">
        <v>13975</v>
      </c>
      <c r="C12103">
        <f>0</f>
        <v>0</v>
      </c>
      <c r="D12103" t="s">
        <v>106</v>
      </c>
      <c r="E12103">
        <v>2.3268365817091401</v>
      </c>
    </row>
    <row r="12104" spans="1:5">
      <c r="A12104" t="s">
        <v>13969</v>
      </c>
      <c r="B12104" t="s">
        <v>13976</v>
      </c>
      <c r="C12104">
        <f>0</f>
        <v>0</v>
      </c>
      <c r="D12104" t="s">
        <v>106</v>
      </c>
      <c r="E12104">
        <v>2.3268365817091401</v>
      </c>
    </row>
    <row r="12105" spans="1:5">
      <c r="A12105" t="s">
        <v>13969</v>
      </c>
      <c r="B12105" t="s">
        <v>13977</v>
      </c>
      <c r="C12105">
        <f>0</f>
        <v>0</v>
      </c>
      <c r="D12105" t="s">
        <v>106</v>
      </c>
      <c r="E12105">
        <v>2.3268365817091401</v>
      </c>
    </row>
    <row r="12106" spans="1:5">
      <c r="A12106" t="s">
        <v>13969</v>
      </c>
      <c r="B12106" t="s">
        <v>13978</v>
      </c>
      <c r="C12106">
        <f>0</f>
        <v>0</v>
      </c>
      <c r="D12106" t="s">
        <v>106</v>
      </c>
      <c r="E12106">
        <v>2.3268365817091401</v>
      </c>
    </row>
    <row r="12107" spans="1:5">
      <c r="A12107" t="s">
        <v>13969</v>
      </c>
      <c r="B12107" t="s">
        <v>13979</v>
      </c>
      <c r="C12107">
        <f>0</f>
        <v>0</v>
      </c>
      <c r="D12107" t="s">
        <v>106</v>
      </c>
      <c r="E12107">
        <v>2.3268365817091401</v>
      </c>
    </row>
    <row r="12108" spans="1:5">
      <c r="A12108" t="s">
        <v>13969</v>
      </c>
      <c r="B12108" t="s">
        <v>13980</v>
      </c>
      <c r="C12108">
        <f>0</f>
        <v>0</v>
      </c>
      <c r="D12108" t="s">
        <v>106</v>
      </c>
      <c r="E12108">
        <v>2.3268365817091401</v>
      </c>
    </row>
    <row r="12109" spans="1:5">
      <c r="A12109" t="s">
        <v>13969</v>
      </c>
      <c r="B12109" t="s">
        <v>13981</v>
      </c>
      <c r="C12109">
        <f>0</f>
        <v>0</v>
      </c>
      <c r="D12109" t="s">
        <v>106</v>
      </c>
      <c r="E12109">
        <v>2.3268365817091401</v>
      </c>
    </row>
    <row r="12110" spans="1:5">
      <c r="A12110" t="s">
        <v>13969</v>
      </c>
      <c r="B12110" t="s">
        <v>13982</v>
      </c>
      <c r="C12110">
        <f>0</f>
        <v>0</v>
      </c>
      <c r="D12110" t="s">
        <v>106</v>
      </c>
      <c r="E12110">
        <v>2.3268365817091401</v>
      </c>
    </row>
    <row r="12111" spans="1:5">
      <c r="A12111" t="s">
        <v>13969</v>
      </c>
      <c r="B12111" t="s">
        <v>13983</v>
      </c>
      <c r="C12111">
        <f>0</f>
        <v>0</v>
      </c>
      <c r="D12111" t="s">
        <v>106</v>
      </c>
      <c r="E12111">
        <v>2.3268365817091401</v>
      </c>
    </row>
    <row r="12112" spans="1:5">
      <c r="A12112" t="s">
        <v>13969</v>
      </c>
      <c r="B12112" t="s">
        <v>13984</v>
      </c>
      <c r="C12112">
        <f>0</f>
        <v>0</v>
      </c>
      <c r="D12112" t="s">
        <v>106</v>
      </c>
      <c r="E12112">
        <v>2.3268365817091401</v>
      </c>
    </row>
    <row r="12113" spans="1:5">
      <c r="A12113" t="s">
        <v>13969</v>
      </c>
      <c r="B12113" t="s">
        <v>13985</v>
      </c>
      <c r="C12113">
        <f>0</f>
        <v>0</v>
      </c>
      <c r="D12113" t="s">
        <v>106</v>
      </c>
      <c r="E12113">
        <v>2.3268365817091401</v>
      </c>
    </row>
    <row r="12114" spans="1:5">
      <c r="A12114" t="s">
        <v>13969</v>
      </c>
      <c r="B12114" t="s">
        <v>13986</v>
      </c>
      <c r="C12114">
        <f>0.138182116841</f>
        <v>0.13818211684100001</v>
      </c>
      <c r="D12114" t="s">
        <v>106</v>
      </c>
      <c r="E12114">
        <v>2.3268365817091401</v>
      </c>
    </row>
    <row r="12115" spans="1:5">
      <c r="A12115" t="s">
        <v>13987</v>
      </c>
      <c r="B12115" t="s">
        <v>13988</v>
      </c>
      <c r="C12115">
        <v>0.21909426228199999</v>
      </c>
      <c r="D12115">
        <v>0.97893129529099998</v>
      </c>
      <c r="E12115">
        <v>3.4902548725637099</v>
      </c>
    </row>
    <row r="12116" spans="1:5">
      <c r="A12116" t="s">
        <v>13987</v>
      </c>
      <c r="B12116" t="s">
        <v>13989</v>
      </c>
      <c r="C12116">
        <v>0</v>
      </c>
      <c r="D12116">
        <v>0.97893129529099998</v>
      </c>
      <c r="E12116">
        <v>3.4902548725637099</v>
      </c>
    </row>
    <row r="12117" spans="1:5">
      <c r="A12117" t="s">
        <v>13987</v>
      </c>
      <c r="B12117" t="s">
        <v>13990</v>
      </c>
      <c r="C12117">
        <v>0</v>
      </c>
      <c r="D12117">
        <v>0.97893129529099998</v>
      </c>
      <c r="E12117">
        <v>3.4902548725637099</v>
      </c>
    </row>
    <row r="12118" spans="1:5">
      <c r="A12118" t="s">
        <v>13987</v>
      </c>
      <c r="B12118" t="s">
        <v>13991</v>
      </c>
      <c r="C12118">
        <v>0</v>
      </c>
      <c r="D12118">
        <v>0.97893129529099998</v>
      </c>
      <c r="E12118">
        <v>3.4902548725637099</v>
      </c>
    </row>
    <row r="12119" spans="1:5">
      <c r="A12119" t="s">
        <v>13992</v>
      </c>
      <c r="B12119" t="s">
        <v>13993</v>
      </c>
      <c r="C12119">
        <v>0</v>
      </c>
      <c r="D12119" t="s">
        <v>106</v>
      </c>
      <c r="E12119">
        <v>0.86356821589205401</v>
      </c>
    </row>
    <row r="12120" spans="1:5">
      <c r="A12120" t="s">
        <v>13992</v>
      </c>
      <c r="B12120" t="s">
        <v>13994</v>
      </c>
      <c r="C12120">
        <v>0</v>
      </c>
      <c r="D12120" t="s">
        <v>106</v>
      </c>
      <c r="E12120">
        <v>0.86356821589205401</v>
      </c>
    </row>
    <row r="12121" spans="1:5">
      <c r="A12121" t="s">
        <v>13992</v>
      </c>
      <c r="B12121" t="s">
        <v>13995</v>
      </c>
      <c r="C12121">
        <f>0</f>
        <v>0</v>
      </c>
      <c r="D12121" t="s">
        <v>106</v>
      </c>
      <c r="E12121">
        <v>0.86356821589205401</v>
      </c>
    </row>
    <row r="12122" spans="1:5">
      <c r="A12122" t="s">
        <v>13992</v>
      </c>
      <c r="B12122" t="s">
        <v>13996</v>
      </c>
      <c r="C12122">
        <v>0</v>
      </c>
      <c r="D12122" t="s">
        <v>106</v>
      </c>
      <c r="E12122">
        <v>0.86356821589205401</v>
      </c>
    </row>
    <row r="12123" spans="1:5">
      <c r="A12123" t="s">
        <v>13992</v>
      </c>
      <c r="B12123" t="s">
        <v>13997</v>
      </c>
      <c r="C12123">
        <v>0</v>
      </c>
      <c r="D12123" t="s">
        <v>106</v>
      </c>
      <c r="E12123">
        <v>0.86356821589205401</v>
      </c>
    </row>
    <row r="12124" spans="1:5">
      <c r="A12124" t="s">
        <v>13992</v>
      </c>
      <c r="B12124" t="s">
        <v>13998</v>
      </c>
      <c r="C12124">
        <f>0</f>
        <v>0</v>
      </c>
      <c r="D12124" t="s">
        <v>106</v>
      </c>
      <c r="E12124">
        <v>0.86356821589205401</v>
      </c>
    </row>
    <row r="12125" spans="1:5">
      <c r="A12125" t="s">
        <v>13992</v>
      </c>
      <c r="B12125" t="s">
        <v>13999</v>
      </c>
      <c r="C12125">
        <v>0</v>
      </c>
      <c r="D12125" t="s">
        <v>106</v>
      </c>
      <c r="E12125">
        <v>0.86356821589205401</v>
      </c>
    </row>
    <row r="12126" spans="1:5">
      <c r="A12126" t="s">
        <v>14000</v>
      </c>
      <c r="B12126" t="s">
        <v>14001</v>
      </c>
      <c r="C12126">
        <v>2.43551998488E-2</v>
      </c>
      <c r="D12126">
        <v>0.96696889518100004</v>
      </c>
      <c r="E12126">
        <v>3.3103448275862002</v>
      </c>
    </row>
    <row r="12127" spans="1:5">
      <c r="A12127" t="s">
        <v>14000</v>
      </c>
      <c r="B12127" t="s">
        <v>14002</v>
      </c>
      <c r="C12127">
        <v>0</v>
      </c>
      <c r="D12127">
        <v>0.96696889518100004</v>
      </c>
      <c r="E12127">
        <v>3.3103448275862002</v>
      </c>
    </row>
    <row r="12128" spans="1:5">
      <c r="A12128" t="s">
        <v>14000</v>
      </c>
      <c r="B12128" t="s">
        <v>14003</v>
      </c>
      <c r="C12128">
        <v>0</v>
      </c>
      <c r="D12128">
        <v>0.96696889518100004</v>
      </c>
      <c r="E12128">
        <v>3.3103448275862002</v>
      </c>
    </row>
    <row r="12129" spans="1:5">
      <c r="A12129" t="s">
        <v>14000</v>
      </c>
      <c r="B12129" t="s">
        <v>14004</v>
      </c>
      <c r="C12129">
        <v>0.40518808621899999</v>
      </c>
      <c r="D12129">
        <v>0.96696889518100004</v>
      </c>
      <c r="E12129">
        <v>3.3103448275862002</v>
      </c>
    </row>
    <row r="12130" spans="1:5">
      <c r="A12130" t="s">
        <v>14000</v>
      </c>
      <c r="B12130" t="s">
        <v>14005</v>
      </c>
      <c r="C12130">
        <v>0</v>
      </c>
      <c r="D12130">
        <v>0.96696889518100004</v>
      </c>
      <c r="E12130">
        <v>3.3103448275862002</v>
      </c>
    </row>
    <row r="12131" spans="1:5">
      <c r="A12131" t="s">
        <v>14000</v>
      </c>
      <c r="B12131" t="s">
        <v>14006</v>
      </c>
      <c r="C12131">
        <v>0</v>
      </c>
      <c r="D12131">
        <v>0.96696889518100004</v>
      </c>
      <c r="E12131">
        <v>3.3103448275862002</v>
      </c>
    </row>
    <row r="12132" spans="1:5">
      <c r="A12132" t="s">
        <v>14007</v>
      </c>
      <c r="B12132" t="s">
        <v>14008</v>
      </c>
      <c r="C12132">
        <v>0</v>
      </c>
      <c r="D12132">
        <v>0.92297633325999995</v>
      </c>
      <c r="E12132">
        <v>7.4602698650674597</v>
      </c>
    </row>
    <row r="12133" spans="1:5">
      <c r="A12133" t="s">
        <v>14007</v>
      </c>
      <c r="B12133" t="s">
        <v>14009</v>
      </c>
      <c r="C12133">
        <v>0</v>
      </c>
      <c r="D12133">
        <v>0.92297633325999995</v>
      </c>
      <c r="E12133">
        <v>7.4602698650674597</v>
      </c>
    </row>
    <row r="12134" spans="1:5">
      <c r="A12134" t="s">
        <v>14007</v>
      </c>
      <c r="B12134" t="s">
        <v>14010</v>
      </c>
      <c r="C12134">
        <v>0</v>
      </c>
      <c r="D12134">
        <v>0.92297633325999995</v>
      </c>
      <c r="E12134">
        <v>7.4602698650674597</v>
      </c>
    </row>
    <row r="12135" spans="1:5">
      <c r="A12135" t="s">
        <v>14007</v>
      </c>
      <c r="B12135" t="s">
        <v>14011</v>
      </c>
      <c r="C12135">
        <v>0.15690691663100001</v>
      </c>
      <c r="D12135">
        <v>0.92297633325999995</v>
      </c>
      <c r="E12135">
        <v>7.4602698650674597</v>
      </c>
    </row>
    <row r="12136" spans="1:5">
      <c r="A12136" t="s">
        <v>14007</v>
      </c>
      <c r="B12136" t="s">
        <v>14012</v>
      </c>
      <c r="C12136">
        <v>0</v>
      </c>
      <c r="D12136">
        <v>0.92297633325999995</v>
      </c>
      <c r="E12136">
        <v>7.4602698650674597</v>
      </c>
    </row>
    <row r="12137" spans="1:5">
      <c r="A12137" t="s">
        <v>14007</v>
      </c>
      <c r="B12137" t="s">
        <v>14013</v>
      </c>
      <c r="C12137">
        <v>0</v>
      </c>
      <c r="D12137">
        <v>0.92297633325999995</v>
      </c>
      <c r="E12137">
        <v>7.4602698650674597</v>
      </c>
    </row>
    <row r="12138" spans="1:5">
      <c r="A12138" t="s">
        <v>14007</v>
      </c>
      <c r="B12138" t="s">
        <v>14014</v>
      </c>
      <c r="C12138">
        <v>0</v>
      </c>
      <c r="D12138">
        <v>0.92297633325999995</v>
      </c>
      <c r="E12138">
        <v>7.4602698650674597</v>
      </c>
    </row>
    <row r="12139" spans="1:5">
      <c r="A12139" t="s">
        <v>14007</v>
      </c>
      <c r="B12139" t="s">
        <v>14015</v>
      </c>
      <c r="C12139">
        <v>0</v>
      </c>
      <c r="D12139">
        <v>0.92297633325999995</v>
      </c>
      <c r="E12139">
        <v>7.4602698650674597</v>
      </c>
    </row>
    <row r="12140" spans="1:5">
      <c r="A12140" t="s">
        <v>14007</v>
      </c>
      <c r="B12140" t="s">
        <v>14016</v>
      </c>
      <c r="C12140">
        <v>3.3253909485499999E-2</v>
      </c>
      <c r="D12140">
        <v>0.92297633325999995</v>
      </c>
      <c r="E12140">
        <v>7.4602698650674597</v>
      </c>
    </row>
    <row r="12141" spans="1:5">
      <c r="A12141" t="s">
        <v>14007</v>
      </c>
      <c r="B12141" t="s">
        <v>14017</v>
      </c>
      <c r="C12141">
        <v>0</v>
      </c>
      <c r="D12141">
        <v>0.92297633325999995</v>
      </c>
      <c r="E12141">
        <v>7.4602698650674597</v>
      </c>
    </row>
    <row r="12142" spans="1:5">
      <c r="A12142" t="s">
        <v>14007</v>
      </c>
      <c r="B12142" t="s">
        <v>14018</v>
      </c>
      <c r="C12142">
        <f>0</f>
        <v>0</v>
      </c>
      <c r="D12142">
        <v>0.92297633325999995</v>
      </c>
      <c r="E12142">
        <v>7.4602698650674597</v>
      </c>
    </row>
    <row r="12143" spans="1:5">
      <c r="A12143" t="s">
        <v>14007</v>
      </c>
      <c r="B12143" t="s">
        <v>14019</v>
      </c>
      <c r="C12143">
        <v>0</v>
      </c>
      <c r="D12143">
        <v>0.92297633325999995</v>
      </c>
      <c r="E12143">
        <v>7.4602698650674597</v>
      </c>
    </row>
    <row r="12144" spans="1:5">
      <c r="A12144" t="s">
        <v>14020</v>
      </c>
      <c r="B12144" t="s">
        <v>14021</v>
      </c>
      <c r="C12144">
        <v>0</v>
      </c>
      <c r="D12144" t="s">
        <v>106</v>
      </c>
      <c r="E12144">
        <v>9.3073463268365799</v>
      </c>
    </row>
    <row r="12145" spans="1:5">
      <c r="A12145" t="s">
        <v>14020</v>
      </c>
      <c r="B12145" t="s">
        <v>14022</v>
      </c>
      <c r="C12145">
        <v>0</v>
      </c>
      <c r="D12145" t="s">
        <v>106</v>
      </c>
      <c r="E12145">
        <v>9.3073463268365799</v>
      </c>
    </row>
    <row r="12146" spans="1:5">
      <c r="A12146" t="s">
        <v>14020</v>
      </c>
      <c r="B12146" t="s">
        <v>14023</v>
      </c>
      <c r="C12146">
        <f>0</f>
        <v>0</v>
      </c>
      <c r="D12146" t="s">
        <v>106</v>
      </c>
      <c r="E12146">
        <v>9.3073463268365799</v>
      </c>
    </row>
    <row r="12147" spans="1:5">
      <c r="A12147" t="s">
        <v>14020</v>
      </c>
      <c r="B12147" t="s">
        <v>14024</v>
      </c>
      <c r="C12147">
        <v>0</v>
      </c>
      <c r="D12147" t="s">
        <v>106</v>
      </c>
      <c r="E12147">
        <v>9.3073463268365799</v>
      </c>
    </row>
    <row r="12148" spans="1:5">
      <c r="A12148" t="s">
        <v>14025</v>
      </c>
      <c r="B12148" t="s">
        <v>14026</v>
      </c>
      <c r="C12148">
        <v>6.2957523603799997E-2</v>
      </c>
      <c r="D12148">
        <v>0.91066594332700002</v>
      </c>
      <c r="E12148">
        <v>13.997001499250301</v>
      </c>
    </row>
    <row r="12149" spans="1:5">
      <c r="A12149" t="s">
        <v>14025</v>
      </c>
      <c r="B12149" t="s">
        <v>14027</v>
      </c>
      <c r="C12149">
        <f>0</f>
        <v>0</v>
      </c>
      <c r="D12149">
        <v>0.91066594332700002</v>
      </c>
      <c r="E12149">
        <v>13.997001499250301</v>
      </c>
    </row>
    <row r="12150" spans="1:5">
      <c r="A12150" t="s">
        <v>14025</v>
      </c>
      <c r="B12150" t="s">
        <v>14028</v>
      </c>
      <c r="C12150">
        <f>0</f>
        <v>0</v>
      </c>
      <c r="D12150">
        <v>0.91066594332700002</v>
      </c>
      <c r="E12150">
        <v>13.997001499250301</v>
      </c>
    </row>
    <row r="12151" spans="1:5">
      <c r="A12151" t="s">
        <v>14025</v>
      </c>
      <c r="B12151" t="s">
        <v>14029</v>
      </c>
      <c r="C12151">
        <f>0</f>
        <v>0</v>
      </c>
      <c r="D12151">
        <v>0.91066594332700002</v>
      </c>
      <c r="E12151">
        <v>13.997001499250301</v>
      </c>
    </row>
    <row r="12152" spans="1:5">
      <c r="A12152" t="s">
        <v>14025</v>
      </c>
      <c r="B12152" t="s">
        <v>14030</v>
      </c>
      <c r="C12152">
        <f>0</f>
        <v>0</v>
      </c>
      <c r="D12152">
        <v>0.91066594332700002</v>
      </c>
      <c r="E12152">
        <v>13.997001499250301</v>
      </c>
    </row>
    <row r="12153" spans="1:5">
      <c r="A12153" t="s">
        <v>14025</v>
      </c>
      <c r="B12153" t="s">
        <v>14031</v>
      </c>
      <c r="C12153">
        <f>0</f>
        <v>0</v>
      </c>
      <c r="D12153">
        <v>0.91066594332700002</v>
      </c>
      <c r="E12153">
        <v>13.997001499250301</v>
      </c>
    </row>
    <row r="12154" spans="1:5">
      <c r="A12154" t="s">
        <v>14025</v>
      </c>
      <c r="B12154" t="s">
        <v>14032</v>
      </c>
      <c r="C12154">
        <v>4.2850510072100001E-2</v>
      </c>
      <c r="D12154">
        <v>0.91066594332700002</v>
      </c>
      <c r="E12154">
        <v>13.997001499250301</v>
      </c>
    </row>
    <row r="12155" spans="1:5">
      <c r="A12155" t="s">
        <v>14033</v>
      </c>
      <c r="B12155" t="s">
        <v>14034</v>
      </c>
      <c r="C12155">
        <f>0.0178512539242</f>
        <v>1.7851253924199999E-2</v>
      </c>
      <c r="D12155">
        <v>0.99675923416099999</v>
      </c>
      <c r="E12155">
        <v>5.2413793103448203</v>
      </c>
    </row>
    <row r="12156" spans="1:5">
      <c r="A12156" t="s">
        <v>14033</v>
      </c>
      <c r="B12156" t="s">
        <v>14035</v>
      </c>
      <c r="C12156">
        <v>1.0179619956000001E-2</v>
      </c>
      <c r="D12156">
        <v>0.99675923416099999</v>
      </c>
      <c r="E12156">
        <v>5.2413793103448203</v>
      </c>
    </row>
    <row r="12157" spans="1:5">
      <c r="A12157" t="s">
        <v>14033</v>
      </c>
      <c r="B12157" t="s">
        <v>14036</v>
      </c>
      <c r="C12157">
        <v>0</v>
      </c>
      <c r="D12157">
        <v>0.99675923416099999</v>
      </c>
      <c r="E12157">
        <v>5.2413793103448203</v>
      </c>
    </row>
    <row r="12158" spans="1:5">
      <c r="A12158" t="s">
        <v>14033</v>
      </c>
      <c r="B12158" t="s">
        <v>14037</v>
      </c>
      <c r="C12158">
        <f>0</f>
        <v>0</v>
      </c>
      <c r="D12158">
        <v>0.99675923416099999</v>
      </c>
      <c r="E12158">
        <v>5.2413793103448203</v>
      </c>
    </row>
    <row r="12159" spans="1:5">
      <c r="A12159" t="s">
        <v>14038</v>
      </c>
      <c r="B12159" t="s">
        <v>14039</v>
      </c>
      <c r="C12159">
        <v>0</v>
      </c>
      <c r="D12159">
        <v>0.53377252374100004</v>
      </c>
      <c r="E12159">
        <v>0.73163418290854498</v>
      </c>
    </row>
    <row r="12160" spans="1:5">
      <c r="A12160" t="s">
        <v>14038</v>
      </c>
      <c r="B12160" t="s">
        <v>14040</v>
      </c>
      <c r="C12160">
        <v>0</v>
      </c>
      <c r="D12160">
        <v>0.53377252374100004</v>
      </c>
      <c r="E12160">
        <v>0.73163418290854498</v>
      </c>
    </row>
    <row r="12161" spans="1:5">
      <c r="A12161" t="s">
        <v>14038</v>
      </c>
      <c r="B12161" t="s">
        <v>14041</v>
      </c>
      <c r="C12161">
        <v>0</v>
      </c>
      <c r="D12161">
        <v>0.53377252374100004</v>
      </c>
      <c r="E12161">
        <v>0.73163418290854498</v>
      </c>
    </row>
    <row r="12162" spans="1:5">
      <c r="A12162" t="s">
        <v>14038</v>
      </c>
      <c r="B12162" t="s">
        <v>14042</v>
      </c>
      <c r="C12162">
        <f>0.0395549462301</f>
        <v>3.9554946230100002E-2</v>
      </c>
      <c r="D12162">
        <v>0.53377252374100004</v>
      </c>
      <c r="E12162">
        <v>0.73163418290854498</v>
      </c>
    </row>
    <row r="12163" spans="1:5">
      <c r="A12163" t="s">
        <v>14038</v>
      </c>
      <c r="B12163" t="s">
        <v>14043</v>
      </c>
      <c r="C12163">
        <f>0</f>
        <v>0</v>
      </c>
      <c r="D12163">
        <v>0.53377252374100004</v>
      </c>
      <c r="E12163">
        <v>0.73163418290854498</v>
      </c>
    </row>
    <row r="12164" spans="1:5">
      <c r="A12164" t="s">
        <v>14044</v>
      </c>
      <c r="B12164" t="s">
        <v>14045</v>
      </c>
      <c r="C12164">
        <v>0</v>
      </c>
      <c r="D12164" t="s">
        <v>106</v>
      </c>
      <c r="E12164">
        <v>0.86356821589205401</v>
      </c>
    </row>
    <row r="12165" spans="1:5">
      <c r="A12165" t="s">
        <v>14044</v>
      </c>
      <c r="B12165" t="s">
        <v>14046</v>
      </c>
      <c r="C12165">
        <v>0</v>
      </c>
      <c r="D12165" t="s">
        <v>106</v>
      </c>
      <c r="E12165">
        <v>0.86356821589205401</v>
      </c>
    </row>
    <row r="12166" spans="1:5">
      <c r="A12166" t="s">
        <v>14044</v>
      </c>
      <c r="B12166" t="s">
        <v>14047</v>
      </c>
      <c r="C12166">
        <f>0</f>
        <v>0</v>
      </c>
      <c r="D12166" t="s">
        <v>106</v>
      </c>
      <c r="E12166">
        <v>0.86356821589205401</v>
      </c>
    </row>
    <row r="12167" spans="1:5">
      <c r="A12167" t="s">
        <v>14044</v>
      </c>
      <c r="B12167" t="s">
        <v>14048</v>
      </c>
      <c r="C12167">
        <v>0</v>
      </c>
      <c r="D12167" t="s">
        <v>106</v>
      </c>
      <c r="E12167">
        <v>0.86356821589205401</v>
      </c>
    </row>
    <row r="12168" spans="1:5">
      <c r="A12168" t="s">
        <v>14044</v>
      </c>
      <c r="B12168" t="s">
        <v>14049</v>
      </c>
      <c r="C12168">
        <f>0</f>
        <v>0</v>
      </c>
      <c r="D12168" t="s">
        <v>106</v>
      </c>
      <c r="E12168">
        <v>0.86356821589205401</v>
      </c>
    </row>
    <row r="12169" spans="1:5">
      <c r="A12169" t="s">
        <v>14044</v>
      </c>
      <c r="B12169" t="s">
        <v>14050</v>
      </c>
      <c r="C12169">
        <v>0</v>
      </c>
      <c r="D12169" t="s">
        <v>106</v>
      </c>
      <c r="E12169">
        <v>0.86356821589205401</v>
      </c>
    </row>
    <row r="12170" spans="1:5">
      <c r="A12170" t="s">
        <v>14044</v>
      </c>
      <c r="B12170" t="s">
        <v>14051</v>
      </c>
      <c r="C12170">
        <v>0</v>
      </c>
      <c r="D12170" t="s">
        <v>106</v>
      </c>
      <c r="E12170">
        <v>0.86356821589205401</v>
      </c>
    </row>
    <row r="12171" spans="1:5">
      <c r="A12171" t="s">
        <v>14044</v>
      </c>
      <c r="B12171" t="s">
        <v>14052</v>
      </c>
      <c r="C12171">
        <f>0</f>
        <v>0</v>
      </c>
      <c r="D12171" t="s">
        <v>106</v>
      </c>
      <c r="E12171">
        <v>0.86356821589205401</v>
      </c>
    </row>
    <row r="12172" spans="1:5">
      <c r="A12172" t="s">
        <v>14044</v>
      </c>
      <c r="B12172" t="s">
        <v>14053</v>
      </c>
      <c r="C12172">
        <f>0</f>
        <v>0</v>
      </c>
      <c r="D12172" t="s">
        <v>106</v>
      </c>
      <c r="E12172">
        <v>0.86356821589205401</v>
      </c>
    </row>
    <row r="12173" spans="1:5">
      <c r="A12173" t="s">
        <v>14044</v>
      </c>
      <c r="B12173" t="s">
        <v>14054</v>
      </c>
      <c r="C12173">
        <v>0</v>
      </c>
      <c r="D12173" t="s">
        <v>106</v>
      </c>
      <c r="E12173">
        <v>0.86356821589205401</v>
      </c>
    </row>
    <row r="12174" spans="1:5">
      <c r="A12174" t="s">
        <v>14044</v>
      </c>
      <c r="B12174" t="s">
        <v>14055</v>
      </c>
      <c r="C12174">
        <f>0</f>
        <v>0</v>
      </c>
      <c r="D12174" t="s">
        <v>106</v>
      </c>
      <c r="E12174">
        <v>0.86356821589205401</v>
      </c>
    </row>
    <row r="12175" spans="1:5">
      <c r="A12175" t="s">
        <v>14056</v>
      </c>
      <c r="B12175" t="s">
        <v>14057</v>
      </c>
      <c r="C12175">
        <f>0</f>
        <v>0</v>
      </c>
      <c r="D12175">
        <v>0.862079825041</v>
      </c>
      <c r="E12175">
        <v>0.73163418290854498</v>
      </c>
    </row>
    <row r="12176" spans="1:5">
      <c r="A12176" t="s">
        <v>14056</v>
      </c>
      <c r="B12176" t="s">
        <v>14058</v>
      </c>
      <c r="C12176">
        <f>0</f>
        <v>0</v>
      </c>
      <c r="D12176">
        <v>0.862079825041</v>
      </c>
      <c r="E12176">
        <v>0.73163418290854498</v>
      </c>
    </row>
    <row r="12177" spans="1:5">
      <c r="A12177" t="s">
        <v>14056</v>
      </c>
      <c r="B12177" t="s">
        <v>14059</v>
      </c>
      <c r="C12177">
        <f>0</f>
        <v>0</v>
      </c>
      <c r="D12177">
        <v>0.862079825041</v>
      </c>
      <c r="E12177">
        <v>0.73163418290854498</v>
      </c>
    </row>
    <row r="12178" spans="1:5">
      <c r="A12178" t="s">
        <v>14056</v>
      </c>
      <c r="B12178" t="s">
        <v>14060</v>
      </c>
      <c r="C12178">
        <v>0</v>
      </c>
      <c r="D12178">
        <v>0.862079825041</v>
      </c>
      <c r="E12178">
        <v>0.73163418290854498</v>
      </c>
    </row>
    <row r="12179" spans="1:5">
      <c r="A12179" t="s">
        <v>14056</v>
      </c>
      <c r="B12179" t="s">
        <v>14061</v>
      </c>
      <c r="C12179">
        <f>0</f>
        <v>0</v>
      </c>
      <c r="D12179">
        <v>0.862079825041</v>
      </c>
      <c r="E12179">
        <v>0.73163418290854498</v>
      </c>
    </row>
    <row r="12180" spans="1:5">
      <c r="A12180" t="s">
        <v>14056</v>
      </c>
      <c r="B12180" t="s">
        <v>14062</v>
      </c>
      <c r="C12180">
        <v>0</v>
      </c>
      <c r="D12180">
        <v>0.862079825041</v>
      </c>
      <c r="E12180">
        <v>0.73163418290854498</v>
      </c>
    </row>
    <row r="12181" spans="1:5">
      <c r="A12181" t="s">
        <v>14056</v>
      </c>
      <c r="B12181" t="s">
        <v>14063</v>
      </c>
      <c r="C12181">
        <f>0</f>
        <v>0</v>
      </c>
      <c r="D12181">
        <v>0.862079825041</v>
      </c>
      <c r="E12181">
        <v>0.73163418290854498</v>
      </c>
    </row>
    <row r="12182" spans="1:5">
      <c r="A12182" t="s">
        <v>14056</v>
      </c>
      <c r="B12182" t="s">
        <v>14064</v>
      </c>
      <c r="C12182">
        <f>0</f>
        <v>0</v>
      </c>
      <c r="D12182">
        <v>0.862079825041</v>
      </c>
      <c r="E12182">
        <v>0.73163418290854498</v>
      </c>
    </row>
    <row r="12183" spans="1:5">
      <c r="A12183" t="s">
        <v>14056</v>
      </c>
      <c r="B12183" t="s">
        <v>14065</v>
      </c>
      <c r="C12183">
        <f>0.00759765270817</f>
        <v>7.5976527081699999E-3</v>
      </c>
      <c r="D12183">
        <v>0.862079825041</v>
      </c>
      <c r="E12183">
        <v>0.73163418290854498</v>
      </c>
    </row>
    <row r="12184" spans="1:5">
      <c r="A12184" t="s">
        <v>14056</v>
      </c>
      <c r="B12184" t="s">
        <v>14066</v>
      </c>
      <c r="C12184">
        <f>0</f>
        <v>0</v>
      </c>
      <c r="D12184">
        <v>0.862079825041</v>
      </c>
      <c r="E12184">
        <v>0.73163418290854498</v>
      </c>
    </row>
    <row r="12185" spans="1:5">
      <c r="A12185" t="s">
        <v>14056</v>
      </c>
      <c r="B12185" t="s">
        <v>14067</v>
      </c>
      <c r="C12185">
        <v>0</v>
      </c>
      <c r="D12185">
        <v>0.862079825041</v>
      </c>
      <c r="E12185">
        <v>0.73163418290854498</v>
      </c>
    </row>
    <row r="12186" spans="1:5">
      <c r="A12186" t="s">
        <v>14056</v>
      </c>
      <c r="B12186" t="s">
        <v>14068</v>
      </c>
      <c r="C12186">
        <f>0</f>
        <v>0</v>
      </c>
      <c r="D12186">
        <v>0.862079825041</v>
      </c>
      <c r="E12186">
        <v>0.73163418290854498</v>
      </c>
    </row>
    <row r="12187" spans="1:5">
      <c r="A12187" t="s">
        <v>14056</v>
      </c>
      <c r="B12187" t="s">
        <v>14069</v>
      </c>
      <c r="C12187">
        <v>0</v>
      </c>
      <c r="D12187">
        <v>0.862079825041</v>
      </c>
      <c r="E12187">
        <v>0.73163418290854498</v>
      </c>
    </row>
    <row r="12188" spans="1:5">
      <c r="A12188" t="s">
        <v>14056</v>
      </c>
      <c r="B12188" t="s">
        <v>14070</v>
      </c>
      <c r="C12188">
        <f>0</f>
        <v>0</v>
      </c>
      <c r="D12188">
        <v>0.862079825041</v>
      </c>
      <c r="E12188">
        <v>0.73163418290854498</v>
      </c>
    </row>
    <row r="12189" spans="1:5">
      <c r="A12189" t="s">
        <v>14071</v>
      </c>
      <c r="B12189" t="s">
        <v>14072</v>
      </c>
      <c r="C12189">
        <f>0.000525886910546</f>
        <v>5.2588691054599997E-4</v>
      </c>
      <c r="D12189">
        <v>0.95758217860200001</v>
      </c>
      <c r="E12189">
        <v>2.79460269865067</v>
      </c>
    </row>
    <row r="12190" spans="1:5">
      <c r="A12190" t="s">
        <v>14071</v>
      </c>
      <c r="B12190" t="s">
        <v>14073</v>
      </c>
      <c r="C12190">
        <v>0</v>
      </c>
      <c r="D12190">
        <v>0.95758217860200001</v>
      </c>
      <c r="E12190">
        <v>2.79460269865067</v>
      </c>
    </row>
    <row r="12191" spans="1:5">
      <c r="A12191" t="s">
        <v>14071</v>
      </c>
      <c r="B12191" t="s">
        <v>14074</v>
      </c>
      <c r="C12191">
        <v>0</v>
      </c>
      <c r="D12191">
        <v>0.95758217860200001</v>
      </c>
      <c r="E12191">
        <v>2.79460269865067</v>
      </c>
    </row>
    <row r="12192" spans="1:5">
      <c r="A12192" t="s">
        <v>14071</v>
      </c>
      <c r="B12192" t="s">
        <v>14075</v>
      </c>
      <c r="C12192">
        <v>3.15694760339E-2</v>
      </c>
      <c r="D12192">
        <v>0.95758217860200001</v>
      </c>
      <c r="E12192">
        <v>2.79460269865067</v>
      </c>
    </row>
    <row r="12193" spans="1:5">
      <c r="A12193" t="s">
        <v>14071</v>
      </c>
      <c r="B12193" t="s">
        <v>14076</v>
      </c>
      <c r="C12193">
        <v>0</v>
      </c>
      <c r="D12193">
        <v>0.95758217860200001</v>
      </c>
      <c r="E12193">
        <v>2.79460269865067</v>
      </c>
    </row>
    <row r="12194" spans="1:5">
      <c r="A12194" t="s">
        <v>14077</v>
      </c>
      <c r="B12194" t="s">
        <v>14078</v>
      </c>
      <c r="C12194">
        <v>0.39296478221999998</v>
      </c>
      <c r="D12194">
        <v>0.97898368509099998</v>
      </c>
      <c r="E12194">
        <v>10.398800599700101</v>
      </c>
    </row>
    <row r="12195" spans="1:5">
      <c r="A12195" t="s">
        <v>14077</v>
      </c>
      <c r="B12195" t="s">
        <v>14079</v>
      </c>
      <c r="C12195">
        <v>0</v>
      </c>
      <c r="D12195">
        <v>0.97898368509099998</v>
      </c>
      <c r="E12195">
        <v>10.398800599700101</v>
      </c>
    </row>
    <row r="12196" spans="1:5">
      <c r="A12196" t="s">
        <v>14077</v>
      </c>
      <c r="B12196" t="s">
        <v>14080</v>
      </c>
      <c r="C12196">
        <v>0</v>
      </c>
      <c r="D12196">
        <v>0.97898368509099998</v>
      </c>
      <c r="E12196">
        <v>10.398800599700101</v>
      </c>
    </row>
    <row r="12197" spans="1:5">
      <c r="A12197" t="s">
        <v>14081</v>
      </c>
      <c r="B12197" t="s">
        <v>14082</v>
      </c>
      <c r="C12197">
        <v>0</v>
      </c>
      <c r="D12197">
        <v>0.81087028840800002</v>
      </c>
      <c r="E12197">
        <v>14.5487256371814</v>
      </c>
    </row>
    <row r="12198" spans="1:5">
      <c r="A12198" t="s">
        <v>14081</v>
      </c>
      <c r="B12198" t="s">
        <v>14083</v>
      </c>
      <c r="C12198">
        <f>0.0146480657252</f>
        <v>1.4648065725200001E-2</v>
      </c>
      <c r="D12198">
        <v>0.81087028840800002</v>
      </c>
      <c r="E12198">
        <v>14.5487256371814</v>
      </c>
    </row>
    <row r="12199" spans="1:5">
      <c r="A12199" t="s">
        <v>14081</v>
      </c>
      <c r="B12199" t="s">
        <v>14084</v>
      </c>
      <c r="C12199">
        <v>0</v>
      </c>
      <c r="D12199">
        <v>0.81087028840800002</v>
      </c>
      <c r="E12199">
        <v>14.5487256371814</v>
      </c>
    </row>
    <row r="12200" spans="1:5">
      <c r="A12200" t="s">
        <v>14081</v>
      </c>
      <c r="B12200" t="s">
        <v>14085</v>
      </c>
      <c r="C12200">
        <v>0</v>
      </c>
      <c r="D12200">
        <v>0.81087028840800002</v>
      </c>
      <c r="E12200">
        <v>14.5487256371814</v>
      </c>
    </row>
    <row r="12201" spans="1:5">
      <c r="A12201" t="s">
        <v>14081</v>
      </c>
      <c r="B12201" t="s">
        <v>14086</v>
      </c>
      <c r="C12201">
        <v>6.9265508882199997E-2</v>
      </c>
      <c r="D12201">
        <v>0.81087028840800002</v>
      </c>
      <c r="E12201">
        <v>14.5487256371814</v>
      </c>
    </row>
    <row r="12202" spans="1:5">
      <c r="A12202" t="s">
        <v>14081</v>
      </c>
      <c r="B12202" t="s">
        <v>14087</v>
      </c>
      <c r="C12202">
        <v>0</v>
      </c>
      <c r="D12202">
        <v>0.81087028840800002</v>
      </c>
      <c r="E12202">
        <v>14.5487256371814</v>
      </c>
    </row>
    <row r="12203" spans="1:5">
      <c r="A12203" t="s">
        <v>14081</v>
      </c>
      <c r="B12203" t="s">
        <v>14088</v>
      </c>
      <c r="C12203">
        <f>0</f>
        <v>0</v>
      </c>
      <c r="D12203">
        <v>0.81087028840800002</v>
      </c>
      <c r="E12203">
        <v>14.5487256371814</v>
      </c>
    </row>
    <row r="12204" spans="1:5">
      <c r="A12204" t="s">
        <v>14081</v>
      </c>
      <c r="B12204" t="s">
        <v>14089</v>
      </c>
      <c r="C12204">
        <f>0</f>
        <v>0</v>
      </c>
      <c r="D12204">
        <v>0.81087028840800002</v>
      </c>
      <c r="E12204">
        <v>14.5487256371814</v>
      </c>
    </row>
    <row r="12205" spans="1:5">
      <c r="A12205" t="s">
        <v>14081</v>
      </c>
      <c r="B12205" t="s">
        <v>14090</v>
      </c>
      <c r="C12205">
        <v>0</v>
      </c>
      <c r="D12205">
        <v>0.81087028840800002</v>
      </c>
      <c r="E12205">
        <v>14.5487256371814</v>
      </c>
    </row>
    <row r="12206" spans="1:5">
      <c r="A12206" t="s">
        <v>14091</v>
      </c>
      <c r="B12206" t="s">
        <v>14092</v>
      </c>
      <c r="C12206">
        <v>0.27717856043299999</v>
      </c>
      <c r="D12206">
        <v>0.98434221632700003</v>
      </c>
      <c r="E12206">
        <v>15.316341829085401</v>
      </c>
    </row>
    <row r="12207" spans="1:5">
      <c r="A12207" t="s">
        <v>14091</v>
      </c>
      <c r="B12207" t="s">
        <v>14093</v>
      </c>
      <c r="C12207">
        <v>0.14717050671599999</v>
      </c>
      <c r="D12207">
        <v>0.98434221632700003</v>
      </c>
      <c r="E12207">
        <v>15.316341829085401</v>
      </c>
    </row>
    <row r="12208" spans="1:5">
      <c r="A12208" t="s">
        <v>14094</v>
      </c>
      <c r="B12208" t="s">
        <v>14095</v>
      </c>
      <c r="C12208">
        <v>0.14959178574000001</v>
      </c>
      <c r="D12208">
        <v>0.928598552129</v>
      </c>
      <c r="E12208">
        <v>9.9190404797601204</v>
      </c>
    </row>
    <row r="12209" spans="1:5">
      <c r="A12209" t="s">
        <v>14094</v>
      </c>
      <c r="B12209" t="s">
        <v>14096</v>
      </c>
      <c r="C12209">
        <v>0</v>
      </c>
      <c r="D12209">
        <v>0.928598552129</v>
      </c>
      <c r="E12209">
        <v>9.9190404797601204</v>
      </c>
    </row>
    <row r="12210" spans="1:5">
      <c r="A12210" t="s">
        <v>14094</v>
      </c>
      <c r="B12210" t="s">
        <v>14097</v>
      </c>
      <c r="C12210">
        <v>0</v>
      </c>
      <c r="D12210">
        <v>0.928598552129</v>
      </c>
      <c r="E12210">
        <v>9.9190404797601204</v>
      </c>
    </row>
    <row r="12211" spans="1:5">
      <c r="A12211" t="s">
        <v>14094</v>
      </c>
      <c r="B12211" t="s">
        <v>14098</v>
      </c>
      <c r="C12211">
        <v>0</v>
      </c>
      <c r="D12211">
        <v>0.928598552129</v>
      </c>
      <c r="E12211">
        <v>9.9190404797601204</v>
      </c>
    </row>
    <row r="12212" spans="1:5">
      <c r="A12212" t="s">
        <v>14094</v>
      </c>
      <c r="B12212" t="s">
        <v>14099</v>
      </c>
      <c r="C12212">
        <v>0</v>
      </c>
      <c r="D12212">
        <v>0.928598552129</v>
      </c>
      <c r="E12212">
        <v>9.9190404797601204</v>
      </c>
    </row>
    <row r="12213" spans="1:5">
      <c r="A12213" t="s">
        <v>14094</v>
      </c>
      <c r="B12213" t="s">
        <v>14100</v>
      </c>
      <c r="C12213">
        <f>0</f>
        <v>0</v>
      </c>
      <c r="D12213">
        <v>0.928598552129</v>
      </c>
      <c r="E12213">
        <v>9.9190404797601204</v>
      </c>
    </row>
    <row r="12214" spans="1:5">
      <c r="A12214" t="s">
        <v>14094</v>
      </c>
      <c r="B12214" t="s">
        <v>14101</v>
      </c>
      <c r="C12214">
        <v>0.19452694032599999</v>
      </c>
      <c r="D12214">
        <v>0.928598552129</v>
      </c>
      <c r="E12214">
        <v>9.9190404797601204</v>
      </c>
    </row>
    <row r="12215" spans="1:5">
      <c r="A12215" t="s">
        <v>14102</v>
      </c>
      <c r="B12215" t="s">
        <v>14103</v>
      </c>
      <c r="C12215">
        <v>0.18893953114199999</v>
      </c>
      <c r="D12215">
        <v>0.84554625227500002</v>
      </c>
      <c r="E12215">
        <v>5.9370314842578704</v>
      </c>
    </row>
    <row r="12216" spans="1:5">
      <c r="A12216" t="s">
        <v>14102</v>
      </c>
      <c r="B12216" t="s">
        <v>14104</v>
      </c>
      <c r="C12216">
        <f>0</f>
        <v>0</v>
      </c>
      <c r="D12216">
        <v>0.84554625227500002</v>
      </c>
      <c r="E12216">
        <v>5.9370314842578704</v>
      </c>
    </row>
    <row r="12217" spans="1:5">
      <c r="A12217" t="s">
        <v>14102</v>
      </c>
      <c r="B12217" t="s">
        <v>14105</v>
      </c>
      <c r="C12217">
        <v>0.29823836338800003</v>
      </c>
      <c r="D12217">
        <v>0.84554625227500002</v>
      </c>
      <c r="E12217">
        <v>5.9370314842578704</v>
      </c>
    </row>
    <row r="12218" spans="1:5">
      <c r="A12218" t="s">
        <v>14106</v>
      </c>
      <c r="B12218" t="s">
        <v>14107</v>
      </c>
      <c r="C12218">
        <f>0.536603305526</f>
        <v>0.536603305526</v>
      </c>
      <c r="D12218">
        <v>0.96689082128600001</v>
      </c>
      <c r="E12218">
        <v>0.503748125937031</v>
      </c>
    </row>
    <row r="12219" spans="1:5">
      <c r="A12219" t="s">
        <v>14106</v>
      </c>
      <c r="B12219" t="s">
        <v>14108</v>
      </c>
      <c r="C12219">
        <f>0</f>
        <v>0</v>
      </c>
      <c r="D12219">
        <v>0.96689082128600001</v>
      </c>
      <c r="E12219">
        <v>0.503748125937031</v>
      </c>
    </row>
    <row r="12220" spans="1:5">
      <c r="A12220" t="s">
        <v>14106</v>
      </c>
      <c r="B12220" t="s">
        <v>14109</v>
      </c>
      <c r="C12220">
        <f>0</f>
        <v>0</v>
      </c>
      <c r="D12220">
        <v>0.96689082128600001</v>
      </c>
      <c r="E12220">
        <v>0.503748125937031</v>
      </c>
    </row>
    <row r="12221" spans="1:5">
      <c r="A12221" t="s">
        <v>14106</v>
      </c>
      <c r="B12221" t="s">
        <v>14110</v>
      </c>
      <c r="C12221">
        <f>0</f>
        <v>0</v>
      </c>
      <c r="D12221">
        <v>0.96689082128600001</v>
      </c>
      <c r="E12221">
        <v>0.503748125937031</v>
      </c>
    </row>
    <row r="12222" spans="1:5">
      <c r="A12222" t="s">
        <v>14106</v>
      </c>
      <c r="B12222" t="s">
        <v>14111</v>
      </c>
      <c r="C12222">
        <v>0</v>
      </c>
      <c r="D12222">
        <v>0.96689082128600001</v>
      </c>
      <c r="E12222">
        <v>0.503748125937031</v>
      </c>
    </row>
    <row r="12223" spans="1:5">
      <c r="A12223" t="s">
        <v>14106</v>
      </c>
      <c r="B12223" t="s">
        <v>14112</v>
      </c>
      <c r="C12223">
        <v>0</v>
      </c>
      <c r="D12223">
        <v>0.96689082128600001</v>
      </c>
      <c r="E12223">
        <v>0.503748125937031</v>
      </c>
    </row>
    <row r="12224" spans="1:5">
      <c r="A12224" t="s">
        <v>14106</v>
      </c>
      <c r="B12224" t="s">
        <v>14113</v>
      </c>
      <c r="C12224">
        <f>0</f>
        <v>0</v>
      </c>
      <c r="D12224">
        <v>0.96689082128600001</v>
      </c>
      <c r="E12224">
        <v>0.503748125937031</v>
      </c>
    </row>
    <row r="12225" spans="1:5">
      <c r="A12225" t="s">
        <v>14106</v>
      </c>
      <c r="B12225" t="s">
        <v>14114</v>
      </c>
      <c r="C12225">
        <f>0</f>
        <v>0</v>
      </c>
      <c r="D12225">
        <v>0.96689082128600001</v>
      </c>
      <c r="E12225">
        <v>0.503748125937031</v>
      </c>
    </row>
    <row r="12226" spans="1:5">
      <c r="A12226" t="s">
        <v>14106</v>
      </c>
      <c r="B12226" t="s">
        <v>14115</v>
      </c>
      <c r="C12226">
        <f>0</f>
        <v>0</v>
      </c>
      <c r="D12226">
        <v>0.96689082128600001</v>
      </c>
      <c r="E12226">
        <v>0.503748125937031</v>
      </c>
    </row>
    <row r="12227" spans="1:5">
      <c r="A12227" t="s">
        <v>14106</v>
      </c>
      <c r="B12227" t="s">
        <v>14116</v>
      </c>
      <c r="C12227">
        <v>0</v>
      </c>
      <c r="D12227">
        <v>0.96689082128600001</v>
      </c>
      <c r="E12227">
        <v>0.503748125937031</v>
      </c>
    </row>
    <row r="12228" spans="1:5">
      <c r="A12228" t="s">
        <v>14117</v>
      </c>
      <c r="B12228" t="s">
        <v>14118</v>
      </c>
      <c r="C12228">
        <f>0</f>
        <v>0</v>
      </c>
      <c r="D12228">
        <v>0.96009079673099995</v>
      </c>
      <c r="E12228">
        <v>9.4632683658170897</v>
      </c>
    </row>
    <row r="12229" spans="1:5">
      <c r="A12229" t="s">
        <v>14117</v>
      </c>
      <c r="B12229" t="s">
        <v>14119</v>
      </c>
      <c r="C12229">
        <f>0.0387290642655</f>
        <v>3.8729064265499998E-2</v>
      </c>
      <c r="D12229">
        <v>0.96009079673099995</v>
      </c>
      <c r="E12229">
        <v>9.4632683658170897</v>
      </c>
    </row>
    <row r="12230" spans="1:5">
      <c r="A12230" t="s">
        <v>14117</v>
      </c>
      <c r="B12230" t="s">
        <v>14120</v>
      </c>
      <c r="C12230">
        <v>0.26782803448100001</v>
      </c>
      <c r="D12230">
        <v>0.96009079673099995</v>
      </c>
      <c r="E12230">
        <v>9.4632683658170897</v>
      </c>
    </row>
    <row r="12231" spans="1:5">
      <c r="A12231" t="s">
        <v>14117</v>
      </c>
      <c r="B12231" t="s">
        <v>14121</v>
      </c>
      <c r="C12231">
        <v>0</v>
      </c>
      <c r="D12231">
        <v>0.96009079673099995</v>
      </c>
      <c r="E12231">
        <v>9.4632683658170897</v>
      </c>
    </row>
    <row r="12232" spans="1:5">
      <c r="A12232" t="s">
        <v>14117</v>
      </c>
      <c r="B12232" t="s">
        <v>14122</v>
      </c>
      <c r="C12232">
        <v>0</v>
      </c>
      <c r="D12232">
        <v>0.96009079673099995</v>
      </c>
      <c r="E12232">
        <v>9.4632683658170897</v>
      </c>
    </row>
    <row r="12233" spans="1:5">
      <c r="A12233" t="s">
        <v>14123</v>
      </c>
      <c r="B12233" t="s">
        <v>14124</v>
      </c>
      <c r="C12233">
        <v>0.39910836855600001</v>
      </c>
      <c r="D12233">
        <v>0.97915447538300004</v>
      </c>
      <c r="E12233">
        <v>2.79460269865067</v>
      </c>
    </row>
    <row r="12234" spans="1:5">
      <c r="A12234" t="s">
        <v>14125</v>
      </c>
      <c r="B12234" t="s">
        <v>14126</v>
      </c>
      <c r="C12234">
        <f>0</f>
        <v>0</v>
      </c>
      <c r="D12234">
        <v>0.95132499319499997</v>
      </c>
      <c r="E12234">
        <v>12.2098950524737</v>
      </c>
    </row>
    <row r="12235" spans="1:5">
      <c r="A12235" t="s">
        <v>14125</v>
      </c>
      <c r="B12235" t="s">
        <v>14127</v>
      </c>
      <c r="C12235">
        <f>0</f>
        <v>0</v>
      </c>
      <c r="D12235">
        <v>0.95132499319499997</v>
      </c>
      <c r="E12235">
        <v>12.2098950524737</v>
      </c>
    </row>
    <row r="12236" spans="1:5">
      <c r="A12236" t="s">
        <v>14125</v>
      </c>
      <c r="B12236" t="s">
        <v>14128</v>
      </c>
      <c r="C12236">
        <v>0.44210119024599998</v>
      </c>
      <c r="D12236">
        <v>0.95132499319499997</v>
      </c>
      <c r="E12236">
        <v>12.2098950524737</v>
      </c>
    </row>
    <row r="12237" spans="1:5">
      <c r="A12237" t="s">
        <v>14125</v>
      </c>
      <c r="B12237" t="s">
        <v>14129</v>
      </c>
      <c r="C12237">
        <v>0</v>
      </c>
      <c r="D12237">
        <v>0.95132499319499997</v>
      </c>
      <c r="E12237">
        <v>12.2098950524737</v>
      </c>
    </row>
    <row r="12238" spans="1:5">
      <c r="A12238" t="s">
        <v>14125</v>
      </c>
      <c r="B12238" t="s">
        <v>14130</v>
      </c>
      <c r="C12238">
        <f>0</f>
        <v>0</v>
      </c>
      <c r="D12238">
        <v>0.95132499319499997</v>
      </c>
      <c r="E12238">
        <v>12.2098950524737</v>
      </c>
    </row>
    <row r="12239" spans="1:5">
      <c r="A12239" t="s">
        <v>14125</v>
      </c>
      <c r="B12239" t="s">
        <v>14131</v>
      </c>
      <c r="C12239">
        <v>0</v>
      </c>
      <c r="D12239">
        <v>0.95132499319499997</v>
      </c>
      <c r="E12239">
        <v>12.2098950524737</v>
      </c>
    </row>
    <row r="12240" spans="1:5">
      <c r="A12240" t="s">
        <v>14125</v>
      </c>
      <c r="B12240" t="s">
        <v>14132</v>
      </c>
      <c r="C12240">
        <f>0</f>
        <v>0</v>
      </c>
      <c r="D12240">
        <v>0.95132499319499997</v>
      </c>
      <c r="E12240">
        <v>12.2098950524737</v>
      </c>
    </row>
    <row r="12241" spans="1:5">
      <c r="A12241" t="s">
        <v>14133</v>
      </c>
      <c r="B12241" t="s">
        <v>14134</v>
      </c>
      <c r="C12241">
        <v>0</v>
      </c>
      <c r="D12241" t="s">
        <v>106</v>
      </c>
      <c r="E12241">
        <v>0.73163418290854498</v>
      </c>
    </row>
    <row r="12242" spans="1:5">
      <c r="A12242" t="s">
        <v>14133</v>
      </c>
      <c r="B12242" t="s">
        <v>14135</v>
      </c>
      <c r="C12242">
        <f>0</f>
        <v>0</v>
      </c>
      <c r="D12242" t="s">
        <v>106</v>
      </c>
      <c r="E12242">
        <v>0.73163418290854498</v>
      </c>
    </row>
    <row r="12243" spans="1:5">
      <c r="A12243" t="s">
        <v>14133</v>
      </c>
      <c r="B12243" t="s">
        <v>14136</v>
      </c>
      <c r="C12243">
        <v>0</v>
      </c>
      <c r="D12243" t="s">
        <v>106</v>
      </c>
      <c r="E12243">
        <v>0.73163418290854498</v>
      </c>
    </row>
    <row r="12244" spans="1:5">
      <c r="A12244" t="s">
        <v>14137</v>
      </c>
      <c r="B12244" t="s">
        <v>14138</v>
      </c>
      <c r="C12244">
        <v>0</v>
      </c>
      <c r="D12244">
        <v>0.97115879451099996</v>
      </c>
      <c r="E12244">
        <v>4.68965517241379</v>
      </c>
    </row>
    <row r="12245" spans="1:5">
      <c r="A12245" t="s">
        <v>14137</v>
      </c>
      <c r="B12245" t="s">
        <v>14139</v>
      </c>
      <c r="C12245">
        <v>0</v>
      </c>
      <c r="D12245">
        <v>0.97115879451099996</v>
      </c>
      <c r="E12245">
        <v>4.68965517241379</v>
      </c>
    </row>
    <row r="12246" spans="1:5">
      <c r="A12246" t="s">
        <v>14137</v>
      </c>
      <c r="B12246" t="s">
        <v>14140</v>
      </c>
      <c r="C12246">
        <v>0</v>
      </c>
      <c r="D12246">
        <v>0.97115879451099996</v>
      </c>
      <c r="E12246">
        <v>4.68965517241379</v>
      </c>
    </row>
    <row r="12247" spans="1:5">
      <c r="A12247" t="s">
        <v>14137</v>
      </c>
      <c r="B12247" t="s">
        <v>14141</v>
      </c>
      <c r="C12247">
        <f>0</f>
        <v>0</v>
      </c>
      <c r="D12247">
        <v>0.97115879451099996</v>
      </c>
      <c r="E12247">
        <v>4.68965517241379</v>
      </c>
    </row>
    <row r="12248" spans="1:5">
      <c r="A12248" t="s">
        <v>14137</v>
      </c>
      <c r="B12248" t="s">
        <v>14142</v>
      </c>
      <c r="C12248">
        <v>0</v>
      </c>
      <c r="D12248">
        <v>0.97115879451099996</v>
      </c>
      <c r="E12248">
        <v>4.68965517241379</v>
      </c>
    </row>
    <row r="12249" spans="1:5">
      <c r="A12249" t="s">
        <v>14143</v>
      </c>
      <c r="B12249" t="s">
        <v>14144</v>
      </c>
      <c r="C12249">
        <f>0.0707465186221</f>
        <v>7.0746518622100005E-2</v>
      </c>
      <c r="D12249">
        <v>0.58317281691099998</v>
      </c>
      <c r="E12249">
        <v>3.7781109445277301</v>
      </c>
    </row>
    <row r="12250" spans="1:5">
      <c r="A12250" t="s">
        <v>14145</v>
      </c>
      <c r="B12250" t="s">
        <v>14146</v>
      </c>
      <c r="C12250">
        <v>0.52513547213599998</v>
      </c>
      <c r="D12250">
        <v>0.89648224080000005</v>
      </c>
      <c r="E12250">
        <v>7.5922038980509701</v>
      </c>
    </row>
    <row r="12251" spans="1:5">
      <c r="A12251" t="s">
        <v>14145</v>
      </c>
      <c r="B12251" t="s">
        <v>14147</v>
      </c>
      <c r="C12251">
        <v>7.7207326884800004E-2</v>
      </c>
      <c r="D12251">
        <v>0.89648224080000005</v>
      </c>
      <c r="E12251">
        <v>7.5922038980509701</v>
      </c>
    </row>
    <row r="12252" spans="1:5">
      <c r="A12252" t="s">
        <v>14148</v>
      </c>
      <c r="B12252" t="s">
        <v>14149</v>
      </c>
      <c r="C12252">
        <f>0</f>
        <v>0</v>
      </c>
      <c r="D12252" t="s">
        <v>106</v>
      </c>
      <c r="E12252">
        <v>1.6311844077961</v>
      </c>
    </row>
    <row r="12253" spans="1:5">
      <c r="A12253" t="s">
        <v>14148</v>
      </c>
      <c r="B12253" t="s">
        <v>14150</v>
      </c>
      <c r="C12253">
        <v>0</v>
      </c>
      <c r="D12253" t="s">
        <v>106</v>
      </c>
      <c r="E12253">
        <v>1.6311844077961</v>
      </c>
    </row>
    <row r="12254" spans="1:5">
      <c r="A12254" t="s">
        <v>14148</v>
      </c>
      <c r="B12254" t="s">
        <v>14151</v>
      </c>
      <c r="C12254">
        <f>0</f>
        <v>0</v>
      </c>
      <c r="D12254" t="s">
        <v>106</v>
      </c>
      <c r="E12254">
        <v>1.6311844077961</v>
      </c>
    </row>
    <row r="12255" spans="1:5">
      <c r="A12255" t="s">
        <v>14148</v>
      </c>
      <c r="B12255" t="s">
        <v>14152</v>
      </c>
      <c r="C12255">
        <f>0</f>
        <v>0</v>
      </c>
      <c r="D12255" t="s">
        <v>106</v>
      </c>
      <c r="E12255">
        <v>1.6311844077961</v>
      </c>
    </row>
    <row r="12256" spans="1:5">
      <c r="A12256" t="s">
        <v>14148</v>
      </c>
      <c r="B12256" t="s">
        <v>14153</v>
      </c>
      <c r="C12256">
        <f>0</f>
        <v>0</v>
      </c>
      <c r="D12256" t="s">
        <v>106</v>
      </c>
      <c r="E12256">
        <v>1.6311844077961</v>
      </c>
    </row>
    <row r="12257" spans="1:5">
      <c r="A12257" t="s">
        <v>14148</v>
      </c>
      <c r="B12257" t="s">
        <v>14154</v>
      </c>
      <c r="C12257">
        <f>0</f>
        <v>0</v>
      </c>
      <c r="D12257" t="s">
        <v>106</v>
      </c>
      <c r="E12257">
        <v>1.6311844077961</v>
      </c>
    </row>
    <row r="12258" spans="1:5">
      <c r="A12258" t="s">
        <v>14148</v>
      </c>
      <c r="B12258" t="s">
        <v>14155</v>
      </c>
      <c r="C12258">
        <f>0</f>
        <v>0</v>
      </c>
      <c r="D12258" t="s">
        <v>106</v>
      </c>
      <c r="E12258">
        <v>1.6311844077961</v>
      </c>
    </row>
    <row r="12259" spans="1:5">
      <c r="A12259" t="s">
        <v>14148</v>
      </c>
      <c r="B12259" t="s">
        <v>14156</v>
      </c>
      <c r="C12259">
        <f>0</f>
        <v>0</v>
      </c>
      <c r="D12259" t="s">
        <v>106</v>
      </c>
      <c r="E12259">
        <v>1.6311844077961</v>
      </c>
    </row>
    <row r="12260" spans="1:5">
      <c r="A12260" t="s">
        <v>14148</v>
      </c>
      <c r="B12260" t="s">
        <v>14157</v>
      </c>
      <c r="C12260">
        <f>0</f>
        <v>0</v>
      </c>
      <c r="D12260" t="s">
        <v>106</v>
      </c>
      <c r="E12260">
        <v>1.6311844077961</v>
      </c>
    </row>
    <row r="12261" spans="1:5">
      <c r="A12261" t="s">
        <v>14148</v>
      </c>
      <c r="B12261" t="s">
        <v>14158</v>
      </c>
      <c r="C12261">
        <f>0</f>
        <v>0</v>
      </c>
      <c r="D12261" t="s">
        <v>106</v>
      </c>
      <c r="E12261">
        <v>1.6311844077961</v>
      </c>
    </row>
    <row r="12262" spans="1:5">
      <c r="A12262" t="s">
        <v>14159</v>
      </c>
      <c r="B12262" t="s">
        <v>14160</v>
      </c>
      <c r="C12262">
        <v>0.48117824083100003</v>
      </c>
      <c r="D12262">
        <v>0.99501570463599998</v>
      </c>
      <c r="E12262">
        <v>2.0269865067466202</v>
      </c>
    </row>
    <row r="12263" spans="1:5">
      <c r="A12263" t="s">
        <v>14159</v>
      </c>
      <c r="B12263" t="s">
        <v>14161</v>
      </c>
      <c r="C12263">
        <f>0</f>
        <v>0</v>
      </c>
      <c r="D12263">
        <v>0.99501570463599998</v>
      </c>
      <c r="E12263">
        <v>2.0269865067466202</v>
      </c>
    </row>
    <row r="12264" spans="1:5">
      <c r="A12264" t="s">
        <v>14159</v>
      </c>
      <c r="B12264" t="s">
        <v>14162</v>
      </c>
      <c r="C12264">
        <v>0</v>
      </c>
      <c r="D12264">
        <v>0.99501570463599998</v>
      </c>
      <c r="E12264">
        <v>2.0269865067466202</v>
      </c>
    </row>
    <row r="12265" spans="1:5">
      <c r="A12265" t="s">
        <v>14159</v>
      </c>
      <c r="B12265" t="s">
        <v>14163</v>
      </c>
      <c r="C12265">
        <f>0</f>
        <v>0</v>
      </c>
      <c r="D12265">
        <v>0.99501570463599998</v>
      </c>
      <c r="E12265">
        <v>2.0269865067466202</v>
      </c>
    </row>
    <row r="12266" spans="1:5">
      <c r="A12266" t="s">
        <v>14159</v>
      </c>
      <c r="B12266" t="s">
        <v>14164</v>
      </c>
      <c r="C12266">
        <v>0</v>
      </c>
      <c r="D12266">
        <v>0.99501570463599998</v>
      </c>
      <c r="E12266">
        <v>2.0269865067466202</v>
      </c>
    </row>
    <row r="12267" spans="1:5">
      <c r="A12267" t="s">
        <v>14165</v>
      </c>
      <c r="B12267" t="s">
        <v>14166</v>
      </c>
      <c r="C12267">
        <v>0</v>
      </c>
      <c r="D12267" t="s">
        <v>106</v>
      </c>
      <c r="E12267">
        <v>3.0464767616191901</v>
      </c>
    </row>
    <row r="12268" spans="1:5">
      <c r="A12268" t="s">
        <v>14165</v>
      </c>
      <c r="B12268" t="s">
        <v>14167</v>
      </c>
      <c r="C12268">
        <f>0</f>
        <v>0</v>
      </c>
      <c r="D12268" t="s">
        <v>106</v>
      </c>
      <c r="E12268">
        <v>3.0464767616191901</v>
      </c>
    </row>
    <row r="12269" spans="1:5">
      <c r="A12269" t="s">
        <v>14165</v>
      </c>
      <c r="B12269" t="s">
        <v>14168</v>
      </c>
      <c r="C12269">
        <v>0</v>
      </c>
      <c r="D12269" t="s">
        <v>106</v>
      </c>
      <c r="E12269">
        <v>3.0464767616191901</v>
      </c>
    </row>
    <row r="12270" spans="1:5">
      <c r="A12270" t="s">
        <v>14165</v>
      </c>
      <c r="B12270" t="s">
        <v>14169</v>
      </c>
      <c r="C12270">
        <f>0</f>
        <v>0</v>
      </c>
      <c r="D12270" t="s">
        <v>106</v>
      </c>
      <c r="E12270">
        <v>3.0464767616191901</v>
      </c>
    </row>
    <row r="12271" spans="1:5">
      <c r="A12271" t="s">
        <v>14165</v>
      </c>
      <c r="B12271" t="s">
        <v>14170</v>
      </c>
      <c r="C12271">
        <v>0</v>
      </c>
      <c r="D12271" t="s">
        <v>106</v>
      </c>
      <c r="E12271">
        <v>3.0464767616191901</v>
      </c>
    </row>
    <row r="12272" spans="1:5">
      <c r="A12272" t="s">
        <v>14165</v>
      </c>
      <c r="B12272" t="s">
        <v>14171</v>
      </c>
      <c r="C12272">
        <f>0</f>
        <v>0</v>
      </c>
      <c r="D12272" t="s">
        <v>106</v>
      </c>
      <c r="E12272">
        <v>3.0464767616191901</v>
      </c>
    </row>
    <row r="12273" spans="1:5">
      <c r="A12273" t="s">
        <v>14165</v>
      </c>
      <c r="B12273" t="s">
        <v>14172</v>
      </c>
      <c r="C12273">
        <f>0</f>
        <v>0</v>
      </c>
      <c r="D12273" t="s">
        <v>106</v>
      </c>
      <c r="E12273">
        <v>3.0464767616191901</v>
      </c>
    </row>
    <row r="12274" spans="1:5">
      <c r="A12274" t="s">
        <v>14165</v>
      </c>
      <c r="B12274" t="s">
        <v>14173</v>
      </c>
      <c r="C12274">
        <f>0</f>
        <v>0</v>
      </c>
      <c r="D12274" t="s">
        <v>106</v>
      </c>
      <c r="E12274">
        <v>3.0464767616191901</v>
      </c>
    </row>
    <row r="12275" spans="1:5">
      <c r="A12275" t="s">
        <v>14165</v>
      </c>
      <c r="B12275" t="s">
        <v>14174</v>
      </c>
      <c r="C12275">
        <v>0</v>
      </c>
      <c r="D12275" t="s">
        <v>106</v>
      </c>
      <c r="E12275">
        <v>3.0464767616191901</v>
      </c>
    </row>
    <row r="12276" spans="1:5">
      <c r="A12276" t="s">
        <v>14165</v>
      </c>
      <c r="B12276" t="s">
        <v>14175</v>
      </c>
      <c r="C12276">
        <f>0</f>
        <v>0</v>
      </c>
      <c r="D12276" t="s">
        <v>106</v>
      </c>
      <c r="E12276">
        <v>3.0464767616191901</v>
      </c>
    </row>
    <row r="12277" spans="1:5">
      <c r="A12277" t="s">
        <v>14165</v>
      </c>
      <c r="B12277" t="s">
        <v>14176</v>
      </c>
      <c r="C12277">
        <f>0</f>
        <v>0</v>
      </c>
      <c r="D12277" t="s">
        <v>106</v>
      </c>
      <c r="E12277">
        <v>3.0464767616191901</v>
      </c>
    </row>
    <row r="12278" spans="1:5">
      <c r="A12278" t="s">
        <v>14177</v>
      </c>
      <c r="B12278" t="s">
        <v>14178</v>
      </c>
      <c r="C12278">
        <v>5.8949674882099998E-2</v>
      </c>
      <c r="D12278">
        <v>0.55264376968200002</v>
      </c>
      <c r="E12278">
        <v>12.3898050974512</v>
      </c>
    </row>
    <row r="12279" spans="1:5">
      <c r="A12279" t="s">
        <v>14179</v>
      </c>
      <c r="B12279" t="s">
        <v>14180</v>
      </c>
      <c r="C12279">
        <v>0.14961706784100001</v>
      </c>
      <c r="D12279">
        <v>0.97769322535400005</v>
      </c>
      <c r="E12279">
        <v>13.625187406296799</v>
      </c>
    </row>
    <row r="12280" spans="1:5">
      <c r="A12280" t="s">
        <v>14179</v>
      </c>
      <c r="B12280" t="s">
        <v>14181</v>
      </c>
      <c r="C12280">
        <v>0</v>
      </c>
      <c r="D12280">
        <v>0.97769322535400005</v>
      </c>
      <c r="E12280">
        <v>13.625187406296799</v>
      </c>
    </row>
    <row r="12281" spans="1:5">
      <c r="A12281" t="s">
        <v>14179</v>
      </c>
      <c r="B12281" t="s">
        <v>14182</v>
      </c>
      <c r="C12281">
        <f>0.0366587068523</f>
        <v>3.6658706852300001E-2</v>
      </c>
      <c r="D12281">
        <v>0.97769322535400005</v>
      </c>
      <c r="E12281">
        <v>13.625187406296799</v>
      </c>
    </row>
    <row r="12282" spans="1:5">
      <c r="A12282" t="s">
        <v>14179</v>
      </c>
      <c r="B12282" t="s">
        <v>14183</v>
      </c>
      <c r="C12282">
        <v>0</v>
      </c>
      <c r="D12282">
        <v>0.97769322535400005</v>
      </c>
      <c r="E12282">
        <v>13.625187406296799</v>
      </c>
    </row>
    <row r="12283" spans="1:5">
      <c r="A12283" t="s">
        <v>14184</v>
      </c>
      <c r="B12283" t="s">
        <v>14185</v>
      </c>
      <c r="C12283">
        <v>0</v>
      </c>
      <c r="D12283">
        <v>0.704054575021</v>
      </c>
      <c r="E12283">
        <v>0.73163418290854498</v>
      </c>
    </row>
    <row r="12284" spans="1:5">
      <c r="A12284" t="s">
        <v>14184</v>
      </c>
      <c r="B12284" t="s">
        <v>14186</v>
      </c>
      <c r="C12284">
        <v>0</v>
      </c>
      <c r="D12284">
        <v>0.704054575021</v>
      </c>
      <c r="E12284">
        <v>0.73163418290854498</v>
      </c>
    </row>
    <row r="12285" spans="1:5">
      <c r="A12285" t="s">
        <v>14184</v>
      </c>
      <c r="B12285" t="s">
        <v>14187</v>
      </c>
      <c r="C12285">
        <v>0</v>
      </c>
      <c r="D12285">
        <v>0.704054575021</v>
      </c>
      <c r="E12285">
        <v>0.73163418290854498</v>
      </c>
    </row>
    <row r="12286" spans="1:5">
      <c r="A12286" t="s">
        <v>14184</v>
      </c>
      <c r="B12286" t="s">
        <v>14188</v>
      </c>
      <c r="C12286">
        <f>0</f>
        <v>0</v>
      </c>
      <c r="D12286">
        <v>0.704054575021</v>
      </c>
      <c r="E12286">
        <v>0.73163418290854498</v>
      </c>
    </row>
    <row r="12287" spans="1:5">
      <c r="A12287" t="s">
        <v>14184</v>
      </c>
      <c r="B12287" t="s">
        <v>14189</v>
      </c>
      <c r="C12287">
        <v>1.92334851155E-2</v>
      </c>
      <c r="D12287">
        <v>0.704054575021</v>
      </c>
      <c r="E12287">
        <v>0.73163418290854498</v>
      </c>
    </row>
    <row r="12288" spans="1:5">
      <c r="A12288" t="s">
        <v>14190</v>
      </c>
      <c r="B12288" t="s">
        <v>14191</v>
      </c>
      <c r="C12288">
        <v>0</v>
      </c>
      <c r="D12288">
        <v>0.51115742761799998</v>
      </c>
      <c r="E12288">
        <v>24</v>
      </c>
    </row>
    <row r="12289" spans="1:5">
      <c r="A12289" t="s">
        <v>14190</v>
      </c>
      <c r="B12289" t="s">
        <v>14192</v>
      </c>
      <c r="C12289">
        <f>0</f>
        <v>0</v>
      </c>
      <c r="D12289">
        <v>0.51115742761799998</v>
      </c>
      <c r="E12289">
        <v>24</v>
      </c>
    </row>
    <row r="12290" spans="1:5">
      <c r="A12290" t="s">
        <v>14190</v>
      </c>
      <c r="B12290" t="s">
        <v>14193</v>
      </c>
      <c r="C12290">
        <v>0</v>
      </c>
      <c r="D12290">
        <v>0.51115742761799998</v>
      </c>
      <c r="E12290">
        <v>24</v>
      </c>
    </row>
    <row r="12291" spans="1:5">
      <c r="A12291" t="s">
        <v>14190</v>
      </c>
      <c r="B12291" t="s">
        <v>14194</v>
      </c>
      <c r="C12291">
        <f>0</f>
        <v>0</v>
      </c>
      <c r="D12291">
        <v>0.51115742761799998</v>
      </c>
      <c r="E12291">
        <v>24</v>
      </c>
    </row>
    <row r="12292" spans="1:5">
      <c r="A12292" t="s">
        <v>14190</v>
      </c>
      <c r="B12292" t="s">
        <v>14195</v>
      </c>
      <c r="C12292">
        <v>9.7534147969800006E-2</v>
      </c>
      <c r="D12292">
        <v>0.51115742761799998</v>
      </c>
      <c r="E12292">
        <v>24</v>
      </c>
    </row>
    <row r="12293" spans="1:5">
      <c r="A12293" t="s">
        <v>14190</v>
      </c>
      <c r="B12293" t="s">
        <v>14196</v>
      </c>
      <c r="C12293">
        <f>0</f>
        <v>0</v>
      </c>
      <c r="D12293">
        <v>0.51115742761799998</v>
      </c>
      <c r="E12293">
        <v>24</v>
      </c>
    </row>
    <row r="12294" spans="1:5">
      <c r="A12294" t="s">
        <v>14190</v>
      </c>
      <c r="B12294" t="s">
        <v>14197</v>
      </c>
      <c r="C12294">
        <f>0</f>
        <v>0</v>
      </c>
      <c r="D12294">
        <v>0.51115742761799998</v>
      </c>
      <c r="E12294">
        <v>24</v>
      </c>
    </row>
    <row r="12295" spans="1:5">
      <c r="A12295" t="s">
        <v>14190</v>
      </c>
      <c r="B12295" t="s">
        <v>14198</v>
      </c>
      <c r="C12295">
        <v>0</v>
      </c>
      <c r="D12295">
        <v>0.51115742761799998</v>
      </c>
      <c r="E12295">
        <v>24</v>
      </c>
    </row>
    <row r="12296" spans="1:5">
      <c r="A12296" t="s">
        <v>14190</v>
      </c>
      <c r="B12296" t="s">
        <v>14199</v>
      </c>
      <c r="C12296">
        <v>0</v>
      </c>
      <c r="D12296">
        <v>0.51115742761799998</v>
      </c>
      <c r="E12296">
        <v>24</v>
      </c>
    </row>
    <row r="12297" spans="1:5">
      <c r="A12297" t="s">
        <v>14190</v>
      </c>
      <c r="B12297" t="s">
        <v>14200</v>
      </c>
      <c r="C12297">
        <f>0</f>
        <v>0</v>
      </c>
      <c r="D12297">
        <v>0.51115742761799998</v>
      </c>
      <c r="E12297">
        <v>24</v>
      </c>
    </row>
    <row r="12298" spans="1:5">
      <c r="A12298" t="s">
        <v>14201</v>
      </c>
      <c r="B12298" t="s">
        <v>14202</v>
      </c>
      <c r="C12298">
        <v>0.22483280856499999</v>
      </c>
      <c r="D12298">
        <v>0.68154316541799997</v>
      </c>
      <c r="E12298">
        <v>12.2098950524737</v>
      </c>
    </row>
    <row r="12299" spans="1:5">
      <c r="A12299" t="s">
        <v>14203</v>
      </c>
      <c r="B12299" t="s">
        <v>14204</v>
      </c>
      <c r="C12299">
        <v>0</v>
      </c>
      <c r="D12299" t="s">
        <v>106</v>
      </c>
      <c r="E12299">
        <v>4.4737631184407798</v>
      </c>
    </row>
    <row r="12300" spans="1:5">
      <c r="A12300" t="s">
        <v>14205</v>
      </c>
      <c r="B12300" t="s">
        <v>14206</v>
      </c>
      <c r="C12300">
        <v>0</v>
      </c>
      <c r="D12300">
        <v>0.79748428456200005</v>
      </c>
      <c r="E12300">
        <v>17.919040479760099</v>
      </c>
    </row>
    <row r="12301" spans="1:5">
      <c r="A12301" t="s">
        <v>14205</v>
      </c>
      <c r="B12301" t="s">
        <v>14207</v>
      </c>
      <c r="C12301">
        <f>0.0297648210584</f>
        <v>2.97648210584E-2</v>
      </c>
      <c r="D12301">
        <v>0.79748428456200005</v>
      </c>
      <c r="E12301">
        <v>17.919040479760099</v>
      </c>
    </row>
    <row r="12302" spans="1:5">
      <c r="A12302" t="s">
        <v>14205</v>
      </c>
      <c r="B12302" t="s">
        <v>14208</v>
      </c>
      <c r="C12302">
        <v>0.19357719697799999</v>
      </c>
      <c r="D12302">
        <v>0.79748428456200005</v>
      </c>
      <c r="E12302">
        <v>17.919040479760099</v>
      </c>
    </row>
    <row r="12303" spans="1:5">
      <c r="A12303" t="s">
        <v>14209</v>
      </c>
      <c r="B12303" t="s">
        <v>14210</v>
      </c>
      <c r="C12303">
        <v>0</v>
      </c>
      <c r="D12303">
        <v>0.97616251442000002</v>
      </c>
      <c r="E12303">
        <v>9.9190404797601204</v>
      </c>
    </row>
    <row r="12304" spans="1:5">
      <c r="A12304" t="s">
        <v>14209</v>
      </c>
      <c r="B12304" t="s">
        <v>14211</v>
      </c>
      <c r="C12304">
        <v>0.24058602585899999</v>
      </c>
      <c r="D12304">
        <v>0.97616251442000002</v>
      </c>
      <c r="E12304">
        <v>9.9190404797601204</v>
      </c>
    </row>
    <row r="12305" spans="1:5">
      <c r="A12305" t="s">
        <v>14209</v>
      </c>
      <c r="B12305" t="s">
        <v>14212</v>
      </c>
      <c r="C12305">
        <v>0</v>
      </c>
      <c r="D12305">
        <v>0.97616251442000002</v>
      </c>
      <c r="E12305">
        <v>9.9190404797601204</v>
      </c>
    </row>
    <row r="12306" spans="1:5">
      <c r="A12306" t="s">
        <v>14209</v>
      </c>
      <c r="B12306" t="s">
        <v>14213</v>
      </c>
      <c r="C12306">
        <v>0</v>
      </c>
      <c r="D12306">
        <v>0.97616251442000002</v>
      </c>
      <c r="E12306">
        <v>9.9190404797601204</v>
      </c>
    </row>
    <row r="12307" spans="1:5">
      <c r="A12307" t="s">
        <v>14209</v>
      </c>
      <c r="B12307" t="s">
        <v>14214</v>
      </c>
      <c r="C12307">
        <v>0</v>
      </c>
      <c r="D12307">
        <v>0.97616251442000002</v>
      </c>
      <c r="E12307">
        <v>9.9190404797601204</v>
      </c>
    </row>
    <row r="12308" spans="1:5">
      <c r="A12308" t="s">
        <v>14215</v>
      </c>
      <c r="B12308" t="s">
        <v>14216</v>
      </c>
      <c r="C12308">
        <v>0</v>
      </c>
      <c r="D12308">
        <v>0.78845432511699998</v>
      </c>
      <c r="E12308">
        <v>1.8230884557721101</v>
      </c>
    </row>
    <row r="12309" spans="1:5">
      <c r="A12309" t="s">
        <v>14215</v>
      </c>
      <c r="B12309" t="s">
        <v>14217</v>
      </c>
      <c r="C12309">
        <v>0</v>
      </c>
      <c r="D12309">
        <v>0.78845432511699998</v>
      </c>
      <c r="E12309">
        <v>1.8230884557721101</v>
      </c>
    </row>
    <row r="12310" spans="1:5">
      <c r="A12310" t="s">
        <v>14215</v>
      </c>
      <c r="B12310" t="s">
        <v>14218</v>
      </c>
      <c r="C12310">
        <v>0</v>
      </c>
      <c r="D12310">
        <v>0.78845432511699998</v>
      </c>
      <c r="E12310">
        <v>1.8230884557721101</v>
      </c>
    </row>
    <row r="12311" spans="1:5">
      <c r="A12311" t="s">
        <v>14215</v>
      </c>
      <c r="B12311" t="s">
        <v>14219</v>
      </c>
      <c r="C12311">
        <f>0</f>
        <v>0</v>
      </c>
      <c r="D12311">
        <v>0.78845432511699998</v>
      </c>
      <c r="E12311">
        <v>1.8230884557721101</v>
      </c>
    </row>
    <row r="12312" spans="1:5">
      <c r="A12312" t="s">
        <v>14215</v>
      </c>
      <c r="B12312" t="s">
        <v>14220</v>
      </c>
      <c r="C12312">
        <f>0</f>
        <v>0</v>
      </c>
      <c r="D12312">
        <v>0.78845432511699998</v>
      </c>
      <c r="E12312">
        <v>1.8230884557721101</v>
      </c>
    </row>
    <row r="12313" spans="1:5">
      <c r="A12313" t="s">
        <v>14215</v>
      </c>
      <c r="B12313" t="s">
        <v>14221</v>
      </c>
      <c r="C12313">
        <f>0.0877260851698</f>
        <v>8.7726085169800003E-2</v>
      </c>
      <c r="D12313">
        <v>0.78845432511699998</v>
      </c>
      <c r="E12313">
        <v>1.8230884557721101</v>
      </c>
    </row>
    <row r="12314" spans="1:5">
      <c r="A12314" t="s">
        <v>14215</v>
      </c>
      <c r="B12314" t="s">
        <v>14222</v>
      </c>
      <c r="C12314">
        <f>0</f>
        <v>0</v>
      </c>
      <c r="D12314">
        <v>0.78845432511699998</v>
      </c>
      <c r="E12314">
        <v>1.8230884557721101</v>
      </c>
    </row>
    <row r="12315" spans="1:5">
      <c r="A12315" t="s">
        <v>14215</v>
      </c>
      <c r="B12315" t="s">
        <v>14223</v>
      </c>
      <c r="C12315">
        <f>0</f>
        <v>0</v>
      </c>
      <c r="D12315">
        <v>0.78845432511699998</v>
      </c>
      <c r="E12315">
        <v>1.8230884557721101</v>
      </c>
    </row>
    <row r="12316" spans="1:5">
      <c r="A12316" t="s">
        <v>14215</v>
      </c>
      <c r="B12316" t="s">
        <v>14224</v>
      </c>
      <c r="C12316">
        <f>0</f>
        <v>0</v>
      </c>
      <c r="D12316">
        <v>0.78845432511699998</v>
      </c>
      <c r="E12316">
        <v>1.8230884557721101</v>
      </c>
    </row>
    <row r="12317" spans="1:5">
      <c r="A12317" t="s">
        <v>14215</v>
      </c>
      <c r="B12317" t="s">
        <v>14225</v>
      </c>
      <c r="C12317">
        <f>0</f>
        <v>0</v>
      </c>
      <c r="D12317">
        <v>0.78845432511699998</v>
      </c>
      <c r="E12317">
        <v>1.8230884557721101</v>
      </c>
    </row>
    <row r="12318" spans="1:5">
      <c r="A12318" t="s">
        <v>14215</v>
      </c>
      <c r="B12318" t="s">
        <v>14226</v>
      </c>
      <c r="C12318">
        <f>0</f>
        <v>0</v>
      </c>
      <c r="D12318">
        <v>0.78845432511699998</v>
      </c>
      <c r="E12318">
        <v>1.8230884557721101</v>
      </c>
    </row>
    <row r="12319" spans="1:5">
      <c r="A12319" t="s">
        <v>14215</v>
      </c>
      <c r="B12319" t="s">
        <v>14227</v>
      </c>
      <c r="C12319">
        <f>0.0186625651552</f>
        <v>1.8662565155200001E-2</v>
      </c>
      <c r="D12319">
        <v>0.78845432511699998</v>
      </c>
      <c r="E12319">
        <v>1.8230884557721101</v>
      </c>
    </row>
    <row r="12320" spans="1:5">
      <c r="A12320" t="s">
        <v>14228</v>
      </c>
      <c r="B12320" t="s">
        <v>14229</v>
      </c>
      <c r="C12320">
        <f>0</f>
        <v>0</v>
      </c>
      <c r="D12320">
        <v>0.71582489983599995</v>
      </c>
      <c r="E12320">
        <v>3.40629685157421</v>
      </c>
    </row>
    <row r="12321" spans="1:5">
      <c r="A12321" t="s">
        <v>14228</v>
      </c>
      <c r="B12321" t="s">
        <v>14230</v>
      </c>
      <c r="C12321">
        <v>0</v>
      </c>
      <c r="D12321">
        <v>0.71582489983599995</v>
      </c>
      <c r="E12321">
        <v>3.40629685157421</v>
      </c>
    </row>
    <row r="12322" spans="1:5">
      <c r="A12322" t="s">
        <v>14228</v>
      </c>
      <c r="B12322" t="s">
        <v>14231</v>
      </c>
      <c r="C12322">
        <f>0</f>
        <v>0</v>
      </c>
      <c r="D12322">
        <v>0.71582489983599995</v>
      </c>
      <c r="E12322">
        <v>3.40629685157421</v>
      </c>
    </row>
    <row r="12323" spans="1:5">
      <c r="A12323" t="s">
        <v>14228</v>
      </c>
      <c r="B12323" t="s">
        <v>14232</v>
      </c>
      <c r="C12323">
        <v>0</v>
      </c>
      <c r="D12323">
        <v>0.71582489983599995</v>
      </c>
      <c r="E12323">
        <v>3.40629685157421</v>
      </c>
    </row>
    <row r="12324" spans="1:5">
      <c r="A12324" t="s">
        <v>14228</v>
      </c>
      <c r="B12324" t="s">
        <v>14233</v>
      </c>
      <c r="C12324">
        <v>0</v>
      </c>
      <c r="D12324">
        <v>0.71582489983599995</v>
      </c>
      <c r="E12324">
        <v>3.40629685157421</v>
      </c>
    </row>
    <row r="12325" spans="1:5">
      <c r="A12325" t="s">
        <v>14234</v>
      </c>
      <c r="B12325" t="s">
        <v>14235</v>
      </c>
      <c r="C12325">
        <f>0</f>
        <v>0</v>
      </c>
      <c r="D12325" t="s">
        <v>106</v>
      </c>
      <c r="E12325">
        <v>4.0659670164917499</v>
      </c>
    </row>
    <row r="12326" spans="1:5">
      <c r="A12326" t="s">
        <v>14234</v>
      </c>
      <c r="B12326" t="s">
        <v>14236</v>
      </c>
      <c r="C12326">
        <v>4.3009185622900001E-2</v>
      </c>
      <c r="D12326" t="s">
        <v>106</v>
      </c>
      <c r="E12326">
        <v>4.0659670164917499</v>
      </c>
    </row>
    <row r="12327" spans="1:5">
      <c r="A12327" t="s">
        <v>14234</v>
      </c>
      <c r="B12327" t="s">
        <v>14237</v>
      </c>
      <c r="C12327">
        <v>0</v>
      </c>
      <c r="D12327" t="s">
        <v>106</v>
      </c>
      <c r="E12327">
        <v>4.0659670164917499</v>
      </c>
    </row>
    <row r="12328" spans="1:5">
      <c r="A12328" t="s">
        <v>14234</v>
      </c>
      <c r="B12328" t="s">
        <v>14238</v>
      </c>
      <c r="C12328">
        <v>0</v>
      </c>
      <c r="D12328" t="s">
        <v>106</v>
      </c>
      <c r="E12328">
        <v>4.0659670164917499</v>
      </c>
    </row>
    <row r="12329" spans="1:5">
      <c r="A12329" t="s">
        <v>14234</v>
      </c>
      <c r="B12329" t="s">
        <v>14239</v>
      </c>
      <c r="C12329">
        <f>0</f>
        <v>0</v>
      </c>
      <c r="D12329" t="s">
        <v>106</v>
      </c>
      <c r="E12329">
        <v>4.0659670164917499</v>
      </c>
    </row>
    <row r="12330" spans="1:5">
      <c r="A12330" t="s">
        <v>14234</v>
      </c>
      <c r="B12330" t="s">
        <v>14240</v>
      </c>
      <c r="C12330">
        <f>0</f>
        <v>0</v>
      </c>
      <c r="D12330" t="s">
        <v>106</v>
      </c>
      <c r="E12330">
        <v>4.0659670164917499</v>
      </c>
    </row>
    <row r="12331" spans="1:5">
      <c r="A12331" t="s">
        <v>14234</v>
      </c>
      <c r="B12331" t="s">
        <v>14241</v>
      </c>
      <c r="C12331">
        <f>0</f>
        <v>0</v>
      </c>
      <c r="D12331" t="s">
        <v>106</v>
      </c>
      <c r="E12331">
        <v>4.0659670164917499</v>
      </c>
    </row>
    <row r="12332" spans="1:5">
      <c r="A12332" t="s">
        <v>14234</v>
      </c>
      <c r="B12332" t="s">
        <v>14242</v>
      </c>
      <c r="C12332">
        <v>0</v>
      </c>
      <c r="D12332" t="s">
        <v>106</v>
      </c>
      <c r="E12332">
        <v>4.0659670164917499</v>
      </c>
    </row>
    <row r="12333" spans="1:5">
      <c r="A12333" t="s">
        <v>14234</v>
      </c>
      <c r="B12333" t="s">
        <v>14243</v>
      </c>
      <c r="C12333">
        <v>0</v>
      </c>
      <c r="D12333" t="s">
        <v>106</v>
      </c>
      <c r="E12333">
        <v>4.0659670164917499</v>
      </c>
    </row>
    <row r="12334" spans="1:5">
      <c r="A12334" t="s">
        <v>14244</v>
      </c>
      <c r="B12334" t="s">
        <v>14245</v>
      </c>
      <c r="C12334">
        <v>1.5382132029900001E-2</v>
      </c>
      <c r="D12334">
        <v>0.84251786666299999</v>
      </c>
      <c r="E12334">
        <v>22.332833583208298</v>
      </c>
    </row>
    <row r="12335" spans="1:5">
      <c r="A12335" t="s">
        <v>14244</v>
      </c>
      <c r="B12335" t="s">
        <v>14246</v>
      </c>
      <c r="C12335">
        <v>0</v>
      </c>
      <c r="D12335">
        <v>0.84251786666299999</v>
      </c>
      <c r="E12335">
        <v>22.332833583208298</v>
      </c>
    </row>
    <row r="12336" spans="1:5">
      <c r="A12336" t="s">
        <v>14244</v>
      </c>
      <c r="B12336" t="s">
        <v>14247</v>
      </c>
      <c r="C12336">
        <v>0</v>
      </c>
      <c r="D12336">
        <v>0.84251786666299999</v>
      </c>
      <c r="E12336">
        <v>22.332833583208298</v>
      </c>
    </row>
    <row r="12337" spans="1:5">
      <c r="A12337" t="s">
        <v>14248</v>
      </c>
      <c r="B12337" t="s">
        <v>14249</v>
      </c>
      <c r="C12337">
        <f>0.0463340029978</f>
        <v>4.6334002997800001E-2</v>
      </c>
      <c r="D12337">
        <v>0.77944765066999999</v>
      </c>
      <c r="E12337">
        <v>14.740629685157399</v>
      </c>
    </row>
    <row r="12338" spans="1:5">
      <c r="A12338" t="s">
        <v>14248</v>
      </c>
      <c r="B12338" t="s">
        <v>14250</v>
      </c>
      <c r="C12338">
        <f>0.0530067826177</f>
        <v>5.3006782617699998E-2</v>
      </c>
      <c r="D12338">
        <v>0.77944765066999999</v>
      </c>
      <c r="E12338">
        <v>14.740629685157399</v>
      </c>
    </row>
    <row r="12339" spans="1:5">
      <c r="A12339" t="s">
        <v>14251</v>
      </c>
      <c r="B12339" t="s">
        <v>14252</v>
      </c>
      <c r="C12339">
        <v>0</v>
      </c>
      <c r="D12339">
        <v>0.83831643170699999</v>
      </c>
      <c r="E12339">
        <v>14.5487256371814</v>
      </c>
    </row>
    <row r="12340" spans="1:5">
      <c r="A12340" t="s">
        <v>14251</v>
      </c>
      <c r="B12340" t="s">
        <v>14253</v>
      </c>
      <c r="C12340">
        <v>0</v>
      </c>
      <c r="D12340">
        <v>0.83831643170699999</v>
      </c>
      <c r="E12340">
        <v>14.5487256371814</v>
      </c>
    </row>
    <row r="12341" spans="1:5">
      <c r="A12341" t="s">
        <v>14251</v>
      </c>
      <c r="B12341" t="s">
        <v>14254</v>
      </c>
      <c r="C12341">
        <v>0.16072308016699999</v>
      </c>
      <c r="D12341">
        <v>0.83831643170699999</v>
      </c>
      <c r="E12341">
        <v>14.5487256371814</v>
      </c>
    </row>
    <row r="12342" spans="1:5">
      <c r="A12342" t="s">
        <v>14251</v>
      </c>
      <c r="B12342" t="s">
        <v>14255</v>
      </c>
      <c r="C12342">
        <f>0</f>
        <v>0</v>
      </c>
      <c r="D12342">
        <v>0.83831643170699999</v>
      </c>
      <c r="E12342">
        <v>14.5487256371814</v>
      </c>
    </row>
    <row r="12343" spans="1:5">
      <c r="A12343" t="s">
        <v>14251</v>
      </c>
      <c r="B12343" t="s">
        <v>14256</v>
      </c>
      <c r="C12343">
        <v>0</v>
      </c>
      <c r="D12343">
        <v>0.83831643170699999</v>
      </c>
      <c r="E12343">
        <v>14.5487256371814</v>
      </c>
    </row>
    <row r="12344" spans="1:5">
      <c r="A12344" t="s">
        <v>14257</v>
      </c>
      <c r="B12344" t="s">
        <v>14258</v>
      </c>
      <c r="C12344">
        <v>0.20366277809700001</v>
      </c>
      <c r="D12344">
        <v>0.96259830377800004</v>
      </c>
      <c r="E12344">
        <v>3.3103448275862002</v>
      </c>
    </row>
    <row r="12345" spans="1:5">
      <c r="A12345" t="s">
        <v>14257</v>
      </c>
      <c r="B12345" t="s">
        <v>14259</v>
      </c>
      <c r="C12345">
        <f>0</f>
        <v>0</v>
      </c>
      <c r="D12345">
        <v>0.96259830377800004</v>
      </c>
      <c r="E12345">
        <v>3.3103448275862002</v>
      </c>
    </row>
    <row r="12346" spans="1:5">
      <c r="A12346" t="s">
        <v>14257</v>
      </c>
      <c r="B12346" t="s">
        <v>14260</v>
      </c>
      <c r="C12346">
        <f>0</f>
        <v>0</v>
      </c>
      <c r="D12346">
        <v>0.96259830377800004</v>
      </c>
      <c r="E12346">
        <v>3.3103448275862002</v>
      </c>
    </row>
    <row r="12347" spans="1:5">
      <c r="A12347" t="s">
        <v>14257</v>
      </c>
      <c r="B12347" t="s">
        <v>14261</v>
      </c>
      <c r="C12347">
        <v>0</v>
      </c>
      <c r="D12347">
        <v>0.96259830377800004</v>
      </c>
      <c r="E12347">
        <v>3.3103448275862002</v>
      </c>
    </row>
    <row r="12348" spans="1:5">
      <c r="A12348" t="s">
        <v>14257</v>
      </c>
      <c r="B12348" t="s">
        <v>14262</v>
      </c>
      <c r="C12348">
        <f>0</f>
        <v>0</v>
      </c>
      <c r="D12348">
        <v>0.96259830377800004</v>
      </c>
      <c r="E12348">
        <v>3.3103448275862002</v>
      </c>
    </row>
    <row r="12349" spans="1:5">
      <c r="A12349" t="s">
        <v>14257</v>
      </c>
      <c r="B12349" t="s">
        <v>14263</v>
      </c>
      <c r="C12349">
        <f>0</f>
        <v>0</v>
      </c>
      <c r="D12349">
        <v>0.96259830377800004</v>
      </c>
      <c r="E12349">
        <v>3.3103448275862002</v>
      </c>
    </row>
    <row r="12350" spans="1:5">
      <c r="A12350" t="s">
        <v>14257</v>
      </c>
      <c r="B12350" t="s">
        <v>14264</v>
      </c>
      <c r="C12350">
        <f>0.207596305746</f>
        <v>0.20759630574599999</v>
      </c>
      <c r="D12350">
        <v>0.96259830377800004</v>
      </c>
      <c r="E12350">
        <v>3.3103448275862002</v>
      </c>
    </row>
    <row r="12351" spans="1:5">
      <c r="A12351" t="s">
        <v>14257</v>
      </c>
      <c r="B12351" t="s">
        <v>14265</v>
      </c>
      <c r="C12351">
        <v>0</v>
      </c>
      <c r="D12351">
        <v>0.96259830377800004</v>
      </c>
      <c r="E12351">
        <v>3.3103448275862002</v>
      </c>
    </row>
    <row r="12352" spans="1:5">
      <c r="A12352" t="s">
        <v>14266</v>
      </c>
      <c r="B12352" t="s">
        <v>14267</v>
      </c>
      <c r="C12352">
        <v>0.204529179123</v>
      </c>
      <c r="D12352">
        <v>0.49124157305499999</v>
      </c>
      <c r="E12352">
        <v>18.986506746626599</v>
      </c>
    </row>
    <row r="12353" spans="1:5">
      <c r="A12353" t="s">
        <v>14268</v>
      </c>
      <c r="B12353" t="s">
        <v>14269</v>
      </c>
      <c r="C12353">
        <v>0</v>
      </c>
      <c r="D12353" t="s">
        <v>106</v>
      </c>
      <c r="E12353">
        <v>13.625187406296799</v>
      </c>
    </row>
    <row r="12354" spans="1:5">
      <c r="A12354" t="s">
        <v>14268</v>
      </c>
      <c r="B12354" t="s">
        <v>14270</v>
      </c>
      <c r="C12354">
        <v>0</v>
      </c>
      <c r="D12354" t="s">
        <v>106</v>
      </c>
      <c r="E12354">
        <v>13.625187406296799</v>
      </c>
    </row>
    <row r="12355" spans="1:5">
      <c r="A12355" t="s">
        <v>14268</v>
      </c>
      <c r="B12355" t="s">
        <v>14271</v>
      </c>
      <c r="C12355">
        <f>0</f>
        <v>0</v>
      </c>
      <c r="D12355" t="s">
        <v>106</v>
      </c>
      <c r="E12355">
        <v>13.625187406296799</v>
      </c>
    </row>
    <row r="12356" spans="1:5">
      <c r="A12356" t="s">
        <v>14268</v>
      </c>
      <c r="B12356" t="s">
        <v>14272</v>
      </c>
      <c r="C12356">
        <v>0</v>
      </c>
      <c r="D12356" t="s">
        <v>106</v>
      </c>
      <c r="E12356">
        <v>13.625187406296799</v>
      </c>
    </row>
    <row r="12357" spans="1:5">
      <c r="A12357" t="s">
        <v>14268</v>
      </c>
      <c r="B12357" t="s">
        <v>14273</v>
      </c>
      <c r="C12357">
        <v>0</v>
      </c>
      <c r="D12357" t="s">
        <v>106</v>
      </c>
      <c r="E12357">
        <v>13.625187406296799</v>
      </c>
    </row>
    <row r="12358" spans="1:5">
      <c r="A12358" t="s">
        <v>14268</v>
      </c>
      <c r="B12358" t="s">
        <v>14274</v>
      </c>
      <c r="C12358">
        <f>0</f>
        <v>0</v>
      </c>
      <c r="D12358" t="s">
        <v>106</v>
      </c>
      <c r="E12358">
        <v>13.625187406296799</v>
      </c>
    </row>
    <row r="12359" spans="1:5">
      <c r="A12359" t="s">
        <v>14268</v>
      </c>
      <c r="B12359" t="s">
        <v>14275</v>
      </c>
      <c r="C12359">
        <f>0</f>
        <v>0</v>
      </c>
      <c r="D12359" t="s">
        <v>106</v>
      </c>
      <c r="E12359">
        <v>13.625187406296799</v>
      </c>
    </row>
    <row r="12360" spans="1:5">
      <c r="A12360" t="s">
        <v>14268</v>
      </c>
      <c r="B12360" t="s">
        <v>14276</v>
      </c>
      <c r="C12360">
        <v>0</v>
      </c>
      <c r="D12360" t="s">
        <v>106</v>
      </c>
      <c r="E12360">
        <v>13.625187406296799</v>
      </c>
    </row>
    <row r="12361" spans="1:5">
      <c r="A12361" t="s">
        <v>14268</v>
      </c>
      <c r="B12361" t="s">
        <v>14277</v>
      </c>
      <c r="C12361">
        <f>0</f>
        <v>0</v>
      </c>
      <c r="D12361" t="s">
        <v>106</v>
      </c>
      <c r="E12361">
        <v>13.625187406296799</v>
      </c>
    </row>
    <row r="12362" spans="1:5">
      <c r="A12362" t="s">
        <v>14268</v>
      </c>
      <c r="B12362" t="s">
        <v>14278</v>
      </c>
      <c r="C12362">
        <v>0</v>
      </c>
      <c r="D12362" t="s">
        <v>106</v>
      </c>
      <c r="E12362">
        <v>13.625187406296799</v>
      </c>
    </row>
    <row r="12363" spans="1:5">
      <c r="A12363" t="s">
        <v>14268</v>
      </c>
      <c r="B12363" t="s">
        <v>14279</v>
      </c>
      <c r="C12363">
        <f>0</f>
        <v>0</v>
      </c>
      <c r="D12363" t="s">
        <v>106</v>
      </c>
      <c r="E12363">
        <v>13.625187406296799</v>
      </c>
    </row>
    <row r="12364" spans="1:5">
      <c r="A12364" t="s">
        <v>14268</v>
      </c>
      <c r="B12364" t="s">
        <v>14280</v>
      </c>
      <c r="C12364">
        <v>0</v>
      </c>
      <c r="D12364" t="s">
        <v>106</v>
      </c>
      <c r="E12364">
        <v>13.625187406296799</v>
      </c>
    </row>
    <row r="12365" spans="1:5">
      <c r="A12365" t="s">
        <v>14268</v>
      </c>
      <c r="B12365" t="s">
        <v>14281</v>
      </c>
      <c r="C12365">
        <f>0</f>
        <v>0</v>
      </c>
      <c r="D12365" t="s">
        <v>106</v>
      </c>
      <c r="E12365">
        <v>13.625187406296799</v>
      </c>
    </row>
    <row r="12366" spans="1:5">
      <c r="A12366" t="s">
        <v>14282</v>
      </c>
      <c r="B12366" t="s">
        <v>14283</v>
      </c>
      <c r="C12366">
        <v>0</v>
      </c>
      <c r="D12366">
        <v>0.66608121243399998</v>
      </c>
      <c r="E12366">
        <v>3.3103448275862002</v>
      </c>
    </row>
    <row r="12367" spans="1:5">
      <c r="A12367" t="s">
        <v>14282</v>
      </c>
      <c r="B12367" t="s">
        <v>14284</v>
      </c>
      <c r="C12367">
        <v>0.449485045024</v>
      </c>
      <c r="D12367">
        <v>0.66608121243399998</v>
      </c>
      <c r="E12367">
        <v>3.3103448275862002</v>
      </c>
    </row>
    <row r="12368" spans="1:5">
      <c r="A12368" t="s">
        <v>14282</v>
      </c>
      <c r="B12368" t="s">
        <v>14285</v>
      </c>
      <c r="C12368">
        <v>0</v>
      </c>
      <c r="D12368">
        <v>0.66608121243399998</v>
      </c>
      <c r="E12368">
        <v>3.3103448275862002</v>
      </c>
    </row>
    <row r="12369" spans="1:5">
      <c r="A12369" t="s">
        <v>14282</v>
      </c>
      <c r="B12369" t="s">
        <v>14286</v>
      </c>
      <c r="C12369">
        <v>0</v>
      </c>
      <c r="D12369">
        <v>0.66608121243399998</v>
      </c>
      <c r="E12369">
        <v>3.3103448275862002</v>
      </c>
    </row>
    <row r="12370" spans="1:5">
      <c r="A12370" t="s">
        <v>14282</v>
      </c>
      <c r="B12370" t="s">
        <v>14287</v>
      </c>
      <c r="C12370">
        <v>0</v>
      </c>
      <c r="D12370">
        <v>0.66608121243399998</v>
      </c>
      <c r="E12370">
        <v>3.3103448275862002</v>
      </c>
    </row>
    <row r="12371" spans="1:5">
      <c r="A12371" t="s">
        <v>14282</v>
      </c>
      <c r="B12371" t="s">
        <v>14288</v>
      </c>
      <c r="C12371">
        <v>0.23068121331399999</v>
      </c>
      <c r="D12371">
        <v>0.66608121243399998</v>
      </c>
      <c r="E12371">
        <v>3.3103448275862002</v>
      </c>
    </row>
    <row r="12372" spans="1:5">
      <c r="A12372" t="s">
        <v>14289</v>
      </c>
      <c r="B12372" t="s">
        <v>14290</v>
      </c>
      <c r="C12372">
        <v>0</v>
      </c>
      <c r="D12372">
        <v>0.98821370680700005</v>
      </c>
      <c r="E12372">
        <v>0.86356821589205401</v>
      </c>
    </row>
    <row r="12373" spans="1:5">
      <c r="A12373" t="s">
        <v>14289</v>
      </c>
      <c r="B12373" t="s">
        <v>14291</v>
      </c>
      <c r="C12373">
        <v>0</v>
      </c>
      <c r="D12373">
        <v>0.98821370680700005</v>
      </c>
      <c r="E12373">
        <v>0.86356821589205401</v>
      </c>
    </row>
    <row r="12374" spans="1:5">
      <c r="A12374" t="s">
        <v>14289</v>
      </c>
      <c r="B12374" t="s">
        <v>14292</v>
      </c>
      <c r="C12374">
        <v>0</v>
      </c>
      <c r="D12374">
        <v>0.98821370680700005</v>
      </c>
      <c r="E12374">
        <v>0.86356821589205401</v>
      </c>
    </row>
    <row r="12375" spans="1:5">
      <c r="A12375" t="s">
        <v>14289</v>
      </c>
      <c r="B12375" t="s">
        <v>14293</v>
      </c>
      <c r="C12375">
        <v>0.484807297799</v>
      </c>
      <c r="D12375">
        <v>0.98821370680700005</v>
      </c>
      <c r="E12375">
        <v>0.86356821589205401</v>
      </c>
    </row>
    <row r="12376" spans="1:5">
      <c r="A12376" t="s">
        <v>14289</v>
      </c>
      <c r="B12376" t="s">
        <v>14294</v>
      </c>
      <c r="C12376">
        <f>0</f>
        <v>0</v>
      </c>
      <c r="D12376">
        <v>0.98821370680700005</v>
      </c>
      <c r="E12376">
        <v>0.86356821589205401</v>
      </c>
    </row>
    <row r="12377" spans="1:5">
      <c r="A12377" t="s">
        <v>14289</v>
      </c>
      <c r="B12377" t="s">
        <v>14295</v>
      </c>
      <c r="C12377">
        <v>0</v>
      </c>
      <c r="D12377">
        <v>0.98821370680700005</v>
      </c>
      <c r="E12377">
        <v>0.86356821589205401</v>
      </c>
    </row>
    <row r="12378" spans="1:5">
      <c r="A12378" t="s">
        <v>14289</v>
      </c>
      <c r="B12378" t="s">
        <v>14296</v>
      </c>
      <c r="C12378">
        <f>0</f>
        <v>0</v>
      </c>
      <c r="D12378">
        <v>0.98821370680700005</v>
      </c>
      <c r="E12378">
        <v>0.86356821589205401</v>
      </c>
    </row>
    <row r="12379" spans="1:5">
      <c r="A12379" t="s">
        <v>14289</v>
      </c>
      <c r="B12379" t="s">
        <v>14297</v>
      </c>
      <c r="C12379">
        <f>0</f>
        <v>0</v>
      </c>
      <c r="D12379">
        <v>0.98821370680700005</v>
      </c>
      <c r="E12379">
        <v>0.86356821589205401</v>
      </c>
    </row>
    <row r="12380" spans="1:5">
      <c r="A12380" t="s">
        <v>14289</v>
      </c>
      <c r="B12380" t="s">
        <v>14298</v>
      </c>
      <c r="C12380">
        <v>0.13423375100900001</v>
      </c>
      <c r="D12380">
        <v>0.98821370680700005</v>
      </c>
      <c r="E12380">
        <v>0.86356821589205401</v>
      </c>
    </row>
    <row r="12381" spans="1:5">
      <c r="A12381" t="s">
        <v>14299</v>
      </c>
      <c r="B12381" t="s">
        <v>14300</v>
      </c>
      <c r="C12381">
        <v>0</v>
      </c>
      <c r="D12381">
        <v>0.90008041925600002</v>
      </c>
      <c r="E12381">
        <v>5.5772113943028403</v>
      </c>
    </row>
    <row r="12382" spans="1:5">
      <c r="A12382" t="s">
        <v>14299</v>
      </c>
      <c r="B12382" t="s">
        <v>14301</v>
      </c>
      <c r="C12382">
        <v>0</v>
      </c>
      <c r="D12382">
        <v>0.90008041925600002</v>
      </c>
      <c r="E12382">
        <v>5.5772113943028403</v>
      </c>
    </row>
    <row r="12383" spans="1:5">
      <c r="A12383" t="s">
        <v>14299</v>
      </c>
      <c r="B12383" t="s">
        <v>14302</v>
      </c>
      <c r="C12383">
        <f>0</f>
        <v>0</v>
      </c>
      <c r="D12383">
        <v>0.90008041925600002</v>
      </c>
      <c r="E12383">
        <v>5.5772113943028403</v>
      </c>
    </row>
    <row r="12384" spans="1:5">
      <c r="A12384" t="s">
        <v>14299</v>
      </c>
      <c r="B12384" t="s">
        <v>14303</v>
      </c>
      <c r="C12384">
        <v>0</v>
      </c>
      <c r="D12384">
        <v>0.90008041925600002</v>
      </c>
      <c r="E12384">
        <v>5.5772113943028403</v>
      </c>
    </row>
    <row r="12385" spans="1:5">
      <c r="A12385" t="s">
        <v>14299</v>
      </c>
      <c r="B12385" t="s">
        <v>14304</v>
      </c>
      <c r="C12385">
        <v>0</v>
      </c>
      <c r="D12385">
        <v>0.90008041925600002</v>
      </c>
      <c r="E12385">
        <v>5.5772113943028403</v>
      </c>
    </row>
    <row r="12386" spans="1:5">
      <c r="A12386" t="s">
        <v>14299</v>
      </c>
      <c r="B12386" t="s">
        <v>14305</v>
      </c>
      <c r="C12386">
        <f>0</f>
        <v>0</v>
      </c>
      <c r="D12386">
        <v>0.90008041925600002</v>
      </c>
      <c r="E12386">
        <v>5.5772113943028403</v>
      </c>
    </row>
    <row r="12387" spans="1:5">
      <c r="A12387" t="s">
        <v>14299</v>
      </c>
      <c r="B12387" t="s">
        <v>14306</v>
      </c>
      <c r="C12387">
        <v>2.5415029901499998E-2</v>
      </c>
      <c r="D12387">
        <v>0.90008041925600002</v>
      </c>
      <c r="E12387">
        <v>5.5772113943028403</v>
      </c>
    </row>
    <row r="12388" spans="1:5">
      <c r="A12388" t="s">
        <v>14299</v>
      </c>
      <c r="B12388" t="s">
        <v>14307</v>
      </c>
      <c r="C12388">
        <v>0</v>
      </c>
      <c r="D12388">
        <v>0.90008041925600002</v>
      </c>
      <c r="E12388">
        <v>5.5772113943028403</v>
      </c>
    </row>
    <row r="12389" spans="1:5">
      <c r="A12389" t="s">
        <v>14299</v>
      </c>
      <c r="B12389" t="s">
        <v>14308</v>
      </c>
      <c r="C12389">
        <v>0</v>
      </c>
      <c r="D12389">
        <v>0.90008041925600002</v>
      </c>
      <c r="E12389">
        <v>5.5772113943028403</v>
      </c>
    </row>
    <row r="12390" spans="1:5">
      <c r="A12390" t="s">
        <v>14299</v>
      </c>
      <c r="B12390" t="s">
        <v>14309</v>
      </c>
      <c r="C12390">
        <v>0</v>
      </c>
      <c r="D12390">
        <v>0.90008041925600002</v>
      </c>
      <c r="E12390">
        <v>5.5772113943028403</v>
      </c>
    </row>
    <row r="12391" spans="1:5">
      <c r="A12391" t="s">
        <v>14299</v>
      </c>
      <c r="B12391" t="s">
        <v>14310</v>
      </c>
      <c r="C12391">
        <f>0.00399719137349</f>
        <v>3.99719137349E-3</v>
      </c>
      <c r="D12391">
        <v>0.90008041925600002</v>
      </c>
      <c r="E12391">
        <v>5.5772113943028403</v>
      </c>
    </row>
    <row r="12392" spans="1:5">
      <c r="A12392" t="s">
        <v>14299</v>
      </c>
      <c r="B12392" t="s">
        <v>14311</v>
      </c>
      <c r="C12392">
        <f>0</f>
        <v>0</v>
      </c>
      <c r="D12392">
        <v>0.90008041925600002</v>
      </c>
      <c r="E12392">
        <v>5.5772113943028403</v>
      </c>
    </row>
    <row r="12393" spans="1:5">
      <c r="A12393" t="s">
        <v>14299</v>
      </c>
      <c r="B12393" t="s">
        <v>14312</v>
      </c>
      <c r="C12393">
        <f>0</f>
        <v>0</v>
      </c>
      <c r="D12393">
        <v>0.90008041925600002</v>
      </c>
      <c r="E12393">
        <v>5.5772113943028403</v>
      </c>
    </row>
    <row r="12394" spans="1:5">
      <c r="A12394" t="s">
        <v>14299</v>
      </c>
      <c r="B12394" t="s">
        <v>14313</v>
      </c>
      <c r="C12394">
        <f>0</f>
        <v>0</v>
      </c>
      <c r="D12394">
        <v>0.90008041925600002</v>
      </c>
      <c r="E12394">
        <v>5.5772113943028403</v>
      </c>
    </row>
    <row r="12395" spans="1:5">
      <c r="A12395" t="s">
        <v>14299</v>
      </c>
      <c r="B12395" t="s">
        <v>14314</v>
      </c>
      <c r="C12395">
        <v>0</v>
      </c>
      <c r="D12395">
        <v>0.90008041925600002</v>
      </c>
      <c r="E12395">
        <v>5.5772113943028403</v>
      </c>
    </row>
    <row r="12396" spans="1:5">
      <c r="A12396" t="s">
        <v>14315</v>
      </c>
      <c r="B12396" t="s">
        <v>14316</v>
      </c>
      <c r="C12396">
        <v>0</v>
      </c>
      <c r="D12396" t="s">
        <v>106</v>
      </c>
      <c r="E12396">
        <v>1.16341829085457</v>
      </c>
    </row>
    <row r="12397" spans="1:5">
      <c r="A12397" t="s">
        <v>14315</v>
      </c>
      <c r="B12397" t="s">
        <v>14317</v>
      </c>
      <c r="C12397">
        <v>0</v>
      </c>
      <c r="D12397" t="s">
        <v>106</v>
      </c>
      <c r="E12397">
        <v>1.16341829085457</v>
      </c>
    </row>
    <row r="12398" spans="1:5">
      <c r="A12398" t="s">
        <v>14315</v>
      </c>
      <c r="B12398" t="s">
        <v>14318</v>
      </c>
      <c r="C12398">
        <v>0</v>
      </c>
      <c r="D12398" t="s">
        <v>106</v>
      </c>
      <c r="E12398">
        <v>1.16341829085457</v>
      </c>
    </row>
    <row r="12399" spans="1:5">
      <c r="A12399" t="s">
        <v>14315</v>
      </c>
      <c r="B12399" t="s">
        <v>14319</v>
      </c>
      <c r="C12399">
        <v>0</v>
      </c>
      <c r="D12399" t="s">
        <v>106</v>
      </c>
      <c r="E12399">
        <v>1.16341829085457</v>
      </c>
    </row>
    <row r="12400" spans="1:5">
      <c r="A12400" t="s">
        <v>14315</v>
      </c>
      <c r="B12400" t="s">
        <v>14320</v>
      </c>
      <c r="C12400">
        <v>0</v>
      </c>
      <c r="D12400" t="s">
        <v>106</v>
      </c>
      <c r="E12400">
        <v>1.16341829085457</v>
      </c>
    </row>
    <row r="12401" spans="1:5">
      <c r="A12401" t="s">
        <v>14315</v>
      </c>
      <c r="B12401" t="s">
        <v>14321</v>
      </c>
      <c r="C12401">
        <f>0</f>
        <v>0</v>
      </c>
      <c r="D12401" t="s">
        <v>106</v>
      </c>
      <c r="E12401">
        <v>1.16341829085457</v>
      </c>
    </row>
    <row r="12402" spans="1:5">
      <c r="A12402" t="s">
        <v>14315</v>
      </c>
      <c r="B12402" t="s">
        <v>14322</v>
      </c>
      <c r="C12402">
        <v>0</v>
      </c>
      <c r="D12402" t="s">
        <v>106</v>
      </c>
      <c r="E12402">
        <v>1.16341829085457</v>
      </c>
    </row>
    <row r="12403" spans="1:5">
      <c r="A12403" t="s">
        <v>14315</v>
      </c>
      <c r="B12403" t="s">
        <v>14323</v>
      </c>
      <c r="C12403">
        <v>0</v>
      </c>
      <c r="D12403" t="s">
        <v>106</v>
      </c>
      <c r="E12403">
        <v>1.16341829085457</v>
      </c>
    </row>
    <row r="12404" spans="1:5">
      <c r="A12404" t="s">
        <v>14324</v>
      </c>
      <c r="B12404" t="s">
        <v>14325</v>
      </c>
      <c r="C12404">
        <v>0</v>
      </c>
      <c r="D12404" t="s">
        <v>106</v>
      </c>
      <c r="E12404">
        <v>5.0134932533733103</v>
      </c>
    </row>
    <row r="12405" spans="1:5">
      <c r="A12405" t="s">
        <v>14324</v>
      </c>
      <c r="B12405" t="s">
        <v>14326</v>
      </c>
      <c r="C12405">
        <v>0.20073747588999999</v>
      </c>
      <c r="D12405" t="s">
        <v>106</v>
      </c>
      <c r="E12405">
        <v>5.0134932533733103</v>
      </c>
    </row>
    <row r="12406" spans="1:5">
      <c r="A12406" t="s">
        <v>14324</v>
      </c>
      <c r="B12406" t="s">
        <v>14327</v>
      </c>
      <c r="C12406">
        <f>0</f>
        <v>0</v>
      </c>
      <c r="D12406" t="s">
        <v>106</v>
      </c>
      <c r="E12406">
        <v>5.0134932533733103</v>
      </c>
    </row>
    <row r="12407" spans="1:5">
      <c r="A12407" t="s">
        <v>14324</v>
      </c>
      <c r="B12407" t="s">
        <v>14328</v>
      </c>
      <c r="C12407">
        <v>7.1387055647900002E-2</v>
      </c>
      <c r="D12407" t="s">
        <v>106</v>
      </c>
      <c r="E12407">
        <v>5.0134932533733103</v>
      </c>
    </row>
    <row r="12408" spans="1:5">
      <c r="A12408" t="s">
        <v>14329</v>
      </c>
      <c r="B12408" t="s">
        <v>14330</v>
      </c>
      <c r="C12408">
        <f>0</f>
        <v>0</v>
      </c>
      <c r="D12408">
        <v>0.82607189176499995</v>
      </c>
      <c r="E12408">
        <v>1.6311844077961</v>
      </c>
    </row>
    <row r="12409" spans="1:5">
      <c r="A12409" t="s">
        <v>14329</v>
      </c>
      <c r="B12409" t="s">
        <v>14331</v>
      </c>
      <c r="C12409">
        <v>2.14597352348E-2</v>
      </c>
      <c r="D12409">
        <v>0.82607189176499995</v>
      </c>
      <c r="E12409">
        <v>1.6311844077961</v>
      </c>
    </row>
    <row r="12410" spans="1:5">
      <c r="A12410" t="s">
        <v>14329</v>
      </c>
      <c r="B12410" t="s">
        <v>14332</v>
      </c>
      <c r="C12410">
        <v>0</v>
      </c>
      <c r="D12410">
        <v>0.82607189176499995</v>
      </c>
      <c r="E12410">
        <v>1.6311844077961</v>
      </c>
    </row>
    <row r="12411" spans="1:5">
      <c r="A12411" t="s">
        <v>14329</v>
      </c>
      <c r="B12411" t="s">
        <v>14333</v>
      </c>
      <c r="C12411">
        <f>0</f>
        <v>0</v>
      </c>
      <c r="D12411">
        <v>0.82607189176499995</v>
      </c>
      <c r="E12411">
        <v>1.6311844077961</v>
      </c>
    </row>
    <row r="12412" spans="1:5">
      <c r="A12412" t="s">
        <v>14329</v>
      </c>
      <c r="B12412" t="s">
        <v>14334</v>
      </c>
      <c r="C12412">
        <f>0</f>
        <v>0</v>
      </c>
      <c r="D12412">
        <v>0.82607189176499995</v>
      </c>
      <c r="E12412">
        <v>1.6311844077961</v>
      </c>
    </row>
    <row r="12413" spans="1:5">
      <c r="A12413" t="s">
        <v>14329</v>
      </c>
      <c r="B12413" t="s">
        <v>14335</v>
      </c>
      <c r="C12413">
        <v>0</v>
      </c>
      <c r="D12413">
        <v>0.82607189176499995</v>
      </c>
      <c r="E12413">
        <v>1.6311844077961</v>
      </c>
    </row>
    <row r="12414" spans="1:5">
      <c r="A12414" t="s">
        <v>14329</v>
      </c>
      <c r="B12414" t="s">
        <v>14336</v>
      </c>
      <c r="C12414">
        <f>0</f>
        <v>0</v>
      </c>
      <c r="D12414">
        <v>0.82607189176499995</v>
      </c>
      <c r="E12414">
        <v>1.6311844077961</v>
      </c>
    </row>
    <row r="12415" spans="1:5">
      <c r="A12415" t="s">
        <v>14329</v>
      </c>
      <c r="B12415" t="s">
        <v>14337</v>
      </c>
      <c r="C12415">
        <f>0</f>
        <v>0</v>
      </c>
      <c r="D12415">
        <v>0.82607189176499995</v>
      </c>
      <c r="E12415">
        <v>1.6311844077961</v>
      </c>
    </row>
    <row r="12416" spans="1:5">
      <c r="A12416" t="s">
        <v>14329</v>
      </c>
      <c r="B12416" t="s">
        <v>14338</v>
      </c>
      <c r="C12416">
        <v>0</v>
      </c>
      <c r="D12416">
        <v>0.82607189176499995</v>
      </c>
      <c r="E12416">
        <v>1.6311844077961</v>
      </c>
    </row>
    <row r="12417" spans="1:5">
      <c r="A12417" t="s">
        <v>14329</v>
      </c>
      <c r="B12417" t="s">
        <v>14339</v>
      </c>
      <c r="C12417">
        <f>0</f>
        <v>0</v>
      </c>
      <c r="D12417">
        <v>0.82607189176499995</v>
      </c>
      <c r="E12417">
        <v>1.6311844077961</v>
      </c>
    </row>
    <row r="12418" spans="1:5">
      <c r="A12418" t="s">
        <v>14329</v>
      </c>
      <c r="B12418" t="s">
        <v>14340</v>
      </c>
      <c r="C12418">
        <v>0</v>
      </c>
      <c r="D12418">
        <v>0.82607189176499995</v>
      </c>
      <c r="E12418">
        <v>1.6311844077961</v>
      </c>
    </row>
    <row r="12419" spans="1:5">
      <c r="A12419" t="s">
        <v>14341</v>
      </c>
      <c r="B12419" t="s">
        <v>14342</v>
      </c>
      <c r="C12419">
        <f>0</f>
        <v>0</v>
      </c>
      <c r="D12419" t="s">
        <v>106</v>
      </c>
      <c r="E12419">
        <v>12.3898050974512</v>
      </c>
    </row>
    <row r="12420" spans="1:5">
      <c r="A12420" t="s">
        <v>14343</v>
      </c>
      <c r="B12420" t="s">
        <v>14344</v>
      </c>
      <c r="C12420">
        <v>0</v>
      </c>
      <c r="D12420">
        <v>0.80899919036199996</v>
      </c>
      <c r="E12420">
        <v>18.986506746626599</v>
      </c>
    </row>
    <row r="12421" spans="1:5">
      <c r="A12421" t="s">
        <v>14343</v>
      </c>
      <c r="B12421" t="s">
        <v>14345</v>
      </c>
      <c r="C12421">
        <v>0</v>
      </c>
      <c r="D12421">
        <v>0.80899919036199996</v>
      </c>
      <c r="E12421">
        <v>18.986506746626599</v>
      </c>
    </row>
    <row r="12422" spans="1:5">
      <c r="A12422" t="s">
        <v>14343</v>
      </c>
      <c r="B12422" t="s">
        <v>14346</v>
      </c>
      <c r="C12422">
        <f>0</f>
        <v>0</v>
      </c>
      <c r="D12422">
        <v>0.80899919036199996</v>
      </c>
      <c r="E12422">
        <v>18.986506746626599</v>
      </c>
    </row>
    <row r="12423" spans="1:5">
      <c r="A12423" t="s">
        <v>14343</v>
      </c>
      <c r="B12423" t="s">
        <v>14347</v>
      </c>
      <c r="C12423">
        <f>0.132485479459</f>
        <v>0.13248547945899999</v>
      </c>
      <c r="D12423">
        <v>0.80899919036199996</v>
      </c>
      <c r="E12423">
        <v>18.986506746626599</v>
      </c>
    </row>
    <row r="12424" spans="1:5">
      <c r="A12424" t="s">
        <v>14348</v>
      </c>
      <c r="B12424" t="s">
        <v>14349</v>
      </c>
      <c r="C12424">
        <f>0</f>
        <v>0</v>
      </c>
      <c r="D12424">
        <v>0.75548062082199996</v>
      </c>
      <c r="E12424">
        <v>7.4602698650674597</v>
      </c>
    </row>
    <row r="12425" spans="1:5">
      <c r="A12425" t="s">
        <v>14348</v>
      </c>
      <c r="B12425" t="s">
        <v>14350</v>
      </c>
      <c r="C12425">
        <v>1.24527463526E-2</v>
      </c>
      <c r="D12425">
        <v>0.75548062082199996</v>
      </c>
      <c r="E12425">
        <v>7.4602698650674597</v>
      </c>
    </row>
    <row r="12426" spans="1:5">
      <c r="A12426" t="s">
        <v>14348</v>
      </c>
      <c r="B12426" t="s">
        <v>14351</v>
      </c>
      <c r="C12426">
        <v>6.1769311113700001E-2</v>
      </c>
      <c r="D12426">
        <v>0.75548062082199996</v>
      </c>
      <c r="E12426">
        <v>7.4602698650674597</v>
      </c>
    </row>
    <row r="12427" spans="1:5">
      <c r="A12427" t="s">
        <v>14348</v>
      </c>
      <c r="B12427" t="s">
        <v>14352</v>
      </c>
      <c r="C12427">
        <f>0</f>
        <v>0</v>
      </c>
      <c r="D12427">
        <v>0.75548062082199996</v>
      </c>
      <c r="E12427">
        <v>7.4602698650674597</v>
      </c>
    </row>
    <row r="12428" spans="1:5">
      <c r="A12428" t="s">
        <v>14353</v>
      </c>
      <c r="B12428" t="s">
        <v>14354</v>
      </c>
      <c r="C12428">
        <v>0.19105040596</v>
      </c>
      <c r="D12428">
        <v>0.92078559817000005</v>
      </c>
      <c r="E12428">
        <v>16.491754122938499</v>
      </c>
    </row>
    <row r="12429" spans="1:5">
      <c r="A12429" t="s">
        <v>14353</v>
      </c>
      <c r="B12429" t="s">
        <v>14355</v>
      </c>
      <c r="C12429">
        <f>0</f>
        <v>0</v>
      </c>
      <c r="D12429">
        <v>0.92078559817000005</v>
      </c>
      <c r="E12429">
        <v>16.491754122938499</v>
      </c>
    </row>
    <row r="12430" spans="1:5">
      <c r="A12430" t="s">
        <v>14353</v>
      </c>
      <c r="B12430" t="s">
        <v>14356</v>
      </c>
      <c r="C12430">
        <v>0</v>
      </c>
      <c r="D12430">
        <v>0.92078559817000005</v>
      </c>
      <c r="E12430">
        <v>16.491754122938499</v>
      </c>
    </row>
    <row r="12431" spans="1:5">
      <c r="A12431" t="s">
        <v>14353</v>
      </c>
      <c r="B12431" t="s">
        <v>14357</v>
      </c>
      <c r="C12431">
        <v>0.20722714473600001</v>
      </c>
      <c r="D12431">
        <v>0.92078559817000005</v>
      </c>
      <c r="E12431">
        <v>16.491754122938499</v>
      </c>
    </row>
    <row r="12432" spans="1:5">
      <c r="A12432" t="s">
        <v>14358</v>
      </c>
      <c r="B12432" t="s">
        <v>14359</v>
      </c>
      <c r="C12432">
        <f>0</f>
        <v>0</v>
      </c>
      <c r="D12432">
        <v>0.95127287925899995</v>
      </c>
      <c r="E12432">
        <v>0.28785607196401702</v>
      </c>
    </row>
    <row r="12433" spans="1:5">
      <c r="A12433" t="s">
        <v>14358</v>
      </c>
      <c r="B12433" t="s">
        <v>14360</v>
      </c>
      <c r="C12433">
        <v>0</v>
      </c>
      <c r="D12433">
        <v>0.95127287925899995</v>
      </c>
      <c r="E12433">
        <v>0.28785607196401702</v>
      </c>
    </row>
    <row r="12434" spans="1:5">
      <c r="A12434" t="s">
        <v>14358</v>
      </c>
      <c r="B12434" t="s">
        <v>14361</v>
      </c>
      <c r="C12434">
        <f>0</f>
        <v>0</v>
      </c>
      <c r="D12434">
        <v>0.95127287925899995</v>
      </c>
      <c r="E12434">
        <v>0.28785607196401702</v>
      </c>
    </row>
    <row r="12435" spans="1:5">
      <c r="A12435" t="s">
        <v>14358</v>
      </c>
      <c r="B12435" t="s">
        <v>14362</v>
      </c>
      <c r="C12435">
        <f>0.217815573509</f>
        <v>0.21781557350899999</v>
      </c>
      <c r="D12435">
        <v>0.95127287925899995</v>
      </c>
      <c r="E12435">
        <v>0.28785607196401702</v>
      </c>
    </row>
    <row r="12436" spans="1:5">
      <c r="A12436" t="s">
        <v>14358</v>
      </c>
      <c r="B12436" t="s">
        <v>14363</v>
      </c>
      <c r="C12436">
        <f>0</f>
        <v>0</v>
      </c>
      <c r="D12436">
        <v>0.95127287925899995</v>
      </c>
      <c r="E12436">
        <v>0.28785607196401702</v>
      </c>
    </row>
    <row r="12437" spans="1:5">
      <c r="A12437" t="s">
        <v>14364</v>
      </c>
      <c r="B12437" t="s">
        <v>14365</v>
      </c>
      <c r="C12437">
        <f>0.337594747712</f>
        <v>0.33759474771199999</v>
      </c>
      <c r="D12437">
        <v>0.99144637272699998</v>
      </c>
      <c r="E12437">
        <v>10.398800599700101</v>
      </c>
    </row>
    <row r="12438" spans="1:5">
      <c r="A12438" t="s">
        <v>14364</v>
      </c>
      <c r="B12438" t="s">
        <v>14366</v>
      </c>
      <c r="C12438">
        <v>0</v>
      </c>
      <c r="D12438">
        <v>0.99144637272699998</v>
      </c>
      <c r="E12438">
        <v>10.398800599700101</v>
      </c>
    </row>
    <row r="12439" spans="1:5">
      <c r="A12439" t="s">
        <v>14364</v>
      </c>
      <c r="B12439" t="s">
        <v>14367</v>
      </c>
      <c r="C12439">
        <v>4.7250530685300003E-2</v>
      </c>
      <c r="D12439">
        <v>0.99144637272699998</v>
      </c>
      <c r="E12439">
        <v>10.398800599700101</v>
      </c>
    </row>
    <row r="12440" spans="1:5">
      <c r="A12440" t="s">
        <v>14368</v>
      </c>
      <c r="B12440" t="s">
        <v>14369</v>
      </c>
      <c r="C12440">
        <f>0</f>
        <v>0</v>
      </c>
      <c r="D12440" t="s">
        <v>106</v>
      </c>
      <c r="E12440">
        <v>24</v>
      </c>
    </row>
    <row r="12441" spans="1:5">
      <c r="A12441" t="s">
        <v>14368</v>
      </c>
      <c r="B12441" t="s">
        <v>14370</v>
      </c>
      <c r="C12441">
        <v>0</v>
      </c>
      <c r="D12441" t="s">
        <v>106</v>
      </c>
      <c r="E12441">
        <v>24</v>
      </c>
    </row>
    <row r="12442" spans="1:5">
      <c r="A12442" t="s">
        <v>14368</v>
      </c>
      <c r="B12442" t="s">
        <v>14371</v>
      </c>
      <c r="C12442">
        <v>0</v>
      </c>
      <c r="D12442" t="s">
        <v>106</v>
      </c>
      <c r="E12442">
        <v>24</v>
      </c>
    </row>
    <row r="12443" spans="1:5">
      <c r="A12443" t="s">
        <v>14368</v>
      </c>
      <c r="B12443" t="s">
        <v>14372</v>
      </c>
      <c r="C12443">
        <v>0</v>
      </c>
      <c r="D12443" t="s">
        <v>106</v>
      </c>
      <c r="E12443">
        <v>24</v>
      </c>
    </row>
    <row r="12444" spans="1:5">
      <c r="A12444" t="s">
        <v>14368</v>
      </c>
      <c r="B12444" t="s">
        <v>14373</v>
      </c>
      <c r="C12444">
        <f>0</f>
        <v>0</v>
      </c>
      <c r="D12444" t="s">
        <v>106</v>
      </c>
      <c r="E12444">
        <v>24</v>
      </c>
    </row>
    <row r="12445" spans="1:5">
      <c r="A12445" t="s">
        <v>14368</v>
      </c>
      <c r="B12445" t="s">
        <v>14374</v>
      </c>
      <c r="C12445">
        <v>0</v>
      </c>
      <c r="D12445" t="s">
        <v>106</v>
      </c>
      <c r="E12445">
        <v>24</v>
      </c>
    </row>
    <row r="12446" spans="1:5">
      <c r="A12446" t="s">
        <v>14368</v>
      </c>
      <c r="B12446" t="s">
        <v>14375</v>
      </c>
      <c r="C12446">
        <f>0</f>
        <v>0</v>
      </c>
      <c r="D12446" t="s">
        <v>106</v>
      </c>
      <c r="E12446">
        <v>24</v>
      </c>
    </row>
    <row r="12447" spans="1:5">
      <c r="A12447" t="s">
        <v>14368</v>
      </c>
      <c r="B12447" t="s">
        <v>14376</v>
      </c>
      <c r="C12447">
        <v>0</v>
      </c>
      <c r="D12447" t="s">
        <v>106</v>
      </c>
      <c r="E12447">
        <v>24</v>
      </c>
    </row>
    <row r="12448" spans="1:5">
      <c r="A12448" t="s">
        <v>14368</v>
      </c>
      <c r="B12448" t="s">
        <v>14377</v>
      </c>
      <c r="C12448">
        <v>0</v>
      </c>
      <c r="D12448" t="s">
        <v>106</v>
      </c>
      <c r="E12448">
        <v>24</v>
      </c>
    </row>
    <row r="12449" spans="1:5">
      <c r="A12449" t="s">
        <v>14368</v>
      </c>
      <c r="B12449" t="s">
        <v>14378</v>
      </c>
      <c r="C12449">
        <v>0</v>
      </c>
      <c r="D12449" t="s">
        <v>106</v>
      </c>
      <c r="E12449">
        <v>24</v>
      </c>
    </row>
    <row r="12450" spans="1:5">
      <c r="A12450" t="s">
        <v>14368</v>
      </c>
      <c r="B12450" t="s">
        <v>14379</v>
      </c>
      <c r="C12450">
        <f>0</f>
        <v>0</v>
      </c>
      <c r="D12450" t="s">
        <v>106</v>
      </c>
      <c r="E12450">
        <v>24</v>
      </c>
    </row>
    <row r="12451" spans="1:5">
      <c r="A12451" t="s">
        <v>14368</v>
      </c>
      <c r="B12451" t="s">
        <v>14380</v>
      </c>
      <c r="C12451">
        <v>0</v>
      </c>
      <c r="D12451" t="s">
        <v>106</v>
      </c>
      <c r="E12451">
        <v>24</v>
      </c>
    </row>
    <row r="12452" spans="1:5">
      <c r="A12452" t="s">
        <v>14368</v>
      </c>
      <c r="B12452" t="s">
        <v>14381</v>
      </c>
      <c r="C12452">
        <v>0</v>
      </c>
      <c r="D12452" t="s">
        <v>106</v>
      </c>
      <c r="E12452">
        <v>24</v>
      </c>
    </row>
    <row r="12453" spans="1:5">
      <c r="A12453" t="s">
        <v>14368</v>
      </c>
      <c r="B12453" t="s">
        <v>14382</v>
      </c>
      <c r="C12453">
        <f>0</f>
        <v>0</v>
      </c>
      <c r="D12453" t="s">
        <v>106</v>
      </c>
      <c r="E12453">
        <v>24</v>
      </c>
    </row>
    <row r="12454" spans="1:5">
      <c r="A12454" t="s">
        <v>14383</v>
      </c>
      <c r="B12454" t="s">
        <v>14384</v>
      </c>
      <c r="C12454">
        <f>0.0029023419713</f>
        <v>2.9023419713000002E-3</v>
      </c>
      <c r="D12454">
        <v>0.60095887251400004</v>
      </c>
      <c r="E12454">
        <v>1.89505247376311</v>
      </c>
    </row>
    <row r="12455" spans="1:5">
      <c r="A12455" t="s">
        <v>14383</v>
      </c>
      <c r="B12455" t="s">
        <v>14385</v>
      </c>
      <c r="C12455">
        <v>0</v>
      </c>
      <c r="D12455">
        <v>0.60095887251400004</v>
      </c>
      <c r="E12455">
        <v>1.89505247376311</v>
      </c>
    </row>
    <row r="12456" spans="1:5">
      <c r="A12456" t="s">
        <v>14383</v>
      </c>
      <c r="B12456" t="s">
        <v>14386</v>
      </c>
      <c r="C12456">
        <f>0.00453365586112</f>
        <v>4.5336558611200001E-3</v>
      </c>
      <c r="D12456">
        <v>0.60095887251400004</v>
      </c>
      <c r="E12456">
        <v>1.89505247376311</v>
      </c>
    </row>
    <row r="12457" spans="1:5">
      <c r="A12457" t="s">
        <v>14387</v>
      </c>
      <c r="B12457" t="s">
        <v>14388</v>
      </c>
      <c r="C12457">
        <v>0</v>
      </c>
      <c r="D12457">
        <v>0.94574928470099995</v>
      </c>
      <c r="E12457">
        <v>24</v>
      </c>
    </row>
    <row r="12458" spans="1:5">
      <c r="A12458" t="s">
        <v>14387</v>
      </c>
      <c r="B12458" t="s">
        <v>14389</v>
      </c>
      <c r="C12458">
        <f>0</f>
        <v>0</v>
      </c>
      <c r="D12458">
        <v>0.94574928470099995</v>
      </c>
      <c r="E12458">
        <v>24</v>
      </c>
    </row>
    <row r="12459" spans="1:5">
      <c r="A12459" t="s">
        <v>14387</v>
      </c>
      <c r="B12459" t="s">
        <v>14390</v>
      </c>
      <c r="C12459">
        <f>0</f>
        <v>0</v>
      </c>
      <c r="D12459">
        <v>0.94574928470099995</v>
      </c>
      <c r="E12459">
        <v>24</v>
      </c>
    </row>
    <row r="12460" spans="1:5">
      <c r="A12460" t="s">
        <v>14387</v>
      </c>
      <c r="B12460" t="s">
        <v>14391</v>
      </c>
      <c r="C12460">
        <f>0</f>
        <v>0</v>
      </c>
      <c r="D12460">
        <v>0.94574928470099995</v>
      </c>
      <c r="E12460">
        <v>24</v>
      </c>
    </row>
    <row r="12461" spans="1:5">
      <c r="A12461" t="s">
        <v>14387</v>
      </c>
      <c r="B12461" t="s">
        <v>14392</v>
      </c>
      <c r="C12461">
        <v>0</v>
      </c>
      <c r="D12461">
        <v>0.94574928470099995</v>
      </c>
      <c r="E12461">
        <v>24</v>
      </c>
    </row>
    <row r="12462" spans="1:5">
      <c r="A12462" t="s">
        <v>14387</v>
      </c>
      <c r="B12462" t="s">
        <v>14393</v>
      </c>
      <c r="C12462">
        <v>0</v>
      </c>
      <c r="D12462">
        <v>0.94574928470099995</v>
      </c>
      <c r="E12462">
        <v>24</v>
      </c>
    </row>
    <row r="12463" spans="1:5">
      <c r="A12463" t="s">
        <v>14387</v>
      </c>
      <c r="B12463" t="s">
        <v>14394</v>
      </c>
      <c r="C12463">
        <f>0.0101267413366</f>
        <v>1.0126741336599999E-2</v>
      </c>
      <c r="D12463">
        <v>0.94574928470099995</v>
      </c>
      <c r="E12463">
        <v>24</v>
      </c>
    </row>
    <row r="12464" spans="1:5">
      <c r="A12464" t="s">
        <v>14387</v>
      </c>
      <c r="B12464" t="s">
        <v>14395</v>
      </c>
      <c r="C12464">
        <v>2.9180826985100002E-2</v>
      </c>
      <c r="D12464">
        <v>0.94574928470099995</v>
      </c>
      <c r="E12464">
        <v>24</v>
      </c>
    </row>
    <row r="12465" spans="1:5">
      <c r="A12465" t="s">
        <v>14387</v>
      </c>
      <c r="B12465" t="s">
        <v>14396</v>
      </c>
      <c r="C12465">
        <f>0</f>
        <v>0</v>
      </c>
      <c r="D12465">
        <v>0.94574928470099995</v>
      </c>
      <c r="E12465">
        <v>24</v>
      </c>
    </row>
    <row r="12466" spans="1:5">
      <c r="A12466" t="s">
        <v>14387</v>
      </c>
      <c r="B12466" t="s">
        <v>14397</v>
      </c>
      <c r="C12466">
        <f>0</f>
        <v>0</v>
      </c>
      <c r="D12466">
        <v>0.94574928470099995</v>
      </c>
      <c r="E12466">
        <v>24</v>
      </c>
    </row>
    <row r="12467" spans="1:5">
      <c r="A12467" t="s">
        <v>14387</v>
      </c>
      <c r="B12467" t="s">
        <v>14398</v>
      </c>
      <c r="C12467">
        <f>0</f>
        <v>0</v>
      </c>
      <c r="D12467">
        <v>0.94574928470099995</v>
      </c>
      <c r="E12467">
        <v>24</v>
      </c>
    </row>
    <row r="12468" spans="1:5">
      <c r="A12468" t="s">
        <v>14387</v>
      </c>
      <c r="B12468" t="s">
        <v>14399</v>
      </c>
      <c r="C12468">
        <v>0</v>
      </c>
      <c r="D12468">
        <v>0.94574928470099995</v>
      </c>
      <c r="E12468">
        <v>24</v>
      </c>
    </row>
    <row r="12469" spans="1:5">
      <c r="A12469" t="s">
        <v>14387</v>
      </c>
      <c r="B12469" t="s">
        <v>14400</v>
      </c>
      <c r="C12469">
        <f>0</f>
        <v>0</v>
      </c>
      <c r="D12469">
        <v>0.94574928470099995</v>
      </c>
      <c r="E12469">
        <v>24</v>
      </c>
    </row>
    <row r="12470" spans="1:5">
      <c r="A12470" t="s">
        <v>14387</v>
      </c>
      <c r="B12470" t="s">
        <v>14401</v>
      </c>
      <c r="C12470">
        <f>0</f>
        <v>0</v>
      </c>
      <c r="D12470">
        <v>0.94574928470099995</v>
      </c>
      <c r="E12470">
        <v>24</v>
      </c>
    </row>
    <row r="12471" spans="1:5">
      <c r="A12471" t="s">
        <v>14402</v>
      </c>
      <c r="B12471" t="s">
        <v>14403</v>
      </c>
      <c r="C12471">
        <v>8.4624087549600005E-2</v>
      </c>
      <c r="D12471">
        <v>0.97880153302700001</v>
      </c>
      <c r="E12471">
        <v>1.00749625187406</v>
      </c>
    </row>
    <row r="12472" spans="1:5">
      <c r="A12472" t="s">
        <v>14402</v>
      </c>
      <c r="B12472" t="s">
        <v>14404</v>
      </c>
      <c r="C12472">
        <v>0</v>
      </c>
      <c r="D12472">
        <v>0.97880153302700001</v>
      </c>
      <c r="E12472">
        <v>1.00749625187406</v>
      </c>
    </row>
    <row r="12473" spans="1:5">
      <c r="A12473" t="s">
        <v>14402</v>
      </c>
      <c r="B12473" t="s">
        <v>14405</v>
      </c>
      <c r="C12473">
        <v>0.42331287096800002</v>
      </c>
      <c r="D12473">
        <v>0.97880153302700001</v>
      </c>
      <c r="E12473">
        <v>1.00749625187406</v>
      </c>
    </row>
    <row r="12474" spans="1:5">
      <c r="A12474" t="s">
        <v>14402</v>
      </c>
      <c r="B12474" t="s">
        <v>14406</v>
      </c>
      <c r="C12474">
        <v>0</v>
      </c>
      <c r="D12474">
        <v>0.97880153302700001</v>
      </c>
      <c r="E12474">
        <v>1.00749625187406</v>
      </c>
    </row>
    <row r="12475" spans="1:5">
      <c r="A12475" t="s">
        <v>14407</v>
      </c>
      <c r="B12475" t="s">
        <v>14408</v>
      </c>
      <c r="C12475">
        <f>0</f>
        <v>0</v>
      </c>
      <c r="D12475">
        <v>0.94275398918700004</v>
      </c>
      <c r="E12475">
        <v>15.700149925037399</v>
      </c>
    </row>
    <row r="12476" spans="1:5">
      <c r="A12476" t="s">
        <v>14407</v>
      </c>
      <c r="B12476" t="s">
        <v>14409</v>
      </c>
      <c r="C12476">
        <f>0</f>
        <v>0</v>
      </c>
      <c r="D12476">
        <v>0.94275398918700004</v>
      </c>
      <c r="E12476">
        <v>15.700149925037399</v>
      </c>
    </row>
    <row r="12477" spans="1:5">
      <c r="A12477" t="s">
        <v>14407</v>
      </c>
      <c r="B12477" t="s">
        <v>14410</v>
      </c>
      <c r="C12477">
        <f>0</f>
        <v>0</v>
      </c>
      <c r="D12477">
        <v>0.94275398918700004</v>
      </c>
      <c r="E12477">
        <v>15.700149925037399</v>
      </c>
    </row>
    <row r="12478" spans="1:5">
      <c r="A12478" t="s">
        <v>14407</v>
      </c>
      <c r="B12478" t="s">
        <v>14411</v>
      </c>
      <c r="C12478">
        <v>0.281215376342</v>
      </c>
      <c r="D12478">
        <v>0.94275398918700004</v>
      </c>
      <c r="E12478">
        <v>15.700149925037399</v>
      </c>
    </row>
    <row r="12479" spans="1:5">
      <c r="A12479" t="s">
        <v>14412</v>
      </c>
      <c r="B12479" t="s">
        <v>14413</v>
      </c>
      <c r="C12479">
        <v>0</v>
      </c>
      <c r="D12479" t="s">
        <v>106</v>
      </c>
      <c r="E12479">
        <v>15.1244377811094</v>
      </c>
    </row>
    <row r="12480" spans="1:5">
      <c r="A12480" t="s">
        <v>14412</v>
      </c>
      <c r="B12480" t="s">
        <v>14414</v>
      </c>
      <c r="C12480">
        <v>0</v>
      </c>
      <c r="D12480" t="s">
        <v>106</v>
      </c>
      <c r="E12480">
        <v>15.1244377811094</v>
      </c>
    </row>
    <row r="12481" spans="1:5">
      <c r="A12481" t="s">
        <v>14412</v>
      </c>
      <c r="B12481" t="s">
        <v>14415</v>
      </c>
      <c r="C12481">
        <v>0</v>
      </c>
      <c r="D12481" t="s">
        <v>106</v>
      </c>
      <c r="E12481">
        <v>15.1244377811094</v>
      </c>
    </row>
    <row r="12482" spans="1:5">
      <c r="A12482" t="s">
        <v>14416</v>
      </c>
      <c r="B12482" t="s">
        <v>14417</v>
      </c>
      <c r="C12482">
        <f>0</f>
        <v>0</v>
      </c>
      <c r="D12482">
        <v>0.82827058922300001</v>
      </c>
      <c r="E12482">
        <v>4.2698650674662604</v>
      </c>
    </row>
    <row r="12483" spans="1:5">
      <c r="A12483" t="s">
        <v>14416</v>
      </c>
      <c r="B12483" t="s">
        <v>14418</v>
      </c>
      <c r="C12483">
        <f>0</f>
        <v>0</v>
      </c>
      <c r="D12483">
        <v>0.82827058922300001</v>
      </c>
      <c r="E12483">
        <v>4.2698650674662604</v>
      </c>
    </row>
    <row r="12484" spans="1:5">
      <c r="A12484" t="s">
        <v>14416</v>
      </c>
      <c r="B12484" t="s">
        <v>14419</v>
      </c>
      <c r="C12484">
        <f>0</f>
        <v>0</v>
      </c>
      <c r="D12484">
        <v>0.82827058922300001</v>
      </c>
      <c r="E12484">
        <v>4.2698650674662604</v>
      </c>
    </row>
    <row r="12485" spans="1:5">
      <c r="A12485" t="s">
        <v>14416</v>
      </c>
      <c r="B12485" t="s">
        <v>14420</v>
      </c>
      <c r="C12485">
        <f>0.0363898718196</f>
        <v>3.6389871819600003E-2</v>
      </c>
      <c r="D12485">
        <v>0.82827058922300001</v>
      </c>
      <c r="E12485">
        <v>4.2698650674662604</v>
      </c>
    </row>
    <row r="12486" spans="1:5">
      <c r="A12486" t="s">
        <v>14416</v>
      </c>
      <c r="B12486" t="s">
        <v>14421</v>
      </c>
      <c r="C12486">
        <f>0</f>
        <v>0</v>
      </c>
      <c r="D12486">
        <v>0.82827058922300001</v>
      </c>
      <c r="E12486">
        <v>4.2698650674662604</v>
      </c>
    </row>
    <row r="12487" spans="1:5">
      <c r="A12487" t="s">
        <v>14416</v>
      </c>
      <c r="B12487" t="s">
        <v>14422</v>
      </c>
      <c r="C12487">
        <f>0</f>
        <v>0</v>
      </c>
      <c r="D12487">
        <v>0.82827058922300001</v>
      </c>
      <c r="E12487">
        <v>4.2698650674662604</v>
      </c>
    </row>
    <row r="12488" spans="1:5">
      <c r="A12488" t="s">
        <v>14416</v>
      </c>
      <c r="B12488" t="s">
        <v>14423</v>
      </c>
      <c r="C12488">
        <f>0</f>
        <v>0</v>
      </c>
      <c r="D12488">
        <v>0.82827058922300001</v>
      </c>
      <c r="E12488">
        <v>4.2698650674662604</v>
      </c>
    </row>
    <row r="12489" spans="1:5">
      <c r="A12489" t="s">
        <v>14416</v>
      </c>
      <c r="B12489" t="s">
        <v>14424</v>
      </c>
      <c r="C12489">
        <f>0.0693163920085</f>
        <v>6.9316392008499997E-2</v>
      </c>
      <c r="D12489">
        <v>0.82827058922300001</v>
      </c>
      <c r="E12489">
        <v>4.2698650674662604</v>
      </c>
    </row>
    <row r="12490" spans="1:5">
      <c r="A12490" t="s">
        <v>14416</v>
      </c>
      <c r="B12490" t="s">
        <v>14425</v>
      </c>
      <c r="C12490">
        <f>0</f>
        <v>0</v>
      </c>
      <c r="D12490">
        <v>0.82827058922300001</v>
      </c>
      <c r="E12490">
        <v>4.2698650674662604</v>
      </c>
    </row>
    <row r="12491" spans="1:5">
      <c r="A12491" t="s">
        <v>14416</v>
      </c>
      <c r="B12491" t="s">
        <v>14426</v>
      </c>
      <c r="C12491">
        <f>0</f>
        <v>0</v>
      </c>
      <c r="D12491">
        <v>0.82827058922300001</v>
      </c>
      <c r="E12491">
        <v>4.2698650674662604</v>
      </c>
    </row>
    <row r="12492" spans="1:5">
      <c r="A12492" t="s">
        <v>14427</v>
      </c>
      <c r="B12492" t="s">
        <v>14428</v>
      </c>
      <c r="C12492">
        <f>0</f>
        <v>0</v>
      </c>
      <c r="D12492" t="s">
        <v>106</v>
      </c>
      <c r="E12492">
        <v>1.7631184407796101</v>
      </c>
    </row>
    <row r="12493" spans="1:5">
      <c r="A12493" t="s">
        <v>14427</v>
      </c>
      <c r="B12493" t="s">
        <v>14429</v>
      </c>
      <c r="C12493">
        <v>0</v>
      </c>
      <c r="D12493" t="s">
        <v>106</v>
      </c>
      <c r="E12493">
        <v>1.7631184407796101</v>
      </c>
    </row>
    <row r="12494" spans="1:5">
      <c r="A12494" t="s">
        <v>14427</v>
      </c>
      <c r="B12494" t="s">
        <v>14430</v>
      </c>
      <c r="C12494">
        <v>0</v>
      </c>
      <c r="D12494" t="s">
        <v>106</v>
      </c>
      <c r="E12494">
        <v>1.7631184407796101</v>
      </c>
    </row>
    <row r="12495" spans="1:5">
      <c r="A12495" t="s">
        <v>14427</v>
      </c>
      <c r="B12495" t="s">
        <v>14431</v>
      </c>
      <c r="C12495">
        <f>0</f>
        <v>0</v>
      </c>
      <c r="D12495" t="s">
        <v>106</v>
      </c>
      <c r="E12495">
        <v>1.7631184407796101</v>
      </c>
    </row>
    <row r="12496" spans="1:5">
      <c r="A12496" t="s">
        <v>14427</v>
      </c>
      <c r="B12496" t="s">
        <v>14432</v>
      </c>
      <c r="C12496">
        <v>0</v>
      </c>
      <c r="D12496" t="s">
        <v>106</v>
      </c>
      <c r="E12496">
        <v>1.7631184407796101</v>
      </c>
    </row>
    <row r="12497" spans="1:5">
      <c r="A12497" t="s">
        <v>14433</v>
      </c>
      <c r="B12497" t="s">
        <v>14434</v>
      </c>
      <c r="C12497">
        <f>0</f>
        <v>0</v>
      </c>
      <c r="D12497">
        <v>0.99540669985899999</v>
      </c>
      <c r="E12497">
        <v>18.554722638680602</v>
      </c>
    </row>
    <row r="12498" spans="1:5">
      <c r="A12498" t="s">
        <v>14433</v>
      </c>
      <c r="B12498" t="s">
        <v>14435</v>
      </c>
      <c r="C12498">
        <v>0</v>
      </c>
      <c r="D12498">
        <v>0.99540669985899999</v>
      </c>
      <c r="E12498">
        <v>18.554722638680602</v>
      </c>
    </row>
    <row r="12499" spans="1:5">
      <c r="A12499" t="s">
        <v>14433</v>
      </c>
      <c r="B12499" t="s">
        <v>14436</v>
      </c>
      <c r="C12499">
        <v>0</v>
      </c>
      <c r="D12499">
        <v>0.99540669985899999</v>
      </c>
      <c r="E12499">
        <v>18.554722638680602</v>
      </c>
    </row>
    <row r="12500" spans="1:5">
      <c r="A12500" t="s">
        <v>14433</v>
      </c>
      <c r="B12500" t="s">
        <v>14437</v>
      </c>
      <c r="C12500">
        <v>8.3443825261900001E-2</v>
      </c>
      <c r="D12500">
        <v>0.99540669985899999</v>
      </c>
      <c r="E12500">
        <v>18.554722638680602</v>
      </c>
    </row>
    <row r="12501" spans="1:5">
      <c r="A12501" t="s">
        <v>14433</v>
      </c>
      <c r="B12501" t="s">
        <v>14438</v>
      </c>
      <c r="C12501">
        <v>0.16418278743799999</v>
      </c>
      <c r="D12501">
        <v>0.99540669985899999</v>
      </c>
      <c r="E12501">
        <v>18.554722638680602</v>
      </c>
    </row>
    <row r="12502" spans="1:5">
      <c r="A12502" t="s">
        <v>14439</v>
      </c>
      <c r="B12502" t="s">
        <v>14440</v>
      </c>
      <c r="C12502">
        <v>0</v>
      </c>
      <c r="D12502" t="s">
        <v>106</v>
      </c>
      <c r="E12502">
        <v>14.9325337331334</v>
      </c>
    </row>
    <row r="12503" spans="1:5">
      <c r="A12503" t="s">
        <v>14439</v>
      </c>
      <c r="B12503" t="s">
        <v>14441</v>
      </c>
      <c r="C12503">
        <f>0</f>
        <v>0</v>
      </c>
      <c r="D12503" t="s">
        <v>106</v>
      </c>
      <c r="E12503">
        <v>14.9325337331334</v>
      </c>
    </row>
    <row r="12504" spans="1:5">
      <c r="A12504" t="s">
        <v>14439</v>
      </c>
      <c r="B12504" t="s">
        <v>14442</v>
      </c>
      <c r="C12504">
        <v>0</v>
      </c>
      <c r="D12504" t="s">
        <v>106</v>
      </c>
      <c r="E12504">
        <v>14.9325337331334</v>
      </c>
    </row>
    <row r="12505" spans="1:5">
      <c r="A12505" t="s">
        <v>14439</v>
      </c>
      <c r="B12505" t="s">
        <v>14443</v>
      </c>
      <c r="C12505">
        <v>0</v>
      </c>
      <c r="D12505" t="s">
        <v>106</v>
      </c>
      <c r="E12505">
        <v>14.9325337331334</v>
      </c>
    </row>
    <row r="12506" spans="1:5">
      <c r="A12506" t="s">
        <v>14439</v>
      </c>
      <c r="B12506" t="s">
        <v>14444</v>
      </c>
      <c r="C12506">
        <f>0</f>
        <v>0</v>
      </c>
      <c r="D12506" t="s">
        <v>106</v>
      </c>
      <c r="E12506">
        <v>14.9325337331334</v>
      </c>
    </row>
    <row r="12507" spans="1:5">
      <c r="A12507" t="s">
        <v>14439</v>
      </c>
      <c r="B12507" t="s">
        <v>14445</v>
      </c>
      <c r="C12507">
        <v>0</v>
      </c>
      <c r="D12507" t="s">
        <v>106</v>
      </c>
      <c r="E12507">
        <v>14.9325337331334</v>
      </c>
    </row>
    <row r="12508" spans="1:5">
      <c r="A12508" t="s">
        <v>14439</v>
      </c>
      <c r="B12508" t="s">
        <v>14446</v>
      </c>
      <c r="C12508">
        <f>0</f>
        <v>0</v>
      </c>
      <c r="D12508" t="s">
        <v>106</v>
      </c>
      <c r="E12508">
        <v>14.9325337331334</v>
      </c>
    </row>
    <row r="12509" spans="1:5">
      <c r="A12509" t="s">
        <v>14439</v>
      </c>
      <c r="B12509" t="s">
        <v>14447</v>
      </c>
      <c r="C12509">
        <f>0</f>
        <v>0</v>
      </c>
      <c r="D12509" t="s">
        <v>106</v>
      </c>
      <c r="E12509">
        <v>14.9325337331334</v>
      </c>
    </row>
    <row r="12510" spans="1:5">
      <c r="A12510" t="s">
        <v>14439</v>
      </c>
      <c r="B12510" t="s">
        <v>14448</v>
      </c>
      <c r="C12510">
        <f>0</f>
        <v>0</v>
      </c>
      <c r="D12510" t="s">
        <v>106</v>
      </c>
      <c r="E12510">
        <v>14.9325337331334</v>
      </c>
    </row>
    <row r="12511" spans="1:5">
      <c r="A12511" t="s">
        <v>14439</v>
      </c>
      <c r="B12511" t="s">
        <v>14449</v>
      </c>
      <c r="C12511">
        <v>0</v>
      </c>
      <c r="D12511" t="s">
        <v>106</v>
      </c>
      <c r="E12511">
        <v>14.9325337331334</v>
      </c>
    </row>
    <row r="12512" spans="1:5">
      <c r="A12512" t="s">
        <v>14439</v>
      </c>
      <c r="B12512" t="s">
        <v>14450</v>
      </c>
      <c r="C12512">
        <v>0</v>
      </c>
      <c r="D12512" t="s">
        <v>106</v>
      </c>
      <c r="E12512">
        <v>14.9325337331334</v>
      </c>
    </row>
    <row r="12513" spans="1:5">
      <c r="A12513" t="s">
        <v>14439</v>
      </c>
      <c r="B12513" t="s">
        <v>14451</v>
      </c>
      <c r="C12513">
        <f>0</f>
        <v>0</v>
      </c>
      <c r="D12513" t="s">
        <v>106</v>
      </c>
      <c r="E12513">
        <v>14.9325337331334</v>
      </c>
    </row>
    <row r="12514" spans="1:5">
      <c r="A12514" t="s">
        <v>14452</v>
      </c>
      <c r="B12514" t="s">
        <v>14453</v>
      </c>
      <c r="C12514">
        <f>0</f>
        <v>0</v>
      </c>
      <c r="D12514" t="s">
        <v>106</v>
      </c>
      <c r="E12514">
        <v>24</v>
      </c>
    </row>
    <row r="12515" spans="1:5">
      <c r="A12515" t="s">
        <v>14452</v>
      </c>
      <c r="B12515" t="s">
        <v>14454</v>
      </c>
      <c r="C12515">
        <v>0</v>
      </c>
      <c r="D12515" t="s">
        <v>106</v>
      </c>
      <c r="E12515">
        <v>24</v>
      </c>
    </row>
    <row r="12516" spans="1:5">
      <c r="A12516" t="s">
        <v>14452</v>
      </c>
      <c r="B12516" t="s">
        <v>14455</v>
      </c>
      <c r="C12516">
        <f>0</f>
        <v>0</v>
      </c>
      <c r="D12516" t="s">
        <v>106</v>
      </c>
      <c r="E12516">
        <v>24</v>
      </c>
    </row>
    <row r="12517" spans="1:5">
      <c r="A12517" t="s">
        <v>14452</v>
      </c>
      <c r="B12517" t="s">
        <v>14456</v>
      </c>
      <c r="C12517">
        <v>0.16071190584699999</v>
      </c>
      <c r="D12517" t="s">
        <v>106</v>
      </c>
      <c r="E12517">
        <v>24</v>
      </c>
    </row>
    <row r="12518" spans="1:5">
      <c r="A12518" t="s">
        <v>14452</v>
      </c>
      <c r="B12518" t="s">
        <v>14457</v>
      </c>
      <c r="C12518">
        <v>0.11177916968399999</v>
      </c>
      <c r="D12518" t="s">
        <v>106</v>
      </c>
      <c r="E12518">
        <v>24</v>
      </c>
    </row>
    <row r="12519" spans="1:5">
      <c r="A12519" t="s">
        <v>14458</v>
      </c>
      <c r="B12519" t="s">
        <v>14459</v>
      </c>
      <c r="C12519">
        <v>5.8320877419399996E-3</v>
      </c>
      <c r="D12519" t="s">
        <v>106</v>
      </c>
      <c r="E12519">
        <v>24</v>
      </c>
    </row>
    <row r="12520" spans="1:5">
      <c r="A12520" t="s">
        <v>14458</v>
      </c>
      <c r="B12520" t="s">
        <v>14460</v>
      </c>
      <c r="C12520">
        <v>0</v>
      </c>
      <c r="D12520" t="s">
        <v>106</v>
      </c>
      <c r="E12520">
        <v>24</v>
      </c>
    </row>
    <row r="12521" spans="1:5">
      <c r="A12521" t="s">
        <v>14461</v>
      </c>
      <c r="B12521" t="s">
        <v>14462</v>
      </c>
      <c r="C12521">
        <v>0.116849579048</v>
      </c>
      <c r="D12521">
        <v>0.845150938706</v>
      </c>
      <c r="E12521">
        <v>0.95952023988005997</v>
      </c>
    </row>
    <row r="12522" spans="1:5">
      <c r="A12522" t="s">
        <v>14461</v>
      </c>
      <c r="B12522" t="s">
        <v>14463</v>
      </c>
      <c r="C12522">
        <f>0.149139932022</f>
        <v>0.14913993202199999</v>
      </c>
      <c r="D12522">
        <v>0.845150938706</v>
      </c>
      <c r="E12522">
        <v>0.95952023988005997</v>
      </c>
    </row>
    <row r="12523" spans="1:5">
      <c r="A12523" t="s">
        <v>14461</v>
      </c>
      <c r="B12523" t="s">
        <v>14464</v>
      </c>
      <c r="C12523">
        <v>0</v>
      </c>
      <c r="D12523">
        <v>0.845150938706</v>
      </c>
      <c r="E12523">
        <v>0.95952023988005997</v>
      </c>
    </row>
    <row r="12524" spans="1:5">
      <c r="A12524" t="s">
        <v>14461</v>
      </c>
      <c r="B12524" t="s">
        <v>14465</v>
      </c>
      <c r="C12524">
        <f>0</f>
        <v>0</v>
      </c>
      <c r="D12524">
        <v>0.845150938706</v>
      </c>
      <c r="E12524">
        <v>0.95952023988005997</v>
      </c>
    </row>
    <row r="12525" spans="1:5">
      <c r="A12525" t="s">
        <v>14461</v>
      </c>
      <c r="B12525" t="s">
        <v>14466</v>
      </c>
      <c r="C12525">
        <f>0</f>
        <v>0</v>
      </c>
      <c r="D12525">
        <v>0.845150938706</v>
      </c>
      <c r="E12525">
        <v>0.95952023988005997</v>
      </c>
    </row>
    <row r="12526" spans="1:5">
      <c r="A12526" t="s">
        <v>14461</v>
      </c>
      <c r="B12526" t="s">
        <v>14467</v>
      </c>
      <c r="C12526">
        <v>0</v>
      </c>
      <c r="D12526">
        <v>0.845150938706</v>
      </c>
      <c r="E12526">
        <v>0.95952023988005997</v>
      </c>
    </row>
    <row r="12527" spans="1:5">
      <c r="A12527" t="s">
        <v>14468</v>
      </c>
      <c r="B12527" t="s">
        <v>14469</v>
      </c>
      <c r="C12527">
        <v>0</v>
      </c>
      <c r="D12527" t="s">
        <v>106</v>
      </c>
      <c r="E12527">
        <v>10.230884557721099</v>
      </c>
    </row>
    <row r="12528" spans="1:5">
      <c r="A12528" t="s">
        <v>14468</v>
      </c>
      <c r="B12528" t="s">
        <v>14470</v>
      </c>
      <c r="C12528">
        <v>0</v>
      </c>
      <c r="D12528" t="s">
        <v>106</v>
      </c>
      <c r="E12528">
        <v>10.230884557721099</v>
      </c>
    </row>
    <row r="12529" spans="1:5">
      <c r="A12529" t="s">
        <v>14468</v>
      </c>
      <c r="B12529" t="s">
        <v>14471</v>
      </c>
      <c r="C12529">
        <v>0</v>
      </c>
      <c r="D12529" t="s">
        <v>106</v>
      </c>
      <c r="E12529">
        <v>10.230884557721099</v>
      </c>
    </row>
    <row r="12530" spans="1:5">
      <c r="A12530" t="s">
        <v>14468</v>
      </c>
      <c r="B12530" t="s">
        <v>14472</v>
      </c>
      <c r="C12530">
        <f>0</f>
        <v>0</v>
      </c>
      <c r="D12530" t="s">
        <v>106</v>
      </c>
      <c r="E12530">
        <v>10.230884557721099</v>
      </c>
    </row>
    <row r="12531" spans="1:5">
      <c r="A12531" t="s">
        <v>14468</v>
      </c>
      <c r="B12531" t="s">
        <v>14473</v>
      </c>
      <c r="C12531">
        <v>0</v>
      </c>
      <c r="D12531" t="s">
        <v>106</v>
      </c>
      <c r="E12531">
        <v>10.230884557721099</v>
      </c>
    </row>
    <row r="12532" spans="1:5">
      <c r="A12532" t="s">
        <v>14468</v>
      </c>
      <c r="B12532" t="s">
        <v>14474</v>
      </c>
      <c r="C12532">
        <v>0</v>
      </c>
      <c r="D12532" t="s">
        <v>106</v>
      </c>
      <c r="E12532">
        <v>10.230884557721099</v>
      </c>
    </row>
    <row r="12533" spans="1:5">
      <c r="A12533" t="s">
        <v>14475</v>
      </c>
      <c r="B12533" t="s">
        <v>14476</v>
      </c>
      <c r="C12533">
        <v>0</v>
      </c>
      <c r="D12533" t="s">
        <v>106</v>
      </c>
      <c r="E12533">
        <v>5.4692653673163401</v>
      </c>
    </row>
    <row r="12534" spans="1:5">
      <c r="A12534" t="s">
        <v>14475</v>
      </c>
      <c r="B12534" t="s">
        <v>14477</v>
      </c>
      <c r="C12534">
        <v>0.14895413819799999</v>
      </c>
      <c r="D12534" t="s">
        <v>106</v>
      </c>
      <c r="E12534">
        <v>5.4692653673163401</v>
      </c>
    </row>
    <row r="12535" spans="1:5">
      <c r="A12535" t="s">
        <v>14475</v>
      </c>
      <c r="B12535" t="s">
        <v>14478</v>
      </c>
      <c r="C12535">
        <v>0</v>
      </c>
      <c r="D12535" t="s">
        <v>106</v>
      </c>
      <c r="E12535">
        <v>5.4692653673163401</v>
      </c>
    </row>
    <row r="12536" spans="1:5">
      <c r="A12536" t="s">
        <v>14479</v>
      </c>
      <c r="B12536" t="s">
        <v>14480</v>
      </c>
      <c r="C12536">
        <v>0</v>
      </c>
      <c r="D12536">
        <v>0.97953361850800003</v>
      </c>
      <c r="E12536">
        <v>9.0194902548725597</v>
      </c>
    </row>
    <row r="12537" spans="1:5">
      <c r="A12537" t="s">
        <v>14479</v>
      </c>
      <c r="B12537" t="s">
        <v>14481</v>
      </c>
      <c r="C12537">
        <v>1.6718491893800001E-2</v>
      </c>
      <c r="D12537">
        <v>0.97953361850800003</v>
      </c>
      <c r="E12537">
        <v>9.0194902548725597</v>
      </c>
    </row>
    <row r="12538" spans="1:5">
      <c r="A12538" t="s">
        <v>14479</v>
      </c>
      <c r="B12538" t="s">
        <v>14482</v>
      </c>
      <c r="C12538">
        <v>0</v>
      </c>
      <c r="D12538">
        <v>0.97953361850800003</v>
      </c>
      <c r="E12538">
        <v>9.0194902548725597</v>
      </c>
    </row>
    <row r="12539" spans="1:5">
      <c r="A12539" t="s">
        <v>14479</v>
      </c>
      <c r="B12539" t="s">
        <v>14483</v>
      </c>
      <c r="C12539">
        <v>0</v>
      </c>
      <c r="D12539">
        <v>0.97953361850800003</v>
      </c>
      <c r="E12539">
        <v>9.0194902548725597</v>
      </c>
    </row>
    <row r="12540" spans="1:5">
      <c r="A12540" t="s">
        <v>14479</v>
      </c>
      <c r="B12540" t="s">
        <v>14484</v>
      </c>
      <c r="C12540">
        <v>0.23594255853500001</v>
      </c>
      <c r="D12540">
        <v>0.97953361850800003</v>
      </c>
      <c r="E12540">
        <v>9.0194902548725597</v>
      </c>
    </row>
    <row r="12541" spans="1:5">
      <c r="A12541" t="s">
        <v>14479</v>
      </c>
      <c r="B12541" t="s">
        <v>14485</v>
      </c>
      <c r="C12541">
        <f>0</f>
        <v>0</v>
      </c>
      <c r="D12541">
        <v>0.97953361850800003</v>
      </c>
      <c r="E12541">
        <v>9.0194902548725597</v>
      </c>
    </row>
    <row r="12542" spans="1:5">
      <c r="A12542" t="s">
        <v>14479</v>
      </c>
      <c r="B12542" t="s">
        <v>14486</v>
      </c>
      <c r="C12542">
        <f>0</f>
        <v>0</v>
      </c>
      <c r="D12542">
        <v>0.97953361850800003</v>
      </c>
      <c r="E12542">
        <v>9.0194902548725597</v>
      </c>
    </row>
    <row r="12543" spans="1:5">
      <c r="A12543" t="s">
        <v>14487</v>
      </c>
      <c r="B12543" t="s">
        <v>14488</v>
      </c>
      <c r="C12543">
        <v>0</v>
      </c>
      <c r="D12543" t="s">
        <v>106</v>
      </c>
      <c r="E12543">
        <v>0.40779610194902499</v>
      </c>
    </row>
    <row r="12544" spans="1:5">
      <c r="A12544" t="s">
        <v>14487</v>
      </c>
      <c r="B12544" t="s">
        <v>14489</v>
      </c>
      <c r="C12544">
        <v>0</v>
      </c>
      <c r="D12544" t="s">
        <v>106</v>
      </c>
      <c r="E12544">
        <v>0.40779610194902499</v>
      </c>
    </row>
    <row r="12545" spans="1:5">
      <c r="A12545" t="s">
        <v>14487</v>
      </c>
      <c r="B12545" t="s">
        <v>14490</v>
      </c>
      <c r="C12545">
        <v>0</v>
      </c>
      <c r="D12545" t="s">
        <v>106</v>
      </c>
      <c r="E12545">
        <v>0.40779610194902499</v>
      </c>
    </row>
    <row r="12546" spans="1:5">
      <c r="A12546" t="s">
        <v>14487</v>
      </c>
      <c r="B12546" t="s">
        <v>14491</v>
      </c>
      <c r="C12546">
        <v>0</v>
      </c>
      <c r="D12546" t="s">
        <v>106</v>
      </c>
      <c r="E12546">
        <v>0.40779610194902499</v>
      </c>
    </row>
    <row r="12547" spans="1:5">
      <c r="A12547" t="s">
        <v>14487</v>
      </c>
      <c r="B12547" t="s">
        <v>14492</v>
      </c>
      <c r="C12547">
        <v>0</v>
      </c>
      <c r="D12547" t="s">
        <v>106</v>
      </c>
      <c r="E12547">
        <v>0.40779610194902499</v>
      </c>
    </row>
    <row r="12548" spans="1:5">
      <c r="A12548" t="s">
        <v>14487</v>
      </c>
      <c r="B12548" t="s">
        <v>14493</v>
      </c>
      <c r="C12548">
        <v>0</v>
      </c>
      <c r="D12548" t="s">
        <v>106</v>
      </c>
      <c r="E12548">
        <v>0.40779610194902499</v>
      </c>
    </row>
    <row r="12549" spans="1:5">
      <c r="A12549" t="s">
        <v>14487</v>
      </c>
      <c r="B12549" t="s">
        <v>14494</v>
      </c>
      <c r="C12549">
        <v>0</v>
      </c>
      <c r="D12549" t="s">
        <v>106</v>
      </c>
      <c r="E12549">
        <v>0.40779610194902499</v>
      </c>
    </row>
    <row r="12550" spans="1:5">
      <c r="A12550" t="s">
        <v>14487</v>
      </c>
      <c r="B12550" t="s">
        <v>14495</v>
      </c>
      <c r="C12550">
        <v>0</v>
      </c>
      <c r="D12550" t="s">
        <v>106</v>
      </c>
      <c r="E12550">
        <v>0.40779610194902499</v>
      </c>
    </row>
    <row r="12551" spans="1:5">
      <c r="A12551" t="s">
        <v>14487</v>
      </c>
      <c r="B12551" t="s">
        <v>14496</v>
      </c>
      <c r="C12551">
        <v>0</v>
      </c>
      <c r="D12551" t="s">
        <v>106</v>
      </c>
      <c r="E12551">
        <v>0.40779610194902499</v>
      </c>
    </row>
    <row r="12552" spans="1:5">
      <c r="A12552" t="s">
        <v>14497</v>
      </c>
      <c r="B12552" t="s">
        <v>14498</v>
      </c>
      <c r="C12552">
        <f>0</f>
        <v>0</v>
      </c>
      <c r="D12552">
        <v>0.94475892600599998</v>
      </c>
      <c r="E12552">
        <v>2.6386806596701602</v>
      </c>
    </row>
    <row r="12553" spans="1:5">
      <c r="A12553" t="s">
        <v>14497</v>
      </c>
      <c r="B12553" t="s">
        <v>14499</v>
      </c>
      <c r="C12553">
        <v>0</v>
      </c>
      <c r="D12553">
        <v>0.94475892600599998</v>
      </c>
      <c r="E12553">
        <v>2.6386806596701602</v>
      </c>
    </row>
    <row r="12554" spans="1:5">
      <c r="A12554" t="s">
        <v>14497</v>
      </c>
      <c r="B12554" t="s">
        <v>14500</v>
      </c>
      <c r="C12554">
        <f>0</f>
        <v>0</v>
      </c>
      <c r="D12554">
        <v>0.94475892600599998</v>
      </c>
      <c r="E12554">
        <v>2.6386806596701602</v>
      </c>
    </row>
    <row r="12555" spans="1:5">
      <c r="A12555" t="s">
        <v>14497</v>
      </c>
      <c r="B12555" t="s">
        <v>14501</v>
      </c>
      <c r="C12555">
        <v>0.102997440424</v>
      </c>
      <c r="D12555">
        <v>0.94475892600599998</v>
      </c>
      <c r="E12555">
        <v>2.6386806596701602</v>
      </c>
    </row>
    <row r="12556" spans="1:5">
      <c r="A12556" t="s">
        <v>14497</v>
      </c>
      <c r="B12556" t="s">
        <v>14502</v>
      </c>
      <c r="C12556">
        <v>0</v>
      </c>
      <c r="D12556">
        <v>0.94475892600599998</v>
      </c>
      <c r="E12556">
        <v>2.6386806596701602</v>
      </c>
    </row>
    <row r="12557" spans="1:5">
      <c r="A12557" t="s">
        <v>14497</v>
      </c>
      <c r="B12557" t="s">
        <v>14503</v>
      </c>
      <c r="C12557">
        <v>0</v>
      </c>
      <c r="D12557">
        <v>0.94475892600599998</v>
      </c>
      <c r="E12557">
        <v>2.6386806596701602</v>
      </c>
    </row>
    <row r="12558" spans="1:5">
      <c r="A12558" t="s">
        <v>14497</v>
      </c>
      <c r="B12558" t="s">
        <v>14504</v>
      </c>
      <c r="C12558">
        <v>0.35757388278899999</v>
      </c>
      <c r="D12558">
        <v>0.94475892600599998</v>
      </c>
      <c r="E12558">
        <v>2.6386806596701602</v>
      </c>
    </row>
    <row r="12559" spans="1:5">
      <c r="A12559" t="s">
        <v>14497</v>
      </c>
      <c r="B12559" t="s">
        <v>14505</v>
      </c>
      <c r="C12559">
        <v>0</v>
      </c>
      <c r="D12559">
        <v>0.94475892600599998</v>
      </c>
      <c r="E12559">
        <v>2.6386806596701602</v>
      </c>
    </row>
    <row r="12560" spans="1:5">
      <c r="A12560" t="s">
        <v>14497</v>
      </c>
      <c r="B12560" t="s">
        <v>14506</v>
      </c>
      <c r="C12560">
        <f>0</f>
        <v>0</v>
      </c>
      <c r="D12560">
        <v>0.94475892600599998</v>
      </c>
      <c r="E12560">
        <v>2.6386806596701602</v>
      </c>
    </row>
    <row r="12561" spans="1:5">
      <c r="A12561" t="s">
        <v>14497</v>
      </c>
      <c r="B12561" t="s">
        <v>14507</v>
      </c>
      <c r="C12561">
        <v>0</v>
      </c>
      <c r="D12561">
        <v>0.94475892600599998</v>
      </c>
      <c r="E12561">
        <v>2.6386806596701602</v>
      </c>
    </row>
    <row r="12562" spans="1:5">
      <c r="A12562" t="s">
        <v>14497</v>
      </c>
      <c r="B12562" t="s">
        <v>14508</v>
      </c>
      <c r="C12562">
        <f>0</f>
        <v>0</v>
      </c>
      <c r="D12562">
        <v>0.94475892600599998</v>
      </c>
      <c r="E12562">
        <v>2.6386806596701602</v>
      </c>
    </row>
    <row r="12563" spans="1:5">
      <c r="A12563" t="s">
        <v>14497</v>
      </c>
      <c r="B12563" t="s">
        <v>14509</v>
      </c>
      <c r="C12563">
        <f>0</f>
        <v>0</v>
      </c>
      <c r="D12563">
        <v>0.94475892600599998</v>
      </c>
      <c r="E12563">
        <v>2.6386806596701602</v>
      </c>
    </row>
    <row r="12564" spans="1:5">
      <c r="A12564" t="s">
        <v>14497</v>
      </c>
      <c r="B12564" t="s">
        <v>14510</v>
      </c>
      <c r="C12564">
        <f>0</f>
        <v>0</v>
      </c>
      <c r="D12564">
        <v>0.94475892600599998</v>
      </c>
      <c r="E12564">
        <v>2.6386806596701602</v>
      </c>
    </row>
    <row r="12565" spans="1:5">
      <c r="A12565" t="s">
        <v>14511</v>
      </c>
      <c r="B12565" t="s">
        <v>14512</v>
      </c>
      <c r="C12565">
        <v>0</v>
      </c>
      <c r="D12565" t="s">
        <v>106</v>
      </c>
      <c r="E12565">
        <v>18.986506746626599</v>
      </c>
    </row>
    <row r="12566" spans="1:5">
      <c r="A12566" t="s">
        <v>14513</v>
      </c>
      <c r="B12566" t="s">
        <v>14514</v>
      </c>
      <c r="C12566">
        <v>0</v>
      </c>
      <c r="D12566" t="s">
        <v>106</v>
      </c>
      <c r="E12566">
        <v>4.3778110944527704</v>
      </c>
    </row>
    <row r="12567" spans="1:5">
      <c r="A12567" t="s">
        <v>14513</v>
      </c>
      <c r="B12567" t="s">
        <v>14515</v>
      </c>
      <c r="C12567">
        <v>0</v>
      </c>
      <c r="D12567" t="s">
        <v>106</v>
      </c>
      <c r="E12567">
        <v>4.3778110944527704</v>
      </c>
    </row>
    <row r="12568" spans="1:5">
      <c r="A12568" t="s">
        <v>14516</v>
      </c>
      <c r="B12568" t="s">
        <v>14517</v>
      </c>
      <c r="C12568">
        <v>0.25133329729300002</v>
      </c>
      <c r="D12568">
        <v>0.98867162299900002</v>
      </c>
      <c r="E12568">
        <v>4.0659670164917499</v>
      </c>
    </row>
    <row r="12569" spans="1:5">
      <c r="A12569" t="s">
        <v>14516</v>
      </c>
      <c r="B12569" t="s">
        <v>14518</v>
      </c>
      <c r="C12569">
        <v>0</v>
      </c>
      <c r="D12569">
        <v>0.98867162299900002</v>
      </c>
      <c r="E12569">
        <v>4.0659670164917499</v>
      </c>
    </row>
    <row r="12570" spans="1:5">
      <c r="A12570" t="s">
        <v>14516</v>
      </c>
      <c r="B12570" t="s">
        <v>14519</v>
      </c>
      <c r="C12570">
        <v>0</v>
      </c>
      <c r="D12570">
        <v>0.98867162299900002</v>
      </c>
      <c r="E12570">
        <v>4.0659670164917499</v>
      </c>
    </row>
    <row r="12571" spans="1:5">
      <c r="A12571" t="s">
        <v>14516</v>
      </c>
      <c r="B12571" t="s">
        <v>14520</v>
      </c>
      <c r="C12571">
        <v>0</v>
      </c>
      <c r="D12571">
        <v>0.98867162299900002</v>
      </c>
      <c r="E12571">
        <v>4.0659670164917499</v>
      </c>
    </row>
    <row r="12572" spans="1:5">
      <c r="A12572" t="s">
        <v>14516</v>
      </c>
      <c r="B12572" t="s">
        <v>14521</v>
      </c>
      <c r="C12572">
        <f>0.0625108423877</f>
        <v>6.2510842387699994E-2</v>
      </c>
      <c r="D12572">
        <v>0.98867162299900002</v>
      </c>
      <c r="E12572">
        <v>4.0659670164917499</v>
      </c>
    </row>
    <row r="12573" spans="1:5">
      <c r="A12573" t="s">
        <v>14516</v>
      </c>
      <c r="B12573" t="s">
        <v>14522</v>
      </c>
      <c r="C12573">
        <v>0</v>
      </c>
      <c r="D12573">
        <v>0.98867162299900002</v>
      </c>
      <c r="E12573">
        <v>4.0659670164917499</v>
      </c>
    </row>
    <row r="12574" spans="1:5">
      <c r="A12574" t="s">
        <v>14516</v>
      </c>
      <c r="B12574" t="s">
        <v>14523</v>
      </c>
      <c r="C12574">
        <v>0</v>
      </c>
      <c r="D12574">
        <v>0.98867162299900002</v>
      </c>
      <c r="E12574">
        <v>4.0659670164917499</v>
      </c>
    </row>
    <row r="12575" spans="1:5">
      <c r="A12575" t="s">
        <v>14524</v>
      </c>
      <c r="B12575" t="s">
        <v>14525</v>
      </c>
      <c r="C12575">
        <f>0</f>
        <v>0</v>
      </c>
      <c r="D12575">
        <v>0.89543682484300002</v>
      </c>
      <c r="E12575">
        <v>5.8170914542728598</v>
      </c>
    </row>
    <row r="12576" spans="1:5">
      <c r="A12576" t="s">
        <v>14524</v>
      </c>
      <c r="B12576" t="s">
        <v>14526</v>
      </c>
      <c r="C12576">
        <f>0</f>
        <v>0</v>
      </c>
      <c r="D12576">
        <v>0.89543682484300002</v>
      </c>
      <c r="E12576">
        <v>5.8170914542728598</v>
      </c>
    </row>
    <row r="12577" spans="1:5">
      <c r="A12577" t="s">
        <v>14524</v>
      </c>
      <c r="B12577" t="s">
        <v>14527</v>
      </c>
      <c r="C12577">
        <v>0</v>
      </c>
      <c r="D12577">
        <v>0.89543682484300002</v>
      </c>
      <c r="E12577">
        <v>5.8170914542728598</v>
      </c>
    </row>
    <row r="12578" spans="1:5">
      <c r="A12578" t="s">
        <v>14524</v>
      </c>
      <c r="B12578" t="s">
        <v>14528</v>
      </c>
      <c r="C12578">
        <f>0</f>
        <v>0</v>
      </c>
      <c r="D12578">
        <v>0.89543682484300002</v>
      </c>
      <c r="E12578">
        <v>5.8170914542728598</v>
      </c>
    </row>
    <row r="12579" spans="1:5">
      <c r="A12579" t="s">
        <v>14524</v>
      </c>
      <c r="B12579" t="s">
        <v>14529</v>
      </c>
      <c r="C12579">
        <f>0</f>
        <v>0</v>
      </c>
      <c r="D12579">
        <v>0.89543682484300002</v>
      </c>
      <c r="E12579">
        <v>5.8170914542728598</v>
      </c>
    </row>
    <row r="12580" spans="1:5">
      <c r="A12580" t="s">
        <v>14524</v>
      </c>
      <c r="B12580" t="s">
        <v>14530</v>
      </c>
      <c r="C12580">
        <f>0</f>
        <v>0</v>
      </c>
      <c r="D12580">
        <v>0.89543682484300002</v>
      </c>
      <c r="E12580">
        <v>5.8170914542728598</v>
      </c>
    </row>
    <row r="12581" spans="1:5">
      <c r="A12581" t="s">
        <v>14524</v>
      </c>
      <c r="B12581" t="s">
        <v>14531</v>
      </c>
      <c r="C12581">
        <f>0.452671183267</f>
        <v>0.45267118326700001</v>
      </c>
      <c r="D12581">
        <v>0.89543682484300002</v>
      </c>
      <c r="E12581">
        <v>5.8170914542728598</v>
      </c>
    </row>
    <row r="12582" spans="1:5">
      <c r="A12582" t="s">
        <v>14524</v>
      </c>
      <c r="B12582" t="s">
        <v>14532</v>
      </c>
      <c r="C12582">
        <f>0.0814584694805</f>
        <v>8.1458469480500006E-2</v>
      </c>
      <c r="D12582">
        <v>0.89543682484300002</v>
      </c>
      <c r="E12582">
        <v>5.8170914542728598</v>
      </c>
    </row>
    <row r="12583" spans="1:5">
      <c r="A12583" t="s">
        <v>14533</v>
      </c>
      <c r="B12583" t="s">
        <v>14534</v>
      </c>
      <c r="C12583">
        <v>0</v>
      </c>
      <c r="D12583">
        <v>0.96909027031299999</v>
      </c>
      <c r="E12583">
        <v>12.2098950524737</v>
      </c>
    </row>
    <row r="12584" spans="1:5">
      <c r="A12584" t="s">
        <v>14533</v>
      </c>
      <c r="B12584" t="s">
        <v>14535</v>
      </c>
      <c r="C12584">
        <f>0</f>
        <v>0</v>
      </c>
      <c r="D12584">
        <v>0.96909027031299999</v>
      </c>
      <c r="E12584">
        <v>12.2098950524737</v>
      </c>
    </row>
    <row r="12585" spans="1:5">
      <c r="A12585" t="s">
        <v>14533</v>
      </c>
      <c r="B12585" t="s">
        <v>14536</v>
      </c>
      <c r="C12585">
        <f>0</f>
        <v>0</v>
      </c>
      <c r="D12585">
        <v>0.96909027031299999</v>
      </c>
      <c r="E12585">
        <v>12.2098950524737</v>
      </c>
    </row>
    <row r="12586" spans="1:5">
      <c r="A12586" t="s">
        <v>14533</v>
      </c>
      <c r="B12586" t="s">
        <v>14537</v>
      </c>
      <c r="C12586">
        <v>0</v>
      </c>
      <c r="D12586">
        <v>0.96909027031299999</v>
      </c>
      <c r="E12586">
        <v>12.2098950524737</v>
      </c>
    </row>
    <row r="12587" spans="1:5">
      <c r="A12587" t="s">
        <v>14533</v>
      </c>
      <c r="B12587" t="s">
        <v>14538</v>
      </c>
      <c r="C12587">
        <v>0.140587634208</v>
      </c>
      <c r="D12587">
        <v>0.96909027031299999</v>
      </c>
      <c r="E12587">
        <v>12.2098950524737</v>
      </c>
    </row>
    <row r="12588" spans="1:5">
      <c r="A12588" t="s">
        <v>14533</v>
      </c>
      <c r="B12588" t="s">
        <v>14539</v>
      </c>
      <c r="C12588">
        <v>8.6258649759600001E-2</v>
      </c>
      <c r="D12588">
        <v>0.96909027031299999</v>
      </c>
      <c r="E12588">
        <v>12.2098950524737</v>
      </c>
    </row>
    <row r="12589" spans="1:5">
      <c r="A12589" t="s">
        <v>14533</v>
      </c>
      <c r="B12589" t="s">
        <v>14540</v>
      </c>
      <c r="C12589">
        <v>0</v>
      </c>
      <c r="D12589">
        <v>0.96909027031299999</v>
      </c>
      <c r="E12589">
        <v>12.2098950524737</v>
      </c>
    </row>
    <row r="12590" spans="1:5">
      <c r="A12590" t="s">
        <v>14541</v>
      </c>
      <c r="B12590" t="s">
        <v>14542</v>
      </c>
      <c r="C12590">
        <f>0</f>
        <v>0</v>
      </c>
      <c r="D12590" t="s">
        <v>106</v>
      </c>
      <c r="E12590">
        <v>9.1634182908545707</v>
      </c>
    </row>
    <row r="12591" spans="1:5">
      <c r="A12591" t="s">
        <v>14541</v>
      </c>
      <c r="B12591" t="s">
        <v>14543</v>
      </c>
      <c r="C12591">
        <f>0</f>
        <v>0</v>
      </c>
      <c r="D12591" t="s">
        <v>106</v>
      </c>
      <c r="E12591">
        <v>9.1634182908545707</v>
      </c>
    </row>
    <row r="12592" spans="1:5">
      <c r="A12592" t="s">
        <v>14544</v>
      </c>
      <c r="B12592" t="s">
        <v>14545</v>
      </c>
      <c r="C12592">
        <f>0</f>
        <v>0</v>
      </c>
      <c r="D12592" t="s">
        <v>106</v>
      </c>
      <c r="E12592">
        <v>10.230884557721099</v>
      </c>
    </row>
    <row r="12593" spans="1:5">
      <c r="A12593" t="s">
        <v>14546</v>
      </c>
      <c r="B12593" t="s">
        <v>14547</v>
      </c>
      <c r="C12593">
        <v>0</v>
      </c>
      <c r="D12593" t="s">
        <v>106</v>
      </c>
      <c r="E12593">
        <v>24</v>
      </c>
    </row>
    <row r="12594" spans="1:5">
      <c r="A12594" t="s">
        <v>14546</v>
      </c>
      <c r="B12594" t="s">
        <v>14548</v>
      </c>
      <c r="C12594">
        <v>0</v>
      </c>
      <c r="D12594" t="s">
        <v>106</v>
      </c>
      <c r="E12594">
        <v>24</v>
      </c>
    </row>
    <row r="12595" spans="1:5">
      <c r="A12595" t="s">
        <v>14546</v>
      </c>
      <c r="B12595" t="s">
        <v>14549</v>
      </c>
      <c r="C12595">
        <v>0.10827189593100001</v>
      </c>
      <c r="D12595" t="s">
        <v>106</v>
      </c>
      <c r="E12595">
        <v>24</v>
      </c>
    </row>
    <row r="12596" spans="1:5">
      <c r="A12596" t="s">
        <v>14546</v>
      </c>
      <c r="B12596" t="s">
        <v>14550</v>
      </c>
      <c r="C12596">
        <v>0</v>
      </c>
      <c r="D12596" t="s">
        <v>106</v>
      </c>
      <c r="E12596">
        <v>24</v>
      </c>
    </row>
    <row r="12597" spans="1:5">
      <c r="A12597" t="s">
        <v>14546</v>
      </c>
      <c r="B12597" t="s">
        <v>14551</v>
      </c>
      <c r="C12597">
        <v>0</v>
      </c>
      <c r="D12597" t="s">
        <v>106</v>
      </c>
      <c r="E12597">
        <v>24</v>
      </c>
    </row>
    <row r="12598" spans="1:5">
      <c r="A12598" t="s">
        <v>14546</v>
      </c>
      <c r="B12598" t="s">
        <v>14552</v>
      </c>
      <c r="C12598">
        <v>2.69664103453E-2</v>
      </c>
      <c r="D12598" t="s">
        <v>106</v>
      </c>
      <c r="E12598">
        <v>24</v>
      </c>
    </row>
    <row r="12599" spans="1:5">
      <c r="A12599" t="s">
        <v>14546</v>
      </c>
      <c r="B12599" t="s">
        <v>14553</v>
      </c>
      <c r="C12599">
        <f>0</f>
        <v>0</v>
      </c>
      <c r="D12599" t="s">
        <v>106</v>
      </c>
      <c r="E12599">
        <v>24</v>
      </c>
    </row>
    <row r="12600" spans="1:5">
      <c r="A12600" t="s">
        <v>14546</v>
      </c>
      <c r="B12600" t="s">
        <v>14554</v>
      </c>
      <c r="C12600">
        <v>0</v>
      </c>
      <c r="D12600" t="s">
        <v>106</v>
      </c>
      <c r="E12600">
        <v>24</v>
      </c>
    </row>
    <row r="12601" spans="1:5">
      <c r="A12601" t="s">
        <v>14555</v>
      </c>
      <c r="B12601" t="s">
        <v>14556</v>
      </c>
      <c r="C12601">
        <f>0</f>
        <v>0</v>
      </c>
      <c r="D12601">
        <v>0.945500593517</v>
      </c>
      <c r="E12601">
        <v>14.176911544227799</v>
      </c>
    </row>
    <row r="12602" spans="1:5">
      <c r="A12602" t="s">
        <v>14555</v>
      </c>
      <c r="B12602" t="s">
        <v>14557</v>
      </c>
      <c r="C12602">
        <f>0</f>
        <v>0</v>
      </c>
      <c r="D12602">
        <v>0.945500593517</v>
      </c>
      <c r="E12602">
        <v>14.176911544227799</v>
      </c>
    </row>
    <row r="12603" spans="1:5">
      <c r="A12603" t="s">
        <v>14555</v>
      </c>
      <c r="B12603" t="s">
        <v>14558</v>
      </c>
      <c r="C12603">
        <f>0</f>
        <v>0</v>
      </c>
      <c r="D12603">
        <v>0.945500593517</v>
      </c>
      <c r="E12603">
        <v>14.176911544227799</v>
      </c>
    </row>
    <row r="12604" spans="1:5">
      <c r="A12604" t="s">
        <v>14555</v>
      </c>
      <c r="B12604" t="s">
        <v>14559</v>
      </c>
      <c r="C12604">
        <f>0</f>
        <v>0</v>
      </c>
      <c r="D12604">
        <v>0.945500593517</v>
      </c>
      <c r="E12604">
        <v>14.176911544227799</v>
      </c>
    </row>
    <row r="12605" spans="1:5">
      <c r="A12605" t="s">
        <v>14555</v>
      </c>
      <c r="B12605" t="s">
        <v>14560</v>
      </c>
      <c r="C12605">
        <f>0</f>
        <v>0</v>
      </c>
      <c r="D12605">
        <v>0.945500593517</v>
      </c>
      <c r="E12605">
        <v>14.176911544227799</v>
      </c>
    </row>
    <row r="12606" spans="1:5">
      <c r="A12606" t="s">
        <v>14555</v>
      </c>
      <c r="B12606" t="s">
        <v>14561</v>
      </c>
      <c r="C12606">
        <f>0</f>
        <v>0</v>
      </c>
      <c r="D12606">
        <v>0.945500593517</v>
      </c>
      <c r="E12606">
        <v>14.176911544227799</v>
      </c>
    </row>
    <row r="12607" spans="1:5">
      <c r="A12607" t="s">
        <v>14555</v>
      </c>
      <c r="B12607" t="s">
        <v>14562</v>
      </c>
      <c r="C12607">
        <v>0</v>
      </c>
      <c r="D12607">
        <v>0.945500593517</v>
      </c>
      <c r="E12607">
        <v>14.176911544227799</v>
      </c>
    </row>
    <row r="12608" spans="1:5">
      <c r="A12608" t="s">
        <v>14555</v>
      </c>
      <c r="B12608" t="s">
        <v>14563</v>
      </c>
      <c r="C12608">
        <f>0</f>
        <v>0</v>
      </c>
      <c r="D12608">
        <v>0.945500593517</v>
      </c>
      <c r="E12608">
        <v>14.176911544227799</v>
      </c>
    </row>
    <row r="12609" spans="1:5">
      <c r="A12609" t="s">
        <v>14555</v>
      </c>
      <c r="B12609" t="s">
        <v>14564</v>
      </c>
      <c r="C12609">
        <v>0</v>
      </c>
      <c r="D12609">
        <v>0.945500593517</v>
      </c>
      <c r="E12609">
        <v>14.176911544227799</v>
      </c>
    </row>
    <row r="12610" spans="1:5">
      <c r="A12610" t="s">
        <v>14555</v>
      </c>
      <c r="B12610" t="s">
        <v>14565</v>
      </c>
      <c r="C12610">
        <v>9.44101481538E-2</v>
      </c>
      <c r="D12610">
        <v>0.945500593517</v>
      </c>
      <c r="E12610">
        <v>14.176911544227799</v>
      </c>
    </row>
    <row r="12611" spans="1:5">
      <c r="A12611" t="s">
        <v>14555</v>
      </c>
      <c r="B12611" t="s">
        <v>14566</v>
      </c>
      <c r="C12611">
        <f>0</f>
        <v>0</v>
      </c>
      <c r="D12611">
        <v>0.945500593517</v>
      </c>
      <c r="E12611">
        <v>14.176911544227799</v>
      </c>
    </row>
    <row r="12612" spans="1:5">
      <c r="A12612" t="s">
        <v>14555</v>
      </c>
      <c r="B12612" t="s">
        <v>14567</v>
      </c>
      <c r="C12612">
        <v>7.2867829813899998E-2</v>
      </c>
      <c r="D12612">
        <v>0.945500593517</v>
      </c>
      <c r="E12612">
        <v>14.176911544227799</v>
      </c>
    </row>
    <row r="12613" spans="1:5">
      <c r="A12613" t="s">
        <v>14555</v>
      </c>
      <c r="B12613" t="s">
        <v>14568</v>
      </c>
      <c r="C12613">
        <v>0</v>
      </c>
      <c r="D12613">
        <v>0.945500593517</v>
      </c>
      <c r="E12613">
        <v>14.176911544227799</v>
      </c>
    </row>
    <row r="12614" spans="1:5">
      <c r="A12614" t="s">
        <v>14555</v>
      </c>
      <c r="B12614" t="s">
        <v>14569</v>
      </c>
      <c r="C12614">
        <f>0</f>
        <v>0</v>
      </c>
      <c r="D12614">
        <v>0.945500593517</v>
      </c>
      <c r="E12614">
        <v>14.176911544227799</v>
      </c>
    </row>
    <row r="12615" spans="1:5">
      <c r="A12615" t="s">
        <v>14555</v>
      </c>
      <c r="B12615" t="s">
        <v>14570</v>
      </c>
      <c r="C12615">
        <v>0</v>
      </c>
      <c r="D12615">
        <v>0.945500593517</v>
      </c>
      <c r="E12615">
        <v>14.176911544227799</v>
      </c>
    </row>
    <row r="12616" spans="1:5">
      <c r="A12616" t="s">
        <v>14555</v>
      </c>
      <c r="B12616" t="s">
        <v>14571</v>
      </c>
      <c r="C12616">
        <v>0</v>
      </c>
      <c r="D12616">
        <v>0.945500593517</v>
      </c>
      <c r="E12616">
        <v>14.176911544227799</v>
      </c>
    </row>
    <row r="12617" spans="1:5">
      <c r="A12617" t="s">
        <v>14572</v>
      </c>
      <c r="B12617" t="s">
        <v>14573</v>
      </c>
      <c r="C12617">
        <v>0.21104825539899999</v>
      </c>
      <c r="D12617">
        <v>0.99849703938599998</v>
      </c>
      <c r="E12617">
        <v>16.095952023988001</v>
      </c>
    </row>
    <row r="12618" spans="1:5">
      <c r="A12618" t="s">
        <v>14572</v>
      </c>
      <c r="B12618" t="s">
        <v>14574</v>
      </c>
      <c r="C12618">
        <f>0</f>
        <v>0</v>
      </c>
      <c r="D12618">
        <v>0.99849703938599998</v>
      </c>
      <c r="E12618">
        <v>16.095952023988001</v>
      </c>
    </row>
    <row r="12619" spans="1:5">
      <c r="A12619" t="s">
        <v>14572</v>
      </c>
      <c r="B12619" t="s">
        <v>14575</v>
      </c>
      <c r="C12619">
        <v>0</v>
      </c>
      <c r="D12619">
        <v>0.99849703938599998</v>
      </c>
      <c r="E12619">
        <v>16.095952023988001</v>
      </c>
    </row>
    <row r="12620" spans="1:5">
      <c r="A12620" t="s">
        <v>14572</v>
      </c>
      <c r="B12620" t="s">
        <v>14576</v>
      </c>
      <c r="C12620">
        <v>0</v>
      </c>
      <c r="D12620">
        <v>0.99849703938599998</v>
      </c>
      <c r="E12620">
        <v>16.095952023988001</v>
      </c>
    </row>
    <row r="12621" spans="1:5">
      <c r="A12621" t="s">
        <v>14572</v>
      </c>
      <c r="B12621" t="s">
        <v>14577</v>
      </c>
      <c r="C12621">
        <f>0</f>
        <v>0</v>
      </c>
      <c r="D12621">
        <v>0.99849703938599998</v>
      </c>
      <c r="E12621">
        <v>16.095952023988001</v>
      </c>
    </row>
    <row r="12622" spans="1:5">
      <c r="A12622" t="s">
        <v>14572</v>
      </c>
      <c r="B12622" t="s">
        <v>14578</v>
      </c>
      <c r="C12622">
        <v>0</v>
      </c>
      <c r="D12622">
        <v>0.99849703938599998</v>
      </c>
      <c r="E12622">
        <v>16.095952023988001</v>
      </c>
    </row>
    <row r="12623" spans="1:5">
      <c r="A12623" t="s">
        <v>14572</v>
      </c>
      <c r="B12623" t="s">
        <v>14579</v>
      </c>
      <c r="C12623">
        <f>0</f>
        <v>0</v>
      </c>
      <c r="D12623">
        <v>0.99849703938599998</v>
      </c>
      <c r="E12623">
        <v>16.095952023988001</v>
      </c>
    </row>
    <row r="12624" spans="1:5">
      <c r="A12624" t="s">
        <v>14572</v>
      </c>
      <c r="B12624" t="s">
        <v>14580</v>
      </c>
      <c r="C12624">
        <v>0</v>
      </c>
      <c r="D12624">
        <v>0.99849703938599998</v>
      </c>
      <c r="E12624">
        <v>16.095952023988001</v>
      </c>
    </row>
    <row r="12625" spans="1:5">
      <c r="A12625" t="s">
        <v>14572</v>
      </c>
      <c r="B12625" t="s">
        <v>14581</v>
      </c>
      <c r="C12625">
        <v>0</v>
      </c>
      <c r="D12625">
        <v>0.99849703938599998</v>
      </c>
      <c r="E12625">
        <v>16.095952023988001</v>
      </c>
    </row>
    <row r="12626" spans="1:5">
      <c r="A12626" t="s">
        <v>14572</v>
      </c>
      <c r="B12626" t="s">
        <v>14582</v>
      </c>
      <c r="C12626">
        <f>0</f>
        <v>0</v>
      </c>
      <c r="D12626">
        <v>0.99849703938599998</v>
      </c>
      <c r="E12626">
        <v>16.095952023988001</v>
      </c>
    </row>
    <row r="12627" spans="1:5">
      <c r="A12627" t="s">
        <v>14572</v>
      </c>
      <c r="B12627" t="s">
        <v>14583</v>
      </c>
      <c r="C12627">
        <v>8.03215671651E-2</v>
      </c>
      <c r="D12627">
        <v>0.99849703938599998</v>
      </c>
      <c r="E12627">
        <v>16.095952023988001</v>
      </c>
    </row>
    <row r="12628" spans="1:5">
      <c r="A12628" t="s">
        <v>14572</v>
      </c>
      <c r="B12628" t="s">
        <v>14584</v>
      </c>
      <c r="C12628">
        <f>0</f>
        <v>0</v>
      </c>
      <c r="D12628">
        <v>0.99849703938599998</v>
      </c>
      <c r="E12628">
        <v>16.095952023988001</v>
      </c>
    </row>
    <row r="12629" spans="1:5">
      <c r="A12629" t="s">
        <v>14572</v>
      </c>
      <c r="B12629" t="s">
        <v>14585</v>
      </c>
      <c r="C12629">
        <v>0</v>
      </c>
      <c r="D12629">
        <v>0.99849703938599998</v>
      </c>
      <c r="E12629">
        <v>16.095952023988001</v>
      </c>
    </row>
    <row r="12630" spans="1:5">
      <c r="A12630" t="s">
        <v>14572</v>
      </c>
      <c r="B12630" t="s">
        <v>14586</v>
      </c>
      <c r="C12630">
        <v>0</v>
      </c>
      <c r="D12630">
        <v>0.99849703938599998</v>
      </c>
      <c r="E12630">
        <v>16.095952023988001</v>
      </c>
    </row>
    <row r="12631" spans="1:5">
      <c r="A12631" t="s">
        <v>14587</v>
      </c>
      <c r="B12631" t="s">
        <v>14588</v>
      </c>
      <c r="C12631">
        <v>0</v>
      </c>
      <c r="D12631" t="s">
        <v>106</v>
      </c>
      <c r="E12631">
        <v>4.3778110944527704</v>
      </c>
    </row>
    <row r="12632" spans="1:5">
      <c r="A12632" t="s">
        <v>14587</v>
      </c>
      <c r="B12632" t="s">
        <v>14589</v>
      </c>
      <c r="C12632">
        <f>0</f>
        <v>0</v>
      </c>
      <c r="D12632" t="s">
        <v>106</v>
      </c>
      <c r="E12632">
        <v>4.3778110944527704</v>
      </c>
    </row>
    <row r="12633" spans="1:5">
      <c r="A12633" t="s">
        <v>14587</v>
      </c>
      <c r="B12633" t="s">
        <v>14590</v>
      </c>
      <c r="C12633">
        <v>0</v>
      </c>
      <c r="D12633" t="s">
        <v>106</v>
      </c>
      <c r="E12633">
        <v>4.3778110944527704</v>
      </c>
    </row>
    <row r="12634" spans="1:5">
      <c r="A12634" t="s">
        <v>14587</v>
      </c>
      <c r="B12634" t="s">
        <v>14591</v>
      </c>
      <c r="C12634">
        <f>0</f>
        <v>0</v>
      </c>
      <c r="D12634" t="s">
        <v>106</v>
      </c>
      <c r="E12634">
        <v>4.3778110944527704</v>
      </c>
    </row>
    <row r="12635" spans="1:5">
      <c r="A12635" t="s">
        <v>14587</v>
      </c>
      <c r="B12635" t="s">
        <v>14592</v>
      </c>
      <c r="C12635">
        <f>0</f>
        <v>0</v>
      </c>
      <c r="D12635" t="s">
        <v>106</v>
      </c>
      <c r="E12635">
        <v>4.3778110944527704</v>
      </c>
    </row>
    <row r="12636" spans="1:5">
      <c r="A12636" t="s">
        <v>14587</v>
      </c>
      <c r="B12636" t="s">
        <v>14593</v>
      </c>
      <c r="C12636">
        <f>0</f>
        <v>0</v>
      </c>
      <c r="D12636" t="s">
        <v>106</v>
      </c>
      <c r="E12636">
        <v>4.3778110944527704</v>
      </c>
    </row>
    <row r="12637" spans="1:5">
      <c r="A12637" t="s">
        <v>14587</v>
      </c>
      <c r="B12637" t="s">
        <v>14594</v>
      </c>
      <c r="C12637">
        <f>0</f>
        <v>0</v>
      </c>
      <c r="D12637" t="s">
        <v>106</v>
      </c>
      <c r="E12637">
        <v>4.3778110944527704</v>
      </c>
    </row>
    <row r="12638" spans="1:5">
      <c r="A12638" t="s">
        <v>14595</v>
      </c>
      <c r="B12638" t="s">
        <v>14596</v>
      </c>
      <c r="C12638">
        <f>0</f>
        <v>0</v>
      </c>
      <c r="D12638" t="s">
        <v>106</v>
      </c>
      <c r="E12638">
        <v>1.39130434782608</v>
      </c>
    </row>
    <row r="12639" spans="1:5">
      <c r="A12639" t="s">
        <v>14597</v>
      </c>
      <c r="B12639" t="s">
        <v>14598</v>
      </c>
      <c r="C12639">
        <f>0</f>
        <v>0</v>
      </c>
      <c r="D12639" t="s">
        <v>106</v>
      </c>
      <c r="E12639">
        <v>10.878560719640101</v>
      </c>
    </row>
    <row r="12640" spans="1:5">
      <c r="A12640" t="s">
        <v>14597</v>
      </c>
      <c r="B12640" t="s">
        <v>14599</v>
      </c>
      <c r="C12640">
        <v>0</v>
      </c>
      <c r="D12640" t="s">
        <v>106</v>
      </c>
      <c r="E12640">
        <v>10.878560719640101</v>
      </c>
    </row>
    <row r="12641" spans="1:5">
      <c r="A12641" t="s">
        <v>14597</v>
      </c>
      <c r="B12641" t="s">
        <v>14600</v>
      </c>
      <c r="C12641">
        <v>0</v>
      </c>
      <c r="D12641" t="s">
        <v>106</v>
      </c>
      <c r="E12641">
        <v>10.878560719640101</v>
      </c>
    </row>
    <row r="12642" spans="1:5">
      <c r="A12642" t="s">
        <v>14597</v>
      </c>
      <c r="B12642" t="s">
        <v>14601</v>
      </c>
      <c r="C12642">
        <f>0</f>
        <v>0</v>
      </c>
      <c r="D12642" t="s">
        <v>106</v>
      </c>
      <c r="E12642">
        <v>10.878560719640101</v>
      </c>
    </row>
    <row r="12643" spans="1:5">
      <c r="A12643" t="s">
        <v>14597</v>
      </c>
      <c r="B12643" t="s">
        <v>14602</v>
      </c>
      <c r="C12643">
        <v>0</v>
      </c>
      <c r="D12643" t="s">
        <v>106</v>
      </c>
      <c r="E12643">
        <v>10.878560719640101</v>
      </c>
    </row>
    <row r="12644" spans="1:5">
      <c r="A12644" t="s">
        <v>14597</v>
      </c>
      <c r="B12644" t="s">
        <v>14603</v>
      </c>
      <c r="C12644">
        <f>0</f>
        <v>0</v>
      </c>
      <c r="D12644" t="s">
        <v>106</v>
      </c>
      <c r="E12644">
        <v>10.878560719640101</v>
      </c>
    </row>
    <row r="12645" spans="1:5">
      <c r="A12645" t="s">
        <v>14597</v>
      </c>
      <c r="B12645" t="s">
        <v>14604</v>
      </c>
      <c r="C12645">
        <v>0</v>
      </c>
      <c r="D12645" t="s">
        <v>106</v>
      </c>
      <c r="E12645">
        <v>10.878560719640101</v>
      </c>
    </row>
    <row r="12646" spans="1:5">
      <c r="A12646" t="s">
        <v>14597</v>
      </c>
      <c r="B12646" t="s">
        <v>14605</v>
      </c>
      <c r="C12646">
        <f>0</f>
        <v>0</v>
      </c>
      <c r="D12646" t="s">
        <v>106</v>
      </c>
      <c r="E12646">
        <v>10.878560719640101</v>
      </c>
    </row>
    <row r="12647" spans="1:5">
      <c r="A12647" t="s">
        <v>14597</v>
      </c>
      <c r="B12647" t="s">
        <v>14606</v>
      </c>
      <c r="C12647">
        <v>0</v>
      </c>
      <c r="D12647" t="s">
        <v>106</v>
      </c>
      <c r="E12647">
        <v>10.878560719640101</v>
      </c>
    </row>
    <row r="12648" spans="1:5">
      <c r="A12648" t="s">
        <v>14607</v>
      </c>
      <c r="B12648" t="s">
        <v>14608</v>
      </c>
      <c r="C12648">
        <v>0.40207152732200002</v>
      </c>
      <c r="D12648">
        <v>0.98701279845699996</v>
      </c>
      <c r="E12648">
        <v>13.2653673163418</v>
      </c>
    </row>
    <row r="12649" spans="1:5">
      <c r="A12649" t="s">
        <v>14607</v>
      </c>
      <c r="B12649" t="s">
        <v>14609</v>
      </c>
      <c r="C12649">
        <f>0.0287815838887</f>
        <v>2.8781583888699998E-2</v>
      </c>
      <c r="D12649">
        <v>0.98701279845699996</v>
      </c>
      <c r="E12649">
        <v>13.2653673163418</v>
      </c>
    </row>
    <row r="12650" spans="1:5">
      <c r="A12650" t="s">
        <v>14610</v>
      </c>
      <c r="B12650" t="s">
        <v>14611</v>
      </c>
      <c r="C12650">
        <v>0</v>
      </c>
      <c r="D12650" t="s">
        <v>106</v>
      </c>
      <c r="E12650">
        <v>2.96251874062968</v>
      </c>
    </row>
    <row r="12651" spans="1:5">
      <c r="A12651" t="s">
        <v>14612</v>
      </c>
      <c r="B12651" t="s">
        <v>14613</v>
      </c>
      <c r="C12651">
        <v>0.14909165467999999</v>
      </c>
      <c r="D12651">
        <v>0.99016622700500001</v>
      </c>
      <c r="E12651">
        <v>15.904047976011899</v>
      </c>
    </row>
    <row r="12652" spans="1:5">
      <c r="A12652" t="s">
        <v>14612</v>
      </c>
      <c r="B12652" t="s">
        <v>14614</v>
      </c>
      <c r="C12652">
        <v>0.239442268047</v>
      </c>
      <c r="D12652">
        <v>0.99016622700500001</v>
      </c>
      <c r="E12652">
        <v>15.904047976011899</v>
      </c>
    </row>
    <row r="12653" spans="1:5">
      <c r="A12653" t="s">
        <v>14612</v>
      </c>
      <c r="B12653" t="s">
        <v>14615</v>
      </c>
      <c r="C12653">
        <f>0</f>
        <v>0</v>
      </c>
      <c r="D12653">
        <v>0.99016622700500001</v>
      </c>
      <c r="E12653">
        <v>15.904047976011899</v>
      </c>
    </row>
    <row r="12654" spans="1:5">
      <c r="A12654" t="s">
        <v>14616</v>
      </c>
      <c r="B12654" t="s">
        <v>14617</v>
      </c>
      <c r="C12654">
        <v>0</v>
      </c>
      <c r="D12654">
        <v>0.567853666541</v>
      </c>
      <c r="E12654">
        <v>16.695652173913</v>
      </c>
    </row>
    <row r="12655" spans="1:5">
      <c r="A12655" t="s">
        <v>14616</v>
      </c>
      <c r="B12655" t="s">
        <v>14618</v>
      </c>
      <c r="C12655">
        <v>0</v>
      </c>
      <c r="D12655">
        <v>0.567853666541</v>
      </c>
      <c r="E12655">
        <v>16.695652173913</v>
      </c>
    </row>
    <row r="12656" spans="1:5">
      <c r="A12656" t="s">
        <v>14616</v>
      </c>
      <c r="B12656" t="s">
        <v>14619</v>
      </c>
      <c r="C12656">
        <v>0</v>
      </c>
      <c r="D12656">
        <v>0.567853666541</v>
      </c>
      <c r="E12656">
        <v>16.695652173913</v>
      </c>
    </row>
    <row r="12657" spans="1:5">
      <c r="A12657" t="s">
        <v>14616</v>
      </c>
      <c r="B12657" t="s">
        <v>14620</v>
      </c>
      <c r="C12657">
        <v>0</v>
      </c>
      <c r="D12657">
        <v>0.567853666541</v>
      </c>
      <c r="E12657">
        <v>16.695652173913</v>
      </c>
    </row>
    <row r="12658" spans="1:5">
      <c r="A12658" t="s">
        <v>14616</v>
      </c>
      <c r="B12658" t="s">
        <v>14621</v>
      </c>
      <c r="C12658">
        <v>0</v>
      </c>
      <c r="D12658">
        <v>0.567853666541</v>
      </c>
      <c r="E12658">
        <v>16.695652173913</v>
      </c>
    </row>
    <row r="12659" spans="1:5">
      <c r="A12659" t="s">
        <v>14616</v>
      </c>
      <c r="B12659" t="s">
        <v>14622</v>
      </c>
      <c r="C12659">
        <f>0</f>
        <v>0</v>
      </c>
      <c r="D12659">
        <v>0.567853666541</v>
      </c>
      <c r="E12659">
        <v>16.695652173913</v>
      </c>
    </row>
    <row r="12660" spans="1:5">
      <c r="A12660" t="s">
        <v>14616</v>
      </c>
      <c r="B12660" t="s">
        <v>14623</v>
      </c>
      <c r="C12660">
        <v>6.2822248421100001E-3</v>
      </c>
      <c r="D12660">
        <v>0.567853666541</v>
      </c>
      <c r="E12660">
        <v>16.695652173913</v>
      </c>
    </row>
    <row r="12661" spans="1:5">
      <c r="A12661" t="s">
        <v>14616</v>
      </c>
      <c r="B12661" t="s">
        <v>14624</v>
      </c>
      <c r="C12661">
        <v>0</v>
      </c>
      <c r="D12661">
        <v>0.567853666541</v>
      </c>
      <c r="E12661">
        <v>16.695652173913</v>
      </c>
    </row>
    <row r="12662" spans="1:5">
      <c r="A12662" t="s">
        <v>14625</v>
      </c>
      <c r="B12662" t="s">
        <v>14626</v>
      </c>
      <c r="C12662">
        <f>0</f>
        <v>0</v>
      </c>
      <c r="D12662" t="s">
        <v>106</v>
      </c>
      <c r="E12662">
        <v>1.45127436281859</v>
      </c>
    </row>
    <row r="12663" spans="1:5">
      <c r="A12663" t="s">
        <v>14625</v>
      </c>
      <c r="B12663" t="s">
        <v>14627</v>
      </c>
      <c r="C12663">
        <f>0</f>
        <v>0</v>
      </c>
      <c r="D12663" t="s">
        <v>106</v>
      </c>
      <c r="E12663">
        <v>1.45127436281859</v>
      </c>
    </row>
    <row r="12664" spans="1:5">
      <c r="A12664" t="s">
        <v>14625</v>
      </c>
      <c r="B12664" t="s">
        <v>14628</v>
      </c>
      <c r="C12664">
        <f>0</f>
        <v>0</v>
      </c>
      <c r="D12664" t="s">
        <v>106</v>
      </c>
      <c r="E12664">
        <v>1.45127436281859</v>
      </c>
    </row>
    <row r="12665" spans="1:5">
      <c r="A12665" t="s">
        <v>14629</v>
      </c>
      <c r="B12665" t="s">
        <v>14630</v>
      </c>
      <c r="C12665">
        <f>0</f>
        <v>0</v>
      </c>
      <c r="D12665" t="s">
        <v>106</v>
      </c>
      <c r="E12665">
        <v>12.2098950524737</v>
      </c>
    </row>
    <row r="12666" spans="1:5">
      <c r="A12666" t="s">
        <v>14629</v>
      </c>
      <c r="B12666" t="s">
        <v>14631</v>
      </c>
      <c r="C12666">
        <f>0</f>
        <v>0</v>
      </c>
      <c r="D12666" t="s">
        <v>106</v>
      </c>
      <c r="E12666">
        <v>12.2098950524737</v>
      </c>
    </row>
    <row r="12667" spans="1:5">
      <c r="A12667" t="s">
        <v>14629</v>
      </c>
      <c r="B12667" t="s">
        <v>14632</v>
      </c>
      <c r="C12667">
        <v>0</v>
      </c>
      <c r="D12667" t="s">
        <v>106</v>
      </c>
      <c r="E12667">
        <v>12.2098950524737</v>
      </c>
    </row>
    <row r="12668" spans="1:5">
      <c r="A12668" t="s">
        <v>14629</v>
      </c>
      <c r="B12668" t="s">
        <v>14633</v>
      </c>
      <c r="C12668">
        <f>0</f>
        <v>0</v>
      </c>
      <c r="D12668" t="s">
        <v>106</v>
      </c>
      <c r="E12668">
        <v>12.2098950524737</v>
      </c>
    </row>
    <row r="12669" spans="1:5">
      <c r="A12669" t="s">
        <v>14629</v>
      </c>
      <c r="B12669" t="s">
        <v>14634</v>
      </c>
      <c r="C12669">
        <f>0</f>
        <v>0</v>
      </c>
      <c r="D12669" t="s">
        <v>106</v>
      </c>
      <c r="E12669">
        <v>12.2098950524737</v>
      </c>
    </row>
    <row r="12670" spans="1:5">
      <c r="A12670" t="s">
        <v>14629</v>
      </c>
      <c r="B12670" t="s">
        <v>14635</v>
      </c>
      <c r="C12670">
        <v>0</v>
      </c>
      <c r="D12670" t="s">
        <v>106</v>
      </c>
      <c r="E12670">
        <v>12.2098950524737</v>
      </c>
    </row>
    <row r="12671" spans="1:5">
      <c r="A12671" t="s">
        <v>14629</v>
      </c>
      <c r="B12671" t="s">
        <v>14636</v>
      </c>
      <c r="C12671">
        <f>0</f>
        <v>0</v>
      </c>
      <c r="D12671" t="s">
        <v>106</v>
      </c>
      <c r="E12671">
        <v>12.2098950524737</v>
      </c>
    </row>
    <row r="12672" spans="1:5">
      <c r="A12672" t="s">
        <v>14629</v>
      </c>
      <c r="B12672" t="s">
        <v>14637</v>
      </c>
      <c r="C12672">
        <f>0</f>
        <v>0</v>
      </c>
      <c r="D12672" t="s">
        <v>106</v>
      </c>
      <c r="E12672">
        <v>12.2098950524737</v>
      </c>
    </row>
    <row r="12673" spans="1:5">
      <c r="A12673" t="s">
        <v>14638</v>
      </c>
      <c r="B12673" t="s">
        <v>14639</v>
      </c>
      <c r="C12673">
        <v>0.24471172844</v>
      </c>
      <c r="D12673">
        <v>0.98034801254399995</v>
      </c>
      <c r="E12673">
        <v>11.7061469265367</v>
      </c>
    </row>
    <row r="12674" spans="1:5">
      <c r="A12674" t="s">
        <v>14638</v>
      </c>
      <c r="B12674" t="s">
        <v>14640</v>
      </c>
      <c r="C12674">
        <f>0.00808138547669</f>
        <v>8.0813854766899999E-3</v>
      </c>
      <c r="D12674">
        <v>0.98034801254399995</v>
      </c>
      <c r="E12674">
        <v>11.7061469265367</v>
      </c>
    </row>
    <row r="12675" spans="1:5">
      <c r="A12675" t="s">
        <v>14641</v>
      </c>
      <c r="B12675" t="s">
        <v>14642</v>
      </c>
      <c r="C12675">
        <v>0</v>
      </c>
      <c r="D12675" t="s">
        <v>106</v>
      </c>
      <c r="E12675">
        <v>17.511244377811</v>
      </c>
    </row>
    <row r="12676" spans="1:5">
      <c r="A12676" t="s">
        <v>14641</v>
      </c>
      <c r="B12676" t="s">
        <v>14643</v>
      </c>
      <c r="C12676">
        <f>0</f>
        <v>0</v>
      </c>
      <c r="D12676" t="s">
        <v>106</v>
      </c>
      <c r="E12676">
        <v>17.511244377811</v>
      </c>
    </row>
    <row r="12677" spans="1:5">
      <c r="A12677" t="s">
        <v>14641</v>
      </c>
      <c r="B12677" t="s">
        <v>14644</v>
      </c>
      <c r="C12677">
        <v>5.8630352430100001E-3</v>
      </c>
      <c r="D12677" t="s">
        <v>106</v>
      </c>
      <c r="E12677">
        <v>17.511244377811</v>
      </c>
    </row>
    <row r="12678" spans="1:5">
      <c r="A12678" t="s">
        <v>14641</v>
      </c>
      <c r="B12678" t="s">
        <v>14645</v>
      </c>
      <c r="C12678">
        <f>0</f>
        <v>0</v>
      </c>
      <c r="D12678" t="s">
        <v>106</v>
      </c>
      <c r="E12678">
        <v>17.511244377811</v>
      </c>
    </row>
    <row r="12679" spans="1:5">
      <c r="A12679" t="s">
        <v>14641</v>
      </c>
      <c r="B12679" t="s">
        <v>14646</v>
      </c>
      <c r="C12679">
        <f>0.00454468635807</f>
        <v>4.5446863580699999E-3</v>
      </c>
      <c r="D12679" t="s">
        <v>106</v>
      </c>
      <c r="E12679">
        <v>17.511244377811</v>
      </c>
    </row>
    <row r="12680" spans="1:5">
      <c r="A12680" t="s">
        <v>14647</v>
      </c>
      <c r="B12680" t="s">
        <v>14648</v>
      </c>
      <c r="C12680">
        <v>0</v>
      </c>
      <c r="D12680" t="s">
        <v>106</v>
      </c>
      <c r="E12680">
        <v>13.8170914542728</v>
      </c>
    </row>
    <row r="12681" spans="1:5">
      <c r="A12681" t="s">
        <v>14647</v>
      </c>
      <c r="B12681" t="s">
        <v>14649</v>
      </c>
      <c r="C12681">
        <v>0</v>
      </c>
      <c r="D12681" t="s">
        <v>106</v>
      </c>
      <c r="E12681">
        <v>13.8170914542728</v>
      </c>
    </row>
    <row r="12682" spans="1:5">
      <c r="A12682" t="s">
        <v>14647</v>
      </c>
      <c r="B12682" t="s">
        <v>14650</v>
      </c>
      <c r="C12682">
        <v>0</v>
      </c>
      <c r="D12682" t="s">
        <v>106</v>
      </c>
      <c r="E12682">
        <v>13.8170914542728</v>
      </c>
    </row>
    <row r="12683" spans="1:5">
      <c r="A12683" t="s">
        <v>14647</v>
      </c>
      <c r="B12683" t="s">
        <v>14651</v>
      </c>
      <c r="C12683">
        <f>0</f>
        <v>0</v>
      </c>
      <c r="D12683" t="s">
        <v>106</v>
      </c>
      <c r="E12683">
        <v>13.8170914542728</v>
      </c>
    </row>
    <row r="12684" spans="1:5">
      <c r="A12684" t="s">
        <v>14647</v>
      </c>
      <c r="B12684" t="s">
        <v>14652</v>
      </c>
      <c r="C12684">
        <f>0</f>
        <v>0</v>
      </c>
      <c r="D12684" t="s">
        <v>106</v>
      </c>
      <c r="E12684">
        <v>13.8170914542728</v>
      </c>
    </row>
    <row r="12685" spans="1:5">
      <c r="A12685" t="s">
        <v>14647</v>
      </c>
      <c r="B12685" t="s">
        <v>14653</v>
      </c>
      <c r="C12685">
        <f>0</f>
        <v>0</v>
      </c>
      <c r="D12685" t="s">
        <v>106</v>
      </c>
      <c r="E12685">
        <v>13.8170914542728</v>
      </c>
    </row>
    <row r="12686" spans="1:5">
      <c r="A12686" t="s">
        <v>14647</v>
      </c>
      <c r="B12686" t="s">
        <v>14654</v>
      </c>
      <c r="C12686">
        <f>0</f>
        <v>0</v>
      </c>
      <c r="D12686" t="s">
        <v>106</v>
      </c>
      <c r="E12686">
        <v>13.8170914542728</v>
      </c>
    </row>
    <row r="12687" spans="1:5">
      <c r="A12687" t="s">
        <v>14655</v>
      </c>
      <c r="B12687" t="s">
        <v>14656</v>
      </c>
      <c r="C12687">
        <v>0.25903072232500002</v>
      </c>
      <c r="D12687">
        <v>0.98778495634399999</v>
      </c>
      <c r="E12687">
        <v>13.625187406296799</v>
      </c>
    </row>
    <row r="12688" spans="1:5">
      <c r="A12688" t="s">
        <v>14655</v>
      </c>
      <c r="B12688" t="s">
        <v>14657</v>
      </c>
      <c r="C12688">
        <v>0</v>
      </c>
      <c r="D12688">
        <v>0.98778495634399999</v>
      </c>
      <c r="E12688">
        <v>13.625187406296799</v>
      </c>
    </row>
    <row r="12689" spans="1:5">
      <c r="A12689" t="s">
        <v>14655</v>
      </c>
      <c r="B12689" t="s">
        <v>14658</v>
      </c>
      <c r="C12689">
        <v>0</v>
      </c>
      <c r="D12689">
        <v>0.98778495634399999</v>
      </c>
      <c r="E12689">
        <v>13.625187406296799</v>
      </c>
    </row>
    <row r="12690" spans="1:5">
      <c r="A12690" t="s">
        <v>14655</v>
      </c>
      <c r="B12690" t="s">
        <v>14659</v>
      </c>
      <c r="C12690">
        <v>0</v>
      </c>
      <c r="D12690">
        <v>0.98778495634399999</v>
      </c>
      <c r="E12690">
        <v>13.625187406296799</v>
      </c>
    </row>
    <row r="12691" spans="1:5">
      <c r="A12691" t="s">
        <v>14655</v>
      </c>
      <c r="B12691" t="s">
        <v>14660</v>
      </c>
      <c r="C12691">
        <f>0</f>
        <v>0</v>
      </c>
      <c r="D12691">
        <v>0.98778495634399999</v>
      </c>
      <c r="E12691">
        <v>13.625187406296799</v>
      </c>
    </row>
    <row r="12692" spans="1:5">
      <c r="A12692" t="s">
        <v>14655</v>
      </c>
      <c r="B12692" t="s">
        <v>14661</v>
      </c>
      <c r="C12692">
        <v>0</v>
      </c>
      <c r="D12692">
        <v>0.98778495634399999</v>
      </c>
      <c r="E12692">
        <v>13.625187406296799</v>
      </c>
    </row>
    <row r="12693" spans="1:5">
      <c r="A12693" t="s">
        <v>14655</v>
      </c>
      <c r="B12693" t="s">
        <v>14662</v>
      </c>
      <c r="C12693">
        <f>0</f>
        <v>0</v>
      </c>
      <c r="D12693">
        <v>0.98778495634399999</v>
      </c>
      <c r="E12693">
        <v>13.625187406296799</v>
      </c>
    </row>
    <row r="12694" spans="1:5">
      <c r="A12694" t="s">
        <v>14655</v>
      </c>
      <c r="B12694" t="s">
        <v>14663</v>
      </c>
      <c r="C12694">
        <v>0</v>
      </c>
      <c r="D12694">
        <v>0.98778495634399999</v>
      </c>
      <c r="E12694">
        <v>13.625187406296799</v>
      </c>
    </row>
    <row r="12695" spans="1:5">
      <c r="A12695" t="s">
        <v>14655</v>
      </c>
      <c r="B12695" t="s">
        <v>14664</v>
      </c>
      <c r="C12695">
        <v>0</v>
      </c>
      <c r="D12695">
        <v>0.98778495634399999</v>
      </c>
      <c r="E12695">
        <v>13.625187406296799</v>
      </c>
    </row>
    <row r="12696" spans="1:5">
      <c r="A12696" t="s">
        <v>14655</v>
      </c>
      <c r="B12696" t="s">
        <v>14665</v>
      </c>
      <c r="C12696">
        <v>0</v>
      </c>
      <c r="D12696">
        <v>0.98778495634399999</v>
      </c>
      <c r="E12696">
        <v>13.625187406296799</v>
      </c>
    </row>
    <row r="12697" spans="1:5">
      <c r="A12697" t="s">
        <v>14655</v>
      </c>
      <c r="B12697" t="s">
        <v>14666</v>
      </c>
      <c r="C12697">
        <f>0.0504594279042</f>
        <v>5.0459427904200001E-2</v>
      </c>
      <c r="D12697">
        <v>0.98778495634399999</v>
      </c>
      <c r="E12697">
        <v>13.625187406296799</v>
      </c>
    </row>
    <row r="12698" spans="1:5">
      <c r="A12698" t="s">
        <v>14655</v>
      </c>
      <c r="B12698" t="s">
        <v>14667</v>
      </c>
      <c r="C12698">
        <f>0</f>
        <v>0</v>
      </c>
      <c r="D12698">
        <v>0.98778495634399999</v>
      </c>
      <c r="E12698">
        <v>13.625187406296799</v>
      </c>
    </row>
    <row r="12699" spans="1:5">
      <c r="A12699" t="s">
        <v>14655</v>
      </c>
      <c r="B12699" t="s">
        <v>14668</v>
      </c>
      <c r="C12699">
        <v>0</v>
      </c>
      <c r="D12699">
        <v>0.98778495634399999</v>
      </c>
      <c r="E12699">
        <v>13.625187406296799</v>
      </c>
    </row>
    <row r="12700" spans="1:5">
      <c r="A12700" t="s">
        <v>14655</v>
      </c>
      <c r="B12700" t="s">
        <v>14669</v>
      </c>
      <c r="C12700">
        <v>0</v>
      </c>
      <c r="D12700">
        <v>0.98778495634399999</v>
      </c>
      <c r="E12700">
        <v>13.625187406296799</v>
      </c>
    </row>
    <row r="12701" spans="1:5">
      <c r="A12701" t="s">
        <v>14655</v>
      </c>
      <c r="B12701" t="s">
        <v>14670</v>
      </c>
      <c r="C12701">
        <v>0</v>
      </c>
      <c r="D12701">
        <v>0.98778495634399999</v>
      </c>
      <c r="E12701">
        <v>13.625187406296799</v>
      </c>
    </row>
    <row r="12702" spans="1:5">
      <c r="A12702" t="s">
        <v>14671</v>
      </c>
      <c r="B12702" t="s">
        <v>14672</v>
      </c>
      <c r="C12702">
        <v>0.496158238375</v>
      </c>
      <c r="D12702">
        <v>0.89506334594199999</v>
      </c>
      <c r="E12702">
        <v>4.2698650674662604</v>
      </c>
    </row>
    <row r="12703" spans="1:5">
      <c r="A12703" t="s">
        <v>14671</v>
      </c>
      <c r="B12703" t="s">
        <v>14673</v>
      </c>
      <c r="C12703">
        <f>0.417028853357</f>
        <v>0.41702885335700002</v>
      </c>
      <c r="D12703">
        <v>0.89506334594199999</v>
      </c>
      <c r="E12703">
        <v>4.2698650674662604</v>
      </c>
    </row>
    <row r="12704" spans="1:5">
      <c r="A12704" t="s">
        <v>14674</v>
      </c>
      <c r="B12704" t="s">
        <v>14675</v>
      </c>
      <c r="C12704">
        <v>0</v>
      </c>
      <c r="D12704">
        <v>0.99628536012799995</v>
      </c>
      <c r="E12704">
        <v>4.2698650674662604</v>
      </c>
    </row>
    <row r="12705" spans="1:5">
      <c r="A12705" t="s">
        <v>14674</v>
      </c>
      <c r="B12705" t="s">
        <v>14676</v>
      </c>
      <c r="C12705">
        <v>0</v>
      </c>
      <c r="D12705">
        <v>0.99628536012799995</v>
      </c>
      <c r="E12705">
        <v>4.2698650674662604</v>
      </c>
    </row>
    <row r="12706" spans="1:5">
      <c r="A12706" t="s">
        <v>14674</v>
      </c>
      <c r="B12706" t="s">
        <v>14677</v>
      </c>
      <c r="C12706">
        <v>0</v>
      </c>
      <c r="D12706">
        <v>0.99628536012799995</v>
      </c>
      <c r="E12706">
        <v>4.2698650674662604</v>
      </c>
    </row>
    <row r="12707" spans="1:5">
      <c r="A12707" t="s">
        <v>14674</v>
      </c>
      <c r="B12707" t="s">
        <v>14678</v>
      </c>
      <c r="C12707">
        <f>0.0358318816577</f>
        <v>3.5831881657700002E-2</v>
      </c>
      <c r="D12707">
        <v>0.99628536012799995</v>
      </c>
      <c r="E12707">
        <v>4.2698650674662604</v>
      </c>
    </row>
    <row r="12708" spans="1:5">
      <c r="A12708" t="s">
        <v>14674</v>
      </c>
      <c r="B12708" t="s">
        <v>14679</v>
      </c>
      <c r="C12708">
        <v>0.87669245196000001</v>
      </c>
      <c r="D12708">
        <v>0.99628536012799995</v>
      </c>
      <c r="E12708">
        <v>4.2698650674662604</v>
      </c>
    </row>
    <row r="12709" spans="1:5">
      <c r="A12709" t="s">
        <v>14680</v>
      </c>
      <c r="B12709" t="s">
        <v>14681</v>
      </c>
      <c r="C12709">
        <f>0.0780170767702</f>
        <v>7.8017076770200006E-2</v>
      </c>
      <c r="D12709">
        <v>0.97256278615199998</v>
      </c>
      <c r="E12709">
        <v>12.5577211394302</v>
      </c>
    </row>
    <row r="12710" spans="1:5">
      <c r="A12710" t="s">
        <v>14680</v>
      </c>
      <c r="B12710" t="s">
        <v>14682</v>
      </c>
      <c r="C12710">
        <f>0</f>
        <v>0</v>
      </c>
      <c r="D12710">
        <v>0.97256278615199998</v>
      </c>
      <c r="E12710">
        <v>12.5577211394302</v>
      </c>
    </row>
    <row r="12711" spans="1:5">
      <c r="A12711" t="s">
        <v>14680</v>
      </c>
      <c r="B12711" t="s">
        <v>14683</v>
      </c>
      <c r="C12711">
        <v>0</v>
      </c>
      <c r="D12711">
        <v>0.97256278615199998</v>
      </c>
      <c r="E12711">
        <v>12.5577211394302</v>
      </c>
    </row>
    <row r="12712" spans="1:5">
      <c r="A12712" t="s">
        <v>14680</v>
      </c>
      <c r="B12712" t="s">
        <v>14684</v>
      </c>
      <c r="C12712">
        <f>0.0257708732046</f>
        <v>2.57708732046E-2</v>
      </c>
      <c r="D12712">
        <v>0.97256278615199998</v>
      </c>
      <c r="E12712">
        <v>12.5577211394302</v>
      </c>
    </row>
    <row r="12713" spans="1:5">
      <c r="A12713" t="s">
        <v>14680</v>
      </c>
      <c r="B12713" t="s">
        <v>14685</v>
      </c>
      <c r="C12713">
        <f>0</f>
        <v>0</v>
      </c>
      <c r="D12713">
        <v>0.97256278615199998</v>
      </c>
      <c r="E12713">
        <v>12.5577211394302</v>
      </c>
    </row>
    <row r="12714" spans="1:5">
      <c r="A12714" t="s">
        <v>14680</v>
      </c>
      <c r="B12714" t="s">
        <v>14686</v>
      </c>
      <c r="C12714">
        <f>0</f>
        <v>0</v>
      </c>
      <c r="D12714">
        <v>0.97256278615199998</v>
      </c>
      <c r="E12714">
        <v>12.5577211394302</v>
      </c>
    </row>
    <row r="12715" spans="1:5">
      <c r="A12715" t="s">
        <v>14687</v>
      </c>
      <c r="B12715" t="s">
        <v>14688</v>
      </c>
      <c r="C12715">
        <v>0</v>
      </c>
      <c r="D12715" t="s">
        <v>106</v>
      </c>
      <c r="E12715">
        <v>12.0419790104947</v>
      </c>
    </row>
    <row r="12716" spans="1:5">
      <c r="A12716" t="s">
        <v>14689</v>
      </c>
      <c r="B12716" t="s">
        <v>14690</v>
      </c>
      <c r="C12716">
        <f>0</f>
        <v>0</v>
      </c>
      <c r="D12716">
        <v>0.95871835169300001</v>
      </c>
      <c r="E12716">
        <v>2.1709145427286298</v>
      </c>
    </row>
    <row r="12717" spans="1:5">
      <c r="A12717" t="s">
        <v>14689</v>
      </c>
      <c r="B12717" t="s">
        <v>14691</v>
      </c>
      <c r="C12717">
        <v>0</v>
      </c>
      <c r="D12717">
        <v>0.95871835169300001</v>
      </c>
      <c r="E12717">
        <v>2.1709145427286298</v>
      </c>
    </row>
    <row r="12718" spans="1:5">
      <c r="A12718" t="s">
        <v>14689</v>
      </c>
      <c r="B12718" t="s">
        <v>14692</v>
      </c>
      <c r="C12718">
        <v>0</v>
      </c>
      <c r="D12718">
        <v>0.95871835169300001</v>
      </c>
      <c r="E12718">
        <v>2.1709145427286298</v>
      </c>
    </row>
    <row r="12719" spans="1:5">
      <c r="A12719" t="s">
        <v>14689</v>
      </c>
      <c r="B12719" t="s">
        <v>14693</v>
      </c>
      <c r="C12719">
        <f>0</f>
        <v>0</v>
      </c>
      <c r="D12719">
        <v>0.95871835169300001</v>
      </c>
      <c r="E12719">
        <v>2.1709145427286298</v>
      </c>
    </row>
    <row r="12720" spans="1:5">
      <c r="A12720" t="s">
        <v>14689</v>
      </c>
      <c r="B12720" t="s">
        <v>14694</v>
      </c>
      <c r="C12720">
        <v>0</v>
      </c>
      <c r="D12720">
        <v>0.95871835169300001</v>
      </c>
      <c r="E12720">
        <v>2.1709145427286298</v>
      </c>
    </row>
    <row r="12721" spans="1:5">
      <c r="A12721" t="s">
        <v>14689</v>
      </c>
      <c r="B12721" t="s">
        <v>14695</v>
      </c>
      <c r="C12721">
        <f>0.0330972111326</f>
        <v>3.3097211132600002E-2</v>
      </c>
      <c r="D12721">
        <v>0.95871835169300001</v>
      </c>
      <c r="E12721">
        <v>2.1709145427286298</v>
      </c>
    </row>
    <row r="12722" spans="1:5">
      <c r="A12722" t="s">
        <v>14689</v>
      </c>
      <c r="B12722" t="s">
        <v>14696</v>
      </c>
      <c r="C12722">
        <v>0</v>
      </c>
      <c r="D12722">
        <v>0.95871835169300001</v>
      </c>
      <c r="E12722">
        <v>2.1709145427286298</v>
      </c>
    </row>
    <row r="12723" spans="1:5">
      <c r="A12723" t="s">
        <v>14689</v>
      </c>
      <c r="B12723" t="s">
        <v>14697</v>
      </c>
      <c r="C12723">
        <v>0</v>
      </c>
      <c r="D12723">
        <v>0.95871835169300001</v>
      </c>
      <c r="E12723">
        <v>2.1709145427286298</v>
      </c>
    </row>
    <row r="12724" spans="1:5">
      <c r="A12724" t="s">
        <v>14689</v>
      </c>
      <c r="B12724" t="s">
        <v>14698</v>
      </c>
      <c r="C12724">
        <v>0</v>
      </c>
      <c r="D12724">
        <v>0.95871835169300001</v>
      </c>
      <c r="E12724">
        <v>2.1709145427286298</v>
      </c>
    </row>
    <row r="12725" spans="1:5">
      <c r="A12725" t="s">
        <v>14689</v>
      </c>
      <c r="B12725" t="s">
        <v>14699</v>
      </c>
      <c r="C12725">
        <v>0</v>
      </c>
      <c r="D12725">
        <v>0.95871835169300001</v>
      </c>
      <c r="E12725">
        <v>2.1709145427286298</v>
      </c>
    </row>
    <row r="12726" spans="1:5">
      <c r="A12726" t="s">
        <v>14700</v>
      </c>
      <c r="B12726" t="s">
        <v>14701</v>
      </c>
      <c r="C12726">
        <f>0.747240347043</f>
        <v>0.74724034704300002</v>
      </c>
      <c r="D12726">
        <v>0.98508026604700005</v>
      </c>
      <c r="E12726">
        <v>1.89505247376311</v>
      </c>
    </row>
    <row r="12727" spans="1:5">
      <c r="A12727" t="s">
        <v>14700</v>
      </c>
      <c r="B12727" t="s">
        <v>14702</v>
      </c>
      <c r="C12727">
        <f>0.036609605488</f>
        <v>3.6609605487999998E-2</v>
      </c>
      <c r="D12727">
        <v>0.98508026604700005</v>
      </c>
      <c r="E12727">
        <v>1.89505247376311</v>
      </c>
    </row>
    <row r="12728" spans="1:5">
      <c r="A12728" t="s">
        <v>14703</v>
      </c>
      <c r="B12728" t="s">
        <v>14704</v>
      </c>
      <c r="C12728">
        <v>6.0535094870499996E-3</v>
      </c>
      <c r="D12728">
        <v>0.994725962681</v>
      </c>
      <c r="E12728">
        <v>1.00749625187406</v>
      </c>
    </row>
    <row r="12729" spans="1:5">
      <c r="A12729" t="s">
        <v>14703</v>
      </c>
      <c r="B12729" t="s">
        <v>14705</v>
      </c>
      <c r="C12729">
        <v>0</v>
      </c>
      <c r="D12729">
        <v>0.994725962681</v>
      </c>
      <c r="E12729">
        <v>1.00749625187406</v>
      </c>
    </row>
    <row r="12730" spans="1:5">
      <c r="A12730" t="s">
        <v>14703</v>
      </c>
      <c r="B12730" t="s">
        <v>14706</v>
      </c>
      <c r="C12730">
        <v>0</v>
      </c>
      <c r="D12730">
        <v>0.994725962681</v>
      </c>
      <c r="E12730">
        <v>1.00749625187406</v>
      </c>
    </row>
    <row r="12731" spans="1:5">
      <c r="A12731" t="s">
        <v>14703</v>
      </c>
      <c r="B12731" t="s">
        <v>14707</v>
      </c>
      <c r="C12731">
        <f>0</f>
        <v>0</v>
      </c>
      <c r="D12731">
        <v>0.994725962681</v>
      </c>
      <c r="E12731">
        <v>1.00749625187406</v>
      </c>
    </row>
    <row r="12732" spans="1:5">
      <c r="A12732" t="s">
        <v>14703</v>
      </c>
      <c r="B12732" t="s">
        <v>14708</v>
      </c>
      <c r="C12732">
        <f>0</f>
        <v>0</v>
      </c>
      <c r="D12732">
        <v>0.994725962681</v>
      </c>
      <c r="E12732">
        <v>1.00749625187406</v>
      </c>
    </row>
    <row r="12733" spans="1:5">
      <c r="A12733" t="s">
        <v>14709</v>
      </c>
      <c r="B12733" t="s">
        <v>14710</v>
      </c>
      <c r="C12733">
        <f>0</f>
        <v>0</v>
      </c>
      <c r="D12733">
        <v>0.89773371692000004</v>
      </c>
      <c r="E12733">
        <v>2.96251874062968</v>
      </c>
    </row>
    <row r="12734" spans="1:5">
      <c r="A12734" t="s">
        <v>14709</v>
      </c>
      <c r="B12734" t="s">
        <v>14711</v>
      </c>
      <c r="C12734">
        <f>0</f>
        <v>0</v>
      </c>
      <c r="D12734">
        <v>0.89773371692000004</v>
      </c>
      <c r="E12734">
        <v>2.96251874062968</v>
      </c>
    </row>
    <row r="12735" spans="1:5">
      <c r="A12735" t="s">
        <v>14709</v>
      </c>
      <c r="B12735" t="s">
        <v>14712</v>
      </c>
      <c r="C12735">
        <v>0</v>
      </c>
      <c r="D12735">
        <v>0.89773371692000004</v>
      </c>
      <c r="E12735">
        <v>2.96251874062968</v>
      </c>
    </row>
    <row r="12736" spans="1:5">
      <c r="A12736" t="s">
        <v>14709</v>
      </c>
      <c r="B12736" t="s">
        <v>14713</v>
      </c>
      <c r="C12736">
        <f>0</f>
        <v>0</v>
      </c>
      <c r="D12736">
        <v>0.89773371692000004</v>
      </c>
      <c r="E12736">
        <v>2.96251874062968</v>
      </c>
    </row>
    <row r="12737" spans="1:5">
      <c r="A12737" t="s">
        <v>14709</v>
      </c>
      <c r="B12737" t="s">
        <v>14714</v>
      </c>
      <c r="C12737">
        <f>0</f>
        <v>0</v>
      </c>
      <c r="D12737">
        <v>0.89773371692000004</v>
      </c>
      <c r="E12737">
        <v>2.96251874062968</v>
      </c>
    </row>
    <row r="12738" spans="1:5">
      <c r="A12738" t="s">
        <v>14709</v>
      </c>
      <c r="B12738" t="s">
        <v>14715</v>
      </c>
      <c r="C12738">
        <f>0</f>
        <v>0</v>
      </c>
      <c r="D12738">
        <v>0.89773371692000004</v>
      </c>
      <c r="E12738">
        <v>2.96251874062968</v>
      </c>
    </row>
    <row r="12739" spans="1:5">
      <c r="A12739" t="s">
        <v>14709</v>
      </c>
      <c r="B12739" t="s">
        <v>14716</v>
      </c>
      <c r="C12739">
        <f>0</f>
        <v>0</v>
      </c>
      <c r="D12739">
        <v>0.89773371692000004</v>
      </c>
      <c r="E12739">
        <v>2.96251874062968</v>
      </c>
    </row>
    <row r="12740" spans="1:5">
      <c r="A12740" t="s">
        <v>14709</v>
      </c>
      <c r="B12740" t="s">
        <v>14717</v>
      </c>
      <c r="C12740">
        <v>0</v>
      </c>
      <c r="D12740">
        <v>0.89773371692000004</v>
      </c>
      <c r="E12740">
        <v>2.96251874062968</v>
      </c>
    </row>
    <row r="12741" spans="1:5">
      <c r="A12741" t="s">
        <v>14709</v>
      </c>
      <c r="B12741" t="s">
        <v>14718</v>
      </c>
      <c r="C12741">
        <f>0</f>
        <v>0</v>
      </c>
      <c r="D12741">
        <v>0.89773371692000004</v>
      </c>
      <c r="E12741">
        <v>2.96251874062968</v>
      </c>
    </row>
    <row r="12742" spans="1:5">
      <c r="A12742" t="s">
        <v>14709</v>
      </c>
      <c r="B12742" t="s">
        <v>14719</v>
      </c>
      <c r="C12742">
        <f>0</f>
        <v>0</v>
      </c>
      <c r="D12742">
        <v>0.89773371692000004</v>
      </c>
      <c r="E12742">
        <v>2.96251874062968</v>
      </c>
    </row>
    <row r="12743" spans="1:5">
      <c r="A12743" t="s">
        <v>14709</v>
      </c>
      <c r="B12743" t="s">
        <v>14720</v>
      </c>
      <c r="C12743">
        <f>0</f>
        <v>0</v>
      </c>
      <c r="D12743">
        <v>0.89773371692000004</v>
      </c>
      <c r="E12743">
        <v>2.96251874062968</v>
      </c>
    </row>
    <row r="12744" spans="1:5">
      <c r="A12744" t="s">
        <v>14709</v>
      </c>
      <c r="B12744" t="s">
        <v>14721</v>
      </c>
      <c r="C12744">
        <f>0.179213242182</f>
        <v>0.17921324218199999</v>
      </c>
      <c r="D12744">
        <v>0.89773371692000004</v>
      </c>
      <c r="E12744">
        <v>2.96251874062968</v>
      </c>
    </row>
    <row r="12745" spans="1:5">
      <c r="A12745" t="s">
        <v>14709</v>
      </c>
      <c r="B12745" t="s">
        <v>14722</v>
      </c>
      <c r="C12745">
        <f>0</f>
        <v>0</v>
      </c>
      <c r="D12745">
        <v>0.89773371692000004</v>
      </c>
      <c r="E12745">
        <v>2.96251874062968</v>
      </c>
    </row>
    <row r="12746" spans="1:5">
      <c r="A12746" t="s">
        <v>14709</v>
      </c>
      <c r="B12746" t="s">
        <v>14723</v>
      </c>
      <c r="C12746">
        <f>0</f>
        <v>0</v>
      </c>
      <c r="D12746">
        <v>0.89773371692000004</v>
      </c>
      <c r="E12746">
        <v>2.96251874062968</v>
      </c>
    </row>
    <row r="12747" spans="1:5">
      <c r="A12747" t="s">
        <v>14709</v>
      </c>
      <c r="B12747" t="s">
        <v>14724</v>
      </c>
      <c r="C12747">
        <f>0</f>
        <v>0</v>
      </c>
      <c r="D12747">
        <v>0.89773371692000004</v>
      </c>
      <c r="E12747">
        <v>2.96251874062968</v>
      </c>
    </row>
    <row r="12748" spans="1:5">
      <c r="A12748" t="s">
        <v>14725</v>
      </c>
      <c r="B12748" t="s">
        <v>14726</v>
      </c>
      <c r="C12748">
        <v>0.14709736397100001</v>
      </c>
      <c r="D12748">
        <v>0.99728265279600004</v>
      </c>
      <c r="E12748">
        <v>24</v>
      </c>
    </row>
    <row r="12749" spans="1:5">
      <c r="A12749" t="s">
        <v>14725</v>
      </c>
      <c r="B12749" t="s">
        <v>14727</v>
      </c>
      <c r="C12749">
        <v>0</v>
      </c>
      <c r="D12749">
        <v>0.99728265279600004</v>
      </c>
      <c r="E12749">
        <v>24</v>
      </c>
    </row>
    <row r="12750" spans="1:5">
      <c r="A12750" t="s">
        <v>14725</v>
      </c>
      <c r="B12750" t="s">
        <v>14728</v>
      </c>
      <c r="C12750">
        <v>0</v>
      </c>
      <c r="D12750">
        <v>0.99728265279600004</v>
      </c>
      <c r="E12750">
        <v>24</v>
      </c>
    </row>
    <row r="12751" spans="1:5">
      <c r="A12751" t="s">
        <v>14725</v>
      </c>
      <c r="B12751" t="s">
        <v>14729</v>
      </c>
      <c r="C12751">
        <v>4.1702026986100003E-2</v>
      </c>
      <c r="D12751">
        <v>0.99728265279600004</v>
      </c>
      <c r="E12751">
        <v>24</v>
      </c>
    </row>
    <row r="12752" spans="1:5">
      <c r="A12752" t="s">
        <v>14730</v>
      </c>
      <c r="B12752" t="s">
        <v>14731</v>
      </c>
      <c r="C12752">
        <v>0</v>
      </c>
      <c r="D12752">
        <v>0.97959592996199996</v>
      </c>
      <c r="E12752">
        <v>0.31184407796101898</v>
      </c>
    </row>
    <row r="12753" spans="1:5">
      <c r="A12753" t="s">
        <v>14730</v>
      </c>
      <c r="B12753" t="s">
        <v>14732</v>
      </c>
      <c r="C12753">
        <v>0.34230862557500003</v>
      </c>
      <c r="D12753">
        <v>0.97959592996199996</v>
      </c>
      <c r="E12753">
        <v>0.31184407796101898</v>
      </c>
    </row>
    <row r="12754" spans="1:5">
      <c r="A12754" t="s">
        <v>14730</v>
      </c>
      <c r="B12754" t="s">
        <v>14733</v>
      </c>
      <c r="C12754">
        <v>0</v>
      </c>
      <c r="D12754">
        <v>0.97959592996199996</v>
      </c>
      <c r="E12754">
        <v>0.31184407796101898</v>
      </c>
    </row>
    <row r="12755" spans="1:5">
      <c r="A12755" t="s">
        <v>14730</v>
      </c>
      <c r="B12755" t="s">
        <v>14734</v>
      </c>
      <c r="C12755">
        <v>0</v>
      </c>
      <c r="D12755">
        <v>0.97959592996199996</v>
      </c>
      <c r="E12755">
        <v>0.31184407796101898</v>
      </c>
    </row>
    <row r="12756" spans="1:5">
      <c r="A12756" t="s">
        <v>14730</v>
      </c>
      <c r="B12756" t="s">
        <v>14735</v>
      </c>
      <c r="C12756">
        <v>0</v>
      </c>
      <c r="D12756">
        <v>0.97959592996199996</v>
      </c>
      <c r="E12756">
        <v>0.31184407796101898</v>
      </c>
    </row>
    <row r="12757" spans="1:5">
      <c r="A12757" t="s">
        <v>14730</v>
      </c>
      <c r="B12757" t="s">
        <v>14736</v>
      </c>
      <c r="C12757">
        <v>0</v>
      </c>
      <c r="D12757">
        <v>0.97959592996199996</v>
      </c>
      <c r="E12757">
        <v>0.31184407796101898</v>
      </c>
    </row>
    <row r="12758" spans="1:5">
      <c r="A12758" t="s">
        <v>14730</v>
      </c>
      <c r="B12758" t="s">
        <v>14737</v>
      </c>
      <c r="C12758">
        <v>0.180114873087</v>
      </c>
      <c r="D12758">
        <v>0.97959592996199996</v>
      </c>
      <c r="E12758">
        <v>0.31184407796101898</v>
      </c>
    </row>
    <row r="12759" spans="1:5">
      <c r="A12759" t="s">
        <v>14730</v>
      </c>
      <c r="B12759" t="s">
        <v>14738</v>
      </c>
      <c r="C12759">
        <v>0</v>
      </c>
      <c r="D12759">
        <v>0.97959592996199996</v>
      </c>
      <c r="E12759">
        <v>0.31184407796101898</v>
      </c>
    </row>
    <row r="12760" spans="1:5">
      <c r="A12760" t="s">
        <v>14730</v>
      </c>
      <c r="B12760" t="s">
        <v>14739</v>
      </c>
      <c r="C12760">
        <f>0</f>
        <v>0</v>
      </c>
      <c r="D12760">
        <v>0.97959592996199996</v>
      </c>
      <c r="E12760">
        <v>0.31184407796101898</v>
      </c>
    </row>
    <row r="12761" spans="1:5">
      <c r="A12761" t="s">
        <v>14730</v>
      </c>
      <c r="B12761" t="s">
        <v>14740</v>
      </c>
      <c r="C12761">
        <v>0</v>
      </c>
      <c r="D12761">
        <v>0.97959592996199996</v>
      </c>
      <c r="E12761">
        <v>0.31184407796101898</v>
      </c>
    </row>
    <row r="12762" spans="1:5">
      <c r="A12762" t="s">
        <v>14730</v>
      </c>
      <c r="B12762" t="s">
        <v>14741</v>
      </c>
      <c r="C12762">
        <v>0</v>
      </c>
      <c r="D12762">
        <v>0.97959592996199996</v>
      </c>
      <c r="E12762">
        <v>0.31184407796101898</v>
      </c>
    </row>
    <row r="12763" spans="1:5">
      <c r="A12763" t="s">
        <v>14730</v>
      </c>
      <c r="B12763" t="s">
        <v>14742</v>
      </c>
      <c r="C12763">
        <f>0</f>
        <v>0</v>
      </c>
      <c r="D12763">
        <v>0.97959592996199996</v>
      </c>
      <c r="E12763">
        <v>0.31184407796101898</v>
      </c>
    </row>
    <row r="12764" spans="1:5">
      <c r="A12764" t="s">
        <v>14730</v>
      </c>
      <c r="B12764" t="s">
        <v>14743</v>
      </c>
      <c r="C12764">
        <v>0</v>
      </c>
      <c r="D12764">
        <v>0.97959592996199996</v>
      </c>
      <c r="E12764">
        <v>0.31184407796101898</v>
      </c>
    </row>
    <row r="12765" spans="1:5">
      <c r="A12765" t="s">
        <v>14744</v>
      </c>
      <c r="B12765" t="s">
        <v>14745</v>
      </c>
      <c r="C12765">
        <f>0</f>
        <v>0</v>
      </c>
      <c r="D12765" t="s">
        <v>106</v>
      </c>
      <c r="E12765">
        <v>9.4632683658170897</v>
      </c>
    </row>
    <row r="12766" spans="1:5">
      <c r="A12766" t="s">
        <v>14744</v>
      </c>
      <c r="B12766" t="s">
        <v>14746</v>
      </c>
      <c r="C12766">
        <v>0</v>
      </c>
      <c r="D12766" t="s">
        <v>106</v>
      </c>
      <c r="E12766">
        <v>9.4632683658170897</v>
      </c>
    </row>
    <row r="12767" spans="1:5">
      <c r="A12767" t="s">
        <v>14744</v>
      </c>
      <c r="B12767" t="s">
        <v>14747</v>
      </c>
      <c r="C12767">
        <v>0</v>
      </c>
      <c r="D12767" t="s">
        <v>106</v>
      </c>
      <c r="E12767">
        <v>9.4632683658170897</v>
      </c>
    </row>
    <row r="12768" spans="1:5">
      <c r="A12768" t="s">
        <v>14744</v>
      </c>
      <c r="B12768" t="s">
        <v>14748</v>
      </c>
      <c r="C12768">
        <v>0</v>
      </c>
      <c r="D12768" t="s">
        <v>106</v>
      </c>
      <c r="E12768">
        <v>9.4632683658170897</v>
      </c>
    </row>
    <row r="12769" spans="1:5">
      <c r="A12769" t="s">
        <v>14744</v>
      </c>
      <c r="B12769" t="s">
        <v>14749</v>
      </c>
      <c r="C12769">
        <f>0</f>
        <v>0</v>
      </c>
      <c r="D12769" t="s">
        <v>106</v>
      </c>
      <c r="E12769">
        <v>9.4632683658170897</v>
      </c>
    </row>
    <row r="12770" spans="1:5">
      <c r="A12770" t="s">
        <v>14744</v>
      </c>
      <c r="B12770" t="s">
        <v>14750</v>
      </c>
      <c r="C12770">
        <v>0</v>
      </c>
      <c r="D12770" t="s">
        <v>106</v>
      </c>
      <c r="E12770">
        <v>9.4632683658170897</v>
      </c>
    </row>
    <row r="12771" spans="1:5">
      <c r="A12771" t="s">
        <v>14744</v>
      </c>
      <c r="B12771" t="s">
        <v>14751</v>
      </c>
      <c r="C12771">
        <v>0</v>
      </c>
      <c r="D12771" t="s">
        <v>106</v>
      </c>
      <c r="E12771">
        <v>9.4632683658170897</v>
      </c>
    </row>
    <row r="12772" spans="1:5">
      <c r="A12772" t="s">
        <v>14744</v>
      </c>
      <c r="B12772" t="s">
        <v>14752</v>
      </c>
      <c r="C12772">
        <v>0</v>
      </c>
      <c r="D12772" t="s">
        <v>106</v>
      </c>
      <c r="E12772">
        <v>9.4632683658170897</v>
      </c>
    </row>
    <row r="12773" spans="1:5">
      <c r="A12773" t="s">
        <v>14753</v>
      </c>
      <c r="B12773" t="s">
        <v>14754</v>
      </c>
      <c r="C12773">
        <v>0</v>
      </c>
      <c r="D12773">
        <v>0.80689461584900002</v>
      </c>
      <c r="E12773">
        <v>3.8740629685157399</v>
      </c>
    </row>
    <row r="12774" spans="1:5">
      <c r="A12774" t="s">
        <v>14753</v>
      </c>
      <c r="B12774" t="s">
        <v>14755</v>
      </c>
      <c r="C12774">
        <v>0</v>
      </c>
      <c r="D12774">
        <v>0.80689461584900002</v>
      </c>
      <c r="E12774">
        <v>3.8740629685157399</v>
      </c>
    </row>
    <row r="12775" spans="1:5">
      <c r="A12775" t="s">
        <v>14753</v>
      </c>
      <c r="B12775" t="s">
        <v>14756</v>
      </c>
      <c r="C12775">
        <f>0</f>
        <v>0</v>
      </c>
      <c r="D12775">
        <v>0.80689461584900002</v>
      </c>
      <c r="E12775">
        <v>3.8740629685157399</v>
      </c>
    </row>
    <row r="12776" spans="1:5">
      <c r="A12776" t="s">
        <v>14757</v>
      </c>
      <c r="B12776" t="s">
        <v>14758</v>
      </c>
      <c r="C12776">
        <v>0</v>
      </c>
      <c r="D12776">
        <v>0.98550433343999999</v>
      </c>
      <c r="E12776">
        <v>10.0749625187406</v>
      </c>
    </row>
    <row r="12777" spans="1:5">
      <c r="A12777" t="s">
        <v>14757</v>
      </c>
      <c r="B12777" t="s">
        <v>14759</v>
      </c>
      <c r="C12777">
        <f>0</f>
        <v>0</v>
      </c>
      <c r="D12777">
        <v>0.98550433343999999</v>
      </c>
      <c r="E12777">
        <v>10.0749625187406</v>
      </c>
    </row>
    <row r="12778" spans="1:5">
      <c r="A12778" t="s">
        <v>14757</v>
      </c>
      <c r="B12778" t="s">
        <v>14760</v>
      </c>
      <c r="C12778">
        <f>0</f>
        <v>0</v>
      </c>
      <c r="D12778">
        <v>0.98550433343999999</v>
      </c>
      <c r="E12778">
        <v>10.0749625187406</v>
      </c>
    </row>
    <row r="12779" spans="1:5">
      <c r="A12779" t="s">
        <v>14757</v>
      </c>
      <c r="B12779" t="s">
        <v>14761</v>
      </c>
      <c r="C12779">
        <v>0</v>
      </c>
      <c r="D12779">
        <v>0.98550433343999999</v>
      </c>
      <c r="E12779">
        <v>10.0749625187406</v>
      </c>
    </row>
    <row r="12780" spans="1:5">
      <c r="A12780" t="s">
        <v>14757</v>
      </c>
      <c r="B12780" t="s">
        <v>14762</v>
      </c>
      <c r="C12780">
        <f>0</f>
        <v>0</v>
      </c>
      <c r="D12780">
        <v>0.98550433343999999</v>
      </c>
      <c r="E12780">
        <v>10.0749625187406</v>
      </c>
    </row>
    <row r="12781" spans="1:5">
      <c r="A12781" t="s">
        <v>14757</v>
      </c>
      <c r="B12781" t="s">
        <v>14763</v>
      </c>
      <c r="C12781">
        <f>0.0684660481452</f>
        <v>6.8466048145200006E-2</v>
      </c>
      <c r="D12781">
        <v>0.98550433343999999</v>
      </c>
      <c r="E12781">
        <v>10.0749625187406</v>
      </c>
    </row>
    <row r="12782" spans="1:5">
      <c r="A12782" t="s">
        <v>14757</v>
      </c>
      <c r="B12782" t="s">
        <v>14764</v>
      </c>
      <c r="C12782">
        <v>0</v>
      </c>
      <c r="D12782">
        <v>0.98550433343999999</v>
      </c>
      <c r="E12782">
        <v>10.0749625187406</v>
      </c>
    </row>
    <row r="12783" spans="1:5">
      <c r="A12783" t="s">
        <v>14757</v>
      </c>
      <c r="B12783" t="s">
        <v>14765</v>
      </c>
      <c r="C12783">
        <f>0</f>
        <v>0</v>
      </c>
      <c r="D12783">
        <v>0.98550433343999999</v>
      </c>
      <c r="E12783">
        <v>10.0749625187406</v>
      </c>
    </row>
    <row r="12784" spans="1:5">
      <c r="A12784" t="s">
        <v>14757</v>
      </c>
      <c r="B12784" t="s">
        <v>14766</v>
      </c>
      <c r="C12784">
        <f>0</f>
        <v>0</v>
      </c>
      <c r="D12784">
        <v>0.98550433343999999</v>
      </c>
      <c r="E12784">
        <v>10.0749625187406</v>
      </c>
    </row>
    <row r="12785" spans="1:5">
      <c r="A12785" t="s">
        <v>14757</v>
      </c>
      <c r="B12785" t="s">
        <v>14767</v>
      </c>
      <c r="C12785">
        <v>0</v>
      </c>
      <c r="D12785">
        <v>0.98550433343999999</v>
      </c>
      <c r="E12785">
        <v>10.0749625187406</v>
      </c>
    </row>
    <row r="12786" spans="1:5">
      <c r="A12786" t="s">
        <v>14757</v>
      </c>
      <c r="B12786" t="s">
        <v>14768</v>
      </c>
      <c r="C12786">
        <f>0</f>
        <v>0</v>
      </c>
      <c r="D12786">
        <v>0.98550433343999999</v>
      </c>
      <c r="E12786">
        <v>10.0749625187406</v>
      </c>
    </row>
    <row r="12787" spans="1:5">
      <c r="A12787" t="s">
        <v>14757</v>
      </c>
      <c r="B12787" t="s">
        <v>14769</v>
      </c>
      <c r="C12787">
        <f>0</f>
        <v>0</v>
      </c>
      <c r="D12787">
        <v>0.98550433343999999</v>
      </c>
      <c r="E12787">
        <v>10.0749625187406</v>
      </c>
    </row>
    <row r="12788" spans="1:5">
      <c r="A12788" t="s">
        <v>14757</v>
      </c>
      <c r="B12788" t="s">
        <v>14770</v>
      </c>
      <c r="C12788">
        <f>0.0936160021319</f>
        <v>9.3616002131899995E-2</v>
      </c>
      <c r="D12788">
        <v>0.98550433343999999</v>
      </c>
      <c r="E12788">
        <v>10.0749625187406</v>
      </c>
    </row>
    <row r="12789" spans="1:5">
      <c r="A12789" t="s">
        <v>14757</v>
      </c>
      <c r="B12789" t="s">
        <v>14771</v>
      </c>
      <c r="C12789">
        <v>0</v>
      </c>
      <c r="D12789">
        <v>0.98550433343999999</v>
      </c>
      <c r="E12789">
        <v>10.0749625187406</v>
      </c>
    </row>
    <row r="12790" spans="1:5">
      <c r="A12790" t="s">
        <v>14757</v>
      </c>
      <c r="B12790" t="s">
        <v>14772</v>
      </c>
      <c r="C12790">
        <f>0</f>
        <v>0</v>
      </c>
      <c r="D12790">
        <v>0.98550433343999999</v>
      </c>
      <c r="E12790">
        <v>10.0749625187406</v>
      </c>
    </row>
    <row r="12791" spans="1:5">
      <c r="A12791" t="s">
        <v>14757</v>
      </c>
      <c r="B12791" t="s">
        <v>14773</v>
      </c>
      <c r="C12791">
        <f>0</f>
        <v>0</v>
      </c>
      <c r="D12791">
        <v>0.98550433343999999</v>
      </c>
      <c r="E12791">
        <v>10.0749625187406</v>
      </c>
    </row>
    <row r="12792" spans="1:5">
      <c r="A12792" t="s">
        <v>14757</v>
      </c>
      <c r="B12792" t="s">
        <v>14774</v>
      </c>
      <c r="C12792">
        <v>0</v>
      </c>
      <c r="D12792">
        <v>0.98550433343999999</v>
      </c>
      <c r="E12792">
        <v>10.0749625187406</v>
      </c>
    </row>
    <row r="12793" spans="1:5">
      <c r="A12793" t="s">
        <v>14775</v>
      </c>
      <c r="B12793" t="s">
        <v>14776</v>
      </c>
      <c r="C12793">
        <v>0</v>
      </c>
      <c r="D12793">
        <v>0.99254039553700002</v>
      </c>
      <c r="E12793">
        <v>5.5772113943028403</v>
      </c>
    </row>
    <row r="12794" spans="1:5">
      <c r="A12794" t="s">
        <v>14775</v>
      </c>
      <c r="B12794" t="s">
        <v>14777</v>
      </c>
      <c r="C12794">
        <v>0</v>
      </c>
      <c r="D12794">
        <v>0.99254039553700002</v>
      </c>
      <c r="E12794">
        <v>5.5772113943028403</v>
      </c>
    </row>
    <row r="12795" spans="1:5">
      <c r="A12795" t="s">
        <v>14775</v>
      </c>
      <c r="B12795" t="s">
        <v>14778</v>
      </c>
      <c r="C12795">
        <v>5.0653332568200003E-2</v>
      </c>
      <c r="D12795">
        <v>0.99254039553700002</v>
      </c>
      <c r="E12795">
        <v>5.5772113943028403</v>
      </c>
    </row>
    <row r="12796" spans="1:5">
      <c r="A12796" t="s">
        <v>14775</v>
      </c>
      <c r="B12796" t="s">
        <v>14779</v>
      </c>
      <c r="C12796">
        <v>0</v>
      </c>
      <c r="D12796">
        <v>0.99254039553700002</v>
      </c>
      <c r="E12796">
        <v>5.5772113943028403</v>
      </c>
    </row>
    <row r="12797" spans="1:5">
      <c r="A12797" t="s">
        <v>14775</v>
      </c>
      <c r="B12797" t="s">
        <v>14780</v>
      </c>
      <c r="C12797">
        <v>0</v>
      </c>
      <c r="D12797">
        <v>0.99254039553700002</v>
      </c>
      <c r="E12797">
        <v>5.5772113943028403</v>
      </c>
    </row>
    <row r="12798" spans="1:5">
      <c r="A12798" t="s">
        <v>14775</v>
      </c>
      <c r="B12798" t="s">
        <v>14781</v>
      </c>
      <c r="C12798">
        <v>0</v>
      </c>
      <c r="D12798">
        <v>0.99254039553700002</v>
      </c>
      <c r="E12798">
        <v>5.5772113943028403</v>
      </c>
    </row>
    <row r="12799" spans="1:5">
      <c r="A12799" t="s">
        <v>14775</v>
      </c>
      <c r="B12799" t="s">
        <v>14782</v>
      </c>
      <c r="C12799">
        <v>0</v>
      </c>
      <c r="D12799">
        <v>0.99254039553700002</v>
      </c>
      <c r="E12799">
        <v>5.5772113943028403</v>
      </c>
    </row>
    <row r="12800" spans="1:5">
      <c r="A12800" t="s">
        <v>14775</v>
      </c>
      <c r="B12800" t="s">
        <v>14783</v>
      </c>
      <c r="C12800">
        <v>0</v>
      </c>
      <c r="D12800">
        <v>0.99254039553700002</v>
      </c>
      <c r="E12800">
        <v>5.5772113943028403</v>
      </c>
    </row>
    <row r="12801" spans="1:5">
      <c r="A12801" t="s">
        <v>14775</v>
      </c>
      <c r="B12801" t="s">
        <v>14784</v>
      </c>
      <c r="C12801">
        <v>0</v>
      </c>
      <c r="D12801">
        <v>0.99254039553700002</v>
      </c>
      <c r="E12801">
        <v>5.5772113943028403</v>
      </c>
    </row>
    <row r="12802" spans="1:5">
      <c r="A12802" t="s">
        <v>14775</v>
      </c>
      <c r="B12802" t="s">
        <v>14785</v>
      </c>
      <c r="C12802">
        <v>0</v>
      </c>
      <c r="D12802">
        <v>0.99254039553700002</v>
      </c>
      <c r="E12802">
        <v>5.5772113943028403</v>
      </c>
    </row>
    <row r="12803" spans="1:5">
      <c r="A12803" t="s">
        <v>14775</v>
      </c>
      <c r="B12803" t="s">
        <v>14786</v>
      </c>
      <c r="C12803">
        <f>0</f>
        <v>0</v>
      </c>
      <c r="D12803">
        <v>0.99254039553700002</v>
      </c>
      <c r="E12803">
        <v>5.5772113943028403</v>
      </c>
    </row>
    <row r="12804" spans="1:5">
      <c r="A12804" t="s">
        <v>14775</v>
      </c>
      <c r="B12804" t="s">
        <v>14787</v>
      </c>
      <c r="C12804">
        <v>0</v>
      </c>
      <c r="D12804">
        <v>0.99254039553700002</v>
      </c>
      <c r="E12804">
        <v>5.5772113943028403</v>
      </c>
    </row>
    <row r="12805" spans="1:5">
      <c r="A12805" t="s">
        <v>14775</v>
      </c>
      <c r="B12805" t="s">
        <v>14788</v>
      </c>
      <c r="C12805">
        <v>0</v>
      </c>
      <c r="D12805">
        <v>0.99254039553700002</v>
      </c>
      <c r="E12805">
        <v>5.5772113943028403</v>
      </c>
    </row>
    <row r="12806" spans="1:5">
      <c r="A12806" t="s">
        <v>14775</v>
      </c>
      <c r="B12806" t="s">
        <v>14789</v>
      </c>
      <c r="C12806">
        <v>0</v>
      </c>
      <c r="D12806">
        <v>0.99254039553700002</v>
      </c>
      <c r="E12806">
        <v>5.5772113943028403</v>
      </c>
    </row>
    <row r="12807" spans="1:5">
      <c r="A12807" t="s">
        <v>14775</v>
      </c>
      <c r="B12807" t="s">
        <v>14790</v>
      </c>
      <c r="C12807">
        <v>0</v>
      </c>
      <c r="D12807">
        <v>0.99254039553700002</v>
      </c>
      <c r="E12807">
        <v>5.5772113943028403</v>
      </c>
    </row>
    <row r="12808" spans="1:5">
      <c r="A12808" t="s">
        <v>14775</v>
      </c>
      <c r="B12808" t="s">
        <v>14791</v>
      </c>
      <c r="C12808">
        <v>0</v>
      </c>
      <c r="D12808">
        <v>0.99254039553700002</v>
      </c>
      <c r="E12808">
        <v>5.5772113943028403</v>
      </c>
    </row>
    <row r="12809" spans="1:5">
      <c r="A12809" t="s">
        <v>14775</v>
      </c>
      <c r="B12809" t="s">
        <v>14792</v>
      </c>
      <c r="C12809">
        <v>0</v>
      </c>
      <c r="D12809">
        <v>0.99254039553700002</v>
      </c>
      <c r="E12809">
        <v>5.5772113943028403</v>
      </c>
    </row>
    <row r="12810" spans="1:5">
      <c r="A12810" t="s">
        <v>14775</v>
      </c>
      <c r="B12810" t="s">
        <v>14793</v>
      </c>
      <c r="C12810">
        <v>0.21122347382000001</v>
      </c>
      <c r="D12810">
        <v>0.99254039553700002</v>
      </c>
      <c r="E12810">
        <v>5.5772113943028403</v>
      </c>
    </row>
    <row r="12811" spans="1:5">
      <c r="A12811" t="s">
        <v>14794</v>
      </c>
      <c r="B12811" t="s">
        <v>14795</v>
      </c>
      <c r="C12811">
        <v>0.60662509113399998</v>
      </c>
      <c r="D12811">
        <v>0.91740448857300005</v>
      </c>
      <c r="E12811">
        <v>12.3898050974512</v>
      </c>
    </row>
    <row r="12812" spans="1:5">
      <c r="A12812" t="s">
        <v>14796</v>
      </c>
      <c r="B12812" t="s">
        <v>14797</v>
      </c>
      <c r="C12812">
        <v>0.217285660834</v>
      </c>
      <c r="D12812">
        <v>0.96773612253899999</v>
      </c>
      <c r="E12812">
        <v>5.1214392803598203</v>
      </c>
    </row>
    <row r="12813" spans="1:5">
      <c r="A12813" t="s">
        <v>14796</v>
      </c>
      <c r="B12813" t="s">
        <v>14798</v>
      </c>
      <c r="C12813">
        <f>0</f>
        <v>0</v>
      </c>
      <c r="D12813">
        <v>0.96773612253899999</v>
      </c>
      <c r="E12813">
        <v>5.1214392803598203</v>
      </c>
    </row>
    <row r="12814" spans="1:5">
      <c r="A12814" t="s">
        <v>14796</v>
      </c>
      <c r="B12814" t="s">
        <v>14799</v>
      </c>
      <c r="C12814">
        <f>0</f>
        <v>0</v>
      </c>
      <c r="D12814">
        <v>0.96773612253899999</v>
      </c>
      <c r="E12814">
        <v>5.1214392803598203</v>
      </c>
    </row>
    <row r="12815" spans="1:5">
      <c r="A12815" t="s">
        <v>14796</v>
      </c>
      <c r="B12815" t="s">
        <v>14800</v>
      </c>
      <c r="C12815">
        <v>0.477789892602</v>
      </c>
      <c r="D12815">
        <v>0.96773612253899999</v>
      </c>
      <c r="E12815">
        <v>5.1214392803598203</v>
      </c>
    </row>
    <row r="12816" spans="1:5">
      <c r="A12816" t="s">
        <v>14801</v>
      </c>
      <c r="B12816" t="s">
        <v>14802</v>
      </c>
      <c r="C12816">
        <f>0</f>
        <v>0</v>
      </c>
      <c r="D12816">
        <v>0.99671310196200003</v>
      </c>
      <c r="E12816">
        <v>20.065967016491701</v>
      </c>
    </row>
    <row r="12817" spans="1:5">
      <c r="A12817" t="s">
        <v>14801</v>
      </c>
      <c r="B12817" t="s">
        <v>14803</v>
      </c>
      <c r="C12817">
        <f>0</f>
        <v>0</v>
      </c>
      <c r="D12817">
        <v>0.99671310196200003</v>
      </c>
      <c r="E12817">
        <v>20.065967016491701</v>
      </c>
    </row>
    <row r="12818" spans="1:5">
      <c r="A12818" t="s">
        <v>14801</v>
      </c>
      <c r="B12818" t="s">
        <v>14804</v>
      </c>
      <c r="C12818">
        <f>0.017137311894</f>
        <v>1.7137311894000001E-2</v>
      </c>
      <c r="D12818">
        <v>0.99671310196200003</v>
      </c>
      <c r="E12818">
        <v>20.065967016491701</v>
      </c>
    </row>
    <row r="12819" spans="1:5">
      <c r="A12819" t="s">
        <v>14801</v>
      </c>
      <c r="B12819" t="s">
        <v>14805</v>
      </c>
      <c r="C12819">
        <f>0</f>
        <v>0</v>
      </c>
      <c r="D12819">
        <v>0.99671310196200003</v>
      </c>
      <c r="E12819">
        <v>20.065967016491701</v>
      </c>
    </row>
    <row r="12820" spans="1:5">
      <c r="A12820" t="s">
        <v>14801</v>
      </c>
      <c r="B12820" t="s">
        <v>14806</v>
      </c>
      <c r="C12820">
        <f>0.0511064739622</f>
        <v>5.11064739622E-2</v>
      </c>
      <c r="D12820">
        <v>0.99671310196200003</v>
      </c>
      <c r="E12820">
        <v>20.065967016491701</v>
      </c>
    </row>
    <row r="12821" spans="1:5">
      <c r="A12821" t="s">
        <v>14801</v>
      </c>
      <c r="B12821" t="s">
        <v>14807</v>
      </c>
      <c r="C12821">
        <v>0</v>
      </c>
      <c r="D12821">
        <v>0.99671310196200003</v>
      </c>
      <c r="E12821">
        <v>20.065967016491701</v>
      </c>
    </row>
    <row r="12822" spans="1:5">
      <c r="A12822" t="s">
        <v>14801</v>
      </c>
      <c r="B12822" t="s">
        <v>14808</v>
      </c>
      <c r="C12822">
        <v>0</v>
      </c>
      <c r="D12822">
        <v>0.99671310196200003</v>
      </c>
      <c r="E12822">
        <v>20.065967016491701</v>
      </c>
    </row>
    <row r="12823" spans="1:5">
      <c r="A12823" t="s">
        <v>14801</v>
      </c>
      <c r="B12823" t="s">
        <v>14809</v>
      </c>
      <c r="C12823">
        <v>0</v>
      </c>
      <c r="D12823">
        <v>0.99671310196200003</v>
      </c>
      <c r="E12823">
        <v>20.065967016491701</v>
      </c>
    </row>
    <row r="12824" spans="1:5">
      <c r="A12824" t="s">
        <v>14801</v>
      </c>
      <c r="B12824" t="s">
        <v>14810</v>
      </c>
      <c r="C12824">
        <v>0</v>
      </c>
      <c r="D12824">
        <v>0.99671310196200003</v>
      </c>
      <c r="E12824">
        <v>20.065967016491701</v>
      </c>
    </row>
    <row r="12825" spans="1:5">
      <c r="A12825" t="s">
        <v>14801</v>
      </c>
      <c r="B12825" t="s">
        <v>14811</v>
      </c>
      <c r="C12825">
        <f>0</f>
        <v>0</v>
      </c>
      <c r="D12825">
        <v>0.99671310196200003</v>
      </c>
      <c r="E12825">
        <v>20.065967016491701</v>
      </c>
    </row>
    <row r="12826" spans="1:5">
      <c r="A12826" t="s">
        <v>14812</v>
      </c>
      <c r="B12826" t="s">
        <v>14813</v>
      </c>
      <c r="C12826">
        <v>0</v>
      </c>
      <c r="D12826" t="s">
        <v>106</v>
      </c>
      <c r="E12826">
        <v>13.445277361319301</v>
      </c>
    </row>
    <row r="12827" spans="1:5">
      <c r="A12827" t="s">
        <v>14812</v>
      </c>
      <c r="B12827" t="s">
        <v>14814</v>
      </c>
      <c r="C12827">
        <f>0</f>
        <v>0</v>
      </c>
      <c r="D12827" t="s">
        <v>106</v>
      </c>
      <c r="E12827">
        <v>13.445277361319301</v>
      </c>
    </row>
    <row r="12828" spans="1:5">
      <c r="A12828" t="s">
        <v>14812</v>
      </c>
      <c r="B12828" t="s">
        <v>14815</v>
      </c>
      <c r="C12828">
        <f>0</f>
        <v>0</v>
      </c>
      <c r="D12828" t="s">
        <v>106</v>
      </c>
      <c r="E12828">
        <v>13.445277361319301</v>
      </c>
    </row>
    <row r="12829" spans="1:5">
      <c r="A12829" t="s">
        <v>14816</v>
      </c>
      <c r="B12829" t="s">
        <v>14817</v>
      </c>
      <c r="C12829">
        <f>0.044558169632</f>
        <v>4.4558169632000003E-2</v>
      </c>
      <c r="D12829">
        <v>0.98961112470199997</v>
      </c>
      <c r="E12829">
        <v>24</v>
      </c>
    </row>
    <row r="12830" spans="1:5">
      <c r="A12830" t="s">
        <v>14816</v>
      </c>
      <c r="B12830" t="s">
        <v>14818</v>
      </c>
      <c r="C12830">
        <v>0</v>
      </c>
      <c r="D12830">
        <v>0.98961112470199997</v>
      </c>
      <c r="E12830">
        <v>24</v>
      </c>
    </row>
    <row r="12831" spans="1:5">
      <c r="A12831" t="s">
        <v>14816</v>
      </c>
      <c r="B12831" t="s">
        <v>14819</v>
      </c>
      <c r="C12831">
        <v>0</v>
      </c>
      <c r="D12831">
        <v>0.98961112470199997</v>
      </c>
      <c r="E12831">
        <v>24</v>
      </c>
    </row>
    <row r="12832" spans="1:5">
      <c r="A12832" t="s">
        <v>14816</v>
      </c>
      <c r="B12832" t="s">
        <v>14820</v>
      </c>
      <c r="C12832">
        <v>9.8591971476300003E-3</v>
      </c>
      <c r="D12832">
        <v>0.98961112470199997</v>
      </c>
      <c r="E12832">
        <v>24</v>
      </c>
    </row>
    <row r="12833" spans="1:5">
      <c r="A12833" t="s">
        <v>14816</v>
      </c>
      <c r="B12833" t="s">
        <v>14821</v>
      </c>
      <c r="C12833">
        <f>0</f>
        <v>0</v>
      </c>
      <c r="D12833">
        <v>0.98961112470199997</v>
      </c>
      <c r="E12833">
        <v>24</v>
      </c>
    </row>
    <row r="12834" spans="1:5">
      <c r="A12834" t="s">
        <v>14816</v>
      </c>
      <c r="B12834" t="s">
        <v>14822</v>
      </c>
      <c r="C12834">
        <v>0</v>
      </c>
      <c r="D12834">
        <v>0.98961112470199997</v>
      </c>
      <c r="E12834">
        <v>24</v>
      </c>
    </row>
    <row r="12835" spans="1:5">
      <c r="A12835" t="s">
        <v>14816</v>
      </c>
      <c r="B12835" t="s">
        <v>14823</v>
      </c>
      <c r="C12835">
        <v>0</v>
      </c>
      <c r="D12835">
        <v>0.98961112470199997</v>
      </c>
      <c r="E12835">
        <v>24</v>
      </c>
    </row>
    <row r="12836" spans="1:5">
      <c r="A12836" t="s">
        <v>14816</v>
      </c>
      <c r="B12836" t="s">
        <v>14824</v>
      </c>
      <c r="C12836">
        <v>0</v>
      </c>
      <c r="D12836">
        <v>0.98961112470199997</v>
      </c>
      <c r="E12836">
        <v>24</v>
      </c>
    </row>
    <row r="12837" spans="1:5">
      <c r="A12837" t="s">
        <v>14816</v>
      </c>
      <c r="B12837" t="s">
        <v>14825</v>
      </c>
      <c r="C12837">
        <v>0</v>
      </c>
      <c r="D12837">
        <v>0.98961112470199997</v>
      </c>
      <c r="E12837">
        <v>24</v>
      </c>
    </row>
    <row r="12838" spans="1:5">
      <c r="A12838" t="s">
        <v>14816</v>
      </c>
      <c r="B12838" t="s">
        <v>14826</v>
      </c>
      <c r="C12838">
        <v>0</v>
      </c>
      <c r="D12838">
        <v>0.98961112470199997</v>
      </c>
      <c r="E12838">
        <v>24</v>
      </c>
    </row>
    <row r="12839" spans="1:5">
      <c r="A12839" t="s">
        <v>14816</v>
      </c>
      <c r="B12839" t="s">
        <v>14827</v>
      </c>
      <c r="C12839">
        <f>0</f>
        <v>0</v>
      </c>
      <c r="D12839">
        <v>0.98961112470199997</v>
      </c>
      <c r="E12839">
        <v>24</v>
      </c>
    </row>
    <row r="12840" spans="1:5">
      <c r="A12840" t="s">
        <v>14816</v>
      </c>
      <c r="B12840" t="s">
        <v>14828</v>
      </c>
      <c r="C12840">
        <v>0</v>
      </c>
      <c r="D12840">
        <v>0.98961112470199997</v>
      </c>
      <c r="E12840">
        <v>24</v>
      </c>
    </row>
    <row r="12841" spans="1:5">
      <c r="A12841" t="s">
        <v>14816</v>
      </c>
      <c r="B12841" t="s">
        <v>14829</v>
      </c>
      <c r="C12841">
        <f>0</f>
        <v>0</v>
      </c>
      <c r="D12841">
        <v>0.98961112470199997</v>
      </c>
      <c r="E12841">
        <v>24</v>
      </c>
    </row>
    <row r="12842" spans="1:5">
      <c r="A12842" t="s">
        <v>14816</v>
      </c>
      <c r="B12842" t="s">
        <v>14830</v>
      </c>
      <c r="C12842">
        <v>0</v>
      </c>
      <c r="D12842">
        <v>0.98961112470199997</v>
      </c>
      <c r="E12842">
        <v>24</v>
      </c>
    </row>
    <row r="12843" spans="1:5">
      <c r="A12843" t="s">
        <v>14816</v>
      </c>
      <c r="B12843" t="s">
        <v>14831</v>
      </c>
      <c r="C12843">
        <v>0</v>
      </c>
      <c r="D12843">
        <v>0.98961112470199997</v>
      </c>
      <c r="E12843">
        <v>24</v>
      </c>
    </row>
    <row r="12844" spans="1:5">
      <c r="A12844" t="s">
        <v>14832</v>
      </c>
      <c r="B12844" t="s">
        <v>14833</v>
      </c>
      <c r="C12844">
        <f>0</f>
        <v>0</v>
      </c>
      <c r="D12844" t="s">
        <v>106</v>
      </c>
      <c r="E12844">
        <v>13.997001499250301</v>
      </c>
    </row>
    <row r="12845" spans="1:5">
      <c r="A12845" t="s">
        <v>14832</v>
      </c>
      <c r="B12845" t="s">
        <v>14834</v>
      </c>
      <c r="C12845">
        <f>0</f>
        <v>0</v>
      </c>
      <c r="D12845" t="s">
        <v>106</v>
      </c>
      <c r="E12845">
        <v>13.997001499250301</v>
      </c>
    </row>
    <row r="12846" spans="1:5">
      <c r="A12846" t="s">
        <v>14835</v>
      </c>
      <c r="B12846" t="s">
        <v>14836</v>
      </c>
      <c r="C12846">
        <f>0</f>
        <v>0</v>
      </c>
      <c r="D12846">
        <v>0.86443545370999997</v>
      </c>
      <c r="E12846">
        <v>11.0344827586206</v>
      </c>
    </row>
    <row r="12847" spans="1:5">
      <c r="A12847" t="s">
        <v>14835</v>
      </c>
      <c r="B12847" t="s">
        <v>14837</v>
      </c>
      <c r="C12847">
        <v>1.78050836378E-2</v>
      </c>
      <c r="D12847">
        <v>0.86443545370999997</v>
      </c>
      <c r="E12847">
        <v>11.0344827586206</v>
      </c>
    </row>
    <row r="12848" spans="1:5">
      <c r="A12848" t="s">
        <v>14835</v>
      </c>
      <c r="B12848" t="s">
        <v>14838</v>
      </c>
      <c r="C12848">
        <v>0</v>
      </c>
      <c r="D12848">
        <v>0.86443545370999997</v>
      </c>
      <c r="E12848">
        <v>11.0344827586206</v>
      </c>
    </row>
    <row r="12849" spans="1:5">
      <c r="A12849" t="s">
        <v>14835</v>
      </c>
      <c r="B12849" t="s">
        <v>14839</v>
      </c>
      <c r="C12849">
        <f>0</f>
        <v>0</v>
      </c>
      <c r="D12849">
        <v>0.86443545370999997</v>
      </c>
      <c r="E12849">
        <v>11.0344827586206</v>
      </c>
    </row>
    <row r="12850" spans="1:5">
      <c r="A12850" t="s">
        <v>14835</v>
      </c>
      <c r="B12850" t="s">
        <v>14840</v>
      </c>
      <c r="C12850">
        <v>0</v>
      </c>
      <c r="D12850">
        <v>0.86443545370999997</v>
      </c>
      <c r="E12850">
        <v>11.0344827586206</v>
      </c>
    </row>
    <row r="12851" spans="1:5">
      <c r="A12851" t="s">
        <v>14835</v>
      </c>
      <c r="B12851" t="s">
        <v>14841</v>
      </c>
      <c r="C12851">
        <v>0</v>
      </c>
      <c r="D12851">
        <v>0.86443545370999997</v>
      </c>
      <c r="E12851">
        <v>11.0344827586206</v>
      </c>
    </row>
    <row r="12852" spans="1:5">
      <c r="A12852" t="s">
        <v>14835</v>
      </c>
      <c r="B12852" t="s">
        <v>14842</v>
      </c>
      <c r="C12852">
        <v>0</v>
      </c>
      <c r="D12852">
        <v>0.86443545370999997</v>
      </c>
      <c r="E12852">
        <v>11.0344827586206</v>
      </c>
    </row>
    <row r="12853" spans="1:5">
      <c r="A12853" t="s">
        <v>14835</v>
      </c>
      <c r="B12853" t="s">
        <v>14843</v>
      </c>
      <c r="C12853">
        <f>0</f>
        <v>0</v>
      </c>
      <c r="D12853">
        <v>0.86443545370999997</v>
      </c>
      <c r="E12853">
        <v>11.0344827586206</v>
      </c>
    </row>
    <row r="12854" spans="1:5">
      <c r="A12854" t="s">
        <v>14835</v>
      </c>
      <c r="B12854" t="s">
        <v>14844</v>
      </c>
      <c r="C12854">
        <v>0</v>
      </c>
      <c r="D12854">
        <v>0.86443545370999997</v>
      </c>
      <c r="E12854">
        <v>11.0344827586206</v>
      </c>
    </row>
    <row r="12855" spans="1:5">
      <c r="A12855" t="s">
        <v>14845</v>
      </c>
      <c r="B12855" t="s">
        <v>14846</v>
      </c>
      <c r="C12855">
        <f>0</f>
        <v>0</v>
      </c>
      <c r="D12855">
        <v>0.97128390697</v>
      </c>
      <c r="E12855">
        <v>0.34782608695652101</v>
      </c>
    </row>
    <row r="12856" spans="1:5">
      <c r="A12856" t="s">
        <v>14845</v>
      </c>
      <c r="B12856" t="s">
        <v>14847</v>
      </c>
      <c r="C12856">
        <v>0</v>
      </c>
      <c r="D12856">
        <v>0.97128390697</v>
      </c>
      <c r="E12856">
        <v>0.34782608695652101</v>
      </c>
    </row>
    <row r="12857" spans="1:5">
      <c r="A12857" t="s">
        <v>14845</v>
      </c>
      <c r="B12857" t="s">
        <v>14848</v>
      </c>
      <c r="C12857">
        <f>0</f>
        <v>0</v>
      </c>
      <c r="D12857">
        <v>0.97128390697</v>
      </c>
      <c r="E12857">
        <v>0.34782608695652101</v>
      </c>
    </row>
    <row r="12858" spans="1:5">
      <c r="A12858" t="s">
        <v>14845</v>
      </c>
      <c r="B12858" t="s">
        <v>14849</v>
      </c>
      <c r="C12858">
        <f>0</f>
        <v>0</v>
      </c>
      <c r="D12858">
        <v>0.97128390697</v>
      </c>
      <c r="E12858">
        <v>0.34782608695652101</v>
      </c>
    </row>
    <row r="12859" spans="1:5">
      <c r="A12859" t="s">
        <v>14845</v>
      </c>
      <c r="B12859" t="s">
        <v>14850</v>
      </c>
      <c r="C12859">
        <f>0</f>
        <v>0</v>
      </c>
      <c r="D12859">
        <v>0.97128390697</v>
      </c>
      <c r="E12859">
        <v>0.34782608695652101</v>
      </c>
    </row>
    <row r="12860" spans="1:5">
      <c r="A12860" t="s">
        <v>14845</v>
      </c>
      <c r="B12860" t="s">
        <v>14851</v>
      </c>
      <c r="C12860">
        <v>0</v>
      </c>
      <c r="D12860">
        <v>0.97128390697</v>
      </c>
      <c r="E12860">
        <v>0.34782608695652101</v>
      </c>
    </row>
    <row r="12861" spans="1:5">
      <c r="A12861" t="s">
        <v>14845</v>
      </c>
      <c r="B12861" t="s">
        <v>14852</v>
      </c>
      <c r="C12861">
        <v>0.41577630361700002</v>
      </c>
      <c r="D12861">
        <v>0.97128390697</v>
      </c>
      <c r="E12861">
        <v>0.34782608695652101</v>
      </c>
    </row>
    <row r="12862" spans="1:5">
      <c r="A12862" t="s">
        <v>14845</v>
      </c>
      <c r="B12862" t="s">
        <v>14853</v>
      </c>
      <c r="C12862">
        <f>0</f>
        <v>0</v>
      </c>
      <c r="D12862">
        <v>0.97128390697</v>
      </c>
      <c r="E12862">
        <v>0.34782608695652101</v>
      </c>
    </row>
    <row r="12863" spans="1:5">
      <c r="A12863" t="s">
        <v>14845</v>
      </c>
      <c r="B12863" t="s">
        <v>14854</v>
      </c>
      <c r="C12863">
        <f>0.425834669251</f>
        <v>0.425834669251</v>
      </c>
      <c r="D12863">
        <v>0.97128390697</v>
      </c>
      <c r="E12863">
        <v>0.34782608695652101</v>
      </c>
    </row>
    <row r="12864" spans="1:5">
      <c r="A12864" t="s">
        <v>14855</v>
      </c>
      <c r="B12864" t="s">
        <v>14856</v>
      </c>
      <c r="C12864">
        <v>0</v>
      </c>
      <c r="D12864" t="s">
        <v>106</v>
      </c>
      <c r="E12864">
        <v>9.0194902548725597</v>
      </c>
    </row>
    <row r="12865" spans="1:5">
      <c r="A12865" t="s">
        <v>14855</v>
      </c>
      <c r="B12865" t="s">
        <v>14857</v>
      </c>
      <c r="C12865">
        <v>0</v>
      </c>
      <c r="D12865" t="s">
        <v>106</v>
      </c>
      <c r="E12865">
        <v>9.0194902548725597</v>
      </c>
    </row>
    <row r="12866" spans="1:5">
      <c r="A12866" t="s">
        <v>14855</v>
      </c>
      <c r="B12866" t="s">
        <v>14858</v>
      </c>
      <c r="C12866">
        <v>0</v>
      </c>
      <c r="D12866" t="s">
        <v>106</v>
      </c>
      <c r="E12866">
        <v>9.0194902548725597</v>
      </c>
    </row>
    <row r="12867" spans="1:5">
      <c r="A12867" t="s">
        <v>14855</v>
      </c>
      <c r="B12867" t="s">
        <v>14859</v>
      </c>
      <c r="C12867">
        <f>0</f>
        <v>0</v>
      </c>
      <c r="D12867" t="s">
        <v>106</v>
      </c>
      <c r="E12867">
        <v>9.0194902548725597</v>
      </c>
    </row>
    <row r="12868" spans="1:5">
      <c r="A12868" t="s">
        <v>14855</v>
      </c>
      <c r="B12868" t="s">
        <v>14860</v>
      </c>
      <c r="C12868">
        <v>0</v>
      </c>
      <c r="D12868" t="s">
        <v>106</v>
      </c>
      <c r="E12868">
        <v>9.0194902548725597</v>
      </c>
    </row>
    <row r="12869" spans="1:5">
      <c r="A12869" t="s">
        <v>14855</v>
      </c>
      <c r="B12869" t="s">
        <v>14861</v>
      </c>
      <c r="C12869">
        <f>0</f>
        <v>0</v>
      </c>
      <c r="D12869" t="s">
        <v>106</v>
      </c>
      <c r="E12869">
        <v>9.0194902548725597</v>
      </c>
    </row>
    <row r="12870" spans="1:5">
      <c r="A12870" t="s">
        <v>14855</v>
      </c>
      <c r="B12870" t="s">
        <v>14862</v>
      </c>
      <c r="C12870">
        <f>0</f>
        <v>0</v>
      </c>
      <c r="D12870" t="s">
        <v>106</v>
      </c>
      <c r="E12870">
        <v>9.0194902548725597</v>
      </c>
    </row>
    <row r="12871" spans="1:5">
      <c r="A12871" t="s">
        <v>14855</v>
      </c>
      <c r="B12871" t="s">
        <v>14863</v>
      </c>
      <c r="C12871">
        <f>0</f>
        <v>0</v>
      </c>
      <c r="D12871" t="s">
        <v>106</v>
      </c>
      <c r="E12871">
        <v>9.0194902548725597</v>
      </c>
    </row>
    <row r="12872" spans="1:5">
      <c r="A12872" t="s">
        <v>14864</v>
      </c>
      <c r="B12872" t="s">
        <v>14865</v>
      </c>
      <c r="C12872">
        <v>0.20755658850600001</v>
      </c>
      <c r="D12872">
        <v>0.97148897796800004</v>
      </c>
      <c r="E12872">
        <v>11.0344827586206</v>
      </c>
    </row>
    <row r="12873" spans="1:5">
      <c r="A12873" t="s">
        <v>14864</v>
      </c>
      <c r="B12873" t="s">
        <v>14866</v>
      </c>
      <c r="C12873">
        <f>0</f>
        <v>0</v>
      </c>
      <c r="D12873">
        <v>0.97148897796800004</v>
      </c>
      <c r="E12873">
        <v>11.0344827586206</v>
      </c>
    </row>
    <row r="12874" spans="1:5">
      <c r="A12874" t="s">
        <v>14864</v>
      </c>
      <c r="B12874" t="s">
        <v>14867</v>
      </c>
      <c r="C12874">
        <v>0</v>
      </c>
      <c r="D12874">
        <v>0.97148897796800004</v>
      </c>
      <c r="E12874">
        <v>11.0344827586206</v>
      </c>
    </row>
    <row r="12875" spans="1:5">
      <c r="A12875" t="s">
        <v>14864</v>
      </c>
      <c r="B12875" t="s">
        <v>14868</v>
      </c>
      <c r="C12875">
        <v>0</v>
      </c>
      <c r="D12875">
        <v>0.97148897796800004</v>
      </c>
      <c r="E12875">
        <v>11.0344827586206</v>
      </c>
    </row>
    <row r="12876" spans="1:5">
      <c r="A12876" t="s">
        <v>14864</v>
      </c>
      <c r="B12876" t="s">
        <v>14869</v>
      </c>
      <c r="C12876">
        <v>0</v>
      </c>
      <c r="D12876">
        <v>0.97148897796800004</v>
      </c>
      <c r="E12876">
        <v>11.0344827586206</v>
      </c>
    </row>
    <row r="12877" spans="1:5">
      <c r="A12877" t="s">
        <v>14870</v>
      </c>
      <c r="B12877" t="s">
        <v>14871</v>
      </c>
      <c r="C12877">
        <f>0</f>
        <v>0</v>
      </c>
      <c r="D12877">
        <v>0.91560142844000003</v>
      </c>
      <c r="E12877">
        <v>1.51124437781109</v>
      </c>
    </row>
    <row r="12878" spans="1:5">
      <c r="A12878" t="s">
        <v>14870</v>
      </c>
      <c r="B12878" t="s">
        <v>14872</v>
      </c>
      <c r="C12878">
        <f>0</f>
        <v>0</v>
      </c>
      <c r="D12878">
        <v>0.91560142844000003</v>
      </c>
      <c r="E12878">
        <v>1.51124437781109</v>
      </c>
    </row>
    <row r="12879" spans="1:5">
      <c r="A12879" t="s">
        <v>14870</v>
      </c>
      <c r="B12879" t="s">
        <v>14873</v>
      </c>
      <c r="C12879">
        <f>0.122007028558</f>
        <v>0.122007028558</v>
      </c>
      <c r="D12879">
        <v>0.91560142844000003</v>
      </c>
      <c r="E12879">
        <v>1.51124437781109</v>
      </c>
    </row>
    <row r="12880" spans="1:5">
      <c r="A12880" t="s">
        <v>14870</v>
      </c>
      <c r="B12880" t="s">
        <v>14874</v>
      </c>
      <c r="C12880">
        <v>0</v>
      </c>
      <c r="D12880">
        <v>0.91560142844000003</v>
      </c>
      <c r="E12880">
        <v>1.51124437781109</v>
      </c>
    </row>
    <row r="12881" spans="1:5">
      <c r="A12881" t="s">
        <v>14870</v>
      </c>
      <c r="B12881" t="s">
        <v>14875</v>
      </c>
      <c r="C12881">
        <f>0</f>
        <v>0</v>
      </c>
      <c r="D12881">
        <v>0.91560142844000003</v>
      </c>
      <c r="E12881">
        <v>1.51124437781109</v>
      </c>
    </row>
    <row r="12882" spans="1:5">
      <c r="A12882" t="s">
        <v>14870</v>
      </c>
      <c r="B12882" t="s">
        <v>14876</v>
      </c>
      <c r="C12882">
        <v>0</v>
      </c>
      <c r="D12882">
        <v>0.91560142844000003</v>
      </c>
      <c r="E12882">
        <v>1.51124437781109</v>
      </c>
    </row>
    <row r="12883" spans="1:5">
      <c r="A12883" t="s">
        <v>14870</v>
      </c>
      <c r="B12883" t="s">
        <v>14877</v>
      </c>
      <c r="C12883">
        <f>0</f>
        <v>0</v>
      </c>
      <c r="D12883">
        <v>0.91560142844000003</v>
      </c>
      <c r="E12883">
        <v>1.51124437781109</v>
      </c>
    </row>
    <row r="12884" spans="1:5">
      <c r="A12884" t="s">
        <v>14870</v>
      </c>
      <c r="B12884" t="s">
        <v>14878</v>
      </c>
      <c r="C12884">
        <v>7.6173892448800004E-2</v>
      </c>
      <c r="D12884">
        <v>0.91560142844000003</v>
      </c>
      <c r="E12884">
        <v>1.51124437781109</v>
      </c>
    </row>
    <row r="12885" spans="1:5">
      <c r="A12885" t="s">
        <v>14870</v>
      </c>
      <c r="B12885" t="s">
        <v>14879</v>
      </c>
      <c r="C12885">
        <v>0</v>
      </c>
      <c r="D12885">
        <v>0.91560142844000003</v>
      </c>
      <c r="E12885">
        <v>1.51124437781109</v>
      </c>
    </row>
    <row r="12886" spans="1:5">
      <c r="A12886" t="s">
        <v>14870</v>
      </c>
      <c r="B12886" t="s">
        <v>14880</v>
      </c>
      <c r="C12886">
        <v>0</v>
      </c>
      <c r="D12886">
        <v>0.91560142844000003</v>
      </c>
      <c r="E12886">
        <v>1.51124437781109</v>
      </c>
    </row>
    <row r="12887" spans="1:5">
      <c r="A12887" t="s">
        <v>14870</v>
      </c>
      <c r="B12887" t="s">
        <v>14881</v>
      </c>
      <c r="C12887">
        <v>0</v>
      </c>
      <c r="D12887">
        <v>0.91560142844000003</v>
      </c>
      <c r="E12887">
        <v>1.51124437781109</v>
      </c>
    </row>
    <row r="12888" spans="1:5">
      <c r="A12888" t="s">
        <v>14870</v>
      </c>
      <c r="B12888" t="s">
        <v>14882</v>
      </c>
      <c r="C12888">
        <v>0</v>
      </c>
      <c r="D12888">
        <v>0.91560142844000003</v>
      </c>
      <c r="E12888">
        <v>1.51124437781109</v>
      </c>
    </row>
    <row r="12889" spans="1:5">
      <c r="A12889" t="s">
        <v>14883</v>
      </c>
      <c r="B12889" t="s">
        <v>14884</v>
      </c>
      <c r="C12889">
        <f>0</f>
        <v>0</v>
      </c>
      <c r="D12889">
        <v>0.94418761905000004</v>
      </c>
      <c r="E12889">
        <v>2.7106446776611599</v>
      </c>
    </row>
    <row r="12890" spans="1:5">
      <c r="A12890" t="s">
        <v>14883</v>
      </c>
      <c r="B12890" t="s">
        <v>14885</v>
      </c>
      <c r="C12890">
        <f>0</f>
        <v>0</v>
      </c>
      <c r="D12890">
        <v>0.94418761905000004</v>
      </c>
      <c r="E12890">
        <v>2.7106446776611599</v>
      </c>
    </row>
    <row r="12891" spans="1:5">
      <c r="A12891" t="s">
        <v>14883</v>
      </c>
      <c r="B12891" t="s">
        <v>14886</v>
      </c>
      <c r="C12891">
        <f>0</f>
        <v>0</v>
      </c>
      <c r="D12891">
        <v>0.94418761905000004</v>
      </c>
      <c r="E12891">
        <v>2.7106446776611599</v>
      </c>
    </row>
    <row r="12892" spans="1:5">
      <c r="A12892" t="s">
        <v>14883</v>
      </c>
      <c r="B12892" t="s">
        <v>14887</v>
      </c>
      <c r="C12892">
        <f>0</f>
        <v>0</v>
      </c>
      <c r="D12892">
        <v>0.94418761905000004</v>
      </c>
      <c r="E12892">
        <v>2.7106446776611599</v>
      </c>
    </row>
    <row r="12893" spans="1:5">
      <c r="A12893" t="s">
        <v>14883</v>
      </c>
      <c r="B12893" t="s">
        <v>14888</v>
      </c>
      <c r="C12893">
        <v>0</v>
      </c>
      <c r="D12893">
        <v>0.94418761905000004</v>
      </c>
      <c r="E12893">
        <v>2.7106446776611599</v>
      </c>
    </row>
    <row r="12894" spans="1:5">
      <c r="A12894" t="s">
        <v>14883</v>
      </c>
      <c r="B12894" t="s">
        <v>14889</v>
      </c>
      <c r="C12894">
        <f>0</f>
        <v>0</v>
      </c>
      <c r="D12894">
        <v>0.94418761905000004</v>
      </c>
      <c r="E12894">
        <v>2.7106446776611599</v>
      </c>
    </row>
    <row r="12895" spans="1:5">
      <c r="A12895" t="s">
        <v>14883</v>
      </c>
      <c r="B12895" t="s">
        <v>14890</v>
      </c>
      <c r="C12895">
        <f>0</f>
        <v>0</v>
      </c>
      <c r="D12895">
        <v>0.94418761905000004</v>
      </c>
      <c r="E12895">
        <v>2.7106446776611599</v>
      </c>
    </row>
    <row r="12896" spans="1:5">
      <c r="A12896" t="s">
        <v>14883</v>
      </c>
      <c r="B12896" t="s">
        <v>14891</v>
      </c>
      <c r="C12896">
        <f>0</f>
        <v>0</v>
      </c>
      <c r="D12896">
        <v>0.94418761905000004</v>
      </c>
      <c r="E12896">
        <v>2.7106446776611599</v>
      </c>
    </row>
    <row r="12897" spans="1:5">
      <c r="A12897" t="s">
        <v>14883</v>
      </c>
      <c r="B12897" t="s">
        <v>14892</v>
      </c>
      <c r="C12897">
        <f>0.0300248178215</f>
        <v>3.0024817821499999E-2</v>
      </c>
      <c r="D12897">
        <v>0.94418761905000004</v>
      </c>
      <c r="E12897">
        <v>2.7106446776611599</v>
      </c>
    </row>
    <row r="12898" spans="1:5">
      <c r="A12898" t="s">
        <v>14883</v>
      </c>
      <c r="B12898" t="s">
        <v>14893</v>
      </c>
      <c r="C12898">
        <f>0</f>
        <v>0</v>
      </c>
      <c r="D12898">
        <v>0.94418761905000004</v>
      </c>
      <c r="E12898">
        <v>2.7106446776611599</v>
      </c>
    </row>
    <row r="12899" spans="1:5">
      <c r="A12899" t="s">
        <v>14883</v>
      </c>
      <c r="B12899" t="s">
        <v>14894</v>
      </c>
      <c r="C12899">
        <f>0</f>
        <v>0</v>
      </c>
      <c r="D12899">
        <v>0.94418761905000004</v>
      </c>
      <c r="E12899">
        <v>2.7106446776611599</v>
      </c>
    </row>
    <row r="12900" spans="1:5">
      <c r="A12900" t="s">
        <v>14895</v>
      </c>
      <c r="B12900" t="s">
        <v>14896</v>
      </c>
      <c r="C12900">
        <v>0</v>
      </c>
      <c r="D12900">
        <v>0.97081679665999998</v>
      </c>
      <c r="E12900">
        <v>3.7781109445277301</v>
      </c>
    </row>
    <row r="12901" spans="1:5">
      <c r="A12901" t="s">
        <v>14895</v>
      </c>
      <c r="B12901" t="s">
        <v>14897</v>
      </c>
      <c r="C12901">
        <v>0</v>
      </c>
      <c r="D12901">
        <v>0.97081679665999998</v>
      </c>
      <c r="E12901">
        <v>3.7781109445277301</v>
      </c>
    </row>
    <row r="12902" spans="1:5">
      <c r="A12902" t="s">
        <v>14895</v>
      </c>
      <c r="B12902" t="s">
        <v>14898</v>
      </c>
      <c r="C12902">
        <v>0</v>
      </c>
      <c r="D12902">
        <v>0.97081679665999998</v>
      </c>
      <c r="E12902">
        <v>3.7781109445277301</v>
      </c>
    </row>
    <row r="12903" spans="1:5">
      <c r="A12903" t="s">
        <v>14895</v>
      </c>
      <c r="B12903" t="s">
        <v>14899</v>
      </c>
      <c r="C12903">
        <f>0.0920068312347</f>
        <v>9.2006831234700007E-2</v>
      </c>
      <c r="D12903">
        <v>0.97081679665999998</v>
      </c>
      <c r="E12903">
        <v>3.7781109445277301</v>
      </c>
    </row>
    <row r="12904" spans="1:5">
      <c r="A12904" t="s">
        <v>14895</v>
      </c>
      <c r="B12904" t="s">
        <v>14900</v>
      </c>
      <c r="C12904">
        <v>0</v>
      </c>
      <c r="D12904">
        <v>0.97081679665999998</v>
      </c>
      <c r="E12904">
        <v>3.7781109445277301</v>
      </c>
    </row>
    <row r="12905" spans="1:5">
      <c r="A12905" t="s">
        <v>14895</v>
      </c>
      <c r="B12905" t="s">
        <v>14901</v>
      </c>
      <c r="C12905">
        <v>0.442895144495</v>
      </c>
      <c r="D12905">
        <v>0.97081679665999998</v>
      </c>
      <c r="E12905">
        <v>3.7781109445277301</v>
      </c>
    </row>
    <row r="12906" spans="1:5">
      <c r="A12906" t="s">
        <v>14902</v>
      </c>
      <c r="B12906" t="s">
        <v>14903</v>
      </c>
      <c r="C12906">
        <f>0.0428323338223</f>
        <v>4.2832333822299999E-2</v>
      </c>
      <c r="D12906">
        <v>0.32302273691</v>
      </c>
      <c r="E12906">
        <v>2.0269865067466202</v>
      </c>
    </row>
    <row r="12907" spans="1:5">
      <c r="A12907" t="s">
        <v>14902</v>
      </c>
      <c r="B12907" t="s">
        <v>14904</v>
      </c>
      <c r="C12907">
        <f>0.056640143216</f>
        <v>5.6640143216E-2</v>
      </c>
      <c r="D12907">
        <v>0.32302273691</v>
      </c>
      <c r="E12907">
        <v>2.0269865067466202</v>
      </c>
    </row>
    <row r="12908" spans="1:5">
      <c r="A12908" t="s">
        <v>14905</v>
      </c>
      <c r="B12908" t="s">
        <v>14906</v>
      </c>
      <c r="C12908">
        <f>0</f>
        <v>0</v>
      </c>
      <c r="D12908" t="s">
        <v>106</v>
      </c>
      <c r="E12908">
        <v>5.2413793103448203</v>
      </c>
    </row>
    <row r="12909" spans="1:5">
      <c r="A12909" t="s">
        <v>14905</v>
      </c>
      <c r="B12909" t="s">
        <v>14907</v>
      </c>
      <c r="C12909">
        <v>0</v>
      </c>
      <c r="D12909" t="s">
        <v>106</v>
      </c>
      <c r="E12909">
        <v>5.2413793103448203</v>
      </c>
    </row>
    <row r="12910" spans="1:5">
      <c r="A12910" t="s">
        <v>14905</v>
      </c>
      <c r="B12910" t="s">
        <v>14908</v>
      </c>
      <c r="C12910">
        <v>0</v>
      </c>
      <c r="D12910" t="s">
        <v>106</v>
      </c>
      <c r="E12910">
        <v>5.2413793103448203</v>
      </c>
    </row>
    <row r="12911" spans="1:5">
      <c r="A12911" t="s">
        <v>14909</v>
      </c>
      <c r="B12911" t="s">
        <v>14910</v>
      </c>
      <c r="C12911">
        <f>0</f>
        <v>0</v>
      </c>
      <c r="D12911">
        <v>0.45422890321600001</v>
      </c>
      <c r="E12911">
        <v>24</v>
      </c>
    </row>
    <row r="12912" spans="1:5">
      <c r="A12912" t="s">
        <v>14909</v>
      </c>
      <c r="B12912" t="s">
        <v>14911</v>
      </c>
      <c r="C12912">
        <f>0</f>
        <v>0</v>
      </c>
      <c r="D12912">
        <v>0.45422890321600001</v>
      </c>
      <c r="E12912">
        <v>24</v>
      </c>
    </row>
    <row r="12913" spans="1:5">
      <c r="A12913" t="s">
        <v>14909</v>
      </c>
      <c r="B12913" t="s">
        <v>14912</v>
      </c>
      <c r="C12913">
        <f>0</f>
        <v>0</v>
      </c>
      <c r="D12913">
        <v>0.45422890321600001</v>
      </c>
      <c r="E12913">
        <v>24</v>
      </c>
    </row>
    <row r="12914" spans="1:5">
      <c r="A12914" t="s">
        <v>14909</v>
      </c>
      <c r="B12914" t="s">
        <v>14913</v>
      </c>
      <c r="C12914">
        <v>0</v>
      </c>
      <c r="D12914">
        <v>0.45422890321600001</v>
      </c>
      <c r="E12914">
        <v>24</v>
      </c>
    </row>
    <row r="12915" spans="1:5">
      <c r="A12915" t="s">
        <v>14909</v>
      </c>
      <c r="B12915" t="s">
        <v>14914</v>
      </c>
      <c r="C12915">
        <f>0</f>
        <v>0</v>
      </c>
      <c r="D12915">
        <v>0.45422890321600001</v>
      </c>
      <c r="E12915">
        <v>24</v>
      </c>
    </row>
    <row r="12916" spans="1:5">
      <c r="A12916" t="s">
        <v>14909</v>
      </c>
      <c r="B12916" t="s">
        <v>14915</v>
      </c>
      <c r="C12916">
        <f>0</f>
        <v>0</v>
      </c>
      <c r="D12916">
        <v>0.45422890321600001</v>
      </c>
      <c r="E12916">
        <v>24</v>
      </c>
    </row>
    <row r="12917" spans="1:5">
      <c r="A12917" t="s">
        <v>14909</v>
      </c>
      <c r="B12917" t="s">
        <v>14916</v>
      </c>
      <c r="C12917">
        <f>0</f>
        <v>0</v>
      </c>
      <c r="D12917">
        <v>0.45422890321600001</v>
      </c>
      <c r="E12917">
        <v>24</v>
      </c>
    </row>
    <row r="12918" spans="1:5">
      <c r="A12918" t="s">
        <v>14917</v>
      </c>
      <c r="B12918" t="s">
        <v>14918</v>
      </c>
      <c r="C12918">
        <v>0.13897776310099999</v>
      </c>
      <c r="D12918">
        <v>0.98361754814799995</v>
      </c>
      <c r="E12918">
        <v>1.89505247376311</v>
      </c>
    </row>
    <row r="12919" spans="1:5">
      <c r="A12919" t="s">
        <v>14917</v>
      </c>
      <c r="B12919" t="s">
        <v>14919</v>
      </c>
      <c r="C12919">
        <v>0</v>
      </c>
      <c r="D12919">
        <v>0.98361754814799995</v>
      </c>
      <c r="E12919">
        <v>1.89505247376311</v>
      </c>
    </row>
    <row r="12920" spans="1:5">
      <c r="A12920" t="s">
        <v>14917</v>
      </c>
      <c r="B12920" t="s">
        <v>14920</v>
      </c>
      <c r="C12920">
        <v>0</v>
      </c>
      <c r="D12920">
        <v>0.98361754814799995</v>
      </c>
      <c r="E12920">
        <v>1.89505247376311</v>
      </c>
    </row>
    <row r="12921" spans="1:5">
      <c r="A12921" t="s">
        <v>14917</v>
      </c>
      <c r="B12921" t="s">
        <v>14921</v>
      </c>
      <c r="C12921">
        <f>0</f>
        <v>0</v>
      </c>
      <c r="D12921">
        <v>0.98361754814799995</v>
      </c>
      <c r="E12921">
        <v>1.89505247376311</v>
      </c>
    </row>
    <row r="12922" spans="1:5">
      <c r="A12922" t="s">
        <v>14917</v>
      </c>
      <c r="B12922" t="s">
        <v>14922</v>
      </c>
      <c r="C12922">
        <f>0</f>
        <v>0</v>
      </c>
      <c r="D12922">
        <v>0.98361754814799995</v>
      </c>
      <c r="E12922">
        <v>1.89505247376311</v>
      </c>
    </row>
    <row r="12923" spans="1:5">
      <c r="A12923" t="s">
        <v>14917</v>
      </c>
      <c r="B12923" t="s">
        <v>14923</v>
      </c>
      <c r="C12923">
        <f>0</f>
        <v>0</v>
      </c>
      <c r="D12923">
        <v>0.98361754814799995</v>
      </c>
      <c r="E12923">
        <v>1.89505247376311</v>
      </c>
    </row>
    <row r="12924" spans="1:5">
      <c r="A12924" t="s">
        <v>14917</v>
      </c>
      <c r="B12924" t="s">
        <v>14924</v>
      </c>
      <c r="C12924">
        <f>0</f>
        <v>0</v>
      </c>
      <c r="D12924">
        <v>0.98361754814799995</v>
      </c>
      <c r="E12924">
        <v>1.89505247376311</v>
      </c>
    </row>
    <row r="12925" spans="1:5">
      <c r="A12925" t="s">
        <v>14917</v>
      </c>
      <c r="B12925" t="s">
        <v>14925</v>
      </c>
      <c r="C12925">
        <v>0</v>
      </c>
      <c r="D12925">
        <v>0.98361754814799995</v>
      </c>
      <c r="E12925">
        <v>1.89505247376311</v>
      </c>
    </row>
    <row r="12926" spans="1:5">
      <c r="A12926" t="s">
        <v>14917</v>
      </c>
      <c r="B12926" t="s">
        <v>14926</v>
      </c>
      <c r="C12926">
        <v>0</v>
      </c>
      <c r="D12926">
        <v>0.98361754814799995</v>
      </c>
      <c r="E12926">
        <v>1.89505247376311</v>
      </c>
    </row>
    <row r="12927" spans="1:5">
      <c r="A12927" t="s">
        <v>14917</v>
      </c>
      <c r="B12927" t="s">
        <v>14927</v>
      </c>
      <c r="C12927">
        <f>0</f>
        <v>0</v>
      </c>
      <c r="D12927">
        <v>0.98361754814799995</v>
      </c>
      <c r="E12927">
        <v>1.89505247376311</v>
      </c>
    </row>
    <row r="12928" spans="1:5">
      <c r="A12928" t="s">
        <v>14917</v>
      </c>
      <c r="B12928" t="s">
        <v>14928</v>
      </c>
      <c r="C12928">
        <v>5.3334612554200002E-2</v>
      </c>
      <c r="D12928">
        <v>0.98361754814799995</v>
      </c>
      <c r="E12928">
        <v>1.89505247376311</v>
      </c>
    </row>
    <row r="12929" spans="1:5">
      <c r="A12929" t="s">
        <v>14917</v>
      </c>
      <c r="B12929" t="s">
        <v>14929</v>
      </c>
      <c r="C12929">
        <v>0</v>
      </c>
      <c r="D12929">
        <v>0.98361754814799995</v>
      </c>
      <c r="E12929">
        <v>1.89505247376311</v>
      </c>
    </row>
    <row r="12930" spans="1:5">
      <c r="A12930" t="s">
        <v>14917</v>
      </c>
      <c r="B12930" t="s">
        <v>14930</v>
      </c>
      <c r="C12930">
        <f>0</f>
        <v>0</v>
      </c>
      <c r="D12930">
        <v>0.98361754814799995</v>
      </c>
      <c r="E12930">
        <v>1.89505247376311</v>
      </c>
    </row>
    <row r="12931" spans="1:5">
      <c r="A12931" t="s">
        <v>14931</v>
      </c>
      <c r="B12931" t="s">
        <v>14932</v>
      </c>
      <c r="C12931">
        <v>0.64433112565499995</v>
      </c>
      <c r="D12931">
        <v>0.95797370420899997</v>
      </c>
      <c r="E12931">
        <v>0.69565217391304301</v>
      </c>
    </row>
    <row r="12932" spans="1:5">
      <c r="A12932" t="s">
        <v>14931</v>
      </c>
      <c r="B12932" t="s">
        <v>14933</v>
      </c>
      <c r="C12932">
        <v>0</v>
      </c>
      <c r="D12932">
        <v>0.95797370420899997</v>
      </c>
      <c r="E12932">
        <v>0.69565217391304301</v>
      </c>
    </row>
    <row r="12933" spans="1:5">
      <c r="A12933" t="s">
        <v>14931</v>
      </c>
      <c r="B12933" t="s">
        <v>14934</v>
      </c>
      <c r="C12933">
        <f>0.228099665799</f>
        <v>0.22809966579900001</v>
      </c>
      <c r="D12933">
        <v>0.95797370420899997</v>
      </c>
      <c r="E12933">
        <v>0.69565217391304301</v>
      </c>
    </row>
    <row r="12934" spans="1:5">
      <c r="A12934" t="s">
        <v>14935</v>
      </c>
      <c r="B12934" t="s">
        <v>14936</v>
      </c>
      <c r="C12934">
        <f>0</f>
        <v>0</v>
      </c>
      <c r="D12934">
        <v>0.98834676871399996</v>
      </c>
      <c r="E12934">
        <v>5.8170914542728598</v>
      </c>
    </row>
    <row r="12935" spans="1:5">
      <c r="A12935" t="s">
        <v>14935</v>
      </c>
      <c r="B12935" t="s">
        <v>14937</v>
      </c>
      <c r="C12935">
        <f>0</f>
        <v>0</v>
      </c>
      <c r="D12935">
        <v>0.98834676871399996</v>
      </c>
      <c r="E12935">
        <v>5.8170914542728598</v>
      </c>
    </row>
    <row r="12936" spans="1:5">
      <c r="A12936" t="s">
        <v>14935</v>
      </c>
      <c r="B12936" t="s">
        <v>14938</v>
      </c>
      <c r="C12936">
        <v>6.8327471063299996E-3</v>
      </c>
      <c r="D12936">
        <v>0.98834676871399996</v>
      </c>
      <c r="E12936">
        <v>5.8170914542728598</v>
      </c>
    </row>
    <row r="12937" spans="1:5">
      <c r="A12937" t="s">
        <v>14935</v>
      </c>
      <c r="B12937" t="s">
        <v>14939</v>
      </c>
      <c r="C12937">
        <f>0.206348560063</f>
        <v>0.20634856006300001</v>
      </c>
      <c r="D12937">
        <v>0.98834676871399996</v>
      </c>
      <c r="E12937">
        <v>5.8170914542728598</v>
      </c>
    </row>
    <row r="12938" spans="1:5">
      <c r="A12938" t="s">
        <v>14940</v>
      </c>
      <c r="B12938" t="s">
        <v>14941</v>
      </c>
      <c r="C12938">
        <v>0</v>
      </c>
      <c r="D12938">
        <v>0.97870381457900002</v>
      </c>
      <c r="E12938">
        <v>24</v>
      </c>
    </row>
    <row r="12939" spans="1:5">
      <c r="A12939" t="s">
        <v>14940</v>
      </c>
      <c r="B12939" t="s">
        <v>14942</v>
      </c>
      <c r="C12939">
        <v>0.18219644747300001</v>
      </c>
      <c r="D12939">
        <v>0.97870381457900002</v>
      </c>
      <c r="E12939">
        <v>24</v>
      </c>
    </row>
    <row r="12940" spans="1:5">
      <c r="A12940" t="s">
        <v>14940</v>
      </c>
      <c r="B12940" t="s">
        <v>14943</v>
      </c>
      <c r="C12940">
        <v>0</v>
      </c>
      <c r="D12940">
        <v>0.97870381457900002</v>
      </c>
      <c r="E12940">
        <v>24</v>
      </c>
    </row>
    <row r="12941" spans="1:5">
      <c r="A12941" t="s">
        <v>14944</v>
      </c>
      <c r="B12941" t="s">
        <v>14945</v>
      </c>
      <c r="C12941">
        <v>0</v>
      </c>
      <c r="D12941">
        <v>0.96417931346600005</v>
      </c>
      <c r="E12941">
        <v>4.7976011994003001</v>
      </c>
    </row>
    <row r="12942" spans="1:5">
      <c r="A12942" t="s">
        <v>14944</v>
      </c>
      <c r="B12942" t="s">
        <v>14946</v>
      </c>
      <c r="C12942">
        <v>0</v>
      </c>
      <c r="D12942">
        <v>0.96417931346600005</v>
      </c>
      <c r="E12942">
        <v>4.7976011994003001</v>
      </c>
    </row>
    <row r="12943" spans="1:5">
      <c r="A12943" t="s">
        <v>14944</v>
      </c>
      <c r="B12943" t="s">
        <v>14947</v>
      </c>
      <c r="C12943">
        <v>0</v>
      </c>
      <c r="D12943">
        <v>0.96417931346600005</v>
      </c>
      <c r="E12943">
        <v>4.7976011994003001</v>
      </c>
    </row>
    <row r="12944" spans="1:5">
      <c r="A12944" t="s">
        <v>14944</v>
      </c>
      <c r="B12944" t="s">
        <v>14948</v>
      </c>
      <c r="C12944">
        <v>0</v>
      </c>
      <c r="D12944">
        <v>0.96417931346600005</v>
      </c>
      <c r="E12944">
        <v>4.7976011994003001</v>
      </c>
    </row>
    <row r="12945" spans="1:5">
      <c r="A12945" t="s">
        <v>14944</v>
      </c>
      <c r="B12945" t="s">
        <v>14949</v>
      </c>
      <c r="C12945">
        <f>0</f>
        <v>0</v>
      </c>
      <c r="D12945">
        <v>0.96417931346600005</v>
      </c>
      <c r="E12945">
        <v>4.7976011994003001</v>
      </c>
    </row>
    <row r="12946" spans="1:5">
      <c r="A12946" t="s">
        <v>14944</v>
      </c>
      <c r="B12946" t="s">
        <v>14950</v>
      </c>
      <c r="C12946">
        <v>0</v>
      </c>
      <c r="D12946">
        <v>0.96417931346600005</v>
      </c>
      <c r="E12946">
        <v>4.7976011994003001</v>
      </c>
    </row>
    <row r="12947" spans="1:5">
      <c r="A12947" t="s">
        <v>14944</v>
      </c>
      <c r="B12947" t="s">
        <v>14951</v>
      </c>
      <c r="C12947">
        <f>0</f>
        <v>0</v>
      </c>
      <c r="D12947">
        <v>0.96417931346600005</v>
      </c>
      <c r="E12947">
        <v>4.7976011994003001</v>
      </c>
    </row>
    <row r="12948" spans="1:5">
      <c r="A12948" t="s">
        <v>14944</v>
      </c>
      <c r="B12948" t="s">
        <v>14952</v>
      </c>
      <c r="C12948">
        <f>0</f>
        <v>0</v>
      </c>
      <c r="D12948">
        <v>0.96417931346600005</v>
      </c>
      <c r="E12948">
        <v>4.7976011994003001</v>
      </c>
    </row>
    <row r="12949" spans="1:5">
      <c r="A12949" t="s">
        <v>14944</v>
      </c>
      <c r="B12949" t="s">
        <v>14953</v>
      </c>
      <c r="C12949">
        <f>0</f>
        <v>0</v>
      </c>
      <c r="D12949">
        <v>0.96417931346600005</v>
      </c>
      <c r="E12949">
        <v>4.7976011994003001</v>
      </c>
    </row>
    <row r="12950" spans="1:5">
      <c r="A12950" t="s">
        <v>14944</v>
      </c>
      <c r="B12950" t="s">
        <v>14954</v>
      </c>
      <c r="C12950">
        <f>0</f>
        <v>0</v>
      </c>
      <c r="D12950">
        <v>0.96417931346600005</v>
      </c>
      <c r="E12950">
        <v>4.7976011994003001</v>
      </c>
    </row>
    <row r="12951" spans="1:5">
      <c r="A12951" t="s">
        <v>14944</v>
      </c>
      <c r="B12951" t="s">
        <v>14955</v>
      </c>
      <c r="C12951">
        <v>0</v>
      </c>
      <c r="D12951">
        <v>0.96417931346600005</v>
      </c>
      <c r="E12951">
        <v>4.7976011994003001</v>
      </c>
    </row>
    <row r="12952" spans="1:5">
      <c r="A12952" t="s">
        <v>14944</v>
      </c>
      <c r="B12952" t="s">
        <v>14956</v>
      </c>
      <c r="C12952">
        <v>0</v>
      </c>
      <c r="D12952">
        <v>0.96417931346600005</v>
      </c>
      <c r="E12952">
        <v>4.7976011994003001</v>
      </c>
    </row>
    <row r="12953" spans="1:5">
      <c r="A12953" t="s">
        <v>14944</v>
      </c>
      <c r="B12953" t="s">
        <v>14957</v>
      </c>
      <c r="C12953">
        <v>0</v>
      </c>
      <c r="D12953">
        <v>0.96417931346600005</v>
      </c>
      <c r="E12953">
        <v>4.7976011994003001</v>
      </c>
    </row>
    <row r="12954" spans="1:5">
      <c r="A12954" t="s">
        <v>14944</v>
      </c>
      <c r="B12954" t="s">
        <v>14958</v>
      </c>
      <c r="C12954">
        <v>0</v>
      </c>
      <c r="D12954">
        <v>0.96417931346600005</v>
      </c>
      <c r="E12954">
        <v>4.7976011994003001</v>
      </c>
    </row>
    <row r="12955" spans="1:5">
      <c r="A12955" t="s">
        <v>14944</v>
      </c>
      <c r="B12955" t="s">
        <v>14959</v>
      </c>
      <c r="C12955">
        <v>0</v>
      </c>
      <c r="D12955">
        <v>0.96417931346600005</v>
      </c>
      <c r="E12955">
        <v>4.7976011994003001</v>
      </c>
    </row>
    <row r="12956" spans="1:5">
      <c r="A12956" t="s">
        <v>14944</v>
      </c>
      <c r="B12956" t="s">
        <v>14960</v>
      </c>
      <c r="C12956">
        <f>0</f>
        <v>0</v>
      </c>
      <c r="D12956">
        <v>0.96417931346600005</v>
      </c>
      <c r="E12956">
        <v>4.7976011994003001</v>
      </c>
    </row>
    <row r="12957" spans="1:5">
      <c r="A12957" t="s">
        <v>14944</v>
      </c>
      <c r="B12957" t="s">
        <v>14961</v>
      </c>
      <c r="C12957">
        <f>0</f>
        <v>0</v>
      </c>
      <c r="D12957">
        <v>0.96417931346600005</v>
      </c>
      <c r="E12957">
        <v>4.7976011994003001</v>
      </c>
    </row>
    <row r="12958" spans="1:5">
      <c r="A12958" t="s">
        <v>14962</v>
      </c>
      <c r="B12958" t="s">
        <v>14963</v>
      </c>
      <c r="C12958">
        <f>0</f>
        <v>0</v>
      </c>
      <c r="D12958">
        <v>0.89806761221700004</v>
      </c>
      <c r="E12958">
        <v>9.1634182908545707</v>
      </c>
    </row>
    <row r="12959" spans="1:5">
      <c r="A12959" t="s">
        <v>14962</v>
      </c>
      <c r="B12959" t="s">
        <v>14964</v>
      </c>
      <c r="C12959">
        <f>0</f>
        <v>0</v>
      </c>
      <c r="D12959">
        <v>0.89806761221700004</v>
      </c>
      <c r="E12959">
        <v>9.1634182908545707</v>
      </c>
    </row>
    <row r="12960" spans="1:5">
      <c r="A12960" t="s">
        <v>14962</v>
      </c>
      <c r="B12960" t="s">
        <v>14965</v>
      </c>
      <c r="C12960">
        <v>0</v>
      </c>
      <c r="D12960">
        <v>0.89806761221700004</v>
      </c>
      <c r="E12960">
        <v>9.1634182908545707</v>
      </c>
    </row>
    <row r="12961" spans="1:5">
      <c r="A12961" t="s">
        <v>14962</v>
      </c>
      <c r="B12961" t="s">
        <v>14966</v>
      </c>
      <c r="C12961">
        <v>0.19650620688100001</v>
      </c>
      <c r="D12961">
        <v>0.89806761221700004</v>
      </c>
      <c r="E12961">
        <v>9.1634182908545707</v>
      </c>
    </row>
    <row r="12962" spans="1:5">
      <c r="A12962" t="s">
        <v>14962</v>
      </c>
      <c r="B12962" t="s">
        <v>14967</v>
      </c>
      <c r="C12962">
        <v>0.18547884813500001</v>
      </c>
      <c r="D12962">
        <v>0.89806761221700004</v>
      </c>
      <c r="E12962">
        <v>9.1634182908545707</v>
      </c>
    </row>
    <row r="12963" spans="1:5">
      <c r="A12963" t="s">
        <v>14962</v>
      </c>
      <c r="B12963" t="s">
        <v>14968</v>
      </c>
      <c r="C12963">
        <v>0</v>
      </c>
      <c r="D12963">
        <v>0.89806761221700004</v>
      </c>
      <c r="E12963">
        <v>9.1634182908545707</v>
      </c>
    </row>
    <row r="12964" spans="1:5">
      <c r="A12964" t="s">
        <v>14969</v>
      </c>
      <c r="B12964" t="s">
        <v>14970</v>
      </c>
      <c r="C12964">
        <v>1.08371036997E-2</v>
      </c>
      <c r="D12964">
        <v>0.83479356213400002</v>
      </c>
      <c r="E12964">
        <v>1.7631184407796101</v>
      </c>
    </row>
    <row r="12965" spans="1:5">
      <c r="A12965" t="s">
        <v>14969</v>
      </c>
      <c r="B12965" t="s">
        <v>14971</v>
      </c>
      <c r="C12965">
        <f>0.0351960453321</f>
        <v>3.5196045332100002E-2</v>
      </c>
      <c r="D12965">
        <v>0.83479356213400002</v>
      </c>
      <c r="E12965">
        <v>1.7631184407796101</v>
      </c>
    </row>
    <row r="12966" spans="1:5">
      <c r="A12966" t="s">
        <v>14969</v>
      </c>
      <c r="B12966" t="s">
        <v>14972</v>
      </c>
      <c r="C12966">
        <f>0</f>
        <v>0</v>
      </c>
      <c r="D12966">
        <v>0.83479356213400002</v>
      </c>
      <c r="E12966">
        <v>1.7631184407796101</v>
      </c>
    </row>
    <row r="12967" spans="1:5">
      <c r="A12967" t="s">
        <v>14969</v>
      </c>
      <c r="B12967" t="s">
        <v>14973</v>
      </c>
      <c r="C12967">
        <v>0</v>
      </c>
      <c r="D12967">
        <v>0.83479356213400002</v>
      </c>
      <c r="E12967">
        <v>1.7631184407796101</v>
      </c>
    </row>
    <row r="12968" spans="1:5">
      <c r="A12968" t="s">
        <v>14974</v>
      </c>
      <c r="B12968" t="s">
        <v>14975</v>
      </c>
      <c r="C12968">
        <f>0.0289839022071</f>
        <v>2.8983902207099999E-2</v>
      </c>
      <c r="D12968">
        <v>0.99333988519700001</v>
      </c>
      <c r="E12968">
        <v>20.965517241379299</v>
      </c>
    </row>
    <row r="12969" spans="1:5">
      <c r="A12969" t="s">
        <v>14974</v>
      </c>
      <c r="B12969" t="s">
        <v>14976</v>
      </c>
      <c r="C12969">
        <f>0</f>
        <v>0</v>
      </c>
      <c r="D12969">
        <v>0.99333988519700001</v>
      </c>
      <c r="E12969">
        <v>20.965517241379299</v>
      </c>
    </row>
    <row r="12970" spans="1:5">
      <c r="A12970" t="s">
        <v>14974</v>
      </c>
      <c r="B12970" t="s">
        <v>14977</v>
      </c>
      <c r="C12970">
        <f>0</f>
        <v>0</v>
      </c>
      <c r="D12970">
        <v>0.99333988519700001</v>
      </c>
      <c r="E12970">
        <v>20.965517241379299</v>
      </c>
    </row>
    <row r="12971" spans="1:5">
      <c r="A12971" t="s">
        <v>14974</v>
      </c>
      <c r="B12971" t="s">
        <v>14978</v>
      </c>
      <c r="C12971">
        <f>0</f>
        <v>0</v>
      </c>
      <c r="D12971">
        <v>0.99333988519700001</v>
      </c>
      <c r="E12971">
        <v>20.965517241379299</v>
      </c>
    </row>
    <row r="12972" spans="1:5">
      <c r="A12972" t="s">
        <v>14974</v>
      </c>
      <c r="B12972" t="s">
        <v>14979</v>
      </c>
      <c r="C12972">
        <f>0</f>
        <v>0</v>
      </c>
      <c r="D12972">
        <v>0.99333988519700001</v>
      </c>
      <c r="E12972">
        <v>20.965517241379299</v>
      </c>
    </row>
    <row r="12973" spans="1:5">
      <c r="A12973" t="s">
        <v>14974</v>
      </c>
      <c r="B12973" t="s">
        <v>14980</v>
      </c>
      <c r="C12973">
        <v>0</v>
      </c>
      <c r="D12973">
        <v>0.99333988519700001</v>
      </c>
      <c r="E12973">
        <v>20.965517241379299</v>
      </c>
    </row>
    <row r="12974" spans="1:5">
      <c r="A12974" t="s">
        <v>14974</v>
      </c>
      <c r="B12974" t="s">
        <v>14981</v>
      </c>
      <c r="C12974">
        <f>0.0397467050077</f>
        <v>3.9746705007700001E-2</v>
      </c>
      <c r="D12974">
        <v>0.99333988519700001</v>
      </c>
      <c r="E12974">
        <v>20.965517241379299</v>
      </c>
    </row>
    <row r="12975" spans="1:5">
      <c r="A12975" t="s">
        <v>14974</v>
      </c>
      <c r="B12975" t="s">
        <v>14982</v>
      </c>
      <c r="C12975">
        <v>0</v>
      </c>
      <c r="D12975">
        <v>0.99333988519700001</v>
      </c>
      <c r="E12975">
        <v>20.965517241379299</v>
      </c>
    </row>
    <row r="12976" spans="1:5">
      <c r="A12976" t="s">
        <v>14974</v>
      </c>
      <c r="B12976" t="s">
        <v>14983</v>
      </c>
      <c r="C12976">
        <f>0</f>
        <v>0</v>
      </c>
      <c r="D12976">
        <v>0.99333988519700001</v>
      </c>
      <c r="E12976">
        <v>20.965517241379299</v>
      </c>
    </row>
    <row r="12977" spans="1:5">
      <c r="A12977" t="s">
        <v>14974</v>
      </c>
      <c r="B12977" t="s">
        <v>14984</v>
      </c>
      <c r="C12977">
        <f>0</f>
        <v>0</v>
      </c>
      <c r="D12977">
        <v>0.99333988519700001</v>
      </c>
      <c r="E12977">
        <v>20.965517241379299</v>
      </c>
    </row>
    <row r="12978" spans="1:5">
      <c r="A12978" t="s">
        <v>14985</v>
      </c>
      <c r="B12978" t="s">
        <v>14986</v>
      </c>
      <c r="C12978">
        <v>0</v>
      </c>
      <c r="D12978">
        <v>0.98081418850099999</v>
      </c>
      <c r="E12978">
        <v>0.61169415292353801</v>
      </c>
    </row>
    <row r="12979" spans="1:5">
      <c r="A12979" t="s">
        <v>14985</v>
      </c>
      <c r="B12979" t="s">
        <v>14987</v>
      </c>
      <c r="C12979">
        <v>0</v>
      </c>
      <c r="D12979">
        <v>0.98081418850099999</v>
      </c>
      <c r="E12979">
        <v>0.61169415292353801</v>
      </c>
    </row>
    <row r="12980" spans="1:5">
      <c r="A12980" t="s">
        <v>14985</v>
      </c>
      <c r="B12980" t="s">
        <v>14988</v>
      </c>
      <c r="C12980">
        <v>0</v>
      </c>
      <c r="D12980">
        <v>0.98081418850099999</v>
      </c>
      <c r="E12980">
        <v>0.61169415292353801</v>
      </c>
    </row>
    <row r="12981" spans="1:5">
      <c r="A12981" t="s">
        <v>14985</v>
      </c>
      <c r="B12981" t="s">
        <v>14989</v>
      </c>
      <c r="C12981">
        <v>0.53720867933000005</v>
      </c>
      <c r="D12981">
        <v>0.98081418850099999</v>
      </c>
      <c r="E12981">
        <v>0.61169415292353801</v>
      </c>
    </row>
    <row r="12982" spans="1:5">
      <c r="A12982" t="s">
        <v>14985</v>
      </c>
      <c r="B12982" t="s">
        <v>14990</v>
      </c>
      <c r="C12982">
        <v>0</v>
      </c>
      <c r="D12982">
        <v>0.98081418850099999</v>
      </c>
      <c r="E12982">
        <v>0.61169415292353801</v>
      </c>
    </row>
    <row r="12983" spans="1:5">
      <c r="A12983" t="s">
        <v>14985</v>
      </c>
      <c r="B12983" t="s">
        <v>14991</v>
      </c>
      <c r="C12983">
        <v>0.13388844097899999</v>
      </c>
      <c r="D12983">
        <v>0.98081418850099999</v>
      </c>
      <c r="E12983">
        <v>0.61169415292353801</v>
      </c>
    </row>
    <row r="12984" spans="1:5">
      <c r="A12984" t="s">
        <v>14985</v>
      </c>
      <c r="B12984" t="s">
        <v>14992</v>
      </c>
      <c r="C12984">
        <v>0</v>
      </c>
      <c r="D12984">
        <v>0.98081418850099999</v>
      </c>
      <c r="E12984">
        <v>0.61169415292353801</v>
      </c>
    </row>
    <row r="12985" spans="1:5">
      <c r="A12985" t="s">
        <v>14985</v>
      </c>
      <c r="B12985" t="s">
        <v>14993</v>
      </c>
      <c r="C12985">
        <v>0</v>
      </c>
      <c r="D12985">
        <v>0.98081418850099999</v>
      </c>
      <c r="E12985">
        <v>0.61169415292353801</v>
      </c>
    </row>
    <row r="12986" spans="1:5">
      <c r="A12986" t="s">
        <v>14985</v>
      </c>
      <c r="B12986" t="s">
        <v>14994</v>
      </c>
      <c r="C12986">
        <v>0</v>
      </c>
      <c r="D12986">
        <v>0.98081418850099999</v>
      </c>
      <c r="E12986">
        <v>0.61169415292353801</v>
      </c>
    </row>
    <row r="12987" spans="1:5">
      <c r="A12987" t="s">
        <v>14985</v>
      </c>
      <c r="B12987" t="s">
        <v>14995</v>
      </c>
      <c r="C12987">
        <v>0</v>
      </c>
      <c r="D12987">
        <v>0.98081418850099999</v>
      </c>
      <c r="E12987">
        <v>0.61169415292353801</v>
      </c>
    </row>
    <row r="12988" spans="1:5">
      <c r="A12988" t="s">
        <v>14985</v>
      </c>
      <c r="B12988" t="s">
        <v>14996</v>
      </c>
      <c r="C12988">
        <f>0</f>
        <v>0</v>
      </c>
      <c r="D12988">
        <v>0.98081418850099999</v>
      </c>
      <c r="E12988">
        <v>0.61169415292353801</v>
      </c>
    </row>
    <row r="12989" spans="1:5">
      <c r="A12989" t="s">
        <v>14985</v>
      </c>
      <c r="B12989" t="s">
        <v>14997</v>
      </c>
      <c r="C12989">
        <v>0</v>
      </c>
      <c r="D12989">
        <v>0.98081418850099999</v>
      </c>
      <c r="E12989">
        <v>0.61169415292353801</v>
      </c>
    </row>
    <row r="12990" spans="1:5">
      <c r="A12990" t="s">
        <v>14998</v>
      </c>
      <c r="B12990" t="s">
        <v>14999</v>
      </c>
      <c r="C12990">
        <v>0</v>
      </c>
      <c r="D12990">
        <v>0.86594437316799999</v>
      </c>
      <c r="E12990">
        <v>16.491754122938499</v>
      </c>
    </row>
    <row r="12991" spans="1:5">
      <c r="A12991" t="s">
        <v>14998</v>
      </c>
      <c r="B12991" t="s">
        <v>15000</v>
      </c>
      <c r="C12991">
        <f>0.0621374550236</f>
        <v>6.2137455023599998E-2</v>
      </c>
      <c r="D12991">
        <v>0.86594437316799999</v>
      </c>
      <c r="E12991">
        <v>16.491754122938499</v>
      </c>
    </row>
    <row r="12992" spans="1:5">
      <c r="A12992" t="s">
        <v>14998</v>
      </c>
      <c r="B12992" t="s">
        <v>15001</v>
      </c>
      <c r="C12992">
        <f>0</f>
        <v>0</v>
      </c>
      <c r="D12992">
        <v>0.86594437316799999</v>
      </c>
      <c r="E12992">
        <v>16.491754122938499</v>
      </c>
    </row>
    <row r="12993" spans="1:5">
      <c r="A12993" t="s">
        <v>14998</v>
      </c>
      <c r="B12993" t="s">
        <v>15002</v>
      </c>
      <c r="C12993">
        <f>0</f>
        <v>0</v>
      </c>
      <c r="D12993">
        <v>0.86594437316799999</v>
      </c>
      <c r="E12993">
        <v>16.491754122938499</v>
      </c>
    </row>
    <row r="12994" spans="1:5">
      <c r="A12994" t="s">
        <v>14998</v>
      </c>
      <c r="B12994" t="s">
        <v>15003</v>
      </c>
      <c r="C12994">
        <f>0</f>
        <v>0</v>
      </c>
      <c r="D12994">
        <v>0.86594437316799999</v>
      </c>
      <c r="E12994">
        <v>16.491754122938499</v>
      </c>
    </row>
    <row r="12995" spans="1:5">
      <c r="A12995" t="s">
        <v>15004</v>
      </c>
      <c r="B12995" t="s">
        <v>15005</v>
      </c>
      <c r="C12995">
        <f>0</f>
        <v>0</v>
      </c>
      <c r="D12995" t="s">
        <v>106</v>
      </c>
      <c r="E12995">
        <v>5.69715142428785</v>
      </c>
    </row>
    <row r="12996" spans="1:5">
      <c r="A12996" t="s">
        <v>15004</v>
      </c>
      <c r="B12996" t="s">
        <v>15006</v>
      </c>
      <c r="C12996">
        <f>0</f>
        <v>0</v>
      </c>
      <c r="D12996" t="s">
        <v>106</v>
      </c>
      <c r="E12996">
        <v>5.69715142428785</v>
      </c>
    </row>
    <row r="12997" spans="1:5">
      <c r="A12997" t="s">
        <v>15004</v>
      </c>
      <c r="B12997" t="s">
        <v>15007</v>
      </c>
      <c r="C12997">
        <v>0</v>
      </c>
      <c r="D12997" t="s">
        <v>106</v>
      </c>
      <c r="E12997">
        <v>5.69715142428785</v>
      </c>
    </row>
    <row r="12998" spans="1:5">
      <c r="A12998" t="s">
        <v>15008</v>
      </c>
      <c r="B12998" t="s">
        <v>15009</v>
      </c>
      <c r="C12998">
        <f>0</f>
        <v>0</v>
      </c>
      <c r="D12998">
        <v>0.96354540364800001</v>
      </c>
      <c r="E12998">
        <v>3.68215892053973</v>
      </c>
    </row>
    <row r="12999" spans="1:5">
      <c r="A12999" t="s">
        <v>15008</v>
      </c>
      <c r="B12999" t="s">
        <v>15010</v>
      </c>
      <c r="C12999">
        <v>0</v>
      </c>
      <c r="D12999">
        <v>0.96354540364800001</v>
      </c>
      <c r="E12999">
        <v>3.68215892053973</v>
      </c>
    </row>
    <row r="13000" spans="1:5">
      <c r="A13000" t="s">
        <v>15008</v>
      </c>
      <c r="B13000" t="s">
        <v>15011</v>
      </c>
      <c r="C13000">
        <f>0</f>
        <v>0</v>
      </c>
      <c r="D13000">
        <v>0.96354540364800001</v>
      </c>
      <c r="E13000">
        <v>3.68215892053973</v>
      </c>
    </row>
    <row r="13001" spans="1:5">
      <c r="A13001" t="s">
        <v>15008</v>
      </c>
      <c r="B13001" t="s">
        <v>15012</v>
      </c>
      <c r="C13001">
        <f>0</f>
        <v>0</v>
      </c>
      <c r="D13001">
        <v>0.96354540364800001</v>
      </c>
      <c r="E13001">
        <v>3.68215892053973</v>
      </c>
    </row>
    <row r="13002" spans="1:5">
      <c r="A13002" t="s">
        <v>15008</v>
      </c>
      <c r="B13002" t="s">
        <v>15013</v>
      </c>
      <c r="C13002">
        <f>0</f>
        <v>0</v>
      </c>
      <c r="D13002">
        <v>0.96354540364800001</v>
      </c>
      <c r="E13002">
        <v>3.68215892053973</v>
      </c>
    </row>
    <row r="13003" spans="1:5">
      <c r="A13003" t="s">
        <v>15008</v>
      </c>
      <c r="B13003" t="s">
        <v>15014</v>
      </c>
      <c r="C13003">
        <f>0</f>
        <v>0</v>
      </c>
      <c r="D13003">
        <v>0.96354540364800001</v>
      </c>
      <c r="E13003">
        <v>3.68215892053973</v>
      </c>
    </row>
    <row r="13004" spans="1:5">
      <c r="A13004" t="s">
        <v>15008</v>
      </c>
      <c r="B13004" t="s">
        <v>15015</v>
      </c>
      <c r="C13004">
        <v>0</v>
      </c>
      <c r="D13004">
        <v>0.96354540364800001</v>
      </c>
      <c r="E13004">
        <v>3.68215892053973</v>
      </c>
    </row>
    <row r="13005" spans="1:5">
      <c r="A13005" t="s">
        <v>15008</v>
      </c>
      <c r="B13005" t="s">
        <v>15016</v>
      </c>
      <c r="C13005">
        <f>0.079208334774</f>
        <v>7.9208334773999994E-2</v>
      </c>
      <c r="D13005">
        <v>0.96354540364800001</v>
      </c>
      <c r="E13005">
        <v>3.68215892053973</v>
      </c>
    </row>
    <row r="13006" spans="1:5">
      <c r="A13006" t="s">
        <v>15008</v>
      </c>
      <c r="B13006" t="s">
        <v>15017</v>
      </c>
      <c r="C13006">
        <v>0</v>
      </c>
      <c r="D13006">
        <v>0.96354540364800001</v>
      </c>
      <c r="E13006">
        <v>3.68215892053973</v>
      </c>
    </row>
    <row r="13007" spans="1:5">
      <c r="A13007" t="s">
        <v>15018</v>
      </c>
      <c r="B13007" t="s">
        <v>15019</v>
      </c>
      <c r="C13007">
        <v>0</v>
      </c>
      <c r="D13007" t="s">
        <v>106</v>
      </c>
      <c r="E13007">
        <v>24</v>
      </c>
    </row>
    <row r="13008" spans="1:5">
      <c r="A13008" t="s">
        <v>15018</v>
      </c>
      <c r="B13008" t="s">
        <v>15020</v>
      </c>
      <c r="C13008">
        <v>0</v>
      </c>
      <c r="D13008" t="s">
        <v>106</v>
      </c>
      <c r="E13008">
        <v>24</v>
      </c>
    </row>
    <row r="13009" spans="1:5">
      <c r="A13009" t="s">
        <v>15018</v>
      </c>
      <c r="B13009" t="s">
        <v>15021</v>
      </c>
      <c r="C13009">
        <v>2.6596511633199999E-2</v>
      </c>
      <c r="D13009" t="s">
        <v>106</v>
      </c>
      <c r="E13009">
        <v>24</v>
      </c>
    </row>
    <row r="13010" spans="1:5">
      <c r="A13010" t="s">
        <v>15018</v>
      </c>
      <c r="B13010" t="s">
        <v>15022</v>
      </c>
      <c r="C13010">
        <v>3.4402231531899998E-3</v>
      </c>
      <c r="D13010" t="s">
        <v>106</v>
      </c>
      <c r="E13010">
        <v>24</v>
      </c>
    </row>
    <row r="13011" spans="1:5">
      <c r="A13011" t="s">
        <v>15018</v>
      </c>
      <c r="B13011" t="s">
        <v>15023</v>
      </c>
      <c r="C13011">
        <v>0</v>
      </c>
      <c r="D13011" t="s">
        <v>106</v>
      </c>
      <c r="E13011">
        <v>24</v>
      </c>
    </row>
    <row r="13012" spans="1:5">
      <c r="A13012" t="s">
        <v>15018</v>
      </c>
      <c r="B13012" t="s">
        <v>15024</v>
      </c>
      <c r="C13012">
        <v>0</v>
      </c>
      <c r="D13012" t="s">
        <v>106</v>
      </c>
      <c r="E13012">
        <v>24</v>
      </c>
    </row>
    <row r="13013" spans="1:5">
      <c r="A13013" t="s">
        <v>15025</v>
      </c>
      <c r="B13013" t="s">
        <v>15026</v>
      </c>
      <c r="C13013">
        <v>0</v>
      </c>
      <c r="D13013">
        <v>0.85274186937600005</v>
      </c>
      <c r="E13013">
        <v>13.0854572713643</v>
      </c>
    </row>
    <row r="13014" spans="1:5">
      <c r="A13014" t="s">
        <v>15025</v>
      </c>
      <c r="B13014" t="s">
        <v>15027</v>
      </c>
      <c r="C13014">
        <f>0</f>
        <v>0</v>
      </c>
      <c r="D13014">
        <v>0.85274186937600005</v>
      </c>
      <c r="E13014">
        <v>13.0854572713643</v>
      </c>
    </row>
    <row r="13015" spans="1:5">
      <c r="A13015" t="s">
        <v>15025</v>
      </c>
      <c r="B13015" t="s">
        <v>15028</v>
      </c>
      <c r="C13015">
        <v>0</v>
      </c>
      <c r="D13015">
        <v>0.85274186937600005</v>
      </c>
      <c r="E13015">
        <v>13.0854572713643</v>
      </c>
    </row>
    <row r="13016" spans="1:5">
      <c r="A13016" t="s">
        <v>15025</v>
      </c>
      <c r="B13016" t="s">
        <v>15029</v>
      </c>
      <c r="C13016">
        <v>0</v>
      </c>
      <c r="D13016">
        <v>0.85274186937600005</v>
      </c>
      <c r="E13016">
        <v>13.0854572713643</v>
      </c>
    </row>
    <row r="13017" spans="1:5">
      <c r="A13017" t="s">
        <v>15025</v>
      </c>
      <c r="B13017" t="s">
        <v>15030</v>
      </c>
      <c r="C13017">
        <v>0</v>
      </c>
      <c r="D13017">
        <v>0.85274186937600005</v>
      </c>
      <c r="E13017">
        <v>13.0854572713643</v>
      </c>
    </row>
    <row r="13018" spans="1:5">
      <c r="A13018" t="s">
        <v>15025</v>
      </c>
      <c r="B13018" t="s">
        <v>15031</v>
      </c>
      <c r="C13018">
        <v>0</v>
      </c>
      <c r="D13018">
        <v>0.85274186937600005</v>
      </c>
      <c r="E13018">
        <v>13.0854572713643</v>
      </c>
    </row>
    <row r="13019" spans="1:5">
      <c r="A13019" t="s">
        <v>15025</v>
      </c>
      <c r="B13019" t="s">
        <v>15032</v>
      </c>
      <c r="C13019">
        <v>1.24197150888E-2</v>
      </c>
      <c r="D13019">
        <v>0.85274186937600005</v>
      </c>
      <c r="E13019">
        <v>13.0854572713643</v>
      </c>
    </row>
    <row r="13020" spans="1:5">
      <c r="A13020" t="s">
        <v>15025</v>
      </c>
      <c r="B13020" t="s">
        <v>15033</v>
      </c>
      <c r="C13020">
        <v>0.147928427034</v>
      </c>
      <c r="D13020">
        <v>0.85274186937600005</v>
      </c>
      <c r="E13020">
        <v>13.0854572713643</v>
      </c>
    </row>
    <row r="13021" spans="1:5">
      <c r="A13021" t="s">
        <v>15034</v>
      </c>
      <c r="B13021" t="s">
        <v>15035</v>
      </c>
      <c r="C13021">
        <v>0</v>
      </c>
      <c r="D13021">
        <v>0.535414605338</v>
      </c>
      <c r="E13021">
        <v>20.509745127436201</v>
      </c>
    </row>
    <row r="13022" spans="1:5">
      <c r="A13022" t="s">
        <v>15034</v>
      </c>
      <c r="B13022" t="s">
        <v>15036</v>
      </c>
      <c r="C13022">
        <v>0</v>
      </c>
      <c r="D13022">
        <v>0.535414605338</v>
      </c>
      <c r="E13022">
        <v>20.509745127436201</v>
      </c>
    </row>
    <row r="13023" spans="1:5">
      <c r="A13023" t="s">
        <v>15034</v>
      </c>
      <c r="B13023" t="s">
        <v>15037</v>
      </c>
      <c r="C13023">
        <f>0</f>
        <v>0</v>
      </c>
      <c r="D13023">
        <v>0.535414605338</v>
      </c>
      <c r="E13023">
        <v>20.509745127436201</v>
      </c>
    </row>
    <row r="13024" spans="1:5">
      <c r="A13024" t="s">
        <v>15034</v>
      </c>
      <c r="B13024" t="s">
        <v>15038</v>
      </c>
      <c r="C13024">
        <f>0</f>
        <v>0</v>
      </c>
      <c r="D13024">
        <v>0.535414605338</v>
      </c>
      <c r="E13024">
        <v>20.509745127436201</v>
      </c>
    </row>
    <row r="13025" spans="1:5">
      <c r="A13025" t="s">
        <v>15034</v>
      </c>
      <c r="B13025" t="s">
        <v>15039</v>
      </c>
      <c r="C13025">
        <v>0</v>
      </c>
      <c r="D13025">
        <v>0.535414605338</v>
      </c>
      <c r="E13025">
        <v>20.509745127436201</v>
      </c>
    </row>
    <row r="13026" spans="1:5">
      <c r="A13026" t="s">
        <v>15034</v>
      </c>
      <c r="B13026" t="s">
        <v>15040</v>
      </c>
      <c r="C13026">
        <v>0</v>
      </c>
      <c r="D13026">
        <v>0.535414605338</v>
      </c>
      <c r="E13026">
        <v>20.509745127436201</v>
      </c>
    </row>
    <row r="13027" spans="1:5">
      <c r="A13027" t="s">
        <v>15034</v>
      </c>
      <c r="B13027" t="s">
        <v>15041</v>
      </c>
      <c r="C13027">
        <v>0</v>
      </c>
      <c r="D13027">
        <v>0.535414605338</v>
      </c>
      <c r="E13027">
        <v>20.509745127436201</v>
      </c>
    </row>
    <row r="13028" spans="1:5">
      <c r="A13028" t="s">
        <v>15034</v>
      </c>
      <c r="B13028" t="s">
        <v>15042</v>
      </c>
      <c r="C13028">
        <f>0</f>
        <v>0</v>
      </c>
      <c r="D13028">
        <v>0.535414605338</v>
      </c>
      <c r="E13028">
        <v>20.509745127436201</v>
      </c>
    </row>
    <row r="13029" spans="1:5">
      <c r="A13029" t="s">
        <v>15043</v>
      </c>
      <c r="B13029" t="s">
        <v>15044</v>
      </c>
      <c r="C13029">
        <f>0</f>
        <v>0</v>
      </c>
      <c r="D13029">
        <v>0.84950953331000001</v>
      </c>
      <c r="E13029">
        <v>0.86356821589205401</v>
      </c>
    </row>
    <row r="13030" spans="1:5">
      <c r="A13030" t="s">
        <v>15043</v>
      </c>
      <c r="B13030" t="s">
        <v>15045</v>
      </c>
      <c r="C13030">
        <f>0</f>
        <v>0</v>
      </c>
      <c r="D13030">
        <v>0.84950953331000001</v>
      </c>
      <c r="E13030">
        <v>0.86356821589205401</v>
      </c>
    </row>
    <row r="13031" spans="1:5">
      <c r="A13031" t="s">
        <v>15043</v>
      </c>
      <c r="B13031" t="s">
        <v>15046</v>
      </c>
      <c r="C13031">
        <v>6.2712121272299998E-2</v>
      </c>
      <c r="D13031">
        <v>0.84950953331000001</v>
      </c>
      <c r="E13031">
        <v>0.86356821589205401</v>
      </c>
    </row>
    <row r="13032" spans="1:5">
      <c r="A13032" t="s">
        <v>15043</v>
      </c>
      <c r="B13032" t="s">
        <v>15047</v>
      </c>
      <c r="C13032">
        <f>0</f>
        <v>0</v>
      </c>
      <c r="D13032">
        <v>0.84950953331000001</v>
      </c>
      <c r="E13032">
        <v>0.86356821589205401</v>
      </c>
    </row>
    <row r="13033" spans="1:5">
      <c r="A13033" t="s">
        <v>15043</v>
      </c>
      <c r="B13033" t="s">
        <v>15048</v>
      </c>
      <c r="C13033">
        <f>0.0679554728258</f>
        <v>6.7955472825800001E-2</v>
      </c>
      <c r="D13033">
        <v>0.84950953331000001</v>
      </c>
      <c r="E13033">
        <v>0.86356821589205401</v>
      </c>
    </row>
    <row r="13034" spans="1:5">
      <c r="A13034" t="s">
        <v>15043</v>
      </c>
      <c r="B13034" t="s">
        <v>15049</v>
      </c>
      <c r="C13034">
        <f>0</f>
        <v>0</v>
      </c>
      <c r="D13034">
        <v>0.84950953331000001</v>
      </c>
      <c r="E13034">
        <v>0.86356821589205401</v>
      </c>
    </row>
    <row r="13035" spans="1:5">
      <c r="A13035" t="s">
        <v>15043</v>
      </c>
      <c r="B13035" t="s">
        <v>15050</v>
      </c>
      <c r="C13035">
        <v>0</v>
      </c>
      <c r="D13035">
        <v>0.84950953331000001</v>
      </c>
      <c r="E13035">
        <v>0.86356821589205401</v>
      </c>
    </row>
    <row r="13036" spans="1:5">
      <c r="A13036" t="s">
        <v>15051</v>
      </c>
      <c r="B13036" t="s">
        <v>15052</v>
      </c>
      <c r="C13036">
        <v>0.59433060344699995</v>
      </c>
      <c r="D13036">
        <v>0.97648579771800004</v>
      </c>
      <c r="E13036">
        <v>8.5757121439280297</v>
      </c>
    </row>
    <row r="13037" spans="1:5">
      <c r="A13037" t="s">
        <v>15053</v>
      </c>
      <c r="B13037" t="s">
        <v>15054</v>
      </c>
      <c r="C13037">
        <v>0</v>
      </c>
      <c r="D13037" t="s">
        <v>106</v>
      </c>
      <c r="E13037">
        <v>13.625187406296799</v>
      </c>
    </row>
    <row r="13038" spans="1:5">
      <c r="A13038" t="s">
        <v>15055</v>
      </c>
      <c r="B13038" t="s">
        <v>15056</v>
      </c>
      <c r="C13038">
        <v>0</v>
      </c>
      <c r="D13038">
        <v>0.94609349281199995</v>
      </c>
      <c r="E13038">
        <v>16.491754122938499</v>
      </c>
    </row>
    <row r="13039" spans="1:5">
      <c r="A13039" t="s">
        <v>15055</v>
      </c>
      <c r="B13039" t="s">
        <v>15057</v>
      </c>
      <c r="C13039">
        <v>0</v>
      </c>
      <c r="D13039">
        <v>0.94609349281199995</v>
      </c>
      <c r="E13039">
        <v>16.491754122938499</v>
      </c>
    </row>
    <row r="13040" spans="1:5">
      <c r="A13040" t="s">
        <v>15058</v>
      </c>
      <c r="B13040" t="s">
        <v>15059</v>
      </c>
      <c r="C13040">
        <v>0.216021632012</v>
      </c>
      <c r="D13040">
        <v>0.96946434062999998</v>
      </c>
      <c r="E13040">
        <v>16.299850074962499</v>
      </c>
    </row>
    <row r="13041" spans="1:5">
      <c r="A13041" t="s">
        <v>15058</v>
      </c>
      <c r="B13041" t="s">
        <v>15060</v>
      </c>
      <c r="C13041">
        <v>0</v>
      </c>
      <c r="D13041">
        <v>0.96946434062999998</v>
      </c>
      <c r="E13041">
        <v>16.299850074962499</v>
      </c>
    </row>
    <row r="13042" spans="1:5">
      <c r="A13042" t="s">
        <v>15058</v>
      </c>
      <c r="B13042" t="s">
        <v>15061</v>
      </c>
      <c r="C13042">
        <f>0.0135662714758</f>
        <v>1.35662714758E-2</v>
      </c>
      <c r="D13042">
        <v>0.96946434062999998</v>
      </c>
      <c r="E13042">
        <v>16.299850074962499</v>
      </c>
    </row>
    <row r="13043" spans="1:5">
      <c r="A13043" t="s">
        <v>15058</v>
      </c>
      <c r="B13043" t="s">
        <v>15062</v>
      </c>
      <c r="C13043">
        <f>0</f>
        <v>0</v>
      </c>
      <c r="D13043">
        <v>0.96946434062999998</v>
      </c>
      <c r="E13043">
        <v>16.299850074962499</v>
      </c>
    </row>
    <row r="13044" spans="1:5">
      <c r="A13044" t="s">
        <v>15058</v>
      </c>
      <c r="B13044" t="s">
        <v>15063</v>
      </c>
      <c r="C13044">
        <v>0</v>
      </c>
      <c r="D13044">
        <v>0.96946434062999998</v>
      </c>
      <c r="E13044">
        <v>16.299850074962499</v>
      </c>
    </row>
    <row r="13045" spans="1:5">
      <c r="A13045" t="s">
        <v>15058</v>
      </c>
      <c r="B13045" t="s">
        <v>15064</v>
      </c>
      <c r="C13045">
        <v>0</v>
      </c>
      <c r="D13045">
        <v>0.96946434062999998</v>
      </c>
      <c r="E13045">
        <v>16.299850074962499</v>
      </c>
    </row>
    <row r="13046" spans="1:5">
      <c r="A13046" t="s">
        <v>15065</v>
      </c>
      <c r="B13046" t="s">
        <v>15066</v>
      </c>
      <c r="C13046">
        <f>0</f>
        <v>0</v>
      </c>
      <c r="D13046" t="s">
        <v>106</v>
      </c>
      <c r="E13046">
        <v>24</v>
      </c>
    </row>
    <row r="13047" spans="1:5">
      <c r="A13047" t="s">
        <v>15065</v>
      </c>
      <c r="B13047" t="s">
        <v>15067</v>
      </c>
      <c r="C13047">
        <f>0</f>
        <v>0</v>
      </c>
      <c r="D13047" t="s">
        <v>106</v>
      </c>
      <c r="E13047">
        <v>24</v>
      </c>
    </row>
    <row r="13048" spans="1:5">
      <c r="A13048" t="s">
        <v>15065</v>
      </c>
      <c r="B13048" t="s">
        <v>15068</v>
      </c>
      <c r="C13048">
        <f>0</f>
        <v>0</v>
      </c>
      <c r="D13048" t="s">
        <v>106</v>
      </c>
      <c r="E13048">
        <v>24</v>
      </c>
    </row>
    <row r="13049" spans="1:5">
      <c r="A13049" t="s">
        <v>15065</v>
      </c>
      <c r="B13049" t="s">
        <v>15069</v>
      </c>
      <c r="C13049">
        <f>0</f>
        <v>0</v>
      </c>
      <c r="D13049" t="s">
        <v>106</v>
      </c>
      <c r="E13049">
        <v>24</v>
      </c>
    </row>
    <row r="13050" spans="1:5">
      <c r="A13050" t="s">
        <v>15065</v>
      </c>
      <c r="B13050" t="s">
        <v>15070</v>
      </c>
      <c r="C13050">
        <f>0</f>
        <v>0</v>
      </c>
      <c r="D13050" t="s">
        <v>106</v>
      </c>
      <c r="E13050">
        <v>24</v>
      </c>
    </row>
    <row r="13051" spans="1:5">
      <c r="A13051" t="s">
        <v>15065</v>
      </c>
      <c r="B13051" t="s">
        <v>15071</v>
      </c>
      <c r="C13051">
        <f>0.0207188590686</f>
        <v>2.07188590686E-2</v>
      </c>
      <c r="D13051" t="s">
        <v>106</v>
      </c>
      <c r="E13051">
        <v>24</v>
      </c>
    </row>
    <row r="13052" spans="1:5">
      <c r="A13052" t="s">
        <v>15065</v>
      </c>
      <c r="B13052" t="s">
        <v>15072</v>
      </c>
      <c r="C13052">
        <v>0</v>
      </c>
      <c r="D13052" t="s">
        <v>106</v>
      </c>
      <c r="E13052">
        <v>24</v>
      </c>
    </row>
    <row r="13053" spans="1:5">
      <c r="A13053" t="s">
        <v>15065</v>
      </c>
      <c r="B13053" t="s">
        <v>15073</v>
      </c>
      <c r="C13053">
        <f>0</f>
        <v>0</v>
      </c>
      <c r="D13053" t="s">
        <v>106</v>
      </c>
      <c r="E13053">
        <v>24</v>
      </c>
    </row>
    <row r="13054" spans="1:5">
      <c r="A13054" t="s">
        <v>15065</v>
      </c>
      <c r="B13054" t="s">
        <v>15074</v>
      </c>
      <c r="C13054">
        <f>0</f>
        <v>0</v>
      </c>
      <c r="D13054" t="s">
        <v>106</v>
      </c>
      <c r="E13054">
        <v>24</v>
      </c>
    </row>
    <row r="13055" spans="1:5">
      <c r="A13055" t="s">
        <v>15065</v>
      </c>
      <c r="B13055" t="s">
        <v>15075</v>
      </c>
      <c r="C13055">
        <f>0</f>
        <v>0</v>
      </c>
      <c r="D13055" t="s">
        <v>106</v>
      </c>
      <c r="E13055">
        <v>24</v>
      </c>
    </row>
    <row r="13056" spans="1:5">
      <c r="A13056" t="s">
        <v>15065</v>
      </c>
      <c r="B13056" t="s">
        <v>15076</v>
      </c>
      <c r="C13056">
        <v>0</v>
      </c>
      <c r="D13056" t="s">
        <v>106</v>
      </c>
      <c r="E13056">
        <v>24</v>
      </c>
    </row>
    <row r="13057" spans="1:5">
      <c r="A13057" t="s">
        <v>15065</v>
      </c>
      <c r="B13057" t="s">
        <v>15077</v>
      </c>
      <c r="C13057">
        <f>0</f>
        <v>0</v>
      </c>
      <c r="D13057" t="s">
        <v>106</v>
      </c>
      <c r="E13057">
        <v>24</v>
      </c>
    </row>
    <row r="13058" spans="1:5">
      <c r="A13058" t="s">
        <v>15065</v>
      </c>
      <c r="B13058" t="s">
        <v>15078</v>
      </c>
      <c r="C13058">
        <v>3.6030389552600003E-2</v>
      </c>
      <c r="D13058" t="s">
        <v>106</v>
      </c>
      <c r="E13058">
        <v>24</v>
      </c>
    </row>
    <row r="13059" spans="1:5">
      <c r="A13059" t="s">
        <v>15065</v>
      </c>
      <c r="B13059" t="s">
        <v>15079</v>
      </c>
      <c r="C13059">
        <v>0</v>
      </c>
      <c r="D13059" t="s">
        <v>106</v>
      </c>
      <c r="E13059">
        <v>24</v>
      </c>
    </row>
    <row r="13060" spans="1:5">
      <c r="A13060" t="s">
        <v>15065</v>
      </c>
      <c r="B13060" t="s">
        <v>15080</v>
      </c>
      <c r="C13060">
        <f>0</f>
        <v>0</v>
      </c>
      <c r="D13060" t="s">
        <v>106</v>
      </c>
      <c r="E13060">
        <v>24</v>
      </c>
    </row>
    <row r="13061" spans="1:5">
      <c r="A13061" t="s">
        <v>15081</v>
      </c>
      <c r="B13061" t="s">
        <v>15082</v>
      </c>
      <c r="C13061">
        <f>0</f>
        <v>0</v>
      </c>
      <c r="D13061" t="s">
        <v>106</v>
      </c>
      <c r="E13061">
        <v>3.5862068965517202</v>
      </c>
    </row>
    <row r="13062" spans="1:5">
      <c r="A13062" t="s">
        <v>15081</v>
      </c>
      <c r="B13062" t="s">
        <v>15083</v>
      </c>
      <c r="C13062">
        <v>0</v>
      </c>
      <c r="D13062" t="s">
        <v>106</v>
      </c>
      <c r="E13062">
        <v>3.5862068965517202</v>
      </c>
    </row>
    <row r="13063" spans="1:5">
      <c r="A13063" t="s">
        <v>15081</v>
      </c>
      <c r="B13063" t="s">
        <v>15084</v>
      </c>
      <c r="C13063">
        <f>0</f>
        <v>0</v>
      </c>
      <c r="D13063" t="s">
        <v>106</v>
      </c>
      <c r="E13063">
        <v>3.5862068965517202</v>
      </c>
    </row>
    <row r="13064" spans="1:5">
      <c r="A13064" t="s">
        <v>15081</v>
      </c>
      <c r="B13064" t="s">
        <v>15085</v>
      </c>
      <c r="C13064">
        <v>0</v>
      </c>
      <c r="D13064" t="s">
        <v>106</v>
      </c>
      <c r="E13064">
        <v>3.5862068965517202</v>
      </c>
    </row>
    <row r="13065" spans="1:5">
      <c r="A13065" t="s">
        <v>15081</v>
      </c>
      <c r="B13065" t="s">
        <v>15086</v>
      </c>
      <c r="C13065">
        <f>0</f>
        <v>0</v>
      </c>
      <c r="D13065" t="s">
        <v>106</v>
      </c>
      <c r="E13065">
        <v>3.5862068965517202</v>
      </c>
    </row>
    <row r="13066" spans="1:5">
      <c r="A13066" t="s">
        <v>15087</v>
      </c>
      <c r="B13066" t="s">
        <v>15088</v>
      </c>
      <c r="C13066">
        <v>0</v>
      </c>
      <c r="D13066">
        <v>0.96860719107399995</v>
      </c>
      <c r="E13066">
        <v>1.00749625187406</v>
      </c>
    </row>
    <row r="13067" spans="1:5">
      <c r="A13067" t="s">
        <v>15087</v>
      </c>
      <c r="B13067" t="s">
        <v>15089</v>
      </c>
      <c r="C13067">
        <v>0</v>
      </c>
      <c r="D13067">
        <v>0.96860719107399995</v>
      </c>
      <c r="E13067">
        <v>1.00749625187406</v>
      </c>
    </row>
    <row r="13068" spans="1:5">
      <c r="A13068" t="s">
        <v>15087</v>
      </c>
      <c r="B13068" t="s">
        <v>15090</v>
      </c>
      <c r="C13068">
        <v>0</v>
      </c>
      <c r="D13068">
        <v>0.96860719107399995</v>
      </c>
      <c r="E13068">
        <v>1.00749625187406</v>
      </c>
    </row>
    <row r="13069" spans="1:5">
      <c r="A13069" t="s">
        <v>15087</v>
      </c>
      <c r="B13069" t="s">
        <v>15091</v>
      </c>
      <c r="C13069">
        <v>0</v>
      </c>
      <c r="D13069">
        <v>0.96860719107399995</v>
      </c>
      <c r="E13069">
        <v>1.00749625187406</v>
      </c>
    </row>
    <row r="13070" spans="1:5">
      <c r="A13070" t="s">
        <v>15087</v>
      </c>
      <c r="B13070" t="s">
        <v>15092</v>
      </c>
      <c r="C13070">
        <v>0</v>
      </c>
      <c r="D13070">
        <v>0.96860719107399995</v>
      </c>
      <c r="E13070">
        <v>1.00749625187406</v>
      </c>
    </row>
    <row r="13071" spans="1:5">
      <c r="A13071" t="s">
        <v>15087</v>
      </c>
      <c r="B13071" t="s">
        <v>15093</v>
      </c>
      <c r="C13071">
        <v>0.65669993339400001</v>
      </c>
      <c r="D13071">
        <v>0.96860719107399995</v>
      </c>
      <c r="E13071">
        <v>1.00749625187406</v>
      </c>
    </row>
    <row r="13072" spans="1:5">
      <c r="A13072" t="s">
        <v>15087</v>
      </c>
      <c r="B13072" t="s">
        <v>15094</v>
      </c>
      <c r="C13072">
        <v>0</v>
      </c>
      <c r="D13072">
        <v>0.96860719107399995</v>
      </c>
      <c r="E13072">
        <v>1.00749625187406</v>
      </c>
    </row>
    <row r="13073" spans="1:5">
      <c r="A13073" t="s">
        <v>15087</v>
      </c>
      <c r="B13073" t="s">
        <v>15095</v>
      </c>
      <c r="C13073">
        <f>0.0320686586474</f>
        <v>3.2068658647400002E-2</v>
      </c>
      <c r="D13073">
        <v>0.96860719107399995</v>
      </c>
      <c r="E13073">
        <v>1.00749625187406</v>
      </c>
    </row>
    <row r="13074" spans="1:5">
      <c r="A13074" t="s">
        <v>15096</v>
      </c>
      <c r="B13074" t="s">
        <v>15097</v>
      </c>
      <c r="C13074">
        <v>0</v>
      </c>
      <c r="D13074">
        <v>0.95537235265499998</v>
      </c>
      <c r="E13074">
        <v>1.45127436281859</v>
      </c>
    </row>
    <row r="13075" spans="1:5">
      <c r="A13075" t="s">
        <v>15096</v>
      </c>
      <c r="B13075" t="s">
        <v>15098</v>
      </c>
      <c r="C13075">
        <f>0</f>
        <v>0</v>
      </c>
      <c r="D13075">
        <v>0.95537235265499998</v>
      </c>
      <c r="E13075">
        <v>1.45127436281859</v>
      </c>
    </row>
    <row r="13076" spans="1:5">
      <c r="A13076" t="s">
        <v>15096</v>
      </c>
      <c r="B13076" t="s">
        <v>15099</v>
      </c>
      <c r="C13076">
        <v>0</v>
      </c>
      <c r="D13076">
        <v>0.95537235265499998</v>
      </c>
      <c r="E13076">
        <v>1.45127436281859</v>
      </c>
    </row>
    <row r="13077" spans="1:5">
      <c r="A13077" t="s">
        <v>15096</v>
      </c>
      <c r="B13077" t="s">
        <v>15100</v>
      </c>
      <c r="C13077">
        <v>0.53695296792199998</v>
      </c>
      <c r="D13077">
        <v>0.95537235265499998</v>
      </c>
      <c r="E13077">
        <v>1.45127436281859</v>
      </c>
    </row>
    <row r="13078" spans="1:5">
      <c r="A13078" t="s">
        <v>15096</v>
      </c>
      <c r="B13078" t="s">
        <v>15101</v>
      </c>
      <c r="C13078">
        <f>0</f>
        <v>0</v>
      </c>
      <c r="D13078">
        <v>0.95537235265499998</v>
      </c>
      <c r="E13078">
        <v>1.45127436281859</v>
      </c>
    </row>
    <row r="13079" spans="1:5">
      <c r="A13079" t="s">
        <v>15096</v>
      </c>
      <c r="B13079" t="s">
        <v>15102</v>
      </c>
      <c r="C13079">
        <v>0</v>
      </c>
      <c r="D13079">
        <v>0.95537235265499998</v>
      </c>
      <c r="E13079">
        <v>1.45127436281859</v>
      </c>
    </row>
    <row r="13080" spans="1:5">
      <c r="A13080" t="s">
        <v>15096</v>
      </c>
      <c r="B13080" t="s">
        <v>15103</v>
      </c>
      <c r="C13080">
        <v>0.19958067997699999</v>
      </c>
      <c r="D13080">
        <v>0.95537235265499998</v>
      </c>
      <c r="E13080">
        <v>1.45127436281859</v>
      </c>
    </row>
    <row r="13081" spans="1:5">
      <c r="A13081" t="s">
        <v>15096</v>
      </c>
      <c r="B13081" t="s">
        <v>15104</v>
      </c>
      <c r="C13081">
        <v>0</v>
      </c>
      <c r="D13081">
        <v>0.95537235265499998</v>
      </c>
      <c r="E13081">
        <v>1.45127436281859</v>
      </c>
    </row>
    <row r="13082" spans="1:5">
      <c r="A13082" t="s">
        <v>15096</v>
      </c>
      <c r="B13082" t="s">
        <v>15105</v>
      </c>
      <c r="C13082">
        <f>0</f>
        <v>0</v>
      </c>
      <c r="D13082">
        <v>0.95537235265499998</v>
      </c>
      <c r="E13082">
        <v>1.45127436281859</v>
      </c>
    </row>
    <row r="13083" spans="1:5">
      <c r="A13083" t="s">
        <v>15096</v>
      </c>
      <c r="B13083" t="s">
        <v>15106</v>
      </c>
      <c r="C13083">
        <v>0</v>
      </c>
      <c r="D13083">
        <v>0.95537235265499998</v>
      </c>
      <c r="E13083">
        <v>1.45127436281859</v>
      </c>
    </row>
    <row r="13084" spans="1:5">
      <c r="A13084" t="s">
        <v>15096</v>
      </c>
      <c r="B13084" t="s">
        <v>15107</v>
      </c>
      <c r="C13084">
        <v>0</v>
      </c>
      <c r="D13084">
        <v>0.95537235265499998</v>
      </c>
      <c r="E13084">
        <v>1.45127436281859</v>
      </c>
    </row>
    <row r="13085" spans="1:5">
      <c r="A13085" t="s">
        <v>15108</v>
      </c>
      <c r="B13085" t="s">
        <v>15109</v>
      </c>
      <c r="C13085">
        <v>0</v>
      </c>
      <c r="D13085">
        <v>0.98920257497800002</v>
      </c>
      <c r="E13085">
        <v>13.997001499250301</v>
      </c>
    </row>
    <row r="13086" spans="1:5">
      <c r="A13086" t="s">
        <v>15108</v>
      </c>
      <c r="B13086" t="s">
        <v>15110</v>
      </c>
      <c r="C13086">
        <f>0.171053330381</f>
        <v>0.17105333038100001</v>
      </c>
      <c r="D13086">
        <v>0.98920257497800002</v>
      </c>
      <c r="E13086">
        <v>13.997001499250301</v>
      </c>
    </row>
    <row r="13087" spans="1:5">
      <c r="A13087" t="s">
        <v>15108</v>
      </c>
      <c r="B13087" t="s">
        <v>15111</v>
      </c>
      <c r="C13087">
        <v>8.9128460619799996E-2</v>
      </c>
      <c r="D13087">
        <v>0.98920257497800002</v>
      </c>
      <c r="E13087">
        <v>13.997001499250301</v>
      </c>
    </row>
    <row r="13088" spans="1:5">
      <c r="A13088" t="s">
        <v>15108</v>
      </c>
      <c r="B13088" t="s">
        <v>15112</v>
      </c>
      <c r="C13088">
        <v>0</v>
      </c>
      <c r="D13088">
        <v>0.98920257497800002</v>
      </c>
      <c r="E13088">
        <v>13.997001499250301</v>
      </c>
    </row>
    <row r="13089" spans="1:5">
      <c r="A13089" t="s">
        <v>15113</v>
      </c>
      <c r="B13089" t="s">
        <v>15114</v>
      </c>
      <c r="C13089">
        <v>0</v>
      </c>
      <c r="D13089">
        <v>0.92246188723699996</v>
      </c>
      <c r="E13089">
        <v>10.398800599700101</v>
      </c>
    </row>
    <row r="13090" spans="1:5">
      <c r="A13090" t="s">
        <v>15113</v>
      </c>
      <c r="B13090" t="s">
        <v>15115</v>
      </c>
      <c r="C13090">
        <f>0</f>
        <v>0</v>
      </c>
      <c r="D13090">
        <v>0.92246188723699996</v>
      </c>
      <c r="E13090">
        <v>10.398800599700101</v>
      </c>
    </row>
    <row r="13091" spans="1:5">
      <c r="A13091" t="s">
        <v>15113</v>
      </c>
      <c r="B13091" t="s">
        <v>15116</v>
      </c>
      <c r="C13091">
        <f>0</f>
        <v>0</v>
      </c>
      <c r="D13091">
        <v>0.92246188723699996</v>
      </c>
      <c r="E13091">
        <v>10.398800599700101</v>
      </c>
    </row>
    <row r="13092" spans="1:5">
      <c r="A13092" t="s">
        <v>15113</v>
      </c>
      <c r="B13092" t="s">
        <v>15117</v>
      </c>
      <c r="C13092">
        <f>0</f>
        <v>0</v>
      </c>
      <c r="D13092">
        <v>0.92246188723699996</v>
      </c>
      <c r="E13092">
        <v>10.398800599700101</v>
      </c>
    </row>
    <row r="13093" spans="1:5">
      <c r="A13093" t="s">
        <v>15113</v>
      </c>
      <c r="B13093" t="s">
        <v>15118</v>
      </c>
      <c r="C13093">
        <f>0</f>
        <v>0</v>
      </c>
      <c r="D13093">
        <v>0.92246188723699996</v>
      </c>
      <c r="E13093">
        <v>10.398800599700101</v>
      </c>
    </row>
    <row r="13094" spans="1:5">
      <c r="A13094" t="s">
        <v>15113</v>
      </c>
      <c r="B13094" t="s">
        <v>15119</v>
      </c>
      <c r="C13094">
        <f>0</f>
        <v>0</v>
      </c>
      <c r="D13094">
        <v>0.92246188723699996</v>
      </c>
      <c r="E13094">
        <v>10.398800599700101</v>
      </c>
    </row>
    <row r="13095" spans="1:5">
      <c r="A13095" t="s">
        <v>15113</v>
      </c>
      <c r="B13095" t="s">
        <v>15120</v>
      </c>
      <c r="C13095">
        <v>0</v>
      </c>
      <c r="D13095">
        <v>0.92246188723699996</v>
      </c>
      <c r="E13095">
        <v>10.398800599700101</v>
      </c>
    </row>
    <row r="13096" spans="1:5">
      <c r="A13096" t="s">
        <v>15113</v>
      </c>
      <c r="B13096" t="s">
        <v>15121</v>
      </c>
      <c r="C13096">
        <v>0</v>
      </c>
      <c r="D13096">
        <v>0.92246188723699996</v>
      </c>
      <c r="E13096">
        <v>10.398800599700101</v>
      </c>
    </row>
    <row r="13097" spans="1:5">
      <c r="A13097" t="s">
        <v>15113</v>
      </c>
      <c r="B13097" t="s">
        <v>15122</v>
      </c>
      <c r="C13097">
        <v>0.17458345380699999</v>
      </c>
      <c r="D13097">
        <v>0.92246188723699996</v>
      </c>
      <c r="E13097">
        <v>10.398800599700101</v>
      </c>
    </row>
    <row r="13098" spans="1:5">
      <c r="A13098" t="s">
        <v>15113</v>
      </c>
      <c r="B13098" t="s">
        <v>15123</v>
      </c>
      <c r="C13098">
        <v>6.6711316777000004E-4</v>
      </c>
      <c r="D13098">
        <v>0.92246188723699996</v>
      </c>
      <c r="E13098">
        <v>10.398800599700101</v>
      </c>
    </row>
    <row r="13099" spans="1:5">
      <c r="A13099" t="s">
        <v>15124</v>
      </c>
      <c r="B13099" t="s">
        <v>15125</v>
      </c>
      <c r="C13099">
        <v>0.41807592746</v>
      </c>
      <c r="D13099">
        <v>0.95662945011599998</v>
      </c>
      <c r="E13099">
        <v>11.202398800599701</v>
      </c>
    </row>
    <row r="13100" spans="1:5">
      <c r="A13100" t="s">
        <v>15124</v>
      </c>
      <c r="B13100" t="s">
        <v>15126</v>
      </c>
      <c r="C13100">
        <f>0</f>
        <v>0</v>
      </c>
      <c r="D13100">
        <v>0.95662945011599998</v>
      </c>
      <c r="E13100">
        <v>11.202398800599701</v>
      </c>
    </row>
    <row r="13101" spans="1:5">
      <c r="A13101" t="s">
        <v>15124</v>
      </c>
      <c r="B13101" t="s">
        <v>15127</v>
      </c>
      <c r="C13101">
        <f>0.362813045049</f>
        <v>0.36281304504900003</v>
      </c>
      <c r="D13101">
        <v>0.95662945011599998</v>
      </c>
      <c r="E13101">
        <v>11.202398800599701</v>
      </c>
    </row>
    <row r="13102" spans="1:5">
      <c r="A13102" t="s">
        <v>15128</v>
      </c>
      <c r="B13102" t="s">
        <v>15129</v>
      </c>
      <c r="C13102">
        <v>9.2876794183199995E-2</v>
      </c>
      <c r="D13102">
        <v>0.38434270089900002</v>
      </c>
      <c r="E13102">
        <v>1.06746626686656</v>
      </c>
    </row>
    <row r="13103" spans="1:5">
      <c r="A13103" t="s">
        <v>15130</v>
      </c>
      <c r="B13103" t="s">
        <v>15131</v>
      </c>
      <c r="C13103">
        <f>0</f>
        <v>0</v>
      </c>
      <c r="D13103">
        <v>0.94849886721300003</v>
      </c>
      <c r="E13103">
        <v>2.0269865067466202</v>
      </c>
    </row>
    <row r="13104" spans="1:5">
      <c r="A13104" t="s">
        <v>15130</v>
      </c>
      <c r="B13104" t="s">
        <v>15132</v>
      </c>
      <c r="C13104">
        <v>0.16726352136700001</v>
      </c>
      <c r="D13104">
        <v>0.94849886721300003</v>
      </c>
      <c r="E13104">
        <v>2.0269865067466202</v>
      </c>
    </row>
    <row r="13105" spans="1:5">
      <c r="A13105" t="s">
        <v>15130</v>
      </c>
      <c r="B13105" t="s">
        <v>15133</v>
      </c>
      <c r="C13105">
        <f>0</f>
        <v>0</v>
      </c>
      <c r="D13105">
        <v>0.94849886721300003</v>
      </c>
      <c r="E13105">
        <v>2.0269865067466202</v>
      </c>
    </row>
    <row r="13106" spans="1:5">
      <c r="A13106" t="s">
        <v>15130</v>
      </c>
      <c r="B13106" t="s">
        <v>15134</v>
      </c>
      <c r="C13106">
        <f>0</f>
        <v>0</v>
      </c>
      <c r="D13106">
        <v>0.94849886721300003</v>
      </c>
      <c r="E13106">
        <v>2.0269865067466202</v>
      </c>
    </row>
    <row r="13107" spans="1:5">
      <c r="A13107" t="s">
        <v>15130</v>
      </c>
      <c r="B13107" t="s">
        <v>15135</v>
      </c>
      <c r="C13107">
        <v>0</v>
      </c>
      <c r="D13107">
        <v>0.94849886721300003</v>
      </c>
      <c r="E13107">
        <v>2.0269865067466202</v>
      </c>
    </row>
    <row r="13108" spans="1:5">
      <c r="A13108" t="s">
        <v>15136</v>
      </c>
      <c r="B13108" t="s">
        <v>15137</v>
      </c>
      <c r="C13108">
        <f>0.110342844446</f>
        <v>0.110342844446</v>
      </c>
      <c r="D13108">
        <v>0.96146888895799998</v>
      </c>
      <c r="E13108">
        <v>1.6911544227886</v>
      </c>
    </row>
    <row r="13109" spans="1:5">
      <c r="A13109" t="s">
        <v>15136</v>
      </c>
      <c r="B13109" t="s">
        <v>15138</v>
      </c>
      <c r="C13109">
        <f>0.500543421939</f>
        <v>0.50054342193900003</v>
      </c>
      <c r="D13109">
        <v>0.96146888895799998</v>
      </c>
      <c r="E13109">
        <v>1.6911544227886</v>
      </c>
    </row>
    <row r="13110" spans="1:5">
      <c r="A13110" t="s">
        <v>15136</v>
      </c>
      <c r="B13110" t="s">
        <v>15139</v>
      </c>
      <c r="C13110">
        <f>0</f>
        <v>0</v>
      </c>
      <c r="D13110">
        <v>0.96146888895799998</v>
      </c>
      <c r="E13110">
        <v>1.6911544227886</v>
      </c>
    </row>
    <row r="13111" spans="1:5">
      <c r="A13111" t="s">
        <v>15136</v>
      </c>
      <c r="B13111" t="s">
        <v>15140</v>
      </c>
      <c r="C13111">
        <f>0</f>
        <v>0</v>
      </c>
      <c r="D13111">
        <v>0.96146888895799998</v>
      </c>
      <c r="E13111">
        <v>1.6911544227886</v>
      </c>
    </row>
    <row r="13112" spans="1:5">
      <c r="A13112" t="s">
        <v>15136</v>
      </c>
      <c r="B13112" t="s">
        <v>15141</v>
      </c>
      <c r="C13112">
        <v>0</v>
      </c>
      <c r="D13112">
        <v>0.96146888895799998</v>
      </c>
      <c r="E13112">
        <v>1.6911544227886</v>
      </c>
    </row>
    <row r="13113" spans="1:5">
      <c r="A13113" t="s">
        <v>15136</v>
      </c>
      <c r="B13113" t="s">
        <v>15142</v>
      </c>
      <c r="C13113">
        <v>0</v>
      </c>
      <c r="D13113">
        <v>0.96146888895799998</v>
      </c>
      <c r="E13113">
        <v>1.6911544227886</v>
      </c>
    </row>
    <row r="13114" spans="1:5">
      <c r="A13114" t="s">
        <v>15136</v>
      </c>
      <c r="B13114" t="s">
        <v>15143</v>
      </c>
      <c r="C13114">
        <f>0</f>
        <v>0</v>
      </c>
      <c r="D13114">
        <v>0.96146888895799998</v>
      </c>
      <c r="E13114">
        <v>1.6911544227886</v>
      </c>
    </row>
    <row r="13115" spans="1:5">
      <c r="A13115" t="s">
        <v>15144</v>
      </c>
      <c r="B13115" t="s">
        <v>15145</v>
      </c>
      <c r="C13115">
        <v>1.2379043402800001E-3</v>
      </c>
      <c r="D13115">
        <v>0.78708947912600002</v>
      </c>
      <c r="E13115">
        <v>20.965517241379299</v>
      </c>
    </row>
    <row r="13116" spans="1:5">
      <c r="A13116" t="s">
        <v>15144</v>
      </c>
      <c r="B13116" t="s">
        <v>15146</v>
      </c>
      <c r="C13116">
        <v>3.7208794416600001E-2</v>
      </c>
      <c r="D13116">
        <v>0.78708947912600002</v>
      </c>
      <c r="E13116">
        <v>20.965517241379299</v>
      </c>
    </row>
    <row r="13117" spans="1:5">
      <c r="A13117" t="s">
        <v>15147</v>
      </c>
      <c r="B13117" t="s">
        <v>15148</v>
      </c>
      <c r="C13117">
        <f>0</f>
        <v>0</v>
      </c>
      <c r="D13117">
        <v>0.96906929968800004</v>
      </c>
      <c r="E13117">
        <v>0</v>
      </c>
    </row>
    <row r="13118" spans="1:5">
      <c r="A13118" t="s">
        <v>15147</v>
      </c>
      <c r="B13118" t="s">
        <v>15149</v>
      </c>
      <c r="C13118">
        <f>0.437317791113</f>
        <v>0.43731779111300001</v>
      </c>
      <c r="D13118">
        <v>0.96906929968800004</v>
      </c>
      <c r="E13118">
        <v>0</v>
      </c>
    </row>
    <row r="13119" spans="1:5">
      <c r="A13119" t="s">
        <v>15147</v>
      </c>
      <c r="B13119" t="s">
        <v>15150</v>
      </c>
      <c r="C13119">
        <f>0</f>
        <v>0</v>
      </c>
      <c r="D13119">
        <v>0.96906929968800004</v>
      </c>
      <c r="E13119">
        <v>0</v>
      </c>
    </row>
    <row r="13120" spans="1:5">
      <c r="A13120" t="s">
        <v>15147</v>
      </c>
      <c r="B13120" t="s">
        <v>15151</v>
      </c>
      <c r="C13120">
        <f>0.00442867083814</f>
        <v>4.4286708381400001E-3</v>
      </c>
      <c r="D13120">
        <v>0.96906929968800004</v>
      </c>
      <c r="E13120">
        <v>0</v>
      </c>
    </row>
    <row r="13121" spans="1:5">
      <c r="A13121" t="s">
        <v>15147</v>
      </c>
      <c r="B13121" t="s">
        <v>15152</v>
      </c>
      <c r="C13121">
        <v>0</v>
      </c>
      <c r="D13121">
        <v>0.96906929968800004</v>
      </c>
      <c r="E13121">
        <v>0</v>
      </c>
    </row>
    <row r="13122" spans="1:5">
      <c r="A13122" t="s">
        <v>15153</v>
      </c>
      <c r="B13122" t="s">
        <v>15154</v>
      </c>
      <c r="C13122">
        <v>0</v>
      </c>
      <c r="D13122">
        <v>0.89950054077800001</v>
      </c>
      <c r="E13122">
        <v>17.511244377811</v>
      </c>
    </row>
    <row r="13123" spans="1:5">
      <c r="A13123" t="s">
        <v>15153</v>
      </c>
      <c r="B13123" t="s">
        <v>15155</v>
      </c>
      <c r="C13123">
        <v>0</v>
      </c>
      <c r="D13123">
        <v>0.89950054077800001</v>
      </c>
      <c r="E13123">
        <v>17.511244377811</v>
      </c>
    </row>
    <row r="13124" spans="1:5">
      <c r="A13124" t="s">
        <v>15153</v>
      </c>
      <c r="B13124" t="s">
        <v>15156</v>
      </c>
      <c r="C13124">
        <f>0</f>
        <v>0</v>
      </c>
      <c r="D13124">
        <v>0.89950054077800001</v>
      </c>
      <c r="E13124">
        <v>17.511244377811</v>
      </c>
    </row>
    <row r="13125" spans="1:5">
      <c r="A13125" t="s">
        <v>15153</v>
      </c>
      <c r="B13125" t="s">
        <v>15157</v>
      </c>
      <c r="C13125">
        <v>0</v>
      </c>
      <c r="D13125">
        <v>0.89950054077800001</v>
      </c>
      <c r="E13125">
        <v>17.511244377811</v>
      </c>
    </row>
    <row r="13126" spans="1:5">
      <c r="A13126" t="s">
        <v>15153</v>
      </c>
      <c r="B13126" t="s">
        <v>15158</v>
      </c>
      <c r="C13126">
        <f>0.0228240015546</f>
        <v>2.2824001554600001E-2</v>
      </c>
      <c r="D13126">
        <v>0.89950054077800001</v>
      </c>
      <c r="E13126">
        <v>17.511244377811</v>
      </c>
    </row>
    <row r="13127" spans="1:5">
      <c r="A13127" t="s">
        <v>15153</v>
      </c>
      <c r="B13127" t="s">
        <v>15159</v>
      </c>
      <c r="C13127">
        <v>0.18955530932299999</v>
      </c>
      <c r="D13127">
        <v>0.89950054077800001</v>
      </c>
      <c r="E13127">
        <v>17.511244377811</v>
      </c>
    </row>
    <row r="13128" spans="1:5">
      <c r="A13128" t="s">
        <v>15160</v>
      </c>
      <c r="B13128" t="s">
        <v>15161</v>
      </c>
      <c r="C13128">
        <v>0</v>
      </c>
      <c r="D13128" t="s">
        <v>106</v>
      </c>
      <c r="E13128">
        <v>0.73163418290854498</v>
      </c>
    </row>
    <row r="13129" spans="1:5">
      <c r="A13129" t="s">
        <v>15160</v>
      </c>
      <c r="B13129" t="s">
        <v>15162</v>
      </c>
      <c r="C13129">
        <v>0</v>
      </c>
      <c r="D13129" t="s">
        <v>106</v>
      </c>
      <c r="E13129">
        <v>0.73163418290854498</v>
      </c>
    </row>
    <row r="13130" spans="1:5">
      <c r="A13130" t="s">
        <v>15160</v>
      </c>
      <c r="B13130" t="s">
        <v>15163</v>
      </c>
      <c r="C13130">
        <v>0</v>
      </c>
      <c r="D13130" t="s">
        <v>106</v>
      </c>
      <c r="E13130">
        <v>0.73163418290854498</v>
      </c>
    </row>
    <row r="13131" spans="1:5">
      <c r="A13131" t="s">
        <v>15160</v>
      </c>
      <c r="B13131" t="s">
        <v>15164</v>
      </c>
      <c r="C13131">
        <f>0</f>
        <v>0</v>
      </c>
      <c r="D13131" t="s">
        <v>106</v>
      </c>
      <c r="E13131">
        <v>0.73163418290854498</v>
      </c>
    </row>
    <row r="13132" spans="1:5">
      <c r="A13132" t="s">
        <v>15160</v>
      </c>
      <c r="B13132" t="s">
        <v>15165</v>
      </c>
      <c r="C13132">
        <v>0</v>
      </c>
      <c r="D13132" t="s">
        <v>106</v>
      </c>
      <c r="E13132">
        <v>0.73163418290854498</v>
      </c>
    </row>
    <row r="13133" spans="1:5">
      <c r="A13133" t="s">
        <v>15160</v>
      </c>
      <c r="B13133" t="s">
        <v>15166</v>
      </c>
      <c r="C13133">
        <v>0</v>
      </c>
      <c r="D13133" t="s">
        <v>106</v>
      </c>
      <c r="E13133">
        <v>0.73163418290854498</v>
      </c>
    </row>
    <row r="13134" spans="1:5">
      <c r="A13134" t="s">
        <v>15160</v>
      </c>
      <c r="B13134" t="s">
        <v>15167</v>
      </c>
      <c r="C13134">
        <v>0</v>
      </c>
      <c r="D13134" t="s">
        <v>106</v>
      </c>
      <c r="E13134">
        <v>0.73163418290854498</v>
      </c>
    </row>
    <row r="13135" spans="1:5">
      <c r="A13135" t="s">
        <v>15160</v>
      </c>
      <c r="B13135" t="s">
        <v>15168</v>
      </c>
      <c r="C13135">
        <v>0</v>
      </c>
      <c r="D13135" t="s">
        <v>106</v>
      </c>
      <c r="E13135">
        <v>0.73163418290854498</v>
      </c>
    </row>
    <row r="13136" spans="1:5">
      <c r="A13136" t="s">
        <v>15160</v>
      </c>
      <c r="B13136" t="s">
        <v>15169</v>
      </c>
      <c r="C13136">
        <v>0</v>
      </c>
      <c r="D13136" t="s">
        <v>106</v>
      </c>
      <c r="E13136">
        <v>0.73163418290854498</v>
      </c>
    </row>
    <row r="13137" spans="1:5">
      <c r="A13137" t="s">
        <v>15160</v>
      </c>
      <c r="B13137" t="s">
        <v>15170</v>
      </c>
      <c r="C13137">
        <f>0</f>
        <v>0</v>
      </c>
      <c r="D13137" t="s">
        <v>106</v>
      </c>
      <c r="E13137">
        <v>0.73163418290854498</v>
      </c>
    </row>
    <row r="13138" spans="1:5">
      <c r="A13138" t="s">
        <v>15160</v>
      </c>
      <c r="B13138" t="s">
        <v>15171</v>
      </c>
      <c r="C13138">
        <v>0</v>
      </c>
      <c r="D13138" t="s">
        <v>106</v>
      </c>
      <c r="E13138">
        <v>0.73163418290854498</v>
      </c>
    </row>
    <row r="13139" spans="1:5">
      <c r="A13139" t="s">
        <v>15160</v>
      </c>
      <c r="B13139" t="s">
        <v>15172</v>
      </c>
      <c r="C13139">
        <v>0</v>
      </c>
      <c r="D13139" t="s">
        <v>106</v>
      </c>
      <c r="E13139">
        <v>0.73163418290854498</v>
      </c>
    </row>
    <row r="13140" spans="1:5">
      <c r="A13140" t="s">
        <v>15160</v>
      </c>
      <c r="B13140" t="s">
        <v>15173</v>
      </c>
      <c r="C13140">
        <f>0</f>
        <v>0</v>
      </c>
      <c r="D13140" t="s">
        <v>106</v>
      </c>
      <c r="E13140">
        <v>0.73163418290854498</v>
      </c>
    </row>
    <row r="13141" spans="1:5">
      <c r="A13141" t="s">
        <v>15174</v>
      </c>
      <c r="B13141" t="s">
        <v>15175</v>
      </c>
      <c r="C13141">
        <v>1.31438408024E-3</v>
      </c>
      <c r="D13141" t="s">
        <v>106</v>
      </c>
      <c r="E13141">
        <v>24</v>
      </c>
    </row>
    <row r="13142" spans="1:5">
      <c r="A13142" t="s">
        <v>15176</v>
      </c>
      <c r="B13142" t="s">
        <v>15177</v>
      </c>
      <c r="C13142">
        <f>0</f>
        <v>0</v>
      </c>
      <c r="D13142" t="s">
        <v>106</v>
      </c>
      <c r="E13142">
        <v>1.16341829085457</v>
      </c>
    </row>
    <row r="13143" spans="1:5">
      <c r="A13143" t="s">
        <v>15176</v>
      </c>
      <c r="B13143" t="s">
        <v>15178</v>
      </c>
      <c r="C13143">
        <v>0</v>
      </c>
      <c r="D13143" t="s">
        <v>106</v>
      </c>
      <c r="E13143">
        <v>1.16341829085457</v>
      </c>
    </row>
    <row r="13144" spans="1:5">
      <c r="A13144" t="s">
        <v>15176</v>
      </c>
      <c r="B13144" t="s">
        <v>15179</v>
      </c>
      <c r="C13144">
        <v>0</v>
      </c>
      <c r="D13144" t="s">
        <v>106</v>
      </c>
      <c r="E13144">
        <v>1.16341829085457</v>
      </c>
    </row>
    <row r="13145" spans="1:5">
      <c r="A13145" t="s">
        <v>15176</v>
      </c>
      <c r="B13145" t="s">
        <v>15180</v>
      </c>
      <c r="C13145">
        <v>0</v>
      </c>
      <c r="D13145" t="s">
        <v>106</v>
      </c>
      <c r="E13145">
        <v>1.16341829085457</v>
      </c>
    </row>
    <row r="13146" spans="1:5">
      <c r="A13146" t="s">
        <v>15176</v>
      </c>
      <c r="B13146" t="s">
        <v>15181</v>
      </c>
      <c r="C13146">
        <v>0</v>
      </c>
      <c r="D13146" t="s">
        <v>106</v>
      </c>
      <c r="E13146">
        <v>1.16341829085457</v>
      </c>
    </row>
    <row r="13147" spans="1:5">
      <c r="A13147" t="s">
        <v>15182</v>
      </c>
      <c r="B13147" t="s">
        <v>15183</v>
      </c>
      <c r="C13147">
        <v>0</v>
      </c>
      <c r="D13147" t="s">
        <v>106</v>
      </c>
      <c r="E13147">
        <v>3.2263868065966999</v>
      </c>
    </row>
    <row r="13148" spans="1:5">
      <c r="A13148" t="s">
        <v>15182</v>
      </c>
      <c r="B13148" t="s">
        <v>15184</v>
      </c>
      <c r="C13148">
        <v>0</v>
      </c>
      <c r="D13148" t="s">
        <v>106</v>
      </c>
      <c r="E13148">
        <v>3.2263868065966999</v>
      </c>
    </row>
    <row r="13149" spans="1:5">
      <c r="A13149" t="s">
        <v>15182</v>
      </c>
      <c r="B13149" t="s">
        <v>15185</v>
      </c>
      <c r="C13149">
        <v>0</v>
      </c>
      <c r="D13149" t="s">
        <v>106</v>
      </c>
      <c r="E13149">
        <v>3.2263868065966999</v>
      </c>
    </row>
    <row r="13150" spans="1:5">
      <c r="A13150" t="s">
        <v>15182</v>
      </c>
      <c r="B13150" t="s">
        <v>15186</v>
      </c>
      <c r="C13150">
        <v>0.259574792833</v>
      </c>
      <c r="D13150" t="s">
        <v>106</v>
      </c>
      <c r="E13150">
        <v>3.2263868065966999</v>
      </c>
    </row>
    <row r="13151" spans="1:5">
      <c r="A13151" t="s">
        <v>15182</v>
      </c>
      <c r="B13151" t="s">
        <v>15187</v>
      </c>
      <c r="C13151">
        <v>0</v>
      </c>
      <c r="D13151" t="s">
        <v>106</v>
      </c>
      <c r="E13151">
        <v>3.2263868065966999</v>
      </c>
    </row>
    <row r="13152" spans="1:5">
      <c r="A13152" t="s">
        <v>15182</v>
      </c>
      <c r="B13152" t="s">
        <v>15188</v>
      </c>
      <c r="C13152">
        <v>0</v>
      </c>
      <c r="D13152" t="s">
        <v>106</v>
      </c>
      <c r="E13152">
        <v>3.2263868065966999</v>
      </c>
    </row>
    <row r="13153" spans="1:5">
      <c r="A13153" t="s">
        <v>15182</v>
      </c>
      <c r="B13153" t="s">
        <v>15189</v>
      </c>
      <c r="C13153">
        <v>0</v>
      </c>
      <c r="D13153" t="s">
        <v>106</v>
      </c>
      <c r="E13153">
        <v>3.2263868065966999</v>
      </c>
    </row>
    <row r="13154" spans="1:5">
      <c r="A13154" t="s">
        <v>15182</v>
      </c>
      <c r="B13154" t="s">
        <v>15190</v>
      </c>
      <c r="C13154">
        <v>0</v>
      </c>
      <c r="D13154" t="s">
        <v>106</v>
      </c>
      <c r="E13154">
        <v>3.2263868065966999</v>
      </c>
    </row>
    <row r="13155" spans="1:5">
      <c r="A13155" t="s">
        <v>15191</v>
      </c>
      <c r="B13155" t="s">
        <v>15192</v>
      </c>
      <c r="C13155">
        <v>6.1848920203E-2</v>
      </c>
      <c r="D13155">
        <v>0.90390452782200004</v>
      </c>
      <c r="E13155">
        <v>7.1964017991004496</v>
      </c>
    </row>
    <row r="13156" spans="1:5">
      <c r="A13156" t="s">
        <v>15191</v>
      </c>
      <c r="B13156" t="s">
        <v>15193</v>
      </c>
      <c r="C13156">
        <v>0</v>
      </c>
      <c r="D13156">
        <v>0.90390452782200004</v>
      </c>
      <c r="E13156">
        <v>7.1964017991004496</v>
      </c>
    </row>
    <row r="13157" spans="1:5">
      <c r="A13157" t="s">
        <v>15191</v>
      </c>
      <c r="B13157" t="s">
        <v>15194</v>
      </c>
      <c r="C13157">
        <f>0</f>
        <v>0</v>
      </c>
      <c r="D13157">
        <v>0.90390452782200004</v>
      </c>
      <c r="E13157">
        <v>7.1964017991004496</v>
      </c>
    </row>
    <row r="13158" spans="1:5">
      <c r="A13158" t="s">
        <v>15191</v>
      </c>
      <c r="B13158" t="s">
        <v>15195</v>
      </c>
      <c r="C13158">
        <f>0.0216019980638</f>
        <v>2.1601998063800001E-2</v>
      </c>
      <c r="D13158">
        <v>0.90390452782200004</v>
      </c>
      <c r="E13158">
        <v>7.1964017991004496</v>
      </c>
    </row>
    <row r="13159" spans="1:5">
      <c r="A13159" t="s">
        <v>15196</v>
      </c>
      <c r="B13159" t="s">
        <v>15197</v>
      </c>
      <c r="C13159">
        <v>4.7234085396399998E-2</v>
      </c>
      <c r="D13159">
        <v>0.99292135304700002</v>
      </c>
      <c r="E13159">
        <v>0.57571214392803505</v>
      </c>
    </row>
    <row r="13160" spans="1:5">
      <c r="A13160" t="s">
        <v>15196</v>
      </c>
      <c r="B13160" t="s">
        <v>15198</v>
      </c>
      <c r="C13160">
        <v>0</v>
      </c>
      <c r="D13160">
        <v>0.99292135304700002</v>
      </c>
      <c r="E13160">
        <v>0.57571214392803505</v>
      </c>
    </row>
    <row r="13161" spans="1:5">
      <c r="A13161" t="s">
        <v>15196</v>
      </c>
      <c r="B13161" t="s">
        <v>15199</v>
      </c>
      <c r="C13161">
        <f>0</f>
        <v>0</v>
      </c>
      <c r="D13161">
        <v>0.99292135304700002</v>
      </c>
      <c r="E13161">
        <v>0.57571214392803505</v>
      </c>
    </row>
    <row r="13162" spans="1:5">
      <c r="A13162" t="s">
        <v>15196</v>
      </c>
      <c r="B13162" t="s">
        <v>15200</v>
      </c>
      <c r="C13162">
        <v>0</v>
      </c>
      <c r="D13162">
        <v>0.99292135304700002</v>
      </c>
      <c r="E13162">
        <v>0.57571214392803505</v>
      </c>
    </row>
    <row r="13163" spans="1:5">
      <c r="A13163" t="s">
        <v>15196</v>
      </c>
      <c r="B13163" t="s">
        <v>15201</v>
      </c>
      <c r="C13163">
        <f>0.781831915318</f>
        <v>0.781831915318</v>
      </c>
      <c r="D13163">
        <v>0.99292135304700002</v>
      </c>
      <c r="E13163">
        <v>0.57571214392803505</v>
      </c>
    </row>
    <row r="13164" spans="1:5">
      <c r="A13164" t="s">
        <v>15196</v>
      </c>
      <c r="B13164" t="s">
        <v>15202</v>
      </c>
      <c r="C13164">
        <f>0</f>
        <v>0</v>
      </c>
      <c r="D13164">
        <v>0.99292135304700002</v>
      </c>
      <c r="E13164">
        <v>0.57571214392803505</v>
      </c>
    </row>
    <row r="13165" spans="1:5">
      <c r="A13165" t="s">
        <v>15196</v>
      </c>
      <c r="B13165" t="s">
        <v>15203</v>
      </c>
      <c r="C13165">
        <f>0</f>
        <v>0</v>
      </c>
      <c r="D13165">
        <v>0.99292135304700002</v>
      </c>
      <c r="E13165">
        <v>0.57571214392803505</v>
      </c>
    </row>
    <row r="13166" spans="1:5">
      <c r="A13166" t="s">
        <v>15204</v>
      </c>
      <c r="B13166" t="s">
        <v>15205</v>
      </c>
      <c r="C13166">
        <f>0.0682354472233</f>
        <v>6.8235447223299994E-2</v>
      </c>
      <c r="D13166">
        <v>0.99824692492699996</v>
      </c>
      <c r="E13166">
        <v>1.00749625187406</v>
      </c>
    </row>
    <row r="13167" spans="1:5">
      <c r="A13167" t="s">
        <v>15204</v>
      </c>
      <c r="B13167" t="s">
        <v>15206</v>
      </c>
      <c r="C13167">
        <v>0</v>
      </c>
      <c r="D13167">
        <v>0.99824692492699996</v>
      </c>
      <c r="E13167">
        <v>1.00749625187406</v>
      </c>
    </row>
    <row r="13168" spans="1:5">
      <c r="A13168" t="s">
        <v>15204</v>
      </c>
      <c r="B13168" t="s">
        <v>15207</v>
      </c>
      <c r="C13168">
        <v>0.31273569260200001</v>
      </c>
      <c r="D13168">
        <v>0.99824692492699996</v>
      </c>
      <c r="E13168">
        <v>1.00749625187406</v>
      </c>
    </row>
    <row r="13169" spans="1:5">
      <c r="A13169" t="s">
        <v>15208</v>
      </c>
      <c r="B13169" t="s">
        <v>15209</v>
      </c>
      <c r="C13169">
        <f>0</f>
        <v>0</v>
      </c>
      <c r="D13169" t="s">
        <v>106</v>
      </c>
      <c r="E13169">
        <v>3.3103448275862002</v>
      </c>
    </row>
    <row r="13170" spans="1:5">
      <c r="A13170" t="s">
        <v>15208</v>
      </c>
      <c r="B13170" t="s">
        <v>15210</v>
      </c>
      <c r="C13170">
        <f>0</f>
        <v>0</v>
      </c>
      <c r="D13170" t="s">
        <v>106</v>
      </c>
      <c r="E13170">
        <v>3.3103448275862002</v>
      </c>
    </row>
    <row r="13171" spans="1:5">
      <c r="A13171" t="s">
        <v>15208</v>
      </c>
      <c r="B13171" t="s">
        <v>15211</v>
      </c>
      <c r="C13171">
        <f>0</f>
        <v>0</v>
      </c>
      <c r="D13171" t="s">
        <v>106</v>
      </c>
      <c r="E13171">
        <v>3.3103448275862002</v>
      </c>
    </row>
    <row r="13172" spans="1:5">
      <c r="A13172" t="s">
        <v>15208</v>
      </c>
      <c r="B13172" t="s">
        <v>15212</v>
      </c>
      <c r="C13172">
        <f>0</f>
        <v>0</v>
      </c>
      <c r="D13172" t="s">
        <v>106</v>
      </c>
      <c r="E13172">
        <v>3.3103448275862002</v>
      </c>
    </row>
    <row r="13173" spans="1:5">
      <c r="A13173" t="s">
        <v>15208</v>
      </c>
      <c r="B13173" t="s">
        <v>15213</v>
      </c>
      <c r="C13173">
        <f>0</f>
        <v>0</v>
      </c>
      <c r="D13173" t="s">
        <v>106</v>
      </c>
      <c r="E13173">
        <v>3.3103448275862002</v>
      </c>
    </row>
    <row r="13174" spans="1:5">
      <c r="A13174" t="s">
        <v>15208</v>
      </c>
      <c r="B13174" t="s">
        <v>15214</v>
      </c>
      <c r="C13174">
        <f>0</f>
        <v>0</v>
      </c>
      <c r="D13174" t="s">
        <v>106</v>
      </c>
      <c r="E13174">
        <v>3.3103448275862002</v>
      </c>
    </row>
    <row r="13175" spans="1:5">
      <c r="A13175" t="s">
        <v>15208</v>
      </c>
      <c r="B13175" t="s">
        <v>15215</v>
      </c>
      <c r="C13175">
        <f>0</f>
        <v>0</v>
      </c>
      <c r="D13175" t="s">
        <v>106</v>
      </c>
      <c r="E13175">
        <v>3.3103448275862002</v>
      </c>
    </row>
    <row r="13176" spans="1:5">
      <c r="A13176" t="s">
        <v>15208</v>
      </c>
      <c r="B13176" t="s">
        <v>15216</v>
      </c>
      <c r="C13176">
        <v>0.191699575978</v>
      </c>
      <c r="D13176" t="s">
        <v>106</v>
      </c>
      <c r="E13176">
        <v>3.3103448275862002</v>
      </c>
    </row>
    <row r="13177" spans="1:5">
      <c r="A13177" t="s">
        <v>15208</v>
      </c>
      <c r="B13177" t="s">
        <v>15217</v>
      </c>
      <c r="C13177">
        <f>0</f>
        <v>0</v>
      </c>
      <c r="D13177" t="s">
        <v>106</v>
      </c>
      <c r="E13177">
        <v>3.3103448275862002</v>
      </c>
    </row>
    <row r="13178" spans="1:5">
      <c r="A13178" t="s">
        <v>15208</v>
      </c>
      <c r="B13178" t="s">
        <v>15218</v>
      </c>
      <c r="C13178">
        <f>0</f>
        <v>0</v>
      </c>
      <c r="D13178" t="s">
        <v>106</v>
      </c>
      <c r="E13178">
        <v>3.3103448275862002</v>
      </c>
    </row>
    <row r="13179" spans="1:5">
      <c r="A13179" t="s">
        <v>15208</v>
      </c>
      <c r="B13179" t="s">
        <v>15219</v>
      </c>
      <c r="C13179">
        <f>0</f>
        <v>0</v>
      </c>
      <c r="D13179" t="s">
        <v>106</v>
      </c>
      <c r="E13179">
        <v>3.3103448275862002</v>
      </c>
    </row>
    <row r="13180" spans="1:5">
      <c r="A13180" t="s">
        <v>15208</v>
      </c>
      <c r="B13180" t="s">
        <v>15220</v>
      </c>
      <c r="C13180">
        <f>0</f>
        <v>0</v>
      </c>
      <c r="D13180" t="s">
        <v>106</v>
      </c>
      <c r="E13180">
        <v>3.3103448275862002</v>
      </c>
    </row>
    <row r="13181" spans="1:5">
      <c r="A13181" t="s">
        <v>15208</v>
      </c>
      <c r="B13181" t="s">
        <v>15221</v>
      </c>
      <c r="C13181">
        <f>0</f>
        <v>0</v>
      </c>
      <c r="D13181" t="s">
        <v>106</v>
      </c>
      <c r="E13181">
        <v>3.3103448275862002</v>
      </c>
    </row>
    <row r="13182" spans="1:5">
      <c r="A13182" t="s">
        <v>15208</v>
      </c>
      <c r="B13182" t="s">
        <v>15222</v>
      </c>
      <c r="C13182">
        <f>0</f>
        <v>0</v>
      </c>
      <c r="D13182" t="s">
        <v>106</v>
      </c>
      <c r="E13182">
        <v>3.3103448275862002</v>
      </c>
    </row>
    <row r="13183" spans="1:5">
      <c r="A13183" t="s">
        <v>15208</v>
      </c>
      <c r="B13183" t="s">
        <v>15223</v>
      </c>
      <c r="C13183">
        <f>0</f>
        <v>0</v>
      </c>
      <c r="D13183" t="s">
        <v>106</v>
      </c>
      <c r="E13183">
        <v>3.3103448275862002</v>
      </c>
    </row>
    <row r="13184" spans="1:5">
      <c r="A13184" t="s">
        <v>15208</v>
      </c>
      <c r="B13184" t="s">
        <v>15224</v>
      </c>
      <c r="C13184">
        <f>0</f>
        <v>0</v>
      </c>
      <c r="D13184" t="s">
        <v>106</v>
      </c>
      <c r="E13184">
        <v>3.3103448275862002</v>
      </c>
    </row>
    <row r="13185" spans="1:5">
      <c r="A13185" t="s">
        <v>15225</v>
      </c>
      <c r="B13185" t="s">
        <v>15226</v>
      </c>
      <c r="C13185">
        <v>0</v>
      </c>
      <c r="D13185" t="s">
        <v>106</v>
      </c>
      <c r="E13185">
        <v>24</v>
      </c>
    </row>
    <row r="13186" spans="1:5">
      <c r="A13186" t="s">
        <v>15225</v>
      </c>
      <c r="B13186" t="s">
        <v>15227</v>
      </c>
      <c r="C13186">
        <v>0</v>
      </c>
      <c r="D13186" t="s">
        <v>106</v>
      </c>
      <c r="E13186">
        <v>24</v>
      </c>
    </row>
    <row r="13187" spans="1:5">
      <c r="A13187" t="s">
        <v>15225</v>
      </c>
      <c r="B13187" t="s">
        <v>15228</v>
      </c>
      <c r="C13187">
        <v>0</v>
      </c>
      <c r="D13187" t="s">
        <v>106</v>
      </c>
      <c r="E13187">
        <v>24</v>
      </c>
    </row>
    <row r="13188" spans="1:5">
      <c r="A13188" t="s">
        <v>15225</v>
      </c>
      <c r="B13188" t="s">
        <v>15229</v>
      </c>
      <c r="C13188">
        <v>0</v>
      </c>
      <c r="D13188" t="s">
        <v>106</v>
      </c>
      <c r="E13188">
        <v>24</v>
      </c>
    </row>
    <row r="13189" spans="1:5">
      <c r="A13189" t="s">
        <v>15225</v>
      </c>
      <c r="B13189" t="s">
        <v>15230</v>
      </c>
      <c r="C13189">
        <v>0.11392007972199999</v>
      </c>
      <c r="D13189" t="s">
        <v>106</v>
      </c>
      <c r="E13189">
        <v>24</v>
      </c>
    </row>
    <row r="13190" spans="1:5">
      <c r="A13190" t="s">
        <v>15225</v>
      </c>
      <c r="B13190" t="s">
        <v>15231</v>
      </c>
      <c r="C13190">
        <v>0</v>
      </c>
      <c r="D13190" t="s">
        <v>106</v>
      </c>
      <c r="E13190">
        <v>24</v>
      </c>
    </row>
    <row r="13191" spans="1:5">
      <c r="A13191" t="s">
        <v>15225</v>
      </c>
      <c r="B13191" t="s">
        <v>15232</v>
      </c>
      <c r="C13191">
        <v>0</v>
      </c>
      <c r="D13191" t="s">
        <v>106</v>
      </c>
      <c r="E13191">
        <v>24</v>
      </c>
    </row>
    <row r="13192" spans="1:5">
      <c r="A13192" t="s">
        <v>15225</v>
      </c>
      <c r="B13192" t="s">
        <v>15233</v>
      </c>
      <c r="C13192">
        <f>0</f>
        <v>0</v>
      </c>
      <c r="D13192" t="s">
        <v>106</v>
      </c>
      <c r="E13192">
        <v>24</v>
      </c>
    </row>
    <row r="13193" spans="1:5">
      <c r="A13193" t="s">
        <v>15225</v>
      </c>
      <c r="B13193" t="s">
        <v>15234</v>
      </c>
      <c r="C13193">
        <f>0</f>
        <v>0</v>
      </c>
      <c r="D13193" t="s">
        <v>106</v>
      </c>
      <c r="E13193">
        <v>24</v>
      </c>
    </row>
    <row r="13194" spans="1:5">
      <c r="A13194" t="s">
        <v>15225</v>
      </c>
      <c r="B13194" t="s">
        <v>15235</v>
      </c>
      <c r="C13194">
        <v>0</v>
      </c>
      <c r="D13194" t="s">
        <v>106</v>
      </c>
      <c r="E13194">
        <v>24</v>
      </c>
    </row>
    <row r="13195" spans="1:5">
      <c r="A13195" t="s">
        <v>15225</v>
      </c>
      <c r="B13195" t="s">
        <v>15236</v>
      </c>
      <c r="C13195">
        <v>0</v>
      </c>
      <c r="D13195" t="s">
        <v>106</v>
      </c>
      <c r="E13195">
        <v>24</v>
      </c>
    </row>
    <row r="13196" spans="1:5">
      <c r="A13196" t="s">
        <v>15237</v>
      </c>
      <c r="B13196" t="s">
        <v>15238</v>
      </c>
      <c r="C13196">
        <f>0</f>
        <v>0</v>
      </c>
      <c r="D13196">
        <v>0.92281290952499995</v>
      </c>
      <c r="E13196">
        <v>24</v>
      </c>
    </row>
    <row r="13197" spans="1:5">
      <c r="A13197" t="s">
        <v>15237</v>
      </c>
      <c r="B13197" t="s">
        <v>15239</v>
      </c>
      <c r="C13197">
        <v>0</v>
      </c>
      <c r="D13197">
        <v>0.92281290952499995</v>
      </c>
      <c r="E13197">
        <v>24</v>
      </c>
    </row>
    <row r="13198" spans="1:5">
      <c r="A13198" t="s">
        <v>15237</v>
      </c>
      <c r="B13198" t="s">
        <v>15240</v>
      </c>
      <c r="C13198">
        <v>2.6358473113900001E-2</v>
      </c>
      <c r="D13198">
        <v>0.92281290952499995</v>
      </c>
      <c r="E13198">
        <v>24</v>
      </c>
    </row>
    <row r="13199" spans="1:5">
      <c r="A13199" t="s">
        <v>15241</v>
      </c>
      <c r="B13199" t="s">
        <v>15242</v>
      </c>
      <c r="C13199">
        <v>0.28841718944799999</v>
      </c>
      <c r="D13199">
        <v>0.86759791822200005</v>
      </c>
      <c r="E13199">
        <v>7.5922038980509701</v>
      </c>
    </row>
    <row r="13200" spans="1:5">
      <c r="A13200" t="s">
        <v>15241</v>
      </c>
      <c r="B13200" t="s">
        <v>15243</v>
      </c>
      <c r="C13200">
        <v>0</v>
      </c>
      <c r="D13200">
        <v>0.86759791822200005</v>
      </c>
      <c r="E13200">
        <v>7.5922038980509701</v>
      </c>
    </row>
    <row r="13201" spans="1:5">
      <c r="A13201" t="s">
        <v>15241</v>
      </c>
      <c r="B13201" t="s">
        <v>15244</v>
      </c>
      <c r="C13201">
        <v>0</v>
      </c>
      <c r="D13201">
        <v>0.86759791822200005</v>
      </c>
      <c r="E13201">
        <v>7.5922038980509701</v>
      </c>
    </row>
    <row r="13202" spans="1:5">
      <c r="A13202" t="s">
        <v>15241</v>
      </c>
      <c r="B13202" t="s">
        <v>15245</v>
      </c>
      <c r="C13202">
        <v>0</v>
      </c>
      <c r="D13202">
        <v>0.86759791822200005</v>
      </c>
      <c r="E13202">
        <v>7.5922038980509701</v>
      </c>
    </row>
    <row r="13203" spans="1:5">
      <c r="A13203" t="s">
        <v>15241</v>
      </c>
      <c r="B13203" t="s">
        <v>15246</v>
      </c>
      <c r="C13203">
        <v>0</v>
      </c>
      <c r="D13203">
        <v>0.86759791822200005</v>
      </c>
      <c r="E13203">
        <v>7.5922038980509701</v>
      </c>
    </row>
    <row r="13204" spans="1:5">
      <c r="A13204" t="s">
        <v>15241</v>
      </c>
      <c r="B13204" t="s">
        <v>15247</v>
      </c>
      <c r="C13204">
        <v>0</v>
      </c>
      <c r="D13204">
        <v>0.86759791822200005</v>
      </c>
      <c r="E13204">
        <v>7.5922038980509701</v>
      </c>
    </row>
    <row r="13205" spans="1:5">
      <c r="A13205" t="s">
        <v>15241</v>
      </c>
      <c r="B13205" t="s">
        <v>15248</v>
      </c>
      <c r="C13205">
        <v>0</v>
      </c>
      <c r="D13205">
        <v>0.86759791822200005</v>
      </c>
      <c r="E13205">
        <v>7.5922038980509701</v>
      </c>
    </row>
    <row r="13206" spans="1:5">
      <c r="A13206" t="s">
        <v>15241</v>
      </c>
      <c r="B13206" t="s">
        <v>15249</v>
      </c>
      <c r="C13206">
        <v>0</v>
      </c>
      <c r="D13206">
        <v>0.86759791822200005</v>
      </c>
      <c r="E13206">
        <v>7.5922038980509701</v>
      </c>
    </row>
    <row r="13207" spans="1:5">
      <c r="A13207" t="s">
        <v>15250</v>
      </c>
      <c r="B13207" t="s">
        <v>15251</v>
      </c>
      <c r="C13207">
        <v>0</v>
      </c>
      <c r="D13207">
        <v>0.77977884285400001</v>
      </c>
      <c r="E13207">
        <v>3.7781109445277301</v>
      </c>
    </row>
    <row r="13208" spans="1:5">
      <c r="A13208" t="s">
        <v>15250</v>
      </c>
      <c r="B13208" t="s">
        <v>15252</v>
      </c>
      <c r="C13208">
        <f>0</f>
        <v>0</v>
      </c>
      <c r="D13208">
        <v>0.77977884285400001</v>
      </c>
      <c r="E13208">
        <v>3.7781109445277301</v>
      </c>
    </row>
    <row r="13209" spans="1:5">
      <c r="A13209" t="s">
        <v>15250</v>
      </c>
      <c r="B13209" t="s">
        <v>15253</v>
      </c>
      <c r="C13209">
        <f>0</f>
        <v>0</v>
      </c>
      <c r="D13209">
        <v>0.77977884285400001</v>
      </c>
      <c r="E13209">
        <v>3.7781109445277301</v>
      </c>
    </row>
    <row r="13210" spans="1:5">
      <c r="A13210" t="s">
        <v>15254</v>
      </c>
      <c r="B13210" t="s">
        <v>15255</v>
      </c>
      <c r="C13210">
        <v>0</v>
      </c>
      <c r="D13210">
        <v>0.95439242827399995</v>
      </c>
      <c r="E13210">
        <v>11.8740629685157</v>
      </c>
    </row>
    <row r="13211" spans="1:5">
      <c r="A13211" t="s">
        <v>15254</v>
      </c>
      <c r="B13211" t="s">
        <v>15256</v>
      </c>
      <c r="C13211">
        <f>0</f>
        <v>0</v>
      </c>
      <c r="D13211">
        <v>0.95439242827399995</v>
      </c>
      <c r="E13211">
        <v>11.8740629685157</v>
      </c>
    </row>
    <row r="13212" spans="1:5">
      <c r="A13212" t="s">
        <v>15254</v>
      </c>
      <c r="B13212" t="s">
        <v>15257</v>
      </c>
      <c r="C13212">
        <f>0</f>
        <v>0</v>
      </c>
      <c r="D13212">
        <v>0.95439242827399995</v>
      </c>
      <c r="E13212">
        <v>11.8740629685157</v>
      </c>
    </row>
    <row r="13213" spans="1:5">
      <c r="A13213" t="s">
        <v>15254</v>
      </c>
      <c r="B13213" t="s">
        <v>15258</v>
      </c>
      <c r="C13213">
        <f>0</f>
        <v>0</v>
      </c>
      <c r="D13213">
        <v>0.95439242827399995</v>
      </c>
      <c r="E13213">
        <v>11.8740629685157</v>
      </c>
    </row>
    <row r="13214" spans="1:5">
      <c r="A13214" t="s">
        <v>15254</v>
      </c>
      <c r="B13214" t="s">
        <v>15259</v>
      </c>
      <c r="C13214">
        <v>0</v>
      </c>
      <c r="D13214">
        <v>0.95439242827399995</v>
      </c>
      <c r="E13214">
        <v>11.8740629685157</v>
      </c>
    </row>
    <row r="13215" spans="1:5">
      <c r="A13215" t="s">
        <v>15254</v>
      </c>
      <c r="B13215" t="s">
        <v>15260</v>
      </c>
      <c r="C13215">
        <v>0</v>
      </c>
      <c r="D13215">
        <v>0.95439242827399995</v>
      </c>
      <c r="E13215">
        <v>11.8740629685157</v>
      </c>
    </row>
    <row r="13216" spans="1:5">
      <c r="A13216" t="s">
        <v>15254</v>
      </c>
      <c r="B13216" t="s">
        <v>15261</v>
      </c>
      <c r="C13216">
        <v>5.9857388342200002E-2</v>
      </c>
      <c r="D13216">
        <v>0.95439242827399995</v>
      </c>
      <c r="E13216">
        <v>11.8740629685157</v>
      </c>
    </row>
    <row r="13217" spans="1:5">
      <c r="A13217" t="s">
        <v>15254</v>
      </c>
      <c r="B13217" t="s">
        <v>15262</v>
      </c>
      <c r="C13217">
        <v>0</v>
      </c>
      <c r="D13217">
        <v>0.95439242827399995</v>
      </c>
      <c r="E13217">
        <v>11.8740629685157</v>
      </c>
    </row>
    <row r="13218" spans="1:5">
      <c r="A13218" t="s">
        <v>15254</v>
      </c>
      <c r="B13218" t="s">
        <v>15263</v>
      </c>
      <c r="C13218">
        <f>0</f>
        <v>0</v>
      </c>
      <c r="D13218">
        <v>0.95439242827399995</v>
      </c>
      <c r="E13218">
        <v>11.8740629685157</v>
      </c>
    </row>
    <row r="13219" spans="1:5">
      <c r="A13219" t="s">
        <v>15254</v>
      </c>
      <c r="B13219" t="s">
        <v>15264</v>
      </c>
      <c r="C13219">
        <v>0</v>
      </c>
      <c r="D13219">
        <v>0.95439242827399995</v>
      </c>
      <c r="E13219">
        <v>11.8740629685157</v>
      </c>
    </row>
    <row r="13220" spans="1:5">
      <c r="A13220" t="s">
        <v>15254</v>
      </c>
      <c r="B13220" t="s">
        <v>15265</v>
      </c>
      <c r="C13220">
        <v>0</v>
      </c>
      <c r="D13220">
        <v>0.95439242827399995</v>
      </c>
      <c r="E13220">
        <v>11.8740629685157</v>
      </c>
    </row>
    <row r="13221" spans="1:5">
      <c r="A13221" t="s">
        <v>15254</v>
      </c>
      <c r="B13221" t="s">
        <v>15266</v>
      </c>
      <c r="C13221">
        <v>0</v>
      </c>
      <c r="D13221">
        <v>0.95439242827399995</v>
      </c>
      <c r="E13221">
        <v>11.8740629685157</v>
      </c>
    </row>
    <row r="13222" spans="1:5">
      <c r="A13222" t="s">
        <v>15254</v>
      </c>
      <c r="B13222" t="s">
        <v>15267</v>
      </c>
      <c r="C13222">
        <f>0</f>
        <v>0</v>
      </c>
      <c r="D13222">
        <v>0.95439242827399995</v>
      </c>
      <c r="E13222">
        <v>11.8740629685157</v>
      </c>
    </row>
    <row r="13223" spans="1:5">
      <c r="A13223" t="s">
        <v>15254</v>
      </c>
      <c r="B13223" t="s">
        <v>15268</v>
      </c>
      <c r="C13223">
        <f>0</f>
        <v>0</v>
      </c>
      <c r="D13223">
        <v>0.95439242827399995</v>
      </c>
      <c r="E13223">
        <v>11.8740629685157</v>
      </c>
    </row>
    <row r="13224" spans="1:5">
      <c r="A13224" t="s">
        <v>15254</v>
      </c>
      <c r="B13224" t="s">
        <v>15269</v>
      </c>
      <c r="C13224">
        <v>0</v>
      </c>
      <c r="D13224">
        <v>0.95439242827399995</v>
      </c>
      <c r="E13224">
        <v>11.8740629685157</v>
      </c>
    </row>
    <row r="13225" spans="1:5">
      <c r="A13225" t="s">
        <v>15254</v>
      </c>
      <c r="B13225" t="s">
        <v>15270</v>
      </c>
      <c r="C13225">
        <f>0</f>
        <v>0</v>
      </c>
      <c r="D13225">
        <v>0.95439242827399995</v>
      </c>
      <c r="E13225">
        <v>11.8740629685157</v>
      </c>
    </row>
    <row r="13226" spans="1:5">
      <c r="A13226" t="s">
        <v>15254</v>
      </c>
      <c r="B13226" t="s">
        <v>15271</v>
      </c>
      <c r="C13226">
        <f>0</f>
        <v>0</v>
      </c>
      <c r="D13226">
        <v>0.95439242827399995</v>
      </c>
      <c r="E13226">
        <v>11.8740629685157</v>
      </c>
    </row>
    <row r="13227" spans="1:5">
      <c r="A13227" t="s">
        <v>15272</v>
      </c>
      <c r="B13227" t="s">
        <v>15273</v>
      </c>
      <c r="C13227">
        <v>0.120133822233</v>
      </c>
      <c r="D13227" t="s">
        <v>106</v>
      </c>
      <c r="E13227">
        <v>4.0659670164917499</v>
      </c>
    </row>
    <row r="13228" spans="1:5">
      <c r="A13228" t="s">
        <v>15272</v>
      </c>
      <c r="B13228" t="s">
        <v>15274</v>
      </c>
      <c r="C13228">
        <f>0</f>
        <v>0</v>
      </c>
      <c r="D13228" t="s">
        <v>106</v>
      </c>
      <c r="E13228">
        <v>4.0659670164917499</v>
      </c>
    </row>
    <row r="13229" spans="1:5">
      <c r="A13229" t="s">
        <v>15272</v>
      </c>
      <c r="B13229" t="s">
        <v>15275</v>
      </c>
      <c r="C13229">
        <v>0</v>
      </c>
      <c r="D13229" t="s">
        <v>106</v>
      </c>
      <c r="E13229">
        <v>4.0659670164917499</v>
      </c>
    </row>
    <row r="13230" spans="1:5">
      <c r="A13230" t="s">
        <v>15272</v>
      </c>
      <c r="B13230" t="s">
        <v>15276</v>
      </c>
      <c r="C13230">
        <f>0</f>
        <v>0</v>
      </c>
      <c r="D13230" t="s">
        <v>106</v>
      </c>
      <c r="E13230">
        <v>4.0659670164917499</v>
      </c>
    </row>
    <row r="13231" spans="1:5">
      <c r="A13231" t="s">
        <v>15272</v>
      </c>
      <c r="B13231" t="s">
        <v>15277</v>
      </c>
      <c r="C13231">
        <f>0</f>
        <v>0</v>
      </c>
      <c r="D13231" t="s">
        <v>106</v>
      </c>
      <c r="E13231">
        <v>4.0659670164917499</v>
      </c>
    </row>
    <row r="13232" spans="1:5">
      <c r="A13232" t="s">
        <v>15272</v>
      </c>
      <c r="B13232" t="s">
        <v>15278</v>
      </c>
      <c r="C13232">
        <f>0</f>
        <v>0</v>
      </c>
      <c r="D13232" t="s">
        <v>106</v>
      </c>
      <c r="E13232">
        <v>4.0659670164917499</v>
      </c>
    </row>
    <row r="13233" spans="1:5">
      <c r="A13233" t="s">
        <v>15272</v>
      </c>
      <c r="B13233" t="s">
        <v>15279</v>
      </c>
      <c r="C13233">
        <f>0</f>
        <v>0</v>
      </c>
      <c r="D13233" t="s">
        <v>106</v>
      </c>
      <c r="E13233">
        <v>4.0659670164917499</v>
      </c>
    </row>
    <row r="13234" spans="1:5">
      <c r="A13234" t="s">
        <v>15272</v>
      </c>
      <c r="B13234" t="s">
        <v>15280</v>
      </c>
      <c r="C13234">
        <f>0</f>
        <v>0</v>
      </c>
      <c r="D13234" t="s">
        <v>106</v>
      </c>
      <c r="E13234">
        <v>4.0659670164917499</v>
      </c>
    </row>
    <row r="13235" spans="1:5">
      <c r="A13235" t="s">
        <v>15272</v>
      </c>
      <c r="B13235" t="s">
        <v>15281</v>
      </c>
      <c r="C13235">
        <v>0</v>
      </c>
      <c r="D13235" t="s">
        <v>106</v>
      </c>
      <c r="E13235">
        <v>4.0659670164917499</v>
      </c>
    </row>
    <row r="13236" spans="1:5">
      <c r="A13236" t="s">
        <v>15272</v>
      </c>
      <c r="B13236" t="s">
        <v>15282</v>
      </c>
      <c r="C13236">
        <v>0</v>
      </c>
      <c r="D13236" t="s">
        <v>106</v>
      </c>
      <c r="E13236">
        <v>4.0659670164917499</v>
      </c>
    </row>
    <row r="13237" spans="1:5">
      <c r="A13237" t="s">
        <v>15283</v>
      </c>
      <c r="B13237" t="s">
        <v>15284</v>
      </c>
      <c r="C13237">
        <v>0.11824998131599999</v>
      </c>
      <c r="D13237">
        <v>0.922687477044</v>
      </c>
      <c r="E13237">
        <v>2.6386806596701602</v>
      </c>
    </row>
    <row r="13238" spans="1:5">
      <c r="A13238" t="s">
        <v>15283</v>
      </c>
      <c r="B13238" t="s">
        <v>15285</v>
      </c>
      <c r="C13238">
        <v>0.42365173416599999</v>
      </c>
      <c r="D13238">
        <v>0.922687477044</v>
      </c>
      <c r="E13238">
        <v>2.6386806596701602</v>
      </c>
    </row>
    <row r="13239" spans="1:5">
      <c r="A13239" t="s">
        <v>15286</v>
      </c>
      <c r="B13239" t="s">
        <v>15287</v>
      </c>
      <c r="C13239">
        <f>0</f>
        <v>0</v>
      </c>
      <c r="D13239" t="s">
        <v>106</v>
      </c>
      <c r="E13239">
        <v>20.965517241379299</v>
      </c>
    </row>
    <row r="13240" spans="1:5">
      <c r="A13240" t="s">
        <v>15286</v>
      </c>
      <c r="B13240" t="s">
        <v>15288</v>
      </c>
      <c r="C13240">
        <f>0</f>
        <v>0</v>
      </c>
      <c r="D13240" t="s">
        <v>106</v>
      </c>
      <c r="E13240">
        <v>20.965517241379299</v>
      </c>
    </row>
    <row r="13241" spans="1:5">
      <c r="A13241" t="s">
        <v>15289</v>
      </c>
      <c r="B13241" t="s">
        <v>15290</v>
      </c>
      <c r="C13241">
        <v>0</v>
      </c>
      <c r="D13241">
        <v>0.99757068441800001</v>
      </c>
      <c r="E13241">
        <v>15.1244377811094</v>
      </c>
    </row>
    <row r="13242" spans="1:5">
      <c r="A13242" t="s">
        <v>15289</v>
      </c>
      <c r="B13242" t="s">
        <v>15291</v>
      </c>
      <c r="C13242">
        <f>0</f>
        <v>0</v>
      </c>
      <c r="D13242">
        <v>0.99757068441800001</v>
      </c>
      <c r="E13242">
        <v>15.1244377811094</v>
      </c>
    </row>
    <row r="13243" spans="1:5">
      <c r="A13243" t="s">
        <v>15289</v>
      </c>
      <c r="B13243" t="s">
        <v>15292</v>
      </c>
      <c r="C13243">
        <v>0</v>
      </c>
      <c r="D13243">
        <v>0.99757068441800001</v>
      </c>
      <c r="E13243">
        <v>15.1244377811094</v>
      </c>
    </row>
    <row r="13244" spans="1:5">
      <c r="A13244" t="s">
        <v>15289</v>
      </c>
      <c r="B13244" t="s">
        <v>15293</v>
      </c>
      <c r="C13244">
        <v>0.119828520806</v>
      </c>
      <c r="D13244">
        <v>0.99757068441800001</v>
      </c>
      <c r="E13244">
        <v>15.1244377811094</v>
      </c>
    </row>
    <row r="13245" spans="1:5">
      <c r="A13245" t="s">
        <v>15289</v>
      </c>
      <c r="B13245" t="s">
        <v>15294</v>
      </c>
      <c r="C13245">
        <v>0</v>
      </c>
      <c r="D13245">
        <v>0.99757068441800001</v>
      </c>
      <c r="E13245">
        <v>15.1244377811094</v>
      </c>
    </row>
    <row r="13246" spans="1:5">
      <c r="A13246" t="s">
        <v>15289</v>
      </c>
      <c r="B13246" t="s">
        <v>15295</v>
      </c>
      <c r="C13246">
        <v>0</v>
      </c>
      <c r="D13246">
        <v>0.99757068441800001</v>
      </c>
      <c r="E13246">
        <v>15.1244377811094</v>
      </c>
    </row>
    <row r="13247" spans="1:5">
      <c r="A13247" t="s">
        <v>15289</v>
      </c>
      <c r="B13247" t="s">
        <v>15296</v>
      </c>
      <c r="C13247">
        <v>0</v>
      </c>
      <c r="D13247">
        <v>0.99757068441800001</v>
      </c>
      <c r="E13247">
        <v>15.1244377811094</v>
      </c>
    </row>
    <row r="13248" spans="1:5">
      <c r="A13248" t="s">
        <v>15289</v>
      </c>
      <c r="B13248" t="s">
        <v>15297</v>
      </c>
      <c r="C13248">
        <v>0.28954671698200002</v>
      </c>
      <c r="D13248">
        <v>0.99757068441800001</v>
      </c>
      <c r="E13248">
        <v>15.1244377811094</v>
      </c>
    </row>
    <row r="13249" spans="1:5">
      <c r="A13249" t="s">
        <v>15298</v>
      </c>
      <c r="B13249" t="s">
        <v>15299</v>
      </c>
      <c r="C13249">
        <v>0</v>
      </c>
      <c r="D13249">
        <v>0.96021368465099999</v>
      </c>
      <c r="E13249">
        <v>10.710644677661101</v>
      </c>
    </row>
    <row r="13250" spans="1:5">
      <c r="A13250" t="s">
        <v>15298</v>
      </c>
      <c r="B13250" t="s">
        <v>15300</v>
      </c>
      <c r="C13250">
        <v>0</v>
      </c>
      <c r="D13250">
        <v>0.96021368465099999</v>
      </c>
      <c r="E13250">
        <v>10.710644677661101</v>
      </c>
    </row>
    <row r="13251" spans="1:5">
      <c r="A13251" t="s">
        <v>15298</v>
      </c>
      <c r="B13251" t="s">
        <v>15301</v>
      </c>
      <c r="C13251">
        <v>0.28978193272800001</v>
      </c>
      <c r="D13251">
        <v>0.96021368465099999</v>
      </c>
      <c r="E13251">
        <v>10.710644677661101</v>
      </c>
    </row>
    <row r="13252" spans="1:5">
      <c r="A13252" t="s">
        <v>15298</v>
      </c>
      <c r="B13252" t="s">
        <v>15302</v>
      </c>
      <c r="C13252">
        <v>0</v>
      </c>
      <c r="D13252">
        <v>0.96021368465099999</v>
      </c>
      <c r="E13252">
        <v>10.710644677661101</v>
      </c>
    </row>
    <row r="13253" spans="1:5">
      <c r="A13253" t="s">
        <v>15298</v>
      </c>
      <c r="B13253" t="s">
        <v>15303</v>
      </c>
      <c r="C13253">
        <f>0</f>
        <v>0</v>
      </c>
      <c r="D13253">
        <v>0.96021368465099999</v>
      </c>
      <c r="E13253">
        <v>10.710644677661101</v>
      </c>
    </row>
    <row r="13254" spans="1:5">
      <c r="A13254" t="s">
        <v>15304</v>
      </c>
      <c r="B13254" t="s">
        <v>15305</v>
      </c>
      <c r="C13254">
        <v>5.0141474046299997E-2</v>
      </c>
      <c r="D13254">
        <v>0.96168689243500005</v>
      </c>
      <c r="E13254">
        <v>11.202398800599701</v>
      </c>
    </row>
    <row r="13255" spans="1:5">
      <c r="A13255" t="s">
        <v>15304</v>
      </c>
      <c r="B13255" t="s">
        <v>15306</v>
      </c>
      <c r="C13255">
        <f>0</f>
        <v>0</v>
      </c>
      <c r="D13255">
        <v>0.96168689243500005</v>
      </c>
      <c r="E13255">
        <v>11.202398800599701</v>
      </c>
    </row>
    <row r="13256" spans="1:5">
      <c r="A13256" t="s">
        <v>15304</v>
      </c>
      <c r="B13256" t="s">
        <v>15307</v>
      </c>
      <c r="C13256">
        <v>0</v>
      </c>
      <c r="D13256">
        <v>0.96168689243500005</v>
      </c>
      <c r="E13256">
        <v>11.202398800599701</v>
      </c>
    </row>
    <row r="13257" spans="1:5">
      <c r="A13257" t="s">
        <v>15304</v>
      </c>
      <c r="B13257" t="s">
        <v>15308</v>
      </c>
      <c r="C13257">
        <v>0.31044295819700002</v>
      </c>
      <c r="D13257">
        <v>0.96168689243500005</v>
      </c>
      <c r="E13257">
        <v>11.202398800599701</v>
      </c>
    </row>
    <row r="13258" spans="1:5">
      <c r="A13258" t="s">
        <v>15304</v>
      </c>
      <c r="B13258" t="s">
        <v>15309</v>
      </c>
      <c r="C13258">
        <v>0</v>
      </c>
      <c r="D13258">
        <v>0.96168689243500005</v>
      </c>
      <c r="E13258">
        <v>11.202398800599701</v>
      </c>
    </row>
    <row r="13259" spans="1:5">
      <c r="A13259" t="s">
        <v>15304</v>
      </c>
      <c r="B13259" t="s">
        <v>15310</v>
      </c>
      <c r="C13259">
        <v>0</v>
      </c>
      <c r="D13259">
        <v>0.96168689243500005</v>
      </c>
      <c r="E13259">
        <v>11.202398800599701</v>
      </c>
    </row>
    <row r="13260" spans="1:5">
      <c r="A13260" t="s">
        <v>15311</v>
      </c>
      <c r="B13260" t="s">
        <v>15312</v>
      </c>
      <c r="C13260">
        <v>0</v>
      </c>
      <c r="D13260" t="s">
        <v>106</v>
      </c>
      <c r="E13260">
        <v>14.740629685157399</v>
      </c>
    </row>
    <row r="13261" spans="1:5">
      <c r="A13261" t="s">
        <v>15311</v>
      </c>
      <c r="B13261" t="s">
        <v>15313</v>
      </c>
      <c r="C13261">
        <f>0</f>
        <v>0</v>
      </c>
      <c r="D13261" t="s">
        <v>106</v>
      </c>
      <c r="E13261">
        <v>14.740629685157399</v>
      </c>
    </row>
    <row r="13262" spans="1:5">
      <c r="A13262" t="s">
        <v>15311</v>
      </c>
      <c r="B13262" t="s">
        <v>15314</v>
      </c>
      <c r="C13262">
        <f>0</f>
        <v>0</v>
      </c>
      <c r="D13262" t="s">
        <v>106</v>
      </c>
      <c r="E13262">
        <v>14.740629685157399</v>
      </c>
    </row>
    <row r="13263" spans="1:5">
      <c r="A13263" t="s">
        <v>15311</v>
      </c>
      <c r="B13263" t="s">
        <v>15315</v>
      </c>
      <c r="C13263">
        <f>0</f>
        <v>0</v>
      </c>
      <c r="D13263" t="s">
        <v>106</v>
      </c>
      <c r="E13263">
        <v>14.740629685157399</v>
      </c>
    </row>
    <row r="13264" spans="1:5">
      <c r="A13264" t="s">
        <v>15311</v>
      </c>
      <c r="B13264" t="s">
        <v>15316</v>
      </c>
      <c r="C13264">
        <f>0</f>
        <v>0</v>
      </c>
      <c r="D13264" t="s">
        <v>106</v>
      </c>
      <c r="E13264">
        <v>14.740629685157399</v>
      </c>
    </row>
    <row r="13265" spans="1:5">
      <c r="A13265" t="s">
        <v>15317</v>
      </c>
      <c r="B13265" t="s">
        <v>15318</v>
      </c>
      <c r="C13265">
        <v>0</v>
      </c>
      <c r="D13265" t="s">
        <v>106</v>
      </c>
      <c r="E13265">
        <v>4.2698650674662604</v>
      </c>
    </row>
    <row r="13266" spans="1:5">
      <c r="A13266" t="s">
        <v>15317</v>
      </c>
      <c r="B13266" t="s">
        <v>15319</v>
      </c>
      <c r="C13266">
        <v>0</v>
      </c>
      <c r="D13266" t="s">
        <v>106</v>
      </c>
      <c r="E13266">
        <v>4.2698650674662604</v>
      </c>
    </row>
    <row r="13267" spans="1:5">
      <c r="A13267" t="s">
        <v>15317</v>
      </c>
      <c r="B13267" t="s">
        <v>15320</v>
      </c>
      <c r="C13267">
        <v>0</v>
      </c>
      <c r="D13267" t="s">
        <v>106</v>
      </c>
      <c r="E13267">
        <v>4.2698650674662604</v>
      </c>
    </row>
    <row r="13268" spans="1:5">
      <c r="A13268" t="s">
        <v>15317</v>
      </c>
      <c r="B13268" t="s">
        <v>15321</v>
      </c>
      <c r="C13268">
        <f>0</f>
        <v>0</v>
      </c>
      <c r="D13268" t="s">
        <v>106</v>
      </c>
      <c r="E13268">
        <v>4.2698650674662604</v>
      </c>
    </row>
    <row r="13269" spans="1:5">
      <c r="A13269" t="s">
        <v>15317</v>
      </c>
      <c r="B13269" t="s">
        <v>15322</v>
      </c>
      <c r="C13269">
        <v>0</v>
      </c>
      <c r="D13269" t="s">
        <v>106</v>
      </c>
      <c r="E13269">
        <v>4.2698650674662604</v>
      </c>
    </row>
    <row r="13270" spans="1:5">
      <c r="A13270" t="s">
        <v>15317</v>
      </c>
      <c r="B13270" t="s">
        <v>15323</v>
      </c>
      <c r="C13270">
        <f>0</f>
        <v>0</v>
      </c>
      <c r="D13270" t="s">
        <v>106</v>
      </c>
      <c r="E13270">
        <v>4.2698650674662604</v>
      </c>
    </row>
    <row r="13271" spans="1:5">
      <c r="A13271" t="s">
        <v>15317</v>
      </c>
      <c r="B13271" t="s">
        <v>15324</v>
      </c>
      <c r="C13271">
        <v>0</v>
      </c>
      <c r="D13271" t="s">
        <v>106</v>
      </c>
      <c r="E13271">
        <v>4.2698650674662604</v>
      </c>
    </row>
    <row r="13272" spans="1:5">
      <c r="A13272" t="s">
        <v>15325</v>
      </c>
      <c r="B13272" t="s">
        <v>15326</v>
      </c>
      <c r="C13272">
        <f>0</f>
        <v>0</v>
      </c>
      <c r="D13272">
        <v>0.93549079321799999</v>
      </c>
      <c r="E13272">
        <v>5.1214392803598203</v>
      </c>
    </row>
    <row r="13273" spans="1:5">
      <c r="A13273" t="s">
        <v>15325</v>
      </c>
      <c r="B13273" t="s">
        <v>15327</v>
      </c>
      <c r="C13273">
        <v>0</v>
      </c>
      <c r="D13273">
        <v>0.93549079321799999</v>
      </c>
      <c r="E13273">
        <v>5.1214392803598203</v>
      </c>
    </row>
    <row r="13274" spans="1:5">
      <c r="A13274" t="s">
        <v>15325</v>
      </c>
      <c r="B13274" t="s">
        <v>15328</v>
      </c>
      <c r="C13274">
        <f>0.00623988603508</f>
        <v>6.2398860350799997E-3</v>
      </c>
      <c r="D13274">
        <v>0.93549079321799999</v>
      </c>
      <c r="E13274">
        <v>5.1214392803598203</v>
      </c>
    </row>
    <row r="13275" spans="1:5">
      <c r="A13275" t="s">
        <v>15325</v>
      </c>
      <c r="B13275" t="s">
        <v>15329</v>
      </c>
      <c r="C13275">
        <f>0</f>
        <v>0</v>
      </c>
      <c r="D13275">
        <v>0.93549079321799999</v>
      </c>
      <c r="E13275">
        <v>5.1214392803598203</v>
      </c>
    </row>
    <row r="13276" spans="1:5">
      <c r="A13276" t="s">
        <v>15325</v>
      </c>
      <c r="B13276" t="s">
        <v>15330</v>
      </c>
      <c r="C13276">
        <f>0</f>
        <v>0</v>
      </c>
      <c r="D13276">
        <v>0.93549079321799999</v>
      </c>
      <c r="E13276">
        <v>5.1214392803598203</v>
      </c>
    </row>
    <row r="13277" spans="1:5">
      <c r="A13277" t="s">
        <v>15331</v>
      </c>
      <c r="B13277" t="s">
        <v>15332</v>
      </c>
      <c r="C13277">
        <v>8.1453493992099998E-3</v>
      </c>
      <c r="D13277">
        <v>0.98632005999000005</v>
      </c>
      <c r="E13277">
        <v>22.332833583208298</v>
      </c>
    </row>
    <row r="13278" spans="1:5">
      <c r="A13278" t="s">
        <v>15331</v>
      </c>
      <c r="B13278" t="s">
        <v>15333</v>
      </c>
      <c r="C13278">
        <v>0</v>
      </c>
      <c r="D13278">
        <v>0.98632005999000005</v>
      </c>
      <c r="E13278">
        <v>22.332833583208298</v>
      </c>
    </row>
    <row r="13279" spans="1:5">
      <c r="A13279" t="s">
        <v>15331</v>
      </c>
      <c r="B13279" t="s">
        <v>15334</v>
      </c>
      <c r="C13279">
        <v>0</v>
      </c>
      <c r="D13279">
        <v>0.98632005999000005</v>
      </c>
      <c r="E13279">
        <v>22.332833583208298</v>
      </c>
    </row>
    <row r="13280" spans="1:5">
      <c r="A13280" t="s">
        <v>15331</v>
      </c>
      <c r="B13280" t="s">
        <v>15335</v>
      </c>
      <c r="C13280">
        <v>0.160036604592</v>
      </c>
      <c r="D13280">
        <v>0.98632005999000005</v>
      </c>
      <c r="E13280">
        <v>22.332833583208298</v>
      </c>
    </row>
    <row r="13281" spans="1:5">
      <c r="A13281" t="s">
        <v>15336</v>
      </c>
      <c r="B13281" t="s">
        <v>15337</v>
      </c>
      <c r="C13281">
        <v>0</v>
      </c>
      <c r="D13281" t="s">
        <v>106</v>
      </c>
      <c r="E13281">
        <v>1.11544227886056</v>
      </c>
    </row>
    <row r="13282" spans="1:5">
      <c r="A13282" t="s">
        <v>15336</v>
      </c>
      <c r="B13282" t="s">
        <v>15338</v>
      </c>
      <c r="C13282">
        <f>0</f>
        <v>0</v>
      </c>
      <c r="D13282" t="s">
        <v>106</v>
      </c>
      <c r="E13282">
        <v>1.11544227886056</v>
      </c>
    </row>
    <row r="13283" spans="1:5">
      <c r="A13283" t="s">
        <v>15336</v>
      </c>
      <c r="B13283" t="s">
        <v>15339</v>
      </c>
      <c r="C13283">
        <f>0</f>
        <v>0</v>
      </c>
      <c r="D13283" t="s">
        <v>106</v>
      </c>
      <c r="E13283">
        <v>1.11544227886056</v>
      </c>
    </row>
    <row r="13284" spans="1:5">
      <c r="A13284" t="s">
        <v>15336</v>
      </c>
      <c r="B13284" t="s">
        <v>15340</v>
      </c>
      <c r="C13284">
        <f>0</f>
        <v>0</v>
      </c>
      <c r="D13284" t="s">
        <v>106</v>
      </c>
      <c r="E13284">
        <v>1.11544227886056</v>
      </c>
    </row>
    <row r="13285" spans="1:5">
      <c r="A13285" t="s">
        <v>15336</v>
      </c>
      <c r="B13285" t="s">
        <v>15341</v>
      </c>
      <c r="C13285">
        <f>0</f>
        <v>0</v>
      </c>
      <c r="D13285" t="s">
        <v>106</v>
      </c>
      <c r="E13285">
        <v>1.11544227886056</v>
      </c>
    </row>
    <row r="13286" spans="1:5">
      <c r="A13286" t="s">
        <v>15336</v>
      </c>
      <c r="B13286" t="s">
        <v>15342</v>
      </c>
      <c r="C13286">
        <f>0</f>
        <v>0</v>
      </c>
      <c r="D13286" t="s">
        <v>106</v>
      </c>
      <c r="E13286">
        <v>1.11544227886056</v>
      </c>
    </row>
    <row r="13287" spans="1:5">
      <c r="A13287" t="s">
        <v>15336</v>
      </c>
      <c r="B13287" t="s">
        <v>15343</v>
      </c>
      <c r="C13287">
        <f>0</f>
        <v>0</v>
      </c>
      <c r="D13287" t="s">
        <v>106</v>
      </c>
      <c r="E13287">
        <v>1.11544227886056</v>
      </c>
    </row>
    <row r="13288" spans="1:5">
      <c r="A13288" t="s">
        <v>15336</v>
      </c>
      <c r="B13288" t="s">
        <v>15344</v>
      </c>
      <c r="C13288">
        <f>0</f>
        <v>0</v>
      </c>
      <c r="D13288" t="s">
        <v>106</v>
      </c>
      <c r="E13288">
        <v>1.11544227886056</v>
      </c>
    </row>
    <row r="13289" spans="1:5">
      <c r="A13289" t="s">
        <v>15336</v>
      </c>
      <c r="B13289" t="s">
        <v>15345</v>
      </c>
      <c r="C13289">
        <f>0</f>
        <v>0</v>
      </c>
      <c r="D13289" t="s">
        <v>106</v>
      </c>
      <c r="E13289">
        <v>1.11544227886056</v>
      </c>
    </row>
    <row r="13290" spans="1:5">
      <c r="A13290" t="s">
        <v>15336</v>
      </c>
      <c r="B13290" t="s">
        <v>15346</v>
      </c>
      <c r="C13290">
        <v>0</v>
      </c>
      <c r="D13290" t="s">
        <v>106</v>
      </c>
      <c r="E13290">
        <v>1.11544227886056</v>
      </c>
    </row>
    <row r="13291" spans="1:5">
      <c r="A13291" t="s">
        <v>15336</v>
      </c>
      <c r="B13291" t="s">
        <v>15347</v>
      </c>
      <c r="C13291">
        <f>0</f>
        <v>0</v>
      </c>
      <c r="D13291" t="s">
        <v>106</v>
      </c>
      <c r="E13291">
        <v>1.11544227886056</v>
      </c>
    </row>
    <row r="13292" spans="1:5">
      <c r="A13292" t="s">
        <v>15336</v>
      </c>
      <c r="B13292" t="s">
        <v>15348</v>
      </c>
      <c r="C13292">
        <f>0</f>
        <v>0</v>
      </c>
      <c r="D13292" t="s">
        <v>106</v>
      </c>
      <c r="E13292">
        <v>1.11544227886056</v>
      </c>
    </row>
    <row r="13293" spans="1:5">
      <c r="A13293" t="s">
        <v>15336</v>
      </c>
      <c r="B13293" t="s">
        <v>15349</v>
      </c>
      <c r="C13293">
        <f>0</f>
        <v>0</v>
      </c>
      <c r="D13293" t="s">
        <v>106</v>
      </c>
      <c r="E13293">
        <v>1.11544227886056</v>
      </c>
    </row>
    <row r="13294" spans="1:5">
      <c r="A13294" t="s">
        <v>15336</v>
      </c>
      <c r="B13294" t="s">
        <v>15350</v>
      </c>
      <c r="C13294">
        <f>0</f>
        <v>0</v>
      </c>
      <c r="D13294" t="s">
        <v>106</v>
      </c>
      <c r="E13294">
        <v>1.11544227886056</v>
      </c>
    </row>
    <row r="13295" spans="1:5">
      <c r="A13295" t="s">
        <v>15336</v>
      </c>
      <c r="B13295" t="s">
        <v>15351</v>
      </c>
      <c r="C13295">
        <f>0</f>
        <v>0</v>
      </c>
      <c r="D13295" t="s">
        <v>106</v>
      </c>
      <c r="E13295">
        <v>1.11544227886056</v>
      </c>
    </row>
    <row r="13296" spans="1:5">
      <c r="A13296" t="s">
        <v>15336</v>
      </c>
      <c r="B13296" t="s">
        <v>15352</v>
      </c>
      <c r="C13296">
        <f>0</f>
        <v>0</v>
      </c>
      <c r="D13296" t="s">
        <v>106</v>
      </c>
      <c r="E13296">
        <v>1.11544227886056</v>
      </c>
    </row>
    <row r="13297" spans="1:5">
      <c r="A13297" t="s">
        <v>15336</v>
      </c>
      <c r="B13297" t="s">
        <v>15353</v>
      </c>
      <c r="C13297">
        <v>0</v>
      </c>
      <c r="D13297" t="s">
        <v>106</v>
      </c>
      <c r="E13297">
        <v>1.11544227886056</v>
      </c>
    </row>
    <row r="13298" spans="1:5">
      <c r="A13298" t="s">
        <v>15336</v>
      </c>
      <c r="B13298" t="s">
        <v>15354</v>
      </c>
      <c r="C13298">
        <f>0</f>
        <v>0</v>
      </c>
      <c r="D13298" t="s">
        <v>106</v>
      </c>
      <c r="E13298">
        <v>1.11544227886056</v>
      </c>
    </row>
    <row r="13299" spans="1:5">
      <c r="A13299" t="s">
        <v>15336</v>
      </c>
      <c r="B13299" t="s">
        <v>15355</v>
      </c>
      <c r="C13299">
        <f>0</f>
        <v>0</v>
      </c>
      <c r="D13299" t="s">
        <v>106</v>
      </c>
      <c r="E13299">
        <v>1.11544227886056</v>
      </c>
    </row>
    <row r="13300" spans="1:5">
      <c r="A13300" t="s">
        <v>15336</v>
      </c>
      <c r="B13300" t="s">
        <v>15356</v>
      </c>
      <c r="C13300">
        <f>0</f>
        <v>0</v>
      </c>
      <c r="D13300" t="s">
        <v>106</v>
      </c>
      <c r="E13300">
        <v>1.11544227886056</v>
      </c>
    </row>
    <row r="13301" spans="1:5">
      <c r="A13301" t="s">
        <v>15336</v>
      </c>
      <c r="B13301" t="s">
        <v>15357</v>
      </c>
      <c r="C13301">
        <v>0</v>
      </c>
      <c r="D13301" t="s">
        <v>106</v>
      </c>
      <c r="E13301">
        <v>1.11544227886056</v>
      </c>
    </row>
    <row r="13302" spans="1:5">
      <c r="A13302" t="s">
        <v>15336</v>
      </c>
      <c r="B13302" t="s">
        <v>15358</v>
      </c>
      <c r="C13302">
        <f>0</f>
        <v>0</v>
      </c>
      <c r="D13302" t="s">
        <v>106</v>
      </c>
      <c r="E13302">
        <v>1.11544227886056</v>
      </c>
    </row>
    <row r="13303" spans="1:5">
      <c r="A13303" t="s">
        <v>15336</v>
      </c>
      <c r="B13303" t="s">
        <v>15359</v>
      </c>
      <c r="C13303">
        <f>0</f>
        <v>0</v>
      </c>
      <c r="D13303" t="s">
        <v>106</v>
      </c>
      <c r="E13303">
        <v>1.11544227886056</v>
      </c>
    </row>
    <row r="13304" spans="1:5">
      <c r="A13304" t="s">
        <v>15336</v>
      </c>
      <c r="B13304" t="s">
        <v>15360</v>
      </c>
      <c r="C13304">
        <f>0</f>
        <v>0</v>
      </c>
      <c r="D13304" t="s">
        <v>106</v>
      </c>
      <c r="E13304">
        <v>1.11544227886056</v>
      </c>
    </row>
    <row r="13305" spans="1:5">
      <c r="A13305" t="s">
        <v>15336</v>
      </c>
      <c r="B13305" t="s">
        <v>15361</v>
      </c>
      <c r="C13305">
        <f>0</f>
        <v>0</v>
      </c>
      <c r="D13305" t="s">
        <v>106</v>
      </c>
      <c r="E13305">
        <v>1.11544227886056</v>
      </c>
    </row>
    <row r="13306" spans="1:5">
      <c r="A13306" t="s">
        <v>15336</v>
      </c>
      <c r="B13306" t="s">
        <v>15362</v>
      </c>
      <c r="C13306">
        <f>0</f>
        <v>0</v>
      </c>
      <c r="D13306" t="s">
        <v>106</v>
      </c>
      <c r="E13306">
        <v>1.11544227886056</v>
      </c>
    </row>
    <row r="13307" spans="1:5">
      <c r="A13307" t="s">
        <v>15336</v>
      </c>
      <c r="B13307" t="s">
        <v>15363</v>
      </c>
      <c r="C13307">
        <f>0</f>
        <v>0</v>
      </c>
      <c r="D13307" t="s">
        <v>106</v>
      </c>
      <c r="E13307">
        <v>1.11544227886056</v>
      </c>
    </row>
    <row r="13308" spans="1:5">
      <c r="A13308" t="s">
        <v>15336</v>
      </c>
      <c r="B13308" t="s">
        <v>15364</v>
      </c>
      <c r="C13308">
        <v>0</v>
      </c>
      <c r="D13308" t="s">
        <v>106</v>
      </c>
      <c r="E13308">
        <v>1.11544227886056</v>
      </c>
    </row>
    <row r="13309" spans="1:5">
      <c r="A13309" t="s">
        <v>15336</v>
      </c>
      <c r="B13309" t="s">
        <v>15365</v>
      </c>
      <c r="C13309">
        <f>0</f>
        <v>0</v>
      </c>
      <c r="D13309" t="s">
        <v>106</v>
      </c>
      <c r="E13309">
        <v>1.11544227886056</v>
      </c>
    </row>
    <row r="13310" spans="1:5">
      <c r="A13310" t="s">
        <v>15336</v>
      </c>
      <c r="B13310" t="s">
        <v>15366</v>
      </c>
      <c r="C13310">
        <v>0</v>
      </c>
      <c r="D13310" t="s">
        <v>106</v>
      </c>
      <c r="E13310">
        <v>1.11544227886056</v>
      </c>
    </row>
    <row r="13311" spans="1:5">
      <c r="A13311" t="s">
        <v>15336</v>
      </c>
      <c r="B13311" t="s">
        <v>15367</v>
      </c>
      <c r="C13311">
        <f>0</f>
        <v>0</v>
      </c>
      <c r="D13311" t="s">
        <v>106</v>
      </c>
      <c r="E13311">
        <v>1.11544227886056</v>
      </c>
    </row>
    <row r="13312" spans="1:5">
      <c r="A13312" t="s">
        <v>15336</v>
      </c>
      <c r="B13312" t="s">
        <v>15368</v>
      </c>
      <c r="C13312">
        <f>0</f>
        <v>0</v>
      </c>
      <c r="D13312" t="s">
        <v>106</v>
      </c>
      <c r="E13312">
        <v>1.11544227886056</v>
      </c>
    </row>
    <row r="13313" spans="1:5">
      <c r="A13313" t="s">
        <v>15336</v>
      </c>
      <c r="B13313" t="s">
        <v>15369</v>
      </c>
      <c r="C13313">
        <f>0</f>
        <v>0</v>
      </c>
      <c r="D13313" t="s">
        <v>106</v>
      </c>
      <c r="E13313">
        <v>1.11544227886056</v>
      </c>
    </row>
    <row r="13314" spans="1:5">
      <c r="A13314" t="s">
        <v>15336</v>
      </c>
      <c r="B13314" t="s">
        <v>15370</v>
      </c>
      <c r="C13314">
        <f>0</f>
        <v>0</v>
      </c>
      <c r="D13314" t="s">
        <v>106</v>
      </c>
      <c r="E13314">
        <v>1.11544227886056</v>
      </c>
    </row>
    <row r="13315" spans="1:5">
      <c r="A13315" t="s">
        <v>15336</v>
      </c>
      <c r="B13315" t="s">
        <v>15371</v>
      </c>
      <c r="C13315">
        <v>0</v>
      </c>
      <c r="D13315" t="s">
        <v>106</v>
      </c>
      <c r="E13315">
        <v>1.11544227886056</v>
      </c>
    </row>
    <row r="13316" spans="1:5">
      <c r="A13316" t="s">
        <v>15336</v>
      </c>
      <c r="B13316" t="s">
        <v>15372</v>
      </c>
      <c r="C13316">
        <v>0</v>
      </c>
      <c r="D13316" t="s">
        <v>106</v>
      </c>
      <c r="E13316">
        <v>1.11544227886056</v>
      </c>
    </row>
    <row r="13317" spans="1:5">
      <c r="A13317" t="s">
        <v>15373</v>
      </c>
      <c r="B13317" t="s">
        <v>15374</v>
      </c>
      <c r="C13317">
        <v>0</v>
      </c>
      <c r="D13317">
        <v>0.99315539659800001</v>
      </c>
      <c r="E13317">
        <v>24</v>
      </c>
    </row>
    <row r="13318" spans="1:5">
      <c r="A13318" t="s">
        <v>15373</v>
      </c>
      <c r="B13318" t="s">
        <v>15375</v>
      </c>
      <c r="C13318">
        <v>0.164480034478</v>
      </c>
      <c r="D13318">
        <v>0.99315539659800001</v>
      </c>
      <c r="E13318">
        <v>24</v>
      </c>
    </row>
    <row r="13319" spans="1:5">
      <c r="A13319" t="s">
        <v>15373</v>
      </c>
      <c r="B13319" t="s">
        <v>15376</v>
      </c>
      <c r="C13319">
        <f>0</f>
        <v>0</v>
      </c>
      <c r="D13319">
        <v>0.99315539659800001</v>
      </c>
      <c r="E13319">
        <v>24</v>
      </c>
    </row>
    <row r="13320" spans="1:5">
      <c r="A13320" t="s">
        <v>15373</v>
      </c>
      <c r="B13320" t="s">
        <v>15377</v>
      </c>
      <c r="C13320">
        <v>5.4980346319399999E-2</v>
      </c>
      <c r="D13320">
        <v>0.99315539659800001</v>
      </c>
      <c r="E13320">
        <v>24</v>
      </c>
    </row>
    <row r="13321" spans="1:5">
      <c r="A13321" t="s">
        <v>15378</v>
      </c>
      <c r="B13321" t="s">
        <v>15379</v>
      </c>
      <c r="C13321">
        <f>0</f>
        <v>0</v>
      </c>
      <c r="D13321">
        <v>0.97745152040299998</v>
      </c>
      <c r="E13321">
        <v>10.878560719640101</v>
      </c>
    </row>
    <row r="13322" spans="1:5">
      <c r="A13322" t="s">
        <v>15378</v>
      </c>
      <c r="B13322" t="s">
        <v>15380</v>
      </c>
      <c r="C13322">
        <f>0</f>
        <v>0</v>
      </c>
      <c r="D13322">
        <v>0.97745152040299998</v>
      </c>
      <c r="E13322">
        <v>10.878560719640101</v>
      </c>
    </row>
    <row r="13323" spans="1:5">
      <c r="A13323" t="s">
        <v>15378</v>
      </c>
      <c r="B13323" t="s">
        <v>15381</v>
      </c>
      <c r="C13323">
        <f>0.0822387850221</f>
        <v>8.2238785022099997E-2</v>
      </c>
      <c r="D13323">
        <v>0.97745152040299998</v>
      </c>
      <c r="E13323">
        <v>10.878560719640101</v>
      </c>
    </row>
    <row r="13324" spans="1:5">
      <c r="A13324" t="s">
        <v>15378</v>
      </c>
      <c r="B13324" t="s">
        <v>15382</v>
      </c>
      <c r="C13324">
        <f>0.204131864698</f>
        <v>0.20413186469799999</v>
      </c>
      <c r="D13324">
        <v>0.97745152040299998</v>
      </c>
      <c r="E13324">
        <v>10.878560719640101</v>
      </c>
    </row>
    <row r="13325" spans="1:5">
      <c r="A13325" t="s">
        <v>15378</v>
      </c>
      <c r="B13325" t="s">
        <v>15383</v>
      </c>
      <c r="C13325">
        <v>0</v>
      </c>
      <c r="D13325">
        <v>0.97745152040299998</v>
      </c>
      <c r="E13325">
        <v>10.878560719640101</v>
      </c>
    </row>
    <row r="13326" spans="1:5">
      <c r="A13326" t="s">
        <v>15384</v>
      </c>
      <c r="B13326" t="s">
        <v>15385</v>
      </c>
      <c r="C13326">
        <v>0.43277757401599998</v>
      </c>
      <c r="D13326">
        <v>0.99557187538699998</v>
      </c>
      <c r="E13326">
        <v>7.4602698650674597</v>
      </c>
    </row>
    <row r="13327" spans="1:5">
      <c r="A13327" t="s">
        <v>15384</v>
      </c>
      <c r="B13327" t="s">
        <v>15386</v>
      </c>
      <c r="C13327">
        <v>0</v>
      </c>
      <c r="D13327">
        <v>0.99557187538699998</v>
      </c>
      <c r="E13327">
        <v>7.4602698650674597</v>
      </c>
    </row>
    <row r="13328" spans="1:5">
      <c r="A13328" t="s">
        <v>15384</v>
      </c>
      <c r="B13328" t="s">
        <v>15387</v>
      </c>
      <c r="C13328">
        <v>0</v>
      </c>
      <c r="D13328">
        <v>0.99557187538699998</v>
      </c>
      <c r="E13328">
        <v>7.4602698650674597</v>
      </c>
    </row>
    <row r="13329" spans="1:5">
      <c r="A13329" t="s">
        <v>15384</v>
      </c>
      <c r="B13329" t="s">
        <v>15388</v>
      </c>
      <c r="C13329">
        <f>0</f>
        <v>0</v>
      </c>
      <c r="D13329">
        <v>0.99557187538699998</v>
      </c>
      <c r="E13329">
        <v>7.4602698650674597</v>
      </c>
    </row>
    <row r="13330" spans="1:5">
      <c r="A13330" t="s">
        <v>15384</v>
      </c>
      <c r="B13330" t="s">
        <v>15389</v>
      </c>
      <c r="C13330">
        <v>0</v>
      </c>
      <c r="D13330">
        <v>0.99557187538699998</v>
      </c>
      <c r="E13330">
        <v>7.4602698650674597</v>
      </c>
    </row>
    <row r="13331" spans="1:5">
      <c r="A13331" t="s">
        <v>15384</v>
      </c>
      <c r="B13331" t="s">
        <v>15390</v>
      </c>
      <c r="C13331">
        <v>0</v>
      </c>
      <c r="D13331">
        <v>0.99557187538699998</v>
      </c>
      <c r="E13331">
        <v>7.4602698650674597</v>
      </c>
    </row>
    <row r="13332" spans="1:5">
      <c r="A13332" t="s">
        <v>15391</v>
      </c>
      <c r="B13332" t="s">
        <v>15392</v>
      </c>
      <c r="C13332">
        <v>0.21909316593100001</v>
      </c>
      <c r="D13332">
        <v>0.82654894891599995</v>
      </c>
      <c r="E13332">
        <v>2.3988005997001498E-2</v>
      </c>
    </row>
    <row r="13333" spans="1:5">
      <c r="A13333" t="s">
        <v>15393</v>
      </c>
      <c r="B13333" t="s">
        <v>15394</v>
      </c>
      <c r="C13333">
        <v>0.112297888426</v>
      </c>
      <c r="D13333" t="s">
        <v>106</v>
      </c>
      <c r="E13333">
        <v>2.8785607196401801</v>
      </c>
    </row>
    <row r="13334" spans="1:5">
      <c r="A13334" t="s">
        <v>15393</v>
      </c>
      <c r="B13334" t="s">
        <v>15395</v>
      </c>
      <c r="C13334">
        <v>0</v>
      </c>
      <c r="D13334" t="s">
        <v>106</v>
      </c>
      <c r="E13334">
        <v>2.8785607196401801</v>
      </c>
    </row>
    <row r="13335" spans="1:5">
      <c r="A13335" t="s">
        <v>15393</v>
      </c>
      <c r="B13335" t="s">
        <v>15396</v>
      </c>
      <c r="C13335">
        <v>0.48828619748399998</v>
      </c>
      <c r="D13335" t="s">
        <v>106</v>
      </c>
      <c r="E13335">
        <v>2.8785607196401801</v>
      </c>
    </row>
    <row r="13336" spans="1:5">
      <c r="A13336" t="s">
        <v>15397</v>
      </c>
      <c r="B13336" t="s">
        <v>15398</v>
      </c>
      <c r="C13336">
        <f>0</f>
        <v>0</v>
      </c>
      <c r="D13336" t="s">
        <v>106</v>
      </c>
      <c r="E13336">
        <v>10.5547226386806</v>
      </c>
    </row>
    <row r="13337" spans="1:5">
      <c r="A13337" t="s">
        <v>15397</v>
      </c>
      <c r="B13337" t="s">
        <v>15399</v>
      </c>
      <c r="C13337">
        <f>0</f>
        <v>0</v>
      </c>
      <c r="D13337" t="s">
        <v>106</v>
      </c>
      <c r="E13337">
        <v>10.5547226386806</v>
      </c>
    </row>
    <row r="13338" spans="1:5">
      <c r="A13338" t="s">
        <v>15397</v>
      </c>
      <c r="B13338" t="s">
        <v>15400</v>
      </c>
      <c r="C13338">
        <f>0</f>
        <v>0</v>
      </c>
      <c r="D13338" t="s">
        <v>106</v>
      </c>
      <c r="E13338">
        <v>10.5547226386806</v>
      </c>
    </row>
    <row r="13339" spans="1:5">
      <c r="A13339" t="s">
        <v>15397</v>
      </c>
      <c r="B13339" t="s">
        <v>15401</v>
      </c>
      <c r="C13339">
        <v>0</v>
      </c>
      <c r="D13339" t="s">
        <v>106</v>
      </c>
      <c r="E13339">
        <v>10.5547226386806</v>
      </c>
    </row>
    <row r="13340" spans="1:5">
      <c r="A13340" t="s">
        <v>15397</v>
      </c>
      <c r="B13340" t="s">
        <v>15402</v>
      </c>
      <c r="C13340">
        <f>0</f>
        <v>0</v>
      </c>
      <c r="D13340" t="s">
        <v>106</v>
      </c>
      <c r="E13340">
        <v>10.5547226386806</v>
      </c>
    </row>
    <row r="13341" spans="1:5">
      <c r="A13341" t="s">
        <v>15403</v>
      </c>
      <c r="B13341" t="s">
        <v>15404</v>
      </c>
      <c r="C13341">
        <f>0</f>
        <v>0</v>
      </c>
      <c r="D13341" t="s">
        <v>106</v>
      </c>
      <c r="E13341">
        <v>2.0269865067466202</v>
      </c>
    </row>
    <row r="13342" spans="1:5">
      <c r="A13342" t="s">
        <v>15403</v>
      </c>
      <c r="B13342" t="s">
        <v>15405</v>
      </c>
      <c r="C13342">
        <v>0</v>
      </c>
      <c r="D13342" t="s">
        <v>106</v>
      </c>
      <c r="E13342">
        <v>2.0269865067466202</v>
      </c>
    </row>
    <row r="13343" spans="1:5">
      <c r="A13343" t="s">
        <v>15403</v>
      </c>
      <c r="B13343" t="s">
        <v>15406</v>
      </c>
      <c r="C13343">
        <f>0</f>
        <v>0</v>
      </c>
      <c r="D13343" t="s">
        <v>106</v>
      </c>
      <c r="E13343">
        <v>2.0269865067466202</v>
      </c>
    </row>
    <row r="13344" spans="1:5">
      <c r="A13344" t="s">
        <v>15403</v>
      </c>
      <c r="B13344" t="s">
        <v>15407</v>
      </c>
      <c r="C13344">
        <v>0</v>
      </c>
      <c r="D13344" t="s">
        <v>106</v>
      </c>
      <c r="E13344">
        <v>2.0269865067466202</v>
      </c>
    </row>
    <row r="13345" spans="1:5">
      <c r="A13345" t="s">
        <v>15408</v>
      </c>
      <c r="B13345" t="s">
        <v>15409</v>
      </c>
      <c r="C13345">
        <v>0</v>
      </c>
      <c r="D13345">
        <v>0.817574151842</v>
      </c>
      <c r="E13345">
        <v>5.1214392803598203</v>
      </c>
    </row>
    <row r="13346" spans="1:5">
      <c r="A13346" t="s">
        <v>15408</v>
      </c>
      <c r="B13346" t="s">
        <v>15410</v>
      </c>
      <c r="C13346">
        <f>0</f>
        <v>0</v>
      </c>
      <c r="D13346">
        <v>0.817574151842</v>
      </c>
      <c r="E13346">
        <v>5.1214392803598203</v>
      </c>
    </row>
    <row r="13347" spans="1:5">
      <c r="A13347" t="s">
        <v>15408</v>
      </c>
      <c r="B13347" t="s">
        <v>15411</v>
      </c>
      <c r="C13347">
        <v>0</v>
      </c>
      <c r="D13347">
        <v>0.817574151842</v>
      </c>
      <c r="E13347">
        <v>5.1214392803598203</v>
      </c>
    </row>
    <row r="13348" spans="1:5">
      <c r="A13348" t="s">
        <v>15412</v>
      </c>
      <c r="B13348" t="s">
        <v>15413</v>
      </c>
      <c r="C13348">
        <f>0</f>
        <v>0</v>
      </c>
      <c r="D13348" t="s">
        <v>106</v>
      </c>
      <c r="E13348">
        <v>1.89505247376311</v>
      </c>
    </row>
    <row r="13349" spans="1:5">
      <c r="A13349" t="s">
        <v>15412</v>
      </c>
      <c r="B13349" t="s">
        <v>15414</v>
      </c>
      <c r="C13349">
        <v>0</v>
      </c>
      <c r="D13349" t="s">
        <v>106</v>
      </c>
      <c r="E13349">
        <v>1.89505247376311</v>
      </c>
    </row>
    <row r="13350" spans="1:5">
      <c r="A13350" t="s">
        <v>15412</v>
      </c>
      <c r="B13350" t="s">
        <v>15415</v>
      </c>
      <c r="C13350">
        <f>0</f>
        <v>0</v>
      </c>
      <c r="D13350" t="s">
        <v>106</v>
      </c>
      <c r="E13350">
        <v>1.89505247376311</v>
      </c>
    </row>
    <row r="13351" spans="1:5">
      <c r="A13351" t="s">
        <v>15416</v>
      </c>
      <c r="B13351" t="s">
        <v>15417</v>
      </c>
      <c r="C13351">
        <v>7.9477000813599999E-2</v>
      </c>
      <c r="D13351">
        <v>0.95067515483599996</v>
      </c>
      <c r="E13351">
        <v>11.370314842578701</v>
      </c>
    </row>
    <row r="13352" spans="1:5">
      <c r="A13352" t="s">
        <v>15416</v>
      </c>
      <c r="B13352" t="s">
        <v>15418</v>
      </c>
      <c r="C13352">
        <v>0</v>
      </c>
      <c r="D13352">
        <v>0.95067515483599996</v>
      </c>
      <c r="E13352">
        <v>11.370314842578701</v>
      </c>
    </row>
    <row r="13353" spans="1:5">
      <c r="A13353" t="s">
        <v>15416</v>
      </c>
      <c r="B13353" t="s">
        <v>15419</v>
      </c>
      <c r="C13353">
        <v>0</v>
      </c>
      <c r="D13353">
        <v>0.95067515483599996</v>
      </c>
      <c r="E13353">
        <v>11.370314842578701</v>
      </c>
    </row>
    <row r="13354" spans="1:5">
      <c r="A13354" t="s">
        <v>15416</v>
      </c>
      <c r="B13354" t="s">
        <v>15420</v>
      </c>
      <c r="C13354">
        <v>0</v>
      </c>
      <c r="D13354">
        <v>0.95067515483599996</v>
      </c>
      <c r="E13354">
        <v>11.370314842578701</v>
      </c>
    </row>
    <row r="13355" spans="1:5">
      <c r="A13355" t="s">
        <v>15416</v>
      </c>
      <c r="B13355" t="s">
        <v>15421</v>
      </c>
      <c r="C13355">
        <f>0</f>
        <v>0</v>
      </c>
      <c r="D13355">
        <v>0.95067515483599996</v>
      </c>
      <c r="E13355">
        <v>11.370314842578701</v>
      </c>
    </row>
    <row r="13356" spans="1:5">
      <c r="A13356" t="s">
        <v>15416</v>
      </c>
      <c r="B13356" t="s">
        <v>15422</v>
      </c>
      <c r="C13356">
        <f>0</f>
        <v>0</v>
      </c>
      <c r="D13356">
        <v>0.95067515483599996</v>
      </c>
      <c r="E13356">
        <v>11.370314842578701</v>
      </c>
    </row>
    <row r="13357" spans="1:5">
      <c r="A13357" t="s">
        <v>15416</v>
      </c>
      <c r="B13357" t="s">
        <v>15423</v>
      </c>
      <c r="C13357">
        <v>0.15692773896600001</v>
      </c>
      <c r="D13357">
        <v>0.95067515483599996</v>
      </c>
      <c r="E13357">
        <v>11.370314842578701</v>
      </c>
    </row>
    <row r="13358" spans="1:5">
      <c r="A13358" t="s">
        <v>15416</v>
      </c>
      <c r="B13358" t="s">
        <v>15424</v>
      </c>
      <c r="C13358">
        <f>0</f>
        <v>0</v>
      </c>
      <c r="D13358">
        <v>0.95067515483599996</v>
      </c>
      <c r="E13358">
        <v>11.370314842578701</v>
      </c>
    </row>
    <row r="13359" spans="1:5">
      <c r="A13359" t="s">
        <v>15425</v>
      </c>
      <c r="B13359" t="s">
        <v>15426</v>
      </c>
      <c r="C13359">
        <v>0.116805128395</v>
      </c>
      <c r="D13359">
        <v>0.72895338239999996</v>
      </c>
      <c r="E13359">
        <v>12.3898050974512</v>
      </c>
    </row>
    <row r="13360" spans="1:5">
      <c r="A13360" t="s">
        <v>15425</v>
      </c>
      <c r="B13360" t="s">
        <v>15427</v>
      </c>
      <c r="C13360">
        <v>0</v>
      </c>
      <c r="D13360">
        <v>0.72895338239999996</v>
      </c>
      <c r="E13360">
        <v>12.3898050974512</v>
      </c>
    </row>
    <row r="13361" spans="1:5">
      <c r="A13361" t="s">
        <v>15428</v>
      </c>
      <c r="B13361" t="s">
        <v>15429</v>
      </c>
      <c r="C13361">
        <f>0</f>
        <v>0</v>
      </c>
      <c r="D13361">
        <v>0.95584020862399999</v>
      </c>
      <c r="E13361">
        <v>19.1904047976012</v>
      </c>
    </row>
    <row r="13362" spans="1:5">
      <c r="A13362" t="s">
        <v>15428</v>
      </c>
      <c r="B13362" t="s">
        <v>15430</v>
      </c>
      <c r="C13362">
        <f>0</f>
        <v>0</v>
      </c>
      <c r="D13362">
        <v>0.95584020862399999</v>
      </c>
      <c r="E13362">
        <v>19.1904047976012</v>
      </c>
    </row>
    <row r="13363" spans="1:5">
      <c r="A13363" t="s">
        <v>15428</v>
      </c>
      <c r="B13363" t="s">
        <v>15431</v>
      </c>
      <c r="C13363">
        <f>0</f>
        <v>0</v>
      </c>
      <c r="D13363">
        <v>0.95584020862399999</v>
      </c>
      <c r="E13363">
        <v>19.1904047976012</v>
      </c>
    </row>
    <row r="13364" spans="1:5">
      <c r="A13364" t="s">
        <v>15428</v>
      </c>
      <c r="B13364" t="s">
        <v>15432</v>
      </c>
      <c r="C13364">
        <f>0</f>
        <v>0</v>
      </c>
      <c r="D13364">
        <v>0.95584020862399999</v>
      </c>
      <c r="E13364">
        <v>19.1904047976012</v>
      </c>
    </row>
    <row r="13365" spans="1:5">
      <c r="A13365" t="s">
        <v>15428</v>
      </c>
      <c r="B13365" t="s">
        <v>15433</v>
      </c>
      <c r="C13365">
        <f>0</f>
        <v>0</v>
      </c>
      <c r="D13365">
        <v>0.95584020862399999</v>
      </c>
      <c r="E13365">
        <v>19.1904047976012</v>
      </c>
    </row>
    <row r="13366" spans="1:5">
      <c r="A13366" t="s">
        <v>15428</v>
      </c>
      <c r="B13366" t="s">
        <v>15434</v>
      </c>
      <c r="C13366">
        <f>0</f>
        <v>0</v>
      </c>
      <c r="D13366">
        <v>0.95584020862399999</v>
      </c>
      <c r="E13366">
        <v>19.1904047976012</v>
      </c>
    </row>
    <row r="13367" spans="1:5">
      <c r="A13367" t="s">
        <v>15435</v>
      </c>
      <c r="B13367" t="s">
        <v>15436</v>
      </c>
      <c r="C13367">
        <f>0</f>
        <v>0</v>
      </c>
      <c r="D13367">
        <v>0.83614134033300003</v>
      </c>
      <c r="E13367">
        <v>24</v>
      </c>
    </row>
    <row r="13368" spans="1:5">
      <c r="A13368" t="s">
        <v>15435</v>
      </c>
      <c r="B13368" t="s">
        <v>15437</v>
      </c>
      <c r="C13368">
        <v>0</v>
      </c>
      <c r="D13368">
        <v>0.83614134033300003</v>
      </c>
      <c r="E13368">
        <v>24</v>
      </c>
    </row>
    <row r="13369" spans="1:5">
      <c r="A13369" t="s">
        <v>15435</v>
      </c>
      <c r="B13369" t="s">
        <v>15438</v>
      </c>
      <c r="C13369">
        <v>0</v>
      </c>
      <c r="D13369">
        <v>0.83614134033300003</v>
      </c>
      <c r="E13369">
        <v>24</v>
      </c>
    </row>
    <row r="13370" spans="1:5">
      <c r="A13370" t="s">
        <v>15435</v>
      </c>
      <c r="B13370" t="s">
        <v>15439</v>
      </c>
      <c r="C13370">
        <v>0</v>
      </c>
      <c r="D13370">
        <v>0.83614134033300003</v>
      </c>
      <c r="E13370">
        <v>24</v>
      </c>
    </row>
    <row r="13371" spans="1:5">
      <c r="A13371" t="s">
        <v>15435</v>
      </c>
      <c r="B13371" t="s">
        <v>15440</v>
      </c>
      <c r="C13371">
        <v>0</v>
      </c>
      <c r="D13371">
        <v>0.83614134033300003</v>
      </c>
      <c r="E13371">
        <v>24</v>
      </c>
    </row>
    <row r="13372" spans="1:5">
      <c r="A13372" t="s">
        <v>15435</v>
      </c>
      <c r="B13372" t="s">
        <v>15441</v>
      </c>
      <c r="C13372">
        <v>0</v>
      </c>
      <c r="D13372">
        <v>0.83614134033300003</v>
      </c>
      <c r="E13372">
        <v>24</v>
      </c>
    </row>
    <row r="13373" spans="1:5">
      <c r="A13373" t="s">
        <v>15435</v>
      </c>
      <c r="B13373" t="s">
        <v>15442</v>
      </c>
      <c r="C13373">
        <v>0</v>
      </c>
      <c r="D13373">
        <v>0.83614134033300003</v>
      </c>
      <c r="E13373">
        <v>24</v>
      </c>
    </row>
    <row r="13374" spans="1:5">
      <c r="A13374" t="s">
        <v>15435</v>
      </c>
      <c r="B13374" t="s">
        <v>15443</v>
      </c>
      <c r="C13374">
        <v>0</v>
      </c>
      <c r="D13374">
        <v>0.83614134033300003</v>
      </c>
      <c r="E13374">
        <v>24</v>
      </c>
    </row>
    <row r="13375" spans="1:5">
      <c r="A13375" t="s">
        <v>15435</v>
      </c>
      <c r="B13375" t="s">
        <v>15444</v>
      </c>
      <c r="C13375">
        <v>7.1681541695699999E-2</v>
      </c>
      <c r="D13375">
        <v>0.83614134033300003</v>
      </c>
      <c r="E13375">
        <v>24</v>
      </c>
    </row>
    <row r="13376" spans="1:5">
      <c r="A13376" t="s">
        <v>15435</v>
      </c>
      <c r="B13376" t="s">
        <v>15445</v>
      </c>
      <c r="C13376">
        <v>1.4088211661200001E-2</v>
      </c>
      <c r="D13376">
        <v>0.83614134033300003</v>
      </c>
      <c r="E13376">
        <v>24</v>
      </c>
    </row>
    <row r="13377" spans="1:5">
      <c r="A13377" t="s">
        <v>15446</v>
      </c>
      <c r="B13377" t="s">
        <v>15447</v>
      </c>
      <c r="C13377">
        <v>7.97159329995E-2</v>
      </c>
      <c r="D13377">
        <v>0.946854623989</v>
      </c>
      <c r="E13377">
        <v>5.2413793103448203</v>
      </c>
    </row>
    <row r="13378" spans="1:5">
      <c r="A13378" t="s">
        <v>15446</v>
      </c>
      <c r="B13378" t="s">
        <v>15448</v>
      </c>
      <c r="C13378">
        <v>0</v>
      </c>
      <c r="D13378">
        <v>0.946854623989</v>
      </c>
      <c r="E13378">
        <v>5.2413793103448203</v>
      </c>
    </row>
    <row r="13379" spans="1:5">
      <c r="A13379" t="s">
        <v>15446</v>
      </c>
      <c r="B13379" t="s">
        <v>15449</v>
      </c>
      <c r="C13379">
        <f>0</f>
        <v>0</v>
      </c>
      <c r="D13379">
        <v>0.946854623989</v>
      </c>
      <c r="E13379">
        <v>5.2413793103448203</v>
      </c>
    </row>
    <row r="13380" spans="1:5">
      <c r="A13380" t="s">
        <v>15450</v>
      </c>
      <c r="B13380" t="s">
        <v>15451</v>
      </c>
      <c r="C13380">
        <v>0.306859908711</v>
      </c>
      <c r="D13380">
        <v>0.63065410893999996</v>
      </c>
      <c r="E13380">
        <v>4.58170914542728</v>
      </c>
    </row>
    <row r="13381" spans="1:5">
      <c r="A13381" t="s">
        <v>15450</v>
      </c>
      <c r="B13381" t="s">
        <v>15452</v>
      </c>
      <c r="C13381">
        <v>0</v>
      </c>
      <c r="D13381">
        <v>0.63065410893999996</v>
      </c>
      <c r="E13381">
        <v>4.58170914542728</v>
      </c>
    </row>
    <row r="13382" spans="1:5">
      <c r="A13382" t="s">
        <v>15450</v>
      </c>
      <c r="B13382" t="s">
        <v>15453</v>
      </c>
      <c r="C13382">
        <v>0</v>
      </c>
      <c r="D13382">
        <v>0.63065410893999996</v>
      </c>
      <c r="E13382">
        <v>4.58170914542728</v>
      </c>
    </row>
    <row r="13383" spans="1:5">
      <c r="A13383" t="s">
        <v>15450</v>
      </c>
      <c r="B13383" t="s">
        <v>15454</v>
      </c>
      <c r="C13383">
        <v>0.205888317224</v>
      </c>
      <c r="D13383">
        <v>0.63065410893999996</v>
      </c>
      <c r="E13383">
        <v>4.58170914542728</v>
      </c>
    </row>
    <row r="13384" spans="1:5">
      <c r="A13384" t="s">
        <v>15450</v>
      </c>
      <c r="B13384" t="s">
        <v>15455</v>
      </c>
      <c r="C13384">
        <v>0</v>
      </c>
      <c r="D13384">
        <v>0.63065410893999996</v>
      </c>
      <c r="E13384">
        <v>4.58170914542728</v>
      </c>
    </row>
    <row r="13385" spans="1:5">
      <c r="A13385" t="s">
        <v>15450</v>
      </c>
      <c r="B13385" t="s">
        <v>15456</v>
      </c>
      <c r="C13385">
        <v>0</v>
      </c>
      <c r="D13385">
        <v>0.63065410893999996</v>
      </c>
      <c r="E13385">
        <v>4.58170914542728</v>
      </c>
    </row>
    <row r="13386" spans="1:5">
      <c r="A13386" t="s">
        <v>15450</v>
      </c>
      <c r="B13386" t="s">
        <v>15457</v>
      </c>
      <c r="C13386">
        <v>0</v>
      </c>
      <c r="D13386">
        <v>0.63065410893999996</v>
      </c>
      <c r="E13386">
        <v>4.58170914542728</v>
      </c>
    </row>
    <row r="13387" spans="1:5">
      <c r="A13387" t="s">
        <v>15450</v>
      </c>
      <c r="B13387" t="s">
        <v>15458</v>
      </c>
      <c r="C13387">
        <v>0</v>
      </c>
      <c r="D13387">
        <v>0.63065410893999996</v>
      </c>
      <c r="E13387">
        <v>4.58170914542728</v>
      </c>
    </row>
    <row r="13388" spans="1:5">
      <c r="A13388" t="s">
        <v>15450</v>
      </c>
      <c r="B13388" t="s">
        <v>15459</v>
      </c>
      <c r="C13388">
        <v>0</v>
      </c>
      <c r="D13388">
        <v>0.63065410893999996</v>
      </c>
      <c r="E13388">
        <v>4.58170914542728</v>
      </c>
    </row>
    <row r="13389" spans="1:5">
      <c r="A13389" t="s">
        <v>15450</v>
      </c>
      <c r="B13389" t="s">
        <v>15460</v>
      </c>
      <c r="C13389">
        <v>0</v>
      </c>
      <c r="D13389">
        <v>0.63065410893999996</v>
      </c>
      <c r="E13389">
        <v>4.58170914542728</v>
      </c>
    </row>
    <row r="13390" spans="1:5">
      <c r="A13390" t="s">
        <v>15450</v>
      </c>
      <c r="B13390" t="s">
        <v>15461</v>
      </c>
      <c r="C13390">
        <v>0</v>
      </c>
      <c r="D13390">
        <v>0.63065410893999996</v>
      </c>
      <c r="E13390">
        <v>4.58170914542728</v>
      </c>
    </row>
    <row r="13391" spans="1:5">
      <c r="A13391" t="s">
        <v>15450</v>
      </c>
      <c r="B13391" t="s">
        <v>15462</v>
      </c>
      <c r="C13391">
        <f>0</f>
        <v>0</v>
      </c>
      <c r="D13391">
        <v>0.63065410893999996</v>
      </c>
      <c r="E13391">
        <v>4.58170914542728</v>
      </c>
    </row>
    <row r="13392" spans="1:5">
      <c r="A13392" t="s">
        <v>15450</v>
      </c>
      <c r="B13392" t="s">
        <v>15463</v>
      </c>
      <c r="C13392">
        <f>0</f>
        <v>0</v>
      </c>
      <c r="D13392">
        <v>0.63065410893999996</v>
      </c>
      <c r="E13392">
        <v>4.58170914542728</v>
      </c>
    </row>
    <row r="13393" spans="1:5">
      <c r="A13393" t="s">
        <v>15450</v>
      </c>
      <c r="B13393" t="s">
        <v>15464</v>
      </c>
      <c r="C13393">
        <f>0</f>
        <v>0</v>
      </c>
      <c r="D13393">
        <v>0.63065410893999996</v>
      </c>
      <c r="E13393">
        <v>4.58170914542728</v>
      </c>
    </row>
    <row r="13394" spans="1:5">
      <c r="A13394" t="s">
        <v>15450</v>
      </c>
      <c r="B13394" t="s">
        <v>15465</v>
      </c>
      <c r="C13394">
        <v>0</v>
      </c>
      <c r="D13394">
        <v>0.63065410893999996</v>
      </c>
      <c r="E13394">
        <v>4.58170914542728</v>
      </c>
    </row>
    <row r="13395" spans="1:5">
      <c r="A13395" t="s">
        <v>15450</v>
      </c>
      <c r="B13395" t="s">
        <v>15466</v>
      </c>
      <c r="C13395">
        <f>0</f>
        <v>0</v>
      </c>
      <c r="D13395">
        <v>0.63065410893999996</v>
      </c>
      <c r="E13395">
        <v>4.58170914542728</v>
      </c>
    </row>
    <row r="13396" spans="1:5">
      <c r="A13396" t="s">
        <v>15450</v>
      </c>
      <c r="B13396" t="s">
        <v>15467</v>
      </c>
      <c r="C13396">
        <v>0</v>
      </c>
      <c r="D13396">
        <v>0.63065410893999996</v>
      </c>
      <c r="E13396">
        <v>4.58170914542728</v>
      </c>
    </row>
    <row r="13397" spans="1:5">
      <c r="A13397" t="s">
        <v>15450</v>
      </c>
      <c r="B13397" t="s">
        <v>15468</v>
      </c>
      <c r="C13397">
        <v>0</v>
      </c>
      <c r="D13397">
        <v>0.63065410893999996</v>
      </c>
      <c r="E13397">
        <v>4.58170914542728</v>
      </c>
    </row>
    <row r="13398" spans="1:5">
      <c r="A13398" t="s">
        <v>15469</v>
      </c>
      <c r="B13398" t="s">
        <v>15470</v>
      </c>
      <c r="C13398">
        <v>0.472122134094</v>
      </c>
      <c r="D13398">
        <v>0.98993907258500002</v>
      </c>
      <c r="E13398">
        <v>4.7976011994003001</v>
      </c>
    </row>
    <row r="13399" spans="1:5">
      <c r="A13399" t="s">
        <v>15469</v>
      </c>
      <c r="B13399" t="s">
        <v>15471</v>
      </c>
      <c r="C13399">
        <v>0</v>
      </c>
      <c r="D13399">
        <v>0.98993907258500002</v>
      </c>
      <c r="E13399">
        <v>4.7976011994003001</v>
      </c>
    </row>
    <row r="13400" spans="1:5">
      <c r="A13400" t="s">
        <v>15469</v>
      </c>
      <c r="B13400" t="s">
        <v>15472</v>
      </c>
      <c r="C13400">
        <v>0</v>
      </c>
      <c r="D13400">
        <v>0.98993907258500002</v>
      </c>
      <c r="E13400">
        <v>4.7976011994003001</v>
      </c>
    </row>
    <row r="13401" spans="1:5">
      <c r="A13401" t="s">
        <v>15469</v>
      </c>
      <c r="B13401" t="s">
        <v>15473</v>
      </c>
      <c r="C13401">
        <v>0</v>
      </c>
      <c r="D13401">
        <v>0.98993907258500002</v>
      </c>
      <c r="E13401">
        <v>4.7976011994003001</v>
      </c>
    </row>
    <row r="13402" spans="1:5">
      <c r="A13402" t="s">
        <v>15469</v>
      </c>
      <c r="B13402" t="s">
        <v>15474</v>
      </c>
      <c r="C13402">
        <v>0</v>
      </c>
      <c r="D13402">
        <v>0.98993907258500002</v>
      </c>
      <c r="E13402">
        <v>4.7976011994003001</v>
      </c>
    </row>
    <row r="13403" spans="1:5">
      <c r="A13403" t="s">
        <v>15469</v>
      </c>
      <c r="B13403" t="s">
        <v>15475</v>
      </c>
      <c r="C13403">
        <v>0</v>
      </c>
      <c r="D13403">
        <v>0.98993907258500002</v>
      </c>
      <c r="E13403">
        <v>4.7976011994003001</v>
      </c>
    </row>
    <row r="13404" spans="1:5">
      <c r="A13404" t="s">
        <v>15469</v>
      </c>
      <c r="B13404" t="s">
        <v>15476</v>
      </c>
      <c r="C13404">
        <v>0</v>
      </c>
      <c r="D13404">
        <v>0.98993907258500002</v>
      </c>
      <c r="E13404">
        <v>4.7976011994003001</v>
      </c>
    </row>
    <row r="13405" spans="1:5">
      <c r="A13405" t="s">
        <v>15477</v>
      </c>
      <c r="B13405" t="s">
        <v>15478</v>
      </c>
      <c r="C13405">
        <f>0</f>
        <v>0</v>
      </c>
      <c r="D13405">
        <v>0.77652498815899995</v>
      </c>
      <c r="E13405">
        <v>0.95952023988005997</v>
      </c>
    </row>
    <row r="13406" spans="1:5">
      <c r="A13406" t="s">
        <v>15477</v>
      </c>
      <c r="B13406" t="s">
        <v>15479</v>
      </c>
      <c r="C13406">
        <f>0.430604501187</f>
        <v>0.430604501187</v>
      </c>
      <c r="D13406">
        <v>0.77652498815899995</v>
      </c>
      <c r="E13406">
        <v>0.95952023988005997</v>
      </c>
    </row>
    <row r="13407" spans="1:5">
      <c r="A13407" t="s">
        <v>15477</v>
      </c>
      <c r="B13407" t="s">
        <v>15480</v>
      </c>
      <c r="C13407">
        <f>0</f>
        <v>0</v>
      </c>
      <c r="D13407">
        <v>0.77652498815899995</v>
      </c>
      <c r="E13407">
        <v>0.95952023988005997</v>
      </c>
    </row>
    <row r="13408" spans="1:5">
      <c r="A13408" t="s">
        <v>15477</v>
      </c>
      <c r="B13408" t="s">
        <v>15481</v>
      </c>
      <c r="C13408">
        <f>0</f>
        <v>0</v>
      </c>
      <c r="D13408">
        <v>0.77652498815899995</v>
      </c>
      <c r="E13408">
        <v>0.95952023988005997</v>
      </c>
    </row>
    <row r="13409" spans="1:5">
      <c r="A13409" t="s">
        <v>15477</v>
      </c>
      <c r="B13409" t="s">
        <v>15482</v>
      </c>
      <c r="C13409">
        <v>0</v>
      </c>
      <c r="D13409">
        <v>0.77652498815899995</v>
      </c>
      <c r="E13409">
        <v>0.95952023988005997</v>
      </c>
    </row>
    <row r="13410" spans="1:5">
      <c r="A13410" t="s">
        <v>15483</v>
      </c>
      <c r="B13410" t="s">
        <v>15484</v>
      </c>
      <c r="C13410">
        <v>5.81044554489E-2</v>
      </c>
      <c r="D13410">
        <v>0.98902663640999999</v>
      </c>
      <c r="E13410">
        <v>21.409295352323799</v>
      </c>
    </row>
    <row r="13411" spans="1:5">
      <c r="A13411" t="s">
        <v>15483</v>
      </c>
      <c r="B13411" t="s">
        <v>15485</v>
      </c>
      <c r="C13411">
        <v>5.5463865605099999E-2</v>
      </c>
      <c r="D13411">
        <v>0.98902663640999999</v>
      </c>
      <c r="E13411">
        <v>21.409295352323799</v>
      </c>
    </row>
    <row r="13412" spans="1:5">
      <c r="A13412" t="s">
        <v>15483</v>
      </c>
      <c r="B13412" t="s">
        <v>15486</v>
      </c>
      <c r="C13412">
        <v>0</v>
      </c>
      <c r="D13412">
        <v>0.98902663640999999</v>
      </c>
      <c r="E13412">
        <v>21.409295352323799</v>
      </c>
    </row>
    <row r="13413" spans="1:5">
      <c r="A13413" t="s">
        <v>15483</v>
      </c>
      <c r="B13413" t="s">
        <v>15487</v>
      </c>
      <c r="C13413">
        <v>0</v>
      </c>
      <c r="D13413">
        <v>0.98902663640999999</v>
      </c>
      <c r="E13413">
        <v>21.409295352323799</v>
      </c>
    </row>
    <row r="13414" spans="1:5">
      <c r="A13414" t="s">
        <v>15488</v>
      </c>
      <c r="B13414" t="s">
        <v>15489</v>
      </c>
      <c r="C13414">
        <v>0.26104046850200002</v>
      </c>
      <c r="D13414">
        <v>0.98105485169899997</v>
      </c>
      <c r="E13414">
        <v>6.1769115442278801</v>
      </c>
    </row>
    <row r="13415" spans="1:5">
      <c r="A13415" t="s">
        <v>15488</v>
      </c>
      <c r="B13415" t="s">
        <v>15490</v>
      </c>
      <c r="C13415">
        <v>1.9611676710000001E-2</v>
      </c>
      <c r="D13415">
        <v>0.98105485169899997</v>
      </c>
      <c r="E13415">
        <v>6.1769115442278801</v>
      </c>
    </row>
    <row r="13416" spans="1:5">
      <c r="A13416" t="s">
        <v>15488</v>
      </c>
      <c r="B13416" t="s">
        <v>15491</v>
      </c>
      <c r="C13416">
        <v>0</v>
      </c>
      <c r="D13416">
        <v>0.98105485169899997</v>
      </c>
      <c r="E13416">
        <v>6.1769115442278801</v>
      </c>
    </row>
    <row r="13417" spans="1:5">
      <c r="A13417" t="s">
        <v>15488</v>
      </c>
      <c r="B13417" t="s">
        <v>15492</v>
      </c>
      <c r="C13417">
        <v>0</v>
      </c>
      <c r="D13417">
        <v>0.98105485169899997</v>
      </c>
      <c r="E13417">
        <v>6.1769115442278801</v>
      </c>
    </row>
    <row r="13418" spans="1:5">
      <c r="A13418" t="s">
        <v>15488</v>
      </c>
      <c r="B13418" t="s">
        <v>15493</v>
      </c>
      <c r="C13418">
        <f>0</f>
        <v>0</v>
      </c>
      <c r="D13418">
        <v>0.98105485169899997</v>
      </c>
      <c r="E13418">
        <v>6.1769115442278801</v>
      </c>
    </row>
    <row r="13419" spans="1:5">
      <c r="A13419" t="s">
        <v>15488</v>
      </c>
      <c r="B13419" t="s">
        <v>15494</v>
      </c>
      <c r="C13419">
        <v>0</v>
      </c>
      <c r="D13419">
        <v>0.98105485169899997</v>
      </c>
      <c r="E13419">
        <v>6.1769115442278801</v>
      </c>
    </row>
    <row r="13420" spans="1:5">
      <c r="A13420" t="s">
        <v>15488</v>
      </c>
      <c r="B13420" t="s">
        <v>15495</v>
      </c>
      <c r="C13420">
        <v>0</v>
      </c>
      <c r="D13420">
        <v>0.98105485169899997</v>
      </c>
      <c r="E13420">
        <v>6.1769115442278801</v>
      </c>
    </row>
    <row r="13421" spans="1:5">
      <c r="A13421" t="s">
        <v>15488</v>
      </c>
      <c r="B13421" t="s">
        <v>15496</v>
      </c>
      <c r="C13421">
        <v>0</v>
      </c>
      <c r="D13421">
        <v>0.98105485169899997</v>
      </c>
      <c r="E13421">
        <v>6.1769115442278801</v>
      </c>
    </row>
    <row r="13422" spans="1:5">
      <c r="A13422" t="s">
        <v>15497</v>
      </c>
      <c r="B13422" t="s">
        <v>15498</v>
      </c>
      <c r="C13422">
        <f>0</f>
        <v>0</v>
      </c>
      <c r="D13422">
        <v>0.97479808772599996</v>
      </c>
      <c r="E13422">
        <v>5.9370314842578704</v>
      </c>
    </row>
    <row r="13423" spans="1:5">
      <c r="A13423" t="s">
        <v>15497</v>
      </c>
      <c r="B13423" t="s">
        <v>15499</v>
      </c>
      <c r="C13423">
        <f>0</f>
        <v>0</v>
      </c>
      <c r="D13423">
        <v>0.97479808772599996</v>
      </c>
      <c r="E13423">
        <v>5.9370314842578704</v>
      </c>
    </row>
    <row r="13424" spans="1:5">
      <c r="A13424" t="s">
        <v>15497</v>
      </c>
      <c r="B13424" t="s">
        <v>15500</v>
      </c>
      <c r="C13424">
        <v>7.4587670602100004E-2</v>
      </c>
      <c r="D13424">
        <v>0.97479808772599996</v>
      </c>
      <c r="E13424">
        <v>5.9370314842578704</v>
      </c>
    </row>
    <row r="13425" spans="1:5">
      <c r="A13425" t="s">
        <v>15501</v>
      </c>
      <c r="B13425" t="s">
        <v>15502</v>
      </c>
      <c r="C13425">
        <v>0.30480267022599999</v>
      </c>
      <c r="D13425">
        <v>0.99880521751899998</v>
      </c>
      <c r="E13425">
        <v>5.5772113943028403</v>
      </c>
    </row>
    <row r="13426" spans="1:5">
      <c r="A13426" t="s">
        <v>15501</v>
      </c>
      <c r="B13426" t="s">
        <v>15503</v>
      </c>
      <c r="C13426">
        <v>0</v>
      </c>
      <c r="D13426">
        <v>0.99880521751899998</v>
      </c>
      <c r="E13426">
        <v>5.5772113943028403</v>
      </c>
    </row>
    <row r="13427" spans="1:5">
      <c r="A13427" t="s">
        <v>15501</v>
      </c>
      <c r="B13427" t="s">
        <v>15504</v>
      </c>
      <c r="C13427">
        <v>0</v>
      </c>
      <c r="D13427">
        <v>0.99880521751899998</v>
      </c>
      <c r="E13427">
        <v>5.5772113943028403</v>
      </c>
    </row>
    <row r="13428" spans="1:5">
      <c r="A13428" t="s">
        <v>15501</v>
      </c>
      <c r="B13428" t="s">
        <v>15505</v>
      </c>
      <c r="C13428">
        <v>0.27533396410400002</v>
      </c>
      <c r="D13428">
        <v>0.99880521751899998</v>
      </c>
      <c r="E13428">
        <v>5.5772113943028403</v>
      </c>
    </row>
    <row r="13429" spans="1:5">
      <c r="A13429" t="s">
        <v>15506</v>
      </c>
      <c r="B13429" t="s">
        <v>15507</v>
      </c>
      <c r="C13429">
        <v>0</v>
      </c>
      <c r="D13429">
        <v>0.94439735626099997</v>
      </c>
      <c r="E13429">
        <v>1.51124437781109</v>
      </c>
    </row>
    <row r="13430" spans="1:5">
      <c r="A13430" t="s">
        <v>15506</v>
      </c>
      <c r="B13430" t="s">
        <v>15508</v>
      </c>
      <c r="C13430">
        <v>0</v>
      </c>
      <c r="D13430">
        <v>0.94439735626099997</v>
      </c>
      <c r="E13430">
        <v>1.51124437781109</v>
      </c>
    </row>
    <row r="13431" spans="1:5">
      <c r="A13431" t="s">
        <v>15506</v>
      </c>
      <c r="B13431" t="s">
        <v>15509</v>
      </c>
      <c r="C13431">
        <v>0</v>
      </c>
      <c r="D13431">
        <v>0.94439735626099997</v>
      </c>
      <c r="E13431">
        <v>1.51124437781109</v>
      </c>
    </row>
    <row r="13432" spans="1:5">
      <c r="A13432" t="s">
        <v>15506</v>
      </c>
      <c r="B13432" t="s">
        <v>15510</v>
      </c>
      <c r="C13432">
        <v>6.6834042602599994E-2</v>
      </c>
      <c r="D13432">
        <v>0.94439735626099997</v>
      </c>
      <c r="E13432">
        <v>1.51124437781109</v>
      </c>
    </row>
    <row r="13433" spans="1:5">
      <c r="A13433" t="s">
        <v>15506</v>
      </c>
      <c r="B13433" t="s">
        <v>15511</v>
      </c>
      <c r="C13433">
        <v>3.6964544920299998E-2</v>
      </c>
      <c r="D13433">
        <v>0.94439735626099997</v>
      </c>
      <c r="E13433">
        <v>1.51124437781109</v>
      </c>
    </row>
    <row r="13434" spans="1:5">
      <c r="A13434" t="s">
        <v>15506</v>
      </c>
      <c r="B13434" t="s">
        <v>15512</v>
      </c>
      <c r="C13434">
        <v>0</v>
      </c>
      <c r="D13434">
        <v>0.94439735626099997</v>
      </c>
      <c r="E13434">
        <v>1.51124437781109</v>
      </c>
    </row>
    <row r="13435" spans="1:5">
      <c r="A13435" t="s">
        <v>15506</v>
      </c>
      <c r="B13435" t="s">
        <v>15513</v>
      </c>
      <c r="C13435">
        <v>0</v>
      </c>
      <c r="D13435">
        <v>0.94439735626099997</v>
      </c>
      <c r="E13435">
        <v>1.51124437781109</v>
      </c>
    </row>
    <row r="13436" spans="1:5">
      <c r="A13436" t="s">
        <v>15506</v>
      </c>
      <c r="B13436" t="s">
        <v>15514</v>
      </c>
      <c r="C13436">
        <v>0</v>
      </c>
      <c r="D13436">
        <v>0.94439735626099997</v>
      </c>
      <c r="E13436">
        <v>1.51124437781109</v>
      </c>
    </row>
    <row r="13437" spans="1:5">
      <c r="A13437" t="s">
        <v>15506</v>
      </c>
      <c r="B13437" t="s">
        <v>15515</v>
      </c>
      <c r="C13437">
        <v>0</v>
      </c>
      <c r="D13437">
        <v>0.94439735626099997</v>
      </c>
      <c r="E13437">
        <v>1.51124437781109</v>
      </c>
    </row>
    <row r="13438" spans="1:5">
      <c r="A13438" t="s">
        <v>15506</v>
      </c>
      <c r="B13438" t="s">
        <v>15516</v>
      </c>
      <c r="C13438">
        <v>0</v>
      </c>
      <c r="D13438">
        <v>0.94439735626099997</v>
      </c>
      <c r="E13438">
        <v>1.51124437781109</v>
      </c>
    </row>
    <row r="13439" spans="1:5">
      <c r="A13439" t="s">
        <v>15517</v>
      </c>
      <c r="B13439" t="s">
        <v>15518</v>
      </c>
      <c r="C13439">
        <f>0.014598543737</f>
        <v>1.4598543737E-2</v>
      </c>
      <c r="D13439">
        <v>0.97376534930000003</v>
      </c>
      <c r="E13439">
        <v>3.97001499250374</v>
      </c>
    </row>
    <row r="13440" spans="1:5">
      <c r="A13440" t="s">
        <v>15517</v>
      </c>
      <c r="B13440" t="s">
        <v>15519</v>
      </c>
      <c r="C13440">
        <f>0</f>
        <v>0</v>
      </c>
      <c r="D13440">
        <v>0.97376534930000003</v>
      </c>
      <c r="E13440">
        <v>3.97001499250374</v>
      </c>
    </row>
    <row r="13441" spans="1:5">
      <c r="A13441" t="s">
        <v>15517</v>
      </c>
      <c r="B13441" t="s">
        <v>15520</v>
      </c>
      <c r="C13441">
        <v>0</v>
      </c>
      <c r="D13441">
        <v>0.97376534930000003</v>
      </c>
      <c r="E13441">
        <v>3.97001499250374</v>
      </c>
    </row>
    <row r="13442" spans="1:5">
      <c r="A13442" t="s">
        <v>15517</v>
      </c>
      <c r="B13442" t="s">
        <v>15521</v>
      </c>
      <c r="C13442">
        <v>0</v>
      </c>
      <c r="D13442">
        <v>0.97376534930000003</v>
      </c>
      <c r="E13442">
        <v>3.97001499250374</v>
      </c>
    </row>
    <row r="13443" spans="1:5">
      <c r="A13443" t="s">
        <v>15517</v>
      </c>
      <c r="B13443" t="s">
        <v>15522</v>
      </c>
      <c r="C13443">
        <f>0.00783800383297</f>
        <v>7.8380038329699999E-3</v>
      </c>
      <c r="D13443">
        <v>0.97376534930000003</v>
      </c>
      <c r="E13443">
        <v>3.97001499250374</v>
      </c>
    </row>
    <row r="13444" spans="1:5">
      <c r="A13444" t="s">
        <v>15517</v>
      </c>
      <c r="B13444" t="s">
        <v>15523</v>
      </c>
      <c r="C13444">
        <f>0</f>
        <v>0</v>
      </c>
      <c r="D13444">
        <v>0.97376534930000003</v>
      </c>
      <c r="E13444">
        <v>3.97001499250374</v>
      </c>
    </row>
    <row r="13445" spans="1:5">
      <c r="A13445" t="s">
        <v>15524</v>
      </c>
      <c r="B13445" t="s">
        <v>15525</v>
      </c>
      <c r="C13445">
        <v>0.16199317587000001</v>
      </c>
      <c r="D13445">
        <v>0.62605200707700004</v>
      </c>
      <c r="E13445">
        <v>17.715142428785601</v>
      </c>
    </row>
    <row r="13446" spans="1:5">
      <c r="A13446" t="s">
        <v>15524</v>
      </c>
      <c r="B13446" t="s">
        <v>15526</v>
      </c>
      <c r="C13446">
        <f>0</f>
        <v>0</v>
      </c>
      <c r="D13446">
        <v>0.62605200707700004</v>
      </c>
      <c r="E13446">
        <v>17.715142428785601</v>
      </c>
    </row>
    <row r="13447" spans="1:5">
      <c r="A13447" t="s">
        <v>15524</v>
      </c>
      <c r="B13447" t="s">
        <v>15527</v>
      </c>
      <c r="C13447">
        <v>0</v>
      </c>
      <c r="D13447">
        <v>0.62605200707700004</v>
      </c>
      <c r="E13447">
        <v>17.715142428785601</v>
      </c>
    </row>
    <row r="13448" spans="1:5">
      <c r="A13448" t="s">
        <v>15524</v>
      </c>
      <c r="B13448" t="s">
        <v>15528</v>
      </c>
      <c r="C13448">
        <v>4.0609560694100003E-2</v>
      </c>
      <c r="D13448">
        <v>0.62605200707700004</v>
      </c>
      <c r="E13448">
        <v>17.715142428785601</v>
      </c>
    </row>
    <row r="13449" spans="1:5">
      <c r="A13449" t="s">
        <v>15524</v>
      </c>
      <c r="B13449" t="s">
        <v>15529</v>
      </c>
      <c r="C13449">
        <v>0</v>
      </c>
      <c r="D13449">
        <v>0.62605200707700004</v>
      </c>
      <c r="E13449">
        <v>17.715142428785601</v>
      </c>
    </row>
    <row r="13450" spans="1:5">
      <c r="A13450" t="s">
        <v>15530</v>
      </c>
      <c r="B13450" t="s">
        <v>15531</v>
      </c>
      <c r="C13450">
        <v>0</v>
      </c>
      <c r="D13450">
        <v>0.91003212860000005</v>
      </c>
      <c r="E13450">
        <v>6.2968515742128899</v>
      </c>
    </row>
    <row r="13451" spans="1:5">
      <c r="A13451" t="s">
        <v>15530</v>
      </c>
      <c r="B13451" t="s">
        <v>15532</v>
      </c>
      <c r="C13451">
        <v>0.48790984792100001</v>
      </c>
      <c r="D13451">
        <v>0.91003212860000005</v>
      </c>
      <c r="E13451">
        <v>6.2968515742128899</v>
      </c>
    </row>
    <row r="13452" spans="1:5">
      <c r="A13452" t="s">
        <v>15530</v>
      </c>
      <c r="B13452" t="s">
        <v>15533</v>
      </c>
      <c r="C13452">
        <v>0.30764912370399999</v>
      </c>
      <c r="D13452">
        <v>0.91003212860000005</v>
      </c>
      <c r="E13452">
        <v>6.2968515742128899</v>
      </c>
    </row>
    <row r="13453" spans="1:5">
      <c r="A13453" t="s">
        <v>15534</v>
      </c>
      <c r="B13453" t="s">
        <v>15535</v>
      </c>
      <c r="C13453">
        <f>0</f>
        <v>0</v>
      </c>
      <c r="D13453">
        <v>0.86156468548099996</v>
      </c>
      <c r="E13453">
        <v>5.5772113943028403</v>
      </c>
    </row>
    <row r="13454" spans="1:5">
      <c r="A13454" t="s">
        <v>15534</v>
      </c>
      <c r="B13454" t="s">
        <v>15536</v>
      </c>
      <c r="C13454">
        <v>2.1530215872700001E-2</v>
      </c>
      <c r="D13454">
        <v>0.86156468548099996</v>
      </c>
      <c r="E13454">
        <v>5.5772113943028403</v>
      </c>
    </row>
    <row r="13455" spans="1:5">
      <c r="A13455" t="s">
        <v>15534</v>
      </c>
      <c r="B13455" t="s">
        <v>15537</v>
      </c>
      <c r="C13455">
        <v>0.37353328792899998</v>
      </c>
      <c r="D13455">
        <v>0.86156468548099996</v>
      </c>
      <c r="E13455">
        <v>5.5772113943028403</v>
      </c>
    </row>
    <row r="13456" spans="1:5">
      <c r="A13456" t="s">
        <v>15538</v>
      </c>
      <c r="B13456" t="s">
        <v>15539</v>
      </c>
      <c r="C13456">
        <v>0.43170895252000002</v>
      </c>
      <c r="D13456">
        <v>0.99479211382400001</v>
      </c>
      <c r="E13456">
        <v>7.8680659670164896</v>
      </c>
    </row>
    <row r="13457" spans="1:5">
      <c r="A13457" t="s">
        <v>15538</v>
      </c>
      <c r="B13457" t="s">
        <v>15540</v>
      </c>
      <c r="C13457">
        <f>0</f>
        <v>0</v>
      </c>
      <c r="D13457">
        <v>0.99479211382400001</v>
      </c>
      <c r="E13457">
        <v>7.8680659670164896</v>
      </c>
    </row>
    <row r="13458" spans="1:5">
      <c r="A13458" t="s">
        <v>15538</v>
      </c>
      <c r="B13458" t="s">
        <v>15541</v>
      </c>
      <c r="C13458">
        <v>0.46570094971800002</v>
      </c>
      <c r="D13458">
        <v>0.99479211382400001</v>
      </c>
      <c r="E13458">
        <v>7.8680659670164896</v>
      </c>
    </row>
    <row r="13459" spans="1:5">
      <c r="A13459" t="s">
        <v>15538</v>
      </c>
      <c r="B13459" t="s">
        <v>15542</v>
      </c>
      <c r="C13459">
        <f>0</f>
        <v>0</v>
      </c>
      <c r="D13459">
        <v>0.99479211382400001</v>
      </c>
      <c r="E13459">
        <v>7.8680659670164896</v>
      </c>
    </row>
    <row r="13460" spans="1:5">
      <c r="A13460" t="s">
        <v>15543</v>
      </c>
      <c r="B13460" t="s">
        <v>15544</v>
      </c>
      <c r="C13460">
        <v>0.16218849173</v>
      </c>
      <c r="D13460" t="s">
        <v>106</v>
      </c>
      <c r="E13460">
        <v>2.8785607196401801</v>
      </c>
    </row>
    <row r="13461" spans="1:5">
      <c r="A13461" t="s">
        <v>15545</v>
      </c>
      <c r="B13461" t="s">
        <v>15546</v>
      </c>
      <c r="C13461">
        <v>0</v>
      </c>
      <c r="D13461">
        <v>0.77997764059300001</v>
      </c>
      <c r="E13461">
        <v>6.8005997001499203</v>
      </c>
    </row>
    <row r="13462" spans="1:5">
      <c r="A13462" t="s">
        <v>15545</v>
      </c>
      <c r="B13462" t="s">
        <v>15547</v>
      </c>
      <c r="C13462">
        <f>0</f>
        <v>0</v>
      </c>
      <c r="D13462">
        <v>0.77997764059300001</v>
      </c>
      <c r="E13462">
        <v>6.8005997001499203</v>
      </c>
    </row>
    <row r="13463" spans="1:5">
      <c r="A13463" t="s">
        <v>15545</v>
      </c>
      <c r="B13463" t="s">
        <v>15548</v>
      </c>
      <c r="C13463">
        <v>0</v>
      </c>
      <c r="D13463">
        <v>0.77997764059300001</v>
      </c>
      <c r="E13463">
        <v>6.8005997001499203</v>
      </c>
    </row>
    <row r="13464" spans="1:5">
      <c r="A13464" t="s">
        <v>15545</v>
      </c>
      <c r="B13464" t="s">
        <v>15549</v>
      </c>
      <c r="C13464">
        <v>0</v>
      </c>
      <c r="D13464">
        <v>0.77997764059300001</v>
      </c>
      <c r="E13464">
        <v>6.8005997001499203</v>
      </c>
    </row>
    <row r="13465" spans="1:5">
      <c r="A13465" t="s">
        <v>15545</v>
      </c>
      <c r="B13465" t="s">
        <v>15550</v>
      </c>
      <c r="C13465">
        <v>0</v>
      </c>
      <c r="D13465">
        <v>0.77997764059300001</v>
      </c>
      <c r="E13465">
        <v>6.8005997001499203</v>
      </c>
    </row>
    <row r="13466" spans="1:5">
      <c r="A13466" t="s">
        <v>15545</v>
      </c>
      <c r="B13466" t="s">
        <v>15551</v>
      </c>
      <c r="C13466">
        <v>0.12549547252099999</v>
      </c>
      <c r="D13466">
        <v>0.77997764059300001</v>
      </c>
      <c r="E13466">
        <v>6.8005997001499203</v>
      </c>
    </row>
    <row r="13467" spans="1:5">
      <c r="A13467" t="s">
        <v>15545</v>
      </c>
      <c r="B13467" t="s">
        <v>15552</v>
      </c>
      <c r="C13467">
        <v>4.81027780154E-2</v>
      </c>
      <c r="D13467">
        <v>0.77997764059300001</v>
      </c>
      <c r="E13467">
        <v>6.8005997001499203</v>
      </c>
    </row>
    <row r="13468" spans="1:5">
      <c r="A13468" t="s">
        <v>15545</v>
      </c>
      <c r="B13468" t="s">
        <v>15553</v>
      </c>
      <c r="C13468">
        <v>0</v>
      </c>
      <c r="D13468">
        <v>0.77997764059300001</v>
      </c>
      <c r="E13468">
        <v>6.8005997001499203</v>
      </c>
    </row>
    <row r="13469" spans="1:5">
      <c r="A13469" t="s">
        <v>15545</v>
      </c>
      <c r="B13469" t="s">
        <v>15554</v>
      </c>
      <c r="C13469">
        <f>0</f>
        <v>0</v>
      </c>
      <c r="D13469">
        <v>0.77997764059300001</v>
      </c>
      <c r="E13469">
        <v>6.8005997001499203</v>
      </c>
    </row>
    <row r="13470" spans="1:5">
      <c r="A13470" t="s">
        <v>15545</v>
      </c>
      <c r="B13470" t="s">
        <v>15555</v>
      </c>
      <c r="C13470">
        <f>0</f>
        <v>0</v>
      </c>
      <c r="D13470">
        <v>0.77997764059300001</v>
      </c>
      <c r="E13470">
        <v>6.8005997001499203</v>
      </c>
    </row>
    <row r="13471" spans="1:5">
      <c r="A13471" t="s">
        <v>15556</v>
      </c>
      <c r="B13471" t="s">
        <v>15557</v>
      </c>
      <c r="C13471">
        <f>0</f>
        <v>0</v>
      </c>
      <c r="D13471" t="s">
        <v>106</v>
      </c>
      <c r="E13471">
        <v>5.8170914542728598</v>
      </c>
    </row>
    <row r="13472" spans="1:5">
      <c r="A13472" t="s">
        <v>15556</v>
      </c>
      <c r="B13472" t="s">
        <v>15558</v>
      </c>
      <c r="C13472">
        <f>0</f>
        <v>0</v>
      </c>
      <c r="D13472" t="s">
        <v>106</v>
      </c>
      <c r="E13472">
        <v>5.8170914542728598</v>
      </c>
    </row>
    <row r="13473" spans="1:5">
      <c r="A13473" t="s">
        <v>15556</v>
      </c>
      <c r="B13473" t="s">
        <v>15559</v>
      </c>
      <c r="C13473">
        <v>0</v>
      </c>
      <c r="D13473" t="s">
        <v>106</v>
      </c>
      <c r="E13473">
        <v>5.8170914542728598</v>
      </c>
    </row>
    <row r="13474" spans="1:5">
      <c r="A13474" t="s">
        <v>15556</v>
      </c>
      <c r="B13474" t="s">
        <v>15560</v>
      </c>
      <c r="C13474">
        <v>0</v>
      </c>
      <c r="D13474" t="s">
        <v>106</v>
      </c>
      <c r="E13474">
        <v>5.8170914542728598</v>
      </c>
    </row>
    <row r="13475" spans="1:5">
      <c r="A13475" t="s">
        <v>15556</v>
      </c>
      <c r="B13475" t="s">
        <v>15561</v>
      </c>
      <c r="C13475">
        <v>0</v>
      </c>
      <c r="D13475" t="s">
        <v>106</v>
      </c>
      <c r="E13475">
        <v>5.8170914542728598</v>
      </c>
    </row>
    <row r="13476" spans="1:5">
      <c r="A13476" t="s">
        <v>15562</v>
      </c>
      <c r="B13476" t="s">
        <v>15563</v>
      </c>
      <c r="C13476">
        <v>0</v>
      </c>
      <c r="D13476">
        <v>0.99664231079999999</v>
      </c>
      <c r="E13476">
        <v>23.280359820089899</v>
      </c>
    </row>
    <row r="13477" spans="1:5">
      <c r="A13477" t="s">
        <v>15562</v>
      </c>
      <c r="B13477" t="s">
        <v>15564</v>
      </c>
      <c r="C13477">
        <v>0.119171271753</v>
      </c>
      <c r="D13477">
        <v>0.99664231079999999</v>
      </c>
      <c r="E13477">
        <v>23.280359820089899</v>
      </c>
    </row>
    <row r="13478" spans="1:5">
      <c r="A13478" t="s">
        <v>15562</v>
      </c>
      <c r="B13478" t="s">
        <v>15565</v>
      </c>
      <c r="C13478">
        <f>0</f>
        <v>0</v>
      </c>
      <c r="D13478">
        <v>0.99664231079999999</v>
      </c>
      <c r="E13478">
        <v>23.280359820089899</v>
      </c>
    </row>
    <row r="13479" spans="1:5">
      <c r="A13479" t="s">
        <v>15562</v>
      </c>
      <c r="B13479" t="s">
        <v>15566</v>
      </c>
      <c r="C13479">
        <v>8.0743485381699995E-2</v>
      </c>
      <c r="D13479">
        <v>0.99664231079999999</v>
      </c>
      <c r="E13479">
        <v>23.280359820089899</v>
      </c>
    </row>
    <row r="13480" spans="1:5">
      <c r="A13480" t="s">
        <v>15562</v>
      </c>
      <c r="B13480" t="s">
        <v>15567</v>
      </c>
      <c r="C13480">
        <v>0</v>
      </c>
      <c r="D13480">
        <v>0.99664231079999999</v>
      </c>
      <c r="E13480">
        <v>23.280359820089899</v>
      </c>
    </row>
    <row r="13481" spans="1:5">
      <c r="A13481" t="s">
        <v>15562</v>
      </c>
      <c r="B13481" t="s">
        <v>15568</v>
      </c>
      <c r="C13481">
        <v>0</v>
      </c>
      <c r="D13481">
        <v>0.99664231079999999</v>
      </c>
      <c r="E13481">
        <v>23.280359820089899</v>
      </c>
    </row>
    <row r="13482" spans="1:5">
      <c r="A13482" t="s">
        <v>15569</v>
      </c>
      <c r="B13482" t="s">
        <v>15570</v>
      </c>
      <c r="C13482">
        <v>0.261498015162</v>
      </c>
      <c r="D13482">
        <v>0.85924194365399997</v>
      </c>
      <c r="E13482">
        <v>2.96251874062968</v>
      </c>
    </row>
    <row r="13483" spans="1:5">
      <c r="A13483" t="s">
        <v>15571</v>
      </c>
      <c r="B13483" t="s">
        <v>15572</v>
      </c>
      <c r="C13483">
        <v>0</v>
      </c>
      <c r="D13483" t="s">
        <v>106</v>
      </c>
      <c r="E13483">
        <v>9.4632683658170897</v>
      </c>
    </row>
    <row r="13484" spans="1:5">
      <c r="A13484" t="s">
        <v>15571</v>
      </c>
      <c r="B13484" t="s">
        <v>15573</v>
      </c>
      <c r="C13484">
        <v>0</v>
      </c>
      <c r="D13484" t="s">
        <v>106</v>
      </c>
      <c r="E13484">
        <v>9.4632683658170897</v>
      </c>
    </row>
    <row r="13485" spans="1:5">
      <c r="A13485" t="s">
        <v>15571</v>
      </c>
      <c r="B13485" t="s">
        <v>15574</v>
      </c>
      <c r="C13485">
        <v>0</v>
      </c>
      <c r="D13485" t="s">
        <v>106</v>
      </c>
      <c r="E13485">
        <v>9.4632683658170897</v>
      </c>
    </row>
    <row r="13486" spans="1:5">
      <c r="A13486" t="s">
        <v>15571</v>
      </c>
      <c r="B13486" t="s">
        <v>15575</v>
      </c>
      <c r="C13486">
        <f>0</f>
        <v>0</v>
      </c>
      <c r="D13486" t="s">
        <v>106</v>
      </c>
      <c r="E13486">
        <v>9.4632683658170897</v>
      </c>
    </row>
    <row r="13487" spans="1:5">
      <c r="A13487" t="s">
        <v>15571</v>
      </c>
      <c r="B13487" t="s">
        <v>15576</v>
      </c>
      <c r="C13487">
        <f>0</f>
        <v>0</v>
      </c>
      <c r="D13487" t="s">
        <v>106</v>
      </c>
      <c r="E13487">
        <v>9.4632683658170897</v>
      </c>
    </row>
    <row r="13488" spans="1:5">
      <c r="A13488" t="s">
        <v>15571</v>
      </c>
      <c r="B13488" t="s">
        <v>15577</v>
      </c>
      <c r="C13488">
        <v>0</v>
      </c>
      <c r="D13488" t="s">
        <v>106</v>
      </c>
      <c r="E13488">
        <v>9.4632683658170897</v>
      </c>
    </row>
    <row r="13489" spans="1:5">
      <c r="A13489" t="s">
        <v>15571</v>
      </c>
      <c r="B13489" t="s">
        <v>15578</v>
      </c>
      <c r="C13489">
        <f>0</f>
        <v>0</v>
      </c>
      <c r="D13489" t="s">
        <v>106</v>
      </c>
      <c r="E13489">
        <v>9.4632683658170897</v>
      </c>
    </row>
    <row r="13490" spans="1:5">
      <c r="A13490" t="s">
        <v>15579</v>
      </c>
      <c r="B13490" t="s">
        <v>15580</v>
      </c>
      <c r="C13490">
        <v>0</v>
      </c>
      <c r="D13490">
        <v>0.66010609391999997</v>
      </c>
      <c r="E13490">
        <v>8.0119940029985006</v>
      </c>
    </row>
    <row r="13491" spans="1:5">
      <c r="A13491" t="s">
        <v>15579</v>
      </c>
      <c r="B13491" t="s">
        <v>15581</v>
      </c>
      <c r="C13491">
        <f>0.123078416666</f>
        <v>0.123078416666</v>
      </c>
      <c r="D13491">
        <v>0.66010609391999997</v>
      </c>
      <c r="E13491">
        <v>8.0119940029985006</v>
      </c>
    </row>
    <row r="13492" spans="1:5">
      <c r="A13492" t="s">
        <v>15579</v>
      </c>
      <c r="B13492" t="s">
        <v>15582</v>
      </c>
      <c r="C13492">
        <f>0</f>
        <v>0</v>
      </c>
      <c r="D13492">
        <v>0.66010609391999997</v>
      </c>
      <c r="E13492">
        <v>8.0119940029985006</v>
      </c>
    </row>
    <row r="13493" spans="1:5">
      <c r="A13493" t="s">
        <v>15579</v>
      </c>
      <c r="B13493" t="s">
        <v>15583</v>
      </c>
      <c r="C13493">
        <f>0</f>
        <v>0</v>
      </c>
      <c r="D13493">
        <v>0.66010609391999997</v>
      </c>
      <c r="E13493">
        <v>8.0119940029985006</v>
      </c>
    </row>
    <row r="13494" spans="1:5">
      <c r="A13494" t="s">
        <v>15579</v>
      </c>
      <c r="B13494" t="s">
        <v>15584</v>
      </c>
      <c r="C13494">
        <f>0</f>
        <v>0</v>
      </c>
      <c r="D13494">
        <v>0.66010609391999997</v>
      </c>
      <c r="E13494">
        <v>8.0119940029985006</v>
      </c>
    </row>
    <row r="13495" spans="1:5">
      <c r="A13495" t="s">
        <v>15585</v>
      </c>
      <c r="B13495" t="s">
        <v>15586</v>
      </c>
      <c r="C13495">
        <v>0.229955457468</v>
      </c>
      <c r="D13495">
        <v>0.99811778894400005</v>
      </c>
      <c r="E13495">
        <v>3.40629685157421</v>
      </c>
    </row>
    <row r="13496" spans="1:5">
      <c r="A13496" t="s">
        <v>15585</v>
      </c>
      <c r="B13496" t="s">
        <v>15587</v>
      </c>
      <c r="C13496">
        <v>0</v>
      </c>
      <c r="D13496">
        <v>0.99811778894400005</v>
      </c>
      <c r="E13496">
        <v>3.40629685157421</v>
      </c>
    </row>
    <row r="13497" spans="1:5">
      <c r="A13497" t="s">
        <v>15588</v>
      </c>
      <c r="B13497" t="s">
        <v>15589</v>
      </c>
      <c r="C13497">
        <v>0</v>
      </c>
      <c r="D13497" t="s">
        <v>106</v>
      </c>
      <c r="E13497">
        <v>5.9970014992503699E-2</v>
      </c>
    </row>
    <row r="13498" spans="1:5">
      <c r="A13498" t="s">
        <v>15588</v>
      </c>
      <c r="B13498" t="s">
        <v>15590</v>
      </c>
      <c r="C13498">
        <v>0</v>
      </c>
      <c r="D13498" t="s">
        <v>106</v>
      </c>
      <c r="E13498">
        <v>5.9970014992503699E-2</v>
      </c>
    </row>
    <row r="13499" spans="1:5">
      <c r="A13499" t="s">
        <v>15588</v>
      </c>
      <c r="B13499" t="s">
        <v>15591</v>
      </c>
      <c r="C13499">
        <f>0</f>
        <v>0</v>
      </c>
      <c r="D13499" t="s">
        <v>106</v>
      </c>
      <c r="E13499">
        <v>5.9970014992503699E-2</v>
      </c>
    </row>
    <row r="13500" spans="1:5">
      <c r="A13500" t="s">
        <v>15592</v>
      </c>
      <c r="B13500" t="s">
        <v>15593</v>
      </c>
      <c r="C13500">
        <v>0</v>
      </c>
      <c r="D13500" t="s">
        <v>106</v>
      </c>
      <c r="E13500">
        <v>24</v>
      </c>
    </row>
    <row r="13501" spans="1:5">
      <c r="A13501" t="s">
        <v>15592</v>
      </c>
      <c r="B13501" t="s">
        <v>15594</v>
      </c>
      <c r="C13501">
        <v>0</v>
      </c>
      <c r="D13501" t="s">
        <v>106</v>
      </c>
      <c r="E13501">
        <v>24</v>
      </c>
    </row>
    <row r="13502" spans="1:5">
      <c r="A13502" t="s">
        <v>15592</v>
      </c>
      <c r="B13502" t="s">
        <v>15595</v>
      </c>
      <c r="C13502">
        <v>0</v>
      </c>
      <c r="D13502" t="s">
        <v>106</v>
      </c>
      <c r="E13502">
        <v>24</v>
      </c>
    </row>
    <row r="13503" spans="1:5">
      <c r="A13503" t="s">
        <v>15592</v>
      </c>
      <c r="B13503" t="s">
        <v>15596</v>
      </c>
      <c r="C13503">
        <v>0.126939426455</v>
      </c>
      <c r="D13503" t="s">
        <v>106</v>
      </c>
      <c r="E13503">
        <v>24</v>
      </c>
    </row>
    <row r="13504" spans="1:5">
      <c r="A13504" t="s">
        <v>15592</v>
      </c>
      <c r="B13504" t="s">
        <v>15597</v>
      </c>
      <c r="C13504">
        <v>0</v>
      </c>
      <c r="D13504" t="s">
        <v>106</v>
      </c>
      <c r="E13504">
        <v>24</v>
      </c>
    </row>
    <row r="13505" spans="1:5">
      <c r="A13505" t="s">
        <v>15592</v>
      </c>
      <c r="B13505" t="s">
        <v>15598</v>
      </c>
      <c r="C13505">
        <v>0</v>
      </c>
      <c r="D13505" t="s">
        <v>106</v>
      </c>
      <c r="E13505">
        <v>24</v>
      </c>
    </row>
    <row r="13506" spans="1:5">
      <c r="A13506" t="s">
        <v>15592</v>
      </c>
      <c r="B13506" t="s">
        <v>15599</v>
      </c>
      <c r="C13506">
        <v>0</v>
      </c>
      <c r="D13506" t="s">
        <v>106</v>
      </c>
      <c r="E13506">
        <v>24</v>
      </c>
    </row>
    <row r="13507" spans="1:5">
      <c r="A13507" t="s">
        <v>15592</v>
      </c>
      <c r="B13507" t="s">
        <v>15600</v>
      </c>
      <c r="C13507">
        <v>0</v>
      </c>
      <c r="D13507" t="s">
        <v>106</v>
      </c>
      <c r="E13507">
        <v>24</v>
      </c>
    </row>
    <row r="13508" spans="1:5">
      <c r="A13508" t="s">
        <v>15592</v>
      </c>
      <c r="B13508" t="s">
        <v>15601</v>
      </c>
      <c r="C13508">
        <v>5.2348675105599998E-2</v>
      </c>
      <c r="D13508" t="s">
        <v>106</v>
      </c>
      <c r="E13508">
        <v>24</v>
      </c>
    </row>
    <row r="13509" spans="1:5">
      <c r="A13509" t="s">
        <v>15592</v>
      </c>
      <c r="B13509" t="s">
        <v>15602</v>
      </c>
      <c r="C13509">
        <v>0</v>
      </c>
      <c r="D13509" t="s">
        <v>106</v>
      </c>
      <c r="E13509">
        <v>24</v>
      </c>
    </row>
    <row r="13510" spans="1:5">
      <c r="A13510" t="s">
        <v>15592</v>
      </c>
      <c r="B13510" t="s">
        <v>15603</v>
      </c>
      <c r="C13510">
        <v>0</v>
      </c>
      <c r="D13510" t="s">
        <v>106</v>
      </c>
      <c r="E13510">
        <v>24</v>
      </c>
    </row>
    <row r="13511" spans="1:5">
      <c r="A13511" t="s">
        <v>15604</v>
      </c>
      <c r="B13511" t="s">
        <v>15605</v>
      </c>
      <c r="C13511">
        <v>0</v>
      </c>
      <c r="D13511">
        <v>0.87902517778199996</v>
      </c>
      <c r="E13511">
        <v>1.7631184407796101</v>
      </c>
    </row>
    <row r="13512" spans="1:5">
      <c r="A13512" t="s">
        <v>15604</v>
      </c>
      <c r="B13512" t="s">
        <v>15606</v>
      </c>
      <c r="C13512">
        <v>0</v>
      </c>
      <c r="D13512">
        <v>0.87902517778199996</v>
      </c>
      <c r="E13512">
        <v>1.7631184407796101</v>
      </c>
    </row>
    <row r="13513" spans="1:5">
      <c r="A13513" t="s">
        <v>15604</v>
      </c>
      <c r="B13513" t="s">
        <v>15607</v>
      </c>
      <c r="C13513">
        <v>0</v>
      </c>
      <c r="D13513">
        <v>0.87902517778199996</v>
      </c>
      <c r="E13513">
        <v>1.7631184407796101</v>
      </c>
    </row>
    <row r="13514" spans="1:5">
      <c r="A13514" t="s">
        <v>15604</v>
      </c>
      <c r="B13514" t="s">
        <v>15608</v>
      </c>
      <c r="C13514">
        <f>0</f>
        <v>0</v>
      </c>
      <c r="D13514">
        <v>0.87902517778199996</v>
      </c>
      <c r="E13514">
        <v>1.7631184407796101</v>
      </c>
    </row>
    <row r="13515" spans="1:5">
      <c r="A13515" t="s">
        <v>15604</v>
      </c>
      <c r="B13515" t="s">
        <v>15609</v>
      </c>
      <c r="C13515">
        <f>0</f>
        <v>0</v>
      </c>
      <c r="D13515">
        <v>0.87902517778199996</v>
      </c>
      <c r="E13515">
        <v>1.7631184407796101</v>
      </c>
    </row>
    <row r="13516" spans="1:5">
      <c r="A13516" t="s">
        <v>15604</v>
      </c>
      <c r="B13516" t="s">
        <v>15610</v>
      </c>
      <c r="C13516">
        <v>0</v>
      </c>
      <c r="D13516">
        <v>0.87902517778199996</v>
      </c>
      <c r="E13516">
        <v>1.7631184407796101</v>
      </c>
    </row>
    <row r="13517" spans="1:5">
      <c r="A13517" t="s">
        <v>15604</v>
      </c>
      <c r="B13517" t="s">
        <v>15611</v>
      </c>
      <c r="C13517">
        <f>0</f>
        <v>0</v>
      </c>
      <c r="D13517">
        <v>0.87902517778199996</v>
      </c>
      <c r="E13517">
        <v>1.7631184407796101</v>
      </c>
    </row>
    <row r="13518" spans="1:5">
      <c r="A13518" t="s">
        <v>15604</v>
      </c>
      <c r="B13518" t="s">
        <v>15612</v>
      </c>
      <c r="C13518">
        <v>0</v>
      </c>
      <c r="D13518">
        <v>0.87902517778199996</v>
      </c>
      <c r="E13518">
        <v>1.7631184407796101</v>
      </c>
    </row>
    <row r="13519" spans="1:5">
      <c r="A13519" t="s">
        <v>15604</v>
      </c>
      <c r="B13519" t="s">
        <v>15613</v>
      </c>
      <c r="C13519">
        <v>0</v>
      </c>
      <c r="D13519">
        <v>0.87902517778199996</v>
      </c>
      <c r="E13519">
        <v>1.7631184407796101</v>
      </c>
    </row>
    <row r="13520" spans="1:5">
      <c r="A13520" t="s">
        <v>15604</v>
      </c>
      <c r="B13520" t="s">
        <v>15614</v>
      </c>
      <c r="C13520">
        <v>0</v>
      </c>
      <c r="D13520">
        <v>0.87902517778199996</v>
      </c>
      <c r="E13520">
        <v>1.7631184407796101</v>
      </c>
    </row>
    <row r="13521" spans="1:5">
      <c r="A13521" t="s">
        <v>15604</v>
      </c>
      <c r="B13521" t="s">
        <v>15615</v>
      </c>
      <c r="C13521">
        <v>0</v>
      </c>
      <c r="D13521">
        <v>0.87902517778199996</v>
      </c>
      <c r="E13521">
        <v>1.7631184407796101</v>
      </c>
    </row>
    <row r="13522" spans="1:5">
      <c r="A13522" t="s">
        <v>15604</v>
      </c>
      <c r="B13522" t="s">
        <v>15616</v>
      </c>
      <c r="C13522">
        <f>0</f>
        <v>0</v>
      </c>
      <c r="D13522">
        <v>0.87902517778199996</v>
      </c>
      <c r="E13522">
        <v>1.7631184407796101</v>
      </c>
    </row>
    <row r="13523" spans="1:5">
      <c r="A13523" t="s">
        <v>15604</v>
      </c>
      <c r="B13523" t="s">
        <v>15617</v>
      </c>
      <c r="C13523">
        <v>0.11357517651</v>
      </c>
      <c r="D13523">
        <v>0.87902517778199996</v>
      </c>
      <c r="E13523">
        <v>1.7631184407796101</v>
      </c>
    </row>
    <row r="13524" spans="1:5">
      <c r="A13524" t="s">
        <v>15604</v>
      </c>
      <c r="B13524" t="s">
        <v>15618</v>
      </c>
      <c r="C13524">
        <v>0</v>
      </c>
      <c r="D13524">
        <v>0.87902517778199996</v>
      </c>
      <c r="E13524">
        <v>1.7631184407796101</v>
      </c>
    </row>
    <row r="13525" spans="1:5">
      <c r="A13525" t="s">
        <v>15604</v>
      </c>
      <c r="B13525" t="s">
        <v>15619</v>
      </c>
      <c r="C13525">
        <v>0</v>
      </c>
      <c r="D13525">
        <v>0.87902517778199996</v>
      </c>
      <c r="E13525">
        <v>1.7631184407796101</v>
      </c>
    </row>
    <row r="13526" spans="1:5">
      <c r="A13526" t="s">
        <v>15604</v>
      </c>
      <c r="B13526" t="s">
        <v>15620</v>
      </c>
      <c r="C13526">
        <v>0</v>
      </c>
      <c r="D13526">
        <v>0.87902517778199996</v>
      </c>
      <c r="E13526">
        <v>1.7631184407796101</v>
      </c>
    </row>
    <row r="13527" spans="1:5">
      <c r="A13527" t="s">
        <v>15604</v>
      </c>
      <c r="B13527" t="s">
        <v>15621</v>
      </c>
      <c r="C13527">
        <v>0</v>
      </c>
      <c r="D13527">
        <v>0.87902517778199996</v>
      </c>
      <c r="E13527">
        <v>1.7631184407796101</v>
      </c>
    </row>
    <row r="13528" spans="1:5">
      <c r="A13528" t="s">
        <v>15604</v>
      </c>
      <c r="B13528" t="s">
        <v>15622</v>
      </c>
      <c r="C13528">
        <f>0</f>
        <v>0</v>
      </c>
      <c r="D13528">
        <v>0.87902517778199996</v>
      </c>
      <c r="E13528">
        <v>1.7631184407796101</v>
      </c>
    </row>
    <row r="13529" spans="1:5">
      <c r="A13529" t="s">
        <v>15623</v>
      </c>
      <c r="B13529" t="s">
        <v>15624</v>
      </c>
      <c r="C13529">
        <v>0.57918942316499999</v>
      </c>
      <c r="D13529">
        <v>0.89281961932300002</v>
      </c>
      <c r="E13529">
        <v>5.3493253373313303</v>
      </c>
    </row>
    <row r="13530" spans="1:5">
      <c r="A13530" t="s">
        <v>15623</v>
      </c>
      <c r="B13530" t="s">
        <v>15625</v>
      </c>
      <c r="C13530">
        <v>0</v>
      </c>
      <c r="D13530">
        <v>0.89281961932300002</v>
      </c>
      <c r="E13530">
        <v>5.3493253373313303</v>
      </c>
    </row>
    <row r="13531" spans="1:5">
      <c r="A13531" t="s">
        <v>15623</v>
      </c>
      <c r="B13531" t="s">
        <v>15626</v>
      </c>
      <c r="C13531">
        <v>0</v>
      </c>
      <c r="D13531">
        <v>0.89281961932300002</v>
      </c>
      <c r="E13531">
        <v>5.3493253373313303</v>
      </c>
    </row>
    <row r="13532" spans="1:5">
      <c r="A13532" t="s">
        <v>15623</v>
      </c>
      <c r="B13532" t="s">
        <v>15627</v>
      </c>
      <c r="C13532">
        <v>0</v>
      </c>
      <c r="D13532">
        <v>0.89281961932300002</v>
      </c>
      <c r="E13532">
        <v>5.3493253373313303</v>
      </c>
    </row>
    <row r="13533" spans="1:5">
      <c r="A13533" t="s">
        <v>15623</v>
      </c>
      <c r="B13533" t="s">
        <v>15628</v>
      </c>
      <c r="C13533">
        <f>0</f>
        <v>0</v>
      </c>
      <c r="D13533">
        <v>0.89281961932300002</v>
      </c>
      <c r="E13533">
        <v>5.3493253373313303</v>
      </c>
    </row>
    <row r="13534" spans="1:5">
      <c r="A13534" t="s">
        <v>15629</v>
      </c>
      <c r="B13534" t="s">
        <v>15630</v>
      </c>
      <c r="C13534">
        <v>0</v>
      </c>
      <c r="D13534">
        <v>0.96091228633400005</v>
      </c>
      <c r="E13534">
        <v>5.1214392803598203</v>
      </c>
    </row>
    <row r="13535" spans="1:5">
      <c r="A13535" t="s">
        <v>15629</v>
      </c>
      <c r="B13535" t="s">
        <v>15631</v>
      </c>
      <c r="C13535">
        <v>0</v>
      </c>
      <c r="D13535">
        <v>0.96091228633400005</v>
      </c>
      <c r="E13535">
        <v>5.1214392803598203</v>
      </c>
    </row>
    <row r="13536" spans="1:5">
      <c r="A13536" t="s">
        <v>15629</v>
      </c>
      <c r="B13536" t="s">
        <v>15632</v>
      </c>
      <c r="C13536">
        <f>0.0244942666506</f>
        <v>2.4494266650600002E-2</v>
      </c>
      <c r="D13536">
        <v>0.96091228633400005</v>
      </c>
      <c r="E13536">
        <v>5.1214392803598203</v>
      </c>
    </row>
    <row r="13537" spans="1:5">
      <c r="A13537" t="s">
        <v>15629</v>
      </c>
      <c r="B13537" t="s">
        <v>15633</v>
      </c>
      <c r="C13537">
        <f>0.00571152257994</f>
        <v>5.7115225799399998E-3</v>
      </c>
      <c r="D13537">
        <v>0.96091228633400005</v>
      </c>
      <c r="E13537">
        <v>5.1214392803598203</v>
      </c>
    </row>
    <row r="13538" spans="1:5">
      <c r="A13538" t="s">
        <v>15634</v>
      </c>
      <c r="B13538" t="s">
        <v>15635</v>
      </c>
      <c r="C13538">
        <v>0.472917525369</v>
      </c>
      <c r="D13538">
        <v>0.97935475617300005</v>
      </c>
      <c r="E13538">
        <v>11.0344827586206</v>
      </c>
    </row>
    <row r="13539" spans="1:5">
      <c r="A13539" t="s">
        <v>15634</v>
      </c>
      <c r="B13539" t="s">
        <v>15636</v>
      </c>
      <c r="C13539">
        <f>0</f>
        <v>0</v>
      </c>
      <c r="D13539">
        <v>0.97935475617300005</v>
      </c>
      <c r="E13539">
        <v>11.0344827586206</v>
      </c>
    </row>
    <row r="13540" spans="1:5">
      <c r="A13540" t="s">
        <v>15634</v>
      </c>
      <c r="B13540" t="s">
        <v>15637</v>
      </c>
      <c r="C13540">
        <v>0</v>
      </c>
      <c r="D13540">
        <v>0.97935475617300005</v>
      </c>
      <c r="E13540">
        <v>11.0344827586206</v>
      </c>
    </row>
    <row r="13541" spans="1:5">
      <c r="A13541" t="s">
        <v>15634</v>
      </c>
      <c r="B13541" t="s">
        <v>15638</v>
      </c>
      <c r="C13541">
        <v>0</v>
      </c>
      <c r="D13541">
        <v>0.97935475617300005</v>
      </c>
      <c r="E13541">
        <v>11.0344827586206</v>
      </c>
    </row>
    <row r="13542" spans="1:5">
      <c r="A13542" t="s">
        <v>15634</v>
      </c>
      <c r="B13542" t="s">
        <v>15639</v>
      </c>
      <c r="C13542">
        <v>0</v>
      </c>
      <c r="D13542">
        <v>0.97935475617300005</v>
      </c>
      <c r="E13542">
        <v>11.0344827586206</v>
      </c>
    </row>
    <row r="13543" spans="1:5">
      <c r="A13543" t="s">
        <v>15634</v>
      </c>
      <c r="B13543" t="s">
        <v>15640</v>
      </c>
      <c r="C13543">
        <v>0</v>
      </c>
      <c r="D13543">
        <v>0.97935475617300005</v>
      </c>
      <c r="E13543">
        <v>11.0344827586206</v>
      </c>
    </row>
    <row r="13544" spans="1:5">
      <c r="A13544" t="s">
        <v>15641</v>
      </c>
      <c r="B13544" t="s">
        <v>15642</v>
      </c>
      <c r="C13544">
        <v>0</v>
      </c>
      <c r="D13544">
        <v>0.946161770653</v>
      </c>
      <c r="E13544">
        <v>10.398800599700101</v>
      </c>
    </row>
    <row r="13545" spans="1:5">
      <c r="A13545" t="s">
        <v>15641</v>
      </c>
      <c r="B13545" t="s">
        <v>15643</v>
      </c>
      <c r="C13545">
        <v>3.0812284226099999E-2</v>
      </c>
      <c r="D13545">
        <v>0.946161770653</v>
      </c>
      <c r="E13545">
        <v>10.398800599700101</v>
      </c>
    </row>
    <row r="13546" spans="1:5">
      <c r="A13546" t="s">
        <v>15641</v>
      </c>
      <c r="B13546" t="s">
        <v>15644</v>
      </c>
      <c r="C13546">
        <f>0</f>
        <v>0</v>
      </c>
      <c r="D13546">
        <v>0.946161770653</v>
      </c>
      <c r="E13546">
        <v>10.398800599700101</v>
      </c>
    </row>
    <row r="13547" spans="1:5">
      <c r="A13547" t="s">
        <v>15641</v>
      </c>
      <c r="B13547" t="s">
        <v>15645</v>
      </c>
      <c r="C13547">
        <v>0</v>
      </c>
      <c r="D13547">
        <v>0.946161770653</v>
      </c>
      <c r="E13547">
        <v>10.398800599700101</v>
      </c>
    </row>
    <row r="13548" spans="1:5">
      <c r="A13548" t="s">
        <v>15641</v>
      </c>
      <c r="B13548" t="s">
        <v>15646</v>
      </c>
      <c r="C13548">
        <v>0.33785757001099997</v>
      </c>
      <c r="D13548">
        <v>0.946161770653</v>
      </c>
      <c r="E13548">
        <v>10.398800599700101</v>
      </c>
    </row>
    <row r="13549" spans="1:5">
      <c r="A13549" t="s">
        <v>15647</v>
      </c>
      <c r="B13549" t="s">
        <v>15648</v>
      </c>
      <c r="C13549">
        <f>0</f>
        <v>0</v>
      </c>
      <c r="D13549" t="s">
        <v>106</v>
      </c>
      <c r="E13549">
        <v>3.5862068965517202</v>
      </c>
    </row>
    <row r="13550" spans="1:5">
      <c r="A13550" t="s">
        <v>15647</v>
      </c>
      <c r="B13550" t="s">
        <v>15649</v>
      </c>
      <c r="C13550">
        <v>0</v>
      </c>
      <c r="D13550" t="s">
        <v>106</v>
      </c>
      <c r="E13550">
        <v>3.5862068965517202</v>
      </c>
    </row>
    <row r="13551" spans="1:5">
      <c r="A13551" t="s">
        <v>15647</v>
      </c>
      <c r="B13551" t="s">
        <v>15650</v>
      </c>
      <c r="C13551">
        <f>0</f>
        <v>0</v>
      </c>
      <c r="D13551" t="s">
        <v>106</v>
      </c>
      <c r="E13551">
        <v>3.5862068965517202</v>
      </c>
    </row>
    <row r="13552" spans="1:5">
      <c r="A13552" t="s">
        <v>15647</v>
      </c>
      <c r="B13552" t="s">
        <v>15651</v>
      </c>
      <c r="C13552">
        <v>0</v>
      </c>
      <c r="D13552" t="s">
        <v>106</v>
      </c>
      <c r="E13552">
        <v>3.5862068965517202</v>
      </c>
    </row>
    <row r="13553" spans="1:5">
      <c r="A13553" t="s">
        <v>15647</v>
      </c>
      <c r="B13553" t="s">
        <v>15652</v>
      </c>
      <c r="C13553">
        <v>0</v>
      </c>
      <c r="D13553" t="s">
        <v>106</v>
      </c>
      <c r="E13553">
        <v>3.5862068965517202</v>
      </c>
    </row>
    <row r="13554" spans="1:5">
      <c r="A13554" t="s">
        <v>15647</v>
      </c>
      <c r="B13554" t="s">
        <v>15653</v>
      </c>
      <c r="C13554">
        <f>0</f>
        <v>0</v>
      </c>
      <c r="D13554" t="s">
        <v>106</v>
      </c>
      <c r="E13554">
        <v>3.5862068965517202</v>
      </c>
    </row>
    <row r="13555" spans="1:5">
      <c r="A13555" t="s">
        <v>15654</v>
      </c>
      <c r="B13555" t="s">
        <v>15655</v>
      </c>
      <c r="C13555">
        <v>0.183189346324</v>
      </c>
      <c r="D13555">
        <v>0.87804019817599999</v>
      </c>
      <c r="E13555">
        <v>10.0749625187406</v>
      </c>
    </row>
    <row r="13556" spans="1:5">
      <c r="A13556" t="s">
        <v>15654</v>
      </c>
      <c r="B13556" t="s">
        <v>15656</v>
      </c>
      <c r="C13556">
        <f>0</f>
        <v>0</v>
      </c>
      <c r="D13556">
        <v>0.87804019817599999</v>
      </c>
      <c r="E13556">
        <v>10.0749625187406</v>
      </c>
    </row>
    <row r="13557" spans="1:5">
      <c r="A13557" t="s">
        <v>15657</v>
      </c>
      <c r="B13557" t="s">
        <v>15658</v>
      </c>
      <c r="C13557">
        <f>0</f>
        <v>0</v>
      </c>
      <c r="D13557" t="s">
        <v>106</v>
      </c>
      <c r="E13557">
        <v>1.39130434782608</v>
      </c>
    </row>
    <row r="13558" spans="1:5">
      <c r="A13558" t="s">
        <v>15657</v>
      </c>
      <c r="B13558" t="s">
        <v>15659</v>
      </c>
      <c r="C13558">
        <f>0</f>
        <v>0</v>
      </c>
      <c r="D13558" t="s">
        <v>106</v>
      </c>
      <c r="E13558">
        <v>1.39130434782608</v>
      </c>
    </row>
    <row r="13559" spans="1:5">
      <c r="A13559" t="s">
        <v>15657</v>
      </c>
      <c r="B13559" t="s">
        <v>15660</v>
      </c>
      <c r="C13559">
        <f>0</f>
        <v>0</v>
      </c>
      <c r="D13559" t="s">
        <v>106</v>
      </c>
      <c r="E13559">
        <v>1.39130434782608</v>
      </c>
    </row>
    <row r="13560" spans="1:5">
      <c r="A13560" t="s">
        <v>15657</v>
      </c>
      <c r="B13560" t="s">
        <v>15661</v>
      </c>
      <c r="C13560">
        <v>0</v>
      </c>
      <c r="D13560" t="s">
        <v>106</v>
      </c>
      <c r="E13560">
        <v>1.39130434782608</v>
      </c>
    </row>
    <row r="13561" spans="1:5">
      <c r="A13561" t="s">
        <v>15657</v>
      </c>
      <c r="B13561" t="s">
        <v>15662</v>
      </c>
      <c r="C13561">
        <v>0</v>
      </c>
      <c r="D13561" t="s">
        <v>106</v>
      </c>
      <c r="E13561">
        <v>1.39130434782608</v>
      </c>
    </row>
    <row r="13562" spans="1:5">
      <c r="A13562" t="s">
        <v>15657</v>
      </c>
      <c r="B13562" t="s">
        <v>15663</v>
      </c>
      <c r="C13562">
        <v>0</v>
      </c>
      <c r="D13562" t="s">
        <v>106</v>
      </c>
      <c r="E13562">
        <v>1.39130434782608</v>
      </c>
    </row>
    <row r="13563" spans="1:5">
      <c r="A13563" t="s">
        <v>15657</v>
      </c>
      <c r="B13563" t="s">
        <v>15664</v>
      </c>
      <c r="C13563">
        <f>0</f>
        <v>0</v>
      </c>
      <c r="D13563" t="s">
        <v>106</v>
      </c>
      <c r="E13563">
        <v>1.39130434782608</v>
      </c>
    </row>
    <row r="13564" spans="1:5">
      <c r="A13564" t="s">
        <v>15665</v>
      </c>
      <c r="B13564" t="s">
        <v>15666</v>
      </c>
      <c r="C13564">
        <v>0.28801339174700002</v>
      </c>
      <c r="D13564">
        <v>0.96552822736199995</v>
      </c>
      <c r="E13564">
        <v>0.57571214392803505</v>
      </c>
    </row>
    <row r="13565" spans="1:5">
      <c r="A13565" t="s">
        <v>15665</v>
      </c>
      <c r="B13565" t="s">
        <v>15667</v>
      </c>
      <c r="C13565">
        <f>0.638825240285</f>
        <v>0.63882524028499998</v>
      </c>
      <c r="D13565">
        <v>0.96552822736199995</v>
      </c>
      <c r="E13565">
        <v>0.57571214392803505</v>
      </c>
    </row>
    <row r="13566" spans="1:5">
      <c r="A13566" t="s">
        <v>15668</v>
      </c>
      <c r="B13566" t="s">
        <v>15669</v>
      </c>
      <c r="C13566">
        <f>0</f>
        <v>0</v>
      </c>
      <c r="D13566">
        <v>0.65385722112300004</v>
      </c>
      <c r="E13566">
        <v>0.86356821589205401</v>
      </c>
    </row>
    <row r="13567" spans="1:5">
      <c r="A13567" t="s">
        <v>15668</v>
      </c>
      <c r="B13567" t="s">
        <v>15670</v>
      </c>
      <c r="C13567">
        <f>0</f>
        <v>0</v>
      </c>
      <c r="D13567">
        <v>0.65385722112300004</v>
      </c>
      <c r="E13567">
        <v>0.86356821589205401</v>
      </c>
    </row>
    <row r="13568" spans="1:5">
      <c r="A13568" t="s">
        <v>15668</v>
      </c>
      <c r="B13568" t="s">
        <v>15671</v>
      </c>
      <c r="C13568">
        <v>0.141914847752</v>
      </c>
      <c r="D13568">
        <v>0.65385722112300004</v>
      </c>
      <c r="E13568">
        <v>0.86356821589205401</v>
      </c>
    </row>
    <row r="13569" spans="1:5">
      <c r="A13569" t="s">
        <v>15668</v>
      </c>
      <c r="B13569" t="s">
        <v>15672</v>
      </c>
      <c r="C13569">
        <f>0</f>
        <v>0</v>
      </c>
      <c r="D13569">
        <v>0.65385722112300004</v>
      </c>
      <c r="E13569">
        <v>0.86356821589205401</v>
      </c>
    </row>
    <row r="13570" spans="1:5">
      <c r="A13570" t="s">
        <v>15673</v>
      </c>
      <c r="B13570" t="s">
        <v>15674</v>
      </c>
      <c r="C13570">
        <v>0.151982148953</v>
      </c>
      <c r="D13570" t="s">
        <v>106</v>
      </c>
      <c r="E13570">
        <v>5.2413793103448203</v>
      </c>
    </row>
    <row r="13571" spans="1:5">
      <c r="A13571" t="s">
        <v>15673</v>
      </c>
      <c r="B13571" t="s">
        <v>15675</v>
      </c>
      <c r="C13571">
        <v>1.8013687605600001E-2</v>
      </c>
      <c r="D13571" t="s">
        <v>106</v>
      </c>
      <c r="E13571">
        <v>5.2413793103448203</v>
      </c>
    </row>
    <row r="13572" spans="1:5">
      <c r="A13572" t="s">
        <v>15676</v>
      </c>
      <c r="B13572" t="s">
        <v>15677</v>
      </c>
      <c r="C13572">
        <v>0</v>
      </c>
      <c r="D13572" t="s">
        <v>106</v>
      </c>
      <c r="E13572">
        <v>14.3688155922038</v>
      </c>
    </row>
    <row r="13573" spans="1:5">
      <c r="A13573" t="s">
        <v>15678</v>
      </c>
      <c r="B13573" t="s">
        <v>15679</v>
      </c>
      <c r="C13573">
        <f>0.0590253462761</f>
        <v>5.9025346276100003E-2</v>
      </c>
      <c r="D13573">
        <v>0.88452866595699997</v>
      </c>
      <c r="E13573">
        <v>9.6191904047975996</v>
      </c>
    </row>
    <row r="13574" spans="1:5">
      <c r="A13574" t="s">
        <v>15678</v>
      </c>
      <c r="B13574" t="s">
        <v>15680</v>
      </c>
      <c r="C13574">
        <v>0</v>
      </c>
      <c r="D13574">
        <v>0.88452866595699997</v>
      </c>
      <c r="E13574">
        <v>9.6191904047975996</v>
      </c>
    </row>
    <row r="13575" spans="1:5">
      <c r="A13575" t="s">
        <v>15678</v>
      </c>
      <c r="B13575" t="s">
        <v>15681</v>
      </c>
      <c r="C13575">
        <f>0</f>
        <v>0</v>
      </c>
      <c r="D13575">
        <v>0.88452866595699997</v>
      </c>
      <c r="E13575">
        <v>9.6191904047975996</v>
      </c>
    </row>
    <row r="13576" spans="1:5">
      <c r="A13576" t="s">
        <v>15678</v>
      </c>
      <c r="B13576" t="s">
        <v>15682</v>
      </c>
      <c r="C13576">
        <v>0</v>
      </c>
      <c r="D13576">
        <v>0.88452866595699997</v>
      </c>
      <c r="E13576">
        <v>9.6191904047975996</v>
      </c>
    </row>
    <row r="13577" spans="1:5">
      <c r="A13577" t="s">
        <v>15678</v>
      </c>
      <c r="B13577" t="s">
        <v>15683</v>
      </c>
      <c r="C13577">
        <v>0</v>
      </c>
      <c r="D13577">
        <v>0.88452866595699997</v>
      </c>
      <c r="E13577">
        <v>9.6191904047975996</v>
      </c>
    </row>
    <row r="13578" spans="1:5">
      <c r="A13578" t="s">
        <v>15678</v>
      </c>
      <c r="B13578" t="s">
        <v>15684</v>
      </c>
      <c r="C13578">
        <v>0</v>
      </c>
      <c r="D13578">
        <v>0.88452866595699997</v>
      </c>
      <c r="E13578">
        <v>9.6191904047975996</v>
      </c>
    </row>
    <row r="13579" spans="1:5">
      <c r="A13579" t="s">
        <v>15678</v>
      </c>
      <c r="B13579" t="s">
        <v>15685</v>
      </c>
      <c r="C13579">
        <v>0</v>
      </c>
      <c r="D13579">
        <v>0.88452866595699997</v>
      </c>
      <c r="E13579">
        <v>9.6191904047975996</v>
      </c>
    </row>
    <row r="13580" spans="1:5">
      <c r="A13580" t="s">
        <v>15678</v>
      </c>
      <c r="B13580" t="s">
        <v>15686</v>
      </c>
      <c r="C13580">
        <v>0</v>
      </c>
      <c r="D13580">
        <v>0.88452866595699997</v>
      </c>
      <c r="E13580">
        <v>9.6191904047975996</v>
      </c>
    </row>
    <row r="13581" spans="1:5">
      <c r="A13581" t="s">
        <v>15678</v>
      </c>
      <c r="B13581" t="s">
        <v>15687</v>
      </c>
      <c r="C13581">
        <v>0</v>
      </c>
      <c r="D13581">
        <v>0.88452866595699997</v>
      </c>
      <c r="E13581">
        <v>9.6191904047975996</v>
      </c>
    </row>
    <row r="13582" spans="1:5">
      <c r="A13582" t="s">
        <v>15678</v>
      </c>
      <c r="B13582" t="s">
        <v>15688</v>
      </c>
      <c r="C13582">
        <v>0</v>
      </c>
      <c r="D13582">
        <v>0.88452866595699997</v>
      </c>
      <c r="E13582">
        <v>9.6191904047975996</v>
      </c>
    </row>
    <row r="13583" spans="1:5">
      <c r="A13583" t="s">
        <v>15678</v>
      </c>
      <c r="B13583" t="s">
        <v>15689</v>
      </c>
      <c r="C13583">
        <f>0.000910294361297</f>
        <v>9.1029436129699999E-4</v>
      </c>
      <c r="D13583">
        <v>0.88452866595699997</v>
      </c>
      <c r="E13583">
        <v>9.6191904047975996</v>
      </c>
    </row>
    <row r="13584" spans="1:5">
      <c r="A13584" t="s">
        <v>15678</v>
      </c>
      <c r="B13584" t="s">
        <v>15690</v>
      </c>
      <c r="C13584">
        <f>0</f>
        <v>0</v>
      </c>
      <c r="D13584">
        <v>0.88452866595699997</v>
      </c>
      <c r="E13584">
        <v>9.6191904047975996</v>
      </c>
    </row>
    <row r="13585" spans="1:5">
      <c r="A13585" t="s">
        <v>15678</v>
      </c>
      <c r="B13585" t="s">
        <v>15691</v>
      </c>
      <c r="C13585">
        <v>0</v>
      </c>
      <c r="D13585">
        <v>0.88452866595699997</v>
      </c>
      <c r="E13585">
        <v>9.6191904047975996</v>
      </c>
    </row>
    <row r="13586" spans="1:5">
      <c r="A13586" t="s">
        <v>15678</v>
      </c>
      <c r="B13586" t="s">
        <v>15692</v>
      </c>
      <c r="C13586">
        <f>0</f>
        <v>0</v>
      </c>
      <c r="D13586">
        <v>0.88452866595699997</v>
      </c>
      <c r="E13586">
        <v>9.6191904047975996</v>
      </c>
    </row>
    <row r="13587" spans="1:5">
      <c r="A13587" t="s">
        <v>15678</v>
      </c>
      <c r="B13587" t="s">
        <v>15693</v>
      </c>
      <c r="C13587">
        <f>0</f>
        <v>0</v>
      </c>
      <c r="D13587">
        <v>0.88452866595699997</v>
      </c>
      <c r="E13587">
        <v>9.6191904047975996</v>
      </c>
    </row>
    <row r="13588" spans="1:5">
      <c r="A13588" t="s">
        <v>15678</v>
      </c>
      <c r="B13588" t="s">
        <v>15694</v>
      </c>
      <c r="C13588">
        <f>0</f>
        <v>0</v>
      </c>
      <c r="D13588">
        <v>0.88452866595699997</v>
      </c>
      <c r="E13588">
        <v>9.6191904047975996</v>
      </c>
    </row>
    <row r="13589" spans="1:5">
      <c r="A13589" t="s">
        <v>15678</v>
      </c>
      <c r="B13589" t="s">
        <v>15695</v>
      </c>
      <c r="C13589">
        <f>0</f>
        <v>0</v>
      </c>
      <c r="D13589">
        <v>0.88452866595699997</v>
      </c>
      <c r="E13589">
        <v>9.6191904047975996</v>
      </c>
    </row>
    <row r="13590" spans="1:5">
      <c r="A13590" t="s">
        <v>15678</v>
      </c>
      <c r="B13590" t="s">
        <v>15696</v>
      </c>
      <c r="C13590">
        <f>0</f>
        <v>0</v>
      </c>
      <c r="D13590">
        <v>0.88452866595699997</v>
      </c>
      <c r="E13590">
        <v>9.6191904047975996</v>
      </c>
    </row>
    <row r="13591" spans="1:5">
      <c r="A13591" t="s">
        <v>15697</v>
      </c>
      <c r="B13591" t="s">
        <v>15698</v>
      </c>
      <c r="C13591">
        <v>0.103855246532</v>
      </c>
      <c r="D13591" t="s">
        <v>106</v>
      </c>
      <c r="E13591">
        <v>6.0569715142428704</v>
      </c>
    </row>
    <row r="13592" spans="1:5">
      <c r="A13592" t="s">
        <v>15699</v>
      </c>
      <c r="B13592" t="s">
        <v>15700</v>
      </c>
      <c r="C13592">
        <f>0</f>
        <v>0</v>
      </c>
      <c r="D13592" t="s">
        <v>106</v>
      </c>
      <c r="E13592">
        <v>4.4737631184407798</v>
      </c>
    </row>
    <row r="13593" spans="1:5">
      <c r="A13593" t="s">
        <v>15699</v>
      </c>
      <c r="B13593" t="s">
        <v>15701</v>
      </c>
      <c r="C13593">
        <f>0</f>
        <v>0</v>
      </c>
      <c r="D13593" t="s">
        <v>106</v>
      </c>
      <c r="E13593">
        <v>4.4737631184407798</v>
      </c>
    </row>
    <row r="13594" spans="1:5">
      <c r="A13594" t="s">
        <v>15699</v>
      </c>
      <c r="B13594" t="s">
        <v>15702</v>
      </c>
      <c r="C13594">
        <v>0.103427949639</v>
      </c>
      <c r="D13594" t="s">
        <v>106</v>
      </c>
      <c r="E13594">
        <v>4.4737631184407798</v>
      </c>
    </row>
    <row r="13595" spans="1:5">
      <c r="A13595" t="s">
        <v>15699</v>
      </c>
      <c r="B13595" t="s">
        <v>15703</v>
      </c>
      <c r="C13595">
        <v>0</v>
      </c>
      <c r="D13595" t="s">
        <v>106</v>
      </c>
      <c r="E13595">
        <v>4.4737631184407798</v>
      </c>
    </row>
    <row r="13596" spans="1:5">
      <c r="A13596" t="s">
        <v>15699</v>
      </c>
      <c r="B13596" t="s">
        <v>15704</v>
      </c>
      <c r="C13596">
        <v>0.172780726538</v>
      </c>
      <c r="D13596" t="s">
        <v>106</v>
      </c>
      <c r="E13596">
        <v>4.4737631184407798</v>
      </c>
    </row>
    <row r="13597" spans="1:5">
      <c r="A13597" t="s">
        <v>15699</v>
      </c>
      <c r="B13597" t="s">
        <v>15705</v>
      </c>
      <c r="C13597">
        <v>0</v>
      </c>
      <c r="D13597" t="s">
        <v>106</v>
      </c>
      <c r="E13597">
        <v>4.4737631184407798</v>
      </c>
    </row>
    <row r="13598" spans="1:5">
      <c r="A13598" t="s">
        <v>15699</v>
      </c>
      <c r="B13598" t="s">
        <v>15706</v>
      </c>
      <c r="C13598">
        <f>0</f>
        <v>0</v>
      </c>
      <c r="D13598" t="s">
        <v>106</v>
      </c>
      <c r="E13598">
        <v>4.4737631184407798</v>
      </c>
    </row>
    <row r="13599" spans="1:5">
      <c r="A13599" t="s">
        <v>15699</v>
      </c>
      <c r="B13599" t="s">
        <v>15707</v>
      </c>
      <c r="C13599">
        <f>0</f>
        <v>0</v>
      </c>
      <c r="D13599" t="s">
        <v>106</v>
      </c>
      <c r="E13599">
        <v>4.4737631184407798</v>
      </c>
    </row>
    <row r="13600" spans="1:5">
      <c r="A13600" t="s">
        <v>15699</v>
      </c>
      <c r="B13600" t="s">
        <v>15708</v>
      </c>
      <c r="C13600">
        <f>0</f>
        <v>0</v>
      </c>
      <c r="D13600" t="s">
        <v>106</v>
      </c>
      <c r="E13600">
        <v>4.4737631184407798</v>
      </c>
    </row>
    <row r="13601" spans="1:5">
      <c r="A13601" t="s">
        <v>15699</v>
      </c>
      <c r="B13601" t="s">
        <v>15709</v>
      </c>
      <c r="C13601">
        <v>0</v>
      </c>
      <c r="D13601" t="s">
        <v>106</v>
      </c>
      <c r="E13601">
        <v>4.4737631184407798</v>
      </c>
    </row>
    <row r="13602" spans="1:5">
      <c r="A13602" t="s">
        <v>15699</v>
      </c>
      <c r="B13602" t="s">
        <v>15710</v>
      </c>
      <c r="C13602">
        <v>0</v>
      </c>
      <c r="D13602" t="s">
        <v>106</v>
      </c>
      <c r="E13602">
        <v>4.4737631184407798</v>
      </c>
    </row>
    <row r="13603" spans="1:5">
      <c r="A13603" t="s">
        <v>15699</v>
      </c>
      <c r="B13603" t="s">
        <v>15711</v>
      </c>
      <c r="C13603">
        <v>0</v>
      </c>
      <c r="D13603" t="s">
        <v>106</v>
      </c>
      <c r="E13603">
        <v>4.4737631184407798</v>
      </c>
    </row>
    <row r="13604" spans="1:5">
      <c r="A13604" t="s">
        <v>15699</v>
      </c>
      <c r="B13604" t="s">
        <v>15712</v>
      </c>
      <c r="C13604">
        <v>0</v>
      </c>
      <c r="D13604" t="s">
        <v>106</v>
      </c>
      <c r="E13604">
        <v>4.4737631184407798</v>
      </c>
    </row>
    <row r="13605" spans="1:5">
      <c r="A13605" t="s">
        <v>15699</v>
      </c>
      <c r="B13605" t="s">
        <v>15713</v>
      </c>
      <c r="C13605">
        <f>0</f>
        <v>0</v>
      </c>
      <c r="D13605" t="s">
        <v>106</v>
      </c>
      <c r="E13605">
        <v>4.4737631184407798</v>
      </c>
    </row>
    <row r="13606" spans="1:5">
      <c r="A13606" t="s">
        <v>15699</v>
      </c>
      <c r="B13606" t="s">
        <v>15714</v>
      </c>
      <c r="C13606">
        <f>0</f>
        <v>0</v>
      </c>
      <c r="D13606" t="s">
        <v>106</v>
      </c>
      <c r="E13606">
        <v>4.4737631184407798</v>
      </c>
    </row>
    <row r="13607" spans="1:5">
      <c r="A13607" t="s">
        <v>15699</v>
      </c>
      <c r="B13607" t="s">
        <v>15715</v>
      </c>
      <c r="C13607">
        <f>0</f>
        <v>0</v>
      </c>
      <c r="D13607" t="s">
        <v>106</v>
      </c>
      <c r="E13607">
        <v>4.4737631184407798</v>
      </c>
    </row>
    <row r="13608" spans="1:5">
      <c r="A13608" t="s">
        <v>15699</v>
      </c>
      <c r="B13608" t="s">
        <v>15716</v>
      </c>
      <c r="C13608">
        <f>0</f>
        <v>0</v>
      </c>
      <c r="D13608" t="s">
        <v>106</v>
      </c>
      <c r="E13608">
        <v>4.4737631184407798</v>
      </c>
    </row>
    <row r="13609" spans="1:5">
      <c r="A13609" t="s">
        <v>15717</v>
      </c>
      <c r="B13609" t="s">
        <v>15718</v>
      </c>
      <c r="C13609">
        <v>0</v>
      </c>
      <c r="D13609" t="s">
        <v>106</v>
      </c>
      <c r="E13609">
        <v>8.1439280359820092</v>
      </c>
    </row>
    <row r="13610" spans="1:5">
      <c r="A13610" t="s">
        <v>15717</v>
      </c>
      <c r="B13610" t="s">
        <v>15719</v>
      </c>
      <c r="C13610">
        <v>0</v>
      </c>
      <c r="D13610" t="s">
        <v>106</v>
      </c>
      <c r="E13610">
        <v>8.1439280359820092</v>
      </c>
    </row>
    <row r="13611" spans="1:5">
      <c r="A13611" t="s">
        <v>15717</v>
      </c>
      <c r="B13611" t="s">
        <v>15720</v>
      </c>
      <c r="C13611">
        <v>0</v>
      </c>
      <c r="D13611" t="s">
        <v>106</v>
      </c>
      <c r="E13611">
        <v>8.1439280359820092</v>
      </c>
    </row>
    <row r="13612" spans="1:5">
      <c r="A13612" t="s">
        <v>15717</v>
      </c>
      <c r="B13612" t="s">
        <v>15721</v>
      </c>
      <c r="C13612">
        <f>0</f>
        <v>0</v>
      </c>
      <c r="D13612" t="s">
        <v>106</v>
      </c>
      <c r="E13612">
        <v>8.1439280359820092</v>
      </c>
    </row>
    <row r="13613" spans="1:5">
      <c r="A13613" t="s">
        <v>15717</v>
      </c>
      <c r="B13613" t="s">
        <v>15722</v>
      </c>
      <c r="C13613">
        <f>0</f>
        <v>0</v>
      </c>
      <c r="D13613" t="s">
        <v>106</v>
      </c>
      <c r="E13613">
        <v>8.1439280359820092</v>
      </c>
    </row>
    <row r="13614" spans="1:5">
      <c r="A13614" t="s">
        <v>15717</v>
      </c>
      <c r="B13614" t="s">
        <v>15723</v>
      </c>
      <c r="C13614">
        <f>0</f>
        <v>0</v>
      </c>
      <c r="D13614" t="s">
        <v>106</v>
      </c>
      <c r="E13614">
        <v>8.1439280359820092</v>
      </c>
    </row>
    <row r="13615" spans="1:5">
      <c r="A13615" t="s">
        <v>15717</v>
      </c>
      <c r="B13615" t="s">
        <v>15724</v>
      </c>
      <c r="C13615">
        <v>0</v>
      </c>
      <c r="D13615" t="s">
        <v>106</v>
      </c>
      <c r="E13615">
        <v>8.1439280359820092</v>
      </c>
    </row>
    <row r="13616" spans="1:5">
      <c r="A13616" t="s">
        <v>15725</v>
      </c>
      <c r="B13616" t="s">
        <v>15726</v>
      </c>
      <c r="C13616">
        <v>0</v>
      </c>
      <c r="D13616">
        <v>0.96705380265499996</v>
      </c>
      <c r="E13616">
        <v>10.230884557721099</v>
      </c>
    </row>
    <row r="13617" spans="1:5">
      <c r="A13617" t="s">
        <v>15725</v>
      </c>
      <c r="B13617" t="s">
        <v>15727</v>
      </c>
      <c r="C13617">
        <v>0.22569898943399999</v>
      </c>
      <c r="D13617">
        <v>0.96705380265499996</v>
      </c>
      <c r="E13617">
        <v>10.230884557721099</v>
      </c>
    </row>
    <row r="13618" spans="1:5">
      <c r="A13618" t="s">
        <v>15725</v>
      </c>
      <c r="B13618" t="s">
        <v>15728</v>
      </c>
      <c r="C13618">
        <f>0</f>
        <v>0</v>
      </c>
      <c r="D13618">
        <v>0.96705380265499996</v>
      </c>
      <c r="E13618">
        <v>10.230884557721099</v>
      </c>
    </row>
    <row r="13619" spans="1:5">
      <c r="A13619" t="s">
        <v>15725</v>
      </c>
      <c r="B13619" t="s">
        <v>15729</v>
      </c>
      <c r="C13619">
        <v>8.74248642509E-2</v>
      </c>
      <c r="D13619">
        <v>0.96705380265499996</v>
      </c>
      <c r="E13619">
        <v>10.230884557721099</v>
      </c>
    </row>
    <row r="13620" spans="1:5">
      <c r="A13620" t="s">
        <v>15725</v>
      </c>
      <c r="B13620" t="s">
        <v>15730</v>
      </c>
      <c r="C13620">
        <f>0</f>
        <v>0</v>
      </c>
      <c r="D13620">
        <v>0.96705380265499996</v>
      </c>
      <c r="E13620">
        <v>10.230884557721099</v>
      </c>
    </row>
    <row r="13621" spans="1:5">
      <c r="A13621" t="s">
        <v>15725</v>
      </c>
      <c r="B13621" t="s">
        <v>15731</v>
      </c>
      <c r="C13621">
        <v>0</v>
      </c>
      <c r="D13621">
        <v>0.96705380265499996</v>
      </c>
      <c r="E13621">
        <v>10.230884557721099</v>
      </c>
    </row>
    <row r="13622" spans="1:5">
      <c r="A13622" t="s">
        <v>15725</v>
      </c>
      <c r="B13622" t="s">
        <v>15732</v>
      </c>
      <c r="C13622">
        <v>0</v>
      </c>
      <c r="D13622">
        <v>0.96705380265499996</v>
      </c>
      <c r="E13622">
        <v>10.230884557721099</v>
      </c>
    </row>
    <row r="13623" spans="1:5">
      <c r="A13623" t="s">
        <v>15725</v>
      </c>
      <c r="B13623" t="s">
        <v>15733</v>
      </c>
      <c r="C13623">
        <f>0</f>
        <v>0</v>
      </c>
      <c r="D13623">
        <v>0.96705380265499996</v>
      </c>
      <c r="E13623">
        <v>10.230884557721099</v>
      </c>
    </row>
    <row r="13624" spans="1:5">
      <c r="A13624" t="s">
        <v>15725</v>
      </c>
      <c r="B13624" t="s">
        <v>15734</v>
      </c>
      <c r="C13624">
        <v>0</v>
      </c>
      <c r="D13624">
        <v>0.96705380265499996</v>
      </c>
      <c r="E13624">
        <v>10.230884557721099</v>
      </c>
    </row>
    <row r="13625" spans="1:5">
      <c r="A13625" t="s">
        <v>15735</v>
      </c>
      <c r="B13625" t="s">
        <v>15736</v>
      </c>
      <c r="C13625">
        <f>0</f>
        <v>0</v>
      </c>
      <c r="D13625">
        <v>0.972696952956</v>
      </c>
      <c r="E13625">
        <v>7.7361319340329802</v>
      </c>
    </row>
    <row r="13626" spans="1:5">
      <c r="A13626" t="s">
        <v>15735</v>
      </c>
      <c r="B13626" t="s">
        <v>15737</v>
      </c>
      <c r="C13626">
        <f>0</f>
        <v>0</v>
      </c>
      <c r="D13626">
        <v>0.972696952956</v>
      </c>
      <c r="E13626">
        <v>7.7361319340329802</v>
      </c>
    </row>
    <row r="13627" spans="1:5">
      <c r="A13627" t="s">
        <v>15735</v>
      </c>
      <c r="B13627" t="s">
        <v>15738</v>
      </c>
      <c r="C13627">
        <v>0</v>
      </c>
      <c r="D13627">
        <v>0.972696952956</v>
      </c>
      <c r="E13627">
        <v>7.7361319340329802</v>
      </c>
    </row>
    <row r="13628" spans="1:5">
      <c r="A13628" t="s">
        <v>15735</v>
      </c>
      <c r="B13628" t="s">
        <v>15739</v>
      </c>
      <c r="C13628">
        <f>0.0151854331276</f>
        <v>1.51854331276E-2</v>
      </c>
      <c r="D13628">
        <v>0.972696952956</v>
      </c>
      <c r="E13628">
        <v>7.7361319340329802</v>
      </c>
    </row>
    <row r="13629" spans="1:5">
      <c r="A13629" t="s">
        <v>15735</v>
      </c>
      <c r="B13629" t="s">
        <v>15740</v>
      </c>
      <c r="C13629">
        <f>0</f>
        <v>0</v>
      </c>
      <c r="D13629">
        <v>0.972696952956</v>
      </c>
      <c r="E13629">
        <v>7.7361319340329802</v>
      </c>
    </row>
    <row r="13630" spans="1:5">
      <c r="A13630" t="s">
        <v>15741</v>
      </c>
      <c r="B13630" t="s">
        <v>15742</v>
      </c>
      <c r="C13630">
        <v>0.647521509489</v>
      </c>
      <c r="D13630">
        <v>0.99482328130800002</v>
      </c>
      <c r="E13630">
        <v>6.5487256371814002</v>
      </c>
    </row>
    <row r="13631" spans="1:5">
      <c r="A13631" t="s">
        <v>15741</v>
      </c>
      <c r="B13631" t="s">
        <v>15743</v>
      </c>
      <c r="C13631">
        <v>6.8971931494200001E-2</v>
      </c>
      <c r="D13631">
        <v>0.99482328130800002</v>
      </c>
      <c r="E13631">
        <v>6.5487256371814002</v>
      </c>
    </row>
    <row r="13632" spans="1:5">
      <c r="A13632" t="s">
        <v>15744</v>
      </c>
      <c r="B13632" t="s">
        <v>15745</v>
      </c>
      <c r="C13632">
        <v>0</v>
      </c>
      <c r="D13632" t="s">
        <v>106</v>
      </c>
      <c r="E13632">
        <v>15.700149925037399</v>
      </c>
    </row>
    <row r="13633" spans="1:5">
      <c r="A13633" t="s">
        <v>15744</v>
      </c>
      <c r="B13633" t="s">
        <v>15746</v>
      </c>
      <c r="C13633">
        <v>0</v>
      </c>
      <c r="D13633" t="s">
        <v>106</v>
      </c>
      <c r="E13633">
        <v>15.700149925037399</v>
      </c>
    </row>
    <row r="13634" spans="1:5">
      <c r="A13634" t="s">
        <v>15747</v>
      </c>
      <c r="B13634" t="s">
        <v>15748</v>
      </c>
      <c r="C13634">
        <v>0.56797140058600004</v>
      </c>
      <c r="D13634">
        <v>0.988842254714</v>
      </c>
      <c r="E13634">
        <v>11.8740629685157</v>
      </c>
    </row>
    <row r="13635" spans="1:5">
      <c r="A13635" t="s">
        <v>15747</v>
      </c>
      <c r="B13635" t="s">
        <v>15749</v>
      </c>
      <c r="C13635">
        <f>0.0193188860691</f>
        <v>1.93188860691E-2</v>
      </c>
      <c r="D13635">
        <v>0.988842254714</v>
      </c>
      <c r="E13635">
        <v>11.8740629685157</v>
      </c>
    </row>
    <row r="13636" spans="1:5">
      <c r="A13636" t="s">
        <v>15747</v>
      </c>
      <c r="B13636" t="s">
        <v>15750</v>
      </c>
      <c r="C13636">
        <f>0</f>
        <v>0</v>
      </c>
      <c r="D13636">
        <v>0.988842254714</v>
      </c>
      <c r="E13636">
        <v>11.8740629685157</v>
      </c>
    </row>
    <row r="13637" spans="1:5">
      <c r="A13637" t="s">
        <v>15747</v>
      </c>
      <c r="B13637" t="s">
        <v>15751</v>
      </c>
      <c r="C13637">
        <f>0</f>
        <v>0</v>
      </c>
      <c r="D13637">
        <v>0.988842254714</v>
      </c>
      <c r="E13637">
        <v>11.8740629685157</v>
      </c>
    </row>
    <row r="13638" spans="1:5">
      <c r="A13638" t="s">
        <v>15747</v>
      </c>
      <c r="B13638" t="s">
        <v>15752</v>
      </c>
      <c r="C13638">
        <f>0</f>
        <v>0</v>
      </c>
      <c r="D13638">
        <v>0.988842254714</v>
      </c>
      <c r="E13638">
        <v>11.8740629685157</v>
      </c>
    </row>
    <row r="13639" spans="1:5">
      <c r="A13639" t="s">
        <v>15753</v>
      </c>
      <c r="B13639" t="s">
        <v>15754</v>
      </c>
      <c r="C13639">
        <v>0.63277910481599997</v>
      </c>
      <c r="D13639">
        <v>0.88919060834600006</v>
      </c>
      <c r="E13639">
        <v>4.3778110944527704</v>
      </c>
    </row>
    <row r="13640" spans="1:5">
      <c r="A13640" t="s">
        <v>15755</v>
      </c>
      <c r="B13640" t="s">
        <v>15756</v>
      </c>
      <c r="C13640">
        <f>0</f>
        <v>0</v>
      </c>
      <c r="D13640">
        <v>0.77513191333200004</v>
      </c>
      <c r="E13640">
        <v>11.370314842578701</v>
      </c>
    </row>
    <row r="13641" spans="1:5">
      <c r="A13641" t="s">
        <v>15755</v>
      </c>
      <c r="B13641" t="s">
        <v>15757</v>
      </c>
      <c r="C13641">
        <f>0</f>
        <v>0</v>
      </c>
      <c r="D13641">
        <v>0.77513191333200004</v>
      </c>
      <c r="E13641">
        <v>11.370314842578701</v>
      </c>
    </row>
    <row r="13642" spans="1:5">
      <c r="A13642" t="s">
        <v>15755</v>
      </c>
      <c r="B13642" t="s">
        <v>15758</v>
      </c>
      <c r="C13642">
        <v>1.9876014649899999E-2</v>
      </c>
      <c r="D13642">
        <v>0.77513191333200004</v>
      </c>
      <c r="E13642">
        <v>11.370314842578701</v>
      </c>
    </row>
    <row r="13643" spans="1:5">
      <c r="A13643" t="s">
        <v>15755</v>
      </c>
      <c r="B13643" t="s">
        <v>15759</v>
      </c>
      <c r="C13643">
        <f>0</f>
        <v>0</v>
      </c>
      <c r="D13643">
        <v>0.77513191333200004</v>
      </c>
      <c r="E13643">
        <v>11.370314842578701</v>
      </c>
    </row>
    <row r="13644" spans="1:5">
      <c r="A13644" t="s">
        <v>15755</v>
      </c>
      <c r="B13644" t="s">
        <v>15760</v>
      </c>
      <c r="C13644">
        <f>0</f>
        <v>0</v>
      </c>
      <c r="D13644">
        <v>0.77513191333200004</v>
      </c>
      <c r="E13644">
        <v>11.370314842578701</v>
      </c>
    </row>
    <row r="13645" spans="1:5">
      <c r="A13645" t="s">
        <v>15755</v>
      </c>
      <c r="B13645" t="s">
        <v>15761</v>
      </c>
      <c r="C13645">
        <f>0</f>
        <v>0</v>
      </c>
      <c r="D13645">
        <v>0.77513191333200004</v>
      </c>
      <c r="E13645">
        <v>11.370314842578701</v>
      </c>
    </row>
    <row r="13646" spans="1:5">
      <c r="A13646" t="s">
        <v>15755</v>
      </c>
      <c r="B13646" t="s">
        <v>15762</v>
      </c>
      <c r="C13646">
        <f>0</f>
        <v>0</v>
      </c>
      <c r="D13646">
        <v>0.77513191333200004</v>
      </c>
      <c r="E13646">
        <v>11.370314842578701</v>
      </c>
    </row>
    <row r="13647" spans="1:5">
      <c r="A13647" t="s">
        <v>15755</v>
      </c>
      <c r="B13647" t="s">
        <v>15763</v>
      </c>
      <c r="C13647">
        <f>0</f>
        <v>0</v>
      </c>
      <c r="D13647">
        <v>0.77513191333200004</v>
      </c>
      <c r="E13647">
        <v>11.370314842578701</v>
      </c>
    </row>
    <row r="13648" spans="1:5">
      <c r="A13648" t="s">
        <v>15764</v>
      </c>
      <c r="B13648" t="s">
        <v>15765</v>
      </c>
      <c r="C13648">
        <v>0.28255896294299998</v>
      </c>
      <c r="D13648">
        <v>0.99744489961500005</v>
      </c>
      <c r="E13648">
        <v>10.5547226386806</v>
      </c>
    </row>
    <row r="13649" spans="1:5">
      <c r="A13649" t="s">
        <v>15764</v>
      </c>
      <c r="B13649" t="s">
        <v>15766</v>
      </c>
      <c r="C13649">
        <v>0</v>
      </c>
      <c r="D13649">
        <v>0.99744489961500005</v>
      </c>
      <c r="E13649">
        <v>10.5547226386806</v>
      </c>
    </row>
    <row r="13650" spans="1:5">
      <c r="A13650" t="s">
        <v>15764</v>
      </c>
      <c r="B13650" t="s">
        <v>15767</v>
      </c>
      <c r="C13650">
        <f>0</f>
        <v>0</v>
      </c>
      <c r="D13650">
        <v>0.99744489961500005</v>
      </c>
      <c r="E13650">
        <v>10.5547226386806</v>
      </c>
    </row>
    <row r="13651" spans="1:5">
      <c r="A13651" t="s">
        <v>15764</v>
      </c>
      <c r="B13651" t="s">
        <v>15768</v>
      </c>
      <c r="C13651">
        <v>0.13564846205700001</v>
      </c>
      <c r="D13651">
        <v>0.99744489961500005</v>
      </c>
      <c r="E13651">
        <v>10.5547226386806</v>
      </c>
    </row>
    <row r="13652" spans="1:5">
      <c r="A13652" t="s">
        <v>15764</v>
      </c>
      <c r="B13652" t="s">
        <v>15769</v>
      </c>
      <c r="C13652">
        <v>0</v>
      </c>
      <c r="D13652">
        <v>0.99744489961500005</v>
      </c>
      <c r="E13652">
        <v>10.5547226386806</v>
      </c>
    </row>
    <row r="13653" spans="1:5">
      <c r="A13653" t="s">
        <v>15764</v>
      </c>
      <c r="B13653" t="s">
        <v>15770</v>
      </c>
      <c r="C13653">
        <f>0</f>
        <v>0</v>
      </c>
      <c r="D13653">
        <v>0.99744489961500005</v>
      </c>
      <c r="E13653">
        <v>10.5547226386806</v>
      </c>
    </row>
    <row r="13654" spans="1:5">
      <c r="A13654" t="s">
        <v>15764</v>
      </c>
      <c r="B13654" t="s">
        <v>15771</v>
      </c>
      <c r="C13654">
        <v>0</v>
      </c>
      <c r="D13654">
        <v>0.99744489961500005</v>
      </c>
      <c r="E13654">
        <v>10.5547226386806</v>
      </c>
    </row>
    <row r="13655" spans="1:5">
      <c r="A13655" t="s">
        <v>15764</v>
      </c>
      <c r="B13655" t="s">
        <v>15772</v>
      </c>
      <c r="C13655">
        <v>0</v>
      </c>
      <c r="D13655">
        <v>0.99744489961500005</v>
      </c>
      <c r="E13655">
        <v>10.5547226386806</v>
      </c>
    </row>
    <row r="13656" spans="1:5">
      <c r="A13656" t="s">
        <v>15764</v>
      </c>
      <c r="B13656" t="s">
        <v>15773</v>
      </c>
      <c r="C13656">
        <f>0</f>
        <v>0</v>
      </c>
      <c r="D13656">
        <v>0.99744489961500005</v>
      </c>
      <c r="E13656">
        <v>10.5547226386806</v>
      </c>
    </row>
    <row r="13657" spans="1:5">
      <c r="A13657" t="s">
        <v>15764</v>
      </c>
      <c r="B13657" t="s">
        <v>15774</v>
      </c>
      <c r="C13657">
        <v>0</v>
      </c>
      <c r="D13657">
        <v>0.99744489961500005</v>
      </c>
      <c r="E13657">
        <v>10.5547226386806</v>
      </c>
    </row>
    <row r="13658" spans="1:5">
      <c r="A13658" t="s">
        <v>15775</v>
      </c>
      <c r="B13658" t="s">
        <v>15776</v>
      </c>
      <c r="C13658">
        <f>0.327686417583</f>
        <v>0.32768641758299999</v>
      </c>
      <c r="D13658">
        <v>0.84991590851900001</v>
      </c>
      <c r="E13658">
        <v>0.65967016491754105</v>
      </c>
    </row>
    <row r="13659" spans="1:5">
      <c r="A13659" t="s">
        <v>15775</v>
      </c>
      <c r="B13659" t="s">
        <v>15777</v>
      </c>
      <c r="C13659">
        <f>0.444942137714</f>
        <v>0.44494213771399999</v>
      </c>
      <c r="D13659">
        <v>0.84991590851900001</v>
      </c>
      <c r="E13659">
        <v>0.65967016491754105</v>
      </c>
    </row>
    <row r="13660" spans="1:5">
      <c r="A13660" t="s">
        <v>15778</v>
      </c>
      <c r="B13660" t="s">
        <v>15779</v>
      </c>
      <c r="C13660">
        <f>0</f>
        <v>0</v>
      </c>
      <c r="D13660">
        <v>0.82144034100700003</v>
      </c>
      <c r="E13660">
        <v>18.554722638680602</v>
      </c>
    </row>
    <row r="13661" spans="1:5">
      <c r="A13661" t="s">
        <v>15778</v>
      </c>
      <c r="B13661" t="s">
        <v>15780</v>
      </c>
      <c r="C13661">
        <v>0</v>
      </c>
      <c r="D13661">
        <v>0.82144034100700003</v>
      </c>
      <c r="E13661">
        <v>18.554722638680602</v>
      </c>
    </row>
    <row r="13662" spans="1:5">
      <c r="A13662" t="s">
        <v>15778</v>
      </c>
      <c r="B13662" t="s">
        <v>15781</v>
      </c>
      <c r="C13662">
        <f>0</f>
        <v>0</v>
      </c>
      <c r="D13662">
        <v>0.82144034100700003</v>
      </c>
      <c r="E13662">
        <v>18.554722638680602</v>
      </c>
    </row>
    <row r="13663" spans="1:5">
      <c r="A13663" t="s">
        <v>15778</v>
      </c>
      <c r="B13663" t="s">
        <v>15782</v>
      </c>
      <c r="C13663">
        <v>8.2623555534500001E-2</v>
      </c>
      <c r="D13663">
        <v>0.82144034100700003</v>
      </c>
      <c r="E13663">
        <v>18.554722638680602</v>
      </c>
    </row>
    <row r="13664" spans="1:5">
      <c r="A13664" t="s">
        <v>15778</v>
      </c>
      <c r="B13664" t="s">
        <v>15783</v>
      </c>
      <c r="C13664">
        <f>0</f>
        <v>0</v>
      </c>
      <c r="D13664">
        <v>0.82144034100700003</v>
      </c>
      <c r="E13664">
        <v>18.554722638680602</v>
      </c>
    </row>
    <row r="13665" spans="1:5">
      <c r="A13665" t="s">
        <v>15778</v>
      </c>
      <c r="B13665" t="s">
        <v>15784</v>
      </c>
      <c r="C13665">
        <v>0</v>
      </c>
      <c r="D13665">
        <v>0.82144034100700003</v>
      </c>
      <c r="E13665">
        <v>18.554722638680602</v>
      </c>
    </row>
    <row r="13666" spans="1:5">
      <c r="A13666" t="s">
        <v>15785</v>
      </c>
      <c r="B13666" t="s">
        <v>15786</v>
      </c>
      <c r="C13666">
        <f>0</f>
        <v>0</v>
      </c>
      <c r="D13666">
        <v>0.92060938054700003</v>
      </c>
      <c r="E13666">
        <v>20.7376311844077</v>
      </c>
    </row>
    <row r="13667" spans="1:5">
      <c r="A13667" t="s">
        <v>15785</v>
      </c>
      <c r="B13667" t="s">
        <v>15787</v>
      </c>
      <c r="C13667">
        <f>0</f>
        <v>0</v>
      </c>
      <c r="D13667">
        <v>0.92060938054700003</v>
      </c>
      <c r="E13667">
        <v>20.7376311844077</v>
      </c>
    </row>
    <row r="13668" spans="1:5">
      <c r="A13668" t="s">
        <v>15785</v>
      </c>
      <c r="B13668" t="s">
        <v>15788</v>
      </c>
      <c r="C13668">
        <f>0.00022961533576</f>
        <v>2.2961533576000001E-4</v>
      </c>
      <c r="D13668">
        <v>0.92060938054700003</v>
      </c>
      <c r="E13668">
        <v>20.7376311844077</v>
      </c>
    </row>
    <row r="13669" spans="1:5">
      <c r="A13669" t="s">
        <v>15785</v>
      </c>
      <c r="B13669" t="s">
        <v>15789</v>
      </c>
      <c r="C13669">
        <f>0</f>
        <v>0</v>
      </c>
      <c r="D13669">
        <v>0.92060938054700003</v>
      </c>
      <c r="E13669">
        <v>20.7376311844077</v>
      </c>
    </row>
    <row r="13670" spans="1:5">
      <c r="A13670" t="s">
        <v>15785</v>
      </c>
      <c r="B13670" t="s">
        <v>15790</v>
      </c>
      <c r="C13670">
        <f>0</f>
        <v>0</v>
      </c>
      <c r="D13670">
        <v>0.92060938054700003</v>
      </c>
      <c r="E13670">
        <v>20.7376311844077</v>
      </c>
    </row>
    <row r="13671" spans="1:5">
      <c r="A13671" t="s">
        <v>15785</v>
      </c>
      <c r="B13671" t="s">
        <v>15791</v>
      </c>
      <c r="C13671">
        <f>0</f>
        <v>0</v>
      </c>
      <c r="D13671">
        <v>0.92060938054700003</v>
      </c>
      <c r="E13671">
        <v>20.7376311844077</v>
      </c>
    </row>
    <row r="13672" spans="1:5">
      <c r="A13672" t="s">
        <v>15785</v>
      </c>
      <c r="B13672" t="s">
        <v>15792</v>
      </c>
      <c r="C13672">
        <f>0.0115053008043</f>
        <v>1.1505300804299999E-2</v>
      </c>
      <c r="D13672">
        <v>0.92060938054700003</v>
      </c>
      <c r="E13672">
        <v>20.7376311844077</v>
      </c>
    </row>
    <row r="13673" spans="1:5">
      <c r="A13673" t="s">
        <v>15785</v>
      </c>
      <c r="B13673" t="s">
        <v>15793</v>
      </c>
      <c r="C13673">
        <f>0</f>
        <v>0</v>
      </c>
      <c r="D13673">
        <v>0.92060938054700003</v>
      </c>
      <c r="E13673">
        <v>20.7376311844077</v>
      </c>
    </row>
    <row r="13674" spans="1:5">
      <c r="A13674" t="s">
        <v>15785</v>
      </c>
      <c r="B13674" t="s">
        <v>15794</v>
      </c>
      <c r="C13674">
        <f>0</f>
        <v>0</v>
      </c>
      <c r="D13674">
        <v>0.92060938054700003</v>
      </c>
      <c r="E13674">
        <v>20.7376311844077</v>
      </c>
    </row>
    <row r="13675" spans="1:5">
      <c r="A13675" t="s">
        <v>15785</v>
      </c>
      <c r="B13675" t="s">
        <v>15795</v>
      </c>
      <c r="C13675">
        <f>0</f>
        <v>0</v>
      </c>
      <c r="D13675">
        <v>0.92060938054700003</v>
      </c>
      <c r="E13675">
        <v>20.7376311844077</v>
      </c>
    </row>
    <row r="13676" spans="1:5">
      <c r="A13676" t="s">
        <v>15796</v>
      </c>
      <c r="B13676" t="s">
        <v>15797</v>
      </c>
      <c r="C13676">
        <v>2.8301981055500001E-2</v>
      </c>
      <c r="D13676">
        <v>0.96686166493799997</v>
      </c>
      <c r="E13676">
        <v>1.89505247376311</v>
      </c>
    </row>
    <row r="13677" spans="1:5">
      <c r="A13677" t="s">
        <v>15796</v>
      </c>
      <c r="B13677" t="s">
        <v>15798</v>
      </c>
      <c r="C13677">
        <f>0</f>
        <v>0</v>
      </c>
      <c r="D13677">
        <v>0.96686166493799997</v>
      </c>
      <c r="E13677">
        <v>1.89505247376311</v>
      </c>
    </row>
    <row r="13678" spans="1:5">
      <c r="A13678" t="s">
        <v>15796</v>
      </c>
      <c r="B13678" t="s">
        <v>15799</v>
      </c>
      <c r="C13678">
        <v>0.342603037532</v>
      </c>
      <c r="D13678">
        <v>0.96686166493799997</v>
      </c>
      <c r="E13678">
        <v>1.89505247376311</v>
      </c>
    </row>
    <row r="13679" spans="1:5">
      <c r="A13679" t="s">
        <v>15796</v>
      </c>
      <c r="B13679" t="s">
        <v>15800</v>
      </c>
      <c r="C13679">
        <v>0</v>
      </c>
      <c r="D13679">
        <v>0.96686166493799997</v>
      </c>
      <c r="E13679">
        <v>1.89505247376311</v>
      </c>
    </row>
    <row r="13680" spans="1:5">
      <c r="A13680" t="s">
        <v>15796</v>
      </c>
      <c r="B13680" t="s">
        <v>15801</v>
      </c>
      <c r="C13680">
        <v>0</v>
      </c>
      <c r="D13680">
        <v>0.96686166493799997</v>
      </c>
      <c r="E13680">
        <v>1.89505247376311</v>
      </c>
    </row>
    <row r="13681" spans="1:5">
      <c r="A13681" t="s">
        <v>15796</v>
      </c>
      <c r="B13681" t="s">
        <v>15802</v>
      </c>
      <c r="C13681">
        <v>0</v>
      </c>
      <c r="D13681">
        <v>0.96686166493799997</v>
      </c>
      <c r="E13681">
        <v>1.89505247376311</v>
      </c>
    </row>
    <row r="13682" spans="1:5">
      <c r="A13682" t="s">
        <v>15803</v>
      </c>
      <c r="B13682" t="s">
        <v>15804</v>
      </c>
      <c r="C13682">
        <v>0.19402520915499999</v>
      </c>
      <c r="D13682">
        <v>0.85795619975000004</v>
      </c>
      <c r="E13682">
        <v>18.554722638680602</v>
      </c>
    </row>
    <row r="13683" spans="1:5">
      <c r="A13683" t="s">
        <v>15805</v>
      </c>
      <c r="B13683" t="s">
        <v>15806</v>
      </c>
      <c r="C13683">
        <f>0</f>
        <v>0</v>
      </c>
      <c r="D13683">
        <v>0.99836069877800004</v>
      </c>
      <c r="E13683">
        <v>3.0464767616191901</v>
      </c>
    </row>
    <row r="13684" spans="1:5">
      <c r="A13684" t="s">
        <v>15805</v>
      </c>
      <c r="B13684" t="s">
        <v>15807</v>
      </c>
      <c r="C13684">
        <v>0</v>
      </c>
      <c r="D13684">
        <v>0.99836069877800004</v>
      </c>
      <c r="E13684">
        <v>3.0464767616191901</v>
      </c>
    </row>
    <row r="13685" spans="1:5">
      <c r="A13685" t="s">
        <v>15805</v>
      </c>
      <c r="B13685" t="s">
        <v>15808</v>
      </c>
      <c r="C13685">
        <v>0.27338608727899999</v>
      </c>
      <c r="D13685">
        <v>0.99836069877800004</v>
      </c>
      <c r="E13685">
        <v>3.0464767616191901</v>
      </c>
    </row>
    <row r="13686" spans="1:5">
      <c r="A13686" t="s">
        <v>15805</v>
      </c>
      <c r="B13686" t="s">
        <v>15809</v>
      </c>
      <c r="C13686">
        <v>0</v>
      </c>
      <c r="D13686">
        <v>0.99836069877800004</v>
      </c>
      <c r="E13686">
        <v>3.0464767616191901</v>
      </c>
    </row>
    <row r="13687" spans="1:5">
      <c r="A13687" t="s">
        <v>15805</v>
      </c>
      <c r="B13687" t="s">
        <v>15810</v>
      </c>
      <c r="C13687">
        <v>0</v>
      </c>
      <c r="D13687">
        <v>0.99836069877800004</v>
      </c>
      <c r="E13687">
        <v>3.0464767616191901</v>
      </c>
    </row>
    <row r="13688" spans="1:5">
      <c r="A13688" t="s">
        <v>15805</v>
      </c>
      <c r="B13688" t="s">
        <v>15811</v>
      </c>
      <c r="C13688">
        <v>0</v>
      </c>
      <c r="D13688">
        <v>0.99836069877800004</v>
      </c>
      <c r="E13688">
        <v>3.0464767616191901</v>
      </c>
    </row>
    <row r="13689" spans="1:5">
      <c r="A13689" t="s">
        <v>15805</v>
      </c>
      <c r="B13689" t="s">
        <v>15812</v>
      </c>
      <c r="C13689">
        <f>0</f>
        <v>0</v>
      </c>
      <c r="D13689">
        <v>0.99836069877800004</v>
      </c>
      <c r="E13689">
        <v>3.0464767616191901</v>
      </c>
    </row>
    <row r="13690" spans="1:5">
      <c r="A13690" t="s">
        <v>15805</v>
      </c>
      <c r="B13690" t="s">
        <v>15813</v>
      </c>
      <c r="C13690">
        <v>0</v>
      </c>
      <c r="D13690">
        <v>0.99836069877800004</v>
      </c>
      <c r="E13690">
        <v>3.0464767616191901</v>
      </c>
    </row>
    <row r="13691" spans="1:5">
      <c r="A13691" t="s">
        <v>15805</v>
      </c>
      <c r="B13691" t="s">
        <v>15814</v>
      </c>
      <c r="C13691">
        <v>7.3984443089500002E-2</v>
      </c>
      <c r="D13691">
        <v>0.99836069877800004</v>
      </c>
      <c r="E13691">
        <v>3.0464767616191901</v>
      </c>
    </row>
    <row r="13692" spans="1:5">
      <c r="A13692" t="s">
        <v>15805</v>
      </c>
      <c r="B13692" t="s">
        <v>15815</v>
      </c>
      <c r="C13692">
        <v>0</v>
      </c>
      <c r="D13692">
        <v>0.99836069877800004</v>
      </c>
      <c r="E13692">
        <v>3.0464767616191901</v>
      </c>
    </row>
    <row r="13693" spans="1:5">
      <c r="A13693" t="s">
        <v>15805</v>
      </c>
      <c r="B13693" t="s">
        <v>15816</v>
      </c>
      <c r="C13693">
        <v>0</v>
      </c>
      <c r="D13693">
        <v>0.99836069877800004</v>
      </c>
      <c r="E13693">
        <v>3.0464767616191901</v>
      </c>
    </row>
    <row r="13694" spans="1:5">
      <c r="A13694" t="s">
        <v>15805</v>
      </c>
      <c r="B13694" t="s">
        <v>15817</v>
      </c>
      <c r="C13694">
        <v>0</v>
      </c>
      <c r="D13694">
        <v>0.99836069877800004</v>
      </c>
      <c r="E13694">
        <v>3.0464767616191901</v>
      </c>
    </row>
    <row r="13695" spans="1:5">
      <c r="A13695" t="s">
        <v>15818</v>
      </c>
      <c r="B13695" t="s">
        <v>15819</v>
      </c>
      <c r="C13695">
        <f>0</f>
        <v>0</v>
      </c>
      <c r="D13695" t="s">
        <v>106</v>
      </c>
      <c r="E13695">
        <v>8.7196401799100407</v>
      </c>
    </row>
    <row r="13696" spans="1:5">
      <c r="A13696" t="s">
        <v>15818</v>
      </c>
      <c r="B13696" t="s">
        <v>15820</v>
      </c>
      <c r="C13696">
        <f>0</f>
        <v>0</v>
      </c>
      <c r="D13696" t="s">
        <v>106</v>
      </c>
      <c r="E13696">
        <v>8.7196401799100407</v>
      </c>
    </row>
    <row r="13697" spans="1:5">
      <c r="A13697" t="s">
        <v>15818</v>
      </c>
      <c r="B13697" t="s">
        <v>15821</v>
      </c>
      <c r="C13697">
        <f>0</f>
        <v>0</v>
      </c>
      <c r="D13697" t="s">
        <v>106</v>
      </c>
      <c r="E13697">
        <v>8.7196401799100407</v>
      </c>
    </row>
    <row r="13698" spans="1:5">
      <c r="A13698" t="s">
        <v>15818</v>
      </c>
      <c r="B13698" t="s">
        <v>15822</v>
      </c>
      <c r="C13698">
        <f>0</f>
        <v>0</v>
      </c>
      <c r="D13698" t="s">
        <v>106</v>
      </c>
      <c r="E13698">
        <v>8.7196401799100407</v>
      </c>
    </row>
    <row r="13699" spans="1:5">
      <c r="A13699" t="s">
        <v>15818</v>
      </c>
      <c r="B13699" t="s">
        <v>15823</v>
      </c>
      <c r="C13699">
        <f>0</f>
        <v>0</v>
      </c>
      <c r="D13699" t="s">
        <v>106</v>
      </c>
      <c r="E13699">
        <v>8.7196401799100407</v>
      </c>
    </row>
    <row r="13700" spans="1:5">
      <c r="A13700" t="s">
        <v>15818</v>
      </c>
      <c r="B13700" t="s">
        <v>15824</v>
      </c>
      <c r="C13700">
        <f>0</f>
        <v>0</v>
      </c>
      <c r="D13700" t="s">
        <v>106</v>
      </c>
      <c r="E13700">
        <v>8.7196401799100407</v>
      </c>
    </row>
    <row r="13701" spans="1:5">
      <c r="A13701" t="s">
        <v>15818</v>
      </c>
      <c r="B13701" t="s">
        <v>15825</v>
      </c>
      <c r="C13701">
        <v>0</v>
      </c>
      <c r="D13701" t="s">
        <v>106</v>
      </c>
      <c r="E13701">
        <v>8.7196401799100407</v>
      </c>
    </row>
    <row r="13702" spans="1:5">
      <c r="A13702" t="s">
        <v>15826</v>
      </c>
      <c r="B13702" t="s">
        <v>15827</v>
      </c>
      <c r="C13702">
        <v>0.120090679768</v>
      </c>
      <c r="D13702">
        <v>0.58134180441100003</v>
      </c>
      <c r="E13702">
        <v>4.68965517241379</v>
      </c>
    </row>
    <row r="13703" spans="1:5">
      <c r="A13703" t="s">
        <v>15828</v>
      </c>
      <c r="B13703" t="s">
        <v>15829</v>
      </c>
      <c r="C13703">
        <v>0</v>
      </c>
      <c r="D13703">
        <v>0.99308966049799996</v>
      </c>
      <c r="E13703">
        <v>1.6311844077961</v>
      </c>
    </row>
    <row r="13704" spans="1:5">
      <c r="A13704" t="s">
        <v>15828</v>
      </c>
      <c r="B13704" t="s">
        <v>15830</v>
      </c>
      <c r="C13704">
        <v>5.0604682762000003E-2</v>
      </c>
      <c r="D13704">
        <v>0.99308966049799996</v>
      </c>
      <c r="E13704">
        <v>1.6311844077961</v>
      </c>
    </row>
    <row r="13705" spans="1:5">
      <c r="A13705" t="s">
        <v>15828</v>
      </c>
      <c r="B13705" t="s">
        <v>15831</v>
      </c>
      <c r="C13705">
        <v>0</v>
      </c>
      <c r="D13705">
        <v>0.99308966049799996</v>
      </c>
      <c r="E13705">
        <v>1.6311844077961</v>
      </c>
    </row>
    <row r="13706" spans="1:5">
      <c r="A13706" t="s">
        <v>15828</v>
      </c>
      <c r="B13706" t="s">
        <v>15832</v>
      </c>
      <c r="C13706">
        <f>0</f>
        <v>0</v>
      </c>
      <c r="D13706">
        <v>0.99308966049799996</v>
      </c>
      <c r="E13706">
        <v>1.6311844077961</v>
      </c>
    </row>
    <row r="13707" spans="1:5">
      <c r="A13707" t="s">
        <v>15828</v>
      </c>
      <c r="B13707" t="s">
        <v>15833</v>
      </c>
      <c r="C13707">
        <v>0</v>
      </c>
      <c r="D13707">
        <v>0.99308966049799996</v>
      </c>
      <c r="E13707">
        <v>1.6311844077961</v>
      </c>
    </row>
    <row r="13708" spans="1:5">
      <c r="A13708" t="s">
        <v>15828</v>
      </c>
      <c r="B13708" t="s">
        <v>15834</v>
      </c>
      <c r="C13708">
        <f>0</f>
        <v>0</v>
      </c>
      <c r="D13708">
        <v>0.99308966049799996</v>
      </c>
      <c r="E13708">
        <v>1.6311844077961</v>
      </c>
    </row>
    <row r="13709" spans="1:5">
      <c r="A13709" t="s">
        <v>15828</v>
      </c>
      <c r="B13709" t="s">
        <v>15835</v>
      </c>
      <c r="C13709">
        <v>0</v>
      </c>
      <c r="D13709">
        <v>0.99308966049799996</v>
      </c>
      <c r="E13709">
        <v>1.6311844077961</v>
      </c>
    </row>
    <row r="13710" spans="1:5">
      <c r="A13710" t="s">
        <v>15828</v>
      </c>
      <c r="B13710" t="s">
        <v>15836</v>
      </c>
      <c r="C13710">
        <v>0</v>
      </c>
      <c r="D13710">
        <v>0.99308966049799996</v>
      </c>
      <c r="E13710">
        <v>1.6311844077961</v>
      </c>
    </row>
    <row r="13711" spans="1:5">
      <c r="A13711" t="s">
        <v>15828</v>
      </c>
      <c r="B13711" t="s">
        <v>15837</v>
      </c>
      <c r="C13711">
        <v>0</v>
      </c>
      <c r="D13711">
        <v>0.99308966049799996</v>
      </c>
      <c r="E13711">
        <v>1.6311844077961</v>
      </c>
    </row>
    <row r="13712" spans="1:5">
      <c r="A13712" t="s">
        <v>15828</v>
      </c>
      <c r="B13712" t="s">
        <v>15838</v>
      </c>
      <c r="C13712">
        <v>0</v>
      </c>
      <c r="D13712">
        <v>0.99308966049799996</v>
      </c>
      <c r="E13712">
        <v>1.6311844077961</v>
      </c>
    </row>
    <row r="13713" spans="1:5">
      <c r="A13713" t="s">
        <v>15828</v>
      </c>
      <c r="B13713" t="s">
        <v>15839</v>
      </c>
      <c r="C13713">
        <v>0</v>
      </c>
      <c r="D13713">
        <v>0.99308966049799996</v>
      </c>
      <c r="E13713">
        <v>1.6311844077961</v>
      </c>
    </row>
    <row r="13714" spans="1:5">
      <c r="A13714" t="s">
        <v>15828</v>
      </c>
      <c r="B13714" t="s">
        <v>15840</v>
      </c>
      <c r="C13714">
        <v>0</v>
      </c>
      <c r="D13714">
        <v>0.99308966049799996</v>
      </c>
      <c r="E13714">
        <v>1.6311844077961</v>
      </c>
    </row>
    <row r="13715" spans="1:5">
      <c r="A13715" t="s">
        <v>15828</v>
      </c>
      <c r="B13715" t="s">
        <v>15841</v>
      </c>
      <c r="C13715">
        <f>0.0793078349316</f>
        <v>7.9307834931599999E-2</v>
      </c>
      <c r="D13715">
        <v>0.99308966049799996</v>
      </c>
      <c r="E13715">
        <v>1.6311844077961</v>
      </c>
    </row>
    <row r="13716" spans="1:5">
      <c r="A13716" t="s">
        <v>15842</v>
      </c>
      <c r="B13716" t="s">
        <v>15843</v>
      </c>
      <c r="C13716">
        <v>0</v>
      </c>
      <c r="D13716" t="s">
        <v>106</v>
      </c>
      <c r="E13716">
        <v>12.2098950524737</v>
      </c>
    </row>
    <row r="13717" spans="1:5">
      <c r="A13717" t="s">
        <v>15842</v>
      </c>
      <c r="B13717" t="s">
        <v>15844</v>
      </c>
      <c r="C13717">
        <f>0</f>
        <v>0</v>
      </c>
      <c r="D13717" t="s">
        <v>106</v>
      </c>
      <c r="E13717">
        <v>12.2098950524737</v>
      </c>
    </row>
    <row r="13718" spans="1:5">
      <c r="A13718" t="s">
        <v>15845</v>
      </c>
      <c r="B13718" t="s">
        <v>15846</v>
      </c>
      <c r="C13718">
        <v>0</v>
      </c>
      <c r="D13718">
        <v>0.98624528023500002</v>
      </c>
      <c r="E13718">
        <v>24</v>
      </c>
    </row>
    <row r="13719" spans="1:5">
      <c r="A13719" t="s">
        <v>15845</v>
      </c>
      <c r="B13719" t="s">
        <v>15847</v>
      </c>
      <c r="C13719">
        <f>0</f>
        <v>0</v>
      </c>
      <c r="D13719">
        <v>0.98624528023500002</v>
      </c>
      <c r="E13719">
        <v>24</v>
      </c>
    </row>
    <row r="13720" spans="1:5">
      <c r="A13720" t="s">
        <v>15845</v>
      </c>
      <c r="B13720" t="s">
        <v>15848</v>
      </c>
      <c r="C13720">
        <f>0</f>
        <v>0</v>
      </c>
      <c r="D13720">
        <v>0.98624528023500002</v>
      </c>
      <c r="E13720">
        <v>24</v>
      </c>
    </row>
    <row r="13721" spans="1:5">
      <c r="A13721" t="s">
        <v>15845</v>
      </c>
      <c r="B13721" t="s">
        <v>15849</v>
      </c>
      <c r="C13721">
        <v>8.4641001822500003E-3</v>
      </c>
      <c r="D13721">
        <v>0.98624528023500002</v>
      </c>
      <c r="E13721">
        <v>24</v>
      </c>
    </row>
    <row r="13722" spans="1:5">
      <c r="A13722" t="s">
        <v>15845</v>
      </c>
      <c r="B13722" t="s">
        <v>15850</v>
      </c>
      <c r="C13722">
        <f>0</f>
        <v>0</v>
      </c>
      <c r="D13722">
        <v>0.98624528023500002</v>
      </c>
      <c r="E13722">
        <v>24</v>
      </c>
    </row>
    <row r="13723" spans="1:5">
      <c r="A13723" t="s">
        <v>15845</v>
      </c>
      <c r="B13723" t="s">
        <v>15851</v>
      </c>
      <c r="C13723">
        <v>0</v>
      </c>
      <c r="D13723">
        <v>0.98624528023500002</v>
      </c>
      <c r="E13723">
        <v>24</v>
      </c>
    </row>
    <row r="13724" spans="1:5">
      <c r="A13724" t="s">
        <v>15845</v>
      </c>
      <c r="B13724" t="s">
        <v>15852</v>
      </c>
      <c r="C13724">
        <v>0</v>
      </c>
      <c r="D13724">
        <v>0.98624528023500002</v>
      </c>
      <c r="E13724">
        <v>24</v>
      </c>
    </row>
    <row r="13725" spans="1:5">
      <c r="A13725" t="s">
        <v>15845</v>
      </c>
      <c r="B13725" t="s">
        <v>15853</v>
      </c>
      <c r="C13725">
        <v>0</v>
      </c>
      <c r="D13725">
        <v>0.98624528023500002</v>
      </c>
      <c r="E13725">
        <v>24</v>
      </c>
    </row>
    <row r="13726" spans="1:5">
      <c r="A13726" t="s">
        <v>15845</v>
      </c>
      <c r="B13726" t="s">
        <v>15854</v>
      </c>
      <c r="C13726">
        <v>8.7810700706299996E-2</v>
      </c>
      <c r="D13726">
        <v>0.98624528023500002</v>
      </c>
      <c r="E13726">
        <v>24</v>
      </c>
    </row>
    <row r="13727" spans="1:5">
      <c r="A13727" t="s">
        <v>15845</v>
      </c>
      <c r="B13727" t="s">
        <v>15855</v>
      </c>
      <c r="C13727">
        <v>0</v>
      </c>
      <c r="D13727">
        <v>0.98624528023500002</v>
      </c>
      <c r="E13727">
        <v>24</v>
      </c>
    </row>
    <row r="13728" spans="1:5">
      <c r="A13728" t="s">
        <v>15845</v>
      </c>
      <c r="B13728" t="s">
        <v>15856</v>
      </c>
      <c r="C13728">
        <v>0</v>
      </c>
      <c r="D13728">
        <v>0.98624528023500002</v>
      </c>
      <c r="E13728">
        <v>24</v>
      </c>
    </row>
    <row r="13729" spans="1:5">
      <c r="A13729" t="s">
        <v>15845</v>
      </c>
      <c r="B13729" t="s">
        <v>15857</v>
      </c>
      <c r="C13729">
        <f>0</f>
        <v>0</v>
      </c>
      <c r="D13729">
        <v>0.98624528023500002</v>
      </c>
      <c r="E13729">
        <v>24</v>
      </c>
    </row>
    <row r="13730" spans="1:5">
      <c r="A13730" t="s">
        <v>15845</v>
      </c>
      <c r="B13730" t="s">
        <v>15858</v>
      </c>
      <c r="C13730">
        <v>0</v>
      </c>
      <c r="D13730">
        <v>0.98624528023500002</v>
      </c>
      <c r="E13730">
        <v>24</v>
      </c>
    </row>
    <row r="13731" spans="1:5">
      <c r="A13731" t="s">
        <v>15859</v>
      </c>
      <c r="B13731" t="s">
        <v>15860</v>
      </c>
      <c r="C13731">
        <f>0</f>
        <v>0</v>
      </c>
      <c r="D13731" t="s">
        <v>106</v>
      </c>
      <c r="E13731">
        <v>24</v>
      </c>
    </row>
    <row r="13732" spans="1:5">
      <c r="A13732" t="s">
        <v>15859</v>
      </c>
      <c r="B13732" t="s">
        <v>15861</v>
      </c>
      <c r="C13732">
        <v>0</v>
      </c>
      <c r="D13732" t="s">
        <v>106</v>
      </c>
      <c r="E13732">
        <v>24</v>
      </c>
    </row>
    <row r="13733" spans="1:5">
      <c r="A13733" t="s">
        <v>15859</v>
      </c>
      <c r="B13733" t="s">
        <v>15862</v>
      </c>
      <c r="C13733">
        <v>6.36570156119E-2</v>
      </c>
      <c r="D13733" t="s">
        <v>106</v>
      </c>
      <c r="E13733">
        <v>24</v>
      </c>
    </row>
    <row r="13734" spans="1:5">
      <c r="A13734" t="s">
        <v>15859</v>
      </c>
      <c r="B13734" t="s">
        <v>15863</v>
      </c>
      <c r="C13734">
        <v>0</v>
      </c>
      <c r="D13734" t="s">
        <v>106</v>
      </c>
      <c r="E13734">
        <v>24</v>
      </c>
    </row>
    <row r="13735" spans="1:5">
      <c r="A13735" t="s">
        <v>15859</v>
      </c>
      <c r="B13735" t="s">
        <v>15864</v>
      </c>
      <c r="C13735">
        <v>0</v>
      </c>
      <c r="D13735" t="s">
        <v>106</v>
      </c>
      <c r="E13735">
        <v>24</v>
      </c>
    </row>
    <row r="13736" spans="1:5">
      <c r="A13736" t="s">
        <v>15865</v>
      </c>
      <c r="B13736" t="s">
        <v>15866</v>
      </c>
      <c r="C13736">
        <v>0.85306312035999998</v>
      </c>
      <c r="D13736">
        <v>0.833579419928</v>
      </c>
      <c r="E13736">
        <v>2.3988005997001498E-2</v>
      </c>
    </row>
    <row r="13737" spans="1:5">
      <c r="A13737" t="s">
        <v>15867</v>
      </c>
      <c r="B13737" t="s">
        <v>15868</v>
      </c>
      <c r="C13737">
        <v>0</v>
      </c>
      <c r="D13737">
        <v>0.99918861579700002</v>
      </c>
      <c r="E13737">
        <v>9.7631184407796106</v>
      </c>
    </row>
    <row r="13738" spans="1:5">
      <c r="A13738" t="s">
        <v>15867</v>
      </c>
      <c r="B13738" t="s">
        <v>15869</v>
      </c>
      <c r="C13738">
        <v>0.32295538078000002</v>
      </c>
      <c r="D13738">
        <v>0.99918861579700002</v>
      </c>
      <c r="E13738">
        <v>9.7631184407796106</v>
      </c>
    </row>
    <row r="13739" spans="1:5">
      <c r="A13739" t="s">
        <v>15867</v>
      </c>
      <c r="B13739" t="s">
        <v>15870</v>
      </c>
      <c r="C13739">
        <v>0</v>
      </c>
      <c r="D13739">
        <v>0.99918861579700002</v>
      </c>
      <c r="E13739">
        <v>9.7631184407796106</v>
      </c>
    </row>
    <row r="13740" spans="1:5">
      <c r="A13740" t="s">
        <v>15867</v>
      </c>
      <c r="B13740" t="s">
        <v>15871</v>
      </c>
      <c r="C13740">
        <v>1.33850009908E-2</v>
      </c>
      <c r="D13740">
        <v>0.99918861579700002</v>
      </c>
      <c r="E13740">
        <v>9.7631184407796106</v>
      </c>
    </row>
    <row r="13741" spans="1:5">
      <c r="A13741" t="s">
        <v>15867</v>
      </c>
      <c r="B13741" t="s">
        <v>15872</v>
      </c>
      <c r="C13741">
        <f>0</f>
        <v>0</v>
      </c>
      <c r="D13741">
        <v>0.99918861579700002</v>
      </c>
      <c r="E13741">
        <v>9.7631184407796106</v>
      </c>
    </row>
    <row r="13742" spans="1:5">
      <c r="A13742" t="s">
        <v>15867</v>
      </c>
      <c r="B13742" t="s">
        <v>15873</v>
      </c>
      <c r="C13742">
        <v>0</v>
      </c>
      <c r="D13742">
        <v>0.99918861579700002</v>
      </c>
      <c r="E13742">
        <v>9.7631184407796106</v>
      </c>
    </row>
    <row r="13743" spans="1:5">
      <c r="A13743" t="s">
        <v>15867</v>
      </c>
      <c r="B13743" t="s">
        <v>15874</v>
      </c>
      <c r="C13743">
        <v>0</v>
      </c>
      <c r="D13743">
        <v>0.99918861579700002</v>
      </c>
      <c r="E13743">
        <v>9.7631184407796106</v>
      </c>
    </row>
    <row r="13744" spans="1:5">
      <c r="A13744" t="s">
        <v>15867</v>
      </c>
      <c r="B13744" t="s">
        <v>15875</v>
      </c>
      <c r="C13744">
        <v>0</v>
      </c>
      <c r="D13744">
        <v>0.99918861579700002</v>
      </c>
      <c r="E13744">
        <v>9.7631184407796106</v>
      </c>
    </row>
    <row r="13745" spans="1:5">
      <c r="A13745" t="s">
        <v>15876</v>
      </c>
      <c r="B13745" t="s">
        <v>15877</v>
      </c>
      <c r="C13745">
        <v>0.14796869343999999</v>
      </c>
      <c r="D13745">
        <v>0.99295145536700002</v>
      </c>
      <c r="E13745">
        <v>15.904047976011899</v>
      </c>
    </row>
    <row r="13746" spans="1:5">
      <c r="A13746" t="s">
        <v>15876</v>
      </c>
      <c r="B13746" t="s">
        <v>15878</v>
      </c>
      <c r="C13746">
        <v>0</v>
      </c>
      <c r="D13746">
        <v>0.99295145536700002</v>
      </c>
      <c r="E13746">
        <v>15.904047976011899</v>
      </c>
    </row>
    <row r="13747" spans="1:5">
      <c r="A13747" t="s">
        <v>15876</v>
      </c>
      <c r="B13747" t="s">
        <v>15879</v>
      </c>
      <c r="C13747">
        <v>0</v>
      </c>
      <c r="D13747">
        <v>0.99295145536700002</v>
      </c>
      <c r="E13747">
        <v>15.904047976011899</v>
      </c>
    </row>
    <row r="13748" spans="1:5">
      <c r="A13748" t="s">
        <v>15876</v>
      </c>
      <c r="B13748" t="s">
        <v>15880</v>
      </c>
      <c r="C13748">
        <v>0</v>
      </c>
      <c r="D13748">
        <v>0.99295145536700002</v>
      </c>
      <c r="E13748">
        <v>15.904047976011899</v>
      </c>
    </row>
    <row r="13749" spans="1:5">
      <c r="A13749" t="s">
        <v>15876</v>
      </c>
      <c r="B13749" t="s">
        <v>15881</v>
      </c>
      <c r="C13749">
        <f>0.0574327011478</f>
        <v>5.7432701147799997E-2</v>
      </c>
      <c r="D13749">
        <v>0.99295145536700002</v>
      </c>
      <c r="E13749">
        <v>15.904047976011899</v>
      </c>
    </row>
    <row r="13750" spans="1:5">
      <c r="A13750" t="s">
        <v>15876</v>
      </c>
      <c r="B13750" t="s">
        <v>15882</v>
      </c>
      <c r="C13750">
        <v>0</v>
      </c>
      <c r="D13750">
        <v>0.99295145536700002</v>
      </c>
      <c r="E13750">
        <v>15.904047976011899</v>
      </c>
    </row>
    <row r="13751" spans="1:5">
      <c r="A13751" t="s">
        <v>15876</v>
      </c>
      <c r="B13751" t="s">
        <v>15883</v>
      </c>
      <c r="C13751">
        <f>0</f>
        <v>0</v>
      </c>
      <c r="D13751">
        <v>0.99295145536700002</v>
      </c>
      <c r="E13751">
        <v>15.904047976011899</v>
      </c>
    </row>
    <row r="13752" spans="1:5">
      <c r="A13752" t="s">
        <v>15876</v>
      </c>
      <c r="B13752" t="s">
        <v>15884</v>
      </c>
      <c r="C13752">
        <v>0</v>
      </c>
      <c r="D13752">
        <v>0.99295145536700002</v>
      </c>
      <c r="E13752">
        <v>15.904047976011899</v>
      </c>
    </row>
    <row r="13753" spans="1:5">
      <c r="A13753" t="s">
        <v>15876</v>
      </c>
      <c r="B13753" t="s">
        <v>15885</v>
      </c>
      <c r="C13753">
        <v>0</v>
      </c>
      <c r="D13753">
        <v>0.99295145536700002</v>
      </c>
      <c r="E13753">
        <v>15.904047976011899</v>
      </c>
    </row>
    <row r="13754" spans="1:5">
      <c r="A13754" t="s">
        <v>15886</v>
      </c>
      <c r="B13754" t="s">
        <v>15887</v>
      </c>
      <c r="C13754">
        <v>0</v>
      </c>
      <c r="D13754">
        <v>0.85609262329199998</v>
      </c>
      <c r="E13754">
        <v>8.0119940029985006</v>
      </c>
    </row>
    <row r="13755" spans="1:5">
      <c r="A13755" t="s">
        <v>15886</v>
      </c>
      <c r="B13755" t="s">
        <v>15888</v>
      </c>
      <c r="C13755">
        <f>0</f>
        <v>0</v>
      </c>
      <c r="D13755">
        <v>0.85609262329199998</v>
      </c>
      <c r="E13755">
        <v>8.0119940029985006</v>
      </c>
    </row>
    <row r="13756" spans="1:5">
      <c r="A13756" t="s">
        <v>15886</v>
      </c>
      <c r="B13756" t="s">
        <v>15889</v>
      </c>
      <c r="C13756">
        <v>0</v>
      </c>
      <c r="D13756">
        <v>0.85609262329199998</v>
      </c>
      <c r="E13756">
        <v>8.0119940029985006</v>
      </c>
    </row>
    <row r="13757" spans="1:5">
      <c r="A13757" t="s">
        <v>15886</v>
      </c>
      <c r="B13757" t="s">
        <v>15890</v>
      </c>
      <c r="C13757">
        <v>5.28503715108E-2</v>
      </c>
      <c r="D13757">
        <v>0.85609262329199998</v>
      </c>
      <c r="E13757">
        <v>8.0119940029985006</v>
      </c>
    </row>
    <row r="13758" spans="1:5">
      <c r="A13758" t="s">
        <v>15886</v>
      </c>
      <c r="B13758" t="s">
        <v>15891</v>
      </c>
      <c r="C13758">
        <v>0</v>
      </c>
      <c r="D13758">
        <v>0.85609262329199998</v>
      </c>
      <c r="E13758">
        <v>8.0119940029985006</v>
      </c>
    </row>
    <row r="13759" spans="1:5">
      <c r="A13759" t="s">
        <v>15886</v>
      </c>
      <c r="B13759" t="s">
        <v>15892</v>
      </c>
      <c r="C13759">
        <v>0</v>
      </c>
      <c r="D13759">
        <v>0.85609262329199998</v>
      </c>
      <c r="E13759">
        <v>8.0119940029985006</v>
      </c>
    </row>
    <row r="13760" spans="1:5">
      <c r="A13760" t="s">
        <v>15886</v>
      </c>
      <c r="B13760" t="s">
        <v>15893</v>
      </c>
      <c r="C13760">
        <v>0</v>
      </c>
      <c r="D13760">
        <v>0.85609262329199998</v>
      </c>
      <c r="E13760">
        <v>8.0119940029985006</v>
      </c>
    </row>
    <row r="13761" spans="1:5">
      <c r="A13761" t="s">
        <v>15886</v>
      </c>
      <c r="B13761" t="s">
        <v>15894</v>
      </c>
      <c r="C13761">
        <v>0</v>
      </c>
      <c r="D13761">
        <v>0.85609262329199998</v>
      </c>
      <c r="E13761">
        <v>8.0119940029985006</v>
      </c>
    </row>
    <row r="13762" spans="1:5">
      <c r="A13762" t="s">
        <v>15886</v>
      </c>
      <c r="B13762" t="s">
        <v>15895</v>
      </c>
      <c r="C13762">
        <v>0</v>
      </c>
      <c r="D13762">
        <v>0.85609262329199998</v>
      </c>
      <c r="E13762">
        <v>8.0119940029985006</v>
      </c>
    </row>
    <row r="13763" spans="1:5">
      <c r="A13763" t="s">
        <v>15886</v>
      </c>
      <c r="B13763" t="s">
        <v>15896</v>
      </c>
      <c r="C13763">
        <f>0</f>
        <v>0</v>
      </c>
      <c r="D13763">
        <v>0.85609262329199998</v>
      </c>
      <c r="E13763">
        <v>8.0119940029985006</v>
      </c>
    </row>
    <row r="13764" spans="1:5">
      <c r="A13764" t="s">
        <v>15886</v>
      </c>
      <c r="B13764" t="s">
        <v>15897</v>
      </c>
      <c r="C13764">
        <v>0</v>
      </c>
      <c r="D13764">
        <v>0.85609262329199998</v>
      </c>
      <c r="E13764">
        <v>8.0119940029985006</v>
      </c>
    </row>
    <row r="13765" spans="1:5">
      <c r="A13765" t="s">
        <v>15886</v>
      </c>
      <c r="B13765" t="s">
        <v>15898</v>
      </c>
      <c r="C13765">
        <v>0</v>
      </c>
      <c r="D13765">
        <v>0.85609262329199998</v>
      </c>
      <c r="E13765">
        <v>8.0119940029985006</v>
      </c>
    </row>
    <row r="13766" spans="1:5">
      <c r="A13766" t="s">
        <v>15886</v>
      </c>
      <c r="B13766" t="s">
        <v>15899</v>
      </c>
      <c r="C13766">
        <v>2.80670754361E-2</v>
      </c>
      <c r="D13766">
        <v>0.85609262329199998</v>
      </c>
      <c r="E13766">
        <v>8.0119940029985006</v>
      </c>
    </row>
    <row r="13767" spans="1:5">
      <c r="A13767" t="s">
        <v>15886</v>
      </c>
      <c r="B13767" t="s">
        <v>15900</v>
      </c>
      <c r="C13767">
        <v>0</v>
      </c>
      <c r="D13767">
        <v>0.85609262329199998</v>
      </c>
      <c r="E13767">
        <v>8.0119940029985006</v>
      </c>
    </row>
    <row r="13768" spans="1:5">
      <c r="A13768" t="s">
        <v>15886</v>
      </c>
      <c r="B13768" t="s">
        <v>15901</v>
      </c>
      <c r="C13768">
        <v>0</v>
      </c>
      <c r="D13768">
        <v>0.85609262329199998</v>
      </c>
      <c r="E13768">
        <v>8.0119940029985006</v>
      </c>
    </row>
    <row r="13769" spans="1:5">
      <c r="A13769" t="s">
        <v>15886</v>
      </c>
      <c r="B13769" t="s">
        <v>15902</v>
      </c>
      <c r="C13769">
        <v>0</v>
      </c>
      <c r="D13769">
        <v>0.85609262329199998</v>
      </c>
      <c r="E13769">
        <v>8.0119940029985006</v>
      </c>
    </row>
    <row r="13770" spans="1:5">
      <c r="A13770" t="s">
        <v>15886</v>
      </c>
      <c r="B13770" t="s">
        <v>15903</v>
      </c>
      <c r="C13770">
        <f>0</f>
        <v>0</v>
      </c>
      <c r="D13770">
        <v>0.85609262329199998</v>
      </c>
      <c r="E13770">
        <v>8.0119940029985006</v>
      </c>
    </row>
    <row r="13771" spans="1:5">
      <c r="A13771" t="s">
        <v>15886</v>
      </c>
      <c r="B13771" t="s">
        <v>15904</v>
      </c>
      <c r="C13771">
        <v>0</v>
      </c>
      <c r="D13771">
        <v>0.85609262329199998</v>
      </c>
      <c r="E13771">
        <v>8.0119940029985006</v>
      </c>
    </row>
    <row r="13772" spans="1:5">
      <c r="A13772" t="s">
        <v>15886</v>
      </c>
      <c r="B13772" t="s">
        <v>15905</v>
      </c>
      <c r="C13772">
        <v>0</v>
      </c>
      <c r="D13772">
        <v>0.85609262329199998</v>
      </c>
      <c r="E13772">
        <v>8.0119940029985006</v>
      </c>
    </row>
    <row r="13773" spans="1:5">
      <c r="A13773" t="s">
        <v>15886</v>
      </c>
      <c r="B13773" t="s">
        <v>15906</v>
      </c>
      <c r="C13773">
        <f>0</f>
        <v>0</v>
      </c>
      <c r="D13773">
        <v>0.85609262329199998</v>
      </c>
      <c r="E13773">
        <v>8.0119940029985006</v>
      </c>
    </row>
    <row r="13774" spans="1:5">
      <c r="A13774" t="s">
        <v>15886</v>
      </c>
      <c r="B13774" t="s">
        <v>15907</v>
      </c>
      <c r="C13774">
        <f>0</f>
        <v>0</v>
      </c>
      <c r="D13774">
        <v>0.85609262329199998</v>
      </c>
      <c r="E13774">
        <v>8.0119940029985006</v>
      </c>
    </row>
    <row r="13775" spans="1:5">
      <c r="A13775" t="s">
        <v>15886</v>
      </c>
      <c r="B13775" t="s">
        <v>15908</v>
      </c>
      <c r="C13775">
        <v>0</v>
      </c>
      <c r="D13775">
        <v>0.85609262329199998</v>
      </c>
      <c r="E13775">
        <v>8.0119940029985006</v>
      </c>
    </row>
    <row r="13776" spans="1:5">
      <c r="A13776" t="s">
        <v>15886</v>
      </c>
      <c r="B13776" t="s">
        <v>15909</v>
      </c>
      <c r="C13776">
        <v>6.0094955832600001E-2</v>
      </c>
      <c r="D13776">
        <v>0.85609262329199998</v>
      </c>
      <c r="E13776">
        <v>8.0119940029985006</v>
      </c>
    </row>
    <row r="13777" spans="1:5">
      <c r="A13777" t="s">
        <v>15910</v>
      </c>
      <c r="B13777" t="s">
        <v>15911</v>
      </c>
      <c r="C13777">
        <f>0</f>
        <v>0</v>
      </c>
      <c r="D13777">
        <v>0.98487679777299997</v>
      </c>
      <c r="E13777">
        <v>24</v>
      </c>
    </row>
    <row r="13778" spans="1:5">
      <c r="A13778" t="s">
        <v>15910</v>
      </c>
      <c r="B13778" t="s">
        <v>15912</v>
      </c>
      <c r="C13778">
        <f>0</f>
        <v>0</v>
      </c>
      <c r="D13778">
        <v>0.98487679777299997</v>
      </c>
      <c r="E13778">
        <v>24</v>
      </c>
    </row>
    <row r="13779" spans="1:5">
      <c r="A13779" t="s">
        <v>15910</v>
      </c>
      <c r="B13779" t="s">
        <v>15913</v>
      </c>
      <c r="C13779">
        <f>0</f>
        <v>0</v>
      </c>
      <c r="D13779">
        <v>0.98487679777299997</v>
      </c>
      <c r="E13779">
        <v>24</v>
      </c>
    </row>
    <row r="13780" spans="1:5">
      <c r="A13780" t="s">
        <v>15910</v>
      </c>
      <c r="B13780" t="s">
        <v>15914</v>
      </c>
      <c r="C13780">
        <f>0</f>
        <v>0</v>
      </c>
      <c r="D13780">
        <v>0.98487679777299997</v>
      </c>
      <c r="E13780">
        <v>24</v>
      </c>
    </row>
    <row r="13781" spans="1:5">
      <c r="A13781" t="s">
        <v>15910</v>
      </c>
      <c r="B13781" t="s">
        <v>15915</v>
      </c>
      <c r="C13781">
        <f>0</f>
        <v>0</v>
      </c>
      <c r="D13781">
        <v>0.98487679777299997</v>
      </c>
      <c r="E13781">
        <v>24</v>
      </c>
    </row>
    <row r="13782" spans="1:5">
      <c r="A13782" t="s">
        <v>15916</v>
      </c>
      <c r="B13782" t="s">
        <v>15917</v>
      </c>
      <c r="C13782">
        <f>0</f>
        <v>0</v>
      </c>
      <c r="D13782">
        <v>0.93159189026199996</v>
      </c>
      <c r="E13782">
        <v>11.8740629685157</v>
      </c>
    </row>
    <row r="13783" spans="1:5">
      <c r="A13783" t="s">
        <v>15916</v>
      </c>
      <c r="B13783" t="s">
        <v>15918</v>
      </c>
      <c r="C13783">
        <v>0</v>
      </c>
      <c r="D13783">
        <v>0.93159189026199996</v>
      </c>
      <c r="E13783">
        <v>11.8740629685157</v>
      </c>
    </row>
    <row r="13784" spans="1:5">
      <c r="A13784" t="s">
        <v>15916</v>
      </c>
      <c r="B13784" t="s">
        <v>15919</v>
      </c>
      <c r="C13784">
        <f>0</f>
        <v>0</v>
      </c>
      <c r="D13784">
        <v>0.93159189026199996</v>
      </c>
      <c r="E13784">
        <v>11.8740629685157</v>
      </c>
    </row>
    <row r="13785" spans="1:5">
      <c r="A13785" t="s">
        <v>15916</v>
      </c>
      <c r="B13785" t="s">
        <v>15920</v>
      </c>
      <c r="C13785">
        <v>0</v>
      </c>
      <c r="D13785">
        <v>0.93159189026199996</v>
      </c>
      <c r="E13785">
        <v>11.8740629685157</v>
      </c>
    </row>
    <row r="13786" spans="1:5">
      <c r="A13786" t="s">
        <v>15916</v>
      </c>
      <c r="B13786" t="s">
        <v>15921</v>
      </c>
      <c r="C13786">
        <f>0</f>
        <v>0</v>
      </c>
      <c r="D13786">
        <v>0.93159189026199996</v>
      </c>
      <c r="E13786">
        <v>11.8740629685157</v>
      </c>
    </row>
    <row r="13787" spans="1:5">
      <c r="A13787" t="s">
        <v>15916</v>
      </c>
      <c r="B13787" t="s">
        <v>15922</v>
      </c>
      <c r="C13787">
        <v>0</v>
      </c>
      <c r="D13787">
        <v>0.93159189026199996</v>
      </c>
      <c r="E13787">
        <v>11.8740629685157</v>
      </c>
    </row>
    <row r="13788" spans="1:5">
      <c r="A13788" t="s">
        <v>15916</v>
      </c>
      <c r="B13788" t="s">
        <v>15923</v>
      </c>
      <c r="C13788">
        <f>0.147688751066</f>
        <v>0.14768875106599999</v>
      </c>
      <c r="D13788">
        <v>0.93159189026199996</v>
      </c>
      <c r="E13788">
        <v>11.8740629685157</v>
      </c>
    </row>
    <row r="13789" spans="1:5">
      <c r="A13789" t="s">
        <v>15916</v>
      </c>
      <c r="B13789" t="s">
        <v>15924</v>
      </c>
      <c r="C13789">
        <v>0</v>
      </c>
      <c r="D13789">
        <v>0.93159189026199996</v>
      </c>
      <c r="E13789">
        <v>11.8740629685157</v>
      </c>
    </row>
    <row r="13790" spans="1:5">
      <c r="A13790" t="s">
        <v>15916</v>
      </c>
      <c r="B13790" t="s">
        <v>15925</v>
      </c>
      <c r="C13790">
        <f>0</f>
        <v>0</v>
      </c>
      <c r="D13790">
        <v>0.93159189026199996</v>
      </c>
      <c r="E13790">
        <v>11.8740629685157</v>
      </c>
    </row>
    <row r="13791" spans="1:5">
      <c r="A13791" t="s">
        <v>15916</v>
      </c>
      <c r="B13791" t="s">
        <v>15926</v>
      </c>
      <c r="C13791">
        <f>0</f>
        <v>0</v>
      </c>
      <c r="D13791">
        <v>0.93159189026199996</v>
      </c>
      <c r="E13791">
        <v>11.8740629685157</v>
      </c>
    </row>
    <row r="13792" spans="1:5">
      <c r="A13792" t="s">
        <v>15916</v>
      </c>
      <c r="B13792" t="s">
        <v>15927</v>
      </c>
      <c r="C13792">
        <v>0</v>
      </c>
      <c r="D13792">
        <v>0.93159189026199996</v>
      </c>
      <c r="E13792">
        <v>11.8740629685157</v>
      </c>
    </row>
    <row r="13793" spans="1:5">
      <c r="A13793" t="s">
        <v>15928</v>
      </c>
      <c r="B13793" t="s">
        <v>15929</v>
      </c>
      <c r="C13793">
        <v>4.3397892044100002E-2</v>
      </c>
      <c r="D13793">
        <v>0.87855054602500005</v>
      </c>
      <c r="E13793">
        <v>1.06746626686656</v>
      </c>
    </row>
    <row r="13794" spans="1:5">
      <c r="A13794" t="s">
        <v>15930</v>
      </c>
      <c r="B13794" t="s">
        <v>15931</v>
      </c>
      <c r="C13794">
        <v>0.205057316786</v>
      </c>
      <c r="D13794">
        <v>0.98674645996699994</v>
      </c>
      <c r="E13794">
        <v>24</v>
      </c>
    </row>
    <row r="13795" spans="1:5">
      <c r="A13795" t="s">
        <v>15930</v>
      </c>
      <c r="B13795" t="s">
        <v>15932</v>
      </c>
      <c r="C13795">
        <v>0</v>
      </c>
      <c r="D13795">
        <v>0.98674645996699994</v>
      </c>
      <c r="E13795">
        <v>24</v>
      </c>
    </row>
    <row r="13796" spans="1:5">
      <c r="A13796" t="s">
        <v>15933</v>
      </c>
      <c r="B13796" t="s">
        <v>15934</v>
      </c>
      <c r="C13796">
        <f>0</f>
        <v>0</v>
      </c>
      <c r="D13796">
        <v>0.97577423032599997</v>
      </c>
      <c r="E13796">
        <v>1.06746626686656</v>
      </c>
    </row>
    <row r="13797" spans="1:5">
      <c r="A13797" t="s">
        <v>15933</v>
      </c>
      <c r="B13797" t="s">
        <v>15935</v>
      </c>
      <c r="C13797">
        <f>0</f>
        <v>0</v>
      </c>
      <c r="D13797">
        <v>0.97577423032599997</v>
      </c>
      <c r="E13797">
        <v>1.06746626686656</v>
      </c>
    </row>
    <row r="13798" spans="1:5">
      <c r="A13798" t="s">
        <v>15933</v>
      </c>
      <c r="B13798" t="s">
        <v>15936</v>
      </c>
      <c r="C13798">
        <f>0</f>
        <v>0</v>
      </c>
      <c r="D13798">
        <v>0.97577423032599997</v>
      </c>
      <c r="E13798">
        <v>1.06746626686656</v>
      </c>
    </row>
    <row r="13799" spans="1:5">
      <c r="A13799" t="s">
        <v>15933</v>
      </c>
      <c r="B13799" t="s">
        <v>15937</v>
      </c>
      <c r="C13799">
        <f>0</f>
        <v>0</v>
      </c>
      <c r="D13799">
        <v>0.97577423032599997</v>
      </c>
      <c r="E13799">
        <v>1.06746626686656</v>
      </c>
    </row>
    <row r="13800" spans="1:5">
      <c r="A13800" t="s">
        <v>15933</v>
      </c>
      <c r="B13800" t="s">
        <v>15938</v>
      </c>
      <c r="C13800">
        <f>0.316911436248</f>
        <v>0.316911436248</v>
      </c>
      <c r="D13800">
        <v>0.97577423032599997</v>
      </c>
      <c r="E13800">
        <v>1.06746626686656</v>
      </c>
    </row>
    <row r="13801" spans="1:5">
      <c r="A13801" t="s">
        <v>15933</v>
      </c>
      <c r="B13801" t="s">
        <v>15939</v>
      </c>
      <c r="C13801">
        <f>0</f>
        <v>0</v>
      </c>
      <c r="D13801">
        <v>0.97577423032599997</v>
      </c>
      <c r="E13801">
        <v>1.06746626686656</v>
      </c>
    </row>
    <row r="13802" spans="1:5">
      <c r="A13802" t="s">
        <v>15933</v>
      </c>
      <c r="B13802" t="s">
        <v>15940</v>
      </c>
      <c r="C13802">
        <f>0.508550713898</f>
        <v>0.508550713898</v>
      </c>
      <c r="D13802">
        <v>0.97577423032599997</v>
      </c>
      <c r="E13802">
        <v>1.06746626686656</v>
      </c>
    </row>
    <row r="13803" spans="1:5">
      <c r="A13803" t="s">
        <v>15941</v>
      </c>
      <c r="B13803" t="s">
        <v>15942</v>
      </c>
      <c r="C13803">
        <v>0</v>
      </c>
      <c r="D13803" t="s">
        <v>106</v>
      </c>
      <c r="E13803">
        <v>13.8170914542728</v>
      </c>
    </row>
    <row r="13804" spans="1:5">
      <c r="A13804" t="s">
        <v>15941</v>
      </c>
      <c r="B13804" t="s">
        <v>15943</v>
      </c>
      <c r="C13804">
        <f>0</f>
        <v>0</v>
      </c>
      <c r="D13804" t="s">
        <v>106</v>
      </c>
      <c r="E13804">
        <v>13.8170914542728</v>
      </c>
    </row>
    <row r="13805" spans="1:5">
      <c r="A13805" t="s">
        <v>15941</v>
      </c>
      <c r="B13805" t="s">
        <v>15944</v>
      </c>
      <c r="C13805">
        <f>0</f>
        <v>0</v>
      </c>
      <c r="D13805" t="s">
        <v>106</v>
      </c>
      <c r="E13805">
        <v>13.8170914542728</v>
      </c>
    </row>
    <row r="13806" spans="1:5">
      <c r="A13806" t="s">
        <v>15941</v>
      </c>
      <c r="B13806" t="s">
        <v>15945</v>
      </c>
      <c r="C13806">
        <v>0</v>
      </c>
      <c r="D13806" t="s">
        <v>106</v>
      </c>
      <c r="E13806">
        <v>13.8170914542728</v>
      </c>
    </row>
    <row r="13807" spans="1:5">
      <c r="A13807" t="s">
        <v>15941</v>
      </c>
      <c r="B13807" t="s">
        <v>15946</v>
      </c>
      <c r="C13807">
        <v>0</v>
      </c>
      <c r="D13807" t="s">
        <v>106</v>
      </c>
      <c r="E13807">
        <v>13.8170914542728</v>
      </c>
    </row>
    <row r="13808" spans="1:5">
      <c r="A13808" t="s">
        <v>15947</v>
      </c>
      <c r="B13808" t="s">
        <v>15948</v>
      </c>
      <c r="C13808">
        <f>0.360006307886</f>
        <v>0.36000630788600002</v>
      </c>
      <c r="D13808">
        <v>0.99403289808700002</v>
      </c>
      <c r="E13808">
        <v>0.53973013493253297</v>
      </c>
    </row>
    <row r="13809" spans="1:5">
      <c r="A13809" t="s">
        <v>15947</v>
      </c>
      <c r="B13809" t="s">
        <v>15949</v>
      </c>
      <c r="C13809">
        <v>0</v>
      </c>
      <c r="D13809">
        <v>0.99403289808700002</v>
      </c>
      <c r="E13809">
        <v>0.53973013493253297</v>
      </c>
    </row>
    <row r="13810" spans="1:5">
      <c r="A13810" t="s">
        <v>15947</v>
      </c>
      <c r="B13810" t="s">
        <v>15950</v>
      </c>
      <c r="C13810">
        <f>0</f>
        <v>0</v>
      </c>
      <c r="D13810">
        <v>0.99403289808700002</v>
      </c>
      <c r="E13810">
        <v>0.53973013493253297</v>
      </c>
    </row>
    <row r="13811" spans="1:5">
      <c r="A13811" t="s">
        <v>15947</v>
      </c>
      <c r="B13811" t="s">
        <v>15951</v>
      </c>
      <c r="C13811">
        <f>0.58631021985</f>
        <v>0.58631021984999998</v>
      </c>
      <c r="D13811">
        <v>0.99403289808700002</v>
      </c>
      <c r="E13811">
        <v>0.53973013493253297</v>
      </c>
    </row>
    <row r="13812" spans="1:5">
      <c r="A13812" t="s">
        <v>15952</v>
      </c>
      <c r="B13812" t="s">
        <v>15953</v>
      </c>
      <c r="C13812">
        <v>0</v>
      </c>
      <c r="D13812">
        <v>0.974474308091</v>
      </c>
      <c r="E13812">
        <v>16.095952023988001</v>
      </c>
    </row>
    <row r="13813" spans="1:5">
      <c r="A13813" t="s">
        <v>15952</v>
      </c>
      <c r="B13813" t="s">
        <v>15954</v>
      </c>
      <c r="C13813">
        <f>0</f>
        <v>0</v>
      </c>
      <c r="D13813">
        <v>0.974474308091</v>
      </c>
      <c r="E13813">
        <v>16.095952023988001</v>
      </c>
    </row>
    <row r="13814" spans="1:5">
      <c r="A13814" t="s">
        <v>15952</v>
      </c>
      <c r="B13814" t="s">
        <v>15955</v>
      </c>
      <c r="C13814">
        <f>0</f>
        <v>0</v>
      </c>
      <c r="D13814">
        <v>0.974474308091</v>
      </c>
      <c r="E13814">
        <v>16.095952023988001</v>
      </c>
    </row>
    <row r="13815" spans="1:5">
      <c r="A13815" t="s">
        <v>15952</v>
      </c>
      <c r="B13815" t="s">
        <v>15956</v>
      </c>
      <c r="C13815">
        <f>0</f>
        <v>0</v>
      </c>
      <c r="D13815">
        <v>0.974474308091</v>
      </c>
      <c r="E13815">
        <v>16.095952023988001</v>
      </c>
    </row>
    <row r="13816" spans="1:5">
      <c r="A13816" t="s">
        <v>15952</v>
      </c>
      <c r="B13816" t="s">
        <v>15957</v>
      </c>
      <c r="C13816">
        <f>0</f>
        <v>0</v>
      </c>
      <c r="D13816">
        <v>0.974474308091</v>
      </c>
      <c r="E13816">
        <v>16.095952023988001</v>
      </c>
    </row>
    <row r="13817" spans="1:5">
      <c r="A13817" t="s">
        <v>15952</v>
      </c>
      <c r="B13817" t="s">
        <v>15958</v>
      </c>
      <c r="C13817">
        <v>0</v>
      </c>
      <c r="D13817">
        <v>0.974474308091</v>
      </c>
      <c r="E13817">
        <v>16.095952023988001</v>
      </c>
    </row>
    <row r="13818" spans="1:5">
      <c r="A13818" t="s">
        <v>15952</v>
      </c>
      <c r="B13818" t="s">
        <v>15959</v>
      </c>
      <c r="C13818">
        <v>4.2660441220100003E-3</v>
      </c>
      <c r="D13818">
        <v>0.974474308091</v>
      </c>
      <c r="E13818">
        <v>16.095952023988001</v>
      </c>
    </row>
    <row r="13819" spans="1:5">
      <c r="A13819" t="s">
        <v>15952</v>
      </c>
      <c r="B13819" t="s">
        <v>15960</v>
      </c>
      <c r="C13819">
        <v>5.2135909953700002E-2</v>
      </c>
      <c r="D13819">
        <v>0.974474308091</v>
      </c>
      <c r="E13819">
        <v>16.095952023988001</v>
      </c>
    </row>
    <row r="13820" spans="1:5">
      <c r="A13820" t="s">
        <v>15952</v>
      </c>
      <c r="B13820" t="s">
        <v>15961</v>
      </c>
      <c r="C13820">
        <f>0</f>
        <v>0</v>
      </c>
      <c r="D13820">
        <v>0.974474308091</v>
      </c>
      <c r="E13820">
        <v>16.095952023988001</v>
      </c>
    </row>
    <row r="13821" spans="1:5">
      <c r="A13821" t="s">
        <v>15962</v>
      </c>
      <c r="B13821" t="s">
        <v>15963</v>
      </c>
      <c r="C13821">
        <v>0</v>
      </c>
      <c r="D13821">
        <v>0.99388001709100005</v>
      </c>
      <c r="E13821">
        <v>24</v>
      </c>
    </row>
    <row r="13822" spans="1:5">
      <c r="A13822" t="s">
        <v>15962</v>
      </c>
      <c r="B13822" t="s">
        <v>15964</v>
      </c>
      <c r="C13822">
        <f>0</f>
        <v>0</v>
      </c>
      <c r="D13822">
        <v>0.99388001709100005</v>
      </c>
      <c r="E13822">
        <v>24</v>
      </c>
    </row>
    <row r="13823" spans="1:5">
      <c r="A13823" t="s">
        <v>15965</v>
      </c>
      <c r="B13823" t="s">
        <v>15966</v>
      </c>
      <c r="C13823">
        <v>0</v>
      </c>
      <c r="D13823" t="s">
        <v>106</v>
      </c>
      <c r="E13823">
        <v>1.16341829085457</v>
      </c>
    </row>
    <row r="13824" spans="1:5">
      <c r="A13824" t="s">
        <v>15965</v>
      </c>
      <c r="B13824" t="s">
        <v>15967</v>
      </c>
      <c r="C13824">
        <v>0</v>
      </c>
      <c r="D13824" t="s">
        <v>106</v>
      </c>
      <c r="E13824">
        <v>1.16341829085457</v>
      </c>
    </row>
    <row r="13825" spans="1:5">
      <c r="A13825" t="s">
        <v>15965</v>
      </c>
      <c r="B13825" t="s">
        <v>15968</v>
      </c>
      <c r="C13825">
        <f>0</f>
        <v>0</v>
      </c>
      <c r="D13825" t="s">
        <v>106</v>
      </c>
      <c r="E13825">
        <v>1.16341829085457</v>
      </c>
    </row>
    <row r="13826" spans="1:5">
      <c r="A13826" t="s">
        <v>15965</v>
      </c>
      <c r="B13826" t="s">
        <v>15969</v>
      </c>
      <c r="C13826">
        <v>0</v>
      </c>
      <c r="D13826" t="s">
        <v>106</v>
      </c>
      <c r="E13826">
        <v>1.16341829085457</v>
      </c>
    </row>
    <row r="13827" spans="1:5">
      <c r="A13827" t="s">
        <v>15965</v>
      </c>
      <c r="B13827" t="s">
        <v>15970</v>
      </c>
      <c r="C13827">
        <f>0</f>
        <v>0</v>
      </c>
      <c r="D13827" t="s">
        <v>106</v>
      </c>
      <c r="E13827">
        <v>1.16341829085457</v>
      </c>
    </row>
    <row r="13828" spans="1:5">
      <c r="A13828" t="s">
        <v>15965</v>
      </c>
      <c r="B13828" t="s">
        <v>15971</v>
      </c>
      <c r="C13828">
        <f>0</f>
        <v>0</v>
      </c>
      <c r="D13828" t="s">
        <v>106</v>
      </c>
      <c r="E13828">
        <v>1.16341829085457</v>
      </c>
    </row>
    <row r="13829" spans="1:5">
      <c r="A13829" t="s">
        <v>15965</v>
      </c>
      <c r="B13829" t="s">
        <v>15972</v>
      </c>
      <c r="C13829">
        <v>0</v>
      </c>
      <c r="D13829" t="s">
        <v>106</v>
      </c>
      <c r="E13829">
        <v>1.16341829085457</v>
      </c>
    </row>
    <row r="13830" spans="1:5">
      <c r="A13830" t="s">
        <v>15965</v>
      </c>
      <c r="B13830" t="s">
        <v>15973</v>
      </c>
      <c r="C13830">
        <v>0</v>
      </c>
      <c r="D13830" t="s">
        <v>106</v>
      </c>
      <c r="E13830">
        <v>1.16341829085457</v>
      </c>
    </row>
    <row r="13831" spans="1:5">
      <c r="A13831" t="s">
        <v>15965</v>
      </c>
      <c r="B13831" t="s">
        <v>15974</v>
      </c>
      <c r="C13831">
        <v>0</v>
      </c>
      <c r="D13831" t="s">
        <v>106</v>
      </c>
      <c r="E13831">
        <v>1.16341829085457</v>
      </c>
    </row>
    <row r="13832" spans="1:5">
      <c r="A13832" t="s">
        <v>15965</v>
      </c>
      <c r="B13832" t="s">
        <v>15975</v>
      </c>
      <c r="C13832">
        <f>0</f>
        <v>0</v>
      </c>
      <c r="D13832" t="s">
        <v>106</v>
      </c>
      <c r="E13832">
        <v>1.16341829085457</v>
      </c>
    </row>
    <row r="13833" spans="1:5">
      <c r="A13833" t="s">
        <v>15965</v>
      </c>
      <c r="B13833" t="s">
        <v>15976</v>
      </c>
      <c r="C13833">
        <v>0</v>
      </c>
      <c r="D13833" t="s">
        <v>106</v>
      </c>
      <c r="E13833">
        <v>1.16341829085457</v>
      </c>
    </row>
    <row r="13834" spans="1:5">
      <c r="A13834" t="s">
        <v>15965</v>
      </c>
      <c r="B13834" t="s">
        <v>15977</v>
      </c>
      <c r="C13834">
        <f>0</f>
        <v>0</v>
      </c>
      <c r="D13834" t="s">
        <v>106</v>
      </c>
      <c r="E13834">
        <v>1.16341829085457</v>
      </c>
    </row>
    <row r="13835" spans="1:5">
      <c r="A13835" t="s">
        <v>15965</v>
      </c>
      <c r="B13835" t="s">
        <v>15978</v>
      </c>
      <c r="C13835">
        <f>0</f>
        <v>0</v>
      </c>
      <c r="D13835" t="s">
        <v>106</v>
      </c>
      <c r="E13835">
        <v>1.16341829085457</v>
      </c>
    </row>
    <row r="13836" spans="1:5">
      <c r="A13836" t="s">
        <v>15965</v>
      </c>
      <c r="B13836" t="s">
        <v>15979</v>
      </c>
      <c r="C13836">
        <v>0</v>
      </c>
      <c r="D13836" t="s">
        <v>106</v>
      </c>
      <c r="E13836">
        <v>1.16341829085457</v>
      </c>
    </row>
    <row r="13837" spans="1:5">
      <c r="A13837" t="s">
        <v>15965</v>
      </c>
      <c r="B13837" t="s">
        <v>15980</v>
      </c>
      <c r="C13837">
        <v>0</v>
      </c>
      <c r="D13837" t="s">
        <v>106</v>
      </c>
      <c r="E13837">
        <v>1.16341829085457</v>
      </c>
    </row>
    <row r="13838" spans="1:5">
      <c r="A13838" t="s">
        <v>15981</v>
      </c>
      <c r="B13838" t="s">
        <v>15982</v>
      </c>
      <c r="C13838">
        <f>0.0344364440136</f>
        <v>3.44364440136E-2</v>
      </c>
      <c r="D13838">
        <v>0.78427726142499998</v>
      </c>
      <c r="E13838">
        <v>24</v>
      </c>
    </row>
    <row r="13839" spans="1:5">
      <c r="A13839" t="s">
        <v>15983</v>
      </c>
      <c r="B13839" t="s">
        <v>15984</v>
      </c>
      <c r="C13839">
        <f>0.0910213044086</f>
        <v>9.1021304408599998E-2</v>
      </c>
      <c r="D13839">
        <v>0.92388822606099996</v>
      </c>
      <c r="E13839">
        <v>0.23988005997001499</v>
      </c>
    </row>
    <row r="13840" spans="1:5">
      <c r="A13840" t="s">
        <v>15983</v>
      </c>
      <c r="B13840" t="s">
        <v>15985</v>
      </c>
      <c r="C13840">
        <f>0</f>
        <v>0</v>
      </c>
      <c r="D13840">
        <v>0.92388822606099996</v>
      </c>
      <c r="E13840">
        <v>0.23988005997001499</v>
      </c>
    </row>
    <row r="13841" spans="1:5">
      <c r="A13841" t="s">
        <v>15983</v>
      </c>
      <c r="B13841" t="s">
        <v>15986</v>
      </c>
      <c r="C13841">
        <v>0</v>
      </c>
      <c r="D13841">
        <v>0.92388822606099996</v>
      </c>
      <c r="E13841">
        <v>0.23988005997001499</v>
      </c>
    </row>
    <row r="13842" spans="1:5">
      <c r="A13842" t="s">
        <v>15983</v>
      </c>
      <c r="B13842" t="s">
        <v>15987</v>
      </c>
      <c r="C13842">
        <f>0</f>
        <v>0</v>
      </c>
      <c r="D13842">
        <v>0.92388822606099996</v>
      </c>
      <c r="E13842">
        <v>0.23988005997001499</v>
      </c>
    </row>
    <row r="13843" spans="1:5">
      <c r="A13843" t="s">
        <v>15983</v>
      </c>
      <c r="B13843" t="s">
        <v>15988</v>
      </c>
      <c r="C13843">
        <v>0</v>
      </c>
      <c r="D13843">
        <v>0.92388822606099996</v>
      </c>
      <c r="E13843">
        <v>0.23988005997001499</v>
      </c>
    </row>
    <row r="13844" spans="1:5">
      <c r="A13844" t="s">
        <v>15983</v>
      </c>
      <c r="B13844" t="s">
        <v>15989</v>
      </c>
      <c r="C13844">
        <v>0</v>
      </c>
      <c r="D13844">
        <v>0.92388822606099996</v>
      </c>
      <c r="E13844">
        <v>0.23988005997001499</v>
      </c>
    </row>
    <row r="13845" spans="1:5">
      <c r="A13845" t="s">
        <v>15983</v>
      </c>
      <c r="B13845" t="s">
        <v>15990</v>
      </c>
      <c r="C13845">
        <v>0</v>
      </c>
      <c r="D13845">
        <v>0.92388822606099996</v>
      </c>
      <c r="E13845">
        <v>0.23988005997001499</v>
      </c>
    </row>
    <row r="13846" spans="1:5">
      <c r="A13846" t="s">
        <v>15983</v>
      </c>
      <c r="B13846" t="s">
        <v>15991</v>
      </c>
      <c r="C13846">
        <v>0</v>
      </c>
      <c r="D13846">
        <v>0.92388822606099996</v>
      </c>
      <c r="E13846">
        <v>0.23988005997001499</v>
      </c>
    </row>
    <row r="13847" spans="1:5">
      <c r="A13847" t="s">
        <v>15983</v>
      </c>
      <c r="B13847" t="s">
        <v>15992</v>
      </c>
      <c r="C13847">
        <f>0</f>
        <v>0</v>
      </c>
      <c r="D13847">
        <v>0.92388822606099996</v>
      </c>
      <c r="E13847">
        <v>0.23988005997001499</v>
      </c>
    </row>
    <row r="13848" spans="1:5">
      <c r="A13848" t="s">
        <v>15983</v>
      </c>
      <c r="B13848" t="s">
        <v>15993</v>
      </c>
      <c r="C13848">
        <v>1.3602137279E-2</v>
      </c>
      <c r="D13848">
        <v>0.92388822606099996</v>
      </c>
      <c r="E13848">
        <v>0.23988005997001499</v>
      </c>
    </row>
    <row r="13849" spans="1:5">
      <c r="A13849" t="s">
        <v>15983</v>
      </c>
      <c r="B13849" t="s">
        <v>15994</v>
      </c>
      <c r="C13849">
        <f>0</f>
        <v>0</v>
      </c>
      <c r="D13849">
        <v>0.92388822606099996</v>
      </c>
      <c r="E13849">
        <v>0.23988005997001499</v>
      </c>
    </row>
    <row r="13850" spans="1:5">
      <c r="A13850" t="s">
        <v>15983</v>
      </c>
      <c r="B13850" t="s">
        <v>15995</v>
      </c>
      <c r="C13850">
        <v>0</v>
      </c>
      <c r="D13850">
        <v>0.92388822606099996</v>
      </c>
      <c r="E13850">
        <v>0.23988005997001499</v>
      </c>
    </row>
    <row r="13851" spans="1:5">
      <c r="A13851" t="s">
        <v>15983</v>
      </c>
      <c r="B13851" t="s">
        <v>15996</v>
      </c>
      <c r="C13851">
        <v>0</v>
      </c>
      <c r="D13851">
        <v>0.92388822606099996</v>
      </c>
      <c r="E13851">
        <v>0.23988005997001499</v>
      </c>
    </row>
    <row r="13852" spans="1:5">
      <c r="A13852" t="s">
        <v>15983</v>
      </c>
      <c r="B13852" t="s">
        <v>15997</v>
      </c>
      <c r="C13852">
        <v>0</v>
      </c>
      <c r="D13852">
        <v>0.92388822606099996</v>
      </c>
      <c r="E13852">
        <v>0.23988005997001499</v>
      </c>
    </row>
    <row r="13853" spans="1:5">
      <c r="A13853" t="s">
        <v>15983</v>
      </c>
      <c r="B13853" t="s">
        <v>15998</v>
      </c>
      <c r="C13853">
        <v>0</v>
      </c>
      <c r="D13853">
        <v>0.92388822606099996</v>
      </c>
      <c r="E13853">
        <v>0.23988005997001499</v>
      </c>
    </row>
    <row r="13854" spans="1:5">
      <c r="A13854" t="s">
        <v>15983</v>
      </c>
      <c r="B13854" t="s">
        <v>15999</v>
      </c>
      <c r="C13854">
        <v>0</v>
      </c>
      <c r="D13854">
        <v>0.92388822606099996</v>
      </c>
      <c r="E13854">
        <v>0.23988005997001499</v>
      </c>
    </row>
    <row r="13855" spans="1:5">
      <c r="A13855" t="s">
        <v>15983</v>
      </c>
      <c r="B13855" t="s">
        <v>16000</v>
      </c>
      <c r="C13855">
        <v>0</v>
      </c>
      <c r="D13855">
        <v>0.92388822606099996</v>
      </c>
      <c r="E13855">
        <v>0.23988005997001499</v>
      </c>
    </row>
    <row r="13856" spans="1:5">
      <c r="A13856" t="s">
        <v>15983</v>
      </c>
      <c r="B13856" t="s">
        <v>16001</v>
      </c>
      <c r="C13856">
        <f>0</f>
        <v>0</v>
      </c>
      <c r="D13856">
        <v>0.92388822606099996</v>
      </c>
      <c r="E13856">
        <v>0.23988005997001499</v>
      </c>
    </row>
    <row r="13857" spans="1:5">
      <c r="A13857" t="s">
        <v>15983</v>
      </c>
      <c r="B13857" t="s">
        <v>16002</v>
      </c>
      <c r="C13857">
        <f>0</f>
        <v>0</v>
      </c>
      <c r="D13857">
        <v>0.92388822606099996</v>
      </c>
      <c r="E13857">
        <v>0.23988005997001499</v>
      </c>
    </row>
    <row r="13858" spans="1:5">
      <c r="A13858" t="s">
        <v>15983</v>
      </c>
      <c r="B13858" t="s">
        <v>16003</v>
      </c>
      <c r="C13858">
        <v>0</v>
      </c>
      <c r="D13858">
        <v>0.92388822606099996</v>
      </c>
      <c r="E13858">
        <v>0.23988005997001499</v>
      </c>
    </row>
    <row r="13859" spans="1:5">
      <c r="A13859" t="s">
        <v>15983</v>
      </c>
      <c r="B13859" t="s">
        <v>16004</v>
      </c>
      <c r="C13859">
        <v>0</v>
      </c>
      <c r="D13859">
        <v>0.92388822606099996</v>
      </c>
      <c r="E13859">
        <v>0.23988005997001499</v>
      </c>
    </row>
    <row r="13860" spans="1:5">
      <c r="A13860" t="s">
        <v>15983</v>
      </c>
      <c r="B13860" t="s">
        <v>16005</v>
      </c>
      <c r="C13860">
        <v>0</v>
      </c>
      <c r="D13860">
        <v>0.92388822606099996</v>
      </c>
      <c r="E13860">
        <v>0.23988005997001499</v>
      </c>
    </row>
    <row r="13861" spans="1:5">
      <c r="A13861" t="s">
        <v>15983</v>
      </c>
      <c r="B13861" t="s">
        <v>16006</v>
      </c>
      <c r="C13861">
        <v>0</v>
      </c>
      <c r="D13861">
        <v>0.92388822606099996</v>
      </c>
      <c r="E13861">
        <v>0.23988005997001499</v>
      </c>
    </row>
    <row r="13862" spans="1:5">
      <c r="A13862" t="s">
        <v>15983</v>
      </c>
      <c r="B13862" t="s">
        <v>16007</v>
      </c>
      <c r="C13862">
        <f>0</f>
        <v>0</v>
      </c>
      <c r="D13862">
        <v>0.92388822606099996</v>
      </c>
      <c r="E13862">
        <v>0.23988005997001499</v>
      </c>
    </row>
    <row r="13863" spans="1:5">
      <c r="A13863" t="s">
        <v>15983</v>
      </c>
      <c r="B13863" t="s">
        <v>16008</v>
      </c>
      <c r="C13863">
        <f>0</f>
        <v>0</v>
      </c>
      <c r="D13863">
        <v>0.92388822606099996</v>
      </c>
      <c r="E13863">
        <v>0.23988005997001499</v>
      </c>
    </row>
    <row r="13864" spans="1:5">
      <c r="A13864" t="s">
        <v>15983</v>
      </c>
      <c r="B13864" t="s">
        <v>16009</v>
      </c>
      <c r="C13864">
        <f>0</f>
        <v>0</v>
      </c>
      <c r="D13864">
        <v>0.92388822606099996</v>
      </c>
      <c r="E13864">
        <v>0.23988005997001499</v>
      </c>
    </row>
    <row r="13865" spans="1:5">
      <c r="A13865" t="s">
        <v>15983</v>
      </c>
      <c r="B13865" t="s">
        <v>16010</v>
      </c>
      <c r="C13865">
        <f>0</f>
        <v>0</v>
      </c>
      <c r="D13865">
        <v>0.92388822606099996</v>
      </c>
      <c r="E13865">
        <v>0.23988005997001499</v>
      </c>
    </row>
    <row r="13866" spans="1:5">
      <c r="A13866" t="s">
        <v>15983</v>
      </c>
      <c r="B13866" t="s">
        <v>16011</v>
      </c>
      <c r="C13866">
        <f>0</f>
        <v>0</v>
      </c>
      <c r="D13866">
        <v>0.92388822606099996</v>
      </c>
      <c r="E13866">
        <v>0.23988005997001499</v>
      </c>
    </row>
    <row r="13867" spans="1:5">
      <c r="A13867" t="s">
        <v>15983</v>
      </c>
      <c r="B13867" t="s">
        <v>16012</v>
      </c>
      <c r="C13867">
        <f>0</f>
        <v>0</v>
      </c>
      <c r="D13867">
        <v>0.92388822606099996</v>
      </c>
      <c r="E13867">
        <v>0.23988005997001499</v>
      </c>
    </row>
    <row r="13868" spans="1:5">
      <c r="A13868" t="s">
        <v>15983</v>
      </c>
      <c r="B13868" t="s">
        <v>16013</v>
      </c>
      <c r="C13868">
        <f>0</f>
        <v>0</v>
      </c>
      <c r="D13868">
        <v>0.92388822606099996</v>
      </c>
      <c r="E13868">
        <v>0.23988005997001499</v>
      </c>
    </row>
    <row r="13869" spans="1:5">
      <c r="A13869" t="s">
        <v>15983</v>
      </c>
      <c r="B13869" t="s">
        <v>16014</v>
      </c>
      <c r="C13869">
        <v>0</v>
      </c>
      <c r="D13869">
        <v>0.92388822606099996</v>
      </c>
      <c r="E13869">
        <v>0.23988005997001499</v>
      </c>
    </row>
    <row r="13870" spans="1:5">
      <c r="A13870" t="s">
        <v>15983</v>
      </c>
      <c r="B13870" t="s">
        <v>16015</v>
      </c>
      <c r="C13870">
        <v>0</v>
      </c>
      <c r="D13870">
        <v>0.92388822606099996</v>
      </c>
      <c r="E13870">
        <v>0.23988005997001499</v>
      </c>
    </row>
    <row r="13871" spans="1:5">
      <c r="A13871" t="s">
        <v>15983</v>
      </c>
      <c r="B13871" t="s">
        <v>16016</v>
      </c>
      <c r="C13871">
        <f>0</f>
        <v>0</v>
      </c>
      <c r="D13871">
        <v>0.92388822606099996</v>
      </c>
      <c r="E13871">
        <v>0.23988005997001499</v>
      </c>
    </row>
    <row r="13872" spans="1:5">
      <c r="A13872" t="s">
        <v>16017</v>
      </c>
      <c r="B13872" t="s">
        <v>16018</v>
      </c>
      <c r="C13872">
        <f>0.280853955175</f>
        <v>0.280853955175</v>
      </c>
      <c r="D13872">
        <v>0.99908321369200004</v>
      </c>
      <c r="E13872">
        <v>9.7631184407796106</v>
      </c>
    </row>
    <row r="13873" spans="1:5">
      <c r="A13873" t="s">
        <v>16017</v>
      </c>
      <c r="B13873" t="s">
        <v>16019</v>
      </c>
      <c r="C13873">
        <f>0</f>
        <v>0</v>
      </c>
      <c r="D13873">
        <v>0.99908321369200004</v>
      </c>
      <c r="E13873">
        <v>9.7631184407796106</v>
      </c>
    </row>
    <row r="13874" spans="1:5">
      <c r="A13874" t="s">
        <v>16017</v>
      </c>
      <c r="B13874" t="s">
        <v>16020</v>
      </c>
      <c r="C13874">
        <v>0</v>
      </c>
      <c r="D13874">
        <v>0.99908321369200004</v>
      </c>
      <c r="E13874">
        <v>9.7631184407796106</v>
      </c>
    </row>
    <row r="13875" spans="1:5">
      <c r="A13875" t="s">
        <v>16017</v>
      </c>
      <c r="B13875" t="s">
        <v>16021</v>
      </c>
      <c r="C13875">
        <v>0</v>
      </c>
      <c r="D13875">
        <v>0.99908321369200004</v>
      </c>
      <c r="E13875">
        <v>9.7631184407796106</v>
      </c>
    </row>
    <row r="13876" spans="1:5">
      <c r="A13876" t="s">
        <v>16017</v>
      </c>
      <c r="B13876" t="s">
        <v>16022</v>
      </c>
      <c r="C13876">
        <v>0</v>
      </c>
      <c r="D13876">
        <v>0.99908321369200004</v>
      </c>
      <c r="E13876">
        <v>9.7631184407796106</v>
      </c>
    </row>
    <row r="13877" spans="1:5">
      <c r="A13877" t="s">
        <v>16017</v>
      </c>
      <c r="B13877" t="s">
        <v>16023</v>
      </c>
      <c r="C13877">
        <f>0.212225134031</f>
        <v>0.21222513403099999</v>
      </c>
      <c r="D13877">
        <v>0.99908321369200004</v>
      </c>
      <c r="E13877">
        <v>9.7631184407796106</v>
      </c>
    </row>
    <row r="13878" spans="1:5">
      <c r="A13878" t="s">
        <v>16017</v>
      </c>
      <c r="B13878" t="s">
        <v>16024</v>
      </c>
      <c r="C13878">
        <f>0</f>
        <v>0</v>
      </c>
      <c r="D13878">
        <v>0.99908321369200004</v>
      </c>
      <c r="E13878">
        <v>9.7631184407796106</v>
      </c>
    </row>
    <row r="13879" spans="1:5">
      <c r="A13879" t="s">
        <v>16017</v>
      </c>
      <c r="B13879" t="s">
        <v>16025</v>
      </c>
      <c r="C13879">
        <v>0</v>
      </c>
      <c r="D13879">
        <v>0.99908321369200004</v>
      </c>
      <c r="E13879">
        <v>9.7631184407796106</v>
      </c>
    </row>
    <row r="13880" spans="1:5">
      <c r="A13880" t="s">
        <v>16017</v>
      </c>
      <c r="B13880" t="s">
        <v>16026</v>
      </c>
      <c r="C13880">
        <v>0</v>
      </c>
      <c r="D13880">
        <v>0.99908321369200004</v>
      </c>
      <c r="E13880">
        <v>9.7631184407796106</v>
      </c>
    </row>
    <row r="13881" spans="1:5">
      <c r="A13881" t="s">
        <v>16017</v>
      </c>
      <c r="B13881" t="s">
        <v>16027</v>
      </c>
      <c r="C13881">
        <v>0</v>
      </c>
      <c r="D13881">
        <v>0.99908321369200004</v>
      </c>
      <c r="E13881">
        <v>9.7631184407796106</v>
      </c>
    </row>
    <row r="13882" spans="1:5">
      <c r="A13882" t="s">
        <v>16017</v>
      </c>
      <c r="B13882" t="s">
        <v>16028</v>
      </c>
      <c r="C13882">
        <v>0</v>
      </c>
      <c r="D13882">
        <v>0.99908321369200004</v>
      </c>
      <c r="E13882">
        <v>9.7631184407796106</v>
      </c>
    </row>
    <row r="13883" spans="1:5">
      <c r="A13883" t="s">
        <v>16017</v>
      </c>
      <c r="B13883" t="s">
        <v>16029</v>
      </c>
      <c r="C13883">
        <f>0</f>
        <v>0</v>
      </c>
      <c r="D13883">
        <v>0.99908321369200004</v>
      </c>
      <c r="E13883">
        <v>9.7631184407796106</v>
      </c>
    </row>
    <row r="13884" spans="1:5">
      <c r="A13884" t="s">
        <v>16017</v>
      </c>
      <c r="B13884" t="s">
        <v>16030</v>
      </c>
      <c r="C13884">
        <f>0</f>
        <v>0</v>
      </c>
      <c r="D13884">
        <v>0.99908321369200004</v>
      </c>
      <c r="E13884">
        <v>9.7631184407796106</v>
      </c>
    </row>
    <row r="13885" spans="1:5">
      <c r="A13885" t="s">
        <v>16017</v>
      </c>
      <c r="B13885" t="s">
        <v>16031</v>
      </c>
      <c r="C13885">
        <f>0</f>
        <v>0</v>
      </c>
      <c r="D13885">
        <v>0.99908321369200004</v>
      </c>
      <c r="E13885">
        <v>9.7631184407796106</v>
      </c>
    </row>
    <row r="13886" spans="1:5">
      <c r="A13886" t="s">
        <v>16032</v>
      </c>
      <c r="B13886" t="s">
        <v>16033</v>
      </c>
      <c r="C13886">
        <f>0</f>
        <v>0</v>
      </c>
      <c r="D13886" t="s">
        <v>106</v>
      </c>
      <c r="E13886">
        <v>1.16341829085457</v>
      </c>
    </row>
    <row r="13887" spans="1:5">
      <c r="A13887" t="s">
        <v>16032</v>
      </c>
      <c r="B13887" t="s">
        <v>16034</v>
      </c>
      <c r="C13887">
        <f>0</f>
        <v>0</v>
      </c>
      <c r="D13887" t="s">
        <v>106</v>
      </c>
      <c r="E13887">
        <v>1.16341829085457</v>
      </c>
    </row>
    <row r="13888" spans="1:5">
      <c r="A13888" t="s">
        <v>16032</v>
      </c>
      <c r="B13888" t="s">
        <v>16035</v>
      </c>
      <c r="C13888">
        <v>0</v>
      </c>
      <c r="D13888" t="s">
        <v>106</v>
      </c>
      <c r="E13888">
        <v>1.16341829085457</v>
      </c>
    </row>
    <row r="13889" spans="1:5">
      <c r="A13889" t="s">
        <v>16032</v>
      </c>
      <c r="B13889" t="s">
        <v>16036</v>
      </c>
      <c r="C13889">
        <f>0</f>
        <v>0</v>
      </c>
      <c r="D13889" t="s">
        <v>106</v>
      </c>
      <c r="E13889">
        <v>1.16341829085457</v>
      </c>
    </row>
    <row r="13890" spans="1:5">
      <c r="A13890" t="s">
        <v>16032</v>
      </c>
      <c r="B13890" t="s">
        <v>16037</v>
      </c>
      <c r="C13890">
        <f>0</f>
        <v>0</v>
      </c>
      <c r="D13890" t="s">
        <v>106</v>
      </c>
      <c r="E13890">
        <v>1.16341829085457</v>
      </c>
    </row>
    <row r="13891" spans="1:5">
      <c r="A13891" t="s">
        <v>16032</v>
      </c>
      <c r="B13891" t="s">
        <v>16038</v>
      </c>
      <c r="C13891">
        <f>0</f>
        <v>0</v>
      </c>
      <c r="D13891" t="s">
        <v>106</v>
      </c>
      <c r="E13891">
        <v>1.16341829085457</v>
      </c>
    </row>
    <row r="13892" spans="1:5">
      <c r="A13892" t="s">
        <v>16032</v>
      </c>
      <c r="B13892" t="s">
        <v>16039</v>
      </c>
      <c r="C13892">
        <f>0</f>
        <v>0</v>
      </c>
      <c r="D13892" t="s">
        <v>106</v>
      </c>
      <c r="E13892">
        <v>1.16341829085457</v>
      </c>
    </row>
    <row r="13893" spans="1:5">
      <c r="A13893" t="s">
        <v>16032</v>
      </c>
      <c r="B13893" t="s">
        <v>16040</v>
      </c>
      <c r="C13893">
        <f>0</f>
        <v>0</v>
      </c>
      <c r="D13893" t="s">
        <v>106</v>
      </c>
      <c r="E13893">
        <v>1.16341829085457</v>
      </c>
    </row>
    <row r="13894" spans="1:5">
      <c r="A13894" t="s">
        <v>16041</v>
      </c>
      <c r="B13894" t="s">
        <v>16042</v>
      </c>
      <c r="C13894">
        <f>0</f>
        <v>0</v>
      </c>
      <c r="D13894">
        <v>0.97996790137300005</v>
      </c>
      <c r="E13894">
        <v>8.5757121439280297</v>
      </c>
    </row>
    <row r="13895" spans="1:5">
      <c r="A13895" t="s">
        <v>16041</v>
      </c>
      <c r="B13895" t="s">
        <v>16043</v>
      </c>
      <c r="C13895">
        <v>0</v>
      </c>
      <c r="D13895">
        <v>0.97996790137300005</v>
      </c>
      <c r="E13895">
        <v>8.5757121439280297</v>
      </c>
    </row>
    <row r="13896" spans="1:5">
      <c r="A13896" t="s">
        <v>16041</v>
      </c>
      <c r="B13896" t="s">
        <v>16044</v>
      </c>
      <c r="C13896">
        <v>0</v>
      </c>
      <c r="D13896">
        <v>0.97996790137300005</v>
      </c>
      <c r="E13896">
        <v>8.5757121439280297</v>
      </c>
    </row>
    <row r="13897" spans="1:5">
      <c r="A13897" t="s">
        <v>16041</v>
      </c>
      <c r="B13897" t="s">
        <v>16045</v>
      </c>
      <c r="C13897">
        <v>0.41990523756600001</v>
      </c>
      <c r="D13897">
        <v>0.97996790137300005</v>
      </c>
      <c r="E13897">
        <v>8.5757121439280297</v>
      </c>
    </row>
    <row r="13898" spans="1:5">
      <c r="A13898" t="s">
        <v>16046</v>
      </c>
      <c r="B13898" t="s">
        <v>16047</v>
      </c>
      <c r="C13898">
        <f>0</f>
        <v>0</v>
      </c>
      <c r="D13898">
        <v>0.91590785014099996</v>
      </c>
      <c r="E13898">
        <v>17.103448275862</v>
      </c>
    </row>
    <row r="13899" spans="1:5">
      <c r="A13899" t="s">
        <v>16046</v>
      </c>
      <c r="B13899" t="s">
        <v>16048</v>
      </c>
      <c r="C13899">
        <v>7.0405450284900001E-2</v>
      </c>
      <c r="D13899">
        <v>0.91590785014099996</v>
      </c>
      <c r="E13899">
        <v>17.103448275862</v>
      </c>
    </row>
    <row r="13900" spans="1:5">
      <c r="A13900" t="s">
        <v>16046</v>
      </c>
      <c r="B13900" t="s">
        <v>16049</v>
      </c>
      <c r="C13900">
        <v>0.151266045371</v>
      </c>
      <c r="D13900">
        <v>0.91590785014099996</v>
      </c>
      <c r="E13900">
        <v>17.103448275862</v>
      </c>
    </row>
    <row r="13901" spans="1:5">
      <c r="A13901" t="s">
        <v>16046</v>
      </c>
      <c r="B13901" t="s">
        <v>16050</v>
      </c>
      <c r="C13901">
        <v>0</v>
      </c>
      <c r="D13901">
        <v>0.91590785014099996</v>
      </c>
      <c r="E13901">
        <v>17.103448275862</v>
      </c>
    </row>
    <row r="13902" spans="1:5">
      <c r="A13902" t="s">
        <v>16046</v>
      </c>
      <c r="B13902" t="s">
        <v>16051</v>
      </c>
      <c r="C13902">
        <v>0</v>
      </c>
      <c r="D13902">
        <v>0.91590785014099996</v>
      </c>
      <c r="E13902">
        <v>17.103448275862</v>
      </c>
    </row>
    <row r="13903" spans="1:5">
      <c r="A13903" t="s">
        <v>16046</v>
      </c>
      <c r="B13903" t="s">
        <v>16052</v>
      </c>
      <c r="C13903">
        <v>0</v>
      </c>
      <c r="D13903">
        <v>0.91590785014099996</v>
      </c>
      <c r="E13903">
        <v>17.103448275862</v>
      </c>
    </row>
    <row r="13904" spans="1:5">
      <c r="A13904" t="s">
        <v>16046</v>
      </c>
      <c r="B13904" t="s">
        <v>16053</v>
      </c>
      <c r="C13904">
        <v>0</v>
      </c>
      <c r="D13904">
        <v>0.91590785014099996</v>
      </c>
      <c r="E13904">
        <v>17.103448275862</v>
      </c>
    </row>
    <row r="13905" spans="1:5">
      <c r="A13905" t="s">
        <v>16046</v>
      </c>
      <c r="B13905" t="s">
        <v>16054</v>
      </c>
      <c r="C13905">
        <v>0</v>
      </c>
      <c r="D13905">
        <v>0.91590785014099996</v>
      </c>
      <c r="E13905">
        <v>17.103448275862</v>
      </c>
    </row>
    <row r="13906" spans="1:5">
      <c r="A13906" t="s">
        <v>16055</v>
      </c>
      <c r="B13906" t="s">
        <v>16056</v>
      </c>
      <c r="C13906">
        <v>0</v>
      </c>
      <c r="D13906">
        <v>0.98022081721999998</v>
      </c>
      <c r="E13906">
        <v>1.6311844077961</v>
      </c>
    </row>
    <row r="13907" spans="1:5">
      <c r="A13907" t="s">
        <v>16055</v>
      </c>
      <c r="B13907" t="s">
        <v>16057</v>
      </c>
      <c r="C13907">
        <v>0</v>
      </c>
      <c r="D13907">
        <v>0.98022081721999998</v>
      </c>
      <c r="E13907">
        <v>1.6311844077961</v>
      </c>
    </row>
    <row r="13908" spans="1:5">
      <c r="A13908" t="s">
        <v>16055</v>
      </c>
      <c r="B13908" t="s">
        <v>16058</v>
      </c>
      <c r="C13908">
        <v>0</v>
      </c>
      <c r="D13908">
        <v>0.98022081721999998</v>
      </c>
      <c r="E13908">
        <v>1.6311844077961</v>
      </c>
    </row>
    <row r="13909" spans="1:5">
      <c r="A13909" t="s">
        <v>16055</v>
      </c>
      <c r="B13909" t="s">
        <v>16059</v>
      </c>
      <c r="C13909">
        <v>0</v>
      </c>
      <c r="D13909">
        <v>0.98022081721999998</v>
      </c>
      <c r="E13909">
        <v>1.6311844077961</v>
      </c>
    </row>
    <row r="13910" spans="1:5">
      <c r="A13910" t="s">
        <v>16055</v>
      </c>
      <c r="B13910" t="s">
        <v>16060</v>
      </c>
      <c r="C13910">
        <v>0</v>
      </c>
      <c r="D13910">
        <v>0.98022081721999998</v>
      </c>
      <c r="E13910">
        <v>1.6311844077961</v>
      </c>
    </row>
    <row r="13911" spans="1:5">
      <c r="A13911" t="s">
        <v>16055</v>
      </c>
      <c r="B13911" t="s">
        <v>16061</v>
      </c>
      <c r="C13911">
        <v>0</v>
      </c>
      <c r="D13911">
        <v>0.98022081721999998</v>
      </c>
      <c r="E13911">
        <v>1.6311844077961</v>
      </c>
    </row>
    <row r="13912" spans="1:5">
      <c r="A13912" t="s">
        <v>16055</v>
      </c>
      <c r="B13912" t="s">
        <v>16062</v>
      </c>
      <c r="C13912">
        <v>0.121342228476</v>
      </c>
      <c r="D13912">
        <v>0.98022081721999998</v>
      </c>
      <c r="E13912">
        <v>1.6311844077961</v>
      </c>
    </row>
    <row r="13913" spans="1:5">
      <c r="A13913" t="s">
        <v>16055</v>
      </c>
      <c r="B13913" t="s">
        <v>16063</v>
      </c>
      <c r="C13913">
        <v>0</v>
      </c>
      <c r="D13913">
        <v>0.98022081721999998</v>
      </c>
      <c r="E13913">
        <v>1.6311844077961</v>
      </c>
    </row>
    <row r="13914" spans="1:5">
      <c r="A13914" t="s">
        <v>16055</v>
      </c>
      <c r="B13914" t="s">
        <v>16064</v>
      </c>
      <c r="C13914">
        <v>0.158637328104</v>
      </c>
      <c r="D13914">
        <v>0.98022081721999998</v>
      </c>
      <c r="E13914">
        <v>1.6311844077961</v>
      </c>
    </row>
    <row r="13915" spans="1:5">
      <c r="A13915" t="s">
        <v>16055</v>
      </c>
      <c r="B13915" t="s">
        <v>16065</v>
      </c>
      <c r="C13915">
        <v>0</v>
      </c>
      <c r="D13915">
        <v>0.98022081721999998</v>
      </c>
      <c r="E13915">
        <v>1.6311844077961</v>
      </c>
    </row>
    <row r="13916" spans="1:5">
      <c r="A13916" t="s">
        <v>16066</v>
      </c>
      <c r="B13916" t="s">
        <v>16067</v>
      </c>
      <c r="C13916">
        <v>2.3159066916899999E-2</v>
      </c>
      <c r="D13916">
        <v>0.98762742410399995</v>
      </c>
      <c r="E13916">
        <v>13.8170914542728</v>
      </c>
    </row>
    <row r="13917" spans="1:5">
      <c r="A13917" t="s">
        <v>16066</v>
      </c>
      <c r="B13917" t="s">
        <v>16068</v>
      </c>
      <c r="C13917">
        <v>0</v>
      </c>
      <c r="D13917">
        <v>0.98762742410399995</v>
      </c>
      <c r="E13917">
        <v>13.8170914542728</v>
      </c>
    </row>
    <row r="13918" spans="1:5">
      <c r="A13918" t="s">
        <v>16066</v>
      </c>
      <c r="B13918" t="s">
        <v>16069</v>
      </c>
      <c r="C13918">
        <v>0</v>
      </c>
      <c r="D13918">
        <v>0.98762742410399995</v>
      </c>
      <c r="E13918">
        <v>13.8170914542728</v>
      </c>
    </row>
    <row r="13919" spans="1:5">
      <c r="A13919" t="s">
        <v>16066</v>
      </c>
      <c r="B13919" t="s">
        <v>16070</v>
      </c>
      <c r="C13919">
        <v>0</v>
      </c>
      <c r="D13919">
        <v>0.98762742410399995</v>
      </c>
      <c r="E13919">
        <v>13.8170914542728</v>
      </c>
    </row>
    <row r="13920" spans="1:5">
      <c r="A13920" t="s">
        <v>16066</v>
      </c>
      <c r="B13920" t="s">
        <v>16071</v>
      </c>
      <c r="C13920">
        <v>0.18029281366200001</v>
      </c>
      <c r="D13920">
        <v>0.98762742410399995</v>
      </c>
      <c r="E13920">
        <v>13.8170914542728</v>
      </c>
    </row>
    <row r="13921" spans="1:5">
      <c r="A13921" t="s">
        <v>16066</v>
      </c>
      <c r="B13921" t="s">
        <v>16072</v>
      </c>
      <c r="C13921">
        <v>0</v>
      </c>
      <c r="D13921">
        <v>0.98762742410399995</v>
      </c>
      <c r="E13921">
        <v>13.8170914542728</v>
      </c>
    </row>
    <row r="13922" spans="1:5">
      <c r="A13922" t="s">
        <v>16066</v>
      </c>
      <c r="B13922" t="s">
        <v>16073</v>
      </c>
      <c r="C13922">
        <v>0</v>
      </c>
      <c r="D13922">
        <v>0.98762742410399995</v>
      </c>
      <c r="E13922">
        <v>13.8170914542728</v>
      </c>
    </row>
    <row r="13923" spans="1:5">
      <c r="A13923" t="s">
        <v>16066</v>
      </c>
      <c r="B13923" t="s">
        <v>16074</v>
      </c>
      <c r="C13923">
        <v>0</v>
      </c>
      <c r="D13923">
        <v>0.98762742410399995</v>
      </c>
      <c r="E13923">
        <v>13.8170914542728</v>
      </c>
    </row>
    <row r="13924" spans="1:5">
      <c r="A13924" t="s">
        <v>16066</v>
      </c>
      <c r="B13924" t="s">
        <v>16075</v>
      </c>
      <c r="C13924">
        <v>0</v>
      </c>
      <c r="D13924">
        <v>0.98762742410399995</v>
      </c>
      <c r="E13924">
        <v>13.8170914542728</v>
      </c>
    </row>
    <row r="13925" spans="1:5">
      <c r="A13925" t="s">
        <v>16066</v>
      </c>
      <c r="B13925" t="s">
        <v>16076</v>
      </c>
      <c r="C13925">
        <v>0</v>
      </c>
      <c r="D13925">
        <v>0.98762742410399995</v>
      </c>
      <c r="E13925">
        <v>13.8170914542728</v>
      </c>
    </row>
    <row r="13926" spans="1:5">
      <c r="A13926" t="s">
        <v>16066</v>
      </c>
      <c r="B13926" t="s">
        <v>16077</v>
      </c>
      <c r="C13926">
        <f>0</f>
        <v>0</v>
      </c>
      <c r="D13926">
        <v>0.98762742410399995</v>
      </c>
      <c r="E13926">
        <v>13.8170914542728</v>
      </c>
    </row>
    <row r="13927" spans="1:5">
      <c r="A13927" t="s">
        <v>16066</v>
      </c>
      <c r="B13927" t="s">
        <v>16078</v>
      </c>
      <c r="C13927">
        <v>0</v>
      </c>
      <c r="D13927">
        <v>0.98762742410399995</v>
      </c>
      <c r="E13927">
        <v>13.8170914542728</v>
      </c>
    </row>
    <row r="13928" spans="1:5">
      <c r="A13928" t="s">
        <v>16066</v>
      </c>
      <c r="B13928" t="s">
        <v>16079</v>
      </c>
      <c r="C13928">
        <v>0</v>
      </c>
      <c r="D13928">
        <v>0.98762742410399995</v>
      </c>
      <c r="E13928">
        <v>13.8170914542728</v>
      </c>
    </row>
    <row r="13929" spans="1:5">
      <c r="A13929" t="s">
        <v>16066</v>
      </c>
      <c r="B13929" t="s">
        <v>16080</v>
      </c>
      <c r="C13929">
        <v>0</v>
      </c>
      <c r="D13929">
        <v>0.98762742410399995</v>
      </c>
      <c r="E13929">
        <v>13.8170914542728</v>
      </c>
    </row>
    <row r="13930" spans="1:5">
      <c r="A13930" t="s">
        <v>16066</v>
      </c>
      <c r="B13930" t="s">
        <v>16081</v>
      </c>
      <c r="C13930">
        <v>0</v>
      </c>
      <c r="D13930">
        <v>0.98762742410399995</v>
      </c>
      <c r="E13930">
        <v>13.8170914542728</v>
      </c>
    </row>
    <row r="13931" spans="1:5">
      <c r="A13931" t="s">
        <v>16066</v>
      </c>
      <c r="B13931" t="s">
        <v>16082</v>
      </c>
      <c r="C13931">
        <f>0</f>
        <v>0</v>
      </c>
      <c r="D13931">
        <v>0.98762742410399995</v>
      </c>
      <c r="E13931">
        <v>13.8170914542728</v>
      </c>
    </row>
    <row r="13932" spans="1:5">
      <c r="A13932" t="s">
        <v>16066</v>
      </c>
      <c r="B13932" t="s">
        <v>16083</v>
      </c>
      <c r="C13932">
        <f>0</f>
        <v>0</v>
      </c>
      <c r="D13932">
        <v>0.98762742410399995</v>
      </c>
      <c r="E13932">
        <v>13.8170914542728</v>
      </c>
    </row>
    <row r="13933" spans="1:5">
      <c r="A13933" t="s">
        <v>16084</v>
      </c>
      <c r="B13933" t="s">
        <v>16085</v>
      </c>
      <c r="C13933">
        <v>0</v>
      </c>
      <c r="D13933">
        <v>0.57073885807400004</v>
      </c>
      <c r="E13933">
        <v>0.77961019490254801</v>
      </c>
    </row>
    <row r="13934" spans="1:5">
      <c r="A13934" t="s">
        <v>16084</v>
      </c>
      <c r="B13934" t="s">
        <v>16086</v>
      </c>
      <c r="C13934">
        <f>0.0655286424851</f>
        <v>6.55286424851E-2</v>
      </c>
      <c r="D13934">
        <v>0.57073885807400004</v>
      </c>
      <c r="E13934">
        <v>0.77961019490254801</v>
      </c>
    </row>
    <row r="13935" spans="1:5">
      <c r="A13935" t="s">
        <v>16084</v>
      </c>
      <c r="B13935" t="s">
        <v>16087</v>
      </c>
      <c r="C13935">
        <f>0</f>
        <v>0</v>
      </c>
      <c r="D13935">
        <v>0.57073885807400004</v>
      </c>
      <c r="E13935">
        <v>0.77961019490254801</v>
      </c>
    </row>
    <row r="13936" spans="1:5">
      <c r="A13936" t="s">
        <v>16084</v>
      </c>
      <c r="B13936" t="s">
        <v>16088</v>
      </c>
      <c r="C13936">
        <v>0</v>
      </c>
      <c r="D13936">
        <v>0.57073885807400004</v>
      </c>
      <c r="E13936">
        <v>0.77961019490254801</v>
      </c>
    </row>
    <row r="13937" spans="1:5">
      <c r="A13937" t="s">
        <v>16084</v>
      </c>
      <c r="B13937" t="s">
        <v>16089</v>
      </c>
      <c r="C13937">
        <f>0</f>
        <v>0</v>
      </c>
      <c r="D13937">
        <v>0.57073885807400004</v>
      </c>
      <c r="E13937">
        <v>0.77961019490254801</v>
      </c>
    </row>
    <row r="13938" spans="1:5">
      <c r="A13938" t="s">
        <v>16090</v>
      </c>
      <c r="B13938" t="s">
        <v>16091</v>
      </c>
      <c r="C13938">
        <v>0</v>
      </c>
      <c r="D13938" t="s">
        <v>106</v>
      </c>
      <c r="E13938">
        <v>1.6911544227886</v>
      </c>
    </row>
    <row r="13939" spans="1:5">
      <c r="A13939" t="s">
        <v>16090</v>
      </c>
      <c r="B13939" t="s">
        <v>16092</v>
      </c>
      <c r="C13939">
        <v>0</v>
      </c>
      <c r="D13939" t="s">
        <v>106</v>
      </c>
      <c r="E13939">
        <v>1.6911544227886</v>
      </c>
    </row>
    <row r="13940" spans="1:5">
      <c r="A13940" t="s">
        <v>16090</v>
      </c>
      <c r="B13940" t="s">
        <v>16093</v>
      </c>
      <c r="C13940">
        <v>0</v>
      </c>
      <c r="D13940" t="s">
        <v>106</v>
      </c>
      <c r="E13940">
        <v>1.6911544227886</v>
      </c>
    </row>
    <row r="13941" spans="1:5">
      <c r="A13941" t="s">
        <v>16090</v>
      </c>
      <c r="B13941" t="s">
        <v>16094</v>
      </c>
      <c r="C13941">
        <v>0</v>
      </c>
      <c r="D13941" t="s">
        <v>106</v>
      </c>
      <c r="E13941">
        <v>1.6911544227886</v>
      </c>
    </row>
    <row r="13942" spans="1:5">
      <c r="A13942" t="s">
        <v>16090</v>
      </c>
      <c r="B13942" t="s">
        <v>16095</v>
      </c>
      <c r="C13942">
        <v>0</v>
      </c>
      <c r="D13942" t="s">
        <v>106</v>
      </c>
      <c r="E13942">
        <v>1.6911544227886</v>
      </c>
    </row>
    <row r="13943" spans="1:5">
      <c r="A13943" t="s">
        <v>16090</v>
      </c>
      <c r="B13943" t="s">
        <v>16096</v>
      </c>
      <c r="C13943">
        <v>0</v>
      </c>
      <c r="D13943" t="s">
        <v>106</v>
      </c>
      <c r="E13943">
        <v>1.6911544227886</v>
      </c>
    </row>
    <row r="13944" spans="1:5">
      <c r="A13944" t="s">
        <v>16097</v>
      </c>
      <c r="B13944" t="s">
        <v>16098</v>
      </c>
      <c r="C13944">
        <v>3.4482719644699997E-2</v>
      </c>
      <c r="D13944">
        <v>0.98892481135499999</v>
      </c>
      <c r="E13944">
        <v>11.370314842578701</v>
      </c>
    </row>
    <row r="13945" spans="1:5">
      <c r="A13945" t="s">
        <v>16097</v>
      </c>
      <c r="B13945" t="s">
        <v>16099</v>
      </c>
      <c r="C13945">
        <v>0</v>
      </c>
      <c r="D13945">
        <v>0.98892481135499999</v>
      </c>
      <c r="E13945">
        <v>11.370314842578701</v>
      </c>
    </row>
    <row r="13946" spans="1:5">
      <c r="A13946" t="s">
        <v>16097</v>
      </c>
      <c r="B13946" t="s">
        <v>16100</v>
      </c>
      <c r="C13946">
        <f>0</f>
        <v>0</v>
      </c>
      <c r="D13946">
        <v>0.98892481135499999</v>
      </c>
      <c r="E13946">
        <v>11.370314842578701</v>
      </c>
    </row>
    <row r="13947" spans="1:5">
      <c r="A13947" t="s">
        <v>16097</v>
      </c>
      <c r="B13947" t="s">
        <v>16101</v>
      </c>
      <c r="C13947">
        <v>0.330511246777</v>
      </c>
      <c r="D13947">
        <v>0.98892481135499999</v>
      </c>
      <c r="E13947">
        <v>11.370314842578701</v>
      </c>
    </row>
    <row r="13948" spans="1:5">
      <c r="A13948" t="s">
        <v>16097</v>
      </c>
      <c r="B13948" t="s">
        <v>16102</v>
      </c>
      <c r="C13948">
        <v>0</v>
      </c>
      <c r="D13948">
        <v>0.98892481135499999</v>
      </c>
      <c r="E13948">
        <v>11.370314842578701</v>
      </c>
    </row>
    <row r="13949" spans="1:5">
      <c r="A13949" t="s">
        <v>16097</v>
      </c>
      <c r="B13949" t="s">
        <v>16103</v>
      </c>
      <c r="C13949">
        <v>0</v>
      </c>
      <c r="D13949">
        <v>0.98892481135499999</v>
      </c>
      <c r="E13949">
        <v>11.370314842578701</v>
      </c>
    </row>
    <row r="13950" spans="1:5">
      <c r="A13950" t="s">
        <v>16097</v>
      </c>
      <c r="B13950" t="s">
        <v>16104</v>
      </c>
      <c r="C13950">
        <f>0</f>
        <v>0</v>
      </c>
      <c r="D13950">
        <v>0.98892481135499999</v>
      </c>
      <c r="E13950">
        <v>11.370314842578701</v>
      </c>
    </row>
    <row r="13951" spans="1:5">
      <c r="A13951" t="s">
        <v>16097</v>
      </c>
      <c r="B13951" t="s">
        <v>16105</v>
      </c>
      <c r="C13951">
        <v>0</v>
      </c>
      <c r="D13951">
        <v>0.98892481135499999</v>
      </c>
      <c r="E13951">
        <v>11.370314842578701</v>
      </c>
    </row>
    <row r="13952" spans="1:5">
      <c r="A13952" t="s">
        <v>16097</v>
      </c>
      <c r="B13952" t="s">
        <v>16106</v>
      </c>
      <c r="C13952">
        <v>0</v>
      </c>
      <c r="D13952">
        <v>0.98892481135499999</v>
      </c>
      <c r="E13952">
        <v>11.370314842578701</v>
      </c>
    </row>
    <row r="13953" spans="1:5">
      <c r="A13953" t="s">
        <v>16097</v>
      </c>
      <c r="B13953" t="s">
        <v>16107</v>
      </c>
      <c r="C13953">
        <f>0</f>
        <v>0</v>
      </c>
      <c r="D13953">
        <v>0.98892481135499999</v>
      </c>
      <c r="E13953">
        <v>11.370314842578701</v>
      </c>
    </row>
    <row r="13954" spans="1:5">
      <c r="A13954" t="s">
        <v>16097</v>
      </c>
      <c r="B13954" t="s">
        <v>16108</v>
      </c>
      <c r="C13954">
        <v>0</v>
      </c>
      <c r="D13954">
        <v>0.98892481135499999</v>
      </c>
      <c r="E13954">
        <v>11.370314842578701</v>
      </c>
    </row>
    <row r="13955" spans="1:5">
      <c r="A13955" t="s">
        <v>16097</v>
      </c>
      <c r="B13955" t="s">
        <v>16109</v>
      </c>
      <c r="C13955">
        <v>0</v>
      </c>
      <c r="D13955">
        <v>0.98892481135499999</v>
      </c>
      <c r="E13955">
        <v>11.370314842578701</v>
      </c>
    </row>
    <row r="13956" spans="1:5">
      <c r="A13956" t="s">
        <v>16110</v>
      </c>
      <c r="B13956" t="s">
        <v>16111</v>
      </c>
      <c r="C13956">
        <v>1.26495801503E-2</v>
      </c>
      <c r="D13956">
        <v>0.80848631738099996</v>
      </c>
      <c r="E13956">
        <v>16.491754122938499</v>
      </c>
    </row>
    <row r="13957" spans="1:5">
      <c r="A13957" t="s">
        <v>16110</v>
      </c>
      <c r="B13957" t="s">
        <v>16112</v>
      </c>
      <c r="C13957">
        <v>0</v>
      </c>
      <c r="D13957">
        <v>0.80848631738099996</v>
      </c>
      <c r="E13957">
        <v>16.491754122938499</v>
      </c>
    </row>
    <row r="13958" spans="1:5">
      <c r="A13958" t="s">
        <v>16110</v>
      </c>
      <c r="B13958" t="s">
        <v>16113</v>
      </c>
      <c r="C13958">
        <f>0.141917516233</f>
        <v>0.141917516233</v>
      </c>
      <c r="D13958">
        <v>0.80848631738099996</v>
      </c>
      <c r="E13958">
        <v>16.491754122938499</v>
      </c>
    </row>
    <row r="13959" spans="1:5">
      <c r="A13959" t="s">
        <v>16110</v>
      </c>
      <c r="B13959" t="s">
        <v>16114</v>
      </c>
      <c r="C13959">
        <f>0</f>
        <v>0</v>
      </c>
      <c r="D13959">
        <v>0.80848631738099996</v>
      </c>
      <c r="E13959">
        <v>16.491754122938499</v>
      </c>
    </row>
    <row r="13960" spans="1:5">
      <c r="A13960" t="s">
        <v>16110</v>
      </c>
      <c r="B13960" t="s">
        <v>16115</v>
      </c>
      <c r="C13960">
        <f>0</f>
        <v>0</v>
      </c>
      <c r="D13960">
        <v>0.80848631738099996</v>
      </c>
      <c r="E13960">
        <v>16.491754122938499</v>
      </c>
    </row>
    <row r="13961" spans="1:5">
      <c r="A13961" t="s">
        <v>16110</v>
      </c>
      <c r="B13961" t="s">
        <v>16116</v>
      </c>
      <c r="C13961">
        <f>0</f>
        <v>0</v>
      </c>
      <c r="D13961">
        <v>0.80848631738099996</v>
      </c>
      <c r="E13961">
        <v>16.491754122938499</v>
      </c>
    </row>
    <row r="13962" spans="1:5">
      <c r="A13962" t="s">
        <v>16110</v>
      </c>
      <c r="B13962" t="s">
        <v>16117</v>
      </c>
      <c r="C13962">
        <f>0</f>
        <v>0</v>
      </c>
      <c r="D13962">
        <v>0.80848631738099996</v>
      </c>
      <c r="E13962">
        <v>16.491754122938499</v>
      </c>
    </row>
    <row r="13963" spans="1:5">
      <c r="A13963" t="s">
        <v>16118</v>
      </c>
      <c r="B13963" t="s">
        <v>16119</v>
      </c>
      <c r="C13963">
        <v>0.43828844305699999</v>
      </c>
      <c r="D13963">
        <v>0.827284647599</v>
      </c>
      <c r="E13963">
        <v>9.1634182908545707</v>
      </c>
    </row>
    <row r="13964" spans="1:5">
      <c r="A13964" t="s">
        <v>16120</v>
      </c>
      <c r="B13964" t="s">
        <v>16121</v>
      </c>
      <c r="C13964">
        <v>0</v>
      </c>
      <c r="D13964">
        <v>0.96327383232099995</v>
      </c>
      <c r="E13964">
        <v>8.1439280359820092</v>
      </c>
    </row>
    <row r="13965" spans="1:5">
      <c r="A13965" t="s">
        <v>16120</v>
      </c>
      <c r="B13965" t="s">
        <v>16122</v>
      </c>
      <c r="C13965">
        <v>0.14770366506099999</v>
      </c>
      <c r="D13965">
        <v>0.96327383232099995</v>
      </c>
      <c r="E13965">
        <v>8.1439280359820092</v>
      </c>
    </row>
    <row r="13966" spans="1:5">
      <c r="A13966" t="s">
        <v>16120</v>
      </c>
      <c r="B13966" t="s">
        <v>16123</v>
      </c>
      <c r="C13966">
        <f>0</f>
        <v>0</v>
      </c>
      <c r="D13966">
        <v>0.96327383232099995</v>
      </c>
      <c r="E13966">
        <v>8.1439280359820092</v>
      </c>
    </row>
    <row r="13967" spans="1:5">
      <c r="A13967" t="s">
        <v>16120</v>
      </c>
      <c r="B13967" t="s">
        <v>16124</v>
      </c>
      <c r="C13967">
        <f>0</f>
        <v>0</v>
      </c>
      <c r="D13967">
        <v>0.96327383232099995</v>
      </c>
      <c r="E13967">
        <v>8.1439280359820092</v>
      </c>
    </row>
    <row r="13968" spans="1:5">
      <c r="A13968" t="s">
        <v>16120</v>
      </c>
      <c r="B13968" t="s">
        <v>16125</v>
      </c>
      <c r="C13968">
        <f>0</f>
        <v>0</v>
      </c>
      <c r="D13968">
        <v>0.96327383232099995</v>
      </c>
      <c r="E13968">
        <v>8.1439280359820092</v>
      </c>
    </row>
    <row r="13969" spans="1:5">
      <c r="A13969" t="s">
        <v>16120</v>
      </c>
      <c r="B13969" t="s">
        <v>16126</v>
      </c>
      <c r="C13969">
        <v>1.47816597739E-2</v>
      </c>
      <c r="D13969">
        <v>0.96327383232099995</v>
      </c>
      <c r="E13969">
        <v>8.1439280359820092</v>
      </c>
    </row>
    <row r="13970" spans="1:5">
      <c r="A13970" t="s">
        <v>16127</v>
      </c>
      <c r="B13970" t="s">
        <v>16128</v>
      </c>
      <c r="C13970">
        <v>0</v>
      </c>
      <c r="D13970" t="s">
        <v>106</v>
      </c>
      <c r="E13970">
        <v>1.7631184407796101</v>
      </c>
    </row>
    <row r="13971" spans="1:5">
      <c r="A13971" t="s">
        <v>16127</v>
      </c>
      <c r="B13971" t="s">
        <v>16129</v>
      </c>
      <c r="C13971">
        <f>0</f>
        <v>0</v>
      </c>
      <c r="D13971" t="s">
        <v>106</v>
      </c>
      <c r="E13971">
        <v>1.7631184407796101</v>
      </c>
    </row>
    <row r="13972" spans="1:5">
      <c r="A13972" t="s">
        <v>16130</v>
      </c>
      <c r="B13972" t="s">
        <v>16131</v>
      </c>
      <c r="C13972">
        <f>0</f>
        <v>0</v>
      </c>
      <c r="D13972">
        <v>0.95311617553700001</v>
      </c>
      <c r="E13972">
        <v>13.2653673163418</v>
      </c>
    </row>
    <row r="13973" spans="1:5">
      <c r="A13973" t="s">
        <v>16130</v>
      </c>
      <c r="B13973" t="s">
        <v>16132</v>
      </c>
      <c r="C13973">
        <f>0</f>
        <v>0</v>
      </c>
      <c r="D13973">
        <v>0.95311617553700001</v>
      </c>
      <c r="E13973">
        <v>13.2653673163418</v>
      </c>
    </row>
    <row r="13974" spans="1:5">
      <c r="A13974" t="s">
        <v>16130</v>
      </c>
      <c r="B13974" t="s">
        <v>16133</v>
      </c>
      <c r="C13974">
        <v>0.161638387434</v>
      </c>
      <c r="D13974">
        <v>0.95311617553700001</v>
      </c>
      <c r="E13974">
        <v>13.2653673163418</v>
      </c>
    </row>
    <row r="13975" spans="1:5">
      <c r="A13975" t="s">
        <v>16130</v>
      </c>
      <c r="B13975" t="s">
        <v>16134</v>
      </c>
      <c r="C13975">
        <f>0</f>
        <v>0</v>
      </c>
      <c r="D13975">
        <v>0.95311617553700001</v>
      </c>
      <c r="E13975">
        <v>13.2653673163418</v>
      </c>
    </row>
    <row r="13976" spans="1:5">
      <c r="A13976" t="s">
        <v>16130</v>
      </c>
      <c r="B13976" t="s">
        <v>16135</v>
      </c>
      <c r="C13976">
        <f>0.0313680127703</f>
        <v>3.1368012770299998E-2</v>
      </c>
      <c r="D13976">
        <v>0.95311617553700001</v>
      </c>
      <c r="E13976">
        <v>13.2653673163418</v>
      </c>
    </row>
    <row r="13977" spans="1:5">
      <c r="A13977" t="s">
        <v>16136</v>
      </c>
      <c r="B13977" t="s">
        <v>16137</v>
      </c>
      <c r="C13977">
        <v>0</v>
      </c>
      <c r="D13977">
        <v>0.56171756987300003</v>
      </c>
      <c r="E13977">
        <v>5.69715142428785</v>
      </c>
    </row>
    <row r="13978" spans="1:5">
      <c r="A13978" t="s">
        <v>16136</v>
      </c>
      <c r="B13978" t="s">
        <v>16138</v>
      </c>
      <c r="C13978">
        <v>0</v>
      </c>
      <c r="D13978">
        <v>0.56171756987300003</v>
      </c>
      <c r="E13978">
        <v>5.69715142428785</v>
      </c>
    </row>
    <row r="13979" spans="1:5">
      <c r="A13979" t="s">
        <v>16136</v>
      </c>
      <c r="B13979" t="s">
        <v>16139</v>
      </c>
      <c r="C13979">
        <v>2.0302063653399999E-2</v>
      </c>
      <c r="D13979">
        <v>0.56171756987300003</v>
      </c>
      <c r="E13979">
        <v>5.69715142428785</v>
      </c>
    </row>
    <row r="13980" spans="1:5">
      <c r="A13980" t="s">
        <v>16136</v>
      </c>
      <c r="B13980" t="s">
        <v>16140</v>
      </c>
      <c r="C13980">
        <v>3.2597697806900001E-3</v>
      </c>
      <c r="D13980">
        <v>0.56171756987300003</v>
      </c>
      <c r="E13980">
        <v>5.69715142428785</v>
      </c>
    </row>
    <row r="13981" spans="1:5">
      <c r="A13981" t="s">
        <v>16136</v>
      </c>
      <c r="B13981" t="s">
        <v>16141</v>
      </c>
      <c r="C13981">
        <v>0</v>
      </c>
      <c r="D13981">
        <v>0.56171756987300003</v>
      </c>
      <c r="E13981">
        <v>5.69715142428785</v>
      </c>
    </row>
    <row r="13982" spans="1:5">
      <c r="A13982" t="s">
        <v>16136</v>
      </c>
      <c r="B13982" t="s">
        <v>16142</v>
      </c>
      <c r="C13982">
        <f>0</f>
        <v>0</v>
      </c>
      <c r="D13982">
        <v>0.56171756987300003</v>
      </c>
      <c r="E13982">
        <v>5.69715142428785</v>
      </c>
    </row>
    <row r="13983" spans="1:5">
      <c r="A13983" t="s">
        <v>16136</v>
      </c>
      <c r="B13983" t="s">
        <v>16143</v>
      </c>
      <c r="C13983">
        <v>0</v>
      </c>
      <c r="D13983">
        <v>0.56171756987300003</v>
      </c>
      <c r="E13983">
        <v>5.69715142428785</v>
      </c>
    </row>
    <row r="13984" spans="1:5">
      <c r="A13984" t="s">
        <v>16136</v>
      </c>
      <c r="B13984" t="s">
        <v>16144</v>
      </c>
      <c r="C13984">
        <f>0</f>
        <v>0</v>
      </c>
      <c r="D13984">
        <v>0.56171756987300003</v>
      </c>
      <c r="E13984">
        <v>5.69715142428785</v>
      </c>
    </row>
    <row r="13985" spans="1:5">
      <c r="A13985" t="s">
        <v>16145</v>
      </c>
      <c r="B13985" t="s">
        <v>16146</v>
      </c>
      <c r="C13985">
        <f>0</f>
        <v>0</v>
      </c>
      <c r="D13985">
        <v>0.83699016831299999</v>
      </c>
      <c r="E13985">
        <v>2.79460269865067</v>
      </c>
    </row>
    <row r="13986" spans="1:5">
      <c r="A13986" t="s">
        <v>16145</v>
      </c>
      <c r="B13986" t="s">
        <v>16147</v>
      </c>
      <c r="C13986">
        <v>5.5183997217900002E-2</v>
      </c>
      <c r="D13986">
        <v>0.83699016831299999</v>
      </c>
      <c r="E13986">
        <v>2.79460269865067</v>
      </c>
    </row>
    <row r="13987" spans="1:5">
      <c r="A13987" t="s">
        <v>16145</v>
      </c>
      <c r="B13987" t="s">
        <v>16148</v>
      </c>
      <c r="C13987">
        <v>0</v>
      </c>
      <c r="D13987">
        <v>0.83699016831299999</v>
      </c>
      <c r="E13987">
        <v>2.79460269865067</v>
      </c>
    </row>
    <row r="13988" spans="1:5">
      <c r="A13988" t="s">
        <v>16149</v>
      </c>
      <c r="B13988" t="s">
        <v>16150</v>
      </c>
      <c r="C13988">
        <v>0</v>
      </c>
      <c r="D13988">
        <v>0.87473485294300002</v>
      </c>
      <c r="E13988">
        <v>11.7061469265367</v>
      </c>
    </row>
    <row r="13989" spans="1:5">
      <c r="A13989" t="s">
        <v>16149</v>
      </c>
      <c r="B13989" t="s">
        <v>16151</v>
      </c>
      <c r="C13989">
        <v>0</v>
      </c>
      <c r="D13989">
        <v>0.87473485294300002</v>
      </c>
      <c r="E13989">
        <v>11.7061469265367</v>
      </c>
    </row>
    <row r="13990" spans="1:5">
      <c r="A13990" t="s">
        <v>16149</v>
      </c>
      <c r="B13990" t="s">
        <v>16152</v>
      </c>
      <c r="C13990">
        <v>0</v>
      </c>
      <c r="D13990">
        <v>0.87473485294300002</v>
      </c>
      <c r="E13990">
        <v>11.7061469265367</v>
      </c>
    </row>
    <row r="13991" spans="1:5">
      <c r="A13991" t="s">
        <v>16149</v>
      </c>
      <c r="B13991" t="s">
        <v>16153</v>
      </c>
      <c r="C13991">
        <f>0</f>
        <v>0</v>
      </c>
      <c r="D13991">
        <v>0.87473485294300002</v>
      </c>
      <c r="E13991">
        <v>11.7061469265367</v>
      </c>
    </row>
    <row r="13992" spans="1:5">
      <c r="A13992" t="s">
        <v>16149</v>
      </c>
      <c r="B13992" t="s">
        <v>16154</v>
      </c>
      <c r="C13992">
        <v>0.28047436487600003</v>
      </c>
      <c r="D13992">
        <v>0.87473485294300002</v>
      </c>
      <c r="E13992">
        <v>11.7061469265367</v>
      </c>
    </row>
    <row r="13993" spans="1:5">
      <c r="A13993" t="s">
        <v>16149</v>
      </c>
      <c r="B13993" t="s">
        <v>16155</v>
      </c>
      <c r="C13993">
        <v>0</v>
      </c>
      <c r="D13993">
        <v>0.87473485294300002</v>
      </c>
      <c r="E13993">
        <v>11.7061469265367</v>
      </c>
    </row>
    <row r="13994" spans="1:5">
      <c r="A13994" t="s">
        <v>16156</v>
      </c>
      <c r="B13994" t="s">
        <v>16157</v>
      </c>
      <c r="C13994">
        <f>0</f>
        <v>0</v>
      </c>
      <c r="D13994">
        <v>0.99406357770200005</v>
      </c>
      <c r="E13994">
        <v>2.6386806596701602</v>
      </c>
    </row>
    <row r="13995" spans="1:5">
      <c r="A13995" t="s">
        <v>16156</v>
      </c>
      <c r="B13995" t="s">
        <v>16158</v>
      </c>
      <c r="C13995">
        <f>0</f>
        <v>0</v>
      </c>
      <c r="D13995">
        <v>0.99406357770200005</v>
      </c>
      <c r="E13995">
        <v>2.6386806596701602</v>
      </c>
    </row>
    <row r="13996" spans="1:5">
      <c r="A13996" t="s">
        <v>16156</v>
      </c>
      <c r="B13996" t="s">
        <v>16159</v>
      </c>
      <c r="C13996">
        <f>0</f>
        <v>0</v>
      </c>
      <c r="D13996">
        <v>0.99406357770200005</v>
      </c>
      <c r="E13996">
        <v>2.6386806596701602</v>
      </c>
    </row>
    <row r="13997" spans="1:5">
      <c r="A13997" t="s">
        <v>16156</v>
      </c>
      <c r="B13997" t="s">
        <v>16160</v>
      </c>
      <c r="C13997">
        <v>0</v>
      </c>
      <c r="D13997">
        <v>0.99406357770200005</v>
      </c>
      <c r="E13997">
        <v>2.6386806596701602</v>
      </c>
    </row>
    <row r="13998" spans="1:5">
      <c r="A13998" t="s">
        <v>16161</v>
      </c>
      <c r="B13998" t="s">
        <v>16162</v>
      </c>
      <c r="C13998">
        <v>5.5714503299600003E-2</v>
      </c>
      <c r="D13998">
        <v>0.90922077632200005</v>
      </c>
      <c r="E13998">
        <v>0</v>
      </c>
    </row>
    <row r="13999" spans="1:5">
      <c r="A13999" t="s">
        <v>16161</v>
      </c>
      <c r="B13999" t="s">
        <v>16163</v>
      </c>
      <c r="C13999">
        <f>0.55132518353</f>
        <v>0.55132518353000004</v>
      </c>
      <c r="D13999">
        <v>0.90922077632200005</v>
      </c>
      <c r="E13999">
        <v>0</v>
      </c>
    </row>
    <row r="14000" spans="1:5">
      <c r="A14000" t="s">
        <v>16164</v>
      </c>
      <c r="B14000" t="s">
        <v>16165</v>
      </c>
      <c r="C14000">
        <v>7.1168918283300006E-2</v>
      </c>
      <c r="D14000">
        <v>0.74834244715099996</v>
      </c>
      <c r="E14000">
        <v>8.7196401799100407</v>
      </c>
    </row>
    <row r="14001" spans="1:5">
      <c r="A14001" t="s">
        <v>16164</v>
      </c>
      <c r="B14001" t="s">
        <v>16166</v>
      </c>
      <c r="C14001">
        <v>5.2432826519199997E-2</v>
      </c>
      <c r="D14001">
        <v>0.74834244715099996</v>
      </c>
      <c r="E14001">
        <v>8.7196401799100407</v>
      </c>
    </row>
    <row r="14002" spans="1:5">
      <c r="A14002" t="s">
        <v>16167</v>
      </c>
      <c r="B14002" t="s">
        <v>16168</v>
      </c>
      <c r="C14002">
        <v>0</v>
      </c>
      <c r="D14002" t="s">
        <v>106</v>
      </c>
      <c r="E14002">
        <v>1.96701649175412</v>
      </c>
    </row>
    <row r="14003" spans="1:5">
      <c r="A14003" t="s">
        <v>16167</v>
      </c>
      <c r="B14003" t="s">
        <v>16169</v>
      </c>
      <c r="C14003">
        <v>0</v>
      </c>
      <c r="D14003" t="s">
        <v>106</v>
      </c>
      <c r="E14003">
        <v>1.96701649175412</v>
      </c>
    </row>
    <row r="14004" spans="1:5">
      <c r="A14004" t="s">
        <v>16167</v>
      </c>
      <c r="B14004" t="s">
        <v>16170</v>
      </c>
      <c r="C14004">
        <v>0</v>
      </c>
      <c r="D14004" t="s">
        <v>106</v>
      </c>
      <c r="E14004">
        <v>1.96701649175412</v>
      </c>
    </row>
    <row r="14005" spans="1:5">
      <c r="A14005" t="s">
        <v>16167</v>
      </c>
      <c r="B14005" t="s">
        <v>16171</v>
      </c>
      <c r="C14005">
        <v>0</v>
      </c>
      <c r="D14005" t="s">
        <v>106</v>
      </c>
      <c r="E14005">
        <v>1.96701649175412</v>
      </c>
    </row>
    <row r="14006" spans="1:5">
      <c r="A14006" t="s">
        <v>16167</v>
      </c>
      <c r="B14006" t="s">
        <v>16172</v>
      </c>
      <c r="C14006">
        <v>0</v>
      </c>
      <c r="D14006" t="s">
        <v>106</v>
      </c>
      <c r="E14006">
        <v>1.96701649175412</v>
      </c>
    </row>
    <row r="14007" spans="1:5">
      <c r="A14007" t="s">
        <v>16167</v>
      </c>
      <c r="B14007" t="s">
        <v>16173</v>
      </c>
      <c r="C14007">
        <v>0</v>
      </c>
      <c r="D14007" t="s">
        <v>106</v>
      </c>
      <c r="E14007">
        <v>1.96701649175412</v>
      </c>
    </row>
    <row r="14008" spans="1:5">
      <c r="A14008" t="s">
        <v>16167</v>
      </c>
      <c r="B14008" t="s">
        <v>16174</v>
      </c>
      <c r="C14008">
        <f>0</f>
        <v>0</v>
      </c>
      <c r="D14008" t="s">
        <v>106</v>
      </c>
      <c r="E14008">
        <v>1.96701649175412</v>
      </c>
    </row>
    <row r="14009" spans="1:5">
      <c r="A14009" t="s">
        <v>16175</v>
      </c>
      <c r="B14009" t="s">
        <v>16176</v>
      </c>
      <c r="C14009">
        <v>5.33700467212E-2</v>
      </c>
      <c r="D14009">
        <v>0.70545879686199997</v>
      </c>
      <c r="E14009">
        <v>10.5547226386806</v>
      </c>
    </row>
    <row r="14010" spans="1:5">
      <c r="A14010" t="s">
        <v>16175</v>
      </c>
      <c r="B14010" t="s">
        <v>16177</v>
      </c>
      <c r="C14010">
        <v>0</v>
      </c>
      <c r="D14010">
        <v>0.70545879686199997</v>
      </c>
      <c r="E14010">
        <v>10.5547226386806</v>
      </c>
    </row>
    <row r="14011" spans="1:5">
      <c r="A14011" t="s">
        <v>16175</v>
      </c>
      <c r="B14011" t="s">
        <v>16178</v>
      </c>
      <c r="C14011">
        <v>0</v>
      </c>
      <c r="D14011">
        <v>0.70545879686199997</v>
      </c>
      <c r="E14011">
        <v>10.5547226386806</v>
      </c>
    </row>
    <row r="14012" spans="1:5">
      <c r="A14012" t="s">
        <v>16179</v>
      </c>
      <c r="B14012" t="s">
        <v>16180</v>
      </c>
      <c r="C14012">
        <v>0</v>
      </c>
      <c r="D14012">
        <v>0.33148578195200001</v>
      </c>
      <c r="E14012">
        <v>2.1709145427286298</v>
      </c>
    </row>
    <row r="14013" spans="1:5">
      <c r="A14013" t="s">
        <v>16179</v>
      </c>
      <c r="B14013" t="s">
        <v>16181</v>
      </c>
      <c r="C14013">
        <f>0</f>
        <v>0</v>
      </c>
      <c r="D14013">
        <v>0.33148578195200001</v>
      </c>
      <c r="E14013">
        <v>2.1709145427286298</v>
      </c>
    </row>
    <row r="14014" spans="1:5">
      <c r="A14014" t="s">
        <v>16179</v>
      </c>
      <c r="B14014" t="s">
        <v>16182</v>
      </c>
      <c r="C14014">
        <v>0</v>
      </c>
      <c r="D14014">
        <v>0.33148578195200001</v>
      </c>
      <c r="E14014">
        <v>2.1709145427286298</v>
      </c>
    </row>
    <row r="14015" spans="1:5">
      <c r="A14015" t="s">
        <v>16179</v>
      </c>
      <c r="B14015" t="s">
        <v>16183</v>
      </c>
      <c r="C14015">
        <v>0</v>
      </c>
      <c r="D14015">
        <v>0.33148578195200001</v>
      </c>
      <c r="E14015">
        <v>2.1709145427286298</v>
      </c>
    </row>
    <row r="14016" spans="1:5">
      <c r="A14016" t="s">
        <v>16179</v>
      </c>
      <c r="B14016" t="s">
        <v>16184</v>
      </c>
      <c r="C14016">
        <f>0</f>
        <v>0</v>
      </c>
      <c r="D14016">
        <v>0.33148578195200001</v>
      </c>
      <c r="E14016">
        <v>2.1709145427286298</v>
      </c>
    </row>
    <row r="14017" spans="1:5">
      <c r="A14017" t="s">
        <v>16185</v>
      </c>
      <c r="B14017" t="s">
        <v>16186</v>
      </c>
      <c r="C14017">
        <f>0</f>
        <v>0</v>
      </c>
      <c r="D14017">
        <v>0.89836711436500005</v>
      </c>
      <c r="E14017">
        <v>1.6311844077961</v>
      </c>
    </row>
    <row r="14018" spans="1:5">
      <c r="A14018" t="s">
        <v>16185</v>
      </c>
      <c r="B14018" t="s">
        <v>16187</v>
      </c>
      <c r="C14018">
        <v>1.5270922646300001E-2</v>
      </c>
      <c r="D14018">
        <v>0.89836711436500005</v>
      </c>
      <c r="E14018">
        <v>1.6311844077961</v>
      </c>
    </row>
    <row r="14019" spans="1:5">
      <c r="A14019" t="s">
        <v>16185</v>
      </c>
      <c r="B14019" t="s">
        <v>16188</v>
      </c>
      <c r="C14019">
        <v>0</v>
      </c>
      <c r="D14019">
        <v>0.89836711436500005</v>
      </c>
      <c r="E14019">
        <v>1.6311844077961</v>
      </c>
    </row>
    <row r="14020" spans="1:5">
      <c r="A14020" t="s">
        <v>16189</v>
      </c>
      <c r="B14020" t="s">
        <v>16190</v>
      </c>
      <c r="C14020">
        <v>0</v>
      </c>
      <c r="D14020">
        <v>0.74052039722200003</v>
      </c>
      <c r="E14020">
        <v>3.13043478260869</v>
      </c>
    </row>
    <row r="14021" spans="1:5">
      <c r="A14021" t="s">
        <v>16189</v>
      </c>
      <c r="B14021" t="s">
        <v>16191</v>
      </c>
      <c r="C14021">
        <v>0.105074043558</v>
      </c>
      <c r="D14021">
        <v>0.74052039722200003</v>
      </c>
      <c r="E14021">
        <v>3.13043478260869</v>
      </c>
    </row>
    <row r="14022" spans="1:5">
      <c r="A14022" t="s">
        <v>16189</v>
      </c>
      <c r="B14022" t="s">
        <v>16192</v>
      </c>
      <c r="C14022">
        <v>0</v>
      </c>
      <c r="D14022">
        <v>0.74052039722200003</v>
      </c>
      <c r="E14022">
        <v>3.13043478260869</v>
      </c>
    </row>
    <row r="14023" spans="1:5">
      <c r="A14023" t="s">
        <v>16189</v>
      </c>
      <c r="B14023" t="s">
        <v>16193</v>
      </c>
      <c r="C14023">
        <f>0</f>
        <v>0</v>
      </c>
      <c r="D14023">
        <v>0.74052039722200003</v>
      </c>
      <c r="E14023">
        <v>3.13043478260869</v>
      </c>
    </row>
    <row r="14024" spans="1:5">
      <c r="A14024" t="s">
        <v>16194</v>
      </c>
      <c r="B14024" t="s">
        <v>16195</v>
      </c>
      <c r="C14024">
        <f>0</f>
        <v>0</v>
      </c>
      <c r="D14024">
        <v>0.99401030403699997</v>
      </c>
      <c r="E14024">
        <v>6.1769115442278801</v>
      </c>
    </row>
    <row r="14025" spans="1:5">
      <c r="A14025" t="s">
        <v>16194</v>
      </c>
      <c r="B14025" t="s">
        <v>16196</v>
      </c>
      <c r="C14025">
        <f>0</f>
        <v>0</v>
      </c>
      <c r="D14025">
        <v>0.99401030403699997</v>
      </c>
      <c r="E14025">
        <v>6.1769115442278801</v>
      </c>
    </row>
    <row r="14026" spans="1:5">
      <c r="A14026" t="s">
        <v>16194</v>
      </c>
      <c r="B14026" t="s">
        <v>16197</v>
      </c>
      <c r="C14026">
        <f>0</f>
        <v>0</v>
      </c>
      <c r="D14026">
        <v>0.99401030403699997</v>
      </c>
      <c r="E14026">
        <v>6.1769115442278801</v>
      </c>
    </row>
    <row r="14027" spans="1:5">
      <c r="A14027" t="s">
        <v>16194</v>
      </c>
      <c r="B14027" t="s">
        <v>16198</v>
      </c>
      <c r="C14027">
        <f>0</f>
        <v>0</v>
      </c>
      <c r="D14027">
        <v>0.99401030403699997</v>
      </c>
      <c r="E14027">
        <v>6.1769115442278801</v>
      </c>
    </row>
    <row r="14028" spans="1:5">
      <c r="A14028" t="s">
        <v>16199</v>
      </c>
      <c r="B14028" t="s">
        <v>16200</v>
      </c>
      <c r="C14028">
        <v>0.45671699904500002</v>
      </c>
      <c r="D14028">
        <v>0.99279202789999998</v>
      </c>
      <c r="E14028">
        <v>5.0134932533733103</v>
      </c>
    </row>
    <row r="14029" spans="1:5">
      <c r="A14029" t="s">
        <v>16201</v>
      </c>
      <c r="B14029" t="s">
        <v>16202</v>
      </c>
      <c r="C14029">
        <v>0</v>
      </c>
      <c r="D14029">
        <v>0.83724112450300003</v>
      </c>
      <c r="E14029">
        <v>6.0569715142428704</v>
      </c>
    </row>
    <row r="14030" spans="1:5">
      <c r="A14030" t="s">
        <v>16201</v>
      </c>
      <c r="B14030" t="s">
        <v>16203</v>
      </c>
      <c r="C14030">
        <f>0</f>
        <v>0</v>
      </c>
      <c r="D14030">
        <v>0.83724112450300003</v>
      </c>
      <c r="E14030">
        <v>6.0569715142428704</v>
      </c>
    </row>
    <row r="14031" spans="1:5">
      <c r="A14031" t="s">
        <v>16201</v>
      </c>
      <c r="B14031" t="s">
        <v>16204</v>
      </c>
      <c r="C14031">
        <f>0</f>
        <v>0</v>
      </c>
      <c r="D14031">
        <v>0.83724112450300003</v>
      </c>
      <c r="E14031">
        <v>6.0569715142428704</v>
      </c>
    </row>
    <row r="14032" spans="1:5">
      <c r="A14032" t="s">
        <v>16201</v>
      </c>
      <c r="B14032" t="s">
        <v>16205</v>
      </c>
      <c r="C14032">
        <v>0</v>
      </c>
      <c r="D14032">
        <v>0.83724112450300003</v>
      </c>
      <c r="E14032">
        <v>6.0569715142428704</v>
      </c>
    </row>
    <row r="14033" spans="1:5">
      <c r="A14033" t="s">
        <v>16201</v>
      </c>
      <c r="B14033" t="s">
        <v>16206</v>
      </c>
      <c r="C14033">
        <v>0</v>
      </c>
      <c r="D14033">
        <v>0.83724112450300003</v>
      </c>
      <c r="E14033">
        <v>6.0569715142428704</v>
      </c>
    </row>
    <row r="14034" spans="1:5">
      <c r="A14034" t="s">
        <v>16201</v>
      </c>
      <c r="B14034" t="s">
        <v>16207</v>
      </c>
      <c r="C14034">
        <v>0</v>
      </c>
      <c r="D14034">
        <v>0.83724112450300003</v>
      </c>
      <c r="E14034">
        <v>6.0569715142428704</v>
      </c>
    </row>
    <row r="14035" spans="1:5">
      <c r="A14035" t="s">
        <v>16201</v>
      </c>
      <c r="B14035" t="s">
        <v>16208</v>
      </c>
      <c r="C14035">
        <v>1.4552884781200001E-2</v>
      </c>
      <c r="D14035">
        <v>0.83724112450300003</v>
      </c>
      <c r="E14035">
        <v>6.0569715142428704</v>
      </c>
    </row>
    <row r="14036" spans="1:5">
      <c r="A14036" t="s">
        <v>16201</v>
      </c>
      <c r="B14036" t="s">
        <v>16209</v>
      </c>
      <c r="C14036">
        <v>0</v>
      </c>
      <c r="D14036">
        <v>0.83724112450300003</v>
      </c>
      <c r="E14036">
        <v>6.0569715142428704</v>
      </c>
    </row>
    <row r="14037" spans="1:5">
      <c r="A14037" t="s">
        <v>16201</v>
      </c>
      <c r="B14037" t="s">
        <v>16210</v>
      </c>
      <c r="C14037">
        <f>0</f>
        <v>0</v>
      </c>
      <c r="D14037">
        <v>0.83724112450300003</v>
      </c>
      <c r="E14037">
        <v>6.0569715142428704</v>
      </c>
    </row>
    <row r="14038" spans="1:5">
      <c r="A14038" t="s">
        <v>16201</v>
      </c>
      <c r="B14038" t="s">
        <v>16211</v>
      </c>
      <c r="C14038">
        <f>0</f>
        <v>0</v>
      </c>
      <c r="D14038">
        <v>0.83724112450300003</v>
      </c>
      <c r="E14038">
        <v>6.0569715142428704</v>
      </c>
    </row>
    <row r="14039" spans="1:5">
      <c r="A14039" t="s">
        <v>16201</v>
      </c>
      <c r="B14039" t="s">
        <v>16212</v>
      </c>
      <c r="C14039">
        <v>0</v>
      </c>
      <c r="D14039">
        <v>0.83724112450300003</v>
      </c>
      <c r="E14039">
        <v>6.0569715142428704</v>
      </c>
    </row>
    <row r="14040" spans="1:5">
      <c r="A14040" t="s">
        <v>16201</v>
      </c>
      <c r="B14040" t="s">
        <v>16213</v>
      </c>
      <c r="C14040">
        <f>0</f>
        <v>0</v>
      </c>
      <c r="D14040">
        <v>0.83724112450300003</v>
      </c>
      <c r="E14040">
        <v>6.0569715142428704</v>
      </c>
    </row>
    <row r="14041" spans="1:5">
      <c r="A14041" t="s">
        <v>16201</v>
      </c>
      <c r="B14041" t="s">
        <v>16214</v>
      </c>
      <c r="C14041">
        <v>0</v>
      </c>
      <c r="D14041">
        <v>0.83724112450300003</v>
      </c>
      <c r="E14041">
        <v>6.0569715142428704</v>
      </c>
    </row>
    <row r="14042" spans="1:5">
      <c r="A14042" t="s">
        <v>16201</v>
      </c>
      <c r="B14042" t="s">
        <v>16215</v>
      </c>
      <c r="C14042">
        <f>0</f>
        <v>0</v>
      </c>
      <c r="D14042">
        <v>0.83724112450300003</v>
      </c>
      <c r="E14042">
        <v>6.0569715142428704</v>
      </c>
    </row>
    <row r="14043" spans="1:5">
      <c r="A14043" t="s">
        <v>16201</v>
      </c>
      <c r="B14043" t="s">
        <v>16216</v>
      </c>
      <c r="C14043">
        <f>0.0431881985939</f>
        <v>4.3188198593900003E-2</v>
      </c>
      <c r="D14043">
        <v>0.83724112450300003</v>
      </c>
      <c r="E14043">
        <v>6.0569715142428704</v>
      </c>
    </row>
    <row r="14044" spans="1:5">
      <c r="A14044" t="s">
        <v>16217</v>
      </c>
      <c r="B14044" t="s">
        <v>16218</v>
      </c>
      <c r="C14044">
        <v>0</v>
      </c>
      <c r="D14044">
        <v>0.94144214330599996</v>
      </c>
      <c r="E14044">
        <v>11.0344827586206</v>
      </c>
    </row>
    <row r="14045" spans="1:5">
      <c r="A14045" t="s">
        <v>16217</v>
      </c>
      <c r="B14045" t="s">
        <v>16219</v>
      </c>
      <c r="C14045">
        <f>0</f>
        <v>0</v>
      </c>
      <c r="D14045">
        <v>0.94144214330599996</v>
      </c>
      <c r="E14045">
        <v>11.0344827586206</v>
      </c>
    </row>
    <row r="14046" spans="1:5">
      <c r="A14046" t="s">
        <v>16217</v>
      </c>
      <c r="B14046" t="s">
        <v>16220</v>
      </c>
      <c r="C14046">
        <f>0</f>
        <v>0</v>
      </c>
      <c r="D14046">
        <v>0.94144214330599996</v>
      </c>
      <c r="E14046">
        <v>11.0344827586206</v>
      </c>
    </row>
    <row r="14047" spans="1:5">
      <c r="A14047" t="s">
        <v>16217</v>
      </c>
      <c r="B14047" t="s">
        <v>16221</v>
      </c>
      <c r="C14047">
        <f>0</f>
        <v>0</v>
      </c>
      <c r="D14047">
        <v>0.94144214330599996</v>
      </c>
      <c r="E14047">
        <v>11.0344827586206</v>
      </c>
    </row>
    <row r="14048" spans="1:5">
      <c r="A14048" t="s">
        <v>16217</v>
      </c>
      <c r="B14048" t="s">
        <v>16222</v>
      </c>
      <c r="C14048">
        <f>0</f>
        <v>0</v>
      </c>
      <c r="D14048">
        <v>0.94144214330599996</v>
      </c>
      <c r="E14048">
        <v>11.0344827586206</v>
      </c>
    </row>
    <row r="14049" spans="1:5">
      <c r="A14049" t="s">
        <v>16217</v>
      </c>
      <c r="B14049" t="s">
        <v>16223</v>
      </c>
      <c r="C14049">
        <f>0.0437570422627</f>
        <v>4.3757042262699997E-2</v>
      </c>
      <c r="D14049">
        <v>0.94144214330599996</v>
      </c>
      <c r="E14049">
        <v>11.0344827586206</v>
      </c>
    </row>
    <row r="14050" spans="1:5">
      <c r="A14050" t="s">
        <v>16217</v>
      </c>
      <c r="B14050" t="s">
        <v>16224</v>
      </c>
      <c r="C14050">
        <f>0</f>
        <v>0</v>
      </c>
      <c r="D14050">
        <v>0.94144214330599996</v>
      </c>
      <c r="E14050">
        <v>11.0344827586206</v>
      </c>
    </row>
    <row r="14051" spans="1:5">
      <c r="A14051" t="s">
        <v>16217</v>
      </c>
      <c r="B14051" t="s">
        <v>16225</v>
      </c>
      <c r="C14051">
        <v>0</v>
      </c>
      <c r="D14051">
        <v>0.94144214330599996</v>
      </c>
      <c r="E14051">
        <v>11.0344827586206</v>
      </c>
    </row>
    <row r="14052" spans="1:5">
      <c r="A14052" t="s">
        <v>16217</v>
      </c>
      <c r="B14052" t="s">
        <v>16226</v>
      </c>
      <c r="C14052">
        <f>0</f>
        <v>0</v>
      </c>
      <c r="D14052">
        <v>0.94144214330599996</v>
      </c>
      <c r="E14052">
        <v>11.0344827586206</v>
      </c>
    </row>
    <row r="14053" spans="1:5">
      <c r="A14053" t="s">
        <v>16217</v>
      </c>
      <c r="B14053" t="s">
        <v>16227</v>
      </c>
      <c r="C14053">
        <f>0</f>
        <v>0</v>
      </c>
      <c r="D14053">
        <v>0.94144214330599996</v>
      </c>
      <c r="E14053">
        <v>11.0344827586206</v>
      </c>
    </row>
    <row r="14054" spans="1:5">
      <c r="A14054" t="s">
        <v>16217</v>
      </c>
      <c r="B14054" t="s">
        <v>16228</v>
      </c>
      <c r="C14054">
        <f>0</f>
        <v>0</v>
      </c>
      <c r="D14054">
        <v>0.94144214330599996</v>
      </c>
      <c r="E14054">
        <v>11.0344827586206</v>
      </c>
    </row>
    <row r="14055" spans="1:5">
      <c r="A14055" t="s">
        <v>16217</v>
      </c>
      <c r="B14055" t="s">
        <v>16229</v>
      </c>
      <c r="C14055">
        <f>0</f>
        <v>0</v>
      </c>
      <c r="D14055">
        <v>0.94144214330599996</v>
      </c>
      <c r="E14055">
        <v>11.0344827586206</v>
      </c>
    </row>
    <row r="14056" spans="1:5">
      <c r="A14056" t="s">
        <v>16217</v>
      </c>
      <c r="B14056" t="s">
        <v>16230</v>
      </c>
      <c r="C14056">
        <f>0.0928332494366</f>
        <v>9.2833249436599999E-2</v>
      </c>
      <c r="D14056">
        <v>0.94144214330599996</v>
      </c>
      <c r="E14056">
        <v>11.0344827586206</v>
      </c>
    </row>
    <row r="14057" spans="1:5">
      <c r="A14057" t="s">
        <v>16217</v>
      </c>
      <c r="B14057" t="s">
        <v>16231</v>
      </c>
      <c r="C14057">
        <v>0</v>
      </c>
      <c r="D14057">
        <v>0.94144214330599996</v>
      </c>
      <c r="E14057">
        <v>11.0344827586206</v>
      </c>
    </row>
    <row r="14058" spans="1:5">
      <c r="A14058" t="s">
        <v>16217</v>
      </c>
      <c r="B14058" t="s">
        <v>16232</v>
      </c>
      <c r="C14058">
        <f>0</f>
        <v>0</v>
      </c>
      <c r="D14058">
        <v>0.94144214330599996</v>
      </c>
      <c r="E14058">
        <v>11.0344827586206</v>
      </c>
    </row>
    <row r="14059" spans="1:5">
      <c r="A14059" t="s">
        <v>16217</v>
      </c>
      <c r="B14059" t="s">
        <v>16233</v>
      </c>
      <c r="C14059">
        <f>0</f>
        <v>0</v>
      </c>
      <c r="D14059">
        <v>0.94144214330599996</v>
      </c>
      <c r="E14059">
        <v>11.0344827586206</v>
      </c>
    </row>
    <row r="14060" spans="1:5">
      <c r="A14060" t="s">
        <v>16217</v>
      </c>
      <c r="B14060" t="s">
        <v>16234</v>
      </c>
      <c r="C14060">
        <v>0</v>
      </c>
      <c r="D14060">
        <v>0.94144214330599996</v>
      </c>
      <c r="E14060">
        <v>11.0344827586206</v>
      </c>
    </row>
    <row r="14061" spans="1:5">
      <c r="A14061" t="s">
        <v>16217</v>
      </c>
      <c r="B14061" t="s">
        <v>16235</v>
      </c>
      <c r="C14061">
        <v>0</v>
      </c>
      <c r="D14061">
        <v>0.94144214330599996</v>
      </c>
      <c r="E14061">
        <v>11.0344827586206</v>
      </c>
    </row>
    <row r="14062" spans="1:5">
      <c r="A14062" t="s">
        <v>16217</v>
      </c>
      <c r="B14062" t="s">
        <v>16236</v>
      </c>
      <c r="C14062">
        <f>0</f>
        <v>0</v>
      </c>
      <c r="D14062">
        <v>0.94144214330599996</v>
      </c>
      <c r="E14062">
        <v>11.0344827586206</v>
      </c>
    </row>
    <row r="14063" spans="1:5">
      <c r="A14063" t="s">
        <v>16237</v>
      </c>
      <c r="B14063" t="s">
        <v>16238</v>
      </c>
      <c r="C14063">
        <v>0</v>
      </c>
      <c r="D14063">
        <v>0.67173931717099999</v>
      </c>
      <c r="E14063">
        <v>14.9325337331334</v>
      </c>
    </row>
    <row r="14064" spans="1:5">
      <c r="A14064" t="s">
        <v>16237</v>
      </c>
      <c r="B14064" t="s">
        <v>16239</v>
      </c>
      <c r="C14064">
        <v>0</v>
      </c>
      <c r="D14064">
        <v>0.67173931717099999</v>
      </c>
      <c r="E14064">
        <v>14.9325337331334</v>
      </c>
    </row>
    <row r="14065" spans="1:5">
      <c r="A14065" t="s">
        <v>16237</v>
      </c>
      <c r="B14065" t="s">
        <v>16240</v>
      </c>
      <c r="C14065">
        <v>0.16650511176400001</v>
      </c>
      <c r="D14065">
        <v>0.67173931717099999</v>
      </c>
      <c r="E14065">
        <v>14.9325337331334</v>
      </c>
    </row>
    <row r="14066" spans="1:5">
      <c r="A14066" t="s">
        <v>16241</v>
      </c>
      <c r="B14066" t="s">
        <v>16242</v>
      </c>
      <c r="C14066">
        <v>0</v>
      </c>
      <c r="D14066">
        <v>0.97409902965700002</v>
      </c>
      <c r="E14066">
        <v>1.7631184407796101</v>
      </c>
    </row>
    <row r="14067" spans="1:5">
      <c r="A14067" t="s">
        <v>16241</v>
      </c>
      <c r="B14067" t="s">
        <v>16243</v>
      </c>
      <c r="C14067">
        <v>0.25518917717299999</v>
      </c>
      <c r="D14067">
        <v>0.97409902965700002</v>
      </c>
      <c r="E14067">
        <v>1.7631184407796101</v>
      </c>
    </row>
    <row r="14068" spans="1:5">
      <c r="A14068" t="s">
        <v>16241</v>
      </c>
      <c r="B14068" t="s">
        <v>16244</v>
      </c>
      <c r="C14068">
        <v>0.57257288293499997</v>
      </c>
      <c r="D14068">
        <v>0.97409902965700002</v>
      </c>
      <c r="E14068">
        <v>1.7631184407796101</v>
      </c>
    </row>
    <row r="14069" spans="1:5">
      <c r="A14069" t="s">
        <v>16245</v>
      </c>
      <c r="B14069" t="s">
        <v>16246</v>
      </c>
      <c r="C14069">
        <v>0</v>
      </c>
      <c r="D14069">
        <v>0.94092728418299998</v>
      </c>
      <c r="E14069">
        <v>8.4317841079460205</v>
      </c>
    </row>
    <row r="14070" spans="1:5">
      <c r="A14070" t="s">
        <v>16245</v>
      </c>
      <c r="B14070" t="s">
        <v>16247</v>
      </c>
      <c r="C14070">
        <v>0.41127748243500001</v>
      </c>
      <c r="D14070">
        <v>0.94092728418299998</v>
      </c>
      <c r="E14070">
        <v>8.4317841079460205</v>
      </c>
    </row>
    <row r="14071" spans="1:5">
      <c r="A14071" t="s">
        <v>16245</v>
      </c>
      <c r="B14071" t="s">
        <v>16248</v>
      </c>
      <c r="C14071">
        <f>0</f>
        <v>0</v>
      </c>
      <c r="D14071">
        <v>0.94092728418299998</v>
      </c>
      <c r="E14071">
        <v>8.4317841079460205</v>
      </c>
    </row>
    <row r="14072" spans="1:5">
      <c r="A14072" t="s">
        <v>16245</v>
      </c>
      <c r="B14072" t="s">
        <v>16249</v>
      </c>
      <c r="C14072">
        <f>0</f>
        <v>0</v>
      </c>
      <c r="D14072">
        <v>0.94092728418299998</v>
      </c>
      <c r="E14072">
        <v>8.4317841079460205</v>
      </c>
    </row>
    <row r="14073" spans="1:5">
      <c r="A14073" t="s">
        <v>16245</v>
      </c>
      <c r="B14073" t="s">
        <v>16250</v>
      </c>
      <c r="C14073">
        <v>0</v>
      </c>
      <c r="D14073">
        <v>0.94092728418299998</v>
      </c>
      <c r="E14073">
        <v>8.4317841079460205</v>
      </c>
    </row>
    <row r="14074" spans="1:5">
      <c r="A14074" t="s">
        <v>16251</v>
      </c>
      <c r="B14074" t="s">
        <v>16252</v>
      </c>
      <c r="C14074">
        <v>5.6240381603000003E-2</v>
      </c>
      <c r="D14074">
        <v>0.60646693437700006</v>
      </c>
      <c r="E14074">
        <v>13.0854572713643</v>
      </c>
    </row>
    <row r="14075" spans="1:5">
      <c r="A14075" t="s">
        <v>16253</v>
      </c>
      <c r="B14075" t="s">
        <v>16254</v>
      </c>
      <c r="C14075">
        <v>0</v>
      </c>
      <c r="D14075">
        <v>0.92591494941200003</v>
      </c>
      <c r="E14075">
        <v>0.26386806596701601</v>
      </c>
    </row>
    <row r="14076" spans="1:5">
      <c r="A14076" t="s">
        <v>16253</v>
      </c>
      <c r="B14076" t="s">
        <v>16255</v>
      </c>
      <c r="C14076">
        <f>0</f>
        <v>0</v>
      </c>
      <c r="D14076">
        <v>0.92591494941200003</v>
      </c>
      <c r="E14076">
        <v>0.26386806596701601</v>
      </c>
    </row>
    <row r="14077" spans="1:5">
      <c r="A14077" t="s">
        <v>16253</v>
      </c>
      <c r="B14077" t="s">
        <v>16256</v>
      </c>
      <c r="C14077">
        <v>0</v>
      </c>
      <c r="D14077">
        <v>0.92591494941200003</v>
      </c>
      <c r="E14077">
        <v>0.26386806596701601</v>
      </c>
    </row>
    <row r="14078" spans="1:5">
      <c r="A14078" t="s">
        <v>16253</v>
      </c>
      <c r="B14078" t="s">
        <v>16257</v>
      </c>
      <c r="C14078">
        <v>1.9551424361500001E-2</v>
      </c>
      <c r="D14078">
        <v>0.92591494941200003</v>
      </c>
      <c r="E14078">
        <v>0.26386806596701601</v>
      </c>
    </row>
    <row r="14079" spans="1:5">
      <c r="A14079" t="s">
        <v>16253</v>
      </c>
      <c r="B14079" t="s">
        <v>16258</v>
      </c>
      <c r="C14079">
        <v>0</v>
      </c>
      <c r="D14079">
        <v>0.92591494941200003</v>
      </c>
      <c r="E14079">
        <v>0.26386806596701601</v>
      </c>
    </row>
    <row r="14080" spans="1:5">
      <c r="A14080" t="s">
        <v>16253</v>
      </c>
      <c r="B14080" t="s">
        <v>16259</v>
      </c>
      <c r="C14080">
        <v>0</v>
      </c>
      <c r="D14080">
        <v>0.92591494941200003</v>
      </c>
      <c r="E14080">
        <v>0.26386806596701601</v>
      </c>
    </row>
    <row r="14081" spans="1:5">
      <c r="A14081" t="s">
        <v>16253</v>
      </c>
      <c r="B14081" t="s">
        <v>16260</v>
      </c>
      <c r="C14081">
        <f>0</f>
        <v>0</v>
      </c>
      <c r="D14081">
        <v>0.92591494941200003</v>
      </c>
      <c r="E14081">
        <v>0.26386806596701601</v>
      </c>
    </row>
    <row r="14082" spans="1:5">
      <c r="A14082" t="s">
        <v>16253</v>
      </c>
      <c r="B14082" t="s">
        <v>16261</v>
      </c>
      <c r="C14082">
        <f>0.133641851489</f>
        <v>0.13364185148900001</v>
      </c>
      <c r="D14082">
        <v>0.92591494941200003</v>
      </c>
      <c r="E14082">
        <v>0.26386806596701601</v>
      </c>
    </row>
    <row r="14083" spans="1:5">
      <c r="A14083" t="s">
        <v>16253</v>
      </c>
      <c r="B14083" t="s">
        <v>16262</v>
      </c>
      <c r="C14083">
        <f>0</f>
        <v>0</v>
      </c>
      <c r="D14083">
        <v>0.92591494941200003</v>
      </c>
      <c r="E14083">
        <v>0.26386806596701601</v>
      </c>
    </row>
    <row r="14084" spans="1:5">
      <c r="A14084" t="s">
        <v>16253</v>
      </c>
      <c r="B14084" t="s">
        <v>16263</v>
      </c>
      <c r="C14084">
        <v>0</v>
      </c>
      <c r="D14084">
        <v>0.92591494941200003</v>
      </c>
      <c r="E14084">
        <v>0.26386806596701601</v>
      </c>
    </row>
    <row r="14085" spans="1:5">
      <c r="A14085" t="s">
        <v>16264</v>
      </c>
      <c r="B14085" t="s">
        <v>16265</v>
      </c>
      <c r="C14085">
        <v>0</v>
      </c>
      <c r="D14085" t="s">
        <v>106</v>
      </c>
      <c r="E14085">
        <v>4.4737631184407798</v>
      </c>
    </row>
    <row r="14086" spans="1:5">
      <c r="A14086" t="s">
        <v>16264</v>
      </c>
      <c r="B14086" t="s">
        <v>16266</v>
      </c>
      <c r="C14086">
        <f>0</f>
        <v>0</v>
      </c>
      <c r="D14086" t="s">
        <v>106</v>
      </c>
      <c r="E14086">
        <v>4.4737631184407798</v>
      </c>
    </row>
    <row r="14087" spans="1:5">
      <c r="A14087" t="s">
        <v>16264</v>
      </c>
      <c r="B14087" t="s">
        <v>16267</v>
      </c>
      <c r="C14087">
        <v>0</v>
      </c>
      <c r="D14087" t="s">
        <v>106</v>
      </c>
      <c r="E14087">
        <v>4.4737631184407798</v>
      </c>
    </row>
    <row r="14088" spans="1:5">
      <c r="A14088" t="s">
        <v>16264</v>
      </c>
      <c r="B14088" t="s">
        <v>16268</v>
      </c>
      <c r="C14088">
        <v>0</v>
      </c>
      <c r="D14088" t="s">
        <v>106</v>
      </c>
      <c r="E14088">
        <v>4.4737631184407798</v>
      </c>
    </row>
    <row r="14089" spans="1:5">
      <c r="A14089" t="s">
        <v>16264</v>
      </c>
      <c r="B14089" t="s">
        <v>16269</v>
      </c>
      <c r="C14089">
        <v>0</v>
      </c>
      <c r="D14089" t="s">
        <v>106</v>
      </c>
      <c r="E14089">
        <v>4.4737631184407798</v>
      </c>
    </row>
    <row r="14090" spans="1:5">
      <c r="A14090" t="s">
        <v>16264</v>
      </c>
      <c r="B14090" t="s">
        <v>16270</v>
      </c>
      <c r="C14090">
        <v>0</v>
      </c>
      <c r="D14090" t="s">
        <v>106</v>
      </c>
      <c r="E14090">
        <v>4.4737631184407798</v>
      </c>
    </row>
    <row r="14091" spans="1:5">
      <c r="A14091" t="s">
        <v>16264</v>
      </c>
      <c r="B14091" t="s">
        <v>16271</v>
      </c>
      <c r="C14091">
        <v>0</v>
      </c>
      <c r="D14091" t="s">
        <v>106</v>
      </c>
      <c r="E14091">
        <v>4.4737631184407798</v>
      </c>
    </row>
    <row r="14092" spans="1:5">
      <c r="A14092" t="s">
        <v>16264</v>
      </c>
      <c r="B14092" t="s">
        <v>16272</v>
      </c>
      <c r="C14092">
        <v>0</v>
      </c>
      <c r="D14092" t="s">
        <v>106</v>
      </c>
      <c r="E14092">
        <v>4.4737631184407798</v>
      </c>
    </row>
    <row r="14093" spans="1:5">
      <c r="A14093" t="s">
        <v>16264</v>
      </c>
      <c r="B14093" t="s">
        <v>16273</v>
      </c>
      <c r="C14093">
        <f>0</f>
        <v>0</v>
      </c>
      <c r="D14093" t="s">
        <v>106</v>
      </c>
      <c r="E14093">
        <v>4.4737631184407798</v>
      </c>
    </row>
    <row r="14094" spans="1:5">
      <c r="A14094" t="s">
        <v>16264</v>
      </c>
      <c r="B14094" t="s">
        <v>16274</v>
      </c>
      <c r="C14094">
        <v>0</v>
      </c>
      <c r="D14094" t="s">
        <v>106</v>
      </c>
      <c r="E14094">
        <v>4.4737631184407798</v>
      </c>
    </row>
    <row r="14095" spans="1:5">
      <c r="A14095" t="s">
        <v>16264</v>
      </c>
      <c r="B14095" t="s">
        <v>16275</v>
      </c>
      <c r="C14095">
        <v>0</v>
      </c>
      <c r="D14095" t="s">
        <v>106</v>
      </c>
      <c r="E14095">
        <v>4.4737631184407798</v>
      </c>
    </row>
    <row r="14096" spans="1:5">
      <c r="A14096" t="s">
        <v>16264</v>
      </c>
      <c r="B14096" t="s">
        <v>16276</v>
      </c>
      <c r="C14096">
        <f>0</f>
        <v>0</v>
      </c>
      <c r="D14096" t="s">
        <v>106</v>
      </c>
      <c r="E14096">
        <v>4.4737631184407798</v>
      </c>
    </row>
    <row r="14097" spans="1:5">
      <c r="A14097" t="s">
        <v>16264</v>
      </c>
      <c r="B14097" t="s">
        <v>16277</v>
      </c>
      <c r="C14097">
        <f>0</f>
        <v>0</v>
      </c>
      <c r="D14097" t="s">
        <v>106</v>
      </c>
      <c r="E14097">
        <v>4.4737631184407798</v>
      </c>
    </row>
    <row r="14098" spans="1:5">
      <c r="A14098" t="s">
        <v>16278</v>
      </c>
      <c r="B14098" t="s">
        <v>16279</v>
      </c>
      <c r="C14098">
        <v>0.42799186467400002</v>
      </c>
      <c r="D14098">
        <v>0.98414677677899998</v>
      </c>
      <c r="E14098">
        <v>11.0344827586206</v>
      </c>
    </row>
    <row r="14099" spans="1:5">
      <c r="A14099" t="s">
        <v>16278</v>
      </c>
      <c r="B14099" t="s">
        <v>16280</v>
      </c>
      <c r="C14099">
        <f>0</f>
        <v>0</v>
      </c>
      <c r="D14099">
        <v>0.98414677677899998</v>
      </c>
      <c r="E14099">
        <v>11.0344827586206</v>
      </c>
    </row>
    <row r="14100" spans="1:5">
      <c r="A14100" t="s">
        <v>16278</v>
      </c>
      <c r="B14100" t="s">
        <v>16281</v>
      </c>
      <c r="C14100">
        <v>0</v>
      </c>
      <c r="D14100">
        <v>0.98414677677899998</v>
      </c>
      <c r="E14100">
        <v>11.0344827586206</v>
      </c>
    </row>
    <row r="14101" spans="1:5">
      <c r="A14101" t="s">
        <v>16278</v>
      </c>
      <c r="B14101" t="s">
        <v>16282</v>
      </c>
      <c r="C14101">
        <v>9.1966846051199994E-2</v>
      </c>
      <c r="D14101">
        <v>0.98414677677899998</v>
      </c>
      <c r="E14101">
        <v>11.0344827586206</v>
      </c>
    </row>
    <row r="14102" spans="1:5">
      <c r="A14102" t="s">
        <v>16278</v>
      </c>
      <c r="B14102" t="s">
        <v>16283</v>
      </c>
      <c r="C14102">
        <v>0</v>
      </c>
      <c r="D14102">
        <v>0.98414677677899998</v>
      </c>
      <c r="E14102">
        <v>11.0344827586206</v>
      </c>
    </row>
    <row r="14103" spans="1:5">
      <c r="A14103" t="s">
        <v>16284</v>
      </c>
      <c r="B14103" t="s">
        <v>16285</v>
      </c>
      <c r="C14103">
        <v>0</v>
      </c>
      <c r="D14103" t="s">
        <v>106</v>
      </c>
      <c r="E14103">
        <v>1.96701649175412</v>
      </c>
    </row>
    <row r="14104" spans="1:5">
      <c r="A14104" t="s">
        <v>16284</v>
      </c>
      <c r="B14104" t="s">
        <v>16286</v>
      </c>
      <c r="C14104">
        <v>0</v>
      </c>
      <c r="D14104" t="s">
        <v>106</v>
      </c>
      <c r="E14104">
        <v>1.96701649175412</v>
      </c>
    </row>
    <row r="14105" spans="1:5">
      <c r="A14105" t="s">
        <v>16284</v>
      </c>
      <c r="B14105" t="s">
        <v>16287</v>
      </c>
      <c r="C14105">
        <v>0</v>
      </c>
      <c r="D14105" t="s">
        <v>106</v>
      </c>
      <c r="E14105">
        <v>1.96701649175412</v>
      </c>
    </row>
    <row r="14106" spans="1:5">
      <c r="A14106" t="s">
        <v>16284</v>
      </c>
      <c r="B14106" t="s">
        <v>16288</v>
      </c>
      <c r="C14106">
        <f>0</f>
        <v>0</v>
      </c>
      <c r="D14106" t="s">
        <v>106</v>
      </c>
      <c r="E14106">
        <v>1.96701649175412</v>
      </c>
    </row>
    <row r="14107" spans="1:5">
      <c r="A14107" t="s">
        <v>16284</v>
      </c>
      <c r="B14107" t="s">
        <v>16289</v>
      </c>
      <c r="C14107">
        <v>0</v>
      </c>
      <c r="D14107" t="s">
        <v>106</v>
      </c>
      <c r="E14107">
        <v>1.96701649175412</v>
      </c>
    </row>
    <row r="14108" spans="1:5">
      <c r="A14108" t="s">
        <v>16290</v>
      </c>
      <c r="B14108" t="s">
        <v>16291</v>
      </c>
      <c r="C14108">
        <f>0</f>
        <v>0</v>
      </c>
      <c r="D14108">
        <v>0.96046732491700004</v>
      </c>
      <c r="E14108">
        <v>4.68965517241379</v>
      </c>
    </row>
    <row r="14109" spans="1:5">
      <c r="A14109" t="s">
        <v>16290</v>
      </c>
      <c r="B14109" t="s">
        <v>16292</v>
      </c>
      <c r="C14109">
        <f>0</f>
        <v>0</v>
      </c>
      <c r="D14109">
        <v>0.96046732491700004</v>
      </c>
      <c r="E14109">
        <v>4.68965517241379</v>
      </c>
    </row>
    <row r="14110" spans="1:5">
      <c r="A14110" t="s">
        <v>16290</v>
      </c>
      <c r="B14110" t="s">
        <v>16293</v>
      </c>
      <c r="C14110">
        <v>0</v>
      </c>
      <c r="D14110">
        <v>0.96046732491700004</v>
      </c>
      <c r="E14110">
        <v>4.68965517241379</v>
      </c>
    </row>
    <row r="14111" spans="1:5">
      <c r="A14111" t="s">
        <v>16290</v>
      </c>
      <c r="B14111" t="s">
        <v>16294</v>
      </c>
      <c r="C14111">
        <v>0</v>
      </c>
      <c r="D14111">
        <v>0.96046732491700004</v>
      </c>
      <c r="E14111">
        <v>4.68965517241379</v>
      </c>
    </row>
    <row r="14112" spans="1:5">
      <c r="A14112" t="s">
        <v>16295</v>
      </c>
      <c r="B14112" t="s">
        <v>16296</v>
      </c>
      <c r="C14112">
        <v>0</v>
      </c>
      <c r="D14112" t="s">
        <v>106</v>
      </c>
      <c r="E14112">
        <v>24</v>
      </c>
    </row>
    <row r="14113" spans="1:5">
      <c r="A14113" t="s">
        <v>16295</v>
      </c>
      <c r="B14113" t="s">
        <v>16297</v>
      </c>
      <c r="C14113">
        <v>1.262335681E-2</v>
      </c>
      <c r="D14113" t="s">
        <v>106</v>
      </c>
      <c r="E14113">
        <v>24</v>
      </c>
    </row>
    <row r="14114" spans="1:5">
      <c r="A14114" t="s">
        <v>16295</v>
      </c>
      <c r="B14114" t="s">
        <v>16298</v>
      </c>
      <c r="C14114">
        <v>0</v>
      </c>
      <c r="D14114" t="s">
        <v>106</v>
      </c>
      <c r="E14114">
        <v>24</v>
      </c>
    </row>
    <row r="14115" spans="1:5">
      <c r="A14115" t="s">
        <v>16295</v>
      </c>
      <c r="B14115" t="s">
        <v>16299</v>
      </c>
      <c r="C14115">
        <f>0</f>
        <v>0</v>
      </c>
      <c r="D14115" t="s">
        <v>106</v>
      </c>
      <c r="E14115">
        <v>24</v>
      </c>
    </row>
    <row r="14116" spans="1:5">
      <c r="A14116" t="s">
        <v>16295</v>
      </c>
      <c r="B14116" t="s">
        <v>16300</v>
      </c>
      <c r="C14116">
        <v>0</v>
      </c>
      <c r="D14116" t="s">
        <v>106</v>
      </c>
      <c r="E14116">
        <v>24</v>
      </c>
    </row>
    <row r="14117" spans="1:5">
      <c r="A14117" t="s">
        <v>16295</v>
      </c>
      <c r="B14117" t="s">
        <v>16301</v>
      </c>
      <c r="C14117">
        <v>0</v>
      </c>
      <c r="D14117" t="s">
        <v>106</v>
      </c>
      <c r="E14117">
        <v>24</v>
      </c>
    </row>
    <row r="14118" spans="1:5">
      <c r="A14118" t="s">
        <v>16295</v>
      </c>
      <c r="B14118" t="s">
        <v>16302</v>
      </c>
      <c r="C14118">
        <v>0</v>
      </c>
      <c r="D14118" t="s">
        <v>106</v>
      </c>
      <c r="E14118">
        <v>24</v>
      </c>
    </row>
    <row r="14119" spans="1:5">
      <c r="A14119" t="s">
        <v>16295</v>
      </c>
      <c r="B14119" t="s">
        <v>16303</v>
      </c>
      <c r="C14119">
        <v>0</v>
      </c>
      <c r="D14119" t="s">
        <v>106</v>
      </c>
      <c r="E14119">
        <v>24</v>
      </c>
    </row>
    <row r="14120" spans="1:5">
      <c r="A14120" t="s">
        <v>16295</v>
      </c>
      <c r="B14120" t="s">
        <v>16304</v>
      </c>
      <c r="C14120">
        <f>0</f>
        <v>0</v>
      </c>
      <c r="D14120" t="s">
        <v>106</v>
      </c>
      <c r="E14120">
        <v>24</v>
      </c>
    </row>
    <row r="14121" spans="1:5">
      <c r="A14121" t="s">
        <v>16295</v>
      </c>
      <c r="B14121" t="s">
        <v>16305</v>
      </c>
      <c r="C14121">
        <v>0</v>
      </c>
      <c r="D14121" t="s">
        <v>106</v>
      </c>
      <c r="E14121">
        <v>24</v>
      </c>
    </row>
    <row r="14122" spans="1:5">
      <c r="A14122" t="s">
        <v>16295</v>
      </c>
      <c r="B14122" t="s">
        <v>16306</v>
      </c>
      <c r="C14122">
        <f>0</f>
        <v>0</v>
      </c>
      <c r="D14122" t="s">
        <v>106</v>
      </c>
      <c r="E14122">
        <v>24</v>
      </c>
    </row>
    <row r="14123" spans="1:5">
      <c r="A14123" t="s">
        <v>16295</v>
      </c>
      <c r="B14123" t="s">
        <v>16307</v>
      </c>
      <c r="C14123">
        <v>0</v>
      </c>
      <c r="D14123" t="s">
        <v>106</v>
      </c>
      <c r="E14123">
        <v>24</v>
      </c>
    </row>
    <row r="14124" spans="1:5">
      <c r="A14124" t="s">
        <v>16295</v>
      </c>
      <c r="B14124" t="s">
        <v>16308</v>
      </c>
      <c r="C14124">
        <v>0</v>
      </c>
      <c r="D14124" t="s">
        <v>106</v>
      </c>
      <c r="E14124">
        <v>24</v>
      </c>
    </row>
    <row r="14125" spans="1:5">
      <c r="A14125" t="s">
        <v>16295</v>
      </c>
      <c r="B14125" t="s">
        <v>16309</v>
      </c>
      <c r="C14125">
        <v>7.7274157523799999E-4</v>
      </c>
      <c r="D14125" t="s">
        <v>106</v>
      </c>
      <c r="E14125">
        <v>24</v>
      </c>
    </row>
    <row r="14126" spans="1:5">
      <c r="A14126" t="s">
        <v>16295</v>
      </c>
      <c r="B14126" t="s">
        <v>16310</v>
      </c>
      <c r="C14126">
        <f>0</f>
        <v>0</v>
      </c>
      <c r="D14126" t="s">
        <v>106</v>
      </c>
      <c r="E14126">
        <v>24</v>
      </c>
    </row>
    <row r="14127" spans="1:5">
      <c r="A14127" t="s">
        <v>16295</v>
      </c>
      <c r="B14127" t="s">
        <v>16311</v>
      </c>
      <c r="C14127">
        <v>0</v>
      </c>
      <c r="D14127" t="s">
        <v>106</v>
      </c>
      <c r="E14127">
        <v>24</v>
      </c>
    </row>
    <row r="14128" spans="1:5">
      <c r="A14128" t="s">
        <v>16295</v>
      </c>
      <c r="B14128" t="s">
        <v>16312</v>
      </c>
      <c r="C14128">
        <v>0</v>
      </c>
      <c r="D14128" t="s">
        <v>106</v>
      </c>
      <c r="E14128">
        <v>24</v>
      </c>
    </row>
    <row r="14129" spans="1:5">
      <c r="A14129" t="s">
        <v>16295</v>
      </c>
      <c r="B14129" t="s">
        <v>16313</v>
      </c>
      <c r="C14129">
        <v>0</v>
      </c>
      <c r="D14129" t="s">
        <v>106</v>
      </c>
      <c r="E14129">
        <v>24</v>
      </c>
    </row>
    <row r="14130" spans="1:5">
      <c r="A14130" t="s">
        <v>16295</v>
      </c>
      <c r="B14130" t="s">
        <v>16314</v>
      </c>
      <c r="C14130">
        <f>0</f>
        <v>0</v>
      </c>
      <c r="D14130" t="s">
        <v>106</v>
      </c>
      <c r="E14130">
        <v>24</v>
      </c>
    </row>
    <row r="14131" spans="1:5">
      <c r="A14131" t="s">
        <v>16315</v>
      </c>
      <c r="B14131" t="s">
        <v>16316</v>
      </c>
      <c r="C14131">
        <v>0</v>
      </c>
      <c r="D14131" t="s">
        <v>106</v>
      </c>
      <c r="E14131">
        <v>3.40629685157421</v>
      </c>
    </row>
    <row r="14132" spans="1:5">
      <c r="A14132" t="s">
        <v>16315</v>
      </c>
      <c r="B14132" t="s">
        <v>16317</v>
      </c>
      <c r="C14132">
        <v>0.288125624109</v>
      </c>
      <c r="D14132" t="s">
        <v>106</v>
      </c>
      <c r="E14132">
        <v>3.40629685157421</v>
      </c>
    </row>
    <row r="14133" spans="1:5">
      <c r="A14133" t="s">
        <v>16315</v>
      </c>
      <c r="B14133" t="s">
        <v>16318</v>
      </c>
      <c r="C14133">
        <v>0</v>
      </c>
      <c r="D14133" t="s">
        <v>106</v>
      </c>
      <c r="E14133">
        <v>3.40629685157421</v>
      </c>
    </row>
    <row r="14134" spans="1:5">
      <c r="A14134" t="s">
        <v>16315</v>
      </c>
      <c r="B14134" t="s">
        <v>16319</v>
      </c>
      <c r="C14134">
        <v>0</v>
      </c>
      <c r="D14134" t="s">
        <v>106</v>
      </c>
      <c r="E14134">
        <v>3.40629685157421</v>
      </c>
    </row>
    <row r="14135" spans="1:5">
      <c r="A14135" t="s">
        <v>16315</v>
      </c>
      <c r="B14135" t="s">
        <v>16320</v>
      </c>
      <c r="C14135">
        <v>0</v>
      </c>
      <c r="D14135" t="s">
        <v>106</v>
      </c>
      <c r="E14135">
        <v>3.40629685157421</v>
      </c>
    </row>
    <row r="14136" spans="1:5">
      <c r="A14136" t="s">
        <v>16315</v>
      </c>
      <c r="B14136" t="s">
        <v>16321</v>
      </c>
      <c r="C14136">
        <v>0</v>
      </c>
      <c r="D14136" t="s">
        <v>106</v>
      </c>
      <c r="E14136">
        <v>3.40629685157421</v>
      </c>
    </row>
    <row r="14137" spans="1:5">
      <c r="A14137" t="s">
        <v>16322</v>
      </c>
      <c r="B14137" t="s">
        <v>16323</v>
      </c>
      <c r="C14137">
        <f>0</f>
        <v>0</v>
      </c>
      <c r="D14137">
        <v>0.96759784505599999</v>
      </c>
      <c r="E14137">
        <v>0</v>
      </c>
    </row>
    <row r="14138" spans="1:5">
      <c r="A14138" t="s">
        <v>16322</v>
      </c>
      <c r="B14138" t="s">
        <v>16324</v>
      </c>
      <c r="C14138">
        <f>0.911161253995</f>
        <v>0.91116125399500003</v>
      </c>
      <c r="D14138">
        <v>0.96759784505599999</v>
      </c>
      <c r="E14138">
        <v>0</v>
      </c>
    </row>
    <row r="14139" spans="1:5">
      <c r="A14139" t="s">
        <v>16322</v>
      </c>
      <c r="B14139" t="s">
        <v>16325</v>
      </c>
      <c r="C14139">
        <v>0.18172939002999999</v>
      </c>
      <c r="D14139">
        <v>0.96759784505599999</v>
      </c>
      <c r="E14139">
        <v>0</v>
      </c>
    </row>
    <row r="14140" spans="1:5">
      <c r="A14140" t="s">
        <v>16326</v>
      </c>
      <c r="B14140" t="s">
        <v>16327</v>
      </c>
      <c r="C14140">
        <f>0</f>
        <v>0</v>
      </c>
      <c r="D14140" t="s">
        <v>106</v>
      </c>
      <c r="E14140">
        <v>12.5577211394302</v>
      </c>
    </row>
    <row r="14141" spans="1:5">
      <c r="A14141" t="s">
        <v>16326</v>
      </c>
      <c r="B14141" t="s">
        <v>16328</v>
      </c>
      <c r="C14141">
        <v>0</v>
      </c>
      <c r="D14141" t="s">
        <v>106</v>
      </c>
      <c r="E14141">
        <v>12.5577211394302</v>
      </c>
    </row>
    <row r="14142" spans="1:5">
      <c r="A14142" t="s">
        <v>16329</v>
      </c>
      <c r="B14142" t="s">
        <v>16330</v>
      </c>
      <c r="C14142">
        <f>0.457074155482</f>
        <v>0.45707415548199998</v>
      </c>
      <c r="D14142">
        <v>0.94547902995499999</v>
      </c>
      <c r="E14142">
        <v>15.700149925037399</v>
      </c>
    </row>
    <row r="14143" spans="1:5">
      <c r="A14143" t="s">
        <v>16329</v>
      </c>
      <c r="B14143" t="s">
        <v>16331</v>
      </c>
      <c r="C14143">
        <v>0.196912175582</v>
      </c>
      <c r="D14143">
        <v>0.94547902995499999</v>
      </c>
      <c r="E14143">
        <v>15.700149925037399</v>
      </c>
    </row>
    <row r="14144" spans="1:5">
      <c r="A14144" t="s">
        <v>16332</v>
      </c>
      <c r="B14144" t="s">
        <v>16333</v>
      </c>
      <c r="C14144">
        <v>3.0351363654099999E-2</v>
      </c>
      <c r="D14144" t="s">
        <v>106</v>
      </c>
      <c r="E14144">
        <v>24</v>
      </c>
    </row>
    <row r="14145" spans="1:5">
      <c r="A14145" t="s">
        <v>16332</v>
      </c>
      <c r="B14145" t="s">
        <v>16334</v>
      </c>
      <c r="C14145">
        <v>0.114066374597</v>
      </c>
      <c r="D14145" t="s">
        <v>106</v>
      </c>
      <c r="E14145">
        <v>24</v>
      </c>
    </row>
    <row r="14146" spans="1:5">
      <c r="A14146" t="s">
        <v>16332</v>
      </c>
      <c r="B14146" t="s">
        <v>16335</v>
      </c>
      <c r="C14146">
        <v>0</v>
      </c>
      <c r="D14146" t="s">
        <v>106</v>
      </c>
      <c r="E14146">
        <v>24</v>
      </c>
    </row>
    <row r="14147" spans="1:5">
      <c r="A14147" t="s">
        <v>16332</v>
      </c>
      <c r="B14147" t="s">
        <v>16336</v>
      </c>
      <c r="C14147">
        <v>0</v>
      </c>
      <c r="D14147" t="s">
        <v>106</v>
      </c>
      <c r="E14147">
        <v>24</v>
      </c>
    </row>
    <row r="14148" spans="1:5">
      <c r="A14148" t="s">
        <v>16332</v>
      </c>
      <c r="B14148" t="s">
        <v>16337</v>
      </c>
      <c r="C14148">
        <f>0</f>
        <v>0</v>
      </c>
      <c r="D14148" t="s">
        <v>106</v>
      </c>
      <c r="E14148">
        <v>24</v>
      </c>
    </row>
    <row r="14149" spans="1:5">
      <c r="A14149" t="s">
        <v>16338</v>
      </c>
      <c r="B14149" t="s">
        <v>16339</v>
      </c>
      <c r="C14149">
        <v>0.37950002278299999</v>
      </c>
      <c r="D14149">
        <v>0.822495356407</v>
      </c>
      <c r="E14149">
        <v>0.82758620689655105</v>
      </c>
    </row>
    <row r="14150" spans="1:5">
      <c r="A14150" t="s">
        <v>16340</v>
      </c>
      <c r="B14150" t="s">
        <v>16341</v>
      </c>
      <c r="C14150">
        <v>0</v>
      </c>
      <c r="D14150">
        <v>0.85106387749900003</v>
      </c>
      <c r="E14150">
        <v>16.491754122938499</v>
      </c>
    </row>
    <row r="14151" spans="1:5">
      <c r="A14151" t="s">
        <v>16340</v>
      </c>
      <c r="B14151" t="s">
        <v>16342</v>
      </c>
      <c r="C14151">
        <v>0</v>
      </c>
      <c r="D14151">
        <v>0.85106387749900003</v>
      </c>
      <c r="E14151">
        <v>16.491754122938499</v>
      </c>
    </row>
    <row r="14152" spans="1:5">
      <c r="A14152" t="s">
        <v>16340</v>
      </c>
      <c r="B14152" t="s">
        <v>16343</v>
      </c>
      <c r="C14152">
        <v>0</v>
      </c>
      <c r="D14152">
        <v>0.85106387749900003</v>
      </c>
      <c r="E14152">
        <v>16.491754122938499</v>
      </c>
    </row>
    <row r="14153" spans="1:5">
      <c r="A14153" t="s">
        <v>16340</v>
      </c>
      <c r="B14153" t="s">
        <v>16344</v>
      </c>
      <c r="C14153">
        <f>0</f>
        <v>0</v>
      </c>
      <c r="D14153">
        <v>0.85106387749900003</v>
      </c>
      <c r="E14153">
        <v>16.491754122938499</v>
      </c>
    </row>
    <row r="14154" spans="1:5">
      <c r="A14154" t="s">
        <v>16340</v>
      </c>
      <c r="B14154" t="s">
        <v>16345</v>
      </c>
      <c r="C14154">
        <v>0</v>
      </c>
      <c r="D14154">
        <v>0.85106387749900003</v>
      </c>
      <c r="E14154">
        <v>16.491754122938499</v>
      </c>
    </row>
    <row r="14155" spans="1:5">
      <c r="A14155" t="s">
        <v>16340</v>
      </c>
      <c r="B14155" t="s">
        <v>16346</v>
      </c>
      <c r="C14155">
        <v>0</v>
      </c>
      <c r="D14155">
        <v>0.85106387749900003</v>
      </c>
      <c r="E14155">
        <v>16.491754122938499</v>
      </c>
    </row>
    <row r="14156" spans="1:5">
      <c r="A14156" t="s">
        <v>16340</v>
      </c>
      <c r="B14156" t="s">
        <v>16347</v>
      </c>
      <c r="C14156">
        <v>0</v>
      </c>
      <c r="D14156">
        <v>0.85106387749900003</v>
      </c>
      <c r="E14156">
        <v>16.491754122938499</v>
      </c>
    </row>
    <row r="14157" spans="1:5">
      <c r="A14157" t="s">
        <v>16340</v>
      </c>
      <c r="B14157" t="s">
        <v>16348</v>
      </c>
      <c r="C14157">
        <v>0</v>
      </c>
      <c r="D14157">
        <v>0.85106387749900003</v>
      </c>
      <c r="E14157">
        <v>16.491754122938499</v>
      </c>
    </row>
    <row r="14158" spans="1:5">
      <c r="A14158" t="s">
        <v>16340</v>
      </c>
      <c r="B14158" t="s">
        <v>16349</v>
      </c>
      <c r="C14158">
        <v>0</v>
      </c>
      <c r="D14158">
        <v>0.85106387749900003</v>
      </c>
      <c r="E14158">
        <v>16.491754122938499</v>
      </c>
    </row>
    <row r="14159" spans="1:5">
      <c r="A14159" t="s">
        <v>16350</v>
      </c>
      <c r="B14159" t="s">
        <v>16351</v>
      </c>
      <c r="C14159">
        <v>0</v>
      </c>
      <c r="D14159" t="s">
        <v>106</v>
      </c>
      <c r="E14159">
        <v>3.97001499250374</v>
      </c>
    </row>
    <row r="14160" spans="1:5">
      <c r="A14160" t="s">
        <v>16350</v>
      </c>
      <c r="B14160" t="s">
        <v>16352</v>
      </c>
      <c r="C14160">
        <v>0.65824605205300002</v>
      </c>
      <c r="D14160" t="s">
        <v>106</v>
      </c>
      <c r="E14160">
        <v>3.97001499250374</v>
      </c>
    </row>
    <row r="14161" spans="1:5">
      <c r="A14161" t="s">
        <v>16350</v>
      </c>
      <c r="B14161" t="s">
        <v>16353</v>
      </c>
      <c r="C14161">
        <v>0.107994528343</v>
      </c>
      <c r="D14161" t="s">
        <v>106</v>
      </c>
      <c r="E14161">
        <v>3.97001499250374</v>
      </c>
    </row>
    <row r="14162" spans="1:5">
      <c r="A14162" t="s">
        <v>16350</v>
      </c>
      <c r="B14162" t="s">
        <v>16354</v>
      </c>
      <c r="C14162">
        <f>0</f>
        <v>0</v>
      </c>
      <c r="D14162" t="s">
        <v>106</v>
      </c>
      <c r="E14162">
        <v>3.97001499250374</v>
      </c>
    </row>
    <row r="14163" spans="1:5">
      <c r="A14163" t="s">
        <v>16350</v>
      </c>
      <c r="B14163" t="s">
        <v>16355</v>
      </c>
      <c r="C14163">
        <v>0</v>
      </c>
      <c r="D14163" t="s">
        <v>106</v>
      </c>
      <c r="E14163">
        <v>3.97001499250374</v>
      </c>
    </row>
    <row r="14164" spans="1:5">
      <c r="A14164" t="s">
        <v>16356</v>
      </c>
      <c r="B14164" t="s">
        <v>16357</v>
      </c>
      <c r="C14164">
        <f>0</f>
        <v>0</v>
      </c>
      <c r="D14164">
        <v>0.99291406463800003</v>
      </c>
      <c r="E14164">
        <v>2.1709145427286298</v>
      </c>
    </row>
    <row r="14165" spans="1:5">
      <c r="A14165" t="s">
        <v>16356</v>
      </c>
      <c r="B14165" t="s">
        <v>16358</v>
      </c>
      <c r="C14165">
        <f>0</f>
        <v>0</v>
      </c>
      <c r="D14165">
        <v>0.99291406463800003</v>
      </c>
      <c r="E14165">
        <v>2.1709145427286298</v>
      </c>
    </row>
    <row r="14166" spans="1:5">
      <c r="A14166" t="s">
        <v>16356</v>
      </c>
      <c r="B14166" t="s">
        <v>16359</v>
      </c>
      <c r="C14166">
        <f>0</f>
        <v>0</v>
      </c>
      <c r="D14166">
        <v>0.99291406463800003</v>
      </c>
      <c r="E14166">
        <v>2.1709145427286298</v>
      </c>
    </row>
    <row r="14167" spans="1:5">
      <c r="A14167" t="s">
        <v>16356</v>
      </c>
      <c r="B14167" t="s">
        <v>16360</v>
      </c>
      <c r="C14167">
        <v>0</v>
      </c>
      <c r="D14167">
        <v>0.99291406463800003</v>
      </c>
      <c r="E14167">
        <v>2.1709145427286298</v>
      </c>
    </row>
    <row r="14168" spans="1:5">
      <c r="A14168" t="s">
        <v>16356</v>
      </c>
      <c r="B14168" t="s">
        <v>16361</v>
      </c>
      <c r="C14168">
        <f>0</f>
        <v>0</v>
      </c>
      <c r="D14168">
        <v>0.99291406463800003</v>
      </c>
      <c r="E14168">
        <v>2.1709145427286298</v>
      </c>
    </row>
    <row r="14169" spans="1:5">
      <c r="A14169" t="s">
        <v>16356</v>
      </c>
      <c r="B14169" t="s">
        <v>16362</v>
      </c>
      <c r="C14169">
        <f>0</f>
        <v>0</v>
      </c>
      <c r="D14169">
        <v>0.99291406463800003</v>
      </c>
      <c r="E14169">
        <v>2.1709145427286298</v>
      </c>
    </row>
    <row r="14170" spans="1:5">
      <c r="A14170" t="s">
        <v>16363</v>
      </c>
      <c r="B14170" t="s">
        <v>16364</v>
      </c>
      <c r="C14170">
        <v>0</v>
      </c>
      <c r="D14170" t="s">
        <v>106</v>
      </c>
      <c r="E14170">
        <v>20.509745127436201</v>
      </c>
    </row>
    <row r="14171" spans="1:5">
      <c r="A14171" t="s">
        <v>16363</v>
      </c>
      <c r="B14171" t="s">
        <v>16365</v>
      </c>
      <c r="C14171">
        <v>8.2269164736199996E-2</v>
      </c>
      <c r="D14171" t="s">
        <v>106</v>
      </c>
      <c r="E14171">
        <v>20.509745127436201</v>
      </c>
    </row>
    <row r="14172" spans="1:5">
      <c r="A14172" t="s">
        <v>16363</v>
      </c>
      <c r="B14172" t="s">
        <v>16366</v>
      </c>
      <c r="C14172">
        <v>0</v>
      </c>
      <c r="D14172" t="s">
        <v>106</v>
      </c>
      <c r="E14172">
        <v>20.509745127436201</v>
      </c>
    </row>
    <row r="14173" spans="1:5">
      <c r="A14173" t="s">
        <v>16363</v>
      </c>
      <c r="B14173" t="s">
        <v>16367</v>
      </c>
      <c r="C14173">
        <v>0</v>
      </c>
      <c r="D14173" t="s">
        <v>106</v>
      </c>
      <c r="E14173">
        <v>20.509745127436201</v>
      </c>
    </row>
    <row r="14174" spans="1:5">
      <c r="A14174" t="s">
        <v>16363</v>
      </c>
      <c r="B14174" t="s">
        <v>16368</v>
      </c>
      <c r="C14174">
        <v>0</v>
      </c>
      <c r="D14174" t="s">
        <v>106</v>
      </c>
      <c r="E14174">
        <v>20.509745127436201</v>
      </c>
    </row>
    <row r="14175" spans="1:5">
      <c r="A14175" t="s">
        <v>16363</v>
      </c>
      <c r="B14175" t="s">
        <v>16369</v>
      </c>
      <c r="C14175">
        <v>0.102478689907</v>
      </c>
      <c r="D14175" t="s">
        <v>106</v>
      </c>
      <c r="E14175">
        <v>20.509745127436201</v>
      </c>
    </row>
    <row r="14176" spans="1:5">
      <c r="A14176" t="s">
        <v>16363</v>
      </c>
      <c r="B14176" t="s">
        <v>16370</v>
      </c>
      <c r="C14176">
        <f>0</f>
        <v>0</v>
      </c>
      <c r="D14176" t="s">
        <v>106</v>
      </c>
      <c r="E14176">
        <v>20.509745127436201</v>
      </c>
    </row>
    <row r="14177" spans="1:5">
      <c r="A14177" t="s">
        <v>16371</v>
      </c>
      <c r="B14177" t="s">
        <v>16372</v>
      </c>
      <c r="C14177">
        <v>0</v>
      </c>
      <c r="D14177" t="s">
        <v>106</v>
      </c>
      <c r="E14177">
        <v>12.0419790104947</v>
      </c>
    </row>
    <row r="14178" spans="1:5">
      <c r="A14178" t="s">
        <v>16371</v>
      </c>
      <c r="B14178" t="s">
        <v>16373</v>
      </c>
      <c r="C14178">
        <v>0</v>
      </c>
      <c r="D14178" t="s">
        <v>106</v>
      </c>
      <c r="E14178">
        <v>12.0419790104947</v>
      </c>
    </row>
    <row r="14179" spans="1:5">
      <c r="A14179" t="s">
        <v>16371</v>
      </c>
      <c r="B14179" t="s">
        <v>16374</v>
      </c>
      <c r="C14179">
        <v>0</v>
      </c>
      <c r="D14179" t="s">
        <v>106</v>
      </c>
      <c r="E14179">
        <v>12.0419790104947</v>
      </c>
    </row>
    <row r="14180" spans="1:5">
      <c r="A14180" t="s">
        <v>16375</v>
      </c>
      <c r="B14180" t="s">
        <v>16376</v>
      </c>
      <c r="C14180">
        <v>0</v>
      </c>
      <c r="D14180">
        <v>0.975843489038</v>
      </c>
      <c r="E14180">
        <v>10.5547226386806</v>
      </c>
    </row>
    <row r="14181" spans="1:5">
      <c r="A14181" t="s">
        <v>16375</v>
      </c>
      <c r="B14181" t="s">
        <v>16377</v>
      </c>
      <c r="C14181">
        <v>0</v>
      </c>
      <c r="D14181">
        <v>0.975843489038</v>
      </c>
      <c r="E14181">
        <v>10.5547226386806</v>
      </c>
    </row>
    <row r="14182" spans="1:5">
      <c r="A14182" t="s">
        <v>16375</v>
      </c>
      <c r="B14182" t="s">
        <v>16378</v>
      </c>
      <c r="C14182">
        <f>0</f>
        <v>0</v>
      </c>
      <c r="D14182">
        <v>0.975843489038</v>
      </c>
      <c r="E14182">
        <v>10.5547226386806</v>
      </c>
    </row>
    <row r="14183" spans="1:5">
      <c r="A14183" t="s">
        <v>16375</v>
      </c>
      <c r="B14183" t="s">
        <v>16379</v>
      </c>
      <c r="C14183">
        <v>0</v>
      </c>
      <c r="D14183">
        <v>0.975843489038</v>
      </c>
      <c r="E14183">
        <v>10.5547226386806</v>
      </c>
    </row>
    <row r="14184" spans="1:5">
      <c r="A14184" t="s">
        <v>16375</v>
      </c>
      <c r="B14184" t="s">
        <v>16380</v>
      </c>
      <c r="C14184">
        <v>0</v>
      </c>
      <c r="D14184">
        <v>0.975843489038</v>
      </c>
      <c r="E14184">
        <v>10.5547226386806</v>
      </c>
    </row>
    <row r="14185" spans="1:5">
      <c r="A14185" t="s">
        <v>16375</v>
      </c>
      <c r="B14185" t="s">
        <v>16381</v>
      </c>
      <c r="C14185">
        <v>0.29783543043100003</v>
      </c>
      <c r="D14185">
        <v>0.975843489038</v>
      </c>
      <c r="E14185">
        <v>10.5547226386806</v>
      </c>
    </row>
    <row r="14186" spans="1:5">
      <c r="A14186" t="s">
        <v>16375</v>
      </c>
      <c r="B14186" t="s">
        <v>16382</v>
      </c>
      <c r="C14186">
        <f>0</f>
        <v>0</v>
      </c>
      <c r="D14186">
        <v>0.975843489038</v>
      </c>
      <c r="E14186">
        <v>10.5547226386806</v>
      </c>
    </row>
    <row r="14187" spans="1:5">
      <c r="A14187" t="s">
        <v>16375</v>
      </c>
      <c r="B14187" t="s">
        <v>16383</v>
      </c>
      <c r="C14187">
        <f>0</f>
        <v>0</v>
      </c>
      <c r="D14187">
        <v>0.975843489038</v>
      </c>
      <c r="E14187">
        <v>10.5547226386806</v>
      </c>
    </row>
    <row r="14188" spans="1:5">
      <c r="A14188" t="s">
        <v>16375</v>
      </c>
      <c r="B14188" t="s">
        <v>16384</v>
      </c>
      <c r="C14188">
        <v>0</v>
      </c>
      <c r="D14188">
        <v>0.975843489038</v>
      </c>
      <c r="E14188">
        <v>10.5547226386806</v>
      </c>
    </row>
    <row r="14189" spans="1:5">
      <c r="A14189" t="s">
        <v>16375</v>
      </c>
      <c r="B14189" t="s">
        <v>16385</v>
      </c>
      <c r="C14189">
        <v>0</v>
      </c>
      <c r="D14189">
        <v>0.975843489038</v>
      </c>
      <c r="E14189">
        <v>10.5547226386806</v>
      </c>
    </row>
    <row r="14190" spans="1:5">
      <c r="A14190" t="s">
        <v>16375</v>
      </c>
      <c r="B14190" t="s">
        <v>16386</v>
      </c>
      <c r="C14190">
        <f>0</f>
        <v>0</v>
      </c>
      <c r="D14190">
        <v>0.975843489038</v>
      </c>
      <c r="E14190">
        <v>10.5547226386806</v>
      </c>
    </row>
    <row r="14191" spans="1:5">
      <c r="A14191" t="s">
        <v>16375</v>
      </c>
      <c r="B14191" t="s">
        <v>16387</v>
      </c>
      <c r="C14191">
        <v>0</v>
      </c>
      <c r="D14191">
        <v>0.975843489038</v>
      </c>
      <c r="E14191">
        <v>10.5547226386806</v>
      </c>
    </row>
    <row r="14192" spans="1:5">
      <c r="A14192" t="s">
        <v>16388</v>
      </c>
      <c r="B14192" t="s">
        <v>16389</v>
      </c>
      <c r="C14192">
        <v>0</v>
      </c>
      <c r="D14192">
        <v>0.69716761996499998</v>
      </c>
      <c r="E14192">
        <v>9.3073463268365799</v>
      </c>
    </row>
    <row r="14193" spans="1:5">
      <c r="A14193" t="s">
        <v>16388</v>
      </c>
      <c r="B14193" t="s">
        <v>16390</v>
      </c>
      <c r="C14193">
        <v>0</v>
      </c>
      <c r="D14193">
        <v>0.69716761996499998</v>
      </c>
      <c r="E14193">
        <v>9.3073463268365799</v>
      </c>
    </row>
    <row r="14194" spans="1:5">
      <c r="A14194" t="s">
        <v>16388</v>
      </c>
      <c r="B14194" t="s">
        <v>16391</v>
      </c>
      <c r="C14194">
        <v>0.16141723361499999</v>
      </c>
      <c r="D14194">
        <v>0.69716761996499998</v>
      </c>
      <c r="E14194">
        <v>9.3073463268365799</v>
      </c>
    </row>
    <row r="14195" spans="1:5">
      <c r="A14195" t="s">
        <v>16392</v>
      </c>
      <c r="B14195" t="s">
        <v>16393</v>
      </c>
      <c r="C14195">
        <v>0</v>
      </c>
      <c r="D14195" t="s">
        <v>106</v>
      </c>
      <c r="E14195">
        <v>1.39130434782608</v>
      </c>
    </row>
    <row r="14196" spans="1:5">
      <c r="A14196" t="s">
        <v>16392</v>
      </c>
      <c r="B14196" t="s">
        <v>16394</v>
      </c>
      <c r="C14196">
        <f>0</f>
        <v>0</v>
      </c>
      <c r="D14196" t="s">
        <v>106</v>
      </c>
      <c r="E14196">
        <v>1.39130434782608</v>
      </c>
    </row>
    <row r="14197" spans="1:5">
      <c r="A14197" t="s">
        <v>16395</v>
      </c>
      <c r="B14197" t="s">
        <v>16396</v>
      </c>
      <c r="C14197">
        <f>0</f>
        <v>0</v>
      </c>
      <c r="D14197" t="s">
        <v>106</v>
      </c>
      <c r="E14197">
        <v>2.0269865067466202</v>
      </c>
    </row>
    <row r="14198" spans="1:5">
      <c r="A14198" t="s">
        <v>16395</v>
      </c>
      <c r="B14198" t="s">
        <v>16397</v>
      </c>
      <c r="C14198">
        <f>0</f>
        <v>0</v>
      </c>
      <c r="D14198" t="s">
        <v>106</v>
      </c>
      <c r="E14198">
        <v>2.0269865067466202</v>
      </c>
    </row>
    <row r="14199" spans="1:5">
      <c r="A14199" t="s">
        <v>16395</v>
      </c>
      <c r="B14199" t="s">
        <v>16398</v>
      </c>
      <c r="C14199">
        <v>0</v>
      </c>
      <c r="D14199" t="s">
        <v>106</v>
      </c>
      <c r="E14199">
        <v>2.0269865067466202</v>
      </c>
    </row>
    <row r="14200" spans="1:5">
      <c r="A14200" t="s">
        <v>16395</v>
      </c>
      <c r="B14200" t="s">
        <v>16399</v>
      </c>
      <c r="C14200">
        <f>0</f>
        <v>0</v>
      </c>
      <c r="D14200" t="s">
        <v>106</v>
      </c>
      <c r="E14200">
        <v>2.0269865067466202</v>
      </c>
    </row>
    <row r="14201" spans="1:5">
      <c r="A14201" t="s">
        <v>16395</v>
      </c>
      <c r="B14201" t="s">
        <v>16400</v>
      </c>
      <c r="C14201">
        <v>0</v>
      </c>
      <c r="D14201" t="s">
        <v>106</v>
      </c>
      <c r="E14201">
        <v>2.0269865067466202</v>
      </c>
    </row>
    <row r="14202" spans="1:5">
      <c r="A14202" t="s">
        <v>16401</v>
      </c>
      <c r="B14202" t="s">
        <v>16402</v>
      </c>
      <c r="C14202">
        <f>0</f>
        <v>0</v>
      </c>
      <c r="D14202">
        <v>0.92654360838399996</v>
      </c>
      <c r="E14202">
        <v>0.61169415292353801</v>
      </c>
    </row>
    <row r="14203" spans="1:5">
      <c r="A14203" t="s">
        <v>16401</v>
      </c>
      <c r="B14203" t="s">
        <v>16403</v>
      </c>
      <c r="C14203">
        <f>0</f>
        <v>0</v>
      </c>
      <c r="D14203">
        <v>0.92654360838399996</v>
      </c>
      <c r="E14203">
        <v>0.61169415292353801</v>
      </c>
    </row>
    <row r="14204" spans="1:5">
      <c r="A14204" t="s">
        <v>16401</v>
      </c>
      <c r="B14204" t="s">
        <v>16404</v>
      </c>
      <c r="C14204">
        <f>0</f>
        <v>0</v>
      </c>
      <c r="D14204">
        <v>0.92654360838399996</v>
      </c>
      <c r="E14204">
        <v>0.61169415292353801</v>
      </c>
    </row>
    <row r="14205" spans="1:5">
      <c r="A14205" t="s">
        <v>16401</v>
      </c>
      <c r="B14205" t="s">
        <v>16405</v>
      </c>
      <c r="C14205">
        <f>0</f>
        <v>0</v>
      </c>
      <c r="D14205">
        <v>0.92654360838399996</v>
      </c>
      <c r="E14205">
        <v>0.61169415292353801</v>
      </c>
    </row>
    <row r="14206" spans="1:5">
      <c r="A14206" t="s">
        <v>16401</v>
      </c>
      <c r="B14206" t="s">
        <v>16406</v>
      </c>
      <c r="C14206">
        <v>0</v>
      </c>
      <c r="D14206">
        <v>0.92654360838399996</v>
      </c>
      <c r="E14206">
        <v>0.61169415292353801</v>
      </c>
    </row>
    <row r="14207" spans="1:5">
      <c r="A14207" t="s">
        <v>16401</v>
      </c>
      <c r="B14207" t="s">
        <v>16407</v>
      </c>
      <c r="C14207">
        <v>0</v>
      </c>
      <c r="D14207">
        <v>0.92654360838399996</v>
      </c>
      <c r="E14207">
        <v>0.61169415292353801</v>
      </c>
    </row>
    <row r="14208" spans="1:5">
      <c r="A14208" t="s">
        <v>16401</v>
      </c>
      <c r="B14208" t="s">
        <v>16408</v>
      </c>
      <c r="C14208">
        <f>0.0378196688123</f>
        <v>3.7819668812299999E-2</v>
      </c>
      <c r="D14208">
        <v>0.92654360838399996</v>
      </c>
      <c r="E14208">
        <v>0.61169415292353801</v>
      </c>
    </row>
    <row r="14209" spans="1:5">
      <c r="A14209" t="s">
        <v>16401</v>
      </c>
      <c r="B14209" t="s">
        <v>16409</v>
      </c>
      <c r="C14209">
        <f>0</f>
        <v>0</v>
      </c>
      <c r="D14209">
        <v>0.92654360838399996</v>
      </c>
      <c r="E14209">
        <v>0.61169415292353801</v>
      </c>
    </row>
    <row r="14210" spans="1:5">
      <c r="A14210" t="s">
        <v>16401</v>
      </c>
      <c r="B14210" t="s">
        <v>16410</v>
      </c>
      <c r="C14210">
        <v>0</v>
      </c>
      <c r="D14210">
        <v>0.92654360838399996</v>
      </c>
      <c r="E14210">
        <v>0.61169415292353801</v>
      </c>
    </row>
    <row r="14211" spans="1:5">
      <c r="A14211" t="s">
        <v>16401</v>
      </c>
      <c r="B14211" t="s">
        <v>16411</v>
      </c>
      <c r="C14211">
        <f>0</f>
        <v>0</v>
      </c>
      <c r="D14211">
        <v>0.92654360838399996</v>
      </c>
      <c r="E14211">
        <v>0.61169415292353801</v>
      </c>
    </row>
    <row r="14212" spans="1:5">
      <c r="A14212" t="s">
        <v>16401</v>
      </c>
      <c r="B14212" t="s">
        <v>16412</v>
      </c>
      <c r="C14212">
        <f>0.0305999669189</f>
        <v>3.0599966918900001E-2</v>
      </c>
      <c r="D14212">
        <v>0.92654360838399996</v>
      </c>
      <c r="E14212">
        <v>0.61169415292353801</v>
      </c>
    </row>
    <row r="14213" spans="1:5">
      <c r="A14213" t="s">
        <v>16413</v>
      </c>
      <c r="B14213" t="s">
        <v>16414</v>
      </c>
      <c r="C14213">
        <v>2.4081775350799999E-3</v>
      </c>
      <c r="D14213">
        <v>0.93419904290599998</v>
      </c>
      <c r="E14213">
        <v>5.3493253373313303</v>
      </c>
    </row>
    <row r="14214" spans="1:5">
      <c r="A14214" t="s">
        <v>16413</v>
      </c>
      <c r="B14214" t="s">
        <v>16415</v>
      </c>
      <c r="C14214">
        <v>0</v>
      </c>
      <c r="D14214">
        <v>0.93419904290599998</v>
      </c>
      <c r="E14214">
        <v>5.3493253373313303</v>
      </c>
    </row>
    <row r="14215" spans="1:5">
      <c r="A14215" t="s">
        <v>16416</v>
      </c>
      <c r="B14215" t="s">
        <v>16417</v>
      </c>
      <c r="C14215">
        <v>2.6084806684200001E-2</v>
      </c>
      <c r="D14215" t="s">
        <v>106</v>
      </c>
      <c r="E14215">
        <v>24</v>
      </c>
    </row>
    <row r="14216" spans="1:5">
      <c r="A14216" t="s">
        <v>16416</v>
      </c>
      <c r="B14216" t="s">
        <v>16418</v>
      </c>
      <c r="C14216">
        <f>0</f>
        <v>0</v>
      </c>
      <c r="D14216" t="s">
        <v>106</v>
      </c>
      <c r="E14216">
        <v>24</v>
      </c>
    </row>
    <row r="14217" spans="1:5">
      <c r="A14217" t="s">
        <v>16416</v>
      </c>
      <c r="B14217" t="s">
        <v>16419</v>
      </c>
      <c r="C14217">
        <v>0</v>
      </c>
      <c r="D14217" t="s">
        <v>106</v>
      </c>
      <c r="E14217">
        <v>24</v>
      </c>
    </row>
    <row r="14218" spans="1:5">
      <c r="A14218" t="s">
        <v>16416</v>
      </c>
      <c r="B14218" t="s">
        <v>16420</v>
      </c>
      <c r="C14218">
        <v>0.13971013517200001</v>
      </c>
      <c r="D14218" t="s">
        <v>106</v>
      </c>
      <c r="E14218">
        <v>24</v>
      </c>
    </row>
    <row r="14219" spans="1:5">
      <c r="A14219" t="s">
        <v>16416</v>
      </c>
      <c r="B14219" t="s">
        <v>16421</v>
      </c>
      <c r="C14219">
        <v>0</v>
      </c>
      <c r="D14219" t="s">
        <v>106</v>
      </c>
      <c r="E14219">
        <v>24</v>
      </c>
    </row>
    <row r="14220" spans="1:5">
      <c r="A14220" t="s">
        <v>16422</v>
      </c>
      <c r="B14220" t="s">
        <v>16423</v>
      </c>
      <c r="C14220">
        <f>0</f>
        <v>0</v>
      </c>
      <c r="D14220" t="s">
        <v>106</v>
      </c>
      <c r="E14220">
        <v>24</v>
      </c>
    </row>
    <row r="14221" spans="1:5">
      <c r="A14221" t="s">
        <v>16422</v>
      </c>
      <c r="B14221" t="s">
        <v>16424</v>
      </c>
      <c r="C14221">
        <f>0</f>
        <v>0</v>
      </c>
      <c r="D14221" t="s">
        <v>106</v>
      </c>
      <c r="E14221">
        <v>24</v>
      </c>
    </row>
    <row r="14222" spans="1:5">
      <c r="A14222" t="s">
        <v>16422</v>
      </c>
      <c r="B14222" t="s">
        <v>16425</v>
      </c>
      <c r="C14222">
        <f>0</f>
        <v>0</v>
      </c>
      <c r="D14222" t="s">
        <v>106</v>
      </c>
      <c r="E14222">
        <v>24</v>
      </c>
    </row>
    <row r="14223" spans="1:5">
      <c r="A14223" t="s">
        <v>16422</v>
      </c>
      <c r="B14223" t="s">
        <v>16426</v>
      </c>
      <c r="C14223">
        <f>0.0035110691235</f>
        <v>3.5110691235000001E-3</v>
      </c>
      <c r="D14223" t="s">
        <v>106</v>
      </c>
      <c r="E14223">
        <v>24</v>
      </c>
    </row>
    <row r="14224" spans="1:5">
      <c r="A14224" t="s">
        <v>16422</v>
      </c>
      <c r="B14224" t="s">
        <v>16427</v>
      </c>
      <c r="C14224">
        <v>0</v>
      </c>
      <c r="D14224" t="s">
        <v>106</v>
      </c>
      <c r="E14224">
        <v>24</v>
      </c>
    </row>
    <row r="14225" spans="1:5">
      <c r="A14225" t="s">
        <v>16422</v>
      </c>
      <c r="B14225" t="s">
        <v>16428</v>
      </c>
      <c r="C14225">
        <v>0</v>
      </c>
      <c r="D14225" t="s">
        <v>106</v>
      </c>
      <c r="E14225">
        <v>24</v>
      </c>
    </row>
    <row r="14226" spans="1:5">
      <c r="A14226" t="s">
        <v>16422</v>
      </c>
      <c r="B14226" t="s">
        <v>16429</v>
      </c>
      <c r="C14226">
        <f>0</f>
        <v>0</v>
      </c>
      <c r="D14226" t="s">
        <v>106</v>
      </c>
      <c r="E14226">
        <v>24</v>
      </c>
    </row>
    <row r="14227" spans="1:5">
      <c r="A14227" t="s">
        <v>16422</v>
      </c>
      <c r="B14227" t="s">
        <v>16430</v>
      </c>
      <c r="C14227">
        <v>0</v>
      </c>
      <c r="D14227" t="s">
        <v>106</v>
      </c>
      <c r="E14227">
        <v>24</v>
      </c>
    </row>
    <row r="14228" spans="1:5">
      <c r="A14228" t="s">
        <v>16422</v>
      </c>
      <c r="B14228" t="s">
        <v>16431</v>
      </c>
      <c r="C14228">
        <v>0</v>
      </c>
      <c r="D14228" t="s">
        <v>106</v>
      </c>
      <c r="E14228">
        <v>24</v>
      </c>
    </row>
    <row r="14229" spans="1:5">
      <c r="A14229" t="s">
        <v>16422</v>
      </c>
      <c r="B14229" t="s">
        <v>16432</v>
      </c>
      <c r="C14229">
        <f>0</f>
        <v>0</v>
      </c>
      <c r="D14229" t="s">
        <v>106</v>
      </c>
      <c r="E14229">
        <v>24</v>
      </c>
    </row>
    <row r="14230" spans="1:5">
      <c r="A14230" t="s">
        <v>16422</v>
      </c>
      <c r="B14230" t="s">
        <v>16433</v>
      </c>
      <c r="C14230">
        <f>0.00971079787047</f>
        <v>9.7107978704700001E-3</v>
      </c>
      <c r="D14230" t="s">
        <v>106</v>
      </c>
      <c r="E14230">
        <v>24</v>
      </c>
    </row>
    <row r="14231" spans="1:5">
      <c r="A14231" t="s">
        <v>16422</v>
      </c>
      <c r="B14231" t="s">
        <v>16434</v>
      </c>
      <c r="C14231">
        <v>0</v>
      </c>
      <c r="D14231" t="s">
        <v>106</v>
      </c>
      <c r="E14231">
        <v>24</v>
      </c>
    </row>
    <row r="14232" spans="1:5">
      <c r="A14232" t="s">
        <v>16422</v>
      </c>
      <c r="B14232" t="s">
        <v>16435</v>
      </c>
      <c r="C14232">
        <v>0</v>
      </c>
      <c r="D14232" t="s">
        <v>106</v>
      </c>
      <c r="E14232">
        <v>24</v>
      </c>
    </row>
    <row r="14233" spans="1:5">
      <c r="A14233" t="s">
        <v>16422</v>
      </c>
      <c r="B14233" t="s">
        <v>16436</v>
      </c>
      <c r="C14233">
        <f>0</f>
        <v>0</v>
      </c>
      <c r="D14233" t="s">
        <v>106</v>
      </c>
      <c r="E14233">
        <v>24</v>
      </c>
    </row>
    <row r="14234" spans="1:5">
      <c r="A14234" t="s">
        <v>16422</v>
      </c>
      <c r="B14234" t="s">
        <v>16437</v>
      </c>
      <c r="C14234">
        <v>0</v>
      </c>
      <c r="D14234" t="s">
        <v>106</v>
      </c>
      <c r="E14234">
        <v>24</v>
      </c>
    </row>
    <row r="14235" spans="1:5">
      <c r="A14235" t="s">
        <v>16422</v>
      </c>
      <c r="B14235" t="s">
        <v>16438</v>
      </c>
      <c r="C14235">
        <v>0</v>
      </c>
      <c r="D14235" t="s">
        <v>106</v>
      </c>
      <c r="E14235">
        <v>24</v>
      </c>
    </row>
    <row r="14236" spans="1:5">
      <c r="A14236" t="s">
        <v>16439</v>
      </c>
      <c r="B14236" t="s">
        <v>16440</v>
      </c>
      <c r="C14236">
        <f>0</f>
        <v>0</v>
      </c>
      <c r="D14236">
        <v>0.89751635610699998</v>
      </c>
      <c r="E14236">
        <v>1.51124437781109</v>
      </c>
    </row>
    <row r="14237" spans="1:5">
      <c r="A14237" t="s">
        <v>16439</v>
      </c>
      <c r="B14237" t="s">
        <v>16441</v>
      </c>
      <c r="C14237">
        <v>0.24492018333099999</v>
      </c>
      <c r="D14237">
        <v>0.89751635610699998</v>
      </c>
      <c r="E14237">
        <v>1.51124437781109</v>
      </c>
    </row>
    <row r="14238" spans="1:5">
      <c r="A14238" t="s">
        <v>16439</v>
      </c>
      <c r="B14238" t="s">
        <v>16442</v>
      </c>
      <c r="C14238">
        <v>0</v>
      </c>
      <c r="D14238">
        <v>0.89751635610699998</v>
      </c>
      <c r="E14238">
        <v>1.51124437781109</v>
      </c>
    </row>
    <row r="14239" spans="1:5">
      <c r="A14239" t="s">
        <v>16439</v>
      </c>
      <c r="B14239" t="s">
        <v>16443</v>
      </c>
      <c r="C14239">
        <v>0</v>
      </c>
      <c r="D14239">
        <v>0.89751635610699998</v>
      </c>
      <c r="E14239">
        <v>1.51124437781109</v>
      </c>
    </row>
    <row r="14240" spans="1:5">
      <c r="A14240" t="s">
        <v>16439</v>
      </c>
      <c r="B14240" t="s">
        <v>16444</v>
      </c>
      <c r="C14240">
        <v>0.103926862079</v>
      </c>
      <c r="D14240">
        <v>0.89751635610699998</v>
      </c>
      <c r="E14240">
        <v>1.51124437781109</v>
      </c>
    </row>
    <row r="14241" spans="1:5">
      <c r="A14241" t="s">
        <v>16439</v>
      </c>
      <c r="B14241" t="s">
        <v>16445</v>
      </c>
      <c r="C14241">
        <f>0</f>
        <v>0</v>
      </c>
      <c r="D14241">
        <v>0.89751635610699998</v>
      </c>
      <c r="E14241">
        <v>1.51124437781109</v>
      </c>
    </row>
    <row r="14242" spans="1:5">
      <c r="A14242" t="s">
        <v>16439</v>
      </c>
      <c r="B14242" t="s">
        <v>16446</v>
      </c>
      <c r="C14242">
        <f>0</f>
        <v>0</v>
      </c>
      <c r="D14242">
        <v>0.89751635610699998</v>
      </c>
      <c r="E14242">
        <v>1.51124437781109</v>
      </c>
    </row>
    <row r="14243" spans="1:5">
      <c r="A14243" t="s">
        <v>16447</v>
      </c>
      <c r="B14243" t="s">
        <v>16448</v>
      </c>
      <c r="C14243">
        <f>0</f>
        <v>0</v>
      </c>
      <c r="D14243" t="s">
        <v>106</v>
      </c>
      <c r="E14243">
        <v>24</v>
      </c>
    </row>
    <row r="14244" spans="1:5">
      <c r="A14244" t="s">
        <v>16447</v>
      </c>
      <c r="B14244" t="s">
        <v>16449</v>
      </c>
      <c r="C14244">
        <v>0</v>
      </c>
      <c r="D14244" t="s">
        <v>106</v>
      </c>
      <c r="E14244">
        <v>24</v>
      </c>
    </row>
    <row r="14245" spans="1:5">
      <c r="A14245" t="s">
        <v>16447</v>
      </c>
      <c r="B14245" t="s">
        <v>16450</v>
      </c>
      <c r="C14245">
        <v>0</v>
      </c>
      <c r="D14245" t="s">
        <v>106</v>
      </c>
      <c r="E14245">
        <v>24</v>
      </c>
    </row>
    <row r="14246" spans="1:5">
      <c r="A14246" t="s">
        <v>16447</v>
      </c>
      <c r="B14246" t="s">
        <v>16451</v>
      </c>
      <c r="C14246">
        <v>0</v>
      </c>
      <c r="D14246" t="s">
        <v>106</v>
      </c>
      <c r="E14246">
        <v>24</v>
      </c>
    </row>
    <row r="14247" spans="1:5">
      <c r="A14247" t="s">
        <v>16447</v>
      </c>
      <c r="B14247" t="s">
        <v>16452</v>
      </c>
      <c r="C14247">
        <f>0</f>
        <v>0</v>
      </c>
      <c r="D14247" t="s">
        <v>106</v>
      </c>
      <c r="E14247">
        <v>24</v>
      </c>
    </row>
    <row r="14248" spans="1:5">
      <c r="A14248" t="s">
        <v>16447</v>
      </c>
      <c r="B14248" t="s">
        <v>16453</v>
      </c>
      <c r="C14248">
        <v>0</v>
      </c>
      <c r="D14248" t="s">
        <v>106</v>
      </c>
      <c r="E14248">
        <v>24</v>
      </c>
    </row>
    <row r="14249" spans="1:5">
      <c r="A14249" t="s">
        <v>16447</v>
      </c>
      <c r="B14249" t="s">
        <v>16454</v>
      </c>
      <c r="C14249">
        <v>0</v>
      </c>
      <c r="D14249" t="s">
        <v>106</v>
      </c>
      <c r="E14249">
        <v>24</v>
      </c>
    </row>
    <row r="14250" spans="1:5">
      <c r="A14250" t="s">
        <v>16447</v>
      </c>
      <c r="B14250" t="s">
        <v>16455</v>
      </c>
      <c r="C14250">
        <v>0</v>
      </c>
      <c r="D14250" t="s">
        <v>106</v>
      </c>
      <c r="E14250">
        <v>24</v>
      </c>
    </row>
    <row r="14251" spans="1:5">
      <c r="A14251" t="s">
        <v>16456</v>
      </c>
      <c r="B14251" t="s">
        <v>16457</v>
      </c>
      <c r="C14251">
        <v>0</v>
      </c>
      <c r="D14251">
        <v>0.71221042313299998</v>
      </c>
      <c r="E14251">
        <v>0.86356821589205401</v>
      </c>
    </row>
    <row r="14252" spans="1:5">
      <c r="A14252" t="s">
        <v>16456</v>
      </c>
      <c r="B14252" t="s">
        <v>16458</v>
      </c>
      <c r="C14252">
        <v>0</v>
      </c>
      <c r="D14252">
        <v>0.71221042313299998</v>
      </c>
      <c r="E14252">
        <v>0.86356821589205401</v>
      </c>
    </row>
    <row r="14253" spans="1:5">
      <c r="A14253" t="s">
        <v>16456</v>
      </c>
      <c r="B14253" t="s">
        <v>16459</v>
      </c>
      <c r="C14253">
        <v>0</v>
      </c>
      <c r="D14253">
        <v>0.71221042313299998</v>
      </c>
      <c r="E14253">
        <v>0.86356821589205401</v>
      </c>
    </row>
    <row r="14254" spans="1:5">
      <c r="A14254" t="s">
        <v>16456</v>
      </c>
      <c r="B14254" t="s">
        <v>16460</v>
      </c>
      <c r="C14254">
        <f>0</f>
        <v>0</v>
      </c>
      <c r="D14254">
        <v>0.71221042313299998</v>
      </c>
      <c r="E14254">
        <v>0.86356821589205401</v>
      </c>
    </row>
    <row r="14255" spans="1:5">
      <c r="A14255" t="s">
        <v>16456</v>
      </c>
      <c r="B14255" t="s">
        <v>16461</v>
      </c>
      <c r="C14255">
        <f>0</f>
        <v>0</v>
      </c>
      <c r="D14255">
        <v>0.71221042313299998</v>
      </c>
      <c r="E14255">
        <v>0.86356821589205401</v>
      </c>
    </row>
    <row r="14256" spans="1:5">
      <c r="A14256" t="s">
        <v>16456</v>
      </c>
      <c r="B14256" t="s">
        <v>16462</v>
      </c>
      <c r="C14256">
        <f>0</f>
        <v>0</v>
      </c>
      <c r="D14256">
        <v>0.71221042313299998</v>
      </c>
      <c r="E14256">
        <v>0.86356821589205401</v>
      </c>
    </row>
    <row r="14257" spans="1:5">
      <c r="A14257" t="s">
        <v>16456</v>
      </c>
      <c r="B14257" t="s">
        <v>16463</v>
      </c>
      <c r="C14257">
        <v>1.7682315977299998E-2</v>
      </c>
      <c r="D14257">
        <v>0.71221042313299998</v>
      </c>
      <c r="E14257">
        <v>0.86356821589205401</v>
      </c>
    </row>
    <row r="14258" spans="1:5">
      <c r="A14258" t="s">
        <v>16456</v>
      </c>
      <c r="B14258" t="s">
        <v>16464</v>
      </c>
      <c r="C14258">
        <f>0</f>
        <v>0</v>
      </c>
      <c r="D14258">
        <v>0.71221042313299998</v>
      </c>
      <c r="E14258">
        <v>0.86356821589205401</v>
      </c>
    </row>
    <row r="14259" spans="1:5">
      <c r="A14259" t="s">
        <v>16456</v>
      </c>
      <c r="B14259" t="s">
        <v>16465</v>
      </c>
      <c r="C14259">
        <f>0</f>
        <v>0</v>
      </c>
      <c r="D14259">
        <v>0.71221042313299998</v>
      </c>
      <c r="E14259">
        <v>0.86356821589205401</v>
      </c>
    </row>
    <row r="14260" spans="1:5">
      <c r="A14260" t="s">
        <v>16466</v>
      </c>
      <c r="B14260" t="s">
        <v>16467</v>
      </c>
      <c r="C14260">
        <f>0</f>
        <v>0</v>
      </c>
      <c r="D14260">
        <v>0.85714555650799995</v>
      </c>
      <c r="E14260">
        <v>1.6311844077961</v>
      </c>
    </row>
    <row r="14261" spans="1:5">
      <c r="A14261" t="s">
        <v>16466</v>
      </c>
      <c r="B14261" t="s">
        <v>16468</v>
      </c>
      <c r="C14261">
        <f>0</f>
        <v>0</v>
      </c>
      <c r="D14261">
        <v>0.85714555650799995</v>
      </c>
      <c r="E14261">
        <v>1.6311844077961</v>
      </c>
    </row>
    <row r="14262" spans="1:5">
      <c r="A14262" t="s">
        <v>16466</v>
      </c>
      <c r="B14262" t="s">
        <v>16469</v>
      </c>
      <c r="C14262">
        <v>0</v>
      </c>
      <c r="D14262">
        <v>0.85714555650799995</v>
      </c>
      <c r="E14262">
        <v>1.6311844077961</v>
      </c>
    </row>
    <row r="14263" spans="1:5">
      <c r="A14263" t="s">
        <v>16466</v>
      </c>
      <c r="B14263" t="s">
        <v>16470</v>
      </c>
      <c r="C14263">
        <v>0</v>
      </c>
      <c r="D14263">
        <v>0.85714555650799995</v>
      </c>
      <c r="E14263">
        <v>1.6311844077961</v>
      </c>
    </row>
    <row r="14264" spans="1:5">
      <c r="A14264" t="s">
        <v>16466</v>
      </c>
      <c r="B14264" t="s">
        <v>16471</v>
      </c>
      <c r="C14264">
        <f>0</f>
        <v>0</v>
      </c>
      <c r="D14264">
        <v>0.85714555650799995</v>
      </c>
      <c r="E14264">
        <v>1.6311844077961</v>
      </c>
    </row>
    <row r="14265" spans="1:5">
      <c r="A14265" t="s">
        <v>16466</v>
      </c>
      <c r="B14265" t="s">
        <v>16472</v>
      </c>
      <c r="C14265">
        <f>0.029813251353</f>
        <v>2.9813251353E-2</v>
      </c>
      <c r="D14265">
        <v>0.85714555650799995</v>
      </c>
      <c r="E14265">
        <v>1.6311844077961</v>
      </c>
    </row>
    <row r="14266" spans="1:5">
      <c r="A14266" t="s">
        <v>16466</v>
      </c>
      <c r="B14266" t="s">
        <v>16473</v>
      </c>
      <c r="C14266">
        <f>0</f>
        <v>0</v>
      </c>
      <c r="D14266">
        <v>0.85714555650799995</v>
      </c>
      <c r="E14266">
        <v>1.6311844077961</v>
      </c>
    </row>
    <row r="14267" spans="1:5">
      <c r="A14267" t="s">
        <v>16466</v>
      </c>
      <c r="B14267" t="s">
        <v>16474</v>
      </c>
      <c r="C14267">
        <f>0</f>
        <v>0</v>
      </c>
      <c r="D14267">
        <v>0.85714555650799995</v>
      </c>
      <c r="E14267">
        <v>1.6311844077961</v>
      </c>
    </row>
    <row r="14268" spans="1:5">
      <c r="A14268" t="s">
        <v>16466</v>
      </c>
      <c r="B14268" t="s">
        <v>16475</v>
      </c>
      <c r="C14268">
        <v>0</v>
      </c>
      <c r="D14268">
        <v>0.85714555650799995</v>
      </c>
      <c r="E14268">
        <v>1.6311844077961</v>
      </c>
    </row>
    <row r="14269" spans="1:5">
      <c r="A14269" t="s">
        <v>16466</v>
      </c>
      <c r="B14269" t="s">
        <v>16476</v>
      </c>
      <c r="C14269">
        <v>0</v>
      </c>
      <c r="D14269">
        <v>0.85714555650799995</v>
      </c>
      <c r="E14269">
        <v>1.6311844077961</v>
      </c>
    </row>
    <row r="14270" spans="1:5">
      <c r="A14270" t="s">
        <v>16466</v>
      </c>
      <c r="B14270" t="s">
        <v>16477</v>
      </c>
      <c r="C14270">
        <f>0.0178053591639</f>
        <v>1.7805359163900001E-2</v>
      </c>
      <c r="D14270">
        <v>0.85714555650799995</v>
      </c>
      <c r="E14270">
        <v>1.6311844077961</v>
      </c>
    </row>
    <row r="14271" spans="1:5">
      <c r="A14271" t="s">
        <v>16478</v>
      </c>
      <c r="B14271" t="s">
        <v>16479</v>
      </c>
      <c r="C14271">
        <v>0</v>
      </c>
      <c r="D14271" t="s">
        <v>106</v>
      </c>
      <c r="E14271">
        <v>5.5772113943028403</v>
      </c>
    </row>
    <row r="14272" spans="1:5">
      <c r="A14272" t="s">
        <v>16478</v>
      </c>
      <c r="B14272" t="s">
        <v>16480</v>
      </c>
      <c r="C14272">
        <v>0</v>
      </c>
      <c r="D14272" t="s">
        <v>106</v>
      </c>
      <c r="E14272">
        <v>5.5772113943028403</v>
      </c>
    </row>
    <row r="14273" spans="1:5">
      <c r="A14273" t="s">
        <v>16478</v>
      </c>
      <c r="B14273" t="s">
        <v>16481</v>
      </c>
      <c r="C14273">
        <v>0</v>
      </c>
      <c r="D14273" t="s">
        <v>106</v>
      </c>
      <c r="E14273">
        <v>5.5772113943028403</v>
      </c>
    </row>
    <row r="14274" spans="1:5">
      <c r="A14274" t="s">
        <v>16482</v>
      </c>
      <c r="B14274" t="s">
        <v>16483</v>
      </c>
      <c r="C14274">
        <f>0</f>
        <v>0</v>
      </c>
      <c r="D14274" t="s">
        <v>106</v>
      </c>
      <c r="E14274">
        <v>19.850074962518701</v>
      </c>
    </row>
    <row r="14275" spans="1:5">
      <c r="A14275" t="s">
        <v>16484</v>
      </c>
      <c r="B14275" t="s">
        <v>16485</v>
      </c>
      <c r="C14275">
        <v>0.597017095793</v>
      </c>
      <c r="D14275">
        <v>0.99818996913900004</v>
      </c>
      <c r="E14275">
        <v>2.79460269865067</v>
      </c>
    </row>
    <row r="14276" spans="1:5">
      <c r="A14276" t="s">
        <v>16484</v>
      </c>
      <c r="B14276" t="s">
        <v>16486</v>
      </c>
      <c r="C14276">
        <v>0.26910503491999999</v>
      </c>
      <c r="D14276">
        <v>0.99818996913900004</v>
      </c>
      <c r="E14276">
        <v>2.79460269865067</v>
      </c>
    </row>
    <row r="14277" spans="1:5">
      <c r="A14277" t="s">
        <v>16487</v>
      </c>
      <c r="B14277" t="s">
        <v>16488</v>
      </c>
      <c r="C14277">
        <f>0</f>
        <v>0</v>
      </c>
      <c r="D14277" t="s">
        <v>106</v>
      </c>
      <c r="E14277">
        <v>4.3778110944527704</v>
      </c>
    </row>
    <row r="14278" spans="1:5">
      <c r="A14278" t="s">
        <v>16489</v>
      </c>
      <c r="B14278" t="s">
        <v>16490</v>
      </c>
      <c r="C14278">
        <f>0</f>
        <v>0</v>
      </c>
      <c r="D14278">
        <v>0.97308690048400004</v>
      </c>
      <c r="E14278">
        <v>3.3103448275862002</v>
      </c>
    </row>
    <row r="14279" spans="1:5">
      <c r="A14279" t="s">
        <v>16489</v>
      </c>
      <c r="B14279" t="s">
        <v>16491</v>
      </c>
      <c r="C14279">
        <f>0</f>
        <v>0</v>
      </c>
      <c r="D14279">
        <v>0.97308690048400004</v>
      </c>
      <c r="E14279">
        <v>3.3103448275862002</v>
      </c>
    </row>
    <row r="14280" spans="1:5">
      <c r="A14280" t="s">
        <v>16489</v>
      </c>
      <c r="B14280" t="s">
        <v>16492</v>
      </c>
      <c r="C14280">
        <f>0</f>
        <v>0</v>
      </c>
      <c r="D14280">
        <v>0.97308690048400004</v>
      </c>
      <c r="E14280">
        <v>3.3103448275862002</v>
      </c>
    </row>
    <row r="14281" spans="1:5">
      <c r="A14281" t="s">
        <v>16489</v>
      </c>
      <c r="B14281" t="s">
        <v>16493</v>
      </c>
      <c r="C14281">
        <f>0</f>
        <v>0</v>
      </c>
      <c r="D14281">
        <v>0.97308690048400004</v>
      </c>
      <c r="E14281">
        <v>3.3103448275862002</v>
      </c>
    </row>
    <row r="14282" spans="1:5">
      <c r="A14282" t="s">
        <v>16489</v>
      </c>
      <c r="B14282" t="s">
        <v>16494</v>
      </c>
      <c r="C14282">
        <f>0</f>
        <v>0</v>
      </c>
      <c r="D14282">
        <v>0.97308690048400004</v>
      </c>
      <c r="E14282">
        <v>3.3103448275862002</v>
      </c>
    </row>
    <row r="14283" spans="1:5">
      <c r="A14283" t="s">
        <v>16489</v>
      </c>
      <c r="B14283" t="s">
        <v>16495</v>
      </c>
      <c r="C14283">
        <v>0</v>
      </c>
      <c r="D14283">
        <v>0.97308690048400004</v>
      </c>
      <c r="E14283">
        <v>3.3103448275862002</v>
      </c>
    </row>
    <row r="14284" spans="1:5">
      <c r="A14284" t="s">
        <v>16489</v>
      </c>
      <c r="B14284" t="s">
        <v>16496</v>
      </c>
      <c r="C14284">
        <f>0</f>
        <v>0</v>
      </c>
      <c r="D14284">
        <v>0.97308690048400004</v>
      </c>
      <c r="E14284">
        <v>3.3103448275862002</v>
      </c>
    </row>
    <row r="14285" spans="1:5">
      <c r="A14285" t="s">
        <v>16489</v>
      </c>
      <c r="B14285" t="s">
        <v>16497</v>
      </c>
      <c r="C14285">
        <f>0</f>
        <v>0</v>
      </c>
      <c r="D14285">
        <v>0.97308690048400004</v>
      </c>
      <c r="E14285">
        <v>3.3103448275862002</v>
      </c>
    </row>
    <row r="14286" spans="1:5">
      <c r="A14286" t="s">
        <v>16489</v>
      </c>
      <c r="B14286" t="s">
        <v>16498</v>
      </c>
      <c r="C14286">
        <v>0</v>
      </c>
      <c r="D14286">
        <v>0.97308690048400004</v>
      </c>
      <c r="E14286">
        <v>3.3103448275862002</v>
      </c>
    </row>
    <row r="14287" spans="1:5">
      <c r="A14287" t="s">
        <v>16499</v>
      </c>
      <c r="B14287" t="s">
        <v>16500</v>
      </c>
      <c r="C14287">
        <v>0</v>
      </c>
      <c r="D14287" t="s">
        <v>106</v>
      </c>
      <c r="E14287">
        <v>7.8680659670164896</v>
      </c>
    </row>
    <row r="14288" spans="1:5">
      <c r="A14288" t="s">
        <v>16499</v>
      </c>
      <c r="B14288" t="s">
        <v>16501</v>
      </c>
      <c r="C14288">
        <v>0</v>
      </c>
      <c r="D14288" t="s">
        <v>106</v>
      </c>
      <c r="E14288">
        <v>7.8680659670164896</v>
      </c>
    </row>
    <row r="14289" spans="1:5">
      <c r="A14289" t="s">
        <v>16499</v>
      </c>
      <c r="B14289" t="s">
        <v>16502</v>
      </c>
      <c r="C14289">
        <f>0</f>
        <v>0</v>
      </c>
      <c r="D14289" t="s">
        <v>106</v>
      </c>
      <c r="E14289">
        <v>7.8680659670164896</v>
      </c>
    </row>
    <row r="14290" spans="1:5">
      <c r="A14290" t="s">
        <v>16499</v>
      </c>
      <c r="B14290" t="s">
        <v>16503</v>
      </c>
      <c r="C14290">
        <f>0</f>
        <v>0</v>
      </c>
      <c r="D14290" t="s">
        <v>106</v>
      </c>
      <c r="E14290">
        <v>7.8680659670164896</v>
      </c>
    </row>
    <row r="14291" spans="1:5">
      <c r="A14291" t="s">
        <v>16499</v>
      </c>
      <c r="B14291" t="s">
        <v>16504</v>
      </c>
      <c r="C14291">
        <v>0</v>
      </c>
      <c r="D14291" t="s">
        <v>106</v>
      </c>
      <c r="E14291">
        <v>7.8680659670164896</v>
      </c>
    </row>
    <row r="14292" spans="1:5">
      <c r="A14292" t="s">
        <v>16499</v>
      </c>
      <c r="B14292" t="s">
        <v>16505</v>
      </c>
      <c r="C14292">
        <v>0</v>
      </c>
      <c r="D14292" t="s">
        <v>106</v>
      </c>
      <c r="E14292">
        <v>7.8680659670164896</v>
      </c>
    </row>
    <row r="14293" spans="1:5">
      <c r="A14293" t="s">
        <v>16506</v>
      </c>
      <c r="B14293" t="s">
        <v>16507</v>
      </c>
      <c r="C14293">
        <f>0</f>
        <v>0</v>
      </c>
      <c r="D14293">
        <v>0.94718276338399998</v>
      </c>
      <c r="E14293">
        <v>17.307346326836502</v>
      </c>
    </row>
    <row r="14294" spans="1:5">
      <c r="A14294" t="s">
        <v>16506</v>
      </c>
      <c r="B14294" t="s">
        <v>16508</v>
      </c>
      <c r="C14294">
        <v>0</v>
      </c>
      <c r="D14294">
        <v>0.94718276338399998</v>
      </c>
      <c r="E14294">
        <v>17.307346326836502</v>
      </c>
    </row>
    <row r="14295" spans="1:5">
      <c r="A14295" t="s">
        <v>16506</v>
      </c>
      <c r="B14295" t="s">
        <v>16509</v>
      </c>
      <c r="C14295">
        <v>0</v>
      </c>
      <c r="D14295">
        <v>0.94718276338399998</v>
      </c>
      <c r="E14295">
        <v>17.307346326836502</v>
      </c>
    </row>
    <row r="14296" spans="1:5">
      <c r="A14296" t="s">
        <v>16506</v>
      </c>
      <c r="B14296" t="s">
        <v>16510</v>
      </c>
      <c r="C14296">
        <v>0</v>
      </c>
      <c r="D14296">
        <v>0.94718276338399998</v>
      </c>
      <c r="E14296">
        <v>17.307346326836502</v>
      </c>
    </row>
    <row r="14297" spans="1:5">
      <c r="A14297" t="s">
        <v>16506</v>
      </c>
      <c r="B14297" t="s">
        <v>16511</v>
      </c>
      <c r="C14297">
        <v>0</v>
      </c>
      <c r="D14297">
        <v>0.94718276338399998</v>
      </c>
      <c r="E14297">
        <v>17.307346326836502</v>
      </c>
    </row>
    <row r="14298" spans="1:5">
      <c r="A14298" t="s">
        <v>16512</v>
      </c>
      <c r="B14298" t="s">
        <v>16513</v>
      </c>
      <c r="C14298">
        <f>0</f>
        <v>0</v>
      </c>
      <c r="D14298">
        <v>0.93670798223999996</v>
      </c>
      <c r="E14298">
        <v>6.0569715142428704</v>
      </c>
    </row>
    <row r="14299" spans="1:5">
      <c r="A14299" t="s">
        <v>16512</v>
      </c>
      <c r="B14299" t="s">
        <v>16514</v>
      </c>
      <c r="C14299">
        <v>0</v>
      </c>
      <c r="D14299">
        <v>0.93670798223999996</v>
      </c>
      <c r="E14299">
        <v>6.0569715142428704</v>
      </c>
    </row>
    <row r="14300" spans="1:5">
      <c r="A14300" t="s">
        <v>16512</v>
      </c>
      <c r="B14300" t="s">
        <v>16515</v>
      </c>
      <c r="C14300">
        <v>0</v>
      </c>
      <c r="D14300">
        <v>0.93670798223999996</v>
      </c>
      <c r="E14300">
        <v>6.0569715142428704</v>
      </c>
    </row>
    <row r="14301" spans="1:5">
      <c r="A14301" t="s">
        <v>16512</v>
      </c>
      <c r="B14301" t="s">
        <v>16516</v>
      </c>
      <c r="C14301">
        <v>0</v>
      </c>
      <c r="D14301">
        <v>0.93670798223999996</v>
      </c>
      <c r="E14301">
        <v>6.0569715142428704</v>
      </c>
    </row>
    <row r="14302" spans="1:5">
      <c r="A14302" t="s">
        <v>16512</v>
      </c>
      <c r="B14302" t="s">
        <v>16517</v>
      </c>
      <c r="C14302">
        <v>0</v>
      </c>
      <c r="D14302">
        <v>0.93670798223999996</v>
      </c>
      <c r="E14302">
        <v>6.0569715142428704</v>
      </c>
    </row>
    <row r="14303" spans="1:5">
      <c r="A14303" t="s">
        <v>16512</v>
      </c>
      <c r="B14303" t="s">
        <v>16518</v>
      </c>
      <c r="C14303">
        <v>0</v>
      </c>
      <c r="D14303">
        <v>0.93670798223999996</v>
      </c>
      <c r="E14303">
        <v>6.0569715142428704</v>
      </c>
    </row>
    <row r="14304" spans="1:5">
      <c r="A14304" t="s">
        <v>16512</v>
      </c>
      <c r="B14304" t="s">
        <v>16519</v>
      </c>
      <c r="C14304">
        <f>0</f>
        <v>0</v>
      </c>
      <c r="D14304">
        <v>0.93670798223999996</v>
      </c>
      <c r="E14304">
        <v>6.0569715142428704</v>
      </c>
    </row>
    <row r="14305" spans="1:5">
      <c r="A14305" t="s">
        <v>16520</v>
      </c>
      <c r="B14305" t="s">
        <v>16521</v>
      </c>
      <c r="C14305">
        <v>0.10519629883499999</v>
      </c>
      <c r="D14305">
        <v>0.99116271375700005</v>
      </c>
      <c r="E14305">
        <v>7.0644677661169402</v>
      </c>
    </row>
    <row r="14306" spans="1:5">
      <c r="A14306" t="s">
        <v>16520</v>
      </c>
      <c r="B14306" t="s">
        <v>16522</v>
      </c>
      <c r="C14306">
        <f>0</f>
        <v>0</v>
      </c>
      <c r="D14306">
        <v>0.99116271375700005</v>
      </c>
      <c r="E14306">
        <v>7.0644677661169402</v>
      </c>
    </row>
    <row r="14307" spans="1:5">
      <c r="A14307" t="s">
        <v>16523</v>
      </c>
      <c r="B14307" t="s">
        <v>16524</v>
      </c>
      <c r="C14307">
        <v>0.19145804290499999</v>
      </c>
      <c r="D14307">
        <v>0.96338146997600005</v>
      </c>
      <c r="E14307">
        <v>17.919040479760099</v>
      </c>
    </row>
    <row r="14308" spans="1:5">
      <c r="A14308" t="s">
        <v>16525</v>
      </c>
      <c r="B14308" t="s">
        <v>16526</v>
      </c>
      <c r="C14308">
        <v>0</v>
      </c>
      <c r="D14308" t="s">
        <v>106</v>
      </c>
      <c r="E14308">
        <v>6.4287856071964002</v>
      </c>
    </row>
    <row r="14309" spans="1:5">
      <c r="A14309" t="s">
        <v>16525</v>
      </c>
      <c r="B14309" t="s">
        <v>16527</v>
      </c>
      <c r="C14309">
        <f>0</f>
        <v>0</v>
      </c>
      <c r="D14309" t="s">
        <v>106</v>
      </c>
      <c r="E14309">
        <v>6.4287856071964002</v>
      </c>
    </row>
    <row r="14310" spans="1:5">
      <c r="A14310" t="s">
        <v>16525</v>
      </c>
      <c r="B14310" t="s">
        <v>16528</v>
      </c>
      <c r="C14310">
        <f>0</f>
        <v>0</v>
      </c>
      <c r="D14310" t="s">
        <v>106</v>
      </c>
      <c r="E14310">
        <v>6.4287856071964002</v>
      </c>
    </row>
    <row r="14311" spans="1:5">
      <c r="A14311" t="s">
        <v>16529</v>
      </c>
      <c r="B14311" t="s">
        <v>16530</v>
      </c>
      <c r="C14311">
        <f>0.121943881809</f>
        <v>0.121943881809</v>
      </c>
      <c r="D14311">
        <v>0.823204508532</v>
      </c>
      <c r="E14311">
        <v>13.445277361319301</v>
      </c>
    </row>
    <row r="14312" spans="1:5">
      <c r="A14312" t="s">
        <v>16529</v>
      </c>
      <c r="B14312" t="s">
        <v>16531</v>
      </c>
      <c r="C14312">
        <f>0.33533445133</f>
        <v>0.33533445133000001</v>
      </c>
      <c r="D14312">
        <v>0.823204508532</v>
      </c>
      <c r="E14312">
        <v>13.445277361319301</v>
      </c>
    </row>
    <row r="14313" spans="1:5">
      <c r="A14313" t="s">
        <v>16529</v>
      </c>
      <c r="B14313" t="s">
        <v>16532</v>
      </c>
      <c r="C14313">
        <f>0</f>
        <v>0</v>
      </c>
      <c r="D14313">
        <v>0.823204508532</v>
      </c>
      <c r="E14313">
        <v>13.445277361319301</v>
      </c>
    </row>
    <row r="14314" spans="1:5">
      <c r="A14314" t="s">
        <v>16529</v>
      </c>
      <c r="B14314" t="s">
        <v>16533</v>
      </c>
      <c r="C14314">
        <f>0</f>
        <v>0</v>
      </c>
      <c r="D14314">
        <v>0.823204508532</v>
      </c>
      <c r="E14314">
        <v>13.445277361319301</v>
      </c>
    </row>
    <row r="14315" spans="1:5">
      <c r="A14315" t="s">
        <v>16534</v>
      </c>
      <c r="B14315" t="s">
        <v>16535</v>
      </c>
      <c r="C14315">
        <v>0</v>
      </c>
      <c r="D14315" t="s">
        <v>106</v>
      </c>
      <c r="E14315">
        <v>12.9175412293853</v>
      </c>
    </row>
    <row r="14316" spans="1:5">
      <c r="A14316" t="s">
        <v>16534</v>
      </c>
      <c r="B14316" t="s">
        <v>16536</v>
      </c>
      <c r="C14316">
        <v>0</v>
      </c>
      <c r="D14316" t="s">
        <v>106</v>
      </c>
      <c r="E14316">
        <v>12.9175412293853</v>
      </c>
    </row>
    <row r="14317" spans="1:5">
      <c r="A14317" t="s">
        <v>16534</v>
      </c>
      <c r="B14317" t="s">
        <v>16537</v>
      </c>
      <c r="C14317">
        <v>0</v>
      </c>
      <c r="D14317" t="s">
        <v>106</v>
      </c>
      <c r="E14317">
        <v>12.9175412293853</v>
      </c>
    </row>
    <row r="14318" spans="1:5">
      <c r="A14318" t="s">
        <v>16534</v>
      </c>
      <c r="B14318" t="s">
        <v>16538</v>
      </c>
      <c r="C14318">
        <v>0</v>
      </c>
      <c r="D14318" t="s">
        <v>106</v>
      </c>
      <c r="E14318">
        <v>12.9175412293853</v>
      </c>
    </row>
    <row r="14319" spans="1:5">
      <c r="A14319" t="s">
        <v>16534</v>
      </c>
      <c r="B14319" t="s">
        <v>16539</v>
      </c>
      <c r="C14319">
        <v>0</v>
      </c>
      <c r="D14319" t="s">
        <v>106</v>
      </c>
      <c r="E14319">
        <v>12.9175412293853</v>
      </c>
    </row>
    <row r="14320" spans="1:5">
      <c r="A14320" t="s">
        <v>16534</v>
      </c>
      <c r="B14320" t="s">
        <v>16540</v>
      </c>
      <c r="C14320">
        <v>0</v>
      </c>
      <c r="D14320" t="s">
        <v>106</v>
      </c>
      <c r="E14320">
        <v>12.9175412293853</v>
      </c>
    </row>
    <row r="14321" spans="1:5">
      <c r="A14321" t="s">
        <v>16534</v>
      </c>
      <c r="B14321" t="s">
        <v>16541</v>
      </c>
      <c r="C14321">
        <v>0</v>
      </c>
      <c r="D14321" t="s">
        <v>106</v>
      </c>
      <c r="E14321">
        <v>12.9175412293853</v>
      </c>
    </row>
    <row r="14322" spans="1:5">
      <c r="A14322" t="s">
        <v>16534</v>
      </c>
      <c r="B14322" t="s">
        <v>16542</v>
      </c>
      <c r="C14322">
        <f>0</f>
        <v>0</v>
      </c>
      <c r="D14322" t="s">
        <v>106</v>
      </c>
      <c r="E14322">
        <v>12.9175412293853</v>
      </c>
    </row>
    <row r="14323" spans="1:5">
      <c r="A14323" t="s">
        <v>16543</v>
      </c>
      <c r="B14323" t="s">
        <v>16544</v>
      </c>
      <c r="C14323">
        <f>0</f>
        <v>0</v>
      </c>
      <c r="D14323" t="s">
        <v>106</v>
      </c>
      <c r="E14323">
        <v>9.1634182908545707</v>
      </c>
    </row>
    <row r="14324" spans="1:5">
      <c r="A14324" t="s">
        <v>16543</v>
      </c>
      <c r="B14324" t="s">
        <v>16545</v>
      </c>
      <c r="C14324">
        <v>0</v>
      </c>
      <c r="D14324" t="s">
        <v>106</v>
      </c>
      <c r="E14324">
        <v>9.1634182908545707</v>
      </c>
    </row>
    <row r="14325" spans="1:5">
      <c r="A14325" t="s">
        <v>16546</v>
      </c>
      <c r="B14325" t="s">
        <v>16547</v>
      </c>
      <c r="C14325">
        <v>0</v>
      </c>
      <c r="D14325">
        <v>0.97584708660999997</v>
      </c>
      <c r="E14325">
        <v>13.997001499250301</v>
      </c>
    </row>
    <row r="14326" spans="1:5">
      <c r="A14326" t="s">
        <v>16546</v>
      </c>
      <c r="B14326" t="s">
        <v>16548</v>
      </c>
      <c r="C14326">
        <v>0</v>
      </c>
      <c r="D14326">
        <v>0.97584708660999997</v>
      </c>
      <c r="E14326">
        <v>13.997001499250301</v>
      </c>
    </row>
    <row r="14327" spans="1:5">
      <c r="A14327" t="s">
        <v>16546</v>
      </c>
      <c r="B14327" t="s">
        <v>16549</v>
      </c>
      <c r="C14327">
        <v>0.31875741240900002</v>
      </c>
      <c r="D14327">
        <v>0.97584708660999997</v>
      </c>
      <c r="E14327">
        <v>13.997001499250301</v>
      </c>
    </row>
    <row r="14328" spans="1:5">
      <c r="A14328" t="s">
        <v>16550</v>
      </c>
      <c r="B14328" t="s">
        <v>16551</v>
      </c>
      <c r="C14328">
        <v>0</v>
      </c>
      <c r="D14328">
        <v>0.905558268354</v>
      </c>
      <c r="E14328">
        <v>14.5487256371814</v>
      </c>
    </row>
    <row r="14329" spans="1:5">
      <c r="A14329" t="s">
        <v>16550</v>
      </c>
      <c r="B14329" t="s">
        <v>16552</v>
      </c>
      <c r="C14329">
        <v>0</v>
      </c>
      <c r="D14329">
        <v>0.905558268354</v>
      </c>
      <c r="E14329">
        <v>14.5487256371814</v>
      </c>
    </row>
    <row r="14330" spans="1:5">
      <c r="A14330" t="s">
        <v>16550</v>
      </c>
      <c r="B14330" t="s">
        <v>16553</v>
      </c>
      <c r="C14330">
        <v>0</v>
      </c>
      <c r="D14330">
        <v>0.905558268354</v>
      </c>
      <c r="E14330">
        <v>14.5487256371814</v>
      </c>
    </row>
    <row r="14331" spans="1:5">
      <c r="A14331" t="s">
        <v>16550</v>
      </c>
      <c r="B14331" t="s">
        <v>16554</v>
      </c>
      <c r="C14331">
        <v>0.134933633094</v>
      </c>
      <c r="D14331">
        <v>0.905558268354</v>
      </c>
      <c r="E14331">
        <v>14.5487256371814</v>
      </c>
    </row>
    <row r="14332" spans="1:5">
      <c r="A14332" t="s">
        <v>16550</v>
      </c>
      <c r="B14332" t="s">
        <v>16555</v>
      </c>
      <c r="C14332">
        <v>0</v>
      </c>
      <c r="D14332">
        <v>0.905558268354</v>
      </c>
      <c r="E14332">
        <v>14.5487256371814</v>
      </c>
    </row>
    <row r="14333" spans="1:5">
      <c r="A14333" t="s">
        <v>16550</v>
      </c>
      <c r="B14333" t="s">
        <v>16556</v>
      </c>
      <c r="C14333">
        <v>0</v>
      </c>
      <c r="D14333">
        <v>0.905558268354</v>
      </c>
      <c r="E14333">
        <v>14.5487256371814</v>
      </c>
    </row>
    <row r="14334" spans="1:5">
      <c r="A14334" t="s">
        <v>16550</v>
      </c>
      <c r="B14334" t="s">
        <v>16557</v>
      </c>
      <c r="C14334">
        <v>0</v>
      </c>
      <c r="D14334">
        <v>0.905558268354</v>
      </c>
      <c r="E14334">
        <v>14.5487256371814</v>
      </c>
    </row>
    <row r="14335" spans="1:5">
      <c r="A14335" t="s">
        <v>16550</v>
      </c>
      <c r="B14335" t="s">
        <v>16558</v>
      </c>
      <c r="C14335">
        <f>0</f>
        <v>0</v>
      </c>
      <c r="D14335">
        <v>0.905558268354</v>
      </c>
      <c r="E14335">
        <v>14.5487256371814</v>
      </c>
    </row>
    <row r="14336" spans="1:5">
      <c r="A14336" t="s">
        <v>16550</v>
      </c>
      <c r="B14336" t="s">
        <v>16559</v>
      </c>
      <c r="C14336">
        <v>0</v>
      </c>
      <c r="D14336">
        <v>0.905558268354</v>
      </c>
      <c r="E14336">
        <v>14.5487256371814</v>
      </c>
    </row>
    <row r="14337" spans="1:5">
      <c r="A14337" t="s">
        <v>16550</v>
      </c>
      <c r="B14337" t="s">
        <v>16560</v>
      </c>
      <c r="C14337">
        <v>0</v>
      </c>
      <c r="D14337">
        <v>0.905558268354</v>
      </c>
      <c r="E14337">
        <v>14.5487256371814</v>
      </c>
    </row>
    <row r="14338" spans="1:5">
      <c r="A14338" t="s">
        <v>16550</v>
      </c>
      <c r="B14338" t="s">
        <v>16561</v>
      </c>
      <c r="C14338">
        <v>0</v>
      </c>
      <c r="D14338">
        <v>0.905558268354</v>
      </c>
      <c r="E14338">
        <v>14.5487256371814</v>
      </c>
    </row>
    <row r="14339" spans="1:5">
      <c r="A14339" t="s">
        <v>16550</v>
      </c>
      <c r="B14339" t="s">
        <v>16562</v>
      </c>
      <c r="C14339">
        <v>0</v>
      </c>
      <c r="D14339">
        <v>0.905558268354</v>
      </c>
      <c r="E14339">
        <v>14.5487256371814</v>
      </c>
    </row>
    <row r="14340" spans="1:5">
      <c r="A14340" t="s">
        <v>16550</v>
      </c>
      <c r="B14340" t="s">
        <v>16563</v>
      </c>
      <c r="C14340">
        <v>0</v>
      </c>
      <c r="D14340">
        <v>0.905558268354</v>
      </c>
      <c r="E14340">
        <v>14.5487256371814</v>
      </c>
    </row>
    <row r="14341" spans="1:5">
      <c r="A14341" t="s">
        <v>16564</v>
      </c>
      <c r="B14341" t="s">
        <v>16565</v>
      </c>
      <c r="C14341">
        <v>0.44870985268800001</v>
      </c>
      <c r="D14341">
        <v>0.82117812091800002</v>
      </c>
      <c r="E14341">
        <v>0.95952023988005997</v>
      </c>
    </row>
    <row r="14342" spans="1:5">
      <c r="A14342" t="s">
        <v>16566</v>
      </c>
      <c r="B14342" t="s">
        <v>16567</v>
      </c>
      <c r="C14342">
        <f>0</f>
        <v>0</v>
      </c>
      <c r="D14342">
        <v>0.94994559812400003</v>
      </c>
      <c r="E14342">
        <v>0.65967016491754105</v>
      </c>
    </row>
    <row r="14343" spans="1:5">
      <c r="A14343" t="s">
        <v>16566</v>
      </c>
      <c r="B14343" t="s">
        <v>16568</v>
      </c>
      <c r="C14343">
        <v>0.25788593085900002</v>
      </c>
      <c r="D14343">
        <v>0.94994559812400003</v>
      </c>
      <c r="E14343">
        <v>0.65967016491754105</v>
      </c>
    </row>
    <row r="14344" spans="1:5">
      <c r="A14344" t="s">
        <v>16566</v>
      </c>
      <c r="B14344" t="s">
        <v>16569</v>
      </c>
      <c r="C14344">
        <v>0.59517669234299997</v>
      </c>
      <c r="D14344">
        <v>0.94994559812400003</v>
      </c>
      <c r="E14344">
        <v>0.65967016491754105</v>
      </c>
    </row>
    <row r="14345" spans="1:5">
      <c r="A14345" t="s">
        <v>16570</v>
      </c>
      <c r="B14345" t="s">
        <v>16571</v>
      </c>
      <c r="C14345">
        <f>0</f>
        <v>0</v>
      </c>
      <c r="D14345" t="s">
        <v>106</v>
      </c>
      <c r="E14345">
        <v>12.2098950524737</v>
      </c>
    </row>
    <row r="14346" spans="1:5">
      <c r="A14346" t="s">
        <v>16570</v>
      </c>
      <c r="B14346" t="s">
        <v>16572</v>
      </c>
      <c r="C14346">
        <f>0</f>
        <v>0</v>
      </c>
      <c r="D14346" t="s">
        <v>106</v>
      </c>
      <c r="E14346">
        <v>12.2098950524737</v>
      </c>
    </row>
    <row r="14347" spans="1:5">
      <c r="A14347" t="s">
        <v>16570</v>
      </c>
      <c r="B14347" t="s">
        <v>16573</v>
      </c>
      <c r="C14347">
        <f>0</f>
        <v>0</v>
      </c>
      <c r="D14347" t="s">
        <v>106</v>
      </c>
      <c r="E14347">
        <v>12.2098950524737</v>
      </c>
    </row>
    <row r="14348" spans="1:5">
      <c r="A14348" t="s">
        <v>16570</v>
      </c>
      <c r="B14348" t="s">
        <v>16574</v>
      </c>
      <c r="C14348">
        <f>0</f>
        <v>0</v>
      </c>
      <c r="D14348" t="s">
        <v>106</v>
      </c>
      <c r="E14348">
        <v>12.2098950524737</v>
      </c>
    </row>
    <row r="14349" spans="1:5">
      <c r="A14349" t="s">
        <v>16570</v>
      </c>
      <c r="B14349" t="s">
        <v>16575</v>
      </c>
      <c r="C14349">
        <v>0</v>
      </c>
      <c r="D14349" t="s">
        <v>106</v>
      </c>
      <c r="E14349">
        <v>12.2098950524737</v>
      </c>
    </row>
    <row r="14350" spans="1:5">
      <c r="A14350" t="s">
        <v>16576</v>
      </c>
      <c r="B14350" t="s">
        <v>16577</v>
      </c>
      <c r="C14350">
        <v>0.107353172828</v>
      </c>
      <c r="D14350">
        <v>0.520124942699</v>
      </c>
      <c r="E14350">
        <v>18.1349325337331</v>
      </c>
    </row>
    <row r="14351" spans="1:5">
      <c r="A14351" t="s">
        <v>16576</v>
      </c>
      <c r="B14351" t="s">
        <v>16578</v>
      </c>
      <c r="C14351">
        <v>7.4206121012500001E-2</v>
      </c>
      <c r="D14351">
        <v>0.520124942699</v>
      </c>
      <c r="E14351">
        <v>18.1349325337331</v>
      </c>
    </row>
    <row r="14352" spans="1:5">
      <c r="A14352" t="s">
        <v>16576</v>
      </c>
      <c r="B14352" t="s">
        <v>16579</v>
      </c>
      <c r="C14352">
        <v>0</v>
      </c>
      <c r="D14352">
        <v>0.520124942699</v>
      </c>
      <c r="E14352">
        <v>18.1349325337331</v>
      </c>
    </row>
    <row r="14353" spans="1:5">
      <c r="A14353" t="s">
        <v>16576</v>
      </c>
      <c r="B14353" t="s">
        <v>16580</v>
      </c>
      <c r="C14353">
        <f>0</f>
        <v>0</v>
      </c>
      <c r="D14353">
        <v>0.520124942699</v>
      </c>
      <c r="E14353">
        <v>18.1349325337331</v>
      </c>
    </row>
    <row r="14354" spans="1:5">
      <c r="A14354" t="s">
        <v>16576</v>
      </c>
      <c r="B14354" t="s">
        <v>16581</v>
      </c>
      <c r="C14354">
        <v>0</v>
      </c>
      <c r="D14354">
        <v>0.520124942699</v>
      </c>
      <c r="E14354">
        <v>18.1349325337331</v>
      </c>
    </row>
    <row r="14355" spans="1:5">
      <c r="A14355" t="s">
        <v>16576</v>
      </c>
      <c r="B14355" t="s">
        <v>16582</v>
      </c>
      <c r="C14355">
        <v>0</v>
      </c>
      <c r="D14355">
        <v>0.520124942699</v>
      </c>
      <c r="E14355">
        <v>18.1349325337331</v>
      </c>
    </row>
    <row r="14356" spans="1:5">
      <c r="A14356" t="s">
        <v>16576</v>
      </c>
      <c r="B14356" t="s">
        <v>16583</v>
      </c>
      <c r="C14356">
        <v>0</v>
      </c>
      <c r="D14356">
        <v>0.520124942699</v>
      </c>
      <c r="E14356">
        <v>18.1349325337331</v>
      </c>
    </row>
    <row r="14357" spans="1:5">
      <c r="A14357" t="s">
        <v>16584</v>
      </c>
      <c r="B14357" t="s">
        <v>16585</v>
      </c>
      <c r="C14357">
        <v>0</v>
      </c>
      <c r="D14357" t="s">
        <v>106</v>
      </c>
      <c r="E14357">
        <v>2.1709145427286298</v>
      </c>
    </row>
    <row r="14358" spans="1:5">
      <c r="A14358" t="s">
        <v>16584</v>
      </c>
      <c r="B14358" t="s">
        <v>16586</v>
      </c>
      <c r="C14358">
        <v>0</v>
      </c>
      <c r="D14358" t="s">
        <v>106</v>
      </c>
      <c r="E14358">
        <v>2.1709145427286298</v>
      </c>
    </row>
    <row r="14359" spans="1:5">
      <c r="A14359" t="s">
        <v>16584</v>
      </c>
      <c r="B14359" t="s">
        <v>16587</v>
      </c>
      <c r="C14359">
        <f>0</f>
        <v>0</v>
      </c>
      <c r="D14359" t="s">
        <v>106</v>
      </c>
      <c r="E14359">
        <v>2.1709145427286298</v>
      </c>
    </row>
    <row r="14360" spans="1:5">
      <c r="A14360" t="s">
        <v>16588</v>
      </c>
      <c r="B14360" t="s">
        <v>16589</v>
      </c>
      <c r="C14360">
        <f>0.215465445885</f>
        <v>0.215465445885</v>
      </c>
      <c r="D14360">
        <v>0.99669356144499999</v>
      </c>
      <c r="E14360">
        <v>3.68215892053973</v>
      </c>
    </row>
    <row r="14361" spans="1:5">
      <c r="A14361" t="s">
        <v>16588</v>
      </c>
      <c r="B14361" t="s">
        <v>16590</v>
      </c>
      <c r="C14361">
        <v>0</v>
      </c>
      <c r="D14361">
        <v>0.99669356144499999</v>
      </c>
      <c r="E14361">
        <v>3.68215892053973</v>
      </c>
    </row>
    <row r="14362" spans="1:5">
      <c r="A14362" t="s">
        <v>16588</v>
      </c>
      <c r="B14362" t="s">
        <v>16591</v>
      </c>
      <c r="C14362">
        <v>0.154331907125</v>
      </c>
      <c r="D14362">
        <v>0.99669356144499999</v>
      </c>
      <c r="E14362">
        <v>3.68215892053973</v>
      </c>
    </row>
    <row r="14363" spans="1:5">
      <c r="A14363" t="s">
        <v>16592</v>
      </c>
      <c r="B14363" t="s">
        <v>16593</v>
      </c>
      <c r="C14363">
        <v>7.3368440786799993E-2</v>
      </c>
      <c r="D14363">
        <v>0.984150902622</v>
      </c>
      <c r="E14363">
        <v>14.740629685157399</v>
      </c>
    </row>
    <row r="14364" spans="1:5">
      <c r="A14364" t="s">
        <v>16592</v>
      </c>
      <c r="B14364" t="s">
        <v>16594</v>
      </c>
      <c r="C14364">
        <v>0</v>
      </c>
      <c r="D14364">
        <v>0.984150902622</v>
      </c>
      <c r="E14364">
        <v>14.740629685157399</v>
      </c>
    </row>
    <row r="14365" spans="1:5">
      <c r="A14365" t="s">
        <v>16592</v>
      </c>
      <c r="B14365" t="s">
        <v>16595</v>
      </c>
      <c r="C14365">
        <v>0.22708653270699999</v>
      </c>
      <c r="D14365">
        <v>0.984150902622</v>
      </c>
      <c r="E14365">
        <v>14.740629685157399</v>
      </c>
    </row>
    <row r="14366" spans="1:5">
      <c r="A14366" t="s">
        <v>16596</v>
      </c>
      <c r="B14366" t="s">
        <v>16597</v>
      </c>
      <c r="C14366">
        <f>0</f>
        <v>0</v>
      </c>
      <c r="D14366" t="s">
        <v>106</v>
      </c>
      <c r="E14366">
        <v>4.2698650674662604</v>
      </c>
    </row>
    <row r="14367" spans="1:5">
      <c r="A14367" t="s">
        <v>16596</v>
      </c>
      <c r="B14367" t="s">
        <v>16598</v>
      </c>
      <c r="C14367">
        <v>0</v>
      </c>
      <c r="D14367" t="s">
        <v>106</v>
      </c>
      <c r="E14367">
        <v>4.2698650674662604</v>
      </c>
    </row>
    <row r="14368" spans="1:5">
      <c r="A14368" t="s">
        <v>16596</v>
      </c>
      <c r="B14368" t="s">
        <v>16599</v>
      </c>
      <c r="C14368">
        <f>0</f>
        <v>0</v>
      </c>
      <c r="D14368" t="s">
        <v>106</v>
      </c>
      <c r="E14368">
        <v>4.2698650674662604</v>
      </c>
    </row>
    <row r="14369" spans="1:5">
      <c r="A14369" t="s">
        <v>16600</v>
      </c>
      <c r="B14369" t="s">
        <v>16601</v>
      </c>
      <c r="C14369">
        <v>0.20673609138599999</v>
      </c>
      <c r="D14369">
        <v>0.955262561314</v>
      </c>
      <c r="E14369">
        <v>17.103448275862</v>
      </c>
    </row>
    <row r="14370" spans="1:5">
      <c r="A14370" t="s">
        <v>16602</v>
      </c>
      <c r="B14370" t="s">
        <v>16603</v>
      </c>
      <c r="C14370">
        <f>0</f>
        <v>0</v>
      </c>
      <c r="D14370">
        <v>0.92317358845300002</v>
      </c>
      <c r="E14370">
        <v>7.0644677661169402</v>
      </c>
    </row>
    <row r="14371" spans="1:5">
      <c r="A14371" t="s">
        <v>16602</v>
      </c>
      <c r="B14371" t="s">
        <v>16604</v>
      </c>
      <c r="C14371">
        <v>0</v>
      </c>
      <c r="D14371">
        <v>0.92317358845300002</v>
      </c>
      <c r="E14371">
        <v>7.0644677661169402</v>
      </c>
    </row>
    <row r="14372" spans="1:5">
      <c r="A14372" t="s">
        <v>16602</v>
      </c>
      <c r="B14372" t="s">
        <v>16605</v>
      </c>
      <c r="C14372">
        <v>0</v>
      </c>
      <c r="D14372">
        <v>0.92317358845300002</v>
      </c>
      <c r="E14372">
        <v>7.0644677661169402</v>
      </c>
    </row>
    <row r="14373" spans="1:5">
      <c r="A14373" t="s">
        <v>16602</v>
      </c>
      <c r="B14373" t="s">
        <v>16606</v>
      </c>
      <c r="C14373">
        <v>0</v>
      </c>
      <c r="D14373">
        <v>0.92317358845300002</v>
      </c>
      <c r="E14373">
        <v>7.0644677661169402</v>
      </c>
    </row>
    <row r="14374" spans="1:5">
      <c r="A14374" t="s">
        <v>16602</v>
      </c>
      <c r="B14374" t="s">
        <v>16607</v>
      </c>
      <c r="C14374">
        <v>0</v>
      </c>
      <c r="D14374">
        <v>0.92317358845300002</v>
      </c>
      <c r="E14374">
        <v>7.0644677661169402</v>
      </c>
    </row>
    <row r="14375" spans="1:5">
      <c r="A14375" t="s">
        <v>16608</v>
      </c>
      <c r="B14375" t="s">
        <v>16609</v>
      </c>
      <c r="C14375">
        <v>0</v>
      </c>
      <c r="D14375">
        <v>0.99683006764799997</v>
      </c>
      <c r="E14375">
        <v>1.8230884557721101</v>
      </c>
    </row>
    <row r="14376" spans="1:5">
      <c r="A14376" t="s">
        <v>16608</v>
      </c>
      <c r="B14376" t="s">
        <v>16610</v>
      </c>
      <c r="C14376">
        <f>0</f>
        <v>0</v>
      </c>
      <c r="D14376">
        <v>0.99683006764799997</v>
      </c>
      <c r="E14376">
        <v>1.8230884557721101</v>
      </c>
    </row>
    <row r="14377" spans="1:5">
      <c r="A14377" t="s">
        <v>16608</v>
      </c>
      <c r="B14377" t="s">
        <v>16611</v>
      </c>
      <c r="C14377">
        <v>0</v>
      </c>
      <c r="D14377">
        <v>0.99683006764799997</v>
      </c>
      <c r="E14377">
        <v>1.8230884557721101</v>
      </c>
    </row>
    <row r="14378" spans="1:5">
      <c r="A14378" t="s">
        <v>16608</v>
      </c>
      <c r="B14378" t="s">
        <v>16612</v>
      </c>
      <c r="C14378">
        <f>0</f>
        <v>0</v>
      </c>
      <c r="D14378">
        <v>0.99683006764799997</v>
      </c>
      <c r="E14378">
        <v>1.8230884557721101</v>
      </c>
    </row>
    <row r="14379" spans="1:5">
      <c r="A14379" t="s">
        <v>16608</v>
      </c>
      <c r="B14379" t="s">
        <v>16613</v>
      </c>
      <c r="C14379">
        <v>0</v>
      </c>
      <c r="D14379">
        <v>0.99683006764799997</v>
      </c>
      <c r="E14379">
        <v>1.8230884557721101</v>
      </c>
    </row>
    <row r="14380" spans="1:5">
      <c r="A14380" t="s">
        <v>16608</v>
      </c>
      <c r="B14380" t="s">
        <v>16614</v>
      </c>
      <c r="C14380">
        <f>0</f>
        <v>0</v>
      </c>
      <c r="D14380">
        <v>0.99683006764799997</v>
      </c>
      <c r="E14380">
        <v>1.8230884557721101</v>
      </c>
    </row>
    <row r="14381" spans="1:5">
      <c r="A14381" t="s">
        <v>16608</v>
      </c>
      <c r="B14381" t="s">
        <v>16615</v>
      </c>
      <c r="C14381">
        <v>0</v>
      </c>
      <c r="D14381">
        <v>0.99683006764799997</v>
      </c>
      <c r="E14381">
        <v>1.8230884557721101</v>
      </c>
    </row>
    <row r="14382" spans="1:5">
      <c r="A14382" t="s">
        <v>16608</v>
      </c>
      <c r="B14382" t="s">
        <v>16616</v>
      </c>
      <c r="C14382">
        <v>7.2781087084299999E-4</v>
      </c>
      <c r="D14382">
        <v>0.99683006764799997</v>
      </c>
      <c r="E14382">
        <v>1.8230884557721101</v>
      </c>
    </row>
    <row r="14383" spans="1:5">
      <c r="A14383" t="s">
        <v>16608</v>
      </c>
      <c r="B14383" t="s">
        <v>16617</v>
      </c>
      <c r="C14383">
        <v>0</v>
      </c>
      <c r="D14383">
        <v>0.99683006764799997</v>
      </c>
      <c r="E14383">
        <v>1.8230884557721101</v>
      </c>
    </row>
    <row r="14384" spans="1:5">
      <c r="A14384" t="s">
        <v>16608</v>
      </c>
      <c r="B14384" t="s">
        <v>16618</v>
      </c>
      <c r="C14384">
        <v>7.6915296159100002E-4</v>
      </c>
      <c r="D14384">
        <v>0.99683006764799997</v>
      </c>
      <c r="E14384">
        <v>1.8230884557721101</v>
      </c>
    </row>
    <row r="14385" spans="1:5">
      <c r="A14385" t="s">
        <v>16608</v>
      </c>
      <c r="B14385" t="s">
        <v>16619</v>
      </c>
      <c r="C14385">
        <v>0</v>
      </c>
      <c r="D14385">
        <v>0.99683006764799997</v>
      </c>
      <c r="E14385">
        <v>1.8230884557721101</v>
      </c>
    </row>
    <row r="14386" spans="1:5">
      <c r="A14386" t="s">
        <v>16620</v>
      </c>
      <c r="B14386" t="s">
        <v>16621</v>
      </c>
      <c r="C14386">
        <v>0.12497117212599999</v>
      </c>
      <c r="D14386">
        <v>0.67935968473599995</v>
      </c>
      <c r="E14386">
        <v>9.7631184407796106</v>
      </c>
    </row>
    <row r="14387" spans="1:5">
      <c r="A14387" t="s">
        <v>16620</v>
      </c>
      <c r="B14387" t="s">
        <v>16622</v>
      </c>
      <c r="C14387">
        <f>0</f>
        <v>0</v>
      </c>
      <c r="D14387">
        <v>0.67935968473599995</v>
      </c>
      <c r="E14387">
        <v>9.7631184407796106</v>
      </c>
    </row>
    <row r="14388" spans="1:5">
      <c r="A14388" t="s">
        <v>16623</v>
      </c>
      <c r="B14388" t="s">
        <v>16624</v>
      </c>
      <c r="C14388">
        <v>0</v>
      </c>
      <c r="D14388">
        <v>0.95912772417600001</v>
      </c>
      <c r="E14388">
        <v>17.103448275862</v>
      </c>
    </row>
    <row r="14389" spans="1:5">
      <c r="A14389" t="s">
        <v>16623</v>
      </c>
      <c r="B14389" t="s">
        <v>16625</v>
      </c>
      <c r="C14389">
        <f>0</f>
        <v>0</v>
      </c>
      <c r="D14389">
        <v>0.95912772417600001</v>
      </c>
      <c r="E14389">
        <v>17.103448275862</v>
      </c>
    </row>
    <row r="14390" spans="1:5">
      <c r="A14390" t="s">
        <v>16623</v>
      </c>
      <c r="B14390" t="s">
        <v>16626</v>
      </c>
      <c r="C14390">
        <f>0</f>
        <v>0</v>
      </c>
      <c r="D14390">
        <v>0.95912772417600001</v>
      </c>
      <c r="E14390">
        <v>17.103448275862</v>
      </c>
    </row>
    <row r="14391" spans="1:5">
      <c r="A14391" t="s">
        <v>16623</v>
      </c>
      <c r="B14391" t="s">
        <v>16627</v>
      </c>
      <c r="C14391">
        <v>0</v>
      </c>
      <c r="D14391">
        <v>0.95912772417600001</v>
      </c>
      <c r="E14391">
        <v>17.103448275862</v>
      </c>
    </row>
    <row r="14392" spans="1:5">
      <c r="A14392" t="s">
        <v>16623</v>
      </c>
      <c r="B14392" t="s">
        <v>16628</v>
      </c>
      <c r="C14392">
        <f>0</f>
        <v>0</v>
      </c>
      <c r="D14392">
        <v>0.95912772417600001</v>
      </c>
      <c r="E14392">
        <v>17.103448275862</v>
      </c>
    </row>
    <row r="14393" spans="1:5">
      <c r="A14393" t="s">
        <v>16623</v>
      </c>
      <c r="B14393" t="s">
        <v>16629</v>
      </c>
      <c r="C14393">
        <v>0</v>
      </c>
      <c r="D14393">
        <v>0.95912772417600001</v>
      </c>
      <c r="E14393">
        <v>17.103448275862</v>
      </c>
    </row>
    <row r="14394" spans="1:5">
      <c r="A14394" t="s">
        <v>16630</v>
      </c>
      <c r="B14394" t="s">
        <v>16631</v>
      </c>
      <c r="C14394">
        <v>0.212730355836</v>
      </c>
      <c r="D14394" t="s">
        <v>106</v>
      </c>
      <c r="E14394">
        <v>6.6806596701649097</v>
      </c>
    </row>
    <row r="14395" spans="1:5">
      <c r="A14395" t="s">
        <v>16630</v>
      </c>
      <c r="B14395" t="s">
        <v>16632</v>
      </c>
      <c r="C14395">
        <v>0</v>
      </c>
      <c r="D14395" t="s">
        <v>106</v>
      </c>
      <c r="E14395">
        <v>6.6806596701649097</v>
      </c>
    </row>
    <row r="14396" spans="1:5">
      <c r="A14396" t="s">
        <v>16630</v>
      </c>
      <c r="B14396" t="s">
        <v>16633</v>
      </c>
      <c r="C14396">
        <v>0</v>
      </c>
      <c r="D14396" t="s">
        <v>106</v>
      </c>
      <c r="E14396">
        <v>6.6806596701649097</v>
      </c>
    </row>
    <row r="14397" spans="1:5">
      <c r="A14397" t="s">
        <v>16630</v>
      </c>
      <c r="B14397" t="s">
        <v>16634</v>
      </c>
      <c r="C14397">
        <v>0</v>
      </c>
      <c r="D14397" t="s">
        <v>106</v>
      </c>
      <c r="E14397">
        <v>6.6806596701649097</v>
      </c>
    </row>
    <row r="14398" spans="1:5">
      <c r="A14398" t="s">
        <v>16630</v>
      </c>
      <c r="B14398" t="s">
        <v>16635</v>
      </c>
      <c r="C14398">
        <v>0</v>
      </c>
      <c r="D14398" t="s">
        <v>106</v>
      </c>
      <c r="E14398">
        <v>6.6806596701649097</v>
      </c>
    </row>
    <row r="14399" spans="1:5">
      <c r="A14399" t="s">
        <v>16630</v>
      </c>
      <c r="B14399" t="s">
        <v>16636</v>
      </c>
      <c r="C14399">
        <f>0</f>
        <v>0</v>
      </c>
      <c r="D14399" t="s">
        <v>106</v>
      </c>
      <c r="E14399">
        <v>6.6806596701649097</v>
      </c>
    </row>
    <row r="14400" spans="1:5">
      <c r="A14400" t="s">
        <v>16630</v>
      </c>
      <c r="B14400" t="s">
        <v>16637</v>
      </c>
      <c r="C14400">
        <v>0</v>
      </c>
      <c r="D14400" t="s">
        <v>106</v>
      </c>
      <c r="E14400">
        <v>6.6806596701649097</v>
      </c>
    </row>
    <row r="14401" spans="1:5">
      <c r="A14401" t="s">
        <v>16630</v>
      </c>
      <c r="B14401" t="s">
        <v>16638</v>
      </c>
      <c r="C14401">
        <v>0</v>
      </c>
      <c r="D14401" t="s">
        <v>106</v>
      </c>
      <c r="E14401">
        <v>6.6806596701649097</v>
      </c>
    </row>
    <row r="14402" spans="1:5">
      <c r="A14402" t="s">
        <v>16639</v>
      </c>
      <c r="B14402" t="s">
        <v>16640</v>
      </c>
      <c r="C14402">
        <v>0.135628314152</v>
      </c>
      <c r="D14402">
        <v>0.86684701021199995</v>
      </c>
      <c r="E14402">
        <v>24</v>
      </c>
    </row>
    <row r="14403" spans="1:5">
      <c r="A14403" t="s">
        <v>16639</v>
      </c>
      <c r="B14403" t="s">
        <v>16641</v>
      </c>
      <c r="C14403">
        <v>0</v>
      </c>
      <c r="D14403">
        <v>0.86684701021199995</v>
      </c>
      <c r="E14403">
        <v>24</v>
      </c>
    </row>
    <row r="14404" spans="1:5">
      <c r="A14404" t="s">
        <v>16642</v>
      </c>
      <c r="B14404" t="s">
        <v>16643</v>
      </c>
      <c r="C14404">
        <v>0.41309740184799998</v>
      </c>
      <c r="D14404">
        <v>0.90121540127999999</v>
      </c>
      <c r="E14404">
        <v>10.0749625187406</v>
      </c>
    </row>
    <row r="14405" spans="1:5">
      <c r="A14405" t="s">
        <v>16644</v>
      </c>
      <c r="B14405" t="s">
        <v>16645</v>
      </c>
      <c r="C14405">
        <v>0</v>
      </c>
      <c r="D14405">
        <v>0.85198410328399998</v>
      </c>
      <c r="E14405">
        <v>17.511244377811</v>
      </c>
    </row>
    <row r="14406" spans="1:5">
      <c r="A14406" t="s">
        <v>16644</v>
      </c>
      <c r="B14406" t="s">
        <v>16646</v>
      </c>
      <c r="C14406">
        <v>0</v>
      </c>
      <c r="D14406">
        <v>0.85198410328399998</v>
      </c>
      <c r="E14406">
        <v>17.511244377811</v>
      </c>
    </row>
    <row r="14407" spans="1:5">
      <c r="A14407" t="s">
        <v>16644</v>
      </c>
      <c r="B14407" t="s">
        <v>16647</v>
      </c>
      <c r="C14407">
        <v>0</v>
      </c>
      <c r="D14407">
        <v>0.85198410328399998</v>
      </c>
      <c r="E14407">
        <v>17.511244377811</v>
      </c>
    </row>
    <row r="14408" spans="1:5">
      <c r="A14408" t="s">
        <v>16644</v>
      </c>
      <c r="B14408" t="s">
        <v>16648</v>
      </c>
      <c r="C14408">
        <v>0</v>
      </c>
      <c r="D14408">
        <v>0.85198410328399998</v>
      </c>
      <c r="E14408">
        <v>17.511244377811</v>
      </c>
    </row>
    <row r="14409" spans="1:5">
      <c r="A14409" t="s">
        <v>16649</v>
      </c>
      <c r="B14409" t="s">
        <v>16650</v>
      </c>
      <c r="C14409">
        <v>5.4815618472500001E-2</v>
      </c>
      <c r="D14409" t="s">
        <v>106</v>
      </c>
      <c r="E14409">
        <v>24</v>
      </c>
    </row>
    <row r="14410" spans="1:5">
      <c r="A14410" t="s">
        <v>16651</v>
      </c>
      <c r="B14410" t="s">
        <v>16652</v>
      </c>
      <c r="C14410">
        <f>0</f>
        <v>0</v>
      </c>
      <c r="D14410">
        <v>0.99332674677199995</v>
      </c>
      <c r="E14410">
        <v>24</v>
      </c>
    </row>
    <row r="14411" spans="1:5">
      <c r="A14411" t="s">
        <v>16651</v>
      </c>
      <c r="B14411" t="s">
        <v>16653</v>
      </c>
      <c r="C14411">
        <v>0</v>
      </c>
      <c r="D14411">
        <v>0.99332674677199995</v>
      </c>
      <c r="E14411">
        <v>24</v>
      </c>
    </row>
    <row r="14412" spans="1:5">
      <c r="A14412" t="s">
        <v>16651</v>
      </c>
      <c r="B14412" t="s">
        <v>16654</v>
      </c>
      <c r="C14412">
        <f>0</f>
        <v>0</v>
      </c>
      <c r="D14412">
        <v>0.99332674677199995</v>
      </c>
      <c r="E14412">
        <v>24</v>
      </c>
    </row>
    <row r="14413" spans="1:5">
      <c r="A14413" t="s">
        <v>16651</v>
      </c>
      <c r="B14413" t="s">
        <v>16655</v>
      </c>
      <c r="C14413">
        <v>0</v>
      </c>
      <c r="D14413">
        <v>0.99332674677199995</v>
      </c>
      <c r="E14413">
        <v>24</v>
      </c>
    </row>
    <row r="14414" spans="1:5">
      <c r="A14414" t="s">
        <v>16651</v>
      </c>
      <c r="B14414" t="s">
        <v>16656</v>
      </c>
      <c r="C14414">
        <v>0</v>
      </c>
      <c r="D14414">
        <v>0.99332674677199995</v>
      </c>
      <c r="E14414">
        <v>24</v>
      </c>
    </row>
    <row r="14415" spans="1:5">
      <c r="A14415" t="s">
        <v>16651</v>
      </c>
      <c r="B14415" t="s">
        <v>16657</v>
      </c>
      <c r="C14415">
        <v>0</v>
      </c>
      <c r="D14415">
        <v>0.99332674677199995</v>
      </c>
      <c r="E14415">
        <v>24</v>
      </c>
    </row>
    <row r="14416" spans="1:5">
      <c r="A14416" t="s">
        <v>16651</v>
      </c>
      <c r="B14416" t="s">
        <v>16658</v>
      </c>
      <c r="C14416">
        <v>4.8498008095400003E-2</v>
      </c>
      <c r="D14416">
        <v>0.99332674677199995</v>
      </c>
      <c r="E14416">
        <v>24</v>
      </c>
    </row>
    <row r="14417" spans="1:5">
      <c r="A14417" t="s">
        <v>16659</v>
      </c>
      <c r="B14417" t="s">
        <v>16660</v>
      </c>
      <c r="C14417">
        <v>0.903001251901</v>
      </c>
      <c r="D14417" t="s">
        <v>106</v>
      </c>
      <c r="E14417">
        <v>4.58170914542728</v>
      </c>
    </row>
    <row r="14418" spans="1:5">
      <c r="A14418" t="s">
        <v>16661</v>
      </c>
      <c r="B14418" t="s">
        <v>16662</v>
      </c>
      <c r="C14418">
        <v>2.2395819597299998E-2</v>
      </c>
      <c r="D14418">
        <v>0.98108392112499998</v>
      </c>
      <c r="E14418">
        <v>23.7481259370314</v>
      </c>
    </row>
    <row r="14419" spans="1:5">
      <c r="A14419" t="s">
        <v>16661</v>
      </c>
      <c r="B14419" t="s">
        <v>16663</v>
      </c>
      <c r="C14419">
        <v>0</v>
      </c>
      <c r="D14419">
        <v>0.98108392112499998</v>
      </c>
      <c r="E14419">
        <v>23.7481259370314</v>
      </c>
    </row>
    <row r="14420" spans="1:5">
      <c r="A14420" t="s">
        <v>16661</v>
      </c>
      <c r="B14420" t="s">
        <v>16664</v>
      </c>
      <c r="C14420">
        <v>0</v>
      </c>
      <c r="D14420">
        <v>0.98108392112499998</v>
      </c>
      <c r="E14420">
        <v>23.7481259370314</v>
      </c>
    </row>
    <row r="14421" spans="1:5">
      <c r="A14421" t="s">
        <v>16661</v>
      </c>
      <c r="B14421" t="s">
        <v>16665</v>
      </c>
      <c r="C14421">
        <f>0</f>
        <v>0</v>
      </c>
      <c r="D14421">
        <v>0.98108392112499998</v>
      </c>
      <c r="E14421">
        <v>23.7481259370314</v>
      </c>
    </row>
    <row r="14422" spans="1:5">
      <c r="A14422" t="s">
        <v>16661</v>
      </c>
      <c r="B14422" t="s">
        <v>16666</v>
      </c>
      <c r="C14422">
        <f>0</f>
        <v>0</v>
      </c>
      <c r="D14422">
        <v>0.98108392112499998</v>
      </c>
      <c r="E14422">
        <v>23.7481259370314</v>
      </c>
    </row>
    <row r="14423" spans="1:5">
      <c r="A14423" t="s">
        <v>16661</v>
      </c>
      <c r="B14423" t="s">
        <v>16667</v>
      </c>
      <c r="C14423">
        <v>0</v>
      </c>
      <c r="D14423">
        <v>0.98108392112499998</v>
      </c>
      <c r="E14423">
        <v>23.7481259370314</v>
      </c>
    </row>
    <row r="14424" spans="1:5">
      <c r="A14424" t="s">
        <v>16661</v>
      </c>
      <c r="B14424" t="s">
        <v>16668</v>
      </c>
      <c r="C14424">
        <v>0</v>
      </c>
      <c r="D14424">
        <v>0.98108392112499998</v>
      </c>
      <c r="E14424">
        <v>23.7481259370314</v>
      </c>
    </row>
    <row r="14425" spans="1:5">
      <c r="A14425" t="s">
        <v>16669</v>
      </c>
      <c r="B14425" t="s">
        <v>16670</v>
      </c>
      <c r="C14425">
        <f>0</f>
        <v>0</v>
      </c>
      <c r="D14425">
        <v>0.78143695193100005</v>
      </c>
      <c r="E14425">
        <v>8.5757121439280297</v>
      </c>
    </row>
    <row r="14426" spans="1:5">
      <c r="A14426" t="s">
        <v>16669</v>
      </c>
      <c r="B14426" t="s">
        <v>16671</v>
      </c>
      <c r="C14426">
        <f>0</f>
        <v>0</v>
      </c>
      <c r="D14426">
        <v>0.78143695193100005</v>
      </c>
      <c r="E14426">
        <v>8.5757121439280297</v>
      </c>
    </row>
    <row r="14427" spans="1:5">
      <c r="A14427" t="s">
        <v>16669</v>
      </c>
      <c r="B14427" t="s">
        <v>16672</v>
      </c>
      <c r="C14427">
        <f>0</f>
        <v>0</v>
      </c>
      <c r="D14427">
        <v>0.78143695193100005</v>
      </c>
      <c r="E14427">
        <v>8.5757121439280297</v>
      </c>
    </row>
    <row r="14428" spans="1:5">
      <c r="A14428" t="s">
        <v>16669</v>
      </c>
      <c r="B14428" t="s">
        <v>16673</v>
      </c>
      <c r="C14428">
        <f>0.148620029645</f>
        <v>0.14862002964500001</v>
      </c>
      <c r="D14428">
        <v>0.78143695193100005</v>
      </c>
      <c r="E14428">
        <v>8.5757121439280297</v>
      </c>
    </row>
    <row r="14429" spans="1:5">
      <c r="A14429" t="s">
        <v>16669</v>
      </c>
      <c r="B14429" t="s">
        <v>16674</v>
      </c>
      <c r="C14429">
        <f>0.0966210412844</f>
        <v>9.6621041284399994E-2</v>
      </c>
      <c r="D14429">
        <v>0.78143695193100005</v>
      </c>
      <c r="E14429">
        <v>8.5757121439280297</v>
      </c>
    </row>
    <row r="14430" spans="1:5">
      <c r="A14430" t="s">
        <v>16675</v>
      </c>
      <c r="B14430" t="s">
        <v>16676</v>
      </c>
      <c r="C14430">
        <v>0</v>
      </c>
      <c r="D14430" t="s">
        <v>106</v>
      </c>
      <c r="E14430">
        <v>0.86356821589205401</v>
      </c>
    </row>
    <row r="14431" spans="1:5">
      <c r="A14431" t="s">
        <v>16675</v>
      </c>
      <c r="B14431" t="s">
        <v>16677</v>
      </c>
      <c r="C14431">
        <v>0</v>
      </c>
      <c r="D14431" t="s">
        <v>106</v>
      </c>
      <c r="E14431">
        <v>0.86356821589205401</v>
      </c>
    </row>
    <row r="14432" spans="1:5">
      <c r="A14432" t="s">
        <v>16675</v>
      </c>
      <c r="B14432" t="s">
        <v>16678</v>
      </c>
      <c r="C14432">
        <v>0</v>
      </c>
      <c r="D14432" t="s">
        <v>106</v>
      </c>
      <c r="E14432">
        <v>0.86356821589205401</v>
      </c>
    </row>
    <row r="14433" spans="1:5">
      <c r="A14433" t="s">
        <v>16675</v>
      </c>
      <c r="B14433" t="s">
        <v>16679</v>
      </c>
      <c r="C14433">
        <v>0</v>
      </c>
      <c r="D14433" t="s">
        <v>106</v>
      </c>
      <c r="E14433">
        <v>0.86356821589205401</v>
      </c>
    </row>
    <row r="14434" spans="1:5">
      <c r="A14434" t="s">
        <v>16680</v>
      </c>
      <c r="B14434" t="s">
        <v>16681</v>
      </c>
      <c r="C14434">
        <v>0</v>
      </c>
      <c r="D14434">
        <v>0.69488449090500004</v>
      </c>
      <c r="E14434">
        <v>17.103448275862</v>
      </c>
    </row>
    <row r="14435" spans="1:5">
      <c r="A14435" t="s">
        <v>16680</v>
      </c>
      <c r="B14435" t="s">
        <v>16682</v>
      </c>
      <c r="C14435">
        <f>0.0768858534871</f>
        <v>7.6885853487100003E-2</v>
      </c>
      <c r="D14435">
        <v>0.69488449090500004</v>
      </c>
      <c r="E14435">
        <v>17.103448275862</v>
      </c>
    </row>
    <row r="14436" spans="1:5">
      <c r="A14436" t="s">
        <v>16680</v>
      </c>
      <c r="B14436" t="s">
        <v>16683</v>
      </c>
      <c r="C14436">
        <v>0</v>
      </c>
      <c r="D14436">
        <v>0.69488449090500004</v>
      </c>
      <c r="E14436">
        <v>17.103448275862</v>
      </c>
    </row>
    <row r="14437" spans="1:5">
      <c r="A14437" t="s">
        <v>16680</v>
      </c>
      <c r="B14437" t="s">
        <v>16684</v>
      </c>
      <c r="C14437">
        <v>0</v>
      </c>
      <c r="D14437">
        <v>0.69488449090500004</v>
      </c>
      <c r="E14437">
        <v>17.103448275862</v>
      </c>
    </row>
    <row r="14438" spans="1:5">
      <c r="A14438" t="s">
        <v>16680</v>
      </c>
      <c r="B14438" t="s">
        <v>16685</v>
      </c>
      <c r="C14438">
        <v>0</v>
      </c>
      <c r="D14438">
        <v>0.69488449090500004</v>
      </c>
      <c r="E14438">
        <v>17.103448275862</v>
      </c>
    </row>
    <row r="14439" spans="1:5">
      <c r="A14439" t="s">
        <v>16680</v>
      </c>
      <c r="B14439" t="s">
        <v>16686</v>
      </c>
      <c r="C14439">
        <f>0</f>
        <v>0</v>
      </c>
      <c r="D14439">
        <v>0.69488449090500004</v>
      </c>
      <c r="E14439">
        <v>17.103448275862</v>
      </c>
    </row>
    <row r="14440" spans="1:5">
      <c r="A14440" t="s">
        <v>16680</v>
      </c>
      <c r="B14440" t="s">
        <v>16687</v>
      </c>
      <c r="C14440">
        <v>0</v>
      </c>
      <c r="D14440">
        <v>0.69488449090500004</v>
      </c>
      <c r="E14440">
        <v>17.103448275862</v>
      </c>
    </row>
    <row r="14441" spans="1:5">
      <c r="A14441" t="s">
        <v>16688</v>
      </c>
      <c r="B14441" t="s">
        <v>16689</v>
      </c>
      <c r="C14441">
        <v>0</v>
      </c>
      <c r="D14441">
        <v>0.99700416414100002</v>
      </c>
      <c r="E14441">
        <v>8.0119940029985006</v>
      </c>
    </row>
    <row r="14442" spans="1:5">
      <c r="A14442" t="s">
        <v>16688</v>
      </c>
      <c r="B14442" t="s">
        <v>16690</v>
      </c>
      <c r="C14442">
        <v>0.70021987854199996</v>
      </c>
      <c r="D14442">
        <v>0.99700416414100002</v>
      </c>
      <c r="E14442">
        <v>8.0119940029985006</v>
      </c>
    </row>
    <row r="14443" spans="1:5">
      <c r="A14443" t="s">
        <v>16688</v>
      </c>
      <c r="B14443" t="s">
        <v>16691</v>
      </c>
      <c r="C14443">
        <f>0.0206686419366</f>
        <v>2.06686419366E-2</v>
      </c>
      <c r="D14443">
        <v>0.99700416414100002</v>
      </c>
      <c r="E14443">
        <v>8.0119940029985006</v>
      </c>
    </row>
    <row r="14444" spans="1:5">
      <c r="A14444" t="s">
        <v>16692</v>
      </c>
      <c r="B14444" t="s">
        <v>16693</v>
      </c>
      <c r="C14444">
        <v>0.226129210833</v>
      </c>
      <c r="D14444">
        <v>0.98249299949199997</v>
      </c>
      <c r="E14444">
        <v>2.0269865067466202</v>
      </c>
    </row>
    <row r="14445" spans="1:5">
      <c r="A14445" t="s">
        <v>16692</v>
      </c>
      <c r="B14445" t="s">
        <v>16694</v>
      </c>
      <c r="C14445">
        <f>0</f>
        <v>0</v>
      </c>
      <c r="D14445">
        <v>0.98249299949199997</v>
      </c>
      <c r="E14445">
        <v>2.0269865067466202</v>
      </c>
    </row>
    <row r="14446" spans="1:5">
      <c r="A14446" t="s">
        <v>16692</v>
      </c>
      <c r="B14446" t="s">
        <v>16695</v>
      </c>
      <c r="C14446">
        <v>1.06509356569E-2</v>
      </c>
      <c r="D14446">
        <v>0.98249299949199997</v>
      </c>
      <c r="E14446">
        <v>2.0269865067466202</v>
      </c>
    </row>
    <row r="14447" spans="1:5">
      <c r="A14447" t="s">
        <v>16696</v>
      </c>
      <c r="B14447" t="s">
        <v>16697</v>
      </c>
      <c r="C14447">
        <f>0</f>
        <v>0</v>
      </c>
      <c r="D14447">
        <v>0.97207282693499997</v>
      </c>
      <c r="E14447">
        <v>9.6191904047975996</v>
      </c>
    </row>
    <row r="14448" spans="1:5">
      <c r="A14448" t="s">
        <v>16696</v>
      </c>
      <c r="B14448" t="s">
        <v>16698</v>
      </c>
      <c r="C14448">
        <v>0</v>
      </c>
      <c r="D14448">
        <v>0.97207282693499997</v>
      </c>
      <c r="E14448">
        <v>9.6191904047975996</v>
      </c>
    </row>
    <row r="14449" spans="1:5">
      <c r="A14449" t="s">
        <v>16696</v>
      </c>
      <c r="B14449" t="s">
        <v>16699</v>
      </c>
      <c r="C14449">
        <v>0</v>
      </c>
      <c r="D14449">
        <v>0.97207282693499997</v>
      </c>
      <c r="E14449">
        <v>9.6191904047975996</v>
      </c>
    </row>
    <row r="14450" spans="1:5">
      <c r="A14450" t="s">
        <v>16696</v>
      </c>
      <c r="B14450" t="s">
        <v>16700</v>
      </c>
      <c r="C14450">
        <f>0</f>
        <v>0</v>
      </c>
      <c r="D14450">
        <v>0.97207282693499997</v>
      </c>
      <c r="E14450">
        <v>9.6191904047975996</v>
      </c>
    </row>
    <row r="14451" spans="1:5">
      <c r="A14451" t="s">
        <v>16696</v>
      </c>
      <c r="B14451" t="s">
        <v>16701</v>
      </c>
      <c r="C14451">
        <f>0</f>
        <v>0</v>
      </c>
      <c r="D14451">
        <v>0.97207282693499997</v>
      </c>
      <c r="E14451">
        <v>9.6191904047975996</v>
      </c>
    </row>
    <row r="14452" spans="1:5">
      <c r="A14452" t="s">
        <v>16696</v>
      </c>
      <c r="B14452" t="s">
        <v>16702</v>
      </c>
      <c r="C14452">
        <f>0.118399672051</f>
        <v>0.11839967205099999</v>
      </c>
      <c r="D14452">
        <v>0.97207282693499997</v>
      </c>
      <c r="E14452">
        <v>9.6191904047975996</v>
      </c>
    </row>
    <row r="14453" spans="1:5">
      <c r="A14453" t="s">
        <v>16696</v>
      </c>
      <c r="B14453" t="s">
        <v>16703</v>
      </c>
      <c r="C14453">
        <v>0</v>
      </c>
      <c r="D14453">
        <v>0.97207282693499997</v>
      </c>
      <c r="E14453">
        <v>9.6191904047975996</v>
      </c>
    </row>
    <row r="14454" spans="1:5">
      <c r="A14454" t="s">
        <v>16696</v>
      </c>
      <c r="B14454" t="s">
        <v>16704</v>
      </c>
      <c r="C14454">
        <v>0.512205250956</v>
      </c>
      <c r="D14454">
        <v>0.97207282693499997</v>
      </c>
      <c r="E14454">
        <v>9.6191904047975996</v>
      </c>
    </row>
    <row r="14455" spans="1:5">
      <c r="A14455" t="s">
        <v>16696</v>
      </c>
      <c r="B14455" t="s">
        <v>16705</v>
      </c>
      <c r="C14455">
        <f>0</f>
        <v>0</v>
      </c>
      <c r="D14455">
        <v>0.97207282693499997</v>
      </c>
      <c r="E14455">
        <v>9.6191904047975996</v>
      </c>
    </row>
    <row r="14456" spans="1:5">
      <c r="A14456" t="s">
        <v>16696</v>
      </c>
      <c r="B14456" t="s">
        <v>16706</v>
      </c>
      <c r="C14456">
        <f>0</f>
        <v>0</v>
      </c>
      <c r="D14456">
        <v>0.97207282693499997</v>
      </c>
      <c r="E14456">
        <v>9.6191904047975996</v>
      </c>
    </row>
    <row r="14457" spans="1:5">
      <c r="A14457" t="s">
        <v>16696</v>
      </c>
      <c r="B14457" t="s">
        <v>16707</v>
      </c>
      <c r="C14457">
        <v>0</v>
      </c>
      <c r="D14457">
        <v>0.97207282693499997</v>
      </c>
      <c r="E14457">
        <v>9.6191904047975996</v>
      </c>
    </row>
    <row r="14458" spans="1:5">
      <c r="A14458" t="s">
        <v>16696</v>
      </c>
      <c r="B14458" t="s">
        <v>16708</v>
      </c>
      <c r="C14458">
        <v>0</v>
      </c>
      <c r="D14458">
        <v>0.97207282693499997</v>
      </c>
      <c r="E14458">
        <v>9.6191904047975996</v>
      </c>
    </row>
    <row r="14459" spans="1:5">
      <c r="A14459" t="s">
        <v>16709</v>
      </c>
      <c r="B14459" t="s">
        <v>16710</v>
      </c>
      <c r="C14459">
        <v>0.540675058258</v>
      </c>
      <c r="D14459">
        <v>0.92470392442600002</v>
      </c>
      <c r="E14459">
        <v>3.7781109445277301</v>
      </c>
    </row>
    <row r="14460" spans="1:5">
      <c r="A14460" t="s">
        <v>16711</v>
      </c>
      <c r="B14460" t="s">
        <v>16712</v>
      </c>
      <c r="C14460">
        <v>0</v>
      </c>
      <c r="D14460">
        <v>0.99394641387100002</v>
      </c>
      <c r="E14460">
        <v>14.740629685157399</v>
      </c>
    </row>
    <row r="14461" spans="1:5">
      <c r="A14461" t="s">
        <v>16711</v>
      </c>
      <c r="B14461" t="s">
        <v>16713</v>
      </c>
      <c r="C14461">
        <f>0</f>
        <v>0</v>
      </c>
      <c r="D14461">
        <v>0.99394641387100002</v>
      </c>
      <c r="E14461">
        <v>14.740629685157399</v>
      </c>
    </row>
    <row r="14462" spans="1:5">
      <c r="A14462" t="s">
        <v>16711</v>
      </c>
      <c r="B14462" t="s">
        <v>16714</v>
      </c>
      <c r="C14462">
        <v>0</v>
      </c>
      <c r="D14462">
        <v>0.99394641387100002</v>
      </c>
      <c r="E14462">
        <v>14.740629685157399</v>
      </c>
    </row>
    <row r="14463" spans="1:5">
      <c r="A14463" t="s">
        <v>16711</v>
      </c>
      <c r="B14463" t="s">
        <v>16715</v>
      </c>
      <c r="C14463">
        <v>0</v>
      </c>
      <c r="D14463">
        <v>0.99394641387100002</v>
      </c>
      <c r="E14463">
        <v>14.740629685157399</v>
      </c>
    </row>
    <row r="14464" spans="1:5">
      <c r="A14464" t="s">
        <v>16711</v>
      </c>
      <c r="B14464" t="s">
        <v>16716</v>
      </c>
      <c r="C14464">
        <v>1.47015826711E-2</v>
      </c>
      <c r="D14464">
        <v>0.99394641387100002</v>
      </c>
      <c r="E14464">
        <v>14.740629685157399</v>
      </c>
    </row>
    <row r="14465" spans="1:5">
      <c r="A14465" t="s">
        <v>16711</v>
      </c>
      <c r="B14465" t="s">
        <v>16717</v>
      </c>
      <c r="C14465">
        <v>0</v>
      </c>
      <c r="D14465">
        <v>0.99394641387100002</v>
      </c>
      <c r="E14465">
        <v>14.740629685157399</v>
      </c>
    </row>
    <row r="14466" spans="1:5">
      <c r="A14466" t="s">
        <v>16711</v>
      </c>
      <c r="B14466" t="s">
        <v>16718</v>
      </c>
      <c r="C14466">
        <v>0</v>
      </c>
      <c r="D14466">
        <v>0.99394641387100002</v>
      </c>
      <c r="E14466">
        <v>14.740629685157399</v>
      </c>
    </row>
    <row r="14467" spans="1:5">
      <c r="A14467" t="s">
        <v>16711</v>
      </c>
      <c r="B14467" t="s">
        <v>16719</v>
      </c>
      <c r="C14467">
        <f>0</f>
        <v>0</v>
      </c>
      <c r="D14467">
        <v>0.99394641387100002</v>
      </c>
      <c r="E14467">
        <v>14.740629685157399</v>
      </c>
    </row>
    <row r="14468" spans="1:5">
      <c r="A14468" t="s">
        <v>16711</v>
      </c>
      <c r="B14468" t="s">
        <v>16720</v>
      </c>
      <c r="C14468">
        <v>0</v>
      </c>
      <c r="D14468">
        <v>0.99394641387100002</v>
      </c>
      <c r="E14468">
        <v>14.740629685157399</v>
      </c>
    </row>
    <row r="14469" spans="1:5">
      <c r="A14469" t="s">
        <v>16711</v>
      </c>
      <c r="B14469" t="s">
        <v>16721</v>
      </c>
      <c r="C14469">
        <v>0</v>
      </c>
      <c r="D14469">
        <v>0.99394641387100002</v>
      </c>
      <c r="E14469">
        <v>14.740629685157399</v>
      </c>
    </row>
    <row r="14470" spans="1:5">
      <c r="A14470" t="s">
        <v>16711</v>
      </c>
      <c r="B14470" t="s">
        <v>16722</v>
      </c>
      <c r="C14470">
        <v>0</v>
      </c>
      <c r="D14470">
        <v>0.99394641387100002</v>
      </c>
      <c r="E14470">
        <v>14.740629685157399</v>
      </c>
    </row>
    <row r="14471" spans="1:5">
      <c r="A14471" t="s">
        <v>16711</v>
      </c>
      <c r="B14471" t="s">
        <v>16723</v>
      </c>
      <c r="C14471">
        <v>0</v>
      </c>
      <c r="D14471">
        <v>0.99394641387100002</v>
      </c>
      <c r="E14471">
        <v>14.740629685157399</v>
      </c>
    </row>
    <row r="14472" spans="1:5">
      <c r="A14472" t="s">
        <v>16711</v>
      </c>
      <c r="B14472" t="s">
        <v>16724</v>
      </c>
      <c r="C14472">
        <v>0</v>
      </c>
      <c r="D14472">
        <v>0.99394641387100002</v>
      </c>
      <c r="E14472">
        <v>14.740629685157399</v>
      </c>
    </row>
    <row r="14473" spans="1:5">
      <c r="A14473" t="s">
        <v>16711</v>
      </c>
      <c r="B14473" t="s">
        <v>16725</v>
      </c>
      <c r="C14473">
        <v>0</v>
      </c>
      <c r="D14473">
        <v>0.99394641387100002</v>
      </c>
      <c r="E14473">
        <v>14.740629685157399</v>
      </c>
    </row>
    <row r="14474" spans="1:5">
      <c r="A14474" t="s">
        <v>16711</v>
      </c>
      <c r="B14474" t="s">
        <v>16726</v>
      </c>
      <c r="C14474">
        <v>0</v>
      </c>
      <c r="D14474">
        <v>0.99394641387100002</v>
      </c>
      <c r="E14474">
        <v>14.740629685157399</v>
      </c>
    </row>
    <row r="14475" spans="1:5">
      <c r="A14475" t="s">
        <v>16711</v>
      </c>
      <c r="B14475" t="s">
        <v>16727</v>
      </c>
      <c r="C14475">
        <v>0</v>
      </c>
      <c r="D14475">
        <v>0.99394641387100002</v>
      </c>
      <c r="E14475">
        <v>14.740629685157399</v>
      </c>
    </row>
    <row r="14476" spans="1:5">
      <c r="A14476" t="s">
        <v>16711</v>
      </c>
      <c r="B14476" t="s">
        <v>16728</v>
      </c>
      <c r="C14476">
        <v>0</v>
      </c>
      <c r="D14476">
        <v>0.99394641387100002</v>
      </c>
      <c r="E14476">
        <v>14.740629685157399</v>
      </c>
    </row>
    <row r="14477" spans="1:5">
      <c r="A14477" t="s">
        <v>16711</v>
      </c>
      <c r="B14477" t="s">
        <v>16729</v>
      </c>
      <c r="C14477">
        <v>0</v>
      </c>
      <c r="D14477">
        <v>0.99394641387100002</v>
      </c>
      <c r="E14477">
        <v>14.740629685157399</v>
      </c>
    </row>
    <row r="14478" spans="1:5">
      <c r="A14478" t="s">
        <v>16711</v>
      </c>
      <c r="B14478" t="s">
        <v>16730</v>
      </c>
      <c r="C14478">
        <v>0</v>
      </c>
      <c r="D14478">
        <v>0.99394641387100002</v>
      </c>
      <c r="E14478">
        <v>14.740629685157399</v>
      </c>
    </row>
    <row r="14479" spans="1:5">
      <c r="A14479" t="s">
        <v>16711</v>
      </c>
      <c r="B14479" t="s">
        <v>16731</v>
      </c>
      <c r="C14479">
        <v>0.115640753662</v>
      </c>
      <c r="D14479">
        <v>0.99394641387100002</v>
      </c>
      <c r="E14479">
        <v>14.740629685157399</v>
      </c>
    </row>
    <row r="14480" spans="1:5">
      <c r="A14480" t="s">
        <v>16711</v>
      </c>
      <c r="B14480" t="s">
        <v>16732</v>
      </c>
      <c r="C14480">
        <f>0</f>
        <v>0</v>
      </c>
      <c r="D14480">
        <v>0.99394641387100002</v>
      </c>
      <c r="E14480">
        <v>14.740629685157399</v>
      </c>
    </row>
    <row r="14481" spans="1:5">
      <c r="A14481" t="s">
        <v>16733</v>
      </c>
      <c r="B14481" t="s">
        <v>16734</v>
      </c>
      <c r="C14481">
        <v>0</v>
      </c>
      <c r="D14481">
        <v>0.986919356518</v>
      </c>
      <c r="E14481">
        <v>1.51124437781109</v>
      </c>
    </row>
    <row r="14482" spans="1:5">
      <c r="A14482" t="s">
        <v>16733</v>
      </c>
      <c r="B14482" t="s">
        <v>16735</v>
      </c>
      <c r="C14482">
        <f>0</f>
        <v>0</v>
      </c>
      <c r="D14482">
        <v>0.986919356518</v>
      </c>
      <c r="E14482">
        <v>1.51124437781109</v>
      </c>
    </row>
    <row r="14483" spans="1:5">
      <c r="A14483" t="s">
        <v>16733</v>
      </c>
      <c r="B14483" t="s">
        <v>16736</v>
      </c>
      <c r="C14483">
        <v>0</v>
      </c>
      <c r="D14483">
        <v>0.986919356518</v>
      </c>
      <c r="E14483">
        <v>1.51124437781109</v>
      </c>
    </row>
    <row r="14484" spans="1:5">
      <c r="A14484" t="s">
        <v>16733</v>
      </c>
      <c r="B14484" t="s">
        <v>16737</v>
      </c>
      <c r="C14484">
        <v>0.56262359168999998</v>
      </c>
      <c r="D14484">
        <v>0.986919356518</v>
      </c>
      <c r="E14484">
        <v>1.51124437781109</v>
      </c>
    </row>
    <row r="14485" spans="1:5">
      <c r="A14485" t="s">
        <v>16733</v>
      </c>
      <c r="B14485" t="s">
        <v>16738</v>
      </c>
      <c r="C14485">
        <f>0.27368980195</f>
        <v>0.27368980194999998</v>
      </c>
      <c r="D14485">
        <v>0.986919356518</v>
      </c>
      <c r="E14485">
        <v>1.51124437781109</v>
      </c>
    </row>
    <row r="14486" spans="1:5">
      <c r="A14486" t="s">
        <v>16733</v>
      </c>
      <c r="B14486" t="s">
        <v>16739</v>
      </c>
      <c r="C14486">
        <v>0</v>
      </c>
      <c r="D14486">
        <v>0.986919356518</v>
      </c>
      <c r="E14486">
        <v>1.51124437781109</v>
      </c>
    </row>
    <row r="14487" spans="1:5">
      <c r="A14487" t="s">
        <v>16740</v>
      </c>
      <c r="B14487" t="s">
        <v>16741</v>
      </c>
      <c r="C14487">
        <v>0</v>
      </c>
      <c r="D14487" t="s">
        <v>106</v>
      </c>
      <c r="E14487">
        <v>0.95952023988005997</v>
      </c>
    </row>
    <row r="14488" spans="1:5">
      <c r="A14488" t="s">
        <v>16740</v>
      </c>
      <c r="B14488" t="s">
        <v>16742</v>
      </c>
      <c r="C14488">
        <v>0</v>
      </c>
      <c r="D14488" t="s">
        <v>106</v>
      </c>
      <c r="E14488">
        <v>0.95952023988005997</v>
      </c>
    </row>
    <row r="14489" spans="1:5">
      <c r="A14489" t="s">
        <v>16740</v>
      </c>
      <c r="B14489" t="s">
        <v>16743</v>
      </c>
      <c r="C14489">
        <f>0</f>
        <v>0</v>
      </c>
      <c r="D14489" t="s">
        <v>106</v>
      </c>
      <c r="E14489">
        <v>0.95952023988005997</v>
      </c>
    </row>
    <row r="14490" spans="1:5">
      <c r="A14490" t="s">
        <v>16740</v>
      </c>
      <c r="B14490" t="s">
        <v>16744</v>
      </c>
      <c r="C14490">
        <v>0</v>
      </c>
      <c r="D14490" t="s">
        <v>106</v>
      </c>
      <c r="E14490">
        <v>0.95952023988005997</v>
      </c>
    </row>
    <row r="14491" spans="1:5">
      <c r="A14491" t="s">
        <v>16740</v>
      </c>
      <c r="B14491" t="s">
        <v>16745</v>
      </c>
      <c r="C14491">
        <v>0</v>
      </c>
      <c r="D14491" t="s">
        <v>106</v>
      </c>
      <c r="E14491">
        <v>0.95952023988005997</v>
      </c>
    </row>
    <row r="14492" spans="1:5">
      <c r="A14492" t="s">
        <v>16740</v>
      </c>
      <c r="B14492" t="s">
        <v>16746</v>
      </c>
      <c r="C14492">
        <v>0</v>
      </c>
      <c r="D14492" t="s">
        <v>106</v>
      </c>
      <c r="E14492">
        <v>0.95952023988005997</v>
      </c>
    </row>
    <row r="14493" spans="1:5">
      <c r="A14493" t="s">
        <v>16740</v>
      </c>
      <c r="B14493" t="s">
        <v>16747</v>
      </c>
      <c r="C14493">
        <v>0</v>
      </c>
      <c r="D14493" t="s">
        <v>106</v>
      </c>
      <c r="E14493">
        <v>0.95952023988005997</v>
      </c>
    </row>
    <row r="14494" spans="1:5">
      <c r="A14494" t="s">
        <v>16740</v>
      </c>
      <c r="B14494" t="s">
        <v>16748</v>
      </c>
      <c r="C14494">
        <v>0</v>
      </c>
      <c r="D14494" t="s">
        <v>106</v>
      </c>
      <c r="E14494">
        <v>0.95952023988005997</v>
      </c>
    </row>
    <row r="14495" spans="1:5">
      <c r="A14495" t="s">
        <v>16749</v>
      </c>
      <c r="B14495" t="s">
        <v>16750</v>
      </c>
      <c r="C14495">
        <v>0</v>
      </c>
      <c r="D14495">
        <v>0.98370151020700003</v>
      </c>
      <c r="E14495">
        <v>9.6191904047975996</v>
      </c>
    </row>
    <row r="14496" spans="1:5">
      <c r="A14496" t="s">
        <v>16749</v>
      </c>
      <c r="B14496" t="s">
        <v>16751</v>
      </c>
      <c r="C14496">
        <v>0</v>
      </c>
      <c r="D14496">
        <v>0.98370151020700003</v>
      </c>
      <c r="E14496">
        <v>9.6191904047975996</v>
      </c>
    </row>
    <row r="14497" spans="1:5">
      <c r="A14497" t="s">
        <v>16749</v>
      </c>
      <c r="B14497" t="s">
        <v>16752</v>
      </c>
      <c r="C14497">
        <f>0.0309833995099</f>
        <v>3.0983399509899999E-2</v>
      </c>
      <c r="D14497">
        <v>0.98370151020700003</v>
      </c>
      <c r="E14497">
        <v>9.6191904047975996</v>
      </c>
    </row>
    <row r="14498" spans="1:5">
      <c r="A14498" t="s">
        <v>16749</v>
      </c>
      <c r="B14498" t="s">
        <v>16753</v>
      </c>
      <c r="C14498">
        <v>0</v>
      </c>
      <c r="D14498">
        <v>0.98370151020700003</v>
      </c>
      <c r="E14498">
        <v>9.6191904047975996</v>
      </c>
    </row>
    <row r="14499" spans="1:5">
      <c r="A14499" t="s">
        <v>16749</v>
      </c>
      <c r="B14499" t="s">
        <v>16754</v>
      </c>
      <c r="C14499">
        <v>0</v>
      </c>
      <c r="D14499">
        <v>0.98370151020700003</v>
      </c>
      <c r="E14499">
        <v>9.6191904047975996</v>
      </c>
    </row>
    <row r="14500" spans="1:5">
      <c r="A14500" t="s">
        <v>16749</v>
      </c>
      <c r="B14500" t="s">
        <v>16755</v>
      </c>
      <c r="C14500">
        <f>0</f>
        <v>0</v>
      </c>
      <c r="D14500">
        <v>0.98370151020700003</v>
      </c>
      <c r="E14500">
        <v>9.6191904047975996</v>
      </c>
    </row>
    <row r="14501" spans="1:5">
      <c r="A14501" t="s">
        <v>16749</v>
      </c>
      <c r="B14501" t="s">
        <v>16756</v>
      </c>
      <c r="C14501">
        <v>0</v>
      </c>
      <c r="D14501">
        <v>0.98370151020700003</v>
      </c>
      <c r="E14501">
        <v>9.6191904047975996</v>
      </c>
    </row>
    <row r="14502" spans="1:5">
      <c r="A14502" t="s">
        <v>16749</v>
      </c>
      <c r="B14502" t="s">
        <v>16757</v>
      </c>
      <c r="C14502">
        <v>0</v>
      </c>
      <c r="D14502">
        <v>0.98370151020700003</v>
      </c>
      <c r="E14502">
        <v>9.6191904047975996</v>
      </c>
    </row>
    <row r="14503" spans="1:5">
      <c r="A14503" t="s">
        <v>16749</v>
      </c>
      <c r="B14503" t="s">
        <v>16758</v>
      </c>
      <c r="C14503">
        <v>0.35627592715299999</v>
      </c>
      <c r="D14503">
        <v>0.98370151020700003</v>
      </c>
      <c r="E14503">
        <v>9.6191904047975996</v>
      </c>
    </row>
    <row r="14504" spans="1:5">
      <c r="A14504" t="s">
        <v>16759</v>
      </c>
      <c r="B14504" t="s">
        <v>16760</v>
      </c>
      <c r="C14504">
        <v>8.0780734831299994E-2</v>
      </c>
      <c r="D14504">
        <v>0.99087423187699997</v>
      </c>
      <c r="E14504">
        <v>13.625187406296799</v>
      </c>
    </row>
    <row r="14505" spans="1:5">
      <c r="A14505" t="s">
        <v>16759</v>
      </c>
      <c r="B14505" t="s">
        <v>16761</v>
      </c>
      <c r="C14505">
        <v>0</v>
      </c>
      <c r="D14505">
        <v>0.99087423187699997</v>
      </c>
      <c r="E14505">
        <v>13.625187406296799</v>
      </c>
    </row>
    <row r="14506" spans="1:5">
      <c r="A14506" t="s">
        <v>16759</v>
      </c>
      <c r="B14506" t="s">
        <v>16762</v>
      </c>
      <c r="C14506">
        <v>0</v>
      </c>
      <c r="D14506">
        <v>0.99087423187699997</v>
      </c>
      <c r="E14506">
        <v>13.625187406296799</v>
      </c>
    </row>
    <row r="14507" spans="1:5">
      <c r="A14507" t="s">
        <v>16759</v>
      </c>
      <c r="B14507" t="s">
        <v>16763</v>
      </c>
      <c r="C14507">
        <v>0</v>
      </c>
      <c r="D14507">
        <v>0.99087423187699997</v>
      </c>
      <c r="E14507">
        <v>13.625187406296799</v>
      </c>
    </row>
    <row r="14508" spans="1:5">
      <c r="A14508" t="s">
        <v>16759</v>
      </c>
      <c r="B14508" t="s">
        <v>16764</v>
      </c>
      <c r="C14508">
        <v>0</v>
      </c>
      <c r="D14508">
        <v>0.99087423187699997</v>
      </c>
      <c r="E14508">
        <v>13.625187406296799</v>
      </c>
    </row>
    <row r="14509" spans="1:5">
      <c r="A14509" t="s">
        <v>16759</v>
      </c>
      <c r="B14509" t="s">
        <v>16765</v>
      </c>
      <c r="C14509">
        <f>0</f>
        <v>0</v>
      </c>
      <c r="D14509">
        <v>0.99087423187699997</v>
      </c>
      <c r="E14509">
        <v>13.625187406296799</v>
      </c>
    </row>
    <row r="14510" spans="1:5">
      <c r="A14510" t="s">
        <v>16759</v>
      </c>
      <c r="B14510" t="s">
        <v>16766</v>
      </c>
      <c r="C14510">
        <f>0.15738341134</f>
        <v>0.15738341134</v>
      </c>
      <c r="D14510">
        <v>0.99087423187699997</v>
      </c>
      <c r="E14510">
        <v>13.625187406296799</v>
      </c>
    </row>
    <row r="14511" spans="1:5">
      <c r="A14511" t="s">
        <v>16767</v>
      </c>
      <c r="B14511" t="s">
        <v>16768</v>
      </c>
      <c r="C14511">
        <f>0</f>
        <v>0</v>
      </c>
      <c r="D14511">
        <v>0.86659009149300004</v>
      </c>
      <c r="E14511">
        <v>12.3898050974512</v>
      </c>
    </row>
    <row r="14512" spans="1:5">
      <c r="A14512" t="s">
        <v>16767</v>
      </c>
      <c r="B14512" t="s">
        <v>16769</v>
      </c>
      <c r="C14512">
        <f>0</f>
        <v>0</v>
      </c>
      <c r="D14512">
        <v>0.86659009149300004</v>
      </c>
      <c r="E14512">
        <v>12.3898050974512</v>
      </c>
    </row>
    <row r="14513" spans="1:5">
      <c r="A14513" t="s">
        <v>16767</v>
      </c>
      <c r="B14513" t="s">
        <v>16770</v>
      </c>
      <c r="C14513">
        <v>0</v>
      </c>
      <c r="D14513">
        <v>0.86659009149300004</v>
      </c>
      <c r="E14513">
        <v>12.3898050974512</v>
      </c>
    </row>
    <row r="14514" spans="1:5">
      <c r="A14514" t="s">
        <v>16767</v>
      </c>
      <c r="B14514" t="s">
        <v>16771</v>
      </c>
      <c r="C14514">
        <v>5.5950400440799998E-2</v>
      </c>
      <c r="D14514">
        <v>0.86659009149300004</v>
      </c>
      <c r="E14514">
        <v>12.3898050974512</v>
      </c>
    </row>
    <row r="14515" spans="1:5">
      <c r="A14515" t="s">
        <v>16767</v>
      </c>
      <c r="B14515" t="s">
        <v>16772</v>
      </c>
      <c r="C14515">
        <f>0</f>
        <v>0</v>
      </c>
      <c r="D14515">
        <v>0.86659009149300004</v>
      </c>
      <c r="E14515">
        <v>12.3898050974512</v>
      </c>
    </row>
    <row r="14516" spans="1:5">
      <c r="A14516" t="s">
        <v>16767</v>
      </c>
      <c r="B14516" t="s">
        <v>16773</v>
      </c>
      <c r="C14516">
        <v>0</v>
      </c>
      <c r="D14516">
        <v>0.86659009149300004</v>
      </c>
      <c r="E14516">
        <v>12.3898050974512</v>
      </c>
    </row>
    <row r="14517" spans="1:5">
      <c r="A14517" t="s">
        <v>16767</v>
      </c>
      <c r="B14517" t="s">
        <v>16774</v>
      </c>
      <c r="C14517">
        <v>0</v>
      </c>
      <c r="D14517">
        <v>0.86659009149300004</v>
      </c>
      <c r="E14517">
        <v>12.3898050974512</v>
      </c>
    </row>
    <row r="14518" spans="1:5">
      <c r="A14518" t="s">
        <v>16767</v>
      </c>
      <c r="B14518" t="s">
        <v>16775</v>
      </c>
      <c r="C14518">
        <f>0</f>
        <v>0</v>
      </c>
      <c r="D14518">
        <v>0.86659009149300004</v>
      </c>
      <c r="E14518">
        <v>12.3898050974512</v>
      </c>
    </row>
    <row r="14519" spans="1:5">
      <c r="A14519" t="s">
        <v>16767</v>
      </c>
      <c r="B14519" t="s">
        <v>16776</v>
      </c>
      <c r="C14519">
        <f>0</f>
        <v>0</v>
      </c>
      <c r="D14519">
        <v>0.86659009149300004</v>
      </c>
      <c r="E14519">
        <v>12.3898050974512</v>
      </c>
    </row>
    <row r="14520" spans="1:5">
      <c r="A14520" t="s">
        <v>16777</v>
      </c>
      <c r="B14520" t="s">
        <v>16778</v>
      </c>
      <c r="C14520">
        <v>0</v>
      </c>
      <c r="D14520">
        <v>0.97635749815200001</v>
      </c>
      <c r="E14520">
        <v>0.43178410794602701</v>
      </c>
    </row>
    <row r="14521" spans="1:5">
      <c r="A14521" t="s">
        <v>16777</v>
      </c>
      <c r="B14521" t="s">
        <v>16779</v>
      </c>
      <c r="C14521">
        <v>0</v>
      </c>
      <c r="D14521">
        <v>0.97635749815200001</v>
      </c>
      <c r="E14521">
        <v>0.43178410794602701</v>
      </c>
    </row>
    <row r="14522" spans="1:5">
      <c r="A14522" t="s">
        <v>16777</v>
      </c>
      <c r="B14522" t="s">
        <v>16780</v>
      </c>
      <c r="C14522">
        <v>0</v>
      </c>
      <c r="D14522">
        <v>0.97635749815200001</v>
      </c>
      <c r="E14522">
        <v>0.43178410794602701</v>
      </c>
    </row>
    <row r="14523" spans="1:5">
      <c r="A14523" t="s">
        <v>16777</v>
      </c>
      <c r="B14523" t="s">
        <v>16781</v>
      </c>
      <c r="C14523">
        <v>0</v>
      </c>
      <c r="D14523">
        <v>0.97635749815200001</v>
      </c>
      <c r="E14523">
        <v>0.43178410794602701</v>
      </c>
    </row>
    <row r="14524" spans="1:5">
      <c r="A14524" t="s">
        <v>16777</v>
      </c>
      <c r="B14524" t="s">
        <v>16782</v>
      </c>
      <c r="C14524">
        <v>0</v>
      </c>
      <c r="D14524">
        <v>0.97635749815200001</v>
      </c>
      <c r="E14524">
        <v>0.43178410794602701</v>
      </c>
    </row>
    <row r="14525" spans="1:5">
      <c r="A14525" t="s">
        <v>16777</v>
      </c>
      <c r="B14525" t="s">
        <v>16783</v>
      </c>
      <c r="C14525">
        <f>0</f>
        <v>0</v>
      </c>
      <c r="D14525">
        <v>0.97635749815200001</v>
      </c>
      <c r="E14525">
        <v>0.43178410794602701</v>
      </c>
    </row>
    <row r="14526" spans="1:5">
      <c r="A14526" t="s">
        <v>16777</v>
      </c>
      <c r="B14526" t="s">
        <v>16784</v>
      </c>
      <c r="C14526">
        <f>0</f>
        <v>0</v>
      </c>
      <c r="D14526">
        <v>0.97635749815200001</v>
      </c>
      <c r="E14526">
        <v>0.43178410794602701</v>
      </c>
    </row>
    <row r="14527" spans="1:5">
      <c r="A14527" t="s">
        <v>16777</v>
      </c>
      <c r="B14527" t="s">
        <v>16785</v>
      </c>
      <c r="C14527">
        <v>0.32615116503699998</v>
      </c>
      <c r="D14527">
        <v>0.97635749815200001</v>
      </c>
      <c r="E14527">
        <v>0.43178410794602701</v>
      </c>
    </row>
    <row r="14528" spans="1:5">
      <c r="A14528" t="s">
        <v>16777</v>
      </c>
      <c r="B14528" t="s">
        <v>16786</v>
      </c>
      <c r="C14528">
        <v>0</v>
      </c>
      <c r="D14528">
        <v>0.97635749815200001</v>
      </c>
      <c r="E14528">
        <v>0.43178410794602701</v>
      </c>
    </row>
    <row r="14529" spans="1:5">
      <c r="A14529" t="s">
        <v>16777</v>
      </c>
      <c r="B14529" t="s">
        <v>16787</v>
      </c>
      <c r="C14529">
        <v>0</v>
      </c>
      <c r="D14529">
        <v>0.97635749815200001</v>
      </c>
      <c r="E14529">
        <v>0.43178410794602701</v>
      </c>
    </row>
    <row r="14530" spans="1:5">
      <c r="A14530" t="s">
        <v>16777</v>
      </c>
      <c r="B14530" t="s">
        <v>16788</v>
      </c>
      <c r="C14530">
        <v>3.3204371726100003E-2</v>
      </c>
      <c r="D14530">
        <v>0.97635749815200001</v>
      </c>
      <c r="E14530">
        <v>0.43178410794602701</v>
      </c>
    </row>
    <row r="14531" spans="1:5">
      <c r="A14531" t="s">
        <v>16777</v>
      </c>
      <c r="B14531" t="s">
        <v>16789</v>
      </c>
      <c r="C14531">
        <f>0</f>
        <v>0</v>
      </c>
      <c r="D14531">
        <v>0.97635749815200001</v>
      </c>
      <c r="E14531">
        <v>0.43178410794602701</v>
      </c>
    </row>
    <row r="14532" spans="1:5">
      <c r="A14532" t="s">
        <v>16790</v>
      </c>
      <c r="B14532" t="s">
        <v>16791</v>
      </c>
      <c r="C14532">
        <f>0</f>
        <v>0</v>
      </c>
      <c r="D14532" t="s">
        <v>106</v>
      </c>
      <c r="E14532">
        <v>16.899550224887498</v>
      </c>
    </row>
    <row r="14533" spans="1:5">
      <c r="A14533" t="s">
        <v>16790</v>
      </c>
      <c r="B14533" t="s">
        <v>16792</v>
      </c>
      <c r="C14533">
        <v>0</v>
      </c>
      <c r="D14533" t="s">
        <v>106</v>
      </c>
      <c r="E14533">
        <v>16.899550224887498</v>
      </c>
    </row>
    <row r="14534" spans="1:5">
      <c r="A14534" t="s">
        <v>16790</v>
      </c>
      <c r="B14534" t="s">
        <v>16793</v>
      </c>
      <c r="C14534">
        <f>0.249934139958</f>
        <v>0.24993413995800001</v>
      </c>
      <c r="D14534" t="s">
        <v>106</v>
      </c>
      <c r="E14534">
        <v>16.899550224887498</v>
      </c>
    </row>
    <row r="14535" spans="1:5">
      <c r="A14535" t="s">
        <v>16794</v>
      </c>
      <c r="B14535" t="s">
        <v>16795</v>
      </c>
      <c r="C14535">
        <v>0.755756336975</v>
      </c>
      <c r="D14535" t="s">
        <v>106</v>
      </c>
      <c r="E14535">
        <v>6.2968515742128899</v>
      </c>
    </row>
    <row r="14536" spans="1:5">
      <c r="A14536" t="s">
        <v>16796</v>
      </c>
      <c r="B14536" t="s">
        <v>16797</v>
      </c>
      <c r="C14536">
        <v>0</v>
      </c>
      <c r="D14536">
        <v>0.96237417168200001</v>
      </c>
      <c r="E14536">
        <v>4.68965517241379</v>
      </c>
    </row>
    <row r="14537" spans="1:5">
      <c r="A14537" t="s">
        <v>16796</v>
      </c>
      <c r="B14537" t="s">
        <v>16798</v>
      </c>
      <c r="C14537">
        <v>0</v>
      </c>
      <c r="D14537">
        <v>0.96237417168200001</v>
      </c>
      <c r="E14537">
        <v>4.68965517241379</v>
      </c>
    </row>
    <row r="14538" spans="1:5">
      <c r="A14538" t="s">
        <v>16796</v>
      </c>
      <c r="B14538" t="s">
        <v>16799</v>
      </c>
      <c r="C14538">
        <f>0</f>
        <v>0</v>
      </c>
      <c r="D14538">
        <v>0.96237417168200001</v>
      </c>
      <c r="E14538">
        <v>4.68965517241379</v>
      </c>
    </row>
    <row r="14539" spans="1:5">
      <c r="A14539" t="s">
        <v>16800</v>
      </c>
      <c r="B14539" t="s">
        <v>16801</v>
      </c>
      <c r="C14539">
        <v>0</v>
      </c>
      <c r="D14539">
        <v>0.99159451167400003</v>
      </c>
      <c r="E14539">
        <v>10.710644677661101</v>
      </c>
    </row>
    <row r="14540" spans="1:5">
      <c r="A14540" t="s">
        <v>16800</v>
      </c>
      <c r="B14540" t="s">
        <v>16802</v>
      </c>
      <c r="C14540">
        <v>0.38067716540399998</v>
      </c>
      <c r="D14540">
        <v>0.99159451167400003</v>
      </c>
      <c r="E14540">
        <v>10.710644677661101</v>
      </c>
    </row>
    <row r="14541" spans="1:5">
      <c r="A14541" t="s">
        <v>16800</v>
      </c>
      <c r="B14541" t="s">
        <v>16803</v>
      </c>
      <c r="C14541">
        <v>0.17080798736899999</v>
      </c>
      <c r="D14541">
        <v>0.99159451167400003</v>
      </c>
      <c r="E14541">
        <v>10.710644677661101</v>
      </c>
    </row>
    <row r="14542" spans="1:5">
      <c r="A14542" t="s">
        <v>16800</v>
      </c>
      <c r="B14542" t="s">
        <v>16804</v>
      </c>
      <c r="C14542">
        <v>0</v>
      </c>
      <c r="D14542">
        <v>0.99159451167400003</v>
      </c>
      <c r="E14542">
        <v>10.710644677661101</v>
      </c>
    </row>
    <row r="14543" spans="1:5">
      <c r="A14543" t="s">
        <v>16800</v>
      </c>
      <c r="B14543" t="s">
        <v>16805</v>
      </c>
      <c r="C14543">
        <f>0</f>
        <v>0</v>
      </c>
      <c r="D14543">
        <v>0.99159451167400003</v>
      </c>
      <c r="E14543">
        <v>10.710644677661101</v>
      </c>
    </row>
    <row r="14544" spans="1:5">
      <c r="A14544" t="s">
        <v>16800</v>
      </c>
      <c r="B14544" t="s">
        <v>16806</v>
      </c>
      <c r="C14544">
        <v>0</v>
      </c>
      <c r="D14544">
        <v>0.99159451167400003</v>
      </c>
      <c r="E14544">
        <v>10.710644677661101</v>
      </c>
    </row>
    <row r="14545" spans="1:5">
      <c r="A14545" t="s">
        <v>16807</v>
      </c>
      <c r="B14545" t="s">
        <v>16808</v>
      </c>
      <c r="C14545">
        <v>0.30440952705300001</v>
      </c>
      <c r="D14545">
        <v>0.99784607538400005</v>
      </c>
      <c r="E14545">
        <v>11.7061469265367</v>
      </c>
    </row>
    <row r="14546" spans="1:5">
      <c r="A14546" t="s">
        <v>16807</v>
      </c>
      <c r="B14546" t="s">
        <v>16809</v>
      </c>
      <c r="C14546">
        <v>0</v>
      </c>
      <c r="D14546">
        <v>0.99784607538400005</v>
      </c>
      <c r="E14546">
        <v>11.7061469265367</v>
      </c>
    </row>
    <row r="14547" spans="1:5">
      <c r="A14547" t="s">
        <v>16807</v>
      </c>
      <c r="B14547" t="s">
        <v>16810</v>
      </c>
      <c r="C14547">
        <v>0</v>
      </c>
      <c r="D14547">
        <v>0.99784607538400005</v>
      </c>
      <c r="E14547">
        <v>11.7061469265367</v>
      </c>
    </row>
    <row r="14548" spans="1:5">
      <c r="A14548" t="s">
        <v>16807</v>
      </c>
      <c r="B14548" t="s">
        <v>16811</v>
      </c>
      <c r="C14548">
        <v>0</v>
      </c>
      <c r="D14548">
        <v>0.99784607538400005</v>
      </c>
      <c r="E14548">
        <v>11.7061469265367</v>
      </c>
    </row>
    <row r="14549" spans="1:5">
      <c r="A14549" t="s">
        <v>16807</v>
      </c>
      <c r="B14549" t="s">
        <v>16812</v>
      </c>
      <c r="C14549">
        <v>0</v>
      </c>
      <c r="D14549">
        <v>0.99784607538400005</v>
      </c>
      <c r="E14549">
        <v>11.7061469265367</v>
      </c>
    </row>
    <row r="14550" spans="1:5">
      <c r="A14550" t="s">
        <v>16807</v>
      </c>
      <c r="B14550" t="s">
        <v>16813</v>
      </c>
      <c r="C14550">
        <v>5.3076382499199999E-2</v>
      </c>
      <c r="D14550">
        <v>0.99784607538400005</v>
      </c>
      <c r="E14550">
        <v>11.7061469265367</v>
      </c>
    </row>
    <row r="14551" spans="1:5">
      <c r="A14551" t="s">
        <v>16814</v>
      </c>
      <c r="B14551" t="s">
        <v>16815</v>
      </c>
      <c r="C14551">
        <v>0</v>
      </c>
      <c r="D14551" t="s">
        <v>106</v>
      </c>
      <c r="E14551">
        <v>8.7196401799100407</v>
      </c>
    </row>
    <row r="14552" spans="1:5">
      <c r="A14552" t="s">
        <v>16816</v>
      </c>
      <c r="B14552" t="s">
        <v>16817</v>
      </c>
      <c r="C14552">
        <f>0</f>
        <v>0</v>
      </c>
      <c r="D14552">
        <v>0.99287409288299999</v>
      </c>
      <c r="E14552">
        <v>6.1769115442278801</v>
      </c>
    </row>
    <row r="14553" spans="1:5">
      <c r="A14553" t="s">
        <v>16816</v>
      </c>
      <c r="B14553" t="s">
        <v>16818</v>
      </c>
      <c r="C14553">
        <v>0</v>
      </c>
      <c r="D14553">
        <v>0.99287409288299999</v>
      </c>
      <c r="E14553">
        <v>6.1769115442278801</v>
      </c>
    </row>
    <row r="14554" spans="1:5">
      <c r="A14554" t="s">
        <v>16816</v>
      </c>
      <c r="B14554" t="s">
        <v>16819</v>
      </c>
      <c r="C14554">
        <v>0</v>
      </c>
      <c r="D14554">
        <v>0.99287409288299999</v>
      </c>
      <c r="E14554">
        <v>6.1769115442278801</v>
      </c>
    </row>
    <row r="14555" spans="1:5">
      <c r="A14555" t="s">
        <v>16816</v>
      </c>
      <c r="B14555" t="s">
        <v>16820</v>
      </c>
      <c r="C14555">
        <v>0</v>
      </c>
      <c r="D14555">
        <v>0.99287409288299999</v>
      </c>
      <c r="E14555">
        <v>6.1769115442278801</v>
      </c>
    </row>
    <row r="14556" spans="1:5">
      <c r="A14556" t="s">
        <v>16816</v>
      </c>
      <c r="B14556" t="s">
        <v>16821</v>
      </c>
      <c r="C14556">
        <f>0</f>
        <v>0</v>
      </c>
      <c r="D14556">
        <v>0.99287409288299999</v>
      </c>
      <c r="E14556">
        <v>6.1769115442278801</v>
      </c>
    </row>
    <row r="14557" spans="1:5">
      <c r="A14557" t="s">
        <v>16816</v>
      </c>
      <c r="B14557" t="s">
        <v>16822</v>
      </c>
      <c r="C14557">
        <v>0</v>
      </c>
      <c r="D14557">
        <v>0.99287409288299999</v>
      </c>
      <c r="E14557">
        <v>6.1769115442278801</v>
      </c>
    </row>
    <row r="14558" spans="1:5">
      <c r="A14558" t="s">
        <v>16816</v>
      </c>
      <c r="B14558" t="s">
        <v>16823</v>
      </c>
      <c r="C14558">
        <v>0</v>
      </c>
      <c r="D14558">
        <v>0.99287409288299999</v>
      </c>
      <c r="E14558">
        <v>6.1769115442278801</v>
      </c>
    </row>
    <row r="14559" spans="1:5">
      <c r="A14559" t="s">
        <v>16824</v>
      </c>
      <c r="B14559" t="s">
        <v>16825</v>
      </c>
      <c r="C14559">
        <v>0.190991782024</v>
      </c>
      <c r="D14559">
        <v>0.603583258417</v>
      </c>
      <c r="E14559">
        <v>24</v>
      </c>
    </row>
    <row r="14560" spans="1:5">
      <c r="A14560" t="s">
        <v>16824</v>
      </c>
      <c r="B14560" t="s">
        <v>16826</v>
      </c>
      <c r="C14560">
        <v>1.8821521864100001E-2</v>
      </c>
      <c r="D14560">
        <v>0.603583258417</v>
      </c>
      <c r="E14560">
        <v>24</v>
      </c>
    </row>
    <row r="14561" spans="1:5">
      <c r="A14561" t="s">
        <v>16827</v>
      </c>
      <c r="B14561" t="s">
        <v>16828</v>
      </c>
      <c r="C14561">
        <v>0.31126670698100001</v>
      </c>
      <c r="D14561">
        <v>0.99151392287499995</v>
      </c>
      <c r="E14561">
        <v>11.0344827586206</v>
      </c>
    </row>
    <row r="14562" spans="1:5">
      <c r="A14562" t="s">
        <v>16827</v>
      </c>
      <c r="B14562" t="s">
        <v>16829</v>
      </c>
      <c r="C14562">
        <f>0</f>
        <v>0</v>
      </c>
      <c r="D14562">
        <v>0.99151392287499995</v>
      </c>
      <c r="E14562">
        <v>11.0344827586206</v>
      </c>
    </row>
    <row r="14563" spans="1:5">
      <c r="A14563" t="s">
        <v>16827</v>
      </c>
      <c r="B14563" t="s">
        <v>16830</v>
      </c>
      <c r="C14563">
        <v>0</v>
      </c>
      <c r="D14563">
        <v>0.99151392287499995</v>
      </c>
      <c r="E14563">
        <v>11.0344827586206</v>
      </c>
    </row>
    <row r="14564" spans="1:5">
      <c r="A14564" t="s">
        <v>16827</v>
      </c>
      <c r="B14564" t="s">
        <v>16831</v>
      </c>
      <c r="C14564">
        <v>0</v>
      </c>
      <c r="D14564">
        <v>0.99151392287499995</v>
      </c>
      <c r="E14564">
        <v>11.0344827586206</v>
      </c>
    </row>
    <row r="14565" spans="1:5">
      <c r="A14565" t="s">
        <v>16827</v>
      </c>
      <c r="B14565" t="s">
        <v>16832</v>
      </c>
      <c r="C14565">
        <v>0</v>
      </c>
      <c r="D14565">
        <v>0.99151392287499995</v>
      </c>
      <c r="E14565">
        <v>11.0344827586206</v>
      </c>
    </row>
    <row r="14566" spans="1:5">
      <c r="A14566" t="s">
        <v>16827</v>
      </c>
      <c r="B14566" t="s">
        <v>16833</v>
      </c>
      <c r="C14566">
        <v>0</v>
      </c>
      <c r="D14566">
        <v>0.99151392287499995</v>
      </c>
      <c r="E14566">
        <v>11.0344827586206</v>
      </c>
    </row>
    <row r="14567" spans="1:5">
      <c r="A14567" t="s">
        <v>16827</v>
      </c>
      <c r="B14567" t="s">
        <v>16834</v>
      </c>
      <c r="C14567">
        <v>4.0304139781699999E-2</v>
      </c>
      <c r="D14567">
        <v>0.99151392287499995</v>
      </c>
      <c r="E14567">
        <v>11.0344827586206</v>
      </c>
    </row>
    <row r="14568" spans="1:5">
      <c r="A14568" t="s">
        <v>16827</v>
      </c>
      <c r="B14568" t="s">
        <v>16835</v>
      </c>
      <c r="C14568">
        <v>0</v>
      </c>
      <c r="D14568">
        <v>0.99151392287499995</v>
      </c>
      <c r="E14568">
        <v>11.0344827586206</v>
      </c>
    </row>
    <row r="14569" spans="1:5">
      <c r="A14569" t="s">
        <v>16827</v>
      </c>
      <c r="B14569" t="s">
        <v>16836</v>
      </c>
      <c r="C14569">
        <v>0</v>
      </c>
      <c r="D14569">
        <v>0.99151392287499995</v>
      </c>
      <c r="E14569">
        <v>11.0344827586206</v>
      </c>
    </row>
    <row r="14570" spans="1:5">
      <c r="A14570" t="s">
        <v>16827</v>
      </c>
      <c r="B14570" t="s">
        <v>16837</v>
      </c>
      <c r="C14570">
        <v>0</v>
      </c>
      <c r="D14570">
        <v>0.99151392287499995</v>
      </c>
      <c r="E14570">
        <v>11.0344827586206</v>
      </c>
    </row>
    <row r="14571" spans="1:5">
      <c r="A14571" t="s">
        <v>16827</v>
      </c>
      <c r="B14571" t="s">
        <v>16838</v>
      </c>
      <c r="C14571">
        <v>0</v>
      </c>
      <c r="D14571">
        <v>0.99151392287499995</v>
      </c>
      <c r="E14571">
        <v>11.0344827586206</v>
      </c>
    </row>
    <row r="14572" spans="1:5">
      <c r="A14572" t="s">
        <v>16839</v>
      </c>
      <c r="B14572" t="s">
        <v>16840</v>
      </c>
      <c r="C14572">
        <v>0</v>
      </c>
      <c r="D14572">
        <v>0.97425608739299996</v>
      </c>
      <c r="E14572">
        <v>20.065967016491701</v>
      </c>
    </row>
    <row r="14573" spans="1:5">
      <c r="A14573" t="s">
        <v>16839</v>
      </c>
      <c r="B14573" t="s">
        <v>16841</v>
      </c>
      <c r="C14573">
        <f>0.00724823964614</f>
        <v>7.2482396461400001E-3</v>
      </c>
      <c r="D14573">
        <v>0.97425608739299996</v>
      </c>
      <c r="E14573">
        <v>20.065967016491701</v>
      </c>
    </row>
    <row r="14574" spans="1:5">
      <c r="A14574" t="s">
        <v>16839</v>
      </c>
      <c r="B14574" t="s">
        <v>16842</v>
      </c>
      <c r="C14574">
        <f>0</f>
        <v>0</v>
      </c>
      <c r="D14574">
        <v>0.97425608739299996</v>
      </c>
      <c r="E14574">
        <v>20.065967016491701</v>
      </c>
    </row>
    <row r="14575" spans="1:5">
      <c r="A14575" t="s">
        <v>16839</v>
      </c>
      <c r="B14575" t="s">
        <v>16843</v>
      </c>
      <c r="C14575">
        <v>2.00715099758E-3</v>
      </c>
      <c r="D14575">
        <v>0.97425608739299996</v>
      </c>
      <c r="E14575">
        <v>20.065967016491701</v>
      </c>
    </row>
    <row r="14576" spans="1:5">
      <c r="A14576" t="s">
        <v>16839</v>
      </c>
      <c r="B14576" t="s">
        <v>16844</v>
      </c>
      <c r="C14576">
        <f>0</f>
        <v>0</v>
      </c>
      <c r="D14576">
        <v>0.97425608739299996</v>
      </c>
      <c r="E14576">
        <v>20.065967016491701</v>
      </c>
    </row>
    <row r="14577" spans="1:5">
      <c r="A14577" t="s">
        <v>16845</v>
      </c>
      <c r="B14577" t="s">
        <v>16846</v>
      </c>
      <c r="C14577">
        <f>0</f>
        <v>0</v>
      </c>
      <c r="D14577">
        <v>0.97440476747299998</v>
      </c>
      <c r="E14577">
        <v>6.0569715142428704</v>
      </c>
    </row>
    <row r="14578" spans="1:5">
      <c r="A14578" t="s">
        <v>16845</v>
      </c>
      <c r="B14578" t="s">
        <v>16847</v>
      </c>
      <c r="C14578">
        <f>0</f>
        <v>0</v>
      </c>
      <c r="D14578">
        <v>0.97440476747299998</v>
      </c>
      <c r="E14578">
        <v>6.0569715142428704</v>
      </c>
    </row>
    <row r="14579" spans="1:5">
      <c r="A14579" t="s">
        <v>16845</v>
      </c>
      <c r="B14579" t="s">
        <v>16848</v>
      </c>
      <c r="C14579">
        <v>0</v>
      </c>
      <c r="D14579">
        <v>0.97440476747299998</v>
      </c>
      <c r="E14579">
        <v>6.0569715142428704</v>
      </c>
    </row>
    <row r="14580" spans="1:5">
      <c r="A14580" t="s">
        <v>16845</v>
      </c>
      <c r="B14580" t="s">
        <v>16849</v>
      </c>
      <c r="C14580">
        <f>0</f>
        <v>0</v>
      </c>
      <c r="D14580">
        <v>0.97440476747299998</v>
      </c>
      <c r="E14580">
        <v>6.0569715142428704</v>
      </c>
    </row>
    <row r="14581" spans="1:5">
      <c r="A14581" t="s">
        <v>16845</v>
      </c>
      <c r="B14581" t="s">
        <v>16850</v>
      </c>
      <c r="C14581">
        <v>0</v>
      </c>
      <c r="D14581">
        <v>0.97440476747299998</v>
      </c>
      <c r="E14581">
        <v>6.0569715142428704</v>
      </c>
    </row>
    <row r="14582" spans="1:5">
      <c r="A14582" t="s">
        <v>16845</v>
      </c>
      <c r="B14582" t="s">
        <v>16851</v>
      </c>
      <c r="C14582">
        <f>0</f>
        <v>0</v>
      </c>
      <c r="D14582">
        <v>0.97440476747299998</v>
      </c>
      <c r="E14582">
        <v>6.0569715142428704</v>
      </c>
    </row>
    <row r="14583" spans="1:5">
      <c r="A14583" t="s">
        <v>16845</v>
      </c>
      <c r="B14583" t="s">
        <v>16852</v>
      </c>
      <c r="C14583">
        <f>0.0181345044389</f>
        <v>1.8134504438899999E-2</v>
      </c>
      <c r="D14583">
        <v>0.97440476747299998</v>
      </c>
      <c r="E14583">
        <v>6.0569715142428704</v>
      </c>
    </row>
    <row r="14584" spans="1:5">
      <c r="A14584" t="s">
        <v>16845</v>
      </c>
      <c r="B14584" t="s">
        <v>16853</v>
      </c>
      <c r="C14584">
        <v>0</v>
      </c>
      <c r="D14584">
        <v>0.97440476747299998</v>
      </c>
      <c r="E14584">
        <v>6.0569715142428704</v>
      </c>
    </row>
    <row r="14585" spans="1:5">
      <c r="A14585" t="s">
        <v>16845</v>
      </c>
      <c r="B14585" t="s">
        <v>16854</v>
      </c>
      <c r="C14585">
        <v>5.09139401669E-3</v>
      </c>
      <c r="D14585">
        <v>0.97440476747299998</v>
      </c>
      <c r="E14585">
        <v>6.0569715142428704</v>
      </c>
    </row>
    <row r="14586" spans="1:5">
      <c r="A14586" t="s">
        <v>16845</v>
      </c>
      <c r="B14586" t="s">
        <v>16855</v>
      </c>
      <c r="C14586">
        <f>0</f>
        <v>0</v>
      </c>
      <c r="D14586">
        <v>0.97440476747299998</v>
      </c>
      <c r="E14586">
        <v>6.0569715142428704</v>
      </c>
    </row>
    <row r="14587" spans="1:5">
      <c r="A14587" t="s">
        <v>16856</v>
      </c>
      <c r="B14587" t="s">
        <v>16857</v>
      </c>
      <c r="C14587">
        <f>0</f>
        <v>0</v>
      </c>
      <c r="D14587">
        <v>0.93258819260199999</v>
      </c>
      <c r="E14587">
        <v>3.68215892053973</v>
      </c>
    </row>
    <row r="14588" spans="1:5">
      <c r="A14588" t="s">
        <v>16856</v>
      </c>
      <c r="B14588" t="s">
        <v>16858</v>
      </c>
      <c r="C14588">
        <v>0.27472672159799999</v>
      </c>
      <c r="D14588">
        <v>0.93258819260199999</v>
      </c>
      <c r="E14588">
        <v>3.68215892053973</v>
      </c>
    </row>
    <row r="14589" spans="1:5">
      <c r="A14589" t="s">
        <v>16856</v>
      </c>
      <c r="B14589" t="s">
        <v>16859</v>
      </c>
      <c r="C14589">
        <f>0.0819209200792</f>
        <v>8.1920920079200002E-2</v>
      </c>
      <c r="D14589">
        <v>0.93258819260199999</v>
      </c>
      <c r="E14589">
        <v>3.68215892053973</v>
      </c>
    </row>
    <row r="14590" spans="1:5">
      <c r="A14590" t="s">
        <v>16856</v>
      </c>
      <c r="B14590" t="s">
        <v>16860</v>
      </c>
      <c r="C14590">
        <f>0</f>
        <v>0</v>
      </c>
      <c r="D14590">
        <v>0.93258819260199999</v>
      </c>
      <c r="E14590">
        <v>3.68215892053973</v>
      </c>
    </row>
    <row r="14591" spans="1:5">
      <c r="A14591" t="s">
        <v>16861</v>
      </c>
      <c r="B14591" t="s">
        <v>16862</v>
      </c>
      <c r="C14591">
        <v>0.12593905609299999</v>
      </c>
      <c r="D14591">
        <v>0.99074469573299995</v>
      </c>
      <c r="E14591">
        <v>13.0854572713643</v>
      </c>
    </row>
    <row r="14592" spans="1:5">
      <c r="A14592" t="s">
        <v>16861</v>
      </c>
      <c r="B14592" t="s">
        <v>16863</v>
      </c>
      <c r="C14592">
        <v>3.2458974068699999E-2</v>
      </c>
      <c r="D14592">
        <v>0.99074469573299995</v>
      </c>
      <c r="E14592">
        <v>13.0854572713643</v>
      </c>
    </row>
    <row r="14593" spans="1:5">
      <c r="A14593" t="s">
        <v>16861</v>
      </c>
      <c r="B14593" t="s">
        <v>16864</v>
      </c>
      <c r="C14593">
        <v>0</v>
      </c>
      <c r="D14593">
        <v>0.99074469573299995</v>
      </c>
      <c r="E14593">
        <v>13.0854572713643</v>
      </c>
    </row>
    <row r="14594" spans="1:5">
      <c r="A14594" t="s">
        <v>16861</v>
      </c>
      <c r="B14594" t="s">
        <v>16865</v>
      </c>
      <c r="C14594">
        <v>0</v>
      </c>
      <c r="D14594">
        <v>0.99074469573299995</v>
      </c>
      <c r="E14594">
        <v>13.0854572713643</v>
      </c>
    </row>
    <row r="14595" spans="1:5">
      <c r="A14595" t="s">
        <v>16861</v>
      </c>
      <c r="B14595" t="s">
        <v>16866</v>
      </c>
      <c r="C14595">
        <v>0</v>
      </c>
      <c r="D14595">
        <v>0.99074469573299995</v>
      </c>
      <c r="E14595">
        <v>13.0854572713643</v>
      </c>
    </row>
    <row r="14596" spans="1:5">
      <c r="A14596" t="s">
        <v>16867</v>
      </c>
      <c r="B14596" t="s">
        <v>16868</v>
      </c>
      <c r="C14596">
        <v>0.184091270063</v>
      </c>
      <c r="D14596" t="s">
        <v>106</v>
      </c>
      <c r="E14596">
        <v>24</v>
      </c>
    </row>
    <row r="14597" spans="1:5">
      <c r="A14597" t="s">
        <v>16869</v>
      </c>
      <c r="B14597" t="s">
        <v>16870</v>
      </c>
      <c r="C14597">
        <v>0.19119537186900001</v>
      </c>
      <c r="D14597">
        <v>0.97330016877699999</v>
      </c>
      <c r="E14597">
        <v>10.0749625187406</v>
      </c>
    </row>
    <row r="14598" spans="1:5">
      <c r="A14598" t="s">
        <v>16869</v>
      </c>
      <c r="B14598" t="s">
        <v>16871</v>
      </c>
      <c r="C14598">
        <v>0.283461100164</v>
      </c>
      <c r="D14598">
        <v>0.97330016877699999</v>
      </c>
      <c r="E14598">
        <v>10.0749625187406</v>
      </c>
    </row>
    <row r="14599" spans="1:5">
      <c r="A14599" t="s">
        <v>16869</v>
      </c>
      <c r="B14599" t="s">
        <v>16872</v>
      </c>
      <c r="C14599">
        <f>0</f>
        <v>0</v>
      </c>
      <c r="D14599">
        <v>0.97330016877699999</v>
      </c>
      <c r="E14599">
        <v>10.0749625187406</v>
      </c>
    </row>
    <row r="14600" spans="1:5">
      <c r="A14600" t="s">
        <v>16873</v>
      </c>
      <c r="B14600" t="s">
        <v>16874</v>
      </c>
      <c r="C14600">
        <v>0.18071062884</v>
      </c>
      <c r="D14600" t="s">
        <v>106</v>
      </c>
      <c r="E14600">
        <v>18.1349325337331</v>
      </c>
    </row>
    <row r="14601" spans="1:5">
      <c r="A14601" t="s">
        <v>16873</v>
      </c>
      <c r="B14601" t="s">
        <v>16875</v>
      </c>
      <c r="C14601">
        <f>0</f>
        <v>0</v>
      </c>
      <c r="D14601" t="s">
        <v>106</v>
      </c>
      <c r="E14601">
        <v>18.1349325337331</v>
      </c>
    </row>
    <row r="14602" spans="1:5">
      <c r="A14602" t="s">
        <v>16873</v>
      </c>
      <c r="B14602" t="s">
        <v>16876</v>
      </c>
      <c r="C14602">
        <f>0</f>
        <v>0</v>
      </c>
      <c r="D14602" t="s">
        <v>106</v>
      </c>
      <c r="E14602">
        <v>18.1349325337331</v>
      </c>
    </row>
    <row r="14603" spans="1:5">
      <c r="A14603" t="s">
        <v>16873</v>
      </c>
      <c r="B14603" t="s">
        <v>16877</v>
      </c>
      <c r="C14603">
        <v>0</v>
      </c>
      <c r="D14603" t="s">
        <v>106</v>
      </c>
      <c r="E14603">
        <v>18.1349325337331</v>
      </c>
    </row>
    <row r="14604" spans="1:5">
      <c r="A14604" t="s">
        <v>16873</v>
      </c>
      <c r="B14604" t="s">
        <v>16878</v>
      </c>
      <c r="C14604">
        <v>0</v>
      </c>
      <c r="D14604" t="s">
        <v>106</v>
      </c>
      <c r="E14604">
        <v>18.1349325337331</v>
      </c>
    </row>
    <row r="14605" spans="1:5">
      <c r="A14605" t="s">
        <v>16873</v>
      </c>
      <c r="B14605" t="s">
        <v>16879</v>
      </c>
      <c r="C14605">
        <f>0</f>
        <v>0</v>
      </c>
      <c r="D14605" t="s">
        <v>106</v>
      </c>
      <c r="E14605">
        <v>18.1349325337331</v>
      </c>
    </row>
    <row r="14606" spans="1:5">
      <c r="A14606" t="s">
        <v>16873</v>
      </c>
      <c r="B14606" t="s">
        <v>16880</v>
      </c>
      <c r="C14606">
        <f>0.0396015472355</f>
        <v>3.9601547235500002E-2</v>
      </c>
      <c r="D14606" t="s">
        <v>106</v>
      </c>
      <c r="E14606">
        <v>18.1349325337331</v>
      </c>
    </row>
    <row r="14607" spans="1:5">
      <c r="A14607" t="s">
        <v>16881</v>
      </c>
      <c r="B14607" t="s">
        <v>16882</v>
      </c>
      <c r="C14607">
        <v>0</v>
      </c>
      <c r="D14607">
        <v>0.92237302797599996</v>
      </c>
      <c r="E14607">
        <v>5.3493253373313303</v>
      </c>
    </row>
    <row r="14608" spans="1:5">
      <c r="A14608" t="s">
        <v>16883</v>
      </c>
      <c r="B14608" t="s">
        <v>16884</v>
      </c>
      <c r="C14608">
        <v>0</v>
      </c>
      <c r="D14608" t="s">
        <v>106</v>
      </c>
      <c r="E14608">
        <v>2.39880059970015</v>
      </c>
    </row>
    <row r="14609" spans="1:5">
      <c r="A14609" t="s">
        <v>16885</v>
      </c>
      <c r="B14609" t="s">
        <v>16886</v>
      </c>
      <c r="C14609">
        <v>6.0389666112200001E-2</v>
      </c>
      <c r="D14609">
        <v>0.71808000955399998</v>
      </c>
      <c r="E14609">
        <v>24</v>
      </c>
    </row>
    <row r="14610" spans="1:5">
      <c r="A14610" t="s">
        <v>16885</v>
      </c>
      <c r="B14610" t="s">
        <v>16887</v>
      </c>
      <c r="C14610">
        <v>0</v>
      </c>
      <c r="D14610">
        <v>0.71808000955399998</v>
      </c>
      <c r="E14610">
        <v>24</v>
      </c>
    </row>
    <row r="14611" spans="1:5">
      <c r="A14611" t="s">
        <v>16885</v>
      </c>
      <c r="B14611" t="s">
        <v>16888</v>
      </c>
      <c r="C14611">
        <v>0</v>
      </c>
      <c r="D14611">
        <v>0.71808000955399998</v>
      </c>
      <c r="E14611">
        <v>24</v>
      </c>
    </row>
    <row r="14612" spans="1:5">
      <c r="A14612" t="s">
        <v>16885</v>
      </c>
      <c r="B14612" t="s">
        <v>16889</v>
      </c>
      <c r="C14612">
        <v>0</v>
      </c>
      <c r="D14612">
        <v>0.71808000955399998</v>
      </c>
      <c r="E14612">
        <v>24</v>
      </c>
    </row>
    <row r="14613" spans="1:5">
      <c r="A14613" t="s">
        <v>16885</v>
      </c>
      <c r="B14613" t="s">
        <v>16890</v>
      </c>
      <c r="C14613">
        <v>0</v>
      </c>
      <c r="D14613">
        <v>0.71808000955399998</v>
      </c>
      <c r="E14613">
        <v>24</v>
      </c>
    </row>
    <row r="14614" spans="1:5">
      <c r="A14614" t="s">
        <v>16885</v>
      </c>
      <c r="B14614" t="s">
        <v>16891</v>
      </c>
      <c r="C14614">
        <v>2.0060790279299998E-2</v>
      </c>
      <c r="D14614">
        <v>0.71808000955399998</v>
      </c>
      <c r="E14614">
        <v>24</v>
      </c>
    </row>
    <row r="14615" spans="1:5">
      <c r="A14615" t="s">
        <v>16885</v>
      </c>
      <c r="B14615" t="s">
        <v>16892</v>
      </c>
      <c r="C14615">
        <v>0</v>
      </c>
      <c r="D14615">
        <v>0.71808000955399998</v>
      </c>
      <c r="E14615">
        <v>24</v>
      </c>
    </row>
    <row r="14616" spans="1:5">
      <c r="A14616" t="s">
        <v>16885</v>
      </c>
      <c r="B14616" t="s">
        <v>16893</v>
      </c>
      <c r="C14616">
        <v>0</v>
      </c>
      <c r="D14616">
        <v>0.71808000955399998</v>
      </c>
      <c r="E14616">
        <v>24</v>
      </c>
    </row>
    <row r="14617" spans="1:5">
      <c r="A14617" t="s">
        <v>16885</v>
      </c>
      <c r="B14617" t="s">
        <v>16894</v>
      </c>
      <c r="C14617">
        <v>0</v>
      </c>
      <c r="D14617">
        <v>0.71808000955399998</v>
      </c>
      <c r="E14617">
        <v>24</v>
      </c>
    </row>
    <row r="14618" spans="1:5">
      <c r="A14618" t="s">
        <v>16885</v>
      </c>
      <c r="B14618" t="s">
        <v>16895</v>
      </c>
      <c r="C14618">
        <f>0</f>
        <v>0</v>
      </c>
      <c r="D14618">
        <v>0.71808000955399998</v>
      </c>
      <c r="E14618">
        <v>24</v>
      </c>
    </row>
    <row r="14619" spans="1:5">
      <c r="A14619" t="s">
        <v>16885</v>
      </c>
      <c r="B14619" t="s">
        <v>16896</v>
      </c>
      <c r="C14619">
        <v>0</v>
      </c>
      <c r="D14619">
        <v>0.71808000955399998</v>
      </c>
      <c r="E14619">
        <v>24</v>
      </c>
    </row>
    <row r="14620" spans="1:5">
      <c r="A14620" t="s">
        <v>16897</v>
      </c>
      <c r="B14620" t="s">
        <v>16898</v>
      </c>
      <c r="C14620">
        <f>0</f>
        <v>0</v>
      </c>
      <c r="D14620">
        <v>0.77615648904400003</v>
      </c>
      <c r="E14620">
        <v>5.1214392803598203</v>
      </c>
    </row>
    <row r="14621" spans="1:5">
      <c r="A14621" t="s">
        <v>16897</v>
      </c>
      <c r="B14621" t="s">
        <v>16899</v>
      </c>
      <c r="C14621">
        <f>0</f>
        <v>0</v>
      </c>
      <c r="D14621">
        <v>0.77615648904400003</v>
      </c>
      <c r="E14621">
        <v>5.1214392803598203</v>
      </c>
    </row>
    <row r="14622" spans="1:5">
      <c r="A14622" t="s">
        <v>16897</v>
      </c>
      <c r="B14622" t="s">
        <v>16900</v>
      </c>
      <c r="C14622">
        <v>0</v>
      </c>
      <c r="D14622">
        <v>0.77615648904400003</v>
      </c>
      <c r="E14622">
        <v>5.1214392803598203</v>
      </c>
    </row>
    <row r="14623" spans="1:5">
      <c r="A14623" t="s">
        <v>16897</v>
      </c>
      <c r="B14623" t="s">
        <v>16901</v>
      </c>
      <c r="C14623">
        <f>0</f>
        <v>0</v>
      </c>
      <c r="D14623">
        <v>0.77615648904400003</v>
      </c>
      <c r="E14623">
        <v>5.1214392803598203</v>
      </c>
    </row>
    <row r="14624" spans="1:5">
      <c r="A14624" t="s">
        <v>16897</v>
      </c>
      <c r="B14624" t="s">
        <v>16902</v>
      </c>
      <c r="C14624">
        <f>0</f>
        <v>0</v>
      </c>
      <c r="D14624">
        <v>0.77615648904400003</v>
      </c>
      <c r="E14624">
        <v>5.1214392803598203</v>
      </c>
    </row>
    <row r="14625" spans="1:5">
      <c r="A14625" t="s">
        <v>16897</v>
      </c>
      <c r="B14625" t="s">
        <v>16903</v>
      </c>
      <c r="C14625">
        <v>0</v>
      </c>
      <c r="D14625">
        <v>0.77615648904400003</v>
      </c>
      <c r="E14625">
        <v>5.1214392803598203</v>
      </c>
    </row>
    <row r="14626" spans="1:5">
      <c r="A14626" t="s">
        <v>16897</v>
      </c>
      <c r="B14626" t="s">
        <v>16904</v>
      </c>
      <c r="C14626">
        <v>0</v>
      </c>
      <c r="D14626">
        <v>0.77615648904400003</v>
      </c>
      <c r="E14626">
        <v>5.1214392803598203</v>
      </c>
    </row>
    <row r="14627" spans="1:5">
      <c r="A14627" t="s">
        <v>16897</v>
      </c>
      <c r="B14627" t="s">
        <v>16905</v>
      </c>
      <c r="C14627">
        <v>0</v>
      </c>
      <c r="D14627">
        <v>0.77615648904400003</v>
      </c>
      <c r="E14627">
        <v>5.1214392803598203</v>
      </c>
    </row>
    <row r="14628" spans="1:5">
      <c r="A14628" t="s">
        <v>16897</v>
      </c>
      <c r="B14628" t="s">
        <v>16906</v>
      </c>
      <c r="C14628">
        <v>0</v>
      </c>
      <c r="D14628">
        <v>0.77615648904400003</v>
      </c>
      <c r="E14628">
        <v>5.1214392803598203</v>
      </c>
    </row>
    <row r="14629" spans="1:5">
      <c r="A14629" t="s">
        <v>16897</v>
      </c>
      <c r="B14629" t="s">
        <v>16907</v>
      </c>
      <c r="C14629">
        <v>0</v>
      </c>
      <c r="D14629">
        <v>0.77615648904400003</v>
      </c>
      <c r="E14629">
        <v>5.1214392803598203</v>
      </c>
    </row>
    <row r="14630" spans="1:5">
      <c r="A14630" t="s">
        <v>16908</v>
      </c>
      <c r="B14630" t="s">
        <v>16909</v>
      </c>
      <c r="C14630">
        <f>0</f>
        <v>0</v>
      </c>
      <c r="D14630" t="s">
        <v>106</v>
      </c>
      <c r="E14630">
        <v>1.7631184407796101</v>
      </c>
    </row>
    <row r="14631" spans="1:5">
      <c r="A14631" t="s">
        <v>16908</v>
      </c>
      <c r="B14631" t="s">
        <v>16910</v>
      </c>
      <c r="C14631">
        <v>0</v>
      </c>
      <c r="D14631" t="s">
        <v>106</v>
      </c>
      <c r="E14631">
        <v>1.7631184407796101</v>
      </c>
    </row>
    <row r="14632" spans="1:5">
      <c r="A14632" t="s">
        <v>16908</v>
      </c>
      <c r="B14632" t="s">
        <v>16911</v>
      </c>
      <c r="C14632">
        <f>0</f>
        <v>0</v>
      </c>
      <c r="D14632" t="s">
        <v>106</v>
      </c>
      <c r="E14632">
        <v>1.7631184407796101</v>
      </c>
    </row>
    <row r="14633" spans="1:5">
      <c r="A14633" t="s">
        <v>16908</v>
      </c>
      <c r="B14633" t="s">
        <v>16912</v>
      </c>
      <c r="C14633">
        <v>0</v>
      </c>
      <c r="D14633" t="s">
        <v>106</v>
      </c>
      <c r="E14633">
        <v>1.7631184407796101</v>
      </c>
    </row>
    <row r="14634" spans="1:5">
      <c r="A14634" t="s">
        <v>16908</v>
      </c>
      <c r="B14634" t="s">
        <v>16913</v>
      </c>
      <c r="C14634">
        <v>0</v>
      </c>
      <c r="D14634" t="s">
        <v>106</v>
      </c>
      <c r="E14634">
        <v>1.7631184407796101</v>
      </c>
    </row>
    <row r="14635" spans="1:5">
      <c r="A14635" t="s">
        <v>16914</v>
      </c>
      <c r="B14635" t="s">
        <v>16915</v>
      </c>
      <c r="C14635">
        <f>0.112490596548</f>
        <v>0.112490596548</v>
      </c>
      <c r="D14635">
        <v>0.97462752541800002</v>
      </c>
      <c r="E14635">
        <v>12.9175412293853</v>
      </c>
    </row>
    <row r="14636" spans="1:5">
      <c r="A14636" t="s">
        <v>16914</v>
      </c>
      <c r="B14636" t="s">
        <v>16916</v>
      </c>
      <c r="C14636">
        <f>0</f>
        <v>0</v>
      </c>
      <c r="D14636">
        <v>0.97462752541800002</v>
      </c>
      <c r="E14636">
        <v>12.9175412293853</v>
      </c>
    </row>
    <row r="14637" spans="1:5">
      <c r="A14637" t="s">
        <v>16914</v>
      </c>
      <c r="B14637" t="s">
        <v>16917</v>
      </c>
      <c r="C14637">
        <f>0.0251417312272</f>
        <v>2.5141731227199999E-2</v>
      </c>
      <c r="D14637">
        <v>0.97462752541800002</v>
      </c>
      <c r="E14637">
        <v>12.9175412293853</v>
      </c>
    </row>
    <row r="14638" spans="1:5">
      <c r="A14638" t="s">
        <v>16914</v>
      </c>
      <c r="B14638" t="s">
        <v>16918</v>
      </c>
      <c r="C14638">
        <v>0</v>
      </c>
      <c r="D14638">
        <v>0.97462752541800002</v>
      </c>
      <c r="E14638">
        <v>12.9175412293853</v>
      </c>
    </row>
    <row r="14639" spans="1:5">
      <c r="A14639" t="s">
        <v>16914</v>
      </c>
      <c r="B14639" t="s">
        <v>16919</v>
      </c>
      <c r="C14639">
        <v>0</v>
      </c>
      <c r="D14639">
        <v>0.97462752541800002</v>
      </c>
      <c r="E14639">
        <v>12.9175412293853</v>
      </c>
    </row>
    <row r="14640" spans="1:5">
      <c r="A14640" t="s">
        <v>16914</v>
      </c>
      <c r="B14640" t="s">
        <v>16920</v>
      </c>
      <c r="C14640">
        <f>0</f>
        <v>0</v>
      </c>
      <c r="D14640">
        <v>0.97462752541800002</v>
      </c>
      <c r="E14640">
        <v>12.9175412293853</v>
      </c>
    </row>
    <row r="14641" spans="1:5">
      <c r="A14641" t="s">
        <v>16921</v>
      </c>
      <c r="B14641" t="s">
        <v>16922</v>
      </c>
      <c r="C14641">
        <v>0.42491668899099999</v>
      </c>
      <c r="D14641">
        <v>0.98084575298900001</v>
      </c>
      <c r="E14641">
        <v>1.6911544227886</v>
      </c>
    </row>
    <row r="14642" spans="1:5">
      <c r="A14642" t="s">
        <v>16921</v>
      </c>
      <c r="B14642" t="s">
        <v>16923</v>
      </c>
      <c r="C14642">
        <v>0.44213096237400001</v>
      </c>
      <c r="D14642">
        <v>0.98084575298900001</v>
      </c>
      <c r="E14642">
        <v>1.6911544227886</v>
      </c>
    </row>
    <row r="14643" spans="1:5">
      <c r="A14643" t="s">
        <v>16924</v>
      </c>
      <c r="B14643" t="s">
        <v>16925</v>
      </c>
      <c r="C14643">
        <v>0</v>
      </c>
      <c r="D14643" t="s">
        <v>106</v>
      </c>
      <c r="E14643">
        <v>23.040479760119901</v>
      </c>
    </row>
    <row r="14644" spans="1:5">
      <c r="A14644" t="s">
        <v>16924</v>
      </c>
      <c r="B14644" t="s">
        <v>16926</v>
      </c>
      <c r="C14644">
        <f>0</f>
        <v>0</v>
      </c>
      <c r="D14644" t="s">
        <v>106</v>
      </c>
      <c r="E14644">
        <v>23.040479760119901</v>
      </c>
    </row>
    <row r="14645" spans="1:5">
      <c r="A14645" t="s">
        <v>16924</v>
      </c>
      <c r="B14645" t="s">
        <v>16927</v>
      </c>
      <c r="C14645">
        <f>0</f>
        <v>0</v>
      </c>
      <c r="D14645" t="s">
        <v>106</v>
      </c>
      <c r="E14645">
        <v>23.040479760119901</v>
      </c>
    </row>
    <row r="14646" spans="1:5">
      <c r="A14646" t="s">
        <v>16924</v>
      </c>
      <c r="B14646" t="s">
        <v>16928</v>
      </c>
      <c r="C14646">
        <f>0</f>
        <v>0</v>
      </c>
      <c r="D14646" t="s">
        <v>106</v>
      </c>
      <c r="E14646">
        <v>23.040479760119901</v>
      </c>
    </row>
    <row r="14647" spans="1:5">
      <c r="A14647" t="s">
        <v>16924</v>
      </c>
      <c r="B14647" t="s">
        <v>16929</v>
      </c>
      <c r="C14647">
        <v>0</v>
      </c>
      <c r="D14647" t="s">
        <v>106</v>
      </c>
      <c r="E14647">
        <v>23.040479760119901</v>
      </c>
    </row>
    <row r="14648" spans="1:5">
      <c r="A14648" t="s">
        <v>16924</v>
      </c>
      <c r="B14648" t="s">
        <v>16930</v>
      </c>
      <c r="C14648">
        <f>0</f>
        <v>0</v>
      </c>
      <c r="D14648" t="s">
        <v>106</v>
      </c>
      <c r="E14648">
        <v>23.040479760119901</v>
      </c>
    </row>
    <row r="14649" spans="1:5">
      <c r="A14649" t="s">
        <v>16924</v>
      </c>
      <c r="B14649" t="s">
        <v>16931</v>
      </c>
      <c r="C14649">
        <f>0</f>
        <v>0</v>
      </c>
      <c r="D14649" t="s">
        <v>106</v>
      </c>
      <c r="E14649">
        <v>23.040479760119901</v>
      </c>
    </row>
    <row r="14650" spans="1:5">
      <c r="A14650" t="s">
        <v>16924</v>
      </c>
      <c r="B14650" t="s">
        <v>16932</v>
      </c>
      <c r="C14650">
        <f>0</f>
        <v>0</v>
      </c>
      <c r="D14650" t="s">
        <v>106</v>
      </c>
      <c r="E14650">
        <v>23.040479760119901</v>
      </c>
    </row>
    <row r="14651" spans="1:5">
      <c r="A14651" t="s">
        <v>16924</v>
      </c>
      <c r="B14651" t="s">
        <v>16933</v>
      </c>
      <c r="C14651">
        <f>0</f>
        <v>0</v>
      </c>
      <c r="D14651" t="s">
        <v>106</v>
      </c>
      <c r="E14651">
        <v>23.040479760119901</v>
      </c>
    </row>
    <row r="14652" spans="1:5">
      <c r="A14652" t="s">
        <v>16934</v>
      </c>
      <c r="B14652" t="s">
        <v>16935</v>
      </c>
      <c r="C14652">
        <f>0</f>
        <v>0</v>
      </c>
      <c r="D14652">
        <v>0.98717159598299997</v>
      </c>
      <c r="E14652">
        <v>6.4287856071964002</v>
      </c>
    </row>
    <row r="14653" spans="1:5">
      <c r="A14653" t="s">
        <v>16934</v>
      </c>
      <c r="B14653" t="s">
        <v>16936</v>
      </c>
      <c r="C14653">
        <v>0</v>
      </c>
      <c r="D14653">
        <v>0.98717159598299997</v>
      </c>
      <c r="E14653">
        <v>6.4287856071964002</v>
      </c>
    </row>
    <row r="14654" spans="1:5">
      <c r="A14654" t="s">
        <v>16934</v>
      </c>
      <c r="B14654" t="s">
        <v>16937</v>
      </c>
      <c r="C14654">
        <f>0.0556547746119</f>
        <v>5.56547746119E-2</v>
      </c>
      <c r="D14654">
        <v>0.98717159598299997</v>
      </c>
      <c r="E14654">
        <v>6.4287856071964002</v>
      </c>
    </row>
    <row r="14655" spans="1:5">
      <c r="A14655" t="s">
        <v>16934</v>
      </c>
      <c r="B14655" t="s">
        <v>16938</v>
      </c>
      <c r="C14655">
        <f>0</f>
        <v>0</v>
      </c>
      <c r="D14655">
        <v>0.98717159598299997</v>
      </c>
      <c r="E14655">
        <v>6.4287856071964002</v>
      </c>
    </row>
    <row r="14656" spans="1:5">
      <c r="A14656" t="s">
        <v>16939</v>
      </c>
      <c r="B14656" t="s">
        <v>16940</v>
      </c>
      <c r="C14656">
        <v>0.222983526317</v>
      </c>
      <c r="D14656">
        <v>0.97650034859199997</v>
      </c>
      <c r="E14656">
        <v>10.5547226386806</v>
      </c>
    </row>
    <row r="14657" spans="1:5">
      <c r="A14657" t="s">
        <v>16939</v>
      </c>
      <c r="B14657" t="s">
        <v>16941</v>
      </c>
      <c r="C14657">
        <v>0</v>
      </c>
      <c r="D14657">
        <v>0.97650034859199997</v>
      </c>
      <c r="E14657">
        <v>10.5547226386806</v>
      </c>
    </row>
    <row r="14658" spans="1:5">
      <c r="A14658" t="s">
        <v>16939</v>
      </c>
      <c r="B14658" t="s">
        <v>16942</v>
      </c>
      <c r="C14658">
        <v>2.2966309482699999E-2</v>
      </c>
      <c r="D14658">
        <v>0.97650034859199997</v>
      </c>
      <c r="E14658">
        <v>10.5547226386806</v>
      </c>
    </row>
    <row r="14659" spans="1:5">
      <c r="A14659" t="s">
        <v>16939</v>
      </c>
      <c r="B14659" t="s">
        <v>16943</v>
      </c>
      <c r="C14659">
        <v>0</v>
      </c>
      <c r="D14659">
        <v>0.97650034859199997</v>
      </c>
      <c r="E14659">
        <v>10.5547226386806</v>
      </c>
    </row>
    <row r="14660" spans="1:5">
      <c r="A14660" t="s">
        <v>16939</v>
      </c>
      <c r="B14660" t="s">
        <v>16944</v>
      </c>
      <c r="C14660">
        <v>0</v>
      </c>
      <c r="D14660">
        <v>0.97650034859199997</v>
      </c>
      <c r="E14660">
        <v>10.5547226386806</v>
      </c>
    </row>
    <row r="14661" spans="1:5">
      <c r="A14661" t="s">
        <v>16945</v>
      </c>
      <c r="B14661" t="s">
        <v>16946</v>
      </c>
      <c r="C14661">
        <f>0.020835522672</f>
        <v>2.0835522671999999E-2</v>
      </c>
      <c r="D14661">
        <v>0.99765882915600002</v>
      </c>
      <c r="E14661">
        <v>24</v>
      </c>
    </row>
    <row r="14662" spans="1:5">
      <c r="A14662" t="s">
        <v>16945</v>
      </c>
      <c r="B14662" t="s">
        <v>16947</v>
      </c>
      <c r="C14662">
        <v>1.8196725407999999E-2</v>
      </c>
      <c r="D14662">
        <v>0.99765882915600002</v>
      </c>
      <c r="E14662">
        <v>24</v>
      </c>
    </row>
    <row r="14663" spans="1:5">
      <c r="A14663" t="s">
        <v>16948</v>
      </c>
      <c r="B14663" t="s">
        <v>16949</v>
      </c>
      <c r="C14663">
        <f>0.497394555943</f>
        <v>0.49739455594300003</v>
      </c>
      <c r="D14663">
        <v>0.98912487060300003</v>
      </c>
      <c r="E14663">
        <v>0.69565217391304301</v>
      </c>
    </row>
    <row r="14664" spans="1:5">
      <c r="A14664" t="s">
        <v>16948</v>
      </c>
      <c r="B14664" t="s">
        <v>16950</v>
      </c>
      <c r="C14664">
        <v>0</v>
      </c>
      <c r="D14664">
        <v>0.98912487060300003</v>
      </c>
      <c r="E14664">
        <v>0.69565217391304301</v>
      </c>
    </row>
    <row r="14665" spans="1:5">
      <c r="A14665" t="s">
        <v>16948</v>
      </c>
      <c r="B14665" t="s">
        <v>16951</v>
      </c>
      <c r="C14665">
        <f>0</f>
        <v>0</v>
      </c>
      <c r="D14665">
        <v>0.98912487060300003</v>
      </c>
      <c r="E14665">
        <v>0.69565217391304301</v>
      </c>
    </row>
    <row r="14666" spans="1:5">
      <c r="A14666" t="s">
        <v>16948</v>
      </c>
      <c r="B14666" t="s">
        <v>16952</v>
      </c>
      <c r="C14666">
        <f>0.287324764933</f>
        <v>0.28732476493300002</v>
      </c>
      <c r="D14666">
        <v>0.98912487060300003</v>
      </c>
      <c r="E14666">
        <v>0.69565217391304301</v>
      </c>
    </row>
    <row r="14667" spans="1:5">
      <c r="A14667" t="s">
        <v>16948</v>
      </c>
      <c r="B14667" t="s">
        <v>16953</v>
      </c>
      <c r="C14667">
        <v>0</v>
      </c>
      <c r="D14667">
        <v>0.98912487060300003</v>
      </c>
      <c r="E14667">
        <v>0.69565217391304301</v>
      </c>
    </row>
    <row r="14668" spans="1:5">
      <c r="A14668" t="s">
        <v>16948</v>
      </c>
      <c r="B14668" t="s">
        <v>16954</v>
      </c>
      <c r="C14668">
        <f>0</f>
        <v>0</v>
      </c>
      <c r="D14668">
        <v>0.98912487060300003</v>
      </c>
      <c r="E14668">
        <v>0.69565217391304301</v>
      </c>
    </row>
    <row r="14669" spans="1:5">
      <c r="A14669" t="s">
        <v>16948</v>
      </c>
      <c r="B14669" t="s">
        <v>16955</v>
      </c>
      <c r="C14669">
        <f>0</f>
        <v>0</v>
      </c>
      <c r="D14669">
        <v>0.98912487060300003</v>
      </c>
      <c r="E14669">
        <v>0.69565217391304301</v>
      </c>
    </row>
    <row r="14670" spans="1:5">
      <c r="A14670" t="s">
        <v>16948</v>
      </c>
      <c r="B14670" t="s">
        <v>16956</v>
      </c>
      <c r="C14670">
        <f>0</f>
        <v>0</v>
      </c>
      <c r="D14670">
        <v>0.98912487060300003</v>
      </c>
      <c r="E14670">
        <v>0.69565217391304301</v>
      </c>
    </row>
    <row r="14671" spans="1:5">
      <c r="A14671" t="s">
        <v>16957</v>
      </c>
      <c r="B14671" t="s">
        <v>16958</v>
      </c>
      <c r="C14671">
        <f>0</f>
        <v>0</v>
      </c>
      <c r="D14671">
        <v>0.99601783495600005</v>
      </c>
      <c r="E14671">
        <v>6.0569715142428704</v>
      </c>
    </row>
    <row r="14672" spans="1:5">
      <c r="A14672" t="s">
        <v>16957</v>
      </c>
      <c r="B14672" t="s">
        <v>16959</v>
      </c>
      <c r="C14672">
        <f>0</f>
        <v>0</v>
      </c>
      <c r="D14672">
        <v>0.99601783495600005</v>
      </c>
      <c r="E14672">
        <v>6.0569715142428704</v>
      </c>
    </row>
    <row r="14673" spans="1:5">
      <c r="A14673" t="s">
        <v>16957</v>
      </c>
      <c r="B14673" t="s">
        <v>16960</v>
      </c>
      <c r="C14673">
        <f>0</f>
        <v>0</v>
      </c>
      <c r="D14673">
        <v>0.99601783495600005</v>
      </c>
      <c r="E14673">
        <v>6.0569715142428704</v>
      </c>
    </row>
    <row r="14674" spans="1:5">
      <c r="A14674" t="s">
        <v>16957</v>
      </c>
      <c r="B14674" t="s">
        <v>16961</v>
      </c>
      <c r="C14674">
        <f>0</f>
        <v>0</v>
      </c>
      <c r="D14674">
        <v>0.99601783495600005</v>
      </c>
      <c r="E14674">
        <v>6.0569715142428704</v>
      </c>
    </row>
    <row r="14675" spans="1:5">
      <c r="A14675" t="s">
        <v>16957</v>
      </c>
      <c r="B14675" t="s">
        <v>16962</v>
      </c>
      <c r="C14675">
        <f>0.00561493302261</f>
        <v>5.6149330226099997E-3</v>
      </c>
      <c r="D14675">
        <v>0.99601783495600005</v>
      </c>
      <c r="E14675">
        <v>6.0569715142428704</v>
      </c>
    </row>
    <row r="14676" spans="1:5">
      <c r="A14676" t="s">
        <v>16957</v>
      </c>
      <c r="B14676" t="s">
        <v>16963</v>
      </c>
      <c r="C14676">
        <v>0</v>
      </c>
      <c r="D14676">
        <v>0.99601783495600005</v>
      </c>
      <c r="E14676">
        <v>6.0569715142428704</v>
      </c>
    </row>
    <row r="14677" spans="1:5">
      <c r="A14677" t="s">
        <v>16964</v>
      </c>
      <c r="B14677" t="s">
        <v>16965</v>
      </c>
      <c r="C14677">
        <f>0.307815401654</f>
        <v>0.30781540165400001</v>
      </c>
      <c r="D14677">
        <v>0.89936828321700002</v>
      </c>
      <c r="E14677">
        <v>10.878560719640101</v>
      </c>
    </row>
    <row r="14678" spans="1:5">
      <c r="A14678" t="s">
        <v>16966</v>
      </c>
      <c r="B14678" t="s">
        <v>16967</v>
      </c>
      <c r="C14678">
        <v>0</v>
      </c>
      <c r="D14678">
        <v>0.98243093088400002</v>
      </c>
      <c r="E14678">
        <v>18.1349325337331</v>
      </c>
    </row>
    <row r="14679" spans="1:5">
      <c r="A14679" t="s">
        <v>16966</v>
      </c>
      <c r="B14679" t="s">
        <v>16968</v>
      </c>
      <c r="C14679">
        <v>0.19550029498800001</v>
      </c>
      <c r="D14679">
        <v>0.98243093088400002</v>
      </c>
      <c r="E14679">
        <v>18.1349325337331</v>
      </c>
    </row>
    <row r="14680" spans="1:5">
      <c r="A14680" t="s">
        <v>16966</v>
      </c>
      <c r="B14680" t="s">
        <v>16969</v>
      </c>
      <c r="C14680">
        <v>0</v>
      </c>
      <c r="D14680">
        <v>0.98243093088400002</v>
      </c>
      <c r="E14680">
        <v>18.1349325337331</v>
      </c>
    </row>
    <row r="14681" spans="1:5">
      <c r="A14681" t="s">
        <v>16966</v>
      </c>
      <c r="B14681" t="s">
        <v>16970</v>
      </c>
      <c r="C14681">
        <v>0</v>
      </c>
      <c r="D14681">
        <v>0.98243093088400002</v>
      </c>
      <c r="E14681">
        <v>18.1349325337331</v>
      </c>
    </row>
    <row r="14682" spans="1:5">
      <c r="A14682" t="s">
        <v>16966</v>
      </c>
      <c r="B14682" t="s">
        <v>16971</v>
      </c>
      <c r="C14682">
        <v>0</v>
      </c>
      <c r="D14682">
        <v>0.98243093088400002</v>
      </c>
      <c r="E14682">
        <v>18.1349325337331</v>
      </c>
    </row>
    <row r="14683" spans="1:5">
      <c r="A14683" t="s">
        <v>16966</v>
      </c>
      <c r="B14683" t="s">
        <v>16972</v>
      </c>
      <c r="C14683">
        <f>0</f>
        <v>0</v>
      </c>
      <c r="D14683">
        <v>0.98243093088400002</v>
      </c>
      <c r="E14683">
        <v>18.1349325337331</v>
      </c>
    </row>
    <row r="14684" spans="1:5">
      <c r="A14684" t="s">
        <v>16966</v>
      </c>
      <c r="B14684" t="s">
        <v>16973</v>
      </c>
      <c r="C14684">
        <v>8.3702285436099994E-3</v>
      </c>
      <c r="D14684">
        <v>0.98243093088400002</v>
      </c>
      <c r="E14684">
        <v>18.1349325337331</v>
      </c>
    </row>
    <row r="14685" spans="1:5">
      <c r="A14685" t="s">
        <v>16966</v>
      </c>
      <c r="B14685" t="s">
        <v>16974</v>
      </c>
      <c r="C14685">
        <v>0</v>
      </c>
      <c r="D14685">
        <v>0.98243093088400002</v>
      </c>
      <c r="E14685">
        <v>18.1349325337331</v>
      </c>
    </row>
    <row r="14686" spans="1:5">
      <c r="A14686" t="s">
        <v>16966</v>
      </c>
      <c r="B14686" t="s">
        <v>16975</v>
      </c>
      <c r="C14686">
        <v>0</v>
      </c>
      <c r="D14686">
        <v>0.98243093088400002</v>
      </c>
      <c r="E14686">
        <v>18.1349325337331</v>
      </c>
    </row>
    <row r="14687" spans="1:5">
      <c r="A14687" t="s">
        <v>16976</v>
      </c>
      <c r="B14687" t="s">
        <v>16977</v>
      </c>
      <c r="C14687">
        <v>0.32841880337099999</v>
      </c>
      <c r="D14687">
        <v>0.81735476216799996</v>
      </c>
      <c r="E14687">
        <v>11.370314842578701</v>
      </c>
    </row>
    <row r="14688" spans="1:5">
      <c r="A14688" t="s">
        <v>16978</v>
      </c>
      <c r="B14688" t="s">
        <v>16979</v>
      </c>
      <c r="C14688">
        <v>0</v>
      </c>
      <c r="D14688">
        <v>0.96628884371299995</v>
      </c>
      <c r="E14688">
        <v>2.96251874062968</v>
      </c>
    </row>
    <row r="14689" spans="1:5">
      <c r="A14689" t="s">
        <v>16978</v>
      </c>
      <c r="B14689" t="s">
        <v>16980</v>
      </c>
      <c r="C14689">
        <f>0</f>
        <v>0</v>
      </c>
      <c r="D14689">
        <v>0.96628884371299995</v>
      </c>
      <c r="E14689">
        <v>2.96251874062968</v>
      </c>
    </row>
    <row r="14690" spans="1:5">
      <c r="A14690" t="s">
        <v>16978</v>
      </c>
      <c r="B14690" t="s">
        <v>16981</v>
      </c>
      <c r="C14690">
        <v>0</v>
      </c>
      <c r="D14690">
        <v>0.96628884371299995</v>
      </c>
      <c r="E14690">
        <v>2.96251874062968</v>
      </c>
    </row>
    <row r="14691" spans="1:5">
      <c r="A14691" t="s">
        <v>16978</v>
      </c>
      <c r="B14691" t="s">
        <v>16982</v>
      </c>
      <c r="C14691">
        <f>0</f>
        <v>0</v>
      </c>
      <c r="D14691">
        <v>0.96628884371299995</v>
      </c>
      <c r="E14691">
        <v>2.96251874062968</v>
      </c>
    </row>
    <row r="14692" spans="1:5">
      <c r="A14692" t="s">
        <v>16978</v>
      </c>
      <c r="B14692" t="s">
        <v>16983</v>
      </c>
      <c r="C14692">
        <v>0</v>
      </c>
      <c r="D14692">
        <v>0.96628884371299995</v>
      </c>
      <c r="E14692">
        <v>2.96251874062968</v>
      </c>
    </row>
    <row r="14693" spans="1:5">
      <c r="A14693" t="s">
        <v>16978</v>
      </c>
      <c r="B14693" t="s">
        <v>16984</v>
      </c>
      <c r="C14693">
        <v>0</v>
      </c>
      <c r="D14693">
        <v>0.96628884371299995</v>
      </c>
      <c r="E14693">
        <v>2.96251874062968</v>
      </c>
    </row>
    <row r="14694" spans="1:5">
      <c r="A14694" t="s">
        <v>16978</v>
      </c>
      <c r="B14694" t="s">
        <v>16985</v>
      </c>
      <c r="C14694">
        <v>0</v>
      </c>
      <c r="D14694">
        <v>0.96628884371299995</v>
      </c>
      <c r="E14694">
        <v>2.96251874062968</v>
      </c>
    </row>
    <row r="14695" spans="1:5">
      <c r="A14695" t="s">
        <v>16978</v>
      </c>
      <c r="B14695" t="s">
        <v>16986</v>
      </c>
      <c r="C14695">
        <v>0.16405774251300001</v>
      </c>
      <c r="D14695">
        <v>0.96628884371299995</v>
      </c>
      <c r="E14695">
        <v>2.96251874062968</v>
      </c>
    </row>
    <row r="14696" spans="1:5">
      <c r="A14696" t="s">
        <v>16978</v>
      </c>
      <c r="B14696" t="s">
        <v>16987</v>
      </c>
      <c r="C14696">
        <v>0.122582732377</v>
      </c>
      <c r="D14696">
        <v>0.96628884371299995</v>
      </c>
      <c r="E14696">
        <v>2.96251874062968</v>
      </c>
    </row>
    <row r="14697" spans="1:5">
      <c r="A14697" t="s">
        <v>16978</v>
      </c>
      <c r="B14697" t="s">
        <v>16988</v>
      </c>
      <c r="C14697">
        <v>0</v>
      </c>
      <c r="D14697">
        <v>0.96628884371299995</v>
      </c>
      <c r="E14697">
        <v>2.96251874062968</v>
      </c>
    </row>
    <row r="14698" spans="1:5">
      <c r="A14698" t="s">
        <v>16978</v>
      </c>
      <c r="B14698" t="s">
        <v>16989</v>
      </c>
      <c r="C14698">
        <v>0</v>
      </c>
      <c r="D14698">
        <v>0.96628884371299995</v>
      </c>
      <c r="E14698">
        <v>2.96251874062968</v>
      </c>
    </row>
    <row r="14699" spans="1:5">
      <c r="A14699" t="s">
        <v>16990</v>
      </c>
      <c r="B14699" t="s">
        <v>16991</v>
      </c>
      <c r="C14699">
        <v>1.23889446249E-2</v>
      </c>
      <c r="D14699">
        <v>0.39284278057299998</v>
      </c>
      <c r="E14699">
        <v>5.5772113943028403</v>
      </c>
    </row>
    <row r="14700" spans="1:5">
      <c r="A14700" t="s">
        <v>16992</v>
      </c>
      <c r="B14700" t="s">
        <v>16993</v>
      </c>
      <c r="C14700">
        <v>0.322188595307</v>
      </c>
      <c r="D14700">
        <v>0.87334403256799997</v>
      </c>
      <c r="E14700">
        <v>10.230884557721099</v>
      </c>
    </row>
    <row r="14701" spans="1:5">
      <c r="A14701" t="s">
        <v>16992</v>
      </c>
      <c r="B14701" t="s">
        <v>16994</v>
      </c>
      <c r="C14701">
        <v>0.109441737883</v>
      </c>
      <c r="D14701">
        <v>0.87334403256799997</v>
      </c>
      <c r="E14701">
        <v>10.230884557721099</v>
      </c>
    </row>
    <row r="14702" spans="1:5">
      <c r="A14702" t="s">
        <v>16992</v>
      </c>
      <c r="B14702" t="s">
        <v>16995</v>
      </c>
      <c r="C14702">
        <f>0</f>
        <v>0</v>
      </c>
      <c r="D14702">
        <v>0.87334403256799997</v>
      </c>
      <c r="E14702">
        <v>10.230884557721099</v>
      </c>
    </row>
    <row r="14703" spans="1:5">
      <c r="A14703" t="s">
        <v>16992</v>
      </c>
      <c r="B14703" t="s">
        <v>16996</v>
      </c>
      <c r="C14703">
        <f>0</f>
        <v>0</v>
      </c>
      <c r="D14703">
        <v>0.87334403256799997</v>
      </c>
      <c r="E14703">
        <v>10.230884557721099</v>
      </c>
    </row>
    <row r="14704" spans="1:5">
      <c r="A14704" t="s">
        <v>16992</v>
      </c>
      <c r="B14704" t="s">
        <v>16997</v>
      </c>
      <c r="C14704">
        <v>0</v>
      </c>
      <c r="D14704">
        <v>0.87334403256799997</v>
      </c>
      <c r="E14704">
        <v>10.230884557721099</v>
      </c>
    </row>
    <row r="14705" spans="1:5">
      <c r="A14705" t="s">
        <v>16998</v>
      </c>
      <c r="B14705" t="s">
        <v>16999</v>
      </c>
      <c r="C14705">
        <v>0.17391827928</v>
      </c>
      <c r="D14705">
        <v>0.96539965934100003</v>
      </c>
      <c r="E14705">
        <v>19.1904047976012</v>
      </c>
    </row>
    <row r="14706" spans="1:5">
      <c r="A14706" t="s">
        <v>17000</v>
      </c>
      <c r="B14706" t="s">
        <v>17001</v>
      </c>
      <c r="C14706">
        <v>0</v>
      </c>
      <c r="D14706">
        <v>0.96407913257699995</v>
      </c>
      <c r="E14706">
        <v>11.8740629685157</v>
      </c>
    </row>
    <row r="14707" spans="1:5">
      <c r="A14707" t="s">
        <v>17000</v>
      </c>
      <c r="B14707" t="s">
        <v>17002</v>
      </c>
      <c r="C14707">
        <f>0</f>
        <v>0</v>
      </c>
      <c r="D14707">
        <v>0.96407913257699995</v>
      </c>
      <c r="E14707">
        <v>11.8740629685157</v>
      </c>
    </row>
    <row r="14708" spans="1:5">
      <c r="A14708" t="s">
        <v>17000</v>
      </c>
      <c r="B14708" t="s">
        <v>17003</v>
      </c>
      <c r="C14708">
        <f>0</f>
        <v>0</v>
      </c>
      <c r="D14708">
        <v>0.96407913257699995</v>
      </c>
      <c r="E14708">
        <v>11.8740629685157</v>
      </c>
    </row>
    <row r="14709" spans="1:5">
      <c r="A14709" t="s">
        <v>17000</v>
      </c>
      <c r="B14709" t="s">
        <v>17004</v>
      </c>
      <c r="C14709">
        <f>0</f>
        <v>0</v>
      </c>
      <c r="D14709">
        <v>0.96407913257699995</v>
      </c>
      <c r="E14709">
        <v>11.8740629685157</v>
      </c>
    </row>
    <row r="14710" spans="1:5">
      <c r="A14710" t="s">
        <v>17000</v>
      </c>
      <c r="B14710" t="s">
        <v>17005</v>
      </c>
      <c r="C14710">
        <v>9.7606917456900005E-2</v>
      </c>
      <c r="D14710">
        <v>0.96407913257699995</v>
      </c>
      <c r="E14710">
        <v>11.8740629685157</v>
      </c>
    </row>
    <row r="14711" spans="1:5">
      <c r="A14711" t="s">
        <v>17000</v>
      </c>
      <c r="B14711" t="s">
        <v>17006</v>
      </c>
      <c r="C14711">
        <v>0</v>
      </c>
      <c r="D14711">
        <v>0.96407913257699995</v>
      </c>
      <c r="E14711">
        <v>11.8740629685157</v>
      </c>
    </row>
    <row r="14712" spans="1:5">
      <c r="A14712" t="s">
        <v>17000</v>
      </c>
      <c r="B14712" t="s">
        <v>17007</v>
      </c>
      <c r="C14712">
        <v>0</v>
      </c>
      <c r="D14712">
        <v>0.96407913257699995</v>
      </c>
      <c r="E14712">
        <v>11.8740629685157</v>
      </c>
    </row>
    <row r="14713" spans="1:5">
      <c r="A14713" t="s">
        <v>17000</v>
      </c>
      <c r="B14713" t="s">
        <v>17008</v>
      </c>
      <c r="C14713">
        <f>0</f>
        <v>0</v>
      </c>
      <c r="D14713">
        <v>0.96407913257699995</v>
      </c>
      <c r="E14713">
        <v>11.8740629685157</v>
      </c>
    </row>
    <row r="14714" spans="1:5">
      <c r="A14714" t="s">
        <v>17000</v>
      </c>
      <c r="B14714" t="s">
        <v>17009</v>
      </c>
      <c r="C14714">
        <v>0</v>
      </c>
      <c r="D14714">
        <v>0.96407913257699995</v>
      </c>
      <c r="E14714">
        <v>11.8740629685157</v>
      </c>
    </row>
    <row r="14715" spans="1:5">
      <c r="A14715" t="s">
        <v>17000</v>
      </c>
      <c r="B14715" t="s">
        <v>17010</v>
      </c>
      <c r="C14715">
        <f>0</f>
        <v>0</v>
      </c>
      <c r="D14715">
        <v>0.96407913257699995</v>
      </c>
      <c r="E14715">
        <v>11.8740629685157</v>
      </c>
    </row>
    <row r="14716" spans="1:5">
      <c r="A14716" t="s">
        <v>17000</v>
      </c>
      <c r="B14716" t="s">
        <v>17011</v>
      </c>
      <c r="C14716">
        <v>0</v>
      </c>
      <c r="D14716">
        <v>0.96407913257699995</v>
      </c>
      <c r="E14716">
        <v>11.8740629685157</v>
      </c>
    </row>
    <row r="14717" spans="1:5">
      <c r="A14717" t="s">
        <v>17012</v>
      </c>
      <c r="B14717" t="s">
        <v>17013</v>
      </c>
      <c r="C14717">
        <f>0.169307343395</f>
        <v>0.169307343395</v>
      </c>
      <c r="D14717">
        <v>0.96856544312000004</v>
      </c>
      <c r="E14717">
        <v>0.95952023988005997</v>
      </c>
    </row>
    <row r="14718" spans="1:5">
      <c r="A14718" t="s">
        <v>17012</v>
      </c>
      <c r="B14718" t="s">
        <v>17014</v>
      </c>
      <c r="C14718">
        <v>0.31887094271299998</v>
      </c>
      <c r="D14718">
        <v>0.96856544312000004</v>
      </c>
      <c r="E14718">
        <v>0.95952023988005997</v>
      </c>
    </row>
    <row r="14719" spans="1:5">
      <c r="A14719" t="s">
        <v>17012</v>
      </c>
      <c r="B14719" t="s">
        <v>17015</v>
      </c>
      <c r="C14719">
        <v>0</v>
      </c>
      <c r="D14719">
        <v>0.96856544312000004</v>
      </c>
      <c r="E14719">
        <v>0.95952023988005997</v>
      </c>
    </row>
    <row r="14720" spans="1:5">
      <c r="A14720" t="s">
        <v>17016</v>
      </c>
      <c r="B14720" t="s">
        <v>17017</v>
      </c>
      <c r="C14720">
        <f>0</f>
        <v>0</v>
      </c>
      <c r="D14720">
        <v>0.88935622196800002</v>
      </c>
      <c r="E14720">
        <v>24</v>
      </c>
    </row>
    <row r="14721" spans="1:5">
      <c r="A14721" t="s">
        <v>17016</v>
      </c>
      <c r="B14721" t="s">
        <v>17018</v>
      </c>
      <c r="C14721">
        <f>0</f>
        <v>0</v>
      </c>
      <c r="D14721">
        <v>0.88935622196800002</v>
      </c>
      <c r="E14721">
        <v>24</v>
      </c>
    </row>
    <row r="14722" spans="1:5">
      <c r="A14722" t="s">
        <v>17016</v>
      </c>
      <c r="B14722" t="s">
        <v>17019</v>
      </c>
      <c r="C14722">
        <v>0</v>
      </c>
      <c r="D14722">
        <v>0.88935622196800002</v>
      </c>
      <c r="E14722">
        <v>24</v>
      </c>
    </row>
    <row r="14723" spans="1:5">
      <c r="A14723" t="s">
        <v>17016</v>
      </c>
      <c r="B14723" t="s">
        <v>17020</v>
      </c>
      <c r="C14723">
        <v>0</v>
      </c>
      <c r="D14723">
        <v>0.88935622196800002</v>
      </c>
      <c r="E14723">
        <v>24</v>
      </c>
    </row>
    <row r="14724" spans="1:5">
      <c r="A14724" t="s">
        <v>17016</v>
      </c>
      <c r="B14724" t="s">
        <v>17021</v>
      </c>
      <c r="C14724">
        <v>0</v>
      </c>
      <c r="D14724">
        <v>0.88935622196800002</v>
      </c>
      <c r="E14724">
        <v>24</v>
      </c>
    </row>
    <row r="14725" spans="1:5">
      <c r="A14725" t="s">
        <v>17016</v>
      </c>
      <c r="B14725" t="s">
        <v>17022</v>
      </c>
      <c r="C14725">
        <v>0</v>
      </c>
      <c r="D14725">
        <v>0.88935622196800002</v>
      </c>
      <c r="E14725">
        <v>24</v>
      </c>
    </row>
    <row r="14726" spans="1:5">
      <c r="A14726" t="s">
        <v>17016</v>
      </c>
      <c r="B14726" t="s">
        <v>17023</v>
      </c>
      <c r="C14726">
        <f>0</f>
        <v>0</v>
      </c>
      <c r="D14726">
        <v>0.88935622196800002</v>
      </c>
      <c r="E14726">
        <v>24</v>
      </c>
    </row>
    <row r="14727" spans="1:5">
      <c r="A14727" t="s">
        <v>17016</v>
      </c>
      <c r="B14727" t="s">
        <v>17024</v>
      </c>
      <c r="C14727">
        <v>0</v>
      </c>
      <c r="D14727">
        <v>0.88935622196800002</v>
      </c>
      <c r="E14727">
        <v>24</v>
      </c>
    </row>
    <row r="14728" spans="1:5">
      <c r="A14728" t="s">
        <v>17016</v>
      </c>
      <c r="B14728" t="s">
        <v>17025</v>
      </c>
      <c r="C14728">
        <f>0.0293720670087</f>
        <v>2.9372067008700001E-2</v>
      </c>
      <c r="D14728">
        <v>0.88935622196800002</v>
      </c>
      <c r="E14728">
        <v>24</v>
      </c>
    </row>
    <row r="14729" spans="1:5">
      <c r="A14729" t="s">
        <v>17026</v>
      </c>
      <c r="B14729" t="s">
        <v>17027</v>
      </c>
      <c r="C14729">
        <v>0.50606411828800002</v>
      </c>
      <c r="D14729">
        <v>0.79824389200300006</v>
      </c>
      <c r="E14729">
        <v>8.0119940029985006</v>
      </c>
    </row>
    <row r="14730" spans="1:5">
      <c r="A14730" t="s">
        <v>17028</v>
      </c>
      <c r="B14730" t="s">
        <v>17029</v>
      </c>
      <c r="C14730">
        <f>0</f>
        <v>0</v>
      </c>
      <c r="D14730">
        <v>0.43547212366799998</v>
      </c>
      <c r="E14730">
        <v>22.104947526236799</v>
      </c>
    </row>
    <row r="14731" spans="1:5">
      <c r="A14731" t="s">
        <v>17028</v>
      </c>
      <c r="B14731" t="s">
        <v>17030</v>
      </c>
      <c r="C14731">
        <f>0.0219040799648</f>
        <v>2.19040799648E-2</v>
      </c>
      <c r="D14731">
        <v>0.43547212366799998</v>
      </c>
      <c r="E14731">
        <v>22.104947526236799</v>
      </c>
    </row>
    <row r="14732" spans="1:5">
      <c r="A14732" t="s">
        <v>17028</v>
      </c>
      <c r="B14732" t="s">
        <v>17031</v>
      </c>
      <c r="C14732">
        <f>0.00179248120752</f>
        <v>1.7924812075199999E-3</v>
      </c>
      <c r="D14732">
        <v>0.43547212366799998</v>
      </c>
      <c r="E14732">
        <v>22.104947526236799</v>
      </c>
    </row>
    <row r="14733" spans="1:5">
      <c r="A14733" t="s">
        <v>17032</v>
      </c>
      <c r="B14733" t="s">
        <v>17033</v>
      </c>
      <c r="C14733">
        <f>0.0642712749743</f>
        <v>6.4271274974300005E-2</v>
      </c>
      <c r="D14733" t="s">
        <v>106</v>
      </c>
      <c r="E14733">
        <v>5.2413793103448203</v>
      </c>
    </row>
    <row r="14734" spans="1:5">
      <c r="A14734" t="s">
        <v>17032</v>
      </c>
      <c r="B14734" t="s">
        <v>17034</v>
      </c>
      <c r="C14734">
        <v>0</v>
      </c>
      <c r="D14734" t="s">
        <v>106</v>
      </c>
      <c r="E14734">
        <v>5.2413793103448203</v>
      </c>
    </row>
    <row r="14735" spans="1:5">
      <c r="A14735" t="s">
        <v>17032</v>
      </c>
      <c r="B14735" t="s">
        <v>17035</v>
      </c>
      <c r="C14735">
        <f>0</f>
        <v>0</v>
      </c>
      <c r="D14735" t="s">
        <v>106</v>
      </c>
      <c r="E14735">
        <v>5.2413793103448203</v>
      </c>
    </row>
    <row r="14736" spans="1:5">
      <c r="A14736" t="s">
        <v>17032</v>
      </c>
      <c r="B14736" t="s">
        <v>17036</v>
      </c>
      <c r="C14736">
        <f>0</f>
        <v>0</v>
      </c>
      <c r="D14736" t="s">
        <v>106</v>
      </c>
      <c r="E14736">
        <v>5.2413793103448203</v>
      </c>
    </row>
    <row r="14737" spans="1:5">
      <c r="A14737" t="s">
        <v>17037</v>
      </c>
      <c r="B14737" t="s">
        <v>17038</v>
      </c>
      <c r="C14737">
        <f>0.132822296499</f>
        <v>0.13282229649899999</v>
      </c>
      <c r="D14737">
        <v>0.98894976703199999</v>
      </c>
      <c r="E14737">
        <v>14.740629685157399</v>
      </c>
    </row>
    <row r="14738" spans="1:5">
      <c r="A14738" t="s">
        <v>17037</v>
      </c>
      <c r="B14738" t="s">
        <v>17039</v>
      </c>
      <c r="C14738">
        <v>8.6914708415500003E-2</v>
      </c>
      <c r="D14738">
        <v>0.98894976703199999</v>
      </c>
      <c r="E14738">
        <v>14.740629685157399</v>
      </c>
    </row>
    <row r="14739" spans="1:5">
      <c r="A14739" t="s">
        <v>17037</v>
      </c>
      <c r="B14739" t="s">
        <v>17040</v>
      </c>
      <c r="C14739">
        <v>0</v>
      </c>
      <c r="D14739">
        <v>0.98894976703199999</v>
      </c>
      <c r="E14739">
        <v>14.740629685157399</v>
      </c>
    </row>
    <row r="14740" spans="1:5">
      <c r="A14740" t="s">
        <v>17041</v>
      </c>
      <c r="B14740" t="s">
        <v>17042</v>
      </c>
      <c r="C14740">
        <v>0</v>
      </c>
      <c r="D14740" t="s">
        <v>106</v>
      </c>
      <c r="E14740">
        <v>21.637181409295302</v>
      </c>
    </row>
    <row r="14741" spans="1:5">
      <c r="A14741" t="s">
        <v>17043</v>
      </c>
      <c r="B14741" t="s">
        <v>17044</v>
      </c>
      <c r="C14741">
        <f>0</f>
        <v>0</v>
      </c>
      <c r="D14741" t="s">
        <v>106</v>
      </c>
      <c r="E14741">
        <v>5.5772113943028403</v>
      </c>
    </row>
    <row r="14742" spans="1:5">
      <c r="A14742" t="s">
        <v>17043</v>
      </c>
      <c r="B14742" t="s">
        <v>17045</v>
      </c>
      <c r="C14742">
        <v>0</v>
      </c>
      <c r="D14742" t="s">
        <v>106</v>
      </c>
      <c r="E14742">
        <v>5.5772113943028403</v>
      </c>
    </row>
    <row r="14743" spans="1:5">
      <c r="A14743" t="s">
        <v>17043</v>
      </c>
      <c r="B14743" t="s">
        <v>17046</v>
      </c>
      <c r="C14743">
        <v>0</v>
      </c>
      <c r="D14743" t="s">
        <v>106</v>
      </c>
      <c r="E14743">
        <v>5.5772113943028403</v>
      </c>
    </row>
    <row r="14744" spans="1:5">
      <c r="A14744" t="s">
        <v>17043</v>
      </c>
      <c r="B14744" t="s">
        <v>17047</v>
      </c>
      <c r="C14744">
        <v>0</v>
      </c>
      <c r="D14744" t="s">
        <v>106</v>
      </c>
      <c r="E14744">
        <v>5.5772113943028403</v>
      </c>
    </row>
    <row r="14745" spans="1:5">
      <c r="A14745" t="s">
        <v>17043</v>
      </c>
      <c r="B14745" t="s">
        <v>17048</v>
      </c>
      <c r="C14745">
        <v>0</v>
      </c>
      <c r="D14745" t="s">
        <v>106</v>
      </c>
      <c r="E14745">
        <v>5.5772113943028403</v>
      </c>
    </row>
    <row r="14746" spans="1:5">
      <c r="A14746" t="s">
        <v>17043</v>
      </c>
      <c r="B14746" t="s">
        <v>17049</v>
      </c>
      <c r="C14746">
        <f>0</f>
        <v>0</v>
      </c>
      <c r="D14746" t="s">
        <v>106</v>
      </c>
      <c r="E14746">
        <v>5.5772113943028403</v>
      </c>
    </row>
    <row r="14747" spans="1:5">
      <c r="A14747" t="s">
        <v>17050</v>
      </c>
      <c r="B14747" t="s">
        <v>17051</v>
      </c>
      <c r="C14747">
        <v>0</v>
      </c>
      <c r="D14747" t="s">
        <v>106</v>
      </c>
      <c r="E14747">
        <v>24</v>
      </c>
    </row>
    <row r="14748" spans="1:5">
      <c r="A14748" t="s">
        <v>17052</v>
      </c>
      <c r="B14748" t="s">
        <v>17053</v>
      </c>
      <c r="C14748">
        <v>0</v>
      </c>
      <c r="D14748" t="s">
        <v>106</v>
      </c>
      <c r="E14748">
        <v>6.8005997001499203</v>
      </c>
    </row>
    <row r="14749" spans="1:5">
      <c r="A14749" t="s">
        <v>17052</v>
      </c>
      <c r="B14749" t="s">
        <v>17054</v>
      </c>
      <c r="C14749">
        <v>0</v>
      </c>
      <c r="D14749" t="s">
        <v>106</v>
      </c>
      <c r="E14749">
        <v>6.8005997001499203</v>
      </c>
    </row>
    <row r="14750" spans="1:5">
      <c r="A14750" t="s">
        <v>17052</v>
      </c>
      <c r="B14750" t="s">
        <v>17055</v>
      </c>
      <c r="C14750">
        <v>0</v>
      </c>
      <c r="D14750" t="s">
        <v>106</v>
      </c>
      <c r="E14750">
        <v>6.8005997001499203</v>
      </c>
    </row>
    <row r="14751" spans="1:5">
      <c r="A14751" t="s">
        <v>17052</v>
      </c>
      <c r="B14751" t="s">
        <v>17056</v>
      </c>
      <c r="C14751">
        <v>0</v>
      </c>
      <c r="D14751" t="s">
        <v>106</v>
      </c>
      <c r="E14751">
        <v>6.8005997001499203</v>
      </c>
    </row>
    <row r="14752" spans="1:5">
      <c r="A14752" t="s">
        <v>17052</v>
      </c>
      <c r="B14752" t="s">
        <v>17057</v>
      </c>
      <c r="C14752">
        <v>0</v>
      </c>
      <c r="D14752" t="s">
        <v>106</v>
      </c>
      <c r="E14752">
        <v>6.8005997001499203</v>
      </c>
    </row>
    <row r="14753" spans="1:5">
      <c r="A14753" t="s">
        <v>17052</v>
      </c>
      <c r="B14753" t="s">
        <v>17058</v>
      </c>
      <c r="C14753">
        <f>0</f>
        <v>0</v>
      </c>
      <c r="D14753" t="s">
        <v>106</v>
      </c>
      <c r="E14753">
        <v>6.8005997001499203</v>
      </c>
    </row>
    <row r="14754" spans="1:5">
      <c r="A14754" t="s">
        <v>17052</v>
      </c>
      <c r="B14754" t="s">
        <v>17059</v>
      </c>
      <c r="C14754">
        <v>0</v>
      </c>
      <c r="D14754" t="s">
        <v>106</v>
      </c>
      <c r="E14754">
        <v>6.8005997001499203</v>
      </c>
    </row>
    <row r="14755" spans="1:5">
      <c r="A14755" t="s">
        <v>17052</v>
      </c>
      <c r="B14755" t="s">
        <v>17060</v>
      </c>
      <c r="C14755">
        <v>0</v>
      </c>
      <c r="D14755" t="s">
        <v>106</v>
      </c>
      <c r="E14755">
        <v>6.8005997001499203</v>
      </c>
    </row>
    <row r="14756" spans="1:5">
      <c r="A14756" t="s">
        <v>17061</v>
      </c>
      <c r="B14756" t="s">
        <v>17062</v>
      </c>
      <c r="C14756">
        <f>0.0486282275911</f>
        <v>4.8628227591099998E-2</v>
      </c>
      <c r="D14756">
        <v>0.86009045461199995</v>
      </c>
      <c r="E14756">
        <v>20.7376311844077</v>
      </c>
    </row>
    <row r="14757" spans="1:5">
      <c r="A14757" t="s">
        <v>17061</v>
      </c>
      <c r="B14757" t="s">
        <v>17063</v>
      </c>
      <c r="C14757">
        <v>0</v>
      </c>
      <c r="D14757">
        <v>0.86009045461199995</v>
      </c>
      <c r="E14757">
        <v>20.7376311844077</v>
      </c>
    </row>
    <row r="14758" spans="1:5">
      <c r="A14758" t="s">
        <v>17061</v>
      </c>
      <c r="B14758" t="s">
        <v>17064</v>
      </c>
      <c r="C14758">
        <v>0</v>
      </c>
      <c r="D14758">
        <v>0.86009045461199995</v>
      </c>
      <c r="E14758">
        <v>20.7376311844077</v>
      </c>
    </row>
    <row r="14759" spans="1:5">
      <c r="A14759" t="s">
        <v>17061</v>
      </c>
      <c r="B14759" t="s">
        <v>17065</v>
      </c>
      <c r="C14759">
        <v>0</v>
      </c>
      <c r="D14759">
        <v>0.86009045461199995</v>
      </c>
      <c r="E14759">
        <v>20.7376311844077</v>
      </c>
    </row>
    <row r="14760" spans="1:5">
      <c r="A14760" t="s">
        <v>17061</v>
      </c>
      <c r="B14760" t="s">
        <v>17066</v>
      </c>
      <c r="C14760">
        <f>0</f>
        <v>0</v>
      </c>
      <c r="D14760">
        <v>0.86009045461199995</v>
      </c>
      <c r="E14760">
        <v>20.7376311844077</v>
      </c>
    </row>
    <row r="14761" spans="1:5">
      <c r="A14761" t="s">
        <v>17061</v>
      </c>
      <c r="B14761" t="s">
        <v>17067</v>
      </c>
      <c r="C14761">
        <v>0</v>
      </c>
      <c r="D14761">
        <v>0.86009045461199995</v>
      </c>
      <c r="E14761">
        <v>20.7376311844077</v>
      </c>
    </row>
    <row r="14762" spans="1:5">
      <c r="A14762" t="s">
        <v>17061</v>
      </c>
      <c r="B14762" t="s">
        <v>17068</v>
      </c>
      <c r="C14762">
        <v>4.2317918764099996E-3</v>
      </c>
      <c r="D14762">
        <v>0.86009045461199995</v>
      </c>
      <c r="E14762">
        <v>20.7376311844077</v>
      </c>
    </row>
    <row r="14763" spans="1:5">
      <c r="A14763" t="s">
        <v>17061</v>
      </c>
      <c r="B14763" t="s">
        <v>17069</v>
      </c>
      <c r="C14763">
        <f>0</f>
        <v>0</v>
      </c>
      <c r="D14763">
        <v>0.86009045461199995</v>
      </c>
      <c r="E14763">
        <v>20.7376311844077</v>
      </c>
    </row>
    <row r="14764" spans="1:5">
      <c r="A14764" t="s">
        <v>17061</v>
      </c>
      <c r="B14764" t="s">
        <v>17070</v>
      </c>
      <c r="C14764">
        <f>0</f>
        <v>0</v>
      </c>
      <c r="D14764">
        <v>0.86009045461199995</v>
      </c>
      <c r="E14764">
        <v>20.7376311844077</v>
      </c>
    </row>
    <row r="14765" spans="1:5">
      <c r="A14765" t="s">
        <v>17061</v>
      </c>
      <c r="B14765" t="s">
        <v>17071</v>
      </c>
      <c r="C14765">
        <f>0</f>
        <v>0</v>
      </c>
      <c r="D14765">
        <v>0.86009045461199995</v>
      </c>
      <c r="E14765">
        <v>20.7376311844077</v>
      </c>
    </row>
    <row r="14766" spans="1:5">
      <c r="A14766" t="s">
        <v>17061</v>
      </c>
      <c r="B14766" t="s">
        <v>17072</v>
      </c>
      <c r="C14766">
        <f>0</f>
        <v>0</v>
      </c>
      <c r="D14766">
        <v>0.86009045461199995</v>
      </c>
      <c r="E14766">
        <v>20.7376311844077</v>
      </c>
    </row>
    <row r="14767" spans="1:5">
      <c r="A14767" t="s">
        <v>17073</v>
      </c>
      <c r="B14767" t="s">
        <v>17074</v>
      </c>
      <c r="C14767">
        <v>0.13449791061399999</v>
      </c>
      <c r="D14767">
        <v>0.99641188619800003</v>
      </c>
      <c r="E14767">
        <v>12.5577211394302</v>
      </c>
    </row>
    <row r="14768" spans="1:5">
      <c r="A14768" t="s">
        <v>17073</v>
      </c>
      <c r="B14768" t="s">
        <v>17075</v>
      </c>
      <c r="C14768">
        <v>0</v>
      </c>
      <c r="D14768">
        <v>0.99641188619800003</v>
      </c>
      <c r="E14768">
        <v>12.5577211394302</v>
      </c>
    </row>
    <row r="14769" spans="1:5">
      <c r="A14769" t="s">
        <v>17073</v>
      </c>
      <c r="B14769" t="s">
        <v>17076</v>
      </c>
      <c r="C14769">
        <v>0</v>
      </c>
      <c r="D14769">
        <v>0.99641188619800003</v>
      </c>
      <c r="E14769">
        <v>12.5577211394302</v>
      </c>
    </row>
    <row r="14770" spans="1:5">
      <c r="A14770" t="s">
        <v>17073</v>
      </c>
      <c r="B14770" t="s">
        <v>17077</v>
      </c>
      <c r="C14770">
        <f>0.0407514829587</f>
        <v>4.07514829587E-2</v>
      </c>
      <c r="D14770">
        <v>0.99641188619800003</v>
      </c>
      <c r="E14770">
        <v>12.5577211394302</v>
      </c>
    </row>
    <row r="14771" spans="1:5">
      <c r="A14771" t="s">
        <v>17073</v>
      </c>
      <c r="B14771" t="s">
        <v>17078</v>
      </c>
      <c r="C14771">
        <f>0</f>
        <v>0</v>
      </c>
      <c r="D14771">
        <v>0.99641188619800003</v>
      </c>
      <c r="E14771">
        <v>12.5577211394302</v>
      </c>
    </row>
    <row r="14772" spans="1:5">
      <c r="A14772" t="s">
        <v>17079</v>
      </c>
      <c r="B14772" t="s">
        <v>17080</v>
      </c>
      <c r="C14772">
        <v>0.100357923463</v>
      </c>
      <c r="D14772">
        <v>0.97429290875399999</v>
      </c>
      <c r="E14772">
        <v>10.230884557721099</v>
      </c>
    </row>
    <row r="14773" spans="1:5">
      <c r="A14773" t="s">
        <v>17079</v>
      </c>
      <c r="B14773" t="s">
        <v>17081</v>
      </c>
      <c r="C14773">
        <v>6.9649253763400004E-2</v>
      </c>
      <c r="D14773">
        <v>0.97429290875399999</v>
      </c>
      <c r="E14773">
        <v>10.230884557721099</v>
      </c>
    </row>
    <row r="14774" spans="1:5">
      <c r="A14774" t="s">
        <v>17079</v>
      </c>
      <c r="B14774" t="s">
        <v>17082</v>
      </c>
      <c r="C14774">
        <v>0</v>
      </c>
      <c r="D14774">
        <v>0.97429290875399999</v>
      </c>
      <c r="E14774">
        <v>10.230884557721099</v>
      </c>
    </row>
    <row r="14775" spans="1:5">
      <c r="A14775" t="s">
        <v>17083</v>
      </c>
      <c r="B14775" t="s">
        <v>17084</v>
      </c>
      <c r="C14775">
        <f>0</f>
        <v>0</v>
      </c>
      <c r="D14775" t="s">
        <v>106</v>
      </c>
      <c r="E14775">
        <v>5.5772113943028403</v>
      </c>
    </row>
    <row r="14776" spans="1:5">
      <c r="A14776" t="s">
        <v>17083</v>
      </c>
      <c r="B14776" t="s">
        <v>17085</v>
      </c>
      <c r="C14776">
        <f>0</f>
        <v>0</v>
      </c>
      <c r="D14776" t="s">
        <v>106</v>
      </c>
      <c r="E14776">
        <v>5.5772113943028403</v>
      </c>
    </row>
    <row r="14777" spans="1:5">
      <c r="A14777" t="s">
        <v>17083</v>
      </c>
      <c r="B14777" t="s">
        <v>17086</v>
      </c>
      <c r="C14777">
        <f>0</f>
        <v>0</v>
      </c>
      <c r="D14777" t="s">
        <v>106</v>
      </c>
      <c r="E14777">
        <v>5.5772113943028403</v>
      </c>
    </row>
    <row r="14778" spans="1:5">
      <c r="A14778" t="s">
        <v>17083</v>
      </c>
      <c r="B14778" t="s">
        <v>17087</v>
      </c>
      <c r="C14778">
        <v>0</v>
      </c>
      <c r="D14778" t="s">
        <v>106</v>
      </c>
      <c r="E14778">
        <v>5.5772113943028403</v>
      </c>
    </row>
    <row r="14779" spans="1:5">
      <c r="A14779" t="s">
        <v>17083</v>
      </c>
      <c r="B14779" t="s">
        <v>17088</v>
      </c>
      <c r="C14779">
        <v>0</v>
      </c>
      <c r="D14779" t="s">
        <v>106</v>
      </c>
      <c r="E14779">
        <v>5.5772113943028403</v>
      </c>
    </row>
    <row r="14780" spans="1:5">
      <c r="A14780" t="s">
        <v>17083</v>
      </c>
      <c r="B14780" t="s">
        <v>17089</v>
      </c>
      <c r="C14780">
        <v>0</v>
      </c>
      <c r="D14780" t="s">
        <v>106</v>
      </c>
      <c r="E14780">
        <v>5.5772113943028403</v>
      </c>
    </row>
    <row r="14781" spans="1:5">
      <c r="A14781" t="s">
        <v>17083</v>
      </c>
      <c r="B14781" t="s">
        <v>17090</v>
      </c>
      <c r="C14781">
        <v>0</v>
      </c>
      <c r="D14781" t="s">
        <v>106</v>
      </c>
      <c r="E14781">
        <v>5.5772113943028403</v>
      </c>
    </row>
    <row r="14782" spans="1:5">
      <c r="A14782" t="s">
        <v>17083</v>
      </c>
      <c r="B14782" t="s">
        <v>17091</v>
      </c>
      <c r="C14782">
        <f>0</f>
        <v>0</v>
      </c>
      <c r="D14782" t="s">
        <v>106</v>
      </c>
      <c r="E14782">
        <v>5.5772113943028403</v>
      </c>
    </row>
    <row r="14783" spans="1:5">
      <c r="A14783" t="s">
        <v>17083</v>
      </c>
      <c r="B14783" t="s">
        <v>17092</v>
      </c>
      <c r="C14783">
        <f>0</f>
        <v>0</v>
      </c>
      <c r="D14783" t="s">
        <v>106</v>
      </c>
      <c r="E14783">
        <v>5.5772113943028403</v>
      </c>
    </row>
    <row r="14784" spans="1:5">
      <c r="A14784" t="s">
        <v>17083</v>
      </c>
      <c r="B14784" t="s">
        <v>17093</v>
      </c>
      <c r="C14784">
        <v>0</v>
      </c>
      <c r="D14784" t="s">
        <v>106</v>
      </c>
      <c r="E14784">
        <v>5.5772113943028403</v>
      </c>
    </row>
    <row r="14785" spans="1:5">
      <c r="A14785" t="s">
        <v>17083</v>
      </c>
      <c r="B14785" t="s">
        <v>17094</v>
      </c>
      <c r="C14785">
        <f>0</f>
        <v>0</v>
      </c>
      <c r="D14785" t="s">
        <v>106</v>
      </c>
      <c r="E14785">
        <v>5.5772113943028403</v>
      </c>
    </row>
    <row r="14786" spans="1:5">
      <c r="A14786" t="s">
        <v>17083</v>
      </c>
      <c r="B14786" t="s">
        <v>17095</v>
      </c>
      <c r="C14786">
        <f>0</f>
        <v>0</v>
      </c>
      <c r="D14786" t="s">
        <v>106</v>
      </c>
      <c r="E14786">
        <v>5.5772113943028403</v>
      </c>
    </row>
    <row r="14787" spans="1:5">
      <c r="A14787" t="s">
        <v>17083</v>
      </c>
      <c r="B14787" t="s">
        <v>17096</v>
      </c>
      <c r="C14787">
        <v>0</v>
      </c>
      <c r="D14787" t="s">
        <v>106</v>
      </c>
      <c r="E14787">
        <v>5.5772113943028403</v>
      </c>
    </row>
    <row r="14788" spans="1:5">
      <c r="A14788" t="s">
        <v>17083</v>
      </c>
      <c r="B14788" t="s">
        <v>17097</v>
      </c>
      <c r="C14788">
        <v>0</v>
      </c>
      <c r="D14788" t="s">
        <v>106</v>
      </c>
      <c r="E14788">
        <v>5.5772113943028403</v>
      </c>
    </row>
    <row r="14789" spans="1:5">
      <c r="A14789" t="s">
        <v>17098</v>
      </c>
      <c r="B14789" t="s">
        <v>17099</v>
      </c>
      <c r="C14789">
        <v>0</v>
      </c>
      <c r="D14789" t="s">
        <v>106</v>
      </c>
      <c r="E14789">
        <v>21.8770614692653</v>
      </c>
    </row>
    <row r="14790" spans="1:5">
      <c r="A14790" t="s">
        <v>17100</v>
      </c>
      <c r="B14790" t="s">
        <v>17101</v>
      </c>
      <c r="C14790">
        <v>0.53241899781000002</v>
      </c>
      <c r="D14790">
        <v>0.80730376094699996</v>
      </c>
      <c r="E14790">
        <v>10.230884557721099</v>
      </c>
    </row>
    <row r="14791" spans="1:5">
      <c r="A14791" t="s">
        <v>17100</v>
      </c>
      <c r="B14791" t="s">
        <v>17102</v>
      </c>
      <c r="C14791">
        <v>0</v>
      </c>
      <c r="D14791">
        <v>0.80730376094699996</v>
      </c>
      <c r="E14791">
        <v>10.230884557721099</v>
      </c>
    </row>
    <row r="14792" spans="1:5">
      <c r="A14792" t="s">
        <v>17103</v>
      </c>
      <c r="B14792" t="s">
        <v>17104</v>
      </c>
      <c r="C14792">
        <v>0</v>
      </c>
      <c r="D14792">
        <v>0.98667384615800002</v>
      </c>
      <c r="E14792">
        <v>5.2413793103448203</v>
      </c>
    </row>
    <row r="14793" spans="1:5">
      <c r="A14793" t="s">
        <v>17103</v>
      </c>
      <c r="B14793" t="s">
        <v>17105</v>
      </c>
      <c r="C14793">
        <f>0</f>
        <v>0</v>
      </c>
      <c r="D14793">
        <v>0.98667384615800002</v>
      </c>
      <c r="E14793">
        <v>5.2413793103448203</v>
      </c>
    </row>
    <row r="14794" spans="1:5">
      <c r="A14794" t="s">
        <v>17103</v>
      </c>
      <c r="B14794" t="s">
        <v>17106</v>
      </c>
      <c r="C14794">
        <f>0</f>
        <v>0</v>
      </c>
      <c r="D14794">
        <v>0.98667384615800002</v>
      </c>
      <c r="E14794">
        <v>5.2413793103448203</v>
      </c>
    </row>
    <row r="14795" spans="1:5">
      <c r="A14795" t="s">
        <v>17103</v>
      </c>
      <c r="B14795" t="s">
        <v>17107</v>
      </c>
      <c r="C14795">
        <f>0</f>
        <v>0</v>
      </c>
      <c r="D14795">
        <v>0.98667384615800002</v>
      </c>
      <c r="E14795">
        <v>5.2413793103448203</v>
      </c>
    </row>
    <row r="14796" spans="1:5">
      <c r="A14796" t="s">
        <v>17103</v>
      </c>
      <c r="B14796" t="s">
        <v>17108</v>
      </c>
      <c r="C14796">
        <f>0</f>
        <v>0</v>
      </c>
      <c r="D14796">
        <v>0.98667384615800002</v>
      </c>
      <c r="E14796">
        <v>5.2413793103448203</v>
      </c>
    </row>
    <row r="14797" spans="1:5">
      <c r="A14797" t="s">
        <v>17103</v>
      </c>
      <c r="B14797" t="s">
        <v>17109</v>
      </c>
      <c r="C14797">
        <v>0</v>
      </c>
      <c r="D14797">
        <v>0.98667384615800002</v>
      </c>
      <c r="E14797">
        <v>5.2413793103448203</v>
      </c>
    </row>
    <row r="14798" spans="1:5">
      <c r="A14798" t="s">
        <v>17103</v>
      </c>
      <c r="B14798" t="s">
        <v>17110</v>
      </c>
      <c r="C14798">
        <f>0</f>
        <v>0</v>
      </c>
      <c r="D14798">
        <v>0.98667384615800002</v>
      </c>
      <c r="E14798">
        <v>5.2413793103448203</v>
      </c>
    </row>
    <row r="14799" spans="1:5">
      <c r="A14799" t="s">
        <v>17103</v>
      </c>
      <c r="B14799" t="s">
        <v>17111</v>
      </c>
      <c r="C14799">
        <v>0</v>
      </c>
      <c r="D14799">
        <v>0.98667384615800002</v>
      </c>
      <c r="E14799">
        <v>5.2413793103448203</v>
      </c>
    </row>
    <row r="14800" spans="1:5">
      <c r="A14800" t="s">
        <v>17103</v>
      </c>
      <c r="B14800" t="s">
        <v>17112</v>
      </c>
      <c r="C14800">
        <f>0</f>
        <v>0</v>
      </c>
      <c r="D14800">
        <v>0.98667384615800002</v>
      </c>
      <c r="E14800">
        <v>5.2413793103448203</v>
      </c>
    </row>
    <row r="14801" spans="1:5">
      <c r="A14801" t="s">
        <v>17103</v>
      </c>
      <c r="B14801" t="s">
        <v>17113</v>
      </c>
      <c r="C14801">
        <v>0.10922891223</v>
      </c>
      <c r="D14801">
        <v>0.98667384615800002</v>
      </c>
      <c r="E14801">
        <v>5.2413793103448203</v>
      </c>
    </row>
    <row r="14802" spans="1:5">
      <c r="A14802" t="s">
        <v>17103</v>
      </c>
      <c r="B14802" t="s">
        <v>17114</v>
      </c>
      <c r="C14802">
        <f>0</f>
        <v>0</v>
      </c>
      <c r="D14802">
        <v>0.98667384615800002</v>
      </c>
      <c r="E14802">
        <v>5.2413793103448203</v>
      </c>
    </row>
    <row r="14803" spans="1:5">
      <c r="A14803" t="s">
        <v>17115</v>
      </c>
      <c r="B14803" t="s">
        <v>17116</v>
      </c>
      <c r="C14803">
        <f>0</f>
        <v>0</v>
      </c>
      <c r="D14803">
        <v>0.90204384952899996</v>
      </c>
      <c r="E14803">
        <v>22.104947526236799</v>
      </c>
    </row>
    <row r="14804" spans="1:5">
      <c r="A14804" t="s">
        <v>17115</v>
      </c>
      <c r="B14804" t="s">
        <v>17117</v>
      </c>
      <c r="C14804">
        <v>5.51763604456E-3</v>
      </c>
      <c r="D14804">
        <v>0.90204384952899996</v>
      </c>
      <c r="E14804">
        <v>22.104947526236799</v>
      </c>
    </row>
    <row r="14805" spans="1:5">
      <c r="A14805" t="s">
        <v>17115</v>
      </c>
      <c r="B14805" t="s">
        <v>17118</v>
      </c>
      <c r="C14805">
        <f>0</f>
        <v>0</v>
      </c>
      <c r="D14805">
        <v>0.90204384952899996</v>
      </c>
      <c r="E14805">
        <v>22.104947526236799</v>
      </c>
    </row>
    <row r="14806" spans="1:5">
      <c r="A14806" t="s">
        <v>17119</v>
      </c>
      <c r="B14806" t="s">
        <v>17120</v>
      </c>
      <c r="C14806">
        <f>0</f>
        <v>0</v>
      </c>
      <c r="D14806">
        <v>0.99785439286300004</v>
      </c>
      <c r="E14806">
        <v>4.7976011994003001</v>
      </c>
    </row>
    <row r="14807" spans="1:5">
      <c r="A14807" t="s">
        <v>17119</v>
      </c>
      <c r="B14807" t="s">
        <v>17121</v>
      </c>
      <c r="C14807">
        <f>0</f>
        <v>0</v>
      </c>
      <c r="D14807">
        <v>0.99785439286300004</v>
      </c>
      <c r="E14807">
        <v>4.7976011994003001</v>
      </c>
    </row>
    <row r="14808" spans="1:5">
      <c r="A14808" t="s">
        <v>17119</v>
      </c>
      <c r="B14808" t="s">
        <v>17122</v>
      </c>
      <c r="C14808">
        <v>0</v>
      </c>
      <c r="D14808">
        <v>0.99785439286300004</v>
      </c>
      <c r="E14808">
        <v>4.7976011994003001</v>
      </c>
    </row>
    <row r="14809" spans="1:5">
      <c r="A14809" t="s">
        <v>17119</v>
      </c>
      <c r="B14809" t="s">
        <v>17123</v>
      </c>
      <c r="C14809">
        <f>0</f>
        <v>0</v>
      </c>
      <c r="D14809">
        <v>0.99785439286300004</v>
      </c>
      <c r="E14809">
        <v>4.7976011994003001</v>
      </c>
    </row>
    <row r="14810" spans="1:5">
      <c r="A14810" t="s">
        <v>17119</v>
      </c>
      <c r="B14810" t="s">
        <v>17124</v>
      </c>
      <c r="C14810">
        <f>0.0084624898696</f>
        <v>8.4624898695999998E-3</v>
      </c>
      <c r="D14810">
        <v>0.99785439286300004</v>
      </c>
      <c r="E14810">
        <v>4.7976011994003001</v>
      </c>
    </row>
    <row r="14811" spans="1:5">
      <c r="A14811" t="s">
        <v>17119</v>
      </c>
      <c r="B14811" t="s">
        <v>17125</v>
      </c>
      <c r="C14811">
        <f>0</f>
        <v>0</v>
      </c>
      <c r="D14811">
        <v>0.99785439286300004</v>
      </c>
      <c r="E14811">
        <v>4.7976011994003001</v>
      </c>
    </row>
    <row r="14812" spans="1:5">
      <c r="A14812" t="s">
        <v>17119</v>
      </c>
      <c r="B14812" t="s">
        <v>17126</v>
      </c>
      <c r="C14812">
        <v>0</v>
      </c>
      <c r="D14812">
        <v>0.99785439286300004</v>
      </c>
      <c r="E14812">
        <v>4.7976011994003001</v>
      </c>
    </row>
    <row r="14813" spans="1:5">
      <c r="A14813" t="s">
        <v>17119</v>
      </c>
      <c r="B14813" t="s">
        <v>17127</v>
      </c>
      <c r="C14813">
        <f>0</f>
        <v>0</v>
      </c>
      <c r="D14813">
        <v>0.99785439286300004</v>
      </c>
      <c r="E14813">
        <v>4.7976011994003001</v>
      </c>
    </row>
    <row r="14814" spans="1:5">
      <c r="A14814" t="s">
        <v>17119</v>
      </c>
      <c r="B14814" t="s">
        <v>17128</v>
      </c>
      <c r="C14814">
        <f>0.0566764889883</f>
        <v>5.6676488988300001E-2</v>
      </c>
      <c r="D14814">
        <v>0.99785439286300004</v>
      </c>
      <c r="E14814">
        <v>4.7976011994003001</v>
      </c>
    </row>
    <row r="14815" spans="1:5">
      <c r="A14815" t="s">
        <v>17119</v>
      </c>
      <c r="B14815" t="s">
        <v>17129</v>
      </c>
      <c r="C14815">
        <f>0</f>
        <v>0</v>
      </c>
      <c r="D14815">
        <v>0.99785439286300004</v>
      </c>
      <c r="E14815">
        <v>4.7976011994003001</v>
      </c>
    </row>
    <row r="14816" spans="1:5">
      <c r="A14816" t="s">
        <v>17119</v>
      </c>
      <c r="B14816" t="s">
        <v>17130</v>
      </c>
      <c r="C14816">
        <f>0</f>
        <v>0</v>
      </c>
      <c r="D14816">
        <v>0.99785439286300004</v>
      </c>
      <c r="E14816">
        <v>4.7976011994003001</v>
      </c>
    </row>
    <row r="14817" spans="1:5">
      <c r="A14817" t="s">
        <v>17119</v>
      </c>
      <c r="B14817" t="s">
        <v>17131</v>
      </c>
      <c r="C14817">
        <v>0</v>
      </c>
      <c r="D14817">
        <v>0.99785439286300004</v>
      </c>
      <c r="E14817">
        <v>4.7976011994003001</v>
      </c>
    </row>
    <row r="14818" spans="1:5">
      <c r="A14818" t="s">
        <v>17119</v>
      </c>
      <c r="B14818" t="s">
        <v>17132</v>
      </c>
      <c r="C14818">
        <f>0</f>
        <v>0</v>
      </c>
      <c r="D14818">
        <v>0.99785439286300004</v>
      </c>
      <c r="E14818">
        <v>4.7976011994003001</v>
      </c>
    </row>
    <row r="14819" spans="1:5">
      <c r="A14819" t="s">
        <v>17119</v>
      </c>
      <c r="B14819" t="s">
        <v>17133</v>
      </c>
      <c r="C14819">
        <f>0</f>
        <v>0</v>
      </c>
      <c r="D14819">
        <v>0.99785439286300004</v>
      </c>
      <c r="E14819">
        <v>4.7976011994003001</v>
      </c>
    </row>
    <row r="14820" spans="1:5">
      <c r="A14820" t="s">
        <v>17119</v>
      </c>
      <c r="B14820" t="s">
        <v>17134</v>
      </c>
      <c r="C14820">
        <f>0</f>
        <v>0</v>
      </c>
      <c r="D14820">
        <v>0.99785439286300004</v>
      </c>
      <c r="E14820">
        <v>4.7976011994003001</v>
      </c>
    </row>
    <row r="14821" spans="1:5">
      <c r="A14821" t="s">
        <v>17135</v>
      </c>
      <c r="B14821" t="s">
        <v>17136</v>
      </c>
      <c r="C14821">
        <v>0</v>
      </c>
      <c r="D14821" t="s">
        <v>106</v>
      </c>
      <c r="E14821">
        <v>12.5577211394302</v>
      </c>
    </row>
    <row r="14822" spans="1:5">
      <c r="A14822" t="s">
        <v>17135</v>
      </c>
      <c r="B14822" t="s">
        <v>17137</v>
      </c>
      <c r="C14822">
        <v>0</v>
      </c>
      <c r="D14822" t="s">
        <v>106</v>
      </c>
      <c r="E14822">
        <v>12.5577211394302</v>
      </c>
    </row>
    <row r="14823" spans="1:5">
      <c r="A14823" t="s">
        <v>17135</v>
      </c>
      <c r="B14823" t="s">
        <v>17138</v>
      </c>
      <c r="C14823">
        <v>0</v>
      </c>
      <c r="D14823" t="s">
        <v>106</v>
      </c>
      <c r="E14823">
        <v>12.5577211394302</v>
      </c>
    </row>
    <row r="14824" spans="1:5">
      <c r="A14824" t="s">
        <v>17135</v>
      </c>
      <c r="B14824" t="s">
        <v>17139</v>
      </c>
      <c r="C14824">
        <v>0</v>
      </c>
      <c r="D14824" t="s">
        <v>106</v>
      </c>
      <c r="E14824">
        <v>12.5577211394302</v>
      </c>
    </row>
    <row r="14825" spans="1:5">
      <c r="A14825" t="s">
        <v>17140</v>
      </c>
      <c r="B14825" t="s">
        <v>17141</v>
      </c>
      <c r="C14825">
        <v>0</v>
      </c>
      <c r="D14825">
        <v>0.458807249242</v>
      </c>
      <c r="E14825">
        <v>5.1214392803598203</v>
      </c>
    </row>
    <row r="14826" spans="1:5">
      <c r="A14826" t="s">
        <v>17140</v>
      </c>
      <c r="B14826" t="s">
        <v>17142</v>
      </c>
      <c r="C14826">
        <f>0</f>
        <v>0</v>
      </c>
      <c r="D14826">
        <v>0.458807249242</v>
      </c>
      <c r="E14826">
        <v>5.1214392803598203</v>
      </c>
    </row>
    <row r="14827" spans="1:5">
      <c r="A14827" t="s">
        <v>17140</v>
      </c>
      <c r="B14827" t="s">
        <v>17143</v>
      </c>
      <c r="C14827">
        <f>0</f>
        <v>0</v>
      </c>
      <c r="D14827">
        <v>0.458807249242</v>
      </c>
      <c r="E14827">
        <v>5.1214392803598203</v>
      </c>
    </row>
    <row r="14828" spans="1:5">
      <c r="A14828" t="s">
        <v>17140</v>
      </c>
      <c r="B14828" t="s">
        <v>17144</v>
      </c>
      <c r="C14828">
        <f>0.151127294513</f>
        <v>0.151127294513</v>
      </c>
      <c r="D14828">
        <v>0.458807249242</v>
      </c>
      <c r="E14828">
        <v>5.1214392803598203</v>
      </c>
    </row>
    <row r="14829" spans="1:5">
      <c r="A14829" t="s">
        <v>17145</v>
      </c>
      <c r="B14829" t="s">
        <v>17146</v>
      </c>
      <c r="C14829">
        <f>0</f>
        <v>0</v>
      </c>
      <c r="D14829">
        <v>0.892455250343</v>
      </c>
      <c r="E14829">
        <v>8.0119940029985006</v>
      </c>
    </row>
    <row r="14830" spans="1:5">
      <c r="A14830" t="s">
        <v>17145</v>
      </c>
      <c r="B14830" t="s">
        <v>17147</v>
      </c>
      <c r="C14830">
        <v>8.6817030658800004E-2</v>
      </c>
      <c r="D14830">
        <v>0.892455250343</v>
      </c>
      <c r="E14830">
        <v>8.0119940029985006</v>
      </c>
    </row>
    <row r="14831" spans="1:5">
      <c r="A14831" t="s">
        <v>17145</v>
      </c>
      <c r="B14831" t="s">
        <v>17148</v>
      </c>
      <c r="C14831">
        <f>0</f>
        <v>0</v>
      </c>
      <c r="D14831">
        <v>0.892455250343</v>
      </c>
      <c r="E14831">
        <v>8.0119940029985006</v>
      </c>
    </row>
    <row r="14832" spans="1:5">
      <c r="A14832" t="s">
        <v>17149</v>
      </c>
      <c r="B14832" t="s">
        <v>17150</v>
      </c>
      <c r="C14832">
        <v>0</v>
      </c>
      <c r="D14832" t="s">
        <v>106</v>
      </c>
      <c r="E14832">
        <v>0.95952023988005997</v>
      </c>
    </row>
    <row r="14833" spans="1:5">
      <c r="A14833" t="s">
        <v>17149</v>
      </c>
      <c r="B14833" t="s">
        <v>17151</v>
      </c>
      <c r="C14833">
        <f>0</f>
        <v>0</v>
      </c>
      <c r="D14833" t="s">
        <v>106</v>
      </c>
      <c r="E14833">
        <v>0.95952023988005997</v>
      </c>
    </row>
    <row r="14834" spans="1:5">
      <c r="A14834" t="s">
        <v>17149</v>
      </c>
      <c r="B14834" t="s">
        <v>17152</v>
      </c>
      <c r="C14834">
        <f>0</f>
        <v>0</v>
      </c>
      <c r="D14834" t="s">
        <v>106</v>
      </c>
      <c r="E14834">
        <v>0.95952023988005997</v>
      </c>
    </row>
    <row r="14835" spans="1:5">
      <c r="A14835" t="s">
        <v>17149</v>
      </c>
      <c r="B14835" t="s">
        <v>17153</v>
      </c>
      <c r="C14835">
        <v>0</v>
      </c>
      <c r="D14835" t="s">
        <v>106</v>
      </c>
      <c r="E14835">
        <v>0.95952023988005997</v>
      </c>
    </row>
    <row r="14836" spans="1:5">
      <c r="A14836" t="s">
        <v>17154</v>
      </c>
      <c r="B14836" t="s">
        <v>17155</v>
      </c>
      <c r="C14836">
        <f>0.269411983447</f>
        <v>0.26941198344700001</v>
      </c>
      <c r="D14836">
        <v>0.98493688214099995</v>
      </c>
      <c r="E14836">
        <v>0.40779610194902499</v>
      </c>
    </row>
    <row r="14837" spans="1:5">
      <c r="A14837" t="s">
        <v>17154</v>
      </c>
      <c r="B14837" t="s">
        <v>17156</v>
      </c>
      <c r="C14837">
        <v>0</v>
      </c>
      <c r="D14837">
        <v>0.98493688214099995</v>
      </c>
      <c r="E14837">
        <v>0.40779610194902499</v>
      </c>
    </row>
    <row r="14838" spans="1:5">
      <c r="A14838" t="s">
        <v>17154</v>
      </c>
      <c r="B14838" t="s">
        <v>17157</v>
      </c>
      <c r="C14838">
        <f>0</f>
        <v>0</v>
      </c>
      <c r="D14838">
        <v>0.98493688214099995</v>
      </c>
      <c r="E14838">
        <v>0.40779610194902499</v>
      </c>
    </row>
    <row r="14839" spans="1:5">
      <c r="A14839" t="s">
        <v>17154</v>
      </c>
      <c r="B14839" t="s">
        <v>17158</v>
      </c>
      <c r="C14839">
        <f>0</f>
        <v>0</v>
      </c>
      <c r="D14839">
        <v>0.98493688214099995</v>
      </c>
      <c r="E14839">
        <v>0.40779610194902499</v>
      </c>
    </row>
    <row r="14840" spans="1:5">
      <c r="A14840" t="s">
        <v>17154</v>
      </c>
      <c r="B14840" t="s">
        <v>17159</v>
      </c>
      <c r="C14840">
        <f>0</f>
        <v>0</v>
      </c>
      <c r="D14840">
        <v>0.98493688214099995</v>
      </c>
      <c r="E14840">
        <v>0.40779610194902499</v>
      </c>
    </row>
    <row r="14841" spans="1:5">
      <c r="A14841" t="s">
        <v>17154</v>
      </c>
      <c r="B14841" t="s">
        <v>17160</v>
      </c>
      <c r="C14841">
        <f>0</f>
        <v>0</v>
      </c>
      <c r="D14841">
        <v>0.98493688214099995</v>
      </c>
      <c r="E14841">
        <v>0.40779610194902499</v>
      </c>
    </row>
    <row r="14842" spans="1:5">
      <c r="A14842" t="s">
        <v>17154</v>
      </c>
      <c r="B14842" t="s">
        <v>17161</v>
      </c>
      <c r="C14842">
        <f>0</f>
        <v>0</v>
      </c>
      <c r="D14842">
        <v>0.98493688214099995</v>
      </c>
      <c r="E14842">
        <v>0.40779610194902499</v>
      </c>
    </row>
    <row r="14843" spans="1:5">
      <c r="A14843" t="s">
        <v>17154</v>
      </c>
      <c r="B14843" t="s">
        <v>17162</v>
      </c>
      <c r="C14843">
        <v>0</v>
      </c>
      <c r="D14843">
        <v>0.98493688214099995</v>
      </c>
      <c r="E14843">
        <v>0.40779610194902499</v>
      </c>
    </row>
    <row r="14844" spans="1:5">
      <c r="A14844" t="s">
        <v>17154</v>
      </c>
      <c r="B14844" t="s">
        <v>17163</v>
      </c>
      <c r="C14844">
        <f>0.508004377568</f>
        <v>0.50800437756799999</v>
      </c>
      <c r="D14844">
        <v>0.98493688214099995</v>
      </c>
      <c r="E14844">
        <v>0.40779610194902499</v>
      </c>
    </row>
    <row r="14845" spans="1:5">
      <c r="A14845" t="s">
        <v>17164</v>
      </c>
      <c r="B14845" t="s">
        <v>17165</v>
      </c>
      <c r="C14845">
        <v>0.28360884451899998</v>
      </c>
      <c r="D14845">
        <v>0.95597702073500002</v>
      </c>
      <c r="E14845">
        <v>14.3688155922038</v>
      </c>
    </row>
    <row r="14846" spans="1:5">
      <c r="A14846" t="s">
        <v>17164</v>
      </c>
      <c r="B14846" t="s">
        <v>17166</v>
      </c>
      <c r="C14846">
        <v>4.7181684888299998E-2</v>
      </c>
      <c r="D14846">
        <v>0.95597702073500002</v>
      </c>
      <c r="E14846">
        <v>14.3688155922038</v>
      </c>
    </row>
    <row r="14847" spans="1:5">
      <c r="A14847" t="s">
        <v>17167</v>
      </c>
      <c r="B14847" t="s">
        <v>17168</v>
      </c>
      <c r="C14847">
        <f>0</f>
        <v>0</v>
      </c>
      <c r="D14847">
        <v>0.97527148990000001</v>
      </c>
      <c r="E14847">
        <v>11.5382308845577</v>
      </c>
    </row>
    <row r="14848" spans="1:5">
      <c r="A14848" t="s">
        <v>17167</v>
      </c>
      <c r="B14848" t="s">
        <v>17169</v>
      </c>
      <c r="C14848">
        <v>0.16182330901399999</v>
      </c>
      <c r="D14848">
        <v>0.97527148990000001</v>
      </c>
      <c r="E14848">
        <v>11.5382308845577</v>
      </c>
    </row>
    <row r="14849" spans="1:5">
      <c r="A14849" t="s">
        <v>17167</v>
      </c>
      <c r="B14849" t="s">
        <v>17170</v>
      </c>
      <c r="C14849">
        <v>0</v>
      </c>
      <c r="D14849">
        <v>0.97527148990000001</v>
      </c>
      <c r="E14849">
        <v>11.5382308845577</v>
      </c>
    </row>
    <row r="14850" spans="1:5">
      <c r="A14850" t="s">
        <v>17167</v>
      </c>
      <c r="B14850" t="s">
        <v>17171</v>
      </c>
      <c r="C14850">
        <v>0</v>
      </c>
      <c r="D14850">
        <v>0.97527148990000001</v>
      </c>
      <c r="E14850">
        <v>11.5382308845577</v>
      </c>
    </row>
    <row r="14851" spans="1:5">
      <c r="A14851" t="s">
        <v>17167</v>
      </c>
      <c r="B14851" t="s">
        <v>17172</v>
      </c>
      <c r="C14851">
        <v>0</v>
      </c>
      <c r="D14851">
        <v>0.97527148990000001</v>
      </c>
      <c r="E14851">
        <v>11.5382308845577</v>
      </c>
    </row>
    <row r="14852" spans="1:5">
      <c r="A14852" t="s">
        <v>17167</v>
      </c>
      <c r="B14852" t="s">
        <v>17173</v>
      </c>
      <c r="C14852">
        <v>0</v>
      </c>
      <c r="D14852">
        <v>0.97527148990000001</v>
      </c>
      <c r="E14852">
        <v>11.5382308845577</v>
      </c>
    </row>
    <row r="14853" spans="1:5">
      <c r="A14853" t="s">
        <v>17167</v>
      </c>
      <c r="B14853" t="s">
        <v>17174</v>
      </c>
      <c r="C14853">
        <v>0</v>
      </c>
      <c r="D14853">
        <v>0.97527148990000001</v>
      </c>
      <c r="E14853">
        <v>11.5382308845577</v>
      </c>
    </row>
    <row r="14854" spans="1:5">
      <c r="A14854" t="s">
        <v>17167</v>
      </c>
      <c r="B14854" t="s">
        <v>17175</v>
      </c>
      <c r="C14854">
        <v>0</v>
      </c>
      <c r="D14854">
        <v>0.97527148990000001</v>
      </c>
      <c r="E14854">
        <v>11.5382308845577</v>
      </c>
    </row>
    <row r="14855" spans="1:5">
      <c r="A14855" t="s">
        <v>17167</v>
      </c>
      <c r="B14855" t="s">
        <v>17176</v>
      </c>
      <c r="C14855">
        <v>0</v>
      </c>
      <c r="D14855">
        <v>0.97527148990000001</v>
      </c>
      <c r="E14855">
        <v>11.5382308845577</v>
      </c>
    </row>
    <row r="14856" spans="1:5">
      <c r="A14856" t="s">
        <v>17167</v>
      </c>
      <c r="B14856" t="s">
        <v>17177</v>
      </c>
      <c r="C14856">
        <v>0</v>
      </c>
      <c r="D14856">
        <v>0.97527148990000001</v>
      </c>
      <c r="E14856">
        <v>11.5382308845577</v>
      </c>
    </row>
    <row r="14857" spans="1:5">
      <c r="A14857" t="s">
        <v>17167</v>
      </c>
      <c r="B14857" t="s">
        <v>17178</v>
      </c>
      <c r="C14857">
        <v>0</v>
      </c>
      <c r="D14857">
        <v>0.97527148990000001</v>
      </c>
      <c r="E14857">
        <v>11.5382308845577</v>
      </c>
    </row>
    <row r="14858" spans="1:5">
      <c r="A14858" t="s">
        <v>17167</v>
      </c>
      <c r="B14858" t="s">
        <v>17179</v>
      </c>
      <c r="C14858">
        <v>0</v>
      </c>
      <c r="D14858">
        <v>0.97527148990000001</v>
      </c>
      <c r="E14858">
        <v>11.5382308845577</v>
      </c>
    </row>
    <row r="14859" spans="1:5">
      <c r="A14859" t="s">
        <v>17167</v>
      </c>
      <c r="B14859" t="s">
        <v>17180</v>
      </c>
      <c r="C14859">
        <v>8.39681209682E-2</v>
      </c>
      <c r="D14859">
        <v>0.97527148990000001</v>
      </c>
      <c r="E14859">
        <v>11.5382308845577</v>
      </c>
    </row>
    <row r="14860" spans="1:5">
      <c r="A14860" t="s">
        <v>17181</v>
      </c>
      <c r="B14860" t="s">
        <v>17182</v>
      </c>
      <c r="C14860">
        <v>0.65661947101200002</v>
      </c>
      <c r="D14860">
        <v>0.94182515979600001</v>
      </c>
      <c r="E14860">
        <v>4.0659670164917499</v>
      </c>
    </row>
    <row r="14861" spans="1:5">
      <c r="A14861" t="s">
        <v>17183</v>
      </c>
      <c r="B14861" t="s">
        <v>17184</v>
      </c>
      <c r="C14861">
        <f>0</f>
        <v>0</v>
      </c>
      <c r="D14861" t="s">
        <v>106</v>
      </c>
      <c r="E14861">
        <v>22.800599700149899</v>
      </c>
    </row>
    <row r="14862" spans="1:5">
      <c r="A14862" t="s">
        <v>17183</v>
      </c>
      <c r="B14862" t="s">
        <v>17185</v>
      </c>
      <c r="C14862">
        <v>0</v>
      </c>
      <c r="D14862" t="s">
        <v>106</v>
      </c>
      <c r="E14862">
        <v>22.800599700149899</v>
      </c>
    </row>
    <row r="14863" spans="1:5">
      <c r="A14863" t="s">
        <v>17183</v>
      </c>
      <c r="B14863" t="s">
        <v>17186</v>
      </c>
      <c r="C14863">
        <v>4.7019887614599999E-2</v>
      </c>
      <c r="D14863" t="s">
        <v>106</v>
      </c>
      <c r="E14863">
        <v>22.800599700149899</v>
      </c>
    </row>
    <row r="14864" spans="1:5">
      <c r="A14864" t="s">
        <v>17183</v>
      </c>
      <c r="B14864" t="s">
        <v>17187</v>
      </c>
      <c r="C14864">
        <v>0</v>
      </c>
      <c r="D14864" t="s">
        <v>106</v>
      </c>
      <c r="E14864">
        <v>22.800599700149899</v>
      </c>
    </row>
    <row r="14865" spans="1:5">
      <c r="A14865" t="s">
        <v>17188</v>
      </c>
      <c r="B14865" t="s">
        <v>17189</v>
      </c>
      <c r="C14865">
        <v>0</v>
      </c>
      <c r="D14865">
        <v>0.93865535968199998</v>
      </c>
      <c r="E14865">
        <v>24</v>
      </c>
    </row>
    <row r="14866" spans="1:5">
      <c r="A14866" t="s">
        <v>17188</v>
      </c>
      <c r="B14866" t="s">
        <v>17190</v>
      </c>
      <c r="C14866">
        <v>8.1590394900200001E-3</v>
      </c>
      <c r="D14866">
        <v>0.93865535968199998</v>
      </c>
      <c r="E14866">
        <v>24</v>
      </c>
    </row>
    <row r="14867" spans="1:5">
      <c r="A14867" t="s">
        <v>17188</v>
      </c>
      <c r="B14867" t="s">
        <v>17191</v>
      </c>
      <c r="C14867">
        <v>9.5458750768300002E-2</v>
      </c>
      <c r="D14867">
        <v>0.93865535968199998</v>
      </c>
      <c r="E14867">
        <v>24</v>
      </c>
    </row>
    <row r="14868" spans="1:5">
      <c r="A14868" t="s">
        <v>17192</v>
      </c>
      <c r="B14868" t="s">
        <v>17193</v>
      </c>
      <c r="C14868">
        <v>0</v>
      </c>
      <c r="D14868" t="s">
        <v>106</v>
      </c>
      <c r="E14868">
        <v>4.2698650674662604</v>
      </c>
    </row>
    <row r="14869" spans="1:5">
      <c r="A14869" t="s">
        <v>17192</v>
      </c>
      <c r="B14869" t="s">
        <v>17194</v>
      </c>
      <c r="C14869">
        <v>0</v>
      </c>
      <c r="D14869" t="s">
        <v>106</v>
      </c>
      <c r="E14869">
        <v>4.2698650674662604</v>
      </c>
    </row>
    <row r="14870" spans="1:5">
      <c r="A14870" t="s">
        <v>17192</v>
      </c>
      <c r="B14870" t="s">
        <v>17195</v>
      </c>
      <c r="C14870">
        <f>0</f>
        <v>0</v>
      </c>
      <c r="D14870" t="s">
        <v>106</v>
      </c>
      <c r="E14870">
        <v>4.2698650674662604</v>
      </c>
    </row>
    <row r="14871" spans="1:5">
      <c r="A14871" t="s">
        <v>17192</v>
      </c>
      <c r="B14871" t="s">
        <v>17196</v>
      </c>
      <c r="C14871">
        <f>0</f>
        <v>0</v>
      </c>
      <c r="D14871" t="s">
        <v>106</v>
      </c>
      <c r="E14871">
        <v>4.2698650674662604</v>
      </c>
    </row>
    <row r="14872" spans="1:5">
      <c r="A14872" t="s">
        <v>17192</v>
      </c>
      <c r="B14872" t="s">
        <v>17197</v>
      </c>
      <c r="C14872">
        <f>0</f>
        <v>0</v>
      </c>
      <c r="D14872" t="s">
        <v>106</v>
      </c>
      <c r="E14872">
        <v>4.2698650674662604</v>
      </c>
    </row>
    <row r="14873" spans="1:5">
      <c r="A14873" t="s">
        <v>17192</v>
      </c>
      <c r="B14873" t="s">
        <v>17198</v>
      </c>
      <c r="C14873">
        <f>0</f>
        <v>0</v>
      </c>
      <c r="D14873" t="s">
        <v>106</v>
      </c>
      <c r="E14873">
        <v>4.2698650674662604</v>
      </c>
    </row>
    <row r="14874" spans="1:5">
      <c r="A14874" t="s">
        <v>17192</v>
      </c>
      <c r="B14874" t="s">
        <v>17199</v>
      </c>
      <c r="C14874">
        <f>0</f>
        <v>0</v>
      </c>
      <c r="D14874" t="s">
        <v>106</v>
      </c>
      <c r="E14874">
        <v>4.2698650674662604</v>
      </c>
    </row>
    <row r="14875" spans="1:5">
      <c r="A14875" t="s">
        <v>17192</v>
      </c>
      <c r="B14875" t="s">
        <v>17200</v>
      </c>
      <c r="C14875">
        <v>0</v>
      </c>
      <c r="D14875" t="s">
        <v>106</v>
      </c>
      <c r="E14875">
        <v>4.2698650674662604</v>
      </c>
    </row>
    <row r="14876" spans="1:5">
      <c r="A14876" t="s">
        <v>17192</v>
      </c>
      <c r="B14876" t="s">
        <v>17201</v>
      </c>
      <c r="C14876">
        <v>0</v>
      </c>
      <c r="D14876" t="s">
        <v>106</v>
      </c>
      <c r="E14876">
        <v>4.2698650674662604</v>
      </c>
    </row>
    <row r="14877" spans="1:5">
      <c r="A14877" t="s">
        <v>17192</v>
      </c>
      <c r="B14877" t="s">
        <v>17202</v>
      </c>
      <c r="C14877">
        <v>0</v>
      </c>
      <c r="D14877" t="s">
        <v>106</v>
      </c>
      <c r="E14877">
        <v>4.2698650674662604</v>
      </c>
    </row>
    <row r="14878" spans="1:5">
      <c r="A14878" t="s">
        <v>17192</v>
      </c>
      <c r="B14878" t="s">
        <v>17203</v>
      </c>
      <c r="C14878">
        <f>0</f>
        <v>0</v>
      </c>
      <c r="D14878" t="s">
        <v>106</v>
      </c>
      <c r="E14878">
        <v>4.2698650674662604</v>
      </c>
    </row>
    <row r="14879" spans="1:5">
      <c r="A14879" t="s">
        <v>17192</v>
      </c>
      <c r="B14879" t="s">
        <v>17204</v>
      </c>
      <c r="C14879">
        <v>0</v>
      </c>
      <c r="D14879" t="s">
        <v>106</v>
      </c>
      <c r="E14879">
        <v>4.2698650674662604</v>
      </c>
    </row>
    <row r="14880" spans="1:5">
      <c r="A14880" t="s">
        <v>17205</v>
      </c>
      <c r="B14880" t="s">
        <v>17206</v>
      </c>
      <c r="C14880">
        <f>0</f>
        <v>0</v>
      </c>
      <c r="D14880" t="s">
        <v>106</v>
      </c>
      <c r="E14880">
        <v>11.370314842578701</v>
      </c>
    </row>
    <row r="14881" spans="1:5">
      <c r="A14881" t="s">
        <v>17205</v>
      </c>
      <c r="B14881" t="s">
        <v>17207</v>
      </c>
      <c r="C14881">
        <f>0</f>
        <v>0</v>
      </c>
      <c r="D14881" t="s">
        <v>106</v>
      </c>
      <c r="E14881">
        <v>11.370314842578701</v>
      </c>
    </row>
    <row r="14882" spans="1:5">
      <c r="A14882" t="s">
        <v>17205</v>
      </c>
      <c r="B14882" t="s">
        <v>17208</v>
      </c>
      <c r="C14882">
        <v>0</v>
      </c>
      <c r="D14882" t="s">
        <v>106</v>
      </c>
      <c r="E14882">
        <v>11.370314842578701</v>
      </c>
    </row>
    <row r="14883" spans="1:5">
      <c r="A14883" t="s">
        <v>17205</v>
      </c>
      <c r="B14883" t="s">
        <v>17209</v>
      </c>
      <c r="C14883">
        <v>0</v>
      </c>
      <c r="D14883" t="s">
        <v>106</v>
      </c>
      <c r="E14883">
        <v>11.370314842578701</v>
      </c>
    </row>
    <row r="14884" spans="1:5">
      <c r="A14884" t="s">
        <v>17205</v>
      </c>
      <c r="B14884" t="s">
        <v>17210</v>
      </c>
      <c r="C14884">
        <v>0</v>
      </c>
      <c r="D14884" t="s">
        <v>106</v>
      </c>
      <c r="E14884">
        <v>11.370314842578701</v>
      </c>
    </row>
    <row r="14885" spans="1:5">
      <c r="A14885" t="s">
        <v>17205</v>
      </c>
      <c r="B14885" t="s">
        <v>17211</v>
      </c>
      <c r="C14885">
        <v>0</v>
      </c>
      <c r="D14885" t="s">
        <v>106</v>
      </c>
      <c r="E14885">
        <v>11.370314842578701</v>
      </c>
    </row>
    <row r="14886" spans="1:5">
      <c r="A14886" t="s">
        <v>17205</v>
      </c>
      <c r="B14886" t="s">
        <v>17212</v>
      </c>
      <c r="C14886">
        <f>0</f>
        <v>0</v>
      </c>
      <c r="D14886" t="s">
        <v>106</v>
      </c>
      <c r="E14886">
        <v>11.370314842578701</v>
      </c>
    </row>
    <row r="14887" spans="1:5">
      <c r="A14887" t="s">
        <v>17213</v>
      </c>
      <c r="B14887" t="s">
        <v>17214</v>
      </c>
      <c r="C14887">
        <f>0.159115320837</f>
        <v>0.159115320837</v>
      </c>
      <c r="D14887">
        <v>0.78229341000999997</v>
      </c>
      <c r="E14887">
        <v>1.6311844077961</v>
      </c>
    </row>
    <row r="14888" spans="1:5">
      <c r="A14888" t="s">
        <v>17213</v>
      </c>
      <c r="B14888" t="s">
        <v>17215</v>
      </c>
      <c r="C14888">
        <v>0</v>
      </c>
      <c r="D14888">
        <v>0.78229341000999997</v>
      </c>
      <c r="E14888">
        <v>1.6311844077961</v>
      </c>
    </row>
    <row r="14889" spans="1:5">
      <c r="A14889" t="s">
        <v>17213</v>
      </c>
      <c r="B14889" t="s">
        <v>17216</v>
      </c>
      <c r="C14889">
        <f>0.0908783703522</f>
        <v>9.0878370352200005E-2</v>
      </c>
      <c r="D14889">
        <v>0.78229341000999997</v>
      </c>
      <c r="E14889">
        <v>1.6311844077961</v>
      </c>
    </row>
    <row r="14890" spans="1:5">
      <c r="A14890" t="s">
        <v>17217</v>
      </c>
      <c r="B14890" t="s">
        <v>17218</v>
      </c>
      <c r="C14890">
        <f>0</f>
        <v>0</v>
      </c>
      <c r="D14890">
        <v>0.93642923986299997</v>
      </c>
      <c r="E14890">
        <v>0.40779610194902499</v>
      </c>
    </row>
    <row r="14891" spans="1:5">
      <c r="A14891" t="s">
        <v>17217</v>
      </c>
      <c r="B14891" t="s">
        <v>17219</v>
      </c>
      <c r="C14891">
        <v>0.28515177917899998</v>
      </c>
      <c r="D14891">
        <v>0.93642923986299997</v>
      </c>
      <c r="E14891">
        <v>0.40779610194902499</v>
      </c>
    </row>
    <row r="14892" spans="1:5">
      <c r="A14892" t="s">
        <v>17217</v>
      </c>
      <c r="B14892" t="s">
        <v>17220</v>
      </c>
      <c r="C14892">
        <f>0</f>
        <v>0</v>
      </c>
      <c r="D14892">
        <v>0.93642923986299997</v>
      </c>
      <c r="E14892">
        <v>0.40779610194902499</v>
      </c>
    </row>
    <row r="14893" spans="1:5">
      <c r="A14893" t="s">
        <v>17217</v>
      </c>
      <c r="B14893" t="s">
        <v>17221</v>
      </c>
      <c r="C14893">
        <v>0</v>
      </c>
      <c r="D14893">
        <v>0.93642923986299997</v>
      </c>
      <c r="E14893">
        <v>0.40779610194902499</v>
      </c>
    </row>
    <row r="14894" spans="1:5">
      <c r="A14894" t="s">
        <v>17217</v>
      </c>
      <c r="B14894" t="s">
        <v>17222</v>
      </c>
      <c r="C14894">
        <v>0</v>
      </c>
      <c r="D14894">
        <v>0.93642923986299997</v>
      </c>
      <c r="E14894">
        <v>0.40779610194902499</v>
      </c>
    </row>
    <row r="14895" spans="1:5">
      <c r="A14895" t="s">
        <v>17217</v>
      </c>
      <c r="B14895" t="s">
        <v>17223</v>
      </c>
      <c r="C14895">
        <v>0.44291683108500002</v>
      </c>
      <c r="D14895">
        <v>0.93642923986299997</v>
      </c>
      <c r="E14895">
        <v>0.40779610194902499</v>
      </c>
    </row>
    <row r="14896" spans="1:5">
      <c r="A14896" t="s">
        <v>17224</v>
      </c>
      <c r="B14896" t="s">
        <v>17225</v>
      </c>
      <c r="C14896">
        <f>0</f>
        <v>0</v>
      </c>
      <c r="D14896">
        <v>0.61706784805399995</v>
      </c>
      <c r="E14896">
        <v>2.4707646176911502</v>
      </c>
    </row>
    <row r="14897" spans="1:5">
      <c r="A14897" t="s">
        <v>17224</v>
      </c>
      <c r="B14897" t="s">
        <v>17226</v>
      </c>
      <c r="C14897">
        <f>0.0594187623665</f>
        <v>5.9418762366499997E-2</v>
      </c>
      <c r="D14897">
        <v>0.61706784805399995</v>
      </c>
      <c r="E14897">
        <v>2.4707646176911502</v>
      </c>
    </row>
    <row r="14898" spans="1:5">
      <c r="A14898" t="s">
        <v>17227</v>
      </c>
      <c r="B14898" t="s">
        <v>17228</v>
      </c>
      <c r="C14898">
        <f>0</f>
        <v>0</v>
      </c>
      <c r="D14898" t="s">
        <v>106</v>
      </c>
      <c r="E14898">
        <v>12.3898050974512</v>
      </c>
    </row>
    <row r="14899" spans="1:5">
      <c r="A14899" t="s">
        <v>17227</v>
      </c>
      <c r="B14899" t="s">
        <v>17229</v>
      </c>
      <c r="C14899">
        <v>0</v>
      </c>
      <c r="D14899" t="s">
        <v>106</v>
      </c>
      <c r="E14899">
        <v>12.3898050974512</v>
      </c>
    </row>
    <row r="14900" spans="1:5">
      <c r="A14900" t="s">
        <v>17227</v>
      </c>
      <c r="B14900" t="s">
        <v>17230</v>
      </c>
      <c r="C14900">
        <v>0</v>
      </c>
      <c r="D14900" t="s">
        <v>106</v>
      </c>
      <c r="E14900">
        <v>12.3898050974512</v>
      </c>
    </row>
    <row r="14901" spans="1:5">
      <c r="A14901" t="s">
        <v>17227</v>
      </c>
      <c r="B14901" t="s">
        <v>17231</v>
      </c>
      <c r="C14901">
        <f>0</f>
        <v>0</v>
      </c>
      <c r="D14901" t="s">
        <v>106</v>
      </c>
      <c r="E14901">
        <v>12.3898050974512</v>
      </c>
    </row>
    <row r="14902" spans="1:5">
      <c r="A14902" t="s">
        <v>17227</v>
      </c>
      <c r="B14902" t="s">
        <v>17232</v>
      </c>
      <c r="C14902">
        <v>0</v>
      </c>
      <c r="D14902" t="s">
        <v>106</v>
      </c>
      <c r="E14902">
        <v>12.3898050974512</v>
      </c>
    </row>
    <row r="14903" spans="1:5">
      <c r="A14903" t="s">
        <v>17227</v>
      </c>
      <c r="B14903" t="s">
        <v>17233</v>
      </c>
      <c r="C14903">
        <v>0</v>
      </c>
      <c r="D14903" t="s">
        <v>106</v>
      </c>
      <c r="E14903">
        <v>12.3898050974512</v>
      </c>
    </row>
    <row r="14904" spans="1:5">
      <c r="A14904" t="s">
        <v>17227</v>
      </c>
      <c r="B14904" t="s">
        <v>17234</v>
      </c>
      <c r="C14904">
        <f>0</f>
        <v>0</v>
      </c>
      <c r="D14904" t="s">
        <v>106</v>
      </c>
      <c r="E14904">
        <v>12.3898050974512</v>
      </c>
    </row>
    <row r="14905" spans="1:5">
      <c r="A14905" t="s">
        <v>17227</v>
      </c>
      <c r="B14905" t="s">
        <v>17235</v>
      </c>
      <c r="C14905">
        <f>0</f>
        <v>0</v>
      </c>
      <c r="D14905" t="s">
        <v>106</v>
      </c>
      <c r="E14905">
        <v>12.3898050974512</v>
      </c>
    </row>
    <row r="14906" spans="1:5">
      <c r="A14906" t="s">
        <v>17227</v>
      </c>
      <c r="B14906" t="s">
        <v>17236</v>
      </c>
      <c r="C14906">
        <v>0</v>
      </c>
      <c r="D14906" t="s">
        <v>106</v>
      </c>
      <c r="E14906">
        <v>12.3898050974512</v>
      </c>
    </row>
    <row r="14907" spans="1:5">
      <c r="A14907" t="s">
        <v>17227</v>
      </c>
      <c r="B14907" t="s">
        <v>17237</v>
      </c>
      <c r="C14907">
        <v>0</v>
      </c>
      <c r="D14907" t="s">
        <v>106</v>
      </c>
      <c r="E14907">
        <v>12.3898050974512</v>
      </c>
    </row>
    <row r="14908" spans="1:5">
      <c r="A14908" t="s">
        <v>17227</v>
      </c>
      <c r="B14908" t="s">
        <v>17238</v>
      </c>
      <c r="C14908">
        <f>0</f>
        <v>0</v>
      </c>
      <c r="D14908" t="s">
        <v>106</v>
      </c>
      <c r="E14908">
        <v>12.3898050974512</v>
      </c>
    </row>
    <row r="14909" spans="1:5">
      <c r="A14909" t="s">
        <v>17227</v>
      </c>
      <c r="B14909" t="s">
        <v>17239</v>
      </c>
      <c r="C14909">
        <f>0</f>
        <v>0</v>
      </c>
      <c r="D14909" t="s">
        <v>106</v>
      </c>
      <c r="E14909">
        <v>12.3898050974512</v>
      </c>
    </row>
    <row r="14910" spans="1:5">
      <c r="A14910" t="s">
        <v>17227</v>
      </c>
      <c r="B14910" t="s">
        <v>17240</v>
      </c>
      <c r="C14910">
        <f>0</f>
        <v>0</v>
      </c>
      <c r="D14910" t="s">
        <v>106</v>
      </c>
      <c r="E14910">
        <v>12.3898050974512</v>
      </c>
    </row>
    <row r="14911" spans="1:5">
      <c r="A14911" t="s">
        <v>17241</v>
      </c>
      <c r="B14911" t="s">
        <v>17242</v>
      </c>
      <c r="C14911">
        <f>0.105521455874</f>
        <v>0.105521455874</v>
      </c>
      <c r="D14911" t="s">
        <v>106</v>
      </c>
      <c r="E14911">
        <v>24</v>
      </c>
    </row>
    <row r="14912" spans="1:5">
      <c r="A14912" t="s">
        <v>17241</v>
      </c>
      <c r="B14912" t="s">
        <v>17243</v>
      </c>
      <c r="C14912">
        <f>0</f>
        <v>0</v>
      </c>
      <c r="D14912" t="s">
        <v>106</v>
      </c>
      <c r="E14912">
        <v>24</v>
      </c>
    </row>
    <row r="14913" spans="1:5">
      <c r="A14913" t="s">
        <v>17241</v>
      </c>
      <c r="B14913" t="s">
        <v>17244</v>
      </c>
      <c r="C14913">
        <v>0</v>
      </c>
      <c r="D14913" t="s">
        <v>106</v>
      </c>
      <c r="E14913">
        <v>24</v>
      </c>
    </row>
    <row r="14914" spans="1:5">
      <c r="A14914" t="s">
        <v>17241</v>
      </c>
      <c r="B14914" t="s">
        <v>17245</v>
      </c>
      <c r="C14914">
        <v>0</v>
      </c>
      <c r="D14914" t="s">
        <v>106</v>
      </c>
      <c r="E14914">
        <v>24</v>
      </c>
    </row>
    <row r="14915" spans="1:5">
      <c r="A14915" t="s">
        <v>17246</v>
      </c>
      <c r="B14915" t="s">
        <v>17247</v>
      </c>
      <c r="C14915">
        <v>0</v>
      </c>
      <c r="D14915" t="s">
        <v>106</v>
      </c>
      <c r="E14915">
        <v>6.0569715142428704</v>
      </c>
    </row>
    <row r="14916" spans="1:5">
      <c r="A14916" t="s">
        <v>17246</v>
      </c>
      <c r="B14916" t="s">
        <v>17248</v>
      </c>
      <c r="C14916">
        <f>0</f>
        <v>0</v>
      </c>
      <c r="D14916" t="s">
        <v>106</v>
      </c>
      <c r="E14916">
        <v>6.0569715142428704</v>
      </c>
    </row>
    <row r="14917" spans="1:5">
      <c r="A14917" t="s">
        <v>17249</v>
      </c>
      <c r="B14917" t="s">
        <v>17250</v>
      </c>
      <c r="C14917">
        <v>0</v>
      </c>
      <c r="D14917" t="s">
        <v>106</v>
      </c>
      <c r="E14917">
        <v>5.3493253373313303</v>
      </c>
    </row>
    <row r="14918" spans="1:5">
      <c r="A14918" t="s">
        <v>17249</v>
      </c>
      <c r="B14918" t="s">
        <v>17251</v>
      </c>
      <c r="C14918">
        <f>0</f>
        <v>0</v>
      </c>
      <c r="D14918" t="s">
        <v>106</v>
      </c>
      <c r="E14918">
        <v>5.3493253373313303</v>
      </c>
    </row>
    <row r="14919" spans="1:5">
      <c r="A14919" t="s">
        <v>17249</v>
      </c>
      <c r="B14919" t="s">
        <v>17252</v>
      </c>
      <c r="C14919">
        <v>0</v>
      </c>
      <c r="D14919" t="s">
        <v>106</v>
      </c>
      <c r="E14919">
        <v>5.3493253373313303</v>
      </c>
    </row>
    <row r="14920" spans="1:5">
      <c r="A14920" t="s">
        <v>17249</v>
      </c>
      <c r="B14920" t="s">
        <v>17253</v>
      </c>
      <c r="C14920">
        <f>0</f>
        <v>0</v>
      </c>
      <c r="D14920" t="s">
        <v>106</v>
      </c>
      <c r="E14920">
        <v>5.3493253373313303</v>
      </c>
    </row>
    <row r="14921" spans="1:5">
      <c r="A14921" t="s">
        <v>17249</v>
      </c>
      <c r="B14921" t="s">
        <v>17254</v>
      </c>
      <c r="C14921">
        <v>0</v>
      </c>
      <c r="D14921" t="s">
        <v>106</v>
      </c>
      <c r="E14921">
        <v>5.3493253373313303</v>
      </c>
    </row>
    <row r="14922" spans="1:5">
      <c r="A14922" t="s">
        <v>17249</v>
      </c>
      <c r="B14922" t="s">
        <v>17255</v>
      </c>
      <c r="C14922">
        <f>0</f>
        <v>0</v>
      </c>
      <c r="D14922" t="s">
        <v>106</v>
      </c>
      <c r="E14922">
        <v>5.3493253373313303</v>
      </c>
    </row>
    <row r="14923" spans="1:5">
      <c r="A14923" t="s">
        <v>17249</v>
      </c>
      <c r="B14923" t="s">
        <v>17256</v>
      </c>
      <c r="C14923">
        <f>0</f>
        <v>0</v>
      </c>
      <c r="D14923" t="s">
        <v>106</v>
      </c>
      <c r="E14923">
        <v>5.3493253373313303</v>
      </c>
    </row>
    <row r="14924" spans="1:5">
      <c r="A14924" t="s">
        <v>17249</v>
      </c>
      <c r="B14924" t="s">
        <v>17257</v>
      </c>
      <c r="C14924">
        <f>0</f>
        <v>0</v>
      </c>
      <c r="D14924" t="s">
        <v>106</v>
      </c>
      <c r="E14924">
        <v>5.3493253373313303</v>
      </c>
    </row>
    <row r="14925" spans="1:5">
      <c r="A14925" t="s">
        <v>17249</v>
      </c>
      <c r="B14925" t="s">
        <v>17258</v>
      </c>
      <c r="C14925">
        <f>0</f>
        <v>0</v>
      </c>
      <c r="D14925" t="s">
        <v>106</v>
      </c>
      <c r="E14925">
        <v>5.3493253373313303</v>
      </c>
    </row>
    <row r="14926" spans="1:5">
      <c r="A14926" t="s">
        <v>17249</v>
      </c>
      <c r="B14926" t="s">
        <v>17259</v>
      </c>
      <c r="C14926">
        <v>0</v>
      </c>
      <c r="D14926" t="s">
        <v>106</v>
      </c>
      <c r="E14926">
        <v>5.3493253373313303</v>
      </c>
    </row>
    <row r="14927" spans="1:5">
      <c r="A14927" t="s">
        <v>17249</v>
      </c>
      <c r="B14927" t="s">
        <v>17260</v>
      </c>
      <c r="C14927">
        <v>0</v>
      </c>
      <c r="D14927" t="s">
        <v>106</v>
      </c>
      <c r="E14927">
        <v>5.3493253373313303</v>
      </c>
    </row>
    <row r="14928" spans="1:5">
      <c r="A14928" t="s">
        <v>17261</v>
      </c>
      <c r="B14928" t="s">
        <v>17262</v>
      </c>
      <c r="C14928">
        <f>0</f>
        <v>0</v>
      </c>
      <c r="D14928" t="s">
        <v>106</v>
      </c>
      <c r="E14928">
        <v>5.9970014992503699E-2</v>
      </c>
    </row>
    <row r="14929" spans="1:5">
      <c r="A14929" t="s">
        <v>17261</v>
      </c>
      <c r="B14929" t="s">
        <v>17263</v>
      </c>
      <c r="C14929">
        <f>0</f>
        <v>0</v>
      </c>
      <c r="D14929" t="s">
        <v>106</v>
      </c>
      <c r="E14929">
        <v>5.9970014992503699E-2</v>
      </c>
    </row>
    <row r="14930" spans="1:5">
      <c r="A14930" t="s">
        <v>17261</v>
      </c>
      <c r="B14930" t="s">
        <v>17264</v>
      </c>
      <c r="C14930">
        <v>0</v>
      </c>
      <c r="D14930" t="s">
        <v>106</v>
      </c>
      <c r="E14930">
        <v>5.9970014992503699E-2</v>
      </c>
    </row>
    <row r="14931" spans="1:5">
      <c r="A14931" t="s">
        <v>17261</v>
      </c>
      <c r="B14931" t="s">
        <v>17265</v>
      </c>
      <c r="C14931">
        <v>0</v>
      </c>
      <c r="D14931" t="s">
        <v>106</v>
      </c>
      <c r="E14931">
        <v>5.9970014992503699E-2</v>
      </c>
    </row>
    <row r="14932" spans="1:5">
      <c r="A14932" t="s">
        <v>17261</v>
      </c>
      <c r="B14932" t="s">
        <v>17266</v>
      </c>
      <c r="C14932">
        <f>0</f>
        <v>0</v>
      </c>
      <c r="D14932" t="s">
        <v>106</v>
      </c>
      <c r="E14932">
        <v>5.9970014992503699E-2</v>
      </c>
    </row>
    <row r="14933" spans="1:5">
      <c r="A14933" t="s">
        <v>17261</v>
      </c>
      <c r="B14933" t="s">
        <v>17267</v>
      </c>
      <c r="C14933">
        <f>0</f>
        <v>0</v>
      </c>
      <c r="D14933" t="s">
        <v>106</v>
      </c>
      <c r="E14933">
        <v>5.9970014992503699E-2</v>
      </c>
    </row>
    <row r="14934" spans="1:5">
      <c r="A14934" t="s">
        <v>17261</v>
      </c>
      <c r="B14934" t="s">
        <v>17268</v>
      </c>
      <c r="C14934">
        <f>0</f>
        <v>0</v>
      </c>
      <c r="D14934" t="s">
        <v>106</v>
      </c>
      <c r="E14934">
        <v>5.9970014992503699E-2</v>
      </c>
    </row>
    <row r="14935" spans="1:5">
      <c r="A14935" t="s">
        <v>17269</v>
      </c>
      <c r="B14935" t="s">
        <v>17270</v>
      </c>
      <c r="C14935">
        <v>0</v>
      </c>
      <c r="D14935" t="s">
        <v>106</v>
      </c>
      <c r="E14935">
        <v>2.0989505247376301</v>
      </c>
    </row>
    <row r="14936" spans="1:5">
      <c r="A14936" t="s">
        <v>17269</v>
      </c>
      <c r="B14936" t="s">
        <v>17271</v>
      </c>
      <c r="C14936">
        <v>0</v>
      </c>
      <c r="D14936" t="s">
        <v>106</v>
      </c>
      <c r="E14936">
        <v>2.0989505247376301</v>
      </c>
    </row>
    <row r="14937" spans="1:5">
      <c r="A14937" t="s">
        <v>17272</v>
      </c>
      <c r="B14937" t="s">
        <v>17273</v>
      </c>
      <c r="C14937">
        <f>0</f>
        <v>0</v>
      </c>
      <c r="D14937">
        <v>0.66243432166000005</v>
      </c>
      <c r="E14937">
        <v>1.2713643178410701</v>
      </c>
    </row>
    <row r="14938" spans="1:5">
      <c r="A14938" t="s">
        <v>17272</v>
      </c>
      <c r="B14938" t="s">
        <v>17274</v>
      </c>
      <c r="C14938">
        <f>0</f>
        <v>0</v>
      </c>
      <c r="D14938">
        <v>0.66243432166000005</v>
      </c>
      <c r="E14938">
        <v>1.2713643178410701</v>
      </c>
    </row>
    <row r="14939" spans="1:5">
      <c r="A14939" t="s">
        <v>17272</v>
      </c>
      <c r="B14939" t="s">
        <v>17275</v>
      </c>
      <c r="C14939">
        <f>0</f>
        <v>0</v>
      </c>
      <c r="D14939">
        <v>0.66243432166000005</v>
      </c>
      <c r="E14939">
        <v>1.2713643178410701</v>
      </c>
    </row>
    <row r="14940" spans="1:5">
      <c r="A14940" t="s">
        <v>17272</v>
      </c>
      <c r="B14940" t="s">
        <v>17276</v>
      </c>
      <c r="C14940">
        <v>0</v>
      </c>
      <c r="D14940">
        <v>0.66243432166000005</v>
      </c>
      <c r="E14940">
        <v>1.2713643178410701</v>
      </c>
    </row>
    <row r="14941" spans="1:5">
      <c r="A14941" t="s">
        <v>17272</v>
      </c>
      <c r="B14941" t="s">
        <v>17277</v>
      </c>
      <c r="C14941">
        <f>0.0423428321542</f>
        <v>4.2342832154199997E-2</v>
      </c>
      <c r="D14941">
        <v>0.66243432166000005</v>
      </c>
      <c r="E14941">
        <v>1.2713643178410701</v>
      </c>
    </row>
    <row r="14942" spans="1:5">
      <c r="A14942" t="s">
        <v>17278</v>
      </c>
      <c r="B14942" t="s">
        <v>17279</v>
      </c>
      <c r="C14942">
        <v>0.40157612852699998</v>
      </c>
      <c r="D14942">
        <v>0.99626633786899998</v>
      </c>
      <c r="E14942">
        <v>12.7376311844077</v>
      </c>
    </row>
    <row r="14943" spans="1:5">
      <c r="A14943" t="s">
        <v>17278</v>
      </c>
      <c r="B14943" t="s">
        <v>17280</v>
      </c>
      <c r="C14943">
        <v>0</v>
      </c>
      <c r="D14943">
        <v>0.99626633786899998</v>
      </c>
      <c r="E14943">
        <v>12.7376311844077</v>
      </c>
    </row>
    <row r="14944" spans="1:5">
      <c r="A14944" t="s">
        <v>17278</v>
      </c>
      <c r="B14944" t="s">
        <v>17281</v>
      </c>
      <c r="C14944">
        <v>0</v>
      </c>
      <c r="D14944">
        <v>0.99626633786899998</v>
      </c>
      <c r="E14944">
        <v>12.7376311844077</v>
      </c>
    </row>
    <row r="14945" spans="1:5">
      <c r="A14945" t="s">
        <v>17278</v>
      </c>
      <c r="B14945" t="s">
        <v>17282</v>
      </c>
      <c r="C14945">
        <v>0</v>
      </c>
      <c r="D14945">
        <v>0.99626633786899998</v>
      </c>
      <c r="E14945">
        <v>12.7376311844077</v>
      </c>
    </row>
    <row r="14946" spans="1:5">
      <c r="A14946" t="s">
        <v>17278</v>
      </c>
      <c r="B14946" t="s">
        <v>17283</v>
      </c>
      <c r="C14946">
        <v>0</v>
      </c>
      <c r="D14946">
        <v>0.99626633786899998</v>
      </c>
      <c r="E14946">
        <v>12.7376311844077</v>
      </c>
    </row>
    <row r="14947" spans="1:5">
      <c r="A14947" t="s">
        <v>17278</v>
      </c>
      <c r="B14947" t="s">
        <v>17284</v>
      </c>
      <c r="C14947">
        <v>1.8614776449399999E-2</v>
      </c>
      <c r="D14947">
        <v>0.99626633786899998</v>
      </c>
      <c r="E14947">
        <v>12.7376311844077</v>
      </c>
    </row>
    <row r="14948" spans="1:5">
      <c r="A14948" t="s">
        <v>17278</v>
      </c>
      <c r="B14948" t="s">
        <v>17285</v>
      </c>
      <c r="C14948">
        <f>0</f>
        <v>0</v>
      </c>
      <c r="D14948">
        <v>0.99626633786899998</v>
      </c>
      <c r="E14948">
        <v>12.7376311844077</v>
      </c>
    </row>
    <row r="14949" spans="1:5">
      <c r="A14949" t="s">
        <v>17286</v>
      </c>
      <c r="B14949" t="s">
        <v>17287</v>
      </c>
      <c r="C14949">
        <f>0</f>
        <v>0</v>
      </c>
      <c r="D14949">
        <v>0.89890632362900003</v>
      </c>
      <c r="E14949">
        <v>3.5862068965517202</v>
      </c>
    </row>
    <row r="14950" spans="1:5">
      <c r="A14950" t="s">
        <v>17286</v>
      </c>
      <c r="B14950" t="s">
        <v>17288</v>
      </c>
      <c r="C14950">
        <f>0</f>
        <v>0</v>
      </c>
      <c r="D14950">
        <v>0.89890632362900003</v>
      </c>
      <c r="E14950">
        <v>3.5862068965517202</v>
      </c>
    </row>
    <row r="14951" spans="1:5">
      <c r="A14951" t="s">
        <v>17286</v>
      </c>
      <c r="B14951" t="s">
        <v>17289</v>
      </c>
      <c r="C14951">
        <v>0</v>
      </c>
      <c r="D14951">
        <v>0.89890632362900003</v>
      </c>
      <c r="E14951">
        <v>3.5862068965517202</v>
      </c>
    </row>
    <row r="14952" spans="1:5">
      <c r="A14952" t="s">
        <v>17286</v>
      </c>
      <c r="B14952" t="s">
        <v>17290</v>
      </c>
      <c r="C14952">
        <v>0</v>
      </c>
      <c r="D14952">
        <v>0.89890632362900003</v>
      </c>
      <c r="E14952">
        <v>3.5862068965517202</v>
      </c>
    </row>
    <row r="14953" spans="1:5">
      <c r="A14953" t="s">
        <v>17291</v>
      </c>
      <c r="B14953" t="s">
        <v>17292</v>
      </c>
      <c r="C14953">
        <v>0</v>
      </c>
      <c r="D14953">
        <v>0.81033430882799995</v>
      </c>
      <c r="E14953">
        <v>10.878560719640101</v>
      </c>
    </row>
    <row r="14954" spans="1:5">
      <c r="A14954" t="s">
        <v>17291</v>
      </c>
      <c r="B14954" t="s">
        <v>17293</v>
      </c>
      <c r="C14954">
        <v>2.35400037337E-2</v>
      </c>
      <c r="D14954">
        <v>0.81033430882799995</v>
      </c>
      <c r="E14954">
        <v>10.878560719640101</v>
      </c>
    </row>
    <row r="14955" spans="1:5">
      <c r="A14955" t="s">
        <v>17291</v>
      </c>
      <c r="B14955" t="s">
        <v>17294</v>
      </c>
      <c r="C14955">
        <v>0.212585247591</v>
      </c>
      <c r="D14955">
        <v>0.81033430882799995</v>
      </c>
      <c r="E14955">
        <v>10.878560719640101</v>
      </c>
    </row>
    <row r="14956" spans="1:5">
      <c r="A14956" t="s">
        <v>17291</v>
      </c>
      <c r="B14956" t="s">
        <v>17295</v>
      </c>
      <c r="C14956">
        <v>0</v>
      </c>
      <c r="D14956">
        <v>0.81033430882799995</v>
      </c>
      <c r="E14956">
        <v>10.878560719640101</v>
      </c>
    </row>
    <row r="14957" spans="1:5">
      <c r="A14957" t="s">
        <v>17296</v>
      </c>
      <c r="B14957" t="s">
        <v>17297</v>
      </c>
      <c r="C14957">
        <v>0</v>
      </c>
      <c r="D14957" t="s">
        <v>106</v>
      </c>
      <c r="E14957">
        <v>0.86356821589205401</v>
      </c>
    </row>
    <row r="14958" spans="1:5">
      <c r="A14958" t="s">
        <v>17296</v>
      </c>
      <c r="B14958" t="s">
        <v>17298</v>
      </c>
      <c r="C14958">
        <f>0</f>
        <v>0</v>
      </c>
      <c r="D14958" t="s">
        <v>106</v>
      </c>
      <c r="E14958">
        <v>0.86356821589205401</v>
      </c>
    </row>
    <row r="14959" spans="1:5">
      <c r="A14959" t="s">
        <v>17296</v>
      </c>
      <c r="B14959" t="s">
        <v>17299</v>
      </c>
      <c r="C14959">
        <v>0</v>
      </c>
      <c r="D14959" t="s">
        <v>106</v>
      </c>
      <c r="E14959">
        <v>0.86356821589205401</v>
      </c>
    </row>
    <row r="14960" spans="1:5">
      <c r="A14960" t="s">
        <v>17296</v>
      </c>
      <c r="B14960" t="s">
        <v>17300</v>
      </c>
      <c r="C14960">
        <f>0</f>
        <v>0</v>
      </c>
      <c r="D14960" t="s">
        <v>106</v>
      </c>
      <c r="E14960">
        <v>0.86356821589205401</v>
      </c>
    </row>
    <row r="14961" spans="1:5">
      <c r="A14961" t="s">
        <v>17296</v>
      </c>
      <c r="B14961" t="s">
        <v>17301</v>
      </c>
      <c r="C14961">
        <f>0</f>
        <v>0</v>
      </c>
      <c r="D14961" t="s">
        <v>106</v>
      </c>
      <c r="E14961">
        <v>0.86356821589205401</v>
      </c>
    </row>
    <row r="14962" spans="1:5">
      <c r="A14962" t="s">
        <v>17296</v>
      </c>
      <c r="B14962" t="s">
        <v>17302</v>
      </c>
      <c r="C14962">
        <f>0</f>
        <v>0</v>
      </c>
      <c r="D14962" t="s">
        <v>106</v>
      </c>
      <c r="E14962">
        <v>0.86356821589205401</v>
      </c>
    </row>
    <row r="14963" spans="1:5">
      <c r="A14963" t="s">
        <v>17296</v>
      </c>
      <c r="B14963" t="s">
        <v>17303</v>
      </c>
      <c r="C14963">
        <v>0</v>
      </c>
      <c r="D14963" t="s">
        <v>106</v>
      </c>
      <c r="E14963">
        <v>0.86356821589205401</v>
      </c>
    </row>
    <row r="14964" spans="1:5">
      <c r="A14964" t="s">
        <v>17304</v>
      </c>
      <c r="B14964" t="s">
        <v>17305</v>
      </c>
      <c r="C14964">
        <v>0</v>
      </c>
      <c r="D14964">
        <v>0.93463956696299999</v>
      </c>
      <c r="E14964">
        <v>23.7481259370314</v>
      </c>
    </row>
    <row r="14965" spans="1:5">
      <c r="A14965" t="s">
        <v>17304</v>
      </c>
      <c r="B14965" t="s">
        <v>17306</v>
      </c>
      <c r="C14965">
        <v>0</v>
      </c>
      <c r="D14965">
        <v>0.93463956696299999</v>
      </c>
      <c r="E14965">
        <v>23.7481259370314</v>
      </c>
    </row>
    <row r="14966" spans="1:5">
      <c r="A14966" t="s">
        <v>17304</v>
      </c>
      <c r="B14966" t="s">
        <v>17307</v>
      </c>
      <c r="C14966">
        <v>0</v>
      </c>
      <c r="D14966">
        <v>0.93463956696299999</v>
      </c>
      <c r="E14966">
        <v>23.7481259370314</v>
      </c>
    </row>
    <row r="14967" spans="1:5">
      <c r="A14967" t="s">
        <v>17304</v>
      </c>
      <c r="B14967" t="s">
        <v>17308</v>
      </c>
      <c r="C14967">
        <v>0</v>
      </c>
      <c r="D14967">
        <v>0.93463956696299999</v>
      </c>
      <c r="E14967">
        <v>23.7481259370314</v>
      </c>
    </row>
    <row r="14968" spans="1:5">
      <c r="A14968" t="s">
        <v>17304</v>
      </c>
      <c r="B14968" t="s">
        <v>17309</v>
      </c>
      <c r="C14968">
        <v>0</v>
      </c>
      <c r="D14968">
        <v>0.93463956696299999</v>
      </c>
      <c r="E14968">
        <v>23.7481259370314</v>
      </c>
    </row>
    <row r="14969" spans="1:5">
      <c r="A14969" t="s">
        <v>17304</v>
      </c>
      <c r="B14969" t="s">
        <v>17310</v>
      </c>
      <c r="C14969">
        <v>5.1230902485599999E-2</v>
      </c>
      <c r="D14969">
        <v>0.93463956696299999</v>
      </c>
      <c r="E14969">
        <v>23.7481259370314</v>
      </c>
    </row>
    <row r="14970" spans="1:5">
      <c r="A14970" t="s">
        <v>17304</v>
      </c>
      <c r="B14970" t="s">
        <v>17311</v>
      </c>
      <c r="C14970">
        <v>0</v>
      </c>
      <c r="D14970">
        <v>0.93463956696299999</v>
      </c>
      <c r="E14970">
        <v>23.7481259370314</v>
      </c>
    </row>
    <row r="14971" spans="1:5">
      <c r="A14971" t="s">
        <v>17312</v>
      </c>
      <c r="B14971" t="s">
        <v>17313</v>
      </c>
      <c r="C14971">
        <v>0.22043284746700001</v>
      </c>
      <c r="D14971" t="s">
        <v>106</v>
      </c>
      <c r="E14971">
        <v>24</v>
      </c>
    </row>
    <row r="14972" spans="1:5">
      <c r="A14972" t="s">
        <v>17314</v>
      </c>
      <c r="B14972" t="s">
        <v>17315</v>
      </c>
      <c r="C14972">
        <v>0</v>
      </c>
      <c r="D14972" t="s">
        <v>106</v>
      </c>
      <c r="E14972">
        <v>2.4707646176911502</v>
      </c>
    </row>
    <row r="14973" spans="1:5">
      <c r="A14973" t="s">
        <v>17314</v>
      </c>
      <c r="B14973" t="s">
        <v>17316</v>
      </c>
      <c r="C14973">
        <f>0</f>
        <v>0</v>
      </c>
      <c r="D14973" t="s">
        <v>106</v>
      </c>
      <c r="E14973">
        <v>2.4707646176911502</v>
      </c>
    </row>
    <row r="14974" spans="1:5">
      <c r="A14974" t="s">
        <v>17314</v>
      </c>
      <c r="B14974" t="s">
        <v>17317</v>
      </c>
      <c r="C14974">
        <f>0</f>
        <v>0</v>
      </c>
      <c r="D14974" t="s">
        <v>106</v>
      </c>
      <c r="E14974">
        <v>2.4707646176911502</v>
      </c>
    </row>
    <row r="14975" spans="1:5">
      <c r="A14975" t="s">
        <v>17314</v>
      </c>
      <c r="B14975" t="s">
        <v>17318</v>
      </c>
      <c r="C14975">
        <v>0</v>
      </c>
      <c r="D14975" t="s">
        <v>106</v>
      </c>
      <c r="E14975">
        <v>2.4707646176911502</v>
      </c>
    </row>
    <row r="14976" spans="1:5">
      <c r="A14976" t="s">
        <v>17314</v>
      </c>
      <c r="B14976" t="s">
        <v>17319</v>
      </c>
      <c r="C14976">
        <v>0</v>
      </c>
      <c r="D14976" t="s">
        <v>106</v>
      </c>
      <c r="E14976">
        <v>2.4707646176911502</v>
      </c>
    </row>
    <row r="14977" spans="1:5">
      <c r="A14977" t="s">
        <v>17314</v>
      </c>
      <c r="B14977" t="s">
        <v>17320</v>
      </c>
      <c r="C14977">
        <v>0</v>
      </c>
      <c r="D14977" t="s">
        <v>106</v>
      </c>
      <c r="E14977">
        <v>2.4707646176911502</v>
      </c>
    </row>
    <row r="14978" spans="1:5">
      <c r="A14978" t="s">
        <v>17314</v>
      </c>
      <c r="B14978" t="s">
        <v>17321</v>
      </c>
      <c r="C14978">
        <f>0</f>
        <v>0</v>
      </c>
      <c r="D14978" t="s">
        <v>106</v>
      </c>
      <c r="E14978">
        <v>2.4707646176911502</v>
      </c>
    </row>
    <row r="14979" spans="1:5">
      <c r="A14979" t="s">
        <v>17322</v>
      </c>
      <c r="B14979" t="s">
        <v>17323</v>
      </c>
      <c r="C14979">
        <f>0.0683668609629</f>
        <v>6.8366860962899997E-2</v>
      </c>
      <c r="D14979">
        <v>0.75222179390099997</v>
      </c>
      <c r="E14979">
        <v>24</v>
      </c>
    </row>
    <row r="14980" spans="1:5">
      <c r="A14980" t="s">
        <v>17322</v>
      </c>
      <c r="B14980" t="s">
        <v>17324</v>
      </c>
      <c r="C14980">
        <f>0</f>
        <v>0</v>
      </c>
      <c r="D14980">
        <v>0.75222179390099997</v>
      </c>
      <c r="E14980">
        <v>24</v>
      </c>
    </row>
    <row r="14981" spans="1:5">
      <c r="A14981" t="s">
        <v>17322</v>
      </c>
      <c r="B14981" t="s">
        <v>17325</v>
      </c>
      <c r="C14981">
        <f>0</f>
        <v>0</v>
      </c>
      <c r="D14981">
        <v>0.75222179390099997</v>
      </c>
      <c r="E14981">
        <v>24</v>
      </c>
    </row>
    <row r="14982" spans="1:5">
      <c r="A14982" t="s">
        <v>17322</v>
      </c>
      <c r="B14982" t="s">
        <v>17326</v>
      </c>
      <c r="C14982">
        <v>0</v>
      </c>
      <c r="D14982">
        <v>0.75222179390099997</v>
      </c>
      <c r="E14982">
        <v>24</v>
      </c>
    </row>
    <row r="14983" spans="1:5">
      <c r="A14983" t="s">
        <v>17322</v>
      </c>
      <c r="B14983" t="s">
        <v>17327</v>
      </c>
      <c r="C14983">
        <f>0</f>
        <v>0</v>
      </c>
      <c r="D14983">
        <v>0.75222179390099997</v>
      </c>
      <c r="E14983">
        <v>24</v>
      </c>
    </row>
    <row r="14984" spans="1:5">
      <c r="A14984" t="s">
        <v>17322</v>
      </c>
      <c r="B14984" t="s">
        <v>17328</v>
      </c>
      <c r="C14984">
        <f>0</f>
        <v>0</v>
      </c>
      <c r="D14984">
        <v>0.75222179390099997</v>
      </c>
      <c r="E14984">
        <v>24</v>
      </c>
    </row>
    <row r="14985" spans="1:5">
      <c r="A14985" t="s">
        <v>17329</v>
      </c>
      <c r="B14985" t="s">
        <v>17330</v>
      </c>
      <c r="C14985">
        <v>0</v>
      </c>
      <c r="D14985">
        <v>0.98811250390799998</v>
      </c>
      <c r="E14985">
        <v>17.103448275862</v>
      </c>
    </row>
    <row r="14986" spans="1:5">
      <c r="A14986" t="s">
        <v>17329</v>
      </c>
      <c r="B14986" t="s">
        <v>17331</v>
      </c>
      <c r="C14986">
        <f>0.0100545705616</f>
        <v>1.00545705616E-2</v>
      </c>
      <c r="D14986">
        <v>0.98811250390799998</v>
      </c>
      <c r="E14986">
        <v>17.103448275862</v>
      </c>
    </row>
    <row r="14987" spans="1:5">
      <c r="A14987" t="s">
        <v>17329</v>
      </c>
      <c r="B14987" t="s">
        <v>17332</v>
      </c>
      <c r="C14987">
        <v>0</v>
      </c>
      <c r="D14987">
        <v>0.98811250390799998</v>
      </c>
      <c r="E14987">
        <v>17.103448275862</v>
      </c>
    </row>
    <row r="14988" spans="1:5">
      <c r="A14988" t="s">
        <v>17329</v>
      </c>
      <c r="B14988" t="s">
        <v>17333</v>
      </c>
      <c r="C14988">
        <v>0.230774662972</v>
      </c>
      <c r="D14988">
        <v>0.98811250390799998</v>
      </c>
      <c r="E14988">
        <v>17.103448275862</v>
      </c>
    </row>
    <row r="14989" spans="1:5">
      <c r="A14989" t="s">
        <v>17334</v>
      </c>
      <c r="B14989" t="s">
        <v>17335</v>
      </c>
      <c r="C14989">
        <v>0</v>
      </c>
      <c r="D14989">
        <v>0.99347415593300004</v>
      </c>
      <c r="E14989">
        <v>6.9325337331334298</v>
      </c>
    </row>
    <row r="14990" spans="1:5">
      <c r="A14990" t="s">
        <v>17334</v>
      </c>
      <c r="B14990" t="s">
        <v>17336</v>
      </c>
      <c r="C14990">
        <v>0</v>
      </c>
      <c r="D14990">
        <v>0.99347415593300004</v>
      </c>
      <c r="E14990">
        <v>6.9325337331334298</v>
      </c>
    </row>
    <row r="14991" spans="1:5">
      <c r="A14991" t="s">
        <v>17334</v>
      </c>
      <c r="B14991" t="s">
        <v>17337</v>
      </c>
      <c r="C14991">
        <v>0</v>
      </c>
      <c r="D14991">
        <v>0.99347415593300004</v>
      </c>
      <c r="E14991">
        <v>6.9325337331334298</v>
      </c>
    </row>
    <row r="14992" spans="1:5">
      <c r="A14992" t="s">
        <v>17334</v>
      </c>
      <c r="B14992" t="s">
        <v>17338</v>
      </c>
      <c r="C14992">
        <v>0</v>
      </c>
      <c r="D14992">
        <v>0.99347415593300004</v>
      </c>
      <c r="E14992">
        <v>6.9325337331334298</v>
      </c>
    </row>
    <row r="14993" spans="1:5">
      <c r="A14993" t="s">
        <v>17334</v>
      </c>
      <c r="B14993" t="s">
        <v>17339</v>
      </c>
      <c r="C14993">
        <v>0</v>
      </c>
      <c r="D14993">
        <v>0.99347415593300004</v>
      </c>
      <c r="E14993">
        <v>6.9325337331334298</v>
      </c>
    </row>
    <row r="14994" spans="1:5">
      <c r="A14994" t="s">
        <v>17334</v>
      </c>
      <c r="B14994" t="s">
        <v>17340</v>
      </c>
      <c r="C14994">
        <v>0.53425404862000003</v>
      </c>
      <c r="D14994">
        <v>0.99347415593300004</v>
      </c>
      <c r="E14994">
        <v>6.9325337331334298</v>
      </c>
    </row>
    <row r="14995" spans="1:5">
      <c r="A14995" t="s">
        <v>17334</v>
      </c>
      <c r="B14995" t="s">
        <v>17341</v>
      </c>
      <c r="C14995">
        <v>0</v>
      </c>
      <c r="D14995">
        <v>0.99347415593300004</v>
      </c>
      <c r="E14995">
        <v>6.9325337331334298</v>
      </c>
    </row>
    <row r="14996" spans="1:5">
      <c r="A14996" t="s">
        <v>17342</v>
      </c>
      <c r="B14996" t="s">
        <v>17343</v>
      </c>
      <c r="C14996">
        <f>0</f>
        <v>0</v>
      </c>
      <c r="D14996" t="s">
        <v>106</v>
      </c>
      <c r="E14996">
        <v>5.69715142428785</v>
      </c>
    </row>
    <row r="14997" spans="1:5">
      <c r="A14997" t="s">
        <v>17342</v>
      </c>
      <c r="B14997" t="s">
        <v>17344</v>
      </c>
      <c r="C14997">
        <v>0</v>
      </c>
      <c r="D14997" t="s">
        <v>106</v>
      </c>
      <c r="E14997">
        <v>5.69715142428785</v>
      </c>
    </row>
    <row r="14998" spans="1:5">
      <c r="A14998" t="s">
        <v>17342</v>
      </c>
      <c r="B14998" t="s">
        <v>17345</v>
      </c>
      <c r="C14998">
        <f>0</f>
        <v>0</v>
      </c>
      <c r="D14998" t="s">
        <v>106</v>
      </c>
      <c r="E14998">
        <v>5.69715142428785</v>
      </c>
    </row>
    <row r="14999" spans="1:5">
      <c r="A14999" t="s">
        <v>17342</v>
      </c>
      <c r="B14999" t="s">
        <v>17346</v>
      </c>
      <c r="C14999">
        <v>0</v>
      </c>
      <c r="D14999" t="s">
        <v>106</v>
      </c>
      <c r="E14999">
        <v>5.69715142428785</v>
      </c>
    </row>
    <row r="15000" spans="1:5">
      <c r="A15000" t="s">
        <v>17342</v>
      </c>
      <c r="B15000" t="s">
        <v>17347</v>
      </c>
      <c r="C15000">
        <v>0</v>
      </c>
      <c r="D15000" t="s">
        <v>106</v>
      </c>
      <c r="E15000">
        <v>5.69715142428785</v>
      </c>
    </row>
    <row r="15001" spans="1:5">
      <c r="A15001" t="s">
        <v>17342</v>
      </c>
      <c r="B15001" t="s">
        <v>17348</v>
      </c>
      <c r="C15001">
        <f>0</f>
        <v>0</v>
      </c>
      <c r="D15001" t="s">
        <v>106</v>
      </c>
      <c r="E15001">
        <v>5.69715142428785</v>
      </c>
    </row>
    <row r="15002" spans="1:5">
      <c r="A15002" t="s">
        <v>17342</v>
      </c>
      <c r="B15002" t="s">
        <v>17349</v>
      </c>
      <c r="C15002">
        <v>0</v>
      </c>
      <c r="D15002" t="s">
        <v>106</v>
      </c>
      <c r="E15002">
        <v>5.69715142428785</v>
      </c>
    </row>
    <row r="15003" spans="1:5">
      <c r="A15003" t="s">
        <v>17342</v>
      </c>
      <c r="B15003" t="s">
        <v>17350</v>
      </c>
      <c r="C15003">
        <f>0</f>
        <v>0</v>
      </c>
      <c r="D15003" t="s">
        <v>106</v>
      </c>
      <c r="E15003">
        <v>5.69715142428785</v>
      </c>
    </row>
    <row r="15004" spans="1:5">
      <c r="A15004" t="s">
        <v>17342</v>
      </c>
      <c r="B15004" t="s">
        <v>17351</v>
      </c>
      <c r="C15004">
        <v>0</v>
      </c>
      <c r="D15004" t="s">
        <v>106</v>
      </c>
      <c r="E15004">
        <v>5.69715142428785</v>
      </c>
    </row>
    <row r="15005" spans="1:5">
      <c r="A15005" t="s">
        <v>17352</v>
      </c>
      <c r="B15005" t="s">
        <v>17353</v>
      </c>
      <c r="C15005">
        <v>0.109064090165</v>
      </c>
      <c r="D15005">
        <v>0.93055399432100006</v>
      </c>
      <c r="E15005">
        <v>21.409295352323799</v>
      </c>
    </row>
    <row r="15006" spans="1:5">
      <c r="A15006" t="s">
        <v>17352</v>
      </c>
      <c r="B15006" t="s">
        <v>17354</v>
      </c>
      <c r="C15006">
        <f>0</f>
        <v>0</v>
      </c>
      <c r="D15006">
        <v>0.93055399432100006</v>
      </c>
      <c r="E15006">
        <v>21.409295352323799</v>
      </c>
    </row>
    <row r="15007" spans="1:5">
      <c r="A15007" t="s">
        <v>17352</v>
      </c>
      <c r="B15007" t="s">
        <v>17355</v>
      </c>
      <c r="C15007">
        <v>0</v>
      </c>
      <c r="D15007">
        <v>0.93055399432100006</v>
      </c>
      <c r="E15007">
        <v>21.409295352323799</v>
      </c>
    </row>
    <row r="15008" spans="1:5">
      <c r="A15008" t="s">
        <v>17352</v>
      </c>
      <c r="B15008" t="s">
        <v>17356</v>
      </c>
      <c r="C15008">
        <v>0</v>
      </c>
      <c r="D15008">
        <v>0.93055399432100006</v>
      </c>
      <c r="E15008">
        <v>21.409295352323799</v>
      </c>
    </row>
    <row r="15009" spans="1:5">
      <c r="A15009" t="s">
        <v>17352</v>
      </c>
      <c r="B15009" t="s">
        <v>17357</v>
      </c>
      <c r="C15009">
        <f>0</f>
        <v>0</v>
      </c>
      <c r="D15009">
        <v>0.93055399432100006</v>
      </c>
      <c r="E15009">
        <v>21.409295352323799</v>
      </c>
    </row>
    <row r="15010" spans="1:5">
      <c r="A15010" t="s">
        <v>17352</v>
      </c>
      <c r="B15010" t="s">
        <v>17358</v>
      </c>
      <c r="C15010">
        <v>0</v>
      </c>
      <c r="D15010">
        <v>0.93055399432100006</v>
      </c>
      <c r="E15010">
        <v>21.409295352323799</v>
      </c>
    </row>
    <row r="15011" spans="1:5">
      <c r="A15011" t="s">
        <v>17352</v>
      </c>
      <c r="B15011" t="s">
        <v>17359</v>
      </c>
      <c r="C15011">
        <v>0</v>
      </c>
      <c r="D15011">
        <v>0.93055399432100006</v>
      </c>
      <c r="E15011">
        <v>21.409295352323799</v>
      </c>
    </row>
    <row r="15012" spans="1:5">
      <c r="A15012" t="s">
        <v>17352</v>
      </c>
      <c r="B15012" t="s">
        <v>17360</v>
      </c>
      <c r="C15012">
        <v>0</v>
      </c>
      <c r="D15012">
        <v>0.93055399432100006</v>
      </c>
      <c r="E15012">
        <v>21.409295352323799</v>
      </c>
    </row>
    <row r="15013" spans="1:5">
      <c r="A15013" t="s">
        <v>17361</v>
      </c>
      <c r="B15013" t="s">
        <v>17362</v>
      </c>
      <c r="C15013">
        <v>0</v>
      </c>
      <c r="D15013">
        <v>0.97740887239700003</v>
      </c>
      <c r="E15013">
        <v>24</v>
      </c>
    </row>
    <row r="15014" spans="1:5">
      <c r="A15014" t="s">
        <v>17361</v>
      </c>
      <c r="B15014" t="s">
        <v>17363</v>
      </c>
      <c r="C15014">
        <v>0</v>
      </c>
      <c r="D15014">
        <v>0.97740887239700003</v>
      </c>
      <c r="E15014">
        <v>24</v>
      </c>
    </row>
    <row r="15015" spans="1:5">
      <c r="A15015" t="s">
        <v>17361</v>
      </c>
      <c r="B15015" t="s">
        <v>17364</v>
      </c>
      <c r="C15015">
        <v>0</v>
      </c>
      <c r="D15015">
        <v>0.97740887239700003</v>
      </c>
      <c r="E15015">
        <v>24</v>
      </c>
    </row>
    <row r="15016" spans="1:5">
      <c r="A15016" t="s">
        <v>17365</v>
      </c>
      <c r="B15016" t="s">
        <v>17366</v>
      </c>
      <c r="C15016">
        <v>0</v>
      </c>
      <c r="D15016">
        <v>0.61493453642399998</v>
      </c>
      <c r="E15016">
        <v>24</v>
      </c>
    </row>
    <row r="15017" spans="1:5">
      <c r="A15017" t="s">
        <v>17365</v>
      </c>
      <c r="B15017" t="s">
        <v>17367</v>
      </c>
      <c r="C15017">
        <v>0</v>
      </c>
      <c r="D15017">
        <v>0.61493453642399998</v>
      </c>
      <c r="E15017">
        <v>24</v>
      </c>
    </row>
    <row r="15018" spans="1:5">
      <c r="A15018" t="s">
        <v>17365</v>
      </c>
      <c r="B15018" t="s">
        <v>17368</v>
      </c>
      <c r="C15018">
        <v>0.14931748467100001</v>
      </c>
      <c r="D15018">
        <v>0.61493453642399998</v>
      </c>
      <c r="E15018">
        <v>24</v>
      </c>
    </row>
    <row r="15019" spans="1:5">
      <c r="A15019" t="s">
        <v>17365</v>
      </c>
      <c r="B15019" t="s">
        <v>17369</v>
      </c>
      <c r="C15019">
        <v>0</v>
      </c>
      <c r="D15019">
        <v>0.61493453642399998</v>
      </c>
      <c r="E15019">
        <v>24</v>
      </c>
    </row>
    <row r="15020" spans="1:5">
      <c r="A15020" t="s">
        <v>17365</v>
      </c>
      <c r="B15020" t="s">
        <v>17370</v>
      </c>
      <c r="C15020">
        <f>0</f>
        <v>0</v>
      </c>
      <c r="D15020">
        <v>0.61493453642399998</v>
      </c>
      <c r="E15020">
        <v>24</v>
      </c>
    </row>
    <row r="15021" spans="1:5">
      <c r="A15021" t="s">
        <v>17365</v>
      </c>
      <c r="B15021" t="s">
        <v>17371</v>
      </c>
      <c r="C15021">
        <f>0</f>
        <v>0</v>
      </c>
      <c r="D15021">
        <v>0.61493453642399998</v>
      </c>
      <c r="E15021">
        <v>24</v>
      </c>
    </row>
    <row r="15022" spans="1:5">
      <c r="A15022" t="s">
        <v>17365</v>
      </c>
      <c r="B15022" t="s">
        <v>17372</v>
      </c>
      <c r="C15022">
        <v>0</v>
      </c>
      <c r="D15022">
        <v>0.61493453642399998</v>
      </c>
      <c r="E15022">
        <v>24</v>
      </c>
    </row>
    <row r="15023" spans="1:5">
      <c r="A15023" t="s">
        <v>17365</v>
      </c>
      <c r="B15023" t="s">
        <v>17373</v>
      </c>
      <c r="C15023">
        <f>0</f>
        <v>0</v>
      </c>
      <c r="D15023">
        <v>0.61493453642399998</v>
      </c>
      <c r="E15023">
        <v>24</v>
      </c>
    </row>
    <row r="15024" spans="1:5">
      <c r="A15024" t="s">
        <v>17365</v>
      </c>
      <c r="B15024" t="s">
        <v>17374</v>
      </c>
      <c r="C15024">
        <v>0</v>
      </c>
      <c r="D15024">
        <v>0.61493453642399998</v>
      </c>
      <c r="E15024">
        <v>24</v>
      </c>
    </row>
    <row r="15025" spans="1:5">
      <c r="A15025" t="s">
        <v>17365</v>
      </c>
      <c r="B15025" t="s">
        <v>17375</v>
      </c>
      <c r="C15025">
        <v>0</v>
      </c>
      <c r="D15025">
        <v>0.61493453642399998</v>
      </c>
      <c r="E15025">
        <v>24</v>
      </c>
    </row>
    <row r="15026" spans="1:5">
      <c r="A15026" t="s">
        <v>17365</v>
      </c>
      <c r="B15026" t="s">
        <v>17376</v>
      </c>
      <c r="C15026">
        <v>0</v>
      </c>
      <c r="D15026">
        <v>0.61493453642399998</v>
      </c>
      <c r="E15026">
        <v>24</v>
      </c>
    </row>
    <row r="15027" spans="1:5">
      <c r="A15027" t="s">
        <v>17365</v>
      </c>
      <c r="B15027" t="s">
        <v>17377</v>
      </c>
      <c r="C15027">
        <v>0</v>
      </c>
      <c r="D15027">
        <v>0.61493453642399998</v>
      </c>
      <c r="E15027">
        <v>24</v>
      </c>
    </row>
    <row r="15028" spans="1:5">
      <c r="A15028" t="s">
        <v>17378</v>
      </c>
      <c r="B15028" t="s">
        <v>17379</v>
      </c>
      <c r="C15028">
        <f>0</f>
        <v>0</v>
      </c>
      <c r="D15028">
        <v>0.87410182951299997</v>
      </c>
      <c r="E15028">
        <v>8.7196401799100407</v>
      </c>
    </row>
    <row r="15029" spans="1:5">
      <c r="A15029" t="s">
        <v>17378</v>
      </c>
      <c r="B15029" t="s">
        <v>17380</v>
      </c>
      <c r="C15029">
        <v>0</v>
      </c>
      <c r="D15029">
        <v>0.87410182951299997</v>
      </c>
      <c r="E15029">
        <v>8.7196401799100407</v>
      </c>
    </row>
    <row r="15030" spans="1:5">
      <c r="A15030" t="s">
        <v>17378</v>
      </c>
      <c r="B15030" t="s">
        <v>17381</v>
      </c>
      <c r="C15030">
        <v>4.7396420351899997E-2</v>
      </c>
      <c r="D15030">
        <v>0.87410182951299997</v>
      </c>
      <c r="E15030">
        <v>8.7196401799100407</v>
      </c>
    </row>
    <row r="15031" spans="1:5">
      <c r="A15031" t="s">
        <v>17378</v>
      </c>
      <c r="B15031" t="s">
        <v>17382</v>
      </c>
      <c r="C15031">
        <v>0</v>
      </c>
      <c r="D15031">
        <v>0.87410182951299997</v>
      </c>
      <c r="E15031">
        <v>8.7196401799100407</v>
      </c>
    </row>
    <row r="15032" spans="1:5">
      <c r="A15032" t="s">
        <v>17378</v>
      </c>
      <c r="B15032" t="s">
        <v>17383</v>
      </c>
      <c r="C15032">
        <v>0</v>
      </c>
      <c r="D15032">
        <v>0.87410182951299997</v>
      </c>
      <c r="E15032">
        <v>8.7196401799100407</v>
      </c>
    </row>
    <row r="15033" spans="1:5">
      <c r="A15033" t="s">
        <v>17378</v>
      </c>
      <c r="B15033" t="s">
        <v>17384</v>
      </c>
      <c r="C15033">
        <v>0</v>
      </c>
      <c r="D15033">
        <v>0.87410182951299997</v>
      </c>
      <c r="E15033">
        <v>8.7196401799100407</v>
      </c>
    </row>
    <row r="15034" spans="1:5">
      <c r="A15034" t="s">
        <v>17378</v>
      </c>
      <c r="B15034" t="s">
        <v>17385</v>
      </c>
      <c r="C15034">
        <v>3.8994923033900002E-2</v>
      </c>
      <c r="D15034">
        <v>0.87410182951299997</v>
      </c>
      <c r="E15034">
        <v>8.7196401799100407</v>
      </c>
    </row>
    <row r="15035" spans="1:5">
      <c r="A15035" t="s">
        <v>17386</v>
      </c>
      <c r="B15035" t="s">
        <v>17387</v>
      </c>
      <c r="C15035">
        <v>0.12492623386899999</v>
      </c>
      <c r="D15035">
        <v>0.98977466296799999</v>
      </c>
      <c r="E15035">
        <v>23.280359820089899</v>
      </c>
    </row>
    <row r="15036" spans="1:5">
      <c r="A15036" t="s">
        <v>17386</v>
      </c>
      <c r="B15036" t="s">
        <v>17388</v>
      </c>
      <c r="C15036">
        <v>0</v>
      </c>
      <c r="D15036">
        <v>0.98977466296799999</v>
      </c>
      <c r="E15036">
        <v>23.280359820089899</v>
      </c>
    </row>
    <row r="15037" spans="1:5">
      <c r="A15037" t="s">
        <v>17386</v>
      </c>
      <c r="B15037" t="s">
        <v>17389</v>
      </c>
      <c r="C15037">
        <f>0</f>
        <v>0</v>
      </c>
      <c r="D15037">
        <v>0.98977466296799999</v>
      </c>
      <c r="E15037">
        <v>23.280359820089899</v>
      </c>
    </row>
    <row r="15038" spans="1:5">
      <c r="A15038" t="s">
        <v>17386</v>
      </c>
      <c r="B15038" t="s">
        <v>17390</v>
      </c>
      <c r="C15038">
        <f>0</f>
        <v>0</v>
      </c>
      <c r="D15038">
        <v>0.98977466296799999</v>
      </c>
      <c r="E15038">
        <v>23.280359820089899</v>
      </c>
    </row>
    <row r="15039" spans="1:5">
      <c r="A15039" t="s">
        <v>17386</v>
      </c>
      <c r="B15039" t="s">
        <v>17391</v>
      </c>
      <c r="C15039">
        <v>0</v>
      </c>
      <c r="D15039">
        <v>0.98977466296799999</v>
      </c>
      <c r="E15039">
        <v>23.280359820089899</v>
      </c>
    </row>
    <row r="15040" spans="1:5">
      <c r="A15040" t="s">
        <v>17386</v>
      </c>
      <c r="B15040" t="s">
        <v>17392</v>
      </c>
      <c r="C15040">
        <v>0</v>
      </c>
      <c r="D15040">
        <v>0.98977466296799999</v>
      </c>
      <c r="E15040">
        <v>23.280359820089899</v>
      </c>
    </row>
    <row r="15041" spans="1:5">
      <c r="A15041" t="s">
        <v>17393</v>
      </c>
      <c r="B15041" t="s">
        <v>17394</v>
      </c>
      <c r="C15041">
        <v>0</v>
      </c>
      <c r="D15041">
        <v>0.99397361388000005</v>
      </c>
      <c r="E15041">
        <v>1.96701649175412</v>
      </c>
    </row>
    <row r="15042" spans="1:5">
      <c r="A15042" t="s">
        <v>17393</v>
      </c>
      <c r="B15042" t="s">
        <v>17395</v>
      </c>
      <c r="C15042">
        <v>3.1400563701E-2</v>
      </c>
      <c r="D15042">
        <v>0.99397361388000005</v>
      </c>
      <c r="E15042">
        <v>1.96701649175412</v>
      </c>
    </row>
    <row r="15043" spans="1:5">
      <c r="A15043" t="s">
        <v>17393</v>
      </c>
      <c r="B15043" t="s">
        <v>17396</v>
      </c>
      <c r="C15043">
        <v>9.3099077379100004E-2</v>
      </c>
      <c r="D15043">
        <v>0.99397361388000005</v>
      </c>
      <c r="E15043">
        <v>1.96701649175412</v>
      </c>
    </row>
    <row r="15044" spans="1:5">
      <c r="A15044" t="s">
        <v>17393</v>
      </c>
      <c r="B15044" t="s">
        <v>17397</v>
      </c>
      <c r="C15044">
        <f>0</f>
        <v>0</v>
      </c>
      <c r="D15044">
        <v>0.99397361388000005</v>
      </c>
      <c r="E15044">
        <v>1.96701649175412</v>
      </c>
    </row>
    <row r="15045" spans="1:5">
      <c r="A15045" t="s">
        <v>17398</v>
      </c>
      <c r="B15045" t="s">
        <v>17399</v>
      </c>
      <c r="C15045">
        <v>0</v>
      </c>
      <c r="D15045" t="s">
        <v>106</v>
      </c>
      <c r="E15045">
        <v>8.1439280359820092</v>
      </c>
    </row>
    <row r="15046" spans="1:5">
      <c r="A15046" t="s">
        <v>17398</v>
      </c>
      <c r="B15046" t="s">
        <v>17400</v>
      </c>
      <c r="C15046">
        <v>0</v>
      </c>
      <c r="D15046" t="s">
        <v>106</v>
      </c>
      <c r="E15046">
        <v>8.1439280359820092</v>
      </c>
    </row>
    <row r="15047" spans="1:5">
      <c r="A15047" t="s">
        <v>17401</v>
      </c>
      <c r="B15047" t="s">
        <v>17402</v>
      </c>
      <c r="C15047">
        <v>0</v>
      </c>
      <c r="D15047">
        <v>0.96586725129399997</v>
      </c>
      <c r="E15047">
        <v>0.95952023988005997</v>
      </c>
    </row>
    <row r="15048" spans="1:5">
      <c r="A15048" t="s">
        <v>17401</v>
      </c>
      <c r="B15048" t="s">
        <v>17403</v>
      </c>
      <c r="C15048">
        <v>0</v>
      </c>
      <c r="D15048">
        <v>0.96586725129399997</v>
      </c>
      <c r="E15048">
        <v>0.95952023988005997</v>
      </c>
    </row>
    <row r="15049" spans="1:5">
      <c r="A15049" t="s">
        <v>17401</v>
      </c>
      <c r="B15049" t="s">
        <v>17404</v>
      </c>
      <c r="C15049">
        <f>0.11757331303</f>
        <v>0.11757331303</v>
      </c>
      <c r="D15049">
        <v>0.96586725129399997</v>
      </c>
      <c r="E15049">
        <v>0.95952023988005997</v>
      </c>
    </row>
    <row r="15050" spans="1:5">
      <c r="A15050" t="s">
        <v>17401</v>
      </c>
      <c r="B15050" t="s">
        <v>17405</v>
      </c>
      <c r="C15050">
        <f>0</f>
        <v>0</v>
      </c>
      <c r="D15050">
        <v>0.96586725129399997</v>
      </c>
      <c r="E15050">
        <v>0.95952023988005997</v>
      </c>
    </row>
    <row r="15051" spans="1:5">
      <c r="A15051" t="s">
        <v>17401</v>
      </c>
      <c r="B15051" t="s">
        <v>17406</v>
      </c>
      <c r="C15051">
        <v>0</v>
      </c>
      <c r="D15051">
        <v>0.96586725129399997</v>
      </c>
      <c r="E15051">
        <v>0.95952023988005997</v>
      </c>
    </row>
    <row r="15052" spans="1:5">
      <c r="A15052" t="s">
        <v>17401</v>
      </c>
      <c r="B15052" t="s">
        <v>17407</v>
      </c>
      <c r="C15052">
        <v>0</v>
      </c>
      <c r="D15052">
        <v>0.96586725129399997</v>
      </c>
      <c r="E15052">
        <v>0.95952023988005997</v>
      </c>
    </row>
    <row r="15053" spans="1:5">
      <c r="A15053" t="s">
        <v>17401</v>
      </c>
      <c r="B15053" t="s">
        <v>17408</v>
      </c>
      <c r="C15053">
        <v>0</v>
      </c>
      <c r="D15053">
        <v>0.96586725129399997</v>
      </c>
      <c r="E15053">
        <v>0.95952023988005997</v>
      </c>
    </row>
    <row r="15054" spans="1:5">
      <c r="A15054" t="s">
        <v>17401</v>
      </c>
      <c r="B15054" t="s">
        <v>17409</v>
      </c>
      <c r="C15054">
        <v>0</v>
      </c>
      <c r="D15054">
        <v>0.96586725129399997</v>
      </c>
      <c r="E15054">
        <v>0.95952023988005997</v>
      </c>
    </row>
    <row r="15055" spans="1:5">
      <c r="A15055" t="s">
        <v>17410</v>
      </c>
      <c r="B15055" t="s">
        <v>17411</v>
      </c>
      <c r="C15055">
        <f>0</f>
        <v>0</v>
      </c>
      <c r="D15055" t="s">
        <v>106</v>
      </c>
      <c r="E15055">
        <v>1.57121439280359</v>
      </c>
    </row>
    <row r="15056" spans="1:5">
      <c r="A15056" t="s">
        <v>17412</v>
      </c>
      <c r="B15056" t="s">
        <v>17413</v>
      </c>
      <c r="C15056">
        <v>0</v>
      </c>
      <c r="D15056">
        <v>0.86300694973699998</v>
      </c>
      <c r="E15056">
        <v>15.5082458770614</v>
      </c>
    </row>
    <row r="15057" spans="1:5">
      <c r="A15057" t="s">
        <v>17412</v>
      </c>
      <c r="B15057" t="s">
        <v>17414</v>
      </c>
      <c r="C15057">
        <v>0</v>
      </c>
      <c r="D15057">
        <v>0.86300694973699998</v>
      </c>
      <c r="E15057">
        <v>15.5082458770614</v>
      </c>
    </row>
    <row r="15058" spans="1:5">
      <c r="A15058" t="s">
        <v>17412</v>
      </c>
      <c r="B15058" t="s">
        <v>17415</v>
      </c>
      <c r="C15058">
        <v>0</v>
      </c>
      <c r="D15058">
        <v>0.86300694973699998</v>
      </c>
      <c r="E15058">
        <v>15.5082458770614</v>
      </c>
    </row>
    <row r="15059" spans="1:5">
      <c r="A15059" t="s">
        <v>17412</v>
      </c>
      <c r="B15059" t="s">
        <v>17416</v>
      </c>
      <c r="C15059">
        <v>0</v>
      </c>
      <c r="D15059">
        <v>0.86300694973699998</v>
      </c>
      <c r="E15059">
        <v>15.5082458770614</v>
      </c>
    </row>
    <row r="15060" spans="1:5">
      <c r="A15060" t="s">
        <v>17412</v>
      </c>
      <c r="B15060" t="s">
        <v>17417</v>
      </c>
      <c r="C15060">
        <v>4.0684709699E-3</v>
      </c>
      <c r="D15060">
        <v>0.86300694973699998</v>
      </c>
      <c r="E15060">
        <v>15.5082458770614</v>
      </c>
    </row>
    <row r="15061" spans="1:5">
      <c r="A15061" t="s">
        <v>17412</v>
      </c>
      <c r="B15061" t="s">
        <v>17418</v>
      </c>
      <c r="C15061">
        <v>0.154236958295</v>
      </c>
      <c r="D15061">
        <v>0.86300694973699998</v>
      </c>
      <c r="E15061">
        <v>15.5082458770614</v>
      </c>
    </row>
    <row r="15062" spans="1:5">
      <c r="A15062" t="s">
        <v>17412</v>
      </c>
      <c r="B15062" t="s">
        <v>17419</v>
      </c>
      <c r="C15062">
        <v>0</v>
      </c>
      <c r="D15062">
        <v>0.86300694973699998</v>
      </c>
      <c r="E15062">
        <v>15.5082458770614</v>
      </c>
    </row>
    <row r="15063" spans="1:5">
      <c r="A15063" t="s">
        <v>17420</v>
      </c>
      <c r="B15063" t="s">
        <v>17421</v>
      </c>
      <c r="C15063">
        <v>0</v>
      </c>
      <c r="D15063">
        <v>0.92945569483099999</v>
      </c>
      <c r="E15063">
        <v>14.3688155922038</v>
      </c>
    </row>
    <row r="15064" spans="1:5">
      <c r="A15064" t="s">
        <v>17420</v>
      </c>
      <c r="B15064" t="s">
        <v>17422</v>
      </c>
      <c r="C15064">
        <v>0</v>
      </c>
      <c r="D15064">
        <v>0.92945569483099999</v>
      </c>
      <c r="E15064">
        <v>14.3688155922038</v>
      </c>
    </row>
    <row r="15065" spans="1:5">
      <c r="A15065" t="s">
        <v>17420</v>
      </c>
      <c r="B15065" t="s">
        <v>17423</v>
      </c>
      <c r="C15065">
        <v>0</v>
      </c>
      <c r="D15065">
        <v>0.92945569483099999</v>
      </c>
      <c r="E15065">
        <v>14.3688155922038</v>
      </c>
    </row>
    <row r="15066" spans="1:5">
      <c r="A15066" t="s">
        <v>17420</v>
      </c>
      <c r="B15066" t="s">
        <v>17424</v>
      </c>
      <c r="C15066">
        <v>0</v>
      </c>
      <c r="D15066">
        <v>0.92945569483099999</v>
      </c>
      <c r="E15066">
        <v>14.3688155922038</v>
      </c>
    </row>
    <row r="15067" spans="1:5">
      <c r="A15067" t="s">
        <v>17420</v>
      </c>
      <c r="B15067" t="s">
        <v>17425</v>
      </c>
      <c r="C15067">
        <f>0</f>
        <v>0</v>
      </c>
      <c r="D15067">
        <v>0.92945569483099999</v>
      </c>
      <c r="E15067">
        <v>14.3688155922038</v>
      </c>
    </row>
    <row r="15068" spans="1:5">
      <c r="A15068" t="s">
        <v>17420</v>
      </c>
      <c r="B15068" t="s">
        <v>17426</v>
      </c>
      <c r="C15068">
        <v>0</v>
      </c>
      <c r="D15068">
        <v>0.92945569483099999</v>
      </c>
      <c r="E15068">
        <v>14.3688155922038</v>
      </c>
    </row>
    <row r="15069" spans="1:5">
      <c r="A15069" t="s">
        <v>17420</v>
      </c>
      <c r="B15069" t="s">
        <v>17427</v>
      </c>
      <c r="C15069">
        <v>0</v>
      </c>
      <c r="D15069">
        <v>0.92945569483099999</v>
      </c>
      <c r="E15069">
        <v>14.3688155922038</v>
      </c>
    </row>
    <row r="15070" spans="1:5">
      <c r="A15070" t="s">
        <v>17420</v>
      </c>
      <c r="B15070" t="s">
        <v>17428</v>
      </c>
      <c r="C15070">
        <v>0</v>
      </c>
      <c r="D15070">
        <v>0.92945569483099999</v>
      </c>
      <c r="E15070">
        <v>14.3688155922038</v>
      </c>
    </row>
    <row r="15071" spans="1:5">
      <c r="A15071" t="s">
        <v>17420</v>
      </c>
      <c r="B15071" t="s">
        <v>17429</v>
      </c>
      <c r="C15071">
        <v>2.4390640729200001E-2</v>
      </c>
      <c r="D15071">
        <v>0.92945569483099999</v>
      </c>
      <c r="E15071">
        <v>14.3688155922038</v>
      </c>
    </row>
    <row r="15072" spans="1:5">
      <c r="A15072" t="s">
        <v>17420</v>
      </c>
      <c r="B15072" t="s">
        <v>17430</v>
      </c>
      <c r="C15072">
        <v>0</v>
      </c>
      <c r="D15072">
        <v>0.92945569483099999</v>
      </c>
      <c r="E15072">
        <v>14.3688155922038</v>
      </c>
    </row>
    <row r="15073" spans="1:5">
      <c r="A15073" t="s">
        <v>17431</v>
      </c>
      <c r="B15073" t="s">
        <v>17432</v>
      </c>
      <c r="C15073">
        <v>0</v>
      </c>
      <c r="D15073">
        <v>0.993627541374</v>
      </c>
      <c r="E15073">
        <v>10.398800599700101</v>
      </c>
    </row>
    <row r="15074" spans="1:5">
      <c r="A15074" t="s">
        <v>17431</v>
      </c>
      <c r="B15074" t="s">
        <v>17433</v>
      </c>
      <c r="C15074">
        <v>0</v>
      </c>
      <c r="D15074">
        <v>0.993627541374</v>
      </c>
      <c r="E15074">
        <v>10.398800599700101</v>
      </c>
    </row>
    <row r="15075" spans="1:5">
      <c r="A15075" t="s">
        <v>17431</v>
      </c>
      <c r="B15075" t="s">
        <v>17434</v>
      </c>
      <c r="C15075">
        <v>0</v>
      </c>
      <c r="D15075">
        <v>0.993627541374</v>
      </c>
      <c r="E15075">
        <v>10.398800599700101</v>
      </c>
    </row>
    <row r="15076" spans="1:5">
      <c r="A15076" t="s">
        <v>17431</v>
      </c>
      <c r="B15076" t="s">
        <v>17435</v>
      </c>
      <c r="C15076">
        <v>0.24583214560399999</v>
      </c>
      <c r="D15076">
        <v>0.993627541374</v>
      </c>
      <c r="E15076">
        <v>10.398800599700101</v>
      </c>
    </row>
    <row r="15077" spans="1:5">
      <c r="A15077" t="s">
        <v>17431</v>
      </c>
      <c r="B15077" t="s">
        <v>17436</v>
      </c>
      <c r="C15077">
        <v>0</v>
      </c>
      <c r="D15077">
        <v>0.993627541374</v>
      </c>
      <c r="E15077">
        <v>10.398800599700101</v>
      </c>
    </row>
    <row r="15078" spans="1:5">
      <c r="A15078" t="s">
        <v>17431</v>
      </c>
      <c r="B15078" t="s">
        <v>17437</v>
      </c>
      <c r="C15078">
        <f>0.0162449527421</f>
        <v>1.62449527421E-2</v>
      </c>
      <c r="D15078">
        <v>0.993627541374</v>
      </c>
      <c r="E15078">
        <v>10.398800599700101</v>
      </c>
    </row>
    <row r="15079" spans="1:5">
      <c r="A15079" t="s">
        <v>17431</v>
      </c>
      <c r="B15079" t="s">
        <v>17438</v>
      </c>
      <c r="C15079">
        <f>0</f>
        <v>0</v>
      </c>
      <c r="D15079">
        <v>0.993627541374</v>
      </c>
      <c r="E15079">
        <v>10.398800599700101</v>
      </c>
    </row>
    <row r="15080" spans="1:5">
      <c r="A15080" t="s">
        <v>17431</v>
      </c>
      <c r="B15080" t="s">
        <v>17439</v>
      </c>
      <c r="C15080">
        <v>0</v>
      </c>
      <c r="D15080">
        <v>0.993627541374</v>
      </c>
      <c r="E15080">
        <v>10.398800599700101</v>
      </c>
    </row>
    <row r="15081" spans="1:5">
      <c r="A15081" t="s">
        <v>17440</v>
      </c>
      <c r="B15081" t="s">
        <v>17441</v>
      </c>
      <c r="C15081">
        <v>0.78027326735299996</v>
      </c>
      <c r="D15081" t="s">
        <v>106</v>
      </c>
      <c r="E15081">
        <v>2.7106446776611599</v>
      </c>
    </row>
    <row r="15082" spans="1:5">
      <c r="A15082" t="s">
        <v>17440</v>
      </c>
      <c r="B15082" t="s">
        <v>17442</v>
      </c>
      <c r="C15082">
        <f>0.242560873182</f>
        <v>0.24256087318200001</v>
      </c>
      <c r="D15082" t="s">
        <v>106</v>
      </c>
      <c r="E15082">
        <v>2.7106446776611599</v>
      </c>
    </row>
    <row r="15083" spans="1:5">
      <c r="A15083" t="s">
        <v>17443</v>
      </c>
      <c r="B15083" t="s">
        <v>17444</v>
      </c>
      <c r="C15083">
        <v>0</v>
      </c>
      <c r="D15083">
        <v>0.92374383718599995</v>
      </c>
      <c r="E15083">
        <v>1.8230884557721101</v>
      </c>
    </row>
    <row r="15084" spans="1:5">
      <c r="A15084" t="s">
        <v>17443</v>
      </c>
      <c r="B15084" t="s">
        <v>17445</v>
      </c>
      <c r="C15084">
        <v>0.62714596965299996</v>
      </c>
      <c r="D15084">
        <v>0.92374383718599995</v>
      </c>
      <c r="E15084">
        <v>1.8230884557721101</v>
      </c>
    </row>
    <row r="15085" spans="1:5">
      <c r="A15085" t="s">
        <v>17443</v>
      </c>
      <c r="B15085" t="s">
        <v>17446</v>
      </c>
      <c r="C15085">
        <f>0</f>
        <v>0</v>
      </c>
      <c r="D15085">
        <v>0.92374383718599995</v>
      </c>
      <c r="E15085">
        <v>1.8230884557721101</v>
      </c>
    </row>
    <row r="15086" spans="1:5">
      <c r="A15086" t="s">
        <v>17443</v>
      </c>
      <c r="B15086" t="s">
        <v>17447</v>
      </c>
      <c r="C15086">
        <v>0</v>
      </c>
      <c r="D15086">
        <v>0.92374383718599995</v>
      </c>
      <c r="E15086">
        <v>1.8230884557721101</v>
      </c>
    </row>
    <row r="15087" spans="1:5">
      <c r="A15087" t="s">
        <v>17448</v>
      </c>
      <c r="B15087" t="s">
        <v>17449</v>
      </c>
      <c r="C15087">
        <v>0</v>
      </c>
      <c r="D15087" t="s">
        <v>106</v>
      </c>
      <c r="E15087">
        <v>4.3778110944527704</v>
      </c>
    </row>
    <row r="15088" spans="1:5">
      <c r="A15088" t="s">
        <v>17448</v>
      </c>
      <c r="B15088" t="s">
        <v>17450</v>
      </c>
      <c r="C15088">
        <f>0</f>
        <v>0</v>
      </c>
      <c r="D15088" t="s">
        <v>106</v>
      </c>
      <c r="E15088">
        <v>4.3778110944527704</v>
      </c>
    </row>
    <row r="15089" spans="1:5">
      <c r="A15089" t="s">
        <v>17448</v>
      </c>
      <c r="B15089" t="s">
        <v>17451</v>
      </c>
      <c r="C15089">
        <f>0</f>
        <v>0</v>
      </c>
      <c r="D15089" t="s">
        <v>106</v>
      </c>
      <c r="E15089">
        <v>4.3778110944527704</v>
      </c>
    </row>
    <row r="15090" spans="1:5">
      <c r="A15090" t="s">
        <v>17448</v>
      </c>
      <c r="B15090" t="s">
        <v>17452</v>
      </c>
      <c r="C15090">
        <v>0</v>
      </c>
      <c r="D15090" t="s">
        <v>106</v>
      </c>
      <c r="E15090">
        <v>4.3778110944527704</v>
      </c>
    </row>
    <row r="15091" spans="1:5">
      <c r="A15091" t="s">
        <v>17448</v>
      </c>
      <c r="B15091" t="s">
        <v>17453</v>
      </c>
      <c r="C15091">
        <v>0</v>
      </c>
      <c r="D15091" t="s">
        <v>106</v>
      </c>
      <c r="E15091">
        <v>4.3778110944527704</v>
      </c>
    </row>
    <row r="15092" spans="1:5">
      <c r="A15092" t="s">
        <v>17448</v>
      </c>
      <c r="B15092" t="s">
        <v>17454</v>
      </c>
      <c r="C15092">
        <v>0</v>
      </c>
      <c r="D15092" t="s">
        <v>106</v>
      </c>
      <c r="E15092">
        <v>4.3778110944527704</v>
      </c>
    </row>
    <row r="15093" spans="1:5">
      <c r="A15093" t="s">
        <v>17455</v>
      </c>
      <c r="B15093" t="s">
        <v>17456</v>
      </c>
      <c r="C15093">
        <v>0</v>
      </c>
      <c r="D15093">
        <v>0.47859934977899998</v>
      </c>
      <c r="E15093">
        <v>5.5772113943028403</v>
      </c>
    </row>
    <row r="15094" spans="1:5">
      <c r="A15094" t="s">
        <v>17455</v>
      </c>
      <c r="B15094" t="s">
        <v>17457</v>
      </c>
      <c r="C15094">
        <f>0.0477831084456</f>
        <v>4.7783108445599999E-2</v>
      </c>
      <c r="D15094">
        <v>0.47859934977899998</v>
      </c>
      <c r="E15094">
        <v>5.5772113943028403</v>
      </c>
    </row>
    <row r="15095" spans="1:5">
      <c r="A15095" t="s">
        <v>17458</v>
      </c>
      <c r="B15095" t="s">
        <v>17459</v>
      </c>
      <c r="C15095">
        <f>0</f>
        <v>0</v>
      </c>
      <c r="D15095">
        <v>0.85262372071299997</v>
      </c>
      <c r="E15095">
        <v>4.58170914542728</v>
      </c>
    </row>
    <row r="15096" spans="1:5">
      <c r="A15096" t="s">
        <v>17458</v>
      </c>
      <c r="B15096" t="s">
        <v>17460</v>
      </c>
      <c r="C15096">
        <f>0</f>
        <v>0</v>
      </c>
      <c r="D15096">
        <v>0.85262372071299997</v>
      </c>
      <c r="E15096">
        <v>4.58170914542728</v>
      </c>
    </row>
    <row r="15097" spans="1:5">
      <c r="A15097" t="s">
        <v>17458</v>
      </c>
      <c r="B15097" t="s">
        <v>17461</v>
      </c>
      <c r="C15097">
        <f>0</f>
        <v>0</v>
      </c>
      <c r="D15097">
        <v>0.85262372071299997</v>
      </c>
      <c r="E15097">
        <v>4.58170914542728</v>
      </c>
    </row>
    <row r="15098" spans="1:5">
      <c r="A15098" t="s">
        <v>17458</v>
      </c>
      <c r="B15098" t="s">
        <v>17462</v>
      </c>
      <c r="C15098">
        <v>0</v>
      </c>
      <c r="D15098">
        <v>0.85262372071299997</v>
      </c>
      <c r="E15098">
        <v>4.58170914542728</v>
      </c>
    </row>
    <row r="15099" spans="1:5">
      <c r="A15099" t="s">
        <v>17458</v>
      </c>
      <c r="B15099" t="s">
        <v>17463</v>
      </c>
      <c r="C15099">
        <v>0</v>
      </c>
      <c r="D15099">
        <v>0.85262372071299997</v>
      </c>
      <c r="E15099">
        <v>4.58170914542728</v>
      </c>
    </row>
    <row r="15100" spans="1:5">
      <c r="A15100" t="s">
        <v>17458</v>
      </c>
      <c r="B15100" t="s">
        <v>17464</v>
      </c>
      <c r="C15100">
        <v>0</v>
      </c>
      <c r="D15100">
        <v>0.85262372071299997</v>
      </c>
      <c r="E15100">
        <v>4.58170914542728</v>
      </c>
    </row>
    <row r="15101" spans="1:5">
      <c r="A15101" t="s">
        <v>17458</v>
      </c>
      <c r="B15101" t="s">
        <v>17465</v>
      </c>
      <c r="C15101">
        <f>0</f>
        <v>0</v>
      </c>
      <c r="D15101">
        <v>0.85262372071299997</v>
      </c>
      <c r="E15101">
        <v>4.58170914542728</v>
      </c>
    </row>
    <row r="15102" spans="1:5">
      <c r="A15102" t="s">
        <v>17466</v>
      </c>
      <c r="B15102" t="s">
        <v>17467</v>
      </c>
      <c r="C15102">
        <f>0</f>
        <v>0</v>
      </c>
      <c r="D15102">
        <v>0.89879807830199998</v>
      </c>
      <c r="E15102">
        <v>3.3103448275862002</v>
      </c>
    </row>
    <row r="15103" spans="1:5">
      <c r="A15103" t="s">
        <v>17466</v>
      </c>
      <c r="B15103" t="s">
        <v>17468</v>
      </c>
      <c r="C15103">
        <f>0</f>
        <v>0</v>
      </c>
      <c r="D15103">
        <v>0.89879807830199998</v>
      </c>
      <c r="E15103">
        <v>3.3103448275862002</v>
      </c>
    </row>
    <row r="15104" spans="1:5">
      <c r="A15104" t="s">
        <v>17466</v>
      </c>
      <c r="B15104" t="s">
        <v>17469</v>
      </c>
      <c r="C15104">
        <v>0</v>
      </c>
      <c r="D15104">
        <v>0.89879807830199998</v>
      </c>
      <c r="E15104">
        <v>3.3103448275862002</v>
      </c>
    </row>
    <row r="15105" spans="1:5">
      <c r="A15105" t="s">
        <v>17466</v>
      </c>
      <c r="B15105" t="s">
        <v>17470</v>
      </c>
      <c r="C15105">
        <v>0.159846392896</v>
      </c>
      <c r="D15105">
        <v>0.89879807830199998</v>
      </c>
      <c r="E15105">
        <v>3.3103448275862002</v>
      </c>
    </row>
    <row r="15106" spans="1:5">
      <c r="A15106" t="s">
        <v>17466</v>
      </c>
      <c r="B15106" t="s">
        <v>17471</v>
      </c>
      <c r="C15106">
        <v>0</v>
      </c>
      <c r="D15106">
        <v>0.89879807830199998</v>
      </c>
      <c r="E15106">
        <v>3.3103448275862002</v>
      </c>
    </row>
    <row r="15107" spans="1:5">
      <c r="A15107" t="s">
        <v>17466</v>
      </c>
      <c r="B15107" t="s">
        <v>17472</v>
      </c>
      <c r="C15107">
        <v>0.35858968967999999</v>
      </c>
      <c r="D15107">
        <v>0.89879807830199998</v>
      </c>
      <c r="E15107">
        <v>3.3103448275862002</v>
      </c>
    </row>
    <row r="15108" spans="1:5">
      <c r="A15108" t="s">
        <v>17466</v>
      </c>
      <c r="B15108" t="s">
        <v>17473</v>
      </c>
      <c r="C15108">
        <f>0</f>
        <v>0</v>
      </c>
      <c r="D15108">
        <v>0.89879807830199998</v>
      </c>
      <c r="E15108">
        <v>3.3103448275862002</v>
      </c>
    </row>
    <row r="15109" spans="1:5">
      <c r="A15109" t="s">
        <v>17474</v>
      </c>
      <c r="B15109" t="s">
        <v>17475</v>
      </c>
      <c r="C15109">
        <f>0</f>
        <v>0</v>
      </c>
      <c r="D15109">
        <v>0.71460801950800001</v>
      </c>
      <c r="E15109">
        <v>2.39880059970015</v>
      </c>
    </row>
    <row r="15110" spans="1:5">
      <c r="A15110" t="s">
        <v>17474</v>
      </c>
      <c r="B15110" t="s">
        <v>17476</v>
      </c>
      <c r="C15110">
        <v>0</v>
      </c>
      <c r="D15110">
        <v>0.71460801950800001</v>
      </c>
      <c r="E15110">
        <v>2.39880059970015</v>
      </c>
    </row>
    <row r="15111" spans="1:5">
      <c r="A15111" t="s">
        <v>17474</v>
      </c>
      <c r="B15111" t="s">
        <v>17477</v>
      </c>
      <c r="C15111">
        <f>0.0822783840905</f>
        <v>8.2278384090500006E-2</v>
      </c>
      <c r="D15111">
        <v>0.71460801950800001</v>
      </c>
      <c r="E15111">
        <v>2.39880059970015</v>
      </c>
    </row>
    <row r="15112" spans="1:5">
      <c r="A15112" t="s">
        <v>17474</v>
      </c>
      <c r="B15112" t="s">
        <v>17478</v>
      </c>
      <c r="C15112">
        <f>0</f>
        <v>0</v>
      </c>
      <c r="D15112">
        <v>0.71460801950800001</v>
      </c>
      <c r="E15112">
        <v>2.39880059970015</v>
      </c>
    </row>
    <row r="15113" spans="1:5">
      <c r="A15113" t="s">
        <v>17479</v>
      </c>
      <c r="B15113" t="s">
        <v>17480</v>
      </c>
      <c r="C15113">
        <v>0</v>
      </c>
      <c r="D15113">
        <v>0.96612263366499995</v>
      </c>
      <c r="E15113">
        <v>24</v>
      </c>
    </row>
    <row r="15114" spans="1:5">
      <c r="A15114" t="s">
        <v>17479</v>
      </c>
      <c r="B15114" t="s">
        <v>17481</v>
      </c>
      <c r="C15114">
        <v>1.53632815128E-2</v>
      </c>
      <c r="D15114">
        <v>0.96612263366499995</v>
      </c>
      <c r="E15114">
        <v>24</v>
      </c>
    </row>
    <row r="15115" spans="1:5">
      <c r="A15115" t="s">
        <v>17479</v>
      </c>
      <c r="B15115" t="s">
        <v>17482</v>
      </c>
      <c r="C15115">
        <f>0</f>
        <v>0</v>
      </c>
      <c r="D15115">
        <v>0.96612263366499995</v>
      </c>
      <c r="E15115">
        <v>24</v>
      </c>
    </row>
    <row r="15116" spans="1:5">
      <c r="A15116" t="s">
        <v>17479</v>
      </c>
      <c r="B15116" t="s">
        <v>17483</v>
      </c>
      <c r="C15116">
        <f>0</f>
        <v>0</v>
      </c>
      <c r="D15116">
        <v>0.96612263366499995</v>
      </c>
      <c r="E15116">
        <v>24</v>
      </c>
    </row>
    <row r="15117" spans="1:5">
      <c r="A15117" t="s">
        <v>17479</v>
      </c>
      <c r="B15117" t="s">
        <v>17484</v>
      </c>
      <c r="C15117">
        <v>0</v>
      </c>
      <c r="D15117">
        <v>0.96612263366499995</v>
      </c>
      <c r="E15117">
        <v>24</v>
      </c>
    </row>
    <row r="15118" spans="1:5">
      <c r="A15118" t="s">
        <v>17479</v>
      </c>
      <c r="B15118" t="s">
        <v>17485</v>
      </c>
      <c r="C15118">
        <f>0</f>
        <v>0</v>
      </c>
      <c r="D15118">
        <v>0.96612263366499995</v>
      </c>
      <c r="E15118">
        <v>24</v>
      </c>
    </row>
    <row r="15119" spans="1:5">
      <c r="A15119" t="s">
        <v>17479</v>
      </c>
      <c r="B15119" t="s">
        <v>17486</v>
      </c>
      <c r="C15119">
        <f>0.0231553746469</f>
        <v>2.3155374646900002E-2</v>
      </c>
      <c r="D15119">
        <v>0.96612263366499995</v>
      </c>
      <c r="E15119">
        <v>24</v>
      </c>
    </row>
    <row r="15120" spans="1:5">
      <c r="A15120" t="s">
        <v>17479</v>
      </c>
      <c r="B15120" t="s">
        <v>17487</v>
      </c>
      <c r="C15120">
        <f>0</f>
        <v>0</v>
      </c>
      <c r="D15120">
        <v>0.96612263366499995</v>
      </c>
      <c r="E15120">
        <v>24</v>
      </c>
    </row>
    <row r="15121" spans="1:5">
      <c r="A15121" t="s">
        <v>17488</v>
      </c>
      <c r="B15121" t="s">
        <v>17489</v>
      </c>
      <c r="C15121">
        <v>4.3724388548800001E-2</v>
      </c>
      <c r="D15121">
        <v>0.64698568160199998</v>
      </c>
      <c r="E15121">
        <v>9.7631184407796106</v>
      </c>
    </row>
    <row r="15122" spans="1:5">
      <c r="A15122" t="s">
        <v>17488</v>
      </c>
      <c r="B15122" t="s">
        <v>17490</v>
      </c>
      <c r="C15122">
        <f>0</f>
        <v>0</v>
      </c>
      <c r="D15122">
        <v>0.64698568160199998</v>
      </c>
      <c r="E15122">
        <v>9.7631184407796106</v>
      </c>
    </row>
    <row r="15123" spans="1:5">
      <c r="A15123" t="s">
        <v>17488</v>
      </c>
      <c r="B15123" t="s">
        <v>17491</v>
      </c>
      <c r="C15123">
        <v>0</v>
      </c>
      <c r="D15123">
        <v>0.64698568160199998</v>
      </c>
      <c r="E15123">
        <v>9.7631184407796106</v>
      </c>
    </row>
    <row r="15124" spans="1:5">
      <c r="A15124" t="s">
        <v>17492</v>
      </c>
      <c r="B15124" t="s">
        <v>17493</v>
      </c>
      <c r="C15124">
        <v>0</v>
      </c>
      <c r="D15124">
        <v>0.98146237745099996</v>
      </c>
      <c r="E15124">
        <v>2.5547226386806599</v>
      </c>
    </row>
    <row r="15125" spans="1:5">
      <c r="A15125" t="s">
        <v>17492</v>
      </c>
      <c r="B15125" t="s">
        <v>17494</v>
      </c>
      <c r="C15125">
        <v>0</v>
      </c>
      <c r="D15125">
        <v>0.98146237745099996</v>
      </c>
      <c r="E15125">
        <v>2.5547226386806599</v>
      </c>
    </row>
    <row r="15126" spans="1:5">
      <c r="A15126" t="s">
        <v>17492</v>
      </c>
      <c r="B15126" t="s">
        <v>17495</v>
      </c>
      <c r="C15126">
        <f>0</f>
        <v>0</v>
      </c>
      <c r="D15126">
        <v>0.98146237745099996</v>
      </c>
      <c r="E15126">
        <v>2.5547226386806599</v>
      </c>
    </row>
    <row r="15127" spans="1:5">
      <c r="A15127" t="s">
        <v>17492</v>
      </c>
      <c r="B15127" t="s">
        <v>17496</v>
      </c>
      <c r="C15127">
        <v>0.55573159595300003</v>
      </c>
      <c r="D15127">
        <v>0.98146237745099996</v>
      </c>
      <c r="E15127">
        <v>2.5547226386806599</v>
      </c>
    </row>
    <row r="15128" spans="1:5">
      <c r="A15128" t="s">
        <v>17492</v>
      </c>
      <c r="B15128" t="s">
        <v>17497</v>
      </c>
      <c r="C15128">
        <f>0</f>
        <v>0</v>
      </c>
      <c r="D15128">
        <v>0.98146237745099996</v>
      </c>
      <c r="E15128">
        <v>2.5547226386806599</v>
      </c>
    </row>
    <row r="15129" spans="1:5">
      <c r="A15129" t="s">
        <v>17498</v>
      </c>
      <c r="B15129" t="s">
        <v>17499</v>
      </c>
      <c r="C15129">
        <v>9.8396195971200001E-2</v>
      </c>
      <c r="D15129">
        <v>0.98355068139900004</v>
      </c>
      <c r="E15129">
        <v>23.508245877061398</v>
      </c>
    </row>
    <row r="15130" spans="1:5">
      <c r="A15130" t="s">
        <v>17498</v>
      </c>
      <c r="B15130" t="s">
        <v>17500</v>
      </c>
      <c r="C15130">
        <v>0.120976331634</v>
      </c>
      <c r="D15130">
        <v>0.98355068139900004</v>
      </c>
      <c r="E15130">
        <v>23.508245877061398</v>
      </c>
    </row>
    <row r="15131" spans="1:5">
      <c r="A15131" t="s">
        <v>17501</v>
      </c>
      <c r="B15131" t="s">
        <v>17502</v>
      </c>
      <c r="C15131">
        <v>0</v>
      </c>
      <c r="D15131" t="s">
        <v>106</v>
      </c>
      <c r="E15131">
        <v>23.508245877061398</v>
      </c>
    </row>
    <row r="15132" spans="1:5">
      <c r="A15132" t="s">
        <v>17501</v>
      </c>
      <c r="B15132" t="s">
        <v>17503</v>
      </c>
      <c r="C15132">
        <f>0</f>
        <v>0</v>
      </c>
      <c r="D15132" t="s">
        <v>106</v>
      </c>
      <c r="E15132">
        <v>23.508245877061398</v>
      </c>
    </row>
    <row r="15133" spans="1:5">
      <c r="A15133" t="s">
        <v>17501</v>
      </c>
      <c r="B15133" t="s">
        <v>17504</v>
      </c>
      <c r="C15133">
        <v>0</v>
      </c>
      <c r="D15133" t="s">
        <v>106</v>
      </c>
      <c r="E15133">
        <v>23.508245877061398</v>
      </c>
    </row>
    <row r="15134" spans="1:5">
      <c r="A15134" t="s">
        <v>17501</v>
      </c>
      <c r="B15134" t="s">
        <v>17505</v>
      </c>
      <c r="C15134">
        <f>0</f>
        <v>0</v>
      </c>
      <c r="D15134" t="s">
        <v>106</v>
      </c>
      <c r="E15134">
        <v>23.508245877061398</v>
      </c>
    </row>
    <row r="15135" spans="1:5">
      <c r="A15135" t="s">
        <v>17501</v>
      </c>
      <c r="B15135" t="s">
        <v>17506</v>
      </c>
      <c r="C15135">
        <f>0</f>
        <v>0</v>
      </c>
      <c r="D15135" t="s">
        <v>106</v>
      </c>
      <c r="E15135">
        <v>23.508245877061398</v>
      </c>
    </row>
    <row r="15136" spans="1:5">
      <c r="A15136" t="s">
        <v>17501</v>
      </c>
      <c r="B15136" t="s">
        <v>17507</v>
      </c>
      <c r="C15136">
        <v>0</v>
      </c>
      <c r="D15136" t="s">
        <v>106</v>
      </c>
      <c r="E15136">
        <v>23.508245877061398</v>
      </c>
    </row>
    <row r="15137" spans="1:5">
      <c r="A15137" t="s">
        <v>17508</v>
      </c>
      <c r="B15137" t="s">
        <v>17509</v>
      </c>
      <c r="C15137">
        <v>0.37436702175100001</v>
      </c>
      <c r="D15137">
        <v>0.84527467293799996</v>
      </c>
      <c r="E15137">
        <v>5.3493253373313303</v>
      </c>
    </row>
    <row r="15138" spans="1:5">
      <c r="A15138" t="s">
        <v>17508</v>
      </c>
      <c r="B15138" t="s">
        <v>17510</v>
      </c>
      <c r="C15138">
        <v>0</v>
      </c>
      <c r="D15138">
        <v>0.84527467293799996</v>
      </c>
      <c r="E15138">
        <v>5.3493253373313303</v>
      </c>
    </row>
    <row r="15139" spans="1:5">
      <c r="A15139" t="s">
        <v>17508</v>
      </c>
      <c r="B15139" t="s">
        <v>17511</v>
      </c>
      <c r="C15139">
        <f>0.0288389792401</f>
        <v>2.88389792401E-2</v>
      </c>
      <c r="D15139">
        <v>0.84527467293799996</v>
      </c>
      <c r="E15139">
        <v>5.3493253373313303</v>
      </c>
    </row>
    <row r="15140" spans="1:5">
      <c r="A15140" t="s">
        <v>17512</v>
      </c>
      <c r="B15140" t="s">
        <v>17513</v>
      </c>
      <c r="C15140">
        <v>0.21549170958300001</v>
      </c>
      <c r="D15140">
        <v>0.876379578381</v>
      </c>
      <c r="E15140">
        <v>9.4632683658170897</v>
      </c>
    </row>
    <row r="15141" spans="1:5">
      <c r="A15141" t="s">
        <v>17512</v>
      </c>
      <c r="B15141" t="s">
        <v>17514</v>
      </c>
      <c r="C15141">
        <v>0</v>
      </c>
      <c r="D15141">
        <v>0.876379578381</v>
      </c>
      <c r="E15141">
        <v>9.4632683658170897</v>
      </c>
    </row>
    <row r="15142" spans="1:5">
      <c r="A15142" t="s">
        <v>17512</v>
      </c>
      <c r="B15142" t="s">
        <v>17515</v>
      </c>
      <c r="C15142">
        <v>0</v>
      </c>
      <c r="D15142">
        <v>0.876379578381</v>
      </c>
      <c r="E15142">
        <v>9.4632683658170897</v>
      </c>
    </row>
    <row r="15143" spans="1:5">
      <c r="A15143" t="s">
        <v>17512</v>
      </c>
      <c r="B15143" t="s">
        <v>17516</v>
      </c>
      <c r="C15143">
        <f>0</f>
        <v>0</v>
      </c>
      <c r="D15143">
        <v>0.876379578381</v>
      </c>
      <c r="E15143">
        <v>9.4632683658170897</v>
      </c>
    </row>
    <row r="15144" spans="1:5">
      <c r="A15144" t="s">
        <v>17512</v>
      </c>
      <c r="B15144" t="s">
        <v>17517</v>
      </c>
      <c r="C15144">
        <v>0</v>
      </c>
      <c r="D15144">
        <v>0.876379578381</v>
      </c>
      <c r="E15144">
        <v>9.4632683658170897</v>
      </c>
    </row>
    <row r="15145" spans="1:5">
      <c r="A15145" t="s">
        <v>17512</v>
      </c>
      <c r="B15145" t="s">
        <v>17518</v>
      </c>
      <c r="C15145">
        <v>0</v>
      </c>
      <c r="D15145">
        <v>0.876379578381</v>
      </c>
      <c r="E15145">
        <v>9.4632683658170897</v>
      </c>
    </row>
    <row r="15146" spans="1:5">
      <c r="A15146" t="s">
        <v>17512</v>
      </c>
      <c r="B15146" t="s">
        <v>17519</v>
      </c>
      <c r="C15146">
        <f>0</f>
        <v>0</v>
      </c>
      <c r="D15146">
        <v>0.876379578381</v>
      </c>
      <c r="E15146">
        <v>9.4632683658170897</v>
      </c>
    </row>
    <row r="15147" spans="1:5">
      <c r="A15147" t="s">
        <v>17520</v>
      </c>
      <c r="B15147" t="s">
        <v>17521</v>
      </c>
      <c r="C15147">
        <v>0</v>
      </c>
      <c r="D15147">
        <v>0.79122493826200002</v>
      </c>
      <c r="E15147">
        <v>5.9970014992503699E-2</v>
      </c>
    </row>
    <row r="15148" spans="1:5">
      <c r="A15148" t="s">
        <v>17520</v>
      </c>
      <c r="B15148" t="s">
        <v>17522</v>
      </c>
      <c r="C15148">
        <v>0.34108879199800002</v>
      </c>
      <c r="D15148">
        <v>0.79122493826200002</v>
      </c>
      <c r="E15148">
        <v>5.9970014992503699E-2</v>
      </c>
    </row>
    <row r="15149" spans="1:5">
      <c r="A15149" t="s">
        <v>17520</v>
      </c>
      <c r="B15149" t="s">
        <v>17523</v>
      </c>
      <c r="C15149">
        <v>0</v>
      </c>
      <c r="D15149">
        <v>0.79122493826200002</v>
      </c>
      <c r="E15149">
        <v>5.9970014992503699E-2</v>
      </c>
    </row>
    <row r="15150" spans="1:5">
      <c r="A15150" t="s">
        <v>17524</v>
      </c>
      <c r="B15150" t="s">
        <v>17525</v>
      </c>
      <c r="C15150">
        <v>0</v>
      </c>
      <c r="D15150">
        <v>0.99743836771600003</v>
      </c>
      <c r="E15150">
        <v>5.8170914542728598</v>
      </c>
    </row>
    <row r="15151" spans="1:5">
      <c r="A15151" t="s">
        <v>17524</v>
      </c>
      <c r="B15151" t="s">
        <v>17526</v>
      </c>
      <c r="C15151">
        <v>0</v>
      </c>
      <c r="D15151">
        <v>0.99743836771600003</v>
      </c>
      <c r="E15151">
        <v>5.8170914542728598</v>
      </c>
    </row>
    <row r="15152" spans="1:5">
      <c r="A15152" t="s">
        <v>17524</v>
      </c>
      <c r="B15152" t="s">
        <v>17527</v>
      </c>
      <c r="C15152">
        <f>0</f>
        <v>0</v>
      </c>
      <c r="D15152">
        <v>0.99743836771600003</v>
      </c>
      <c r="E15152">
        <v>5.8170914542728598</v>
      </c>
    </row>
    <row r="15153" spans="1:5">
      <c r="A15153" t="s">
        <v>17524</v>
      </c>
      <c r="B15153" t="s">
        <v>17528</v>
      </c>
      <c r="C15153">
        <f>0</f>
        <v>0</v>
      </c>
      <c r="D15153">
        <v>0.99743836771600003</v>
      </c>
      <c r="E15153">
        <v>5.8170914542728598</v>
      </c>
    </row>
    <row r="15154" spans="1:5">
      <c r="A15154" t="s">
        <v>17524</v>
      </c>
      <c r="B15154" t="s">
        <v>17529</v>
      </c>
      <c r="C15154">
        <v>0.38788893957100001</v>
      </c>
      <c r="D15154">
        <v>0.99743836771600003</v>
      </c>
      <c r="E15154">
        <v>5.8170914542728598</v>
      </c>
    </row>
    <row r="15155" spans="1:5">
      <c r="A15155" t="s">
        <v>17530</v>
      </c>
      <c r="B15155" t="s">
        <v>17531</v>
      </c>
      <c r="C15155">
        <v>0</v>
      </c>
      <c r="D15155">
        <v>0.95955053918900002</v>
      </c>
      <c r="E15155">
        <v>7.1964017991004496</v>
      </c>
    </row>
    <row r="15156" spans="1:5">
      <c r="A15156" t="s">
        <v>17530</v>
      </c>
      <c r="B15156" t="s">
        <v>17532</v>
      </c>
      <c r="C15156">
        <v>0</v>
      </c>
      <c r="D15156">
        <v>0.95955053918900002</v>
      </c>
      <c r="E15156">
        <v>7.1964017991004496</v>
      </c>
    </row>
    <row r="15157" spans="1:5">
      <c r="A15157" t="s">
        <v>17530</v>
      </c>
      <c r="B15157" t="s">
        <v>17533</v>
      </c>
      <c r="C15157">
        <f>0</f>
        <v>0</v>
      </c>
      <c r="D15157">
        <v>0.95955053918900002</v>
      </c>
      <c r="E15157">
        <v>7.1964017991004496</v>
      </c>
    </row>
    <row r="15158" spans="1:5">
      <c r="A15158" t="s">
        <v>17530</v>
      </c>
      <c r="B15158" t="s">
        <v>17534</v>
      </c>
      <c r="C15158">
        <f>0.290859722213</f>
        <v>0.29085972221299999</v>
      </c>
      <c r="D15158">
        <v>0.95955053918900002</v>
      </c>
      <c r="E15158">
        <v>7.1964017991004496</v>
      </c>
    </row>
    <row r="15159" spans="1:5">
      <c r="A15159" t="s">
        <v>17530</v>
      </c>
      <c r="B15159" t="s">
        <v>17535</v>
      </c>
      <c r="C15159">
        <f>0</f>
        <v>0</v>
      </c>
      <c r="D15159">
        <v>0.95955053918900002</v>
      </c>
      <c r="E15159">
        <v>7.1964017991004496</v>
      </c>
    </row>
    <row r="15160" spans="1:5">
      <c r="A15160" t="s">
        <v>17530</v>
      </c>
      <c r="B15160" t="s">
        <v>17536</v>
      </c>
      <c r="C15160">
        <v>0.35179995727500002</v>
      </c>
      <c r="D15160">
        <v>0.95955053918900002</v>
      </c>
      <c r="E15160">
        <v>7.1964017991004496</v>
      </c>
    </row>
    <row r="15161" spans="1:5">
      <c r="A15161" t="s">
        <v>17537</v>
      </c>
      <c r="B15161" t="s">
        <v>17538</v>
      </c>
      <c r="C15161">
        <v>0</v>
      </c>
      <c r="D15161">
        <v>0.86185693454400003</v>
      </c>
      <c r="E15161">
        <v>11.0344827586206</v>
      </c>
    </row>
    <row r="15162" spans="1:5">
      <c r="A15162" t="s">
        <v>17537</v>
      </c>
      <c r="B15162" t="s">
        <v>17539</v>
      </c>
      <c r="C15162">
        <v>0</v>
      </c>
      <c r="D15162">
        <v>0.86185693454400003</v>
      </c>
      <c r="E15162">
        <v>11.0344827586206</v>
      </c>
    </row>
    <row r="15163" spans="1:5">
      <c r="A15163" t="s">
        <v>17537</v>
      </c>
      <c r="B15163" t="s">
        <v>17540</v>
      </c>
      <c r="C15163">
        <v>0.213507771762</v>
      </c>
      <c r="D15163">
        <v>0.86185693454400003</v>
      </c>
      <c r="E15163">
        <v>11.0344827586206</v>
      </c>
    </row>
    <row r="15164" spans="1:5">
      <c r="A15164" t="s">
        <v>17537</v>
      </c>
      <c r="B15164" t="s">
        <v>17541</v>
      </c>
      <c r="C15164">
        <v>0</v>
      </c>
      <c r="D15164">
        <v>0.86185693454400003</v>
      </c>
      <c r="E15164">
        <v>11.0344827586206</v>
      </c>
    </row>
    <row r="15165" spans="1:5">
      <c r="A15165" t="s">
        <v>17537</v>
      </c>
      <c r="B15165" t="s">
        <v>17542</v>
      </c>
      <c r="C15165">
        <v>0</v>
      </c>
      <c r="D15165">
        <v>0.86185693454400003</v>
      </c>
      <c r="E15165">
        <v>11.0344827586206</v>
      </c>
    </row>
    <row r="15166" spans="1:5">
      <c r="A15166" t="s">
        <v>17537</v>
      </c>
      <c r="B15166" t="s">
        <v>17543</v>
      </c>
      <c r="C15166">
        <f>0</f>
        <v>0</v>
      </c>
      <c r="D15166">
        <v>0.86185693454400003</v>
      </c>
      <c r="E15166">
        <v>11.0344827586206</v>
      </c>
    </row>
    <row r="15167" spans="1:5">
      <c r="A15167" t="s">
        <v>17537</v>
      </c>
      <c r="B15167" t="s">
        <v>17544</v>
      </c>
      <c r="C15167">
        <f>0</f>
        <v>0</v>
      </c>
      <c r="D15167">
        <v>0.86185693454400003</v>
      </c>
      <c r="E15167">
        <v>11.0344827586206</v>
      </c>
    </row>
    <row r="15168" spans="1:5">
      <c r="A15168" t="s">
        <v>17537</v>
      </c>
      <c r="B15168" t="s">
        <v>17545</v>
      </c>
      <c r="C15168">
        <v>0</v>
      </c>
      <c r="D15168">
        <v>0.86185693454400003</v>
      </c>
      <c r="E15168">
        <v>11.0344827586206</v>
      </c>
    </row>
    <row r="15169" spans="1:5">
      <c r="A15169" t="s">
        <v>17537</v>
      </c>
      <c r="B15169" t="s">
        <v>17546</v>
      </c>
      <c r="C15169">
        <v>0</v>
      </c>
      <c r="D15169">
        <v>0.86185693454400003</v>
      </c>
      <c r="E15169">
        <v>11.0344827586206</v>
      </c>
    </row>
    <row r="15170" spans="1:5">
      <c r="A15170" t="s">
        <v>17537</v>
      </c>
      <c r="B15170" t="s">
        <v>17547</v>
      </c>
      <c r="C15170">
        <v>0</v>
      </c>
      <c r="D15170">
        <v>0.86185693454400003</v>
      </c>
      <c r="E15170">
        <v>11.0344827586206</v>
      </c>
    </row>
    <row r="15171" spans="1:5">
      <c r="A15171" t="s">
        <v>17537</v>
      </c>
      <c r="B15171" t="s">
        <v>17548</v>
      </c>
      <c r="C15171">
        <v>0</v>
      </c>
      <c r="D15171">
        <v>0.86185693454400003</v>
      </c>
      <c r="E15171">
        <v>11.0344827586206</v>
      </c>
    </row>
    <row r="15172" spans="1:5">
      <c r="A15172" t="s">
        <v>17549</v>
      </c>
      <c r="B15172" t="s">
        <v>17550</v>
      </c>
      <c r="C15172">
        <v>0</v>
      </c>
      <c r="D15172" t="s">
        <v>106</v>
      </c>
      <c r="E15172">
        <v>5.1214392803598203</v>
      </c>
    </row>
    <row r="15173" spans="1:5">
      <c r="A15173" t="s">
        <v>17549</v>
      </c>
      <c r="B15173" t="s">
        <v>17551</v>
      </c>
      <c r="C15173">
        <v>0</v>
      </c>
      <c r="D15173" t="s">
        <v>106</v>
      </c>
      <c r="E15173">
        <v>5.1214392803598203</v>
      </c>
    </row>
    <row r="15174" spans="1:5">
      <c r="A15174" t="s">
        <v>17549</v>
      </c>
      <c r="B15174" t="s">
        <v>17552</v>
      </c>
      <c r="C15174">
        <v>0</v>
      </c>
      <c r="D15174" t="s">
        <v>106</v>
      </c>
      <c r="E15174">
        <v>5.1214392803598203</v>
      </c>
    </row>
    <row r="15175" spans="1:5">
      <c r="A15175" t="s">
        <v>17549</v>
      </c>
      <c r="B15175" t="s">
        <v>17553</v>
      </c>
      <c r="C15175">
        <f>0</f>
        <v>0</v>
      </c>
      <c r="D15175" t="s">
        <v>106</v>
      </c>
      <c r="E15175">
        <v>5.1214392803598203</v>
      </c>
    </row>
    <row r="15176" spans="1:5">
      <c r="A15176" t="s">
        <v>17554</v>
      </c>
      <c r="B15176" t="s">
        <v>17555</v>
      </c>
      <c r="C15176">
        <v>0</v>
      </c>
      <c r="D15176" t="s">
        <v>106</v>
      </c>
      <c r="E15176">
        <v>24</v>
      </c>
    </row>
    <row r="15177" spans="1:5">
      <c r="A15177" t="s">
        <v>17554</v>
      </c>
      <c r="B15177" t="s">
        <v>17556</v>
      </c>
      <c r="C15177">
        <v>0</v>
      </c>
      <c r="D15177" t="s">
        <v>106</v>
      </c>
      <c r="E15177">
        <v>24</v>
      </c>
    </row>
    <row r="15178" spans="1:5">
      <c r="A15178" t="s">
        <v>17554</v>
      </c>
      <c r="B15178" t="s">
        <v>17557</v>
      </c>
      <c r="C15178">
        <v>0</v>
      </c>
      <c r="D15178" t="s">
        <v>106</v>
      </c>
      <c r="E15178">
        <v>24</v>
      </c>
    </row>
    <row r="15179" spans="1:5">
      <c r="A15179" t="s">
        <v>17554</v>
      </c>
      <c r="B15179" t="s">
        <v>17558</v>
      </c>
      <c r="C15179">
        <v>0</v>
      </c>
      <c r="D15179" t="s">
        <v>106</v>
      </c>
      <c r="E15179">
        <v>24</v>
      </c>
    </row>
    <row r="15180" spans="1:5">
      <c r="A15180" t="s">
        <v>17554</v>
      </c>
      <c r="B15180" t="s">
        <v>17559</v>
      </c>
      <c r="C15180">
        <v>0</v>
      </c>
      <c r="D15180" t="s">
        <v>106</v>
      </c>
      <c r="E15180">
        <v>24</v>
      </c>
    </row>
    <row r="15181" spans="1:5">
      <c r="A15181" t="s">
        <v>17554</v>
      </c>
      <c r="B15181" t="s">
        <v>17560</v>
      </c>
      <c r="C15181">
        <v>0</v>
      </c>
      <c r="D15181" t="s">
        <v>106</v>
      </c>
      <c r="E15181">
        <v>24</v>
      </c>
    </row>
    <row r="15182" spans="1:5">
      <c r="A15182" t="s">
        <v>17554</v>
      </c>
      <c r="B15182" t="s">
        <v>17561</v>
      </c>
      <c r="C15182">
        <v>0</v>
      </c>
      <c r="D15182" t="s">
        <v>106</v>
      </c>
      <c r="E15182">
        <v>24</v>
      </c>
    </row>
    <row r="15183" spans="1:5">
      <c r="A15183" t="s">
        <v>17554</v>
      </c>
      <c r="B15183" t="s">
        <v>17562</v>
      </c>
      <c r="C15183">
        <v>0</v>
      </c>
      <c r="D15183" t="s">
        <v>106</v>
      </c>
      <c r="E15183">
        <v>24</v>
      </c>
    </row>
    <row r="15184" spans="1:5">
      <c r="A15184" t="s">
        <v>17554</v>
      </c>
      <c r="B15184" t="s">
        <v>17563</v>
      </c>
      <c r="C15184">
        <v>0</v>
      </c>
      <c r="D15184" t="s">
        <v>106</v>
      </c>
      <c r="E15184">
        <v>24</v>
      </c>
    </row>
    <row r="15185" spans="1:5">
      <c r="A15185" t="s">
        <v>17554</v>
      </c>
      <c r="B15185" t="s">
        <v>17564</v>
      </c>
      <c r="C15185">
        <v>0</v>
      </c>
      <c r="D15185" t="s">
        <v>106</v>
      </c>
      <c r="E15185">
        <v>24</v>
      </c>
    </row>
    <row r="15186" spans="1:5">
      <c r="A15186" t="s">
        <v>17565</v>
      </c>
      <c r="B15186" t="s">
        <v>17566</v>
      </c>
      <c r="C15186">
        <f>0</f>
        <v>0</v>
      </c>
      <c r="D15186" t="s">
        <v>106</v>
      </c>
      <c r="E15186">
        <v>12.7376311844077</v>
      </c>
    </row>
    <row r="15187" spans="1:5">
      <c r="A15187" t="s">
        <v>17565</v>
      </c>
      <c r="B15187" t="s">
        <v>17567</v>
      </c>
      <c r="C15187">
        <v>0</v>
      </c>
      <c r="D15187" t="s">
        <v>106</v>
      </c>
      <c r="E15187">
        <v>12.7376311844077</v>
      </c>
    </row>
    <row r="15188" spans="1:5">
      <c r="A15188" t="s">
        <v>17565</v>
      </c>
      <c r="B15188" t="s">
        <v>17568</v>
      </c>
      <c r="C15188">
        <v>0</v>
      </c>
      <c r="D15188" t="s">
        <v>106</v>
      </c>
      <c r="E15188">
        <v>12.7376311844077</v>
      </c>
    </row>
    <row r="15189" spans="1:5">
      <c r="A15189" t="s">
        <v>17565</v>
      </c>
      <c r="B15189" t="s">
        <v>17569</v>
      </c>
      <c r="C15189">
        <v>0</v>
      </c>
      <c r="D15189" t="s">
        <v>106</v>
      </c>
      <c r="E15189">
        <v>12.7376311844077</v>
      </c>
    </row>
    <row r="15190" spans="1:5">
      <c r="A15190" t="s">
        <v>17565</v>
      </c>
      <c r="B15190" t="s">
        <v>17570</v>
      </c>
      <c r="C15190">
        <f>0</f>
        <v>0</v>
      </c>
      <c r="D15190" t="s">
        <v>106</v>
      </c>
      <c r="E15190">
        <v>12.7376311844077</v>
      </c>
    </row>
    <row r="15191" spans="1:5">
      <c r="A15191" t="s">
        <v>17571</v>
      </c>
      <c r="B15191" t="s">
        <v>17572</v>
      </c>
      <c r="C15191">
        <f>0</f>
        <v>0</v>
      </c>
      <c r="D15191" t="s">
        <v>106</v>
      </c>
      <c r="E15191">
        <v>16.695652173913</v>
      </c>
    </row>
    <row r="15192" spans="1:5">
      <c r="A15192" t="s">
        <v>17573</v>
      </c>
      <c r="B15192" t="s">
        <v>17574</v>
      </c>
      <c r="C15192">
        <v>0</v>
      </c>
      <c r="D15192">
        <v>0.81845781756500002</v>
      </c>
      <c r="E15192">
        <v>3.5862068965517202</v>
      </c>
    </row>
    <row r="15193" spans="1:5">
      <c r="A15193" t="s">
        <v>17573</v>
      </c>
      <c r="B15193" t="s">
        <v>17575</v>
      </c>
      <c r="C15193">
        <f>0</f>
        <v>0</v>
      </c>
      <c r="D15193">
        <v>0.81845781756500002</v>
      </c>
      <c r="E15193">
        <v>3.5862068965517202</v>
      </c>
    </row>
    <row r="15194" spans="1:5">
      <c r="A15194" t="s">
        <v>17573</v>
      </c>
      <c r="B15194" t="s">
        <v>17576</v>
      </c>
      <c r="C15194">
        <v>0</v>
      </c>
      <c r="D15194">
        <v>0.81845781756500002</v>
      </c>
      <c r="E15194">
        <v>3.5862068965517202</v>
      </c>
    </row>
    <row r="15195" spans="1:5">
      <c r="A15195" t="s">
        <v>17577</v>
      </c>
      <c r="B15195" t="s">
        <v>17578</v>
      </c>
      <c r="C15195">
        <v>0.76937050541600005</v>
      </c>
      <c r="D15195">
        <v>0.95926925126700002</v>
      </c>
      <c r="E15195">
        <v>2.6386806596701602</v>
      </c>
    </row>
    <row r="15196" spans="1:5">
      <c r="A15196" t="s">
        <v>17579</v>
      </c>
      <c r="B15196" t="s">
        <v>17580</v>
      </c>
      <c r="C15196">
        <v>0.26433536977299998</v>
      </c>
      <c r="D15196">
        <v>0.99430559450199996</v>
      </c>
      <c r="E15196">
        <v>8.2878560719640095</v>
      </c>
    </row>
    <row r="15197" spans="1:5">
      <c r="A15197" t="s">
        <v>17579</v>
      </c>
      <c r="B15197" t="s">
        <v>17581</v>
      </c>
      <c r="C15197">
        <v>0</v>
      </c>
      <c r="D15197">
        <v>0.99430559450199996</v>
      </c>
      <c r="E15197">
        <v>8.2878560719640095</v>
      </c>
    </row>
    <row r="15198" spans="1:5">
      <c r="A15198" t="s">
        <v>17579</v>
      </c>
      <c r="B15198" t="s">
        <v>17582</v>
      </c>
      <c r="C15198">
        <v>4.48931839326E-2</v>
      </c>
      <c r="D15198">
        <v>0.99430559450199996</v>
      </c>
      <c r="E15198">
        <v>8.2878560719640095</v>
      </c>
    </row>
    <row r="15199" spans="1:5">
      <c r="A15199" t="s">
        <v>17579</v>
      </c>
      <c r="B15199" t="s">
        <v>17583</v>
      </c>
      <c r="C15199">
        <v>0</v>
      </c>
      <c r="D15199">
        <v>0.99430559450199996</v>
      </c>
      <c r="E15199">
        <v>8.2878560719640095</v>
      </c>
    </row>
    <row r="15200" spans="1:5">
      <c r="A15200" t="s">
        <v>17579</v>
      </c>
      <c r="B15200" t="s">
        <v>17584</v>
      </c>
      <c r="C15200">
        <v>0</v>
      </c>
      <c r="D15200">
        <v>0.99430559450199996</v>
      </c>
      <c r="E15200">
        <v>8.2878560719640095</v>
      </c>
    </row>
    <row r="15201" spans="1:5">
      <c r="A15201" t="s">
        <v>17579</v>
      </c>
      <c r="B15201" t="s">
        <v>17585</v>
      </c>
      <c r="C15201">
        <v>0</v>
      </c>
      <c r="D15201">
        <v>0.99430559450199996</v>
      </c>
      <c r="E15201">
        <v>8.2878560719640095</v>
      </c>
    </row>
    <row r="15202" spans="1:5">
      <c r="A15202" t="s">
        <v>17579</v>
      </c>
      <c r="B15202" t="s">
        <v>17586</v>
      </c>
      <c r="C15202">
        <v>0</v>
      </c>
      <c r="D15202">
        <v>0.99430559450199996</v>
      </c>
      <c r="E15202">
        <v>8.2878560719640095</v>
      </c>
    </row>
    <row r="15203" spans="1:5">
      <c r="A15203" t="s">
        <v>17579</v>
      </c>
      <c r="B15203" t="s">
        <v>17587</v>
      </c>
      <c r="C15203">
        <f>0</f>
        <v>0</v>
      </c>
      <c r="D15203">
        <v>0.99430559450199996</v>
      </c>
      <c r="E15203">
        <v>8.2878560719640095</v>
      </c>
    </row>
    <row r="15204" spans="1:5">
      <c r="A15204" t="s">
        <v>17579</v>
      </c>
      <c r="B15204" t="s">
        <v>17588</v>
      </c>
      <c r="C15204">
        <v>0</v>
      </c>
      <c r="D15204">
        <v>0.99430559450199996</v>
      </c>
      <c r="E15204">
        <v>8.2878560719640095</v>
      </c>
    </row>
    <row r="15205" spans="1:5">
      <c r="A15205" t="s">
        <v>17579</v>
      </c>
      <c r="B15205" t="s">
        <v>17589</v>
      </c>
      <c r="C15205">
        <v>0</v>
      </c>
      <c r="D15205">
        <v>0.99430559450199996</v>
      </c>
      <c r="E15205">
        <v>8.2878560719640095</v>
      </c>
    </row>
    <row r="15206" spans="1:5">
      <c r="A15206" t="s">
        <v>17590</v>
      </c>
      <c r="B15206" t="s">
        <v>17591</v>
      </c>
      <c r="C15206">
        <f>0</f>
        <v>0</v>
      </c>
      <c r="D15206">
        <v>0.99305368911199998</v>
      </c>
      <c r="E15206">
        <v>4.2698650674662604</v>
      </c>
    </row>
    <row r="15207" spans="1:5">
      <c r="A15207" t="s">
        <v>17590</v>
      </c>
      <c r="B15207" t="s">
        <v>17592</v>
      </c>
      <c r="C15207">
        <v>0.52492024208499999</v>
      </c>
      <c r="D15207">
        <v>0.99305368911199998</v>
      </c>
      <c r="E15207">
        <v>4.2698650674662604</v>
      </c>
    </row>
    <row r="15208" spans="1:5">
      <c r="A15208" t="s">
        <v>17590</v>
      </c>
      <c r="B15208" t="s">
        <v>17593</v>
      </c>
      <c r="C15208">
        <v>0</v>
      </c>
      <c r="D15208">
        <v>0.99305368911199998</v>
      </c>
      <c r="E15208">
        <v>4.2698650674662604</v>
      </c>
    </row>
    <row r="15209" spans="1:5">
      <c r="A15209" t="s">
        <v>17590</v>
      </c>
      <c r="B15209" t="s">
        <v>17594</v>
      </c>
      <c r="C15209">
        <f>0.0208710020363</f>
        <v>2.0871002036300001E-2</v>
      </c>
      <c r="D15209">
        <v>0.99305368911199998</v>
      </c>
      <c r="E15209">
        <v>4.2698650674662604</v>
      </c>
    </row>
    <row r="15210" spans="1:5">
      <c r="A15210" t="s">
        <v>17590</v>
      </c>
      <c r="B15210" t="s">
        <v>17595</v>
      </c>
      <c r="C15210">
        <f>0</f>
        <v>0</v>
      </c>
      <c r="D15210">
        <v>0.99305368911199998</v>
      </c>
      <c r="E15210">
        <v>4.2698650674662604</v>
      </c>
    </row>
    <row r="15211" spans="1:5">
      <c r="A15211" t="s">
        <v>17590</v>
      </c>
      <c r="B15211" t="s">
        <v>17596</v>
      </c>
      <c r="C15211">
        <f>0</f>
        <v>0</v>
      </c>
      <c r="D15211">
        <v>0.99305368911199998</v>
      </c>
      <c r="E15211">
        <v>4.2698650674662604</v>
      </c>
    </row>
    <row r="15212" spans="1:5">
      <c r="A15212" t="s">
        <v>17597</v>
      </c>
      <c r="B15212" t="s">
        <v>17598</v>
      </c>
      <c r="C15212">
        <f>0</f>
        <v>0</v>
      </c>
      <c r="D15212">
        <v>0.95897849840899996</v>
      </c>
      <c r="E15212">
        <v>15.1244377811094</v>
      </c>
    </row>
    <row r="15213" spans="1:5">
      <c r="A15213" t="s">
        <v>17597</v>
      </c>
      <c r="B15213" t="s">
        <v>17599</v>
      </c>
      <c r="C15213">
        <f>0</f>
        <v>0</v>
      </c>
      <c r="D15213">
        <v>0.95897849840899996</v>
      </c>
      <c r="E15213">
        <v>15.1244377811094</v>
      </c>
    </row>
    <row r="15214" spans="1:5">
      <c r="A15214" t="s">
        <v>17597</v>
      </c>
      <c r="B15214" t="s">
        <v>17600</v>
      </c>
      <c r="C15214">
        <f>0</f>
        <v>0</v>
      </c>
      <c r="D15214">
        <v>0.95897849840899996</v>
      </c>
      <c r="E15214">
        <v>15.1244377811094</v>
      </c>
    </row>
    <row r="15215" spans="1:5">
      <c r="A15215" t="s">
        <v>17597</v>
      </c>
      <c r="B15215" t="s">
        <v>17601</v>
      </c>
      <c r="C15215">
        <f>0.333873402296</f>
        <v>0.33387340229599999</v>
      </c>
      <c r="D15215">
        <v>0.95897849840899996</v>
      </c>
      <c r="E15215">
        <v>15.1244377811094</v>
      </c>
    </row>
    <row r="15216" spans="1:5">
      <c r="A15216" t="s">
        <v>17597</v>
      </c>
      <c r="B15216" t="s">
        <v>17602</v>
      </c>
      <c r="C15216">
        <f>0</f>
        <v>0</v>
      </c>
      <c r="D15216">
        <v>0.95897849840899996</v>
      </c>
      <c r="E15216">
        <v>15.1244377811094</v>
      </c>
    </row>
    <row r="15217" spans="1:5">
      <c r="A15217" t="s">
        <v>17597</v>
      </c>
      <c r="B15217" t="s">
        <v>17603</v>
      </c>
      <c r="C15217">
        <f>0</f>
        <v>0</v>
      </c>
      <c r="D15217">
        <v>0.95897849840899996</v>
      </c>
      <c r="E15217">
        <v>15.1244377811094</v>
      </c>
    </row>
    <row r="15218" spans="1:5">
      <c r="A15218" t="s">
        <v>17597</v>
      </c>
      <c r="B15218" t="s">
        <v>17604</v>
      </c>
      <c r="C15218">
        <f>0</f>
        <v>0</v>
      </c>
      <c r="D15218">
        <v>0.95897849840899996</v>
      </c>
      <c r="E15218">
        <v>15.1244377811094</v>
      </c>
    </row>
    <row r="15219" spans="1:5">
      <c r="A15219" t="s">
        <v>17605</v>
      </c>
      <c r="B15219" t="s">
        <v>17606</v>
      </c>
      <c r="C15219">
        <v>0.27932363127799997</v>
      </c>
      <c r="D15219">
        <v>0.99139035593900005</v>
      </c>
      <c r="E15219">
        <v>15.316341829085401</v>
      </c>
    </row>
    <row r="15220" spans="1:5">
      <c r="A15220" t="s">
        <v>17605</v>
      </c>
      <c r="B15220" t="s">
        <v>17607</v>
      </c>
      <c r="C15220">
        <v>0</v>
      </c>
      <c r="D15220">
        <v>0.99139035593900005</v>
      </c>
      <c r="E15220">
        <v>15.316341829085401</v>
      </c>
    </row>
    <row r="15221" spans="1:5">
      <c r="A15221" t="s">
        <v>17605</v>
      </c>
      <c r="B15221" t="s">
        <v>17608</v>
      </c>
      <c r="C15221">
        <v>0</v>
      </c>
      <c r="D15221">
        <v>0.99139035593900005</v>
      </c>
      <c r="E15221">
        <v>15.316341829085401</v>
      </c>
    </row>
    <row r="15222" spans="1:5">
      <c r="A15222" t="s">
        <v>17605</v>
      </c>
      <c r="B15222" t="s">
        <v>17609</v>
      </c>
      <c r="C15222">
        <v>0</v>
      </c>
      <c r="D15222">
        <v>0.99139035593900005</v>
      </c>
      <c r="E15222">
        <v>15.316341829085401</v>
      </c>
    </row>
    <row r="15223" spans="1:5">
      <c r="A15223" t="s">
        <v>17605</v>
      </c>
      <c r="B15223" t="s">
        <v>17610</v>
      </c>
      <c r="C15223">
        <v>7.2090155049699997E-2</v>
      </c>
      <c r="D15223">
        <v>0.99139035593900005</v>
      </c>
      <c r="E15223">
        <v>15.316341829085401</v>
      </c>
    </row>
    <row r="15224" spans="1:5">
      <c r="A15224" t="s">
        <v>17605</v>
      </c>
      <c r="B15224" t="s">
        <v>17611</v>
      </c>
      <c r="C15224">
        <f>0</f>
        <v>0</v>
      </c>
      <c r="D15224">
        <v>0.99139035593900005</v>
      </c>
      <c r="E15224">
        <v>15.316341829085401</v>
      </c>
    </row>
    <row r="15225" spans="1:5">
      <c r="A15225" t="s">
        <v>17605</v>
      </c>
      <c r="B15225" t="s">
        <v>17612</v>
      </c>
      <c r="C15225">
        <f>0</f>
        <v>0</v>
      </c>
      <c r="D15225">
        <v>0.99139035593900005</v>
      </c>
      <c r="E15225">
        <v>15.316341829085401</v>
      </c>
    </row>
    <row r="15226" spans="1:5">
      <c r="A15226" t="s">
        <v>17605</v>
      </c>
      <c r="B15226" t="s">
        <v>17613</v>
      </c>
      <c r="C15226">
        <v>0</v>
      </c>
      <c r="D15226">
        <v>0.99139035593900005</v>
      </c>
      <c r="E15226">
        <v>15.316341829085401</v>
      </c>
    </row>
    <row r="15227" spans="1:5">
      <c r="A15227" t="s">
        <v>17605</v>
      </c>
      <c r="B15227" t="s">
        <v>17614</v>
      </c>
      <c r="C15227">
        <f>0</f>
        <v>0</v>
      </c>
      <c r="D15227">
        <v>0.99139035593900005</v>
      </c>
      <c r="E15227">
        <v>15.316341829085401</v>
      </c>
    </row>
    <row r="15228" spans="1:5">
      <c r="A15228" t="s">
        <v>17615</v>
      </c>
      <c r="B15228" t="s">
        <v>17616</v>
      </c>
      <c r="C15228">
        <f>0</f>
        <v>0</v>
      </c>
      <c r="D15228">
        <v>0.99471890440699995</v>
      </c>
      <c r="E15228">
        <v>15.5082458770614</v>
      </c>
    </row>
    <row r="15229" spans="1:5">
      <c r="A15229" t="s">
        <v>17615</v>
      </c>
      <c r="B15229" t="s">
        <v>17617</v>
      </c>
      <c r="C15229">
        <v>0</v>
      </c>
      <c r="D15229">
        <v>0.99471890440699995</v>
      </c>
      <c r="E15229">
        <v>15.5082458770614</v>
      </c>
    </row>
    <row r="15230" spans="1:5">
      <c r="A15230" t="s">
        <v>17615</v>
      </c>
      <c r="B15230" t="s">
        <v>17618</v>
      </c>
      <c r="C15230">
        <f>0</f>
        <v>0</v>
      </c>
      <c r="D15230">
        <v>0.99471890440699995</v>
      </c>
      <c r="E15230">
        <v>15.5082458770614</v>
      </c>
    </row>
    <row r="15231" spans="1:5">
      <c r="A15231" t="s">
        <v>17615</v>
      </c>
      <c r="B15231" t="s">
        <v>17619</v>
      </c>
      <c r="C15231">
        <f>0.243891275544</f>
        <v>0.243891275544</v>
      </c>
      <c r="D15231">
        <v>0.99471890440699995</v>
      </c>
      <c r="E15231">
        <v>15.5082458770614</v>
      </c>
    </row>
    <row r="15232" spans="1:5">
      <c r="A15232" t="s">
        <v>17615</v>
      </c>
      <c r="B15232" t="s">
        <v>17620</v>
      </c>
      <c r="C15232">
        <f>0</f>
        <v>0</v>
      </c>
      <c r="D15232">
        <v>0.99471890440699995</v>
      </c>
      <c r="E15232">
        <v>15.5082458770614</v>
      </c>
    </row>
    <row r="15233" spans="1:5">
      <c r="A15233" t="s">
        <v>17615</v>
      </c>
      <c r="B15233" t="s">
        <v>17621</v>
      </c>
      <c r="C15233">
        <v>0.14441331613200001</v>
      </c>
      <c r="D15233">
        <v>0.99471890440699995</v>
      </c>
      <c r="E15233">
        <v>15.5082458770614</v>
      </c>
    </row>
    <row r="15234" spans="1:5">
      <c r="A15234" t="s">
        <v>17615</v>
      </c>
      <c r="B15234" t="s">
        <v>17622</v>
      </c>
      <c r="C15234">
        <f>0</f>
        <v>0</v>
      </c>
      <c r="D15234">
        <v>0.99471890440699995</v>
      </c>
      <c r="E15234">
        <v>15.5082458770614</v>
      </c>
    </row>
    <row r="15235" spans="1:5">
      <c r="A15235" t="s">
        <v>17623</v>
      </c>
      <c r="B15235" t="s">
        <v>17624</v>
      </c>
      <c r="C15235">
        <v>0.10051671436</v>
      </c>
      <c r="D15235">
        <v>0.71487363551799998</v>
      </c>
      <c r="E15235">
        <v>7.4602698650674597</v>
      </c>
    </row>
    <row r="15236" spans="1:5">
      <c r="A15236" t="s">
        <v>17623</v>
      </c>
      <c r="B15236" t="s">
        <v>17625</v>
      </c>
      <c r="C15236">
        <v>0</v>
      </c>
      <c r="D15236">
        <v>0.71487363551799998</v>
      </c>
      <c r="E15236">
        <v>7.4602698650674597</v>
      </c>
    </row>
    <row r="15237" spans="1:5">
      <c r="A15237" t="s">
        <v>17626</v>
      </c>
      <c r="B15237" t="s">
        <v>17627</v>
      </c>
      <c r="C15237">
        <v>0</v>
      </c>
      <c r="D15237" t="s">
        <v>106</v>
      </c>
      <c r="E15237">
        <v>3.97001499250374</v>
      </c>
    </row>
    <row r="15238" spans="1:5">
      <c r="A15238" t="s">
        <v>17626</v>
      </c>
      <c r="B15238" t="s">
        <v>17628</v>
      </c>
      <c r="C15238">
        <v>0</v>
      </c>
      <c r="D15238" t="s">
        <v>106</v>
      </c>
      <c r="E15238">
        <v>3.97001499250374</v>
      </c>
    </row>
    <row r="15239" spans="1:5">
      <c r="A15239" t="s">
        <v>17626</v>
      </c>
      <c r="B15239" t="s">
        <v>17629</v>
      </c>
      <c r="C15239">
        <v>0</v>
      </c>
      <c r="D15239" t="s">
        <v>106</v>
      </c>
      <c r="E15239">
        <v>3.97001499250374</v>
      </c>
    </row>
    <row r="15240" spans="1:5">
      <c r="A15240" t="s">
        <v>17626</v>
      </c>
      <c r="B15240" t="s">
        <v>17630</v>
      </c>
      <c r="C15240">
        <f>0</f>
        <v>0</v>
      </c>
      <c r="D15240" t="s">
        <v>106</v>
      </c>
      <c r="E15240">
        <v>3.97001499250374</v>
      </c>
    </row>
    <row r="15241" spans="1:5">
      <c r="A15241" t="s">
        <v>17626</v>
      </c>
      <c r="B15241" t="s">
        <v>17631</v>
      </c>
      <c r="C15241">
        <v>0.14097652634899999</v>
      </c>
      <c r="D15241" t="s">
        <v>106</v>
      </c>
      <c r="E15241">
        <v>3.97001499250374</v>
      </c>
    </row>
    <row r="15242" spans="1:5">
      <c r="A15242" t="s">
        <v>17626</v>
      </c>
      <c r="B15242" t="s">
        <v>17632</v>
      </c>
      <c r="C15242">
        <v>0.212326991667</v>
      </c>
      <c r="D15242" t="s">
        <v>106</v>
      </c>
      <c r="E15242">
        <v>3.97001499250374</v>
      </c>
    </row>
    <row r="15243" spans="1:5">
      <c r="A15243" t="s">
        <v>17626</v>
      </c>
      <c r="B15243" t="s">
        <v>17633</v>
      </c>
      <c r="C15243">
        <v>0</v>
      </c>
      <c r="D15243" t="s">
        <v>106</v>
      </c>
      <c r="E15243">
        <v>3.97001499250374</v>
      </c>
    </row>
    <row r="15244" spans="1:5">
      <c r="A15244" t="s">
        <v>17634</v>
      </c>
      <c r="B15244" t="s">
        <v>17635</v>
      </c>
      <c r="C15244">
        <f>0</f>
        <v>0</v>
      </c>
      <c r="D15244">
        <v>0.982782485411</v>
      </c>
      <c r="E15244">
        <v>2.0269865067466202</v>
      </c>
    </row>
    <row r="15245" spans="1:5">
      <c r="A15245" t="s">
        <v>17634</v>
      </c>
      <c r="B15245" t="s">
        <v>17636</v>
      </c>
      <c r="C15245">
        <f>0</f>
        <v>0</v>
      </c>
      <c r="D15245">
        <v>0.982782485411</v>
      </c>
      <c r="E15245">
        <v>2.0269865067466202</v>
      </c>
    </row>
    <row r="15246" spans="1:5">
      <c r="A15246" t="s">
        <v>17634</v>
      </c>
      <c r="B15246" t="s">
        <v>17637</v>
      </c>
      <c r="C15246">
        <f>0</f>
        <v>0</v>
      </c>
      <c r="D15246">
        <v>0.982782485411</v>
      </c>
      <c r="E15246">
        <v>2.0269865067466202</v>
      </c>
    </row>
    <row r="15247" spans="1:5">
      <c r="A15247" t="s">
        <v>17634</v>
      </c>
      <c r="B15247" t="s">
        <v>17638</v>
      </c>
      <c r="C15247">
        <f>0</f>
        <v>0</v>
      </c>
      <c r="D15247">
        <v>0.982782485411</v>
      </c>
      <c r="E15247">
        <v>2.0269865067466202</v>
      </c>
    </row>
    <row r="15248" spans="1:5">
      <c r="A15248" t="s">
        <v>17634</v>
      </c>
      <c r="B15248" t="s">
        <v>17639</v>
      </c>
      <c r="C15248">
        <f>0</f>
        <v>0</v>
      </c>
      <c r="D15248">
        <v>0.982782485411</v>
      </c>
      <c r="E15248">
        <v>2.0269865067466202</v>
      </c>
    </row>
    <row r="15249" spans="1:5">
      <c r="A15249" t="s">
        <v>17634</v>
      </c>
      <c r="B15249" t="s">
        <v>17640</v>
      </c>
      <c r="C15249">
        <v>0</v>
      </c>
      <c r="D15249">
        <v>0.982782485411</v>
      </c>
      <c r="E15249">
        <v>2.0269865067466202</v>
      </c>
    </row>
    <row r="15250" spans="1:5">
      <c r="A15250" t="s">
        <v>17634</v>
      </c>
      <c r="B15250" t="s">
        <v>17641</v>
      </c>
      <c r="C15250">
        <f>0.0725135676038</f>
        <v>7.2513567603799997E-2</v>
      </c>
      <c r="D15250">
        <v>0.982782485411</v>
      </c>
      <c r="E15250">
        <v>2.0269865067466202</v>
      </c>
    </row>
    <row r="15251" spans="1:5">
      <c r="A15251" t="s">
        <v>17642</v>
      </c>
      <c r="B15251" t="s">
        <v>17643</v>
      </c>
      <c r="C15251">
        <v>0</v>
      </c>
      <c r="D15251" t="s">
        <v>106</v>
      </c>
      <c r="E15251">
        <v>11.5382308845577</v>
      </c>
    </row>
    <row r="15252" spans="1:5">
      <c r="A15252" t="s">
        <v>17642</v>
      </c>
      <c r="B15252" t="s">
        <v>17644</v>
      </c>
      <c r="C15252">
        <f>0</f>
        <v>0</v>
      </c>
      <c r="D15252" t="s">
        <v>106</v>
      </c>
      <c r="E15252">
        <v>11.5382308845577</v>
      </c>
    </row>
    <row r="15253" spans="1:5">
      <c r="A15253" t="s">
        <v>17642</v>
      </c>
      <c r="B15253" t="s">
        <v>17645</v>
      </c>
      <c r="C15253">
        <v>0</v>
      </c>
      <c r="D15253" t="s">
        <v>106</v>
      </c>
      <c r="E15253">
        <v>11.5382308845577</v>
      </c>
    </row>
    <row r="15254" spans="1:5">
      <c r="A15254" t="s">
        <v>17642</v>
      </c>
      <c r="B15254" t="s">
        <v>17646</v>
      </c>
      <c r="C15254">
        <v>0</v>
      </c>
      <c r="D15254" t="s">
        <v>106</v>
      </c>
      <c r="E15254">
        <v>11.5382308845577</v>
      </c>
    </row>
    <row r="15255" spans="1:5">
      <c r="A15255" t="s">
        <v>17642</v>
      </c>
      <c r="B15255" t="s">
        <v>17647</v>
      </c>
      <c r="C15255">
        <v>0</v>
      </c>
      <c r="D15255" t="s">
        <v>106</v>
      </c>
      <c r="E15255">
        <v>11.5382308845577</v>
      </c>
    </row>
    <row r="15256" spans="1:5">
      <c r="A15256" t="s">
        <v>17642</v>
      </c>
      <c r="B15256" t="s">
        <v>17648</v>
      </c>
      <c r="C15256">
        <v>0</v>
      </c>
      <c r="D15256" t="s">
        <v>106</v>
      </c>
      <c r="E15256">
        <v>11.5382308845577</v>
      </c>
    </row>
    <row r="15257" spans="1:5">
      <c r="A15257" t="s">
        <v>17642</v>
      </c>
      <c r="B15257" t="s">
        <v>17649</v>
      </c>
      <c r="C15257">
        <v>0</v>
      </c>
      <c r="D15257" t="s">
        <v>106</v>
      </c>
      <c r="E15257">
        <v>11.5382308845577</v>
      </c>
    </row>
    <row r="15258" spans="1:5">
      <c r="A15258" t="s">
        <v>17642</v>
      </c>
      <c r="B15258" t="s">
        <v>17650</v>
      </c>
      <c r="C15258">
        <v>0</v>
      </c>
      <c r="D15258" t="s">
        <v>106</v>
      </c>
      <c r="E15258">
        <v>11.5382308845577</v>
      </c>
    </row>
    <row r="15259" spans="1:5">
      <c r="A15259" t="s">
        <v>17651</v>
      </c>
      <c r="B15259" t="s">
        <v>17652</v>
      </c>
      <c r="C15259">
        <v>0</v>
      </c>
      <c r="D15259">
        <v>0.82671369481199997</v>
      </c>
      <c r="E15259">
        <v>24</v>
      </c>
    </row>
    <row r="15260" spans="1:5">
      <c r="A15260" t="s">
        <v>17651</v>
      </c>
      <c r="B15260" t="s">
        <v>17653</v>
      </c>
      <c r="C15260">
        <f>0</f>
        <v>0</v>
      </c>
      <c r="D15260">
        <v>0.82671369481199997</v>
      </c>
      <c r="E15260">
        <v>24</v>
      </c>
    </row>
    <row r="15261" spans="1:5">
      <c r="A15261" t="s">
        <v>17651</v>
      </c>
      <c r="B15261" t="s">
        <v>17654</v>
      </c>
      <c r="C15261">
        <f>0</f>
        <v>0</v>
      </c>
      <c r="D15261">
        <v>0.82671369481199997</v>
      </c>
      <c r="E15261">
        <v>24</v>
      </c>
    </row>
    <row r="15262" spans="1:5">
      <c r="A15262" t="s">
        <v>17651</v>
      </c>
      <c r="B15262" t="s">
        <v>17655</v>
      </c>
      <c r="C15262">
        <f>0.0191923061435</f>
        <v>1.9192306143499999E-2</v>
      </c>
      <c r="D15262">
        <v>0.82671369481199997</v>
      </c>
      <c r="E15262">
        <v>24</v>
      </c>
    </row>
    <row r="15263" spans="1:5">
      <c r="A15263" t="s">
        <v>17651</v>
      </c>
      <c r="B15263" t="s">
        <v>17656</v>
      </c>
      <c r="C15263">
        <v>0</v>
      </c>
      <c r="D15263">
        <v>0.82671369481199997</v>
      </c>
      <c r="E15263">
        <v>24</v>
      </c>
    </row>
    <row r="15264" spans="1:5">
      <c r="A15264" t="s">
        <v>17651</v>
      </c>
      <c r="B15264" t="s">
        <v>17657</v>
      </c>
      <c r="C15264">
        <f>0</f>
        <v>0</v>
      </c>
      <c r="D15264">
        <v>0.82671369481199997</v>
      </c>
      <c r="E15264">
        <v>24</v>
      </c>
    </row>
    <row r="15265" spans="1:5">
      <c r="A15265" t="s">
        <v>17651</v>
      </c>
      <c r="B15265" t="s">
        <v>17658</v>
      </c>
      <c r="C15265">
        <f>0</f>
        <v>0</v>
      </c>
      <c r="D15265">
        <v>0.82671369481199997</v>
      </c>
      <c r="E15265">
        <v>24</v>
      </c>
    </row>
    <row r="15266" spans="1:5">
      <c r="A15266" t="s">
        <v>17651</v>
      </c>
      <c r="B15266" t="s">
        <v>17659</v>
      </c>
      <c r="C15266">
        <v>0.10444102677</v>
      </c>
      <c r="D15266">
        <v>0.82671369481199997</v>
      </c>
      <c r="E15266">
        <v>24</v>
      </c>
    </row>
    <row r="15267" spans="1:5">
      <c r="A15267" t="s">
        <v>17660</v>
      </c>
      <c r="B15267" t="s">
        <v>17661</v>
      </c>
      <c r="C15267">
        <v>0</v>
      </c>
      <c r="D15267">
        <v>0.69194976447199996</v>
      </c>
      <c r="E15267">
        <v>9.9190404797601204</v>
      </c>
    </row>
    <row r="15268" spans="1:5">
      <c r="A15268" t="s">
        <v>17660</v>
      </c>
      <c r="B15268" t="s">
        <v>17662</v>
      </c>
      <c r="C15268">
        <v>0</v>
      </c>
      <c r="D15268">
        <v>0.69194976447199996</v>
      </c>
      <c r="E15268">
        <v>9.9190404797601204</v>
      </c>
    </row>
    <row r="15269" spans="1:5">
      <c r="A15269" t="s">
        <v>17660</v>
      </c>
      <c r="B15269" t="s">
        <v>17663</v>
      </c>
      <c r="C15269">
        <v>0</v>
      </c>
      <c r="D15269">
        <v>0.69194976447199996</v>
      </c>
      <c r="E15269">
        <v>9.9190404797601204</v>
      </c>
    </row>
    <row r="15270" spans="1:5">
      <c r="A15270" t="s">
        <v>17660</v>
      </c>
      <c r="B15270" t="s">
        <v>17664</v>
      </c>
      <c r="C15270">
        <v>0</v>
      </c>
      <c r="D15270">
        <v>0.69194976447199996</v>
      </c>
      <c r="E15270">
        <v>9.9190404797601204</v>
      </c>
    </row>
    <row r="15271" spans="1:5">
      <c r="A15271" t="s">
        <v>17660</v>
      </c>
      <c r="B15271" t="s">
        <v>17665</v>
      </c>
      <c r="C15271">
        <v>0</v>
      </c>
      <c r="D15271">
        <v>0.69194976447199996</v>
      </c>
      <c r="E15271">
        <v>9.9190404797601204</v>
      </c>
    </row>
    <row r="15272" spans="1:5">
      <c r="A15272" t="s">
        <v>17660</v>
      </c>
      <c r="B15272" t="s">
        <v>17666</v>
      </c>
      <c r="C15272">
        <v>0</v>
      </c>
      <c r="D15272">
        <v>0.69194976447199996</v>
      </c>
      <c r="E15272">
        <v>9.9190404797601204</v>
      </c>
    </row>
    <row r="15273" spans="1:5">
      <c r="A15273" t="s">
        <v>17660</v>
      </c>
      <c r="B15273" t="s">
        <v>17667</v>
      </c>
      <c r="C15273">
        <f>0</f>
        <v>0</v>
      </c>
      <c r="D15273">
        <v>0.69194976447199996</v>
      </c>
      <c r="E15273">
        <v>9.9190404797601204</v>
      </c>
    </row>
    <row r="15274" spans="1:5">
      <c r="A15274" t="s">
        <v>17660</v>
      </c>
      <c r="B15274" t="s">
        <v>17668</v>
      </c>
      <c r="C15274">
        <f>0</f>
        <v>0</v>
      </c>
      <c r="D15274">
        <v>0.69194976447199996</v>
      </c>
      <c r="E15274">
        <v>9.9190404797601204</v>
      </c>
    </row>
    <row r="15275" spans="1:5">
      <c r="A15275" t="s">
        <v>17660</v>
      </c>
      <c r="B15275" t="s">
        <v>17669</v>
      </c>
      <c r="C15275">
        <v>2.7053904289699999E-3</v>
      </c>
      <c r="D15275">
        <v>0.69194976447199996</v>
      </c>
      <c r="E15275">
        <v>9.9190404797601204</v>
      </c>
    </row>
    <row r="15276" spans="1:5">
      <c r="A15276" t="s">
        <v>17670</v>
      </c>
      <c r="B15276" t="s">
        <v>17671</v>
      </c>
      <c r="C15276">
        <v>0.187606313592</v>
      </c>
      <c r="D15276" t="s">
        <v>106</v>
      </c>
      <c r="E15276">
        <v>24</v>
      </c>
    </row>
    <row r="15277" spans="1:5">
      <c r="A15277" t="s">
        <v>17670</v>
      </c>
      <c r="B15277" t="s">
        <v>17672</v>
      </c>
      <c r="C15277">
        <v>1.6937965860000001E-2</v>
      </c>
      <c r="D15277" t="s">
        <v>106</v>
      </c>
      <c r="E15277">
        <v>24</v>
      </c>
    </row>
    <row r="15278" spans="1:5">
      <c r="A15278" t="s">
        <v>17673</v>
      </c>
      <c r="B15278" t="s">
        <v>17674</v>
      </c>
      <c r="C15278">
        <v>0</v>
      </c>
      <c r="D15278">
        <v>0.87501862802999997</v>
      </c>
      <c r="E15278">
        <v>3.7781109445277301</v>
      </c>
    </row>
    <row r="15279" spans="1:5">
      <c r="A15279" t="s">
        <v>17673</v>
      </c>
      <c r="B15279" t="s">
        <v>17675</v>
      </c>
      <c r="C15279">
        <f>0.0449827257126</f>
        <v>4.4982725712600001E-2</v>
      </c>
      <c r="D15279">
        <v>0.87501862802999997</v>
      </c>
      <c r="E15279">
        <v>3.7781109445277301</v>
      </c>
    </row>
    <row r="15280" spans="1:5">
      <c r="A15280" t="s">
        <v>17673</v>
      </c>
      <c r="B15280" t="s">
        <v>17676</v>
      </c>
      <c r="C15280">
        <f>0</f>
        <v>0</v>
      </c>
      <c r="D15280">
        <v>0.87501862802999997</v>
      </c>
      <c r="E15280">
        <v>3.7781109445277301</v>
      </c>
    </row>
    <row r="15281" spans="1:5">
      <c r="A15281" t="s">
        <v>17673</v>
      </c>
      <c r="B15281" t="s">
        <v>17677</v>
      </c>
      <c r="C15281">
        <f>0</f>
        <v>0</v>
      </c>
      <c r="D15281">
        <v>0.87501862802999997</v>
      </c>
      <c r="E15281">
        <v>3.7781109445277301</v>
      </c>
    </row>
    <row r="15282" spans="1:5">
      <c r="A15282" t="s">
        <v>17673</v>
      </c>
      <c r="B15282" t="s">
        <v>17678</v>
      </c>
      <c r="C15282">
        <f>0</f>
        <v>0</v>
      </c>
      <c r="D15282">
        <v>0.87501862802999997</v>
      </c>
      <c r="E15282">
        <v>3.7781109445277301</v>
      </c>
    </row>
    <row r="15283" spans="1:5">
      <c r="A15283" t="s">
        <v>17673</v>
      </c>
      <c r="B15283" t="s">
        <v>17679</v>
      </c>
      <c r="C15283">
        <f>0</f>
        <v>0</v>
      </c>
      <c r="D15283">
        <v>0.87501862802999997</v>
      </c>
      <c r="E15283">
        <v>3.7781109445277301</v>
      </c>
    </row>
    <row r="15284" spans="1:5">
      <c r="A15284" t="s">
        <v>17673</v>
      </c>
      <c r="B15284" t="s">
        <v>17680</v>
      </c>
      <c r="C15284">
        <f>0</f>
        <v>0</v>
      </c>
      <c r="D15284">
        <v>0.87501862802999997</v>
      </c>
      <c r="E15284">
        <v>3.7781109445277301</v>
      </c>
    </row>
    <row r="15285" spans="1:5">
      <c r="A15285" t="s">
        <v>17673</v>
      </c>
      <c r="B15285" t="s">
        <v>17681</v>
      </c>
      <c r="C15285">
        <f>0</f>
        <v>0</v>
      </c>
      <c r="D15285">
        <v>0.87501862802999997</v>
      </c>
      <c r="E15285">
        <v>3.7781109445277301</v>
      </c>
    </row>
    <row r="15286" spans="1:5">
      <c r="A15286" t="s">
        <v>17673</v>
      </c>
      <c r="B15286" t="s">
        <v>17682</v>
      </c>
      <c r="C15286">
        <f>0</f>
        <v>0</v>
      </c>
      <c r="D15286">
        <v>0.87501862802999997</v>
      </c>
      <c r="E15286">
        <v>3.7781109445277301</v>
      </c>
    </row>
    <row r="15287" spans="1:5">
      <c r="A15287" t="s">
        <v>17683</v>
      </c>
      <c r="B15287" t="s">
        <v>17684</v>
      </c>
      <c r="C15287">
        <v>0</v>
      </c>
      <c r="D15287" t="s">
        <v>106</v>
      </c>
      <c r="E15287">
        <v>15.1244377811094</v>
      </c>
    </row>
    <row r="15288" spans="1:5">
      <c r="A15288" t="s">
        <v>17683</v>
      </c>
      <c r="B15288" t="s">
        <v>17685</v>
      </c>
      <c r="C15288">
        <v>0</v>
      </c>
      <c r="D15288" t="s">
        <v>106</v>
      </c>
      <c r="E15288">
        <v>15.1244377811094</v>
      </c>
    </row>
    <row r="15289" spans="1:5">
      <c r="A15289" t="s">
        <v>17683</v>
      </c>
      <c r="B15289" t="s">
        <v>17686</v>
      </c>
      <c r="C15289">
        <v>0</v>
      </c>
      <c r="D15289" t="s">
        <v>106</v>
      </c>
      <c r="E15289">
        <v>15.1244377811094</v>
      </c>
    </row>
    <row r="15290" spans="1:5">
      <c r="A15290" t="s">
        <v>17687</v>
      </c>
      <c r="B15290" t="s">
        <v>17688</v>
      </c>
      <c r="C15290">
        <v>0</v>
      </c>
      <c r="D15290" t="s">
        <v>106</v>
      </c>
      <c r="E15290">
        <v>4.0659670164917499</v>
      </c>
    </row>
    <row r="15291" spans="1:5">
      <c r="A15291" t="s">
        <v>17687</v>
      </c>
      <c r="B15291" t="s">
        <v>17689</v>
      </c>
      <c r="C15291">
        <f>0</f>
        <v>0</v>
      </c>
      <c r="D15291" t="s">
        <v>106</v>
      </c>
      <c r="E15291">
        <v>4.0659670164917499</v>
      </c>
    </row>
    <row r="15292" spans="1:5">
      <c r="A15292" t="s">
        <v>17687</v>
      </c>
      <c r="B15292" t="s">
        <v>17690</v>
      </c>
      <c r="C15292">
        <v>0.19707485682600001</v>
      </c>
      <c r="D15292" t="s">
        <v>106</v>
      </c>
      <c r="E15292">
        <v>4.0659670164917499</v>
      </c>
    </row>
    <row r="15293" spans="1:5">
      <c r="A15293" t="s">
        <v>17687</v>
      </c>
      <c r="B15293" t="s">
        <v>17691</v>
      </c>
      <c r="C15293">
        <v>0</v>
      </c>
      <c r="D15293" t="s">
        <v>106</v>
      </c>
      <c r="E15293">
        <v>4.0659670164917499</v>
      </c>
    </row>
    <row r="15294" spans="1:5">
      <c r="A15294" t="s">
        <v>17687</v>
      </c>
      <c r="B15294" t="s">
        <v>17692</v>
      </c>
      <c r="C15294">
        <v>9.5496355196499991E-3</v>
      </c>
      <c r="D15294" t="s">
        <v>106</v>
      </c>
      <c r="E15294">
        <v>4.0659670164917499</v>
      </c>
    </row>
    <row r="15295" spans="1:5">
      <c r="A15295" t="s">
        <v>17687</v>
      </c>
      <c r="B15295" t="s">
        <v>17693</v>
      </c>
      <c r="C15295">
        <v>0</v>
      </c>
      <c r="D15295" t="s">
        <v>106</v>
      </c>
      <c r="E15295">
        <v>4.0659670164917499</v>
      </c>
    </row>
    <row r="15296" spans="1:5">
      <c r="A15296" t="s">
        <v>17687</v>
      </c>
      <c r="B15296" t="s">
        <v>17694</v>
      </c>
      <c r="C15296">
        <v>0</v>
      </c>
      <c r="D15296" t="s">
        <v>106</v>
      </c>
      <c r="E15296">
        <v>4.0659670164917499</v>
      </c>
    </row>
    <row r="15297" spans="1:5">
      <c r="A15297" t="s">
        <v>17695</v>
      </c>
      <c r="B15297" t="s">
        <v>17696</v>
      </c>
      <c r="C15297">
        <v>9.3848089173200006E-2</v>
      </c>
      <c r="D15297">
        <v>0.83784590478099996</v>
      </c>
      <c r="E15297">
        <v>21.181409295352299</v>
      </c>
    </row>
    <row r="15298" spans="1:5">
      <c r="A15298" t="s">
        <v>17695</v>
      </c>
      <c r="B15298" t="s">
        <v>17697</v>
      </c>
      <c r="C15298">
        <f>0</f>
        <v>0</v>
      </c>
      <c r="D15298">
        <v>0.83784590478099996</v>
      </c>
      <c r="E15298">
        <v>21.181409295352299</v>
      </c>
    </row>
    <row r="15299" spans="1:5">
      <c r="A15299" t="s">
        <v>17695</v>
      </c>
      <c r="B15299" t="s">
        <v>17698</v>
      </c>
      <c r="C15299">
        <v>4.1424576783800002E-2</v>
      </c>
      <c r="D15299">
        <v>0.83784590478099996</v>
      </c>
      <c r="E15299">
        <v>21.181409295352299</v>
      </c>
    </row>
    <row r="15300" spans="1:5">
      <c r="A15300" t="s">
        <v>17699</v>
      </c>
      <c r="B15300" t="s">
        <v>17700</v>
      </c>
      <c r="C15300">
        <v>0.699360966546</v>
      </c>
      <c r="D15300">
        <v>0.90234316273500004</v>
      </c>
      <c r="E15300">
        <v>2.6386806596701602</v>
      </c>
    </row>
    <row r="15301" spans="1:5">
      <c r="A15301" t="s">
        <v>17701</v>
      </c>
      <c r="B15301" t="s">
        <v>17702</v>
      </c>
      <c r="C15301">
        <f>0</f>
        <v>0</v>
      </c>
      <c r="D15301">
        <v>0.97105015335199996</v>
      </c>
      <c r="E15301">
        <v>5.9370314842578704</v>
      </c>
    </row>
    <row r="15302" spans="1:5">
      <c r="A15302" t="s">
        <v>17701</v>
      </c>
      <c r="B15302" t="s">
        <v>17703</v>
      </c>
      <c r="C15302">
        <f>0</f>
        <v>0</v>
      </c>
      <c r="D15302">
        <v>0.97105015335199996</v>
      </c>
      <c r="E15302">
        <v>5.9370314842578704</v>
      </c>
    </row>
    <row r="15303" spans="1:5">
      <c r="A15303" t="s">
        <v>17701</v>
      </c>
      <c r="B15303" t="s">
        <v>17704</v>
      </c>
      <c r="C15303">
        <v>0</v>
      </c>
      <c r="D15303">
        <v>0.97105015335199996</v>
      </c>
      <c r="E15303">
        <v>5.9370314842578704</v>
      </c>
    </row>
    <row r="15304" spans="1:5">
      <c r="A15304" t="s">
        <v>17701</v>
      </c>
      <c r="B15304" t="s">
        <v>17705</v>
      </c>
      <c r="C15304">
        <v>0</v>
      </c>
      <c r="D15304">
        <v>0.97105015335199996</v>
      </c>
      <c r="E15304">
        <v>5.9370314842578704</v>
      </c>
    </row>
    <row r="15305" spans="1:5">
      <c r="A15305" t="s">
        <v>17701</v>
      </c>
      <c r="B15305" t="s">
        <v>17706</v>
      </c>
      <c r="C15305">
        <f>0</f>
        <v>0</v>
      </c>
      <c r="D15305">
        <v>0.97105015335199996</v>
      </c>
      <c r="E15305">
        <v>5.9370314842578704</v>
      </c>
    </row>
    <row r="15306" spans="1:5">
      <c r="A15306" t="s">
        <v>17707</v>
      </c>
      <c r="B15306" t="s">
        <v>17708</v>
      </c>
      <c r="C15306">
        <v>0</v>
      </c>
      <c r="D15306">
        <v>0.88515441933299999</v>
      </c>
      <c r="E15306">
        <v>24</v>
      </c>
    </row>
    <row r="15307" spans="1:5">
      <c r="A15307" t="s">
        <v>17707</v>
      </c>
      <c r="B15307" t="s">
        <v>17709</v>
      </c>
      <c r="C15307">
        <f>0</f>
        <v>0</v>
      </c>
      <c r="D15307">
        <v>0.88515441933299999</v>
      </c>
      <c r="E15307">
        <v>24</v>
      </c>
    </row>
    <row r="15308" spans="1:5">
      <c r="A15308" t="s">
        <v>17707</v>
      </c>
      <c r="B15308" t="s">
        <v>17710</v>
      </c>
      <c r="C15308">
        <v>3.5261295707900001E-2</v>
      </c>
      <c r="D15308">
        <v>0.88515441933299999</v>
      </c>
      <c r="E15308">
        <v>24</v>
      </c>
    </row>
    <row r="15309" spans="1:5">
      <c r="A15309" t="s">
        <v>17707</v>
      </c>
      <c r="B15309" t="s">
        <v>17711</v>
      </c>
      <c r="C15309">
        <f>0</f>
        <v>0</v>
      </c>
      <c r="D15309">
        <v>0.88515441933299999</v>
      </c>
      <c r="E15309">
        <v>24</v>
      </c>
    </row>
    <row r="15310" spans="1:5">
      <c r="A15310" t="s">
        <v>17707</v>
      </c>
      <c r="B15310" t="s">
        <v>17712</v>
      </c>
      <c r="C15310">
        <f>0</f>
        <v>0</v>
      </c>
      <c r="D15310">
        <v>0.88515441933299999</v>
      </c>
      <c r="E15310">
        <v>24</v>
      </c>
    </row>
    <row r="15311" spans="1:5">
      <c r="A15311" t="s">
        <v>17707</v>
      </c>
      <c r="B15311" t="s">
        <v>17713</v>
      </c>
      <c r="C15311">
        <v>0</v>
      </c>
      <c r="D15311">
        <v>0.88515441933299999</v>
      </c>
      <c r="E15311">
        <v>24</v>
      </c>
    </row>
    <row r="15312" spans="1:5">
      <c r="A15312" t="s">
        <v>17707</v>
      </c>
      <c r="B15312" t="s">
        <v>17714</v>
      </c>
      <c r="C15312">
        <f>0</f>
        <v>0</v>
      </c>
      <c r="D15312">
        <v>0.88515441933299999</v>
      </c>
      <c r="E15312">
        <v>24</v>
      </c>
    </row>
    <row r="15313" spans="1:5">
      <c r="A15313" t="s">
        <v>17707</v>
      </c>
      <c r="B15313" t="s">
        <v>17715</v>
      </c>
      <c r="C15313">
        <v>0</v>
      </c>
      <c r="D15313">
        <v>0.88515441933299999</v>
      </c>
      <c r="E15313">
        <v>24</v>
      </c>
    </row>
    <row r="15314" spans="1:5">
      <c r="A15314" t="s">
        <v>17716</v>
      </c>
      <c r="B15314" t="s">
        <v>17717</v>
      </c>
      <c r="C15314">
        <v>0</v>
      </c>
      <c r="D15314">
        <v>0.99900432185800003</v>
      </c>
      <c r="E15314">
        <v>3.4902548725637099</v>
      </c>
    </row>
    <row r="15315" spans="1:5">
      <c r="A15315" t="s">
        <v>17716</v>
      </c>
      <c r="B15315" t="s">
        <v>17718</v>
      </c>
      <c r="C15315">
        <v>0</v>
      </c>
      <c r="D15315">
        <v>0.99900432185800003</v>
      </c>
      <c r="E15315">
        <v>3.4902548725637099</v>
      </c>
    </row>
    <row r="15316" spans="1:5">
      <c r="A15316" t="s">
        <v>17716</v>
      </c>
      <c r="B15316" t="s">
        <v>17719</v>
      </c>
      <c r="C15316">
        <f>0</f>
        <v>0</v>
      </c>
      <c r="D15316">
        <v>0.99900432185800003</v>
      </c>
      <c r="E15316">
        <v>3.4902548725637099</v>
      </c>
    </row>
    <row r="15317" spans="1:5">
      <c r="A15317" t="s">
        <v>17716</v>
      </c>
      <c r="B15317" t="s">
        <v>17720</v>
      </c>
      <c r="C15317">
        <f>0</f>
        <v>0</v>
      </c>
      <c r="D15317">
        <v>0.99900432185800003</v>
      </c>
      <c r="E15317">
        <v>3.4902548725637099</v>
      </c>
    </row>
    <row r="15318" spans="1:5">
      <c r="A15318" t="s">
        <v>17716</v>
      </c>
      <c r="B15318" t="s">
        <v>17721</v>
      </c>
      <c r="C15318">
        <v>0.170354850226</v>
      </c>
      <c r="D15318">
        <v>0.99900432185800003</v>
      </c>
      <c r="E15318">
        <v>3.4902548725637099</v>
      </c>
    </row>
    <row r="15319" spans="1:5">
      <c r="A15319" t="s">
        <v>17716</v>
      </c>
      <c r="B15319" t="s">
        <v>17722</v>
      </c>
      <c r="C15319">
        <v>0</v>
      </c>
      <c r="D15319">
        <v>0.99900432185800003</v>
      </c>
      <c r="E15319">
        <v>3.4902548725637099</v>
      </c>
    </row>
    <row r="15320" spans="1:5">
      <c r="A15320" t="s">
        <v>17723</v>
      </c>
      <c r="B15320" t="s">
        <v>17724</v>
      </c>
      <c r="C15320">
        <f>0</f>
        <v>0</v>
      </c>
      <c r="D15320">
        <v>0.85865683419700001</v>
      </c>
      <c r="E15320">
        <v>24</v>
      </c>
    </row>
    <row r="15321" spans="1:5">
      <c r="A15321" t="s">
        <v>17723</v>
      </c>
      <c r="B15321" t="s">
        <v>17725</v>
      </c>
      <c r="C15321">
        <v>0</v>
      </c>
      <c r="D15321">
        <v>0.85865683419700001</v>
      </c>
      <c r="E15321">
        <v>24</v>
      </c>
    </row>
    <row r="15322" spans="1:5">
      <c r="A15322" t="s">
        <v>17723</v>
      </c>
      <c r="B15322" t="s">
        <v>17726</v>
      </c>
      <c r="C15322">
        <f>0</f>
        <v>0</v>
      </c>
      <c r="D15322">
        <v>0.85865683419700001</v>
      </c>
      <c r="E15322">
        <v>24</v>
      </c>
    </row>
    <row r="15323" spans="1:5">
      <c r="A15323" t="s">
        <v>17723</v>
      </c>
      <c r="B15323" t="s">
        <v>17727</v>
      </c>
      <c r="C15323">
        <f>0</f>
        <v>0</v>
      </c>
      <c r="D15323">
        <v>0.85865683419700001</v>
      </c>
      <c r="E15323">
        <v>24</v>
      </c>
    </row>
    <row r="15324" spans="1:5">
      <c r="A15324" t="s">
        <v>17728</v>
      </c>
      <c r="B15324" t="s">
        <v>17729</v>
      </c>
      <c r="C15324">
        <f>0</f>
        <v>0</v>
      </c>
      <c r="D15324">
        <v>0.92453225327800004</v>
      </c>
      <c r="E15324">
        <v>5.2413793103448203</v>
      </c>
    </row>
    <row r="15325" spans="1:5">
      <c r="A15325" t="s">
        <v>17728</v>
      </c>
      <c r="B15325" t="s">
        <v>17730</v>
      </c>
      <c r="C15325">
        <v>0</v>
      </c>
      <c r="D15325">
        <v>0.92453225327800004</v>
      </c>
      <c r="E15325">
        <v>5.2413793103448203</v>
      </c>
    </row>
    <row r="15326" spans="1:5">
      <c r="A15326" t="s">
        <v>17728</v>
      </c>
      <c r="B15326" t="s">
        <v>17731</v>
      </c>
      <c r="C15326">
        <v>0</v>
      </c>
      <c r="D15326">
        <v>0.92453225327800004</v>
      </c>
      <c r="E15326">
        <v>5.2413793103448203</v>
      </c>
    </row>
    <row r="15327" spans="1:5">
      <c r="A15327" t="s">
        <v>17728</v>
      </c>
      <c r="B15327" t="s">
        <v>17732</v>
      </c>
      <c r="C15327">
        <v>0</v>
      </c>
      <c r="D15327">
        <v>0.92453225327800004</v>
      </c>
      <c r="E15327">
        <v>5.2413793103448203</v>
      </c>
    </row>
    <row r="15328" spans="1:5">
      <c r="A15328" t="s">
        <v>17728</v>
      </c>
      <c r="B15328" t="s">
        <v>17733</v>
      </c>
      <c r="C15328">
        <f>0</f>
        <v>0</v>
      </c>
      <c r="D15328">
        <v>0.92453225327800004</v>
      </c>
      <c r="E15328">
        <v>5.2413793103448203</v>
      </c>
    </row>
    <row r="15329" spans="1:5">
      <c r="A15329" t="s">
        <v>17734</v>
      </c>
      <c r="B15329" t="s">
        <v>17735</v>
      </c>
      <c r="C15329">
        <v>0</v>
      </c>
      <c r="D15329">
        <v>0.97258992930999999</v>
      </c>
      <c r="E15329">
        <v>15.1244377811094</v>
      </c>
    </row>
    <row r="15330" spans="1:5">
      <c r="A15330" t="s">
        <v>17734</v>
      </c>
      <c r="B15330" t="s">
        <v>17736</v>
      </c>
      <c r="C15330">
        <v>8.2457498713799995E-2</v>
      </c>
      <c r="D15330">
        <v>0.97258992930999999</v>
      </c>
      <c r="E15330">
        <v>15.1244377811094</v>
      </c>
    </row>
    <row r="15331" spans="1:5">
      <c r="A15331" t="s">
        <v>17734</v>
      </c>
      <c r="B15331" t="s">
        <v>17737</v>
      </c>
      <c r="C15331">
        <v>0.24521208039699999</v>
      </c>
      <c r="D15331">
        <v>0.97258992930999999</v>
      </c>
      <c r="E15331">
        <v>15.1244377811094</v>
      </c>
    </row>
    <row r="15332" spans="1:5">
      <c r="A15332" t="s">
        <v>17734</v>
      </c>
      <c r="B15332" t="s">
        <v>17738</v>
      </c>
      <c r="C15332">
        <v>0</v>
      </c>
      <c r="D15332">
        <v>0.97258992930999999</v>
      </c>
      <c r="E15332">
        <v>15.1244377811094</v>
      </c>
    </row>
    <row r="15333" spans="1:5">
      <c r="A15333" t="s">
        <v>17734</v>
      </c>
      <c r="B15333" t="s">
        <v>17739</v>
      </c>
      <c r="C15333">
        <v>0</v>
      </c>
      <c r="D15333">
        <v>0.97258992930999999</v>
      </c>
      <c r="E15333">
        <v>15.1244377811094</v>
      </c>
    </row>
    <row r="15334" spans="1:5">
      <c r="A15334" t="s">
        <v>17740</v>
      </c>
      <c r="B15334" t="s">
        <v>17741</v>
      </c>
      <c r="C15334">
        <v>0.17153458002899999</v>
      </c>
      <c r="D15334">
        <v>0.33388161210799999</v>
      </c>
      <c r="E15334">
        <v>9.0194902548725597</v>
      </c>
    </row>
    <row r="15335" spans="1:5">
      <c r="A15335" t="s">
        <v>17742</v>
      </c>
      <c r="B15335" t="s">
        <v>17743</v>
      </c>
      <c r="C15335">
        <f>0.213026580391</f>
        <v>0.213026580391</v>
      </c>
      <c r="D15335">
        <v>0.82633155443100004</v>
      </c>
      <c r="E15335">
        <v>9.9190404797601204</v>
      </c>
    </row>
    <row r="15336" spans="1:5">
      <c r="A15336" t="s">
        <v>17744</v>
      </c>
      <c r="B15336" t="s">
        <v>17745</v>
      </c>
      <c r="C15336">
        <v>0.88063123312900005</v>
      </c>
      <c r="D15336">
        <v>0.95490189671900005</v>
      </c>
      <c r="E15336">
        <v>1.7631184407796101</v>
      </c>
    </row>
    <row r="15337" spans="1:5">
      <c r="A15337" t="s">
        <v>17744</v>
      </c>
      <c r="B15337" t="s">
        <v>17746</v>
      </c>
      <c r="C15337">
        <v>0</v>
      </c>
      <c r="D15337">
        <v>0.95490189671900005</v>
      </c>
      <c r="E15337">
        <v>1.7631184407796101</v>
      </c>
    </row>
    <row r="15338" spans="1:5">
      <c r="A15338" t="s">
        <v>17744</v>
      </c>
      <c r="B15338" t="s">
        <v>17747</v>
      </c>
      <c r="C15338">
        <v>0</v>
      </c>
      <c r="D15338">
        <v>0.95490189671900005</v>
      </c>
      <c r="E15338">
        <v>1.7631184407796101</v>
      </c>
    </row>
    <row r="15339" spans="1:5">
      <c r="A15339" t="s">
        <v>17744</v>
      </c>
      <c r="B15339" t="s">
        <v>17748</v>
      </c>
      <c r="C15339">
        <v>0</v>
      </c>
      <c r="D15339">
        <v>0.95490189671900005</v>
      </c>
      <c r="E15339">
        <v>1.7631184407796101</v>
      </c>
    </row>
    <row r="15340" spans="1:5">
      <c r="A15340" t="s">
        <v>17749</v>
      </c>
      <c r="B15340" t="s">
        <v>17750</v>
      </c>
      <c r="C15340">
        <v>0.44253232036399998</v>
      </c>
      <c r="D15340">
        <v>0.98414040391199997</v>
      </c>
      <c r="E15340">
        <v>10.710644677661101</v>
      </c>
    </row>
    <row r="15341" spans="1:5">
      <c r="A15341" t="s">
        <v>17749</v>
      </c>
      <c r="B15341" t="s">
        <v>17751</v>
      </c>
      <c r="C15341">
        <v>0</v>
      </c>
      <c r="D15341">
        <v>0.98414040391199997</v>
      </c>
      <c r="E15341">
        <v>10.710644677661101</v>
      </c>
    </row>
    <row r="15342" spans="1:5">
      <c r="A15342" t="s">
        <v>17749</v>
      </c>
      <c r="B15342" t="s">
        <v>17752</v>
      </c>
      <c r="C15342">
        <v>0</v>
      </c>
      <c r="D15342">
        <v>0.98414040391199997</v>
      </c>
      <c r="E15342">
        <v>10.710644677661101</v>
      </c>
    </row>
    <row r="15343" spans="1:5">
      <c r="A15343" t="s">
        <v>17749</v>
      </c>
      <c r="B15343" t="s">
        <v>17753</v>
      </c>
      <c r="C15343">
        <v>0</v>
      </c>
      <c r="D15343">
        <v>0.98414040391199997</v>
      </c>
      <c r="E15343">
        <v>10.710644677661101</v>
      </c>
    </row>
    <row r="15344" spans="1:5">
      <c r="A15344" t="s">
        <v>17749</v>
      </c>
      <c r="B15344" t="s">
        <v>17754</v>
      </c>
      <c r="C15344">
        <v>0</v>
      </c>
      <c r="D15344">
        <v>0.98414040391199997</v>
      </c>
      <c r="E15344">
        <v>10.710644677661101</v>
      </c>
    </row>
    <row r="15345" spans="1:5">
      <c r="A15345" t="s">
        <v>17749</v>
      </c>
      <c r="B15345" t="s">
        <v>17755</v>
      </c>
      <c r="C15345">
        <v>0</v>
      </c>
      <c r="D15345">
        <v>0.98414040391199997</v>
      </c>
      <c r="E15345">
        <v>10.710644677661101</v>
      </c>
    </row>
    <row r="15346" spans="1:5">
      <c r="A15346" t="s">
        <v>17749</v>
      </c>
      <c r="B15346" t="s">
        <v>17756</v>
      </c>
      <c r="C15346">
        <v>0</v>
      </c>
      <c r="D15346">
        <v>0.98414040391199997</v>
      </c>
      <c r="E15346">
        <v>10.710644677661101</v>
      </c>
    </row>
    <row r="15347" spans="1:5">
      <c r="A15347" t="s">
        <v>17749</v>
      </c>
      <c r="B15347" t="s">
        <v>17757</v>
      </c>
      <c r="C15347">
        <v>0</v>
      </c>
      <c r="D15347">
        <v>0.98414040391199997</v>
      </c>
      <c r="E15347">
        <v>10.710644677661101</v>
      </c>
    </row>
    <row r="15348" spans="1:5">
      <c r="A15348" t="s">
        <v>17749</v>
      </c>
      <c r="B15348" t="s">
        <v>17758</v>
      </c>
      <c r="C15348">
        <f>0</f>
        <v>0</v>
      </c>
      <c r="D15348">
        <v>0.98414040391199997</v>
      </c>
      <c r="E15348">
        <v>10.710644677661101</v>
      </c>
    </row>
    <row r="15349" spans="1:5">
      <c r="A15349" t="s">
        <v>17749</v>
      </c>
      <c r="B15349" t="s">
        <v>17759</v>
      </c>
      <c r="C15349">
        <f>0</f>
        <v>0</v>
      </c>
      <c r="D15349">
        <v>0.98414040391199997</v>
      </c>
      <c r="E15349">
        <v>10.710644677661101</v>
      </c>
    </row>
    <row r="15350" spans="1:5">
      <c r="A15350" t="s">
        <v>17760</v>
      </c>
      <c r="B15350" t="s">
        <v>17761</v>
      </c>
      <c r="C15350">
        <f>0</f>
        <v>0</v>
      </c>
      <c r="D15350" t="s">
        <v>106</v>
      </c>
      <c r="E15350">
        <v>16.695652173913</v>
      </c>
    </row>
    <row r="15351" spans="1:5">
      <c r="A15351" t="s">
        <v>17760</v>
      </c>
      <c r="B15351" t="s">
        <v>17762</v>
      </c>
      <c r="C15351">
        <f>0</f>
        <v>0</v>
      </c>
      <c r="D15351" t="s">
        <v>106</v>
      </c>
      <c r="E15351">
        <v>16.695652173913</v>
      </c>
    </row>
    <row r="15352" spans="1:5">
      <c r="A15352" t="s">
        <v>17760</v>
      </c>
      <c r="B15352" t="s">
        <v>17763</v>
      </c>
      <c r="C15352">
        <v>3.5605180394399999E-2</v>
      </c>
      <c r="D15352" t="s">
        <v>106</v>
      </c>
      <c r="E15352">
        <v>16.695652173913</v>
      </c>
    </row>
    <row r="15353" spans="1:5">
      <c r="A15353" t="s">
        <v>17760</v>
      </c>
      <c r="B15353" t="s">
        <v>17764</v>
      </c>
      <c r="C15353">
        <v>0</v>
      </c>
      <c r="D15353" t="s">
        <v>106</v>
      </c>
      <c r="E15353">
        <v>16.695652173913</v>
      </c>
    </row>
    <row r="15354" spans="1:5">
      <c r="A15354" t="s">
        <v>17760</v>
      </c>
      <c r="B15354" t="s">
        <v>17765</v>
      </c>
      <c r="C15354">
        <f>0</f>
        <v>0</v>
      </c>
      <c r="D15354" t="s">
        <v>106</v>
      </c>
      <c r="E15354">
        <v>16.695652173913</v>
      </c>
    </row>
    <row r="15355" spans="1:5">
      <c r="A15355" t="s">
        <v>17760</v>
      </c>
      <c r="B15355" t="s">
        <v>17766</v>
      </c>
      <c r="C15355">
        <v>0</v>
      </c>
      <c r="D15355" t="s">
        <v>106</v>
      </c>
      <c r="E15355">
        <v>16.695652173913</v>
      </c>
    </row>
    <row r="15356" spans="1:5">
      <c r="A15356" t="s">
        <v>17760</v>
      </c>
      <c r="B15356" t="s">
        <v>17767</v>
      </c>
      <c r="C15356">
        <v>0</v>
      </c>
      <c r="D15356" t="s">
        <v>106</v>
      </c>
      <c r="E15356">
        <v>16.695652173913</v>
      </c>
    </row>
    <row r="15357" spans="1:5">
      <c r="A15357" t="s">
        <v>17760</v>
      </c>
      <c r="B15357" t="s">
        <v>17768</v>
      </c>
      <c r="C15357">
        <f>0.152016202625</f>
        <v>0.15201620262500001</v>
      </c>
      <c r="D15357" t="s">
        <v>106</v>
      </c>
      <c r="E15357">
        <v>16.695652173913</v>
      </c>
    </row>
    <row r="15358" spans="1:5">
      <c r="A15358" t="s">
        <v>17760</v>
      </c>
      <c r="B15358" t="s">
        <v>17769</v>
      </c>
      <c r="C15358">
        <f>0</f>
        <v>0</v>
      </c>
      <c r="D15358" t="s">
        <v>106</v>
      </c>
      <c r="E15358">
        <v>16.695652173913</v>
      </c>
    </row>
    <row r="15359" spans="1:5">
      <c r="A15359" t="s">
        <v>17760</v>
      </c>
      <c r="B15359" t="s">
        <v>17770</v>
      </c>
      <c r="C15359">
        <f>0</f>
        <v>0</v>
      </c>
      <c r="D15359" t="s">
        <v>106</v>
      </c>
      <c r="E15359">
        <v>16.695652173913</v>
      </c>
    </row>
    <row r="15360" spans="1:5">
      <c r="A15360" t="s">
        <v>17760</v>
      </c>
      <c r="B15360" t="s">
        <v>17771</v>
      </c>
      <c r="C15360">
        <v>0</v>
      </c>
      <c r="D15360" t="s">
        <v>106</v>
      </c>
      <c r="E15360">
        <v>16.695652173913</v>
      </c>
    </row>
    <row r="15361" spans="1:5">
      <c r="A15361" t="s">
        <v>17772</v>
      </c>
      <c r="B15361" t="s">
        <v>17773</v>
      </c>
      <c r="C15361">
        <v>0</v>
      </c>
      <c r="D15361">
        <v>0.92522279485900005</v>
      </c>
      <c r="E15361">
        <v>1.51124437781109</v>
      </c>
    </row>
    <row r="15362" spans="1:5">
      <c r="A15362" t="s">
        <v>17772</v>
      </c>
      <c r="B15362" t="s">
        <v>17774</v>
      </c>
      <c r="C15362">
        <v>0</v>
      </c>
      <c r="D15362">
        <v>0.92522279485900005</v>
      </c>
      <c r="E15362">
        <v>1.51124437781109</v>
      </c>
    </row>
    <row r="15363" spans="1:5">
      <c r="A15363" t="s">
        <v>17772</v>
      </c>
      <c r="B15363" t="s">
        <v>17775</v>
      </c>
      <c r="C15363">
        <v>0</v>
      </c>
      <c r="D15363">
        <v>0.92522279485900005</v>
      </c>
      <c r="E15363">
        <v>1.51124437781109</v>
      </c>
    </row>
    <row r="15364" spans="1:5">
      <c r="A15364" t="s">
        <v>17772</v>
      </c>
      <c r="B15364" t="s">
        <v>17776</v>
      </c>
      <c r="C15364">
        <v>3.1821854968800002E-2</v>
      </c>
      <c r="D15364">
        <v>0.92522279485900005</v>
      </c>
      <c r="E15364">
        <v>1.51124437781109</v>
      </c>
    </row>
    <row r="15365" spans="1:5">
      <c r="A15365" t="s">
        <v>17772</v>
      </c>
      <c r="B15365" t="s">
        <v>17777</v>
      </c>
      <c r="C15365">
        <v>0</v>
      </c>
      <c r="D15365">
        <v>0.92522279485900005</v>
      </c>
      <c r="E15365">
        <v>1.51124437781109</v>
      </c>
    </row>
    <row r="15366" spans="1:5">
      <c r="A15366" t="s">
        <v>17772</v>
      </c>
      <c r="B15366" t="s">
        <v>17778</v>
      </c>
      <c r="C15366">
        <f>0</f>
        <v>0</v>
      </c>
      <c r="D15366">
        <v>0.92522279485900005</v>
      </c>
      <c r="E15366">
        <v>1.51124437781109</v>
      </c>
    </row>
    <row r="15367" spans="1:5">
      <c r="A15367" t="s">
        <v>17772</v>
      </c>
      <c r="B15367" t="s">
        <v>17779</v>
      </c>
      <c r="C15367">
        <f>0</f>
        <v>0</v>
      </c>
      <c r="D15367">
        <v>0.92522279485900005</v>
      </c>
      <c r="E15367">
        <v>1.51124437781109</v>
      </c>
    </row>
    <row r="15368" spans="1:5">
      <c r="A15368" t="s">
        <v>17772</v>
      </c>
      <c r="B15368" t="s">
        <v>17780</v>
      </c>
      <c r="C15368">
        <v>0</v>
      </c>
      <c r="D15368">
        <v>0.92522279485900005</v>
      </c>
      <c r="E15368">
        <v>1.51124437781109</v>
      </c>
    </row>
    <row r="15369" spans="1:5">
      <c r="A15369" t="s">
        <v>17772</v>
      </c>
      <c r="B15369" t="s">
        <v>17781</v>
      </c>
      <c r="C15369">
        <f>0</f>
        <v>0</v>
      </c>
      <c r="D15369">
        <v>0.92522279485900005</v>
      </c>
      <c r="E15369">
        <v>1.51124437781109</v>
      </c>
    </row>
    <row r="15370" spans="1:5">
      <c r="A15370" t="s">
        <v>17772</v>
      </c>
      <c r="B15370" t="s">
        <v>17782</v>
      </c>
      <c r="C15370">
        <v>0</v>
      </c>
      <c r="D15370">
        <v>0.92522279485900005</v>
      </c>
      <c r="E15370">
        <v>1.51124437781109</v>
      </c>
    </row>
    <row r="15371" spans="1:5">
      <c r="A15371" t="s">
        <v>17772</v>
      </c>
      <c r="B15371" t="s">
        <v>17783</v>
      </c>
      <c r="C15371">
        <f>0</f>
        <v>0</v>
      </c>
      <c r="D15371">
        <v>0.92522279485900005</v>
      </c>
      <c r="E15371">
        <v>1.51124437781109</v>
      </c>
    </row>
    <row r="15372" spans="1:5">
      <c r="A15372" t="s">
        <v>17772</v>
      </c>
      <c r="B15372" t="s">
        <v>17784</v>
      </c>
      <c r="C15372">
        <v>0</v>
      </c>
      <c r="D15372">
        <v>0.92522279485900005</v>
      </c>
      <c r="E15372">
        <v>1.51124437781109</v>
      </c>
    </row>
    <row r="15373" spans="1:5">
      <c r="A15373" t="s">
        <v>17772</v>
      </c>
      <c r="B15373" t="s">
        <v>17785</v>
      </c>
      <c r="C15373">
        <v>0</v>
      </c>
      <c r="D15373">
        <v>0.92522279485900005</v>
      </c>
      <c r="E15373">
        <v>1.51124437781109</v>
      </c>
    </row>
    <row r="15374" spans="1:5">
      <c r="A15374" t="s">
        <v>17772</v>
      </c>
      <c r="B15374" t="s">
        <v>17786</v>
      </c>
      <c r="C15374">
        <f>0</f>
        <v>0</v>
      </c>
      <c r="D15374">
        <v>0.92522279485900005</v>
      </c>
      <c r="E15374">
        <v>1.51124437781109</v>
      </c>
    </row>
    <row r="15375" spans="1:5">
      <c r="A15375" t="s">
        <v>17772</v>
      </c>
      <c r="B15375" t="s">
        <v>17787</v>
      </c>
      <c r="C15375">
        <f>0</f>
        <v>0</v>
      </c>
      <c r="D15375">
        <v>0.92522279485900005</v>
      </c>
      <c r="E15375">
        <v>1.51124437781109</v>
      </c>
    </row>
    <row r="15376" spans="1:5">
      <c r="A15376" t="s">
        <v>17772</v>
      </c>
      <c r="B15376" t="s">
        <v>17788</v>
      </c>
      <c r="C15376">
        <f>0</f>
        <v>0</v>
      </c>
      <c r="D15376">
        <v>0.92522279485900005</v>
      </c>
      <c r="E15376">
        <v>1.51124437781109</v>
      </c>
    </row>
    <row r="15377" spans="1:5">
      <c r="A15377" t="s">
        <v>17772</v>
      </c>
      <c r="B15377" t="s">
        <v>17789</v>
      </c>
      <c r="C15377">
        <v>0</v>
      </c>
      <c r="D15377">
        <v>0.92522279485900005</v>
      </c>
      <c r="E15377">
        <v>1.51124437781109</v>
      </c>
    </row>
    <row r="15378" spans="1:5">
      <c r="A15378" t="s">
        <v>17772</v>
      </c>
      <c r="B15378" t="s">
        <v>17790</v>
      </c>
      <c r="C15378">
        <v>8.9052821366299995E-2</v>
      </c>
      <c r="D15378">
        <v>0.92522279485900005</v>
      </c>
      <c r="E15378">
        <v>1.51124437781109</v>
      </c>
    </row>
    <row r="15379" spans="1:5">
      <c r="A15379" t="s">
        <v>17791</v>
      </c>
      <c r="B15379" t="s">
        <v>17792</v>
      </c>
      <c r="C15379">
        <v>0</v>
      </c>
      <c r="D15379">
        <v>0.90576160029700004</v>
      </c>
      <c r="E15379">
        <v>13.997001499250301</v>
      </c>
    </row>
    <row r="15380" spans="1:5">
      <c r="A15380" t="s">
        <v>17791</v>
      </c>
      <c r="B15380" t="s">
        <v>17793</v>
      </c>
      <c r="C15380">
        <f>0</f>
        <v>0</v>
      </c>
      <c r="D15380">
        <v>0.90576160029700004</v>
      </c>
      <c r="E15380">
        <v>13.997001499250301</v>
      </c>
    </row>
    <row r="15381" spans="1:5">
      <c r="A15381" t="s">
        <v>17791</v>
      </c>
      <c r="B15381" t="s">
        <v>17794</v>
      </c>
      <c r="C15381">
        <v>0.118143836551</v>
      </c>
      <c r="D15381">
        <v>0.90576160029700004</v>
      </c>
      <c r="E15381">
        <v>13.997001499250301</v>
      </c>
    </row>
    <row r="15382" spans="1:5">
      <c r="A15382" t="s">
        <v>17791</v>
      </c>
      <c r="B15382" t="s">
        <v>17795</v>
      </c>
      <c r="C15382">
        <v>1.3155780015E-2</v>
      </c>
      <c r="D15382">
        <v>0.90576160029700004</v>
      </c>
      <c r="E15382">
        <v>13.997001499250301</v>
      </c>
    </row>
    <row r="15383" spans="1:5">
      <c r="A15383" t="s">
        <v>17791</v>
      </c>
      <c r="B15383" t="s">
        <v>17796</v>
      </c>
      <c r="C15383">
        <v>0</v>
      </c>
      <c r="D15383">
        <v>0.90576160029700004</v>
      </c>
      <c r="E15383">
        <v>13.997001499250301</v>
      </c>
    </row>
    <row r="15384" spans="1:5">
      <c r="A15384" t="s">
        <v>17791</v>
      </c>
      <c r="B15384" t="s">
        <v>17797</v>
      </c>
      <c r="C15384">
        <v>0</v>
      </c>
      <c r="D15384">
        <v>0.90576160029700004</v>
      </c>
      <c r="E15384">
        <v>13.997001499250301</v>
      </c>
    </row>
    <row r="15385" spans="1:5">
      <c r="A15385" t="s">
        <v>17791</v>
      </c>
      <c r="B15385" t="s">
        <v>17798</v>
      </c>
      <c r="C15385">
        <v>0</v>
      </c>
      <c r="D15385">
        <v>0.90576160029700004</v>
      </c>
      <c r="E15385">
        <v>13.997001499250301</v>
      </c>
    </row>
    <row r="15386" spans="1:5">
      <c r="A15386" t="s">
        <v>17799</v>
      </c>
      <c r="B15386" t="s">
        <v>17800</v>
      </c>
      <c r="C15386">
        <v>0.43675742150500002</v>
      </c>
      <c r="D15386">
        <v>0.853694966725</v>
      </c>
      <c r="E15386">
        <v>7.8680659670164896</v>
      </c>
    </row>
    <row r="15387" spans="1:5">
      <c r="A15387" t="s">
        <v>17801</v>
      </c>
      <c r="B15387" t="s">
        <v>17802</v>
      </c>
      <c r="C15387">
        <v>0.104362096729</v>
      </c>
      <c r="D15387">
        <v>0.56742082704700003</v>
      </c>
      <c r="E15387">
        <v>0.86356821589205401</v>
      </c>
    </row>
    <row r="15388" spans="1:5">
      <c r="A15388" t="s">
        <v>17801</v>
      </c>
      <c r="B15388" t="s">
        <v>17803</v>
      </c>
      <c r="C15388">
        <v>2.1643143485300002E-2</v>
      </c>
      <c r="D15388">
        <v>0.56742082704700003</v>
      </c>
      <c r="E15388">
        <v>0.86356821589205401</v>
      </c>
    </row>
    <row r="15389" spans="1:5">
      <c r="A15389" t="s">
        <v>17804</v>
      </c>
      <c r="B15389" t="s">
        <v>17805</v>
      </c>
      <c r="C15389">
        <v>1.6887664770100001E-2</v>
      </c>
      <c r="D15389">
        <v>0.89140892142200001</v>
      </c>
      <c r="E15389">
        <v>16.095952023988001</v>
      </c>
    </row>
    <row r="15390" spans="1:5">
      <c r="A15390" t="s">
        <v>17804</v>
      </c>
      <c r="B15390" t="s">
        <v>17806</v>
      </c>
      <c r="C15390">
        <f>0</f>
        <v>0</v>
      </c>
      <c r="D15390">
        <v>0.89140892142200001</v>
      </c>
      <c r="E15390">
        <v>16.095952023988001</v>
      </c>
    </row>
    <row r="15391" spans="1:5">
      <c r="A15391" t="s">
        <v>17804</v>
      </c>
      <c r="B15391" t="s">
        <v>17807</v>
      </c>
      <c r="C15391">
        <f>0</f>
        <v>0</v>
      </c>
      <c r="D15391">
        <v>0.89140892142200001</v>
      </c>
      <c r="E15391">
        <v>16.095952023988001</v>
      </c>
    </row>
    <row r="15392" spans="1:5">
      <c r="A15392" t="s">
        <v>17804</v>
      </c>
      <c r="B15392" t="s">
        <v>17808</v>
      </c>
      <c r="C15392">
        <v>0.21760796191099999</v>
      </c>
      <c r="D15392">
        <v>0.89140892142200001</v>
      </c>
      <c r="E15392">
        <v>16.095952023988001</v>
      </c>
    </row>
    <row r="15393" spans="1:5">
      <c r="A15393" t="s">
        <v>17809</v>
      </c>
      <c r="B15393" t="s">
        <v>17810</v>
      </c>
      <c r="C15393">
        <f>0</f>
        <v>0</v>
      </c>
      <c r="D15393" t="s">
        <v>106</v>
      </c>
      <c r="E15393">
        <v>24</v>
      </c>
    </row>
    <row r="15394" spans="1:5">
      <c r="A15394" t="s">
        <v>17809</v>
      </c>
      <c r="B15394" t="s">
        <v>17811</v>
      </c>
      <c r="C15394">
        <f>0.0523322197921</f>
        <v>5.2332219792100003E-2</v>
      </c>
      <c r="D15394" t="s">
        <v>106</v>
      </c>
      <c r="E15394">
        <v>24</v>
      </c>
    </row>
    <row r="15395" spans="1:5">
      <c r="A15395" t="s">
        <v>17809</v>
      </c>
      <c r="B15395" t="s">
        <v>17812</v>
      </c>
      <c r="C15395">
        <f>0</f>
        <v>0</v>
      </c>
      <c r="D15395" t="s">
        <v>106</v>
      </c>
      <c r="E15395">
        <v>24</v>
      </c>
    </row>
    <row r="15396" spans="1:5">
      <c r="A15396" t="s">
        <v>17809</v>
      </c>
      <c r="B15396" t="s">
        <v>17813</v>
      </c>
      <c r="C15396">
        <f>0</f>
        <v>0</v>
      </c>
      <c r="D15396" t="s">
        <v>106</v>
      </c>
      <c r="E15396">
        <v>24</v>
      </c>
    </row>
    <row r="15397" spans="1:5">
      <c r="A15397" t="s">
        <v>17809</v>
      </c>
      <c r="B15397" t="s">
        <v>17814</v>
      </c>
      <c r="C15397">
        <v>0</v>
      </c>
      <c r="D15397" t="s">
        <v>106</v>
      </c>
      <c r="E15397">
        <v>24</v>
      </c>
    </row>
    <row r="15398" spans="1:5">
      <c r="A15398" t="s">
        <v>17809</v>
      </c>
      <c r="B15398" t="s">
        <v>17815</v>
      </c>
      <c r="C15398">
        <f>0</f>
        <v>0</v>
      </c>
      <c r="D15398" t="s">
        <v>106</v>
      </c>
      <c r="E15398">
        <v>24</v>
      </c>
    </row>
    <row r="15399" spans="1:5">
      <c r="A15399" t="s">
        <v>17809</v>
      </c>
      <c r="B15399" t="s">
        <v>17816</v>
      </c>
      <c r="C15399">
        <f>0</f>
        <v>0</v>
      </c>
      <c r="D15399" t="s">
        <v>106</v>
      </c>
      <c r="E15399">
        <v>24</v>
      </c>
    </row>
    <row r="15400" spans="1:5">
      <c r="A15400" t="s">
        <v>17817</v>
      </c>
      <c r="B15400" t="s">
        <v>17818</v>
      </c>
      <c r="C15400">
        <v>0</v>
      </c>
      <c r="D15400">
        <v>0.22778433736699999</v>
      </c>
      <c r="E15400">
        <v>24</v>
      </c>
    </row>
    <row r="15401" spans="1:5">
      <c r="A15401" t="s">
        <v>17817</v>
      </c>
      <c r="B15401" t="s">
        <v>17819</v>
      </c>
      <c r="C15401">
        <v>0.103179103121</v>
      </c>
      <c r="D15401">
        <v>0.22778433736699999</v>
      </c>
      <c r="E15401">
        <v>24</v>
      </c>
    </row>
    <row r="15402" spans="1:5">
      <c r="A15402" t="s">
        <v>17817</v>
      </c>
      <c r="B15402" t="s">
        <v>17820</v>
      </c>
      <c r="C15402">
        <f>0</f>
        <v>0</v>
      </c>
      <c r="D15402">
        <v>0.22778433736699999</v>
      </c>
      <c r="E15402">
        <v>24</v>
      </c>
    </row>
    <row r="15403" spans="1:5">
      <c r="A15403" t="s">
        <v>17817</v>
      </c>
      <c r="B15403" t="s">
        <v>17821</v>
      </c>
      <c r="C15403">
        <f>0.0481807941602</f>
        <v>4.8180794160199998E-2</v>
      </c>
      <c r="D15403">
        <v>0.22778433736699999</v>
      </c>
      <c r="E15403">
        <v>24</v>
      </c>
    </row>
    <row r="15404" spans="1:5">
      <c r="A15404" t="s">
        <v>17822</v>
      </c>
      <c r="B15404" t="s">
        <v>17823</v>
      </c>
      <c r="C15404">
        <f>0</f>
        <v>0</v>
      </c>
      <c r="D15404">
        <v>0.99411372768399997</v>
      </c>
      <c r="E15404">
        <v>6.0569715142428704</v>
      </c>
    </row>
    <row r="15405" spans="1:5">
      <c r="A15405" t="s">
        <v>17822</v>
      </c>
      <c r="B15405" t="s">
        <v>17824</v>
      </c>
      <c r="C15405">
        <f>0.00117534347258</f>
        <v>1.17534347258E-3</v>
      </c>
      <c r="D15405">
        <v>0.99411372768399997</v>
      </c>
      <c r="E15405">
        <v>6.0569715142428704</v>
      </c>
    </row>
    <row r="15406" spans="1:5">
      <c r="A15406" t="s">
        <v>17822</v>
      </c>
      <c r="B15406" t="s">
        <v>17825</v>
      </c>
      <c r="C15406">
        <f>0</f>
        <v>0</v>
      </c>
      <c r="D15406">
        <v>0.99411372768399997</v>
      </c>
      <c r="E15406">
        <v>6.0569715142428704</v>
      </c>
    </row>
    <row r="15407" spans="1:5">
      <c r="A15407" t="s">
        <v>17822</v>
      </c>
      <c r="B15407" t="s">
        <v>17826</v>
      </c>
      <c r="C15407">
        <v>6.6370176065399999E-3</v>
      </c>
      <c r="D15407">
        <v>0.99411372768399997</v>
      </c>
      <c r="E15407">
        <v>6.0569715142428704</v>
      </c>
    </row>
    <row r="15408" spans="1:5">
      <c r="A15408" t="s">
        <v>17822</v>
      </c>
      <c r="B15408" t="s">
        <v>17827</v>
      </c>
      <c r="C15408">
        <f>0</f>
        <v>0</v>
      </c>
      <c r="D15408">
        <v>0.99411372768399997</v>
      </c>
      <c r="E15408">
        <v>6.0569715142428704</v>
      </c>
    </row>
    <row r="15409" spans="1:5">
      <c r="A15409" t="s">
        <v>17828</v>
      </c>
      <c r="B15409" t="s">
        <v>17829</v>
      </c>
      <c r="C15409">
        <v>0.13126783621499999</v>
      </c>
      <c r="D15409">
        <v>0.88754266680799998</v>
      </c>
      <c r="E15409">
        <v>1.00749625187406</v>
      </c>
    </row>
    <row r="15410" spans="1:5">
      <c r="A15410" t="s">
        <v>17828</v>
      </c>
      <c r="B15410" t="s">
        <v>17830</v>
      </c>
      <c r="C15410">
        <v>0</v>
      </c>
      <c r="D15410">
        <v>0.88754266680799998</v>
      </c>
      <c r="E15410">
        <v>1.00749625187406</v>
      </c>
    </row>
    <row r="15411" spans="1:5">
      <c r="A15411" t="s">
        <v>17828</v>
      </c>
      <c r="B15411" t="s">
        <v>17831</v>
      </c>
      <c r="C15411">
        <f>0.443534685922</f>
        <v>0.44353468592200002</v>
      </c>
      <c r="D15411">
        <v>0.88754266680799998</v>
      </c>
      <c r="E15411">
        <v>1.00749625187406</v>
      </c>
    </row>
    <row r="15412" spans="1:5">
      <c r="A15412" t="s">
        <v>17828</v>
      </c>
      <c r="B15412" t="s">
        <v>17832</v>
      </c>
      <c r="C15412">
        <f>0</f>
        <v>0</v>
      </c>
      <c r="D15412">
        <v>0.88754266680799998</v>
      </c>
      <c r="E15412">
        <v>1.00749625187406</v>
      </c>
    </row>
    <row r="15413" spans="1:5">
      <c r="A15413" t="s">
        <v>17828</v>
      </c>
      <c r="B15413" t="s">
        <v>17833</v>
      </c>
      <c r="C15413">
        <v>0</v>
      </c>
      <c r="D15413">
        <v>0.88754266680799998</v>
      </c>
      <c r="E15413">
        <v>1.00749625187406</v>
      </c>
    </row>
    <row r="15414" spans="1:5">
      <c r="A15414" t="s">
        <v>17828</v>
      </c>
      <c r="B15414" t="s">
        <v>17834</v>
      </c>
      <c r="C15414">
        <f>0</f>
        <v>0</v>
      </c>
      <c r="D15414">
        <v>0.88754266680799998</v>
      </c>
      <c r="E15414">
        <v>1.00749625187406</v>
      </c>
    </row>
    <row r="15415" spans="1:5">
      <c r="A15415" t="s">
        <v>17835</v>
      </c>
      <c r="B15415" t="s">
        <v>17836</v>
      </c>
      <c r="C15415">
        <v>0</v>
      </c>
      <c r="D15415" t="s">
        <v>106</v>
      </c>
      <c r="E15415">
        <v>1.8230884557721101</v>
      </c>
    </row>
    <row r="15416" spans="1:5">
      <c r="A15416" t="s">
        <v>17835</v>
      </c>
      <c r="B15416" t="s">
        <v>17837</v>
      </c>
      <c r="C15416">
        <f>0</f>
        <v>0</v>
      </c>
      <c r="D15416" t="s">
        <v>106</v>
      </c>
      <c r="E15416">
        <v>1.8230884557721101</v>
      </c>
    </row>
    <row r="15417" spans="1:5">
      <c r="A15417" t="s">
        <v>17835</v>
      </c>
      <c r="B15417" t="s">
        <v>17838</v>
      </c>
      <c r="C15417">
        <v>0</v>
      </c>
      <c r="D15417" t="s">
        <v>106</v>
      </c>
      <c r="E15417">
        <v>1.8230884557721101</v>
      </c>
    </row>
    <row r="15418" spans="1:5">
      <c r="A15418" t="s">
        <v>17835</v>
      </c>
      <c r="B15418" t="s">
        <v>17839</v>
      </c>
      <c r="C15418">
        <f>0</f>
        <v>0</v>
      </c>
      <c r="D15418" t="s">
        <v>106</v>
      </c>
      <c r="E15418">
        <v>1.8230884557721101</v>
      </c>
    </row>
    <row r="15419" spans="1:5">
      <c r="A15419" t="s">
        <v>17835</v>
      </c>
      <c r="B15419" t="s">
        <v>17840</v>
      </c>
      <c r="C15419">
        <f>0</f>
        <v>0</v>
      </c>
      <c r="D15419" t="s">
        <v>106</v>
      </c>
      <c r="E15419">
        <v>1.8230884557721101</v>
      </c>
    </row>
    <row r="15420" spans="1:5">
      <c r="A15420" t="s">
        <v>17841</v>
      </c>
      <c r="B15420" t="s">
        <v>17842</v>
      </c>
      <c r="C15420">
        <v>0.46753602870700001</v>
      </c>
      <c r="D15420">
        <v>0.98369460632399996</v>
      </c>
      <c r="E15420">
        <v>10.5547226386806</v>
      </c>
    </row>
    <row r="15421" spans="1:5">
      <c r="A15421" t="s">
        <v>17841</v>
      </c>
      <c r="B15421" t="s">
        <v>17843</v>
      </c>
      <c r="C15421">
        <f>0</f>
        <v>0</v>
      </c>
      <c r="D15421">
        <v>0.98369460632399996</v>
      </c>
      <c r="E15421">
        <v>10.5547226386806</v>
      </c>
    </row>
    <row r="15422" spans="1:5">
      <c r="A15422" t="s">
        <v>17841</v>
      </c>
      <c r="B15422" t="s">
        <v>17844</v>
      </c>
      <c r="C15422">
        <v>0</v>
      </c>
      <c r="D15422">
        <v>0.98369460632399996</v>
      </c>
      <c r="E15422">
        <v>10.5547226386806</v>
      </c>
    </row>
    <row r="15423" spans="1:5">
      <c r="A15423" t="s">
        <v>17841</v>
      </c>
      <c r="B15423" t="s">
        <v>17845</v>
      </c>
      <c r="C15423">
        <v>9.1731695428900001E-2</v>
      </c>
      <c r="D15423">
        <v>0.98369460632399996</v>
      </c>
      <c r="E15423">
        <v>10.5547226386806</v>
      </c>
    </row>
    <row r="15424" spans="1:5">
      <c r="A15424" t="s">
        <v>17841</v>
      </c>
      <c r="B15424" t="s">
        <v>17846</v>
      </c>
      <c r="C15424">
        <f>0</f>
        <v>0</v>
      </c>
      <c r="D15424">
        <v>0.98369460632399996</v>
      </c>
      <c r="E15424">
        <v>10.5547226386806</v>
      </c>
    </row>
    <row r="15425" spans="1:5">
      <c r="A15425" t="s">
        <v>17847</v>
      </c>
      <c r="B15425" t="s">
        <v>17848</v>
      </c>
      <c r="C15425">
        <v>0</v>
      </c>
      <c r="D15425">
        <v>0.769537445135</v>
      </c>
      <c r="E15425">
        <v>21.637181409295302</v>
      </c>
    </row>
    <row r="15426" spans="1:5">
      <c r="A15426" t="s">
        <v>17847</v>
      </c>
      <c r="B15426" t="s">
        <v>17849</v>
      </c>
      <c r="C15426">
        <v>1.5782799264599998E-2</v>
      </c>
      <c r="D15426">
        <v>0.769537445135</v>
      </c>
      <c r="E15426">
        <v>21.637181409295302</v>
      </c>
    </row>
    <row r="15427" spans="1:5">
      <c r="A15427" t="s">
        <v>17847</v>
      </c>
      <c r="B15427" t="s">
        <v>17850</v>
      </c>
      <c r="C15427">
        <v>4.0862184834899999E-2</v>
      </c>
      <c r="D15427">
        <v>0.769537445135</v>
      </c>
      <c r="E15427">
        <v>21.637181409295302</v>
      </c>
    </row>
    <row r="15428" spans="1:5">
      <c r="A15428" t="s">
        <v>17851</v>
      </c>
      <c r="B15428" t="s">
        <v>17852</v>
      </c>
      <c r="C15428">
        <v>0</v>
      </c>
      <c r="D15428" t="s">
        <v>106</v>
      </c>
      <c r="E15428">
        <v>8.0119940029985006</v>
      </c>
    </row>
    <row r="15429" spans="1:5">
      <c r="A15429" t="s">
        <v>17851</v>
      </c>
      <c r="B15429" t="s">
        <v>17853</v>
      </c>
      <c r="C15429">
        <v>0</v>
      </c>
      <c r="D15429" t="s">
        <v>106</v>
      </c>
      <c r="E15429">
        <v>8.0119940029985006</v>
      </c>
    </row>
    <row r="15430" spans="1:5">
      <c r="A15430" t="s">
        <v>17851</v>
      </c>
      <c r="B15430" t="s">
        <v>17854</v>
      </c>
      <c r="C15430">
        <v>0</v>
      </c>
      <c r="D15430" t="s">
        <v>106</v>
      </c>
      <c r="E15430">
        <v>8.0119940029985006</v>
      </c>
    </row>
    <row r="15431" spans="1:5">
      <c r="A15431" t="s">
        <v>17851</v>
      </c>
      <c r="B15431" t="s">
        <v>17855</v>
      </c>
      <c r="C15431">
        <v>0</v>
      </c>
      <c r="D15431" t="s">
        <v>106</v>
      </c>
      <c r="E15431">
        <v>8.0119940029985006</v>
      </c>
    </row>
    <row r="15432" spans="1:5">
      <c r="A15432" t="s">
        <v>17851</v>
      </c>
      <c r="B15432" t="s">
        <v>17856</v>
      </c>
      <c r="C15432">
        <v>0</v>
      </c>
      <c r="D15432" t="s">
        <v>106</v>
      </c>
      <c r="E15432">
        <v>8.0119940029985006</v>
      </c>
    </row>
    <row r="15433" spans="1:5">
      <c r="A15433" t="s">
        <v>17851</v>
      </c>
      <c r="B15433" t="s">
        <v>17857</v>
      </c>
      <c r="C15433">
        <v>0</v>
      </c>
      <c r="D15433" t="s">
        <v>106</v>
      </c>
      <c r="E15433">
        <v>8.0119940029985006</v>
      </c>
    </row>
    <row r="15434" spans="1:5">
      <c r="A15434" t="s">
        <v>17851</v>
      </c>
      <c r="B15434" t="s">
        <v>17858</v>
      </c>
      <c r="C15434">
        <f>0</f>
        <v>0</v>
      </c>
      <c r="D15434" t="s">
        <v>106</v>
      </c>
      <c r="E15434">
        <v>8.0119940029985006</v>
      </c>
    </row>
    <row r="15435" spans="1:5">
      <c r="A15435" t="s">
        <v>17851</v>
      </c>
      <c r="B15435" t="s">
        <v>17859</v>
      </c>
      <c r="C15435">
        <v>0</v>
      </c>
      <c r="D15435" t="s">
        <v>106</v>
      </c>
      <c r="E15435">
        <v>8.0119940029985006</v>
      </c>
    </row>
    <row r="15436" spans="1:5">
      <c r="A15436" t="s">
        <v>17851</v>
      </c>
      <c r="B15436" t="s">
        <v>17860</v>
      </c>
      <c r="C15436">
        <v>0</v>
      </c>
      <c r="D15436" t="s">
        <v>106</v>
      </c>
      <c r="E15436">
        <v>8.0119940029985006</v>
      </c>
    </row>
    <row r="15437" spans="1:5">
      <c r="A15437" t="s">
        <v>17851</v>
      </c>
      <c r="B15437" t="s">
        <v>17861</v>
      </c>
      <c r="C15437">
        <v>0</v>
      </c>
      <c r="D15437" t="s">
        <v>106</v>
      </c>
      <c r="E15437">
        <v>8.0119940029985006</v>
      </c>
    </row>
    <row r="15438" spans="1:5">
      <c r="A15438" t="s">
        <v>17851</v>
      </c>
      <c r="B15438" t="s">
        <v>17862</v>
      </c>
      <c r="C15438">
        <v>0</v>
      </c>
      <c r="D15438" t="s">
        <v>106</v>
      </c>
      <c r="E15438">
        <v>8.0119940029985006</v>
      </c>
    </row>
    <row r="15439" spans="1:5">
      <c r="A15439" t="s">
        <v>17851</v>
      </c>
      <c r="B15439" t="s">
        <v>17863</v>
      </c>
      <c r="C15439">
        <v>0</v>
      </c>
      <c r="D15439" t="s">
        <v>106</v>
      </c>
      <c r="E15439">
        <v>8.0119940029985006</v>
      </c>
    </row>
    <row r="15440" spans="1:5">
      <c r="A15440" t="s">
        <v>17851</v>
      </c>
      <c r="B15440" t="s">
        <v>17864</v>
      </c>
      <c r="C15440">
        <v>0</v>
      </c>
      <c r="D15440" t="s">
        <v>106</v>
      </c>
      <c r="E15440">
        <v>8.0119940029985006</v>
      </c>
    </row>
    <row r="15441" spans="1:5">
      <c r="A15441" t="s">
        <v>17865</v>
      </c>
      <c r="B15441" t="s">
        <v>17866</v>
      </c>
      <c r="C15441">
        <f>0</f>
        <v>0</v>
      </c>
      <c r="D15441">
        <v>0.651048500202</v>
      </c>
      <c r="E15441">
        <v>24</v>
      </c>
    </row>
    <row r="15442" spans="1:5">
      <c r="A15442" t="s">
        <v>17865</v>
      </c>
      <c r="B15442" t="s">
        <v>17867</v>
      </c>
      <c r="C15442">
        <v>0</v>
      </c>
      <c r="D15442">
        <v>0.651048500202</v>
      </c>
      <c r="E15442">
        <v>24</v>
      </c>
    </row>
    <row r="15443" spans="1:5">
      <c r="A15443" t="s">
        <v>17865</v>
      </c>
      <c r="B15443" t="s">
        <v>17868</v>
      </c>
      <c r="C15443">
        <v>0</v>
      </c>
      <c r="D15443">
        <v>0.651048500202</v>
      </c>
      <c r="E15443">
        <v>24</v>
      </c>
    </row>
    <row r="15444" spans="1:5">
      <c r="A15444" t="s">
        <v>17869</v>
      </c>
      <c r="B15444" t="s">
        <v>17870</v>
      </c>
      <c r="C15444">
        <v>3.3558519997800001E-3</v>
      </c>
      <c r="D15444">
        <v>0.40148226818100002</v>
      </c>
      <c r="E15444">
        <v>15.904047976011899</v>
      </c>
    </row>
    <row r="15445" spans="1:5">
      <c r="A15445" t="s">
        <v>17869</v>
      </c>
      <c r="B15445" t="s">
        <v>17871</v>
      </c>
      <c r="C15445">
        <v>0</v>
      </c>
      <c r="D15445">
        <v>0.40148226818100002</v>
      </c>
      <c r="E15445">
        <v>15.904047976011899</v>
      </c>
    </row>
    <row r="15446" spans="1:5">
      <c r="A15446" t="s">
        <v>17872</v>
      </c>
      <c r="B15446" t="s">
        <v>17873</v>
      </c>
      <c r="C15446">
        <f>0</f>
        <v>0</v>
      </c>
      <c r="D15446" t="s">
        <v>106</v>
      </c>
      <c r="E15446">
        <v>22.800599700149899</v>
      </c>
    </row>
    <row r="15447" spans="1:5">
      <c r="A15447" t="s">
        <v>17872</v>
      </c>
      <c r="B15447" t="s">
        <v>17874</v>
      </c>
      <c r="C15447">
        <f>0</f>
        <v>0</v>
      </c>
      <c r="D15447" t="s">
        <v>106</v>
      </c>
      <c r="E15447">
        <v>22.800599700149899</v>
      </c>
    </row>
    <row r="15448" spans="1:5">
      <c r="A15448" t="s">
        <v>17872</v>
      </c>
      <c r="B15448" t="s">
        <v>17875</v>
      </c>
      <c r="C15448">
        <f>0</f>
        <v>0</v>
      </c>
      <c r="D15448" t="s">
        <v>106</v>
      </c>
      <c r="E15448">
        <v>22.800599700149899</v>
      </c>
    </row>
    <row r="15449" spans="1:5">
      <c r="A15449" t="s">
        <v>17872</v>
      </c>
      <c r="B15449" t="s">
        <v>17876</v>
      </c>
      <c r="C15449">
        <v>0</v>
      </c>
      <c r="D15449" t="s">
        <v>106</v>
      </c>
      <c r="E15449">
        <v>22.800599700149899</v>
      </c>
    </row>
    <row r="15450" spans="1:5">
      <c r="A15450" t="s">
        <v>17872</v>
      </c>
      <c r="B15450" t="s">
        <v>17877</v>
      </c>
      <c r="C15450">
        <v>0</v>
      </c>
      <c r="D15450" t="s">
        <v>106</v>
      </c>
      <c r="E15450">
        <v>22.800599700149899</v>
      </c>
    </row>
    <row r="15451" spans="1:5">
      <c r="A15451" t="s">
        <v>17872</v>
      </c>
      <c r="B15451" t="s">
        <v>17878</v>
      </c>
      <c r="C15451">
        <f>0</f>
        <v>0</v>
      </c>
      <c r="D15451" t="s">
        <v>106</v>
      </c>
      <c r="E15451">
        <v>22.800599700149899</v>
      </c>
    </row>
    <row r="15452" spans="1:5">
      <c r="A15452" t="s">
        <v>17872</v>
      </c>
      <c r="B15452" t="s">
        <v>17879</v>
      </c>
      <c r="C15452">
        <v>0</v>
      </c>
      <c r="D15452" t="s">
        <v>106</v>
      </c>
      <c r="E15452">
        <v>22.800599700149899</v>
      </c>
    </row>
    <row r="15453" spans="1:5">
      <c r="A15453" t="s">
        <v>17880</v>
      </c>
      <c r="B15453" t="s">
        <v>17881</v>
      </c>
      <c r="C15453">
        <v>0.121089838197</v>
      </c>
      <c r="D15453">
        <v>0.93490748919800004</v>
      </c>
      <c r="E15453">
        <v>3.97001499250374</v>
      </c>
    </row>
    <row r="15454" spans="1:5">
      <c r="A15454" t="s">
        <v>17882</v>
      </c>
      <c r="B15454" t="s">
        <v>17883</v>
      </c>
      <c r="C15454">
        <v>0.222301046276</v>
      </c>
      <c r="D15454">
        <v>0.99571246091499999</v>
      </c>
      <c r="E15454">
        <v>11.7061469265367</v>
      </c>
    </row>
    <row r="15455" spans="1:5">
      <c r="A15455" t="s">
        <v>17882</v>
      </c>
      <c r="B15455" t="s">
        <v>17884</v>
      </c>
      <c r="C15455">
        <v>1.5187355175599999E-2</v>
      </c>
      <c r="D15455">
        <v>0.99571246091499999</v>
      </c>
      <c r="E15455">
        <v>11.7061469265367</v>
      </c>
    </row>
    <row r="15456" spans="1:5">
      <c r="A15456" t="s">
        <v>17882</v>
      </c>
      <c r="B15456" t="s">
        <v>17885</v>
      </c>
      <c r="C15456">
        <f>0</f>
        <v>0</v>
      </c>
      <c r="D15456">
        <v>0.99571246091499999</v>
      </c>
      <c r="E15456">
        <v>11.7061469265367</v>
      </c>
    </row>
    <row r="15457" spans="1:5">
      <c r="A15457" t="s">
        <v>17882</v>
      </c>
      <c r="B15457" t="s">
        <v>17886</v>
      </c>
      <c r="C15457">
        <v>0</v>
      </c>
      <c r="D15457">
        <v>0.99571246091499999</v>
      </c>
      <c r="E15457">
        <v>11.7061469265367</v>
      </c>
    </row>
    <row r="15458" spans="1:5">
      <c r="A15458" t="s">
        <v>17882</v>
      </c>
      <c r="B15458" t="s">
        <v>17887</v>
      </c>
      <c r="C15458">
        <v>0</v>
      </c>
      <c r="D15458">
        <v>0.99571246091499999</v>
      </c>
      <c r="E15458">
        <v>11.7061469265367</v>
      </c>
    </row>
    <row r="15459" spans="1:5">
      <c r="A15459" t="s">
        <v>17882</v>
      </c>
      <c r="B15459" t="s">
        <v>17888</v>
      </c>
      <c r="C15459">
        <f>0</f>
        <v>0</v>
      </c>
      <c r="D15459">
        <v>0.99571246091499999</v>
      </c>
      <c r="E15459">
        <v>11.7061469265367</v>
      </c>
    </row>
    <row r="15460" spans="1:5">
      <c r="A15460" t="s">
        <v>17882</v>
      </c>
      <c r="B15460" t="s">
        <v>17889</v>
      </c>
      <c r="C15460">
        <v>0</v>
      </c>
      <c r="D15460">
        <v>0.99571246091499999</v>
      </c>
      <c r="E15460">
        <v>11.7061469265367</v>
      </c>
    </row>
    <row r="15461" spans="1:5">
      <c r="A15461" t="s">
        <v>17882</v>
      </c>
      <c r="B15461" t="s">
        <v>17890</v>
      </c>
      <c r="C15461">
        <v>0</v>
      </c>
      <c r="D15461">
        <v>0.99571246091499999</v>
      </c>
      <c r="E15461">
        <v>11.7061469265367</v>
      </c>
    </row>
    <row r="15462" spans="1:5">
      <c r="A15462" t="s">
        <v>17882</v>
      </c>
      <c r="B15462" t="s">
        <v>17891</v>
      </c>
      <c r="C15462">
        <f>0</f>
        <v>0</v>
      </c>
      <c r="D15462">
        <v>0.99571246091499999</v>
      </c>
      <c r="E15462">
        <v>11.7061469265367</v>
      </c>
    </row>
    <row r="15463" spans="1:5">
      <c r="A15463" t="s">
        <v>17892</v>
      </c>
      <c r="B15463" t="s">
        <v>17893</v>
      </c>
      <c r="C15463">
        <v>0</v>
      </c>
      <c r="D15463" t="s">
        <v>106</v>
      </c>
      <c r="E15463">
        <v>5.4692653673163401</v>
      </c>
    </row>
    <row r="15464" spans="1:5">
      <c r="A15464" t="s">
        <v>17892</v>
      </c>
      <c r="B15464" t="s">
        <v>17894</v>
      </c>
      <c r="C15464">
        <v>7.21160680331E-2</v>
      </c>
      <c r="D15464" t="s">
        <v>106</v>
      </c>
      <c r="E15464">
        <v>5.4692653673163401</v>
      </c>
    </row>
    <row r="15465" spans="1:5">
      <c r="A15465" t="s">
        <v>17892</v>
      </c>
      <c r="B15465" t="s">
        <v>17895</v>
      </c>
      <c r="C15465">
        <v>0</v>
      </c>
      <c r="D15465" t="s">
        <v>106</v>
      </c>
      <c r="E15465">
        <v>5.4692653673163401</v>
      </c>
    </row>
    <row r="15466" spans="1:5">
      <c r="A15466" t="s">
        <v>17892</v>
      </c>
      <c r="B15466" t="s">
        <v>17896</v>
      </c>
      <c r="C15466">
        <f>0</f>
        <v>0</v>
      </c>
      <c r="D15466" t="s">
        <v>106</v>
      </c>
      <c r="E15466">
        <v>5.4692653673163401</v>
      </c>
    </row>
    <row r="15467" spans="1:5">
      <c r="A15467" t="s">
        <v>17892</v>
      </c>
      <c r="B15467" t="s">
        <v>17897</v>
      </c>
      <c r="C15467">
        <v>0.56846458193100002</v>
      </c>
      <c r="D15467" t="s">
        <v>106</v>
      </c>
      <c r="E15467">
        <v>5.4692653673163401</v>
      </c>
    </row>
    <row r="15468" spans="1:5">
      <c r="A15468" t="s">
        <v>17892</v>
      </c>
      <c r="B15468" t="s">
        <v>17898</v>
      </c>
      <c r="C15468">
        <f>0</f>
        <v>0</v>
      </c>
      <c r="D15468" t="s">
        <v>106</v>
      </c>
      <c r="E15468">
        <v>5.4692653673163401</v>
      </c>
    </row>
    <row r="15469" spans="1:5">
      <c r="A15469" t="s">
        <v>17892</v>
      </c>
      <c r="B15469" t="s">
        <v>17899</v>
      </c>
      <c r="C15469">
        <v>0</v>
      </c>
      <c r="D15469" t="s">
        <v>106</v>
      </c>
      <c r="E15469">
        <v>5.4692653673163401</v>
      </c>
    </row>
    <row r="15470" spans="1:5">
      <c r="A15470" t="s">
        <v>17900</v>
      </c>
      <c r="B15470" t="s">
        <v>17901</v>
      </c>
      <c r="C15470">
        <f>0</f>
        <v>0</v>
      </c>
      <c r="D15470">
        <v>0.95996182037699995</v>
      </c>
      <c r="E15470">
        <v>15.700149925037399</v>
      </c>
    </row>
    <row r="15471" spans="1:5">
      <c r="A15471" t="s">
        <v>17900</v>
      </c>
      <c r="B15471" t="s">
        <v>17902</v>
      </c>
      <c r="C15471">
        <f>0</f>
        <v>0</v>
      </c>
      <c r="D15471">
        <v>0.95996182037699995</v>
      </c>
      <c r="E15471">
        <v>15.700149925037399</v>
      </c>
    </row>
    <row r="15472" spans="1:5">
      <c r="A15472" t="s">
        <v>17900</v>
      </c>
      <c r="B15472" t="s">
        <v>17903</v>
      </c>
      <c r="C15472">
        <v>0.102144696597</v>
      </c>
      <c r="D15472">
        <v>0.95996182037699995</v>
      </c>
      <c r="E15472">
        <v>15.700149925037399</v>
      </c>
    </row>
    <row r="15473" spans="1:5">
      <c r="A15473" t="s">
        <v>17900</v>
      </c>
      <c r="B15473" t="s">
        <v>17904</v>
      </c>
      <c r="C15473">
        <v>0.14202502844000001</v>
      </c>
      <c r="D15473">
        <v>0.95996182037699995</v>
      </c>
      <c r="E15473">
        <v>15.700149925037399</v>
      </c>
    </row>
    <row r="15474" spans="1:5">
      <c r="A15474" t="s">
        <v>17900</v>
      </c>
      <c r="B15474" t="s">
        <v>17905</v>
      </c>
      <c r="C15474">
        <v>0</v>
      </c>
      <c r="D15474">
        <v>0.95996182037699995</v>
      </c>
      <c r="E15474">
        <v>15.700149925037399</v>
      </c>
    </row>
    <row r="15475" spans="1:5">
      <c r="A15475" t="s">
        <v>17906</v>
      </c>
      <c r="B15475" t="s">
        <v>17907</v>
      </c>
      <c r="C15475">
        <v>0.21843302067600001</v>
      </c>
      <c r="D15475">
        <v>0.93426256423999998</v>
      </c>
      <c r="E15475">
        <v>24</v>
      </c>
    </row>
    <row r="15476" spans="1:5">
      <c r="A15476" t="s">
        <v>17908</v>
      </c>
      <c r="B15476" t="s">
        <v>17909</v>
      </c>
      <c r="C15476">
        <v>0.43199884167300001</v>
      </c>
      <c r="D15476">
        <v>0.99302564776299995</v>
      </c>
      <c r="E15476">
        <v>11.5382308845577</v>
      </c>
    </row>
    <row r="15477" spans="1:5">
      <c r="A15477" t="s">
        <v>17908</v>
      </c>
      <c r="B15477" t="s">
        <v>17910</v>
      </c>
      <c r="C15477">
        <v>0</v>
      </c>
      <c r="D15477">
        <v>0.99302564776299995</v>
      </c>
      <c r="E15477">
        <v>11.5382308845577</v>
      </c>
    </row>
    <row r="15478" spans="1:5">
      <c r="A15478" t="s">
        <v>17908</v>
      </c>
      <c r="B15478" t="s">
        <v>17911</v>
      </c>
      <c r="C15478">
        <v>0</v>
      </c>
      <c r="D15478">
        <v>0.99302564776299995</v>
      </c>
      <c r="E15478">
        <v>11.5382308845577</v>
      </c>
    </row>
    <row r="15479" spans="1:5">
      <c r="A15479" t="s">
        <v>17908</v>
      </c>
      <c r="B15479" t="s">
        <v>17912</v>
      </c>
      <c r="C15479">
        <v>0</v>
      </c>
      <c r="D15479">
        <v>0.99302564776299995</v>
      </c>
      <c r="E15479">
        <v>11.5382308845577</v>
      </c>
    </row>
    <row r="15480" spans="1:5">
      <c r="A15480" t="s">
        <v>17908</v>
      </c>
      <c r="B15480" t="s">
        <v>17913</v>
      </c>
      <c r="C15480">
        <v>3.71306573679E-2</v>
      </c>
      <c r="D15480">
        <v>0.99302564776299995</v>
      </c>
      <c r="E15480">
        <v>11.5382308845577</v>
      </c>
    </row>
    <row r="15481" spans="1:5">
      <c r="A15481" t="s">
        <v>17914</v>
      </c>
      <c r="B15481" t="s">
        <v>17915</v>
      </c>
      <c r="C15481">
        <f>0.0150995484565</f>
        <v>1.50995484565E-2</v>
      </c>
      <c r="D15481" t="s">
        <v>106</v>
      </c>
      <c r="E15481">
        <v>18.770614692653599</v>
      </c>
    </row>
    <row r="15482" spans="1:5">
      <c r="A15482" t="s">
        <v>17914</v>
      </c>
      <c r="B15482" t="s">
        <v>17916</v>
      </c>
      <c r="C15482">
        <v>0</v>
      </c>
      <c r="D15482" t="s">
        <v>106</v>
      </c>
      <c r="E15482">
        <v>18.770614692653599</v>
      </c>
    </row>
    <row r="15483" spans="1:5">
      <c r="A15483" t="s">
        <v>17914</v>
      </c>
      <c r="B15483" t="s">
        <v>17917</v>
      </c>
      <c r="C15483">
        <v>4.1810306042799998E-2</v>
      </c>
      <c r="D15483" t="s">
        <v>106</v>
      </c>
      <c r="E15483">
        <v>18.770614692653599</v>
      </c>
    </row>
    <row r="15484" spans="1:5">
      <c r="A15484" t="s">
        <v>17914</v>
      </c>
      <c r="B15484" t="s">
        <v>17918</v>
      </c>
      <c r="C15484">
        <v>0</v>
      </c>
      <c r="D15484" t="s">
        <v>106</v>
      </c>
      <c r="E15484">
        <v>18.770614692653599</v>
      </c>
    </row>
    <row r="15485" spans="1:5">
      <c r="A15485" t="s">
        <v>17914</v>
      </c>
      <c r="B15485" t="s">
        <v>17919</v>
      </c>
      <c r="C15485">
        <v>0</v>
      </c>
      <c r="D15485" t="s">
        <v>106</v>
      </c>
      <c r="E15485">
        <v>18.770614692653599</v>
      </c>
    </row>
    <row r="15486" spans="1:5">
      <c r="A15486" t="s">
        <v>17914</v>
      </c>
      <c r="B15486" t="s">
        <v>17920</v>
      </c>
      <c r="C15486">
        <v>0</v>
      </c>
      <c r="D15486" t="s">
        <v>106</v>
      </c>
      <c r="E15486">
        <v>18.770614692653599</v>
      </c>
    </row>
    <row r="15487" spans="1:5">
      <c r="A15487" t="s">
        <v>17921</v>
      </c>
      <c r="B15487" t="s">
        <v>17922</v>
      </c>
      <c r="C15487">
        <v>0</v>
      </c>
      <c r="D15487">
        <v>0.86577627362300003</v>
      </c>
      <c r="E15487">
        <v>16.095952023988001</v>
      </c>
    </row>
    <row r="15488" spans="1:5">
      <c r="A15488" t="s">
        <v>17921</v>
      </c>
      <c r="B15488" t="s">
        <v>17923</v>
      </c>
      <c r="C15488">
        <f>0.149462874253</f>
        <v>0.14946287425300001</v>
      </c>
      <c r="D15488">
        <v>0.86577627362300003</v>
      </c>
      <c r="E15488">
        <v>16.095952023988001</v>
      </c>
    </row>
    <row r="15489" spans="1:5">
      <c r="A15489" t="s">
        <v>17921</v>
      </c>
      <c r="B15489" t="s">
        <v>17924</v>
      </c>
      <c r="C15489">
        <f>0.10498007356</f>
        <v>0.10498007356</v>
      </c>
      <c r="D15489">
        <v>0.86577627362300003</v>
      </c>
      <c r="E15489">
        <v>16.095952023988001</v>
      </c>
    </row>
    <row r="15490" spans="1:5">
      <c r="A15490" t="s">
        <v>17925</v>
      </c>
      <c r="B15490" t="s">
        <v>17926</v>
      </c>
      <c r="C15490">
        <v>0</v>
      </c>
      <c r="D15490">
        <v>0.81801395522099996</v>
      </c>
      <c r="E15490">
        <v>11.8740629685157</v>
      </c>
    </row>
    <row r="15491" spans="1:5">
      <c r="A15491" t="s">
        <v>17925</v>
      </c>
      <c r="B15491" t="s">
        <v>17927</v>
      </c>
      <c r="C15491">
        <v>0</v>
      </c>
      <c r="D15491">
        <v>0.81801395522099996</v>
      </c>
      <c r="E15491">
        <v>11.8740629685157</v>
      </c>
    </row>
    <row r="15492" spans="1:5">
      <c r="A15492" t="s">
        <v>17925</v>
      </c>
      <c r="B15492" t="s">
        <v>17928</v>
      </c>
      <c r="C15492">
        <f>0</f>
        <v>0</v>
      </c>
      <c r="D15492">
        <v>0.81801395522099996</v>
      </c>
      <c r="E15492">
        <v>11.8740629685157</v>
      </c>
    </row>
    <row r="15493" spans="1:5">
      <c r="A15493" t="s">
        <v>17925</v>
      </c>
      <c r="B15493" t="s">
        <v>17929</v>
      </c>
      <c r="C15493">
        <f>0</f>
        <v>0</v>
      </c>
      <c r="D15493">
        <v>0.81801395522099996</v>
      </c>
      <c r="E15493">
        <v>11.8740629685157</v>
      </c>
    </row>
    <row r="15494" spans="1:5">
      <c r="A15494" t="s">
        <v>17925</v>
      </c>
      <c r="B15494" t="s">
        <v>17930</v>
      </c>
      <c r="C15494">
        <v>0</v>
      </c>
      <c r="D15494">
        <v>0.81801395522099996</v>
      </c>
      <c r="E15494">
        <v>11.8740629685157</v>
      </c>
    </row>
    <row r="15495" spans="1:5">
      <c r="A15495" t="s">
        <v>17925</v>
      </c>
      <c r="B15495" t="s">
        <v>17931</v>
      </c>
      <c r="C15495">
        <v>0</v>
      </c>
      <c r="D15495">
        <v>0.81801395522099996</v>
      </c>
      <c r="E15495">
        <v>11.8740629685157</v>
      </c>
    </row>
    <row r="15496" spans="1:5">
      <c r="A15496" t="s">
        <v>17925</v>
      </c>
      <c r="B15496" t="s">
        <v>17932</v>
      </c>
      <c r="C15496">
        <f>0</f>
        <v>0</v>
      </c>
      <c r="D15496">
        <v>0.81801395522099996</v>
      </c>
      <c r="E15496">
        <v>11.8740629685157</v>
      </c>
    </row>
    <row r="15497" spans="1:5">
      <c r="A15497" t="s">
        <v>17925</v>
      </c>
      <c r="B15497" t="s">
        <v>17933</v>
      </c>
      <c r="C15497">
        <v>0</v>
      </c>
      <c r="D15497">
        <v>0.81801395522099996</v>
      </c>
      <c r="E15497">
        <v>11.8740629685157</v>
      </c>
    </row>
    <row r="15498" spans="1:5">
      <c r="A15498" t="s">
        <v>17925</v>
      </c>
      <c r="B15498" t="s">
        <v>17934</v>
      </c>
      <c r="C15498">
        <f>0</f>
        <v>0</v>
      </c>
      <c r="D15498">
        <v>0.81801395522099996</v>
      </c>
      <c r="E15498">
        <v>11.8740629685157</v>
      </c>
    </row>
    <row r="15499" spans="1:5">
      <c r="A15499" t="s">
        <v>17925</v>
      </c>
      <c r="B15499" t="s">
        <v>17935</v>
      </c>
      <c r="C15499">
        <f>0</f>
        <v>0</v>
      </c>
      <c r="D15499">
        <v>0.81801395522099996</v>
      </c>
      <c r="E15499">
        <v>11.8740629685157</v>
      </c>
    </row>
    <row r="15500" spans="1:5">
      <c r="A15500" t="s">
        <v>17925</v>
      </c>
      <c r="B15500" t="s">
        <v>17936</v>
      </c>
      <c r="C15500">
        <f>0.0376657165611</f>
        <v>3.7665716561100002E-2</v>
      </c>
      <c r="D15500">
        <v>0.81801395522099996</v>
      </c>
      <c r="E15500">
        <v>11.8740629685157</v>
      </c>
    </row>
    <row r="15501" spans="1:5">
      <c r="A15501" t="s">
        <v>17925</v>
      </c>
      <c r="B15501" t="s">
        <v>17937</v>
      </c>
      <c r="C15501">
        <f>0</f>
        <v>0</v>
      </c>
      <c r="D15501">
        <v>0.81801395522099996</v>
      </c>
      <c r="E15501">
        <v>11.8740629685157</v>
      </c>
    </row>
    <row r="15502" spans="1:5">
      <c r="A15502" t="s">
        <v>17925</v>
      </c>
      <c r="B15502" t="s">
        <v>17938</v>
      </c>
      <c r="C15502">
        <f>0</f>
        <v>0</v>
      </c>
      <c r="D15502">
        <v>0.81801395522099996</v>
      </c>
      <c r="E15502">
        <v>11.8740629685157</v>
      </c>
    </row>
    <row r="15503" spans="1:5">
      <c r="A15503" t="s">
        <v>17925</v>
      </c>
      <c r="B15503" t="s">
        <v>17939</v>
      </c>
      <c r="C15503">
        <f>0</f>
        <v>0</v>
      </c>
      <c r="D15503">
        <v>0.81801395522099996</v>
      </c>
      <c r="E15503">
        <v>11.8740629685157</v>
      </c>
    </row>
    <row r="15504" spans="1:5">
      <c r="A15504" t="s">
        <v>17925</v>
      </c>
      <c r="B15504" t="s">
        <v>17940</v>
      </c>
      <c r="C15504">
        <f>0</f>
        <v>0</v>
      </c>
      <c r="D15504">
        <v>0.81801395522099996</v>
      </c>
      <c r="E15504">
        <v>11.8740629685157</v>
      </c>
    </row>
    <row r="15505" spans="1:5">
      <c r="A15505" t="s">
        <v>17925</v>
      </c>
      <c r="B15505" t="s">
        <v>17941</v>
      </c>
      <c r="C15505">
        <f>0</f>
        <v>0</v>
      </c>
      <c r="D15505">
        <v>0.81801395522099996</v>
      </c>
      <c r="E15505">
        <v>11.8740629685157</v>
      </c>
    </row>
    <row r="15506" spans="1:5">
      <c r="A15506" t="s">
        <v>17942</v>
      </c>
      <c r="B15506" t="s">
        <v>17943</v>
      </c>
      <c r="C15506">
        <f>0</f>
        <v>0</v>
      </c>
      <c r="D15506">
        <v>0.95291878508200001</v>
      </c>
      <c r="E15506">
        <v>15.1244377811094</v>
      </c>
    </row>
    <row r="15507" spans="1:5">
      <c r="A15507" t="s">
        <v>17942</v>
      </c>
      <c r="B15507" t="s">
        <v>17944</v>
      </c>
      <c r="C15507">
        <v>0</v>
      </c>
      <c r="D15507">
        <v>0.95291878508200001</v>
      </c>
      <c r="E15507">
        <v>15.1244377811094</v>
      </c>
    </row>
    <row r="15508" spans="1:5">
      <c r="A15508" t="s">
        <v>17942</v>
      </c>
      <c r="B15508" t="s">
        <v>17945</v>
      </c>
      <c r="C15508">
        <f>0</f>
        <v>0</v>
      </c>
      <c r="D15508">
        <v>0.95291878508200001</v>
      </c>
      <c r="E15508">
        <v>15.1244377811094</v>
      </c>
    </row>
    <row r="15509" spans="1:5">
      <c r="A15509" t="s">
        <v>17942</v>
      </c>
      <c r="B15509" t="s">
        <v>17946</v>
      </c>
      <c r="C15509">
        <f>0</f>
        <v>0</v>
      </c>
      <c r="D15509">
        <v>0.95291878508200001</v>
      </c>
      <c r="E15509">
        <v>15.1244377811094</v>
      </c>
    </row>
    <row r="15510" spans="1:5">
      <c r="A15510" t="s">
        <v>17942</v>
      </c>
      <c r="B15510" t="s">
        <v>17947</v>
      </c>
      <c r="C15510">
        <v>0</v>
      </c>
      <c r="D15510">
        <v>0.95291878508200001</v>
      </c>
      <c r="E15510">
        <v>15.1244377811094</v>
      </c>
    </row>
    <row r="15511" spans="1:5">
      <c r="A15511" t="s">
        <v>17942</v>
      </c>
      <c r="B15511" t="s">
        <v>17948</v>
      </c>
      <c r="C15511">
        <v>0</v>
      </c>
      <c r="D15511">
        <v>0.95291878508200001</v>
      </c>
      <c r="E15511">
        <v>15.1244377811094</v>
      </c>
    </row>
    <row r="15512" spans="1:5">
      <c r="A15512" t="s">
        <v>17942</v>
      </c>
      <c r="B15512" t="s">
        <v>17949</v>
      </c>
      <c r="C15512">
        <v>0</v>
      </c>
      <c r="D15512">
        <v>0.95291878508200001</v>
      </c>
      <c r="E15512">
        <v>15.1244377811094</v>
      </c>
    </row>
    <row r="15513" spans="1:5">
      <c r="A15513" t="s">
        <v>17942</v>
      </c>
      <c r="B15513" t="s">
        <v>17950</v>
      </c>
      <c r="C15513">
        <v>0</v>
      </c>
      <c r="D15513">
        <v>0.95291878508200001</v>
      </c>
      <c r="E15513">
        <v>15.1244377811094</v>
      </c>
    </row>
    <row r="15514" spans="1:5">
      <c r="A15514" t="s">
        <v>17942</v>
      </c>
      <c r="B15514" t="s">
        <v>17951</v>
      </c>
      <c r="C15514">
        <v>0.103431400018</v>
      </c>
      <c r="D15514">
        <v>0.95291878508200001</v>
      </c>
      <c r="E15514">
        <v>15.1244377811094</v>
      </c>
    </row>
    <row r="15515" spans="1:5">
      <c r="A15515" t="s">
        <v>17942</v>
      </c>
      <c r="B15515" t="s">
        <v>17952</v>
      </c>
      <c r="C15515">
        <v>0</v>
      </c>
      <c r="D15515">
        <v>0.95291878508200001</v>
      </c>
      <c r="E15515">
        <v>15.1244377811094</v>
      </c>
    </row>
    <row r="15516" spans="1:5">
      <c r="A15516" t="s">
        <v>17942</v>
      </c>
      <c r="B15516" t="s">
        <v>17953</v>
      </c>
      <c r="C15516">
        <f>0</f>
        <v>0</v>
      </c>
      <c r="D15516">
        <v>0.95291878508200001</v>
      </c>
      <c r="E15516">
        <v>15.1244377811094</v>
      </c>
    </row>
    <row r="15517" spans="1:5">
      <c r="A15517" t="s">
        <v>17942</v>
      </c>
      <c r="B15517" t="s">
        <v>17954</v>
      </c>
      <c r="C15517">
        <v>0</v>
      </c>
      <c r="D15517">
        <v>0.95291878508200001</v>
      </c>
      <c r="E15517">
        <v>15.1244377811094</v>
      </c>
    </row>
    <row r="15518" spans="1:5">
      <c r="A15518" t="s">
        <v>17942</v>
      </c>
      <c r="B15518" t="s">
        <v>17955</v>
      </c>
      <c r="C15518">
        <v>0</v>
      </c>
      <c r="D15518">
        <v>0.95291878508200001</v>
      </c>
      <c r="E15518">
        <v>15.1244377811094</v>
      </c>
    </row>
    <row r="15519" spans="1:5">
      <c r="A15519" t="s">
        <v>17942</v>
      </c>
      <c r="B15519" t="s">
        <v>17956</v>
      </c>
      <c r="C15519">
        <v>0</v>
      </c>
      <c r="D15519">
        <v>0.95291878508200001</v>
      </c>
      <c r="E15519">
        <v>15.1244377811094</v>
      </c>
    </row>
    <row r="15520" spans="1:5">
      <c r="A15520" t="s">
        <v>17942</v>
      </c>
      <c r="B15520" t="s">
        <v>17957</v>
      </c>
      <c r="C15520">
        <v>0</v>
      </c>
      <c r="D15520">
        <v>0.95291878508200001</v>
      </c>
      <c r="E15520">
        <v>15.1244377811094</v>
      </c>
    </row>
    <row r="15521" spans="1:5">
      <c r="A15521" t="s">
        <v>17942</v>
      </c>
      <c r="B15521" t="s">
        <v>17958</v>
      </c>
      <c r="C15521">
        <v>0</v>
      </c>
      <c r="D15521">
        <v>0.95291878508200001</v>
      </c>
      <c r="E15521">
        <v>15.1244377811094</v>
      </c>
    </row>
    <row r="15522" spans="1:5">
      <c r="A15522" t="s">
        <v>17942</v>
      </c>
      <c r="B15522" t="s">
        <v>17959</v>
      </c>
      <c r="C15522">
        <v>0</v>
      </c>
      <c r="D15522">
        <v>0.95291878508200001</v>
      </c>
      <c r="E15522">
        <v>15.1244377811094</v>
      </c>
    </row>
    <row r="15523" spans="1:5">
      <c r="A15523" t="s">
        <v>17942</v>
      </c>
      <c r="B15523" t="s">
        <v>17960</v>
      </c>
      <c r="C15523">
        <v>0</v>
      </c>
      <c r="D15523">
        <v>0.95291878508200001</v>
      </c>
      <c r="E15523">
        <v>15.1244377811094</v>
      </c>
    </row>
    <row r="15524" spans="1:5">
      <c r="A15524" t="s">
        <v>17942</v>
      </c>
      <c r="B15524" t="s">
        <v>17961</v>
      </c>
      <c r="C15524">
        <v>0</v>
      </c>
      <c r="D15524">
        <v>0.95291878508200001</v>
      </c>
      <c r="E15524">
        <v>15.1244377811094</v>
      </c>
    </row>
    <row r="15525" spans="1:5">
      <c r="A15525" t="s">
        <v>17962</v>
      </c>
      <c r="B15525" t="s">
        <v>17963</v>
      </c>
      <c r="C15525">
        <v>7.3079164485699996E-2</v>
      </c>
      <c r="D15525">
        <v>0.94987169578800001</v>
      </c>
      <c r="E15525">
        <v>21.409295352323799</v>
      </c>
    </row>
    <row r="15526" spans="1:5">
      <c r="A15526" t="s">
        <v>17962</v>
      </c>
      <c r="B15526" t="s">
        <v>17964</v>
      </c>
      <c r="C15526">
        <v>0.14087997495599999</v>
      </c>
      <c r="D15526">
        <v>0.94987169578800001</v>
      </c>
      <c r="E15526">
        <v>21.409295352323799</v>
      </c>
    </row>
    <row r="15527" spans="1:5">
      <c r="A15527" t="s">
        <v>17962</v>
      </c>
      <c r="B15527" t="s">
        <v>17965</v>
      </c>
      <c r="C15527">
        <v>0</v>
      </c>
      <c r="D15527">
        <v>0.94987169578800001</v>
      </c>
      <c r="E15527">
        <v>21.409295352323799</v>
      </c>
    </row>
    <row r="15528" spans="1:5">
      <c r="A15528" t="s">
        <v>17966</v>
      </c>
      <c r="B15528" t="s">
        <v>17967</v>
      </c>
      <c r="C15528">
        <v>0</v>
      </c>
      <c r="D15528">
        <v>0.94357862934600001</v>
      </c>
      <c r="E15528">
        <v>5.9370314842578704</v>
      </c>
    </row>
    <row r="15529" spans="1:5">
      <c r="A15529" t="s">
        <v>17966</v>
      </c>
      <c r="B15529" t="s">
        <v>17968</v>
      </c>
      <c r="C15529">
        <v>0</v>
      </c>
      <c r="D15529">
        <v>0.94357862934600001</v>
      </c>
      <c r="E15529">
        <v>5.9370314842578704</v>
      </c>
    </row>
    <row r="15530" spans="1:5">
      <c r="A15530" t="s">
        <v>17966</v>
      </c>
      <c r="B15530" t="s">
        <v>17969</v>
      </c>
      <c r="C15530">
        <v>0</v>
      </c>
      <c r="D15530">
        <v>0.94357862934600001</v>
      </c>
      <c r="E15530">
        <v>5.9370314842578704</v>
      </c>
    </row>
    <row r="15531" spans="1:5">
      <c r="A15531" t="s">
        <v>17966</v>
      </c>
      <c r="B15531" t="s">
        <v>17970</v>
      </c>
      <c r="C15531">
        <v>0</v>
      </c>
      <c r="D15531">
        <v>0.94357862934600001</v>
      </c>
      <c r="E15531">
        <v>5.9370314842578704</v>
      </c>
    </row>
    <row r="15532" spans="1:5">
      <c r="A15532" t="s">
        <v>17966</v>
      </c>
      <c r="B15532" t="s">
        <v>17971</v>
      </c>
      <c r="C15532">
        <f>0</f>
        <v>0</v>
      </c>
      <c r="D15532">
        <v>0.94357862934600001</v>
      </c>
      <c r="E15532">
        <v>5.9370314842578704</v>
      </c>
    </row>
    <row r="15533" spans="1:5">
      <c r="A15533" t="s">
        <v>17972</v>
      </c>
      <c r="B15533" t="s">
        <v>17973</v>
      </c>
      <c r="C15533">
        <f>0</f>
        <v>0</v>
      </c>
      <c r="D15533">
        <v>0.66459697748699997</v>
      </c>
      <c r="E15533">
        <v>3.40629685157421</v>
      </c>
    </row>
    <row r="15534" spans="1:5">
      <c r="A15534" t="s">
        <v>17972</v>
      </c>
      <c r="B15534" t="s">
        <v>17974</v>
      </c>
      <c r="C15534">
        <v>0</v>
      </c>
      <c r="D15534">
        <v>0.66459697748699997</v>
      </c>
      <c r="E15534">
        <v>3.40629685157421</v>
      </c>
    </row>
    <row r="15535" spans="1:5">
      <c r="A15535" t="s">
        <v>17972</v>
      </c>
      <c r="B15535" t="s">
        <v>17975</v>
      </c>
      <c r="C15535">
        <f>0.146059925538</f>
        <v>0.14605992553800001</v>
      </c>
      <c r="D15535">
        <v>0.66459697748699997</v>
      </c>
      <c r="E15535">
        <v>3.40629685157421</v>
      </c>
    </row>
    <row r="15536" spans="1:5">
      <c r="A15536" t="s">
        <v>17972</v>
      </c>
      <c r="B15536" t="s">
        <v>17976</v>
      </c>
      <c r="C15536">
        <v>0.55936410567100003</v>
      </c>
      <c r="D15536">
        <v>0.66459697748699997</v>
      </c>
      <c r="E15536">
        <v>3.40629685157421</v>
      </c>
    </row>
    <row r="15537" spans="1:5">
      <c r="A15537" t="s">
        <v>17977</v>
      </c>
      <c r="B15537" t="s">
        <v>17978</v>
      </c>
      <c r="C15537">
        <f>0</f>
        <v>0</v>
      </c>
      <c r="D15537" t="s">
        <v>106</v>
      </c>
      <c r="E15537">
        <v>10.398800599700101</v>
      </c>
    </row>
    <row r="15538" spans="1:5">
      <c r="A15538" t="s">
        <v>17977</v>
      </c>
      <c r="B15538" t="s">
        <v>17979</v>
      </c>
      <c r="C15538">
        <v>0</v>
      </c>
      <c r="D15538" t="s">
        <v>106</v>
      </c>
      <c r="E15538">
        <v>10.398800599700101</v>
      </c>
    </row>
    <row r="15539" spans="1:5">
      <c r="A15539" t="s">
        <v>17977</v>
      </c>
      <c r="B15539" t="s">
        <v>17980</v>
      </c>
      <c r="C15539">
        <v>0</v>
      </c>
      <c r="D15539" t="s">
        <v>106</v>
      </c>
      <c r="E15539">
        <v>10.398800599700101</v>
      </c>
    </row>
    <row r="15540" spans="1:5">
      <c r="A15540" t="s">
        <v>17977</v>
      </c>
      <c r="B15540" t="s">
        <v>17981</v>
      </c>
      <c r="C15540">
        <v>0</v>
      </c>
      <c r="D15540" t="s">
        <v>106</v>
      </c>
      <c r="E15540">
        <v>10.398800599700101</v>
      </c>
    </row>
    <row r="15541" spans="1:5">
      <c r="A15541" t="s">
        <v>17982</v>
      </c>
      <c r="B15541" t="s">
        <v>17983</v>
      </c>
      <c r="C15541">
        <v>0</v>
      </c>
      <c r="D15541">
        <v>0.98009012599199996</v>
      </c>
      <c r="E15541">
        <v>24</v>
      </c>
    </row>
    <row r="15542" spans="1:5">
      <c r="A15542" t="s">
        <v>17982</v>
      </c>
      <c r="B15542" t="s">
        <v>17984</v>
      </c>
      <c r="C15542">
        <v>0</v>
      </c>
      <c r="D15542">
        <v>0.98009012599199996</v>
      </c>
      <c r="E15542">
        <v>24</v>
      </c>
    </row>
    <row r="15543" spans="1:5">
      <c r="A15543" t="s">
        <v>17982</v>
      </c>
      <c r="B15543" t="s">
        <v>17985</v>
      </c>
      <c r="C15543">
        <v>0</v>
      </c>
      <c r="D15543">
        <v>0.98009012599199996</v>
      </c>
      <c r="E15543">
        <v>24</v>
      </c>
    </row>
    <row r="15544" spans="1:5">
      <c r="A15544" t="s">
        <v>17982</v>
      </c>
      <c r="B15544" t="s">
        <v>17986</v>
      </c>
      <c r="C15544">
        <v>0</v>
      </c>
      <c r="D15544">
        <v>0.98009012599199996</v>
      </c>
      <c r="E15544">
        <v>24</v>
      </c>
    </row>
    <row r="15545" spans="1:5">
      <c r="A15545" t="s">
        <v>17987</v>
      </c>
      <c r="B15545" t="s">
        <v>17988</v>
      </c>
      <c r="C15545">
        <f>0</f>
        <v>0</v>
      </c>
      <c r="D15545">
        <v>0.93596499497499996</v>
      </c>
      <c r="E15545">
        <v>3.5862068965517202</v>
      </c>
    </row>
    <row r="15546" spans="1:5">
      <c r="A15546" t="s">
        <v>17987</v>
      </c>
      <c r="B15546" t="s">
        <v>17989</v>
      </c>
      <c r="C15546">
        <v>0</v>
      </c>
      <c r="D15546">
        <v>0.93596499497499996</v>
      </c>
      <c r="E15546">
        <v>3.5862068965517202</v>
      </c>
    </row>
    <row r="15547" spans="1:5">
      <c r="A15547" t="s">
        <v>17987</v>
      </c>
      <c r="B15547" t="s">
        <v>17990</v>
      </c>
      <c r="C15547">
        <v>0</v>
      </c>
      <c r="D15547">
        <v>0.93596499497499996</v>
      </c>
      <c r="E15547">
        <v>3.5862068965517202</v>
      </c>
    </row>
    <row r="15548" spans="1:5">
      <c r="A15548" t="s">
        <v>17987</v>
      </c>
      <c r="B15548" t="s">
        <v>17991</v>
      </c>
      <c r="C15548">
        <v>0</v>
      </c>
      <c r="D15548">
        <v>0.93596499497499996</v>
      </c>
      <c r="E15548">
        <v>3.5862068965517202</v>
      </c>
    </row>
    <row r="15549" spans="1:5">
      <c r="A15549" t="s">
        <v>17987</v>
      </c>
      <c r="B15549" t="s">
        <v>17992</v>
      </c>
      <c r="C15549">
        <v>0</v>
      </c>
      <c r="D15549">
        <v>0.93596499497499996</v>
      </c>
      <c r="E15549">
        <v>3.5862068965517202</v>
      </c>
    </row>
    <row r="15550" spans="1:5">
      <c r="A15550" t="s">
        <v>17993</v>
      </c>
      <c r="B15550" t="s">
        <v>17994</v>
      </c>
      <c r="C15550">
        <v>0</v>
      </c>
      <c r="D15550" t="s">
        <v>106</v>
      </c>
      <c r="E15550">
        <v>24</v>
      </c>
    </row>
    <row r="15551" spans="1:5">
      <c r="A15551" t="s">
        <v>17993</v>
      </c>
      <c r="B15551" t="s">
        <v>17995</v>
      </c>
      <c r="C15551">
        <v>0</v>
      </c>
      <c r="D15551" t="s">
        <v>106</v>
      </c>
      <c r="E15551">
        <v>24</v>
      </c>
    </row>
    <row r="15552" spans="1:5">
      <c r="A15552" t="s">
        <v>17993</v>
      </c>
      <c r="B15552" t="s">
        <v>17996</v>
      </c>
      <c r="C15552">
        <f>0</f>
        <v>0</v>
      </c>
      <c r="D15552" t="s">
        <v>106</v>
      </c>
      <c r="E15552">
        <v>24</v>
      </c>
    </row>
    <row r="15553" spans="1:5">
      <c r="A15553" t="s">
        <v>17993</v>
      </c>
      <c r="B15553" t="s">
        <v>17997</v>
      </c>
      <c r="C15553">
        <v>0</v>
      </c>
      <c r="D15553" t="s">
        <v>106</v>
      </c>
      <c r="E15553">
        <v>24</v>
      </c>
    </row>
    <row r="15554" spans="1:5">
      <c r="A15554" t="s">
        <v>17993</v>
      </c>
      <c r="B15554" t="s">
        <v>17998</v>
      </c>
      <c r="C15554">
        <v>0</v>
      </c>
      <c r="D15554" t="s">
        <v>106</v>
      </c>
      <c r="E15554">
        <v>24</v>
      </c>
    </row>
    <row r="15555" spans="1:5">
      <c r="A15555" t="s">
        <v>17993</v>
      </c>
      <c r="B15555" t="s">
        <v>17999</v>
      </c>
      <c r="C15555">
        <v>0</v>
      </c>
      <c r="D15555" t="s">
        <v>106</v>
      </c>
      <c r="E15555">
        <v>24</v>
      </c>
    </row>
    <row r="15556" spans="1:5">
      <c r="A15556" t="s">
        <v>17993</v>
      </c>
      <c r="B15556" t="s">
        <v>18000</v>
      </c>
      <c r="C15556">
        <v>0</v>
      </c>
      <c r="D15556" t="s">
        <v>106</v>
      </c>
      <c r="E15556">
        <v>24</v>
      </c>
    </row>
    <row r="15557" spans="1:5">
      <c r="A15557" t="s">
        <v>18001</v>
      </c>
      <c r="B15557" t="s">
        <v>18002</v>
      </c>
      <c r="C15557">
        <v>0.18047660805499999</v>
      </c>
      <c r="D15557">
        <v>0.69588047479500004</v>
      </c>
      <c r="E15557">
        <v>0.73163418290854498</v>
      </c>
    </row>
    <row r="15558" spans="1:5">
      <c r="A15558" t="s">
        <v>18001</v>
      </c>
      <c r="B15558" t="s">
        <v>18003</v>
      </c>
      <c r="C15558">
        <v>0</v>
      </c>
      <c r="D15558">
        <v>0.69588047479500004</v>
      </c>
      <c r="E15558">
        <v>0.73163418290854498</v>
      </c>
    </row>
    <row r="15559" spans="1:5">
      <c r="A15559" t="s">
        <v>18001</v>
      </c>
      <c r="B15559" t="s">
        <v>18004</v>
      </c>
      <c r="C15559">
        <v>0</v>
      </c>
      <c r="D15559">
        <v>0.69588047479500004</v>
      </c>
      <c r="E15559">
        <v>0.73163418290854498</v>
      </c>
    </row>
    <row r="15560" spans="1:5">
      <c r="A15560" t="s">
        <v>18001</v>
      </c>
      <c r="B15560" t="s">
        <v>18005</v>
      </c>
      <c r="C15560">
        <f>0</f>
        <v>0</v>
      </c>
      <c r="D15560">
        <v>0.69588047479500004</v>
      </c>
      <c r="E15560">
        <v>0.73163418290854498</v>
      </c>
    </row>
    <row r="15561" spans="1:5">
      <c r="A15561" t="s">
        <v>18006</v>
      </c>
      <c r="B15561" t="s">
        <v>18007</v>
      </c>
      <c r="C15561">
        <v>0.53521523561200002</v>
      </c>
      <c r="D15561">
        <v>0.88534658476200001</v>
      </c>
      <c r="E15561">
        <v>10.0749625187406</v>
      </c>
    </row>
    <row r="15562" spans="1:5">
      <c r="A15562" t="s">
        <v>18006</v>
      </c>
      <c r="B15562" t="s">
        <v>18008</v>
      </c>
      <c r="C15562">
        <f>0</f>
        <v>0</v>
      </c>
      <c r="D15562">
        <v>0.88534658476200001</v>
      </c>
      <c r="E15562">
        <v>10.0749625187406</v>
      </c>
    </row>
    <row r="15563" spans="1:5">
      <c r="A15563" t="s">
        <v>18009</v>
      </c>
      <c r="B15563" t="s">
        <v>18010</v>
      </c>
      <c r="C15563">
        <v>5.6266757621100004E-3</v>
      </c>
      <c r="D15563">
        <v>0.47571153958200002</v>
      </c>
      <c r="E15563">
        <v>5.5772113943028403</v>
      </c>
    </row>
    <row r="15564" spans="1:5">
      <c r="A15564" t="s">
        <v>18009</v>
      </c>
      <c r="B15564" t="s">
        <v>18011</v>
      </c>
      <c r="C15564">
        <v>0</v>
      </c>
      <c r="D15564">
        <v>0.47571153958200002</v>
      </c>
      <c r="E15564">
        <v>5.5772113943028403</v>
      </c>
    </row>
    <row r="15565" spans="1:5">
      <c r="A15565" t="s">
        <v>18012</v>
      </c>
      <c r="B15565" t="s">
        <v>18013</v>
      </c>
      <c r="C15565">
        <v>0</v>
      </c>
      <c r="D15565">
        <v>0.84112095200899994</v>
      </c>
      <c r="E15565">
        <v>16.095952023988001</v>
      </c>
    </row>
    <row r="15566" spans="1:5">
      <c r="A15566" t="s">
        <v>18012</v>
      </c>
      <c r="B15566" t="s">
        <v>18014</v>
      </c>
      <c r="C15566">
        <v>8.4572400215300006E-2</v>
      </c>
      <c r="D15566">
        <v>0.84112095200899994</v>
      </c>
      <c r="E15566">
        <v>16.095952023988001</v>
      </c>
    </row>
    <row r="15567" spans="1:5">
      <c r="A15567" t="s">
        <v>18012</v>
      </c>
      <c r="B15567" t="s">
        <v>18015</v>
      </c>
      <c r="C15567">
        <v>0</v>
      </c>
      <c r="D15567">
        <v>0.84112095200899994</v>
      </c>
      <c r="E15567">
        <v>16.095952023988001</v>
      </c>
    </row>
    <row r="15568" spans="1:5">
      <c r="A15568" t="s">
        <v>18012</v>
      </c>
      <c r="B15568" t="s">
        <v>18016</v>
      </c>
      <c r="C15568">
        <v>0</v>
      </c>
      <c r="D15568">
        <v>0.84112095200899994</v>
      </c>
      <c r="E15568">
        <v>16.095952023988001</v>
      </c>
    </row>
    <row r="15569" spans="1:5">
      <c r="A15569" t="s">
        <v>18012</v>
      </c>
      <c r="B15569" t="s">
        <v>18017</v>
      </c>
      <c r="C15569">
        <v>0</v>
      </c>
      <c r="D15569">
        <v>0.84112095200899994</v>
      </c>
      <c r="E15569">
        <v>16.095952023988001</v>
      </c>
    </row>
    <row r="15570" spans="1:5">
      <c r="A15570" t="s">
        <v>18012</v>
      </c>
      <c r="B15570" t="s">
        <v>18018</v>
      </c>
      <c r="C15570">
        <v>0</v>
      </c>
      <c r="D15570">
        <v>0.84112095200899994</v>
      </c>
      <c r="E15570">
        <v>16.095952023988001</v>
      </c>
    </row>
    <row r="15571" spans="1:5">
      <c r="A15571" t="s">
        <v>18012</v>
      </c>
      <c r="B15571" t="s">
        <v>18019</v>
      </c>
      <c r="C15571">
        <v>0</v>
      </c>
      <c r="D15571">
        <v>0.84112095200899994</v>
      </c>
      <c r="E15571">
        <v>16.095952023988001</v>
      </c>
    </row>
    <row r="15572" spans="1:5">
      <c r="A15572" t="s">
        <v>18012</v>
      </c>
      <c r="B15572" t="s">
        <v>18020</v>
      </c>
      <c r="C15572">
        <v>0</v>
      </c>
      <c r="D15572">
        <v>0.84112095200899994</v>
      </c>
      <c r="E15572">
        <v>16.095952023988001</v>
      </c>
    </row>
    <row r="15573" spans="1:5">
      <c r="A15573" t="s">
        <v>18021</v>
      </c>
      <c r="B15573" t="s">
        <v>18022</v>
      </c>
      <c r="C15573">
        <v>0</v>
      </c>
      <c r="D15573">
        <v>0.99675407490900003</v>
      </c>
      <c r="E15573">
        <v>4.9055472263868003</v>
      </c>
    </row>
    <row r="15574" spans="1:5">
      <c r="A15574" t="s">
        <v>18021</v>
      </c>
      <c r="B15574" t="s">
        <v>18023</v>
      </c>
      <c r="C15574">
        <v>0</v>
      </c>
      <c r="D15574">
        <v>0.99675407490900003</v>
      </c>
      <c r="E15574">
        <v>4.9055472263868003</v>
      </c>
    </row>
    <row r="15575" spans="1:5">
      <c r="A15575" t="s">
        <v>18021</v>
      </c>
      <c r="B15575" t="s">
        <v>18024</v>
      </c>
      <c r="C15575">
        <f>0</f>
        <v>0</v>
      </c>
      <c r="D15575">
        <v>0.99675407490900003</v>
      </c>
      <c r="E15575">
        <v>4.9055472263868003</v>
      </c>
    </row>
    <row r="15576" spans="1:5">
      <c r="A15576" t="s">
        <v>18021</v>
      </c>
      <c r="B15576" t="s">
        <v>18025</v>
      </c>
      <c r="C15576">
        <v>0.32871983925199999</v>
      </c>
      <c r="D15576">
        <v>0.99675407490900003</v>
      </c>
      <c r="E15576">
        <v>4.9055472263868003</v>
      </c>
    </row>
    <row r="15577" spans="1:5">
      <c r="A15577" t="s">
        <v>18021</v>
      </c>
      <c r="B15577" t="s">
        <v>18026</v>
      </c>
      <c r="C15577">
        <v>0</v>
      </c>
      <c r="D15577">
        <v>0.99675407490900003</v>
      </c>
      <c r="E15577">
        <v>4.9055472263868003</v>
      </c>
    </row>
    <row r="15578" spans="1:5">
      <c r="A15578" t="s">
        <v>18021</v>
      </c>
      <c r="B15578" t="s">
        <v>18027</v>
      </c>
      <c r="C15578">
        <v>0.27951837319599998</v>
      </c>
      <c r="D15578">
        <v>0.99675407490900003</v>
      </c>
      <c r="E15578">
        <v>4.9055472263868003</v>
      </c>
    </row>
    <row r="15579" spans="1:5">
      <c r="A15579" t="s">
        <v>18021</v>
      </c>
      <c r="B15579" t="s">
        <v>18028</v>
      </c>
      <c r="C15579">
        <v>0</v>
      </c>
      <c r="D15579">
        <v>0.99675407490900003</v>
      </c>
      <c r="E15579">
        <v>4.9055472263868003</v>
      </c>
    </row>
    <row r="15580" spans="1:5">
      <c r="A15580" t="s">
        <v>18029</v>
      </c>
      <c r="B15580" t="s">
        <v>18030</v>
      </c>
      <c r="C15580">
        <v>0.40989512294199998</v>
      </c>
      <c r="D15580">
        <v>0.69150819590500001</v>
      </c>
      <c r="E15580">
        <v>2.5547226386806599</v>
      </c>
    </row>
    <row r="15581" spans="1:5">
      <c r="A15581" t="s">
        <v>18029</v>
      </c>
      <c r="B15581" t="s">
        <v>18031</v>
      </c>
      <c r="C15581">
        <f>0</f>
        <v>0</v>
      </c>
      <c r="D15581">
        <v>0.69150819590500001</v>
      </c>
      <c r="E15581">
        <v>2.5547226386806599</v>
      </c>
    </row>
    <row r="15582" spans="1:5">
      <c r="A15582" t="s">
        <v>18029</v>
      </c>
      <c r="B15582" t="s">
        <v>18032</v>
      </c>
      <c r="C15582">
        <v>1.01302566518E-2</v>
      </c>
      <c r="D15582">
        <v>0.69150819590500001</v>
      </c>
      <c r="E15582">
        <v>2.5547226386806599</v>
      </c>
    </row>
    <row r="15583" spans="1:5">
      <c r="A15583" t="s">
        <v>18033</v>
      </c>
      <c r="B15583" t="s">
        <v>18034</v>
      </c>
      <c r="C15583">
        <f>0</f>
        <v>0</v>
      </c>
      <c r="D15583" t="s">
        <v>106</v>
      </c>
      <c r="E15583">
        <v>2.0989505247376301</v>
      </c>
    </row>
    <row r="15584" spans="1:5">
      <c r="A15584" t="s">
        <v>18033</v>
      </c>
      <c r="B15584" t="s">
        <v>18035</v>
      </c>
      <c r="C15584">
        <v>0</v>
      </c>
      <c r="D15584" t="s">
        <v>106</v>
      </c>
      <c r="E15584">
        <v>2.0989505247376301</v>
      </c>
    </row>
    <row r="15585" spans="1:5">
      <c r="A15585" t="s">
        <v>18033</v>
      </c>
      <c r="B15585" t="s">
        <v>18036</v>
      </c>
      <c r="C15585">
        <v>0</v>
      </c>
      <c r="D15585" t="s">
        <v>106</v>
      </c>
      <c r="E15585">
        <v>2.0989505247376301</v>
      </c>
    </row>
    <row r="15586" spans="1:5">
      <c r="A15586" t="s">
        <v>18033</v>
      </c>
      <c r="B15586" t="s">
        <v>18037</v>
      </c>
      <c r="C15586">
        <f>0</f>
        <v>0</v>
      </c>
      <c r="D15586" t="s">
        <v>106</v>
      </c>
      <c r="E15586">
        <v>2.0989505247376301</v>
      </c>
    </row>
    <row r="15587" spans="1:5">
      <c r="A15587" t="s">
        <v>18038</v>
      </c>
      <c r="B15587" t="s">
        <v>18039</v>
      </c>
      <c r="C15587">
        <f>0</f>
        <v>0</v>
      </c>
      <c r="D15587" t="s">
        <v>106</v>
      </c>
      <c r="E15587">
        <v>12.2098950524737</v>
      </c>
    </row>
    <row r="15588" spans="1:5">
      <c r="A15588" t="s">
        <v>18038</v>
      </c>
      <c r="B15588" t="s">
        <v>18040</v>
      </c>
      <c r="C15588">
        <v>0</v>
      </c>
      <c r="D15588" t="s">
        <v>106</v>
      </c>
      <c r="E15588">
        <v>12.2098950524737</v>
      </c>
    </row>
    <row r="15589" spans="1:5">
      <c r="A15589" t="s">
        <v>18041</v>
      </c>
      <c r="B15589" t="s">
        <v>18042</v>
      </c>
      <c r="C15589">
        <f>0</f>
        <v>0</v>
      </c>
      <c r="D15589" t="s">
        <v>106</v>
      </c>
      <c r="E15589">
        <v>12.0419790104947</v>
      </c>
    </row>
    <row r="15590" spans="1:5">
      <c r="A15590" t="s">
        <v>18041</v>
      </c>
      <c r="B15590" t="s">
        <v>18043</v>
      </c>
      <c r="C15590">
        <v>0</v>
      </c>
      <c r="D15590" t="s">
        <v>106</v>
      </c>
      <c r="E15590">
        <v>12.0419790104947</v>
      </c>
    </row>
    <row r="15591" spans="1:5">
      <c r="A15591" t="s">
        <v>18044</v>
      </c>
      <c r="B15591" t="s">
        <v>18045</v>
      </c>
      <c r="C15591">
        <f>0.00690588038299</f>
        <v>6.9058803829899996E-3</v>
      </c>
      <c r="D15591">
        <v>0.50470830075399997</v>
      </c>
      <c r="E15591">
        <v>7.7361319340329802</v>
      </c>
    </row>
    <row r="15592" spans="1:5">
      <c r="A15592" t="s">
        <v>18046</v>
      </c>
      <c r="B15592" t="s">
        <v>18047</v>
      </c>
      <c r="C15592">
        <v>0</v>
      </c>
      <c r="D15592" t="s">
        <v>106</v>
      </c>
      <c r="E15592">
        <v>15.700149925037399</v>
      </c>
    </row>
    <row r="15593" spans="1:5">
      <c r="A15593" t="s">
        <v>18046</v>
      </c>
      <c r="B15593" t="s">
        <v>18048</v>
      </c>
      <c r="C15593">
        <v>0</v>
      </c>
      <c r="D15593" t="s">
        <v>106</v>
      </c>
      <c r="E15593">
        <v>15.700149925037399</v>
      </c>
    </row>
    <row r="15594" spans="1:5">
      <c r="A15594" t="s">
        <v>18046</v>
      </c>
      <c r="B15594" t="s">
        <v>18049</v>
      </c>
      <c r="C15594">
        <f>0</f>
        <v>0</v>
      </c>
      <c r="D15594" t="s">
        <v>106</v>
      </c>
      <c r="E15594">
        <v>15.700149925037399</v>
      </c>
    </row>
    <row r="15595" spans="1:5">
      <c r="A15595" t="s">
        <v>18050</v>
      </c>
      <c r="B15595" t="s">
        <v>18051</v>
      </c>
      <c r="C15595">
        <f>0.317568474636</f>
        <v>0.31756847463600002</v>
      </c>
      <c r="D15595">
        <v>0.97027637908099995</v>
      </c>
      <c r="E15595">
        <v>1.00749625187406</v>
      </c>
    </row>
    <row r="15596" spans="1:5">
      <c r="A15596" t="s">
        <v>18050</v>
      </c>
      <c r="B15596" t="s">
        <v>18052</v>
      </c>
      <c r="C15596">
        <v>0</v>
      </c>
      <c r="D15596">
        <v>0.97027637908099995</v>
      </c>
      <c r="E15596">
        <v>1.00749625187406</v>
      </c>
    </row>
    <row r="15597" spans="1:5">
      <c r="A15597" t="s">
        <v>18050</v>
      </c>
      <c r="B15597" t="s">
        <v>18053</v>
      </c>
      <c r="C15597">
        <v>0</v>
      </c>
      <c r="D15597">
        <v>0.97027637908099995</v>
      </c>
      <c r="E15597">
        <v>1.00749625187406</v>
      </c>
    </row>
    <row r="15598" spans="1:5">
      <c r="A15598" t="s">
        <v>18050</v>
      </c>
      <c r="B15598" t="s">
        <v>18054</v>
      </c>
      <c r="C15598">
        <v>0</v>
      </c>
      <c r="D15598">
        <v>0.97027637908099995</v>
      </c>
      <c r="E15598">
        <v>1.00749625187406</v>
      </c>
    </row>
    <row r="15599" spans="1:5">
      <c r="A15599" t="s">
        <v>18050</v>
      </c>
      <c r="B15599" t="s">
        <v>18055</v>
      </c>
      <c r="C15599">
        <f>0.207934496267</f>
        <v>0.207934496267</v>
      </c>
      <c r="D15599">
        <v>0.97027637908099995</v>
      </c>
      <c r="E15599">
        <v>1.00749625187406</v>
      </c>
    </row>
    <row r="15600" spans="1:5">
      <c r="A15600" t="s">
        <v>18050</v>
      </c>
      <c r="B15600" t="s">
        <v>18056</v>
      </c>
      <c r="C15600">
        <v>0</v>
      </c>
      <c r="D15600">
        <v>0.97027637908099995</v>
      </c>
      <c r="E15600">
        <v>1.00749625187406</v>
      </c>
    </row>
    <row r="15601" spans="1:5">
      <c r="A15601" t="s">
        <v>18057</v>
      </c>
      <c r="B15601" t="s">
        <v>18058</v>
      </c>
      <c r="C15601">
        <v>0</v>
      </c>
      <c r="D15601">
        <v>0.95072198919200002</v>
      </c>
      <c r="E15601">
        <v>1.22338830584707</v>
      </c>
    </row>
    <row r="15602" spans="1:5">
      <c r="A15602" t="s">
        <v>18057</v>
      </c>
      <c r="B15602" t="s">
        <v>18059</v>
      </c>
      <c r="C15602">
        <v>0.11499533270700001</v>
      </c>
      <c r="D15602">
        <v>0.95072198919200002</v>
      </c>
      <c r="E15602">
        <v>1.22338830584707</v>
      </c>
    </row>
    <row r="15603" spans="1:5">
      <c r="A15603" t="s">
        <v>18057</v>
      </c>
      <c r="B15603" t="s">
        <v>18060</v>
      </c>
      <c r="C15603">
        <v>0</v>
      </c>
      <c r="D15603">
        <v>0.95072198919200002</v>
      </c>
      <c r="E15603">
        <v>1.22338830584707</v>
      </c>
    </row>
    <row r="15604" spans="1:5">
      <c r="A15604" t="s">
        <v>18057</v>
      </c>
      <c r="B15604" t="s">
        <v>18061</v>
      </c>
      <c r="C15604">
        <v>0.39404366381</v>
      </c>
      <c r="D15604">
        <v>0.95072198919200002</v>
      </c>
      <c r="E15604">
        <v>1.22338830584707</v>
      </c>
    </row>
    <row r="15605" spans="1:5">
      <c r="A15605" t="s">
        <v>18057</v>
      </c>
      <c r="B15605" t="s">
        <v>18062</v>
      </c>
      <c r="C15605">
        <v>0</v>
      </c>
      <c r="D15605">
        <v>0.95072198919200002</v>
      </c>
      <c r="E15605">
        <v>1.22338830584707</v>
      </c>
    </row>
    <row r="15606" spans="1:5">
      <c r="A15606" t="s">
        <v>18063</v>
      </c>
      <c r="B15606" t="s">
        <v>18064</v>
      </c>
      <c r="C15606">
        <f>0</f>
        <v>0</v>
      </c>
      <c r="D15606">
        <v>0.89041091179499998</v>
      </c>
      <c r="E15606">
        <v>2.4707646176911502</v>
      </c>
    </row>
    <row r="15607" spans="1:5">
      <c r="A15607" t="s">
        <v>18063</v>
      </c>
      <c r="B15607" t="s">
        <v>18065</v>
      </c>
      <c r="C15607">
        <v>0</v>
      </c>
      <c r="D15607">
        <v>0.89041091179499998</v>
      </c>
      <c r="E15607">
        <v>2.4707646176911502</v>
      </c>
    </row>
    <row r="15608" spans="1:5">
      <c r="A15608" t="s">
        <v>18063</v>
      </c>
      <c r="B15608" t="s">
        <v>18066</v>
      </c>
      <c r="C15608">
        <v>0</v>
      </c>
      <c r="D15608">
        <v>0.89041091179499998</v>
      </c>
      <c r="E15608">
        <v>2.4707646176911502</v>
      </c>
    </row>
    <row r="15609" spans="1:5">
      <c r="A15609" t="s">
        <v>18063</v>
      </c>
      <c r="B15609" t="s">
        <v>18067</v>
      </c>
      <c r="C15609">
        <v>0</v>
      </c>
      <c r="D15609">
        <v>0.89041091179499998</v>
      </c>
      <c r="E15609">
        <v>2.4707646176911502</v>
      </c>
    </row>
    <row r="15610" spans="1:5">
      <c r="A15610" t="s">
        <v>18063</v>
      </c>
      <c r="B15610" t="s">
        <v>18068</v>
      </c>
      <c r="C15610">
        <f>0</f>
        <v>0</v>
      </c>
      <c r="D15610">
        <v>0.89041091179499998</v>
      </c>
      <c r="E15610">
        <v>2.4707646176911502</v>
      </c>
    </row>
    <row r="15611" spans="1:5">
      <c r="A15611" t="s">
        <v>18069</v>
      </c>
      <c r="B15611" t="s">
        <v>18070</v>
      </c>
      <c r="C15611">
        <f>0</f>
        <v>0</v>
      </c>
      <c r="D15611">
        <v>0.96349525284799997</v>
      </c>
      <c r="E15611">
        <v>24</v>
      </c>
    </row>
    <row r="15612" spans="1:5">
      <c r="A15612" t="s">
        <v>18071</v>
      </c>
      <c r="B15612" t="s">
        <v>18072</v>
      </c>
      <c r="C15612">
        <f>0</f>
        <v>0</v>
      </c>
      <c r="D15612">
        <v>0.78399218684299998</v>
      </c>
      <c r="E15612">
        <v>6.6806596701649097</v>
      </c>
    </row>
    <row r="15613" spans="1:5">
      <c r="A15613" t="s">
        <v>18071</v>
      </c>
      <c r="B15613" t="s">
        <v>18073</v>
      </c>
      <c r="C15613">
        <v>0.41048802973499998</v>
      </c>
      <c r="D15613">
        <v>0.78399218684299998</v>
      </c>
      <c r="E15613">
        <v>6.6806596701649097</v>
      </c>
    </row>
    <row r="15614" spans="1:5">
      <c r="A15614" t="s">
        <v>18074</v>
      </c>
      <c r="B15614" t="s">
        <v>18075</v>
      </c>
      <c r="C15614">
        <v>0</v>
      </c>
      <c r="D15614">
        <v>0.79563837261799997</v>
      </c>
      <c r="E15614">
        <v>8.7196401799100407</v>
      </c>
    </row>
    <row r="15615" spans="1:5">
      <c r="A15615" t="s">
        <v>18074</v>
      </c>
      <c r="B15615" t="s">
        <v>18076</v>
      </c>
      <c r="C15615">
        <v>0</v>
      </c>
      <c r="D15615">
        <v>0.79563837261799997</v>
      </c>
      <c r="E15615">
        <v>8.7196401799100407</v>
      </c>
    </row>
    <row r="15616" spans="1:5">
      <c r="A15616" t="s">
        <v>18074</v>
      </c>
      <c r="B15616" t="s">
        <v>18077</v>
      </c>
      <c r="C15616">
        <f>0</f>
        <v>0</v>
      </c>
      <c r="D15616">
        <v>0.79563837261799997</v>
      </c>
      <c r="E15616">
        <v>8.7196401799100407</v>
      </c>
    </row>
    <row r="15617" spans="1:5">
      <c r="A15617" t="s">
        <v>18074</v>
      </c>
      <c r="B15617" t="s">
        <v>18078</v>
      </c>
      <c r="C15617">
        <f>0.122424307556</f>
        <v>0.12242430755600001</v>
      </c>
      <c r="D15617">
        <v>0.79563837261799997</v>
      </c>
      <c r="E15617">
        <v>8.7196401799100407</v>
      </c>
    </row>
    <row r="15618" spans="1:5">
      <c r="A15618" t="s">
        <v>18074</v>
      </c>
      <c r="B15618" t="s">
        <v>18079</v>
      </c>
      <c r="C15618">
        <f>0</f>
        <v>0</v>
      </c>
      <c r="D15618">
        <v>0.79563837261799997</v>
      </c>
      <c r="E15618">
        <v>8.7196401799100407</v>
      </c>
    </row>
    <row r="15619" spans="1:5">
      <c r="A15619" t="s">
        <v>18074</v>
      </c>
      <c r="B15619" t="s">
        <v>18080</v>
      </c>
      <c r="C15619">
        <v>0.18786503470300001</v>
      </c>
      <c r="D15619">
        <v>0.79563837261799997</v>
      </c>
      <c r="E15619">
        <v>8.7196401799100407</v>
      </c>
    </row>
    <row r="15620" spans="1:5">
      <c r="A15620" t="s">
        <v>18074</v>
      </c>
      <c r="B15620" t="s">
        <v>18081</v>
      </c>
      <c r="C15620">
        <v>0</v>
      </c>
      <c r="D15620">
        <v>0.79563837261799997</v>
      </c>
      <c r="E15620">
        <v>8.7196401799100407</v>
      </c>
    </row>
    <row r="15621" spans="1:5">
      <c r="A15621" t="s">
        <v>18074</v>
      </c>
      <c r="B15621" t="s">
        <v>18082</v>
      </c>
      <c r="C15621">
        <v>0</v>
      </c>
      <c r="D15621">
        <v>0.79563837261799997</v>
      </c>
      <c r="E15621">
        <v>8.7196401799100407</v>
      </c>
    </row>
    <row r="15622" spans="1:5">
      <c r="A15622" t="s">
        <v>18074</v>
      </c>
      <c r="B15622" t="s">
        <v>18083</v>
      </c>
      <c r="C15622">
        <v>0</v>
      </c>
      <c r="D15622">
        <v>0.79563837261799997</v>
      </c>
      <c r="E15622">
        <v>8.7196401799100407</v>
      </c>
    </row>
    <row r="15623" spans="1:5">
      <c r="A15623" t="s">
        <v>18074</v>
      </c>
      <c r="B15623" t="s">
        <v>18084</v>
      </c>
      <c r="C15623">
        <v>0</v>
      </c>
      <c r="D15623">
        <v>0.79563837261799997</v>
      </c>
      <c r="E15623">
        <v>8.7196401799100407</v>
      </c>
    </row>
    <row r="15624" spans="1:5">
      <c r="A15624" t="s">
        <v>18085</v>
      </c>
      <c r="B15624" t="s">
        <v>18086</v>
      </c>
      <c r="C15624">
        <v>0.200342781602</v>
      </c>
      <c r="D15624">
        <v>0.82333177931400003</v>
      </c>
      <c r="E15624">
        <v>17.307346326836502</v>
      </c>
    </row>
    <row r="15625" spans="1:5">
      <c r="A15625" t="s">
        <v>18085</v>
      </c>
      <c r="B15625" t="s">
        <v>18087</v>
      </c>
      <c r="C15625">
        <v>1.0052167705E-2</v>
      </c>
      <c r="D15625">
        <v>0.82333177931400003</v>
      </c>
      <c r="E15625">
        <v>17.307346326836502</v>
      </c>
    </row>
    <row r="15626" spans="1:5">
      <c r="A15626" t="s">
        <v>18088</v>
      </c>
      <c r="B15626" t="s">
        <v>18089</v>
      </c>
      <c r="C15626">
        <v>0</v>
      </c>
      <c r="D15626">
        <v>0.69175832465300002</v>
      </c>
      <c r="E15626">
        <v>24</v>
      </c>
    </row>
    <row r="15627" spans="1:5">
      <c r="A15627" t="s">
        <v>18088</v>
      </c>
      <c r="B15627" t="s">
        <v>18090</v>
      </c>
      <c r="C15627">
        <f>0</f>
        <v>0</v>
      </c>
      <c r="D15627">
        <v>0.69175832465300002</v>
      </c>
      <c r="E15627">
        <v>24</v>
      </c>
    </row>
    <row r="15628" spans="1:5">
      <c r="A15628" t="s">
        <v>18088</v>
      </c>
      <c r="B15628" t="s">
        <v>18091</v>
      </c>
      <c r="C15628">
        <f>0</f>
        <v>0</v>
      </c>
      <c r="D15628">
        <v>0.69175832465300002</v>
      </c>
      <c r="E15628">
        <v>24</v>
      </c>
    </row>
    <row r="15629" spans="1:5">
      <c r="A15629" t="s">
        <v>18088</v>
      </c>
      <c r="B15629" t="s">
        <v>18092</v>
      </c>
      <c r="C15629">
        <f>0</f>
        <v>0</v>
      </c>
      <c r="D15629">
        <v>0.69175832465300002</v>
      </c>
      <c r="E15629">
        <v>24</v>
      </c>
    </row>
    <row r="15630" spans="1:5">
      <c r="A15630" t="s">
        <v>18088</v>
      </c>
      <c r="B15630" t="s">
        <v>18093</v>
      </c>
      <c r="C15630">
        <f>0</f>
        <v>0</v>
      </c>
      <c r="D15630">
        <v>0.69175832465300002</v>
      </c>
      <c r="E15630">
        <v>24</v>
      </c>
    </row>
    <row r="15631" spans="1:5">
      <c r="A15631" t="s">
        <v>18088</v>
      </c>
      <c r="B15631" t="s">
        <v>18094</v>
      </c>
      <c r="C15631">
        <f>0.0264152277753</f>
        <v>2.6415227775300001E-2</v>
      </c>
      <c r="D15631">
        <v>0.69175832465300002</v>
      </c>
      <c r="E15631">
        <v>24</v>
      </c>
    </row>
    <row r="15632" spans="1:5">
      <c r="A15632" t="s">
        <v>18088</v>
      </c>
      <c r="B15632" t="s">
        <v>18095</v>
      </c>
      <c r="C15632">
        <v>0.14739836596</v>
      </c>
      <c r="D15632">
        <v>0.69175832465300002</v>
      </c>
      <c r="E15632">
        <v>24</v>
      </c>
    </row>
    <row r="15633" spans="1:5">
      <c r="A15633" t="s">
        <v>18088</v>
      </c>
      <c r="B15633" t="s">
        <v>18096</v>
      </c>
      <c r="C15633">
        <f>0</f>
        <v>0</v>
      </c>
      <c r="D15633">
        <v>0.69175832465300002</v>
      </c>
      <c r="E15633">
        <v>24</v>
      </c>
    </row>
    <row r="15634" spans="1:5">
      <c r="A15634" t="s">
        <v>18097</v>
      </c>
      <c r="B15634" t="s">
        <v>18098</v>
      </c>
      <c r="C15634">
        <v>4.8194673129500001E-2</v>
      </c>
      <c r="D15634">
        <v>0.94360134609000001</v>
      </c>
      <c r="E15634">
        <v>21.637181409295302</v>
      </c>
    </row>
    <row r="15635" spans="1:5">
      <c r="A15635" t="s">
        <v>18097</v>
      </c>
      <c r="B15635" t="s">
        <v>18099</v>
      </c>
      <c r="C15635">
        <v>0</v>
      </c>
      <c r="D15635">
        <v>0.94360134609000001</v>
      </c>
      <c r="E15635">
        <v>21.637181409295302</v>
      </c>
    </row>
    <row r="15636" spans="1:5">
      <c r="A15636" t="s">
        <v>18097</v>
      </c>
      <c r="B15636" t="s">
        <v>18100</v>
      </c>
      <c r="C15636">
        <v>0</v>
      </c>
      <c r="D15636">
        <v>0.94360134609000001</v>
      </c>
      <c r="E15636">
        <v>21.637181409295302</v>
      </c>
    </row>
    <row r="15637" spans="1:5">
      <c r="A15637" t="s">
        <v>18097</v>
      </c>
      <c r="B15637" t="s">
        <v>18101</v>
      </c>
      <c r="C15637">
        <v>0.109458904271</v>
      </c>
      <c r="D15637">
        <v>0.94360134609000001</v>
      </c>
      <c r="E15637">
        <v>21.637181409295302</v>
      </c>
    </row>
    <row r="15638" spans="1:5">
      <c r="A15638" t="s">
        <v>18102</v>
      </c>
      <c r="B15638" t="s">
        <v>18103</v>
      </c>
      <c r="C15638">
        <f>0</f>
        <v>0</v>
      </c>
      <c r="D15638">
        <v>0.93895658937699999</v>
      </c>
      <c r="E15638">
        <v>24</v>
      </c>
    </row>
    <row r="15639" spans="1:5">
      <c r="A15639" t="s">
        <v>18102</v>
      </c>
      <c r="B15639" t="s">
        <v>18104</v>
      </c>
      <c r="C15639">
        <v>0</v>
      </c>
      <c r="D15639">
        <v>0.93895658937699999</v>
      </c>
      <c r="E15639">
        <v>24</v>
      </c>
    </row>
    <row r="15640" spans="1:5">
      <c r="A15640" t="s">
        <v>18102</v>
      </c>
      <c r="B15640" t="s">
        <v>18105</v>
      </c>
      <c r="C15640">
        <v>0</v>
      </c>
      <c r="D15640">
        <v>0.93895658937699999</v>
      </c>
      <c r="E15640">
        <v>24</v>
      </c>
    </row>
    <row r="15641" spans="1:5">
      <c r="A15641" t="s">
        <v>18102</v>
      </c>
      <c r="B15641" t="s">
        <v>18106</v>
      </c>
      <c r="C15641">
        <v>0</v>
      </c>
      <c r="D15641">
        <v>0.93895658937699999</v>
      </c>
      <c r="E15641">
        <v>24</v>
      </c>
    </row>
    <row r="15642" spans="1:5">
      <c r="A15642" t="s">
        <v>18102</v>
      </c>
      <c r="B15642" t="s">
        <v>18107</v>
      </c>
      <c r="C15642">
        <v>0</v>
      </c>
      <c r="D15642">
        <v>0.93895658937699999</v>
      </c>
      <c r="E15642">
        <v>24</v>
      </c>
    </row>
    <row r="15643" spans="1:5">
      <c r="A15643" t="s">
        <v>18102</v>
      </c>
      <c r="B15643" t="s">
        <v>18108</v>
      </c>
      <c r="C15643">
        <v>0</v>
      </c>
      <c r="D15643">
        <v>0.93895658937699999</v>
      </c>
      <c r="E15643">
        <v>24</v>
      </c>
    </row>
    <row r="15644" spans="1:5">
      <c r="A15644" t="s">
        <v>18102</v>
      </c>
      <c r="B15644" t="s">
        <v>18109</v>
      </c>
      <c r="C15644">
        <v>0</v>
      </c>
      <c r="D15644">
        <v>0.93895658937699999</v>
      </c>
      <c r="E15644">
        <v>24</v>
      </c>
    </row>
    <row r="15645" spans="1:5">
      <c r="A15645" t="s">
        <v>18102</v>
      </c>
      <c r="B15645" t="s">
        <v>18110</v>
      </c>
      <c r="C15645">
        <v>0</v>
      </c>
      <c r="D15645">
        <v>0.93895658937699999</v>
      </c>
      <c r="E15645">
        <v>24</v>
      </c>
    </row>
    <row r="15646" spans="1:5">
      <c r="A15646" t="s">
        <v>18111</v>
      </c>
      <c r="B15646" t="s">
        <v>18112</v>
      </c>
      <c r="C15646">
        <v>8.0759808805100003E-2</v>
      </c>
      <c r="D15646">
        <v>0.85816574713399996</v>
      </c>
      <c r="E15646">
        <v>18.554722638680602</v>
      </c>
    </row>
    <row r="15647" spans="1:5">
      <c r="A15647" t="s">
        <v>18111</v>
      </c>
      <c r="B15647" t="s">
        <v>18113</v>
      </c>
      <c r="C15647">
        <f>0</f>
        <v>0</v>
      </c>
      <c r="D15647">
        <v>0.85816574713399996</v>
      </c>
      <c r="E15647">
        <v>18.554722638680602</v>
      </c>
    </row>
    <row r="15648" spans="1:5">
      <c r="A15648" t="s">
        <v>18114</v>
      </c>
      <c r="B15648" t="s">
        <v>18115</v>
      </c>
      <c r="C15648">
        <v>0.23807232779500001</v>
      </c>
      <c r="D15648">
        <v>0.61375252591499996</v>
      </c>
      <c r="E15648">
        <v>5.5772113943028403</v>
      </c>
    </row>
    <row r="15649" spans="1:5">
      <c r="A15649" t="s">
        <v>18114</v>
      </c>
      <c r="B15649" t="s">
        <v>18116</v>
      </c>
      <c r="C15649">
        <v>7.7916748074300005E-2</v>
      </c>
      <c r="D15649">
        <v>0.61375252591499996</v>
      </c>
      <c r="E15649">
        <v>5.5772113943028403</v>
      </c>
    </row>
    <row r="15650" spans="1:5">
      <c r="A15650" t="s">
        <v>18117</v>
      </c>
      <c r="B15650" t="s">
        <v>18118</v>
      </c>
      <c r="C15650">
        <v>0.457319740408</v>
      </c>
      <c r="D15650">
        <v>0.84493298391000005</v>
      </c>
      <c r="E15650">
        <v>8.2878560719640095</v>
      </c>
    </row>
    <row r="15651" spans="1:5">
      <c r="A15651" t="s">
        <v>18119</v>
      </c>
      <c r="B15651" t="s">
        <v>18120</v>
      </c>
      <c r="C15651">
        <f>0.599404915296</f>
        <v>0.59940491529600004</v>
      </c>
      <c r="D15651">
        <v>0.97690405114400003</v>
      </c>
      <c r="E15651">
        <v>0.86356821589205401</v>
      </c>
    </row>
    <row r="15652" spans="1:5">
      <c r="A15652" t="s">
        <v>18119</v>
      </c>
      <c r="B15652" t="s">
        <v>18121</v>
      </c>
      <c r="C15652">
        <f>0.185726862931</f>
        <v>0.18572686293099999</v>
      </c>
      <c r="D15652">
        <v>0.97690405114400003</v>
      </c>
      <c r="E15652">
        <v>0.86356821589205401</v>
      </c>
    </row>
    <row r="15653" spans="1:5">
      <c r="A15653" t="s">
        <v>18119</v>
      </c>
      <c r="B15653" t="s">
        <v>18122</v>
      </c>
      <c r="C15653">
        <v>0</v>
      </c>
      <c r="D15653">
        <v>0.97690405114400003</v>
      </c>
      <c r="E15653">
        <v>0.86356821589205401</v>
      </c>
    </row>
    <row r="15654" spans="1:5">
      <c r="A15654" t="s">
        <v>18119</v>
      </c>
      <c r="B15654" t="s">
        <v>18123</v>
      </c>
      <c r="C15654">
        <f>0</f>
        <v>0</v>
      </c>
      <c r="D15654">
        <v>0.97690405114400003</v>
      </c>
      <c r="E15654">
        <v>0.86356821589205401</v>
      </c>
    </row>
    <row r="15655" spans="1:5">
      <c r="A15655" t="s">
        <v>18119</v>
      </c>
      <c r="B15655" t="s">
        <v>18124</v>
      </c>
      <c r="C15655">
        <v>0</v>
      </c>
      <c r="D15655">
        <v>0.97690405114400003</v>
      </c>
      <c r="E15655">
        <v>0.86356821589205401</v>
      </c>
    </row>
    <row r="15656" spans="1:5">
      <c r="A15656" t="s">
        <v>18119</v>
      </c>
      <c r="B15656" t="s">
        <v>18125</v>
      </c>
      <c r="C15656">
        <v>0</v>
      </c>
      <c r="D15656">
        <v>0.97690405114400003</v>
      </c>
      <c r="E15656">
        <v>0.86356821589205401</v>
      </c>
    </row>
    <row r="15657" spans="1:5">
      <c r="A15657" t="s">
        <v>18126</v>
      </c>
      <c r="B15657" t="s">
        <v>18127</v>
      </c>
      <c r="C15657">
        <f>0</f>
        <v>0</v>
      </c>
      <c r="D15657" t="s">
        <v>106</v>
      </c>
      <c r="E15657">
        <v>11.202398800599701</v>
      </c>
    </row>
    <row r="15658" spans="1:5">
      <c r="A15658" t="s">
        <v>18126</v>
      </c>
      <c r="B15658" t="s">
        <v>18128</v>
      </c>
      <c r="C15658">
        <v>0</v>
      </c>
      <c r="D15658" t="s">
        <v>106</v>
      </c>
      <c r="E15658">
        <v>11.202398800599701</v>
      </c>
    </row>
    <row r="15659" spans="1:5">
      <c r="A15659" t="s">
        <v>18126</v>
      </c>
      <c r="B15659" t="s">
        <v>18129</v>
      </c>
      <c r="C15659">
        <f>0</f>
        <v>0</v>
      </c>
      <c r="D15659" t="s">
        <v>106</v>
      </c>
      <c r="E15659">
        <v>11.202398800599701</v>
      </c>
    </row>
    <row r="15660" spans="1:5">
      <c r="A15660" t="s">
        <v>18126</v>
      </c>
      <c r="B15660" t="s">
        <v>18130</v>
      </c>
      <c r="C15660">
        <v>0</v>
      </c>
      <c r="D15660" t="s">
        <v>106</v>
      </c>
      <c r="E15660">
        <v>11.202398800599701</v>
      </c>
    </row>
    <row r="15661" spans="1:5">
      <c r="A15661" t="s">
        <v>18126</v>
      </c>
      <c r="B15661" t="s">
        <v>18131</v>
      </c>
      <c r="C15661">
        <f>0</f>
        <v>0</v>
      </c>
      <c r="D15661" t="s">
        <v>106</v>
      </c>
      <c r="E15661">
        <v>11.202398800599701</v>
      </c>
    </row>
    <row r="15662" spans="1:5">
      <c r="A15662" t="s">
        <v>18126</v>
      </c>
      <c r="B15662" t="s">
        <v>18132</v>
      </c>
      <c r="C15662">
        <f>0</f>
        <v>0</v>
      </c>
      <c r="D15662" t="s">
        <v>106</v>
      </c>
      <c r="E15662">
        <v>11.202398800599701</v>
      </c>
    </row>
    <row r="15663" spans="1:5">
      <c r="A15663" t="s">
        <v>18126</v>
      </c>
      <c r="B15663" t="s">
        <v>18133</v>
      </c>
      <c r="C15663">
        <v>0</v>
      </c>
      <c r="D15663" t="s">
        <v>106</v>
      </c>
      <c r="E15663">
        <v>11.202398800599701</v>
      </c>
    </row>
    <row r="15664" spans="1:5">
      <c r="A15664" t="s">
        <v>18126</v>
      </c>
      <c r="B15664" t="s">
        <v>18134</v>
      </c>
      <c r="C15664">
        <v>0</v>
      </c>
      <c r="D15664" t="s">
        <v>106</v>
      </c>
      <c r="E15664">
        <v>11.202398800599701</v>
      </c>
    </row>
    <row r="15665" spans="1:5">
      <c r="A15665" t="s">
        <v>18126</v>
      </c>
      <c r="B15665" t="s">
        <v>18135</v>
      </c>
      <c r="C15665">
        <v>0</v>
      </c>
      <c r="D15665" t="s">
        <v>106</v>
      </c>
      <c r="E15665">
        <v>11.202398800599701</v>
      </c>
    </row>
    <row r="15666" spans="1:5">
      <c r="A15666" t="s">
        <v>18126</v>
      </c>
      <c r="B15666" t="s">
        <v>18136</v>
      </c>
      <c r="C15666">
        <v>0</v>
      </c>
      <c r="D15666" t="s">
        <v>106</v>
      </c>
      <c r="E15666">
        <v>11.202398800599701</v>
      </c>
    </row>
    <row r="15667" spans="1:5">
      <c r="A15667" t="s">
        <v>18126</v>
      </c>
      <c r="B15667" t="s">
        <v>18137</v>
      </c>
      <c r="C15667">
        <v>0</v>
      </c>
      <c r="D15667" t="s">
        <v>106</v>
      </c>
      <c r="E15667">
        <v>11.202398800599701</v>
      </c>
    </row>
    <row r="15668" spans="1:5">
      <c r="A15668" t="s">
        <v>18138</v>
      </c>
      <c r="B15668" t="s">
        <v>18139</v>
      </c>
      <c r="C15668">
        <f>0</f>
        <v>0</v>
      </c>
      <c r="D15668">
        <v>0.92488589874000005</v>
      </c>
      <c r="E15668">
        <v>1.8230884557721101</v>
      </c>
    </row>
    <row r="15669" spans="1:5">
      <c r="A15669" t="s">
        <v>18138</v>
      </c>
      <c r="B15669" t="s">
        <v>18140</v>
      </c>
      <c r="C15669">
        <f>0</f>
        <v>0</v>
      </c>
      <c r="D15669">
        <v>0.92488589874000005</v>
      </c>
      <c r="E15669">
        <v>1.8230884557721101</v>
      </c>
    </row>
    <row r="15670" spans="1:5">
      <c r="A15670" t="s">
        <v>18138</v>
      </c>
      <c r="B15670" t="s">
        <v>18141</v>
      </c>
      <c r="C15670">
        <v>0</v>
      </c>
      <c r="D15670">
        <v>0.92488589874000005</v>
      </c>
      <c r="E15670">
        <v>1.8230884557721101</v>
      </c>
    </row>
    <row r="15671" spans="1:5">
      <c r="A15671" t="s">
        <v>18138</v>
      </c>
      <c r="B15671" t="s">
        <v>18142</v>
      </c>
      <c r="C15671">
        <v>0</v>
      </c>
      <c r="D15671">
        <v>0.92488589874000005</v>
      </c>
      <c r="E15671">
        <v>1.8230884557721101</v>
      </c>
    </row>
    <row r="15672" spans="1:5">
      <c r="A15672" t="s">
        <v>18138</v>
      </c>
      <c r="B15672" t="s">
        <v>18143</v>
      </c>
      <c r="C15672">
        <f>0</f>
        <v>0</v>
      </c>
      <c r="D15672">
        <v>0.92488589874000005</v>
      </c>
      <c r="E15672">
        <v>1.8230884557721101</v>
      </c>
    </row>
    <row r="15673" spans="1:5">
      <c r="A15673" t="s">
        <v>18138</v>
      </c>
      <c r="B15673" t="s">
        <v>18144</v>
      </c>
      <c r="C15673">
        <v>4.1956780740999997E-2</v>
      </c>
      <c r="D15673">
        <v>0.92488589874000005</v>
      </c>
      <c r="E15673">
        <v>1.8230884557721101</v>
      </c>
    </row>
    <row r="15674" spans="1:5">
      <c r="A15674" t="s">
        <v>18138</v>
      </c>
      <c r="B15674" t="s">
        <v>18145</v>
      </c>
      <c r="C15674">
        <f>0</f>
        <v>0</v>
      </c>
      <c r="D15674">
        <v>0.92488589874000005</v>
      </c>
      <c r="E15674">
        <v>1.8230884557721101</v>
      </c>
    </row>
    <row r="15675" spans="1:5">
      <c r="A15675" t="s">
        <v>18138</v>
      </c>
      <c r="B15675" t="s">
        <v>18146</v>
      </c>
      <c r="C15675">
        <v>0</v>
      </c>
      <c r="D15675">
        <v>0.92488589874000005</v>
      </c>
      <c r="E15675">
        <v>1.8230884557721101</v>
      </c>
    </row>
    <row r="15676" spans="1:5">
      <c r="A15676" t="s">
        <v>18138</v>
      </c>
      <c r="B15676" t="s">
        <v>18147</v>
      </c>
      <c r="C15676">
        <v>0</v>
      </c>
      <c r="D15676">
        <v>0.92488589874000005</v>
      </c>
      <c r="E15676">
        <v>1.8230884557721101</v>
      </c>
    </row>
    <row r="15677" spans="1:5">
      <c r="A15677" t="s">
        <v>18138</v>
      </c>
      <c r="B15677" t="s">
        <v>18148</v>
      </c>
      <c r="C15677">
        <v>0</v>
      </c>
      <c r="D15677">
        <v>0.92488589874000005</v>
      </c>
      <c r="E15677">
        <v>1.8230884557721101</v>
      </c>
    </row>
    <row r="15678" spans="1:5">
      <c r="A15678" t="s">
        <v>18138</v>
      </c>
      <c r="B15678" t="s">
        <v>18149</v>
      </c>
      <c r="C15678">
        <v>0</v>
      </c>
      <c r="D15678">
        <v>0.92488589874000005</v>
      </c>
      <c r="E15678">
        <v>1.8230884557721101</v>
      </c>
    </row>
    <row r="15679" spans="1:5">
      <c r="A15679" t="s">
        <v>18138</v>
      </c>
      <c r="B15679" t="s">
        <v>18150</v>
      </c>
      <c r="C15679">
        <v>5.7199406872400001E-2</v>
      </c>
      <c r="D15679">
        <v>0.92488589874000005</v>
      </c>
      <c r="E15679">
        <v>1.8230884557721101</v>
      </c>
    </row>
    <row r="15680" spans="1:5">
      <c r="A15680" t="s">
        <v>18138</v>
      </c>
      <c r="B15680" t="s">
        <v>18151</v>
      </c>
      <c r="C15680">
        <f>0</f>
        <v>0</v>
      </c>
      <c r="D15680">
        <v>0.92488589874000005</v>
      </c>
      <c r="E15680">
        <v>1.8230884557721101</v>
      </c>
    </row>
    <row r="15681" spans="1:5">
      <c r="A15681" t="s">
        <v>18138</v>
      </c>
      <c r="B15681" t="s">
        <v>18152</v>
      </c>
      <c r="C15681">
        <v>0</v>
      </c>
      <c r="D15681">
        <v>0.92488589874000005</v>
      </c>
      <c r="E15681">
        <v>1.8230884557721101</v>
      </c>
    </row>
    <row r="15682" spans="1:5">
      <c r="A15682" t="s">
        <v>18138</v>
      </c>
      <c r="B15682" t="s">
        <v>18153</v>
      </c>
      <c r="C15682">
        <v>0</v>
      </c>
      <c r="D15682">
        <v>0.92488589874000005</v>
      </c>
      <c r="E15682">
        <v>1.8230884557721101</v>
      </c>
    </row>
    <row r="15683" spans="1:5">
      <c r="A15683" t="s">
        <v>18138</v>
      </c>
      <c r="B15683" t="s">
        <v>18154</v>
      </c>
      <c r="C15683">
        <v>0</v>
      </c>
      <c r="D15683">
        <v>0.92488589874000005</v>
      </c>
      <c r="E15683">
        <v>1.8230884557721101</v>
      </c>
    </row>
    <row r="15684" spans="1:5">
      <c r="A15684" t="s">
        <v>18138</v>
      </c>
      <c r="B15684" t="s">
        <v>18155</v>
      </c>
      <c r="C15684">
        <v>0</v>
      </c>
      <c r="D15684">
        <v>0.92488589874000005</v>
      </c>
      <c r="E15684">
        <v>1.8230884557721101</v>
      </c>
    </row>
    <row r="15685" spans="1:5">
      <c r="A15685" t="s">
        <v>18138</v>
      </c>
      <c r="B15685" t="s">
        <v>18156</v>
      </c>
      <c r="C15685">
        <v>0</v>
      </c>
      <c r="D15685">
        <v>0.92488589874000005</v>
      </c>
      <c r="E15685">
        <v>1.8230884557721101</v>
      </c>
    </row>
    <row r="15686" spans="1:5">
      <c r="A15686" t="s">
        <v>18138</v>
      </c>
      <c r="B15686" t="s">
        <v>18157</v>
      </c>
      <c r="C15686">
        <v>0</v>
      </c>
      <c r="D15686">
        <v>0.92488589874000005</v>
      </c>
      <c r="E15686">
        <v>1.8230884557721101</v>
      </c>
    </row>
    <row r="15687" spans="1:5">
      <c r="A15687" t="s">
        <v>18138</v>
      </c>
      <c r="B15687" t="s">
        <v>18158</v>
      </c>
      <c r="C15687">
        <f>0</f>
        <v>0</v>
      </c>
      <c r="D15687">
        <v>0.92488589874000005</v>
      </c>
      <c r="E15687">
        <v>1.8230884557721101</v>
      </c>
    </row>
    <row r="15688" spans="1:5">
      <c r="A15688" t="s">
        <v>18159</v>
      </c>
      <c r="B15688" t="s">
        <v>18160</v>
      </c>
      <c r="C15688">
        <v>0</v>
      </c>
      <c r="D15688">
        <v>0.82034559256899997</v>
      </c>
      <c r="E15688">
        <v>17.103448275862</v>
      </c>
    </row>
    <row r="15689" spans="1:5">
      <c r="A15689" t="s">
        <v>18159</v>
      </c>
      <c r="B15689" t="s">
        <v>18161</v>
      </c>
      <c r="C15689">
        <v>0</v>
      </c>
      <c r="D15689">
        <v>0.82034559256899997</v>
      </c>
      <c r="E15689">
        <v>17.103448275862</v>
      </c>
    </row>
    <row r="15690" spans="1:5">
      <c r="A15690" t="s">
        <v>18159</v>
      </c>
      <c r="B15690" t="s">
        <v>18162</v>
      </c>
      <c r="C15690">
        <v>0</v>
      </c>
      <c r="D15690">
        <v>0.82034559256899997</v>
      </c>
      <c r="E15690">
        <v>17.103448275862</v>
      </c>
    </row>
    <row r="15691" spans="1:5">
      <c r="A15691" t="s">
        <v>18159</v>
      </c>
      <c r="B15691" t="s">
        <v>18163</v>
      </c>
      <c r="C15691">
        <v>0</v>
      </c>
      <c r="D15691">
        <v>0.82034559256899997</v>
      </c>
      <c r="E15691">
        <v>17.103448275862</v>
      </c>
    </row>
    <row r="15692" spans="1:5">
      <c r="A15692" t="s">
        <v>18159</v>
      </c>
      <c r="B15692" t="s">
        <v>18164</v>
      </c>
      <c r="C15692">
        <v>0</v>
      </c>
      <c r="D15692">
        <v>0.82034559256899997</v>
      </c>
      <c r="E15692">
        <v>17.103448275862</v>
      </c>
    </row>
    <row r="15693" spans="1:5">
      <c r="A15693" t="s">
        <v>18159</v>
      </c>
      <c r="B15693" t="s">
        <v>18165</v>
      </c>
      <c r="C15693">
        <v>0</v>
      </c>
      <c r="D15693">
        <v>0.82034559256899997</v>
      </c>
      <c r="E15693">
        <v>17.103448275862</v>
      </c>
    </row>
    <row r="15694" spans="1:5">
      <c r="A15694" t="s">
        <v>18159</v>
      </c>
      <c r="B15694" t="s">
        <v>18166</v>
      </c>
      <c r="C15694">
        <v>0.116044077553</v>
      </c>
      <c r="D15694">
        <v>0.82034559256899997</v>
      </c>
      <c r="E15694">
        <v>17.103448275862</v>
      </c>
    </row>
    <row r="15695" spans="1:5">
      <c r="A15695" t="s">
        <v>18167</v>
      </c>
      <c r="B15695" t="s">
        <v>18168</v>
      </c>
      <c r="C15695">
        <v>0.13984038775099999</v>
      </c>
      <c r="D15695">
        <v>0.86249364378100002</v>
      </c>
      <c r="E15695">
        <v>6.0569715142428704</v>
      </c>
    </row>
    <row r="15696" spans="1:5">
      <c r="A15696" t="s">
        <v>18167</v>
      </c>
      <c r="B15696" t="s">
        <v>18169</v>
      </c>
      <c r="C15696">
        <f>0</f>
        <v>0</v>
      </c>
      <c r="D15696">
        <v>0.86249364378100002</v>
      </c>
      <c r="E15696">
        <v>6.0569715142428704</v>
      </c>
    </row>
    <row r="15697" spans="1:5">
      <c r="A15697" t="s">
        <v>18167</v>
      </c>
      <c r="B15697" t="s">
        <v>18170</v>
      </c>
      <c r="C15697">
        <f>0</f>
        <v>0</v>
      </c>
      <c r="D15697">
        <v>0.86249364378100002</v>
      </c>
      <c r="E15697">
        <v>6.0569715142428704</v>
      </c>
    </row>
    <row r="15698" spans="1:5">
      <c r="A15698" t="s">
        <v>18167</v>
      </c>
      <c r="B15698" t="s">
        <v>18171</v>
      </c>
      <c r="C15698">
        <f>0.0109526828209</f>
        <v>1.0952682820900001E-2</v>
      </c>
      <c r="D15698">
        <v>0.86249364378100002</v>
      </c>
      <c r="E15698">
        <v>6.0569715142428704</v>
      </c>
    </row>
    <row r="15699" spans="1:5">
      <c r="A15699" t="s">
        <v>18167</v>
      </c>
      <c r="B15699" t="s">
        <v>18172</v>
      </c>
      <c r="C15699">
        <f>0</f>
        <v>0</v>
      </c>
      <c r="D15699">
        <v>0.86249364378100002</v>
      </c>
      <c r="E15699">
        <v>6.0569715142428704</v>
      </c>
    </row>
    <row r="15700" spans="1:5">
      <c r="A15700" t="s">
        <v>18167</v>
      </c>
      <c r="B15700" t="s">
        <v>18173</v>
      </c>
      <c r="C15700">
        <f>0</f>
        <v>0</v>
      </c>
      <c r="D15700">
        <v>0.86249364378100002</v>
      </c>
      <c r="E15700">
        <v>6.0569715142428704</v>
      </c>
    </row>
    <row r="15701" spans="1:5">
      <c r="A15701" t="s">
        <v>18167</v>
      </c>
      <c r="B15701" t="s">
        <v>18174</v>
      </c>
      <c r="C15701">
        <f>0</f>
        <v>0</v>
      </c>
      <c r="D15701">
        <v>0.86249364378100002</v>
      </c>
      <c r="E15701">
        <v>6.0569715142428704</v>
      </c>
    </row>
    <row r="15702" spans="1:5">
      <c r="A15702" t="s">
        <v>18167</v>
      </c>
      <c r="B15702" t="s">
        <v>18175</v>
      </c>
      <c r="C15702">
        <f>0</f>
        <v>0</v>
      </c>
      <c r="D15702">
        <v>0.86249364378100002</v>
      </c>
      <c r="E15702">
        <v>6.0569715142428704</v>
      </c>
    </row>
    <row r="15703" spans="1:5">
      <c r="A15703" t="s">
        <v>18176</v>
      </c>
      <c r="B15703" t="s">
        <v>18177</v>
      </c>
      <c r="C15703">
        <f>0</f>
        <v>0</v>
      </c>
      <c r="D15703">
        <v>0.97299485919899997</v>
      </c>
      <c r="E15703">
        <v>22.5727136431784</v>
      </c>
    </row>
    <row r="15704" spans="1:5">
      <c r="A15704" t="s">
        <v>18176</v>
      </c>
      <c r="B15704" t="s">
        <v>18178</v>
      </c>
      <c r="C15704">
        <f>0</f>
        <v>0</v>
      </c>
      <c r="D15704">
        <v>0.97299485919899997</v>
      </c>
      <c r="E15704">
        <v>22.5727136431784</v>
      </c>
    </row>
    <row r="15705" spans="1:5">
      <c r="A15705" t="s">
        <v>18176</v>
      </c>
      <c r="B15705" t="s">
        <v>18179</v>
      </c>
      <c r="C15705">
        <f>0</f>
        <v>0</v>
      </c>
      <c r="D15705">
        <v>0.97299485919899997</v>
      </c>
      <c r="E15705">
        <v>22.5727136431784</v>
      </c>
    </row>
    <row r="15706" spans="1:5">
      <c r="A15706" t="s">
        <v>18180</v>
      </c>
      <c r="B15706" t="s">
        <v>18181</v>
      </c>
      <c r="C15706">
        <v>0.19156940774799999</v>
      </c>
      <c r="D15706">
        <v>0.97931130156500001</v>
      </c>
      <c r="E15706">
        <v>12.3898050974512</v>
      </c>
    </row>
    <row r="15707" spans="1:5">
      <c r="A15707" t="s">
        <v>18180</v>
      </c>
      <c r="B15707" t="s">
        <v>18182</v>
      </c>
      <c r="C15707">
        <v>0</v>
      </c>
      <c r="D15707">
        <v>0.97931130156500001</v>
      </c>
      <c r="E15707">
        <v>12.3898050974512</v>
      </c>
    </row>
    <row r="15708" spans="1:5">
      <c r="A15708" t="s">
        <v>18180</v>
      </c>
      <c r="B15708" t="s">
        <v>18183</v>
      </c>
      <c r="C15708">
        <v>0</v>
      </c>
      <c r="D15708">
        <v>0.97931130156500001</v>
      </c>
      <c r="E15708">
        <v>12.3898050974512</v>
      </c>
    </row>
    <row r="15709" spans="1:5">
      <c r="A15709" t="s">
        <v>18180</v>
      </c>
      <c r="B15709" t="s">
        <v>18184</v>
      </c>
      <c r="C15709">
        <v>0</v>
      </c>
      <c r="D15709">
        <v>0.97931130156500001</v>
      </c>
      <c r="E15709">
        <v>12.3898050974512</v>
      </c>
    </row>
    <row r="15710" spans="1:5">
      <c r="A15710" t="s">
        <v>18180</v>
      </c>
      <c r="B15710" t="s">
        <v>18185</v>
      </c>
      <c r="C15710">
        <f>0</f>
        <v>0</v>
      </c>
      <c r="D15710">
        <v>0.97931130156500001</v>
      </c>
      <c r="E15710">
        <v>12.3898050974512</v>
      </c>
    </row>
    <row r="15711" spans="1:5">
      <c r="A15711" t="s">
        <v>18180</v>
      </c>
      <c r="B15711" t="s">
        <v>18186</v>
      </c>
      <c r="C15711">
        <v>0</v>
      </c>
      <c r="D15711">
        <v>0.97931130156500001</v>
      </c>
      <c r="E15711">
        <v>12.3898050974512</v>
      </c>
    </row>
    <row r="15712" spans="1:5">
      <c r="A15712" t="s">
        <v>18180</v>
      </c>
      <c r="B15712" t="s">
        <v>18187</v>
      </c>
      <c r="C15712">
        <v>0</v>
      </c>
      <c r="D15712">
        <v>0.97931130156500001</v>
      </c>
      <c r="E15712">
        <v>12.3898050974512</v>
      </c>
    </row>
    <row r="15713" spans="1:5">
      <c r="A15713" t="s">
        <v>18188</v>
      </c>
      <c r="B15713" t="s">
        <v>18189</v>
      </c>
      <c r="C15713">
        <v>0</v>
      </c>
      <c r="D15713" t="s">
        <v>106</v>
      </c>
      <c r="E15713">
        <v>15.5082458770614</v>
      </c>
    </row>
    <row r="15714" spans="1:5">
      <c r="A15714" t="s">
        <v>18188</v>
      </c>
      <c r="B15714" t="s">
        <v>18190</v>
      </c>
      <c r="C15714">
        <v>0</v>
      </c>
      <c r="D15714" t="s">
        <v>106</v>
      </c>
      <c r="E15714">
        <v>15.5082458770614</v>
      </c>
    </row>
    <row r="15715" spans="1:5">
      <c r="A15715" t="s">
        <v>18188</v>
      </c>
      <c r="B15715" t="s">
        <v>18191</v>
      </c>
      <c r="C15715">
        <f>0</f>
        <v>0</v>
      </c>
      <c r="D15715" t="s">
        <v>106</v>
      </c>
      <c r="E15715">
        <v>15.5082458770614</v>
      </c>
    </row>
    <row r="15716" spans="1:5">
      <c r="A15716" t="s">
        <v>18188</v>
      </c>
      <c r="B15716" t="s">
        <v>18192</v>
      </c>
      <c r="C15716">
        <v>0</v>
      </c>
      <c r="D15716" t="s">
        <v>106</v>
      </c>
      <c r="E15716">
        <v>15.5082458770614</v>
      </c>
    </row>
    <row r="15717" spans="1:5">
      <c r="A15717" t="s">
        <v>18188</v>
      </c>
      <c r="B15717" t="s">
        <v>18193</v>
      </c>
      <c r="C15717">
        <f>0</f>
        <v>0</v>
      </c>
      <c r="D15717" t="s">
        <v>106</v>
      </c>
      <c r="E15717">
        <v>15.5082458770614</v>
      </c>
    </row>
    <row r="15718" spans="1:5">
      <c r="A15718" t="s">
        <v>18188</v>
      </c>
      <c r="B15718" t="s">
        <v>18194</v>
      </c>
      <c r="C15718">
        <v>0</v>
      </c>
      <c r="D15718" t="s">
        <v>106</v>
      </c>
      <c r="E15718">
        <v>15.5082458770614</v>
      </c>
    </row>
    <row r="15719" spans="1:5">
      <c r="A15719" t="s">
        <v>18188</v>
      </c>
      <c r="B15719" t="s">
        <v>18195</v>
      </c>
      <c r="C15719">
        <v>0</v>
      </c>
      <c r="D15719" t="s">
        <v>106</v>
      </c>
      <c r="E15719">
        <v>15.5082458770614</v>
      </c>
    </row>
    <row r="15720" spans="1:5">
      <c r="A15720" t="s">
        <v>18188</v>
      </c>
      <c r="B15720" t="s">
        <v>18196</v>
      </c>
      <c r="C15720">
        <f>0</f>
        <v>0</v>
      </c>
      <c r="D15720" t="s">
        <v>106</v>
      </c>
      <c r="E15720">
        <v>15.5082458770614</v>
      </c>
    </row>
    <row r="15721" spans="1:5">
      <c r="A15721" t="s">
        <v>18188</v>
      </c>
      <c r="B15721" t="s">
        <v>18197</v>
      </c>
      <c r="C15721">
        <v>0</v>
      </c>
      <c r="D15721" t="s">
        <v>106</v>
      </c>
      <c r="E15721">
        <v>15.5082458770614</v>
      </c>
    </row>
    <row r="15722" spans="1:5">
      <c r="A15722" t="s">
        <v>18188</v>
      </c>
      <c r="B15722" t="s">
        <v>18198</v>
      </c>
      <c r="C15722">
        <v>0</v>
      </c>
      <c r="D15722" t="s">
        <v>106</v>
      </c>
      <c r="E15722">
        <v>15.5082458770614</v>
      </c>
    </row>
    <row r="15723" spans="1:5">
      <c r="A15723" t="s">
        <v>18188</v>
      </c>
      <c r="B15723" t="s">
        <v>18199</v>
      </c>
      <c r="C15723">
        <f>0</f>
        <v>0</v>
      </c>
      <c r="D15723" t="s">
        <v>106</v>
      </c>
      <c r="E15723">
        <v>15.5082458770614</v>
      </c>
    </row>
    <row r="15724" spans="1:5">
      <c r="A15724" t="s">
        <v>18188</v>
      </c>
      <c r="B15724" t="s">
        <v>18200</v>
      </c>
      <c r="C15724">
        <f>0</f>
        <v>0</v>
      </c>
      <c r="D15724" t="s">
        <v>106</v>
      </c>
      <c r="E15724">
        <v>15.5082458770614</v>
      </c>
    </row>
    <row r="15725" spans="1:5">
      <c r="A15725" t="s">
        <v>18188</v>
      </c>
      <c r="B15725" t="s">
        <v>18201</v>
      </c>
      <c r="C15725">
        <v>0</v>
      </c>
      <c r="D15725" t="s">
        <v>106</v>
      </c>
      <c r="E15725">
        <v>15.5082458770614</v>
      </c>
    </row>
    <row r="15726" spans="1:5">
      <c r="A15726" t="s">
        <v>18202</v>
      </c>
      <c r="B15726" t="s">
        <v>18203</v>
      </c>
      <c r="C15726">
        <f>0.191527890189</f>
        <v>0.19152789018899999</v>
      </c>
      <c r="D15726">
        <v>0.83430064058099995</v>
      </c>
      <c r="E15726">
        <v>24</v>
      </c>
    </row>
    <row r="15727" spans="1:5">
      <c r="A15727" t="s">
        <v>18202</v>
      </c>
      <c r="B15727" t="s">
        <v>18204</v>
      </c>
      <c r="C15727">
        <v>0</v>
      </c>
      <c r="D15727">
        <v>0.83430064058099995</v>
      </c>
      <c r="E15727">
        <v>24</v>
      </c>
    </row>
    <row r="15728" spans="1:5">
      <c r="A15728" t="s">
        <v>18202</v>
      </c>
      <c r="B15728" t="s">
        <v>18205</v>
      </c>
      <c r="C15728">
        <v>0</v>
      </c>
      <c r="D15728">
        <v>0.83430064058099995</v>
      </c>
      <c r="E15728">
        <v>24</v>
      </c>
    </row>
    <row r="15729" spans="1:5">
      <c r="A15729" t="s">
        <v>18202</v>
      </c>
      <c r="B15729" t="s">
        <v>18206</v>
      </c>
      <c r="C15729">
        <f>0</f>
        <v>0</v>
      </c>
      <c r="D15729">
        <v>0.83430064058099995</v>
      </c>
      <c r="E15729">
        <v>24</v>
      </c>
    </row>
    <row r="15730" spans="1:5">
      <c r="A15730" t="s">
        <v>18202</v>
      </c>
      <c r="B15730" t="s">
        <v>18207</v>
      </c>
      <c r="C15730">
        <v>0</v>
      </c>
      <c r="D15730">
        <v>0.83430064058099995</v>
      </c>
      <c r="E15730">
        <v>24</v>
      </c>
    </row>
    <row r="15731" spans="1:5">
      <c r="A15731" t="s">
        <v>18208</v>
      </c>
      <c r="B15731" t="s">
        <v>18209</v>
      </c>
      <c r="C15731">
        <v>0</v>
      </c>
      <c r="D15731" t="s">
        <v>106</v>
      </c>
      <c r="E15731">
        <v>1.8230884557721101</v>
      </c>
    </row>
    <row r="15732" spans="1:5">
      <c r="A15732" t="s">
        <v>18208</v>
      </c>
      <c r="B15732" t="s">
        <v>18210</v>
      </c>
      <c r="C15732">
        <v>0</v>
      </c>
      <c r="D15732" t="s">
        <v>106</v>
      </c>
      <c r="E15732">
        <v>1.8230884557721101</v>
      </c>
    </row>
    <row r="15733" spans="1:5">
      <c r="A15733" t="s">
        <v>18208</v>
      </c>
      <c r="B15733" t="s">
        <v>18211</v>
      </c>
      <c r="C15733">
        <v>0</v>
      </c>
      <c r="D15733" t="s">
        <v>106</v>
      </c>
      <c r="E15733">
        <v>1.8230884557721101</v>
      </c>
    </row>
    <row r="15734" spans="1:5">
      <c r="A15734" t="s">
        <v>18208</v>
      </c>
      <c r="B15734" t="s">
        <v>18212</v>
      </c>
      <c r="C15734">
        <v>0</v>
      </c>
      <c r="D15734" t="s">
        <v>106</v>
      </c>
      <c r="E15734">
        <v>1.8230884557721101</v>
      </c>
    </row>
    <row r="15735" spans="1:5">
      <c r="A15735" t="s">
        <v>18208</v>
      </c>
      <c r="B15735" t="s">
        <v>18213</v>
      </c>
      <c r="C15735">
        <f>0</f>
        <v>0</v>
      </c>
      <c r="D15735" t="s">
        <v>106</v>
      </c>
      <c r="E15735">
        <v>1.8230884557721101</v>
      </c>
    </row>
    <row r="15736" spans="1:5">
      <c r="A15736" t="s">
        <v>18208</v>
      </c>
      <c r="B15736" t="s">
        <v>18214</v>
      </c>
      <c r="C15736">
        <v>0</v>
      </c>
      <c r="D15736" t="s">
        <v>106</v>
      </c>
      <c r="E15736">
        <v>1.8230884557721101</v>
      </c>
    </row>
    <row r="15737" spans="1:5">
      <c r="A15737" t="s">
        <v>18215</v>
      </c>
      <c r="B15737" t="s">
        <v>18216</v>
      </c>
      <c r="C15737">
        <v>9.9783413969800006E-2</v>
      </c>
      <c r="D15737">
        <v>0.99369543753199996</v>
      </c>
      <c r="E15737">
        <v>5.4692653673163401</v>
      </c>
    </row>
    <row r="15738" spans="1:5">
      <c r="A15738" t="s">
        <v>18215</v>
      </c>
      <c r="B15738" t="s">
        <v>18217</v>
      </c>
      <c r="C15738">
        <f>0</f>
        <v>0</v>
      </c>
      <c r="D15738">
        <v>0.99369543753199996</v>
      </c>
      <c r="E15738">
        <v>5.4692653673163401</v>
      </c>
    </row>
    <row r="15739" spans="1:5">
      <c r="A15739" t="s">
        <v>18215</v>
      </c>
      <c r="B15739" t="s">
        <v>18218</v>
      </c>
      <c r="C15739">
        <v>0</v>
      </c>
      <c r="D15739">
        <v>0.99369543753199996</v>
      </c>
      <c r="E15739">
        <v>5.4692653673163401</v>
      </c>
    </row>
    <row r="15740" spans="1:5">
      <c r="A15740" t="s">
        <v>18215</v>
      </c>
      <c r="B15740" t="s">
        <v>18219</v>
      </c>
      <c r="C15740">
        <f>0</f>
        <v>0</v>
      </c>
      <c r="D15740">
        <v>0.99369543753199996</v>
      </c>
      <c r="E15740">
        <v>5.4692653673163401</v>
      </c>
    </row>
    <row r="15741" spans="1:5">
      <c r="A15741" t="s">
        <v>18215</v>
      </c>
      <c r="B15741" t="s">
        <v>18220</v>
      </c>
      <c r="C15741">
        <v>0</v>
      </c>
      <c r="D15741">
        <v>0.99369543753199996</v>
      </c>
      <c r="E15741">
        <v>5.4692653673163401</v>
      </c>
    </row>
    <row r="15742" spans="1:5">
      <c r="A15742" t="s">
        <v>18215</v>
      </c>
      <c r="B15742" t="s">
        <v>18221</v>
      </c>
      <c r="C15742">
        <v>0</v>
      </c>
      <c r="D15742">
        <v>0.99369543753199996</v>
      </c>
      <c r="E15742">
        <v>5.4692653673163401</v>
      </c>
    </row>
    <row r="15743" spans="1:5">
      <c r="A15743" t="s">
        <v>18215</v>
      </c>
      <c r="B15743" t="s">
        <v>18222</v>
      </c>
      <c r="C15743">
        <f>0.0114304684669</f>
        <v>1.14304684669E-2</v>
      </c>
      <c r="D15743">
        <v>0.99369543753199996</v>
      </c>
      <c r="E15743">
        <v>5.4692653673163401</v>
      </c>
    </row>
    <row r="15744" spans="1:5">
      <c r="A15744" t="s">
        <v>18223</v>
      </c>
      <c r="B15744" t="s">
        <v>18224</v>
      </c>
      <c r="C15744">
        <v>0</v>
      </c>
      <c r="D15744">
        <v>0.96225789901199998</v>
      </c>
      <c r="E15744">
        <v>24</v>
      </c>
    </row>
    <row r="15745" spans="1:5">
      <c r="A15745" t="s">
        <v>18223</v>
      </c>
      <c r="B15745" t="s">
        <v>18225</v>
      </c>
      <c r="C15745">
        <v>0</v>
      </c>
      <c r="D15745">
        <v>0.96225789901199998</v>
      </c>
      <c r="E15745">
        <v>24</v>
      </c>
    </row>
    <row r="15746" spans="1:5">
      <c r="A15746" t="s">
        <v>18223</v>
      </c>
      <c r="B15746" t="s">
        <v>18226</v>
      </c>
      <c r="C15746">
        <v>3.3018549171900002E-2</v>
      </c>
      <c r="D15746">
        <v>0.96225789901199998</v>
      </c>
      <c r="E15746">
        <v>24</v>
      </c>
    </row>
    <row r="15747" spans="1:5">
      <c r="A15747" t="s">
        <v>18223</v>
      </c>
      <c r="B15747" t="s">
        <v>18227</v>
      </c>
      <c r="C15747">
        <f>0</f>
        <v>0</v>
      </c>
      <c r="D15747">
        <v>0.96225789901199998</v>
      </c>
      <c r="E15747">
        <v>24</v>
      </c>
    </row>
    <row r="15748" spans="1:5">
      <c r="A15748" t="s">
        <v>18223</v>
      </c>
      <c r="B15748" t="s">
        <v>18228</v>
      </c>
      <c r="C15748">
        <v>0.110633804455</v>
      </c>
      <c r="D15748">
        <v>0.96225789901199998</v>
      </c>
      <c r="E15748">
        <v>24</v>
      </c>
    </row>
    <row r="15749" spans="1:5">
      <c r="A15749" t="s">
        <v>18229</v>
      </c>
      <c r="B15749" t="s">
        <v>18230</v>
      </c>
      <c r="C15749">
        <v>0</v>
      </c>
      <c r="D15749">
        <v>0.72979183496400002</v>
      </c>
      <c r="E15749">
        <v>22.5727136431784</v>
      </c>
    </row>
    <row r="15750" spans="1:5">
      <c r="A15750" t="s">
        <v>18229</v>
      </c>
      <c r="B15750" t="s">
        <v>18231</v>
      </c>
      <c r="C15750">
        <f>0</f>
        <v>0</v>
      </c>
      <c r="D15750">
        <v>0.72979183496400002</v>
      </c>
      <c r="E15750">
        <v>22.5727136431784</v>
      </c>
    </row>
    <row r="15751" spans="1:5">
      <c r="A15751" t="s">
        <v>18229</v>
      </c>
      <c r="B15751" t="s">
        <v>18232</v>
      </c>
      <c r="C15751">
        <f>0</f>
        <v>0</v>
      </c>
      <c r="D15751">
        <v>0.72979183496400002</v>
      </c>
      <c r="E15751">
        <v>22.5727136431784</v>
      </c>
    </row>
    <row r="15752" spans="1:5">
      <c r="A15752" t="s">
        <v>18229</v>
      </c>
      <c r="B15752" t="s">
        <v>18233</v>
      </c>
      <c r="C15752">
        <v>0</v>
      </c>
      <c r="D15752">
        <v>0.72979183496400002</v>
      </c>
      <c r="E15752">
        <v>22.5727136431784</v>
      </c>
    </row>
    <row r="15753" spans="1:5">
      <c r="A15753" t="s">
        <v>18229</v>
      </c>
      <c r="B15753" t="s">
        <v>18234</v>
      </c>
      <c r="C15753">
        <v>0</v>
      </c>
      <c r="D15753">
        <v>0.72979183496400002</v>
      </c>
      <c r="E15753">
        <v>22.5727136431784</v>
      </c>
    </row>
    <row r="15754" spans="1:5">
      <c r="A15754" t="s">
        <v>18229</v>
      </c>
      <c r="B15754" t="s">
        <v>18235</v>
      </c>
      <c r="C15754">
        <v>0</v>
      </c>
      <c r="D15754">
        <v>0.72979183496400002</v>
      </c>
      <c r="E15754">
        <v>22.5727136431784</v>
      </c>
    </row>
    <row r="15755" spans="1:5">
      <c r="A15755" t="s">
        <v>18229</v>
      </c>
      <c r="B15755" t="s">
        <v>18236</v>
      </c>
      <c r="C15755">
        <v>0</v>
      </c>
      <c r="D15755">
        <v>0.72979183496400002</v>
      </c>
      <c r="E15755">
        <v>22.5727136431784</v>
      </c>
    </row>
    <row r="15756" spans="1:5">
      <c r="A15756" t="s">
        <v>18229</v>
      </c>
      <c r="B15756" t="s">
        <v>18237</v>
      </c>
      <c r="C15756">
        <f>0</f>
        <v>0</v>
      </c>
      <c r="D15756">
        <v>0.72979183496400002</v>
      </c>
      <c r="E15756">
        <v>22.5727136431784</v>
      </c>
    </row>
    <row r="15757" spans="1:5">
      <c r="A15757" t="s">
        <v>18229</v>
      </c>
      <c r="B15757" t="s">
        <v>18238</v>
      </c>
      <c r="C15757">
        <v>0</v>
      </c>
      <c r="D15757">
        <v>0.72979183496400002</v>
      </c>
      <c r="E15757">
        <v>22.5727136431784</v>
      </c>
    </row>
    <row r="15758" spans="1:5">
      <c r="A15758" t="s">
        <v>18229</v>
      </c>
      <c r="B15758" t="s">
        <v>18239</v>
      </c>
      <c r="C15758">
        <v>0</v>
      </c>
      <c r="D15758">
        <v>0.72979183496400002</v>
      </c>
      <c r="E15758">
        <v>22.5727136431784</v>
      </c>
    </row>
    <row r="15759" spans="1:5">
      <c r="A15759" t="s">
        <v>18229</v>
      </c>
      <c r="B15759" t="s">
        <v>18240</v>
      </c>
      <c r="C15759">
        <f>0</f>
        <v>0</v>
      </c>
      <c r="D15759">
        <v>0.72979183496400002</v>
      </c>
      <c r="E15759">
        <v>22.5727136431784</v>
      </c>
    </row>
    <row r="15760" spans="1:5">
      <c r="A15760" t="s">
        <v>18229</v>
      </c>
      <c r="B15760" t="s">
        <v>18241</v>
      </c>
      <c r="C15760">
        <f>0</f>
        <v>0</v>
      </c>
      <c r="D15760">
        <v>0.72979183496400002</v>
      </c>
      <c r="E15760">
        <v>22.5727136431784</v>
      </c>
    </row>
    <row r="15761" spans="1:5">
      <c r="A15761" t="s">
        <v>18229</v>
      </c>
      <c r="B15761" t="s">
        <v>18242</v>
      </c>
      <c r="C15761">
        <v>0</v>
      </c>
      <c r="D15761">
        <v>0.72979183496400002</v>
      </c>
      <c r="E15761">
        <v>22.5727136431784</v>
      </c>
    </row>
    <row r="15762" spans="1:5">
      <c r="A15762" t="s">
        <v>18229</v>
      </c>
      <c r="B15762" t="s">
        <v>18243</v>
      </c>
      <c r="C15762">
        <f>0</f>
        <v>0</v>
      </c>
      <c r="D15762">
        <v>0.72979183496400002</v>
      </c>
      <c r="E15762">
        <v>22.5727136431784</v>
      </c>
    </row>
    <row r="15763" spans="1:5">
      <c r="A15763" t="s">
        <v>18229</v>
      </c>
      <c r="B15763" t="s">
        <v>18244</v>
      </c>
      <c r="C15763">
        <f>0</f>
        <v>0</v>
      </c>
      <c r="D15763">
        <v>0.72979183496400002</v>
      </c>
      <c r="E15763">
        <v>22.5727136431784</v>
      </c>
    </row>
    <row r="15764" spans="1:5">
      <c r="A15764" t="s">
        <v>18229</v>
      </c>
      <c r="B15764" t="s">
        <v>18245</v>
      </c>
      <c r="C15764">
        <v>0</v>
      </c>
      <c r="D15764">
        <v>0.72979183496400002</v>
      </c>
      <c r="E15764">
        <v>22.5727136431784</v>
      </c>
    </row>
    <row r="15765" spans="1:5">
      <c r="A15765" t="s">
        <v>18246</v>
      </c>
      <c r="B15765" t="s">
        <v>18247</v>
      </c>
      <c r="C15765">
        <v>0</v>
      </c>
      <c r="D15765" t="s">
        <v>106</v>
      </c>
      <c r="E15765">
        <v>14.3688155922038</v>
      </c>
    </row>
    <row r="15766" spans="1:5">
      <c r="A15766" t="s">
        <v>18248</v>
      </c>
      <c r="B15766" t="s">
        <v>18249</v>
      </c>
      <c r="C15766">
        <v>0</v>
      </c>
      <c r="D15766" t="s">
        <v>106</v>
      </c>
      <c r="E15766">
        <v>24</v>
      </c>
    </row>
    <row r="15767" spans="1:5">
      <c r="A15767" t="s">
        <v>18248</v>
      </c>
      <c r="B15767" t="s">
        <v>18250</v>
      </c>
      <c r="C15767">
        <f>0</f>
        <v>0</v>
      </c>
      <c r="D15767" t="s">
        <v>106</v>
      </c>
      <c r="E15767">
        <v>24</v>
      </c>
    </row>
    <row r="15768" spans="1:5">
      <c r="A15768" t="s">
        <v>18248</v>
      </c>
      <c r="B15768" t="s">
        <v>18251</v>
      </c>
      <c r="C15768">
        <v>0</v>
      </c>
      <c r="D15768" t="s">
        <v>106</v>
      </c>
      <c r="E15768">
        <v>24</v>
      </c>
    </row>
    <row r="15769" spans="1:5">
      <c r="A15769" t="s">
        <v>18248</v>
      </c>
      <c r="B15769" t="s">
        <v>18252</v>
      </c>
      <c r="C15769">
        <v>0</v>
      </c>
      <c r="D15769" t="s">
        <v>106</v>
      </c>
      <c r="E15769">
        <v>24</v>
      </c>
    </row>
    <row r="15770" spans="1:5">
      <c r="A15770" t="s">
        <v>18248</v>
      </c>
      <c r="B15770" t="s">
        <v>18253</v>
      </c>
      <c r="C15770">
        <f>0.0418464584608</f>
        <v>4.1846458460799998E-2</v>
      </c>
      <c r="D15770" t="s">
        <v>106</v>
      </c>
      <c r="E15770">
        <v>24</v>
      </c>
    </row>
    <row r="15771" spans="1:5">
      <c r="A15771" t="s">
        <v>18248</v>
      </c>
      <c r="B15771" t="s">
        <v>18254</v>
      </c>
      <c r="C15771">
        <f>0</f>
        <v>0</v>
      </c>
      <c r="D15771" t="s">
        <v>106</v>
      </c>
      <c r="E15771">
        <v>24</v>
      </c>
    </row>
    <row r="15772" spans="1:5">
      <c r="A15772" t="s">
        <v>18255</v>
      </c>
      <c r="B15772" t="s">
        <v>18256</v>
      </c>
      <c r="C15772">
        <f>0.110927026098</f>
        <v>0.110927026098</v>
      </c>
      <c r="D15772">
        <v>0.98210262795799996</v>
      </c>
      <c r="E15772">
        <v>14.176911544227799</v>
      </c>
    </row>
    <row r="15773" spans="1:5">
      <c r="A15773" t="s">
        <v>18255</v>
      </c>
      <c r="B15773" t="s">
        <v>18257</v>
      </c>
      <c r="C15773">
        <v>0.339031707962</v>
      </c>
      <c r="D15773">
        <v>0.98210262795799996</v>
      </c>
      <c r="E15773">
        <v>14.176911544227799</v>
      </c>
    </row>
    <row r="15774" spans="1:5">
      <c r="A15774" t="s">
        <v>18258</v>
      </c>
      <c r="B15774" t="s">
        <v>18259</v>
      </c>
      <c r="C15774">
        <f>0</f>
        <v>0</v>
      </c>
      <c r="D15774" t="s">
        <v>106</v>
      </c>
      <c r="E15774">
        <v>23.040479760119901</v>
      </c>
    </row>
    <row r="15775" spans="1:5">
      <c r="A15775" t="s">
        <v>18258</v>
      </c>
      <c r="B15775" t="s">
        <v>18260</v>
      </c>
      <c r="C15775">
        <v>0</v>
      </c>
      <c r="D15775" t="s">
        <v>106</v>
      </c>
      <c r="E15775">
        <v>23.040479760119901</v>
      </c>
    </row>
    <row r="15776" spans="1:5">
      <c r="A15776" t="s">
        <v>18258</v>
      </c>
      <c r="B15776" t="s">
        <v>18261</v>
      </c>
      <c r="C15776">
        <f>0</f>
        <v>0</v>
      </c>
      <c r="D15776" t="s">
        <v>106</v>
      </c>
      <c r="E15776">
        <v>23.040479760119901</v>
      </c>
    </row>
    <row r="15777" spans="1:5">
      <c r="A15777" t="s">
        <v>18258</v>
      </c>
      <c r="B15777" t="s">
        <v>18262</v>
      </c>
      <c r="C15777">
        <f>0</f>
        <v>0</v>
      </c>
      <c r="D15777" t="s">
        <v>106</v>
      </c>
      <c r="E15777">
        <v>23.040479760119901</v>
      </c>
    </row>
    <row r="15778" spans="1:5">
      <c r="A15778" t="s">
        <v>18263</v>
      </c>
      <c r="B15778" t="s">
        <v>18264</v>
      </c>
      <c r="C15778">
        <f>0</f>
        <v>0</v>
      </c>
      <c r="D15778">
        <v>0.9962699237</v>
      </c>
      <c r="E15778">
        <v>3.40629685157421</v>
      </c>
    </row>
    <row r="15779" spans="1:5">
      <c r="A15779" t="s">
        <v>18263</v>
      </c>
      <c r="B15779" t="s">
        <v>18265</v>
      </c>
      <c r="C15779">
        <f>0</f>
        <v>0</v>
      </c>
      <c r="D15779">
        <v>0.9962699237</v>
      </c>
      <c r="E15779">
        <v>3.40629685157421</v>
      </c>
    </row>
    <row r="15780" spans="1:5">
      <c r="A15780" t="s">
        <v>18263</v>
      </c>
      <c r="B15780" t="s">
        <v>18266</v>
      </c>
      <c r="C15780">
        <v>0</v>
      </c>
      <c r="D15780">
        <v>0.9962699237</v>
      </c>
      <c r="E15780">
        <v>3.40629685157421</v>
      </c>
    </row>
    <row r="15781" spans="1:5">
      <c r="A15781" t="s">
        <v>18267</v>
      </c>
      <c r="B15781" t="s">
        <v>18268</v>
      </c>
      <c r="C15781">
        <f>0</f>
        <v>0</v>
      </c>
      <c r="D15781">
        <v>0.98414690204099997</v>
      </c>
      <c r="E15781">
        <v>0.34782608695652101</v>
      </c>
    </row>
    <row r="15782" spans="1:5">
      <c r="A15782" t="s">
        <v>18267</v>
      </c>
      <c r="B15782" t="s">
        <v>18269</v>
      </c>
      <c r="C15782">
        <f>0</f>
        <v>0</v>
      </c>
      <c r="D15782">
        <v>0.98414690204099997</v>
      </c>
      <c r="E15782">
        <v>0.34782608695652101</v>
      </c>
    </row>
    <row r="15783" spans="1:5">
      <c r="A15783" t="s">
        <v>18267</v>
      </c>
      <c r="B15783" t="s">
        <v>18270</v>
      </c>
      <c r="C15783">
        <v>0.64562890859300004</v>
      </c>
      <c r="D15783">
        <v>0.98414690204099997</v>
      </c>
      <c r="E15783">
        <v>0.34782608695652101</v>
      </c>
    </row>
    <row r="15784" spans="1:5">
      <c r="A15784" t="s">
        <v>18271</v>
      </c>
      <c r="B15784" t="s">
        <v>18272</v>
      </c>
      <c r="C15784">
        <v>0</v>
      </c>
      <c r="D15784">
        <v>0.85989538905899998</v>
      </c>
      <c r="E15784">
        <v>6.0569715142428704</v>
      </c>
    </row>
    <row r="15785" spans="1:5">
      <c r="A15785" t="s">
        <v>18271</v>
      </c>
      <c r="B15785" t="s">
        <v>18273</v>
      </c>
      <c r="C15785">
        <f>0</f>
        <v>0</v>
      </c>
      <c r="D15785">
        <v>0.85989538905899998</v>
      </c>
      <c r="E15785">
        <v>6.0569715142428704</v>
      </c>
    </row>
    <row r="15786" spans="1:5">
      <c r="A15786" t="s">
        <v>18271</v>
      </c>
      <c r="B15786" t="s">
        <v>18274</v>
      </c>
      <c r="C15786">
        <v>0</v>
      </c>
      <c r="D15786">
        <v>0.85989538905899998</v>
      </c>
      <c r="E15786">
        <v>6.0569715142428704</v>
      </c>
    </row>
    <row r="15787" spans="1:5">
      <c r="A15787" t="s">
        <v>18271</v>
      </c>
      <c r="B15787" t="s">
        <v>18275</v>
      </c>
      <c r="C15787">
        <f>0</f>
        <v>0</v>
      </c>
      <c r="D15787">
        <v>0.85989538905899998</v>
      </c>
      <c r="E15787">
        <v>6.0569715142428704</v>
      </c>
    </row>
    <row r="15788" spans="1:5">
      <c r="A15788" t="s">
        <v>18271</v>
      </c>
      <c r="B15788" t="s">
        <v>18276</v>
      </c>
      <c r="C15788">
        <f>0</f>
        <v>0</v>
      </c>
      <c r="D15788">
        <v>0.85989538905899998</v>
      </c>
      <c r="E15788">
        <v>6.0569715142428704</v>
      </c>
    </row>
    <row r="15789" spans="1:5">
      <c r="A15789" t="s">
        <v>18271</v>
      </c>
      <c r="B15789" t="s">
        <v>18277</v>
      </c>
      <c r="C15789">
        <f>0</f>
        <v>0</v>
      </c>
      <c r="D15789">
        <v>0.85989538905899998</v>
      </c>
      <c r="E15789">
        <v>6.0569715142428704</v>
      </c>
    </row>
    <row r="15790" spans="1:5">
      <c r="A15790" t="s">
        <v>18271</v>
      </c>
      <c r="B15790" t="s">
        <v>18278</v>
      </c>
      <c r="C15790">
        <v>0</v>
      </c>
      <c r="D15790">
        <v>0.85989538905899998</v>
      </c>
      <c r="E15790">
        <v>6.0569715142428704</v>
      </c>
    </row>
    <row r="15791" spans="1:5">
      <c r="A15791" t="s">
        <v>18271</v>
      </c>
      <c r="B15791" t="s">
        <v>18279</v>
      </c>
      <c r="C15791">
        <v>0</v>
      </c>
      <c r="D15791">
        <v>0.85989538905899998</v>
      </c>
      <c r="E15791">
        <v>6.0569715142428704</v>
      </c>
    </row>
    <row r="15792" spans="1:5">
      <c r="A15792" t="s">
        <v>18271</v>
      </c>
      <c r="B15792" t="s">
        <v>18280</v>
      </c>
      <c r="C15792">
        <v>0</v>
      </c>
      <c r="D15792">
        <v>0.85989538905899998</v>
      </c>
      <c r="E15792">
        <v>6.0569715142428704</v>
      </c>
    </row>
    <row r="15793" spans="1:5">
      <c r="A15793" t="s">
        <v>18281</v>
      </c>
      <c r="B15793" t="s">
        <v>18282</v>
      </c>
      <c r="C15793">
        <f>0</f>
        <v>0</v>
      </c>
      <c r="D15793">
        <v>0.63474470859400001</v>
      </c>
      <c r="E15793">
        <v>5.4692653673163401</v>
      </c>
    </row>
    <row r="15794" spans="1:5">
      <c r="A15794" t="s">
        <v>18283</v>
      </c>
      <c r="B15794" t="s">
        <v>18284</v>
      </c>
      <c r="C15794">
        <v>0</v>
      </c>
      <c r="D15794">
        <v>0.96056837583499999</v>
      </c>
      <c r="E15794">
        <v>24</v>
      </c>
    </row>
    <row r="15795" spans="1:5">
      <c r="A15795" t="s">
        <v>18283</v>
      </c>
      <c r="B15795" t="s">
        <v>18285</v>
      </c>
      <c r="C15795">
        <v>0</v>
      </c>
      <c r="D15795">
        <v>0.96056837583499999</v>
      </c>
      <c r="E15795">
        <v>24</v>
      </c>
    </row>
    <row r="15796" spans="1:5">
      <c r="A15796" t="s">
        <v>18283</v>
      </c>
      <c r="B15796" t="s">
        <v>18286</v>
      </c>
      <c r="C15796">
        <v>0</v>
      </c>
      <c r="D15796">
        <v>0.96056837583499999</v>
      </c>
      <c r="E15796">
        <v>24</v>
      </c>
    </row>
    <row r="15797" spans="1:5">
      <c r="A15797" t="s">
        <v>18287</v>
      </c>
      <c r="B15797" t="s">
        <v>18288</v>
      </c>
      <c r="C15797">
        <v>8.4681846012599996E-2</v>
      </c>
      <c r="D15797">
        <v>0.88870984898299998</v>
      </c>
      <c r="E15797">
        <v>14.176911544227799</v>
      </c>
    </row>
    <row r="15798" spans="1:5">
      <c r="A15798" t="s">
        <v>18287</v>
      </c>
      <c r="B15798" t="s">
        <v>18289</v>
      </c>
      <c r="C15798">
        <f>0</f>
        <v>0</v>
      </c>
      <c r="D15798">
        <v>0.88870984898299998</v>
      </c>
      <c r="E15798">
        <v>14.176911544227799</v>
      </c>
    </row>
    <row r="15799" spans="1:5">
      <c r="A15799" t="s">
        <v>18287</v>
      </c>
      <c r="B15799" t="s">
        <v>18290</v>
      </c>
      <c r="C15799">
        <f>0</f>
        <v>0</v>
      </c>
      <c r="D15799">
        <v>0.88870984898299998</v>
      </c>
      <c r="E15799">
        <v>14.176911544227799</v>
      </c>
    </row>
    <row r="15800" spans="1:5">
      <c r="A15800" t="s">
        <v>18287</v>
      </c>
      <c r="B15800" t="s">
        <v>18291</v>
      </c>
      <c r="C15800">
        <f>0</f>
        <v>0</v>
      </c>
      <c r="D15800">
        <v>0.88870984898299998</v>
      </c>
      <c r="E15800">
        <v>14.176911544227799</v>
      </c>
    </row>
    <row r="15801" spans="1:5">
      <c r="A15801" t="s">
        <v>18287</v>
      </c>
      <c r="B15801" t="s">
        <v>18292</v>
      </c>
      <c r="C15801">
        <v>0</v>
      </c>
      <c r="D15801">
        <v>0.88870984898299998</v>
      </c>
      <c r="E15801">
        <v>14.176911544227799</v>
      </c>
    </row>
    <row r="15802" spans="1:5">
      <c r="A15802" t="s">
        <v>18287</v>
      </c>
      <c r="B15802" t="s">
        <v>18293</v>
      </c>
      <c r="C15802">
        <v>0</v>
      </c>
      <c r="D15802">
        <v>0.88870984898299998</v>
      </c>
      <c r="E15802">
        <v>14.176911544227799</v>
      </c>
    </row>
    <row r="15803" spans="1:5">
      <c r="A15803" t="s">
        <v>18287</v>
      </c>
      <c r="B15803" t="s">
        <v>18294</v>
      </c>
      <c r="C15803">
        <f>0</f>
        <v>0</v>
      </c>
      <c r="D15803">
        <v>0.88870984898299998</v>
      </c>
      <c r="E15803">
        <v>14.176911544227799</v>
      </c>
    </row>
    <row r="15804" spans="1:5">
      <c r="A15804" t="s">
        <v>18287</v>
      </c>
      <c r="B15804" t="s">
        <v>18295</v>
      </c>
      <c r="C15804">
        <f>0</f>
        <v>0</v>
      </c>
      <c r="D15804">
        <v>0.88870984898299998</v>
      </c>
      <c r="E15804">
        <v>14.176911544227799</v>
      </c>
    </row>
    <row r="15805" spans="1:5">
      <c r="A15805" t="s">
        <v>18296</v>
      </c>
      <c r="B15805" t="s">
        <v>18297</v>
      </c>
      <c r="C15805">
        <v>0</v>
      </c>
      <c r="D15805" t="s">
        <v>106</v>
      </c>
      <c r="E15805">
        <v>24</v>
      </c>
    </row>
    <row r="15806" spans="1:5">
      <c r="A15806" t="s">
        <v>18296</v>
      </c>
      <c r="B15806" t="s">
        <v>18298</v>
      </c>
      <c r="C15806">
        <v>0</v>
      </c>
      <c r="D15806" t="s">
        <v>106</v>
      </c>
      <c r="E15806">
        <v>24</v>
      </c>
    </row>
    <row r="15807" spans="1:5">
      <c r="A15807" t="s">
        <v>18296</v>
      </c>
      <c r="B15807" t="s">
        <v>18299</v>
      </c>
      <c r="C15807">
        <v>0</v>
      </c>
      <c r="D15807" t="s">
        <v>106</v>
      </c>
      <c r="E15807">
        <v>24</v>
      </c>
    </row>
    <row r="15808" spans="1:5">
      <c r="A15808" t="s">
        <v>18296</v>
      </c>
      <c r="B15808" t="s">
        <v>18300</v>
      </c>
      <c r="C15808">
        <f>0</f>
        <v>0</v>
      </c>
      <c r="D15808" t="s">
        <v>106</v>
      </c>
      <c r="E15808">
        <v>24</v>
      </c>
    </row>
    <row r="15809" spans="1:5">
      <c r="A15809" t="s">
        <v>18296</v>
      </c>
      <c r="B15809" t="s">
        <v>18301</v>
      </c>
      <c r="C15809">
        <f>0</f>
        <v>0</v>
      </c>
      <c r="D15809" t="s">
        <v>106</v>
      </c>
      <c r="E15809">
        <v>24</v>
      </c>
    </row>
    <row r="15810" spans="1:5">
      <c r="A15810" t="s">
        <v>18296</v>
      </c>
      <c r="B15810" t="s">
        <v>18302</v>
      </c>
      <c r="C15810">
        <v>0</v>
      </c>
      <c r="D15810" t="s">
        <v>106</v>
      </c>
      <c r="E15810">
        <v>24</v>
      </c>
    </row>
    <row r="15811" spans="1:5">
      <c r="A15811" t="s">
        <v>18296</v>
      </c>
      <c r="B15811" t="s">
        <v>18303</v>
      </c>
      <c r="C15811">
        <v>0</v>
      </c>
      <c r="D15811" t="s">
        <v>106</v>
      </c>
      <c r="E15811">
        <v>24</v>
      </c>
    </row>
    <row r="15812" spans="1:5">
      <c r="A15812" t="s">
        <v>18304</v>
      </c>
      <c r="B15812" t="s">
        <v>18305</v>
      </c>
      <c r="C15812">
        <v>0</v>
      </c>
      <c r="D15812">
        <v>0.73293261088299999</v>
      </c>
      <c r="E15812">
        <v>17.715142428785601</v>
      </c>
    </row>
    <row r="15813" spans="1:5">
      <c r="A15813" t="s">
        <v>18304</v>
      </c>
      <c r="B15813" t="s">
        <v>18306</v>
      </c>
      <c r="C15813">
        <v>0</v>
      </c>
      <c r="D15813">
        <v>0.73293261088299999</v>
      </c>
      <c r="E15813">
        <v>17.715142428785601</v>
      </c>
    </row>
    <row r="15814" spans="1:5">
      <c r="A15814" t="s">
        <v>18304</v>
      </c>
      <c r="B15814" t="s">
        <v>18307</v>
      </c>
      <c r="C15814">
        <f>0</f>
        <v>0</v>
      </c>
      <c r="D15814">
        <v>0.73293261088299999</v>
      </c>
      <c r="E15814">
        <v>17.715142428785601</v>
      </c>
    </row>
    <row r="15815" spans="1:5">
      <c r="A15815" t="s">
        <v>18304</v>
      </c>
      <c r="B15815" t="s">
        <v>18308</v>
      </c>
      <c r="C15815">
        <f>0</f>
        <v>0</v>
      </c>
      <c r="D15815">
        <v>0.73293261088299999</v>
      </c>
      <c r="E15815">
        <v>17.715142428785601</v>
      </c>
    </row>
    <row r="15816" spans="1:5">
      <c r="A15816" t="s">
        <v>18304</v>
      </c>
      <c r="B15816" t="s">
        <v>18309</v>
      </c>
      <c r="C15816">
        <v>0.12658429150100001</v>
      </c>
      <c r="D15816">
        <v>0.73293261088299999</v>
      </c>
      <c r="E15816">
        <v>17.715142428785601</v>
      </c>
    </row>
    <row r="15817" spans="1:5">
      <c r="A15817" t="s">
        <v>18310</v>
      </c>
      <c r="B15817" t="s">
        <v>18311</v>
      </c>
      <c r="C15817">
        <v>0.32067001340599999</v>
      </c>
      <c r="D15817">
        <v>0.99879469568900003</v>
      </c>
      <c r="E15817">
        <v>6.0569715142428704</v>
      </c>
    </row>
    <row r="15818" spans="1:5">
      <c r="A15818" t="s">
        <v>18310</v>
      </c>
      <c r="B15818" t="s">
        <v>18312</v>
      </c>
      <c r="C15818">
        <f>0</f>
        <v>0</v>
      </c>
      <c r="D15818">
        <v>0.99879469568900003</v>
      </c>
      <c r="E15818">
        <v>6.0569715142428704</v>
      </c>
    </row>
    <row r="15819" spans="1:5">
      <c r="A15819" t="s">
        <v>18310</v>
      </c>
      <c r="B15819" t="s">
        <v>18313</v>
      </c>
      <c r="C15819">
        <v>0.44196528615899999</v>
      </c>
      <c r="D15819">
        <v>0.99879469568900003</v>
      </c>
      <c r="E15819">
        <v>6.0569715142428704</v>
      </c>
    </row>
    <row r="15820" spans="1:5">
      <c r="A15820" t="s">
        <v>18314</v>
      </c>
      <c r="B15820" t="s">
        <v>18315</v>
      </c>
      <c r="C15820">
        <v>9.0630148229400007E-2</v>
      </c>
      <c r="D15820">
        <v>0.99572245661500003</v>
      </c>
      <c r="E15820">
        <v>24</v>
      </c>
    </row>
    <row r="15821" spans="1:5">
      <c r="A15821" t="s">
        <v>18316</v>
      </c>
      <c r="B15821" t="s">
        <v>18317</v>
      </c>
      <c r="C15821">
        <v>0</v>
      </c>
      <c r="D15821" t="s">
        <v>106</v>
      </c>
      <c r="E15821">
        <v>24</v>
      </c>
    </row>
    <row r="15822" spans="1:5">
      <c r="A15822" t="s">
        <v>18316</v>
      </c>
      <c r="B15822" t="s">
        <v>18318</v>
      </c>
      <c r="C15822">
        <f>0</f>
        <v>0</v>
      </c>
      <c r="D15822" t="s">
        <v>106</v>
      </c>
      <c r="E15822">
        <v>24</v>
      </c>
    </row>
    <row r="15823" spans="1:5">
      <c r="A15823" t="s">
        <v>18319</v>
      </c>
      <c r="B15823" t="s">
        <v>18320</v>
      </c>
      <c r="C15823">
        <v>0</v>
      </c>
      <c r="D15823" t="s">
        <v>106</v>
      </c>
      <c r="E15823">
        <v>1.96701649175412</v>
      </c>
    </row>
    <row r="15824" spans="1:5">
      <c r="A15824" t="s">
        <v>18319</v>
      </c>
      <c r="B15824" t="s">
        <v>18321</v>
      </c>
      <c r="C15824">
        <v>0</v>
      </c>
      <c r="D15824" t="s">
        <v>106</v>
      </c>
      <c r="E15824">
        <v>1.96701649175412</v>
      </c>
    </row>
    <row r="15825" spans="1:5">
      <c r="A15825" t="s">
        <v>18322</v>
      </c>
      <c r="B15825" t="s">
        <v>18323</v>
      </c>
      <c r="C15825">
        <v>1.1387006308799999E-2</v>
      </c>
      <c r="D15825">
        <v>0.84361749458099999</v>
      </c>
      <c r="E15825">
        <v>22.5727136431784</v>
      </c>
    </row>
    <row r="15826" spans="1:5">
      <c r="A15826" t="s">
        <v>18322</v>
      </c>
      <c r="B15826" t="s">
        <v>18324</v>
      </c>
      <c r="C15826">
        <v>0</v>
      </c>
      <c r="D15826">
        <v>0.84361749458099999</v>
      </c>
      <c r="E15826">
        <v>22.5727136431784</v>
      </c>
    </row>
    <row r="15827" spans="1:5">
      <c r="A15827" t="s">
        <v>18322</v>
      </c>
      <c r="B15827" t="s">
        <v>18325</v>
      </c>
      <c r="C15827">
        <f>0.0271858853763</f>
        <v>2.7185885376300001E-2</v>
      </c>
      <c r="D15827">
        <v>0.84361749458099999</v>
      </c>
      <c r="E15827">
        <v>22.5727136431784</v>
      </c>
    </row>
    <row r="15828" spans="1:5">
      <c r="A15828" t="s">
        <v>18326</v>
      </c>
      <c r="B15828" t="s">
        <v>18327</v>
      </c>
      <c r="C15828">
        <v>0</v>
      </c>
      <c r="D15828">
        <v>0.98706832710400005</v>
      </c>
      <c r="E15828">
        <v>7.5922038980509701</v>
      </c>
    </row>
    <row r="15829" spans="1:5">
      <c r="A15829" t="s">
        <v>18326</v>
      </c>
      <c r="B15829" t="s">
        <v>18328</v>
      </c>
      <c r="C15829">
        <v>0</v>
      </c>
      <c r="D15829">
        <v>0.98706832710400005</v>
      </c>
      <c r="E15829">
        <v>7.5922038980509701</v>
      </c>
    </row>
    <row r="15830" spans="1:5">
      <c r="A15830" t="s">
        <v>18326</v>
      </c>
      <c r="B15830" t="s">
        <v>18329</v>
      </c>
      <c r="C15830">
        <v>0</v>
      </c>
      <c r="D15830">
        <v>0.98706832710400005</v>
      </c>
      <c r="E15830">
        <v>7.5922038980509701</v>
      </c>
    </row>
    <row r="15831" spans="1:5">
      <c r="A15831" t="s">
        <v>18326</v>
      </c>
      <c r="B15831" t="s">
        <v>18330</v>
      </c>
      <c r="C15831">
        <v>2.9965892725200002E-2</v>
      </c>
      <c r="D15831">
        <v>0.98706832710400005</v>
      </c>
      <c r="E15831">
        <v>7.5922038980509701</v>
      </c>
    </row>
    <row r="15832" spans="1:5">
      <c r="A15832" t="s">
        <v>18326</v>
      </c>
      <c r="B15832" t="s">
        <v>18331</v>
      </c>
      <c r="C15832">
        <v>0</v>
      </c>
      <c r="D15832">
        <v>0.98706832710400005</v>
      </c>
      <c r="E15832">
        <v>7.5922038980509701</v>
      </c>
    </row>
    <row r="15833" spans="1:5">
      <c r="A15833" t="s">
        <v>18326</v>
      </c>
      <c r="B15833" t="s">
        <v>18332</v>
      </c>
      <c r="C15833">
        <v>0</v>
      </c>
      <c r="D15833">
        <v>0.98706832710400005</v>
      </c>
      <c r="E15833">
        <v>7.5922038980509701</v>
      </c>
    </row>
    <row r="15834" spans="1:5">
      <c r="A15834" t="s">
        <v>18326</v>
      </c>
      <c r="B15834" t="s">
        <v>18333</v>
      </c>
      <c r="C15834">
        <v>0</v>
      </c>
      <c r="D15834">
        <v>0.98706832710400005</v>
      </c>
      <c r="E15834">
        <v>7.5922038980509701</v>
      </c>
    </row>
    <row r="15835" spans="1:5">
      <c r="A15835" t="s">
        <v>18326</v>
      </c>
      <c r="B15835" t="s">
        <v>18334</v>
      </c>
      <c r="C15835">
        <f>0</f>
        <v>0</v>
      </c>
      <c r="D15835">
        <v>0.98706832710400005</v>
      </c>
      <c r="E15835">
        <v>7.5922038980509701</v>
      </c>
    </row>
    <row r="15836" spans="1:5">
      <c r="A15836" t="s">
        <v>18326</v>
      </c>
      <c r="B15836" t="s">
        <v>18335</v>
      </c>
      <c r="C15836">
        <v>0</v>
      </c>
      <c r="D15836">
        <v>0.98706832710400005</v>
      </c>
      <c r="E15836">
        <v>7.5922038980509701</v>
      </c>
    </row>
    <row r="15837" spans="1:5">
      <c r="A15837" t="s">
        <v>18326</v>
      </c>
      <c r="B15837" t="s">
        <v>18336</v>
      </c>
      <c r="C15837">
        <v>0.35642780579200001</v>
      </c>
      <c r="D15837">
        <v>0.98706832710400005</v>
      </c>
      <c r="E15837">
        <v>7.5922038980509701</v>
      </c>
    </row>
    <row r="15838" spans="1:5">
      <c r="A15838" t="s">
        <v>18337</v>
      </c>
      <c r="B15838" t="s">
        <v>18338</v>
      </c>
      <c r="C15838">
        <v>0</v>
      </c>
      <c r="D15838">
        <v>0.85718338980300002</v>
      </c>
      <c r="E15838">
        <v>8.7196401799100407</v>
      </c>
    </row>
    <row r="15839" spans="1:5">
      <c r="A15839" t="s">
        <v>18337</v>
      </c>
      <c r="B15839" t="s">
        <v>18339</v>
      </c>
      <c r="C15839">
        <v>0</v>
      </c>
      <c r="D15839">
        <v>0.85718338980300002</v>
      </c>
      <c r="E15839">
        <v>8.7196401799100407</v>
      </c>
    </row>
    <row r="15840" spans="1:5">
      <c r="A15840" t="s">
        <v>18337</v>
      </c>
      <c r="B15840" t="s">
        <v>18340</v>
      </c>
      <c r="C15840">
        <v>0</v>
      </c>
      <c r="D15840">
        <v>0.85718338980300002</v>
      </c>
      <c r="E15840">
        <v>8.7196401799100407</v>
      </c>
    </row>
    <row r="15841" spans="1:5">
      <c r="A15841" t="s">
        <v>18337</v>
      </c>
      <c r="B15841" t="s">
        <v>18341</v>
      </c>
      <c r="C15841">
        <f>0</f>
        <v>0</v>
      </c>
      <c r="D15841">
        <v>0.85718338980300002</v>
      </c>
      <c r="E15841">
        <v>8.7196401799100407</v>
      </c>
    </row>
    <row r="15842" spans="1:5">
      <c r="A15842" t="s">
        <v>18337</v>
      </c>
      <c r="B15842" t="s">
        <v>18342</v>
      </c>
      <c r="C15842">
        <v>1.33717471358E-2</v>
      </c>
      <c r="D15842">
        <v>0.85718338980300002</v>
      </c>
      <c r="E15842">
        <v>8.7196401799100407</v>
      </c>
    </row>
    <row r="15843" spans="1:5">
      <c r="A15843" t="s">
        <v>18337</v>
      </c>
      <c r="B15843" t="s">
        <v>18343</v>
      </c>
      <c r="C15843">
        <f>0</f>
        <v>0</v>
      </c>
      <c r="D15843">
        <v>0.85718338980300002</v>
      </c>
      <c r="E15843">
        <v>8.7196401799100407</v>
      </c>
    </row>
    <row r="15844" spans="1:5">
      <c r="A15844" t="s">
        <v>18337</v>
      </c>
      <c r="B15844" t="s">
        <v>18344</v>
      </c>
      <c r="C15844">
        <v>0.112107462536</v>
      </c>
      <c r="D15844">
        <v>0.85718338980300002</v>
      </c>
      <c r="E15844">
        <v>8.7196401799100407</v>
      </c>
    </row>
    <row r="15845" spans="1:5">
      <c r="A15845" t="s">
        <v>18337</v>
      </c>
      <c r="B15845" t="s">
        <v>18345</v>
      </c>
      <c r="C15845">
        <f>0</f>
        <v>0</v>
      </c>
      <c r="D15845">
        <v>0.85718338980300002</v>
      </c>
      <c r="E15845">
        <v>8.7196401799100407</v>
      </c>
    </row>
    <row r="15846" spans="1:5">
      <c r="A15846" t="s">
        <v>18337</v>
      </c>
      <c r="B15846" t="s">
        <v>18346</v>
      </c>
      <c r="C15846">
        <f>0</f>
        <v>0</v>
      </c>
      <c r="D15846">
        <v>0.85718338980300002</v>
      </c>
      <c r="E15846">
        <v>8.7196401799100407</v>
      </c>
    </row>
    <row r="15847" spans="1:5">
      <c r="A15847" t="s">
        <v>18347</v>
      </c>
      <c r="B15847" t="s">
        <v>18348</v>
      </c>
      <c r="C15847">
        <f>0</f>
        <v>0</v>
      </c>
      <c r="D15847" t="s">
        <v>106</v>
      </c>
      <c r="E15847">
        <v>24</v>
      </c>
    </row>
    <row r="15848" spans="1:5">
      <c r="A15848" t="s">
        <v>18347</v>
      </c>
      <c r="B15848" t="s">
        <v>18349</v>
      </c>
      <c r="C15848">
        <f>0</f>
        <v>0</v>
      </c>
      <c r="D15848" t="s">
        <v>106</v>
      </c>
      <c r="E15848">
        <v>24</v>
      </c>
    </row>
    <row r="15849" spans="1:5">
      <c r="A15849" t="s">
        <v>18347</v>
      </c>
      <c r="B15849" t="s">
        <v>18350</v>
      </c>
      <c r="C15849">
        <f>0</f>
        <v>0</v>
      </c>
      <c r="D15849" t="s">
        <v>106</v>
      </c>
      <c r="E15849">
        <v>24</v>
      </c>
    </row>
    <row r="15850" spans="1:5">
      <c r="A15850" t="s">
        <v>18347</v>
      </c>
      <c r="B15850" t="s">
        <v>18351</v>
      </c>
      <c r="C15850">
        <v>0</v>
      </c>
      <c r="D15850" t="s">
        <v>106</v>
      </c>
      <c r="E15850">
        <v>24</v>
      </c>
    </row>
    <row r="15851" spans="1:5">
      <c r="A15851" t="s">
        <v>18347</v>
      </c>
      <c r="B15851" t="s">
        <v>18352</v>
      </c>
      <c r="C15851">
        <f>0.0222690719302</f>
        <v>2.2269071930199998E-2</v>
      </c>
      <c r="D15851" t="s">
        <v>106</v>
      </c>
      <c r="E15851">
        <v>24</v>
      </c>
    </row>
    <row r="15852" spans="1:5">
      <c r="A15852" t="s">
        <v>18347</v>
      </c>
      <c r="B15852" t="s">
        <v>18353</v>
      </c>
      <c r="C15852">
        <f>0</f>
        <v>0</v>
      </c>
      <c r="D15852" t="s">
        <v>106</v>
      </c>
      <c r="E15852">
        <v>24</v>
      </c>
    </row>
    <row r="15853" spans="1:5">
      <c r="A15853" t="s">
        <v>18347</v>
      </c>
      <c r="B15853" t="s">
        <v>18354</v>
      </c>
      <c r="C15853">
        <f>0.0870941896241</f>
        <v>8.7094189624099996E-2</v>
      </c>
      <c r="D15853" t="s">
        <v>106</v>
      </c>
      <c r="E15853">
        <v>24</v>
      </c>
    </row>
    <row r="15854" spans="1:5">
      <c r="A15854" t="s">
        <v>18347</v>
      </c>
      <c r="B15854" t="s">
        <v>18355</v>
      </c>
      <c r="C15854">
        <v>0</v>
      </c>
      <c r="D15854" t="s">
        <v>106</v>
      </c>
      <c r="E15854">
        <v>24</v>
      </c>
    </row>
    <row r="15855" spans="1:5">
      <c r="A15855" t="s">
        <v>18347</v>
      </c>
      <c r="B15855" t="s">
        <v>18356</v>
      </c>
      <c r="C15855">
        <f>0</f>
        <v>0</v>
      </c>
      <c r="D15855" t="s">
        <v>106</v>
      </c>
      <c r="E15855">
        <v>24</v>
      </c>
    </row>
    <row r="15856" spans="1:5">
      <c r="A15856" t="s">
        <v>18347</v>
      </c>
      <c r="B15856" t="s">
        <v>18357</v>
      </c>
      <c r="C15856">
        <f>0</f>
        <v>0</v>
      </c>
      <c r="D15856" t="s">
        <v>106</v>
      </c>
      <c r="E15856">
        <v>24</v>
      </c>
    </row>
    <row r="15857" spans="1:5">
      <c r="A15857" t="s">
        <v>18347</v>
      </c>
      <c r="B15857" t="s">
        <v>18358</v>
      </c>
      <c r="C15857">
        <f>0</f>
        <v>0</v>
      </c>
      <c r="D15857" t="s">
        <v>106</v>
      </c>
      <c r="E15857">
        <v>24</v>
      </c>
    </row>
    <row r="15858" spans="1:5">
      <c r="A15858" t="s">
        <v>18347</v>
      </c>
      <c r="B15858" t="s">
        <v>18359</v>
      </c>
      <c r="C15858">
        <f>0</f>
        <v>0</v>
      </c>
      <c r="D15858" t="s">
        <v>106</v>
      </c>
      <c r="E15858">
        <v>24</v>
      </c>
    </row>
    <row r="15859" spans="1:5">
      <c r="A15859" t="s">
        <v>18360</v>
      </c>
      <c r="B15859" t="s">
        <v>18361</v>
      </c>
      <c r="C15859">
        <f>0</f>
        <v>0</v>
      </c>
      <c r="D15859">
        <v>0.98320761086200004</v>
      </c>
      <c r="E15859">
        <v>24</v>
      </c>
    </row>
    <row r="15860" spans="1:5">
      <c r="A15860" t="s">
        <v>18360</v>
      </c>
      <c r="B15860" t="s">
        <v>18362</v>
      </c>
      <c r="C15860">
        <v>0</v>
      </c>
      <c r="D15860">
        <v>0.98320761086200004</v>
      </c>
      <c r="E15860">
        <v>24</v>
      </c>
    </row>
    <row r="15861" spans="1:5">
      <c r="A15861" t="s">
        <v>18360</v>
      </c>
      <c r="B15861" t="s">
        <v>18363</v>
      </c>
      <c r="C15861">
        <f>0</f>
        <v>0</v>
      </c>
      <c r="D15861">
        <v>0.98320761086200004</v>
      </c>
      <c r="E15861">
        <v>24</v>
      </c>
    </row>
    <row r="15862" spans="1:5">
      <c r="A15862" t="s">
        <v>18360</v>
      </c>
      <c r="B15862" t="s">
        <v>18364</v>
      </c>
      <c r="C15862">
        <v>0</v>
      </c>
      <c r="D15862">
        <v>0.98320761086200004</v>
      </c>
      <c r="E15862">
        <v>24</v>
      </c>
    </row>
    <row r="15863" spans="1:5">
      <c r="A15863" t="s">
        <v>18360</v>
      </c>
      <c r="B15863" t="s">
        <v>18365</v>
      </c>
      <c r="C15863">
        <v>0</v>
      </c>
      <c r="D15863">
        <v>0.98320761086200004</v>
      </c>
      <c r="E15863">
        <v>24</v>
      </c>
    </row>
    <row r="15864" spans="1:5">
      <c r="A15864" t="s">
        <v>18360</v>
      </c>
      <c r="B15864" t="s">
        <v>18366</v>
      </c>
      <c r="C15864">
        <v>0</v>
      </c>
      <c r="D15864">
        <v>0.98320761086200004</v>
      </c>
      <c r="E15864">
        <v>24</v>
      </c>
    </row>
    <row r="15865" spans="1:5">
      <c r="A15865" t="s">
        <v>18367</v>
      </c>
      <c r="B15865" t="s">
        <v>18368</v>
      </c>
      <c r="C15865">
        <v>0.13600546912399999</v>
      </c>
      <c r="D15865" t="s">
        <v>106</v>
      </c>
      <c r="E15865">
        <v>16.491754122938499</v>
      </c>
    </row>
    <row r="15866" spans="1:5">
      <c r="A15866" t="s">
        <v>18367</v>
      </c>
      <c r="B15866" t="s">
        <v>18369</v>
      </c>
      <c r="C15866">
        <v>7.3131049375700002E-2</v>
      </c>
      <c r="D15866" t="s">
        <v>106</v>
      </c>
      <c r="E15866">
        <v>16.491754122938499</v>
      </c>
    </row>
    <row r="15867" spans="1:5">
      <c r="A15867" t="s">
        <v>18370</v>
      </c>
      <c r="B15867" t="s">
        <v>18371</v>
      </c>
      <c r="C15867">
        <v>0</v>
      </c>
      <c r="D15867" t="s">
        <v>106</v>
      </c>
      <c r="E15867">
        <v>24</v>
      </c>
    </row>
    <row r="15868" spans="1:5">
      <c r="A15868" t="s">
        <v>18370</v>
      </c>
      <c r="B15868" t="s">
        <v>18372</v>
      </c>
      <c r="C15868">
        <f>0.0244960567964</f>
        <v>2.44960567964E-2</v>
      </c>
      <c r="D15868" t="s">
        <v>106</v>
      </c>
      <c r="E15868">
        <v>24</v>
      </c>
    </row>
    <row r="15869" spans="1:5">
      <c r="A15869" t="s">
        <v>18370</v>
      </c>
      <c r="B15869" t="s">
        <v>18373</v>
      </c>
      <c r="C15869">
        <v>0</v>
      </c>
      <c r="D15869" t="s">
        <v>106</v>
      </c>
      <c r="E15869">
        <v>24</v>
      </c>
    </row>
    <row r="15870" spans="1:5">
      <c r="A15870" t="s">
        <v>18370</v>
      </c>
      <c r="B15870" t="s">
        <v>18374</v>
      </c>
      <c r="C15870">
        <v>0</v>
      </c>
      <c r="D15870" t="s">
        <v>106</v>
      </c>
      <c r="E15870">
        <v>24</v>
      </c>
    </row>
    <row r="15871" spans="1:5">
      <c r="A15871" t="s">
        <v>18370</v>
      </c>
      <c r="B15871" t="s">
        <v>18375</v>
      </c>
      <c r="C15871">
        <v>0</v>
      </c>
      <c r="D15871" t="s">
        <v>106</v>
      </c>
      <c r="E15871">
        <v>24</v>
      </c>
    </row>
    <row r="15872" spans="1:5">
      <c r="A15872" t="s">
        <v>18370</v>
      </c>
      <c r="B15872" t="s">
        <v>18376</v>
      </c>
      <c r="C15872">
        <v>0</v>
      </c>
      <c r="D15872" t="s">
        <v>106</v>
      </c>
      <c r="E15872">
        <v>24</v>
      </c>
    </row>
    <row r="15873" spans="1:5">
      <c r="A15873" t="s">
        <v>18370</v>
      </c>
      <c r="B15873" t="s">
        <v>18377</v>
      </c>
      <c r="C15873">
        <v>0</v>
      </c>
      <c r="D15873" t="s">
        <v>106</v>
      </c>
      <c r="E15873">
        <v>24</v>
      </c>
    </row>
    <row r="15874" spans="1:5">
      <c r="A15874" t="s">
        <v>18370</v>
      </c>
      <c r="B15874" t="s">
        <v>18378</v>
      </c>
      <c r="C15874">
        <v>0</v>
      </c>
      <c r="D15874" t="s">
        <v>106</v>
      </c>
      <c r="E15874">
        <v>24</v>
      </c>
    </row>
    <row r="15875" spans="1:5">
      <c r="A15875" t="s">
        <v>18370</v>
      </c>
      <c r="B15875" t="s">
        <v>18379</v>
      </c>
      <c r="C15875">
        <v>0</v>
      </c>
      <c r="D15875" t="s">
        <v>106</v>
      </c>
      <c r="E15875">
        <v>24</v>
      </c>
    </row>
    <row r="15876" spans="1:5">
      <c r="A15876" t="s">
        <v>18370</v>
      </c>
      <c r="B15876" t="s">
        <v>18380</v>
      </c>
      <c r="C15876">
        <v>0</v>
      </c>
      <c r="D15876" t="s">
        <v>106</v>
      </c>
      <c r="E15876">
        <v>24</v>
      </c>
    </row>
    <row r="15877" spans="1:5">
      <c r="A15877" t="s">
        <v>18370</v>
      </c>
      <c r="B15877" t="s">
        <v>18381</v>
      </c>
      <c r="C15877">
        <v>2.90357199159E-2</v>
      </c>
      <c r="D15877" t="s">
        <v>106</v>
      </c>
      <c r="E15877">
        <v>24</v>
      </c>
    </row>
    <row r="15878" spans="1:5">
      <c r="A15878" t="s">
        <v>18370</v>
      </c>
      <c r="B15878" t="s">
        <v>18382</v>
      </c>
      <c r="C15878">
        <v>0</v>
      </c>
      <c r="D15878" t="s">
        <v>106</v>
      </c>
      <c r="E15878">
        <v>24</v>
      </c>
    </row>
    <row r="15879" spans="1:5">
      <c r="A15879" t="s">
        <v>18383</v>
      </c>
      <c r="B15879" t="s">
        <v>18384</v>
      </c>
      <c r="C15879">
        <f>0</f>
        <v>0</v>
      </c>
      <c r="D15879">
        <v>0.97702719488199996</v>
      </c>
      <c r="E15879">
        <v>0.46776611694152898</v>
      </c>
    </row>
    <row r="15880" spans="1:5">
      <c r="A15880" t="s">
        <v>18383</v>
      </c>
      <c r="B15880" t="s">
        <v>18385</v>
      </c>
      <c r="C15880">
        <v>0.39920684901100001</v>
      </c>
      <c r="D15880">
        <v>0.97702719488199996</v>
      </c>
      <c r="E15880">
        <v>0.46776611694152898</v>
      </c>
    </row>
    <row r="15881" spans="1:5">
      <c r="A15881" t="s">
        <v>18383</v>
      </c>
      <c r="B15881" t="s">
        <v>18386</v>
      </c>
      <c r="C15881">
        <v>0.55183563963000004</v>
      </c>
      <c r="D15881">
        <v>0.97702719488199996</v>
      </c>
      <c r="E15881">
        <v>0.46776611694152898</v>
      </c>
    </row>
    <row r="15882" spans="1:5">
      <c r="A15882" t="s">
        <v>18383</v>
      </c>
      <c r="B15882" t="s">
        <v>18387</v>
      </c>
      <c r="C15882">
        <v>0</v>
      </c>
      <c r="D15882">
        <v>0.97702719488199996</v>
      </c>
      <c r="E15882">
        <v>0.46776611694152898</v>
      </c>
    </row>
    <row r="15883" spans="1:5">
      <c r="A15883" t="s">
        <v>18383</v>
      </c>
      <c r="B15883" t="s">
        <v>18388</v>
      </c>
      <c r="C15883">
        <v>0</v>
      </c>
      <c r="D15883">
        <v>0.97702719488199996</v>
      </c>
      <c r="E15883">
        <v>0.46776611694152898</v>
      </c>
    </row>
    <row r="15884" spans="1:5">
      <c r="A15884" t="s">
        <v>18389</v>
      </c>
      <c r="B15884" t="s">
        <v>18390</v>
      </c>
      <c r="C15884">
        <v>0</v>
      </c>
      <c r="D15884">
        <v>0.95557234950199998</v>
      </c>
      <c r="E15884">
        <v>0.95952023988005997</v>
      </c>
    </row>
    <row r="15885" spans="1:5">
      <c r="A15885" t="s">
        <v>18389</v>
      </c>
      <c r="B15885" t="s">
        <v>18391</v>
      </c>
      <c r="C15885">
        <f>0</f>
        <v>0</v>
      </c>
      <c r="D15885">
        <v>0.95557234950199998</v>
      </c>
      <c r="E15885">
        <v>0.95952023988005997</v>
      </c>
    </row>
    <row r="15886" spans="1:5">
      <c r="A15886" t="s">
        <v>18389</v>
      </c>
      <c r="B15886" t="s">
        <v>18392</v>
      </c>
      <c r="C15886">
        <f>0</f>
        <v>0</v>
      </c>
      <c r="D15886">
        <v>0.95557234950199998</v>
      </c>
      <c r="E15886">
        <v>0.95952023988005997</v>
      </c>
    </row>
    <row r="15887" spans="1:5">
      <c r="A15887" t="s">
        <v>18389</v>
      </c>
      <c r="B15887" t="s">
        <v>18393</v>
      </c>
      <c r="C15887">
        <v>0</v>
      </c>
      <c r="D15887">
        <v>0.95557234950199998</v>
      </c>
      <c r="E15887">
        <v>0.95952023988005997</v>
      </c>
    </row>
    <row r="15888" spans="1:5">
      <c r="A15888" t="s">
        <v>18389</v>
      </c>
      <c r="B15888" t="s">
        <v>18394</v>
      </c>
      <c r="C15888">
        <v>0</v>
      </c>
      <c r="D15888">
        <v>0.95557234950199998</v>
      </c>
      <c r="E15888">
        <v>0.95952023988005997</v>
      </c>
    </row>
    <row r="15889" spans="1:5">
      <c r="A15889" t="s">
        <v>18389</v>
      </c>
      <c r="B15889" t="s">
        <v>18395</v>
      </c>
      <c r="C15889">
        <f>0</f>
        <v>0</v>
      </c>
      <c r="D15889">
        <v>0.95557234950199998</v>
      </c>
      <c r="E15889">
        <v>0.95952023988005997</v>
      </c>
    </row>
    <row r="15890" spans="1:5">
      <c r="A15890" t="s">
        <v>18389</v>
      </c>
      <c r="B15890" t="s">
        <v>18396</v>
      </c>
      <c r="C15890">
        <v>0</v>
      </c>
      <c r="D15890">
        <v>0.95557234950199998</v>
      </c>
      <c r="E15890">
        <v>0.95952023988005997</v>
      </c>
    </row>
    <row r="15891" spans="1:5">
      <c r="A15891" t="s">
        <v>18389</v>
      </c>
      <c r="B15891" t="s">
        <v>18397</v>
      </c>
      <c r="C15891">
        <v>0</v>
      </c>
      <c r="D15891">
        <v>0.95557234950199998</v>
      </c>
      <c r="E15891">
        <v>0.95952023988005997</v>
      </c>
    </row>
    <row r="15892" spans="1:5">
      <c r="A15892" t="s">
        <v>18389</v>
      </c>
      <c r="B15892" t="s">
        <v>18398</v>
      </c>
      <c r="C15892">
        <v>0</v>
      </c>
      <c r="D15892">
        <v>0.95557234950199998</v>
      </c>
      <c r="E15892">
        <v>0.95952023988005997</v>
      </c>
    </row>
    <row r="15893" spans="1:5">
      <c r="A15893" t="s">
        <v>18389</v>
      </c>
      <c r="B15893" t="s">
        <v>18399</v>
      </c>
      <c r="C15893">
        <v>0</v>
      </c>
      <c r="D15893">
        <v>0.95557234950199998</v>
      </c>
      <c r="E15893">
        <v>0.95952023988005997</v>
      </c>
    </row>
    <row r="15894" spans="1:5">
      <c r="A15894" t="s">
        <v>18389</v>
      </c>
      <c r="B15894" t="s">
        <v>18400</v>
      </c>
      <c r="C15894">
        <v>0</v>
      </c>
      <c r="D15894">
        <v>0.95557234950199998</v>
      </c>
      <c r="E15894">
        <v>0.95952023988005997</v>
      </c>
    </row>
    <row r="15895" spans="1:5">
      <c r="A15895" t="s">
        <v>18389</v>
      </c>
      <c r="B15895" t="s">
        <v>18401</v>
      </c>
      <c r="C15895">
        <v>9.9682494990399995E-2</v>
      </c>
      <c r="D15895">
        <v>0.95557234950199998</v>
      </c>
      <c r="E15895">
        <v>0.95952023988005997</v>
      </c>
    </row>
    <row r="15896" spans="1:5">
      <c r="A15896" t="s">
        <v>18389</v>
      </c>
      <c r="B15896" t="s">
        <v>18402</v>
      </c>
      <c r="C15896">
        <v>0</v>
      </c>
      <c r="D15896">
        <v>0.95557234950199998</v>
      </c>
      <c r="E15896">
        <v>0.95952023988005997</v>
      </c>
    </row>
    <row r="15897" spans="1:5">
      <c r="A15897" t="s">
        <v>18389</v>
      </c>
      <c r="B15897" t="s">
        <v>18403</v>
      </c>
      <c r="C15897">
        <v>0</v>
      </c>
      <c r="D15897">
        <v>0.95557234950199998</v>
      </c>
      <c r="E15897">
        <v>0.95952023988005997</v>
      </c>
    </row>
    <row r="15898" spans="1:5">
      <c r="A15898" t="s">
        <v>18389</v>
      </c>
      <c r="B15898" t="s">
        <v>18404</v>
      </c>
      <c r="C15898">
        <v>0</v>
      </c>
      <c r="D15898">
        <v>0.95557234950199998</v>
      </c>
      <c r="E15898">
        <v>0.95952023988005997</v>
      </c>
    </row>
    <row r="15899" spans="1:5">
      <c r="A15899" t="s">
        <v>18389</v>
      </c>
      <c r="B15899" t="s">
        <v>18405</v>
      </c>
      <c r="C15899">
        <f>0</f>
        <v>0</v>
      </c>
      <c r="D15899">
        <v>0.95557234950199998</v>
      </c>
      <c r="E15899">
        <v>0.95952023988005997</v>
      </c>
    </row>
    <row r="15900" spans="1:5">
      <c r="A15900" t="s">
        <v>18389</v>
      </c>
      <c r="B15900" t="s">
        <v>18406</v>
      </c>
      <c r="C15900">
        <v>0</v>
      </c>
      <c r="D15900">
        <v>0.95557234950199998</v>
      </c>
      <c r="E15900">
        <v>0.95952023988005997</v>
      </c>
    </row>
    <row r="15901" spans="1:5">
      <c r="A15901" t="s">
        <v>18389</v>
      </c>
      <c r="B15901" t="s">
        <v>18407</v>
      </c>
      <c r="C15901">
        <v>0</v>
      </c>
      <c r="D15901">
        <v>0.95557234950199998</v>
      </c>
      <c r="E15901">
        <v>0.95952023988005997</v>
      </c>
    </row>
    <row r="15902" spans="1:5">
      <c r="A15902" t="s">
        <v>18389</v>
      </c>
      <c r="B15902" t="s">
        <v>18408</v>
      </c>
      <c r="C15902">
        <v>0</v>
      </c>
      <c r="D15902">
        <v>0.95557234950199998</v>
      </c>
      <c r="E15902">
        <v>0.95952023988005997</v>
      </c>
    </row>
    <row r="15903" spans="1:5">
      <c r="A15903" t="s">
        <v>18389</v>
      </c>
      <c r="B15903" t="s">
        <v>18409</v>
      </c>
      <c r="C15903">
        <v>0.110854378649</v>
      </c>
      <c r="D15903">
        <v>0.95557234950199998</v>
      </c>
      <c r="E15903">
        <v>0.95952023988005997</v>
      </c>
    </row>
    <row r="15904" spans="1:5">
      <c r="A15904" t="s">
        <v>18410</v>
      </c>
      <c r="B15904" t="s">
        <v>18411</v>
      </c>
      <c r="C15904">
        <f>0</f>
        <v>0</v>
      </c>
      <c r="D15904" t="s">
        <v>106</v>
      </c>
      <c r="E15904">
        <v>9.4632683658170897</v>
      </c>
    </row>
    <row r="15905" spans="1:5">
      <c r="A15905" t="s">
        <v>18410</v>
      </c>
      <c r="B15905" t="s">
        <v>18412</v>
      </c>
      <c r="C15905">
        <v>0</v>
      </c>
      <c r="D15905" t="s">
        <v>106</v>
      </c>
      <c r="E15905">
        <v>9.4632683658170897</v>
      </c>
    </row>
    <row r="15906" spans="1:5">
      <c r="A15906" t="s">
        <v>18410</v>
      </c>
      <c r="B15906" t="s">
        <v>18413</v>
      </c>
      <c r="C15906">
        <v>0</v>
      </c>
      <c r="D15906" t="s">
        <v>106</v>
      </c>
      <c r="E15906">
        <v>9.4632683658170897</v>
      </c>
    </row>
    <row r="15907" spans="1:5">
      <c r="A15907" t="s">
        <v>18410</v>
      </c>
      <c r="B15907" t="s">
        <v>18414</v>
      </c>
      <c r="C15907">
        <v>0</v>
      </c>
      <c r="D15907" t="s">
        <v>106</v>
      </c>
      <c r="E15907">
        <v>9.4632683658170897</v>
      </c>
    </row>
    <row r="15908" spans="1:5">
      <c r="A15908" t="s">
        <v>18410</v>
      </c>
      <c r="B15908" t="s">
        <v>18415</v>
      </c>
      <c r="C15908">
        <v>0</v>
      </c>
      <c r="D15908" t="s">
        <v>106</v>
      </c>
      <c r="E15908">
        <v>9.4632683658170897</v>
      </c>
    </row>
    <row r="15909" spans="1:5">
      <c r="A15909" t="s">
        <v>18410</v>
      </c>
      <c r="B15909" t="s">
        <v>18416</v>
      </c>
      <c r="C15909">
        <v>0</v>
      </c>
      <c r="D15909" t="s">
        <v>106</v>
      </c>
      <c r="E15909">
        <v>9.4632683658170897</v>
      </c>
    </row>
    <row r="15910" spans="1:5">
      <c r="A15910" t="s">
        <v>18410</v>
      </c>
      <c r="B15910" t="s">
        <v>18417</v>
      </c>
      <c r="C15910">
        <v>0</v>
      </c>
      <c r="D15910" t="s">
        <v>106</v>
      </c>
      <c r="E15910">
        <v>9.4632683658170897</v>
      </c>
    </row>
    <row r="15911" spans="1:5">
      <c r="A15911" t="s">
        <v>18410</v>
      </c>
      <c r="B15911" t="s">
        <v>18418</v>
      </c>
      <c r="C15911">
        <f>0</f>
        <v>0</v>
      </c>
      <c r="D15911" t="s">
        <v>106</v>
      </c>
      <c r="E15911">
        <v>9.4632683658170897</v>
      </c>
    </row>
    <row r="15912" spans="1:5">
      <c r="A15912" t="s">
        <v>18410</v>
      </c>
      <c r="B15912" t="s">
        <v>18419</v>
      </c>
      <c r="C15912">
        <v>0</v>
      </c>
      <c r="D15912" t="s">
        <v>106</v>
      </c>
      <c r="E15912">
        <v>9.4632683658170897</v>
      </c>
    </row>
    <row r="15913" spans="1:5">
      <c r="A15913" t="s">
        <v>18410</v>
      </c>
      <c r="B15913" t="s">
        <v>18420</v>
      </c>
      <c r="C15913">
        <v>0</v>
      </c>
      <c r="D15913" t="s">
        <v>106</v>
      </c>
      <c r="E15913">
        <v>9.4632683658170897</v>
      </c>
    </row>
    <row r="15914" spans="1:5">
      <c r="A15914" t="s">
        <v>18410</v>
      </c>
      <c r="B15914" t="s">
        <v>18421</v>
      </c>
      <c r="C15914">
        <v>0</v>
      </c>
      <c r="D15914" t="s">
        <v>106</v>
      </c>
      <c r="E15914">
        <v>9.4632683658170897</v>
      </c>
    </row>
    <row r="15915" spans="1:5">
      <c r="A15915" t="s">
        <v>18410</v>
      </c>
      <c r="B15915" t="s">
        <v>18422</v>
      </c>
      <c r="C15915">
        <v>0</v>
      </c>
      <c r="D15915" t="s">
        <v>106</v>
      </c>
      <c r="E15915">
        <v>9.4632683658170897</v>
      </c>
    </row>
    <row r="15916" spans="1:5">
      <c r="A15916" t="s">
        <v>18410</v>
      </c>
      <c r="B15916" t="s">
        <v>18423</v>
      </c>
      <c r="C15916">
        <v>0</v>
      </c>
      <c r="D15916" t="s">
        <v>106</v>
      </c>
      <c r="E15916">
        <v>9.4632683658170897</v>
      </c>
    </row>
    <row r="15917" spans="1:5">
      <c r="A15917" t="s">
        <v>18410</v>
      </c>
      <c r="B15917" t="s">
        <v>18424</v>
      </c>
      <c r="C15917">
        <v>0</v>
      </c>
      <c r="D15917" t="s">
        <v>106</v>
      </c>
      <c r="E15917">
        <v>9.4632683658170897</v>
      </c>
    </row>
    <row r="15918" spans="1:5">
      <c r="A15918" t="s">
        <v>18410</v>
      </c>
      <c r="B15918" t="s">
        <v>18425</v>
      </c>
      <c r="C15918">
        <v>0</v>
      </c>
      <c r="D15918" t="s">
        <v>106</v>
      </c>
      <c r="E15918">
        <v>9.4632683658170897</v>
      </c>
    </row>
    <row r="15919" spans="1:5">
      <c r="A15919" t="s">
        <v>18426</v>
      </c>
      <c r="B15919" t="s">
        <v>18427</v>
      </c>
      <c r="C15919">
        <v>0</v>
      </c>
      <c r="D15919">
        <v>0.92499985390799999</v>
      </c>
      <c r="E15919">
        <v>23.508245877061398</v>
      </c>
    </row>
    <row r="15920" spans="1:5">
      <c r="A15920" t="s">
        <v>18426</v>
      </c>
      <c r="B15920" t="s">
        <v>18428</v>
      </c>
      <c r="C15920">
        <f>0</f>
        <v>0</v>
      </c>
      <c r="D15920">
        <v>0.92499985390799999</v>
      </c>
      <c r="E15920">
        <v>23.508245877061398</v>
      </c>
    </row>
    <row r="15921" spans="1:5">
      <c r="A15921" t="s">
        <v>18426</v>
      </c>
      <c r="B15921" t="s">
        <v>18429</v>
      </c>
      <c r="C15921">
        <v>0</v>
      </c>
      <c r="D15921">
        <v>0.92499985390799999</v>
      </c>
      <c r="E15921">
        <v>23.508245877061398</v>
      </c>
    </row>
    <row r="15922" spans="1:5">
      <c r="A15922" t="s">
        <v>18426</v>
      </c>
      <c r="B15922" t="s">
        <v>18430</v>
      </c>
      <c r="C15922">
        <v>0</v>
      </c>
      <c r="D15922">
        <v>0.92499985390799999</v>
      </c>
      <c r="E15922">
        <v>23.508245877061398</v>
      </c>
    </row>
    <row r="15923" spans="1:5">
      <c r="A15923" t="s">
        <v>18426</v>
      </c>
      <c r="B15923" t="s">
        <v>18431</v>
      </c>
      <c r="C15923">
        <v>0</v>
      </c>
      <c r="D15923">
        <v>0.92499985390799999</v>
      </c>
      <c r="E15923">
        <v>23.508245877061398</v>
      </c>
    </row>
    <row r="15924" spans="1:5">
      <c r="A15924" t="s">
        <v>18426</v>
      </c>
      <c r="B15924" t="s">
        <v>18432</v>
      </c>
      <c r="C15924">
        <v>0</v>
      </c>
      <c r="D15924">
        <v>0.92499985390799999</v>
      </c>
      <c r="E15924">
        <v>23.508245877061398</v>
      </c>
    </row>
    <row r="15925" spans="1:5">
      <c r="A15925" t="s">
        <v>18426</v>
      </c>
      <c r="B15925" t="s">
        <v>18433</v>
      </c>
      <c r="C15925">
        <f>0</f>
        <v>0</v>
      </c>
      <c r="D15925">
        <v>0.92499985390799999</v>
      </c>
      <c r="E15925">
        <v>23.508245877061398</v>
      </c>
    </row>
    <row r="15926" spans="1:5">
      <c r="A15926" t="s">
        <v>18434</v>
      </c>
      <c r="B15926" t="s">
        <v>18435</v>
      </c>
      <c r="C15926">
        <v>0.12629950156200001</v>
      </c>
      <c r="D15926">
        <v>0.85210767852799996</v>
      </c>
      <c r="E15926">
        <v>17.715142428785601</v>
      </c>
    </row>
    <row r="15927" spans="1:5">
      <c r="A15927" t="s">
        <v>18434</v>
      </c>
      <c r="B15927" t="s">
        <v>18436</v>
      </c>
      <c r="C15927">
        <v>1.1083002841799999E-2</v>
      </c>
      <c r="D15927">
        <v>0.85210767852799996</v>
      </c>
      <c r="E15927">
        <v>17.715142428785601</v>
      </c>
    </row>
    <row r="15928" spans="1:5">
      <c r="A15928" t="s">
        <v>18434</v>
      </c>
      <c r="B15928" t="s">
        <v>18437</v>
      </c>
      <c r="C15928">
        <v>0</v>
      </c>
      <c r="D15928">
        <v>0.85210767852799996</v>
      </c>
      <c r="E15928">
        <v>17.715142428785601</v>
      </c>
    </row>
    <row r="15929" spans="1:5">
      <c r="A15929" t="s">
        <v>18434</v>
      </c>
      <c r="B15929" t="s">
        <v>18438</v>
      </c>
      <c r="C15929">
        <v>0</v>
      </c>
      <c r="D15929">
        <v>0.85210767852799996</v>
      </c>
      <c r="E15929">
        <v>17.715142428785601</v>
      </c>
    </row>
    <row r="15930" spans="1:5">
      <c r="A15930" t="s">
        <v>18434</v>
      </c>
      <c r="B15930" t="s">
        <v>18439</v>
      </c>
      <c r="C15930">
        <f>0</f>
        <v>0</v>
      </c>
      <c r="D15930">
        <v>0.85210767852799996</v>
      </c>
      <c r="E15930">
        <v>17.715142428785601</v>
      </c>
    </row>
    <row r="15931" spans="1:5">
      <c r="A15931" t="s">
        <v>18434</v>
      </c>
      <c r="B15931" t="s">
        <v>18440</v>
      </c>
      <c r="C15931">
        <v>0</v>
      </c>
      <c r="D15931">
        <v>0.85210767852799996</v>
      </c>
      <c r="E15931">
        <v>17.715142428785601</v>
      </c>
    </row>
    <row r="15932" spans="1:5">
      <c r="A15932" t="s">
        <v>18441</v>
      </c>
      <c r="B15932" t="s">
        <v>18442</v>
      </c>
      <c r="C15932">
        <f>0.0513776491625</f>
        <v>5.1377649162499997E-2</v>
      </c>
      <c r="D15932" t="s">
        <v>106</v>
      </c>
      <c r="E15932">
        <v>16.695652173913</v>
      </c>
    </row>
    <row r="15933" spans="1:5">
      <c r="A15933" t="s">
        <v>18441</v>
      </c>
      <c r="B15933" t="s">
        <v>18443</v>
      </c>
      <c r="C15933">
        <f>0</f>
        <v>0</v>
      </c>
      <c r="D15933" t="s">
        <v>106</v>
      </c>
      <c r="E15933">
        <v>16.695652173913</v>
      </c>
    </row>
    <row r="15934" spans="1:5">
      <c r="A15934" t="s">
        <v>18444</v>
      </c>
      <c r="B15934" t="s">
        <v>18445</v>
      </c>
      <c r="C15934">
        <v>0</v>
      </c>
      <c r="D15934">
        <v>0.43398677771900002</v>
      </c>
      <c r="E15934">
        <v>12.0419790104947</v>
      </c>
    </row>
    <row r="15935" spans="1:5">
      <c r="A15935" t="s">
        <v>18444</v>
      </c>
      <c r="B15935" t="s">
        <v>18446</v>
      </c>
      <c r="C15935">
        <v>9.6648373986299996E-2</v>
      </c>
      <c r="D15935">
        <v>0.43398677771900002</v>
      </c>
      <c r="E15935">
        <v>12.0419790104947</v>
      </c>
    </row>
    <row r="15936" spans="1:5">
      <c r="A15936" t="s">
        <v>18444</v>
      </c>
      <c r="B15936" t="s">
        <v>18447</v>
      </c>
      <c r="C15936">
        <v>0</v>
      </c>
      <c r="D15936">
        <v>0.43398677771900002</v>
      </c>
      <c r="E15936">
        <v>12.0419790104947</v>
      </c>
    </row>
    <row r="15937" spans="1:5">
      <c r="A15937" t="s">
        <v>18448</v>
      </c>
      <c r="B15937" t="s">
        <v>18449</v>
      </c>
      <c r="C15937">
        <v>0.27789089502499997</v>
      </c>
      <c r="D15937">
        <v>0.96670160671200001</v>
      </c>
      <c r="E15937">
        <v>6.2968515742128899</v>
      </c>
    </row>
    <row r="15938" spans="1:5">
      <c r="A15938" t="s">
        <v>18448</v>
      </c>
      <c r="B15938" t="s">
        <v>18450</v>
      </c>
      <c r="C15938">
        <v>0</v>
      </c>
      <c r="D15938">
        <v>0.96670160671200001</v>
      </c>
      <c r="E15938">
        <v>6.2968515742128899</v>
      </c>
    </row>
    <row r="15939" spans="1:5">
      <c r="A15939" t="s">
        <v>18448</v>
      </c>
      <c r="B15939" t="s">
        <v>18451</v>
      </c>
      <c r="C15939">
        <v>0</v>
      </c>
      <c r="D15939">
        <v>0.96670160671200001</v>
      </c>
      <c r="E15939">
        <v>6.2968515742128899</v>
      </c>
    </row>
    <row r="15940" spans="1:5">
      <c r="A15940" t="s">
        <v>18452</v>
      </c>
      <c r="B15940" t="s">
        <v>18453</v>
      </c>
      <c r="C15940">
        <v>0</v>
      </c>
      <c r="D15940" t="s">
        <v>106</v>
      </c>
      <c r="E15940">
        <v>3.0464767616191901</v>
      </c>
    </row>
    <row r="15941" spans="1:5">
      <c r="A15941" t="s">
        <v>18452</v>
      </c>
      <c r="B15941" t="s">
        <v>18454</v>
      </c>
      <c r="C15941">
        <f>0</f>
        <v>0</v>
      </c>
      <c r="D15941" t="s">
        <v>106</v>
      </c>
      <c r="E15941">
        <v>3.0464767616191901</v>
      </c>
    </row>
    <row r="15942" spans="1:5">
      <c r="A15942" t="s">
        <v>18455</v>
      </c>
      <c r="B15942" t="s">
        <v>18456</v>
      </c>
      <c r="C15942">
        <v>0</v>
      </c>
      <c r="D15942">
        <v>0.785392442774</v>
      </c>
      <c r="E15942">
        <v>3.7781109445277301</v>
      </c>
    </row>
    <row r="15943" spans="1:5">
      <c r="A15943" t="s">
        <v>18455</v>
      </c>
      <c r="B15943" t="s">
        <v>18457</v>
      </c>
      <c r="C15943">
        <v>0</v>
      </c>
      <c r="D15943">
        <v>0.785392442774</v>
      </c>
      <c r="E15943">
        <v>3.7781109445277301</v>
      </c>
    </row>
    <row r="15944" spans="1:5">
      <c r="A15944" t="s">
        <v>18455</v>
      </c>
      <c r="B15944" t="s">
        <v>18458</v>
      </c>
      <c r="C15944">
        <v>0</v>
      </c>
      <c r="D15944">
        <v>0.785392442774</v>
      </c>
      <c r="E15944">
        <v>3.7781109445277301</v>
      </c>
    </row>
    <row r="15945" spans="1:5">
      <c r="A15945" t="s">
        <v>18455</v>
      </c>
      <c r="B15945" t="s">
        <v>18459</v>
      </c>
      <c r="C15945">
        <f>0</f>
        <v>0</v>
      </c>
      <c r="D15945">
        <v>0.785392442774</v>
      </c>
      <c r="E15945">
        <v>3.7781109445277301</v>
      </c>
    </row>
    <row r="15946" spans="1:5">
      <c r="A15946" t="s">
        <v>18455</v>
      </c>
      <c r="B15946" t="s">
        <v>18460</v>
      </c>
      <c r="C15946">
        <f>0</f>
        <v>0</v>
      </c>
      <c r="D15946">
        <v>0.785392442774</v>
      </c>
      <c r="E15946">
        <v>3.7781109445277301</v>
      </c>
    </row>
    <row r="15947" spans="1:5">
      <c r="A15947" t="s">
        <v>18455</v>
      </c>
      <c r="B15947" t="s">
        <v>18461</v>
      </c>
      <c r="C15947">
        <f>0</f>
        <v>0</v>
      </c>
      <c r="D15947">
        <v>0.785392442774</v>
      </c>
      <c r="E15947">
        <v>3.7781109445277301</v>
      </c>
    </row>
    <row r="15948" spans="1:5">
      <c r="A15948" t="s">
        <v>18455</v>
      </c>
      <c r="B15948" t="s">
        <v>18462</v>
      </c>
      <c r="C15948">
        <v>0.174329230226</v>
      </c>
      <c r="D15948">
        <v>0.785392442774</v>
      </c>
      <c r="E15948">
        <v>3.7781109445277301</v>
      </c>
    </row>
    <row r="15949" spans="1:5">
      <c r="A15949" t="s">
        <v>18455</v>
      </c>
      <c r="B15949" t="s">
        <v>18463</v>
      </c>
      <c r="C15949">
        <v>0</v>
      </c>
      <c r="D15949">
        <v>0.785392442774</v>
      </c>
      <c r="E15949">
        <v>3.7781109445277301</v>
      </c>
    </row>
    <row r="15950" spans="1:5">
      <c r="A15950" t="s">
        <v>18455</v>
      </c>
      <c r="B15950" t="s">
        <v>18464</v>
      </c>
      <c r="C15950">
        <v>0</v>
      </c>
      <c r="D15950">
        <v>0.785392442774</v>
      </c>
      <c r="E15950">
        <v>3.7781109445277301</v>
      </c>
    </row>
    <row r="15951" spans="1:5">
      <c r="A15951" t="s">
        <v>18455</v>
      </c>
      <c r="B15951" t="s">
        <v>18465</v>
      </c>
      <c r="C15951">
        <f>0.0869562822417</f>
        <v>8.6956282241700003E-2</v>
      </c>
      <c r="D15951">
        <v>0.785392442774</v>
      </c>
      <c r="E15951">
        <v>3.7781109445277301</v>
      </c>
    </row>
    <row r="15952" spans="1:5">
      <c r="A15952" t="s">
        <v>18466</v>
      </c>
      <c r="B15952" t="s">
        <v>18467</v>
      </c>
      <c r="C15952">
        <f>0.940822868344</f>
        <v>0.94082286834399997</v>
      </c>
      <c r="D15952">
        <v>0.97663401883099998</v>
      </c>
      <c r="E15952">
        <v>1.00749625187406</v>
      </c>
    </row>
    <row r="15953" spans="1:5">
      <c r="A15953" t="s">
        <v>18466</v>
      </c>
      <c r="B15953" t="s">
        <v>18468</v>
      </c>
      <c r="C15953">
        <v>2.6592060728200001E-2</v>
      </c>
      <c r="D15953">
        <v>0.97663401883099998</v>
      </c>
      <c r="E15953">
        <v>1.00749625187406</v>
      </c>
    </row>
    <row r="15954" spans="1:5">
      <c r="A15954" t="s">
        <v>18469</v>
      </c>
      <c r="B15954" t="s">
        <v>18470</v>
      </c>
      <c r="C15954">
        <f>0</f>
        <v>0</v>
      </c>
      <c r="D15954">
        <v>0.69888823992500004</v>
      </c>
      <c r="E15954">
        <v>13.0854572713643</v>
      </c>
    </row>
    <row r="15955" spans="1:5">
      <c r="A15955" t="s">
        <v>18469</v>
      </c>
      <c r="B15955" t="s">
        <v>18471</v>
      </c>
      <c r="C15955">
        <f>0</f>
        <v>0</v>
      </c>
      <c r="D15955">
        <v>0.69888823992500004</v>
      </c>
      <c r="E15955">
        <v>13.0854572713643</v>
      </c>
    </row>
    <row r="15956" spans="1:5">
      <c r="A15956" t="s">
        <v>18469</v>
      </c>
      <c r="B15956" t="s">
        <v>18472</v>
      </c>
      <c r="C15956">
        <f>0.145000334292</f>
        <v>0.14500033429199999</v>
      </c>
      <c r="D15956">
        <v>0.69888823992500004</v>
      </c>
      <c r="E15956">
        <v>13.0854572713643</v>
      </c>
    </row>
    <row r="15957" spans="1:5">
      <c r="A15957" t="s">
        <v>18473</v>
      </c>
      <c r="B15957" t="s">
        <v>18474</v>
      </c>
      <c r="C15957">
        <f>0</f>
        <v>0</v>
      </c>
      <c r="D15957">
        <v>0.99291482193000002</v>
      </c>
      <c r="E15957">
        <v>0</v>
      </c>
    </row>
    <row r="15958" spans="1:5">
      <c r="A15958" t="s">
        <v>18473</v>
      </c>
      <c r="B15958" t="s">
        <v>18475</v>
      </c>
      <c r="C15958">
        <v>0.34424577446100002</v>
      </c>
      <c r="D15958">
        <v>0.99291482193000002</v>
      </c>
      <c r="E15958">
        <v>0</v>
      </c>
    </row>
    <row r="15959" spans="1:5">
      <c r="A15959" t="s">
        <v>18473</v>
      </c>
      <c r="B15959" t="s">
        <v>18476</v>
      </c>
      <c r="C15959">
        <f>0.789326145957</f>
        <v>0.78932614595700001</v>
      </c>
      <c r="D15959">
        <v>0.99291482193000002</v>
      </c>
      <c r="E15959">
        <v>0</v>
      </c>
    </row>
    <row r="15960" spans="1:5">
      <c r="A15960" t="s">
        <v>18477</v>
      </c>
      <c r="B15960" t="s">
        <v>18478</v>
      </c>
      <c r="C15960">
        <f>0</f>
        <v>0</v>
      </c>
      <c r="D15960" t="s">
        <v>106</v>
      </c>
      <c r="E15960">
        <v>5.4692653673163401</v>
      </c>
    </row>
    <row r="15961" spans="1:5">
      <c r="A15961" t="s">
        <v>18477</v>
      </c>
      <c r="B15961" t="s">
        <v>18479</v>
      </c>
      <c r="C15961">
        <v>0</v>
      </c>
      <c r="D15961" t="s">
        <v>106</v>
      </c>
      <c r="E15961">
        <v>5.4692653673163401</v>
      </c>
    </row>
    <row r="15962" spans="1:5">
      <c r="A15962" t="s">
        <v>18477</v>
      </c>
      <c r="B15962" t="s">
        <v>18480</v>
      </c>
      <c r="C15962">
        <v>0</v>
      </c>
      <c r="D15962" t="s">
        <v>106</v>
      </c>
      <c r="E15962">
        <v>5.4692653673163401</v>
      </c>
    </row>
    <row r="15963" spans="1:5">
      <c r="A15963" t="s">
        <v>18477</v>
      </c>
      <c r="B15963" t="s">
        <v>18481</v>
      </c>
      <c r="C15963">
        <v>0</v>
      </c>
      <c r="D15963" t="s">
        <v>106</v>
      </c>
      <c r="E15963">
        <v>5.4692653673163401</v>
      </c>
    </row>
    <row r="15964" spans="1:5">
      <c r="A15964" t="s">
        <v>18477</v>
      </c>
      <c r="B15964" t="s">
        <v>18482</v>
      </c>
      <c r="C15964">
        <f>0</f>
        <v>0</v>
      </c>
      <c r="D15964" t="s">
        <v>106</v>
      </c>
      <c r="E15964">
        <v>5.4692653673163401</v>
      </c>
    </row>
    <row r="15965" spans="1:5">
      <c r="A15965" t="s">
        <v>18483</v>
      </c>
      <c r="B15965" t="s">
        <v>18484</v>
      </c>
      <c r="C15965">
        <f>0.000188883772945</f>
        <v>1.8888377294500001E-4</v>
      </c>
      <c r="D15965" t="s">
        <v>106</v>
      </c>
      <c r="E15965">
        <v>24</v>
      </c>
    </row>
    <row r="15966" spans="1:5">
      <c r="A15966" t="s">
        <v>18483</v>
      </c>
      <c r="B15966" t="s">
        <v>18485</v>
      </c>
      <c r="C15966">
        <v>0</v>
      </c>
      <c r="D15966" t="s">
        <v>106</v>
      </c>
      <c r="E15966">
        <v>24</v>
      </c>
    </row>
    <row r="15967" spans="1:5">
      <c r="A15967" t="s">
        <v>18483</v>
      </c>
      <c r="B15967" t="s">
        <v>18486</v>
      </c>
      <c r="C15967">
        <v>0</v>
      </c>
      <c r="D15967" t="s">
        <v>106</v>
      </c>
      <c r="E15967">
        <v>24</v>
      </c>
    </row>
    <row r="15968" spans="1:5">
      <c r="A15968" t="s">
        <v>18483</v>
      </c>
      <c r="B15968" t="s">
        <v>18487</v>
      </c>
      <c r="C15968">
        <f>0</f>
        <v>0</v>
      </c>
      <c r="D15968" t="s">
        <v>106</v>
      </c>
      <c r="E15968">
        <v>24</v>
      </c>
    </row>
    <row r="15969" spans="1:5">
      <c r="A15969" t="s">
        <v>18483</v>
      </c>
      <c r="B15969" t="s">
        <v>18488</v>
      </c>
      <c r="C15969">
        <v>7.7248274951199998E-3</v>
      </c>
      <c r="D15969" t="s">
        <v>106</v>
      </c>
      <c r="E15969">
        <v>24</v>
      </c>
    </row>
    <row r="15970" spans="1:5">
      <c r="A15970" t="s">
        <v>18483</v>
      </c>
      <c r="B15970" t="s">
        <v>18489</v>
      </c>
      <c r="C15970">
        <f>0</f>
        <v>0</v>
      </c>
      <c r="D15970" t="s">
        <v>106</v>
      </c>
      <c r="E15970">
        <v>24</v>
      </c>
    </row>
    <row r="15971" spans="1:5">
      <c r="A15971" t="s">
        <v>18483</v>
      </c>
      <c r="B15971" t="s">
        <v>18490</v>
      </c>
      <c r="C15971">
        <v>0</v>
      </c>
      <c r="D15971" t="s">
        <v>106</v>
      </c>
      <c r="E15971">
        <v>24</v>
      </c>
    </row>
    <row r="15972" spans="1:5">
      <c r="A15972" t="s">
        <v>18483</v>
      </c>
      <c r="B15972" t="s">
        <v>18491</v>
      </c>
      <c r="C15972">
        <f>0</f>
        <v>0</v>
      </c>
      <c r="D15972" t="s">
        <v>106</v>
      </c>
      <c r="E15972">
        <v>24</v>
      </c>
    </row>
    <row r="15973" spans="1:5">
      <c r="A15973" t="s">
        <v>18483</v>
      </c>
      <c r="B15973" t="s">
        <v>18492</v>
      </c>
      <c r="C15973">
        <f>0</f>
        <v>0</v>
      </c>
      <c r="D15973" t="s">
        <v>106</v>
      </c>
      <c r="E15973">
        <v>24</v>
      </c>
    </row>
    <row r="15974" spans="1:5">
      <c r="A15974" t="s">
        <v>18493</v>
      </c>
      <c r="B15974" t="s">
        <v>18494</v>
      </c>
      <c r="C15974">
        <v>0</v>
      </c>
      <c r="D15974" t="s">
        <v>106</v>
      </c>
      <c r="E15974">
        <v>23.040479760119901</v>
      </c>
    </row>
    <row r="15975" spans="1:5">
      <c r="A15975" t="s">
        <v>18493</v>
      </c>
      <c r="B15975" t="s">
        <v>18495</v>
      </c>
      <c r="C15975">
        <v>0</v>
      </c>
      <c r="D15975" t="s">
        <v>106</v>
      </c>
      <c r="E15975">
        <v>23.040479760119901</v>
      </c>
    </row>
    <row r="15976" spans="1:5">
      <c r="A15976" t="s">
        <v>18496</v>
      </c>
      <c r="B15976" t="s">
        <v>18497</v>
      </c>
      <c r="C15976">
        <f>0</f>
        <v>0</v>
      </c>
      <c r="D15976">
        <v>0.73955240782499998</v>
      </c>
      <c r="E15976">
        <v>5.69715142428785</v>
      </c>
    </row>
    <row r="15977" spans="1:5">
      <c r="A15977" t="s">
        <v>18496</v>
      </c>
      <c r="B15977" t="s">
        <v>18498</v>
      </c>
      <c r="C15977">
        <v>0</v>
      </c>
      <c r="D15977">
        <v>0.73955240782499998</v>
      </c>
      <c r="E15977">
        <v>5.69715142428785</v>
      </c>
    </row>
    <row r="15978" spans="1:5">
      <c r="A15978" t="s">
        <v>18496</v>
      </c>
      <c r="B15978" t="s">
        <v>18499</v>
      </c>
      <c r="C15978">
        <f>0</f>
        <v>0</v>
      </c>
      <c r="D15978">
        <v>0.73955240782499998</v>
      </c>
      <c r="E15978">
        <v>5.69715142428785</v>
      </c>
    </row>
    <row r="15979" spans="1:5">
      <c r="A15979" t="s">
        <v>18496</v>
      </c>
      <c r="B15979" t="s">
        <v>18500</v>
      </c>
      <c r="C15979">
        <f>0.191229020785</f>
        <v>0.19122902078500001</v>
      </c>
      <c r="D15979">
        <v>0.73955240782499998</v>
      </c>
      <c r="E15979">
        <v>5.69715142428785</v>
      </c>
    </row>
    <row r="15980" spans="1:5">
      <c r="A15980" t="s">
        <v>18496</v>
      </c>
      <c r="B15980" t="s">
        <v>18501</v>
      </c>
      <c r="C15980">
        <f>0</f>
        <v>0</v>
      </c>
      <c r="D15980">
        <v>0.73955240782499998</v>
      </c>
      <c r="E15980">
        <v>5.69715142428785</v>
      </c>
    </row>
    <row r="15981" spans="1:5">
      <c r="A15981" t="s">
        <v>18496</v>
      </c>
      <c r="B15981" t="s">
        <v>18502</v>
      </c>
      <c r="C15981">
        <f>0</f>
        <v>0</v>
      </c>
      <c r="D15981">
        <v>0.73955240782499998</v>
      </c>
      <c r="E15981">
        <v>5.69715142428785</v>
      </c>
    </row>
    <row r="15982" spans="1:5">
      <c r="A15982" t="s">
        <v>18496</v>
      </c>
      <c r="B15982" t="s">
        <v>18503</v>
      </c>
      <c r="C15982">
        <f>0</f>
        <v>0</v>
      </c>
      <c r="D15982">
        <v>0.73955240782499998</v>
      </c>
      <c r="E15982">
        <v>5.69715142428785</v>
      </c>
    </row>
    <row r="15983" spans="1:5">
      <c r="A15983" t="s">
        <v>18504</v>
      </c>
      <c r="B15983" t="s">
        <v>18505</v>
      </c>
      <c r="C15983">
        <f>0.0481644984083</f>
        <v>4.8164498408299998E-2</v>
      </c>
      <c r="D15983">
        <v>0.99736703277899996</v>
      </c>
      <c r="E15983">
        <v>3.8740629685157399</v>
      </c>
    </row>
    <row r="15984" spans="1:5">
      <c r="A15984" t="s">
        <v>18504</v>
      </c>
      <c r="B15984" t="s">
        <v>18506</v>
      </c>
      <c r="C15984">
        <v>0.41026513871999998</v>
      </c>
      <c r="D15984">
        <v>0.99736703277899996</v>
      </c>
      <c r="E15984">
        <v>3.8740629685157399</v>
      </c>
    </row>
    <row r="15985" spans="1:5">
      <c r="A15985" t="s">
        <v>18507</v>
      </c>
      <c r="B15985" t="s">
        <v>18508</v>
      </c>
      <c r="C15985">
        <v>4.09241211068E-2</v>
      </c>
      <c r="D15985">
        <v>0.93662307850000004</v>
      </c>
      <c r="E15985">
        <v>7.1964017991004496</v>
      </c>
    </row>
    <row r="15986" spans="1:5">
      <c r="A15986" t="s">
        <v>18507</v>
      </c>
      <c r="B15986" t="s">
        <v>18509</v>
      </c>
      <c r="C15986">
        <v>0</v>
      </c>
      <c r="D15986">
        <v>0.93662307850000004</v>
      </c>
      <c r="E15986">
        <v>7.1964017991004496</v>
      </c>
    </row>
    <row r="15987" spans="1:5">
      <c r="A15987" t="s">
        <v>18507</v>
      </c>
      <c r="B15987" t="s">
        <v>18510</v>
      </c>
      <c r="C15987">
        <v>0</v>
      </c>
      <c r="D15987">
        <v>0.93662307850000004</v>
      </c>
      <c r="E15987">
        <v>7.1964017991004496</v>
      </c>
    </row>
    <row r="15988" spans="1:5">
      <c r="A15988" t="s">
        <v>18507</v>
      </c>
      <c r="B15988" t="s">
        <v>18511</v>
      </c>
      <c r="C15988">
        <f>0</f>
        <v>0</v>
      </c>
      <c r="D15988">
        <v>0.93662307850000004</v>
      </c>
      <c r="E15988">
        <v>7.1964017991004496</v>
      </c>
    </row>
    <row r="15989" spans="1:5">
      <c r="A15989" t="s">
        <v>18507</v>
      </c>
      <c r="B15989" t="s">
        <v>18512</v>
      </c>
      <c r="C15989">
        <v>0</v>
      </c>
      <c r="D15989">
        <v>0.93662307850000004</v>
      </c>
      <c r="E15989">
        <v>7.1964017991004496</v>
      </c>
    </row>
    <row r="15990" spans="1:5">
      <c r="A15990" t="s">
        <v>18513</v>
      </c>
      <c r="B15990" t="s">
        <v>18514</v>
      </c>
      <c r="C15990">
        <f>0</f>
        <v>0</v>
      </c>
      <c r="D15990" t="s">
        <v>106</v>
      </c>
      <c r="E15990">
        <v>5.5772113943028403</v>
      </c>
    </row>
    <row r="15991" spans="1:5">
      <c r="A15991" t="s">
        <v>18513</v>
      </c>
      <c r="B15991" t="s">
        <v>18515</v>
      </c>
      <c r="C15991">
        <v>0</v>
      </c>
      <c r="D15991" t="s">
        <v>106</v>
      </c>
      <c r="E15991">
        <v>5.5772113943028403</v>
      </c>
    </row>
    <row r="15992" spans="1:5">
      <c r="A15992" t="s">
        <v>18513</v>
      </c>
      <c r="B15992" t="s">
        <v>18516</v>
      </c>
      <c r="C15992">
        <v>0</v>
      </c>
      <c r="D15992" t="s">
        <v>106</v>
      </c>
      <c r="E15992">
        <v>5.5772113943028403</v>
      </c>
    </row>
    <row r="15993" spans="1:5">
      <c r="A15993" t="s">
        <v>18513</v>
      </c>
      <c r="B15993" t="s">
        <v>18517</v>
      </c>
      <c r="C15993">
        <f>0</f>
        <v>0</v>
      </c>
      <c r="D15993" t="s">
        <v>106</v>
      </c>
      <c r="E15993">
        <v>5.5772113943028403</v>
      </c>
    </row>
    <row r="15994" spans="1:5">
      <c r="A15994" t="s">
        <v>18518</v>
      </c>
      <c r="B15994" t="s">
        <v>18519</v>
      </c>
      <c r="C15994">
        <v>0</v>
      </c>
      <c r="D15994">
        <v>0.996031865169</v>
      </c>
      <c r="E15994">
        <v>14.176911544227799</v>
      </c>
    </row>
    <row r="15995" spans="1:5">
      <c r="A15995" t="s">
        <v>18518</v>
      </c>
      <c r="B15995" t="s">
        <v>18520</v>
      </c>
      <c r="C15995">
        <f>0</f>
        <v>0</v>
      </c>
      <c r="D15995">
        <v>0.996031865169</v>
      </c>
      <c r="E15995">
        <v>14.176911544227799</v>
      </c>
    </row>
    <row r="15996" spans="1:5">
      <c r="A15996" t="s">
        <v>18518</v>
      </c>
      <c r="B15996" t="s">
        <v>18521</v>
      </c>
      <c r="C15996">
        <v>0.157262570441</v>
      </c>
      <c r="D15996">
        <v>0.996031865169</v>
      </c>
      <c r="E15996">
        <v>14.176911544227799</v>
      </c>
    </row>
    <row r="15997" spans="1:5">
      <c r="A15997" t="s">
        <v>18518</v>
      </c>
      <c r="B15997" t="s">
        <v>18522</v>
      </c>
      <c r="C15997">
        <f>0</f>
        <v>0</v>
      </c>
      <c r="D15997">
        <v>0.996031865169</v>
      </c>
      <c r="E15997">
        <v>14.176911544227799</v>
      </c>
    </row>
    <row r="15998" spans="1:5">
      <c r="A15998" t="s">
        <v>18518</v>
      </c>
      <c r="B15998" t="s">
        <v>18523</v>
      </c>
      <c r="C15998">
        <f>0.1280953954</f>
        <v>0.12809539540000001</v>
      </c>
      <c r="D15998">
        <v>0.996031865169</v>
      </c>
      <c r="E15998">
        <v>14.176911544227799</v>
      </c>
    </row>
    <row r="15999" spans="1:5">
      <c r="A15999" t="s">
        <v>18524</v>
      </c>
      <c r="B15999" t="s">
        <v>18525</v>
      </c>
      <c r="C15999">
        <v>0.185320989992</v>
      </c>
      <c r="D15999" t="s">
        <v>106</v>
      </c>
      <c r="E15999">
        <v>24</v>
      </c>
    </row>
    <row r="16000" spans="1:5">
      <c r="A16000" t="s">
        <v>18524</v>
      </c>
      <c r="B16000" t="s">
        <v>18526</v>
      </c>
      <c r="C16000">
        <v>0</v>
      </c>
      <c r="D16000" t="s">
        <v>106</v>
      </c>
      <c r="E16000">
        <v>24</v>
      </c>
    </row>
    <row r="16001" spans="1:5">
      <c r="A16001" t="s">
        <v>18524</v>
      </c>
      <c r="B16001" t="s">
        <v>18527</v>
      </c>
      <c r="C16001">
        <v>0</v>
      </c>
      <c r="D16001" t="s">
        <v>106</v>
      </c>
      <c r="E16001">
        <v>24</v>
      </c>
    </row>
    <row r="16002" spans="1:5">
      <c r="A16002" t="s">
        <v>18524</v>
      </c>
      <c r="B16002" t="s">
        <v>18528</v>
      </c>
      <c r="C16002">
        <v>0</v>
      </c>
      <c r="D16002" t="s">
        <v>106</v>
      </c>
      <c r="E16002">
        <v>24</v>
      </c>
    </row>
    <row r="16003" spans="1:5">
      <c r="A16003" t="s">
        <v>18524</v>
      </c>
      <c r="B16003" t="s">
        <v>18529</v>
      </c>
      <c r="C16003">
        <f>0</f>
        <v>0</v>
      </c>
      <c r="D16003" t="s">
        <v>106</v>
      </c>
      <c r="E16003">
        <v>24</v>
      </c>
    </row>
    <row r="16004" spans="1:5">
      <c r="A16004" t="s">
        <v>18530</v>
      </c>
      <c r="B16004" t="s">
        <v>18531</v>
      </c>
      <c r="C16004">
        <f>0</f>
        <v>0</v>
      </c>
      <c r="D16004" t="s">
        <v>106</v>
      </c>
      <c r="E16004">
        <v>22.104947526236799</v>
      </c>
    </row>
    <row r="16005" spans="1:5">
      <c r="A16005" t="s">
        <v>18530</v>
      </c>
      <c r="B16005" t="s">
        <v>18532</v>
      </c>
      <c r="C16005">
        <f>0</f>
        <v>0</v>
      </c>
      <c r="D16005" t="s">
        <v>106</v>
      </c>
      <c r="E16005">
        <v>22.104947526236799</v>
      </c>
    </row>
    <row r="16006" spans="1:5">
      <c r="A16006" t="s">
        <v>18530</v>
      </c>
      <c r="B16006" t="s">
        <v>18533</v>
      </c>
      <c r="C16006">
        <f>0</f>
        <v>0</v>
      </c>
      <c r="D16006" t="s">
        <v>106</v>
      </c>
      <c r="E16006">
        <v>22.104947526236799</v>
      </c>
    </row>
    <row r="16007" spans="1:5">
      <c r="A16007" t="s">
        <v>18534</v>
      </c>
      <c r="B16007" t="s">
        <v>18535</v>
      </c>
      <c r="C16007">
        <v>0</v>
      </c>
      <c r="D16007">
        <v>0.85098780947599995</v>
      </c>
      <c r="E16007">
        <v>20.065967016491701</v>
      </c>
    </row>
    <row r="16008" spans="1:5">
      <c r="A16008" t="s">
        <v>18534</v>
      </c>
      <c r="B16008" t="s">
        <v>18536</v>
      </c>
      <c r="C16008">
        <v>7.2628167375300007E-2</v>
      </c>
      <c r="D16008">
        <v>0.85098780947599995</v>
      </c>
      <c r="E16008">
        <v>20.065967016491701</v>
      </c>
    </row>
    <row r="16009" spans="1:5">
      <c r="A16009" t="s">
        <v>18534</v>
      </c>
      <c r="B16009" t="s">
        <v>18537</v>
      </c>
      <c r="C16009">
        <v>4.1950528137400002E-2</v>
      </c>
      <c r="D16009">
        <v>0.85098780947599995</v>
      </c>
      <c r="E16009">
        <v>20.065967016491701</v>
      </c>
    </row>
    <row r="16010" spans="1:5">
      <c r="A16010" t="s">
        <v>18534</v>
      </c>
      <c r="B16010" t="s">
        <v>18538</v>
      </c>
      <c r="C16010">
        <v>0</v>
      </c>
      <c r="D16010">
        <v>0.85098780947599995</v>
      </c>
      <c r="E16010">
        <v>20.065967016491701</v>
      </c>
    </row>
    <row r="16011" spans="1:5">
      <c r="A16011" t="s">
        <v>18539</v>
      </c>
      <c r="B16011" t="s">
        <v>18540</v>
      </c>
      <c r="C16011">
        <v>0</v>
      </c>
      <c r="D16011">
        <v>0.88789836883899997</v>
      </c>
      <c r="E16011">
        <v>24</v>
      </c>
    </row>
    <row r="16012" spans="1:5">
      <c r="A16012" t="s">
        <v>18539</v>
      </c>
      <c r="B16012" t="s">
        <v>18541</v>
      </c>
      <c r="C16012">
        <f>0.141632080497</f>
        <v>0.14163208049699999</v>
      </c>
      <c r="D16012">
        <v>0.88789836883899997</v>
      </c>
      <c r="E16012">
        <v>24</v>
      </c>
    </row>
    <row r="16013" spans="1:5">
      <c r="A16013" t="s">
        <v>18539</v>
      </c>
      <c r="B16013" t="s">
        <v>18542</v>
      </c>
      <c r="C16013">
        <f>0</f>
        <v>0</v>
      </c>
      <c r="D16013">
        <v>0.88789836883899997</v>
      </c>
      <c r="E16013">
        <v>24</v>
      </c>
    </row>
    <row r="16014" spans="1:5">
      <c r="A16014" t="s">
        <v>18543</v>
      </c>
      <c r="B16014" t="s">
        <v>18544</v>
      </c>
      <c r="C16014">
        <f>0</f>
        <v>0</v>
      </c>
      <c r="D16014">
        <v>0.85741452082500003</v>
      </c>
      <c r="E16014">
        <v>2.39880059970015</v>
      </c>
    </row>
    <row r="16015" spans="1:5">
      <c r="A16015" t="s">
        <v>18543</v>
      </c>
      <c r="B16015" t="s">
        <v>18545</v>
      </c>
      <c r="C16015">
        <f>0.0703025769713</f>
        <v>7.0302576971300004E-2</v>
      </c>
      <c r="D16015">
        <v>0.85741452082500003</v>
      </c>
      <c r="E16015">
        <v>2.39880059970015</v>
      </c>
    </row>
    <row r="16016" spans="1:5">
      <c r="A16016" t="s">
        <v>18543</v>
      </c>
      <c r="B16016" t="s">
        <v>18546</v>
      </c>
      <c r="C16016">
        <f>0</f>
        <v>0</v>
      </c>
      <c r="D16016">
        <v>0.85741452082500003</v>
      </c>
      <c r="E16016">
        <v>2.39880059970015</v>
      </c>
    </row>
    <row r="16017" spans="1:5">
      <c r="A16017" t="s">
        <v>18543</v>
      </c>
      <c r="B16017" t="s">
        <v>18547</v>
      </c>
      <c r="C16017">
        <v>0</v>
      </c>
      <c r="D16017">
        <v>0.85741452082500003</v>
      </c>
      <c r="E16017">
        <v>2.39880059970015</v>
      </c>
    </row>
    <row r="16018" spans="1:5">
      <c r="A16018" t="s">
        <v>18543</v>
      </c>
      <c r="B16018" t="s">
        <v>18548</v>
      </c>
      <c r="C16018">
        <f>0</f>
        <v>0</v>
      </c>
      <c r="D16018">
        <v>0.85741452082500003</v>
      </c>
      <c r="E16018">
        <v>2.39880059970015</v>
      </c>
    </row>
    <row r="16019" spans="1:5">
      <c r="A16019" t="s">
        <v>18543</v>
      </c>
      <c r="B16019" t="s">
        <v>18549</v>
      </c>
      <c r="C16019">
        <f>0</f>
        <v>0</v>
      </c>
      <c r="D16019">
        <v>0.85741452082500003</v>
      </c>
      <c r="E16019">
        <v>2.39880059970015</v>
      </c>
    </row>
    <row r="16020" spans="1:5">
      <c r="A16020" t="s">
        <v>18543</v>
      </c>
      <c r="B16020" t="s">
        <v>18550</v>
      </c>
      <c r="C16020">
        <f>0</f>
        <v>0</v>
      </c>
      <c r="D16020">
        <v>0.85741452082500003</v>
      </c>
      <c r="E16020">
        <v>2.39880059970015</v>
      </c>
    </row>
    <row r="16021" spans="1:5">
      <c r="A16021" t="s">
        <v>18543</v>
      </c>
      <c r="B16021" t="s">
        <v>18551</v>
      </c>
      <c r="C16021">
        <f>0</f>
        <v>0</v>
      </c>
      <c r="D16021">
        <v>0.85741452082500003</v>
      </c>
      <c r="E16021">
        <v>2.39880059970015</v>
      </c>
    </row>
    <row r="16022" spans="1:5">
      <c r="A16022" t="s">
        <v>18552</v>
      </c>
      <c r="B16022" t="s">
        <v>18553</v>
      </c>
      <c r="C16022">
        <v>0</v>
      </c>
      <c r="D16022">
        <v>0.948553798033</v>
      </c>
      <c r="E16022">
        <v>10.710644677661101</v>
      </c>
    </row>
    <row r="16023" spans="1:5">
      <c r="A16023" t="s">
        <v>18552</v>
      </c>
      <c r="B16023" t="s">
        <v>18554</v>
      </c>
      <c r="C16023">
        <f>0</f>
        <v>0</v>
      </c>
      <c r="D16023">
        <v>0.948553798033</v>
      </c>
      <c r="E16023">
        <v>10.710644677661101</v>
      </c>
    </row>
    <row r="16024" spans="1:5">
      <c r="A16024" t="s">
        <v>18552</v>
      </c>
      <c r="B16024" t="s">
        <v>18555</v>
      </c>
      <c r="C16024">
        <v>0</v>
      </c>
      <c r="D16024">
        <v>0.948553798033</v>
      </c>
      <c r="E16024">
        <v>10.710644677661101</v>
      </c>
    </row>
    <row r="16025" spans="1:5">
      <c r="A16025" t="s">
        <v>18552</v>
      </c>
      <c r="B16025" t="s">
        <v>18556</v>
      </c>
      <c r="C16025">
        <v>0.33433984730900002</v>
      </c>
      <c r="D16025">
        <v>0.948553798033</v>
      </c>
      <c r="E16025">
        <v>10.710644677661101</v>
      </c>
    </row>
    <row r="16026" spans="1:5">
      <c r="A16026" t="s">
        <v>18557</v>
      </c>
      <c r="B16026" t="s">
        <v>18558</v>
      </c>
      <c r="C16026">
        <v>0.34265831183000001</v>
      </c>
      <c r="D16026" t="s">
        <v>106</v>
      </c>
      <c r="E16026">
        <v>6.0569715142428704</v>
      </c>
    </row>
    <row r="16027" spans="1:5">
      <c r="A16027" t="s">
        <v>18557</v>
      </c>
      <c r="B16027" t="s">
        <v>18559</v>
      </c>
      <c r="C16027">
        <v>0.23262673219300001</v>
      </c>
      <c r="D16027" t="s">
        <v>106</v>
      </c>
      <c r="E16027">
        <v>6.0569715142428704</v>
      </c>
    </row>
    <row r="16028" spans="1:5">
      <c r="A16028" t="s">
        <v>18560</v>
      </c>
      <c r="B16028" t="s">
        <v>18561</v>
      </c>
      <c r="C16028">
        <v>0</v>
      </c>
      <c r="D16028" t="s">
        <v>106</v>
      </c>
      <c r="E16028">
        <v>4.1739130434782599</v>
      </c>
    </row>
    <row r="16029" spans="1:5">
      <c r="A16029" t="s">
        <v>18560</v>
      </c>
      <c r="B16029" t="s">
        <v>18562</v>
      </c>
      <c r="C16029">
        <v>0</v>
      </c>
      <c r="D16029" t="s">
        <v>106</v>
      </c>
      <c r="E16029">
        <v>4.1739130434782599</v>
      </c>
    </row>
    <row r="16030" spans="1:5">
      <c r="A16030" t="s">
        <v>18560</v>
      </c>
      <c r="B16030" t="s">
        <v>18563</v>
      </c>
      <c r="C16030">
        <f>0</f>
        <v>0</v>
      </c>
      <c r="D16030" t="s">
        <v>106</v>
      </c>
      <c r="E16030">
        <v>4.1739130434782599</v>
      </c>
    </row>
    <row r="16031" spans="1:5">
      <c r="A16031" t="s">
        <v>18560</v>
      </c>
      <c r="B16031" t="s">
        <v>18564</v>
      </c>
      <c r="C16031">
        <f>0</f>
        <v>0</v>
      </c>
      <c r="D16031" t="s">
        <v>106</v>
      </c>
      <c r="E16031">
        <v>4.1739130434782599</v>
      </c>
    </row>
    <row r="16032" spans="1:5">
      <c r="A16032" t="s">
        <v>18560</v>
      </c>
      <c r="B16032" t="s">
        <v>18565</v>
      </c>
      <c r="C16032">
        <f>0</f>
        <v>0</v>
      </c>
      <c r="D16032" t="s">
        <v>106</v>
      </c>
      <c r="E16032">
        <v>4.1739130434782599</v>
      </c>
    </row>
    <row r="16033" spans="1:5">
      <c r="A16033" t="s">
        <v>18560</v>
      </c>
      <c r="B16033" t="s">
        <v>18566</v>
      </c>
      <c r="C16033">
        <v>0</v>
      </c>
      <c r="D16033" t="s">
        <v>106</v>
      </c>
      <c r="E16033">
        <v>4.1739130434782599</v>
      </c>
    </row>
    <row r="16034" spans="1:5">
      <c r="A16034" t="s">
        <v>18567</v>
      </c>
      <c r="B16034" t="s">
        <v>18568</v>
      </c>
      <c r="C16034">
        <v>0</v>
      </c>
      <c r="D16034">
        <v>0.88423349171900001</v>
      </c>
      <c r="E16034">
        <v>4.9055472263868003</v>
      </c>
    </row>
    <row r="16035" spans="1:5">
      <c r="A16035" t="s">
        <v>18567</v>
      </c>
      <c r="B16035" t="s">
        <v>18569</v>
      </c>
      <c r="C16035">
        <v>0.24480964254199999</v>
      </c>
      <c r="D16035">
        <v>0.88423349171900001</v>
      </c>
      <c r="E16035">
        <v>4.9055472263868003</v>
      </c>
    </row>
    <row r="16036" spans="1:5">
      <c r="A16036" t="s">
        <v>18567</v>
      </c>
      <c r="B16036" t="s">
        <v>18570</v>
      </c>
      <c r="C16036">
        <v>0.46125412728699999</v>
      </c>
      <c r="D16036">
        <v>0.88423349171900001</v>
      </c>
      <c r="E16036">
        <v>4.9055472263868003</v>
      </c>
    </row>
    <row r="16037" spans="1:5">
      <c r="A16037" t="s">
        <v>18567</v>
      </c>
      <c r="B16037" t="s">
        <v>18571</v>
      </c>
      <c r="C16037">
        <f>0</f>
        <v>0</v>
      </c>
      <c r="D16037">
        <v>0.88423349171900001</v>
      </c>
      <c r="E16037">
        <v>4.9055472263868003</v>
      </c>
    </row>
    <row r="16038" spans="1:5">
      <c r="A16038" t="s">
        <v>18567</v>
      </c>
      <c r="B16038" t="s">
        <v>18572</v>
      </c>
      <c r="C16038">
        <v>0</v>
      </c>
      <c r="D16038">
        <v>0.88423349171900001</v>
      </c>
      <c r="E16038">
        <v>4.9055472263868003</v>
      </c>
    </row>
    <row r="16039" spans="1:5">
      <c r="A16039" t="s">
        <v>18567</v>
      </c>
      <c r="B16039" t="s">
        <v>18573</v>
      </c>
      <c r="C16039">
        <v>0</v>
      </c>
      <c r="D16039">
        <v>0.88423349171900001</v>
      </c>
      <c r="E16039">
        <v>4.9055472263868003</v>
      </c>
    </row>
    <row r="16040" spans="1:5">
      <c r="A16040" t="s">
        <v>18567</v>
      </c>
      <c r="B16040" t="s">
        <v>18574</v>
      </c>
      <c r="C16040">
        <v>0</v>
      </c>
      <c r="D16040">
        <v>0.88423349171900001</v>
      </c>
      <c r="E16040">
        <v>4.9055472263868003</v>
      </c>
    </row>
    <row r="16041" spans="1:5">
      <c r="A16041" t="s">
        <v>18567</v>
      </c>
      <c r="B16041" t="s">
        <v>18575</v>
      </c>
      <c r="C16041">
        <v>0</v>
      </c>
      <c r="D16041">
        <v>0.88423349171900001</v>
      </c>
      <c r="E16041">
        <v>4.9055472263868003</v>
      </c>
    </row>
    <row r="16042" spans="1:5">
      <c r="A16042" t="s">
        <v>18567</v>
      </c>
      <c r="B16042" t="s">
        <v>18576</v>
      </c>
      <c r="C16042">
        <v>0</v>
      </c>
      <c r="D16042">
        <v>0.88423349171900001</v>
      </c>
      <c r="E16042">
        <v>4.9055472263868003</v>
      </c>
    </row>
    <row r="16043" spans="1:5">
      <c r="A16043" t="s">
        <v>18567</v>
      </c>
      <c r="B16043" t="s">
        <v>18577</v>
      </c>
      <c r="C16043">
        <v>0</v>
      </c>
      <c r="D16043">
        <v>0.88423349171900001</v>
      </c>
      <c r="E16043">
        <v>4.9055472263868003</v>
      </c>
    </row>
    <row r="16044" spans="1:5">
      <c r="A16044" t="s">
        <v>18567</v>
      </c>
      <c r="B16044" t="s">
        <v>18578</v>
      </c>
      <c r="C16044">
        <v>0</v>
      </c>
      <c r="D16044">
        <v>0.88423349171900001</v>
      </c>
      <c r="E16044">
        <v>4.9055472263868003</v>
      </c>
    </row>
    <row r="16045" spans="1:5">
      <c r="A16045" t="s">
        <v>18567</v>
      </c>
      <c r="B16045" t="s">
        <v>18579</v>
      </c>
      <c r="C16045">
        <v>0</v>
      </c>
      <c r="D16045">
        <v>0.88423349171900001</v>
      </c>
      <c r="E16045">
        <v>4.9055472263868003</v>
      </c>
    </row>
    <row r="16046" spans="1:5">
      <c r="A16046" t="s">
        <v>18567</v>
      </c>
      <c r="B16046" t="s">
        <v>18580</v>
      </c>
      <c r="C16046">
        <v>0</v>
      </c>
      <c r="D16046">
        <v>0.88423349171900001</v>
      </c>
      <c r="E16046">
        <v>4.9055472263868003</v>
      </c>
    </row>
    <row r="16047" spans="1:5">
      <c r="A16047" t="s">
        <v>18567</v>
      </c>
      <c r="B16047" t="s">
        <v>18581</v>
      </c>
      <c r="C16047">
        <v>0</v>
      </c>
      <c r="D16047">
        <v>0.88423349171900001</v>
      </c>
      <c r="E16047">
        <v>4.9055472263868003</v>
      </c>
    </row>
    <row r="16048" spans="1:5">
      <c r="A16048" t="s">
        <v>18567</v>
      </c>
      <c r="B16048" t="s">
        <v>18582</v>
      </c>
      <c r="C16048">
        <v>0</v>
      </c>
      <c r="D16048">
        <v>0.88423349171900001</v>
      </c>
      <c r="E16048">
        <v>4.9055472263868003</v>
      </c>
    </row>
    <row r="16049" spans="1:5">
      <c r="A16049" t="s">
        <v>18567</v>
      </c>
      <c r="B16049" t="s">
        <v>18583</v>
      </c>
      <c r="C16049">
        <v>0</v>
      </c>
      <c r="D16049">
        <v>0.88423349171900001</v>
      </c>
      <c r="E16049">
        <v>4.9055472263868003</v>
      </c>
    </row>
    <row r="16050" spans="1:5">
      <c r="A16050" t="s">
        <v>18567</v>
      </c>
      <c r="B16050" t="s">
        <v>18584</v>
      </c>
      <c r="C16050">
        <v>0</v>
      </c>
      <c r="D16050">
        <v>0.88423349171900001</v>
      </c>
      <c r="E16050">
        <v>4.9055472263868003</v>
      </c>
    </row>
    <row r="16051" spans="1:5">
      <c r="A16051" t="s">
        <v>18567</v>
      </c>
      <c r="B16051" t="s">
        <v>18585</v>
      </c>
      <c r="C16051">
        <v>0</v>
      </c>
      <c r="D16051">
        <v>0.88423349171900001</v>
      </c>
      <c r="E16051">
        <v>4.9055472263868003</v>
      </c>
    </row>
    <row r="16052" spans="1:5">
      <c r="A16052" t="s">
        <v>18567</v>
      </c>
      <c r="B16052" t="s">
        <v>18586</v>
      </c>
      <c r="C16052">
        <v>0</v>
      </c>
      <c r="D16052">
        <v>0.88423349171900001</v>
      </c>
      <c r="E16052">
        <v>4.9055472263868003</v>
      </c>
    </row>
    <row r="16053" spans="1:5">
      <c r="A16053" t="s">
        <v>18567</v>
      </c>
      <c r="B16053" t="s">
        <v>18587</v>
      </c>
      <c r="C16053">
        <v>0</v>
      </c>
      <c r="D16053">
        <v>0.88423349171900001</v>
      </c>
      <c r="E16053">
        <v>4.9055472263868003</v>
      </c>
    </row>
    <row r="16054" spans="1:5">
      <c r="A16054" t="s">
        <v>18567</v>
      </c>
      <c r="B16054" t="s">
        <v>18588</v>
      </c>
      <c r="C16054">
        <v>0</v>
      </c>
      <c r="D16054">
        <v>0.88423349171900001</v>
      </c>
      <c r="E16054">
        <v>4.9055472263868003</v>
      </c>
    </row>
    <row r="16055" spans="1:5">
      <c r="A16055" t="s">
        <v>18567</v>
      </c>
      <c r="B16055" t="s">
        <v>18589</v>
      </c>
      <c r="C16055">
        <v>0</v>
      </c>
      <c r="D16055">
        <v>0.88423349171900001</v>
      </c>
      <c r="E16055">
        <v>4.9055472263868003</v>
      </c>
    </row>
    <row r="16056" spans="1:5">
      <c r="A16056" t="s">
        <v>18567</v>
      </c>
      <c r="B16056" t="s">
        <v>18590</v>
      </c>
      <c r="C16056">
        <v>0</v>
      </c>
      <c r="D16056">
        <v>0.88423349171900001</v>
      </c>
      <c r="E16056">
        <v>4.9055472263868003</v>
      </c>
    </row>
    <row r="16057" spans="1:5">
      <c r="A16057" t="s">
        <v>18591</v>
      </c>
      <c r="B16057" t="s">
        <v>18592</v>
      </c>
      <c r="C16057">
        <v>6.6150967401199995E-2</v>
      </c>
      <c r="D16057">
        <v>0.926434677027</v>
      </c>
      <c r="E16057">
        <v>16.695652173913</v>
      </c>
    </row>
    <row r="16058" spans="1:5">
      <c r="A16058" t="s">
        <v>18591</v>
      </c>
      <c r="B16058" t="s">
        <v>18593</v>
      </c>
      <c r="C16058">
        <v>5.8356004341100004E-3</v>
      </c>
      <c r="D16058">
        <v>0.926434677027</v>
      </c>
      <c r="E16058">
        <v>16.695652173913</v>
      </c>
    </row>
    <row r="16059" spans="1:5">
      <c r="A16059" t="s">
        <v>18594</v>
      </c>
      <c r="B16059" t="s">
        <v>18595</v>
      </c>
      <c r="C16059">
        <v>0.42488248919499999</v>
      </c>
      <c r="D16059">
        <v>0.96647160724000003</v>
      </c>
      <c r="E16059">
        <v>4.4737631184407798</v>
      </c>
    </row>
    <row r="16060" spans="1:5">
      <c r="A16060" t="s">
        <v>18596</v>
      </c>
      <c r="B16060" t="s">
        <v>18597</v>
      </c>
      <c r="C16060">
        <v>0.92319425000300004</v>
      </c>
      <c r="D16060" t="s">
        <v>106</v>
      </c>
      <c r="E16060">
        <v>7.0644677661169402</v>
      </c>
    </row>
    <row r="16061" spans="1:5">
      <c r="A16061" t="s">
        <v>18596</v>
      </c>
      <c r="B16061" t="s">
        <v>18598</v>
      </c>
      <c r="C16061">
        <v>0</v>
      </c>
      <c r="D16061" t="s">
        <v>106</v>
      </c>
      <c r="E16061">
        <v>7.0644677661169402</v>
      </c>
    </row>
    <row r="16062" spans="1:5">
      <c r="A16062" t="s">
        <v>18599</v>
      </c>
      <c r="B16062" t="s">
        <v>18600</v>
      </c>
      <c r="C16062">
        <v>0</v>
      </c>
      <c r="D16062">
        <v>0.76158641847499997</v>
      </c>
      <c r="E16062">
        <v>24</v>
      </c>
    </row>
    <row r="16063" spans="1:5">
      <c r="A16063" t="s">
        <v>18599</v>
      </c>
      <c r="B16063" t="s">
        <v>18601</v>
      </c>
      <c r="C16063">
        <f>0</f>
        <v>0</v>
      </c>
      <c r="D16063">
        <v>0.76158641847499997</v>
      </c>
      <c r="E16063">
        <v>24</v>
      </c>
    </row>
    <row r="16064" spans="1:5">
      <c r="A16064" t="s">
        <v>18599</v>
      </c>
      <c r="B16064" t="s">
        <v>18602</v>
      </c>
      <c r="C16064">
        <f>0</f>
        <v>0</v>
      </c>
      <c r="D16064">
        <v>0.76158641847499997</v>
      </c>
      <c r="E16064">
        <v>24</v>
      </c>
    </row>
    <row r="16065" spans="1:5">
      <c r="A16065" t="s">
        <v>18599</v>
      </c>
      <c r="B16065" t="s">
        <v>18603</v>
      </c>
      <c r="C16065">
        <v>0</v>
      </c>
      <c r="D16065">
        <v>0.76158641847499997</v>
      </c>
      <c r="E16065">
        <v>24</v>
      </c>
    </row>
    <row r="16066" spans="1:5">
      <c r="A16066" t="s">
        <v>18599</v>
      </c>
      <c r="B16066" t="s">
        <v>18604</v>
      </c>
      <c r="C16066">
        <f>0</f>
        <v>0</v>
      </c>
      <c r="D16066">
        <v>0.76158641847499997</v>
      </c>
      <c r="E16066">
        <v>24</v>
      </c>
    </row>
    <row r="16067" spans="1:5">
      <c r="A16067" t="s">
        <v>18599</v>
      </c>
      <c r="B16067" t="s">
        <v>18605</v>
      </c>
      <c r="C16067">
        <f>0</f>
        <v>0</v>
      </c>
      <c r="D16067">
        <v>0.76158641847499997</v>
      </c>
      <c r="E16067">
        <v>24</v>
      </c>
    </row>
    <row r="16068" spans="1:5">
      <c r="A16068" t="s">
        <v>18599</v>
      </c>
      <c r="B16068" t="s">
        <v>18606</v>
      </c>
      <c r="C16068">
        <f>0</f>
        <v>0</v>
      </c>
      <c r="D16068">
        <v>0.76158641847499997</v>
      </c>
      <c r="E16068">
        <v>24</v>
      </c>
    </row>
    <row r="16069" spans="1:5">
      <c r="A16069" t="s">
        <v>18599</v>
      </c>
      <c r="B16069" t="s">
        <v>18607</v>
      </c>
      <c r="C16069">
        <f>0</f>
        <v>0</v>
      </c>
      <c r="D16069">
        <v>0.76158641847499997</v>
      </c>
      <c r="E16069">
        <v>24</v>
      </c>
    </row>
    <row r="16070" spans="1:5">
      <c r="A16070" t="s">
        <v>18599</v>
      </c>
      <c r="B16070" t="s">
        <v>18608</v>
      </c>
      <c r="C16070">
        <v>0</v>
      </c>
      <c r="D16070">
        <v>0.76158641847499997</v>
      </c>
      <c r="E16070">
        <v>24</v>
      </c>
    </row>
    <row r="16071" spans="1:5">
      <c r="A16071" t="s">
        <v>18599</v>
      </c>
      <c r="B16071" t="s">
        <v>18609</v>
      </c>
      <c r="C16071">
        <f>0.0621183374007</f>
        <v>6.2118337400699997E-2</v>
      </c>
      <c r="D16071">
        <v>0.76158641847499997</v>
      </c>
      <c r="E16071">
        <v>24</v>
      </c>
    </row>
    <row r="16072" spans="1:5">
      <c r="A16072" t="s">
        <v>18599</v>
      </c>
      <c r="B16072" t="s">
        <v>18610</v>
      </c>
      <c r="C16072">
        <v>0</v>
      </c>
      <c r="D16072">
        <v>0.76158641847499997</v>
      </c>
      <c r="E16072">
        <v>24</v>
      </c>
    </row>
    <row r="16073" spans="1:5">
      <c r="A16073" t="s">
        <v>18599</v>
      </c>
      <c r="B16073" t="s">
        <v>18611</v>
      </c>
      <c r="C16073">
        <v>5.1635744534100003E-3</v>
      </c>
      <c r="D16073">
        <v>0.76158641847499997</v>
      </c>
      <c r="E16073">
        <v>24</v>
      </c>
    </row>
    <row r="16074" spans="1:5">
      <c r="A16074" t="s">
        <v>18599</v>
      </c>
      <c r="B16074" t="s">
        <v>18612</v>
      </c>
      <c r="C16074">
        <v>0</v>
      </c>
      <c r="D16074">
        <v>0.76158641847499997</v>
      </c>
      <c r="E16074">
        <v>24</v>
      </c>
    </row>
    <row r="16075" spans="1:5">
      <c r="A16075" t="s">
        <v>18599</v>
      </c>
      <c r="B16075" t="s">
        <v>18613</v>
      </c>
      <c r="C16075">
        <v>0</v>
      </c>
      <c r="D16075">
        <v>0.76158641847499997</v>
      </c>
      <c r="E16075">
        <v>24</v>
      </c>
    </row>
    <row r="16076" spans="1:5">
      <c r="A16076" t="s">
        <v>18599</v>
      </c>
      <c r="B16076" t="s">
        <v>18614</v>
      </c>
      <c r="C16076">
        <v>0</v>
      </c>
      <c r="D16076">
        <v>0.76158641847499997</v>
      </c>
      <c r="E16076">
        <v>24</v>
      </c>
    </row>
    <row r="16077" spans="1:5">
      <c r="A16077" t="s">
        <v>18615</v>
      </c>
      <c r="B16077" t="s">
        <v>18616</v>
      </c>
      <c r="C16077">
        <f>0</f>
        <v>0</v>
      </c>
      <c r="D16077">
        <v>0.919263144591</v>
      </c>
      <c r="E16077">
        <v>9.7631184407796106</v>
      </c>
    </row>
    <row r="16078" spans="1:5">
      <c r="A16078" t="s">
        <v>18615</v>
      </c>
      <c r="B16078" t="s">
        <v>18617</v>
      </c>
      <c r="C16078">
        <f>0</f>
        <v>0</v>
      </c>
      <c r="D16078">
        <v>0.919263144591</v>
      </c>
      <c r="E16078">
        <v>9.7631184407796106</v>
      </c>
    </row>
    <row r="16079" spans="1:5">
      <c r="A16079" t="s">
        <v>18615</v>
      </c>
      <c r="B16079" t="s">
        <v>18618</v>
      </c>
      <c r="C16079">
        <v>0.31402935824799999</v>
      </c>
      <c r="D16079">
        <v>0.919263144591</v>
      </c>
      <c r="E16079">
        <v>9.7631184407796106</v>
      </c>
    </row>
    <row r="16080" spans="1:5">
      <c r="A16080" t="s">
        <v>18615</v>
      </c>
      <c r="B16080" t="s">
        <v>18619</v>
      </c>
      <c r="C16080">
        <f>0</f>
        <v>0</v>
      </c>
      <c r="D16080">
        <v>0.919263144591</v>
      </c>
      <c r="E16080">
        <v>9.7631184407796106</v>
      </c>
    </row>
    <row r="16081" spans="1:5">
      <c r="A16081" t="s">
        <v>18615</v>
      </c>
      <c r="B16081" t="s">
        <v>18620</v>
      </c>
      <c r="C16081">
        <f>0.0778920697389</f>
        <v>7.7892069738900005E-2</v>
      </c>
      <c r="D16081">
        <v>0.919263144591</v>
      </c>
      <c r="E16081">
        <v>9.7631184407796106</v>
      </c>
    </row>
    <row r="16082" spans="1:5">
      <c r="A16082" t="s">
        <v>18621</v>
      </c>
      <c r="B16082" t="s">
        <v>18622</v>
      </c>
      <c r="C16082">
        <v>0</v>
      </c>
      <c r="D16082">
        <v>0.99702345753099997</v>
      </c>
      <c r="E16082">
        <v>18.770614692653599</v>
      </c>
    </row>
    <row r="16083" spans="1:5">
      <c r="A16083" t="s">
        <v>18621</v>
      </c>
      <c r="B16083" t="s">
        <v>18623</v>
      </c>
      <c r="C16083">
        <v>0</v>
      </c>
      <c r="D16083">
        <v>0.99702345753099997</v>
      </c>
      <c r="E16083">
        <v>18.770614692653599</v>
      </c>
    </row>
    <row r="16084" spans="1:5">
      <c r="A16084" t="s">
        <v>18621</v>
      </c>
      <c r="B16084" t="s">
        <v>18624</v>
      </c>
      <c r="C16084">
        <v>0</v>
      </c>
      <c r="D16084">
        <v>0.99702345753099997</v>
      </c>
      <c r="E16084">
        <v>18.770614692653599</v>
      </c>
    </row>
    <row r="16085" spans="1:5">
      <c r="A16085" t="s">
        <v>18621</v>
      </c>
      <c r="B16085" t="s">
        <v>18625</v>
      </c>
      <c r="C16085">
        <v>0</v>
      </c>
      <c r="D16085">
        <v>0.99702345753099997</v>
      </c>
      <c r="E16085">
        <v>18.770614692653599</v>
      </c>
    </row>
    <row r="16086" spans="1:5">
      <c r="A16086" t="s">
        <v>18621</v>
      </c>
      <c r="B16086" t="s">
        <v>18626</v>
      </c>
      <c r="C16086">
        <v>7.7299620323299997E-2</v>
      </c>
      <c r="D16086">
        <v>0.99702345753099997</v>
      </c>
      <c r="E16086">
        <v>18.770614692653599</v>
      </c>
    </row>
    <row r="16087" spans="1:5">
      <c r="A16087" t="s">
        <v>18621</v>
      </c>
      <c r="B16087" t="s">
        <v>18627</v>
      </c>
      <c r="C16087">
        <v>0</v>
      </c>
      <c r="D16087">
        <v>0.99702345753099997</v>
      </c>
      <c r="E16087">
        <v>18.770614692653599</v>
      </c>
    </row>
    <row r="16088" spans="1:5">
      <c r="A16088" t="s">
        <v>18621</v>
      </c>
      <c r="B16088" t="s">
        <v>18628</v>
      </c>
      <c r="C16088">
        <v>0</v>
      </c>
      <c r="D16088">
        <v>0.99702345753099997</v>
      </c>
      <c r="E16088">
        <v>18.770614692653599</v>
      </c>
    </row>
    <row r="16089" spans="1:5">
      <c r="A16089" t="s">
        <v>18621</v>
      </c>
      <c r="B16089" t="s">
        <v>18629</v>
      </c>
      <c r="C16089">
        <v>0</v>
      </c>
      <c r="D16089">
        <v>0.99702345753099997</v>
      </c>
      <c r="E16089">
        <v>18.770614692653599</v>
      </c>
    </row>
    <row r="16090" spans="1:5">
      <c r="A16090" t="s">
        <v>18621</v>
      </c>
      <c r="B16090" t="s">
        <v>18630</v>
      </c>
      <c r="C16090">
        <v>0</v>
      </c>
      <c r="D16090">
        <v>0.99702345753099997</v>
      </c>
      <c r="E16090">
        <v>18.770614692653599</v>
      </c>
    </row>
    <row r="16091" spans="1:5">
      <c r="A16091" t="s">
        <v>18621</v>
      </c>
      <c r="B16091" t="s">
        <v>18631</v>
      </c>
      <c r="C16091">
        <v>0</v>
      </c>
      <c r="D16091">
        <v>0.99702345753099997</v>
      </c>
      <c r="E16091">
        <v>18.770614692653599</v>
      </c>
    </row>
    <row r="16092" spans="1:5">
      <c r="A16092" t="s">
        <v>18621</v>
      </c>
      <c r="B16092" t="s">
        <v>18632</v>
      </c>
      <c r="C16092">
        <v>0</v>
      </c>
      <c r="D16092">
        <v>0.99702345753099997</v>
      </c>
      <c r="E16092">
        <v>18.770614692653599</v>
      </c>
    </row>
    <row r="16093" spans="1:5">
      <c r="A16093" t="s">
        <v>18621</v>
      </c>
      <c r="B16093" t="s">
        <v>18633</v>
      </c>
      <c r="C16093">
        <v>0</v>
      </c>
      <c r="D16093">
        <v>0.99702345753099997</v>
      </c>
      <c r="E16093">
        <v>18.770614692653599</v>
      </c>
    </row>
    <row r="16094" spans="1:5">
      <c r="A16094" t="s">
        <v>18621</v>
      </c>
      <c r="B16094" t="s">
        <v>18634</v>
      </c>
      <c r="C16094">
        <v>0</v>
      </c>
      <c r="D16094">
        <v>0.99702345753099997</v>
      </c>
      <c r="E16094">
        <v>18.770614692653599</v>
      </c>
    </row>
    <row r="16095" spans="1:5">
      <c r="A16095" t="s">
        <v>18621</v>
      </c>
      <c r="B16095" t="s">
        <v>18635</v>
      </c>
      <c r="C16095">
        <v>4.6670329815000001E-2</v>
      </c>
      <c r="D16095">
        <v>0.99702345753099997</v>
      </c>
      <c r="E16095">
        <v>18.770614692653599</v>
      </c>
    </row>
    <row r="16096" spans="1:5">
      <c r="A16096" t="s">
        <v>18621</v>
      </c>
      <c r="B16096" t="s">
        <v>18636</v>
      </c>
      <c r="C16096">
        <v>0</v>
      </c>
      <c r="D16096">
        <v>0.99702345753099997</v>
      </c>
      <c r="E16096">
        <v>18.770614692653599</v>
      </c>
    </row>
    <row r="16097" spans="1:5">
      <c r="A16097" t="s">
        <v>18637</v>
      </c>
      <c r="B16097" t="s">
        <v>18638</v>
      </c>
      <c r="C16097">
        <f>0</f>
        <v>0</v>
      </c>
      <c r="D16097" t="s">
        <v>106</v>
      </c>
      <c r="E16097">
        <v>22.332833583208298</v>
      </c>
    </row>
    <row r="16098" spans="1:5">
      <c r="A16098" t="s">
        <v>18637</v>
      </c>
      <c r="B16098" t="s">
        <v>18639</v>
      </c>
      <c r="C16098">
        <v>0</v>
      </c>
      <c r="D16098" t="s">
        <v>106</v>
      </c>
      <c r="E16098">
        <v>22.332833583208298</v>
      </c>
    </row>
    <row r="16099" spans="1:5">
      <c r="A16099" t="s">
        <v>18637</v>
      </c>
      <c r="B16099" t="s">
        <v>18640</v>
      </c>
      <c r="C16099">
        <v>0</v>
      </c>
      <c r="D16099" t="s">
        <v>106</v>
      </c>
      <c r="E16099">
        <v>22.332833583208298</v>
      </c>
    </row>
    <row r="16100" spans="1:5">
      <c r="A16100" t="s">
        <v>18637</v>
      </c>
      <c r="B16100" t="s">
        <v>18641</v>
      </c>
      <c r="C16100">
        <v>0</v>
      </c>
      <c r="D16100" t="s">
        <v>106</v>
      </c>
      <c r="E16100">
        <v>22.332833583208298</v>
      </c>
    </row>
    <row r="16101" spans="1:5">
      <c r="A16101" t="s">
        <v>18637</v>
      </c>
      <c r="B16101" t="s">
        <v>18642</v>
      </c>
      <c r="C16101">
        <f>0</f>
        <v>0</v>
      </c>
      <c r="D16101" t="s">
        <v>106</v>
      </c>
      <c r="E16101">
        <v>22.332833583208298</v>
      </c>
    </row>
    <row r="16102" spans="1:5">
      <c r="A16102" t="s">
        <v>18637</v>
      </c>
      <c r="B16102" t="s">
        <v>18643</v>
      </c>
      <c r="C16102">
        <f>0</f>
        <v>0</v>
      </c>
      <c r="D16102" t="s">
        <v>106</v>
      </c>
      <c r="E16102">
        <v>22.332833583208298</v>
      </c>
    </row>
    <row r="16103" spans="1:5">
      <c r="A16103" t="s">
        <v>18637</v>
      </c>
      <c r="B16103" t="s">
        <v>18644</v>
      </c>
      <c r="C16103">
        <f>0</f>
        <v>0</v>
      </c>
      <c r="D16103" t="s">
        <v>106</v>
      </c>
      <c r="E16103">
        <v>22.332833583208298</v>
      </c>
    </row>
    <row r="16104" spans="1:5">
      <c r="A16104" t="s">
        <v>18645</v>
      </c>
      <c r="B16104" t="s">
        <v>18646</v>
      </c>
      <c r="C16104">
        <v>1.06481694311E-2</v>
      </c>
      <c r="D16104">
        <v>0.79042644394299999</v>
      </c>
      <c r="E16104">
        <v>5.69715142428785</v>
      </c>
    </row>
    <row r="16105" spans="1:5">
      <c r="A16105" t="s">
        <v>18645</v>
      </c>
      <c r="B16105" t="s">
        <v>18647</v>
      </c>
      <c r="C16105">
        <v>2.0630831835700001E-2</v>
      </c>
      <c r="D16105">
        <v>0.79042644394299999</v>
      </c>
      <c r="E16105">
        <v>5.69715142428785</v>
      </c>
    </row>
    <row r="16106" spans="1:5">
      <c r="A16106" t="s">
        <v>18648</v>
      </c>
      <c r="B16106" t="s">
        <v>18649</v>
      </c>
      <c r="C16106">
        <v>7.6917326412200004E-2</v>
      </c>
      <c r="D16106" t="s">
        <v>106</v>
      </c>
      <c r="E16106">
        <v>22.800599700149899</v>
      </c>
    </row>
    <row r="16107" spans="1:5">
      <c r="A16107" t="s">
        <v>18648</v>
      </c>
      <c r="B16107" t="s">
        <v>18650</v>
      </c>
      <c r="C16107">
        <v>0</v>
      </c>
      <c r="D16107" t="s">
        <v>106</v>
      </c>
      <c r="E16107">
        <v>22.800599700149899</v>
      </c>
    </row>
    <row r="16108" spans="1:5">
      <c r="A16108" t="s">
        <v>18648</v>
      </c>
      <c r="B16108" t="s">
        <v>18651</v>
      </c>
      <c r="C16108">
        <v>0</v>
      </c>
      <c r="D16108" t="s">
        <v>106</v>
      </c>
      <c r="E16108">
        <v>22.800599700149899</v>
      </c>
    </row>
    <row r="16109" spans="1:5">
      <c r="A16109" t="s">
        <v>18648</v>
      </c>
      <c r="B16109" t="s">
        <v>18652</v>
      </c>
      <c r="C16109">
        <v>0</v>
      </c>
      <c r="D16109" t="s">
        <v>106</v>
      </c>
      <c r="E16109">
        <v>22.800599700149899</v>
      </c>
    </row>
    <row r="16110" spans="1:5">
      <c r="A16110" t="s">
        <v>18648</v>
      </c>
      <c r="B16110" t="s">
        <v>18653</v>
      </c>
      <c r="C16110">
        <v>0</v>
      </c>
      <c r="D16110" t="s">
        <v>106</v>
      </c>
      <c r="E16110">
        <v>22.800599700149899</v>
      </c>
    </row>
    <row r="16111" spans="1:5">
      <c r="A16111" t="s">
        <v>18648</v>
      </c>
      <c r="B16111" t="s">
        <v>18654</v>
      </c>
      <c r="C16111">
        <v>0</v>
      </c>
      <c r="D16111" t="s">
        <v>106</v>
      </c>
      <c r="E16111">
        <v>22.800599700149899</v>
      </c>
    </row>
    <row r="16112" spans="1:5">
      <c r="A16112" t="s">
        <v>18648</v>
      </c>
      <c r="B16112" t="s">
        <v>18655</v>
      </c>
      <c r="C16112">
        <v>0</v>
      </c>
      <c r="D16112" t="s">
        <v>106</v>
      </c>
      <c r="E16112">
        <v>22.800599700149899</v>
      </c>
    </row>
    <row r="16113" spans="1:5">
      <c r="A16113" t="s">
        <v>18648</v>
      </c>
      <c r="B16113" t="s">
        <v>18656</v>
      </c>
      <c r="C16113">
        <v>0</v>
      </c>
      <c r="D16113" t="s">
        <v>106</v>
      </c>
      <c r="E16113">
        <v>22.800599700149899</v>
      </c>
    </row>
    <row r="16114" spans="1:5">
      <c r="A16114" t="s">
        <v>18648</v>
      </c>
      <c r="B16114" t="s">
        <v>18657</v>
      </c>
      <c r="C16114">
        <v>0</v>
      </c>
      <c r="D16114" t="s">
        <v>106</v>
      </c>
      <c r="E16114">
        <v>22.800599700149899</v>
      </c>
    </row>
    <row r="16115" spans="1:5">
      <c r="A16115" t="s">
        <v>18648</v>
      </c>
      <c r="B16115" t="s">
        <v>18658</v>
      </c>
      <c r="C16115">
        <v>0</v>
      </c>
      <c r="D16115" t="s">
        <v>106</v>
      </c>
      <c r="E16115">
        <v>22.800599700149899</v>
      </c>
    </row>
    <row r="16116" spans="1:5">
      <c r="A16116" t="s">
        <v>18648</v>
      </c>
      <c r="B16116" t="s">
        <v>18659</v>
      </c>
      <c r="C16116">
        <v>0</v>
      </c>
      <c r="D16116" t="s">
        <v>106</v>
      </c>
      <c r="E16116">
        <v>22.800599700149899</v>
      </c>
    </row>
    <row r="16117" spans="1:5">
      <c r="A16117" t="s">
        <v>18648</v>
      </c>
      <c r="B16117" t="s">
        <v>18660</v>
      </c>
      <c r="C16117">
        <v>0</v>
      </c>
      <c r="D16117" t="s">
        <v>106</v>
      </c>
      <c r="E16117">
        <v>22.800599700149899</v>
      </c>
    </row>
    <row r="16118" spans="1:5">
      <c r="A16118" t="s">
        <v>18648</v>
      </c>
      <c r="B16118" t="s">
        <v>18661</v>
      </c>
      <c r="C16118">
        <f>0</f>
        <v>0</v>
      </c>
      <c r="D16118" t="s">
        <v>106</v>
      </c>
      <c r="E16118">
        <v>22.800599700149899</v>
      </c>
    </row>
    <row r="16119" spans="1:5">
      <c r="A16119" t="s">
        <v>18662</v>
      </c>
      <c r="B16119" t="s">
        <v>18663</v>
      </c>
      <c r="C16119">
        <f>0.330569609119</f>
        <v>0.33056960911900002</v>
      </c>
      <c r="D16119">
        <v>0.942122815961</v>
      </c>
      <c r="E16119">
        <v>0.61169415292353801</v>
      </c>
    </row>
    <row r="16120" spans="1:5">
      <c r="A16120" t="s">
        <v>18662</v>
      </c>
      <c r="B16120" t="s">
        <v>18664</v>
      </c>
      <c r="C16120">
        <v>0.46607971893700001</v>
      </c>
      <c r="D16120">
        <v>0.942122815961</v>
      </c>
      <c r="E16120">
        <v>0.61169415292353801</v>
      </c>
    </row>
    <row r="16121" spans="1:5">
      <c r="A16121" t="s">
        <v>18662</v>
      </c>
      <c r="B16121" t="s">
        <v>18665</v>
      </c>
      <c r="C16121">
        <v>3.9950460524000003E-2</v>
      </c>
      <c r="D16121">
        <v>0.942122815961</v>
      </c>
      <c r="E16121">
        <v>0.61169415292353801</v>
      </c>
    </row>
    <row r="16122" spans="1:5">
      <c r="A16122" t="s">
        <v>18662</v>
      </c>
      <c r="B16122" t="s">
        <v>18666</v>
      </c>
      <c r="C16122">
        <v>0</v>
      </c>
      <c r="D16122">
        <v>0.942122815961</v>
      </c>
      <c r="E16122">
        <v>0.61169415292353801</v>
      </c>
    </row>
    <row r="16123" spans="1:5">
      <c r="A16123" t="s">
        <v>18667</v>
      </c>
      <c r="B16123" t="s">
        <v>18668</v>
      </c>
      <c r="C16123">
        <v>6.8230600399599994E-2</v>
      </c>
      <c r="D16123" t="s">
        <v>106</v>
      </c>
      <c r="E16123">
        <v>24</v>
      </c>
    </row>
    <row r="16124" spans="1:5">
      <c r="A16124" t="s">
        <v>18667</v>
      </c>
      <c r="B16124" t="s">
        <v>18669</v>
      </c>
      <c r="C16124">
        <v>0</v>
      </c>
      <c r="D16124" t="s">
        <v>106</v>
      </c>
      <c r="E16124">
        <v>24</v>
      </c>
    </row>
    <row r="16125" spans="1:5">
      <c r="A16125" t="s">
        <v>18667</v>
      </c>
      <c r="B16125" t="s">
        <v>18670</v>
      </c>
      <c r="C16125">
        <f>0</f>
        <v>0</v>
      </c>
      <c r="D16125" t="s">
        <v>106</v>
      </c>
      <c r="E16125">
        <v>24</v>
      </c>
    </row>
    <row r="16126" spans="1:5">
      <c r="A16126" t="s">
        <v>18667</v>
      </c>
      <c r="B16126" t="s">
        <v>18671</v>
      </c>
      <c r="C16126">
        <v>0</v>
      </c>
      <c r="D16126" t="s">
        <v>106</v>
      </c>
      <c r="E16126">
        <v>24</v>
      </c>
    </row>
    <row r="16127" spans="1:5">
      <c r="A16127" t="s">
        <v>18667</v>
      </c>
      <c r="B16127" t="s">
        <v>18672</v>
      </c>
      <c r="C16127">
        <f>0</f>
        <v>0</v>
      </c>
      <c r="D16127" t="s">
        <v>106</v>
      </c>
      <c r="E16127">
        <v>24</v>
      </c>
    </row>
    <row r="16128" spans="1:5">
      <c r="A16128" t="s">
        <v>18667</v>
      </c>
      <c r="B16128" t="s">
        <v>18673</v>
      </c>
      <c r="C16128">
        <f>0</f>
        <v>0</v>
      </c>
      <c r="D16128" t="s">
        <v>106</v>
      </c>
      <c r="E16128">
        <v>24</v>
      </c>
    </row>
    <row r="16129" spans="1:5">
      <c r="A16129" t="s">
        <v>18667</v>
      </c>
      <c r="B16129" t="s">
        <v>18674</v>
      </c>
      <c r="C16129">
        <v>0</v>
      </c>
      <c r="D16129" t="s">
        <v>106</v>
      </c>
      <c r="E16129">
        <v>24</v>
      </c>
    </row>
    <row r="16130" spans="1:5">
      <c r="A16130" t="s">
        <v>18667</v>
      </c>
      <c r="B16130" t="s">
        <v>18675</v>
      </c>
      <c r="C16130">
        <f>0</f>
        <v>0</v>
      </c>
      <c r="D16130" t="s">
        <v>106</v>
      </c>
      <c r="E16130">
        <v>24</v>
      </c>
    </row>
    <row r="16131" spans="1:5">
      <c r="A16131" t="s">
        <v>18667</v>
      </c>
      <c r="B16131" t="s">
        <v>18676</v>
      </c>
      <c r="C16131">
        <f>0</f>
        <v>0</v>
      </c>
      <c r="D16131" t="s">
        <v>106</v>
      </c>
      <c r="E16131">
        <v>24</v>
      </c>
    </row>
    <row r="16132" spans="1:5">
      <c r="A16132" t="s">
        <v>18667</v>
      </c>
      <c r="B16132" t="s">
        <v>18677</v>
      </c>
      <c r="C16132">
        <f>0</f>
        <v>0</v>
      </c>
      <c r="D16132" t="s">
        <v>106</v>
      </c>
      <c r="E16132">
        <v>24</v>
      </c>
    </row>
    <row r="16133" spans="1:5">
      <c r="A16133" t="s">
        <v>18667</v>
      </c>
      <c r="B16133" t="s">
        <v>18678</v>
      </c>
      <c r="C16133">
        <v>0</v>
      </c>
      <c r="D16133" t="s">
        <v>106</v>
      </c>
      <c r="E16133">
        <v>24</v>
      </c>
    </row>
    <row r="16134" spans="1:5">
      <c r="A16134" t="s">
        <v>18667</v>
      </c>
      <c r="B16134" t="s">
        <v>18679</v>
      </c>
      <c r="C16134">
        <f>0</f>
        <v>0</v>
      </c>
      <c r="D16134" t="s">
        <v>106</v>
      </c>
      <c r="E16134">
        <v>24</v>
      </c>
    </row>
    <row r="16135" spans="1:5">
      <c r="A16135" t="s">
        <v>18667</v>
      </c>
      <c r="B16135" t="s">
        <v>18680</v>
      </c>
      <c r="C16135">
        <f>0.00255074735067</f>
        <v>2.5507473506699999E-3</v>
      </c>
      <c r="D16135" t="s">
        <v>106</v>
      </c>
      <c r="E16135">
        <v>24</v>
      </c>
    </row>
    <row r="16136" spans="1:5">
      <c r="A16136" t="s">
        <v>18667</v>
      </c>
      <c r="B16136" t="s">
        <v>18681</v>
      </c>
      <c r="C16136">
        <f>0</f>
        <v>0</v>
      </c>
      <c r="D16136" t="s">
        <v>106</v>
      </c>
      <c r="E16136">
        <v>24</v>
      </c>
    </row>
    <row r="16137" spans="1:5">
      <c r="A16137" t="s">
        <v>18667</v>
      </c>
      <c r="B16137" t="s">
        <v>18682</v>
      </c>
      <c r="C16137">
        <f>0</f>
        <v>0</v>
      </c>
      <c r="D16137" t="s">
        <v>106</v>
      </c>
      <c r="E16137">
        <v>24</v>
      </c>
    </row>
    <row r="16138" spans="1:5">
      <c r="A16138" t="s">
        <v>18683</v>
      </c>
      <c r="B16138" t="s">
        <v>18684</v>
      </c>
      <c r="C16138">
        <f>0</f>
        <v>0</v>
      </c>
      <c r="D16138">
        <v>0.98570044420500003</v>
      </c>
      <c r="E16138">
        <v>21.637181409295302</v>
      </c>
    </row>
    <row r="16139" spans="1:5">
      <c r="A16139" t="s">
        <v>18683</v>
      </c>
      <c r="B16139" t="s">
        <v>18685</v>
      </c>
      <c r="C16139">
        <f>0</f>
        <v>0</v>
      </c>
      <c r="D16139">
        <v>0.98570044420500003</v>
      </c>
      <c r="E16139">
        <v>21.637181409295302</v>
      </c>
    </row>
    <row r="16140" spans="1:5">
      <c r="A16140" t="s">
        <v>18683</v>
      </c>
      <c r="B16140" t="s">
        <v>18686</v>
      </c>
      <c r="C16140">
        <f>0</f>
        <v>0</v>
      </c>
      <c r="D16140">
        <v>0.98570044420500003</v>
      </c>
      <c r="E16140">
        <v>21.637181409295302</v>
      </c>
    </row>
    <row r="16141" spans="1:5">
      <c r="A16141" t="s">
        <v>18683</v>
      </c>
      <c r="B16141" t="s">
        <v>18687</v>
      </c>
      <c r="C16141">
        <v>0</v>
      </c>
      <c r="D16141">
        <v>0.98570044420500003</v>
      </c>
      <c r="E16141">
        <v>21.637181409295302</v>
      </c>
    </row>
    <row r="16142" spans="1:5">
      <c r="A16142" t="s">
        <v>18683</v>
      </c>
      <c r="B16142" t="s">
        <v>18688</v>
      </c>
      <c r="C16142">
        <v>7.2234887665600003E-2</v>
      </c>
      <c r="D16142">
        <v>0.98570044420500003</v>
      </c>
      <c r="E16142">
        <v>21.637181409295302</v>
      </c>
    </row>
    <row r="16143" spans="1:5">
      <c r="A16143" t="s">
        <v>18683</v>
      </c>
      <c r="B16143" t="s">
        <v>18689</v>
      </c>
      <c r="C16143">
        <f>0</f>
        <v>0</v>
      </c>
      <c r="D16143">
        <v>0.98570044420500003</v>
      </c>
      <c r="E16143">
        <v>21.637181409295302</v>
      </c>
    </row>
    <row r="16144" spans="1:5">
      <c r="A16144" t="s">
        <v>18683</v>
      </c>
      <c r="B16144" t="s">
        <v>18690</v>
      </c>
      <c r="C16144">
        <f>0.0325143338315</f>
        <v>3.25143338315E-2</v>
      </c>
      <c r="D16144">
        <v>0.98570044420500003</v>
      </c>
      <c r="E16144">
        <v>21.637181409295302</v>
      </c>
    </row>
    <row r="16145" spans="1:5">
      <c r="A16145" t="s">
        <v>18683</v>
      </c>
      <c r="B16145" t="s">
        <v>18691</v>
      </c>
      <c r="C16145">
        <f>0</f>
        <v>0</v>
      </c>
      <c r="D16145">
        <v>0.98570044420500003</v>
      </c>
      <c r="E16145">
        <v>21.637181409295302</v>
      </c>
    </row>
    <row r="16146" spans="1:5">
      <c r="A16146" t="s">
        <v>18692</v>
      </c>
      <c r="B16146" t="s">
        <v>18693</v>
      </c>
      <c r="C16146">
        <v>0.18029533506100001</v>
      </c>
      <c r="D16146">
        <v>0.94469259668500005</v>
      </c>
      <c r="E16146">
        <v>14.3688155922038</v>
      </c>
    </row>
    <row r="16147" spans="1:5">
      <c r="A16147" t="s">
        <v>18692</v>
      </c>
      <c r="B16147" t="s">
        <v>18694</v>
      </c>
      <c r="C16147">
        <f>0</f>
        <v>0</v>
      </c>
      <c r="D16147">
        <v>0.94469259668500005</v>
      </c>
      <c r="E16147">
        <v>14.3688155922038</v>
      </c>
    </row>
    <row r="16148" spans="1:5">
      <c r="A16148" t="s">
        <v>18692</v>
      </c>
      <c r="B16148" t="s">
        <v>18695</v>
      </c>
      <c r="C16148">
        <v>0</v>
      </c>
      <c r="D16148">
        <v>0.94469259668500005</v>
      </c>
      <c r="E16148">
        <v>14.3688155922038</v>
      </c>
    </row>
    <row r="16149" spans="1:5">
      <c r="A16149" t="s">
        <v>18696</v>
      </c>
      <c r="B16149" t="s">
        <v>18697</v>
      </c>
      <c r="C16149">
        <v>0</v>
      </c>
      <c r="D16149" t="s">
        <v>106</v>
      </c>
      <c r="E16149">
        <v>14.3688155922038</v>
      </c>
    </row>
    <row r="16150" spans="1:5">
      <c r="A16150" t="s">
        <v>18696</v>
      </c>
      <c r="B16150" t="s">
        <v>18698</v>
      </c>
      <c r="C16150">
        <v>0</v>
      </c>
      <c r="D16150" t="s">
        <v>106</v>
      </c>
      <c r="E16150">
        <v>14.3688155922038</v>
      </c>
    </row>
    <row r="16151" spans="1:5">
      <c r="A16151" t="s">
        <v>18699</v>
      </c>
      <c r="B16151" t="s">
        <v>18700</v>
      </c>
      <c r="C16151">
        <f>0</f>
        <v>0</v>
      </c>
      <c r="D16151" t="s">
        <v>106</v>
      </c>
      <c r="E16151">
        <v>24</v>
      </c>
    </row>
    <row r="16152" spans="1:5">
      <c r="A16152" t="s">
        <v>18699</v>
      </c>
      <c r="B16152" t="s">
        <v>18701</v>
      </c>
      <c r="C16152">
        <f>0.0274583586079</f>
        <v>2.74583586079E-2</v>
      </c>
      <c r="D16152" t="s">
        <v>106</v>
      </c>
      <c r="E16152">
        <v>24</v>
      </c>
    </row>
    <row r="16153" spans="1:5">
      <c r="A16153" t="s">
        <v>18699</v>
      </c>
      <c r="B16153" t="s">
        <v>18702</v>
      </c>
      <c r="C16153">
        <f>0</f>
        <v>0</v>
      </c>
      <c r="D16153" t="s">
        <v>106</v>
      </c>
      <c r="E16153">
        <v>24</v>
      </c>
    </row>
    <row r="16154" spans="1:5">
      <c r="A16154" t="s">
        <v>18699</v>
      </c>
      <c r="B16154" t="s">
        <v>18703</v>
      </c>
      <c r="C16154">
        <f>0</f>
        <v>0</v>
      </c>
      <c r="D16154" t="s">
        <v>106</v>
      </c>
      <c r="E16154">
        <v>24</v>
      </c>
    </row>
    <row r="16155" spans="1:5">
      <c r="A16155" t="s">
        <v>18704</v>
      </c>
      <c r="B16155" t="s">
        <v>18705</v>
      </c>
      <c r="C16155">
        <v>3.4062280460800003E-2</v>
      </c>
      <c r="D16155">
        <v>0.86995976680999998</v>
      </c>
      <c r="E16155">
        <v>5.9370314842578704</v>
      </c>
    </row>
    <row r="16156" spans="1:5">
      <c r="A16156" t="s">
        <v>18706</v>
      </c>
      <c r="B16156" t="s">
        <v>18707</v>
      </c>
      <c r="C16156">
        <v>0</v>
      </c>
      <c r="D16156">
        <v>0.94744256030999996</v>
      </c>
      <c r="E16156">
        <v>3.40629685157421</v>
      </c>
    </row>
    <row r="16157" spans="1:5">
      <c r="A16157" t="s">
        <v>18706</v>
      </c>
      <c r="B16157" t="s">
        <v>18708</v>
      </c>
      <c r="C16157">
        <f>0</f>
        <v>0</v>
      </c>
      <c r="D16157">
        <v>0.94744256030999996</v>
      </c>
      <c r="E16157">
        <v>3.40629685157421</v>
      </c>
    </row>
    <row r="16158" spans="1:5">
      <c r="A16158" t="s">
        <v>18706</v>
      </c>
      <c r="B16158" t="s">
        <v>18709</v>
      </c>
      <c r="C16158">
        <f>0</f>
        <v>0</v>
      </c>
      <c r="D16158">
        <v>0.94744256030999996</v>
      </c>
      <c r="E16158">
        <v>3.40629685157421</v>
      </c>
    </row>
    <row r="16159" spans="1:5">
      <c r="A16159" t="s">
        <v>18706</v>
      </c>
      <c r="B16159" t="s">
        <v>18710</v>
      </c>
      <c r="C16159">
        <f>0</f>
        <v>0</v>
      </c>
      <c r="D16159">
        <v>0.94744256030999996</v>
      </c>
      <c r="E16159">
        <v>3.40629685157421</v>
      </c>
    </row>
    <row r="16160" spans="1:5">
      <c r="A16160" t="s">
        <v>18706</v>
      </c>
      <c r="B16160" t="s">
        <v>18711</v>
      </c>
      <c r="C16160">
        <f>0</f>
        <v>0</v>
      </c>
      <c r="D16160">
        <v>0.94744256030999996</v>
      </c>
      <c r="E16160">
        <v>3.40629685157421</v>
      </c>
    </row>
    <row r="16161" spans="1:5">
      <c r="A16161" t="s">
        <v>18706</v>
      </c>
      <c r="B16161" t="s">
        <v>18712</v>
      </c>
      <c r="C16161">
        <v>0</v>
      </c>
      <c r="D16161">
        <v>0.94744256030999996</v>
      </c>
      <c r="E16161">
        <v>3.40629685157421</v>
      </c>
    </row>
    <row r="16162" spans="1:5">
      <c r="A16162" t="s">
        <v>18706</v>
      </c>
      <c r="B16162" t="s">
        <v>18713</v>
      </c>
      <c r="C16162">
        <v>0</v>
      </c>
      <c r="D16162">
        <v>0.94744256030999996</v>
      </c>
      <c r="E16162">
        <v>3.40629685157421</v>
      </c>
    </row>
    <row r="16163" spans="1:5">
      <c r="A16163" t="s">
        <v>18706</v>
      </c>
      <c r="B16163" t="s">
        <v>18714</v>
      </c>
      <c r="C16163">
        <v>0</v>
      </c>
      <c r="D16163">
        <v>0.94744256030999996</v>
      </c>
      <c r="E16163">
        <v>3.40629685157421</v>
      </c>
    </row>
    <row r="16164" spans="1:5">
      <c r="A16164" t="s">
        <v>18706</v>
      </c>
      <c r="B16164" t="s">
        <v>18715</v>
      </c>
      <c r="C16164">
        <f>0</f>
        <v>0</v>
      </c>
      <c r="D16164">
        <v>0.94744256030999996</v>
      </c>
      <c r="E16164">
        <v>3.40629685157421</v>
      </c>
    </row>
    <row r="16165" spans="1:5">
      <c r="A16165" t="s">
        <v>18706</v>
      </c>
      <c r="B16165" t="s">
        <v>18716</v>
      </c>
      <c r="C16165">
        <v>0</v>
      </c>
      <c r="D16165">
        <v>0.94744256030999996</v>
      </c>
      <c r="E16165">
        <v>3.40629685157421</v>
      </c>
    </row>
    <row r="16166" spans="1:5">
      <c r="A16166" t="s">
        <v>18706</v>
      </c>
      <c r="B16166" t="s">
        <v>18717</v>
      </c>
      <c r="C16166">
        <f>0</f>
        <v>0</v>
      </c>
      <c r="D16166">
        <v>0.94744256030999996</v>
      </c>
      <c r="E16166">
        <v>3.40629685157421</v>
      </c>
    </row>
    <row r="16167" spans="1:5">
      <c r="A16167" t="s">
        <v>18706</v>
      </c>
      <c r="B16167" t="s">
        <v>18718</v>
      </c>
      <c r="C16167">
        <f>0</f>
        <v>0</v>
      </c>
      <c r="D16167">
        <v>0.94744256030999996</v>
      </c>
      <c r="E16167">
        <v>3.40629685157421</v>
      </c>
    </row>
    <row r="16168" spans="1:5">
      <c r="A16168" t="s">
        <v>18706</v>
      </c>
      <c r="B16168" t="s">
        <v>18719</v>
      </c>
      <c r="C16168">
        <f>0</f>
        <v>0</v>
      </c>
      <c r="D16168">
        <v>0.94744256030999996</v>
      </c>
      <c r="E16168">
        <v>3.40629685157421</v>
      </c>
    </row>
    <row r="16169" spans="1:5">
      <c r="A16169" t="s">
        <v>18706</v>
      </c>
      <c r="B16169" t="s">
        <v>18720</v>
      </c>
      <c r="C16169">
        <v>0</v>
      </c>
      <c r="D16169">
        <v>0.94744256030999996</v>
      </c>
      <c r="E16169">
        <v>3.40629685157421</v>
      </c>
    </row>
    <row r="16170" spans="1:5">
      <c r="A16170" t="s">
        <v>18706</v>
      </c>
      <c r="B16170" t="s">
        <v>18721</v>
      </c>
      <c r="C16170">
        <f>0</f>
        <v>0</v>
      </c>
      <c r="D16170">
        <v>0.94744256030999996</v>
      </c>
      <c r="E16170">
        <v>3.40629685157421</v>
      </c>
    </row>
    <row r="16171" spans="1:5">
      <c r="A16171" t="s">
        <v>18706</v>
      </c>
      <c r="B16171" t="s">
        <v>18722</v>
      </c>
      <c r="C16171">
        <v>0</v>
      </c>
      <c r="D16171">
        <v>0.94744256030999996</v>
      </c>
      <c r="E16171">
        <v>3.40629685157421</v>
      </c>
    </row>
    <row r="16172" spans="1:5">
      <c r="A16172" t="s">
        <v>18706</v>
      </c>
      <c r="B16172" t="s">
        <v>18723</v>
      </c>
      <c r="C16172">
        <v>0</v>
      </c>
      <c r="D16172">
        <v>0.94744256030999996</v>
      </c>
      <c r="E16172">
        <v>3.40629685157421</v>
      </c>
    </row>
    <row r="16173" spans="1:5">
      <c r="A16173" t="s">
        <v>18724</v>
      </c>
      <c r="B16173" t="s">
        <v>18725</v>
      </c>
      <c r="C16173">
        <v>0</v>
      </c>
      <c r="D16173" t="s">
        <v>106</v>
      </c>
      <c r="E16173">
        <v>14.9325337331334</v>
      </c>
    </row>
    <row r="16174" spans="1:5">
      <c r="A16174" t="s">
        <v>18726</v>
      </c>
      <c r="B16174" t="s">
        <v>18727</v>
      </c>
      <c r="C16174">
        <v>0</v>
      </c>
      <c r="D16174">
        <v>0.652657158322</v>
      </c>
      <c r="E16174">
        <v>23.040479760119901</v>
      </c>
    </row>
    <row r="16175" spans="1:5">
      <c r="A16175" t="s">
        <v>18726</v>
      </c>
      <c r="B16175" t="s">
        <v>18728</v>
      </c>
      <c r="C16175">
        <f>0.00010271899789</f>
        <v>1.0271899789E-4</v>
      </c>
      <c r="D16175">
        <v>0.652657158322</v>
      </c>
      <c r="E16175">
        <v>23.040479760119901</v>
      </c>
    </row>
    <row r="16176" spans="1:5">
      <c r="A16176" t="s">
        <v>18726</v>
      </c>
      <c r="B16176" t="s">
        <v>18729</v>
      </c>
      <c r="C16176">
        <v>2.3339174119000002E-2</v>
      </c>
      <c r="D16176">
        <v>0.652657158322</v>
      </c>
      <c r="E16176">
        <v>23.040479760119901</v>
      </c>
    </row>
    <row r="16177" spans="1:5">
      <c r="A16177" t="s">
        <v>18726</v>
      </c>
      <c r="B16177" t="s">
        <v>18730</v>
      </c>
      <c r="C16177">
        <v>0</v>
      </c>
      <c r="D16177">
        <v>0.652657158322</v>
      </c>
      <c r="E16177">
        <v>23.040479760119901</v>
      </c>
    </row>
    <row r="16178" spans="1:5">
      <c r="A16178" t="s">
        <v>18726</v>
      </c>
      <c r="B16178" t="s">
        <v>18731</v>
      </c>
      <c r="C16178">
        <f>0</f>
        <v>0</v>
      </c>
      <c r="D16178">
        <v>0.652657158322</v>
      </c>
      <c r="E16178">
        <v>23.040479760119901</v>
      </c>
    </row>
    <row r="16179" spans="1:5">
      <c r="A16179" t="s">
        <v>18732</v>
      </c>
      <c r="B16179" t="s">
        <v>18733</v>
      </c>
      <c r="C16179">
        <f>0</f>
        <v>0</v>
      </c>
      <c r="D16179" t="s">
        <v>106</v>
      </c>
      <c r="E16179">
        <v>23.040479760119901</v>
      </c>
    </row>
    <row r="16180" spans="1:5">
      <c r="A16180" t="s">
        <v>18732</v>
      </c>
      <c r="B16180" t="s">
        <v>18734</v>
      </c>
      <c r="C16180">
        <f>0</f>
        <v>0</v>
      </c>
      <c r="D16180" t="s">
        <v>106</v>
      </c>
      <c r="E16180">
        <v>23.040479760119901</v>
      </c>
    </row>
    <row r="16181" spans="1:5">
      <c r="A16181" t="s">
        <v>18735</v>
      </c>
      <c r="B16181" t="s">
        <v>18736</v>
      </c>
      <c r="C16181">
        <v>0</v>
      </c>
      <c r="D16181">
        <v>0.970943276947</v>
      </c>
      <c r="E16181">
        <v>6.0569715142428704</v>
      </c>
    </row>
    <row r="16182" spans="1:5">
      <c r="A16182" t="s">
        <v>18737</v>
      </c>
      <c r="B16182" t="s">
        <v>18738</v>
      </c>
      <c r="C16182">
        <v>0.13801162567799999</v>
      </c>
      <c r="D16182">
        <v>0.99007360626600005</v>
      </c>
      <c r="E16182">
        <v>12.2098950524737</v>
      </c>
    </row>
    <row r="16183" spans="1:5">
      <c r="A16183" t="s">
        <v>18737</v>
      </c>
      <c r="B16183" t="s">
        <v>18739</v>
      </c>
      <c r="C16183">
        <v>0</v>
      </c>
      <c r="D16183">
        <v>0.99007360626600005</v>
      </c>
      <c r="E16183">
        <v>12.2098950524737</v>
      </c>
    </row>
    <row r="16184" spans="1:5">
      <c r="A16184" t="s">
        <v>18737</v>
      </c>
      <c r="B16184" t="s">
        <v>18740</v>
      </c>
      <c r="C16184">
        <v>0.11478248163300001</v>
      </c>
      <c r="D16184">
        <v>0.99007360626600005</v>
      </c>
      <c r="E16184">
        <v>12.2098950524737</v>
      </c>
    </row>
    <row r="16185" spans="1:5">
      <c r="A16185" t="s">
        <v>18737</v>
      </c>
      <c r="B16185" t="s">
        <v>18741</v>
      </c>
      <c r="C16185">
        <v>0</v>
      </c>
      <c r="D16185">
        <v>0.99007360626600005</v>
      </c>
      <c r="E16185">
        <v>12.2098950524737</v>
      </c>
    </row>
    <row r="16186" spans="1:5">
      <c r="A16186" t="s">
        <v>18737</v>
      </c>
      <c r="B16186" t="s">
        <v>18742</v>
      </c>
      <c r="C16186">
        <f>0</f>
        <v>0</v>
      </c>
      <c r="D16186">
        <v>0.99007360626600005</v>
      </c>
      <c r="E16186">
        <v>12.2098950524737</v>
      </c>
    </row>
    <row r="16187" spans="1:5">
      <c r="A16187" t="s">
        <v>18737</v>
      </c>
      <c r="B16187" t="s">
        <v>18743</v>
      </c>
      <c r="C16187">
        <f>0</f>
        <v>0</v>
      </c>
      <c r="D16187">
        <v>0.99007360626600005</v>
      </c>
      <c r="E16187">
        <v>12.2098950524737</v>
      </c>
    </row>
    <row r="16188" spans="1:5">
      <c r="A16188" t="s">
        <v>18744</v>
      </c>
      <c r="B16188" t="s">
        <v>18745</v>
      </c>
      <c r="C16188">
        <f>0</f>
        <v>0</v>
      </c>
      <c r="D16188">
        <v>0.77018025727200001</v>
      </c>
      <c r="E16188">
        <v>1.6311844077961</v>
      </c>
    </row>
    <row r="16189" spans="1:5">
      <c r="A16189" t="s">
        <v>18744</v>
      </c>
      <c r="B16189" t="s">
        <v>18746</v>
      </c>
      <c r="C16189">
        <v>0.20056058013600001</v>
      </c>
      <c r="D16189">
        <v>0.77018025727200001</v>
      </c>
      <c r="E16189">
        <v>1.6311844077961</v>
      </c>
    </row>
    <row r="16190" spans="1:5">
      <c r="A16190" t="s">
        <v>18744</v>
      </c>
      <c r="B16190" t="s">
        <v>18747</v>
      </c>
      <c r="C16190">
        <v>0.267467657611</v>
      </c>
      <c r="D16190">
        <v>0.77018025727200001</v>
      </c>
      <c r="E16190">
        <v>1.6311844077961</v>
      </c>
    </row>
    <row r="16191" spans="1:5">
      <c r="A16191" t="s">
        <v>18748</v>
      </c>
      <c r="B16191" t="s">
        <v>18749</v>
      </c>
      <c r="C16191">
        <v>0</v>
      </c>
      <c r="D16191">
        <v>0.77972450255299997</v>
      </c>
      <c r="E16191">
        <v>1.8230884557721101</v>
      </c>
    </row>
    <row r="16192" spans="1:5">
      <c r="A16192" t="s">
        <v>18748</v>
      </c>
      <c r="B16192" t="s">
        <v>18750</v>
      </c>
      <c r="C16192">
        <f>0</f>
        <v>0</v>
      </c>
      <c r="D16192">
        <v>0.77972450255299997</v>
      </c>
      <c r="E16192">
        <v>1.8230884557721101</v>
      </c>
    </row>
    <row r="16193" spans="1:5">
      <c r="A16193" t="s">
        <v>18748</v>
      </c>
      <c r="B16193" t="s">
        <v>18751</v>
      </c>
      <c r="C16193">
        <v>2.2913074460300002E-2</v>
      </c>
      <c r="D16193">
        <v>0.77972450255299997</v>
      </c>
      <c r="E16193">
        <v>1.8230884557721101</v>
      </c>
    </row>
    <row r="16194" spans="1:5">
      <c r="A16194" t="s">
        <v>18748</v>
      </c>
      <c r="B16194" t="s">
        <v>18752</v>
      </c>
      <c r="C16194">
        <f>0</f>
        <v>0</v>
      </c>
      <c r="D16194">
        <v>0.77972450255299997</v>
      </c>
      <c r="E16194">
        <v>1.8230884557721101</v>
      </c>
    </row>
    <row r="16195" spans="1:5">
      <c r="A16195" t="s">
        <v>18748</v>
      </c>
      <c r="B16195" t="s">
        <v>18753</v>
      </c>
      <c r="C16195">
        <v>0</v>
      </c>
      <c r="D16195">
        <v>0.77972450255299997</v>
      </c>
      <c r="E16195">
        <v>1.8230884557721101</v>
      </c>
    </row>
    <row r="16196" spans="1:5">
      <c r="A16196" t="s">
        <v>18754</v>
      </c>
      <c r="B16196" t="s">
        <v>18755</v>
      </c>
      <c r="C16196">
        <v>0.17686302537500001</v>
      </c>
      <c r="D16196">
        <v>0.95873994261499995</v>
      </c>
      <c r="E16196">
        <v>24</v>
      </c>
    </row>
    <row r="16197" spans="1:5">
      <c r="A16197" t="s">
        <v>18756</v>
      </c>
      <c r="B16197" t="s">
        <v>18757</v>
      </c>
      <c r="C16197">
        <f>0</f>
        <v>0</v>
      </c>
      <c r="D16197" t="s">
        <v>106</v>
      </c>
      <c r="E16197">
        <v>0.95952023988005997</v>
      </c>
    </row>
    <row r="16198" spans="1:5">
      <c r="A16198" t="s">
        <v>18756</v>
      </c>
      <c r="B16198" t="s">
        <v>18758</v>
      </c>
      <c r="C16198">
        <v>0</v>
      </c>
      <c r="D16198" t="s">
        <v>106</v>
      </c>
      <c r="E16198">
        <v>0.95952023988005997</v>
      </c>
    </row>
    <row r="16199" spans="1:5">
      <c r="A16199" t="s">
        <v>18759</v>
      </c>
      <c r="B16199" t="s">
        <v>18760</v>
      </c>
      <c r="C16199">
        <v>0</v>
      </c>
      <c r="D16199" t="s">
        <v>106</v>
      </c>
      <c r="E16199">
        <v>8.5757121439280297</v>
      </c>
    </row>
    <row r="16200" spans="1:5">
      <c r="A16200" t="s">
        <v>18759</v>
      </c>
      <c r="B16200" t="s">
        <v>18761</v>
      </c>
      <c r="C16200">
        <v>0</v>
      </c>
      <c r="D16200" t="s">
        <v>106</v>
      </c>
      <c r="E16200">
        <v>8.5757121439280297</v>
      </c>
    </row>
    <row r="16201" spans="1:5">
      <c r="A16201" t="s">
        <v>18759</v>
      </c>
      <c r="B16201" t="s">
        <v>18762</v>
      </c>
      <c r="C16201">
        <f>0</f>
        <v>0</v>
      </c>
      <c r="D16201" t="s">
        <v>106</v>
      </c>
      <c r="E16201">
        <v>8.5757121439280297</v>
      </c>
    </row>
    <row r="16202" spans="1:5">
      <c r="A16202" t="s">
        <v>18759</v>
      </c>
      <c r="B16202" t="s">
        <v>18763</v>
      </c>
      <c r="C16202">
        <v>0</v>
      </c>
      <c r="D16202" t="s">
        <v>106</v>
      </c>
      <c r="E16202">
        <v>8.5757121439280297</v>
      </c>
    </row>
    <row r="16203" spans="1:5">
      <c r="A16203" t="s">
        <v>18764</v>
      </c>
      <c r="B16203" t="s">
        <v>18765</v>
      </c>
      <c r="C16203">
        <f>0</f>
        <v>0</v>
      </c>
      <c r="D16203" t="s">
        <v>106</v>
      </c>
      <c r="E16203">
        <v>2.79460269865067</v>
      </c>
    </row>
    <row r="16204" spans="1:5">
      <c r="A16204" t="s">
        <v>18764</v>
      </c>
      <c r="B16204" t="s">
        <v>18766</v>
      </c>
      <c r="C16204">
        <v>0</v>
      </c>
      <c r="D16204" t="s">
        <v>106</v>
      </c>
      <c r="E16204">
        <v>2.79460269865067</v>
      </c>
    </row>
    <row r="16205" spans="1:5">
      <c r="A16205" t="s">
        <v>18764</v>
      </c>
      <c r="B16205" t="s">
        <v>18767</v>
      </c>
      <c r="C16205">
        <v>0</v>
      </c>
      <c r="D16205" t="s">
        <v>106</v>
      </c>
      <c r="E16205">
        <v>2.79460269865067</v>
      </c>
    </row>
    <row r="16206" spans="1:5">
      <c r="A16206" t="s">
        <v>18764</v>
      </c>
      <c r="B16206" t="s">
        <v>18768</v>
      </c>
      <c r="C16206">
        <f>0</f>
        <v>0</v>
      </c>
      <c r="D16206" t="s">
        <v>106</v>
      </c>
      <c r="E16206">
        <v>2.79460269865067</v>
      </c>
    </row>
    <row r="16207" spans="1:5">
      <c r="A16207" t="s">
        <v>18764</v>
      </c>
      <c r="B16207" t="s">
        <v>18769</v>
      </c>
      <c r="C16207">
        <f>0</f>
        <v>0</v>
      </c>
      <c r="D16207" t="s">
        <v>106</v>
      </c>
      <c r="E16207">
        <v>2.79460269865067</v>
      </c>
    </row>
    <row r="16208" spans="1:5">
      <c r="A16208" t="s">
        <v>18770</v>
      </c>
      <c r="B16208" t="s">
        <v>18771</v>
      </c>
      <c r="C16208">
        <v>0</v>
      </c>
      <c r="D16208" t="s">
        <v>106</v>
      </c>
      <c r="E16208">
        <v>11.370314842578701</v>
      </c>
    </row>
    <row r="16209" spans="1:5">
      <c r="A16209" t="s">
        <v>18770</v>
      </c>
      <c r="B16209" t="s">
        <v>18772</v>
      </c>
      <c r="C16209">
        <f>0</f>
        <v>0</v>
      </c>
      <c r="D16209" t="s">
        <v>106</v>
      </c>
      <c r="E16209">
        <v>11.370314842578701</v>
      </c>
    </row>
    <row r="16210" spans="1:5">
      <c r="A16210" t="s">
        <v>18770</v>
      </c>
      <c r="B16210" t="s">
        <v>18773</v>
      </c>
      <c r="C16210">
        <v>0</v>
      </c>
      <c r="D16210" t="s">
        <v>106</v>
      </c>
      <c r="E16210">
        <v>11.370314842578701</v>
      </c>
    </row>
    <row r="16211" spans="1:5">
      <c r="A16211" t="s">
        <v>18770</v>
      </c>
      <c r="B16211" t="s">
        <v>18774</v>
      </c>
      <c r="C16211">
        <v>0</v>
      </c>
      <c r="D16211" t="s">
        <v>106</v>
      </c>
      <c r="E16211">
        <v>11.370314842578701</v>
      </c>
    </row>
    <row r="16212" spans="1:5">
      <c r="A16212" t="s">
        <v>18770</v>
      </c>
      <c r="B16212" t="s">
        <v>18775</v>
      </c>
      <c r="C16212">
        <v>0</v>
      </c>
      <c r="D16212" t="s">
        <v>106</v>
      </c>
      <c r="E16212">
        <v>11.370314842578701</v>
      </c>
    </row>
    <row r="16213" spans="1:5">
      <c r="A16213" t="s">
        <v>18770</v>
      </c>
      <c r="B16213" t="s">
        <v>18776</v>
      </c>
      <c r="C16213">
        <v>0</v>
      </c>
      <c r="D16213" t="s">
        <v>106</v>
      </c>
      <c r="E16213">
        <v>11.370314842578701</v>
      </c>
    </row>
    <row r="16214" spans="1:5">
      <c r="A16214" t="s">
        <v>18770</v>
      </c>
      <c r="B16214" t="s">
        <v>18777</v>
      </c>
      <c r="C16214">
        <v>0</v>
      </c>
      <c r="D16214" t="s">
        <v>106</v>
      </c>
      <c r="E16214">
        <v>11.370314842578701</v>
      </c>
    </row>
    <row r="16215" spans="1:5">
      <c r="A16215" t="s">
        <v>18770</v>
      </c>
      <c r="B16215" t="s">
        <v>18778</v>
      </c>
      <c r="C16215">
        <f>0</f>
        <v>0</v>
      </c>
      <c r="D16215" t="s">
        <v>106</v>
      </c>
      <c r="E16215">
        <v>11.370314842578701</v>
      </c>
    </row>
    <row r="16216" spans="1:5">
      <c r="A16216" t="s">
        <v>18770</v>
      </c>
      <c r="B16216" t="s">
        <v>18779</v>
      </c>
      <c r="C16216">
        <f>0</f>
        <v>0</v>
      </c>
      <c r="D16216" t="s">
        <v>106</v>
      </c>
      <c r="E16216">
        <v>11.370314842578701</v>
      </c>
    </row>
    <row r="16217" spans="1:5">
      <c r="A16217" t="s">
        <v>18780</v>
      </c>
      <c r="B16217" t="s">
        <v>18781</v>
      </c>
      <c r="C16217">
        <f>0.00246140238158</f>
        <v>2.4614023815799999E-3</v>
      </c>
      <c r="D16217" t="s">
        <v>106</v>
      </c>
      <c r="E16217">
        <v>24</v>
      </c>
    </row>
    <row r="16218" spans="1:5">
      <c r="A16218" t="s">
        <v>18782</v>
      </c>
      <c r="B16218" t="s">
        <v>18783</v>
      </c>
      <c r="C16218">
        <v>0.160311710261</v>
      </c>
      <c r="D16218">
        <v>0.35447352230099999</v>
      </c>
      <c r="E16218">
        <v>16.695652173913</v>
      </c>
    </row>
    <row r="16219" spans="1:5">
      <c r="A16219" t="s">
        <v>18782</v>
      </c>
      <c r="B16219" t="s">
        <v>18784</v>
      </c>
      <c r="C16219">
        <f>0</f>
        <v>0</v>
      </c>
      <c r="D16219">
        <v>0.35447352230099999</v>
      </c>
      <c r="E16219">
        <v>16.695652173913</v>
      </c>
    </row>
    <row r="16220" spans="1:5">
      <c r="A16220" t="s">
        <v>18782</v>
      </c>
      <c r="B16220" t="s">
        <v>18785</v>
      </c>
      <c r="C16220">
        <v>0</v>
      </c>
      <c r="D16220">
        <v>0.35447352230099999</v>
      </c>
      <c r="E16220">
        <v>16.695652173913</v>
      </c>
    </row>
    <row r="16221" spans="1:5">
      <c r="A16221" t="s">
        <v>18782</v>
      </c>
      <c r="B16221" t="s">
        <v>18786</v>
      </c>
      <c r="C16221">
        <f>0.207801710239</f>
        <v>0.20780171023899999</v>
      </c>
      <c r="D16221">
        <v>0.35447352230099999</v>
      </c>
      <c r="E16221">
        <v>16.695652173913</v>
      </c>
    </row>
    <row r="16222" spans="1:5">
      <c r="A16222" t="s">
        <v>18782</v>
      </c>
      <c r="B16222" t="s">
        <v>18787</v>
      </c>
      <c r="C16222">
        <f>0</f>
        <v>0</v>
      </c>
      <c r="D16222">
        <v>0.35447352230099999</v>
      </c>
      <c r="E16222">
        <v>16.695652173913</v>
      </c>
    </row>
    <row r="16223" spans="1:5">
      <c r="A16223" t="s">
        <v>18788</v>
      </c>
      <c r="B16223" t="s">
        <v>18789</v>
      </c>
      <c r="C16223">
        <v>0.54311358061799997</v>
      </c>
      <c r="D16223">
        <v>0.99337737339300003</v>
      </c>
      <c r="E16223">
        <v>4.9055472263868003</v>
      </c>
    </row>
    <row r="16224" spans="1:5">
      <c r="A16224" t="s">
        <v>18788</v>
      </c>
      <c r="B16224" t="s">
        <v>18790</v>
      </c>
      <c r="C16224">
        <f>0</f>
        <v>0</v>
      </c>
      <c r="D16224">
        <v>0.99337737339300003</v>
      </c>
      <c r="E16224">
        <v>4.9055472263868003</v>
      </c>
    </row>
    <row r="16225" spans="1:5">
      <c r="A16225" t="s">
        <v>18788</v>
      </c>
      <c r="B16225" t="s">
        <v>18791</v>
      </c>
      <c r="C16225">
        <f>0</f>
        <v>0</v>
      </c>
      <c r="D16225">
        <v>0.99337737339300003</v>
      </c>
      <c r="E16225">
        <v>4.9055472263868003</v>
      </c>
    </row>
    <row r="16226" spans="1:5">
      <c r="A16226" t="s">
        <v>18788</v>
      </c>
      <c r="B16226" t="s">
        <v>18792</v>
      </c>
      <c r="C16226">
        <f>0.0435679791565</f>
        <v>4.35679791565E-2</v>
      </c>
      <c r="D16226">
        <v>0.99337737339300003</v>
      </c>
      <c r="E16226">
        <v>4.9055472263868003</v>
      </c>
    </row>
    <row r="16227" spans="1:5">
      <c r="A16227" t="s">
        <v>18788</v>
      </c>
      <c r="B16227" t="s">
        <v>18793</v>
      </c>
      <c r="C16227">
        <v>0</v>
      </c>
      <c r="D16227">
        <v>0.99337737339300003</v>
      </c>
      <c r="E16227">
        <v>4.9055472263868003</v>
      </c>
    </row>
    <row r="16228" spans="1:5">
      <c r="A16228" t="s">
        <v>18794</v>
      </c>
      <c r="B16228" t="s">
        <v>18795</v>
      </c>
      <c r="C16228">
        <f>0</f>
        <v>0</v>
      </c>
      <c r="D16228" t="s">
        <v>106</v>
      </c>
      <c r="E16228">
        <v>2.6386806596701602</v>
      </c>
    </row>
    <row r="16229" spans="1:5">
      <c r="A16229" t="s">
        <v>18794</v>
      </c>
      <c r="B16229" t="s">
        <v>18796</v>
      </c>
      <c r="C16229">
        <v>0</v>
      </c>
      <c r="D16229" t="s">
        <v>106</v>
      </c>
      <c r="E16229">
        <v>2.6386806596701602</v>
      </c>
    </row>
    <row r="16230" spans="1:5">
      <c r="A16230" t="s">
        <v>18794</v>
      </c>
      <c r="B16230" t="s">
        <v>18797</v>
      </c>
      <c r="C16230">
        <f>0</f>
        <v>0</v>
      </c>
      <c r="D16230" t="s">
        <v>106</v>
      </c>
      <c r="E16230">
        <v>2.6386806596701602</v>
      </c>
    </row>
    <row r="16231" spans="1:5">
      <c r="A16231" t="s">
        <v>18794</v>
      </c>
      <c r="B16231" t="s">
        <v>18798</v>
      </c>
      <c r="C16231">
        <v>0</v>
      </c>
      <c r="D16231" t="s">
        <v>106</v>
      </c>
      <c r="E16231">
        <v>2.6386806596701602</v>
      </c>
    </row>
    <row r="16232" spans="1:5">
      <c r="A16232" t="s">
        <v>18794</v>
      </c>
      <c r="B16232" t="s">
        <v>18799</v>
      </c>
      <c r="C16232">
        <f>0</f>
        <v>0</v>
      </c>
      <c r="D16232" t="s">
        <v>106</v>
      </c>
      <c r="E16232">
        <v>2.6386806596701602</v>
      </c>
    </row>
    <row r="16233" spans="1:5">
      <c r="A16233" t="s">
        <v>18794</v>
      </c>
      <c r="B16233" t="s">
        <v>18800</v>
      </c>
      <c r="C16233">
        <v>0</v>
      </c>
      <c r="D16233" t="s">
        <v>106</v>
      </c>
      <c r="E16233">
        <v>2.6386806596701602</v>
      </c>
    </row>
    <row r="16234" spans="1:5">
      <c r="A16234" t="s">
        <v>18794</v>
      </c>
      <c r="B16234" t="s">
        <v>18801</v>
      </c>
      <c r="C16234">
        <f>0</f>
        <v>0</v>
      </c>
      <c r="D16234" t="s">
        <v>106</v>
      </c>
      <c r="E16234">
        <v>2.6386806596701602</v>
      </c>
    </row>
    <row r="16235" spans="1:5">
      <c r="A16235" t="s">
        <v>18794</v>
      </c>
      <c r="B16235" t="s">
        <v>18802</v>
      </c>
      <c r="C16235">
        <v>0.41533901329099998</v>
      </c>
      <c r="D16235" t="s">
        <v>106</v>
      </c>
      <c r="E16235">
        <v>2.6386806596701602</v>
      </c>
    </row>
    <row r="16236" spans="1:5">
      <c r="A16236" t="s">
        <v>18794</v>
      </c>
      <c r="B16236" t="s">
        <v>18803</v>
      </c>
      <c r="C16236">
        <f>0.0616422541599</f>
        <v>6.1642254159900003E-2</v>
      </c>
      <c r="D16236" t="s">
        <v>106</v>
      </c>
      <c r="E16236">
        <v>2.6386806596701602</v>
      </c>
    </row>
    <row r="16237" spans="1:5">
      <c r="A16237" t="s">
        <v>18794</v>
      </c>
      <c r="B16237" t="s">
        <v>18804</v>
      </c>
      <c r="C16237">
        <f>0</f>
        <v>0</v>
      </c>
      <c r="D16237" t="s">
        <v>106</v>
      </c>
      <c r="E16237">
        <v>2.6386806596701602</v>
      </c>
    </row>
    <row r="16238" spans="1:5">
      <c r="A16238" t="s">
        <v>18805</v>
      </c>
      <c r="B16238" t="s">
        <v>18806</v>
      </c>
      <c r="C16238">
        <f>0</f>
        <v>0</v>
      </c>
      <c r="D16238" t="s">
        <v>106</v>
      </c>
      <c r="E16238">
        <v>10.878560719640101</v>
      </c>
    </row>
    <row r="16239" spans="1:5">
      <c r="A16239" t="s">
        <v>18805</v>
      </c>
      <c r="B16239" t="s">
        <v>18807</v>
      </c>
      <c r="C16239">
        <v>0</v>
      </c>
      <c r="D16239" t="s">
        <v>106</v>
      </c>
      <c r="E16239">
        <v>10.878560719640101</v>
      </c>
    </row>
    <row r="16240" spans="1:5">
      <c r="A16240" t="s">
        <v>18805</v>
      </c>
      <c r="B16240" t="s">
        <v>18808</v>
      </c>
      <c r="C16240">
        <v>0</v>
      </c>
      <c r="D16240" t="s">
        <v>106</v>
      </c>
      <c r="E16240">
        <v>10.878560719640101</v>
      </c>
    </row>
    <row r="16241" spans="1:5">
      <c r="A16241" t="s">
        <v>18805</v>
      </c>
      <c r="B16241" t="s">
        <v>18809</v>
      </c>
      <c r="C16241">
        <v>0</v>
      </c>
      <c r="D16241" t="s">
        <v>106</v>
      </c>
      <c r="E16241">
        <v>10.878560719640101</v>
      </c>
    </row>
    <row r="16242" spans="1:5">
      <c r="A16242" t="s">
        <v>18810</v>
      </c>
      <c r="B16242" t="s">
        <v>18811</v>
      </c>
      <c r="C16242">
        <f>0.384502651351</f>
        <v>0.38450265135099998</v>
      </c>
      <c r="D16242">
        <v>0.91193493406000004</v>
      </c>
      <c r="E16242">
        <v>1.00749625187406</v>
      </c>
    </row>
    <row r="16243" spans="1:5">
      <c r="A16243" t="s">
        <v>18810</v>
      </c>
      <c r="B16243" t="s">
        <v>18812</v>
      </c>
      <c r="C16243">
        <v>0</v>
      </c>
      <c r="D16243">
        <v>0.91193493406000004</v>
      </c>
      <c r="E16243">
        <v>1.00749625187406</v>
      </c>
    </row>
    <row r="16244" spans="1:5">
      <c r="A16244" t="s">
        <v>18810</v>
      </c>
      <c r="B16244" t="s">
        <v>18813</v>
      </c>
      <c r="C16244">
        <f>0.120770828746</f>
        <v>0.12077082874599999</v>
      </c>
      <c r="D16244">
        <v>0.91193493406000004</v>
      </c>
      <c r="E16244">
        <v>1.00749625187406</v>
      </c>
    </row>
    <row r="16245" spans="1:5">
      <c r="A16245" t="s">
        <v>18814</v>
      </c>
      <c r="B16245" t="s">
        <v>18815</v>
      </c>
      <c r="C16245">
        <f>0</f>
        <v>0</v>
      </c>
      <c r="D16245">
        <v>0.87692377600600002</v>
      </c>
      <c r="E16245">
        <v>4.7976011994003001</v>
      </c>
    </row>
    <row r="16246" spans="1:5">
      <c r="A16246" t="s">
        <v>18814</v>
      </c>
      <c r="B16246" t="s">
        <v>18816</v>
      </c>
      <c r="C16246">
        <v>0</v>
      </c>
      <c r="D16246">
        <v>0.87692377600600002</v>
      </c>
      <c r="E16246">
        <v>4.7976011994003001</v>
      </c>
    </row>
    <row r="16247" spans="1:5">
      <c r="A16247" t="s">
        <v>18814</v>
      </c>
      <c r="B16247" t="s">
        <v>18817</v>
      </c>
      <c r="C16247">
        <v>0</v>
      </c>
      <c r="D16247">
        <v>0.87692377600600002</v>
      </c>
      <c r="E16247">
        <v>4.7976011994003001</v>
      </c>
    </row>
    <row r="16248" spans="1:5">
      <c r="A16248" t="s">
        <v>18814</v>
      </c>
      <c r="B16248" t="s">
        <v>18818</v>
      </c>
      <c r="C16248">
        <v>0</v>
      </c>
      <c r="D16248">
        <v>0.87692377600600002</v>
      </c>
      <c r="E16248">
        <v>4.7976011994003001</v>
      </c>
    </row>
    <row r="16249" spans="1:5">
      <c r="A16249" t="s">
        <v>18814</v>
      </c>
      <c r="B16249" t="s">
        <v>18819</v>
      </c>
      <c r="C16249">
        <f>0</f>
        <v>0</v>
      </c>
      <c r="D16249">
        <v>0.87692377600600002</v>
      </c>
      <c r="E16249">
        <v>4.7976011994003001</v>
      </c>
    </row>
    <row r="16250" spans="1:5">
      <c r="A16250" t="s">
        <v>18814</v>
      </c>
      <c r="B16250" t="s">
        <v>18820</v>
      </c>
      <c r="C16250">
        <v>0</v>
      </c>
      <c r="D16250">
        <v>0.87692377600600002</v>
      </c>
      <c r="E16250">
        <v>4.7976011994003001</v>
      </c>
    </row>
    <row r="16251" spans="1:5">
      <c r="A16251" t="s">
        <v>18814</v>
      </c>
      <c r="B16251" t="s">
        <v>18821</v>
      </c>
      <c r="C16251">
        <f>0</f>
        <v>0</v>
      </c>
      <c r="D16251">
        <v>0.87692377600600002</v>
      </c>
      <c r="E16251">
        <v>4.7976011994003001</v>
      </c>
    </row>
    <row r="16252" spans="1:5">
      <c r="A16252" t="s">
        <v>18814</v>
      </c>
      <c r="B16252" t="s">
        <v>18822</v>
      </c>
      <c r="C16252">
        <v>0</v>
      </c>
      <c r="D16252">
        <v>0.87692377600600002</v>
      </c>
      <c r="E16252">
        <v>4.7976011994003001</v>
      </c>
    </row>
    <row r="16253" spans="1:5">
      <c r="A16253" t="s">
        <v>18814</v>
      </c>
      <c r="B16253" t="s">
        <v>18823</v>
      </c>
      <c r="C16253">
        <v>0</v>
      </c>
      <c r="D16253">
        <v>0.87692377600600002</v>
      </c>
      <c r="E16253">
        <v>4.7976011994003001</v>
      </c>
    </row>
    <row r="16254" spans="1:5">
      <c r="A16254" t="s">
        <v>18814</v>
      </c>
      <c r="B16254" t="s">
        <v>18824</v>
      </c>
      <c r="C16254">
        <v>0</v>
      </c>
      <c r="D16254">
        <v>0.87692377600600002</v>
      </c>
      <c r="E16254">
        <v>4.7976011994003001</v>
      </c>
    </row>
    <row r="16255" spans="1:5">
      <c r="A16255" t="s">
        <v>18825</v>
      </c>
      <c r="B16255" t="s">
        <v>18826</v>
      </c>
      <c r="C16255">
        <v>0</v>
      </c>
      <c r="D16255" t="s">
        <v>106</v>
      </c>
      <c r="E16255">
        <v>4.3778110944527704</v>
      </c>
    </row>
    <row r="16256" spans="1:5">
      <c r="A16256" t="s">
        <v>18825</v>
      </c>
      <c r="B16256" t="s">
        <v>18827</v>
      </c>
      <c r="C16256">
        <v>0</v>
      </c>
      <c r="D16256" t="s">
        <v>106</v>
      </c>
      <c r="E16256">
        <v>4.3778110944527704</v>
      </c>
    </row>
    <row r="16257" spans="1:5">
      <c r="A16257" t="s">
        <v>18828</v>
      </c>
      <c r="B16257" t="s">
        <v>18829</v>
      </c>
      <c r="C16257">
        <f>0</f>
        <v>0</v>
      </c>
      <c r="D16257">
        <v>0.97731126771400001</v>
      </c>
      <c r="E16257">
        <v>2.79460269865067</v>
      </c>
    </row>
    <row r="16258" spans="1:5">
      <c r="A16258" t="s">
        <v>18828</v>
      </c>
      <c r="B16258" t="s">
        <v>18830</v>
      </c>
      <c r="C16258">
        <f>0.36155468527</f>
        <v>0.36155468527000001</v>
      </c>
      <c r="D16258">
        <v>0.97731126771400001</v>
      </c>
      <c r="E16258">
        <v>2.79460269865067</v>
      </c>
    </row>
    <row r="16259" spans="1:5">
      <c r="A16259" t="s">
        <v>18828</v>
      </c>
      <c r="B16259" t="s">
        <v>18831</v>
      </c>
      <c r="C16259">
        <f>0.0897395204327</f>
        <v>8.9739520432700004E-2</v>
      </c>
      <c r="D16259">
        <v>0.97731126771400001</v>
      </c>
      <c r="E16259">
        <v>2.79460269865067</v>
      </c>
    </row>
    <row r="16260" spans="1:5">
      <c r="A16260" t="s">
        <v>18828</v>
      </c>
      <c r="B16260" t="s">
        <v>18832</v>
      </c>
      <c r="C16260">
        <v>0</v>
      </c>
      <c r="D16260">
        <v>0.97731126771400001</v>
      </c>
      <c r="E16260">
        <v>2.79460269865067</v>
      </c>
    </row>
    <row r="16261" spans="1:5">
      <c r="A16261" t="s">
        <v>18833</v>
      </c>
      <c r="B16261" t="s">
        <v>18834</v>
      </c>
      <c r="C16261">
        <v>0</v>
      </c>
      <c r="D16261">
        <v>0.98626791743099995</v>
      </c>
      <c r="E16261">
        <v>11.5382308845577</v>
      </c>
    </row>
    <row r="16262" spans="1:5">
      <c r="A16262" t="s">
        <v>18833</v>
      </c>
      <c r="B16262" t="s">
        <v>18835</v>
      </c>
      <c r="C16262">
        <v>0</v>
      </c>
      <c r="D16262">
        <v>0.98626791743099995</v>
      </c>
      <c r="E16262">
        <v>11.5382308845577</v>
      </c>
    </row>
    <row r="16263" spans="1:5">
      <c r="A16263" t="s">
        <v>18833</v>
      </c>
      <c r="B16263" t="s">
        <v>18836</v>
      </c>
      <c r="C16263">
        <v>0</v>
      </c>
      <c r="D16263">
        <v>0.98626791743099995</v>
      </c>
      <c r="E16263">
        <v>11.5382308845577</v>
      </c>
    </row>
    <row r="16264" spans="1:5">
      <c r="A16264" t="s">
        <v>18833</v>
      </c>
      <c r="B16264" t="s">
        <v>18837</v>
      </c>
      <c r="C16264">
        <f>0</f>
        <v>0</v>
      </c>
      <c r="D16264">
        <v>0.98626791743099995</v>
      </c>
      <c r="E16264">
        <v>11.5382308845577</v>
      </c>
    </row>
    <row r="16265" spans="1:5">
      <c r="A16265" t="s">
        <v>18833</v>
      </c>
      <c r="B16265" t="s">
        <v>18838</v>
      </c>
      <c r="C16265">
        <f>0</f>
        <v>0</v>
      </c>
      <c r="D16265">
        <v>0.98626791743099995</v>
      </c>
      <c r="E16265">
        <v>11.5382308845577</v>
      </c>
    </row>
    <row r="16266" spans="1:5">
      <c r="A16266" t="s">
        <v>18833</v>
      </c>
      <c r="B16266" t="s">
        <v>18839</v>
      </c>
      <c r="C16266">
        <f>0.0224130883493</f>
        <v>2.24130883493E-2</v>
      </c>
      <c r="D16266">
        <v>0.98626791743099995</v>
      </c>
      <c r="E16266">
        <v>11.5382308845577</v>
      </c>
    </row>
    <row r="16267" spans="1:5">
      <c r="A16267" t="s">
        <v>18833</v>
      </c>
      <c r="B16267" t="s">
        <v>18840</v>
      </c>
      <c r="C16267">
        <v>0</v>
      </c>
      <c r="D16267">
        <v>0.98626791743099995</v>
      </c>
      <c r="E16267">
        <v>11.5382308845577</v>
      </c>
    </row>
    <row r="16268" spans="1:5">
      <c r="A16268" t="s">
        <v>18833</v>
      </c>
      <c r="B16268" t="s">
        <v>18841</v>
      </c>
      <c r="C16268">
        <f>0</f>
        <v>0</v>
      </c>
      <c r="D16268">
        <v>0.98626791743099995</v>
      </c>
      <c r="E16268">
        <v>11.5382308845577</v>
      </c>
    </row>
    <row r="16269" spans="1:5">
      <c r="A16269" t="s">
        <v>18833</v>
      </c>
      <c r="B16269" t="s">
        <v>18842</v>
      </c>
      <c r="C16269">
        <f>0</f>
        <v>0</v>
      </c>
      <c r="D16269">
        <v>0.98626791743099995</v>
      </c>
      <c r="E16269">
        <v>11.5382308845577</v>
      </c>
    </row>
    <row r="16270" spans="1:5">
      <c r="A16270" t="s">
        <v>18833</v>
      </c>
      <c r="B16270" t="s">
        <v>18843</v>
      </c>
      <c r="C16270">
        <v>0</v>
      </c>
      <c r="D16270">
        <v>0.98626791743099995</v>
      </c>
      <c r="E16270">
        <v>11.5382308845577</v>
      </c>
    </row>
    <row r="16271" spans="1:5">
      <c r="A16271" t="s">
        <v>18833</v>
      </c>
      <c r="B16271" t="s">
        <v>18844</v>
      </c>
      <c r="C16271">
        <f>0</f>
        <v>0</v>
      </c>
      <c r="D16271">
        <v>0.98626791743099995</v>
      </c>
      <c r="E16271">
        <v>11.5382308845577</v>
      </c>
    </row>
    <row r="16272" spans="1:5">
      <c r="A16272" t="s">
        <v>18833</v>
      </c>
      <c r="B16272" t="s">
        <v>18845</v>
      </c>
      <c r="C16272">
        <f>0</f>
        <v>0</v>
      </c>
      <c r="D16272">
        <v>0.98626791743099995</v>
      </c>
      <c r="E16272">
        <v>11.5382308845577</v>
      </c>
    </row>
    <row r="16273" spans="1:5">
      <c r="A16273" t="s">
        <v>18833</v>
      </c>
      <c r="B16273" t="s">
        <v>18846</v>
      </c>
      <c r="C16273">
        <f>0</f>
        <v>0</v>
      </c>
      <c r="D16273">
        <v>0.98626791743099995</v>
      </c>
      <c r="E16273">
        <v>11.5382308845577</v>
      </c>
    </row>
    <row r="16274" spans="1:5">
      <c r="A16274" t="s">
        <v>18833</v>
      </c>
      <c r="B16274" t="s">
        <v>18847</v>
      </c>
      <c r="C16274">
        <f>0</f>
        <v>0</v>
      </c>
      <c r="D16274">
        <v>0.98626791743099995</v>
      </c>
      <c r="E16274">
        <v>11.5382308845577</v>
      </c>
    </row>
    <row r="16275" spans="1:5">
      <c r="A16275" t="s">
        <v>18833</v>
      </c>
      <c r="B16275" t="s">
        <v>18848</v>
      </c>
      <c r="C16275">
        <v>0.22699088323700001</v>
      </c>
      <c r="D16275">
        <v>0.98626791743099995</v>
      </c>
      <c r="E16275">
        <v>11.5382308845577</v>
      </c>
    </row>
    <row r="16276" spans="1:5">
      <c r="A16276" t="s">
        <v>18833</v>
      </c>
      <c r="B16276" t="s">
        <v>18849</v>
      </c>
      <c r="C16276">
        <f>0</f>
        <v>0</v>
      </c>
      <c r="D16276">
        <v>0.98626791743099995</v>
      </c>
      <c r="E16276">
        <v>11.5382308845577</v>
      </c>
    </row>
    <row r="16277" spans="1:5">
      <c r="A16277" t="s">
        <v>18850</v>
      </c>
      <c r="B16277" t="s">
        <v>18851</v>
      </c>
      <c r="C16277">
        <v>0</v>
      </c>
      <c r="D16277">
        <v>0.66334234782299994</v>
      </c>
      <c r="E16277">
        <v>0.95952023988005997</v>
      </c>
    </row>
    <row r="16278" spans="1:5">
      <c r="A16278" t="s">
        <v>18850</v>
      </c>
      <c r="B16278" t="s">
        <v>18852</v>
      </c>
      <c r="C16278">
        <v>6.7471653036400001E-2</v>
      </c>
      <c r="D16278">
        <v>0.66334234782299994</v>
      </c>
      <c r="E16278">
        <v>0.95952023988005997</v>
      </c>
    </row>
    <row r="16279" spans="1:5">
      <c r="A16279" t="s">
        <v>18853</v>
      </c>
      <c r="B16279" t="s">
        <v>18854</v>
      </c>
      <c r="C16279">
        <v>0</v>
      </c>
      <c r="D16279" t="s">
        <v>106</v>
      </c>
      <c r="E16279">
        <v>20.509745127436201</v>
      </c>
    </row>
    <row r="16280" spans="1:5">
      <c r="A16280" t="s">
        <v>18853</v>
      </c>
      <c r="B16280" t="s">
        <v>18855</v>
      </c>
      <c r="C16280">
        <v>1.8950721561E-2</v>
      </c>
      <c r="D16280" t="s">
        <v>106</v>
      </c>
      <c r="E16280">
        <v>20.509745127436201</v>
      </c>
    </row>
    <row r="16281" spans="1:5">
      <c r="A16281" t="s">
        <v>18853</v>
      </c>
      <c r="B16281" t="s">
        <v>18856</v>
      </c>
      <c r="C16281">
        <f>0.00970755457037</f>
        <v>9.7075545703699997E-3</v>
      </c>
      <c r="D16281" t="s">
        <v>106</v>
      </c>
      <c r="E16281">
        <v>20.509745127436201</v>
      </c>
    </row>
    <row r="16282" spans="1:5">
      <c r="A16282" t="s">
        <v>18857</v>
      </c>
      <c r="B16282" t="s">
        <v>18858</v>
      </c>
      <c r="C16282">
        <v>0</v>
      </c>
      <c r="D16282">
        <v>0.88098618291800002</v>
      </c>
      <c r="E16282">
        <v>17.919040479760099</v>
      </c>
    </row>
    <row r="16283" spans="1:5">
      <c r="A16283" t="s">
        <v>18857</v>
      </c>
      <c r="B16283" t="s">
        <v>18859</v>
      </c>
      <c r="C16283">
        <v>7.3342823251699996E-4</v>
      </c>
      <c r="D16283">
        <v>0.88098618291800002</v>
      </c>
      <c r="E16283">
        <v>17.919040479760099</v>
      </c>
    </row>
    <row r="16284" spans="1:5">
      <c r="A16284" t="s">
        <v>18857</v>
      </c>
      <c r="B16284" t="s">
        <v>18860</v>
      </c>
      <c r="C16284">
        <v>0</v>
      </c>
      <c r="D16284">
        <v>0.88098618291800002</v>
      </c>
      <c r="E16284">
        <v>17.919040479760099</v>
      </c>
    </row>
    <row r="16285" spans="1:5">
      <c r="A16285" t="s">
        <v>18857</v>
      </c>
      <c r="B16285" t="s">
        <v>18861</v>
      </c>
      <c r="C16285">
        <v>0</v>
      </c>
      <c r="D16285">
        <v>0.88098618291800002</v>
      </c>
      <c r="E16285">
        <v>17.919040479760099</v>
      </c>
    </row>
    <row r="16286" spans="1:5">
      <c r="A16286" t="s">
        <v>18857</v>
      </c>
      <c r="B16286" t="s">
        <v>18862</v>
      </c>
      <c r="C16286">
        <v>0</v>
      </c>
      <c r="D16286">
        <v>0.88098618291800002</v>
      </c>
      <c r="E16286">
        <v>17.919040479760099</v>
      </c>
    </row>
    <row r="16287" spans="1:5">
      <c r="A16287" t="s">
        <v>18863</v>
      </c>
      <c r="B16287" t="s">
        <v>18864</v>
      </c>
      <c r="C16287">
        <f>0</f>
        <v>0</v>
      </c>
      <c r="D16287">
        <v>0.81230578386999996</v>
      </c>
      <c r="E16287">
        <v>3.40629685157421</v>
      </c>
    </row>
    <row r="16288" spans="1:5">
      <c r="A16288" t="s">
        <v>18863</v>
      </c>
      <c r="B16288" t="s">
        <v>18865</v>
      </c>
      <c r="C16288">
        <v>0</v>
      </c>
      <c r="D16288">
        <v>0.81230578386999996</v>
      </c>
      <c r="E16288">
        <v>3.40629685157421</v>
      </c>
    </row>
    <row r="16289" spans="1:5">
      <c r="A16289" t="s">
        <v>18863</v>
      </c>
      <c r="B16289" t="s">
        <v>18866</v>
      </c>
      <c r="C16289">
        <v>0</v>
      </c>
      <c r="D16289">
        <v>0.81230578386999996</v>
      </c>
      <c r="E16289">
        <v>3.40629685157421</v>
      </c>
    </row>
    <row r="16290" spans="1:5">
      <c r="A16290" t="s">
        <v>18863</v>
      </c>
      <c r="B16290" t="s">
        <v>18867</v>
      </c>
      <c r="C16290">
        <v>0</v>
      </c>
      <c r="D16290">
        <v>0.81230578386999996</v>
      </c>
      <c r="E16290">
        <v>3.40629685157421</v>
      </c>
    </row>
    <row r="16291" spans="1:5">
      <c r="A16291" t="s">
        <v>18863</v>
      </c>
      <c r="B16291" t="s">
        <v>18868</v>
      </c>
      <c r="C16291">
        <v>6.6441191668399999E-2</v>
      </c>
      <c r="D16291">
        <v>0.81230578386999996</v>
      </c>
      <c r="E16291">
        <v>3.40629685157421</v>
      </c>
    </row>
    <row r="16292" spans="1:5">
      <c r="A16292" t="s">
        <v>18863</v>
      </c>
      <c r="B16292" t="s">
        <v>18869</v>
      </c>
      <c r="C16292">
        <f>0</f>
        <v>0</v>
      </c>
      <c r="D16292">
        <v>0.81230578386999996</v>
      </c>
      <c r="E16292">
        <v>3.40629685157421</v>
      </c>
    </row>
    <row r="16293" spans="1:5">
      <c r="A16293" t="s">
        <v>18863</v>
      </c>
      <c r="B16293" t="s">
        <v>18870</v>
      </c>
      <c r="C16293">
        <v>0</v>
      </c>
      <c r="D16293">
        <v>0.81230578386999996</v>
      </c>
      <c r="E16293">
        <v>3.40629685157421</v>
      </c>
    </row>
    <row r="16294" spans="1:5">
      <c r="A16294" t="s">
        <v>18863</v>
      </c>
      <c r="B16294" t="s">
        <v>18871</v>
      </c>
      <c r="C16294">
        <v>0</v>
      </c>
      <c r="D16294">
        <v>0.81230578386999996</v>
      </c>
      <c r="E16294">
        <v>3.40629685157421</v>
      </c>
    </row>
    <row r="16295" spans="1:5">
      <c r="A16295" t="s">
        <v>18863</v>
      </c>
      <c r="B16295" t="s">
        <v>18872</v>
      </c>
      <c r="C16295">
        <v>0</v>
      </c>
      <c r="D16295">
        <v>0.81230578386999996</v>
      </c>
      <c r="E16295">
        <v>3.40629685157421</v>
      </c>
    </row>
    <row r="16296" spans="1:5">
      <c r="A16296" t="s">
        <v>18873</v>
      </c>
      <c r="B16296" t="s">
        <v>18874</v>
      </c>
      <c r="C16296">
        <v>0</v>
      </c>
      <c r="D16296">
        <v>0.99446000192399997</v>
      </c>
      <c r="E16296">
        <v>4.0659670164917499</v>
      </c>
    </row>
    <row r="16297" spans="1:5">
      <c r="A16297" t="s">
        <v>18873</v>
      </c>
      <c r="B16297" t="s">
        <v>18875</v>
      </c>
      <c r="C16297">
        <v>0.20494034160499999</v>
      </c>
      <c r="D16297">
        <v>0.99446000192399997</v>
      </c>
      <c r="E16297">
        <v>4.0659670164917499</v>
      </c>
    </row>
    <row r="16298" spans="1:5">
      <c r="A16298" t="s">
        <v>18873</v>
      </c>
      <c r="B16298" t="s">
        <v>18876</v>
      </c>
      <c r="C16298">
        <v>0.61909426831000003</v>
      </c>
      <c r="D16298">
        <v>0.99446000192399997</v>
      </c>
      <c r="E16298">
        <v>4.0659670164917499</v>
      </c>
    </row>
    <row r="16299" spans="1:5">
      <c r="A16299" t="s">
        <v>18873</v>
      </c>
      <c r="B16299" t="s">
        <v>18877</v>
      </c>
      <c r="C16299">
        <v>0</v>
      </c>
      <c r="D16299">
        <v>0.99446000192399997</v>
      </c>
      <c r="E16299">
        <v>4.0659670164917499</v>
      </c>
    </row>
    <row r="16300" spans="1:5">
      <c r="A16300" t="s">
        <v>18873</v>
      </c>
      <c r="B16300" t="s">
        <v>18878</v>
      </c>
      <c r="C16300">
        <f>0</f>
        <v>0</v>
      </c>
      <c r="D16300">
        <v>0.99446000192399997</v>
      </c>
      <c r="E16300">
        <v>4.0659670164917499</v>
      </c>
    </row>
    <row r="16301" spans="1:5">
      <c r="A16301" t="s">
        <v>18873</v>
      </c>
      <c r="B16301" t="s">
        <v>18879</v>
      </c>
      <c r="C16301">
        <v>0</v>
      </c>
      <c r="D16301">
        <v>0.99446000192399997</v>
      </c>
      <c r="E16301">
        <v>4.0659670164917499</v>
      </c>
    </row>
    <row r="16302" spans="1:5">
      <c r="A16302" t="s">
        <v>18880</v>
      </c>
      <c r="B16302" t="s">
        <v>18881</v>
      </c>
      <c r="C16302">
        <f>0</f>
        <v>0</v>
      </c>
      <c r="D16302">
        <v>0.96651335339699995</v>
      </c>
      <c r="E16302">
        <v>2.96251874062968</v>
      </c>
    </row>
    <row r="16303" spans="1:5">
      <c r="A16303" t="s">
        <v>18880</v>
      </c>
      <c r="B16303" t="s">
        <v>18882</v>
      </c>
      <c r="C16303">
        <v>0</v>
      </c>
      <c r="D16303">
        <v>0.96651335339699995</v>
      </c>
      <c r="E16303">
        <v>2.96251874062968</v>
      </c>
    </row>
    <row r="16304" spans="1:5">
      <c r="A16304" t="s">
        <v>18880</v>
      </c>
      <c r="B16304" t="s">
        <v>18883</v>
      </c>
      <c r="C16304">
        <v>0</v>
      </c>
      <c r="D16304">
        <v>0.96651335339699995</v>
      </c>
      <c r="E16304">
        <v>2.96251874062968</v>
      </c>
    </row>
    <row r="16305" spans="1:5">
      <c r="A16305" t="s">
        <v>18880</v>
      </c>
      <c r="B16305" t="s">
        <v>18884</v>
      </c>
      <c r="C16305">
        <v>0</v>
      </c>
      <c r="D16305">
        <v>0.96651335339699995</v>
      </c>
      <c r="E16305">
        <v>2.96251874062968</v>
      </c>
    </row>
    <row r="16306" spans="1:5">
      <c r="A16306" t="s">
        <v>18880</v>
      </c>
      <c r="B16306" t="s">
        <v>18885</v>
      </c>
      <c r="C16306">
        <f>0</f>
        <v>0</v>
      </c>
      <c r="D16306">
        <v>0.96651335339699995</v>
      </c>
      <c r="E16306">
        <v>2.96251874062968</v>
      </c>
    </row>
    <row r="16307" spans="1:5">
      <c r="A16307" t="s">
        <v>18880</v>
      </c>
      <c r="B16307" t="s">
        <v>18886</v>
      </c>
      <c r="C16307">
        <v>0</v>
      </c>
      <c r="D16307">
        <v>0.96651335339699995</v>
      </c>
      <c r="E16307">
        <v>2.96251874062968</v>
      </c>
    </row>
    <row r="16308" spans="1:5">
      <c r="A16308" t="s">
        <v>18880</v>
      </c>
      <c r="B16308" t="s">
        <v>18887</v>
      </c>
      <c r="C16308">
        <f>0</f>
        <v>0</v>
      </c>
      <c r="D16308">
        <v>0.96651335339699995</v>
      </c>
      <c r="E16308">
        <v>2.96251874062968</v>
      </c>
    </row>
    <row r="16309" spans="1:5">
      <c r="A16309" t="s">
        <v>18880</v>
      </c>
      <c r="B16309" t="s">
        <v>18888</v>
      </c>
      <c r="C16309">
        <v>0.63895155049700003</v>
      </c>
      <c r="D16309">
        <v>0.96651335339699995</v>
      </c>
      <c r="E16309">
        <v>2.96251874062968</v>
      </c>
    </row>
    <row r="16310" spans="1:5">
      <c r="A16310" t="s">
        <v>18880</v>
      </c>
      <c r="B16310" t="s">
        <v>18889</v>
      </c>
      <c r="C16310">
        <f>0</f>
        <v>0</v>
      </c>
      <c r="D16310">
        <v>0.96651335339699995</v>
      </c>
      <c r="E16310">
        <v>2.96251874062968</v>
      </c>
    </row>
    <row r="16311" spans="1:5">
      <c r="A16311" t="s">
        <v>18880</v>
      </c>
      <c r="B16311" t="s">
        <v>18890</v>
      </c>
      <c r="C16311">
        <v>0</v>
      </c>
      <c r="D16311">
        <v>0.96651335339699995</v>
      </c>
      <c r="E16311">
        <v>2.96251874062968</v>
      </c>
    </row>
    <row r="16312" spans="1:5">
      <c r="A16312" t="s">
        <v>18880</v>
      </c>
      <c r="B16312" t="s">
        <v>18891</v>
      </c>
      <c r="C16312">
        <f>0</f>
        <v>0</v>
      </c>
      <c r="D16312">
        <v>0.96651335339699995</v>
      </c>
      <c r="E16312">
        <v>2.96251874062968</v>
      </c>
    </row>
    <row r="16313" spans="1:5">
      <c r="A16313" t="s">
        <v>18880</v>
      </c>
      <c r="B16313" t="s">
        <v>18892</v>
      </c>
      <c r="C16313">
        <v>0</v>
      </c>
      <c r="D16313">
        <v>0.96651335339699995</v>
      </c>
      <c r="E16313">
        <v>2.96251874062968</v>
      </c>
    </row>
    <row r="16314" spans="1:5">
      <c r="A16314" t="s">
        <v>18880</v>
      </c>
      <c r="B16314" t="s">
        <v>18893</v>
      </c>
      <c r="C16314">
        <f>0</f>
        <v>0</v>
      </c>
      <c r="D16314">
        <v>0.96651335339699995</v>
      </c>
      <c r="E16314">
        <v>2.96251874062968</v>
      </c>
    </row>
    <row r="16315" spans="1:5">
      <c r="A16315" t="s">
        <v>18880</v>
      </c>
      <c r="B16315" t="s">
        <v>18894</v>
      </c>
      <c r="C16315">
        <v>0</v>
      </c>
      <c r="D16315">
        <v>0.96651335339699995</v>
      </c>
      <c r="E16315">
        <v>2.96251874062968</v>
      </c>
    </row>
    <row r="16316" spans="1:5">
      <c r="A16316" t="s">
        <v>18880</v>
      </c>
      <c r="B16316" t="s">
        <v>18895</v>
      </c>
      <c r="C16316">
        <v>0</v>
      </c>
      <c r="D16316">
        <v>0.96651335339699995</v>
      </c>
      <c r="E16316">
        <v>2.96251874062968</v>
      </c>
    </row>
    <row r="16317" spans="1:5">
      <c r="A16317" t="s">
        <v>18880</v>
      </c>
      <c r="B16317" t="s">
        <v>18896</v>
      </c>
      <c r="C16317">
        <v>0</v>
      </c>
      <c r="D16317">
        <v>0.96651335339699995</v>
      </c>
      <c r="E16317">
        <v>2.96251874062968</v>
      </c>
    </row>
    <row r="16318" spans="1:5">
      <c r="A16318" t="s">
        <v>18880</v>
      </c>
      <c r="B16318" t="s">
        <v>18897</v>
      </c>
      <c r="C16318">
        <v>0</v>
      </c>
      <c r="D16318">
        <v>0.96651335339699995</v>
      </c>
      <c r="E16318">
        <v>2.96251874062968</v>
      </c>
    </row>
    <row r="16319" spans="1:5">
      <c r="A16319" t="s">
        <v>18898</v>
      </c>
      <c r="B16319" t="s">
        <v>18899</v>
      </c>
      <c r="C16319">
        <v>9.1132031774899994E-2</v>
      </c>
      <c r="D16319">
        <v>0.86859539265800001</v>
      </c>
      <c r="E16319">
        <v>5.4692653673163401</v>
      </c>
    </row>
    <row r="16320" spans="1:5">
      <c r="A16320" t="s">
        <v>18898</v>
      </c>
      <c r="B16320" t="s">
        <v>18900</v>
      </c>
      <c r="C16320">
        <f>0</f>
        <v>0</v>
      </c>
      <c r="D16320">
        <v>0.86859539265800001</v>
      </c>
      <c r="E16320">
        <v>5.4692653673163401</v>
      </c>
    </row>
    <row r="16321" spans="1:5">
      <c r="A16321" t="s">
        <v>18898</v>
      </c>
      <c r="B16321" t="s">
        <v>18901</v>
      </c>
      <c r="C16321">
        <f>0</f>
        <v>0</v>
      </c>
      <c r="D16321">
        <v>0.86859539265800001</v>
      </c>
      <c r="E16321">
        <v>5.4692653673163401</v>
      </c>
    </row>
    <row r="16322" spans="1:5">
      <c r="A16322" t="s">
        <v>18898</v>
      </c>
      <c r="B16322" t="s">
        <v>18902</v>
      </c>
      <c r="C16322">
        <v>2.0735813295500002E-2</v>
      </c>
      <c r="D16322">
        <v>0.86859539265800001</v>
      </c>
      <c r="E16322">
        <v>5.4692653673163401</v>
      </c>
    </row>
    <row r="16323" spans="1:5">
      <c r="A16323" t="s">
        <v>18903</v>
      </c>
      <c r="B16323" t="s">
        <v>18904</v>
      </c>
      <c r="C16323">
        <v>0</v>
      </c>
      <c r="D16323" t="s">
        <v>106</v>
      </c>
      <c r="E16323">
        <v>24</v>
      </c>
    </row>
    <row r="16324" spans="1:5">
      <c r="A16324" t="s">
        <v>18903</v>
      </c>
      <c r="B16324" t="s">
        <v>18905</v>
      </c>
      <c r="C16324">
        <v>0</v>
      </c>
      <c r="D16324" t="s">
        <v>106</v>
      </c>
      <c r="E16324">
        <v>24</v>
      </c>
    </row>
    <row r="16325" spans="1:5">
      <c r="A16325" t="s">
        <v>18903</v>
      </c>
      <c r="B16325" t="s">
        <v>18906</v>
      </c>
      <c r="C16325">
        <v>0</v>
      </c>
      <c r="D16325" t="s">
        <v>106</v>
      </c>
      <c r="E16325">
        <v>24</v>
      </c>
    </row>
    <row r="16326" spans="1:5">
      <c r="A16326" t="s">
        <v>18903</v>
      </c>
      <c r="B16326" t="s">
        <v>18907</v>
      </c>
      <c r="C16326">
        <f>0</f>
        <v>0</v>
      </c>
      <c r="D16326" t="s">
        <v>106</v>
      </c>
      <c r="E16326">
        <v>24</v>
      </c>
    </row>
    <row r="16327" spans="1:5">
      <c r="A16327" t="s">
        <v>18903</v>
      </c>
      <c r="B16327" t="s">
        <v>18908</v>
      </c>
      <c r="C16327">
        <f>0</f>
        <v>0</v>
      </c>
      <c r="D16327" t="s">
        <v>106</v>
      </c>
      <c r="E16327">
        <v>24</v>
      </c>
    </row>
    <row r="16328" spans="1:5">
      <c r="A16328" t="s">
        <v>18903</v>
      </c>
      <c r="B16328" t="s">
        <v>18909</v>
      </c>
      <c r="C16328">
        <v>7.4413097608499998E-2</v>
      </c>
      <c r="D16328" t="s">
        <v>106</v>
      </c>
      <c r="E16328">
        <v>24</v>
      </c>
    </row>
    <row r="16329" spans="1:5">
      <c r="A16329" t="s">
        <v>18903</v>
      </c>
      <c r="B16329" t="s">
        <v>18910</v>
      </c>
      <c r="C16329">
        <v>9.3527685198300001E-2</v>
      </c>
      <c r="D16329" t="s">
        <v>106</v>
      </c>
      <c r="E16329">
        <v>24</v>
      </c>
    </row>
    <row r="16330" spans="1:5">
      <c r="A16330" t="s">
        <v>18903</v>
      </c>
      <c r="B16330" t="s">
        <v>18911</v>
      </c>
      <c r="C16330">
        <f>0</f>
        <v>0</v>
      </c>
      <c r="D16330" t="s">
        <v>106</v>
      </c>
      <c r="E16330">
        <v>24</v>
      </c>
    </row>
    <row r="16331" spans="1:5">
      <c r="A16331" t="s">
        <v>18912</v>
      </c>
      <c r="B16331" t="s">
        <v>18913</v>
      </c>
      <c r="C16331">
        <v>0</v>
      </c>
      <c r="D16331">
        <v>0.98239979598899996</v>
      </c>
      <c r="E16331">
        <v>6.9325337331334298</v>
      </c>
    </row>
    <row r="16332" spans="1:5">
      <c r="A16332" t="s">
        <v>18912</v>
      </c>
      <c r="B16332" t="s">
        <v>18914</v>
      </c>
      <c r="C16332">
        <f>0</f>
        <v>0</v>
      </c>
      <c r="D16332">
        <v>0.98239979598899996</v>
      </c>
      <c r="E16332">
        <v>6.9325337331334298</v>
      </c>
    </row>
    <row r="16333" spans="1:5">
      <c r="A16333" t="s">
        <v>18912</v>
      </c>
      <c r="B16333" t="s">
        <v>18915</v>
      </c>
      <c r="C16333">
        <f>0</f>
        <v>0</v>
      </c>
      <c r="D16333">
        <v>0.98239979598899996</v>
      </c>
      <c r="E16333">
        <v>6.9325337331334298</v>
      </c>
    </row>
    <row r="16334" spans="1:5">
      <c r="A16334" t="s">
        <v>18912</v>
      </c>
      <c r="B16334" t="s">
        <v>18916</v>
      </c>
      <c r="C16334">
        <f>0</f>
        <v>0</v>
      </c>
      <c r="D16334">
        <v>0.98239979598899996</v>
      </c>
      <c r="E16334">
        <v>6.9325337331334298</v>
      </c>
    </row>
    <row r="16335" spans="1:5">
      <c r="A16335" t="s">
        <v>18912</v>
      </c>
      <c r="B16335" t="s">
        <v>18917</v>
      </c>
      <c r="C16335">
        <v>0.19704690226300001</v>
      </c>
      <c r="D16335">
        <v>0.98239979598899996</v>
      </c>
      <c r="E16335">
        <v>6.9325337331334298</v>
      </c>
    </row>
    <row r="16336" spans="1:5">
      <c r="A16336" t="s">
        <v>18912</v>
      </c>
      <c r="B16336" t="s">
        <v>18918</v>
      </c>
      <c r="C16336">
        <f>0</f>
        <v>0</v>
      </c>
      <c r="D16336">
        <v>0.98239979598899996</v>
      </c>
      <c r="E16336">
        <v>6.9325337331334298</v>
      </c>
    </row>
    <row r="16337" spans="1:5">
      <c r="A16337" t="s">
        <v>18912</v>
      </c>
      <c r="B16337" t="s">
        <v>18919</v>
      </c>
      <c r="C16337">
        <f>0</f>
        <v>0</v>
      </c>
      <c r="D16337">
        <v>0.98239979598899996</v>
      </c>
      <c r="E16337">
        <v>6.9325337331334298</v>
      </c>
    </row>
    <row r="16338" spans="1:5">
      <c r="A16338" t="s">
        <v>18912</v>
      </c>
      <c r="B16338" t="s">
        <v>18920</v>
      </c>
      <c r="C16338">
        <v>0</v>
      </c>
      <c r="D16338">
        <v>0.98239979598899996</v>
      </c>
      <c r="E16338">
        <v>6.9325337331334298</v>
      </c>
    </row>
    <row r="16339" spans="1:5">
      <c r="A16339" t="s">
        <v>18912</v>
      </c>
      <c r="B16339" t="s">
        <v>18921</v>
      </c>
      <c r="C16339">
        <f>0</f>
        <v>0</v>
      </c>
      <c r="D16339">
        <v>0.98239979598899996</v>
      </c>
      <c r="E16339">
        <v>6.9325337331334298</v>
      </c>
    </row>
    <row r="16340" spans="1:5">
      <c r="A16340" t="s">
        <v>18912</v>
      </c>
      <c r="B16340" t="s">
        <v>18922</v>
      </c>
      <c r="C16340">
        <f>0</f>
        <v>0</v>
      </c>
      <c r="D16340">
        <v>0.98239979598899996</v>
      </c>
      <c r="E16340">
        <v>6.9325337331334298</v>
      </c>
    </row>
    <row r="16341" spans="1:5">
      <c r="A16341" t="s">
        <v>18912</v>
      </c>
      <c r="B16341" t="s">
        <v>18923</v>
      </c>
      <c r="C16341">
        <v>0</v>
      </c>
      <c r="D16341">
        <v>0.98239979598899996</v>
      </c>
      <c r="E16341">
        <v>6.9325337331334298</v>
      </c>
    </row>
    <row r="16342" spans="1:5">
      <c r="A16342" t="s">
        <v>18912</v>
      </c>
      <c r="B16342" t="s">
        <v>18924</v>
      </c>
      <c r="C16342">
        <v>0</v>
      </c>
      <c r="D16342">
        <v>0.98239979598899996</v>
      </c>
      <c r="E16342">
        <v>6.9325337331334298</v>
      </c>
    </row>
    <row r="16343" spans="1:5">
      <c r="A16343" t="s">
        <v>18925</v>
      </c>
      <c r="B16343" t="s">
        <v>18926</v>
      </c>
      <c r="C16343">
        <v>0</v>
      </c>
      <c r="D16343">
        <v>0.98669759397199996</v>
      </c>
      <c r="E16343">
        <v>20.065967016491701</v>
      </c>
    </row>
    <row r="16344" spans="1:5">
      <c r="A16344" t="s">
        <v>18925</v>
      </c>
      <c r="B16344" t="s">
        <v>18927</v>
      </c>
      <c r="C16344">
        <v>0</v>
      </c>
      <c r="D16344">
        <v>0.98669759397199996</v>
      </c>
      <c r="E16344">
        <v>20.065967016491701</v>
      </c>
    </row>
    <row r="16345" spans="1:5">
      <c r="A16345" t="s">
        <v>18925</v>
      </c>
      <c r="B16345" t="s">
        <v>18928</v>
      </c>
      <c r="C16345">
        <v>0</v>
      </c>
      <c r="D16345">
        <v>0.98669759397199996</v>
      </c>
      <c r="E16345">
        <v>20.065967016491701</v>
      </c>
    </row>
    <row r="16346" spans="1:5">
      <c r="A16346" t="s">
        <v>18925</v>
      </c>
      <c r="B16346" t="s">
        <v>18929</v>
      </c>
      <c r="C16346">
        <f>0</f>
        <v>0</v>
      </c>
      <c r="D16346">
        <v>0.98669759397199996</v>
      </c>
      <c r="E16346">
        <v>20.065967016491701</v>
      </c>
    </row>
    <row r="16347" spans="1:5">
      <c r="A16347" t="s">
        <v>18925</v>
      </c>
      <c r="B16347" t="s">
        <v>18930</v>
      </c>
      <c r="C16347">
        <f>0</f>
        <v>0</v>
      </c>
      <c r="D16347">
        <v>0.98669759397199996</v>
      </c>
      <c r="E16347">
        <v>20.065967016491701</v>
      </c>
    </row>
    <row r="16348" spans="1:5">
      <c r="A16348" t="s">
        <v>18931</v>
      </c>
      <c r="B16348" t="s">
        <v>18932</v>
      </c>
      <c r="C16348">
        <v>0.20021315485300001</v>
      </c>
      <c r="D16348">
        <v>0.97795159212899996</v>
      </c>
      <c r="E16348">
        <v>21.181409295352299</v>
      </c>
    </row>
    <row r="16349" spans="1:5">
      <c r="A16349" t="s">
        <v>18933</v>
      </c>
      <c r="B16349" t="s">
        <v>18934</v>
      </c>
      <c r="C16349">
        <f>0</f>
        <v>0</v>
      </c>
      <c r="D16349">
        <v>0.99337781024600003</v>
      </c>
      <c r="E16349">
        <v>0.77961019490254801</v>
      </c>
    </row>
    <row r="16350" spans="1:5">
      <c r="A16350" t="s">
        <v>18933</v>
      </c>
      <c r="B16350" t="s">
        <v>18935</v>
      </c>
      <c r="C16350">
        <f>0</f>
        <v>0</v>
      </c>
      <c r="D16350">
        <v>0.99337781024600003</v>
      </c>
      <c r="E16350">
        <v>0.77961019490254801</v>
      </c>
    </row>
    <row r="16351" spans="1:5">
      <c r="A16351" t="s">
        <v>18933</v>
      </c>
      <c r="B16351" t="s">
        <v>18936</v>
      </c>
      <c r="C16351">
        <f>0.20762390723</f>
        <v>0.20762390722999999</v>
      </c>
      <c r="D16351">
        <v>0.99337781024600003</v>
      </c>
      <c r="E16351">
        <v>0.77961019490254801</v>
      </c>
    </row>
    <row r="16352" spans="1:5">
      <c r="A16352" t="s">
        <v>18933</v>
      </c>
      <c r="B16352" t="s">
        <v>18937</v>
      </c>
      <c r="C16352">
        <f>0.727479760249</f>
        <v>0.72747976024899996</v>
      </c>
      <c r="D16352">
        <v>0.99337781024600003</v>
      </c>
      <c r="E16352">
        <v>0.77961019490254801</v>
      </c>
    </row>
    <row r="16353" spans="1:5">
      <c r="A16353" t="s">
        <v>18938</v>
      </c>
      <c r="B16353" t="s">
        <v>18939</v>
      </c>
      <c r="C16353">
        <v>9.4825593932900007E-2</v>
      </c>
      <c r="D16353" t="s">
        <v>106</v>
      </c>
      <c r="E16353">
        <v>17.919040479760099</v>
      </c>
    </row>
    <row r="16354" spans="1:5">
      <c r="A16354" t="s">
        <v>18938</v>
      </c>
      <c r="B16354" t="s">
        <v>18940</v>
      </c>
      <c r="C16354">
        <v>8.1803427607400003E-2</v>
      </c>
      <c r="D16354" t="s">
        <v>106</v>
      </c>
      <c r="E16354">
        <v>17.919040479760099</v>
      </c>
    </row>
    <row r="16355" spans="1:5">
      <c r="A16355" t="s">
        <v>18941</v>
      </c>
      <c r="B16355" t="s">
        <v>18942</v>
      </c>
      <c r="C16355">
        <f>0</f>
        <v>0</v>
      </c>
      <c r="D16355">
        <v>0.78359380375999999</v>
      </c>
      <c r="E16355">
        <v>5.9370314842578704</v>
      </c>
    </row>
    <row r="16356" spans="1:5">
      <c r="A16356" t="s">
        <v>18941</v>
      </c>
      <c r="B16356" t="s">
        <v>18943</v>
      </c>
      <c r="C16356">
        <v>0</v>
      </c>
      <c r="D16356">
        <v>0.78359380375999999</v>
      </c>
      <c r="E16356">
        <v>5.9370314842578704</v>
      </c>
    </row>
    <row r="16357" spans="1:5">
      <c r="A16357" t="s">
        <v>18941</v>
      </c>
      <c r="B16357" t="s">
        <v>18944</v>
      </c>
      <c r="C16357">
        <v>0</v>
      </c>
      <c r="D16357">
        <v>0.78359380375999999</v>
      </c>
      <c r="E16357">
        <v>5.9370314842578704</v>
      </c>
    </row>
    <row r="16358" spans="1:5">
      <c r="A16358" t="s">
        <v>18941</v>
      </c>
      <c r="B16358" t="s">
        <v>18945</v>
      </c>
      <c r="C16358">
        <f>0</f>
        <v>0</v>
      </c>
      <c r="D16358">
        <v>0.78359380375999999</v>
      </c>
      <c r="E16358">
        <v>5.9370314842578704</v>
      </c>
    </row>
    <row r="16359" spans="1:5">
      <c r="A16359" t="s">
        <v>18946</v>
      </c>
      <c r="B16359" t="s">
        <v>18947</v>
      </c>
      <c r="C16359">
        <f>0</f>
        <v>0</v>
      </c>
      <c r="D16359">
        <v>0.97447072180200001</v>
      </c>
      <c r="E16359">
        <v>24</v>
      </c>
    </row>
    <row r="16360" spans="1:5">
      <c r="A16360" t="s">
        <v>18946</v>
      </c>
      <c r="B16360" t="s">
        <v>18948</v>
      </c>
      <c r="C16360">
        <f>0</f>
        <v>0</v>
      </c>
      <c r="D16360">
        <v>0.97447072180200001</v>
      </c>
      <c r="E16360">
        <v>24</v>
      </c>
    </row>
    <row r="16361" spans="1:5">
      <c r="A16361" t="s">
        <v>18946</v>
      </c>
      <c r="B16361" t="s">
        <v>18949</v>
      </c>
      <c r="C16361">
        <f>0</f>
        <v>0</v>
      </c>
      <c r="D16361">
        <v>0.97447072180200001</v>
      </c>
      <c r="E16361">
        <v>24</v>
      </c>
    </row>
    <row r="16362" spans="1:5">
      <c r="A16362" t="s">
        <v>18946</v>
      </c>
      <c r="B16362" t="s">
        <v>18950</v>
      </c>
      <c r="C16362">
        <f>0</f>
        <v>0</v>
      </c>
      <c r="D16362">
        <v>0.97447072180200001</v>
      </c>
      <c r="E16362">
        <v>24</v>
      </c>
    </row>
    <row r="16363" spans="1:5">
      <c r="A16363" t="s">
        <v>18946</v>
      </c>
      <c r="B16363" t="s">
        <v>18951</v>
      </c>
      <c r="C16363">
        <f>0</f>
        <v>0</v>
      </c>
      <c r="D16363">
        <v>0.97447072180200001</v>
      </c>
      <c r="E16363">
        <v>24</v>
      </c>
    </row>
    <row r="16364" spans="1:5">
      <c r="A16364" t="s">
        <v>18946</v>
      </c>
      <c r="B16364" t="s">
        <v>18952</v>
      </c>
      <c r="C16364">
        <f>0</f>
        <v>0</v>
      </c>
      <c r="D16364">
        <v>0.97447072180200001</v>
      </c>
      <c r="E16364">
        <v>24</v>
      </c>
    </row>
    <row r="16365" spans="1:5">
      <c r="A16365" t="s">
        <v>18946</v>
      </c>
      <c r="B16365" t="s">
        <v>18953</v>
      </c>
      <c r="C16365">
        <f>0</f>
        <v>0</v>
      </c>
      <c r="D16365">
        <v>0.97447072180200001</v>
      </c>
      <c r="E16365">
        <v>24</v>
      </c>
    </row>
    <row r="16366" spans="1:5">
      <c r="A16366" t="s">
        <v>18946</v>
      </c>
      <c r="B16366" t="s">
        <v>18954</v>
      </c>
      <c r="C16366">
        <f>0</f>
        <v>0</v>
      </c>
      <c r="D16366">
        <v>0.97447072180200001</v>
      </c>
      <c r="E16366">
        <v>24</v>
      </c>
    </row>
    <row r="16367" spans="1:5">
      <c r="A16367" t="s">
        <v>18946</v>
      </c>
      <c r="B16367" t="s">
        <v>18955</v>
      </c>
      <c r="C16367">
        <f>0</f>
        <v>0</v>
      </c>
      <c r="D16367">
        <v>0.97447072180200001</v>
      </c>
      <c r="E16367">
        <v>24</v>
      </c>
    </row>
    <row r="16368" spans="1:5">
      <c r="A16368" t="s">
        <v>18956</v>
      </c>
      <c r="B16368" t="s">
        <v>18957</v>
      </c>
      <c r="C16368">
        <v>0</v>
      </c>
      <c r="D16368">
        <v>0.99447681881100003</v>
      </c>
      <c r="E16368">
        <v>4.1739130434782599</v>
      </c>
    </row>
    <row r="16369" spans="1:5">
      <c r="A16369" t="s">
        <v>18956</v>
      </c>
      <c r="B16369" t="s">
        <v>18958</v>
      </c>
      <c r="C16369">
        <v>0</v>
      </c>
      <c r="D16369">
        <v>0.99447681881100003</v>
      </c>
      <c r="E16369">
        <v>4.1739130434782599</v>
      </c>
    </row>
    <row r="16370" spans="1:5">
      <c r="A16370" t="s">
        <v>18956</v>
      </c>
      <c r="B16370" t="s">
        <v>18959</v>
      </c>
      <c r="C16370">
        <v>0.55611338747500005</v>
      </c>
      <c r="D16370">
        <v>0.99447681881100003</v>
      </c>
      <c r="E16370">
        <v>4.1739130434782599</v>
      </c>
    </row>
    <row r="16371" spans="1:5">
      <c r="A16371" t="s">
        <v>18956</v>
      </c>
      <c r="B16371" t="s">
        <v>18960</v>
      </c>
      <c r="C16371">
        <f>0</f>
        <v>0</v>
      </c>
      <c r="D16371">
        <v>0.99447681881100003</v>
      </c>
      <c r="E16371">
        <v>4.1739130434782599</v>
      </c>
    </row>
    <row r="16372" spans="1:5">
      <c r="A16372" t="s">
        <v>18956</v>
      </c>
      <c r="B16372" t="s">
        <v>18961</v>
      </c>
      <c r="C16372">
        <f>0</f>
        <v>0</v>
      </c>
      <c r="D16372">
        <v>0.99447681881100003</v>
      </c>
      <c r="E16372">
        <v>4.1739130434782599</v>
      </c>
    </row>
    <row r="16373" spans="1:5">
      <c r="A16373" t="s">
        <v>18956</v>
      </c>
      <c r="B16373" t="s">
        <v>18962</v>
      </c>
      <c r="C16373">
        <f>0</f>
        <v>0</v>
      </c>
      <c r="D16373">
        <v>0.99447681881100003</v>
      </c>
      <c r="E16373">
        <v>4.1739130434782599</v>
      </c>
    </row>
    <row r="16374" spans="1:5">
      <c r="A16374" t="s">
        <v>18956</v>
      </c>
      <c r="B16374" t="s">
        <v>18963</v>
      </c>
      <c r="C16374">
        <f>0</f>
        <v>0</v>
      </c>
      <c r="D16374">
        <v>0.99447681881100003</v>
      </c>
      <c r="E16374">
        <v>4.1739130434782599</v>
      </c>
    </row>
    <row r="16375" spans="1:5">
      <c r="A16375" t="s">
        <v>18956</v>
      </c>
      <c r="B16375" t="s">
        <v>18964</v>
      </c>
      <c r="C16375">
        <f>0</f>
        <v>0</v>
      </c>
      <c r="D16375">
        <v>0.99447681881100003</v>
      </c>
      <c r="E16375">
        <v>4.1739130434782599</v>
      </c>
    </row>
    <row r="16376" spans="1:5">
      <c r="A16376" t="s">
        <v>18956</v>
      </c>
      <c r="B16376" t="s">
        <v>18965</v>
      </c>
      <c r="C16376">
        <f>0</f>
        <v>0</v>
      </c>
      <c r="D16376">
        <v>0.99447681881100003</v>
      </c>
      <c r="E16376">
        <v>4.1739130434782599</v>
      </c>
    </row>
    <row r="16377" spans="1:5">
      <c r="A16377" t="s">
        <v>18956</v>
      </c>
      <c r="B16377" t="s">
        <v>18966</v>
      </c>
      <c r="C16377">
        <v>0</v>
      </c>
      <c r="D16377">
        <v>0.99447681881100003</v>
      </c>
      <c r="E16377">
        <v>4.1739130434782599</v>
      </c>
    </row>
    <row r="16378" spans="1:5">
      <c r="A16378" t="s">
        <v>18956</v>
      </c>
      <c r="B16378" t="s">
        <v>18967</v>
      </c>
      <c r="C16378">
        <v>0</v>
      </c>
      <c r="D16378">
        <v>0.99447681881100003</v>
      </c>
      <c r="E16378">
        <v>4.1739130434782599</v>
      </c>
    </row>
    <row r="16379" spans="1:5">
      <c r="A16379" t="s">
        <v>18956</v>
      </c>
      <c r="B16379" t="s">
        <v>18968</v>
      </c>
      <c r="C16379">
        <v>0.25746066439999998</v>
      </c>
      <c r="D16379">
        <v>0.99447681881100003</v>
      </c>
      <c r="E16379">
        <v>4.1739130434782599</v>
      </c>
    </row>
    <row r="16380" spans="1:5">
      <c r="A16380" t="s">
        <v>18956</v>
      </c>
      <c r="B16380" t="s">
        <v>18969</v>
      </c>
      <c r="C16380">
        <v>0</v>
      </c>
      <c r="D16380">
        <v>0.99447681881100003</v>
      </c>
      <c r="E16380">
        <v>4.1739130434782599</v>
      </c>
    </row>
    <row r="16381" spans="1:5">
      <c r="A16381" t="s">
        <v>18956</v>
      </c>
      <c r="B16381" t="s">
        <v>18970</v>
      </c>
      <c r="C16381">
        <v>0</v>
      </c>
      <c r="D16381">
        <v>0.99447681881100003</v>
      </c>
      <c r="E16381">
        <v>4.1739130434782599</v>
      </c>
    </row>
    <row r="16382" spans="1:5">
      <c r="A16382" t="s">
        <v>18956</v>
      </c>
      <c r="B16382" t="s">
        <v>18971</v>
      </c>
      <c r="C16382">
        <v>0</v>
      </c>
      <c r="D16382">
        <v>0.99447681881100003</v>
      </c>
      <c r="E16382">
        <v>4.1739130434782599</v>
      </c>
    </row>
    <row r="16383" spans="1:5">
      <c r="A16383" t="s">
        <v>18972</v>
      </c>
      <c r="B16383" t="s">
        <v>18973</v>
      </c>
      <c r="C16383">
        <f>0</f>
        <v>0</v>
      </c>
      <c r="D16383">
        <v>0.95196062368900003</v>
      </c>
      <c r="E16383">
        <v>11.5382308845577</v>
      </c>
    </row>
    <row r="16384" spans="1:5">
      <c r="A16384" t="s">
        <v>18972</v>
      </c>
      <c r="B16384" t="s">
        <v>18974</v>
      </c>
      <c r="C16384">
        <f>0</f>
        <v>0</v>
      </c>
      <c r="D16384">
        <v>0.95196062368900003</v>
      </c>
      <c r="E16384">
        <v>11.5382308845577</v>
      </c>
    </row>
    <row r="16385" spans="1:5">
      <c r="A16385" t="s">
        <v>18972</v>
      </c>
      <c r="B16385" t="s">
        <v>18975</v>
      </c>
      <c r="C16385">
        <v>9.9643819521599994E-2</v>
      </c>
      <c r="D16385">
        <v>0.95196062368900003</v>
      </c>
      <c r="E16385">
        <v>11.5382308845577</v>
      </c>
    </row>
    <row r="16386" spans="1:5">
      <c r="A16386" t="s">
        <v>18972</v>
      </c>
      <c r="B16386" t="s">
        <v>18976</v>
      </c>
      <c r="C16386">
        <f>0</f>
        <v>0</v>
      </c>
      <c r="D16386">
        <v>0.95196062368900003</v>
      </c>
      <c r="E16386">
        <v>11.5382308845577</v>
      </c>
    </row>
    <row r="16387" spans="1:5">
      <c r="A16387" t="s">
        <v>18972</v>
      </c>
      <c r="B16387" t="s">
        <v>18977</v>
      </c>
      <c r="C16387">
        <v>0</v>
      </c>
      <c r="D16387">
        <v>0.95196062368900003</v>
      </c>
      <c r="E16387">
        <v>11.5382308845577</v>
      </c>
    </row>
    <row r="16388" spans="1:5">
      <c r="A16388" t="s">
        <v>18978</v>
      </c>
      <c r="B16388" t="s">
        <v>18979</v>
      </c>
      <c r="C16388">
        <v>0</v>
      </c>
      <c r="D16388">
        <v>0.96570670588999996</v>
      </c>
      <c r="E16388">
        <v>10.0749625187406</v>
      </c>
    </row>
    <row r="16389" spans="1:5">
      <c r="A16389" t="s">
        <v>18978</v>
      </c>
      <c r="B16389" t="s">
        <v>18980</v>
      </c>
      <c r="C16389">
        <f>0.0268274731031</f>
        <v>2.6827473103099998E-2</v>
      </c>
      <c r="D16389">
        <v>0.96570670588999996</v>
      </c>
      <c r="E16389">
        <v>10.0749625187406</v>
      </c>
    </row>
    <row r="16390" spans="1:5">
      <c r="A16390" t="s">
        <v>18978</v>
      </c>
      <c r="B16390" t="s">
        <v>18981</v>
      </c>
      <c r="C16390">
        <v>0.50468844631900001</v>
      </c>
      <c r="D16390">
        <v>0.96570670588999996</v>
      </c>
      <c r="E16390">
        <v>10.0749625187406</v>
      </c>
    </row>
    <row r="16391" spans="1:5">
      <c r="A16391" t="s">
        <v>18982</v>
      </c>
      <c r="B16391" t="s">
        <v>18983</v>
      </c>
      <c r="C16391">
        <f>0</f>
        <v>0</v>
      </c>
      <c r="D16391">
        <v>0.94440622289999998</v>
      </c>
      <c r="E16391">
        <v>4.9055472263868003</v>
      </c>
    </row>
    <row r="16392" spans="1:5">
      <c r="A16392" t="s">
        <v>18982</v>
      </c>
      <c r="B16392" t="s">
        <v>18984</v>
      </c>
      <c r="C16392">
        <v>0</v>
      </c>
      <c r="D16392">
        <v>0.94440622289999998</v>
      </c>
      <c r="E16392">
        <v>4.9055472263868003</v>
      </c>
    </row>
    <row r="16393" spans="1:5">
      <c r="A16393" t="s">
        <v>18982</v>
      </c>
      <c r="B16393" t="s">
        <v>18985</v>
      </c>
      <c r="C16393">
        <f>0.657716814433</f>
        <v>0.65771681443300001</v>
      </c>
      <c r="D16393">
        <v>0.94440622289999998</v>
      </c>
      <c r="E16393">
        <v>4.9055472263868003</v>
      </c>
    </row>
    <row r="16394" spans="1:5">
      <c r="A16394" t="s">
        <v>18982</v>
      </c>
      <c r="B16394" t="s">
        <v>18986</v>
      </c>
      <c r="C16394">
        <v>0</v>
      </c>
      <c r="D16394">
        <v>0.94440622289999998</v>
      </c>
      <c r="E16394">
        <v>4.9055472263868003</v>
      </c>
    </row>
    <row r="16395" spans="1:5">
      <c r="A16395" t="s">
        <v>18982</v>
      </c>
      <c r="B16395" t="s">
        <v>18987</v>
      </c>
      <c r="C16395">
        <v>0</v>
      </c>
      <c r="D16395">
        <v>0.94440622289999998</v>
      </c>
      <c r="E16395">
        <v>4.9055472263868003</v>
      </c>
    </row>
    <row r="16396" spans="1:5">
      <c r="A16396" t="s">
        <v>18982</v>
      </c>
      <c r="B16396" t="s">
        <v>18988</v>
      </c>
      <c r="C16396">
        <v>0</v>
      </c>
      <c r="D16396">
        <v>0.94440622289999998</v>
      </c>
      <c r="E16396">
        <v>4.9055472263868003</v>
      </c>
    </row>
    <row r="16397" spans="1:5">
      <c r="A16397" t="s">
        <v>18982</v>
      </c>
      <c r="B16397" t="s">
        <v>18989</v>
      </c>
      <c r="C16397">
        <f>0</f>
        <v>0</v>
      </c>
      <c r="D16397">
        <v>0.94440622289999998</v>
      </c>
      <c r="E16397">
        <v>4.9055472263868003</v>
      </c>
    </row>
    <row r="16398" spans="1:5">
      <c r="A16398" t="s">
        <v>18982</v>
      </c>
      <c r="B16398" t="s">
        <v>18990</v>
      </c>
      <c r="C16398">
        <v>0</v>
      </c>
      <c r="D16398">
        <v>0.94440622289999998</v>
      </c>
      <c r="E16398">
        <v>4.9055472263868003</v>
      </c>
    </row>
    <row r="16399" spans="1:5">
      <c r="A16399" t="s">
        <v>18982</v>
      </c>
      <c r="B16399" t="s">
        <v>18991</v>
      </c>
      <c r="C16399">
        <v>0</v>
      </c>
      <c r="D16399">
        <v>0.94440622289999998</v>
      </c>
      <c r="E16399">
        <v>4.9055472263868003</v>
      </c>
    </row>
    <row r="16400" spans="1:5">
      <c r="A16400" t="s">
        <v>18982</v>
      </c>
      <c r="B16400" t="s">
        <v>18992</v>
      </c>
      <c r="C16400">
        <v>0</v>
      </c>
      <c r="D16400">
        <v>0.94440622289999998</v>
      </c>
      <c r="E16400">
        <v>4.9055472263868003</v>
      </c>
    </row>
    <row r="16401" spans="1:5">
      <c r="A16401" t="s">
        <v>18982</v>
      </c>
      <c r="B16401" t="s">
        <v>18993</v>
      </c>
      <c r="C16401">
        <f>0</f>
        <v>0</v>
      </c>
      <c r="D16401">
        <v>0.94440622289999998</v>
      </c>
      <c r="E16401">
        <v>4.9055472263868003</v>
      </c>
    </row>
    <row r="16402" spans="1:5">
      <c r="A16402" t="s">
        <v>18982</v>
      </c>
      <c r="B16402" t="s">
        <v>18994</v>
      </c>
      <c r="C16402">
        <v>0</v>
      </c>
      <c r="D16402">
        <v>0.94440622289999998</v>
      </c>
      <c r="E16402">
        <v>4.9055472263868003</v>
      </c>
    </row>
    <row r="16403" spans="1:5">
      <c r="A16403" t="s">
        <v>18995</v>
      </c>
      <c r="B16403" t="s">
        <v>18996</v>
      </c>
      <c r="C16403">
        <v>0</v>
      </c>
      <c r="D16403" t="s">
        <v>106</v>
      </c>
      <c r="E16403">
        <v>1.16341829085457</v>
      </c>
    </row>
    <row r="16404" spans="1:5">
      <c r="A16404" t="s">
        <v>18995</v>
      </c>
      <c r="B16404" t="s">
        <v>18997</v>
      </c>
      <c r="C16404">
        <v>0</v>
      </c>
      <c r="D16404" t="s">
        <v>106</v>
      </c>
      <c r="E16404">
        <v>1.16341829085457</v>
      </c>
    </row>
    <row r="16405" spans="1:5">
      <c r="A16405" t="s">
        <v>18995</v>
      </c>
      <c r="B16405" t="s">
        <v>18998</v>
      </c>
      <c r="C16405">
        <v>0</v>
      </c>
      <c r="D16405" t="s">
        <v>106</v>
      </c>
      <c r="E16405">
        <v>1.16341829085457</v>
      </c>
    </row>
    <row r="16406" spans="1:5">
      <c r="A16406" t="s">
        <v>18995</v>
      </c>
      <c r="B16406" t="s">
        <v>18999</v>
      </c>
      <c r="C16406">
        <f>0</f>
        <v>0</v>
      </c>
      <c r="D16406" t="s">
        <v>106</v>
      </c>
      <c r="E16406">
        <v>1.16341829085457</v>
      </c>
    </row>
    <row r="16407" spans="1:5">
      <c r="A16407" t="s">
        <v>18995</v>
      </c>
      <c r="B16407" t="s">
        <v>19000</v>
      </c>
      <c r="C16407">
        <v>0</v>
      </c>
      <c r="D16407" t="s">
        <v>106</v>
      </c>
      <c r="E16407">
        <v>1.16341829085457</v>
      </c>
    </row>
    <row r="16408" spans="1:5">
      <c r="A16408" t="s">
        <v>18995</v>
      </c>
      <c r="B16408" t="s">
        <v>19001</v>
      </c>
      <c r="C16408">
        <f>0</f>
        <v>0</v>
      </c>
      <c r="D16408" t="s">
        <v>106</v>
      </c>
      <c r="E16408">
        <v>1.16341829085457</v>
      </c>
    </row>
    <row r="16409" spans="1:5">
      <c r="A16409" t="s">
        <v>18995</v>
      </c>
      <c r="B16409" t="s">
        <v>19002</v>
      </c>
      <c r="C16409">
        <v>0</v>
      </c>
      <c r="D16409" t="s">
        <v>106</v>
      </c>
      <c r="E16409">
        <v>1.16341829085457</v>
      </c>
    </row>
    <row r="16410" spans="1:5">
      <c r="A16410" t="s">
        <v>18995</v>
      </c>
      <c r="B16410" t="s">
        <v>19003</v>
      </c>
      <c r="C16410">
        <f>0</f>
        <v>0</v>
      </c>
      <c r="D16410" t="s">
        <v>106</v>
      </c>
      <c r="E16410">
        <v>1.16341829085457</v>
      </c>
    </row>
    <row r="16411" spans="1:5">
      <c r="A16411" t="s">
        <v>18995</v>
      </c>
      <c r="B16411" t="s">
        <v>19004</v>
      </c>
      <c r="C16411">
        <f>0</f>
        <v>0</v>
      </c>
      <c r="D16411" t="s">
        <v>106</v>
      </c>
      <c r="E16411">
        <v>1.16341829085457</v>
      </c>
    </row>
    <row r="16412" spans="1:5">
      <c r="A16412" t="s">
        <v>18995</v>
      </c>
      <c r="B16412" t="s">
        <v>19005</v>
      </c>
      <c r="C16412">
        <v>0</v>
      </c>
      <c r="D16412" t="s">
        <v>106</v>
      </c>
      <c r="E16412">
        <v>1.16341829085457</v>
      </c>
    </row>
    <row r="16413" spans="1:5">
      <c r="A16413" t="s">
        <v>18995</v>
      </c>
      <c r="B16413" t="s">
        <v>19006</v>
      </c>
      <c r="C16413">
        <f>0</f>
        <v>0</v>
      </c>
      <c r="D16413" t="s">
        <v>106</v>
      </c>
      <c r="E16413">
        <v>1.16341829085457</v>
      </c>
    </row>
    <row r="16414" spans="1:5">
      <c r="A16414" t="s">
        <v>19007</v>
      </c>
      <c r="B16414" t="s">
        <v>19008</v>
      </c>
      <c r="C16414">
        <v>0.53499131132800004</v>
      </c>
      <c r="D16414">
        <v>0.97235183354300003</v>
      </c>
      <c r="E16414">
        <v>0.57571214392803505</v>
      </c>
    </row>
    <row r="16415" spans="1:5">
      <c r="A16415" t="s">
        <v>19007</v>
      </c>
      <c r="B16415" t="s">
        <v>19009</v>
      </c>
      <c r="C16415">
        <v>0</v>
      </c>
      <c r="D16415">
        <v>0.97235183354300003</v>
      </c>
      <c r="E16415">
        <v>0.57571214392803505</v>
      </c>
    </row>
    <row r="16416" spans="1:5">
      <c r="A16416" t="s">
        <v>19007</v>
      </c>
      <c r="B16416" t="s">
        <v>19010</v>
      </c>
      <c r="C16416">
        <v>0</v>
      </c>
      <c r="D16416">
        <v>0.97235183354300003</v>
      </c>
      <c r="E16416">
        <v>0.57571214392803505</v>
      </c>
    </row>
    <row r="16417" spans="1:5">
      <c r="A16417" t="s">
        <v>19007</v>
      </c>
      <c r="B16417" t="s">
        <v>19011</v>
      </c>
      <c r="C16417">
        <f>0</f>
        <v>0</v>
      </c>
      <c r="D16417">
        <v>0.97235183354300003</v>
      </c>
      <c r="E16417">
        <v>0.57571214392803505</v>
      </c>
    </row>
    <row r="16418" spans="1:5">
      <c r="A16418" t="s">
        <v>19007</v>
      </c>
      <c r="B16418" t="s">
        <v>19012</v>
      </c>
      <c r="C16418">
        <v>0</v>
      </c>
      <c r="D16418">
        <v>0.97235183354300003</v>
      </c>
      <c r="E16418">
        <v>0.57571214392803505</v>
      </c>
    </row>
    <row r="16419" spans="1:5">
      <c r="A16419" t="s">
        <v>19007</v>
      </c>
      <c r="B16419" t="s">
        <v>19013</v>
      </c>
      <c r="C16419">
        <v>2.0353017225900001E-2</v>
      </c>
      <c r="D16419">
        <v>0.97235183354300003</v>
      </c>
      <c r="E16419">
        <v>0.57571214392803505</v>
      </c>
    </row>
    <row r="16420" spans="1:5">
      <c r="A16420" t="s">
        <v>19007</v>
      </c>
      <c r="B16420" t="s">
        <v>19014</v>
      </c>
      <c r="C16420">
        <v>0</v>
      </c>
      <c r="D16420">
        <v>0.97235183354300003</v>
      </c>
      <c r="E16420">
        <v>0.57571214392803505</v>
      </c>
    </row>
    <row r="16421" spans="1:5">
      <c r="A16421" t="s">
        <v>19007</v>
      </c>
      <c r="B16421" t="s">
        <v>19015</v>
      </c>
      <c r="C16421">
        <v>0</v>
      </c>
      <c r="D16421">
        <v>0.97235183354300003</v>
      </c>
      <c r="E16421">
        <v>0.57571214392803505</v>
      </c>
    </row>
    <row r="16422" spans="1:5">
      <c r="A16422" t="s">
        <v>19016</v>
      </c>
      <c r="B16422" t="s">
        <v>19017</v>
      </c>
      <c r="C16422">
        <v>0</v>
      </c>
      <c r="D16422">
        <v>0.98618425114399999</v>
      </c>
      <c r="E16422">
        <v>1.39130434782608</v>
      </c>
    </row>
    <row r="16423" spans="1:5">
      <c r="A16423" t="s">
        <v>19016</v>
      </c>
      <c r="B16423" t="s">
        <v>19018</v>
      </c>
      <c r="C16423">
        <f>0</f>
        <v>0</v>
      </c>
      <c r="D16423">
        <v>0.98618425114399999</v>
      </c>
      <c r="E16423">
        <v>1.39130434782608</v>
      </c>
    </row>
    <row r="16424" spans="1:5">
      <c r="A16424" t="s">
        <v>19016</v>
      </c>
      <c r="B16424" t="s">
        <v>19019</v>
      </c>
      <c r="C16424">
        <f>0</f>
        <v>0</v>
      </c>
      <c r="D16424">
        <v>0.98618425114399999</v>
      </c>
      <c r="E16424">
        <v>1.39130434782608</v>
      </c>
    </row>
    <row r="16425" spans="1:5">
      <c r="A16425" t="s">
        <v>19016</v>
      </c>
      <c r="B16425" t="s">
        <v>19020</v>
      </c>
      <c r="C16425">
        <v>0</v>
      </c>
      <c r="D16425">
        <v>0.98618425114399999</v>
      </c>
      <c r="E16425">
        <v>1.39130434782608</v>
      </c>
    </row>
    <row r="16426" spans="1:5">
      <c r="A16426" t="s">
        <v>19016</v>
      </c>
      <c r="B16426" t="s">
        <v>19021</v>
      </c>
      <c r="C16426">
        <f>0</f>
        <v>0</v>
      </c>
      <c r="D16426">
        <v>0.98618425114399999</v>
      </c>
      <c r="E16426">
        <v>1.39130434782608</v>
      </c>
    </row>
    <row r="16427" spans="1:5">
      <c r="A16427" t="s">
        <v>19016</v>
      </c>
      <c r="B16427" t="s">
        <v>19022</v>
      </c>
      <c r="C16427">
        <f>0</f>
        <v>0</v>
      </c>
      <c r="D16427">
        <v>0.98618425114399999</v>
      </c>
      <c r="E16427">
        <v>1.39130434782608</v>
      </c>
    </row>
    <row r="16428" spans="1:5">
      <c r="A16428" t="s">
        <v>19016</v>
      </c>
      <c r="B16428" t="s">
        <v>19023</v>
      </c>
      <c r="C16428">
        <f>0</f>
        <v>0</v>
      </c>
      <c r="D16428">
        <v>0.98618425114399999</v>
      </c>
      <c r="E16428">
        <v>1.39130434782608</v>
      </c>
    </row>
    <row r="16429" spans="1:5">
      <c r="A16429" t="s">
        <v>19016</v>
      </c>
      <c r="B16429" t="s">
        <v>19024</v>
      </c>
      <c r="C16429">
        <f>0.221603263127</f>
        <v>0.22160326312699999</v>
      </c>
      <c r="D16429">
        <v>0.98618425114399999</v>
      </c>
      <c r="E16429">
        <v>1.39130434782608</v>
      </c>
    </row>
    <row r="16430" spans="1:5">
      <c r="A16430" t="s">
        <v>19016</v>
      </c>
      <c r="B16430" t="s">
        <v>19025</v>
      </c>
      <c r="C16430">
        <f>0</f>
        <v>0</v>
      </c>
      <c r="D16430">
        <v>0.98618425114399999</v>
      </c>
      <c r="E16430">
        <v>1.39130434782608</v>
      </c>
    </row>
    <row r="16431" spans="1:5">
      <c r="A16431" t="s">
        <v>19016</v>
      </c>
      <c r="B16431" t="s">
        <v>19026</v>
      </c>
      <c r="C16431">
        <f>0</f>
        <v>0</v>
      </c>
      <c r="D16431">
        <v>0.98618425114399999</v>
      </c>
      <c r="E16431">
        <v>1.39130434782608</v>
      </c>
    </row>
    <row r="16432" spans="1:5">
      <c r="A16432" t="s">
        <v>19016</v>
      </c>
      <c r="B16432" t="s">
        <v>19027</v>
      </c>
      <c r="C16432">
        <f>0.226024544856</f>
        <v>0.22602454485599999</v>
      </c>
      <c r="D16432">
        <v>0.98618425114399999</v>
      </c>
      <c r="E16432">
        <v>1.39130434782608</v>
      </c>
    </row>
    <row r="16433" spans="1:5">
      <c r="A16433" t="s">
        <v>19028</v>
      </c>
      <c r="B16433" t="s">
        <v>19029</v>
      </c>
      <c r="C16433">
        <v>0.44240022463200002</v>
      </c>
      <c r="D16433">
        <v>0.914324093846</v>
      </c>
      <c r="E16433">
        <v>3.2263868065966999</v>
      </c>
    </row>
    <row r="16434" spans="1:5">
      <c r="A16434" t="s">
        <v>19030</v>
      </c>
      <c r="B16434" t="s">
        <v>19031</v>
      </c>
      <c r="C16434">
        <v>0.40056253451200002</v>
      </c>
      <c r="D16434">
        <v>0.85973087624199995</v>
      </c>
      <c r="E16434">
        <v>9.4632683658170897</v>
      </c>
    </row>
    <row r="16435" spans="1:5">
      <c r="A16435" t="s">
        <v>19032</v>
      </c>
      <c r="B16435" t="s">
        <v>19033</v>
      </c>
      <c r="C16435">
        <f>0.0956227163126</f>
        <v>9.5622716312599998E-2</v>
      </c>
      <c r="D16435">
        <v>0.95804029275400004</v>
      </c>
      <c r="E16435">
        <v>0.57571214392803505</v>
      </c>
    </row>
    <row r="16436" spans="1:5">
      <c r="A16436" t="s">
        <v>19032</v>
      </c>
      <c r="B16436" t="s">
        <v>19034</v>
      </c>
      <c r="C16436">
        <f>0</f>
        <v>0</v>
      </c>
      <c r="D16436">
        <v>0.95804029275400004</v>
      </c>
      <c r="E16436">
        <v>0.57571214392803505</v>
      </c>
    </row>
    <row r="16437" spans="1:5">
      <c r="A16437" t="s">
        <v>19032</v>
      </c>
      <c r="B16437" t="s">
        <v>19035</v>
      </c>
      <c r="C16437">
        <f>0.150488665974</f>
        <v>0.15048866597400001</v>
      </c>
      <c r="D16437">
        <v>0.95804029275400004</v>
      </c>
      <c r="E16437">
        <v>0.57571214392803505</v>
      </c>
    </row>
    <row r="16438" spans="1:5">
      <c r="A16438" t="s">
        <v>19032</v>
      </c>
      <c r="B16438" t="s">
        <v>19036</v>
      </c>
      <c r="C16438">
        <f>0</f>
        <v>0</v>
      </c>
      <c r="D16438">
        <v>0.95804029275400004</v>
      </c>
      <c r="E16438">
        <v>0.57571214392803505</v>
      </c>
    </row>
    <row r="16439" spans="1:5">
      <c r="A16439" t="s">
        <v>19032</v>
      </c>
      <c r="B16439" t="s">
        <v>19037</v>
      </c>
      <c r="C16439">
        <v>0</v>
      </c>
      <c r="D16439">
        <v>0.95804029275400004</v>
      </c>
      <c r="E16439">
        <v>0.57571214392803505</v>
      </c>
    </row>
    <row r="16440" spans="1:5">
      <c r="A16440" t="s">
        <v>19032</v>
      </c>
      <c r="B16440" t="s">
        <v>19038</v>
      </c>
      <c r="C16440">
        <v>0</v>
      </c>
      <c r="D16440">
        <v>0.95804029275400004</v>
      </c>
      <c r="E16440">
        <v>0.57571214392803505</v>
      </c>
    </row>
    <row r="16441" spans="1:5">
      <c r="A16441" t="s">
        <v>19039</v>
      </c>
      <c r="B16441" t="s">
        <v>19040</v>
      </c>
      <c r="C16441">
        <v>0</v>
      </c>
      <c r="D16441" t="s">
        <v>106</v>
      </c>
      <c r="E16441">
        <v>1.00749625187406</v>
      </c>
    </row>
    <row r="16442" spans="1:5">
      <c r="A16442" t="s">
        <v>19039</v>
      </c>
      <c r="B16442" t="s">
        <v>19041</v>
      </c>
      <c r="C16442">
        <v>0</v>
      </c>
      <c r="D16442" t="s">
        <v>106</v>
      </c>
      <c r="E16442">
        <v>1.00749625187406</v>
      </c>
    </row>
    <row r="16443" spans="1:5">
      <c r="A16443" t="s">
        <v>19039</v>
      </c>
      <c r="B16443" t="s">
        <v>19042</v>
      </c>
      <c r="C16443">
        <v>0</v>
      </c>
      <c r="D16443" t="s">
        <v>106</v>
      </c>
      <c r="E16443">
        <v>1.00749625187406</v>
      </c>
    </row>
    <row r="16444" spans="1:5">
      <c r="A16444" t="s">
        <v>19043</v>
      </c>
      <c r="B16444" t="s">
        <v>19044</v>
      </c>
      <c r="C16444">
        <v>0.463700255141</v>
      </c>
      <c r="D16444">
        <v>0.98308723713599999</v>
      </c>
      <c r="E16444">
        <v>0.31184407796101898</v>
      </c>
    </row>
    <row r="16445" spans="1:5">
      <c r="A16445" t="s">
        <v>19043</v>
      </c>
      <c r="B16445" t="s">
        <v>19045</v>
      </c>
      <c r="C16445">
        <f>0.598945909566</f>
        <v>0.59894590956600002</v>
      </c>
      <c r="D16445">
        <v>0.98308723713599999</v>
      </c>
      <c r="E16445">
        <v>0.31184407796101898</v>
      </c>
    </row>
    <row r="16446" spans="1:5">
      <c r="A16446" t="s">
        <v>19043</v>
      </c>
      <c r="B16446" t="s">
        <v>19046</v>
      </c>
      <c r="C16446">
        <v>0</v>
      </c>
      <c r="D16446">
        <v>0.98308723713599999</v>
      </c>
      <c r="E16446">
        <v>0.31184407796101898</v>
      </c>
    </row>
    <row r="16447" spans="1:5">
      <c r="A16447" t="s">
        <v>19047</v>
      </c>
      <c r="B16447" t="s">
        <v>19048</v>
      </c>
      <c r="C16447">
        <v>0</v>
      </c>
      <c r="D16447">
        <v>0.97058311040300005</v>
      </c>
      <c r="E16447">
        <v>3.68215892053973</v>
      </c>
    </row>
    <row r="16448" spans="1:5">
      <c r="A16448" t="s">
        <v>19047</v>
      </c>
      <c r="B16448" t="s">
        <v>19049</v>
      </c>
      <c r="C16448">
        <v>0</v>
      </c>
      <c r="D16448">
        <v>0.97058311040300005</v>
      </c>
      <c r="E16448">
        <v>3.68215892053973</v>
      </c>
    </row>
    <row r="16449" spans="1:5">
      <c r="A16449" t="s">
        <v>19047</v>
      </c>
      <c r="B16449" t="s">
        <v>19050</v>
      </c>
      <c r="C16449">
        <v>0.17886244470900001</v>
      </c>
      <c r="D16449">
        <v>0.97058311040300005</v>
      </c>
      <c r="E16449">
        <v>3.68215892053973</v>
      </c>
    </row>
    <row r="16450" spans="1:5">
      <c r="A16450" t="s">
        <v>19051</v>
      </c>
      <c r="B16450" t="s">
        <v>19052</v>
      </c>
      <c r="C16450">
        <f>0.0245943233461</f>
        <v>2.4594323346100001E-2</v>
      </c>
      <c r="D16450" t="s">
        <v>106</v>
      </c>
      <c r="E16450">
        <v>19.850074962518701</v>
      </c>
    </row>
    <row r="16451" spans="1:5">
      <c r="A16451" t="s">
        <v>19051</v>
      </c>
      <c r="B16451" t="s">
        <v>19053</v>
      </c>
      <c r="C16451">
        <f>0.013061291945</f>
        <v>1.3061291944999999E-2</v>
      </c>
      <c r="D16451" t="s">
        <v>106</v>
      </c>
      <c r="E16451">
        <v>19.850074962518701</v>
      </c>
    </row>
    <row r="16452" spans="1:5">
      <c r="A16452" t="s">
        <v>19051</v>
      </c>
      <c r="B16452" t="s">
        <v>19054</v>
      </c>
      <c r="C16452">
        <f>0</f>
        <v>0</v>
      </c>
      <c r="D16452" t="s">
        <v>106</v>
      </c>
      <c r="E16452">
        <v>19.850074962518701</v>
      </c>
    </row>
    <row r="16453" spans="1:5">
      <c r="A16453" t="s">
        <v>19051</v>
      </c>
      <c r="B16453" t="s">
        <v>19055</v>
      </c>
      <c r="C16453">
        <f>0</f>
        <v>0</v>
      </c>
      <c r="D16453" t="s">
        <v>106</v>
      </c>
      <c r="E16453">
        <v>19.850074962518701</v>
      </c>
    </row>
    <row r="16454" spans="1:5">
      <c r="A16454" t="s">
        <v>19056</v>
      </c>
      <c r="B16454" t="s">
        <v>19057</v>
      </c>
      <c r="C16454">
        <f>0.435267976251</f>
        <v>0.435267976251</v>
      </c>
      <c r="D16454">
        <v>0.34806398515300002</v>
      </c>
      <c r="E16454">
        <v>2.7106446776611599</v>
      </c>
    </row>
    <row r="16455" spans="1:5">
      <c r="A16455" t="s">
        <v>19058</v>
      </c>
      <c r="B16455" t="s">
        <v>19059</v>
      </c>
      <c r="C16455">
        <v>0</v>
      </c>
      <c r="D16455" t="s">
        <v>106</v>
      </c>
      <c r="E16455">
        <v>18.554722638680602</v>
      </c>
    </row>
    <row r="16456" spans="1:5">
      <c r="A16456" t="s">
        <v>19058</v>
      </c>
      <c r="B16456" t="s">
        <v>19060</v>
      </c>
      <c r="C16456">
        <v>0</v>
      </c>
      <c r="D16456" t="s">
        <v>106</v>
      </c>
      <c r="E16456">
        <v>18.554722638680602</v>
      </c>
    </row>
    <row r="16457" spans="1:5">
      <c r="A16457" t="s">
        <v>19058</v>
      </c>
      <c r="B16457" t="s">
        <v>19061</v>
      </c>
      <c r="C16457">
        <v>0</v>
      </c>
      <c r="D16457" t="s">
        <v>106</v>
      </c>
      <c r="E16457">
        <v>18.554722638680602</v>
      </c>
    </row>
    <row r="16458" spans="1:5">
      <c r="A16458" t="s">
        <v>19058</v>
      </c>
      <c r="B16458" t="s">
        <v>19062</v>
      </c>
      <c r="C16458">
        <v>0</v>
      </c>
      <c r="D16458" t="s">
        <v>106</v>
      </c>
      <c r="E16458">
        <v>18.554722638680602</v>
      </c>
    </row>
    <row r="16459" spans="1:5">
      <c r="A16459" t="s">
        <v>19058</v>
      </c>
      <c r="B16459" t="s">
        <v>19063</v>
      </c>
      <c r="C16459">
        <v>0</v>
      </c>
      <c r="D16459" t="s">
        <v>106</v>
      </c>
      <c r="E16459">
        <v>18.554722638680602</v>
      </c>
    </row>
    <row r="16460" spans="1:5">
      <c r="A16460" t="s">
        <v>19058</v>
      </c>
      <c r="B16460" t="s">
        <v>19064</v>
      </c>
      <c r="C16460">
        <v>0</v>
      </c>
      <c r="D16460" t="s">
        <v>106</v>
      </c>
      <c r="E16460">
        <v>18.554722638680602</v>
      </c>
    </row>
    <row r="16461" spans="1:5">
      <c r="A16461" t="s">
        <v>19058</v>
      </c>
      <c r="B16461" t="s">
        <v>19065</v>
      </c>
      <c r="C16461">
        <v>0</v>
      </c>
      <c r="D16461" t="s">
        <v>106</v>
      </c>
      <c r="E16461">
        <v>18.554722638680602</v>
      </c>
    </row>
    <row r="16462" spans="1:5">
      <c r="A16462" t="s">
        <v>19058</v>
      </c>
      <c r="B16462" t="s">
        <v>19066</v>
      </c>
      <c r="C16462">
        <v>0</v>
      </c>
      <c r="D16462" t="s">
        <v>106</v>
      </c>
      <c r="E16462">
        <v>18.554722638680602</v>
      </c>
    </row>
    <row r="16463" spans="1:5">
      <c r="A16463" t="s">
        <v>19058</v>
      </c>
      <c r="B16463" t="s">
        <v>19067</v>
      </c>
      <c r="C16463">
        <v>0</v>
      </c>
      <c r="D16463" t="s">
        <v>106</v>
      </c>
      <c r="E16463">
        <v>18.554722638680602</v>
      </c>
    </row>
    <row r="16464" spans="1:5">
      <c r="A16464" t="s">
        <v>19058</v>
      </c>
      <c r="B16464" t="s">
        <v>19068</v>
      </c>
      <c r="C16464">
        <v>0</v>
      </c>
      <c r="D16464" t="s">
        <v>106</v>
      </c>
      <c r="E16464">
        <v>18.554722638680602</v>
      </c>
    </row>
    <row r="16465" spans="1:5">
      <c r="A16465" t="s">
        <v>19058</v>
      </c>
      <c r="B16465" t="s">
        <v>19069</v>
      </c>
      <c r="C16465">
        <f>0</f>
        <v>0</v>
      </c>
      <c r="D16465" t="s">
        <v>106</v>
      </c>
      <c r="E16465">
        <v>18.554722638680602</v>
      </c>
    </row>
    <row r="16466" spans="1:5">
      <c r="A16466" t="s">
        <v>19058</v>
      </c>
      <c r="B16466" t="s">
        <v>19070</v>
      </c>
      <c r="C16466">
        <v>0</v>
      </c>
      <c r="D16466" t="s">
        <v>106</v>
      </c>
      <c r="E16466">
        <v>18.554722638680602</v>
      </c>
    </row>
    <row r="16467" spans="1:5">
      <c r="A16467" t="s">
        <v>19058</v>
      </c>
      <c r="B16467" t="s">
        <v>19071</v>
      </c>
      <c r="C16467">
        <v>0</v>
      </c>
      <c r="D16467" t="s">
        <v>106</v>
      </c>
      <c r="E16467">
        <v>18.554722638680602</v>
      </c>
    </row>
    <row r="16468" spans="1:5">
      <c r="A16468" t="s">
        <v>19072</v>
      </c>
      <c r="B16468" t="s">
        <v>19073</v>
      </c>
      <c r="C16468">
        <v>0</v>
      </c>
      <c r="D16468">
        <v>0.98348367393199998</v>
      </c>
      <c r="E16468">
        <v>23.040479760119901</v>
      </c>
    </row>
    <row r="16469" spans="1:5">
      <c r="A16469" t="s">
        <v>19072</v>
      </c>
      <c r="B16469" t="s">
        <v>19074</v>
      </c>
      <c r="C16469">
        <f>0.0588898673446</f>
        <v>5.88898673446E-2</v>
      </c>
      <c r="D16469">
        <v>0.98348367393199998</v>
      </c>
      <c r="E16469">
        <v>23.040479760119901</v>
      </c>
    </row>
    <row r="16470" spans="1:5">
      <c r="A16470" t="s">
        <v>19072</v>
      </c>
      <c r="B16470" t="s">
        <v>19075</v>
      </c>
      <c r="C16470">
        <v>1.4740789392000001E-2</v>
      </c>
      <c r="D16470">
        <v>0.98348367393199998</v>
      </c>
      <c r="E16470">
        <v>23.040479760119901</v>
      </c>
    </row>
    <row r="16471" spans="1:5">
      <c r="A16471" t="s">
        <v>19072</v>
      </c>
      <c r="B16471" t="s">
        <v>19076</v>
      </c>
      <c r="C16471">
        <v>0</v>
      </c>
      <c r="D16471">
        <v>0.98348367393199998</v>
      </c>
      <c r="E16471">
        <v>23.040479760119901</v>
      </c>
    </row>
    <row r="16472" spans="1:5">
      <c r="A16472" t="s">
        <v>19072</v>
      </c>
      <c r="B16472" t="s">
        <v>19077</v>
      </c>
      <c r="C16472">
        <f>0</f>
        <v>0</v>
      </c>
      <c r="D16472">
        <v>0.98348367393199998</v>
      </c>
      <c r="E16472">
        <v>23.040479760119901</v>
      </c>
    </row>
    <row r="16473" spans="1:5">
      <c r="A16473" t="s">
        <v>19072</v>
      </c>
      <c r="B16473" t="s">
        <v>19078</v>
      </c>
      <c r="C16473">
        <v>0</v>
      </c>
      <c r="D16473">
        <v>0.98348367393199998</v>
      </c>
      <c r="E16473">
        <v>23.040479760119901</v>
      </c>
    </row>
    <row r="16474" spans="1:5">
      <c r="A16474" t="s">
        <v>19072</v>
      </c>
      <c r="B16474" t="s">
        <v>19079</v>
      </c>
      <c r="C16474">
        <v>0</v>
      </c>
      <c r="D16474">
        <v>0.98348367393199998</v>
      </c>
      <c r="E16474">
        <v>23.040479760119901</v>
      </c>
    </row>
    <row r="16475" spans="1:5">
      <c r="A16475" t="s">
        <v>19072</v>
      </c>
      <c r="B16475" t="s">
        <v>19080</v>
      </c>
      <c r="C16475">
        <v>0</v>
      </c>
      <c r="D16475">
        <v>0.98348367393199998</v>
      </c>
      <c r="E16475">
        <v>23.040479760119901</v>
      </c>
    </row>
    <row r="16476" spans="1:5">
      <c r="A16476" t="s">
        <v>19072</v>
      </c>
      <c r="B16476" t="s">
        <v>19081</v>
      </c>
      <c r="C16476">
        <f>0</f>
        <v>0</v>
      </c>
      <c r="D16476">
        <v>0.98348367393199998</v>
      </c>
      <c r="E16476">
        <v>23.040479760119901</v>
      </c>
    </row>
    <row r="16477" spans="1:5">
      <c r="A16477" t="s">
        <v>19072</v>
      </c>
      <c r="B16477" t="s">
        <v>19082</v>
      </c>
      <c r="C16477">
        <v>0</v>
      </c>
      <c r="D16477">
        <v>0.98348367393199998</v>
      </c>
      <c r="E16477">
        <v>23.040479760119901</v>
      </c>
    </row>
    <row r="16478" spans="1:5">
      <c r="A16478" t="s">
        <v>19072</v>
      </c>
      <c r="B16478" t="s">
        <v>19083</v>
      </c>
      <c r="C16478">
        <f>0</f>
        <v>0</v>
      </c>
      <c r="D16478">
        <v>0.98348367393199998</v>
      </c>
      <c r="E16478">
        <v>23.040479760119901</v>
      </c>
    </row>
    <row r="16479" spans="1:5">
      <c r="A16479" t="s">
        <v>19072</v>
      </c>
      <c r="B16479" t="s">
        <v>19084</v>
      </c>
      <c r="C16479">
        <f>0</f>
        <v>0</v>
      </c>
      <c r="D16479">
        <v>0.98348367393199998</v>
      </c>
      <c r="E16479">
        <v>23.040479760119901</v>
      </c>
    </row>
    <row r="16480" spans="1:5">
      <c r="A16480" t="s">
        <v>19085</v>
      </c>
      <c r="B16480" t="s">
        <v>19086</v>
      </c>
      <c r="C16480">
        <v>0</v>
      </c>
      <c r="D16480" t="s">
        <v>106</v>
      </c>
      <c r="E16480">
        <v>21.181409295352299</v>
      </c>
    </row>
    <row r="16481" spans="1:5">
      <c r="A16481" t="s">
        <v>19085</v>
      </c>
      <c r="B16481" t="s">
        <v>19087</v>
      </c>
      <c r="C16481">
        <v>0</v>
      </c>
      <c r="D16481" t="s">
        <v>106</v>
      </c>
      <c r="E16481">
        <v>21.181409295352299</v>
      </c>
    </row>
    <row r="16482" spans="1:5">
      <c r="A16482" t="s">
        <v>19085</v>
      </c>
      <c r="B16482" t="s">
        <v>19088</v>
      </c>
      <c r="C16482">
        <v>0</v>
      </c>
      <c r="D16482" t="s">
        <v>106</v>
      </c>
      <c r="E16482">
        <v>21.181409295352299</v>
      </c>
    </row>
    <row r="16483" spans="1:5">
      <c r="A16483" t="s">
        <v>19085</v>
      </c>
      <c r="B16483" t="s">
        <v>19089</v>
      </c>
      <c r="C16483">
        <v>0</v>
      </c>
      <c r="D16483" t="s">
        <v>106</v>
      </c>
      <c r="E16483">
        <v>21.181409295352299</v>
      </c>
    </row>
    <row r="16484" spans="1:5">
      <c r="A16484" t="s">
        <v>19085</v>
      </c>
      <c r="B16484" t="s">
        <v>19090</v>
      </c>
      <c r="C16484">
        <f>0</f>
        <v>0</v>
      </c>
      <c r="D16484" t="s">
        <v>106</v>
      </c>
      <c r="E16484">
        <v>21.181409295352299</v>
      </c>
    </row>
    <row r="16485" spans="1:5">
      <c r="A16485" t="s">
        <v>19091</v>
      </c>
      <c r="B16485" t="s">
        <v>19092</v>
      </c>
      <c r="C16485">
        <f>0</f>
        <v>0</v>
      </c>
      <c r="D16485">
        <v>0.89912316358</v>
      </c>
      <c r="E16485">
        <v>3.2263868065966999</v>
      </c>
    </row>
    <row r="16486" spans="1:5">
      <c r="A16486" t="s">
        <v>19091</v>
      </c>
      <c r="B16486" t="s">
        <v>19093</v>
      </c>
      <c r="C16486">
        <f>0</f>
        <v>0</v>
      </c>
      <c r="D16486">
        <v>0.89912316358</v>
      </c>
      <c r="E16486">
        <v>3.2263868065966999</v>
      </c>
    </row>
    <row r="16487" spans="1:5">
      <c r="A16487" t="s">
        <v>19091</v>
      </c>
      <c r="B16487" t="s">
        <v>19094</v>
      </c>
      <c r="C16487">
        <f>0</f>
        <v>0</v>
      </c>
      <c r="D16487">
        <v>0.89912316358</v>
      </c>
      <c r="E16487">
        <v>3.2263868065966999</v>
      </c>
    </row>
    <row r="16488" spans="1:5">
      <c r="A16488" t="s">
        <v>19091</v>
      </c>
      <c r="B16488" t="s">
        <v>19095</v>
      </c>
      <c r="C16488">
        <f>0</f>
        <v>0</v>
      </c>
      <c r="D16488">
        <v>0.89912316358</v>
      </c>
      <c r="E16488">
        <v>3.2263868065966999</v>
      </c>
    </row>
    <row r="16489" spans="1:5">
      <c r="A16489" t="s">
        <v>19091</v>
      </c>
      <c r="B16489" t="s">
        <v>19096</v>
      </c>
      <c r="C16489">
        <f>0</f>
        <v>0</v>
      </c>
      <c r="D16489">
        <v>0.89912316358</v>
      </c>
      <c r="E16489">
        <v>3.2263868065966999</v>
      </c>
    </row>
    <row r="16490" spans="1:5">
      <c r="A16490" t="s">
        <v>19091</v>
      </c>
      <c r="B16490" t="s">
        <v>19097</v>
      </c>
      <c r="C16490">
        <f>0</f>
        <v>0</v>
      </c>
      <c r="D16490">
        <v>0.89912316358</v>
      </c>
      <c r="E16490">
        <v>3.2263868065966999</v>
      </c>
    </row>
    <row r="16491" spans="1:5">
      <c r="A16491" t="s">
        <v>19091</v>
      </c>
      <c r="B16491" t="s">
        <v>19098</v>
      </c>
      <c r="C16491">
        <f>0.53846434365</f>
        <v>0.53846434364999995</v>
      </c>
      <c r="D16491">
        <v>0.89912316358</v>
      </c>
      <c r="E16491">
        <v>3.2263868065966999</v>
      </c>
    </row>
    <row r="16492" spans="1:5">
      <c r="A16492" t="s">
        <v>19091</v>
      </c>
      <c r="B16492" t="s">
        <v>19099</v>
      </c>
      <c r="C16492">
        <f>0</f>
        <v>0</v>
      </c>
      <c r="D16492">
        <v>0.89912316358</v>
      </c>
      <c r="E16492">
        <v>3.2263868065966999</v>
      </c>
    </row>
    <row r="16493" spans="1:5">
      <c r="A16493" t="s">
        <v>19091</v>
      </c>
      <c r="B16493" t="s">
        <v>19100</v>
      </c>
      <c r="C16493">
        <f>0</f>
        <v>0</v>
      </c>
      <c r="D16493">
        <v>0.89912316358</v>
      </c>
      <c r="E16493">
        <v>3.2263868065966999</v>
      </c>
    </row>
    <row r="16494" spans="1:5">
      <c r="A16494" t="s">
        <v>19091</v>
      </c>
      <c r="B16494" t="s">
        <v>19101</v>
      </c>
      <c r="C16494">
        <f>0</f>
        <v>0</v>
      </c>
      <c r="D16494">
        <v>0.89912316358</v>
      </c>
      <c r="E16494">
        <v>3.2263868065966999</v>
      </c>
    </row>
    <row r="16495" spans="1:5">
      <c r="A16495" t="s">
        <v>19091</v>
      </c>
      <c r="B16495" t="s">
        <v>19102</v>
      </c>
      <c r="C16495">
        <f>0.0591044921985</f>
        <v>5.9104492198500003E-2</v>
      </c>
      <c r="D16495">
        <v>0.89912316358</v>
      </c>
      <c r="E16495">
        <v>3.2263868065966999</v>
      </c>
    </row>
    <row r="16496" spans="1:5">
      <c r="A16496" t="s">
        <v>19103</v>
      </c>
      <c r="B16496" t="s">
        <v>19104</v>
      </c>
      <c r="C16496">
        <v>9.4350070044599998E-2</v>
      </c>
      <c r="D16496">
        <v>0.49021999350099998</v>
      </c>
      <c r="E16496">
        <v>24</v>
      </c>
    </row>
    <row r="16497" spans="1:5">
      <c r="A16497" t="s">
        <v>19103</v>
      </c>
      <c r="B16497" t="s">
        <v>19105</v>
      </c>
      <c r="C16497">
        <v>0.104911522578</v>
      </c>
      <c r="D16497">
        <v>0.49021999350099998</v>
      </c>
      <c r="E16497">
        <v>24</v>
      </c>
    </row>
    <row r="16498" spans="1:5">
      <c r="A16498" t="s">
        <v>19103</v>
      </c>
      <c r="B16498" t="s">
        <v>19106</v>
      </c>
      <c r="C16498">
        <v>0</v>
      </c>
      <c r="D16498">
        <v>0.49021999350099998</v>
      </c>
      <c r="E16498">
        <v>24</v>
      </c>
    </row>
    <row r="16499" spans="1:5">
      <c r="A16499" t="s">
        <v>19107</v>
      </c>
      <c r="B16499" t="s">
        <v>19108</v>
      </c>
      <c r="C16499">
        <f>0.00199718585557</f>
        <v>1.9971858555700001E-3</v>
      </c>
      <c r="D16499" t="s">
        <v>106</v>
      </c>
      <c r="E16499">
        <v>18.986506746626599</v>
      </c>
    </row>
    <row r="16500" spans="1:5">
      <c r="A16500" t="s">
        <v>19107</v>
      </c>
      <c r="B16500" t="s">
        <v>19109</v>
      </c>
      <c r="C16500">
        <v>3.4350324387299999E-2</v>
      </c>
      <c r="D16500" t="s">
        <v>106</v>
      </c>
      <c r="E16500">
        <v>18.986506746626599</v>
      </c>
    </row>
    <row r="16501" spans="1:5">
      <c r="A16501" t="s">
        <v>19110</v>
      </c>
      <c r="B16501" t="s">
        <v>19111</v>
      </c>
      <c r="C16501">
        <v>0</v>
      </c>
      <c r="D16501">
        <v>0.98605749300300005</v>
      </c>
      <c r="E16501">
        <v>24</v>
      </c>
    </row>
    <row r="16502" spans="1:5">
      <c r="A16502" t="s">
        <v>19112</v>
      </c>
      <c r="B16502" t="s">
        <v>19113</v>
      </c>
      <c r="C16502">
        <f>0</f>
        <v>0</v>
      </c>
      <c r="D16502">
        <v>0.76296710137299995</v>
      </c>
      <c r="E16502">
        <v>7.1964017991004496</v>
      </c>
    </row>
    <row r="16503" spans="1:5">
      <c r="A16503" t="s">
        <v>19112</v>
      </c>
      <c r="B16503" t="s">
        <v>19114</v>
      </c>
      <c r="C16503">
        <f>0</f>
        <v>0</v>
      </c>
      <c r="D16503">
        <v>0.76296710137299995</v>
      </c>
      <c r="E16503">
        <v>7.1964017991004496</v>
      </c>
    </row>
    <row r="16504" spans="1:5">
      <c r="A16504" t="s">
        <v>19112</v>
      </c>
      <c r="B16504" t="s">
        <v>19115</v>
      </c>
      <c r="C16504">
        <v>8.7625578941499999E-2</v>
      </c>
      <c r="D16504">
        <v>0.76296710137299995</v>
      </c>
      <c r="E16504">
        <v>7.1964017991004496</v>
      </c>
    </row>
    <row r="16505" spans="1:5">
      <c r="A16505" t="s">
        <v>19112</v>
      </c>
      <c r="B16505" t="s">
        <v>19116</v>
      </c>
      <c r="C16505">
        <v>0</v>
      </c>
      <c r="D16505">
        <v>0.76296710137299995</v>
      </c>
      <c r="E16505">
        <v>7.1964017991004496</v>
      </c>
    </row>
    <row r="16506" spans="1:5">
      <c r="A16506" t="s">
        <v>19112</v>
      </c>
      <c r="B16506" t="s">
        <v>19117</v>
      </c>
      <c r="C16506">
        <v>0</v>
      </c>
      <c r="D16506">
        <v>0.76296710137299995</v>
      </c>
      <c r="E16506">
        <v>7.1964017991004496</v>
      </c>
    </row>
    <row r="16507" spans="1:5">
      <c r="A16507" t="s">
        <v>19112</v>
      </c>
      <c r="B16507" t="s">
        <v>19118</v>
      </c>
      <c r="C16507">
        <v>0</v>
      </c>
      <c r="D16507">
        <v>0.76296710137299995</v>
      </c>
      <c r="E16507">
        <v>7.1964017991004496</v>
      </c>
    </row>
    <row r="16508" spans="1:5">
      <c r="A16508" t="s">
        <v>19112</v>
      </c>
      <c r="B16508" t="s">
        <v>19119</v>
      </c>
      <c r="C16508">
        <v>0</v>
      </c>
      <c r="D16508">
        <v>0.76296710137299995</v>
      </c>
      <c r="E16508">
        <v>7.1964017991004496</v>
      </c>
    </row>
    <row r="16509" spans="1:5">
      <c r="A16509" t="s">
        <v>19120</v>
      </c>
      <c r="B16509" t="s">
        <v>19121</v>
      </c>
      <c r="C16509">
        <f>0</f>
        <v>0</v>
      </c>
      <c r="D16509" t="s">
        <v>106</v>
      </c>
      <c r="E16509">
        <v>23.280359820089899</v>
      </c>
    </row>
    <row r="16510" spans="1:5">
      <c r="A16510" t="s">
        <v>19120</v>
      </c>
      <c r="B16510" t="s">
        <v>19122</v>
      </c>
      <c r="C16510">
        <f>0</f>
        <v>0</v>
      </c>
      <c r="D16510" t="s">
        <v>106</v>
      </c>
      <c r="E16510">
        <v>23.280359820089899</v>
      </c>
    </row>
    <row r="16511" spans="1:5">
      <c r="A16511" t="s">
        <v>19123</v>
      </c>
      <c r="B16511" t="s">
        <v>19124</v>
      </c>
      <c r="C16511">
        <v>0</v>
      </c>
      <c r="D16511" t="s">
        <v>106</v>
      </c>
      <c r="E16511">
        <v>0.77961019490254801</v>
      </c>
    </row>
    <row r="16512" spans="1:5">
      <c r="A16512" t="s">
        <v>19123</v>
      </c>
      <c r="B16512" t="s">
        <v>19125</v>
      </c>
      <c r="C16512">
        <f>0</f>
        <v>0</v>
      </c>
      <c r="D16512" t="s">
        <v>106</v>
      </c>
      <c r="E16512">
        <v>0.77961019490254801</v>
      </c>
    </row>
    <row r="16513" spans="1:5">
      <c r="A16513" t="s">
        <v>19123</v>
      </c>
      <c r="B16513" t="s">
        <v>19126</v>
      </c>
      <c r="C16513">
        <f>0</f>
        <v>0</v>
      </c>
      <c r="D16513" t="s">
        <v>106</v>
      </c>
      <c r="E16513">
        <v>0.77961019490254801</v>
      </c>
    </row>
    <row r="16514" spans="1:5">
      <c r="A16514" t="s">
        <v>19123</v>
      </c>
      <c r="B16514" t="s">
        <v>19127</v>
      </c>
      <c r="C16514">
        <f>0</f>
        <v>0</v>
      </c>
      <c r="D16514" t="s">
        <v>106</v>
      </c>
      <c r="E16514">
        <v>0.77961019490254801</v>
      </c>
    </row>
    <row r="16515" spans="1:5">
      <c r="A16515" t="s">
        <v>19128</v>
      </c>
      <c r="B16515" t="s">
        <v>19129</v>
      </c>
      <c r="C16515">
        <f>0.545748068504</f>
        <v>0.54574806850400004</v>
      </c>
      <c r="D16515">
        <v>0.96845904363400004</v>
      </c>
      <c r="E16515">
        <v>2.96251874062968</v>
      </c>
    </row>
    <row r="16516" spans="1:5">
      <c r="A16516" t="s">
        <v>19128</v>
      </c>
      <c r="B16516" t="s">
        <v>19130</v>
      </c>
      <c r="C16516">
        <f>0.23287124393</f>
        <v>0.23287124393</v>
      </c>
      <c r="D16516">
        <v>0.96845904363400004</v>
      </c>
      <c r="E16516">
        <v>2.96251874062968</v>
      </c>
    </row>
    <row r="16517" spans="1:5">
      <c r="A16517" t="s">
        <v>19131</v>
      </c>
      <c r="B16517" t="s">
        <v>19132</v>
      </c>
      <c r="C16517">
        <v>0</v>
      </c>
      <c r="D16517" t="s">
        <v>106</v>
      </c>
      <c r="E16517">
        <v>1.96701649175412</v>
      </c>
    </row>
    <row r="16518" spans="1:5">
      <c r="A16518" t="s">
        <v>19131</v>
      </c>
      <c r="B16518" t="s">
        <v>19133</v>
      </c>
      <c r="C16518">
        <f>0</f>
        <v>0</v>
      </c>
      <c r="D16518" t="s">
        <v>106</v>
      </c>
      <c r="E16518">
        <v>1.96701649175412</v>
      </c>
    </row>
    <row r="16519" spans="1:5">
      <c r="A16519" t="s">
        <v>19131</v>
      </c>
      <c r="B16519" t="s">
        <v>19134</v>
      </c>
      <c r="C16519">
        <v>0</v>
      </c>
      <c r="D16519" t="s">
        <v>106</v>
      </c>
      <c r="E16519">
        <v>1.96701649175412</v>
      </c>
    </row>
    <row r="16520" spans="1:5">
      <c r="A16520" t="s">
        <v>19131</v>
      </c>
      <c r="B16520" t="s">
        <v>19135</v>
      </c>
      <c r="C16520">
        <f>0</f>
        <v>0</v>
      </c>
      <c r="D16520" t="s">
        <v>106</v>
      </c>
      <c r="E16520">
        <v>1.96701649175412</v>
      </c>
    </row>
    <row r="16521" spans="1:5">
      <c r="A16521" t="s">
        <v>19131</v>
      </c>
      <c r="B16521" t="s">
        <v>19136</v>
      </c>
      <c r="C16521">
        <f>0</f>
        <v>0</v>
      </c>
      <c r="D16521" t="s">
        <v>106</v>
      </c>
      <c r="E16521">
        <v>1.96701649175412</v>
      </c>
    </row>
    <row r="16522" spans="1:5">
      <c r="A16522" t="s">
        <v>19137</v>
      </c>
      <c r="B16522" t="s">
        <v>19138</v>
      </c>
      <c r="C16522">
        <f>0</f>
        <v>0</v>
      </c>
      <c r="D16522" t="s">
        <v>106</v>
      </c>
      <c r="E16522">
        <v>4.2698650674662604</v>
      </c>
    </row>
    <row r="16523" spans="1:5">
      <c r="A16523" t="s">
        <v>19137</v>
      </c>
      <c r="B16523" t="s">
        <v>19139</v>
      </c>
      <c r="C16523">
        <v>0</v>
      </c>
      <c r="D16523" t="s">
        <v>106</v>
      </c>
      <c r="E16523">
        <v>4.2698650674662604</v>
      </c>
    </row>
    <row r="16524" spans="1:5">
      <c r="A16524" t="s">
        <v>19137</v>
      </c>
      <c r="B16524" t="s">
        <v>19140</v>
      </c>
      <c r="C16524">
        <f>0</f>
        <v>0</v>
      </c>
      <c r="D16524" t="s">
        <v>106</v>
      </c>
      <c r="E16524">
        <v>4.2698650674662604</v>
      </c>
    </row>
    <row r="16525" spans="1:5">
      <c r="A16525" t="s">
        <v>19137</v>
      </c>
      <c r="B16525" t="s">
        <v>19141</v>
      </c>
      <c r="C16525">
        <v>0</v>
      </c>
      <c r="D16525" t="s">
        <v>106</v>
      </c>
      <c r="E16525">
        <v>4.2698650674662604</v>
      </c>
    </row>
    <row r="16526" spans="1:5">
      <c r="A16526" t="s">
        <v>19137</v>
      </c>
      <c r="B16526" t="s">
        <v>19142</v>
      </c>
      <c r="C16526">
        <v>0</v>
      </c>
      <c r="D16526" t="s">
        <v>106</v>
      </c>
      <c r="E16526">
        <v>4.2698650674662604</v>
      </c>
    </row>
    <row r="16527" spans="1:5">
      <c r="A16527" t="s">
        <v>19137</v>
      </c>
      <c r="B16527" t="s">
        <v>19143</v>
      </c>
      <c r="C16527">
        <f>0</f>
        <v>0</v>
      </c>
      <c r="D16527" t="s">
        <v>106</v>
      </c>
      <c r="E16527">
        <v>4.2698650674662604</v>
      </c>
    </row>
    <row r="16528" spans="1:5">
      <c r="A16528" t="s">
        <v>19137</v>
      </c>
      <c r="B16528" t="s">
        <v>19144</v>
      </c>
      <c r="C16528">
        <f>0</f>
        <v>0</v>
      </c>
      <c r="D16528" t="s">
        <v>106</v>
      </c>
      <c r="E16528">
        <v>4.2698650674662604</v>
      </c>
    </row>
    <row r="16529" spans="1:5">
      <c r="A16529" t="s">
        <v>19137</v>
      </c>
      <c r="B16529" t="s">
        <v>19145</v>
      </c>
      <c r="C16529">
        <f>0</f>
        <v>0</v>
      </c>
      <c r="D16529" t="s">
        <v>106</v>
      </c>
      <c r="E16529">
        <v>4.2698650674662604</v>
      </c>
    </row>
    <row r="16530" spans="1:5">
      <c r="A16530" t="s">
        <v>19146</v>
      </c>
      <c r="B16530" t="s">
        <v>19147</v>
      </c>
      <c r="C16530">
        <f>0</f>
        <v>0</v>
      </c>
      <c r="D16530" t="s">
        <v>106</v>
      </c>
      <c r="E16530">
        <v>11.0344827586206</v>
      </c>
    </row>
    <row r="16531" spans="1:5">
      <c r="A16531" t="s">
        <v>19148</v>
      </c>
      <c r="B16531" t="s">
        <v>19149</v>
      </c>
      <c r="C16531">
        <v>0</v>
      </c>
      <c r="D16531" t="s">
        <v>106</v>
      </c>
      <c r="E16531">
        <v>3.3103448275862002</v>
      </c>
    </row>
    <row r="16532" spans="1:5">
      <c r="A16532" t="s">
        <v>19148</v>
      </c>
      <c r="B16532" t="s">
        <v>19150</v>
      </c>
      <c r="C16532">
        <v>0.47822876591399999</v>
      </c>
      <c r="D16532" t="s">
        <v>106</v>
      </c>
      <c r="E16532">
        <v>3.3103448275862002</v>
      </c>
    </row>
    <row r="16533" spans="1:5">
      <c r="A16533" t="s">
        <v>19148</v>
      </c>
      <c r="B16533" t="s">
        <v>19151</v>
      </c>
      <c r="C16533">
        <v>0</v>
      </c>
      <c r="D16533" t="s">
        <v>106</v>
      </c>
      <c r="E16533">
        <v>3.3103448275862002</v>
      </c>
    </row>
    <row r="16534" spans="1:5">
      <c r="A16534" t="s">
        <v>19148</v>
      </c>
      <c r="B16534" t="s">
        <v>19152</v>
      </c>
      <c r="C16534">
        <v>0</v>
      </c>
      <c r="D16534" t="s">
        <v>106</v>
      </c>
      <c r="E16534">
        <v>3.3103448275862002</v>
      </c>
    </row>
    <row r="16535" spans="1:5">
      <c r="A16535" t="s">
        <v>19148</v>
      </c>
      <c r="B16535" t="s">
        <v>19153</v>
      </c>
      <c r="C16535">
        <v>0</v>
      </c>
      <c r="D16535" t="s">
        <v>106</v>
      </c>
      <c r="E16535">
        <v>3.3103448275862002</v>
      </c>
    </row>
    <row r="16536" spans="1:5">
      <c r="A16536" t="s">
        <v>19148</v>
      </c>
      <c r="B16536" t="s">
        <v>19154</v>
      </c>
      <c r="C16536">
        <v>0</v>
      </c>
      <c r="D16536" t="s">
        <v>106</v>
      </c>
      <c r="E16536">
        <v>3.3103448275862002</v>
      </c>
    </row>
    <row r="16537" spans="1:5">
      <c r="A16537" t="s">
        <v>19148</v>
      </c>
      <c r="B16537" t="s">
        <v>19155</v>
      </c>
      <c r="C16537">
        <f>0</f>
        <v>0</v>
      </c>
      <c r="D16537" t="s">
        <v>106</v>
      </c>
      <c r="E16537">
        <v>3.3103448275862002</v>
      </c>
    </row>
    <row r="16538" spans="1:5">
      <c r="A16538" t="s">
        <v>19148</v>
      </c>
      <c r="B16538" t="s">
        <v>19156</v>
      </c>
      <c r="C16538">
        <v>0</v>
      </c>
      <c r="D16538" t="s">
        <v>106</v>
      </c>
      <c r="E16538">
        <v>3.3103448275862002</v>
      </c>
    </row>
    <row r="16539" spans="1:5">
      <c r="A16539" t="s">
        <v>19148</v>
      </c>
      <c r="B16539" t="s">
        <v>19157</v>
      </c>
      <c r="C16539">
        <v>9.5777935238699999E-2</v>
      </c>
      <c r="D16539" t="s">
        <v>106</v>
      </c>
      <c r="E16539">
        <v>3.3103448275862002</v>
      </c>
    </row>
    <row r="16540" spans="1:5">
      <c r="A16540" t="s">
        <v>19158</v>
      </c>
      <c r="B16540" t="s">
        <v>19159</v>
      </c>
      <c r="C16540">
        <f>0.0109034438219</f>
        <v>1.09034438219E-2</v>
      </c>
      <c r="D16540">
        <v>0.98080405021200001</v>
      </c>
      <c r="E16540">
        <v>5.9370314842578704</v>
      </c>
    </row>
    <row r="16541" spans="1:5">
      <c r="A16541" t="s">
        <v>19158</v>
      </c>
      <c r="B16541" t="s">
        <v>19160</v>
      </c>
      <c r="C16541">
        <f>0</f>
        <v>0</v>
      </c>
      <c r="D16541">
        <v>0.98080405021200001</v>
      </c>
      <c r="E16541">
        <v>5.9370314842578704</v>
      </c>
    </row>
    <row r="16542" spans="1:5">
      <c r="A16542" t="s">
        <v>19158</v>
      </c>
      <c r="B16542" t="s">
        <v>19161</v>
      </c>
      <c r="C16542">
        <v>0.65054726945399999</v>
      </c>
      <c r="D16542">
        <v>0.98080405021200001</v>
      </c>
      <c r="E16542">
        <v>5.9370314842578704</v>
      </c>
    </row>
    <row r="16543" spans="1:5">
      <c r="A16543" t="s">
        <v>19162</v>
      </c>
      <c r="B16543" t="s">
        <v>19163</v>
      </c>
      <c r="C16543">
        <v>2.18864705357E-2</v>
      </c>
      <c r="D16543" t="s">
        <v>106</v>
      </c>
      <c r="E16543">
        <v>18.986506746626599</v>
      </c>
    </row>
    <row r="16544" spans="1:5">
      <c r="A16544" t="s">
        <v>19162</v>
      </c>
      <c r="B16544" t="s">
        <v>19164</v>
      </c>
      <c r="C16544">
        <v>0</v>
      </c>
      <c r="D16544" t="s">
        <v>106</v>
      </c>
      <c r="E16544">
        <v>18.986506746626599</v>
      </c>
    </row>
    <row r="16545" spans="1:5">
      <c r="A16545" t="s">
        <v>19162</v>
      </c>
      <c r="B16545" t="s">
        <v>19165</v>
      </c>
      <c r="C16545">
        <v>0</v>
      </c>
      <c r="D16545" t="s">
        <v>106</v>
      </c>
      <c r="E16545">
        <v>18.986506746626599</v>
      </c>
    </row>
    <row r="16546" spans="1:5">
      <c r="A16546" t="s">
        <v>19162</v>
      </c>
      <c r="B16546" t="s">
        <v>19166</v>
      </c>
      <c r="C16546">
        <f>0</f>
        <v>0</v>
      </c>
      <c r="D16546" t="s">
        <v>106</v>
      </c>
      <c r="E16546">
        <v>18.986506746626599</v>
      </c>
    </row>
    <row r="16547" spans="1:5">
      <c r="A16547" t="s">
        <v>19162</v>
      </c>
      <c r="B16547" t="s">
        <v>19167</v>
      </c>
      <c r="C16547">
        <f>0</f>
        <v>0</v>
      </c>
      <c r="D16547" t="s">
        <v>106</v>
      </c>
      <c r="E16547">
        <v>18.986506746626599</v>
      </c>
    </row>
    <row r="16548" spans="1:5">
      <c r="A16548" t="s">
        <v>19168</v>
      </c>
      <c r="B16548" t="s">
        <v>19169</v>
      </c>
      <c r="C16548">
        <v>1.48062924321E-2</v>
      </c>
      <c r="D16548">
        <v>0.64208527978399998</v>
      </c>
      <c r="E16548">
        <v>19.850074962518701</v>
      </c>
    </row>
    <row r="16549" spans="1:5">
      <c r="A16549" t="s">
        <v>19168</v>
      </c>
      <c r="B16549" t="s">
        <v>19170</v>
      </c>
      <c r="C16549">
        <v>0</v>
      </c>
      <c r="D16549">
        <v>0.64208527978399998</v>
      </c>
      <c r="E16549">
        <v>19.850074962518701</v>
      </c>
    </row>
    <row r="16550" spans="1:5">
      <c r="A16550" t="s">
        <v>19168</v>
      </c>
      <c r="B16550" t="s">
        <v>19171</v>
      </c>
      <c r="C16550">
        <f>0</f>
        <v>0</v>
      </c>
      <c r="D16550">
        <v>0.64208527978399998</v>
      </c>
      <c r="E16550">
        <v>19.850074962518701</v>
      </c>
    </row>
    <row r="16551" spans="1:5">
      <c r="A16551" t="s">
        <v>19172</v>
      </c>
      <c r="B16551" t="s">
        <v>19173</v>
      </c>
      <c r="C16551">
        <v>0</v>
      </c>
      <c r="D16551">
        <v>0.91023755812100005</v>
      </c>
      <c r="E16551">
        <v>1.2713643178410701</v>
      </c>
    </row>
    <row r="16552" spans="1:5">
      <c r="A16552" t="s">
        <v>19172</v>
      </c>
      <c r="B16552" t="s">
        <v>19174</v>
      </c>
      <c r="C16552">
        <v>0.26292105730699999</v>
      </c>
      <c r="D16552">
        <v>0.91023755812100005</v>
      </c>
      <c r="E16552">
        <v>1.2713643178410701</v>
      </c>
    </row>
    <row r="16553" spans="1:5">
      <c r="A16553" t="s">
        <v>19172</v>
      </c>
      <c r="B16553" t="s">
        <v>19175</v>
      </c>
      <c r="C16553">
        <v>0</v>
      </c>
      <c r="D16553">
        <v>0.91023755812100005</v>
      </c>
      <c r="E16553">
        <v>1.2713643178410701</v>
      </c>
    </row>
    <row r="16554" spans="1:5">
      <c r="A16554" t="s">
        <v>19172</v>
      </c>
      <c r="B16554" t="s">
        <v>19176</v>
      </c>
      <c r="C16554">
        <f>0</f>
        <v>0</v>
      </c>
      <c r="D16554">
        <v>0.91023755812100005</v>
      </c>
      <c r="E16554">
        <v>1.2713643178410701</v>
      </c>
    </row>
    <row r="16555" spans="1:5">
      <c r="A16555" t="s">
        <v>19172</v>
      </c>
      <c r="B16555" t="s">
        <v>19177</v>
      </c>
      <c r="C16555">
        <f>0.00630497641325</f>
        <v>6.3049764132499997E-3</v>
      </c>
      <c r="D16555">
        <v>0.91023755812100005</v>
      </c>
      <c r="E16555">
        <v>1.2713643178410701</v>
      </c>
    </row>
    <row r="16556" spans="1:5">
      <c r="A16556" t="s">
        <v>19172</v>
      </c>
      <c r="B16556" t="s">
        <v>19178</v>
      </c>
      <c r="C16556">
        <v>0</v>
      </c>
      <c r="D16556">
        <v>0.91023755812100005</v>
      </c>
      <c r="E16556">
        <v>1.2713643178410701</v>
      </c>
    </row>
    <row r="16557" spans="1:5">
      <c r="A16557" t="s">
        <v>19172</v>
      </c>
      <c r="B16557" t="s">
        <v>19179</v>
      </c>
      <c r="C16557">
        <v>0</v>
      </c>
      <c r="D16557">
        <v>0.91023755812100005</v>
      </c>
      <c r="E16557">
        <v>1.2713643178410701</v>
      </c>
    </row>
    <row r="16558" spans="1:5">
      <c r="A16558" t="s">
        <v>19172</v>
      </c>
      <c r="B16558" t="s">
        <v>19180</v>
      </c>
      <c r="C16558">
        <v>0</v>
      </c>
      <c r="D16558">
        <v>0.91023755812100005</v>
      </c>
      <c r="E16558">
        <v>1.2713643178410701</v>
      </c>
    </row>
    <row r="16559" spans="1:5">
      <c r="A16559" t="s">
        <v>19181</v>
      </c>
      <c r="B16559" t="s">
        <v>19182</v>
      </c>
      <c r="C16559">
        <f>0</f>
        <v>0</v>
      </c>
      <c r="D16559" t="s">
        <v>106</v>
      </c>
      <c r="E16559">
        <v>17.919040479760099</v>
      </c>
    </row>
    <row r="16560" spans="1:5">
      <c r="A16560" t="s">
        <v>19181</v>
      </c>
      <c r="B16560" t="s">
        <v>19183</v>
      </c>
      <c r="C16560">
        <v>0</v>
      </c>
      <c r="D16560" t="s">
        <v>106</v>
      </c>
      <c r="E16560">
        <v>17.919040479760099</v>
      </c>
    </row>
    <row r="16561" spans="1:5">
      <c r="A16561" t="s">
        <v>19181</v>
      </c>
      <c r="B16561" t="s">
        <v>19184</v>
      </c>
      <c r="C16561">
        <v>0</v>
      </c>
      <c r="D16561" t="s">
        <v>106</v>
      </c>
      <c r="E16561">
        <v>17.919040479760099</v>
      </c>
    </row>
    <row r="16562" spans="1:5">
      <c r="A16562" t="s">
        <v>19181</v>
      </c>
      <c r="B16562" t="s">
        <v>19185</v>
      </c>
      <c r="C16562">
        <v>0</v>
      </c>
      <c r="D16562" t="s">
        <v>106</v>
      </c>
      <c r="E16562">
        <v>17.919040479760099</v>
      </c>
    </row>
    <row r="16563" spans="1:5">
      <c r="A16563" t="s">
        <v>19181</v>
      </c>
      <c r="B16563" t="s">
        <v>19186</v>
      </c>
      <c r="C16563">
        <f>0</f>
        <v>0</v>
      </c>
      <c r="D16563" t="s">
        <v>106</v>
      </c>
      <c r="E16563">
        <v>17.919040479760099</v>
      </c>
    </row>
    <row r="16564" spans="1:5">
      <c r="A16564" t="s">
        <v>19181</v>
      </c>
      <c r="B16564" t="s">
        <v>19187</v>
      </c>
      <c r="C16564">
        <v>0</v>
      </c>
      <c r="D16564" t="s">
        <v>106</v>
      </c>
      <c r="E16564">
        <v>17.919040479760099</v>
      </c>
    </row>
    <row r="16565" spans="1:5">
      <c r="A16565" t="s">
        <v>19181</v>
      </c>
      <c r="B16565" t="s">
        <v>19188</v>
      </c>
      <c r="C16565">
        <v>0</v>
      </c>
      <c r="D16565" t="s">
        <v>106</v>
      </c>
      <c r="E16565">
        <v>17.919040479760099</v>
      </c>
    </row>
    <row r="16566" spans="1:5">
      <c r="A16566" t="s">
        <v>19181</v>
      </c>
      <c r="B16566" t="s">
        <v>19189</v>
      </c>
      <c r="C16566">
        <v>0</v>
      </c>
      <c r="D16566" t="s">
        <v>106</v>
      </c>
      <c r="E16566">
        <v>17.919040479760099</v>
      </c>
    </row>
    <row r="16567" spans="1:5">
      <c r="A16567" t="s">
        <v>19181</v>
      </c>
      <c r="B16567" t="s">
        <v>19190</v>
      </c>
      <c r="C16567">
        <f>0</f>
        <v>0</v>
      </c>
      <c r="D16567" t="s">
        <v>106</v>
      </c>
      <c r="E16567">
        <v>17.919040479760099</v>
      </c>
    </row>
    <row r="16568" spans="1:5">
      <c r="A16568" t="s">
        <v>19181</v>
      </c>
      <c r="B16568" t="s">
        <v>19191</v>
      </c>
      <c r="C16568">
        <v>0</v>
      </c>
      <c r="D16568" t="s">
        <v>106</v>
      </c>
      <c r="E16568">
        <v>17.919040479760099</v>
      </c>
    </row>
    <row r="16569" spans="1:5">
      <c r="A16569" t="s">
        <v>19181</v>
      </c>
      <c r="B16569" t="s">
        <v>19192</v>
      </c>
      <c r="C16569">
        <v>0</v>
      </c>
      <c r="D16569" t="s">
        <v>106</v>
      </c>
      <c r="E16569">
        <v>17.919040479760099</v>
      </c>
    </row>
    <row r="16570" spans="1:5">
      <c r="A16570" t="s">
        <v>19181</v>
      </c>
      <c r="B16570" t="s">
        <v>19193</v>
      </c>
      <c r="C16570">
        <v>0</v>
      </c>
      <c r="D16570" t="s">
        <v>106</v>
      </c>
      <c r="E16570">
        <v>17.919040479760099</v>
      </c>
    </row>
    <row r="16571" spans="1:5">
      <c r="A16571" t="s">
        <v>19181</v>
      </c>
      <c r="B16571" t="s">
        <v>19194</v>
      </c>
      <c r="C16571">
        <v>0</v>
      </c>
      <c r="D16571" t="s">
        <v>106</v>
      </c>
      <c r="E16571">
        <v>17.919040479760099</v>
      </c>
    </row>
    <row r="16572" spans="1:5">
      <c r="A16572" t="s">
        <v>19181</v>
      </c>
      <c r="B16572" t="s">
        <v>19195</v>
      </c>
      <c r="C16572">
        <v>0</v>
      </c>
      <c r="D16572" t="s">
        <v>106</v>
      </c>
      <c r="E16572">
        <v>17.919040479760099</v>
      </c>
    </row>
    <row r="16573" spans="1:5">
      <c r="A16573" t="s">
        <v>19181</v>
      </c>
      <c r="B16573" t="s">
        <v>19196</v>
      </c>
      <c r="C16573">
        <v>0</v>
      </c>
      <c r="D16573" t="s">
        <v>106</v>
      </c>
      <c r="E16573">
        <v>17.919040479760099</v>
      </c>
    </row>
    <row r="16574" spans="1:5">
      <c r="A16574" t="s">
        <v>19197</v>
      </c>
      <c r="B16574" t="s">
        <v>19198</v>
      </c>
      <c r="C16574">
        <f>0</f>
        <v>0</v>
      </c>
      <c r="D16574" t="s">
        <v>106</v>
      </c>
      <c r="E16574">
        <v>10.398800599700101</v>
      </c>
    </row>
    <row r="16575" spans="1:5">
      <c r="A16575" t="s">
        <v>19197</v>
      </c>
      <c r="B16575" t="s">
        <v>19199</v>
      </c>
      <c r="C16575">
        <v>0</v>
      </c>
      <c r="D16575" t="s">
        <v>106</v>
      </c>
      <c r="E16575">
        <v>10.398800599700101</v>
      </c>
    </row>
    <row r="16576" spans="1:5">
      <c r="A16576" t="s">
        <v>19197</v>
      </c>
      <c r="B16576" t="s">
        <v>19200</v>
      </c>
      <c r="C16576">
        <v>0</v>
      </c>
      <c r="D16576" t="s">
        <v>106</v>
      </c>
      <c r="E16576">
        <v>10.398800599700101</v>
      </c>
    </row>
    <row r="16577" spans="1:5">
      <c r="A16577" t="s">
        <v>19197</v>
      </c>
      <c r="B16577" t="s">
        <v>19201</v>
      </c>
      <c r="C16577">
        <f>0</f>
        <v>0</v>
      </c>
      <c r="D16577" t="s">
        <v>106</v>
      </c>
      <c r="E16577">
        <v>10.398800599700101</v>
      </c>
    </row>
    <row r="16578" spans="1:5">
      <c r="A16578" t="s">
        <v>19197</v>
      </c>
      <c r="B16578" t="s">
        <v>19202</v>
      </c>
      <c r="C16578">
        <f>0</f>
        <v>0</v>
      </c>
      <c r="D16578" t="s">
        <v>106</v>
      </c>
      <c r="E16578">
        <v>10.398800599700101</v>
      </c>
    </row>
    <row r="16579" spans="1:5">
      <c r="A16579" t="s">
        <v>19197</v>
      </c>
      <c r="B16579" t="s">
        <v>19203</v>
      </c>
      <c r="C16579">
        <f>0</f>
        <v>0</v>
      </c>
      <c r="D16579" t="s">
        <v>106</v>
      </c>
      <c r="E16579">
        <v>10.398800599700101</v>
      </c>
    </row>
    <row r="16580" spans="1:5">
      <c r="A16580" t="s">
        <v>19204</v>
      </c>
      <c r="B16580" t="s">
        <v>19205</v>
      </c>
      <c r="C16580">
        <f>0</f>
        <v>0</v>
      </c>
      <c r="D16580" t="s">
        <v>106</v>
      </c>
      <c r="E16580">
        <v>19.6341829085457</v>
      </c>
    </row>
    <row r="16581" spans="1:5">
      <c r="A16581" t="s">
        <v>19204</v>
      </c>
      <c r="B16581" t="s">
        <v>19206</v>
      </c>
      <c r="C16581">
        <f>0</f>
        <v>0</v>
      </c>
      <c r="D16581" t="s">
        <v>106</v>
      </c>
      <c r="E16581">
        <v>19.6341829085457</v>
      </c>
    </row>
    <row r="16582" spans="1:5">
      <c r="A16582" t="s">
        <v>19204</v>
      </c>
      <c r="B16582" t="s">
        <v>19207</v>
      </c>
      <c r="C16582">
        <f>0</f>
        <v>0</v>
      </c>
      <c r="D16582" t="s">
        <v>106</v>
      </c>
      <c r="E16582">
        <v>19.6341829085457</v>
      </c>
    </row>
    <row r="16583" spans="1:5">
      <c r="A16583" t="s">
        <v>19204</v>
      </c>
      <c r="B16583" t="s">
        <v>19208</v>
      </c>
      <c r="C16583">
        <f>0</f>
        <v>0</v>
      </c>
      <c r="D16583" t="s">
        <v>106</v>
      </c>
      <c r="E16583">
        <v>19.6341829085457</v>
      </c>
    </row>
    <row r="16584" spans="1:5">
      <c r="A16584" t="s">
        <v>19204</v>
      </c>
      <c r="B16584" t="s">
        <v>19209</v>
      </c>
      <c r="C16584">
        <v>0</v>
      </c>
      <c r="D16584" t="s">
        <v>106</v>
      </c>
      <c r="E16584">
        <v>19.6341829085457</v>
      </c>
    </row>
    <row r="16585" spans="1:5">
      <c r="A16585" t="s">
        <v>19204</v>
      </c>
      <c r="B16585" t="s">
        <v>19210</v>
      </c>
      <c r="C16585">
        <f>0</f>
        <v>0</v>
      </c>
      <c r="D16585" t="s">
        <v>106</v>
      </c>
      <c r="E16585">
        <v>19.6341829085457</v>
      </c>
    </row>
    <row r="16586" spans="1:5">
      <c r="A16586" t="s">
        <v>19204</v>
      </c>
      <c r="B16586" t="s">
        <v>19211</v>
      </c>
      <c r="C16586">
        <v>0</v>
      </c>
      <c r="D16586" t="s">
        <v>106</v>
      </c>
      <c r="E16586">
        <v>19.6341829085457</v>
      </c>
    </row>
    <row r="16587" spans="1:5">
      <c r="A16587" t="s">
        <v>19204</v>
      </c>
      <c r="B16587" t="s">
        <v>19212</v>
      </c>
      <c r="C16587">
        <v>0.10610673259300001</v>
      </c>
      <c r="D16587" t="s">
        <v>106</v>
      </c>
      <c r="E16587">
        <v>19.6341829085457</v>
      </c>
    </row>
    <row r="16588" spans="1:5">
      <c r="A16588" t="s">
        <v>19204</v>
      </c>
      <c r="B16588" t="s">
        <v>19213</v>
      </c>
      <c r="C16588">
        <f>0</f>
        <v>0</v>
      </c>
      <c r="D16588" t="s">
        <v>106</v>
      </c>
      <c r="E16588">
        <v>19.6341829085457</v>
      </c>
    </row>
    <row r="16589" spans="1:5">
      <c r="A16589" t="s">
        <v>19204</v>
      </c>
      <c r="B16589" t="s">
        <v>19214</v>
      </c>
      <c r="C16589">
        <f>0</f>
        <v>0</v>
      </c>
      <c r="D16589" t="s">
        <v>106</v>
      </c>
      <c r="E16589">
        <v>19.6341829085457</v>
      </c>
    </row>
    <row r="16590" spans="1:5">
      <c r="A16590" t="s">
        <v>19204</v>
      </c>
      <c r="B16590" t="s">
        <v>19215</v>
      </c>
      <c r="C16590">
        <f>0.0412001044726</f>
        <v>4.1200104472600002E-2</v>
      </c>
      <c r="D16590" t="s">
        <v>106</v>
      </c>
      <c r="E16590">
        <v>19.6341829085457</v>
      </c>
    </row>
    <row r="16591" spans="1:5">
      <c r="A16591" t="s">
        <v>19204</v>
      </c>
      <c r="B16591" t="s">
        <v>19216</v>
      </c>
      <c r="C16591">
        <v>0</v>
      </c>
      <c r="D16591" t="s">
        <v>106</v>
      </c>
      <c r="E16591">
        <v>19.6341829085457</v>
      </c>
    </row>
    <row r="16592" spans="1:5">
      <c r="A16592" t="s">
        <v>19204</v>
      </c>
      <c r="B16592" t="s">
        <v>19217</v>
      </c>
      <c r="C16592">
        <f>0</f>
        <v>0</v>
      </c>
      <c r="D16592" t="s">
        <v>106</v>
      </c>
      <c r="E16592">
        <v>19.6341829085457</v>
      </c>
    </row>
    <row r="16593" spans="1:5">
      <c r="A16593" t="s">
        <v>19204</v>
      </c>
      <c r="B16593" t="s">
        <v>19218</v>
      </c>
      <c r="C16593">
        <v>0</v>
      </c>
      <c r="D16593" t="s">
        <v>106</v>
      </c>
      <c r="E16593">
        <v>19.6341829085457</v>
      </c>
    </row>
    <row r="16594" spans="1:5">
      <c r="A16594" t="s">
        <v>19204</v>
      </c>
      <c r="B16594" t="s">
        <v>19219</v>
      </c>
      <c r="C16594">
        <v>0</v>
      </c>
      <c r="D16594" t="s">
        <v>106</v>
      </c>
      <c r="E16594">
        <v>19.6341829085457</v>
      </c>
    </row>
    <row r="16595" spans="1:5">
      <c r="A16595" t="s">
        <v>19204</v>
      </c>
      <c r="B16595" t="s">
        <v>19220</v>
      </c>
      <c r="C16595">
        <v>0</v>
      </c>
      <c r="D16595" t="s">
        <v>106</v>
      </c>
      <c r="E16595">
        <v>19.6341829085457</v>
      </c>
    </row>
    <row r="16596" spans="1:5">
      <c r="A16596" t="s">
        <v>19221</v>
      </c>
      <c r="B16596" t="s">
        <v>19222</v>
      </c>
      <c r="C16596">
        <v>8.0932626147199996E-2</v>
      </c>
      <c r="D16596">
        <v>0.85606310638799998</v>
      </c>
      <c r="E16596">
        <v>9.1634182908545707</v>
      </c>
    </row>
    <row r="16597" spans="1:5">
      <c r="A16597" t="s">
        <v>19221</v>
      </c>
      <c r="B16597" t="s">
        <v>19223</v>
      </c>
      <c r="C16597">
        <v>0.56036327163499999</v>
      </c>
      <c r="D16597">
        <v>0.85606310638799998</v>
      </c>
      <c r="E16597">
        <v>9.1634182908545707</v>
      </c>
    </row>
    <row r="16598" spans="1:5">
      <c r="A16598" t="s">
        <v>19224</v>
      </c>
      <c r="B16598" t="s">
        <v>19225</v>
      </c>
      <c r="C16598">
        <v>9.3346099072700001E-2</v>
      </c>
      <c r="D16598">
        <v>0.63644522576899998</v>
      </c>
      <c r="E16598">
        <v>14.3688155922038</v>
      </c>
    </row>
    <row r="16599" spans="1:5">
      <c r="A16599" t="s">
        <v>19224</v>
      </c>
      <c r="B16599" t="s">
        <v>19226</v>
      </c>
      <c r="C16599">
        <v>0</v>
      </c>
      <c r="D16599">
        <v>0.63644522576899998</v>
      </c>
      <c r="E16599">
        <v>14.3688155922038</v>
      </c>
    </row>
    <row r="16600" spans="1:5">
      <c r="A16600" t="s">
        <v>19227</v>
      </c>
      <c r="B16600" t="s">
        <v>19228</v>
      </c>
      <c r="C16600">
        <v>0</v>
      </c>
      <c r="D16600">
        <v>0.3239945353</v>
      </c>
      <c r="E16600">
        <v>24</v>
      </c>
    </row>
    <row r="16601" spans="1:5">
      <c r="A16601" t="s">
        <v>19227</v>
      </c>
      <c r="B16601" t="s">
        <v>19229</v>
      </c>
      <c r="C16601">
        <f>0</f>
        <v>0</v>
      </c>
      <c r="D16601">
        <v>0.3239945353</v>
      </c>
      <c r="E16601">
        <v>24</v>
      </c>
    </row>
    <row r="16602" spans="1:5">
      <c r="A16602" t="s">
        <v>19227</v>
      </c>
      <c r="B16602" t="s">
        <v>19230</v>
      </c>
      <c r="C16602">
        <v>0</v>
      </c>
      <c r="D16602">
        <v>0.3239945353</v>
      </c>
      <c r="E16602">
        <v>24</v>
      </c>
    </row>
    <row r="16603" spans="1:5">
      <c r="A16603" t="s">
        <v>19227</v>
      </c>
      <c r="B16603" t="s">
        <v>19231</v>
      </c>
      <c r="C16603">
        <v>0</v>
      </c>
      <c r="D16603">
        <v>0.3239945353</v>
      </c>
      <c r="E16603">
        <v>24</v>
      </c>
    </row>
    <row r="16604" spans="1:5">
      <c r="A16604" t="s">
        <v>19227</v>
      </c>
      <c r="B16604" t="s">
        <v>19232</v>
      </c>
      <c r="C16604">
        <v>9.9438894736799996E-2</v>
      </c>
      <c r="D16604">
        <v>0.3239945353</v>
      </c>
      <c r="E16604">
        <v>24</v>
      </c>
    </row>
    <row r="16605" spans="1:5">
      <c r="A16605" t="s">
        <v>19227</v>
      </c>
      <c r="B16605" t="s">
        <v>19233</v>
      </c>
      <c r="C16605">
        <v>0</v>
      </c>
      <c r="D16605">
        <v>0.3239945353</v>
      </c>
      <c r="E16605">
        <v>24</v>
      </c>
    </row>
    <row r="16606" spans="1:5">
      <c r="A16606" t="s">
        <v>19227</v>
      </c>
      <c r="B16606" t="s">
        <v>19234</v>
      </c>
      <c r="C16606">
        <f>0</f>
        <v>0</v>
      </c>
      <c r="D16606">
        <v>0.3239945353</v>
      </c>
      <c r="E16606">
        <v>24</v>
      </c>
    </row>
    <row r="16607" spans="1:5">
      <c r="A16607" t="s">
        <v>19235</v>
      </c>
      <c r="B16607" t="s">
        <v>19236</v>
      </c>
      <c r="C16607">
        <v>3.8082942364700001E-2</v>
      </c>
      <c r="D16607">
        <v>0.95415778145200003</v>
      </c>
      <c r="E16607">
        <v>4.0659670164917499</v>
      </c>
    </row>
    <row r="16608" spans="1:5">
      <c r="A16608" t="s">
        <v>19237</v>
      </c>
      <c r="B16608" t="s">
        <v>19238</v>
      </c>
      <c r="C16608">
        <v>0</v>
      </c>
      <c r="D16608">
        <v>0.98555495635500001</v>
      </c>
      <c r="E16608">
        <v>0.34782608695652101</v>
      </c>
    </row>
    <row r="16609" spans="1:5">
      <c r="A16609" t="s">
        <v>19237</v>
      </c>
      <c r="B16609" t="s">
        <v>19239</v>
      </c>
      <c r="C16609">
        <v>9.0651140552800005E-2</v>
      </c>
      <c r="D16609">
        <v>0.98555495635500001</v>
      </c>
      <c r="E16609">
        <v>0.34782608695652101</v>
      </c>
    </row>
    <row r="16610" spans="1:5">
      <c r="A16610" t="s">
        <v>19237</v>
      </c>
      <c r="B16610" t="s">
        <v>19240</v>
      </c>
      <c r="C16610">
        <v>0</v>
      </c>
      <c r="D16610">
        <v>0.98555495635500001</v>
      </c>
      <c r="E16610">
        <v>0.34782608695652101</v>
      </c>
    </row>
    <row r="16611" spans="1:5">
      <c r="A16611" t="s">
        <v>19237</v>
      </c>
      <c r="B16611" t="s">
        <v>19241</v>
      </c>
      <c r="C16611">
        <v>0</v>
      </c>
      <c r="D16611">
        <v>0.98555495635500001</v>
      </c>
      <c r="E16611">
        <v>0.34782608695652101</v>
      </c>
    </row>
    <row r="16612" spans="1:5">
      <c r="A16612" t="s">
        <v>19237</v>
      </c>
      <c r="B16612" t="s">
        <v>19242</v>
      </c>
      <c r="C16612">
        <f>0</f>
        <v>0</v>
      </c>
      <c r="D16612">
        <v>0.98555495635500001</v>
      </c>
      <c r="E16612">
        <v>0.34782608695652101</v>
      </c>
    </row>
    <row r="16613" spans="1:5">
      <c r="A16613" t="s">
        <v>19237</v>
      </c>
      <c r="B16613" t="s">
        <v>19243</v>
      </c>
      <c r="C16613">
        <f>0</f>
        <v>0</v>
      </c>
      <c r="D16613">
        <v>0.98555495635500001</v>
      </c>
      <c r="E16613">
        <v>0.34782608695652101</v>
      </c>
    </row>
    <row r="16614" spans="1:5">
      <c r="A16614" t="s">
        <v>19237</v>
      </c>
      <c r="B16614" t="s">
        <v>19244</v>
      </c>
      <c r="C16614">
        <v>0</v>
      </c>
      <c r="D16614">
        <v>0.98555495635500001</v>
      </c>
      <c r="E16614">
        <v>0.34782608695652101</v>
      </c>
    </row>
    <row r="16615" spans="1:5">
      <c r="A16615" t="s">
        <v>19237</v>
      </c>
      <c r="B16615" t="s">
        <v>19245</v>
      </c>
      <c r="C16615">
        <f>0</f>
        <v>0</v>
      </c>
      <c r="D16615">
        <v>0.98555495635500001</v>
      </c>
      <c r="E16615">
        <v>0.34782608695652101</v>
      </c>
    </row>
    <row r="16616" spans="1:5">
      <c r="A16616" t="s">
        <v>19237</v>
      </c>
      <c r="B16616" t="s">
        <v>19246</v>
      </c>
      <c r="C16616">
        <v>0</v>
      </c>
      <c r="D16616">
        <v>0.98555495635500001</v>
      </c>
      <c r="E16616">
        <v>0.34782608695652101</v>
      </c>
    </row>
    <row r="16617" spans="1:5">
      <c r="A16617" t="s">
        <v>19237</v>
      </c>
      <c r="B16617" t="s">
        <v>19247</v>
      </c>
      <c r="C16617">
        <f>0</f>
        <v>0</v>
      </c>
      <c r="D16617">
        <v>0.98555495635500001</v>
      </c>
      <c r="E16617">
        <v>0.34782608695652101</v>
      </c>
    </row>
    <row r="16618" spans="1:5">
      <c r="A16618" t="s">
        <v>19237</v>
      </c>
      <c r="B16618" t="s">
        <v>19248</v>
      </c>
      <c r="C16618">
        <f>0.270666794154</f>
        <v>0.27066679415400002</v>
      </c>
      <c r="D16618">
        <v>0.98555495635500001</v>
      </c>
      <c r="E16618">
        <v>0.34782608695652101</v>
      </c>
    </row>
    <row r="16619" spans="1:5">
      <c r="A16619" t="s">
        <v>19237</v>
      </c>
      <c r="B16619" t="s">
        <v>19249</v>
      </c>
      <c r="C16619">
        <v>0</v>
      </c>
      <c r="D16619">
        <v>0.98555495635500001</v>
      </c>
      <c r="E16619">
        <v>0.34782608695652101</v>
      </c>
    </row>
    <row r="16620" spans="1:5">
      <c r="A16620" t="s">
        <v>19237</v>
      </c>
      <c r="B16620" t="s">
        <v>19250</v>
      </c>
      <c r="C16620">
        <v>0</v>
      </c>
      <c r="D16620">
        <v>0.98555495635500001</v>
      </c>
      <c r="E16620">
        <v>0.34782608695652101</v>
      </c>
    </row>
    <row r="16621" spans="1:5">
      <c r="A16621" t="s">
        <v>19237</v>
      </c>
      <c r="B16621" t="s">
        <v>19251</v>
      </c>
      <c r="C16621">
        <f>0</f>
        <v>0</v>
      </c>
      <c r="D16621">
        <v>0.98555495635500001</v>
      </c>
      <c r="E16621">
        <v>0.34782608695652101</v>
      </c>
    </row>
    <row r="16622" spans="1:5">
      <c r="A16622" t="s">
        <v>19237</v>
      </c>
      <c r="B16622" t="s">
        <v>19252</v>
      </c>
      <c r="C16622">
        <v>0</v>
      </c>
      <c r="D16622">
        <v>0.98555495635500001</v>
      </c>
      <c r="E16622">
        <v>0.34782608695652101</v>
      </c>
    </row>
    <row r="16623" spans="1:5">
      <c r="A16623" t="s">
        <v>19237</v>
      </c>
      <c r="B16623" t="s">
        <v>19253</v>
      </c>
      <c r="C16623">
        <f>0</f>
        <v>0</v>
      </c>
      <c r="D16623">
        <v>0.98555495635500001</v>
      </c>
      <c r="E16623">
        <v>0.34782608695652101</v>
      </c>
    </row>
    <row r="16624" spans="1:5">
      <c r="A16624" t="s">
        <v>19254</v>
      </c>
      <c r="B16624" t="s">
        <v>19255</v>
      </c>
      <c r="C16624">
        <v>0</v>
      </c>
      <c r="D16624">
        <v>0.84800021775199996</v>
      </c>
      <c r="E16624">
        <v>2.6386806596701602</v>
      </c>
    </row>
    <row r="16625" spans="1:5">
      <c r="A16625" t="s">
        <v>19254</v>
      </c>
      <c r="B16625" t="s">
        <v>19256</v>
      </c>
      <c r="C16625">
        <v>0</v>
      </c>
      <c r="D16625">
        <v>0.84800021775199996</v>
      </c>
      <c r="E16625">
        <v>2.6386806596701602</v>
      </c>
    </row>
    <row r="16626" spans="1:5">
      <c r="A16626" t="s">
        <v>19254</v>
      </c>
      <c r="B16626" t="s">
        <v>19257</v>
      </c>
      <c r="C16626">
        <v>1.66166234046E-3</v>
      </c>
      <c r="D16626">
        <v>0.84800021775199996</v>
      </c>
      <c r="E16626">
        <v>2.6386806596701602</v>
      </c>
    </row>
    <row r="16627" spans="1:5">
      <c r="A16627" t="s">
        <v>19254</v>
      </c>
      <c r="B16627" t="s">
        <v>19258</v>
      </c>
      <c r="C16627">
        <v>0</v>
      </c>
      <c r="D16627">
        <v>0.84800021775199996</v>
      </c>
      <c r="E16627">
        <v>2.6386806596701602</v>
      </c>
    </row>
    <row r="16628" spans="1:5">
      <c r="A16628" t="s">
        <v>19254</v>
      </c>
      <c r="B16628" t="s">
        <v>19259</v>
      </c>
      <c r="C16628">
        <v>0</v>
      </c>
      <c r="D16628">
        <v>0.84800021775199996</v>
      </c>
      <c r="E16628">
        <v>2.6386806596701602</v>
      </c>
    </row>
    <row r="16629" spans="1:5">
      <c r="A16629" t="s">
        <v>19254</v>
      </c>
      <c r="B16629" t="s">
        <v>19260</v>
      </c>
      <c r="C16629">
        <v>0.462477396476</v>
      </c>
      <c r="D16629">
        <v>0.84800021775199996</v>
      </c>
      <c r="E16629">
        <v>2.6386806596701602</v>
      </c>
    </row>
    <row r="16630" spans="1:5">
      <c r="A16630" t="s">
        <v>19261</v>
      </c>
      <c r="B16630" t="s">
        <v>19262</v>
      </c>
      <c r="C16630">
        <f>0</f>
        <v>0</v>
      </c>
      <c r="D16630" t="s">
        <v>106</v>
      </c>
      <c r="E16630">
        <v>4.1739130434782599</v>
      </c>
    </row>
    <row r="16631" spans="1:5">
      <c r="A16631" t="s">
        <v>19261</v>
      </c>
      <c r="B16631" t="s">
        <v>19263</v>
      </c>
      <c r="C16631">
        <f>0</f>
        <v>0</v>
      </c>
      <c r="D16631" t="s">
        <v>106</v>
      </c>
      <c r="E16631">
        <v>4.1739130434782599</v>
      </c>
    </row>
    <row r="16632" spans="1:5">
      <c r="A16632" t="s">
        <v>19261</v>
      </c>
      <c r="B16632" t="s">
        <v>19264</v>
      </c>
      <c r="C16632">
        <v>0</v>
      </c>
      <c r="D16632" t="s">
        <v>106</v>
      </c>
      <c r="E16632">
        <v>4.1739130434782599</v>
      </c>
    </row>
    <row r="16633" spans="1:5">
      <c r="A16633" t="s">
        <v>19261</v>
      </c>
      <c r="B16633" t="s">
        <v>19265</v>
      </c>
      <c r="C16633">
        <f>0</f>
        <v>0</v>
      </c>
      <c r="D16633" t="s">
        <v>106</v>
      </c>
      <c r="E16633">
        <v>4.1739130434782599</v>
      </c>
    </row>
    <row r="16634" spans="1:5">
      <c r="A16634" t="s">
        <v>19261</v>
      </c>
      <c r="B16634" t="s">
        <v>19266</v>
      </c>
      <c r="C16634">
        <v>0</v>
      </c>
      <c r="D16634" t="s">
        <v>106</v>
      </c>
      <c r="E16634">
        <v>4.1739130434782599</v>
      </c>
    </row>
    <row r="16635" spans="1:5">
      <c r="A16635" t="s">
        <v>19261</v>
      </c>
      <c r="B16635" t="s">
        <v>19267</v>
      </c>
      <c r="C16635">
        <v>0</v>
      </c>
      <c r="D16635" t="s">
        <v>106</v>
      </c>
      <c r="E16635">
        <v>4.1739130434782599</v>
      </c>
    </row>
    <row r="16636" spans="1:5">
      <c r="A16636" t="s">
        <v>19261</v>
      </c>
      <c r="B16636" t="s">
        <v>19268</v>
      </c>
      <c r="C16636">
        <f>0</f>
        <v>0</v>
      </c>
      <c r="D16636" t="s">
        <v>106</v>
      </c>
      <c r="E16636">
        <v>4.1739130434782599</v>
      </c>
    </row>
    <row r="16637" spans="1:5">
      <c r="A16637" t="s">
        <v>19261</v>
      </c>
      <c r="B16637" t="s">
        <v>19269</v>
      </c>
      <c r="C16637">
        <v>0</v>
      </c>
      <c r="D16637" t="s">
        <v>106</v>
      </c>
      <c r="E16637">
        <v>4.1739130434782599</v>
      </c>
    </row>
    <row r="16638" spans="1:5">
      <c r="A16638" t="s">
        <v>19261</v>
      </c>
      <c r="B16638" t="s">
        <v>19270</v>
      </c>
      <c r="C16638">
        <v>0</v>
      </c>
      <c r="D16638" t="s">
        <v>106</v>
      </c>
      <c r="E16638">
        <v>4.1739130434782599</v>
      </c>
    </row>
    <row r="16639" spans="1:5">
      <c r="A16639" t="s">
        <v>19271</v>
      </c>
      <c r="B16639" t="s">
        <v>19272</v>
      </c>
      <c r="C16639">
        <v>0.49216332518400002</v>
      </c>
      <c r="D16639" t="s">
        <v>106</v>
      </c>
      <c r="E16639">
        <v>2.39880059970015</v>
      </c>
    </row>
    <row r="16640" spans="1:5">
      <c r="A16640" t="s">
        <v>19273</v>
      </c>
      <c r="B16640" t="s">
        <v>19274</v>
      </c>
      <c r="C16640">
        <v>0</v>
      </c>
      <c r="D16640">
        <v>0.94477767147799996</v>
      </c>
      <c r="E16640">
        <v>4.9055472263868003</v>
      </c>
    </row>
    <row r="16641" spans="1:5">
      <c r="A16641" t="s">
        <v>19273</v>
      </c>
      <c r="B16641" t="s">
        <v>19275</v>
      </c>
      <c r="C16641">
        <v>0</v>
      </c>
      <c r="D16641">
        <v>0.94477767147799996</v>
      </c>
      <c r="E16641">
        <v>4.9055472263868003</v>
      </c>
    </row>
    <row r="16642" spans="1:5">
      <c r="A16642" t="s">
        <v>19273</v>
      </c>
      <c r="B16642" t="s">
        <v>19276</v>
      </c>
      <c r="C16642">
        <v>0</v>
      </c>
      <c r="D16642">
        <v>0.94477767147799996</v>
      </c>
      <c r="E16642">
        <v>4.9055472263868003</v>
      </c>
    </row>
    <row r="16643" spans="1:5">
      <c r="A16643" t="s">
        <v>19277</v>
      </c>
      <c r="B16643" t="s">
        <v>19278</v>
      </c>
      <c r="C16643">
        <v>0</v>
      </c>
      <c r="D16643">
        <v>0.91236389425599995</v>
      </c>
      <c r="E16643">
        <v>12.3898050974512</v>
      </c>
    </row>
    <row r="16644" spans="1:5">
      <c r="A16644" t="s">
        <v>19277</v>
      </c>
      <c r="B16644" t="s">
        <v>19279</v>
      </c>
      <c r="C16644">
        <v>0</v>
      </c>
      <c r="D16644">
        <v>0.91236389425599995</v>
      </c>
      <c r="E16644">
        <v>12.3898050974512</v>
      </c>
    </row>
    <row r="16645" spans="1:5">
      <c r="A16645" t="s">
        <v>19277</v>
      </c>
      <c r="B16645" t="s">
        <v>19280</v>
      </c>
      <c r="C16645">
        <v>0</v>
      </c>
      <c r="D16645">
        <v>0.91236389425599995</v>
      </c>
      <c r="E16645">
        <v>12.3898050974512</v>
      </c>
    </row>
    <row r="16646" spans="1:5">
      <c r="A16646" t="s">
        <v>19277</v>
      </c>
      <c r="B16646" t="s">
        <v>19281</v>
      </c>
      <c r="C16646">
        <v>4.4824826236599998E-3</v>
      </c>
      <c r="D16646">
        <v>0.91236389425599995</v>
      </c>
      <c r="E16646">
        <v>12.3898050974512</v>
      </c>
    </row>
    <row r="16647" spans="1:5">
      <c r="A16647" t="s">
        <v>19277</v>
      </c>
      <c r="B16647" t="s">
        <v>19282</v>
      </c>
      <c r="C16647">
        <v>0.30253503444300001</v>
      </c>
      <c r="D16647">
        <v>0.91236389425599995</v>
      </c>
      <c r="E16647">
        <v>12.3898050974512</v>
      </c>
    </row>
    <row r="16648" spans="1:5">
      <c r="A16648" t="s">
        <v>19283</v>
      </c>
      <c r="B16648" t="s">
        <v>19284</v>
      </c>
      <c r="C16648">
        <v>0</v>
      </c>
      <c r="D16648">
        <v>0.73219104144699998</v>
      </c>
      <c r="E16648">
        <v>4.7976011994003001</v>
      </c>
    </row>
    <row r="16649" spans="1:5">
      <c r="A16649" t="s">
        <v>19283</v>
      </c>
      <c r="B16649" t="s">
        <v>19285</v>
      </c>
      <c r="C16649">
        <v>0</v>
      </c>
      <c r="D16649">
        <v>0.73219104144699998</v>
      </c>
      <c r="E16649">
        <v>4.7976011994003001</v>
      </c>
    </row>
    <row r="16650" spans="1:5">
      <c r="A16650" t="s">
        <v>19283</v>
      </c>
      <c r="B16650" t="s">
        <v>19286</v>
      </c>
      <c r="C16650">
        <v>0</v>
      </c>
      <c r="D16650">
        <v>0.73219104144699998</v>
      </c>
      <c r="E16650">
        <v>4.7976011994003001</v>
      </c>
    </row>
    <row r="16651" spans="1:5">
      <c r="A16651" t="s">
        <v>19283</v>
      </c>
      <c r="B16651" t="s">
        <v>19287</v>
      </c>
      <c r="C16651">
        <v>0</v>
      </c>
      <c r="D16651">
        <v>0.73219104144699998</v>
      </c>
      <c r="E16651">
        <v>4.7976011994003001</v>
      </c>
    </row>
    <row r="16652" spans="1:5">
      <c r="A16652" t="s">
        <v>19283</v>
      </c>
      <c r="B16652" t="s">
        <v>19288</v>
      </c>
      <c r="C16652">
        <v>0</v>
      </c>
      <c r="D16652">
        <v>0.73219104144699998</v>
      </c>
      <c r="E16652">
        <v>4.7976011994003001</v>
      </c>
    </row>
    <row r="16653" spans="1:5">
      <c r="A16653" t="s">
        <v>19283</v>
      </c>
      <c r="B16653" t="s">
        <v>19289</v>
      </c>
      <c r="C16653">
        <v>6.4929058405700001E-3</v>
      </c>
      <c r="D16653">
        <v>0.73219104144699998</v>
      </c>
      <c r="E16653">
        <v>4.7976011994003001</v>
      </c>
    </row>
    <row r="16654" spans="1:5">
      <c r="A16654" t="s">
        <v>19283</v>
      </c>
      <c r="B16654" t="s">
        <v>19290</v>
      </c>
      <c r="C16654">
        <v>0</v>
      </c>
      <c r="D16654">
        <v>0.73219104144699998</v>
      </c>
      <c r="E16654">
        <v>4.7976011994003001</v>
      </c>
    </row>
    <row r="16655" spans="1:5">
      <c r="A16655" t="s">
        <v>19291</v>
      </c>
      <c r="B16655" t="s">
        <v>19292</v>
      </c>
      <c r="C16655">
        <f>0.153298702194</f>
        <v>0.15329870219399999</v>
      </c>
      <c r="D16655">
        <v>0.99003373219400004</v>
      </c>
      <c r="E16655">
        <v>18.554722638680602</v>
      </c>
    </row>
    <row r="16656" spans="1:5">
      <c r="A16656" t="s">
        <v>19291</v>
      </c>
      <c r="B16656" t="s">
        <v>19293</v>
      </c>
      <c r="C16656">
        <v>0</v>
      </c>
      <c r="D16656">
        <v>0.99003373219400004</v>
      </c>
      <c r="E16656">
        <v>18.554722638680602</v>
      </c>
    </row>
    <row r="16657" spans="1:5">
      <c r="A16657" t="s">
        <v>19291</v>
      </c>
      <c r="B16657" t="s">
        <v>19294</v>
      </c>
      <c r="C16657">
        <f>0</f>
        <v>0</v>
      </c>
      <c r="D16657">
        <v>0.99003373219400004</v>
      </c>
      <c r="E16657">
        <v>18.554722638680602</v>
      </c>
    </row>
    <row r="16658" spans="1:5">
      <c r="A16658" t="s">
        <v>19291</v>
      </c>
      <c r="B16658" t="s">
        <v>19295</v>
      </c>
      <c r="C16658">
        <v>0</v>
      </c>
      <c r="D16658">
        <v>0.99003373219400004</v>
      </c>
      <c r="E16658">
        <v>18.554722638680602</v>
      </c>
    </row>
    <row r="16659" spans="1:5">
      <c r="A16659" t="s">
        <v>19291</v>
      </c>
      <c r="B16659" t="s">
        <v>19296</v>
      </c>
      <c r="C16659">
        <f>0</f>
        <v>0</v>
      </c>
      <c r="D16659">
        <v>0.99003373219400004</v>
      </c>
      <c r="E16659">
        <v>18.554722638680602</v>
      </c>
    </row>
    <row r="16660" spans="1:5">
      <c r="A16660" t="s">
        <v>19291</v>
      </c>
      <c r="B16660" t="s">
        <v>19297</v>
      </c>
      <c r="C16660">
        <v>0</v>
      </c>
      <c r="D16660">
        <v>0.99003373219400004</v>
      </c>
      <c r="E16660">
        <v>18.554722638680602</v>
      </c>
    </row>
    <row r="16661" spans="1:5">
      <c r="A16661" t="s">
        <v>19291</v>
      </c>
      <c r="B16661" t="s">
        <v>19298</v>
      </c>
      <c r="C16661">
        <f>0.0903473528021</f>
        <v>9.0347352802100003E-2</v>
      </c>
      <c r="D16661">
        <v>0.99003373219400004</v>
      </c>
      <c r="E16661">
        <v>18.554722638680602</v>
      </c>
    </row>
    <row r="16662" spans="1:5">
      <c r="A16662" t="s">
        <v>19291</v>
      </c>
      <c r="B16662" t="s">
        <v>19299</v>
      </c>
      <c r="C16662">
        <f>0</f>
        <v>0</v>
      </c>
      <c r="D16662">
        <v>0.99003373219400004</v>
      </c>
      <c r="E16662">
        <v>18.554722638680602</v>
      </c>
    </row>
    <row r="16663" spans="1:5">
      <c r="A16663" t="s">
        <v>19300</v>
      </c>
      <c r="B16663" t="s">
        <v>19301</v>
      </c>
      <c r="C16663">
        <v>0</v>
      </c>
      <c r="D16663">
        <v>0.93252517887099995</v>
      </c>
      <c r="E16663">
        <v>0.95952023988005997</v>
      </c>
    </row>
    <row r="16664" spans="1:5">
      <c r="A16664" t="s">
        <v>19300</v>
      </c>
      <c r="B16664" t="s">
        <v>19302</v>
      </c>
      <c r="C16664">
        <f>0.0464212178698</f>
        <v>4.6421217869799997E-2</v>
      </c>
      <c r="D16664">
        <v>0.93252517887099995</v>
      </c>
      <c r="E16664">
        <v>0.95952023988005997</v>
      </c>
    </row>
    <row r="16665" spans="1:5">
      <c r="A16665" t="s">
        <v>19300</v>
      </c>
      <c r="B16665" t="s">
        <v>19303</v>
      </c>
      <c r="C16665">
        <f>0</f>
        <v>0</v>
      </c>
      <c r="D16665">
        <v>0.93252517887099995</v>
      </c>
      <c r="E16665">
        <v>0.95952023988005997</v>
      </c>
    </row>
    <row r="16666" spans="1:5">
      <c r="A16666" t="s">
        <v>19300</v>
      </c>
      <c r="B16666" t="s">
        <v>19304</v>
      </c>
      <c r="C16666">
        <f>0</f>
        <v>0</v>
      </c>
      <c r="D16666">
        <v>0.93252517887099995</v>
      </c>
      <c r="E16666">
        <v>0.95952023988005997</v>
      </c>
    </row>
    <row r="16667" spans="1:5">
      <c r="A16667" t="s">
        <v>19300</v>
      </c>
      <c r="B16667" t="s">
        <v>19305</v>
      </c>
      <c r="C16667">
        <v>0.195206667645</v>
      </c>
      <c r="D16667">
        <v>0.93252517887099995</v>
      </c>
      <c r="E16667">
        <v>0.95952023988005997</v>
      </c>
    </row>
    <row r="16668" spans="1:5">
      <c r="A16668" t="s">
        <v>19300</v>
      </c>
      <c r="B16668" t="s">
        <v>19306</v>
      </c>
      <c r="C16668">
        <f>0</f>
        <v>0</v>
      </c>
      <c r="D16668">
        <v>0.93252517887099995</v>
      </c>
      <c r="E16668">
        <v>0.95952023988005997</v>
      </c>
    </row>
    <row r="16669" spans="1:5">
      <c r="A16669" t="s">
        <v>19300</v>
      </c>
      <c r="B16669" t="s">
        <v>19307</v>
      </c>
      <c r="C16669">
        <f>0</f>
        <v>0</v>
      </c>
      <c r="D16669">
        <v>0.93252517887099995</v>
      </c>
      <c r="E16669">
        <v>0.95952023988005997</v>
      </c>
    </row>
    <row r="16670" spans="1:5">
      <c r="A16670" t="s">
        <v>19308</v>
      </c>
      <c r="B16670" t="s">
        <v>19309</v>
      </c>
      <c r="C16670">
        <f>0</f>
        <v>0</v>
      </c>
      <c r="D16670">
        <v>0.79772190431099999</v>
      </c>
      <c r="E16670">
        <v>4.58170914542728</v>
      </c>
    </row>
    <row r="16671" spans="1:5">
      <c r="A16671" t="s">
        <v>19308</v>
      </c>
      <c r="B16671" t="s">
        <v>19310</v>
      </c>
      <c r="C16671">
        <f>0</f>
        <v>0</v>
      </c>
      <c r="D16671">
        <v>0.79772190431099999</v>
      </c>
      <c r="E16671">
        <v>4.58170914542728</v>
      </c>
    </row>
    <row r="16672" spans="1:5">
      <c r="A16672" t="s">
        <v>19308</v>
      </c>
      <c r="B16672" t="s">
        <v>19311</v>
      </c>
      <c r="C16672">
        <f>0</f>
        <v>0</v>
      </c>
      <c r="D16672">
        <v>0.79772190431099999</v>
      </c>
      <c r="E16672">
        <v>4.58170914542728</v>
      </c>
    </row>
    <row r="16673" spans="1:5">
      <c r="A16673" t="s">
        <v>19308</v>
      </c>
      <c r="B16673" t="s">
        <v>19312</v>
      </c>
      <c r="C16673">
        <f>0</f>
        <v>0</v>
      </c>
      <c r="D16673">
        <v>0.79772190431099999</v>
      </c>
      <c r="E16673">
        <v>4.58170914542728</v>
      </c>
    </row>
    <row r="16674" spans="1:5">
      <c r="A16674" t="s">
        <v>19308</v>
      </c>
      <c r="B16674" t="s">
        <v>19313</v>
      </c>
      <c r="C16674">
        <v>0</v>
      </c>
      <c r="D16674">
        <v>0.79772190431099999</v>
      </c>
      <c r="E16674">
        <v>4.58170914542728</v>
      </c>
    </row>
    <row r="16675" spans="1:5">
      <c r="A16675" t="s">
        <v>19308</v>
      </c>
      <c r="B16675" t="s">
        <v>19314</v>
      </c>
      <c r="C16675">
        <v>0</v>
      </c>
      <c r="D16675">
        <v>0.79772190431099999</v>
      </c>
      <c r="E16675">
        <v>4.58170914542728</v>
      </c>
    </row>
    <row r="16676" spans="1:5">
      <c r="A16676" t="s">
        <v>19308</v>
      </c>
      <c r="B16676" t="s">
        <v>19315</v>
      </c>
      <c r="C16676">
        <f>0</f>
        <v>0</v>
      </c>
      <c r="D16676">
        <v>0.79772190431099999</v>
      </c>
      <c r="E16676">
        <v>4.58170914542728</v>
      </c>
    </row>
    <row r="16677" spans="1:5">
      <c r="A16677" t="s">
        <v>19308</v>
      </c>
      <c r="B16677" t="s">
        <v>19316</v>
      </c>
      <c r="C16677">
        <f>0</f>
        <v>0</v>
      </c>
      <c r="D16677">
        <v>0.79772190431099999</v>
      </c>
      <c r="E16677">
        <v>4.58170914542728</v>
      </c>
    </row>
    <row r="16678" spans="1:5">
      <c r="A16678" t="s">
        <v>19308</v>
      </c>
      <c r="B16678" t="s">
        <v>19317</v>
      </c>
      <c r="C16678">
        <f>0</f>
        <v>0</v>
      </c>
      <c r="D16678">
        <v>0.79772190431099999</v>
      </c>
      <c r="E16678">
        <v>4.58170914542728</v>
      </c>
    </row>
    <row r="16679" spans="1:5">
      <c r="A16679" t="s">
        <v>19308</v>
      </c>
      <c r="B16679" t="s">
        <v>19318</v>
      </c>
      <c r="C16679">
        <f>0</f>
        <v>0</v>
      </c>
      <c r="D16679">
        <v>0.79772190431099999</v>
      </c>
      <c r="E16679">
        <v>4.58170914542728</v>
      </c>
    </row>
    <row r="16680" spans="1:5">
      <c r="A16680" t="s">
        <v>19308</v>
      </c>
      <c r="B16680" t="s">
        <v>19319</v>
      </c>
      <c r="C16680">
        <f>0</f>
        <v>0</v>
      </c>
      <c r="D16680">
        <v>0.79772190431099999</v>
      </c>
      <c r="E16680">
        <v>4.58170914542728</v>
      </c>
    </row>
    <row r="16681" spans="1:5">
      <c r="A16681" t="s">
        <v>19308</v>
      </c>
      <c r="B16681" t="s">
        <v>19320</v>
      </c>
      <c r="C16681">
        <v>0</v>
      </c>
      <c r="D16681">
        <v>0.79772190431099999</v>
      </c>
      <c r="E16681">
        <v>4.58170914542728</v>
      </c>
    </row>
    <row r="16682" spans="1:5">
      <c r="A16682" t="s">
        <v>19308</v>
      </c>
      <c r="B16682" t="s">
        <v>19321</v>
      </c>
      <c r="C16682">
        <f>0</f>
        <v>0</v>
      </c>
      <c r="D16682">
        <v>0.79772190431099999</v>
      </c>
      <c r="E16682">
        <v>4.58170914542728</v>
      </c>
    </row>
    <row r="16683" spans="1:5">
      <c r="A16683" t="s">
        <v>19308</v>
      </c>
      <c r="B16683" t="s">
        <v>19322</v>
      </c>
      <c r="C16683">
        <v>0</v>
      </c>
      <c r="D16683">
        <v>0.79772190431099999</v>
      </c>
      <c r="E16683">
        <v>4.58170914542728</v>
      </c>
    </row>
    <row r="16684" spans="1:5">
      <c r="A16684" t="s">
        <v>19323</v>
      </c>
      <c r="B16684" t="s">
        <v>19324</v>
      </c>
      <c r="C16684">
        <f>0.0575757897921</f>
        <v>5.7575789792099999E-2</v>
      </c>
      <c r="D16684">
        <v>0.96662928822299998</v>
      </c>
      <c r="E16684">
        <v>21.8770614692653</v>
      </c>
    </row>
    <row r="16685" spans="1:5">
      <c r="A16685" t="s">
        <v>19323</v>
      </c>
      <c r="B16685" t="s">
        <v>19325</v>
      </c>
      <c r="C16685">
        <v>0</v>
      </c>
      <c r="D16685">
        <v>0.96662928822299998</v>
      </c>
      <c r="E16685">
        <v>21.8770614692653</v>
      </c>
    </row>
    <row r="16686" spans="1:5">
      <c r="A16686" t="s">
        <v>19323</v>
      </c>
      <c r="B16686" t="s">
        <v>19326</v>
      </c>
      <c r="C16686">
        <v>0</v>
      </c>
      <c r="D16686">
        <v>0.96662928822299998</v>
      </c>
      <c r="E16686">
        <v>21.8770614692653</v>
      </c>
    </row>
    <row r="16687" spans="1:5">
      <c r="A16687" t="s">
        <v>19323</v>
      </c>
      <c r="B16687" t="s">
        <v>19327</v>
      </c>
      <c r="C16687">
        <v>0</v>
      </c>
      <c r="D16687">
        <v>0.96662928822299998</v>
      </c>
      <c r="E16687">
        <v>21.8770614692653</v>
      </c>
    </row>
    <row r="16688" spans="1:5">
      <c r="A16688" t="s">
        <v>19323</v>
      </c>
      <c r="B16688" t="s">
        <v>19328</v>
      </c>
      <c r="C16688">
        <v>0</v>
      </c>
      <c r="D16688">
        <v>0.96662928822299998</v>
      </c>
      <c r="E16688">
        <v>21.8770614692653</v>
      </c>
    </row>
    <row r="16689" spans="1:5">
      <c r="A16689" t="s">
        <v>19323</v>
      </c>
      <c r="B16689" t="s">
        <v>19329</v>
      </c>
      <c r="C16689">
        <v>0</v>
      </c>
      <c r="D16689">
        <v>0.96662928822299998</v>
      </c>
      <c r="E16689">
        <v>21.8770614692653</v>
      </c>
    </row>
    <row r="16690" spans="1:5">
      <c r="A16690" t="s">
        <v>19323</v>
      </c>
      <c r="B16690" t="s">
        <v>19330</v>
      </c>
      <c r="C16690">
        <v>0</v>
      </c>
      <c r="D16690">
        <v>0.96662928822299998</v>
      </c>
      <c r="E16690">
        <v>21.8770614692653</v>
      </c>
    </row>
    <row r="16691" spans="1:5">
      <c r="A16691" t="s">
        <v>19323</v>
      </c>
      <c r="B16691" t="s">
        <v>19331</v>
      </c>
      <c r="C16691">
        <v>0</v>
      </c>
      <c r="D16691">
        <v>0.96662928822299998</v>
      </c>
      <c r="E16691">
        <v>21.8770614692653</v>
      </c>
    </row>
    <row r="16692" spans="1:5">
      <c r="A16692" t="s">
        <v>19323</v>
      </c>
      <c r="B16692" t="s">
        <v>19332</v>
      </c>
      <c r="C16692">
        <v>0</v>
      </c>
      <c r="D16692">
        <v>0.96662928822299998</v>
      </c>
      <c r="E16692">
        <v>21.8770614692653</v>
      </c>
    </row>
    <row r="16693" spans="1:5">
      <c r="A16693" t="s">
        <v>19323</v>
      </c>
      <c r="B16693" t="s">
        <v>19333</v>
      </c>
      <c r="C16693">
        <v>0.11953725197200001</v>
      </c>
      <c r="D16693">
        <v>0.96662928822299998</v>
      </c>
      <c r="E16693">
        <v>21.8770614692653</v>
      </c>
    </row>
    <row r="16694" spans="1:5">
      <c r="A16694" t="s">
        <v>19334</v>
      </c>
      <c r="B16694" t="s">
        <v>19335</v>
      </c>
      <c r="C16694">
        <f>0</f>
        <v>0</v>
      </c>
      <c r="D16694" t="s">
        <v>106</v>
      </c>
      <c r="E16694">
        <v>15.1244377811094</v>
      </c>
    </row>
    <row r="16695" spans="1:5">
      <c r="A16695" t="s">
        <v>19336</v>
      </c>
      <c r="B16695" t="s">
        <v>19337</v>
      </c>
      <c r="C16695">
        <v>0</v>
      </c>
      <c r="D16695" t="s">
        <v>106</v>
      </c>
      <c r="E16695">
        <v>9.6191904047975996</v>
      </c>
    </row>
    <row r="16696" spans="1:5">
      <c r="A16696" t="s">
        <v>19336</v>
      </c>
      <c r="B16696" t="s">
        <v>19338</v>
      </c>
      <c r="C16696">
        <v>0</v>
      </c>
      <c r="D16696" t="s">
        <v>106</v>
      </c>
      <c r="E16696">
        <v>9.6191904047975996</v>
      </c>
    </row>
    <row r="16697" spans="1:5">
      <c r="A16697" t="s">
        <v>19336</v>
      </c>
      <c r="B16697" t="s">
        <v>19339</v>
      </c>
      <c r="C16697">
        <f>0</f>
        <v>0</v>
      </c>
      <c r="D16697" t="s">
        <v>106</v>
      </c>
      <c r="E16697">
        <v>9.6191904047975996</v>
      </c>
    </row>
    <row r="16698" spans="1:5">
      <c r="A16698" t="s">
        <v>19336</v>
      </c>
      <c r="B16698" t="s">
        <v>19340</v>
      </c>
      <c r="C16698">
        <f>0</f>
        <v>0</v>
      </c>
      <c r="D16698" t="s">
        <v>106</v>
      </c>
      <c r="E16698">
        <v>9.6191904047975996</v>
      </c>
    </row>
    <row r="16699" spans="1:5">
      <c r="A16699" t="s">
        <v>19336</v>
      </c>
      <c r="B16699" t="s">
        <v>19341</v>
      </c>
      <c r="C16699">
        <f>0</f>
        <v>0</v>
      </c>
      <c r="D16699" t="s">
        <v>106</v>
      </c>
      <c r="E16699">
        <v>9.6191904047975996</v>
      </c>
    </row>
    <row r="16700" spans="1:5">
      <c r="A16700" t="s">
        <v>19336</v>
      </c>
      <c r="B16700" t="s">
        <v>19342</v>
      </c>
      <c r="C16700">
        <f>0</f>
        <v>0</v>
      </c>
      <c r="D16700" t="s">
        <v>106</v>
      </c>
      <c r="E16700">
        <v>9.6191904047975996</v>
      </c>
    </row>
    <row r="16701" spans="1:5">
      <c r="A16701" t="s">
        <v>19336</v>
      </c>
      <c r="B16701" t="s">
        <v>19343</v>
      </c>
      <c r="C16701">
        <f>0</f>
        <v>0</v>
      </c>
      <c r="D16701" t="s">
        <v>106</v>
      </c>
      <c r="E16701">
        <v>9.6191904047975996</v>
      </c>
    </row>
    <row r="16702" spans="1:5">
      <c r="A16702" t="s">
        <v>19336</v>
      </c>
      <c r="B16702" t="s">
        <v>19344</v>
      </c>
      <c r="C16702">
        <f>0</f>
        <v>0</v>
      </c>
      <c r="D16702" t="s">
        <v>106</v>
      </c>
      <c r="E16702">
        <v>9.6191904047975996</v>
      </c>
    </row>
    <row r="16703" spans="1:5">
      <c r="A16703" t="s">
        <v>19336</v>
      </c>
      <c r="B16703" t="s">
        <v>19345</v>
      </c>
      <c r="C16703">
        <f>0</f>
        <v>0</v>
      </c>
      <c r="D16703" t="s">
        <v>106</v>
      </c>
      <c r="E16703">
        <v>9.6191904047975996</v>
      </c>
    </row>
    <row r="16704" spans="1:5">
      <c r="A16704" t="s">
        <v>19336</v>
      </c>
      <c r="B16704" t="s">
        <v>19346</v>
      </c>
      <c r="C16704">
        <f>0</f>
        <v>0</v>
      </c>
      <c r="D16704" t="s">
        <v>106</v>
      </c>
      <c r="E16704">
        <v>9.6191904047975996</v>
      </c>
    </row>
    <row r="16705" spans="1:5">
      <c r="A16705" t="s">
        <v>19336</v>
      </c>
      <c r="B16705" t="s">
        <v>19347</v>
      </c>
      <c r="C16705">
        <f>0</f>
        <v>0</v>
      </c>
      <c r="D16705" t="s">
        <v>106</v>
      </c>
      <c r="E16705">
        <v>9.6191904047975996</v>
      </c>
    </row>
    <row r="16706" spans="1:5">
      <c r="A16706" t="s">
        <v>19336</v>
      </c>
      <c r="B16706" t="s">
        <v>19348</v>
      </c>
      <c r="C16706">
        <f>0</f>
        <v>0</v>
      </c>
      <c r="D16706" t="s">
        <v>106</v>
      </c>
      <c r="E16706">
        <v>9.6191904047975996</v>
      </c>
    </row>
    <row r="16707" spans="1:5">
      <c r="A16707" t="s">
        <v>19349</v>
      </c>
      <c r="B16707" t="s">
        <v>19350</v>
      </c>
      <c r="C16707">
        <v>0</v>
      </c>
      <c r="D16707">
        <v>0.99406951309900005</v>
      </c>
      <c r="E16707">
        <v>10.0749625187406</v>
      </c>
    </row>
    <row r="16708" spans="1:5">
      <c r="A16708" t="s">
        <v>19349</v>
      </c>
      <c r="B16708" t="s">
        <v>19351</v>
      </c>
      <c r="C16708">
        <v>9.3736187102400004E-2</v>
      </c>
      <c r="D16708">
        <v>0.99406951309900005</v>
      </c>
      <c r="E16708">
        <v>10.0749625187406</v>
      </c>
    </row>
    <row r="16709" spans="1:5">
      <c r="A16709" t="s">
        <v>19349</v>
      </c>
      <c r="B16709" t="s">
        <v>19352</v>
      </c>
      <c r="C16709">
        <v>0</v>
      </c>
      <c r="D16709">
        <v>0.99406951309900005</v>
      </c>
      <c r="E16709">
        <v>10.0749625187406</v>
      </c>
    </row>
    <row r="16710" spans="1:5">
      <c r="A16710" t="s">
        <v>19349</v>
      </c>
      <c r="B16710" t="s">
        <v>19353</v>
      </c>
      <c r="C16710">
        <f>0</f>
        <v>0</v>
      </c>
      <c r="D16710">
        <v>0.99406951309900005</v>
      </c>
      <c r="E16710">
        <v>10.0749625187406</v>
      </c>
    </row>
    <row r="16711" spans="1:5">
      <c r="A16711" t="s">
        <v>19349</v>
      </c>
      <c r="B16711" t="s">
        <v>19354</v>
      </c>
      <c r="C16711">
        <f>0</f>
        <v>0</v>
      </c>
      <c r="D16711">
        <v>0.99406951309900005</v>
      </c>
      <c r="E16711">
        <v>10.0749625187406</v>
      </c>
    </row>
    <row r="16712" spans="1:5">
      <c r="A16712" t="s">
        <v>19349</v>
      </c>
      <c r="B16712" t="s">
        <v>19355</v>
      </c>
      <c r="C16712">
        <v>0</v>
      </c>
      <c r="D16712">
        <v>0.99406951309900005</v>
      </c>
      <c r="E16712">
        <v>10.0749625187406</v>
      </c>
    </row>
    <row r="16713" spans="1:5">
      <c r="A16713" t="s">
        <v>19349</v>
      </c>
      <c r="B16713" t="s">
        <v>19356</v>
      </c>
      <c r="C16713">
        <v>0.335815831826</v>
      </c>
      <c r="D16713">
        <v>0.99406951309900005</v>
      </c>
      <c r="E16713">
        <v>10.0749625187406</v>
      </c>
    </row>
    <row r="16714" spans="1:5">
      <c r="A16714" t="s">
        <v>19349</v>
      </c>
      <c r="B16714" t="s">
        <v>19357</v>
      </c>
      <c r="C16714">
        <f>0</f>
        <v>0</v>
      </c>
      <c r="D16714">
        <v>0.99406951309900005</v>
      </c>
      <c r="E16714">
        <v>10.0749625187406</v>
      </c>
    </row>
    <row r="16715" spans="1:5">
      <c r="A16715" t="s">
        <v>19349</v>
      </c>
      <c r="B16715" t="s">
        <v>19358</v>
      </c>
      <c r="C16715">
        <v>0</v>
      </c>
      <c r="D16715">
        <v>0.99406951309900005</v>
      </c>
      <c r="E16715">
        <v>10.0749625187406</v>
      </c>
    </row>
    <row r="16716" spans="1:5">
      <c r="A16716" t="s">
        <v>19359</v>
      </c>
      <c r="B16716" t="s">
        <v>19360</v>
      </c>
      <c r="C16716">
        <v>0.12436891468900001</v>
      </c>
      <c r="D16716" t="s">
        <v>106</v>
      </c>
      <c r="E16716">
        <v>16.695652173913</v>
      </c>
    </row>
    <row r="16717" spans="1:5">
      <c r="A16717" t="s">
        <v>19359</v>
      </c>
      <c r="B16717" t="s">
        <v>19361</v>
      </c>
      <c r="C16717">
        <v>0</v>
      </c>
      <c r="D16717" t="s">
        <v>106</v>
      </c>
      <c r="E16717">
        <v>16.695652173913</v>
      </c>
    </row>
    <row r="16718" spans="1:5">
      <c r="A16718" t="s">
        <v>19359</v>
      </c>
      <c r="B16718" t="s">
        <v>19362</v>
      </c>
      <c r="C16718">
        <f>0</f>
        <v>0</v>
      </c>
      <c r="D16718" t="s">
        <v>106</v>
      </c>
      <c r="E16718">
        <v>16.695652173913</v>
      </c>
    </row>
    <row r="16719" spans="1:5">
      <c r="A16719" t="s">
        <v>19359</v>
      </c>
      <c r="B16719" t="s">
        <v>19363</v>
      </c>
      <c r="C16719">
        <f>0</f>
        <v>0</v>
      </c>
      <c r="D16719" t="s">
        <v>106</v>
      </c>
      <c r="E16719">
        <v>16.695652173913</v>
      </c>
    </row>
    <row r="16720" spans="1:5">
      <c r="A16720" t="s">
        <v>19359</v>
      </c>
      <c r="B16720" t="s">
        <v>19364</v>
      </c>
      <c r="C16720">
        <f>0</f>
        <v>0</v>
      </c>
      <c r="D16720" t="s">
        <v>106</v>
      </c>
      <c r="E16720">
        <v>16.695652173913</v>
      </c>
    </row>
    <row r="16721" spans="1:5">
      <c r="A16721" t="s">
        <v>19359</v>
      </c>
      <c r="B16721" t="s">
        <v>19365</v>
      </c>
      <c r="C16721">
        <v>0</v>
      </c>
      <c r="D16721" t="s">
        <v>106</v>
      </c>
      <c r="E16721">
        <v>16.695652173913</v>
      </c>
    </row>
    <row r="16722" spans="1:5">
      <c r="A16722" t="s">
        <v>19359</v>
      </c>
      <c r="B16722" t="s">
        <v>19366</v>
      </c>
      <c r="C16722">
        <v>0</v>
      </c>
      <c r="D16722" t="s">
        <v>106</v>
      </c>
      <c r="E16722">
        <v>16.695652173913</v>
      </c>
    </row>
    <row r="16723" spans="1:5">
      <c r="A16723" t="s">
        <v>19359</v>
      </c>
      <c r="B16723" t="s">
        <v>19367</v>
      </c>
      <c r="C16723">
        <f>0.0386042497446</f>
        <v>3.86042497446E-2</v>
      </c>
      <c r="D16723" t="s">
        <v>106</v>
      </c>
      <c r="E16723">
        <v>16.695652173913</v>
      </c>
    </row>
    <row r="16724" spans="1:5">
      <c r="A16724" t="s">
        <v>19359</v>
      </c>
      <c r="B16724" t="s">
        <v>19368</v>
      </c>
      <c r="C16724">
        <f>0</f>
        <v>0</v>
      </c>
      <c r="D16724" t="s">
        <v>106</v>
      </c>
      <c r="E16724">
        <v>16.695652173913</v>
      </c>
    </row>
    <row r="16725" spans="1:5">
      <c r="A16725" t="s">
        <v>19369</v>
      </c>
      <c r="B16725" t="s">
        <v>19370</v>
      </c>
      <c r="C16725">
        <v>0</v>
      </c>
      <c r="D16725" t="s">
        <v>106</v>
      </c>
      <c r="E16725">
        <v>24</v>
      </c>
    </row>
    <row r="16726" spans="1:5">
      <c r="A16726" t="s">
        <v>19369</v>
      </c>
      <c r="B16726" t="s">
        <v>19371</v>
      </c>
      <c r="C16726">
        <v>0</v>
      </c>
      <c r="D16726" t="s">
        <v>106</v>
      </c>
      <c r="E16726">
        <v>24</v>
      </c>
    </row>
    <row r="16727" spans="1:5">
      <c r="A16727" t="s">
        <v>19369</v>
      </c>
      <c r="B16727" t="s">
        <v>19372</v>
      </c>
      <c r="C16727">
        <v>0</v>
      </c>
      <c r="D16727" t="s">
        <v>106</v>
      </c>
      <c r="E16727">
        <v>24</v>
      </c>
    </row>
    <row r="16728" spans="1:5">
      <c r="A16728" t="s">
        <v>19369</v>
      </c>
      <c r="B16728" t="s">
        <v>19373</v>
      </c>
      <c r="C16728">
        <f>0</f>
        <v>0</v>
      </c>
      <c r="D16728" t="s">
        <v>106</v>
      </c>
      <c r="E16728">
        <v>24</v>
      </c>
    </row>
    <row r="16729" spans="1:5">
      <c r="A16729" t="s">
        <v>19369</v>
      </c>
      <c r="B16729" t="s">
        <v>19374</v>
      </c>
      <c r="C16729">
        <f>0</f>
        <v>0</v>
      </c>
      <c r="D16729" t="s">
        <v>106</v>
      </c>
      <c r="E16729">
        <v>24</v>
      </c>
    </row>
    <row r="16730" spans="1:5">
      <c r="A16730" t="s">
        <v>19369</v>
      </c>
      <c r="B16730" t="s">
        <v>19375</v>
      </c>
      <c r="C16730">
        <v>0</v>
      </c>
      <c r="D16730" t="s">
        <v>106</v>
      </c>
      <c r="E16730">
        <v>24</v>
      </c>
    </row>
    <row r="16731" spans="1:5">
      <c r="A16731" t="s">
        <v>19369</v>
      </c>
      <c r="B16731" t="s">
        <v>19376</v>
      </c>
      <c r="C16731">
        <v>1.90982233196E-2</v>
      </c>
      <c r="D16731" t="s">
        <v>106</v>
      </c>
      <c r="E16731">
        <v>24</v>
      </c>
    </row>
    <row r="16732" spans="1:5">
      <c r="A16732" t="s">
        <v>19369</v>
      </c>
      <c r="B16732" t="s">
        <v>19377</v>
      </c>
      <c r="C16732">
        <v>0</v>
      </c>
      <c r="D16732" t="s">
        <v>106</v>
      </c>
      <c r="E16732">
        <v>24</v>
      </c>
    </row>
    <row r="16733" spans="1:5">
      <c r="A16733" t="s">
        <v>19369</v>
      </c>
      <c r="B16733" t="s">
        <v>19378</v>
      </c>
      <c r="C16733">
        <v>1.5564796445200001E-2</v>
      </c>
      <c r="D16733" t="s">
        <v>106</v>
      </c>
      <c r="E16733">
        <v>24</v>
      </c>
    </row>
    <row r="16734" spans="1:5">
      <c r="A16734" t="s">
        <v>19379</v>
      </c>
      <c r="B16734" t="s">
        <v>19380</v>
      </c>
      <c r="C16734">
        <v>0.39511441893100002</v>
      </c>
      <c r="D16734">
        <v>0.87058619330700004</v>
      </c>
      <c r="E16734">
        <v>12.5577211394302</v>
      </c>
    </row>
    <row r="16735" spans="1:5">
      <c r="A16735" t="s">
        <v>19381</v>
      </c>
      <c r="B16735" t="s">
        <v>19382</v>
      </c>
      <c r="C16735">
        <f>0</f>
        <v>0</v>
      </c>
      <c r="D16735">
        <v>0.99635731221900004</v>
      </c>
      <c r="E16735">
        <v>12.5577211394302</v>
      </c>
    </row>
    <row r="16736" spans="1:5">
      <c r="A16736" t="s">
        <v>19381</v>
      </c>
      <c r="B16736" t="s">
        <v>19383</v>
      </c>
      <c r="C16736">
        <v>0</v>
      </c>
      <c r="D16736">
        <v>0.99635731221900004</v>
      </c>
      <c r="E16736">
        <v>12.5577211394302</v>
      </c>
    </row>
    <row r="16737" spans="1:5">
      <c r="A16737" t="s">
        <v>19381</v>
      </c>
      <c r="B16737" t="s">
        <v>19384</v>
      </c>
      <c r="C16737">
        <v>0</v>
      </c>
      <c r="D16737">
        <v>0.99635731221900004</v>
      </c>
      <c r="E16737">
        <v>12.5577211394302</v>
      </c>
    </row>
    <row r="16738" spans="1:5">
      <c r="A16738" t="s">
        <v>19381</v>
      </c>
      <c r="B16738" t="s">
        <v>19385</v>
      </c>
      <c r="C16738">
        <v>0.18761154276700001</v>
      </c>
      <c r="D16738">
        <v>0.99635731221900004</v>
      </c>
      <c r="E16738">
        <v>12.5577211394302</v>
      </c>
    </row>
    <row r="16739" spans="1:5">
      <c r="A16739" t="s">
        <v>19381</v>
      </c>
      <c r="B16739" t="s">
        <v>19386</v>
      </c>
      <c r="C16739">
        <v>0</v>
      </c>
      <c r="D16739">
        <v>0.99635731221900004</v>
      </c>
      <c r="E16739">
        <v>12.5577211394302</v>
      </c>
    </row>
    <row r="16740" spans="1:5">
      <c r="A16740" t="s">
        <v>19381</v>
      </c>
      <c r="B16740" t="s">
        <v>19387</v>
      </c>
      <c r="C16740">
        <v>7.8386492531200003E-2</v>
      </c>
      <c r="D16740">
        <v>0.99635731221900004</v>
      </c>
      <c r="E16740">
        <v>12.5577211394302</v>
      </c>
    </row>
    <row r="16741" spans="1:5">
      <c r="A16741" t="s">
        <v>19381</v>
      </c>
      <c r="B16741" t="s">
        <v>19388</v>
      </c>
      <c r="C16741">
        <v>0</v>
      </c>
      <c r="D16741">
        <v>0.99635731221900004</v>
      </c>
      <c r="E16741">
        <v>12.5577211394302</v>
      </c>
    </row>
    <row r="16742" spans="1:5">
      <c r="A16742" t="s">
        <v>19381</v>
      </c>
      <c r="B16742" t="s">
        <v>19389</v>
      </c>
      <c r="C16742">
        <v>0</v>
      </c>
      <c r="D16742">
        <v>0.99635731221900004</v>
      </c>
      <c r="E16742">
        <v>12.5577211394302</v>
      </c>
    </row>
    <row r="16743" spans="1:5">
      <c r="A16743" t="s">
        <v>19381</v>
      </c>
      <c r="B16743" t="s">
        <v>19390</v>
      </c>
      <c r="C16743">
        <f>0</f>
        <v>0</v>
      </c>
      <c r="D16743">
        <v>0.99635731221900004</v>
      </c>
      <c r="E16743">
        <v>12.5577211394302</v>
      </c>
    </row>
    <row r="16744" spans="1:5">
      <c r="A16744" t="s">
        <v>19381</v>
      </c>
      <c r="B16744" t="s">
        <v>19391</v>
      </c>
      <c r="C16744">
        <v>0</v>
      </c>
      <c r="D16744">
        <v>0.99635731221900004</v>
      </c>
      <c r="E16744">
        <v>12.5577211394302</v>
      </c>
    </row>
    <row r="16745" spans="1:5">
      <c r="A16745" t="s">
        <v>19381</v>
      </c>
      <c r="B16745" t="s">
        <v>19392</v>
      </c>
      <c r="C16745">
        <f>0</f>
        <v>0</v>
      </c>
      <c r="D16745">
        <v>0.99635731221900004</v>
      </c>
      <c r="E16745">
        <v>12.5577211394302</v>
      </c>
    </row>
    <row r="16746" spans="1:5">
      <c r="A16746" t="s">
        <v>19393</v>
      </c>
      <c r="B16746" t="s">
        <v>19394</v>
      </c>
      <c r="C16746">
        <v>0.27684225052099998</v>
      </c>
      <c r="D16746">
        <v>0.97801905554299995</v>
      </c>
      <c r="E16746">
        <v>2.79460269865067</v>
      </c>
    </row>
    <row r="16747" spans="1:5">
      <c r="A16747" t="s">
        <v>19395</v>
      </c>
      <c r="B16747" t="s">
        <v>19396</v>
      </c>
      <c r="C16747">
        <f>0</f>
        <v>0</v>
      </c>
      <c r="D16747">
        <v>0.98256715918000004</v>
      </c>
      <c r="E16747">
        <v>13.0854572713643</v>
      </c>
    </row>
    <row r="16748" spans="1:5">
      <c r="A16748" t="s">
        <v>19395</v>
      </c>
      <c r="B16748" t="s">
        <v>19397</v>
      </c>
      <c r="C16748">
        <v>5.7273283111499998E-2</v>
      </c>
      <c r="D16748">
        <v>0.98256715918000004</v>
      </c>
      <c r="E16748">
        <v>13.0854572713643</v>
      </c>
    </row>
    <row r="16749" spans="1:5">
      <c r="A16749" t="s">
        <v>19395</v>
      </c>
      <c r="B16749" t="s">
        <v>19398</v>
      </c>
      <c r="C16749">
        <v>0</v>
      </c>
      <c r="D16749">
        <v>0.98256715918000004</v>
      </c>
      <c r="E16749">
        <v>13.0854572713643</v>
      </c>
    </row>
    <row r="16750" spans="1:5">
      <c r="A16750" t="s">
        <v>19395</v>
      </c>
      <c r="B16750" t="s">
        <v>19399</v>
      </c>
      <c r="C16750">
        <f>0.272744650762</f>
        <v>0.272744650762</v>
      </c>
      <c r="D16750">
        <v>0.98256715918000004</v>
      </c>
      <c r="E16750">
        <v>13.0854572713643</v>
      </c>
    </row>
    <row r="16751" spans="1:5">
      <c r="A16751" t="s">
        <v>19395</v>
      </c>
      <c r="B16751" t="s">
        <v>19400</v>
      </c>
      <c r="C16751">
        <v>0</v>
      </c>
      <c r="D16751">
        <v>0.98256715918000004</v>
      </c>
      <c r="E16751">
        <v>13.0854572713643</v>
      </c>
    </row>
    <row r="16752" spans="1:5">
      <c r="A16752" t="s">
        <v>19401</v>
      </c>
      <c r="B16752" t="s">
        <v>19402</v>
      </c>
      <c r="C16752">
        <v>0</v>
      </c>
      <c r="D16752">
        <v>0.54266466601999996</v>
      </c>
      <c r="E16752">
        <v>19.4182908545727</v>
      </c>
    </row>
    <row r="16753" spans="1:5">
      <c r="A16753" t="s">
        <v>19401</v>
      </c>
      <c r="B16753" t="s">
        <v>19403</v>
      </c>
      <c r="C16753">
        <f>0.00761317934153</f>
        <v>7.6131793415299999E-3</v>
      </c>
      <c r="D16753">
        <v>0.54266466601999996</v>
      </c>
      <c r="E16753">
        <v>19.4182908545727</v>
      </c>
    </row>
    <row r="16754" spans="1:5">
      <c r="A16754" t="s">
        <v>19401</v>
      </c>
      <c r="B16754" t="s">
        <v>19404</v>
      </c>
      <c r="C16754">
        <v>1.42387965727E-2</v>
      </c>
      <c r="D16754">
        <v>0.54266466601999996</v>
      </c>
      <c r="E16754">
        <v>19.4182908545727</v>
      </c>
    </row>
    <row r="16755" spans="1:5">
      <c r="A16755" t="s">
        <v>19401</v>
      </c>
      <c r="B16755" t="s">
        <v>19405</v>
      </c>
      <c r="C16755">
        <f>0</f>
        <v>0</v>
      </c>
      <c r="D16755">
        <v>0.54266466601999996</v>
      </c>
      <c r="E16755">
        <v>19.4182908545727</v>
      </c>
    </row>
    <row r="16756" spans="1:5">
      <c r="A16756" t="s">
        <v>19406</v>
      </c>
      <c r="B16756" t="s">
        <v>19407</v>
      </c>
      <c r="C16756">
        <v>0.47485785461399999</v>
      </c>
      <c r="D16756">
        <v>0.89048481302000004</v>
      </c>
      <c r="E16756">
        <v>4.2698650674662604</v>
      </c>
    </row>
    <row r="16757" spans="1:5">
      <c r="A16757" t="s">
        <v>19408</v>
      </c>
      <c r="B16757" t="s">
        <v>19409</v>
      </c>
      <c r="C16757">
        <f>0</f>
        <v>0</v>
      </c>
      <c r="D16757" t="s">
        <v>106</v>
      </c>
      <c r="E16757">
        <v>5.69715142428785</v>
      </c>
    </row>
    <row r="16758" spans="1:5">
      <c r="A16758" t="s">
        <v>19408</v>
      </c>
      <c r="B16758" t="s">
        <v>19410</v>
      </c>
      <c r="C16758">
        <f>0</f>
        <v>0</v>
      </c>
      <c r="D16758" t="s">
        <v>106</v>
      </c>
      <c r="E16758">
        <v>5.69715142428785</v>
      </c>
    </row>
    <row r="16759" spans="1:5">
      <c r="A16759" t="s">
        <v>19408</v>
      </c>
      <c r="B16759" t="s">
        <v>19411</v>
      </c>
      <c r="C16759">
        <f>0</f>
        <v>0</v>
      </c>
      <c r="D16759" t="s">
        <v>106</v>
      </c>
      <c r="E16759">
        <v>5.69715142428785</v>
      </c>
    </row>
    <row r="16760" spans="1:5">
      <c r="A16760" t="s">
        <v>19408</v>
      </c>
      <c r="B16760" t="s">
        <v>19412</v>
      </c>
      <c r="C16760">
        <v>0</v>
      </c>
      <c r="D16760" t="s">
        <v>106</v>
      </c>
      <c r="E16760">
        <v>5.69715142428785</v>
      </c>
    </row>
    <row r="16761" spans="1:5">
      <c r="A16761" t="s">
        <v>19413</v>
      </c>
      <c r="B16761" t="s">
        <v>19414</v>
      </c>
      <c r="C16761">
        <v>0</v>
      </c>
      <c r="D16761" t="s">
        <v>106</v>
      </c>
      <c r="E16761">
        <v>9.4632683658170897</v>
      </c>
    </row>
    <row r="16762" spans="1:5">
      <c r="A16762" t="s">
        <v>19413</v>
      </c>
      <c r="B16762" t="s">
        <v>19415</v>
      </c>
      <c r="C16762">
        <f>0</f>
        <v>0</v>
      </c>
      <c r="D16762" t="s">
        <v>106</v>
      </c>
      <c r="E16762">
        <v>9.4632683658170897</v>
      </c>
    </row>
    <row r="16763" spans="1:5">
      <c r="A16763" t="s">
        <v>19413</v>
      </c>
      <c r="B16763" t="s">
        <v>19416</v>
      </c>
      <c r="C16763">
        <v>0</v>
      </c>
      <c r="D16763" t="s">
        <v>106</v>
      </c>
      <c r="E16763">
        <v>9.4632683658170897</v>
      </c>
    </row>
    <row r="16764" spans="1:5">
      <c r="A16764" t="s">
        <v>19413</v>
      </c>
      <c r="B16764" t="s">
        <v>19417</v>
      </c>
      <c r="C16764">
        <v>0</v>
      </c>
      <c r="D16764" t="s">
        <v>106</v>
      </c>
      <c r="E16764">
        <v>9.4632683658170897</v>
      </c>
    </row>
    <row r="16765" spans="1:5">
      <c r="A16765" t="s">
        <v>19413</v>
      </c>
      <c r="B16765" t="s">
        <v>19418</v>
      </c>
      <c r="C16765">
        <v>0</v>
      </c>
      <c r="D16765" t="s">
        <v>106</v>
      </c>
      <c r="E16765">
        <v>9.4632683658170897</v>
      </c>
    </row>
    <row r="16766" spans="1:5">
      <c r="A16766" t="s">
        <v>19413</v>
      </c>
      <c r="B16766" t="s">
        <v>19419</v>
      </c>
      <c r="C16766">
        <f>0</f>
        <v>0</v>
      </c>
      <c r="D16766" t="s">
        <v>106</v>
      </c>
      <c r="E16766">
        <v>9.4632683658170897</v>
      </c>
    </row>
    <row r="16767" spans="1:5">
      <c r="A16767" t="s">
        <v>19413</v>
      </c>
      <c r="B16767" t="s">
        <v>19420</v>
      </c>
      <c r="C16767">
        <v>0</v>
      </c>
      <c r="D16767" t="s">
        <v>106</v>
      </c>
      <c r="E16767">
        <v>9.4632683658170897</v>
      </c>
    </row>
    <row r="16768" spans="1:5">
      <c r="A16768" t="s">
        <v>19413</v>
      </c>
      <c r="B16768" t="s">
        <v>19421</v>
      </c>
      <c r="C16768">
        <v>0</v>
      </c>
      <c r="D16768" t="s">
        <v>106</v>
      </c>
      <c r="E16768">
        <v>9.4632683658170897</v>
      </c>
    </row>
    <row r="16769" spans="1:5">
      <c r="A16769" t="s">
        <v>19422</v>
      </c>
      <c r="B16769" t="s">
        <v>19423</v>
      </c>
      <c r="C16769">
        <v>0</v>
      </c>
      <c r="D16769" t="s">
        <v>106</v>
      </c>
      <c r="E16769">
        <v>9.1634182908545707</v>
      </c>
    </row>
    <row r="16770" spans="1:5">
      <c r="A16770" t="s">
        <v>19422</v>
      </c>
      <c r="B16770" t="s">
        <v>19424</v>
      </c>
      <c r="C16770">
        <v>0</v>
      </c>
      <c r="D16770" t="s">
        <v>106</v>
      </c>
      <c r="E16770">
        <v>9.1634182908545707</v>
      </c>
    </row>
    <row r="16771" spans="1:5">
      <c r="A16771" t="s">
        <v>19422</v>
      </c>
      <c r="B16771" t="s">
        <v>19425</v>
      </c>
      <c r="C16771">
        <v>0</v>
      </c>
      <c r="D16771" t="s">
        <v>106</v>
      </c>
      <c r="E16771">
        <v>9.1634182908545707</v>
      </c>
    </row>
    <row r="16772" spans="1:5">
      <c r="A16772" t="s">
        <v>19422</v>
      </c>
      <c r="B16772" t="s">
        <v>19426</v>
      </c>
      <c r="C16772">
        <v>0</v>
      </c>
      <c r="D16772" t="s">
        <v>106</v>
      </c>
      <c r="E16772">
        <v>9.1634182908545707</v>
      </c>
    </row>
    <row r="16773" spans="1:5">
      <c r="A16773" t="s">
        <v>19422</v>
      </c>
      <c r="B16773" t="s">
        <v>19427</v>
      </c>
      <c r="C16773">
        <f>0</f>
        <v>0</v>
      </c>
      <c r="D16773" t="s">
        <v>106</v>
      </c>
      <c r="E16773">
        <v>9.1634182908545707</v>
      </c>
    </row>
    <row r="16774" spans="1:5">
      <c r="A16774" t="s">
        <v>19422</v>
      </c>
      <c r="B16774" t="s">
        <v>19428</v>
      </c>
      <c r="C16774">
        <f>0</f>
        <v>0</v>
      </c>
      <c r="D16774" t="s">
        <v>106</v>
      </c>
      <c r="E16774">
        <v>9.1634182908545707</v>
      </c>
    </row>
    <row r="16775" spans="1:5">
      <c r="A16775" t="s">
        <v>19422</v>
      </c>
      <c r="B16775" t="s">
        <v>19429</v>
      </c>
      <c r="C16775">
        <v>0</v>
      </c>
      <c r="D16775" t="s">
        <v>106</v>
      </c>
      <c r="E16775">
        <v>9.1634182908545707</v>
      </c>
    </row>
    <row r="16776" spans="1:5">
      <c r="A16776" t="s">
        <v>19422</v>
      </c>
      <c r="B16776" t="s">
        <v>19430</v>
      </c>
      <c r="C16776">
        <v>0</v>
      </c>
      <c r="D16776" t="s">
        <v>106</v>
      </c>
      <c r="E16776">
        <v>9.1634182908545707</v>
      </c>
    </row>
    <row r="16777" spans="1:5">
      <c r="A16777" t="s">
        <v>19422</v>
      </c>
      <c r="B16777" t="s">
        <v>19431</v>
      </c>
      <c r="C16777">
        <v>0</v>
      </c>
      <c r="D16777" t="s">
        <v>106</v>
      </c>
      <c r="E16777">
        <v>9.1634182908545707</v>
      </c>
    </row>
    <row r="16778" spans="1:5">
      <c r="A16778" t="s">
        <v>19422</v>
      </c>
      <c r="B16778" t="s">
        <v>19432</v>
      </c>
      <c r="C16778">
        <v>0</v>
      </c>
      <c r="D16778" t="s">
        <v>106</v>
      </c>
      <c r="E16778">
        <v>9.1634182908545707</v>
      </c>
    </row>
    <row r="16779" spans="1:5">
      <c r="A16779" t="s">
        <v>19422</v>
      </c>
      <c r="B16779" t="s">
        <v>19433</v>
      </c>
      <c r="C16779">
        <f>0</f>
        <v>0</v>
      </c>
      <c r="D16779" t="s">
        <v>106</v>
      </c>
      <c r="E16779">
        <v>9.1634182908545707</v>
      </c>
    </row>
    <row r="16780" spans="1:5">
      <c r="A16780" t="s">
        <v>19422</v>
      </c>
      <c r="B16780" t="s">
        <v>19434</v>
      </c>
      <c r="C16780">
        <v>0</v>
      </c>
      <c r="D16780" t="s">
        <v>106</v>
      </c>
      <c r="E16780">
        <v>9.1634182908545707</v>
      </c>
    </row>
    <row r="16781" spans="1:5">
      <c r="A16781" t="s">
        <v>19435</v>
      </c>
      <c r="B16781" t="s">
        <v>19436</v>
      </c>
      <c r="C16781">
        <f>0</f>
        <v>0</v>
      </c>
      <c r="D16781" t="s">
        <v>106</v>
      </c>
      <c r="E16781">
        <v>0.91154422788605605</v>
      </c>
    </row>
    <row r="16782" spans="1:5">
      <c r="A16782" t="s">
        <v>19435</v>
      </c>
      <c r="B16782" t="s">
        <v>19437</v>
      </c>
      <c r="C16782">
        <f>0</f>
        <v>0</v>
      </c>
      <c r="D16782" t="s">
        <v>106</v>
      </c>
      <c r="E16782">
        <v>0.91154422788605605</v>
      </c>
    </row>
    <row r="16783" spans="1:5">
      <c r="A16783" t="s">
        <v>19435</v>
      </c>
      <c r="B16783" t="s">
        <v>19438</v>
      </c>
      <c r="C16783">
        <v>0</v>
      </c>
      <c r="D16783" t="s">
        <v>106</v>
      </c>
      <c r="E16783">
        <v>0.91154422788605605</v>
      </c>
    </row>
    <row r="16784" spans="1:5">
      <c r="A16784" t="s">
        <v>19435</v>
      </c>
      <c r="B16784" t="s">
        <v>19439</v>
      </c>
      <c r="C16784">
        <f>0</f>
        <v>0</v>
      </c>
      <c r="D16784" t="s">
        <v>106</v>
      </c>
      <c r="E16784">
        <v>0.91154422788605605</v>
      </c>
    </row>
    <row r="16785" spans="1:5">
      <c r="A16785" t="s">
        <v>19440</v>
      </c>
      <c r="B16785" t="s">
        <v>19441</v>
      </c>
      <c r="C16785">
        <f>0</f>
        <v>0</v>
      </c>
      <c r="D16785" t="s">
        <v>106</v>
      </c>
      <c r="E16785">
        <v>6.0569715142428704</v>
      </c>
    </row>
    <row r="16786" spans="1:5">
      <c r="A16786" t="s">
        <v>19440</v>
      </c>
      <c r="B16786" t="s">
        <v>19442</v>
      </c>
      <c r="C16786">
        <f>0</f>
        <v>0</v>
      </c>
      <c r="D16786" t="s">
        <v>106</v>
      </c>
      <c r="E16786">
        <v>6.0569715142428704</v>
      </c>
    </row>
    <row r="16787" spans="1:5">
      <c r="A16787" t="s">
        <v>19440</v>
      </c>
      <c r="B16787" t="s">
        <v>19443</v>
      </c>
      <c r="C16787">
        <v>0</v>
      </c>
      <c r="D16787" t="s">
        <v>106</v>
      </c>
      <c r="E16787">
        <v>6.0569715142428704</v>
      </c>
    </row>
    <row r="16788" spans="1:5">
      <c r="A16788" t="s">
        <v>19440</v>
      </c>
      <c r="B16788" t="s">
        <v>19444</v>
      </c>
      <c r="C16788">
        <f>0</f>
        <v>0</v>
      </c>
      <c r="D16788" t="s">
        <v>106</v>
      </c>
      <c r="E16788">
        <v>6.0569715142428704</v>
      </c>
    </row>
    <row r="16789" spans="1:5">
      <c r="A16789" t="s">
        <v>19440</v>
      </c>
      <c r="B16789" t="s">
        <v>19445</v>
      </c>
      <c r="C16789">
        <v>0</v>
      </c>
      <c r="D16789" t="s">
        <v>106</v>
      </c>
      <c r="E16789">
        <v>6.0569715142428704</v>
      </c>
    </row>
    <row r="16790" spans="1:5">
      <c r="A16790" t="s">
        <v>19440</v>
      </c>
      <c r="B16790" t="s">
        <v>19446</v>
      </c>
      <c r="C16790">
        <f>0</f>
        <v>0</v>
      </c>
      <c r="D16790" t="s">
        <v>106</v>
      </c>
      <c r="E16790">
        <v>6.0569715142428704</v>
      </c>
    </row>
    <row r="16791" spans="1:5">
      <c r="A16791" t="s">
        <v>19440</v>
      </c>
      <c r="B16791" t="s">
        <v>19447</v>
      </c>
      <c r="C16791">
        <f>0</f>
        <v>0</v>
      </c>
      <c r="D16791" t="s">
        <v>106</v>
      </c>
      <c r="E16791">
        <v>6.0569715142428704</v>
      </c>
    </row>
    <row r="16792" spans="1:5">
      <c r="A16792" t="s">
        <v>19440</v>
      </c>
      <c r="B16792" t="s">
        <v>19448</v>
      </c>
      <c r="C16792">
        <v>0</v>
      </c>
      <c r="D16792" t="s">
        <v>106</v>
      </c>
      <c r="E16792">
        <v>6.0569715142428704</v>
      </c>
    </row>
    <row r="16793" spans="1:5">
      <c r="A16793" t="s">
        <v>19449</v>
      </c>
      <c r="B16793" t="s">
        <v>19450</v>
      </c>
      <c r="C16793">
        <f>0.101781641474</f>
        <v>0.101781641474</v>
      </c>
      <c r="D16793">
        <v>0.60406371731399999</v>
      </c>
      <c r="E16793">
        <v>1.00749625187406</v>
      </c>
    </row>
    <row r="16794" spans="1:5">
      <c r="A16794" t="s">
        <v>19449</v>
      </c>
      <c r="B16794" t="s">
        <v>19451</v>
      </c>
      <c r="C16794">
        <f>0</f>
        <v>0</v>
      </c>
      <c r="D16794">
        <v>0.60406371731399999</v>
      </c>
      <c r="E16794">
        <v>1.00749625187406</v>
      </c>
    </row>
    <row r="16795" spans="1:5">
      <c r="A16795" t="s">
        <v>19452</v>
      </c>
      <c r="B16795" t="s">
        <v>19453</v>
      </c>
      <c r="C16795">
        <v>1.26991789361E-2</v>
      </c>
      <c r="D16795">
        <v>0.99290964400399995</v>
      </c>
      <c r="E16795">
        <v>12.3898050974512</v>
      </c>
    </row>
    <row r="16796" spans="1:5">
      <c r="A16796" t="s">
        <v>19452</v>
      </c>
      <c r="B16796" t="s">
        <v>19454</v>
      </c>
      <c r="C16796">
        <f>0.309618127011</f>
        <v>0.309618127011</v>
      </c>
      <c r="D16796">
        <v>0.99290964400399995</v>
      </c>
      <c r="E16796">
        <v>12.3898050974512</v>
      </c>
    </row>
    <row r="16797" spans="1:5">
      <c r="A16797" t="s">
        <v>19452</v>
      </c>
      <c r="B16797" t="s">
        <v>19455</v>
      </c>
      <c r="C16797">
        <f>0</f>
        <v>0</v>
      </c>
      <c r="D16797">
        <v>0.99290964400399995</v>
      </c>
      <c r="E16797">
        <v>12.3898050974512</v>
      </c>
    </row>
    <row r="16798" spans="1:5">
      <c r="A16798" t="s">
        <v>19456</v>
      </c>
      <c r="B16798" t="s">
        <v>19457</v>
      </c>
      <c r="C16798">
        <f>0</f>
        <v>0</v>
      </c>
      <c r="D16798">
        <v>0.78054804576400005</v>
      </c>
      <c r="E16798">
        <v>1.57121439280359</v>
      </c>
    </row>
    <row r="16799" spans="1:5">
      <c r="A16799" t="s">
        <v>19456</v>
      </c>
      <c r="B16799" t="s">
        <v>19458</v>
      </c>
      <c r="C16799">
        <v>0.11057542145099999</v>
      </c>
      <c r="D16799">
        <v>0.78054804576400005</v>
      </c>
      <c r="E16799">
        <v>1.57121439280359</v>
      </c>
    </row>
    <row r="16800" spans="1:5">
      <c r="A16800" t="s">
        <v>19456</v>
      </c>
      <c r="B16800" t="s">
        <v>19459</v>
      </c>
      <c r="C16800">
        <f>0</f>
        <v>0</v>
      </c>
      <c r="D16800">
        <v>0.78054804576400005</v>
      </c>
      <c r="E16800">
        <v>1.57121439280359</v>
      </c>
    </row>
    <row r="16801" spans="1:5">
      <c r="A16801" t="s">
        <v>19456</v>
      </c>
      <c r="B16801" t="s">
        <v>19460</v>
      </c>
      <c r="C16801">
        <v>0</v>
      </c>
      <c r="D16801">
        <v>0.78054804576400005</v>
      </c>
      <c r="E16801">
        <v>1.57121439280359</v>
      </c>
    </row>
    <row r="16802" spans="1:5">
      <c r="A16802" t="s">
        <v>19456</v>
      </c>
      <c r="B16802" t="s">
        <v>19461</v>
      </c>
      <c r="C16802">
        <f>0</f>
        <v>0</v>
      </c>
      <c r="D16802">
        <v>0.78054804576400005</v>
      </c>
      <c r="E16802">
        <v>1.57121439280359</v>
      </c>
    </row>
    <row r="16803" spans="1:5">
      <c r="A16803" t="s">
        <v>19456</v>
      </c>
      <c r="B16803" t="s">
        <v>19462</v>
      </c>
      <c r="C16803">
        <v>0</v>
      </c>
      <c r="D16803">
        <v>0.78054804576400005</v>
      </c>
      <c r="E16803">
        <v>1.57121439280359</v>
      </c>
    </row>
    <row r="16804" spans="1:5">
      <c r="A16804" t="s">
        <v>19456</v>
      </c>
      <c r="B16804" t="s">
        <v>19463</v>
      </c>
      <c r="C16804">
        <f>0</f>
        <v>0</v>
      </c>
      <c r="D16804">
        <v>0.78054804576400005</v>
      </c>
      <c r="E16804">
        <v>1.57121439280359</v>
      </c>
    </row>
    <row r="16805" spans="1:5">
      <c r="A16805" t="s">
        <v>19456</v>
      </c>
      <c r="B16805" t="s">
        <v>19464</v>
      </c>
      <c r="C16805">
        <f>0</f>
        <v>0</v>
      </c>
      <c r="D16805">
        <v>0.78054804576400005</v>
      </c>
      <c r="E16805">
        <v>1.57121439280359</v>
      </c>
    </row>
    <row r="16806" spans="1:5">
      <c r="A16806" t="s">
        <v>19456</v>
      </c>
      <c r="B16806" t="s">
        <v>19465</v>
      </c>
      <c r="C16806">
        <f>0</f>
        <v>0</v>
      </c>
      <c r="D16806">
        <v>0.78054804576400005</v>
      </c>
      <c r="E16806">
        <v>1.57121439280359</v>
      </c>
    </row>
    <row r="16807" spans="1:5">
      <c r="A16807" t="s">
        <v>19456</v>
      </c>
      <c r="B16807" t="s">
        <v>19466</v>
      </c>
      <c r="C16807">
        <f>0</f>
        <v>0</v>
      </c>
      <c r="D16807">
        <v>0.78054804576400005</v>
      </c>
      <c r="E16807">
        <v>1.57121439280359</v>
      </c>
    </row>
    <row r="16808" spans="1:5">
      <c r="A16808" t="s">
        <v>19456</v>
      </c>
      <c r="B16808" t="s">
        <v>19467</v>
      </c>
      <c r="C16808">
        <f>0</f>
        <v>0</v>
      </c>
      <c r="D16808">
        <v>0.78054804576400005</v>
      </c>
      <c r="E16808">
        <v>1.57121439280359</v>
      </c>
    </row>
    <row r="16809" spans="1:5">
      <c r="A16809" t="s">
        <v>19456</v>
      </c>
      <c r="B16809" t="s">
        <v>19468</v>
      </c>
      <c r="C16809">
        <f>0</f>
        <v>0</v>
      </c>
      <c r="D16809">
        <v>0.78054804576400005</v>
      </c>
      <c r="E16809">
        <v>1.57121439280359</v>
      </c>
    </row>
    <row r="16810" spans="1:5">
      <c r="A16810" t="s">
        <v>19456</v>
      </c>
      <c r="B16810" t="s">
        <v>19469</v>
      </c>
      <c r="C16810">
        <f>0.0254758819152</f>
        <v>2.5475881915200001E-2</v>
      </c>
      <c r="D16810">
        <v>0.78054804576400005</v>
      </c>
      <c r="E16810">
        <v>1.57121439280359</v>
      </c>
    </row>
    <row r="16811" spans="1:5">
      <c r="A16811" t="s">
        <v>19456</v>
      </c>
      <c r="B16811" t="s">
        <v>19470</v>
      </c>
      <c r="C16811">
        <f>0</f>
        <v>0</v>
      </c>
      <c r="D16811">
        <v>0.78054804576400005</v>
      </c>
      <c r="E16811">
        <v>1.57121439280359</v>
      </c>
    </row>
    <row r="16812" spans="1:5">
      <c r="A16812" t="s">
        <v>19471</v>
      </c>
      <c r="B16812" t="s">
        <v>19472</v>
      </c>
      <c r="C16812">
        <v>0</v>
      </c>
      <c r="D16812">
        <v>0.75517940467800004</v>
      </c>
      <c r="E16812">
        <v>12.7376311844077</v>
      </c>
    </row>
    <row r="16813" spans="1:5">
      <c r="A16813" t="s">
        <v>19471</v>
      </c>
      <c r="B16813" t="s">
        <v>19473</v>
      </c>
      <c r="C16813">
        <v>3.9038289039899997E-2</v>
      </c>
      <c r="D16813">
        <v>0.75517940467800004</v>
      </c>
      <c r="E16813">
        <v>12.7376311844077</v>
      </c>
    </row>
    <row r="16814" spans="1:5">
      <c r="A16814" t="s">
        <v>19471</v>
      </c>
      <c r="B16814" t="s">
        <v>19474</v>
      </c>
      <c r="C16814">
        <v>0</v>
      </c>
      <c r="D16814">
        <v>0.75517940467800004</v>
      </c>
      <c r="E16814">
        <v>12.7376311844077</v>
      </c>
    </row>
    <row r="16815" spans="1:5">
      <c r="A16815" t="s">
        <v>19475</v>
      </c>
      <c r="B16815" t="s">
        <v>19476</v>
      </c>
      <c r="C16815">
        <f>0</f>
        <v>0</v>
      </c>
      <c r="D16815">
        <v>0.98261363387800005</v>
      </c>
      <c r="E16815">
        <v>4.58170914542728</v>
      </c>
    </row>
    <row r="16816" spans="1:5">
      <c r="A16816" t="s">
        <v>19477</v>
      </c>
      <c r="B16816" t="s">
        <v>19478</v>
      </c>
      <c r="C16816">
        <v>4.2653981894700002E-2</v>
      </c>
      <c r="D16816">
        <v>0.31326304940600003</v>
      </c>
      <c r="E16816">
        <v>0.77961019490254801</v>
      </c>
    </row>
    <row r="16817" spans="1:5">
      <c r="A16817" t="s">
        <v>19477</v>
      </c>
      <c r="B16817" t="s">
        <v>19479</v>
      </c>
      <c r="C16817">
        <v>0</v>
      </c>
      <c r="D16817">
        <v>0.31326304940600003</v>
      </c>
      <c r="E16817">
        <v>0.77961019490254801</v>
      </c>
    </row>
    <row r="16818" spans="1:5">
      <c r="A16818" t="s">
        <v>19480</v>
      </c>
      <c r="B16818" t="s">
        <v>19481</v>
      </c>
      <c r="C16818">
        <v>0</v>
      </c>
      <c r="D16818">
        <v>0.98814089499299995</v>
      </c>
      <c r="E16818">
        <v>8.8635682158920499</v>
      </c>
    </row>
    <row r="16819" spans="1:5">
      <c r="A16819" t="s">
        <v>19480</v>
      </c>
      <c r="B16819" t="s">
        <v>19482</v>
      </c>
      <c r="C16819">
        <v>0</v>
      </c>
      <c r="D16819">
        <v>0.98814089499299995</v>
      </c>
      <c r="E16819">
        <v>8.8635682158920499</v>
      </c>
    </row>
    <row r="16820" spans="1:5">
      <c r="A16820" t="s">
        <v>19480</v>
      </c>
      <c r="B16820" t="s">
        <v>19483</v>
      </c>
      <c r="C16820">
        <v>0</v>
      </c>
      <c r="D16820">
        <v>0.98814089499299995</v>
      </c>
      <c r="E16820">
        <v>8.8635682158920499</v>
      </c>
    </row>
    <row r="16821" spans="1:5">
      <c r="A16821" t="s">
        <v>19480</v>
      </c>
      <c r="B16821" t="s">
        <v>19484</v>
      </c>
      <c r="C16821">
        <v>0</v>
      </c>
      <c r="D16821">
        <v>0.98814089499299995</v>
      </c>
      <c r="E16821">
        <v>8.8635682158920499</v>
      </c>
    </row>
    <row r="16822" spans="1:5">
      <c r="A16822" t="s">
        <v>19480</v>
      </c>
      <c r="B16822" t="s">
        <v>19485</v>
      </c>
      <c r="C16822">
        <f>0.0524171963582</f>
        <v>5.2417196358199997E-2</v>
      </c>
      <c r="D16822">
        <v>0.98814089499299995</v>
      </c>
      <c r="E16822">
        <v>8.8635682158920499</v>
      </c>
    </row>
    <row r="16823" spans="1:5">
      <c r="A16823" t="s">
        <v>19480</v>
      </c>
      <c r="B16823" t="s">
        <v>19486</v>
      </c>
      <c r="C16823">
        <f>0.171442254211</f>
        <v>0.17144225421100001</v>
      </c>
      <c r="D16823">
        <v>0.98814089499299995</v>
      </c>
      <c r="E16823">
        <v>8.8635682158920499</v>
      </c>
    </row>
    <row r="16824" spans="1:5">
      <c r="A16824" t="s">
        <v>19487</v>
      </c>
      <c r="B16824" t="s">
        <v>19488</v>
      </c>
      <c r="C16824">
        <v>0</v>
      </c>
      <c r="D16824" t="s">
        <v>106</v>
      </c>
      <c r="E16824">
        <v>5.9370314842578704</v>
      </c>
    </row>
    <row r="16825" spans="1:5">
      <c r="A16825" t="s">
        <v>19487</v>
      </c>
      <c r="B16825" t="s">
        <v>19489</v>
      </c>
      <c r="C16825">
        <v>0</v>
      </c>
      <c r="D16825" t="s">
        <v>106</v>
      </c>
      <c r="E16825">
        <v>5.9370314842578704</v>
      </c>
    </row>
    <row r="16826" spans="1:5">
      <c r="A16826" t="s">
        <v>19487</v>
      </c>
      <c r="B16826" t="s">
        <v>19490</v>
      </c>
      <c r="C16826">
        <v>1.6012178516600001E-2</v>
      </c>
      <c r="D16826" t="s">
        <v>106</v>
      </c>
      <c r="E16826">
        <v>5.9370314842578704</v>
      </c>
    </row>
    <row r="16827" spans="1:5">
      <c r="A16827" t="s">
        <v>19487</v>
      </c>
      <c r="B16827" t="s">
        <v>19491</v>
      </c>
      <c r="C16827">
        <v>0</v>
      </c>
      <c r="D16827" t="s">
        <v>106</v>
      </c>
      <c r="E16827">
        <v>5.9370314842578704</v>
      </c>
    </row>
    <row r="16828" spans="1:5">
      <c r="A16828" t="s">
        <v>19487</v>
      </c>
      <c r="B16828" t="s">
        <v>19492</v>
      </c>
      <c r="C16828">
        <f>0.0119439216951</f>
        <v>1.19439216951E-2</v>
      </c>
      <c r="D16828" t="s">
        <v>106</v>
      </c>
      <c r="E16828">
        <v>5.9370314842578704</v>
      </c>
    </row>
    <row r="16829" spans="1:5">
      <c r="A16829" t="s">
        <v>19487</v>
      </c>
      <c r="B16829" t="s">
        <v>19493</v>
      </c>
      <c r="C16829">
        <v>0</v>
      </c>
      <c r="D16829" t="s">
        <v>106</v>
      </c>
      <c r="E16829">
        <v>5.9370314842578704</v>
      </c>
    </row>
    <row r="16830" spans="1:5">
      <c r="A16830" t="s">
        <v>19487</v>
      </c>
      <c r="B16830" t="s">
        <v>19494</v>
      </c>
      <c r="C16830">
        <v>0</v>
      </c>
      <c r="D16830" t="s">
        <v>106</v>
      </c>
      <c r="E16830">
        <v>5.9370314842578704</v>
      </c>
    </row>
    <row r="16831" spans="1:5">
      <c r="A16831" t="s">
        <v>19495</v>
      </c>
      <c r="B16831" t="s">
        <v>19496</v>
      </c>
      <c r="C16831">
        <f>0</f>
        <v>0</v>
      </c>
      <c r="D16831">
        <v>0.69538802160099999</v>
      </c>
      <c r="E16831">
        <v>24</v>
      </c>
    </row>
    <row r="16832" spans="1:5">
      <c r="A16832" t="s">
        <v>19495</v>
      </c>
      <c r="B16832" t="s">
        <v>19497</v>
      </c>
      <c r="C16832">
        <v>0</v>
      </c>
      <c r="D16832">
        <v>0.69538802160099999</v>
      </c>
      <c r="E16832">
        <v>24</v>
      </c>
    </row>
    <row r="16833" spans="1:5">
      <c r="A16833" t="s">
        <v>19495</v>
      </c>
      <c r="B16833" t="s">
        <v>19498</v>
      </c>
      <c r="C16833">
        <f>0</f>
        <v>0</v>
      </c>
      <c r="D16833">
        <v>0.69538802160099999</v>
      </c>
      <c r="E16833">
        <v>24</v>
      </c>
    </row>
    <row r="16834" spans="1:5">
      <c r="A16834" t="s">
        <v>19495</v>
      </c>
      <c r="B16834" t="s">
        <v>19499</v>
      </c>
      <c r="C16834">
        <v>0</v>
      </c>
      <c r="D16834">
        <v>0.69538802160099999</v>
      </c>
      <c r="E16834">
        <v>24</v>
      </c>
    </row>
    <row r="16835" spans="1:5">
      <c r="A16835" t="s">
        <v>19495</v>
      </c>
      <c r="B16835" t="s">
        <v>19500</v>
      </c>
      <c r="C16835">
        <f>0</f>
        <v>0</v>
      </c>
      <c r="D16835">
        <v>0.69538802160099999</v>
      </c>
      <c r="E16835">
        <v>24</v>
      </c>
    </row>
    <row r="16836" spans="1:5">
      <c r="A16836" t="s">
        <v>19495</v>
      </c>
      <c r="B16836" t="s">
        <v>19501</v>
      </c>
      <c r="C16836">
        <f>0</f>
        <v>0</v>
      </c>
      <c r="D16836">
        <v>0.69538802160099999</v>
      </c>
      <c r="E16836">
        <v>24</v>
      </c>
    </row>
    <row r="16837" spans="1:5">
      <c r="A16837" t="s">
        <v>19502</v>
      </c>
      <c r="B16837" t="s">
        <v>19503</v>
      </c>
      <c r="C16837">
        <v>0</v>
      </c>
      <c r="D16837">
        <v>0.99051728518899995</v>
      </c>
      <c r="E16837">
        <v>11.370314842578701</v>
      </c>
    </row>
    <row r="16838" spans="1:5">
      <c r="A16838" t="s">
        <v>19502</v>
      </c>
      <c r="B16838" t="s">
        <v>19504</v>
      </c>
      <c r="C16838">
        <v>0</v>
      </c>
      <c r="D16838">
        <v>0.99051728518899995</v>
      </c>
      <c r="E16838">
        <v>11.370314842578701</v>
      </c>
    </row>
    <row r="16839" spans="1:5">
      <c r="A16839" t="s">
        <v>19502</v>
      </c>
      <c r="B16839" t="s">
        <v>19505</v>
      </c>
      <c r="C16839">
        <f>0</f>
        <v>0</v>
      </c>
      <c r="D16839">
        <v>0.99051728518899995</v>
      </c>
      <c r="E16839">
        <v>11.370314842578701</v>
      </c>
    </row>
    <row r="16840" spans="1:5">
      <c r="A16840" t="s">
        <v>19502</v>
      </c>
      <c r="B16840" t="s">
        <v>19506</v>
      </c>
      <c r="C16840">
        <f>0.125225711116</f>
        <v>0.125225711116</v>
      </c>
      <c r="D16840">
        <v>0.99051728518899995</v>
      </c>
      <c r="E16840">
        <v>11.370314842578701</v>
      </c>
    </row>
    <row r="16841" spans="1:5">
      <c r="A16841" t="s">
        <v>19502</v>
      </c>
      <c r="B16841" t="s">
        <v>19507</v>
      </c>
      <c r="C16841">
        <f>0</f>
        <v>0</v>
      </c>
      <c r="D16841">
        <v>0.99051728518899995</v>
      </c>
      <c r="E16841">
        <v>11.370314842578701</v>
      </c>
    </row>
    <row r="16842" spans="1:5">
      <c r="A16842" t="s">
        <v>19502</v>
      </c>
      <c r="B16842" t="s">
        <v>19508</v>
      </c>
      <c r="C16842">
        <f>0</f>
        <v>0</v>
      </c>
      <c r="D16842">
        <v>0.99051728518899995</v>
      </c>
      <c r="E16842">
        <v>11.370314842578701</v>
      </c>
    </row>
    <row r="16843" spans="1:5">
      <c r="A16843" t="s">
        <v>19502</v>
      </c>
      <c r="B16843" t="s">
        <v>19509</v>
      </c>
      <c r="C16843">
        <f>0</f>
        <v>0</v>
      </c>
      <c r="D16843">
        <v>0.99051728518899995</v>
      </c>
      <c r="E16843">
        <v>11.370314842578701</v>
      </c>
    </row>
    <row r="16844" spans="1:5">
      <c r="A16844" t="s">
        <v>19502</v>
      </c>
      <c r="B16844" t="s">
        <v>19510</v>
      </c>
      <c r="C16844">
        <v>0.15738954173200001</v>
      </c>
      <c r="D16844">
        <v>0.99051728518899995</v>
      </c>
      <c r="E16844">
        <v>11.370314842578701</v>
      </c>
    </row>
    <row r="16845" spans="1:5">
      <c r="A16845" t="s">
        <v>19511</v>
      </c>
      <c r="B16845" t="s">
        <v>19512</v>
      </c>
      <c r="C16845">
        <v>0</v>
      </c>
      <c r="D16845">
        <v>0.75294823058500004</v>
      </c>
      <c r="E16845">
        <v>8.8635682158920499</v>
      </c>
    </row>
    <row r="16846" spans="1:5">
      <c r="A16846" t="s">
        <v>19511</v>
      </c>
      <c r="B16846" t="s">
        <v>19513</v>
      </c>
      <c r="C16846">
        <v>0</v>
      </c>
      <c r="D16846">
        <v>0.75294823058500004</v>
      </c>
      <c r="E16846">
        <v>8.8635682158920499</v>
      </c>
    </row>
    <row r="16847" spans="1:5">
      <c r="A16847" t="s">
        <v>19511</v>
      </c>
      <c r="B16847" t="s">
        <v>19514</v>
      </c>
      <c r="C16847">
        <v>0</v>
      </c>
      <c r="D16847">
        <v>0.75294823058500004</v>
      </c>
      <c r="E16847">
        <v>8.8635682158920499</v>
      </c>
    </row>
    <row r="16848" spans="1:5">
      <c r="A16848" t="s">
        <v>19511</v>
      </c>
      <c r="B16848" t="s">
        <v>19515</v>
      </c>
      <c r="C16848">
        <v>0</v>
      </c>
      <c r="D16848">
        <v>0.75294823058500004</v>
      </c>
      <c r="E16848">
        <v>8.8635682158920499</v>
      </c>
    </row>
    <row r="16849" spans="1:5">
      <c r="A16849" t="s">
        <v>19511</v>
      </c>
      <c r="B16849" t="s">
        <v>19516</v>
      </c>
      <c r="C16849">
        <f>0</f>
        <v>0</v>
      </c>
      <c r="D16849">
        <v>0.75294823058500004</v>
      </c>
      <c r="E16849">
        <v>8.8635682158920499</v>
      </c>
    </row>
    <row r="16850" spans="1:5">
      <c r="A16850" t="s">
        <v>19511</v>
      </c>
      <c r="B16850" t="s">
        <v>19517</v>
      </c>
      <c r="C16850">
        <v>0</v>
      </c>
      <c r="D16850">
        <v>0.75294823058500004</v>
      </c>
      <c r="E16850">
        <v>8.8635682158920499</v>
      </c>
    </row>
    <row r="16851" spans="1:5">
      <c r="A16851" t="s">
        <v>19511</v>
      </c>
      <c r="B16851" t="s">
        <v>19518</v>
      </c>
      <c r="C16851">
        <v>3.4378655035600003E-2</v>
      </c>
      <c r="D16851">
        <v>0.75294823058500004</v>
      </c>
      <c r="E16851">
        <v>8.8635682158920499</v>
      </c>
    </row>
    <row r="16852" spans="1:5">
      <c r="A16852" t="s">
        <v>19519</v>
      </c>
      <c r="B16852" t="s">
        <v>19520</v>
      </c>
      <c r="C16852">
        <f>0</f>
        <v>0</v>
      </c>
      <c r="D16852" t="s">
        <v>106</v>
      </c>
      <c r="E16852">
        <v>6.1769115442278801</v>
      </c>
    </row>
    <row r="16853" spans="1:5">
      <c r="A16853" t="s">
        <v>19519</v>
      </c>
      <c r="B16853" t="s">
        <v>19521</v>
      </c>
      <c r="C16853">
        <f>0</f>
        <v>0</v>
      </c>
      <c r="D16853" t="s">
        <v>106</v>
      </c>
      <c r="E16853">
        <v>6.1769115442278801</v>
      </c>
    </row>
    <row r="16854" spans="1:5">
      <c r="A16854" t="s">
        <v>19519</v>
      </c>
      <c r="B16854" t="s">
        <v>19522</v>
      </c>
      <c r="C16854">
        <f>0</f>
        <v>0</v>
      </c>
      <c r="D16854" t="s">
        <v>106</v>
      </c>
      <c r="E16854">
        <v>6.1769115442278801</v>
      </c>
    </row>
    <row r="16855" spans="1:5">
      <c r="A16855" t="s">
        <v>19519</v>
      </c>
      <c r="B16855" t="s">
        <v>19523</v>
      </c>
      <c r="C16855">
        <v>0</v>
      </c>
      <c r="D16855" t="s">
        <v>106</v>
      </c>
      <c r="E16855">
        <v>6.1769115442278801</v>
      </c>
    </row>
    <row r="16856" spans="1:5">
      <c r="A16856" t="s">
        <v>19519</v>
      </c>
      <c r="B16856" t="s">
        <v>19524</v>
      </c>
      <c r="C16856">
        <v>0</v>
      </c>
      <c r="D16856" t="s">
        <v>106</v>
      </c>
      <c r="E16856">
        <v>6.1769115442278801</v>
      </c>
    </row>
    <row r="16857" spans="1:5">
      <c r="A16857" t="s">
        <v>19519</v>
      </c>
      <c r="B16857" t="s">
        <v>19525</v>
      </c>
      <c r="C16857">
        <f>0</f>
        <v>0</v>
      </c>
      <c r="D16857" t="s">
        <v>106</v>
      </c>
      <c r="E16857">
        <v>6.1769115442278801</v>
      </c>
    </row>
    <row r="16858" spans="1:5">
      <c r="A16858" t="s">
        <v>19519</v>
      </c>
      <c r="B16858" t="s">
        <v>19526</v>
      </c>
      <c r="C16858">
        <f>0</f>
        <v>0</v>
      </c>
      <c r="D16858" t="s">
        <v>106</v>
      </c>
      <c r="E16858">
        <v>6.1769115442278801</v>
      </c>
    </row>
    <row r="16859" spans="1:5">
      <c r="A16859" t="s">
        <v>19519</v>
      </c>
      <c r="B16859" t="s">
        <v>19527</v>
      </c>
      <c r="C16859">
        <f>0</f>
        <v>0</v>
      </c>
      <c r="D16859" t="s">
        <v>106</v>
      </c>
      <c r="E16859">
        <v>6.1769115442278801</v>
      </c>
    </row>
    <row r="16860" spans="1:5">
      <c r="A16860" t="s">
        <v>19519</v>
      </c>
      <c r="B16860" t="s">
        <v>19528</v>
      </c>
      <c r="C16860">
        <f>0</f>
        <v>0</v>
      </c>
      <c r="D16860" t="s">
        <v>106</v>
      </c>
      <c r="E16860">
        <v>6.1769115442278801</v>
      </c>
    </row>
    <row r="16861" spans="1:5">
      <c r="A16861" t="s">
        <v>19519</v>
      </c>
      <c r="B16861" t="s">
        <v>19529</v>
      </c>
      <c r="C16861">
        <v>0</v>
      </c>
      <c r="D16861" t="s">
        <v>106</v>
      </c>
      <c r="E16861">
        <v>6.1769115442278801</v>
      </c>
    </row>
    <row r="16862" spans="1:5">
      <c r="A16862" t="s">
        <v>19519</v>
      </c>
      <c r="B16862" t="s">
        <v>19530</v>
      </c>
      <c r="C16862">
        <v>0</v>
      </c>
      <c r="D16862" t="s">
        <v>106</v>
      </c>
      <c r="E16862">
        <v>6.1769115442278801</v>
      </c>
    </row>
    <row r="16863" spans="1:5">
      <c r="A16863" t="s">
        <v>19519</v>
      </c>
      <c r="B16863" t="s">
        <v>19531</v>
      </c>
      <c r="C16863">
        <v>0</v>
      </c>
      <c r="D16863" t="s">
        <v>106</v>
      </c>
      <c r="E16863">
        <v>6.1769115442278801</v>
      </c>
    </row>
    <row r="16864" spans="1:5">
      <c r="A16864" t="s">
        <v>19519</v>
      </c>
      <c r="B16864" t="s">
        <v>19532</v>
      </c>
      <c r="C16864">
        <v>0</v>
      </c>
      <c r="D16864" t="s">
        <v>106</v>
      </c>
      <c r="E16864">
        <v>6.1769115442278801</v>
      </c>
    </row>
    <row r="16865" spans="1:5">
      <c r="A16865" t="s">
        <v>19519</v>
      </c>
      <c r="B16865" t="s">
        <v>19533</v>
      </c>
      <c r="C16865">
        <v>0</v>
      </c>
      <c r="D16865" t="s">
        <v>106</v>
      </c>
      <c r="E16865">
        <v>6.1769115442278801</v>
      </c>
    </row>
    <row r="16866" spans="1:5">
      <c r="A16866" t="s">
        <v>19519</v>
      </c>
      <c r="B16866" t="s">
        <v>19534</v>
      </c>
      <c r="C16866">
        <v>0</v>
      </c>
      <c r="D16866" t="s">
        <v>106</v>
      </c>
      <c r="E16866">
        <v>6.1769115442278801</v>
      </c>
    </row>
    <row r="16867" spans="1:5">
      <c r="A16867" t="s">
        <v>19519</v>
      </c>
      <c r="B16867" t="s">
        <v>19535</v>
      </c>
      <c r="C16867">
        <f>0</f>
        <v>0</v>
      </c>
      <c r="D16867" t="s">
        <v>106</v>
      </c>
      <c r="E16867">
        <v>6.1769115442278801</v>
      </c>
    </row>
    <row r="16868" spans="1:5">
      <c r="A16868" t="s">
        <v>19519</v>
      </c>
      <c r="B16868" t="s">
        <v>19536</v>
      </c>
      <c r="C16868">
        <f>0</f>
        <v>0</v>
      </c>
      <c r="D16868" t="s">
        <v>106</v>
      </c>
      <c r="E16868">
        <v>6.1769115442278801</v>
      </c>
    </row>
    <row r="16869" spans="1:5">
      <c r="A16869" t="s">
        <v>19519</v>
      </c>
      <c r="B16869" t="s">
        <v>19537</v>
      </c>
      <c r="C16869">
        <v>0</v>
      </c>
      <c r="D16869" t="s">
        <v>106</v>
      </c>
      <c r="E16869">
        <v>6.1769115442278801</v>
      </c>
    </row>
    <row r="16870" spans="1:5">
      <c r="A16870" t="s">
        <v>19538</v>
      </c>
      <c r="B16870" t="s">
        <v>19539</v>
      </c>
      <c r="C16870">
        <v>0</v>
      </c>
      <c r="D16870">
        <v>0.96927294141499998</v>
      </c>
      <c r="E16870">
        <v>16.095952023988001</v>
      </c>
    </row>
    <row r="16871" spans="1:5">
      <c r="A16871" t="s">
        <v>19538</v>
      </c>
      <c r="B16871" t="s">
        <v>19540</v>
      </c>
      <c r="C16871">
        <v>2.5172219369999999E-2</v>
      </c>
      <c r="D16871">
        <v>0.96927294141499998</v>
      </c>
      <c r="E16871">
        <v>16.095952023988001</v>
      </c>
    </row>
    <row r="16872" spans="1:5">
      <c r="A16872" t="s">
        <v>19538</v>
      </c>
      <c r="B16872" t="s">
        <v>19541</v>
      </c>
      <c r="C16872">
        <f>0</f>
        <v>0</v>
      </c>
      <c r="D16872">
        <v>0.96927294141499998</v>
      </c>
      <c r="E16872">
        <v>16.095952023988001</v>
      </c>
    </row>
    <row r="16873" spans="1:5">
      <c r="A16873" t="s">
        <v>19538</v>
      </c>
      <c r="B16873" t="s">
        <v>19542</v>
      </c>
      <c r="C16873">
        <v>0</v>
      </c>
      <c r="D16873">
        <v>0.96927294141499998</v>
      </c>
      <c r="E16873">
        <v>16.095952023988001</v>
      </c>
    </row>
    <row r="16874" spans="1:5">
      <c r="A16874" t="s">
        <v>19538</v>
      </c>
      <c r="B16874" t="s">
        <v>19543</v>
      </c>
      <c r="C16874">
        <f>0</f>
        <v>0</v>
      </c>
      <c r="D16874">
        <v>0.96927294141499998</v>
      </c>
      <c r="E16874">
        <v>16.095952023988001</v>
      </c>
    </row>
    <row r="16875" spans="1:5">
      <c r="A16875" t="s">
        <v>19538</v>
      </c>
      <c r="B16875" t="s">
        <v>19544</v>
      </c>
      <c r="C16875">
        <f>0</f>
        <v>0</v>
      </c>
      <c r="D16875">
        <v>0.96927294141499998</v>
      </c>
      <c r="E16875">
        <v>16.095952023988001</v>
      </c>
    </row>
    <row r="16876" spans="1:5">
      <c r="A16876" t="s">
        <v>19538</v>
      </c>
      <c r="B16876" t="s">
        <v>19545</v>
      </c>
      <c r="C16876">
        <f>0.0934861056107</f>
        <v>9.3486105610700004E-2</v>
      </c>
      <c r="D16876">
        <v>0.96927294141499998</v>
      </c>
      <c r="E16876">
        <v>16.095952023988001</v>
      </c>
    </row>
    <row r="16877" spans="1:5">
      <c r="A16877" t="s">
        <v>19538</v>
      </c>
      <c r="B16877" t="s">
        <v>19546</v>
      </c>
      <c r="C16877">
        <v>0</v>
      </c>
      <c r="D16877">
        <v>0.96927294141499998</v>
      </c>
      <c r="E16877">
        <v>16.095952023988001</v>
      </c>
    </row>
    <row r="16878" spans="1:5">
      <c r="A16878" t="s">
        <v>19538</v>
      </c>
      <c r="B16878" t="s">
        <v>19547</v>
      </c>
      <c r="C16878">
        <v>0</v>
      </c>
      <c r="D16878">
        <v>0.96927294141499998</v>
      </c>
      <c r="E16878">
        <v>16.095952023988001</v>
      </c>
    </row>
    <row r="16879" spans="1:5">
      <c r="A16879" t="s">
        <v>19538</v>
      </c>
      <c r="B16879" t="s">
        <v>19548</v>
      </c>
      <c r="C16879">
        <f>0</f>
        <v>0</v>
      </c>
      <c r="D16879">
        <v>0.96927294141499998</v>
      </c>
      <c r="E16879">
        <v>16.095952023988001</v>
      </c>
    </row>
    <row r="16880" spans="1:5">
      <c r="A16880" t="s">
        <v>19538</v>
      </c>
      <c r="B16880" t="s">
        <v>19549</v>
      </c>
      <c r="C16880">
        <v>0</v>
      </c>
      <c r="D16880">
        <v>0.96927294141499998</v>
      </c>
      <c r="E16880">
        <v>16.095952023988001</v>
      </c>
    </row>
    <row r="16881" spans="1:5">
      <c r="A16881" t="s">
        <v>19538</v>
      </c>
      <c r="B16881" t="s">
        <v>19550</v>
      </c>
      <c r="C16881">
        <v>0</v>
      </c>
      <c r="D16881">
        <v>0.96927294141499998</v>
      </c>
      <c r="E16881">
        <v>16.095952023988001</v>
      </c>
    </row>
    <row r="16882" spans="1:5">
      <c r="A16882" t="s">
        <v>19538</v>
      </c>
      <c r="B16882" t="s">
        <v>19551</v>
      </c>
      <c r="C16882">
        <v>0</v>
      </c>
      <c r="D16882">
        <v>0.96927294141499998</v>
      </c>
      <c r="E16882">
        <v>16.095952023988001</v>
      </c>
    </row>
    <row r="16883" spans="1:5">
      <c r="A16883" t="s">
        <v>19538</v>
      </c>
      <c r="B16883" t="s">
        <v>19552</v>
      </c>
      <c r="C16883">
        <f>0.0284743310262</f>
        <v>2.8474331026199999E-2</v>
      </c>
      <c r="D16883">
        <v>0.96927294141499998</v>
      </c>
      <c r="E16883">
        <v>16.095952023988001</v>
      </c>
    </row>
    <row r="16884" spans="1:5">
      <c r="A16884" t="s">
        <v>19538</v>
      </c>
      <c r="B16884" t="s">
        <v>19553</v>
      </c>
      <c r="C16884">
        <f>0</f>
        <v>0</v>
      </c>
      <c r="D16884">
        <v>0.96927294141499998</v>
      </c>
      <c r="E16884">
        <v>16.095952023988001</v>
      </c>
    </row>
    <row r="16885" spans="1:5">
      <c r="A16885" t="s">
        <v>19554</v>
      </c>
      <c r="B16885" t="s">
        <v>19555</v>
      </c>
      <c r="C16885">
        <v>0</v>
      </c>
      <c r="D16885" t="s">
        <v>106</v>
      </c>
      <c r="E16885">
        <v>24</v>
      </c>
    </row>
    <row r="16886" spans="1:5">
      <c r="A16886" t="s">
        <v>19556</v>
      </c>
      <c r="B16886" t="s">
        <v>19557</v>
      </c>
      <c r="C16886">
        <f>0</f>
        <v>0</v>
      </c>
      <c r="D16886">
        <v>0.95719924102800003</v>
      </c>
      <c r="E16886">
        <v>22.800599700149899</v>
      </c>
    </row>
    <row r="16887" spans="1:5">
      <c r="A16887" t="s">
        <v>19556</v>
      </c>
      <c r="B16887" t="s">
        <v>19558</v>
      </c>
      <c r="C16887">
        <f>0</f>
        <v>0</v>
      </c>
      <c r="D16887">
        <v>0.95719924102800003</v>
      </c>
      <c r="E16887">
        <v>22.800599700149899</v>
      </c>
    </row>
    <row r="16888" spans="1:5">
      <c r="A16888" t="s">
        <v>19556</v>
      </c>
      <c r="B16888" t="s">
        <v>19559</v>
      </c>
      <c r="C16888">
        <v>0</v>
      </c>
      <c r="D16888">
        <v>0.95719924102800003</v>
      </c>
      <c r="E16888">
        <v>22.800599700149899</v>
      </c>
    </row>
    <row r="16889" spans="1:5">
      <c r="A16889" t="s">
        <v>19556</v>
      </c>
      <c r="B16889" t="s">
        <v>19560</v>
      </c>
      <c r="C16889">
        <v>0</v>
      </c>
      <c r="D16889">
        <v>0.95719924102800003</v>
      </c>
      <c r="E16889">
        <v>22.800599700149899</v>
      </c>
    </row>
    <row r="16890" spans="1:5">
      <c r="A16890" t="s">
        <v>19561</v>
      </c>
      <c r="B16890" t="s">
        <v>19562</v>
      </c>
      <c r="C16890">
        <v>0</v>
      </c>
      <c r="D16890" t="s">
        <v>106</v>
      </c>
      <c r="E16890">
        <v>24</v>
      </c>
    </row>
    <row r="16891" spans="1:5">
      <c r="A16891" t="s">
        <v>19563</v>
      </c>
      <c r="B16891" t="s">
        <v>19564</v>
      </c>
      <c r="C16891">
        <f>0.0583077751868</f>
        <v>5.8307775186799998E-2</v>
      </c>
      <c r="D16891">
        <v>0.97129789485700002</v>
      </c>
      <c r="E16891">
        <v>24</v>
      </c>
    </row>
    <row r="16892" spans="1:5">
      <c r="A16892" t="s">
        <v>19563</v>
      </c>
      <c r="B16892" t="s">
        <v>19565</v>
      </c>
      <c r="C16892">
        <v>0</v>
      </c>
      <c r="D16892">
        <v>0.97129789485700002</v>
      </c>
      <c r="E16892">
        <v>24</v>
      </c>
    </row>
    <row r="16893" spans="1:5">
      <c r="A16893" t="s">
        <v>19563</v>
      </c>
      <c r="B16893" t="s">
        <v>19566</v>
      </c>
      <c r="C16893">
        <v>0</v>
      </c>
      <c r="D16893">
        <v>0.97129789485700002</v>
      </c>
      <c r="E16893">
        <v>24</v>
      </c>
    </row>
    <row r="16894" spans="1:5">
      <c r="A16894" t="s">
        <v>19563</v>
      </c>
      <c r="B16894" t="s">
        <v>19567</v>
      </c>
      <c r="C16894">
        <f>0.121059600946</f>
        <v>0.121059600946</v>
      </c>
      <c r="D16894">
        <v>0.97129789485700002</v>
      </c>
      <c r="E16894">
        <v>24</v>
      </c>
    </row>
    <row r="16895" spans="1:5">
      <c r="A16895" t="s">
        <v>19568</v>
      </c>
      <c r="B16895" t="s">
        <v>19569</v>
      </c>
      <c r="C16895">
        <v>0</v>
      </c>
      <c r="D16895">
        <v>0.84630600208999995</v>
      </c>
      <c r="E16895">
        <v>16.095952023988001</v>
      </c>
    </row>
    <row r="16896" spans="1:5">
      <c r="A16896" t="s">
        <v>19568</v>
      </c>
      <c r="B16896" t="s">
        <v>19570</v>
      </c>
      <c r="C16896">
        <f>0</f>
        <v>0</v>
      </c>
      <c r="D16896">
        <v>0.84630600208999995</v>
      </c>
      <c r="E16896">
        <v>16.095952023988001</v>
      </c>
    </row>
    <row r="16897" spans="1:5">
      <c r="A16897" t="s">
        <v>19568</v>
      </c>
      <c r="B16897" t="s">
        <v>19571</v>
      </c>
      <c r="C16897">
        <f>0</f>
        <v>0</v>
      </c>
      <c r="D16897">
        <v>0.84630600208999995</v>
      </c>
      <c r="E16897">
        <v>16.095952023988001</v>
      </c>
    </row>
    <row r="16898" spans="1:5">
      <c r="A16898" t="s">
        <v>19568</v>
      </c>
      <c r="B16898" t="s">
        <v>19572</v>
      </c>
      <c r="C16898">
        <f>0</f>
        <v>0</v>
      </c>
      <c r="D16898">
        <v>0.84630600208999995</v>
      </c>
      <c r="E16898">
        <v>16.095952023988001</v>
      </c>
    </row>
    <row r="16899" spans="1:5">
      <c r="A16899" t="s">
        <v>19568</v>
      </c>
      <c r="B16899" t="s">
        <v>19573</v>
      </c>
      <c r="C16899">
        <v>8.22232997045E-2</v>
      </c>
      <c r="D16899">
        <v>0.84630600208999995</v>
      </c>
      <c r="E16899">
        <v>16.095952023988001</v>
      </c>
    </row>
    <row r="16900" spans="1:5">
      <c r="A16900" t="s">
        <v>19568</v>
      </c>
      <c r="B16900" t="s">
        <v>19574</v>
      </c>
      <c r="C16900">
        <f>0</f>
        <v>0</v>
      </c>
      <c r="D16900">
        <v>0.84630600208999995</v>
      </c>
      <c r="E16900">
        <v>16.095952023988001</v>
      </c>
    </row>
    <row r="16901" spans="1:5">
      <c r="A16901" t="s">
        <v>19575</v>
      </c>
      <c r="B16901" t="s">
        <v>19576</v>
      </c>
      <c r="C16901">
        <v>0</v>
      </c>
      <c r="D16901" t="s">
        <v>106</v>
      </c>
      <c r="E16901">
        <v>24</v>
      </c>
    </row>
    <row r="16902" spans="1:5">
      <c r="A16902" t="s">
        <v>19575</v>
      </c>
      <c r="B16902" t="s">
        <v>19577</v>
      </c>
      <c r="C16902">
        <v>0.10060700694999999</v>
      </c>
      <c r="D16902" t="s">
        <v>106</v>
      </c>
      <c r="E16902">
        <v>24</v>
      </c>
    </row>
    <row r="16903" spans="1:5">
      <c r="A16903" t="s">
        <v>19578</v>
      </c>
      <c r="B16903" t="s">
        <v>19579</v>
      </c>
      <c r="C16903">
        <v>0</v>
      </c>
      <c r="D16903">
        <v>0.84861487607200004</v>
      </c>
      <c r="E16903">
        <v>3.7781109445277301</v>
      </c>
    </row>
    <row r="16904" spans="1:5">
      <c r="A16904" t="s">
        <v>19578</v>
      </c>
      <c r="B16904" t="s">
        <v>19580</v>
      </c>
      <c r="C16904">
        <v>0.143274602971</v>
      </c>
      <c r="D16904">
        <v>0.84861487607200004</v>
      </c>
      <c r="E16904">
        <v>3.7781109445277301</v>
      </c>
    </row>
    <row r="16905" spans="1:5">
      <c r="A16905" t="s">
        <v>19578</v>
      </c>
      <c r="B16905" t="s">
        <v>19581</v>
      </c>
      <c r="C16905">
        <v>0</v>
      </c>
      <c r="D16905">
        <v>0.84861487607200004</v>
      </c>
      <c r="E16905">
        <v>3.7781109445277301</v>
      </c>
    </row>
    <row r="16906" spans="1:5">
      <c r="A16906" t="s">
        <v>19578</v>
      </c>
      <c r="B16906" t="s">
        <v>19582</v>
      </c>
      <c r="C16906">
        <f>0</f>
        <v>0</v>
      </c>
      <c r="D16906">
        <v>0.84861487607200004</v>
      </c>
      <c r="E16906">
        <v>3.7781109445277301</v>
      </c>
    </row>
    <row r="16907" spans="1:5">
      <c r="A16907" t="s">
        <v>19578</v>
      </c>
      <c r="B16907" t="s">
        <v>19583</v>
      </c>
      <c r="C16907">
        <v>0</v>
      </c>
      <c r="D16907">
        <v>0.84861487607200004</v>
      </c>
      <c r="E16907">
        <v>3.7781109445277301</v>
      </c>
    </row>
    <row r="16908" spans="1:5">
      <c r="A16908" t="s">
        <v>19578</v>
      </c>
      <c r="B16908" t="s">
        <v>19584</v>
      </c>
      <c r="C16908">
        <v>2.8710044866200001E-2</v>
      </c>
      <c r="D16908">
        <v>0.84861487607200004</v>
      </c>
      <c r="E16908">
        <v>3.7781109445277301</v>
      </c>
    </row>
    <row r="16909" spans="1:5">
      <c r="A16909" t="s">
        <v>19585</v>
      </c>
      <c r="B16909" t="s">
        <v>19586</v>
      </c>
      <c r="C16909">
        <v>0</v>
      </c>
      <c r="D16909">
        <v>0.99491059521500003</v>
      </c>
      <c r="E16909">
        <v>3.8740629685157399</v>
      </c>
    </row>
    <row r="16910" spans="1:5">
      <c r="A16910" t="s">
        <v>19585</v>
      </c>
      <c r="B16910" t="s">
        <v>19587</v>
      </c>
      <c r="C16910">
        <f>0</f>
        <v>0</v>
      </c>
      <c r="D16910">
        <v>0.99491059521500003</v>
      </c>
      <c r="E16910">
        <v>3.8740629685157399</v>
      </c>
    </row>
    <row r="16911" spans="1:5">
      <c r="A16911" t="s">
        <v>19585</v>
      </c>
      <c r="B16911" t="s">
        <v>19588</v>
      </c>
      <c r="C16911">
        <v>1.01553617774E-2</v>
      </c>
      <c r="D16911">
        <v>0.99491059521500003</v>
      </c>
      <c r="E16911">
        <v>3.8740629685157399</v>
      </c>
    </row>
    <row r="16912" spans="1:5">
      <c r="A16912" t="s">
        <v>19585</v>
      </c>
      <c r="B16912" t="s">
        <v>19589</v>
      </c>
      <c r="C16912">
        <f>0</f>
        <v>0</v>
      </c>
      <c r="D16912">
        <v>0.99491059521500003</v>
      </c>
      <c r="E16912">
        <v>3.8740629685157399</v>
      </c>
    </row>
    <row r="16913" spans="1:5">
      <c r="A16913" t="s">
        <v>19590</v>
      </c>
      <c r="B16913" t="s">
        <v>19591</v>
      </c>
      <c r="C16913">
        <v>0.18314110061200001</v>
      </c>
      <c r="D16913" t="s">
        <v>106</v>
      </c>
      <c r="E16913">
        <v>18.1349325337331</v>
      </c>
    </row>
    <row r="16914" spans="1:5">
      <c r="A16914" t="s">
        <v>19590</v>
      </c>
      <c r="B16914" t="s">
        <v>19592</v>
      </c>
      <c r="C16914">
        <f>0</f>
        <v>0</v>
      </c>
      <c r="D16914" t="s">
        <v>106</v>
      </c>
      <c r="E16914">
        <v>18.1349325337331</v>
      </c>
    </row>
    <row r="16915" spans="1:5">
      <c r="A16915" t="s">
        <v>19590</v>
      </c>
      <c r="B16915" t="s">
        <v>19593</v>
      </c>
      <c r="C16915">
        <f>0.0716222457419</f>
        <v>7.1622245741900001E-2</v>
      </c>
      <c r="D16915" t="s">
        <v>106</v>
      </c>
      <c r="E16915">
        <v>18.1349325337331</v>
      </c>
    </row>
    <row r="16916" spans="1:5">
      <c r="A16916" t="s">
        <v>19590</v>
      </c>
      <c r="B16916" t="s">
        <v>19594</v>
      </c>
      <c r="C16916">
        <v>0</v>
      </c>
      <c r="D16916" t="s">
        <v>106</v>
      </c>
      <c r="E16916">
        <v>18.1349325337331</v>
      </c>
    </row>
    <row r="16917" spans="1:5">
      <c r="A16917" t="s">
        <v>19590</v>
      </c>
      <c r="B16917" t="s">
        <v>19595</v>
      </c>
      <c r="C16917">
        <f>0</f>
        <v>0</v>
      </c>
      <c r="D16917" t="s">
        <v>106</v>
      </c>
      <c r="E16917">
        <v>18.1349325337331</v>
      </c>
    </row>
    <row r="16918" spans="1:5">
      <c r="A16918" t="s">
        <v>19590</v>
      </c>
      <c r="B16918" t="s">
        <v>19596</v>
      </c>
      <c r="C16918">
        <v>0</v>
      </c>
      <c r="D16918" t="s">
        <v>106</v>
      </c>
      <c r="E16918">
        <v>18.1349325337331</v>
      </c>
    </row>
    <row r="16919" spans="1:5">
      <c r="A16919" t="s">
        <v>19590</v>
      </c>
      <c r="B16919" t="s">
        <v>19597</v>
      </c>
      <c r="C16919">
        <f>0</f>
        <v>0</v>
      </c>
      <c r="D16919" t="s">
        <v>106</v>
      </c>
      <c r="E16919">
        <v>18.1349325337331</v>
      </c>
    </row>
    <row r="16920" spans="1:5">
      <c r="A16920" t="s">
        <v>19590</v>
      </c>
      <c r="B16920" t="s">
        <v>19598</v>
      </c>
      <c r="C16920">
        <v>0</v>
      </c>
      <c r="D16920" t="s">
        <v>106</v>
      </c>
      <c r="E16920">
        <v>18.1349325337331</v>
      </c>
    </row>
    <row r="16921" spans="1:5">
      <c r="A16921" t="s">
        <v>19590</v>
      </c>
      <c r="B16921" t="s">
        <v>19599</v>
      </c>
      <c r="C16921">
        <v>0</v>
      </c>
      <c r="D16921" t="s">
        <v>106</v>
      </c>
      <c r="E16921">
        <v>18.1349325337331</v>
      </c>
    </row>
    <row r="16922" spans="1:5">
      <c r="A16922" t="s">
        <v>19590</v>
      </c>
      <c r="B16922" t="s">
        <v>19600</v>
      </c>
      <c r="C16922">
        <f>0</f>
        <v>0</v>
      </c>
      <c r="D16922" t="s">
        <v>106</v>
      </c>
      <c r="E16922">
        <v>18.1349325337331</v>
      </c>
    </row>
    <row r="16923" spans="1:5">
      <c r="A16923" t="s">
        <v>19601</v>
      </c>
      <c r="B16923" t="s">
        <v>19602</v>
      </c>
      <c r="C16923">
        <v>0.239646582262</v>
      </c>
      <c r="D16923">
        <v>0.95517563779400005</v>
      </c>
      <c r="E16923">
        <v>0.95952023988005997</v>
      </c>
    </row>
    <row r="16924" spans="1:5">
      <c r="A16924" t="s">
        <v>19601</v>
      </c>
      <c r="B16924" t="s">
        <v>19603</v>
      </c>
      <c r="C16924">
        <v>0</v>
      </c>
      <c r="D16924">
        <v>0.95517563779400005</v>
      </c>
      <c r="E16924">
        <v>0.95952023988005997</v>
      </c>
    </row>
    <row r="16925" spans="1:5">
      <c r="A16925" t="s">
        <v>19601</v>
      </c>
      <c r="B16925" t="s">
        <v>19604</v>
      </c>
      <c r="C16925">
        <v>7.9456880786499998E-2</v>
      </c>
      <c r="D16925">
        <v>0.95517563779400005</v>
      </c>
      <c r="E16925">
        <v>0.95952023988005997</v>
      </c>
    </row>
    <row r="16926" spans="1:5">
      <c r="A16926" t="s">
        <v>19605</v>
      </c>
      <c r="B16926" t="s">
        <v>19606</v>
      </c>
      <c r="C16926">
        <v>1.3780118213000001E-2</v>
      </c>
      <c r="D16926">
        <v>0.99961382513599994</v>
      </c>
      <c r="E16926">
        <v>1.22338830584707</v>
      </c>
    </row>
    <row r="16927" spans="1:5">
      <c r="A16927" t="s">
        <v>19605</v>
      </c>
      <c r="B16927" t="s">
        <v>19607</v>
      </c>
      <c r="C16927">
        <v>0</v>
      </c>
      <c r="D16927">
        <v>0.99961382513599994</v>
      </c>
      <c r="E16927">
        <v>1.22338830584707</v>
      </c>
    </row>
    <row r="16928" spans="1:5">
      <c r="A16928" t="s">
        <v>19605</v>
      </c>
      <c r="B16928" t="s">
        <v>19608</v>
      </c>
      <c r="C16928">
        <f>0</f>
        <v>0</v>
      </c>
      <c r="D16928">
        <v>0.99961382513599994</v>
      </c>
      <c r="E16928">
        <v>1.22338830584707</v>
      </c>
    </row>
    <row r="16929" spans="1:5">
      <c r="A16929" t="s">
        <v>19605</v>
      </c>
      <c r="B16929" t="s">
        <v>19609</v>
      </c>
      <c r="C16929">
        <v>0</v>
      </c>
      <c r="D16929">
        <v>0.99961382513599994</v>
      </c>
      <c r="E16929">
        <v>1.22338830584707</v>
      </c>
    </row>
    <row r="16930" spans="1:5">
      <c r="A16930" t="s">
        <v>19605</v>
      </c>
      <c r="B16930" t="s">
        <v>19610</v>
      </c>
      <c r="C16930">
        <v>0.83586029467800005</v>
      </c>
      <c r="D16930">
        <v>0.99961382513599994</v>
      </c>
      <c r="E16930">
        <v>1.22338830584707</v>
      </c>
    </row>
    <row r="16931" spans="1:5">
      <c r="A16931" t="s">
        <v>19611</v>
      </c>
      <c r="B16931" t="s">
        <v>19612</v>
      </c>
      <c r="C16931">
        <f>0</f>
        <v>0</v>
      </c>
      <c r="D16931" t="s">
        <v>106</v>
      </c>
      <c r="E16931">
        <v>1.2713643178410701</v>
      </c>
    </row>
    <row r="16932" spans="1:5">
      <c r="A16932" t="s">
        <v>19611</v>
      </c>
      <c r="B16932" t="s">
        <v>19613</v>
      </c>
      <c r="C16932">
        <f>0</f>
        <v>0</v>
      </c>
      <c r="D16932" t="s">
        <v>106</v>
      </c>
      <c r="E16932">
        <v>1.2713643178410701</v>
      </c>
    </row>
    <row r="16933" spans="1:5">
      <c r="A16933" t="s">
        <v>19611</v>
      </c>
      <c r="B16933" t="s">
        <v>19614</v>
      </c>
      <c r="C16933">
        <v>0</v>
      </c>
      <c r="D16933" t="s">
        <v>106</v>
      </c>
      <c r="E16933">
        <v>1.2713643178410701</v>
      </c>
    </row>
    <row r="16934" spans="1:5">
      <c r="A16934" t="s">
        <v>19615</v>
      </c>
      <c r="B16934" t="s">
        <v>19616</v>
      </c>
      <c r="C16934">
        <v>0</v>
      </c>
      <c r="D16934">
        <v>0.80206565896000004</v>
      </c>
      <c r="E16934">
        <v>2.96251874062968</v>
      </c>
    </row>
    <row r="16935" spans="1:5">
      <c r="A16935" t="s">
        <v>19615</v>
      </c>
      <c r="B16935" t="s">
        <v>19617</v>
      </c>
      <c r="C16935">
        <f>0.0522244847827</f>
        <v>5.2224484782699997E-2</v>
      </c>
      <c r="D16935">
        <v>0.80206565896000004</v>
      </c>
      <c r="E16935">
        <v>2.96251874062968</v>
      </c>
    </row>
    <row r="16936" spans="1:5">
      <c r="A16936" t="s">
        <v>19615</v>
      </c>
      <c r="B16936" t="s">
        <v>19618</v>
      </c>
      <c r="C16936">
        <v>0</v>
      </c>
      <c r="D16936">
        <v>0.80206565896000004</v>
      </c>
      <c r="E16936">
        <v>2.96251874062968</v>
      </c>
    </row>
    <row r="16937" spans="1:5">
      <c r="A16937" t="s">
        <v>19615</v>
      </c>
      <c r="B16937" t="s">
        <v>19619</v>
      </c>
      <c r="C16937">
        <f>0</f>
        <v>0</v>
      </c>
      <c r="D16937">
        <v>0.80206565896000004</v>
      </c>
      <c r="E16937">
        <v>2.96251874062968</v>
      </c>
    </row>
    <row r="16938" spans="1:5">
      <c r="A16938" t="s">
        <v>19620</v>
      </c>
      <c r="B16938" t="s">
        <v>19621</v>
      </c>
      <c r="C16938">
        <v>0.20562041477500001</v>
      </c>
      <c r="D16938">
        <v>0.99412702687300003</v>
      </c>
      <c r="E16938">
        <v>3.5862068965517202</v>
      </c>
    </row>
    <row r="16939" spans="1:5">
      <c r="A16939" t="s">
        <v>19620</v>
      </c>
      <c r="B16939" t="s">
        <v>19622</v>
      </c>
      <c r="C16939">
        <v>0</v>
      </c>
      <c r="D16939">
        <v>0.99412702687300003</v>
      </c>
      <c r="E16939">
        <v>3.5862068965517202</v>
      </c>
    </row>
    <row r="16940" spans="1:5">
      <c r="A16940" t="s">
        <v>19620</v>
      </c>
      <c r="B16940" t="s">
        <v>19623</v>
      </c>
      <c r="C16940">
        <f>0</f>
        <v>0</v>
      </c>
      <c r="D16940">
        <v>0.99412702687300003</v>
      </c>
      <c r="E16940">
        <v>3.5862068965517202</v>
      </c>
    </row>
    <row r="16941" spans="1:5">
      <c r="A16941" t="s">
        <v>19620</v>
      </c>
      <c r="B16941" t="s">
        <v>19624</v>
      </c>
      <c r="C16941">
        <f>0</f>
        <v>0</v>
      </c>
      <c r="D16941">
        <v>0.99412702687300003</v>
      </c>
      <c r="E16941">
        <v>3.5862068965517202</v>
      </c>
    </row>
    <row r="16942" spans="1:5">
      <c r="A16942" t="s">
        <v>19620</v>
      </c>
      <c r="B16942" t="s">
        <v>19625</v>
      </c>
      <c r="C16942">
        <v>0</v>
      </c>
      <c r="D16942">
        <v>0.99412702687300003</v>
      </c>
      <c r="E16942">
        <v>3.5862068965517202</v>
      </c>
    </row>
    <row r="16943" spans="1:5">
      <c r="A16943" t="s">
        <v>19620</v>
      </c>
      <c r="B16943" t="s">
        <v>19626</v>
      </c>
      <c r="C16943">
        <v>0</v>
      </c>
      <c r="D16943">
        <v>0.99412702687300003</v>
      </c>
      <c r="E16943">
        <v>3.5862068965517202</v>
      </c>
    </row>
    <row r="16944" spans="1:5">
      <c r="A16944" t="s">
        <v>19620</v>
      </c>
      <c r="B16944" t="s">
        <v>19627</v>
      </c>
      <c r="C16944">
        <v>0</v>
      </c>
      <c r="D16944">
        <v>0.99412702687300003</v>
      </c>
      <c r="E16944">
        <v>3.5862068965517202</v>
      </c>
    </row>
    <row r="16945" spans="1:5">
      <c r="A16945" t="s">
        <v>19620</v>
      </c>
      <c r="B16945" t="s">
        <v>19628</v>
      </c>
      <c r="C16945">
        <v>0</v>
      </c>
      <c r="D16945">
        <v>0.99412702687300003</v>
      </c>
      <c r="E16945">
        <v>3.5862068965517202</v>
      </c>
    </row>
    <row r="16946" spans="1:5">
      <c r="A16946" t="s">
        <v>19629</v>
      </c>
      <c r="B16946" t="s">
        <v>19630</v>
      </c>
      <c r="C16946">
        <f>0.162503474768</f>
        <v>0.16250347476800001</v>
      </c>
      <c r="D16946">
        <v>0.96431791298199998</v>
      </c>
      <c r="E16946">
        <v>0.69565217391304301</v>
      </c>
    </row>
    <row r="16947" spans="1:5">
      <c r="A16947" t="s">
        <v>19629</v>
      </c>
      <c r="B16947" t="s">
        <v>19631</v>
      </c>
      <c r="C16947">
        <f>0</f>
        <v>0</v>
      </c>
      <c r="D16947">
        <v>0.96431791298199998</v>
      </c>
      <c r="E16947">
        <v>0.69565217391304301</v>
      </c>
    </row>
    <row r="16948" spans="1:5">
      <c r="A16948" t="s">
        <v>19629</v>
      </c>
      <c r="B16948" t="s">
        <v>19632</v>
      </c>
      <c r="C16948">
        <f>0</f>
        <v>0</v>
      </c>
      <c r="D16948">
        <v>0.96431791298199998</v>
      </c>
      <c r="E16948">
        <v>0.69565217391304301</v>
      </c>
    </row>
    <row r="16949" spans="1:5">
      <c r="A16949" t="s">
        <v>19629</v>
      </c>
      <c r="B16949" t="s">
        <v>19633</v>
      </c>
      <c r="C16949">
        <f>0.0851512635027</f>
        <v>8.5151263502699998E-2</v>
      </c>
      <c r="D16949">
        <v>0.96431791298199998</v>
      </c>
      <c r="E16949">
        <v>0.69565217391304301</v>
      </c>
    </row>
    <row r="16950" spans="1:5">
      <c r="A16950" t="s">
        <v>19629</v>
      </c>
      <c r="B16950" t="s">
        <v>19634</v>
      </c>
      <c r="C16950">
        <f>0</f>
        <v>0</v>
      </c>
      <c r="D16950">
        <v>0.96431791298199998</v>
      </c>
      <c r="E16950">
        <v>0.69565217391304301</v>
      </c>
    </row>
    <row r="16951" spans="1:5">
      <c r="A16951" t="s">
        <v>19635</v>
      </c>
      <c r="B16951" t="s">
        <v>19636</v>
      </c>
      <c r="C16951">
        <v>0</v>
      </c>
      <c r="D16951" t="s">
        <v>106</v>
      </c>
      <c r="E16951">
        <v>24</v>
      </c>
    </row>
    <row r="16952" spans="1:5">
      <c r="A16952" t="s">
        <v>19635</v>
      </c>
      <c r="B16952" t="s">
        <v>19637</v>
      </c>
      <c r="C16952">
        <v>0</v>
      </c>
      <c r="D16952" t="s">
        <v>106</v>
      </c>
      <c r="E16952">
        <v>24</v>
      </c>
    </row>
    <row r="16953" spans="1:5">
      <c r="A16953" t="s">
        <v>19635</v>
      </c>
      <c r="B16953" t="s">
        <v>19638</v>
      </c>
      <c r="C16953">
        <f>0</f>
        <v>0</v>
      </c>
      <c r="D16953" t="s">
        <v>106</v>
      </c>
      <c r="E16953">
        <v>24</v>
      </c>
    </row>
    <row r="16954" spans="1:5">
      <c r="A16954" t="s">
        <v>19635</v>
      </c>
      <c r="B16954" t="s">
        <v>19639</v>
      </c>
      <c r="C16954">
        <v>0</v>
      </c>
      <c r="D16954" t="s">
        <v>106</v>
      </c>
      <c r="E16954">
        <v>24</v>
      </c>
    </row>
    <row r="16955" spans="1:5">
      <c r="A16955" t="s">
        <v>19635</v>
      </c>
      <c r="B16955" t="s">
        <v>19640</v>
      </c>
      <c r="C16955">
        <f>0</f>
        <v>0</v>
      </c>
      <c r="D16955" t="s">
        <v>106</v>
      </c>
      <c r="E16955">
        <v>24</v>
      </c>
    </row>
    <row r="16956" spans="1:5">
      <c r="A16956" t="s">
        <v>19635</v>
      </c>
      <c r="B16956" t="s">
        <v>19641</v>
      </c>
      <c r="C16956">
        <v>0.14058648154799999</v>
      </c>
      <c r="D16956" t="s">
        <v>106</v>
      </c>
      <c r="E16956">
        <v>24</v>
      </c>
    </row>
    <row r="16957" spans="1:5">
      <c r="A16957" t="s">
        <v>19635</v>
      </c>
      <c r="B16957" t="s">
        <v>19642</v>
      </c>
      <c r="C16957">
        <v>0</v>
      </c>
      <c r="D16957" t="s">
        <v>106</v>
      </c>
      <c r="E16957">
        <v>24</v>
      </c>
    </row>
    <row r="16958" spans="1:5">
      <c r="A16958" t="s">
        <v>19635</v>
      </c>
      <c r="B16958" t="s">
        <v>19643</v>
      </c>
      <c r="C16958">
        <f>0</f>
        <v>0</v>
      </c>
      <c r="D16958" t="s">
        <v>106</v>
      </c>
      <c r="E16958">
        <v>24</v>
      </c>
    </row>
    <row r="16959" spans="1:5">
      <c r="A16959" t="s">
        <v>19644</v>
      </c>
      <c r="B16959" t="s">
        <v>19645</v>
      </c>
      <c r="C16959">
        <v>0</v>
      </c>
      <c r="D16959" t="s">
        <v>106</v>
      </c>
      <c r="E16959">
        <v>24</v>
      </c>
    </row>
    <row r="16960" spans="1:5">
      <c r="A16960" t="s">
        <v>19644</v>
      </c>
      <c r="B16960" t="s">
        <v>19646</v>
      </c>
      <c r="C16960">
        <v>0</v>
      </c>
      <c r="D16960" t="s">
        <v>106</v>
      </c>
      <c r="E16960">
        <v>24</v>
      </c>
    </row>
    <row r="16961" spans="1:5">
      <c r="A16961" t="s">
        <v>19644</v>
      </c>
      <c r="B16961" t="s">
        <v>19647</v>
      </c>
      <c r="C16961">
        <v>0.12993614328</v>
      </c>
      <c r="D16961" t="s">
        <v>106</v>
      </c>
      <c r="E16961">
        <v>24</v>
      </c>
    </row>
    <row r="16962" spans="1:5">
      <c r="A16962" t="s">
        <v>19644</v>
      </c>
      <c r="B16962" t="s">
        <v>19648</v>
      </c>
      <c r="C16962">
        <v>0</v>
      </c>
      <c r="D16962" t="s">
        <v>106</v>
      </c>
      <c r="E16962">
        <v>24</v>
      </c>
    </row>
    <row r="16963" spans="1:5">
      <c r="A16963" t="s">
        <v>19644</v>
      </c>
      <c r="B16963" t="s">
        <v>19649</v>
      </c>
      <c r="C16963">
        <f>0</f>
        <v>0</v>
      </c>
      <c r="D16963" t="s">
        <v>106</v>
      </c>
      <c r="E16963">
        <v>24</v>
      </c>
    </row>
    <row r="16964" spans="1:5">
      <c r="A16964" t="s">
        <v>19644</v>
      </c>
      <c r="B16964" t="s">
        <v>19650</v>
      </c>
      <c r="C16964">
        <f>0</f>
        <v>0</v>
      </c>
      <c r="D16964" t="s">
        <v>106</v>
      </c>
      <c r="E16964">
        <v>24</v>
      </c>
    </row>
    <row r="16965" spans="1:5">
      <c r="A16965" t="s">
        <v>19644</v>
      </c>
      <c r="B16965" t="s">
        <v>19651</v>
      </c>
      <c r="C16965">
        <v>0</v>
      </c>
      <c r="D16965" t="s">
        <v>106</v>
      </c>
      <c r="E16965">
        <v>24</v>
      </c>
    </row>
    <row r="16966" spans="1:5">
      <c r="A16966" t="s">
        <v>19644</v>
      </c>
      <c r="B16966" t="s">
        <v>19652</v>
      </c>
      <c r="C16966">
        <f>0</f>
        <v>0</v>
      </c>
      <c r="D16966" t="s">
        <v>106</v>
      </c>
      <c r="E16966">
        <v>24</v>
      </c>
    </row>
    <row r="16967" spans="1:5">
      <c r="A16967" t="s">
        <v>19644</v>
      </c>
      <c r="B16967" t="s">
        <v>19653</v>
      </c>
      <c r="C16967">
        <v>0</v>
      </c>
      <c r="D16967" t="s">
        <v>106</v>
      </c>
      <c r="E16967">
        <v>24</v>
      </c>
    </row>
    <row r="16968" spans="1:5">
      <c r="A16968" t="s">
        <v>19644</v>
      </c>
      <c r="B16968" t="s">
        <v>19654</v>
      </c>
      <c r="C16968">
        <v>0</v>
      </c>
      <c r="D16968" t="s">
        <v>106</v>
      </c>
      <c r="E16968">
        <v>24</v>
      </c>
    </row>
    <row r="16969" spans="1:5">
      <c r="A16969" t="s">
        <v>19644</v>
      </c>
      <c r="B16969" t="s">
        <v>19655</v>
      </c>
      <c r="C16969">
        <v>0</v>
      </c>
      <c r="D16969" t="s">
        <v>106</v>
      </c>
      <c r="E16969">
        <v>24</v>
      </c>
    </row>
    <row r="16970" spans="1:5">
      <c r="A16970" t="s">
        <v>19644</v>
      </c>
      <c r="B16970" t="s">
        <v>19656</v>
      </c>
      <c r="C16970">
        <v>0</v>
      </c>
      <c r="D16970" t="s">
        <v>106</v>
      </c>
      <c r="E16970">
        <v>24</v>
      </c>
    </row>
    <row r="16971" spans="1:5">
      <c r="A16971" t="s">
        <v>19644</v>
      </c>
      <c r="B16971" t="s">
        <v>19657</v>
      </c>
      <c r="C16971">
        <v>0</v>
      </c>
      <c r="D16971" t="s">
        <v>106</v>
      </c>
      <c r="E16971">
        <v>24</v>
      </c>
    </row>
    <row r="16972" spans="1:5">
      <c r="A16972" t="s">
        <v>19644</v>
      </c>
      <c r="B16972" t="s">
        <v>19658</v>
      </c>
      <c r="C16972">
        <v>4.4927147341100003E-2</v>
      </c>
      <c r="D16972" t="s">
        <v>106</v>
      </c>
      <c r="E16972">
        <v>24</v>
      </c>
    </row>
    <row r="16973" spans="1:5">
      <c r="A16973" t="s">
        <v>19644</v>
      </c>
      <c r="B16973" t="s">
        <v>19659</v>
      </c>
      <c r="C16973">
        <v>0</v>
      </c>
      <c r="D16973" t="s">
        <v>106</v>
      </c>
      <c r="E16973">
        <v>24</v>
      </c>
    </row>
    <row r="16974" spans="1:5">
      <c r="A16974" t="s">
        <v>19644</v>
      </c>
      <c r="B16974" t="s">
        <v>19660</v>
      </c>
      <c r="C16974">
        <v>0</v>
      </c>
      <c r="D16974" t="s">
        <v>106</v>
      </c>
      <c r="E16974">
        <v>24</v>
      </c>
    </row>
    <row r="16975" spans="1:5">
      <c r="A16975" t="s">
        <v>19661</v>
      </c>
      <c r="B16975" t="s">
        <v>19662</v>
      </c>
      <c r="C16975">
        <f>0</f>
        <v>0</v>
      </c>
      <c r="D16975">
        <v>0.82354981790699999</v>
      </c>
      <c r="E16975">
        <v>0</v>
      </c>
    </row>
    <row r="16976" spans="1:5">
      <c r="A16976" t="s">
        <v>19661</v>
      </c>
      <c r="B16976" t="s">
        <v>19663</v>
      </c>
      <c r="C16976">
        <f>0.156305886975</f>
        <v>0.156305886975</v>
      </c>
      <c r="D16976">
        <v>0.82354981790699999</v>
      </c>
      <c r="E16976">
        <v>0</v>
      </c>
    </row>
    <row r="16977" spans="1:5">
      <c r="A16977" t="s">
        <v>19661</v>
      </c>
      <c r="B16977" t="s">
        <v>19664</v>
      </c>
      <c r="C16977">
        <f>0.272950102008</f>
        <v>0.27295010200800002</v>
      </c>
      <c r="D16977">
        <v>0.82354981790699999</v>
      </c>
      <c r="E16977">
        <v>0</v>
      </c>
    </row>
    <row r="16978" spans="1:5">
      <c r="A16978" t="s">
        <v>19661</v>
      </c>
      <c r="B16978" t="s">
        <v>19665</v>
      </c>
      <c r="C16978">
        <v>0</v>
      </c>
      <c r="D16978">
        <v>0.82354981790699999</v>
      </c>
      <c r="E16978">
        <v>0</v>
      </c>
    </row>
    <row r="16979" spans="1:5">
      <c r="A16979" t="s">
        <v>19666</v>
      </c>
      <c r="B16979" t="s">
        <v>19667</v>
      </c>
      <c r="C16979">
        <v>0</v>
      </c>
      <c r="D16979">
        <v>0.97058301187700002</v>
      </c>
      <c r="E16979">
        <v>2.2548725637181399</v>
      </c>
    </row>
    <row r="16980" spans="1:5">
      <c r="A16980" t="s">
        <v>19666</v>
      </c>
      <c r="B16980" t="s">
        <v>19668</v>
      </c>
      <c r="C16980">
        <f>0</f>
        <v>0</v>
      </c>
      <c r="D16980">
        <v>0.97058301187700002</v>
      </c>
      <c r="E16980">
        <v>2.2548725637181399</v>
      </c>
    </row>
    <row r="16981" spans="1:5">
      <c r="A16981" t="s">
        <v>19666</v>
      </c>
      <c r="B16981" t="s">
        <v>19669</v>
      </c>
      <c r="C16981">
        <f>0</f>
        <v>0</v>
      </c>
      <c r="D16981">
        <v>0.97058301187700002</v>
      </c>
      <c r="E16981">
        <v>2.2548725637181399</v>
      </c>
    </row>
    <row r="16982" spans="1:5">
      <c r="A16982" t="s">
        <v>19666</v>
      </c>
      <c r="B16982" t="s">
        <v>19670</v>
      </c>
      <c r="C16982">
        <v>0</v>
      </c>
      <c r="D16982">
        <v>0.97058301187700002</v>
      </c>
      <c r="E16982">
        <v>2.2548725637181399</v>
      </c>
    </row>
    <row r="16983" spans="1:5">
      <c r="A16983" t="s">
        <v>19666</v>
      </c>
      <c r="B16983" t="s">
        <v>19671</v>
      </c>
      <c r="C16983">
        <f>0</f>
        <v>0</v>
      </c>
      <c r="D16983">
        <v>0.97058301187700002</v>
      </c>
      <c r="E16983">
        <v>2.2548725637181399</v>
      </c>
    </row>
    <row r="16984" spans="1:5">
      <c r="A16984" t="s">
        <v>19666</v>
      </c>
      <c r="B16984" t="s">
        <v>19672</v>
      </c>
      <c r="C16984">
        <f>0</f>
        <v>0</v>
      </c>
      <c r="D16984">
        <v>0.97058301187700002</v>
      </c>
      <c r="E16984">
        <v>2.2548725637181399</v>
      </c>
    </row>
    <row r="16985" spans="1:5">
      <c r="A16985" t="s">
        <v>19666</v>
      </c>
      <c r="B16985" t="s">
        <v>19673</v>
      </c>
      <c r="C16985">
        <v>0</v>
      </c>
      <c r="D16985">
        <v>0.97058301187700002</v>
      </c>
      <c r="E16985">
        <v>2.2548725637181399</v>
      </c>
    </row>
    <row r="16986" spans="1:5">
      <c r="A16986" t="s">
        <v>19666</v>
      </c>
      <c r="B16986" t="s">
        <v>19674</v>
      </c>
      <c r="C16986">
        <f>0</f>
        <v>0</v>
      </c>
      <c r="D16986">
        <v>0.97058301187700002</v>
      </c>
      <c r="E16986">
        <v>2.2548725637181399</v>
      </c>
    </row>
    <row r="16987" spans="1:5">
      <c r="A16987" t="s">
        <v>19666</v>
      </c>
      <c r="B16987" t="s">
        <v>19675</v>
      </c>
      <c r="C16987">
        <f>0</f>
        <v>0</v>
      </c>
      <c r="D16987">
        <v>0.97058301187700002</v>
      </c>
      <c r="E16987">
        <v>2.2548725637181399</v>
      </c>
    </row>
    <row r="16988" spans="1:5">
      <c r="A16988" t="s">
        <v>19666</v>
      </c>
      <c r="B16988" t="s">
        <v>19676</v>
      </c>
      <c r="C16988">
        <f>0</f>
        <v>0</v>
      </c>
      <c r="D16988">
        <v>0.97058301187700002</v>
      </c>
      <c r="E16988">
        <v>2.2548725637181399</v>
      </c>
    </row>
    <row r="16989" spans="1:5">
      <c r="A16989" t="s">
        <v>19666</v>
      </c>
      <c r="B16989" t="s">
        <v>19677</v>
      </c>
      <c r="C16989">
        <v>0</v>
      </c>
      <c r="D16989">
        <v>0.97058301187700002</v>
      </c>
      <c r="E16989">
        <v>2.2548725637181399</v>
      </c>
    </row>
    <row r="16990" spans="1:5">
      <c r="A16990" t="s">
        <v>19666</v>
      </c>
      <c r="B16990" t="s">
        <v>19678</v>
      </c>
      <c r="C16990">
        <v>0</v>
      </c>
      <c r="D16990">
        <v>0.97058301187700002</v>
      </c>
      <c r="E16990">
        <v>2.2548725637181399</v>
      </c>
    </row>
    <row r="16991" spans="1:5">
      <c r="A16991" t="s">
        <v>19666</v>
      </c>
      <c r="B16991" t="s">
        <v>19679</v>
      </c>
      <c r="C16991">
        <f>0.14895700067</f>
        <v>0.14895700067000001</v>
      </c>
      <c r="D16991">
        <v>0.97058301187700002</v>
      </c>
      <c r="E16991">
        <v>2.2548725637181399</v>
      </c>
    </row>
    <row r="16992" spans="1:5">
      <c r="A16992" t="s">
        <v>19666</v>
      </c>
      <c r="B16992" t="s">
        <v>19680</v>
      </c>
      <c r="C16992">
        <f>0</f>
        <v>0</v>
      </c>
      <c r="D16992">
        <v>0.97058301187700002</v>
      </c>
      <c r="E16992">
        <v>2.2548725637181399</v>
      </c>
    </row>
    <row r="16993" spans="1:5">
      <c r="A16993" t="s">
        <v>19666</v>
      </c>
      <c r="B16993" t="s">
        <v>19681</v>
      </c>
      <c r="C16993">
        <f>0</f>
        <v>0</v>
      </c>
      <c r="D16993">
        <v>0.97058301187700002</v>
      </c>
      <c r="E16993">
        <v>2.2548725637181399</v>
      </c>
    </row>
    <row r="16994" spans="1:5">
      <c r="A16994" t="s">
        <v>19682</v>
      </c>
      <c r="B16994" t="s">
        <v>19683</v>
      </c>
      <c r="C16994">
        <v>0</v>
      </c>
      <c r="D16994">
        <v>0.90289094866800002</v>
      </c>
      <c r="E16994">
        <v>22.332833583208298</v>
      </c>
    </row>
    <row r="16995" spans="1:5">
      <c r="A16995" t="s">
        <v>19682</v>
      </c>
      <c r="B16995" t="s">
        <v>19684</v>
      </c>
      <c r="C16995">
        <v>0</v>
      </c>
      <c r="D16995">
        <v>0.90289094866800002</v>
      </c>
      <c r="E16995">
        <v>22.332833583208298</v>
      </c>
    </row>
    <row r="16996" spans="1:5">
      <c r="A16996" t="s">
        <v>19682</v>
      </c>
      <c r="B16996" t="s">
        <v>19685</v>
      </c>
      <c r="C16996">
        <v>0</v>
      </c>
      <c r="D16996">
        <v>0.90289094866800002</v>
      </c>
      <c r="E16996">
        <v>22.332833583208298</v>
      </c>
    </row>
    <row r="16997" spans="1:5">
      <c r="A16997" t="s">
        <v>19682</v>
      </c>
      <c r="B16997" t="s">
        <v>19686</v>
      </c>
      <c r="C16997">
        <v>0</v>
      </c>
      <c r="D16997">
        <v>0.90289094866800002</v>
      </c>
      <c r="E16997">
        <v>22.332833583208298</v>
      </c>
    </row>
    <row r="16998" spans="1:5">
      <c r="A16998" t="s">
        <v>19682</v>
      </c>
      <c r="B16998" t="s">
        <v>19687</v>
      </c>
      <c r="C16998">
        <v>0</v>
      </c>
      <c r="D16998">
        <v>0.90289094866800002</v>
      </c>
      <c r="E16998">
        <v>22.332833583208298</v>
      </c>
    </row>
    <row r="16999" spans="1:5">
      <c r="A16999" t="s">
        <v>19682</v>
      </c>
      <c r="B16999" t="s">
        <v>19688</v>
      </c>
      <c r="C16999">
        <v>0</v>
      </c>
      <c r="D16999">
        <v>0.90289094866800002</v>
      </c>
      <c r="E16999">
        <v>22.332833583208298</v>
      </c>
    </row>
    <row r="17000" spans="1:5">
      <c r="A17000" t="s">
        <v>19682</v>
      </c>
      <c r="B17000" t="s">
        <v>19689</v>
      </c>
      <c r="C17000">
        <v>0</v>
      </c>
      <c r="D17000">
        <v>0.90289094866800002</v>
      </c>
      <c r="E17000">
        <v>22.332833583208298</v>
      </c>
    </row>
    <row r="17001" spans="1:5">
      <c r="A17001" t="s">
        <v>19682</v>
      </c>
      <c r="B17001" t="s">
        <v>19690</v>
      </c>
      <c r="C17001">
        <v>0</v>
      </c>
      <c r="D17001">
        <v>0.90289094866800002</v>
      </c>
      <c r="E17001">
        <v>22.332833583208298</v>
      </c>
    </row>
    <row r="17002" spans="1:5">
      <c r="A17002" t="s">
        <v>19682</v>
      </c>
      <c r="B17002" t="s">
        <v>19691</v>
      </c>
      <c r="C17002">
        <v>0</v>
      </c>
      <c r="D17002">
        <v>0.90289094866800002</v>
      </c>
      <c r="E17002">
        <v>22.332833583208298</v>
      </c>
    </row>
    <row r="17003" spans="1:5">
      <c r="A17003" t="s">
        <v>19682</v>
      </c>
      <c r="B17003" t="s">
        <v>19692</v>
      </c>
      <c r="C17003">
        <v>0</v>
      </c>
      <c r="D17003">
        <v>0.90289094866800002</v>
      </c>
      <c r="E17003">
        <v>22.332833583208298</v>
      </c>
    </row>
    <row r="17004" spans="1:5">
      <c r="A17004" t="s">
        <v>19682</v>
      </c>
      <c r="B17004" t="s">
        <v>19693</v>
      </c>
      <c r="C17004">
        <v>0</v>
      </c>
      <c r="D17004">
        <v>0.90289094866800002</v>
      </c>
      <c r="E17004">
        <v>22.332833583208298</v>
      </c>
    </row>
    <row r="17005" spans="1:5">
      <c r="A17005" t="s">
        <v>19682</v>
      </c>
      <c r="B17005" t="s">
        <v>19694</v>
      </c>
      <c r="C17005">
        <v>0</v>
      </c>
      <c r="D17005">
        <v>0.90289094866800002</v>
      </c>
      <c r="E17005">
        <v>22.332833583208298</v>
      </c>
    </row>
    <row r="17006" spans="1:5">
      <c r="A17006" t="s">
        <v>19682</v>
      </c>
      <c r="B17006" t="s">
        <v>19695</v>
      </c>
      <c r="C17006">
        <v>0</v>
      </c>
      <c r="D17006">
        <v>0.90289094866800002</v>
      </c>
      <c r="E17006">
        <v>22.332833583208298</v>
      </c>
    </row>
    <row r="17007" spans="1:5">
      <c r="A17007" t="s">
        <v>19682</v>
      </c>
      <c r="B17007" t="s">
        <v>19696</v>
      </c>
      <c r="C17007">
        <v>0</v>
      </c>
      <c r="D17007">
        <v>0.90289094866800002</v>
      </c>
      <c r="E17007">
        <v>22.332833583208298</v>
      </c>
    </row>
    <row r="17008" spans="1:5">
      <c r="A17008" t="s">
        <v>19682</v>
      </c>
      <c r="B17008" t="s">
        <v>19697</v>
      </c>
      <c r="C17008">
        <v>0</v>
      </c>
      <c r="D17008">
        <v>0.90289094866800002</v>
      </c>
      <c r="E17008">
        <v>22.332833583208298</v>
      </c>
    </row>
    <row r="17009" spans="1:5">
      <c r="A17009" t="s">
        <v>19682</v>
      </c>
      <c r="B17009" t="s">
        <v>19698</v>
      </c>
      <c r="C17009">
        <f>0.0201610393229</f>
        <v>2.0161039322900001E-2</v>
      </c>
      <c r="D17009">
        <v>0.90289094866800002</v>
      </c>
      <c r="E17009">
        <v>22.332833583208298</v>
      </c>
    </row>
    <row r="17010" spans="1:5">
      <c r="A17010" t="s">
        <v>19682</v>
      </c>
      <c r="B17010" t="s">
        <v>19699</v>
      </c>
      <c r="C17010">
        <v>0</v>
      </c>
      <c r="D17010">
        <v>0.90289094866800002</v>
      </c>
      <c r="E17010">
        <v>22.332833583208298</v>
      </c>
    </row>
    <row r="17011" spans="1:5">
      <c r="A17011" t="s">
        <v>19682</v>
      </c>
      <c r="B17011" t="s">
        <v>19700</v>
      </c>
      <c r="C17011">
        <v>0</v>
      </c>
      <c r="D17011">
        <v>0.90289094866800002</v>
      </c>
      <c r="E17011">
        <v>22.332833583208298</v>
      </c>
    </row>
    <row r="17012" spans="1:5">
      <c r="A17012" t="s">
        <v>19701</v>
      </c>
      <c r="B17012" t="s">
        <v>19702</v>
      </c>
      <c r="C17012">
        <v>0</v>
      </c>
      <c r="D17012" t="s">
        <v>106</v>
      </c>
      <c r="E17012">
        <v>7.3283358320839502</v>
      </c>
    </row>
    <row r="17013" spans="1:5">
      <c r="A17013" t="s">
        <v>19703</v>
      </c>
      <c r="B17013" t="s">
        <v>19704</v>
      </c>
      <c r="C17013">
        <f>0.00868797257951</f>
        <v>8.6879725795099994E-3</v>
      </c>
      <c r="D17013" t="s">
        <v>106</v>
      </c>
      <c r="E17013">
        <v>24</v>
      </c>
    </row>
    <row r="17014" spans="1:5">
      <c r="A17014" t="s">
        <v>19703</v>
      </c>
      <c r="B17014" t="s">
        <v>19705</v>
      </c>
      <c r="C17014">
        <f>0.0298756004274</f>
        <v>2.9875600427399999E-2</v>
      </c>
      <c r="D17014" t="s">
        <v>106</v>
      </c>
      <c r="E17014">
        <v>24</v>
      </c>
    </row>
    <row r="17015" spans="1:5">
      <c r="A17015" t="s">
        <v>19706</v>
      </c>
      <c r="B17015" t="s">
        <v>19707</v>
      </c>
      <c r="C17015">
        <v>0</v>
      </c>
      <c r="D17015">
        <v>0.95360416560000005</v>
      </c>
      <c r="E17015">
        <v>19.4182908545727</v>
      </c>
    </row>
    <row r="17016" spans="1:5">
      <c r="A17016" t="s">
        <v>19706</v>
      </c>
      <c r="B17016" t="s">
        <v>19708</v>
      </c>
      <c r="C17016">
        <v>0</v>
      </c>
      <c r="D17016">
        <v>0.95360416560000005</v>
      </c>
      <c r="E17016">
        <v>19.4182908545727</v>
      </c>
    </row>
    <row r="17017" spans="1:5">
      <c r="A17017" t="s">
        <v>19706</v>
      </c>
      <c r="B17017" t="s">
        <v>19709</v>
      </c>
      <c r="C17017">
        <v>0</v>
      </c>
      <c r="D17017">
        <v>0.95360416560000005</v>
      </c>
      <c r="E17017">
        <v>19.4182908545727</v>
      </c>
    </row>
    <row r="17018" spans="1:5">
      <c r="A17018" t="s">
        <v>19710</v>
      </c>
      <c r="B17018" t="s">
        <v>19711</v>
      </c>
      <c r="C17018">
        <v>0</v>
      </c>
      <c r="D17018">
        <v>0.68579527901399995</v>
      </c>
      <c r="E17018">
        <v>9.4632683658170897</v>
      </c>
    </row>
    <row r="17019" spans="1:5">
      <c r="A17019" t="s">
        <v>19710</v>
      </c>
      <c r="B17019" t="s">
        <v>19712</v>
      </c>
      <c r="C17019">
        <v>0</v>
      </c>
      <c r="D17019">
        <v>0.68579527901399995</v>
      </c>
      <c r="E17019">
        <v>9.4632683658170897</v>
      </c>
    </row>
    <row r="17020" spans="1:5">
      <c r="A17020" t="s">
        <v>19710</v>
      </c>
      <c r="B17020" t="s">
        <v>19713</v>
      </c>
      <c r="C17020">
        <v>7.3210974823399999E-3</v>
      </c>
      <c r="D17020">
        <v>0.68579527901399995</v>
      </c>
      <c r="E17020">
        <v>9.4632683658170897</v>
      </c>
    </row>
    <row r="17021" spans="1:5">
      <c r="A17021" t="s">
        <v>19710</v>
      </c>
      <c r="B17021" t="s">
        <v>19714</v>
      </c>
      <c r="C17021">
        <v>0</v>
      </c>
      <c r="D17021">
        <v>0.68579527901399995</v>
      </c>
      <c r="E17021">
        <v>9.4632683658170897</v>
      </c>
    </row>
    <row r="17022" spans="1:5">
      <c r="A17022" t="s">
        <v>19710</v>
      </c>
      <c r="B17022" t="s">
        <v>19715</v>
      </c>
      <c r="C17022">
        <f>0</f>
        <v>0</v>
      </c>
      <c r="D17022">
        <v>0.68579527901399995</v>
      </c>
      <c r="E17022">
        <v>9.4632683658170897</v>
      </c>
    </row>
    <row r="17023" spans="1:5">
      <c r="A17023" t="s">
        <v>19710</v>
      </c>
      <c r="B17023" t="s">
        <v>19716</v>
      </c>
      <c r="C17023">
        <v>0</v>
      </c>
      <c r="D17023">
        <v>0.68579527901399995</v>
      </c>
      <c r="E17023">
        <v>9.4632683658170897</v>
      </c>
    </row>
    <row r="17024" spans="1:5">
      <c r="A17024" t="s">
        <v>19710</v>
      </c>
      <c r="B17024" t="s">
        <v>19717</v>
      </c>
      <c r="C17024">
        <f>0</f>
        <v>0</v>
      </c>
      <c r="D17024">
        <v>0.68579527901399995</v>
      </c>
      <c r="E17024">
        <v>9.4632683658170897</v>
      </c>
    </row>
    <row r="17025" spans="1:5">
      <c r="A17025" t="s">
        <v>19710</v>
      </c>
      <c r="B17025" t="s">
        <v>19718</v>
      </c>
      <c r="C17025">
        <v>0</v>
      </c>
      <c r="D17025">
        <v>0.68579527901399995</v>
      </c>
      <c r="E17025">
        <v>9.4632683658170897</v>
      </c>
    </row>
    <row r="17026" spans="1:5">
      <c r="A17026" t="s">
        <v>19710</v>
      </c>
      <c r="B17026" t="s">
        <v>19719</v>
      </c>
      <c r="C17026">
        <f>0</f>
        <v>0</v>
      </c>
      <c r="D17026">
        <v>0.68579527901399995</v>
      </c>
      <c r="E17026">
        <v>9.4632683658170897</v>
      </c>
    </row>
    <row r="17027" spans="1:5">
      <c r="A17027" t="s">
        <v>19710</v>
      </c>
      <c r="B17027" t="s">
        <v>19720</v>
      </c>
      <c r="C17027">
        <v>0</v>
      </c>
      <c r="D17027">
        <v>0.68579527901399995</v>
      </c>
      <c r="E17027">
        <v>9.4632683658170897</v>
      </c>
    </row>
    <row r="17028" spans="1:5">
      <c r="A17028" t="s">
        <v>19710</v>
      </c>
      <c r="B17028" t="s">
        <v>19721</v>
      </c>
      <c r="C17028">
        <v>0</v>
      </c>
      <c r="D17028">
        <v>0.68579527901399995</v>
      </c>
      <c r="E17028">
        <v>9.4632683658170897</v>
      </c>
    </row>
    <row r="17029" spans="1:5">
      <c r="A17029" t="s">
        <v>19722</v>
      </c>
      <c r="B17029" t="s">
        <v>19723</v>
      </c>
      <c r="C17029">
        <v>0</v>
      </c>
      <c r="D17029" t="s">
        <v>106</v>
      </c>
      <c r="E17029">
        <v>0.73163418290854498</v>
      </c>
    </row>
    <row r="17030" spans="1:5">
      <c r="A17030" t="s">
        <v>19722</v>
      </c>
      <c r="B17030" t="s">
        <v>19724</v>
      </c>
      <c r="C17030">
        <v>0</v>
      </c>
      <c r="D17030" t="s">
        <v>106</v>
      </c>
      <c r="E17030">
        <v>0.73163418290854498</v>
      </c>
    </row>
    <row r="17031" spans="1:5">
      <c r="A17031" t="s">
        <v>19722</v>
      </c>
      <c r="B17031" t="s">
        <v>19725</v>
      </c>
      <c r="C17031">
        <v>0</v>
      </c>
      <c r="D17031" t="s">
        <v>106</v>
      </c>
      <c r="E17031">
        <v>0.73163418290854498</v>
      </c>
    </row>
    <row r="17032" spans="1:5">
      <c r="A17032" t="s">
        <v>19722</v>
      </c>
      <c r="B17032" t="s">
        <v>19726</v>
      </c>
      <c r="C17032">
        <v>0</v>
      </c>
      <c r="D17032" t="s">
        <v>106</v>
      </c>
      <c r="E17032">
        <v>0.73163418290854498</v>
      </c>
    </row>
    <row r="17033" spans="1:5">
      <c r="A17033" t="s">
        <v>19722</v>
      </c>
      <c r="B17033" t="s">
        <v>19727</v>
      </c>
      <c r="C17033">
        <f>0</f>
        <v>0</v>
      </c>
      <c r="D17033" t="s">
        <v>106</v>
      </c>
      <c r="E17033">
        <v>0.73163418290854498</v>
      </c>
    </row>
    <row r="17034" spans="1:5">
      <c r="A17034" t="s">
        <v>19722</v>
      </c>
      <c r="B17034" t="s">
        <v>19728</v>
      </c>
      <c r="C17034">
        <v>0</v>
      </c>
      <c r="D17034" t="s">
        <v>106</v>
      </c>
      <c r="E17034">
        <v>0.73163418290854498</v>
      </c>
    </row>
    <row r="17035" spans="1:5">
      <c r="A17035" t="s">
        <v>19722</v>
      </c>
      <c r="B17035" t="s">
        <v>19729</v>
      </c>
      <c r="C17035">
        <v>0</v>
      </c>
      <c r="D17035" t="s">
        <v>106</v>
      </c>
      <c r="E17035">
        <v>0.73163418290854498</v>
      </c>
    </row>
    <row r="17036" spans="1:5">
      <c r="A17036" t="s">
        <v>19722</v>
      </c>
      <c r="B17036" t="s">
        <v>19730</v>
      </c>
      <c r="C17036">
        <v>0</v>
      </c>
      <c r="D17036" t="s">
        <v>106</v>
      </c>
      <c r="E17036">
        <v>0.73163418290854498</v>
      </c>
    </row>
    <row r="17037" spans="1:5">
      <c r="A17037" t="s">
        <v>19731</v>
      </c>
      <c r="B17037" t="s">
        <v>19732</v>
      </c>
      <c r="C17037">
        <f>0</f>
        <v>0</v>
      </c>
      <c r="D17037">
        <v>0.96610037524900005</v>
      </c>
      <c r="E17037">
        <v>14.5487256371814</v>
      </c>
    </row>
    <row r="17038" spans="1:5">
      <c r="A17038" t="s">
        <v>19731</v>
      </c>
      <c r="B17038" t="s">
        <v>19733</v>
      </c>
      <c r="C17038">
        <v>0.23715466072700001</v>
      </c>
      <c r="D17038">
        <v>0.96610037524900005</v>
      </c>
      <c r="E17038">
        <v>14.5487256371814</v>
      </c>
    </row>
    <row r="17039" spans="1:5">
      <c r="A17039" t="s">
        <v>19731</v>
      </c>
      <c r="B17039" t="s">
        <v>19734</v>
      </c>
      <c r="C17039">
        <f>0.0612295743335</f>
        <v>6.12295743335E-2</v>
      </c>
      <c r="D17039">
        <v>0.96610037524900005</v>
      </c>
      <c r="E17039">
        <v>14.5487256371814</v>
      </c>
    </row>
    <row r="17040" spans="1:5">
      <c r="A17040" t="s">
        <v>19735</v>
      </c>
      <c r="B17040" t="s">
        <v>19736</v>
      </c>
      <c r="C17040">
        <v>0</v>
      </c>
      <c r="D17040" t="s">
        <v>106</v>
      </c>
      <c r="E17040">
        <v>4.2698650674662604</v>
      </c>
    </row>
    <row r="17041" spans="1:5">
      <c r="A17041" t="s">
        <v>19735</v>
      </c>
      <c r="B17041" t="s">
        <v>19737</v>
      </c>
      <c r="C17041">
        <f>0</f>
        <v>0</v>
      </c>
      <c r="D17041" t="s">
        <v>106</v>
      </c>
      <c r="E17041">
        <v>4.2698650674662604</v>
      </c>
    </row>
    <row r="17042" spans="1:5">
      <c r="A17042" t="s">
        <v>19735</v>
      </c>
      <c r="B17042" t="s">
        <v>19738</v>
      </c>
      <c r="C17042">
        <f>0</f>
        <v>0</v>
      </c>
      <c r="D17042" t="s">
        <v>106</v>
      </c>
      <c r="E17042">
        <v>4.2698650674662604</v>
      </c>
    </row>
    <row r="17043" spans="1:5">
      <c r="A17043" t="s">
        <v>19739</v>
      </c>
      <c r="B17043" t="s">
        <v>19740</v>
      </c>
      <c r="C17043">
        <f>0.0590086371413</f>
        <v>5.9008637141300002E-2</v>
      </c>
      <c r="D17043">
        <v>0.70893999425499998</v>
      </c>
      <c r="E17043">
        <v>2.0269865067466202</v>
      </c>
    </row>
    <row r="17044" spans="1:5">
      <c r="A17044" t="s">
        <v>19739</v>
      </c>
      <c r="B17044" t="s">
        <v>19741</v>
      </c>
      <c r="C17044">
        <v>2.1592242446600001E-2</v>
      </c>
      <c r="D17044">
        <v>0.70893999425499998</v>
      </c>
      <c r="E17044">
        <v>2.0269865067466202</v>
      </c>
    </row>
    <row r="17045" spans="1:5">
      <c r="A17045" t="s">
        <v>19739</v>
      </c>
      <c r="B17045" t="s">
        <v>19742</v>
      </c>
      <c r="C17045">
        <f>0</f>
        <v>0</v>
      </c>
      <c r="D17045">
        <v>0.70893999425499998</v>
      </c>
      <c r="E17045">
        <v>2.0269865067466202</v>
      </c>
    </row>
    <row r="17046" spans="1:5">
      <c r="A17046" t="s">
        <v>19743</v>
      </c>
      <c r="B17046" t="s">
        <v>19744</v>
      </c>
      <c r="C17046">
        <f>0</f>
        <v>0</v>
      </c>
      <c r="D17046">
        <v>0.92480118469600003</v>
      </c>
      <c r="E17046">
        <v>11.5382308845577</v>
      </c>
    </row>
    <row r="17047" spans="1:5">
      <c r="A17047" t="s">
        <v>19743</v>
      </c>
      <c r="B17047" t="s">
        <v>19745</v>
      </c>
      <c r="C17047">
        <v>0</v>
      </c>
      <c r="D17047">
        <v>0.92480118469600003</v>
      </c>
      <c r="E17047">
        <v>11.5382308845577</v>
      </c>
    </row>
    <row r="17048" spans="1:5">
      <c r="A17048" t="s">
        <v>19743</v>
      </c>
      <c r="B17048" t="s">
        <v>19746</v>
      </c>
      <c r="C17048">
        <f>0</f>
        <v>0</v>
      </c>
      <c r="D17048">
        <v>0.92480118469600003</v>
      </c>
      <c r="E17048">
        <v>11.5382308845577</v>
      </c>
    </row>
    <row r="17049" spans="1:5">
      <c r="A17049" t="s">
        <v>19743</v>
      </c>
      <c r="B17049" t="s">
        <v>19747</v>
      </c>
      <c r="C17049">
        <v>0</v>
      </c>
      <c r="D17049">
        <v>0.92480118469600003</v>
      </c>
      <c r="E17049">
        <v>11.5382308845577</v>
      </c>
    </row>
    <row r="17050" spans="1:5">
      <c r="A17050" t="s">
        <v>19743</v>
      </c>
      <c r="B17050" t="s">
        <v>19748</v>
      </c>
      <c r="C17050">
        <f>0</f>
        <v>0</v>
      </c>
      <c r="D17050">
        <v>0.92480118469600003</v>
      </c>
      <c r="E17050">
        <v>11.5382308845577</v>
      </c>
    </row>
    <row r="17051" spans="1:5">
      <c r="A17051" t="s">
        <v>19743</v>
      </c>
      <c r="B17051" t="s">
        <v>19749</v>
      </c>
      <c r="C17051">
        <f>0.11101859487</f>
        <v>0.11101859487</v>
      </c>
      <c r="D17051">
        <v>0.92480118469600003</v>
      </c>
      <c r="E17051">
        <v>11.5382308845577</v>
      </c>
    </row>
    <row r="17052" spans="1:5">
      <c r="A17052" t="s">
        <v>19743</v>
      </c>
      <c r="B17052" t="s">
        <v>19750</v>
      </c>
      <c r="C17052">
        <v>0</v>
      </c>
      <c r="D17052">
        <v>0.92480118469600003</v>
      </c>
      <c r="E17052">
        <v>11.5382308845577</v>
      </c>
    </row>
    <row r="17053" spans="1:5">
      <c r="A17053" t="s">
        <v>19743</v>
      </c>
      <c r="B17053" t="s">
        <v>19751</v>
      </c>
      <c r="C17053">
        <f>0</f>
        <v>0</v>
      </c>
      <c r="D17053">
        <v>0.92480118469600003</v>
      </c>
      <c r="E17053">
        <v>11.5382308845577</v>
      </c>
    </row>
    <row r="17054" spans="1:5">
      <c r="A17054" t="s">
        <v>19743</v>
      </c>
      <c r="B17054" t="s">
        <v>19752</v>
      </c>
      <c r="C17054">
        <v>0</v>
      </c>
      <c r="D17054">
        <v>0.92480118469600003</v>
      </c>
      <c r="E17054">
        <v>11.5382308845577</v>
      </c>
    </row>
    <row r="17055" spans="1:5">
      <c r="A17055" t="s">
        <v>19743</v>
      </c>
      <c r="B17055" t="s">
        <v>19753</v>
      </c>
      <c r="C17055">
        <f>0</f>
        <v>0</v>
      </c>
      <c r="D17055">
        <v>0.92480118469600003</v>
      </c>
      <c r="E17055">
        <v>11.5382308845577</v>
      </c>
    </row>
    <row r="17056" spans="1:5">
      <c r="A17056" t="s">
        <v>19743</v>
      </c>
      <c r="B17056" t="s">
        <v>19754</v>
      </c>
      <c r="C17056">
        <v>0</v>
      </c>
      <c r="D17056">
        <v>0.92480118469600003</v>
      </c>
      <c r="E17056">
        <v>11.5382308845577</v>
      </c>
    </row>
    <row r="17057" spans="1:5">
      <c r="A17057" t="s">
        <v>19743</v>
      </c>
      <c r="B17057" t="s">
        <v>19755</v>
      </c>
      <c r="C17057">
        <v>0</v>
      </c>
      <c r="D17057">
        <v>0.92480118469600003</v>
      </c>
      <c r="E17057">
        <v>11.5382308845577</v>
      </c>
    </row>
    <row r="17058" spans="1:5">
      <c r="A17058" t="s">
        <v>19743</v>
      </c>
      <c r="B17058" t="s">
        <v>19756</v>
      </c>
      <c r="C17058">
        <v>0</v>
      </c>
      <c r="D17058">
        <v>0.92480118469600003</v>
      </c>
      <c r="E17058">
        <v>11.5382308845577</v>
      </c>
    </row>
    <row r="17059" spans="1:5">
      <c r="A17059" t="s">
        <v>19743</v>
      </c>
      <c r="B17059" t="s">
        <v>19757</v>
      </c>
      <c r="C17059">
        <v>0</v>
      </c>
      <c r="D17059">
        <v>0.92480118469600003</v>
      </c>
      <c r="E17059">
        <v>11.5382308845577</v>
      </c>
    </row>
    <row r="17060" spans="1:5">
      <c r="A17060" t="s">
        <v>19743</v>
      </c>
      <c r="B17060" t="s">
        <v>19758</v>
      </c>
      <c r="C17060">
        <f>0</f>
        <v>0</v>
      </c>
      <c r="D17060">
        <v>0.92480118469600003</v>
      </c>
      <c r="E17060">
        <v>11.5382308845577</v>
      </c>
    </row>
    <row r="17061" spans="1:5">
      <c r="A17061" t="s">
        <v>19743</v>
      </c>
      <c r="B17061" t="s">
        <v>19759</v>
      </c>
      <c r="C17061">
        <f>0</f>
        <v>0</v>
      </c>
      <c r="D17061">
        <v>0.92480118469600003</v>
      </c>
      <c r="E17061">
        <v>11.5382308845577</v>
      </c>
    </row>
    <row r="17062" spans="1:5">
      <c r="A17062" t="s">
        <v>19743</v>
      </c>
      <c r="B17062" t="s">
        <v>19760</v>
      </c>
      <c r="C17062">
        <v>0</v>
      </c>
      <c r="D17062">
        <v>0.92480118469600003</v>
      </c>
      <c r="E17062">
        <v>11.5382308845577</v>
      </c>
    </row>
    <row r="17063" spans="1:5">
      <c r="A17063" t="s">
        <v>19743</v>
      </c>
      <c r="B17063" t="s">
        <v>19761</v>
      </c>
      <c r="C17063">
        <v>0</v>
      </c>
      <c r="D17063">
        <v>0.92480118469600003</v>
      </c>
      <c r="E17063">
        <v>11.5382308845577</v>
      </c>
    </row>
    <row r="17064" spans="1:5">
      <c r="A17064" t="s">
        <v>19762</v>
      </c>
      <c r="B17064" t="s">
        <v>19763</v>
      </c>
      <c r="C17064">
        <v>0</v>
      </c>
      <c r="D17064">
        <v>0.48988939154900002</v>
      </c>
      <c r="E17064">
        <v>6.5487256371814002</v>
      </c>
    </row>
    <row r="17065" spans="1:5">
      <c r="A17065" t="s">
        <v>19762</v>
      </c>
      <c r="B17065" t="s">
        <v>19764</v>
      </c>
      <c r="C17065">
        <f>0</f>
        <v>0</v>
      </c>
      <c r="D17065">
        <v>0.48988939154900002</v>
      </c>
      <c r="E17065">
        <v>6.5487256371814002</v>
      </c>
    </row>
    <row r="17066" spans="1:5">
      <c r="A17066" t="s">
        <v>19762</v>
      </c>
      <c r="B17066" t="s">
        <v>19765</v>
      </c>
      <c r="C17066">
        <v>0</v>
      </c>
      <c r="D17066">
        <v>0.48988939154900002</v>
      </c>
      <c r="E17066">
        <v>6.5487256371814002</v>
      </c>
    </row>
    <row r="17067" spans="1:5">
      <c r="A17067" t="s">
        <v>19766</v>
      </c>
      <c r="B17067" t="s">
        <v>19767</v>
      </c>
      <c r="C17067">
        <v>0</v>
      </c>
      <c r="D17067">
        <v>0.97844783956400005</v>
      </c>
      <c r="E17067">
        <v>11.370314842578701</v>
      </c>
    </row>
    <row r="17068" spans="1:5">
      <c r="A17068" t="s">
        <v>19766</v>
      </c>
      <c r="B17068" t="s">
        <v>19768</v>
      </c>
      <c r="C17068">
        <v>4.2706726713799999E-2</v>
      </c>
      <c r="D17068">
        <v>0.97844783956400005</v>
      </c>
      <c r="E17068">
        <v>11.370314842578701</v>
      </c>
    </row>
    <row r="17069" spans="1:5">
      <c r="A17069" t="s">
        <v>19766</v>
      </c>
      <c r="B17069" t="s">
        <v>19769</v>
      </c>
      <c r="C17069">
        <v>0</v>
      </c>
      <c r="D17069">
        <v>0.97844783956400005</v>
      </c>
      <c r="E17069">
        <v>11.370314842578701</v>
      </c>
    </row>
    <row r="17070" spans="1:5">
      <c r="A17070" t="s">
        <v>19766</v>
      </c>
      <c r="B17070" t="s">
        <v>19770</v>
      </c>
      <c r="C17070">
        <f>0</f>
        <v>0</v>
      </c>
      <c r="D17070">
        <v>0.97844783956400005</v>
      </c>
      <c r="E17070">
        <v>11.370314842578701</v>
      </c>
    </row>
    <row r="17071" spans="1:5">
      <c r="A17071" t="s">
        <v>19766</v>
      </c>
      <c r="B17071" t="s">
        <v>19771</v>
      </c>
      <c r="C17071">
        <v>0</v>
      </c>
      <c r="D17071">
        <v>0.97844783956400005</v>
      </c>
      <c r="E17071">
        <v>11.370314842578701</v>
      </c>
    </row>
    <row r="17072" spans="1:5">
      <c r="A17072" t="s">
        <v>19766</v>
      </c>
      <c r="B17072" t="s">
        <v>19772</v>
      </c>
      <c r="C17072">
        <f>0.123610723335</f>
        <v>0.12361072333500001</v>
      </c>
      <c r="D17072">
        <v>0.97844783956400005</v>
      </c>
      <c r="E17072">
        <v>11.370314842578701</v>
      </c>
    </row>
    <row r="17073" spans="1:5">
      <c r="A17073" t="s">
        <v>19766</v>
      </c>
      <c r="B17073" t="s">
        <v>19773</v>
      </c>
      <c r="C17073">
        <f>0</f>
        <v>0</v>
      </c>
      <c r="D17073">
        <v>0.97844783956400005</v>
      </c>
      <c r="E17073">
        <v>11.370314842578701</v>
      </c>
    </row>
    <row r="17074" spans="1:5">
      <c r="A17074" t="s">
        <v>19766</v>
      </c>
      <c r="B17074" t="s">
        <v>19774</v>
      </c>
      <c r="C17074">
        <v>0</v>
      </c>
      <c r="D17074">
        <v>0.97844783956400005</v>
      </c>
      <c r="E17074">
        <v>11.370314842578701</v>
      </c>
    </row>
    <row r="17075" spans="1:5">
      <c r="A17075" t="s">
        <v>19766</v>
      </c>
      <c r="B17075" t="s">
        <v>19775</v>
      </c>
      <c r="C17075">
        <v>0</v>
      </c>
      <c r="D17075">
        <v>0.97844783956400005</v>
      </c>
      <c r="E17075">
        <v>11.370314842578701</v>
      </c>
    </row>
    <row r="17076" spans="1:5">
      <c r="A17076" t="s">
        <v>19776</v>
      </c>
      <c r="B17076" t="s">
        <v>19777</v>
      </c>
      <c r="C17076">
        <f>0</f>
        <v>0</v>
      </c>
      <c r="D17076" t="s">
        <v>106</v>
      </c>
      <c r="E17076">
        <v>14.176911544227799</v>
      </c>
    </row>
    <row r="17077" spans="1:5">
      <c r="A17077" t="s">
        <v>19776</v>
      </c>
      <c r="B17077" t="s">
        <v>19778</v>
      </c>
      <c r="C17077">
        <v>0</v>
      </c>
      <c r="D17077" t="s">
        <v>106</v>
      </c>
      <c r="E17077">
        <v>14.176911544227799</v>
      </c>
    </row>
    <row r="17078" spans="1:5">
      <c r="A17078" t="s">
        <v>19776</v>
      </c>
      <c r="B17078" t="s">
        <v>19779</v>
      </c>
      <c r="C17078">
        <v>0</v>
      </c>
      <c r="D17078" t="s">
        <v>106</v>
      </c>
      <c r="E17078">
        <v>14.176911544227799</v>
      </c>
    </row>
    <row r="17079" spans="1:5">
      <c r="A17079" t="s">
        <v>19776</v>
      </c>
      <c r="B17079" t="s">
        <v>19780</v>
      </c>
      <c r="C17079">
        <f>0</f>
        <v>0</v>
      </c>
      <c r="D17079" t="s">
        <v>106</v>
      </c>
      <c r="E17079">
        <v>14.176911544227799</v>
      </c>
    </row>
    <row r="17080" spans="1:5">
      <c r="A17080" t="s">
        <v>19776</v>
      </c>
      <c r="B17080" t="s">
        <v>19781</v>
      </c>
      <c r="C17080">
        <f>0</f>
        <v>0</v>
      </c>
      <c r="D17080" t="s">
        <v>106</v>
      </c>
      <c r="E17080">
        <v>14.176911544227799</v>
      </c>
    </row>
    <row r="17081" spans="1:5">
      <c r="A17081" t="s">
        <v>19776</v>
      </c>
      <c r="B17081" t="s">
        <v>19782</v>
      </c>
      <c r="C17081">
        <f>0</f>
        <v>0</v>
      </c>
      <c r="D17081" t="s">
        <v>106</v>
      </c>
      <c r="E17081">
        <v>14.176911544227799</v>
      </c>
    </row>
    <row r="17082" spans="1:5">
      <c r="A17082" t="s">
        <v>19783</v>
      </c>
      <c r="B17082" t="s">
        <v>19784</v>
      </c>
      <c r="C17082">
        <v>0</v>
      </c>
      <c r="D17082">
        <v>0.95205794502899999</v>
      </c>
      <c r="E17082">
        <v>24</v>
      </c>
    </row>
    <row r="17083" spans="1:5">
      <c r="A17083" t="s">
        <v>19783</v>
      </c>
      <c r="B17083" t="s">
        <v>19785</v>
      </c>
      <c r="C17083">
        <v>0</v>
      </c>
      <c r="D17083">
        <v>0.95205794502899999</v>
      </c>
      <c r="E17083">
        <v>24</v>
      </c>
    </row>
    <row r="17084" spans="1:5">
      <c r="A17084" t="s">
        <v>19783</v>
      </c>
      <c r="B17084" t="s">
        <v>19786</v>
      </c>
      <c r="C17084">
        <f>0</f>
        <v>0</v>
      </c>
      <c r="D17084">
        <v>0.95205794502899999</v>
      </c>
      <c r="E17084">
        <v>24</v>
      </c>
    </row>
    <row r="17085" spans="1:5">
      <c r="A17085" t="s">
        <v>19787</v>
      </c>
      <c r="B17085" t="s">
        <v>19788</v>
      </c>
      <c r="C17085">
        <f>0.0569857059153</f>
        <v>5.69857059153E-2</v>
      </c>
      <c r="D17085">
        <v>0.99121914864100003</v>
      </c>
      <c r="E17085">
        <v>0.73163418290854498</v>
      </c>
    </row>
    <row r="17086" spans="1:5">
      <c r="A17086" t="s">
        <v>19787</v>
      </c>
      <c r="B17086" t="s">
        <v>19789</v>
      </c>
      <c r="C17086">
        <v>0</v>
      </c>
      <c r="D17086">
        <v>0.99121914864100003</v>
      </c>
      <c r="E17086">
        <v>0.73163418290854498</v>
      </c>
    </row>
    <row r="17087" spans="1:5">
      <c r="A17087" t="s">
        <v>19787</v>
      </c>
      <c r="B17087" t="s">
        <v>19790</v>
      </c>
      <c r="C17087">
        <v>0.72927548312699997</v>
      </c>
      <c r="D17087">
        <v>0.99121914864100003</v>
      </c>
      <c r="E17087">
        <v>0.73163418290854498</v>
      </c>
    </row>
    <row r="17088" spans="1:5">
      <c r="A17088" t="s">
        <v>19791</v>
      </c>
      <c r="B17088" t="s">
        <v>19792</v>
      </c>
      <c r="C17088">
        <f>0</f>
        <v>0</v>
      </c>
      <c r="D17088" t="s">
        <v>106</v>
      </c>
      <c r="E17088">
        <v>18.554722638680602</v>
      </c>
    </row>
    <row r="17089" spans="1:5">
      <c r="A17089" t="s">
        <v>19791</v>
      </c>
      <c r="B17089" t="s">
        <v>19793</v>
      </c>
      <c r="C17089">
        <f>0</f>
        <v>0</v>
      </c>
      <c r="D17089" t="s">
        <v>106</v>
      </c>
      <c r="E17089">
        <v>18.554722638680602</v>
      </c>
    </row>
    <row r="17090" spans="1:5">
      <c r="A17090" t="s">
        <v>19791</v>
      </c>
      <c r="B17090" t="s">
        <v>19794</v>
      </c>
      <c r="C17090">
        <v>0</v>
      </c>
      <c r="D17090" t="s">
        <v>106</v>
      </c>
      <c r="E17090">
        <v>18.554722638680602</v>
      </c>
    </row>
    <row r="17091" spans="1:5">
      <c r="A17091" t="s">
        <v>19791</v>
      </c>
      <c r="B17091" t="s">
        <v>19795</v>
      </c>
      <c r="C17091">
        <f>0</f>
        <v>0</v>
      </c>
      <c r="D17091" t="s">
        <v>106</v>
      </c>
      <c r="E17091">
        <v>18.554722638680602</v>
      </c>
    </row>
    <row r="17092" spans="1:5">
      <c r="A17092" t="s">
        <v>19791</v>
      </c>
      <c r="B17092" t="s">
        <v>19796</v>
      </c>
      <c r="C17092">
        <v>0</v>
      </c>
      <c r="D17092" t="s">
        <v>106</v>
      </c>
      <c r="E17092">
        <v>18.554722638680602</v>
      </c>
    </row>
    <row r="17093" spans="1:5">
      <c r="A17093" t="s">
        <v>19791</v>
      </c>
      <c r="B17093" t="s">
        <v>19797</v>
      </c>
      <c r="C17093">
        <v>0</v>
      </c>
      <c r="D17093" t="s">
        <v>106</v>
      </c>
      <c r="E17093">
        <v>18.554722638680602</v>
      </c>
    </row>
    <row r="17094" spans="1:5">
      <c r="A17094" t="s">
        <v>19798</v>
      </c>
      <c r="B17094" t="s">
        <v>19799</v>
      </c>
      <c r="C17094">
        <f>0</f>
        <v>0</v>
      </c>
      <c r="D17094" t="s">
        <v>106</v>
      </c>
      <c r="E17094">
        <v>14.176911544227799</v>
      </c>
    </row>
    <row r="17095" spans="1:5">
      <c r="A17095" t="s">
        <v>19798</v>
      </c>
      <c r="B17095" t="s">
        <v>19800</v>
      </c>
      <c r="C17095">
        <v>0</v>
      </c>
      <c r="D17095" t="s">
        <v>106</v>
      </c>
      <c r="E17095">
        <v>14.176911544227799</v>
      </c>
    </row>
    <row r="17096" spans="1:5">
      <c r="A17096" t="s">
        <v>19798</v>
      </c>
      <c r="B17096" t="s">
        <v>19801</v>
      </c>
      <c r="C17096">
        <f>0</f>
        <v>0</v>
      </c>
      <c r="D17096" t="s">
        <v>106</v>
      </c>
      <c r="E17096">
        <v>14.176911544227799</v>
      </c>
    </row>
    <row r="17097" spans="1:5">
      <c r="A17097" t="s">
        <v>19798</v>
      </c>
      <c r="B17097" t="s">
        <v>19802</v>
      </c>
      <c r="C17097">
        <v>0</v>
      </c>
      <c r="D17097" t="s">
        <v>106</v>
      </c>
      <c r="E17097">
        <v>14.176911544227799</v>
      </c>
    </row>
    <row r="17098" spans="1:5">
      <c r="A17098" t="s">
        <v>19798</v>
      </c>
      <c r="B17098" t="s">
        <v>19803</v>
      </c>
      <c r="C17098">
        <f>0</f>
        <v>0</v>
      </c>
      <c r="D17098" t="s">
        <v>106</v>
      </c>
      <c r="E17098">
        <v>14.176911544227799</v>
      </c>
    </row>
    <row r="17099" spans="1:5">
      <c r="A17099" t="s">
        <v>19804</v>
      </c>
      <c r="B17099" t="s">
        <v>19805</v>
      </c>
      <c r="C17099">
        <f>0</f>
        <v>0</v>
      </c>
      <c r="D17099">
        <v>0.83378553181199999</v>
      </c>
      <c r="E17099">
        <v>1.51124437781109</v>
      </c>
    </row>
    <row r="17100" spans="1:5">
      <c r="A17100" t="s">
        <v>19804</v>
      </c>
      <c r="B17100" t="s">
        <v>19806</v>
      </c>
      <c r="C17100">
        <f>0</f>
        <v>0</v>
      </c>
      <c r="D17100">
        <v>0.83378553181199999</v>
      </c>
      <c r="E17100">
        <v>1.51124437781109</v>
      </c>
    </row>
    <row r="17101" spans="1:5">
      <c r="A17101" t="s">
        <v>19804</v>
      </c>
      <c r="B17101" t="s">
        <v>19807</v>
      </c>
      <c r="C17101">
        <f>0</f>
        <v>0</v>
      </c>
      <c r="D17101">
        <v>0.83378553181199999</v>
      </c>
      <c r="E17101">
        <v>1.51124437781109</v>
      </c>
    </row>
    <row r="17102" spans="1:5">
      <c r="A17102" t="s">
        <v>19804</v>
      </c>
      <c r="B17102" t="s">
        <v>19808</v>
      </c>
      <c r="C17102">
        <v>0.15070289824999999</v>
      </c>
      <c r="D17102">
        <v>0.83378553181199999</v>
      </c>
      <c r="E17102">
        <v>1.51124437781109</v>
      </c>
    </row>
    <row r="17103" spans="1:5">
      <c r="A17103" t="s">
        <v>19809</v>
      </c>
      <c r="B17103" t="s">
        <v>19810</v>
      </c>
      <c r="C17103">
        <v>0</v>
      </c>
      <c r="D17103" t="s">
        <v>106</v>
      </c>
      <c r="E17103">
        <v>5.5772113943028403</v>
      </c>
    </row>
    <row r="17104" spans="1:5">
      <c r="A17104" t="s">
        <v>19809</v>
      </c>
      <c r="B17104" t="s">
        <v>19811</v>
      </c>
      <c r="C17104">
        <v>0</v>
      </c>
      <c r="D17104" t="s">
        <v>106</v>
      </c>
      <c r="E17104">
        <v>5.5772113943028403</v>
      </c>
    </row>
    <row r="17105" spans="1:5">
      <c r="A17105" t="s">
        <v>19809</v>
      </c>
      <c r="B17105" t="s">
        <v>19812</v>
      </c>
      <c r="C17105">
        <f>0</f>
        <v>0</v>
      </c>
      <c r="D17105" t="s">
        <v>106</v>
      </c>
      <c r="E17105">
        <v>5.5772113943028403</v>
      </c>
    </row>
    <row r="17106" spans="1:5">
      <c r="A17106" t="s">
        <v>19809</v>
      </c>
      <c r="B17106" t="s">
        <v>19813</v>
      </c>
      <c r="C17106">
        <f>0</f>
        <v>0</v>
      </c>
      <c r="D17106" t="s">
        <v>106</v>
      </c>
      <c r="E17106">
        <v>5.5772113943028403</v>
      </c>
    </row>
    <row r="17107" spans="1:5">
      <c r="A17107" t="s">
        <v>19809</v>
      </c>
      <c r="B17107" t="s">
        <v>19814</v>
      </c>
      <c r="C17107">
        <f>0</f>
        <v>0</v>
      </c>
      <c r="D17107" t="s">
        <v>106</v>
      </c>
      <c r="E17107">
        <v>5.5772113943028403</v>
      </c>
    </row>
    <row r="17108" spans="1:5">
      <c r="A17108" t="s">
        <v>19809</v>
      </c>
      <c r="B17108" t="s">
        <v>19815</v>
      </c>
      <c r="C17108">
        <f>0</f>
        <v>0</v>
      </c>
      <c r="D17108" t="s">
        <v>106</v>
      </c>
      <c r="E17108">
        <v>5.5772113943028403</v>
      </c>
    </row>
    <row r="17109" spans="1:5">
      <c r="A17109" t="s">
        <v>19809</v>
      </c>
      <c r="B17109" t="s">
        <v>19816</v>
      </c>
      <c r="C17109">
        <f>0</f>
        <v>0</v>
      </c>
      <c r="D17109" t="s">
        <v>106</v>
      </c>
      <c r="E17109">
        <v>5.5772113943028403</v>
      </c>
    </row>
    <row r="17110" spans="1:5">
      <c r="A17110" t="s">
        <v>19809</v>
      </c>
      <c r="B17110" t="s">
        <v>19817</v>
      </c>
      <c r="C17110">
        <v>0</v>
      </c>
      <c r="D17110" t="s">
        <v>106</v>
      </c>
      <c r="E17110">
        <v>5.5772113943028403</v>
      </c>
    </row>
    <row r="17111" spans="1:5">
      <c r="A17111" t="s">
        <v>19809</v>
      </c>
      <c r="B17111" t="s">
        <v>19818</v>
      </c>
      <c r="C17111">
        <v>0</v>
      </c>
      <c r="D17111" t="s">
        <v>106</v>
      </c>
      <c r="E17111">
        <v>5.5772113943028403</v>
      </c>
    </row>
    <row r="17112" spans="1:5">
      <c r="A17112" t="s">
        <v>19819</v>
      </c>
      <c r="B17112" t="s">
        <v>19820</v>
      </c>
      <c r="C17112">
        <v>0</v>
      </c>
      <c r="D17112">
        <v>0.94066921018799998</v>
      </c>
      <c r="E17112">
        <v>14.3688155922038</v>
      </c>
    </row>
    <row r="17113" spans="1:5">
      <c r="A17113" t="s">
        <v>19819</v>
      </c>
      <c r="B17113" t="s">
        <v>19821</v>
      </c>
      <c r="C17113">
        <v>0.16087230576799999</v>
      </c>
      <c r="D17113">
        <v>0.94066921018799998</v>
      </c>
      <c r="E17113">
        <v>14.3688155922038</v>
      </c>
    </row>
    <row r="17114" spans="1:5">
      <c r="A17114" t="s">
        <v>19819</v>
      </c>
      <c r="B17114" t="s">
        <v>19822</v>
      </c>
      <c r="C17114">
        <v>0</v>
      </c>
      <c r="D17114">
        <v>0.94066921018799998</v>
      </c>
      <c r="E17114">
        <v>14.3688155922038</v>
      </c>
    </row>
    <row r="17115" spans="1:5">
      <c r="A17115" t="s">
        <v>19819</v>
      </c>
      <c r="B17115" t="s">
        <v>19823</v>
      </c>
      <c r="C17115">
        <v>0</v>
      </c>
      <c r="D17115">
        <v>0.94066921018799998</v>
      </c>
      <c r="E17115">
        <v>14.3688155922038</v>
      </c>
    </row>
    <row r="17116" spans="1:5">
      <c r="A17116" t="s">
        <v>19819</v>
      </c>
      <c r="B17116" t="s">
        <v>19824</v>
      </c>
      <c r="C17116">
        <v>0</v>
      </c>
      <c r="D17116">
        <v>0.94066921018799998</v>
      </c>
      <c r="E17116">
        <v>14.3688155922038</v>
      </c>
    </row>
    <row r="17117" spans="1:5">
      <c r="A17117" t="s">
        <v>19819</v>
      </c>
      <c r="B17117" t="s">
        <v>19825</v>
      </c>
      <c r="C17117">
        <v>0</v>
      </c>
      <c r="D17117">
        <v>0.94066921018799998</v>
      </c>
      <c r="E17117">
        <v>14.3688155922038</v>
      </c>
    </row>
    <row r="17118" spans="1:5">
      <c r="A17118" t="s">
        <v>19819</v>
      </c>
      <c r="B17118" t="s">
        <v>19826</v>
      </c>
      <c r="C17118">
        <f>0</f>
        <v>0</v>
      </c>
      <c r="D17118">
        <v>0.94066921018799998</v>
      </c>
      <c r="E17118">
        <v>14.3688155922038</v>
      </c>
    </row>
    <row r="17119" spans="1:5">
      <c r="A17119" t="s">
        <v>19819</v>
      </c>
      <c r="B17119" t="s">
        <v>19827</v>
      </c>
      <c r="C17119">
        <v>0.106471499681</v>
      </c>
      <c r="D17119">
        <v>0.94066921018799998</v>
      </c>
      <c r="E17119">
        <v>14.3688155922038</v>
      </c>
    </row>
    <row r="17120" spans="1:5">
      <c r="A17120" t="s">
        <v>19819</v>
      </c>
      <c r="B17120" t="s">
        <v>19828</v>
      </c>
      <c r="C17120">
        <v>0</v>
      </c>
      <c r="D17120">
        <v>0.94066921018799998</v>
      </c>
      <c r="E17120">
        <v>14.3688155922038</v>
      </c>
    </row>
    <row r="17121" spans="1:5">
      <c r="A17121" t="s">
        <v>19819</v>
      </c>
      <c r="B17121" t="s">
        <v>19829</v>
      </c>
      <c r="C17121">
        <v>0</v>
      </c>
      <c r="D17121">
        <v>0.94066921018799998</v>
      </c>
      <c r="E17121">
        <v>14.3688155922038</v>
      </c>
    </row>
    <row r="17122" spans="1:5">
      <c r="A17122" t="s">
        <v>19819</v>
      </c>
      <c r="B17122" t="s">
        <v>19830</v>
      </c>
      <c r="C17122">
        <v>0</v>
      </c>
      <c r="D17122">
        <v>0.94066921018799998</v>
      </c>
      <c r="E17122">
        <v>14.3688155922038</v>
      </c>
    </row>
    <row r="17123" spans="1:5">
      <c r="A17123" t="s">
        <v>19831</v>
      </c>
      <c r="B17123" t="s">
        <v>19832</v>
      </c>
      <c r="C17123">
        <v>0</v>
      </c>
      <c r="D17123" t="s">
        <v>106</v>
      </c>
      <c r="E17123">
        <v>0.91154422788605605</v>
      </c>
    </row>
    <row r="17124" spans="1:5">
      <c r="A17124" t="s">
        <v>19831</v>
      </c>
      <c r="B17124" t="s">
        <v>19833</v>
      </c>
      <c r="C17124">
        <v>0</v>
      </c>
      <c r="D17124" t="s">
        <v>106</v>
      </c>
      <c r="E17124">
        <v>0.91154422788605605</v>
      </c>
    </row>
    <row r="17125" spans="1:5">
      <c r="A17125" t="s">
        <v>19831</v>
      </c>
      <c r="B17125" t="s">
        <v>19834</v>
      </c>
      <c r="C17125">
        <v>0</v>
      </c>
      <c r="D17125" t="s">
        <v>106</v>
      </c>
      <c r="E17125">
        <v>0.91154422788605605</v>
      </c>
    </row>
    <row r="17126" spans="1:5">
      <c r="A17126" t="s">
        <v>19831</v>
      </c>
      <c r="B17126" t="s">
        <v>19835</v>
      </c>
      <c r="C17126">
        <f>0</f>
        <v>0</v>
      </c>
      <c r="D17126" t="s">
        <v>106</v>
      </c>
      <c r="E17126">
        <v>0.91154422788605605</v>
      </c>
    </row>
    <row r="17127" spans="1:5">
      <c r="A17127" t="s">
        <v>19836</v>
      </c>
      <c r="B17127" t="s">
        <v>19837</v>
      </c>
      <c r="C17127">
        <v>0</v>
      </c>
      <c r="D17127" t="s">
        <v>106</v>
      </c>
      <c r="E17127">
        <v>0.73163418290854498</v>
      </c>
    </row>
    <row r="17128" spans="1:5">
      <c r="A17128" t="s">
        <v>19836</v>
      </c>
      <c r="B17128" t="s">
        <v>19838</v>
      </c>
      <c r="C17128">
        <v>0</v>
      </c>
      <c r="D17128" t="s">
        <v>106</v>
      </c>
      <c r="E17128">
        <v>0.73163418290854498</v>
      </c>
    </row>
    <row r="17129" spans="1:5">
      <c r="A17129" t="s">
        <v>19836</v>
      </c>
      <c r="B17129" t="s">
        <v>19839</v>
      </c>
      <c r="C17129">
        <v>0</v>
      </c>
      <c r="D17129" t="s">
        <v>106</v>
      </c>
      <c r="E17129">
        <v>0.73163418290854498</v>
      </c>
    </row>
    <row r="17130" spans="1:5">
      <c r="A17130" t="s">
        <v>19836</v>
      </c>
      <c r="B17130" t="s">
        <v>19840</v>
      </c>
      <c r="C17130">
        <v>0</v>
      </c>
      <c r="D17130" t="s">
        <v>106</v>
      </c>
      <c r="E17130">
        <v>0.73163418290854498</v>
      </c>
    </row>
    <row r="17131" spans="1:5">
      <c r="A17131" t="s">
        <v>19836</v>
      </c>
      <c r="B17131" t="s">
        <v>19841</v>
      </c>
      <c r="C17131">
        <v>0</v>
      </c>
      <c r="D17131" t="s">
        <v>106</v>
      </c>
      <c r="E17131">
        <v>0.73163418290854498</v>
      </c>
    </row>
    <row r="17132" spans="1:5">
      <c r="A17132" t="s">
        <v>19836</v>
      </c>
      <c r="B17132" t="s">
        <v>19842</v>
      </c>
      <c r="C17132">
        <f>0</f>
        <v>0</v>
      </c>
      <c r="D17132" t="s">
        <v>106</v>
      </c>
      <c r="E17132">
        <v>0.73163418290854498</v>
      </c>
    </row>
    <row r="17133" spans="1:5">
      <c r="A17133" t="s">
        <v>19836</v>
      </c>
      <c r="B17133" t="s">
        <v>19843</v>
      </c>
      <c r="C17133">
        <f>0</f>
        <v>0</v>
      </c>
      <c r="D17133" t="s">
        <v>106</v>
      </c>
      <c r="E17133">
        <v>0.73163418290854498</v>
      </c>
    </row>
    <row r="17134" spans="1:5">
      <c r="A17134" t="s">
        <v>19836</v>
      </c>
      <c r="B17134" t="s">
        <v>19844</v>
      </c>
      <c r="C17134">
        <v>0</v>
      </c>
      <c r="D17134" t="s">
        <v>106</v>
      </c>
      <c r="E17134">
        <v>0.73163418290854498</v>
      </c>
    </row>
    <row r="17135" spans="1:5">
      <c r="A17135" t="s">
        <v>19836</v>
      </c>
      <c r="B17135" t="s">
        <v>19845</v>
      </c>
      <c r="C17135">
        <f>0</f>
        <v>0</v>
      </c>
      <c r="D17135" t="s">
        <v>106</v>
      </c>
      <c r="E17135">
        <v>0.73163418290854498</v>
      </c>
    </row>
    <row r="17136" spans="1:5">
      <c r="A17136" t="s">
        <v>19836</v>
      </c>
      <c r="B17136" t="s">
        <v>19846</v>
      </c>
      <c r="C17136">
        <f>0</f>
        <v>0</v>
      </c>
      <c r="D17136" t="s">
        <v>106</v>
      </c>
      <c r="E17136">
        <v>0.73163418290854498</v>
      </c>
    </row>
    <row r="17137" spans="1:5">
      <c r="A17137" t="s">
        <v>19836</v>
      </c>
      <c r="B17137" t="s">
        <v>19847</v>
      </c>
      <c r="C17137">
        <f>0</f>
        <v>0</v>
      </c>
      <c r="D17137" t="s">
        <v>106</v>
      </c>
      <c r="E17137">
        <v>0.73163418290854498</v>
      </c>
    </row>
    <row r="17138" spans="1:5">
      <c r="A17138" t="s">
        <v>19836</v>
      </c>
      <c r="B17138" t="s">
        <v>19848</v>
      </c>
      <c r="C17138">
        <v>0</v>
      </c>
      <c r="D17138" t="s">
        <v>106</v>
      </c>
      <c r="E17138">
        <v>0.73163418290854498</v>
      </c>
    </row>
    <row r="17139" spans="1:5">
      <c r="A17139" t="s">
        <v>19836</v>
      </c>
      <c r="B17139" t="s">
        <v>19849</v>
      </c>
      <c r="C17139">
        <f>0</f>
        <v>0</v>
      </c>
      <c r="D17139" t="s">
        <v>106</v>
      </c>
      <c r="E17139">
        <v>0.73163418290854498</v>
      </c>
    </row>
    <row r="17140" spans="1:5">
      <c r="A17140" t="s">
        <v>19836</v>
      </c>
      <c r="B17140" t="s">
        <v>19850</v>
      </c>
      <c r="C17140">
        <f>0</f>
        <v>0</v>
      </c>
      <c r="D17140" t="s">
        <v>106</v>
      </c>
      <c r="E17140">
        <v>0.73163418290854498</v>
      </c>
    </row>
    <row r="17141" spans="1:5">
      <c r="A17141" t="s">
        <v>19836</v>
      </c>
      <c r="B17141" t="s">
        <v>19851</v>
      </c>
      <c r="C17141">
        <v>0</v>
      </c>
      <c r="D17141" t="s">
        <v>106</v>
      </c>
      <c r="E17141">
        <v>0.73163418290854498</v>
      </c>
    </row>
    <row r="17142" spans="1:5">
      <c r="A17142" t="s">
        <v>19836</v>
      </c>
      <c r="B17142" t="s">
        <v>19852</v>
      </c>
      <c r="C17142">
        <v>0</v>
      </c>
      <c r="D17142" t="s">
        <v>106</v>
      </c>
      <c r="E17142">
        <v>0.73163418290854498</v>
      </c>
    </row>
    <row r="17143" spans="1:5">
      <c r="A17143" t="s">
        <v>19853</v>
      </c>
      <c r="B17143" t="s">
        <v>19854</v>
      </c>
      <c r="C17143">
        <v>0.199753819444</v>
      </c>
      <c r="D17143">
        <v>0.77997551012699995</v>
      </c>
      <c r="E17143">
        <v>12.5577211394302</v>
      </c>
    </row>
    <row r="17144" spans="1:5">
      <c r="A17144" t="s">
        <v>19855</v>
      </c>
      <c r="B17144" t="s">
        <v>19856</v>
      </c>
      <c r="C17144">
        <v>0.753349319387</v>
      </c>
      <c r="D17144">
        <v>0.91115227910600005</v>
      </c>
      <c r="E17144">
        <v>5.1214392803598203</v>
      </c>
    </row>
    <row r="17145" spans="1:5">
      <c r="A17145" t="s">
        <v>19855</v>
      </c>
      <c r="B17145" t="s">
        <v>19857</v>
      </c>
      <c r="C17145">
        <f>0.118184923602</f>
        <v>0.118184923602</v>
      </c>
      <c r="D17145">
        <v>0.91115227910600005</v>
      </c>
      <c r="E17145">
        <v>5.1214392803598203</v>
      </c>
    </row>
    <row r="17146" spans="1:5">
      <c r="A17146" t="s">
        <v>19858</v>
      </c>
      <c r="B17146" t="s">
        <v>19859</v>
      </c>
      <c r="C17146">
        <f>0</f>
        <v>0</v>
      </c>
      <c r="D17146" t="s">
        <v>106</v>
      </c>
      <c r="E17146">
        <v>8.7196401799100407</v>
      </c>
    </row>
    <row r="17147" spans="1:5">
      <c r="A17147" t="s">
        <v>19858</v>
      </c>
      <c r="B17147" t="s">
        <v>19860</v>
      </c>
      <c r="C17147">
        <v>0</v>
      </c>
      <c r="D17147" t="s">
        <v>106</v>
      </c>
      <c r="E17147">
        <v>8.7196401799100407</v>
      </c>
    </row>
    <row r="17148" spans="1:5">
      <c r="A17148" t="s">
        <v>19858</v>
      </c>
      <c r="B17148" t="s">
        <v>19861</v>
      </c>
      <c r="C17148">
        <v>0</v>
      </c>
      <c r="D17148" t="s">
        <v>106</v>
      </c>
      <c r="E17148">
        <v>8.7196401799100407</v>
      </c>
    </row>
    <row r="17149" spans="1:5">
      <c r="A17149" t="s">
        <v>19858</v>
      </c>
      <c r="B17149" t="s">
        <v>19862</v>
      </c>
      <c r="C17149">
        <v>0</v>
      </c>
      <c r="D17149" t="s">
        <v>106</v>
      </c>
      <c r="E17149">
        <v>8.7196401799100407</v>
      </c>
    </row>
    <row r="17150" spans="1:5">
      <c r="A17150" t="s">
        <v>19863</v>
      </c>
      <c r="B17150" t="s">
        <v>19864</v>
      </c>
      <c r="C17150">
        <v>0.44718837171499998</v>
      </c>
      <c r="D17150">
        <v>0.83093820739699997</v>
      </c>
      <c r="E17150">
        <v>9.3073463268365799</v>
      </c>
    </row>
    <row r="17151" spans="1:5">
      <c r="A17151" t="s">
        <v>19865</v>
      </c>
      <c r="B17151" t="s">
        <v>19866</v>
      </c>
      <c r="C17151">
        <v>0</v>
      </c>
      <c r="D17151">
        <v>0.96839926678300003</v>
      </c>
      <c r="E17151">
        <v>24</v>
      </c>
    </row>
    <row r="17152" spans="1:5">
      <c r="A17152" t="s">
        <v>19865</v>
      </c>
      <c r="B17152" t="s">
        <v>19867</v>
      </c>
      <c r="C17152">
        <v>0</v>
      </c>
      <c r="D17152">
        <v>0.96839926678300003</v>
      </c>
      <c r="E17152">
        <v>24</v>
      </c>
    </row>
    <row r="17153" spans="1:5">
      <c r="A17153" t="s">
        <v>19865</v>
      </c>
      <c r="B17153" t="s">
        <v>19868</v>
      </c>
      <c r="C17153">
        <v>0</v>
      </c>
      <c r="D17153">
        <v>0.96839926678300003</v>
      </c>
      <c r="E17153">
        <v>24</v>
      </c>
    </row>
    <row r="17154" spans="1:5">
      <c r="A17154" t="s">
        <v>19865</v>
      </c>
      <c r="B17154" t="s">
        <v>19869</v>
      </c>
      <c r="C17154">
        <v>0</v>
      </c>
      <c r="D17154">
        <v>0.96839926678300003</v>
      </c>
      <c r="E17154">
        <v>24</v>
      </c>
    </row>
    <row r="17155" spans="1:5">
      <c r="A17155" t="s">
        <v>19865</v>
      </c>
      <c r="B17155" t="s">
        <v>19870</v>
      </c>
      <c r="C17155">
        <v>0</v>
      </c>
      <c r="D17155">
        <v>0.96839926678300003</v>
      </c>
      <c r="E17155">
        <v>24</v>
      </c>
    </row>
    <row r="17156" spans="1:5">
      <c r="A17156" t="s">
        <v>19865</v>
      </c>
      <c r="B17156" t="s">
        <v>19871</v>
      </c>
      <c r="C17156">
        <f>0</f>
        <v>0</v>
      </c>
      <c r="D17156">
        <v>0.96839926678300003</v>
      </c>
      <c r="E17156">
        <v>24</v>
      </c>
    </row>
    <row r="17157" spans="1:5">
      <c r="A17157" t="s">
        <v>19872</v>
      </c>
      <c r="B17157" t="s">
        <v>19873</v>
      </c>
      <c r="C17157">
        <f>0</f>
        <v>0</v>
      </c>
      <c r="D17157">
        <v>0.99335152110199998</v>
      </c>
      <c r="E17157">
        <v>23.7481259370314</v>
      </c>
    </row>
    <row r="17158" spans="1:5">
      <c r="A17158" t="s">
        <v>19872</v>
      </c>
      <c r="B17158" t="s">
        <v>19874</v>
      </c>
      <c r="C17158">
        <v>0</v>
      </c>
      <c r="D17158">
        <v>0.99335152110199998</v>
      </c>
      <c r="E17158">
        <v>23.7481259370314</v>
      </c>
    </row>
    <row r="17159" spans="1:5">
      <c r="A17159" t="s">
        <v>19872</v>
      </c>
      <c r="B17159" t="s">
        <v>19875</v>
      </c>
      <c r="C17159">
        <f>0</f>
        <v>0</v>
      </c>
      <c r="D17159">
        <v>0.99335152110199998</v>
      </c>
      <c r="E17159">
        <v>23.7481259370314</v>
      </c>
    </row>
    <row r="17160" spans="1:5">
      <c r="A17160" t="s">
        <v>19872</v>
      </c>
      <c r="B17160" t="s">
        <v>19876</v>
      </c>
      <c r="C17160">
        <v>0</v>
      </c>
      <c r="D17160">
        <v>0.99335152110199998</v>
      </c>
      <c r="E17160">
        <v>23.7481259370314</v>
      </c>
    </row>
    <row r="17161" spans="1:5">
      <c r="A17161" t="s">
        <v>19872</v>
      </c>
      <c r="B17161" t="s">
        <v>19877</v>
      </c>
      <c r="C17161">
        <v>0</v>
      </c>
      <c r="D17161">
        <v>0.99335152110199998</v>
      </c>
      <c r="E17161">
        <v>23.7481259370314</v>
      </c>
    </row>
    <row r="17162" spans="1:5">
      <c r="A17162" t="s">
        <v>19872</v>
      </c>
      <c r="B17162" t="s">
        <v>19878</v>
      </c>
      <c r="C17162">
        <v>0</v>
      </c>
      <c r="D17162">
        <v>0.99335152110199998</v>
      </c>
      <c r="E17162">
        <v>23.7481259370314</v>
      </c>
    </row>
    <row r="17163" spans="1:5">
      <c r="A17163" t="s">
        <v>19872</v>
      </c>
      <c r="B17163" t="s">
        <v>19879</v>
      </c>
      <c r="C17163">
        <f>0</f>
        <v>0</v>
      </c>
      <c r="D17163">
        <v>0.99335152110199998</v>
      </c>
      <c r="E17163">
        <v>23.7481259370314</v>
      </c>
    </row>
    <row r="17164" spans="1:5">
      <c r="A17164" t="s">
        <v>19872</v>
      </c>
      <c r="B17164" t="s">
        <v>19880</v>
      </c>
      <c r="C17164">
        <v>0</v>
      </c>
      <c r="D17164">
        <v>0.99335152110199998</v>
      </c>
      <c r="E17164">
        <v>23.7481259370314</v>
      </c>
    </row>
    <row r="17165" spans="1:5">
      <c r="A17165" t="s">
        <v>19881</v>
      </c>
      <c r="B17165" t="s">
        <v>19882</v>
      </c>
      <c r="C17165">
        <v>0</v>
      </c>
      <c r="D17165" t="s">
        <v>106</v>
      </c>
      <c r="E17165">
        <v>12.0419790104947</v>
      </c>
    </row>
    <row r="17166" spans="1:5">
      <c r="A17166" t="s">
        <v>19881</v>
      </c>
      <c r="B17166" t="s">
        <v>19883</v>
      </c>
      <c r="C17166">
        <f>0</f>
        <v>0</v>
      </c>
      <c r="D17166" t="s">
        <v>106</v>
      </c>
      <c r="E17166">
        <v>12.0419790104947</v>
      </c>
    </row>
    <row r="17167" spans="1:5">
      <c r="A17167" t="s">
        <v>19881</v>
      </c>
      <c r="B17167" t="s">
        <v>19884</v>
      </c>
      <c r="C17167">
        <f>0</f>
        <v>0</v>
      </c>
      <c r="D17167" t="s">
        <v>106</v>
      </c>
      <c r="E17167">
        <v>12.0419790104947</v>
      </c>
    </row>
    <row r="17168" spans="1:5">
      <c r="A17168" t="s">
        <v>19881</v>
      </c>
      <c r="B17168" t="s">
        <v>19885</v>
      </c>
      <c r="C17168">
        <v>0</v>
      </c>
      <c r="D17168" t="s">
        <v>106</v>
      </c>
      <c r="E17168">
        <v>12.0419790104947</v>
      </c>
    </row>
    <row r="17169" spans="1:5">
      <c r="A17169" t="s">
        <v>19881</v>
      </c>
      <c r="B17169" t="s">
        <v>19886</v>
      </c>
      <c r="C17169">
        <f>0</f>
        <v>0</v>
      </c>
      <c r="D17169" t="s">
        <v>106</v>
      </c>
      <c r="E17169">
        <v>12.0419790104947</v>
      </c>
    </row>
    <row r="17170" spans="1:5">
      <c r="A17170" t="s">
        <v>19887</v>
      </c>
      <c r="B17170" t="s">
        <v>19888</v>
      </c>
      <c r="C17170">
        <f>0</f>
        <v>0</v>
      </c>
      <c r="D17170" t="s">
        <v>106</v>
      </c>
      <c r="E17170">
        <v>13.445277361319301</v>
      </c>
    </row>
    <row r="17171" spans="1:5">
      <c r="A17171" t="s">
        <v>19887</v>
      </c>
      <c r="B17171" t="s">
        <v>19889</v>
      </c>
      <c r="C17171">
        <f>0</f>
        <v>0</v>
      </c>
      <c r="D17171" t="s">
        <v>106</v>
      </c>
      <c r="E17171">
        <v>13.445277361319301</v>
      </c>
    </row>
    <row r="17172" spans="1:5">
      <c r="A17172" t="s">
        <v>19887</v>
      </c>
      <c r="B17172" t="s">
        <v>19890</v>
      </c>
      <c r="C17172">
        <f>0</f>
        <v>0</v>
      </c>
      <c r="D17172" t="s">
        <v>106</v>
      </c>
      <c r="E17172">
        <v>13.445277361319301</v>
      </c>
    </row>
    <row r="17173" spans="1:5">
      <c r="A17173" t="s">
        <v>19887</v>
      </c>
      <c r="B17173" t="s">
        <v>19891</v>
      </c>
      <c r="C17173">
        <f>0</f>
        <v>0</v>
      </c>
      <c r="D17173" t="s">
        <v>106</v>
      </c>
      <c r="E17173">
        <v>13.445277361319301</v>
      </c>
    </row>
    <row r="17174" spans="1:5">
      <c r="A17174" t="s">
        <v>19887</v>
      </c>
      <c r="B17174" t="s">
        <v>19892</v>
      </c>
      <c r="C17174">
        <f>0</f>
        <v>0</v>
      </c>
      <c r="D17174" t="s">
        <v>106</v>
      </c>
      <c r="E17174">
        <v>13.445277361319301</v>
      </c>
    </row>
    <row r="17175" spans="1:5">
      <c r="A17175" t="s">
        <v>19887</v>
      </c>
      <c r="B17175" t="s">
        <v>19893</v>
      </c>
      <c r="C17175">
        <f>0</f>
        <v>0</v>
      </c>
      <c r="D17175" t="s">
        <v>106</v>
      </c>
      <c r="E17175">
        <v>13.445277361319301</v>
      </c>
    </row>
    <row r="17176" spans="1:5">
      <c r="A17176" t="s">
        <v>19887</v>
      </c>
      <c r="B17176" t="s">
        <v>19894</v>
      </c>
      <c r="C17176">
        <v>0</v>
      </c>
      <c r="D17176" t="s">
        <v>106</v>
      </c>
      <c r="E17176">
        <v>13.445277361319301</v>
      </c>
    </row>
    <row r="17177" spans="1:5">
      <c r="A17177" t="s">
        <v>19887</v>
      </c>
      <c r="B17177" t="s">
        <v>19895</v>
      </c>
      <c r="C17177">
        <f>0</f>
        <v>0</v>
      </c>
      <c r="D17177" t="s">
        <v>106</v>
      </c>
      <c r="E17177">
        <v>13.445277361319301</v>
      </c>
    </row>
    <row r="17178" spans="1:5">
      <c r="A17178" t="s">
        <v>19887</v>
      </c>
      <c r="B17178" t="s">
        <v>19896</v>
      </c>
      <c r="C17178">
        <f>0</f>
        <v>0</v>
      </c>
      <c r="D17178" t="s">
        <v>106</v>
      </c>
      <c r="E17178">
        <v>13.445277361319301</v>
      </c>
    </row>
    <row r="17179" spans="1:5">
      <c r="A17179" t="s">
        <v>19887</v>
      </c>
      <c r="B17179" t="s">
        <v>19897</v>
      </c>
      <c r="C17179">
        <f>0</f>
        <v>0</v>
      </c>
      <c r="D17179" t="s">
        <v>106</v>
      </c>
      <c r="E17179">
        <v>13.445277361319301</v>
      </c>
    </row>
    <row r="17180" spans="1:5">
      <c r="A17180" t="s">
        <v>19887</v>
      </c>
      <c r="B17180" t="s">
        <v>19898</v>
      </c>
      <c r="C17180">
        <f>0</f>
        <v>0</v>
      </c>
      <c r="D17180" t="s">
        <v>106</v>
      </c>
      <c r="E17180">
        <v>13.445277361319301</v>
      </c>
    </row>
    <row r="17181" spans="1:5">
      <c r="A17181" t="s">
        <v>19887</v>
      </c>
      <c r="B17181" t="s">
        <v>19899</v>
      </c>
      <c r="C17181">
        <f>0</f>
        <v>0</v>
      </c>
      <c r="D17181" t="s">
        <v>106</v>
      </c>
      <c r="E17181">
        <v>13.445277361319301</v>
      </c>
    </row>
    <row r="17182" spans="1:5">
      <c r="A17182" t="s">
        <v>19887</v>
      </c>
      <c r="B17182" t="s">
        <v>19900</v>
      </c>
      <c r="C17182">
        <f>0</f>
        <v>0</v>
      </c>
      <c r="D17182" t="s">
        <v>106</v>
      </c>
      <c r="E17182">
        <v>13.445277361319301</v>
      </c>
    </row>
    <row r="17183" spans="1:5">
      <c r="A17183" t="s">
        <v>19887</v>
      </c>
      <c r="B17183" t="s">
        <v>19901</v>
      </c>
      <c r="C17183">
        <f>0</f>
        <v>0</v>
      </c>
      <c r="D17183" t="s">
        <v>106</v>
      </c>
      <c r="E17183">
        <v>13.445277361319301</v>
      </c>
    </row>
    <row r="17184" spans="1:5">
      <c r="A17184" t="s">
        <v>19887</v>
      </c>
      <c r="B17184" t="s">
        <v>19902</v>
      </c>
      <c r="C17184">
        <f>0</f>
        <v>0</v>
      </c>
      <c r="D17184" t="s">
        <v>106</v>
      </c>
      <c r="E17184">
        <v>13.445277361319301</v>
      </c>
    </row>
    <row r="17185" spans="1:5">
      <c r="A17185" t="s">
        <v>19887</v>
      </c>
      <c r="B17185" t="s">
        <v>19903</v>
      </c>
      <c r="C17185">
        <f>0</f>
        <v>0</v>
      </c>
      <c r="D17185" t="s">
        <v>106</v>
      </c>
      <c r="E17185">
        <v>13.445277361319301</v>
      </c>
    </row>
    <row r="17186" spans="1:5">
      <c r="A17186" t="s">
        <v>19887</v>
      </c>
      <c r="B17186" t="s">
        <v>19904</v>
      </c>
      <c r="C17186">
        <f>0</f>
        <v>0</v>
      </c>
      <c r="D17186" t="s">
        <v>106</v>
      </c>
      <c r="E17186">
        <v>13.445277361319301</v>
      </c>
    </row>
    <row r="17187" spans="1:5">
      <c r="A17187" t="s">
        <v>19887</v>
      </c>
      <c r="B17187" t="s">
        <v>19905</v>
      </c>
      <c r="C17187">
        <f>0</f>
        <v>0</v>
      </c>
      <c r="D17187" t="s">
        <v>106</v>
      </c>
      <c r="E17187">
        <v>13.445277361319301</v>
      </c>
    </row>
    <row r="17188" spans="1:5">
      <c r="A17188" t="s">
        <v>19887</v>
      </c>
      <c r="B17188" t="s">
        <v>19906</v>
      </c>
      <c r="C17188">
        <v>0</v>
      </c>
      <c r="D17188" t="s">
        <v>106</v>
      </c>
      <c r="E17188">
        <v>13.445277361319301</v>
      </c>
    </row>
    <row r="17189" spans="1:5">
      <c r="A17189" t="s">
        <v>19887</v>
      </c>
      <c r="B17189" t="s">
        <v>19907</v>
      </c>
      <c r="C17189">
        <f>0</f>
        <v>0</v>
      </c>
      <c r="D17189" t="s">
        <v>106</v>
      </c>
      <c r="E17189">
        <v>13.445277361319301</v>
      </c>
    </row>
    <row r="17190" spans="1:5">
      <c r="A17190" t="s">
        <v>19887</v>
      </c>
      <c r="B17190" t="s">
        <v>19908</v>
      </c>
      <c r="C17190">
        <f>0</f>
        <v>0</v>
      </c>
      <c r="D17190" t="s">
        <v>106</v>
      </c>
      <c r="E17190">
        <v>13.445277361319301</v>
      </c>
    </row>
    <row r="17191" spans="1:5">
      <c r="A17191" t="s">
        <v>19887</v>
      </c>
      <c r="B17191" t="s">
        <v>19909</v>
      </c>
      <c r="C17191">
        <v>0</v>
      </c>
      <c r="D17191" t="s">
        <v>106</v>
      </c>
      <c r="E17191">
        <v>13.445277361319301</v>
      </c>
    </row>
    <row r="17192" spans="1:5">
      <c r="A17192" t="s">
        <v>19910</v>
      </c>
      <c r="B17192" t="s">
        <v>19911</v>
      </c>
      <c r="C17192">
        <f>0.0863888535755</f>
        <v>8.6388853575499996E-2</v>
      </c>
      <c r="D17192">
        <v>0.86492361193599998</v>
      </c>
      <c r="E17192">
        <v>1.11544227886056</v>
      </c>
    </row>
    <row r="17193" spans="1:5">
      <c r="A17193" t="s">
        <v>19910</v>
      </c>
      <c r="B17193" t="s">
        <v>19912</v>
      </c>
      <c r="C17193">
        <v>6.9576604937499995E-2</v>
      </c>
      <c r="D17193">
        <v>0.86492361193599998</v>
      </c>
      <c r="E17193">
        <v>1.11544227886056</v>
      </c>
    </row>
    <row r="17194" spans="1:5">
      <c r="A17194" t="s">
        <v>19910</v>
      </c>
      <c r="B17194" t="s">
        <v>19913</v>
      </c>
      <c r="C17194">
        <v>0</v>
      </c>
      <c r="D17194">
        <v>0.86492361193599998</v>
      </c>
      <c r="E17194">
        <v>1.11544227886056</v>
      </c>
    </row>
    <row r="17195" spans="1:5">
      <c r="A17195" t="s">
        <v>19910</v>
      </c>
      <c r="B17195" t="s">
        <v>19914</v>
      </c>
      <c r="C17195">
        <f>0</f>
        <v>0</v>
      </c>
      <c r="D17195">
        <v>0.86492361193599998</v>
      </c>
      <c r="E17195">
        <v>1.11544227886056</v>
      </c>
    </row>
    <row r="17196" spans="1:5">
      <c r="A17196" t="s">
        <v>19915</v>
      </c>
      <c r="B17196" t="s">
        <v>19916</v>
      </c>
      <c r="C17196">
        <f>0</f>
        <v>0</v>
      </c>
      <c r="D17196">
        <v>0.98194838894799996</v>
      </c>
      <c r="E17196">
        <v>5.9370314842578704</v>
      </c>
    </row>
    <row r="17197" spans="1:5">
      <c r="A17197" t="s">
        <v>19915</v>
      </c>
      <c r="B17197" t="s">
        <v>19917</v>
      </c>
      <c r="C17197">
        <v>0</v>
      </c>
      <c r="D17197">
        <v>0.98194838894799996</v>
      </c>
      <c r="E17197">
        <v>5.9370314842578704</v>
      </c>
    </row>
    <row r="17198" spans="1:5">
      <c r="A17198" t="s">
        <v>19915</v>
      </c>
      <c r="B17198" t="s">
        <v>19918</v>
      </c>
      <c r="C17198">
        <v>0</v>
      </c>
      <c r="D17198">
        <v>0.98194838894799996</v>
      </c>
      <c r="E17198">
        <v>5.9370314842578704</v>
      </c>
    </row>
    <row r="17199" spans="1:5">
      <c r="A17199" t="s">
        <v>19915</v>
      </c>
      <c r="B17199" t="s">
        <v>19919</v>
      </c>
      <c r="C17199">
        <v>0</v>
      </c>
      <c r="D17199">
        <v>0.98194838894799996</v>
      </c>
      <c r="E17199">
        <v>5.9370314842578704</v>
      </c>
    </row>
    <row r="17200" spans="1:5">
      <c r="A17200" t="s">
        <v>19915</v>
      </c>
      <c r="B17200" t="s">
        <v>19920</v>
      </c>
      <c r="C17200">
        <v>0</v>
      </c>
      <c r="D17200">
        <v>0.98194838894799996</v>
      </c>
      <c r="E17200">
        <v>5.9370314842578704</v>
      </c>
    </row>
    <row r="17201" spans="1:5">
      <c r="A17201" t="s">
        <v>19915</v>
      </c>
      <c r="B17201" t="s">
        <v>19921</v>
      </c>
      <c r="C17201">
        <f>0.0478074370966</f>
        <v>4.78074370966E-2</v>
      </c>
      <c r="D17201">
        <v>0.98194838894799996</v>
      </c>
      <c r="E17201">
        <v>5.9370314842578704</v>
      </c>
    </row>
    <row r="17202" spans="1:5">
      <c r="A17202" t="s">
        <v>19922</v>
      </c>
      <c r="B17202" t="s">
        <v>19923</v>
      </c>
      <c r="C17202">
        <f>0.00276754468022</f>
        <v>2.7675446802199999E-3</v>
      </c>
      <c r="D17202">
        <v>0.70211631996799995</v>
      </c>
      <c r="E17202">
        <v>24</v>
      </c>
    </row>
    <row r="17203" spans="1:5">
      <c r="A17203" t="s">
        <v>19922</v>
      </c>
      <c r="B17203" t="s">
        <v>19924</v>
      </c>
      <c r="C17203">
        <v>0</v>
      </c>
      <c r="D17203">
        <v>0.70211631996799995</v>
      </c>
      <c r="E17203">
        <v>24</v>
      </c>
    </row>
    <row r="17204" spans="1:5">
      <c r="A17204" t="s">
        <v>19922</v>
      </c>
      <c r="B17204" t="s">
        <v>19925</v>
      </c>
      <c r="C17204">
        <f>0</f>
        <v>0</v>
      </c>
      <c r="D17204">
        <v>0.70211631996799995</v>
      </c>
      <c r="E17204">
        <v>24</v>
      </c>
    </row>
    <row r="17205" spans="1:5">
      <c r="A17205" t="s">
        <v>19922</v>
      </c>
      <c r="B17205" t="s">
        <v>19926</v>
      </c>
      <c r="C17205">
        <v>0.17935278403999999</v>
      </c>
      <c r="D17205">
        <v>0.70211631996799995</v>
      </c>
      <c r="E17205">
        <v>24</v>
      </c>
    </row>
    <row r="17206" spans="1:5">
      <c r="A17206" t="s">
        <v>19922</v>
      </c>
      <c r="B17206" t="s">
        <v>19927</v>
      </c>
      <c r="C17206">
        <f>0</f>
        <v>0</v>
      </c>
      <c r="D17206">
        <v>0.70211631996799995</v>
      </c>
      <c r="E17206">
        <v>24</v>
      </c>
    </row>
    <row r="17207" spans="1:5">
      <c r="A17207" t="s">
        <v>19922</v>
      </c>
      <c r="B17207" t="s">
        <v>19928</v>
      </c>
      <c r="C17207">
        <v>0</v>
      </c>
      <c r="D17207">
        <v>0.70211631996799995</v>
      </c>
      <c r="E17207">
        <v>24</v>
      </c>
    </row>
    <row r="17208" spans="1:5">
      <c r="A17208" t="s">
        <v>19922</v>
      </c>
      <c r="B17208" t="s">
        <v>19929</v>
      </c>
      <c r="C17208">
        <f>0</f>
        <v>0</v>
      </c>
      <c r="D17208">
        <v>0.70211631996799995</v>
      </c>
      <c r="E17208">
        <v>24</v>
      </c>
    </row>
    <row r="17209" spans="1:5">
      <c r="A17209" t="s">
        <v>19930</v>
      </c>
      <c r="B17209" t="s">
        <v>19931</v>
      </c>
      <c r="C17209">
        <v>0</v>
      </c>
      <c r="D17209">
        <v>0.95059231342100003</v>
      </c>
      <c r="E17209">
        <v>24</v>
      </c>
    </row>
    <row r="17210" spans="1:5">
      <c r="A17210" t="s">
        <v>19930</v>
      </c>
      <c r="B17210" t="s">
        <v>19932</v>
      </c>
      <c r="C17210">
        <v>0</v>
      </c>
      <c r="D17210">
        <v>0.95059231342100003</v>
      </c>
      <c r="E17210">
        <v>24</v>
      </c>
    </row>
    <row r="17211" spans="1:5">
      <c r="A17211" t="s">
        <v>19930</v>
      </c>
      <c r="B17211" t="s">
        <v>19933</v>
      </c>
      <c r="C17211">
        <v>0.12797554775700001</v>
      </c>
      <c r="D17211">
        <v>0.95059231342100003</v>
      </c>
      <c r="E17211">
        <v>24</v>
      </c>
    </row>
    <row r="17212" spans="1:5">
      <c r="A17212" t="s">
        <v>19930</v>
      </c>
      <c r="B17212" t="s">
        <v>19934</v>
      </c>
      <c r="C17212">
        <v>0</v>
      </c>
      <c r="D17212">
        <v>0.95059231342100003</v>
      </c>
      <c r="E17212">
        <v>24</v>
      </c>
    </row>
    <row r="17213" spans="1:5">
      <c r="A17213" t="s">
        <v>19930</v>
      </c>
      <c r="B17213" t="s">
        <v>19935</v>
      </c>
      <c r="C17213">
        <v>0</v>
      </c>
      <c r="D17213">
        <v>0.95059231342100003</v>
      </c>
      <c r="E17213">
        <v>24</v>
      </c>
    </row>
    <row r="17214" spans="1:5">
      <c r="A17214" t="s">
        <v>19930</v>
      </c>
      <c r="B17214" t="s">
        <v>19936</v>
      </c>
      <c r="C17214">
        <f>0</f>
        <v>0</v>
      </c>
      <c r="D17214">
        <v>0.95059231342100003</v>
      </c>
      <c r="E17214">
        <v>24</v>
      </c>
    </row>
    <row r="17215" spans="1:5">
      <c r="A17215" t="s">
        <v>19937</v>
      </c>
      <c r="B17215" t="s">
        <v>19938</v>
      </c>
      <c r="C17215">
        <v>0.31805819158800003</v>
      </c>
      <c r="D17215">
        <v>0.98471639498899999</v>
      </c>
      <c r="E17215">
        <v>14.176911544227799</v>
      </c>
    </row>
    <row r="17216" spans="1:5">
      <c r="A17216" t="s">
        <v>19937</v>
      </c>
      <c r="B17216" t="s">
        <v>19939</v>
      </c>
      <c r="C17216">
        <f>0</f>
        <v>0</v>
      </c>
      <c r="D17216">
        <v>0.98471639498899999</v>
      </c>
      <c r="E17216">
        <v>14.176911544227799</v>
      </c>
    </row>
    <row r="17217" spans="1:5">
      <c r="A17217" t="s">
        <v>19937</v>
      </c>
      <c r="B17217" t="s">
        <v>19940</v>
      </c>
      <c r="C17217">
        <v>0</v>
      </c>
      <c r="D17217">
        <v>0.98471639498899999</v>
      </c>
      <c r="E17217">
        <v>14.176911544227799</v>
      </c>
    </row>
    <row r="17218" spans="1:5">
      <c r="A17218" t="s">
        <v>19941</v>
      </c>
      <c r="B17218" t="s">
        <v>19942</v>
      </c>
      <c r="C17218">
        <f>0</f>
        <v>0</v>
      </c>
      <c r="D17218" t="s">
        <v>106</v>
      </c>
      <c r="E17218">
        <v>12.5577211394302</v>
      </c>
    </row>
    <row r="17219" spans="1:5">
      <c r="A17219" t="s">
        <v>19941</v>
      </c>
      <c r="B17219" t="s">
        <v>19943</v>
      </c>
      <c r="C17219">
        <v>0</v>
      </c>
      <c r="D17219" t="s">
        <v>106</v>
      </c>
      <c r="E17219">
        <v>12.5577211394302</v>
      </c>
    </row>
    <row r="17220" spans="1:5">
      <c r="A17220" t="s">
        <v>19941</v>
      </c>
      <c r="B17220" t="s">
        <v>19944</v>
      </c>
      <c r="C17220">
        <v>0</v>
      </c>
      <c r="D17220" t="s">
        <v>106</v>
      </c>
      <c r="E17220">
        <v>12.5577211394302</v>
      </c>
    </row>
    <row r="17221" spans="1:5">
      <c r="A17221" t="s">
        <v>19941</v>
      </c>
      <c r="B17221" t="s">
        <v>19945</v>
      </c>
      <c r="C17221">
        <f>0</f>
        <v>0</v>
      </c>
      <c r="D17221" t="s">
        <v>106</v>
      </c>
      <c r="E17221">
        <v>12.5577211394302</v>
      </c>
    </row>
    <row r="17222" spans="1:5">
      <c r="A17222" t="s">
        <v>19941</v>
      </c>
      <c r="B17222" t="s">
        <v>19946</v>
      </c>
      <c r="C17222">
        <v>0</v>
      </c>
      <c r="D17222" t="s">
        <v>106</v>
      </c>
      <c r="E17222">
        <v>12.5577211394302</v>
      </c>
    </row>
    <row r="17223" spans="1:5">
      <c r="A17223" t="s">
        <v>19947</v>
      </c>
      <c r="B17223" t="s">
        <v>19948</v>
      </c>
      <c r="C17223">
        <v>0</v>
      </c>
      <c r="D17223">
        <v>0.77430760842199997</v>
      </c>
      <c r="E17223">
        <v>3.2263868065966999</v>
      </c>
    </row>
    <row r="17224" spans="1:5">
      <c r="A17224" t="s">
        <v>19947</v>
      </c>
      <c r="B17224" t="s">
        <v>19949</v>
      </c>
      <c r="C17224">
        <f>0</f>
        <v>0</v>
      </c>
      <c r="D17224">
        <v>0.77430760842199997</v>
      </c>
      <c r="E17224">
        <v>3.2263868065966999</v>
      </c>
    </row>
    <row r="17225" spans="1:5">
      <c r="A17225" t="s">
        <v>19947</v>
      </c>
      <c r="B17225" t="s">
        <v>19950</v>
      </c>
      <c r="C17225">
        <f>0</f>
        <v>0</v>
      </c>
      <c r="D17225">
        <v>0.77430760842199997</v>
      </c>
      <c r="E17225">
        <v>3.2263868065966999</v>
      </c>
    </row>
    <row r="17226" spans="1:5">
      <c r="A17226" t="s">
        <v>19947</v>
      </c>
      <c r="B17226" t="s">
        <v>19951</v>
      </c>
      <c r="C17226">
        <f>0.368449093666</f>
        <v>0.36844909366599998</v>
      </c>
      <c r="D17226">
        <v>0.77430760842199997</v>
      </c>
      <c r="E17226">
        <v>3.2263868065966999</v>
      </c>
    </row>
    <row r="17227" spans="1:5">
      <c r="A17227" t="s">
        <v>19947</v>
      </c>
      <c r="B17227" t="s">
        <v>19952</v>
      </c>
      <c r="C17227">
        <f>0</f>
        <v>0</v>
      </c>
      <c r="D17227">
        <v>0.77430760842199997</v>
      </c>
      <c r="E17227">
        <v>3.2263868065966999</v>
      </c>
    </row>
    <row r="17228" spans="1:5">
      <c r="A17228" t="s">
        <v>19947</v>
      </c>
      <c r="B17228" t="s">
        <v>19953</v>
      </c>
      <c r="C17228">
        <v>0</v>
      </c>
      <c r="D17228">
        <v>0.77430760842199997</v>
      </c>
      <c r="E17228">
        <v>3.2263868065966999</v>
      </c>
    </row>
    <row r="17229" spans="1:5">
      <c r="A17229" t="s">
        <v>19947</v>
      </c>
      <c r="B17229" t="s">
        <v>19954</v>
      </c>
      <c r="C17229">
        <f>0.0689530172989</f>
        <v>6.8953017298899993E-2</v>
      </c>
      <c r="D17229">
        <v>0.77430760842199997</v>
      </c>
      <c r="E17229">
        <v>3.2263868065966999</v>
      </c>
    </row>
    <row r="17230" spans="1:5">
      <c r="A17230" t="s">
        <v>19955</v>
      </c>
      <c r="B17230" t="s">
        <v>19956</v>
      </c>
      <c r="C17230">
        <f>0.464907850226</f>
        <v>0.46490785022600001</v>
      </c>
      <c r="D17230">
        <v>0.76567499113799997</v>
      </c>
      <c r="E17230">
        <v>0</v>
      </c>
    </row>
    <row r="17231" spans="1:5">
      <c r="A17231" t="s">
        <v>19955</v>
      </c>
      <c r="B17231" t="s">
        <v>19957</v>
      </c>
      <c r="C17231">
        <f>0</f>
        <v>0</v>
      </c>
      <c r="D17231">
        <v>0.76567499113799997</v>
      </c>
      <c r="E17231">
        <v>0</v>
      </c>
    </row>
    <row r="17232" spans="1:5">
      <c r="A17232" t="s">
        <v>19958</v>
      </c>
      <c r="B17232" t="s">
        <v>19959</v>
      </c>
      <c r="C17232">
        <v>0</v>
      </c>
      <c r="D17232">
        <v>0.70218817111800003</v>
      </c>
      <c r="E17232">
        <v>24</v>
      </c>
    </row>
    <row r="17233" spans="1:5">
      <c r="A17233" t="s">
        <v>19958</v>
      </c>
      <c r="B17233" t="s">
        <v>19960</v>
      </c>
      <c r="C17233">
        <f>0</f>
        <v>0</v>
      </c>
      <c r="D17233">
        <v>0.70218817111800003</v>
      </c>
      <c r="E17233">
        <v>24</v>
      </c>
    </row>
    <row r="17234" spans="1:5">
      <c r="A17234" t="s">
        <v>19958</v>
      </c>
      <c r="B17234" t="s">
        <v>19961</v>
      </c>
      <c r="C17234">
        <v>0</v>
      </c>
      <c r="D17234">
        <v>0.70218817111800003</v>
      </c>
      <c r="E17234">
        <v>24</v>
      </c>
    </row>
    <row r="17235" spans="1:5">
      <c r="A17235" t="s">
        <v>19958</v>
      </c>
      <c r="B17235" t="s">
        <v>19962</v>
      </c>
      <c r="C17235">
        <f>0</f>
        <v>0</v>
      </c>
      <c r="D17235">
        <v>0.70218817111800003</v>
      </c>
      <c r="E17235">
        <v>24</v>
      </c>
    </row>
    <row r="17236" spans="1:5">
      <c r="A17236" t="s">
        <v>19958</v>
      </c>
      <c r="B17236" t="s">
        <v>19963</v>
      </c>
      <c r="C17236">
        <v>0</v>
      </c>
      <c r="D17236">
        <v>0.70218817111800003</v>
      </c>
      <c r="E17236">
        <v>24</v>
      </c>
    </row>
    <row r="17237" spans="1:5">
      <c r="A17237" t="s">
        <v>19958</v>
      </c>
      <c r="B17237" t="s">
        <v>19964</v>
      </c>
      <c r="C17237">
        <v>0</v>
      </c>
      <c r="D17237">
        <v>0.70218817111800003</v>
      </c>
      <c r="E17237">
        <v>24</v>
      </c>
    </row>
    <row r="17238" spans="1:5">
      <c r="A17238" t="s">
        <v>19958</v>
      </c>
      <c r="B17238" t="s">
        <v>19965</v>
      </c>
      <c r="C17238">
        <v>0</v>
      </c>
      <c r="D17238">
        <v>0.70218817111800003</v>
      </c>
      <c r="E17238">
        <v>24</v>
      </c>
    </row>
    <row r="17239" spans="1:5">
      <c r="A17239" t="s">
        <v>19958</v>
      </c>
      <c r="B17239" t="s">
        <v>19966</v>
      </c>
      <c r="C17239">
        <v>8.2790294868499995E-2</v>
      </c>
      <c r="D17239">
        <v>0.70218817111800003</v>
      </c>
      <c r="E17239">
        <v>24</v>
      </c>
    </row>
    <row r="17240" spans="1:5">
      <c r="A17240" t="s">
        <v>19958</v>
      </c>
      <c r="B17240" t="s">
        <v>19967</v>
      </c>
      <c r="C17240">
        <v>0</v>
      </c>
      <c r="D17240">
        <v>0.70218817111800003</v>
      </c>
      <c r="E17240">
        <v>24</v>
      </c>
    </row>
    <row r="17241" spans="1:5">
      <c r="A17241" t="s">
        <v>19958</v>
      </c>
      <c r="B17241" t="s">
        <v>19968</v>
      </c>
      <c r="C17241">
        <f>0</f>
        <v>0</v>
      </c>
      <c r="D17241">
        <v>0.70218817111800003</v>
      </c>
      <c r="E17241">
        <v>24</v>
      </c>
    </row>
    <row r="17242" spans="1:5">
      <c r="A17242" t="s">
        <v>19958</v>
      </c>
      <c r="B17242" t="s">
        <v>19969</v>
      </c>
      <c r="C17242">
        <f>0</f>
        <v>0</v>
      </c>
      <c r="D17242">
        <v>0.70218817111800003</v>
      </c>
      <c r="E17242">
        <v>24</v>
      </c>
    </row>
    <row r="17243" spans="1:5">
      <c r="A17243" t="s">
        <v>19958</v>
      </c>
      <c r="B17243" t="s">
        <v>19970</v>
      </c>
      <c r="C17243">
        <v>0</v>
      </c>
      <c r="D17243">
        <v>0.70218817111800003</v>
      </c>
      <c r="E17243">
        <v>24</v>
      </c>
    </row>
    <row r="17244" spans="1:5">
      <c r="A17244" t="s">
        <v>19958</v>
      </c>
      <c r="B17244" t="s">
        <v>19971</v>
      </c>
      <c r="C17244">
        <f>0</f>
        <v>0</v>
      </c>
      <c r="D17244">
        <v>0.70218817111800003</v>
      </c>
      <c r="E17244">
        <v>24</v>
      </c>
    </row>
    <row r="17245" spans="1:5">
      <c r="A17245" t="s">
        <v>19958</v>
      </c>
      <c r="B17245" t="s">
        <v>19972</v>
      </c>
      <c r="C17245">
        <f>0</f>
        <v>0</v>
      </c>
      <c r="D17245">
        <v>0.70218817111800003</v>
      </c>
      <c r="E17245">
        <v>24</v>
      </c>
    </row>
    <row r="17246" spans="1:5">
      <c r="A17246" t="s">
        <v>19958</v>
      </c>
      <c r="B17246" t="s">
        <v>19973</v>
      </c>
      <c r="C17246">
        <v>0</v>
      </c>
      <c r="D17246">
        <v>0.70218817111800003</v>
      </c>
      <c r="E17246">
        <v>24</v>
      </c>
    </row>
    <row r="17247" spans="1:5">
      <c r="A17247" t="s">
        <v>19958</v>
      </c>
      <c r="B17247" t="s">
        <v>19974</v>
      </c>
      <c r="C17247">
        <f>0</f>
        <v>0</v>
      </c>
      <c r="D17247">
        <v>0.70218817111800003</v>
      </c>
      <c r="E17247">
        <v>24</v>
      </c>
    </row>
    <row r="17248" spans="1:5">
      <c r="A17248" t="s">
        <v>19958</v>
      </c>
      <c r="B17248" t="s">
        <v>19975</v>
      </c>
      <c r="C17248">
        <v>5.1084939174599997E-2</v>
      </c>
      <c r="D17248">
        <v>0.70218817111800003</v>
      </c>
      <c r="E17248">
        <v>24</v>
      </c>
    </row>
    <row r="17249" spans="1:5">
      <c r="A17249" t="s">
        <v>19958</v>
      </c>
      <c r="B17249" t="s">
        <v>19976</v>
      </c>
      <c r="C17249">
        <f>0</f>
        <v>0</v>
      </c>
      <c r="D17249">
        <v>0.70218817111800003</v>
      </c>
      <c r="E17249">
        <v>24</v>
      </c>
    </row>
    <row r="17250" spans="1:5">
      <c r="A17250" t="s">
        <v>19977</v>
      </c>
      <c r="B17250" t="s">
        <v>19978</v>
      </c>
      <c r="C17250">
        <v>0.23716435186400001</v>
      </c>
      <c r="D17250">
        <v>0.84999025132200001</v>
      </c>
      <c r="E17250">
        <v>14.740629685157399</v>
      </c>
    </row>
    <row r="17251" spans="1:5">
      <c r="A17251" t="s">
        <v>19977</v>
      </c>
      <c r="B17251" t="s">
        <v>19979</v>
      </c>
      <c r="C17251">
        <v>0.31052493994300001</v>
      </c>
      <c r="D17251">
        <v>0.84999025132200001</v>
      </c>
      <c r="E17251">
        <v>14.740629685157399</v>
      </c>
    </row>
    <row r="17252" spans="1:5">
      <c r="A17252" t="s">
        <v>19980</v>
      </c>
      <c r="B17252" t="s">
        <v>19981</v>
      </c>
      <c r="C17252">
        <v>5.3389877495400001E-2</v>
      </c>
      <c r="D17252">
        <v>0.88782171190500003</v>
      </c>
      <c r="E17252">
        <v>14.740629685157399</v>
      </c>
    </row>
    <row r="17253" spans="1:5">
      <c r="A17253" t="s">
        <v>19980</v>
      </c>
      <c r="B17253" t="s">
        <v>19982</v>
      </c>
      <c r="C17253">
        <v>0</v>
      </c>
      <c r="D17253">
        <v>0.88782171190500003</v>
      </c>
      <c r="E17253">
        <v>14.740629685157399</v>
      </c>
    </row>
    <row r="17254" spans="1:5">
      <c r="A17254" t="s">
        <v>19980</v>
      </c>
      <c r="B17254" t="s">
        <v>19983</v>
      </c>
      <c r="C17254">
        <v>0</v>
      </c>
      <c r="D17254">
        <v>0.88782171190500003</v>
      </c>
      <c r="E17254">
        <v>14.740629685157399</v>
      </c>
    </row>
    <row r="17255" spans="1:5">
      <c r="A17255" t="s">
        <v>19980</v>
      </c>
      <c r="B17255" t="s">
        <v>19984</v>
      </c>
      <c r="C17255">
        <v>0</v>
      </c>
      <c r="D17255">
        <v>0.88782171190500003</v>
      </c>
      <c r="E17255">
        <v>14.740629685157399</v>
      </c>
    </row>
    <row r="17256" spans="1:5">
      <c r="A17256" t="s">
        <v>19980</v>
      </c>
      <c r="B17256" t="s">
        <v>19985</v>
      </c>
      <c r="C17256">
        <v>0</v>
      </c>
      <c r="D17256">
        <v>0.88782171190500003</v>
      </c>
      <c r="E17256">
        <v>14.740629685157399</v>
      </c>
    </row>
    <row r="17257" spans="1:5">
      <c r="A17257" t="s">
        <v>19980</v>
      </c>
      <c r="B17257" t="s">
        <v>19986</v>
      </c>
      <c r="C17257">
        <f>0</f>
        <v>0</v>
      </c>
      <c r="D17257">
        <v>0.88782171190500003</v>
      </c>
      <c r="E17257">
        <v>14.740629685157399</v>
      </c>
    </row>
    <row r="17258" spans="1:5">
      <c r="A17258" t="s">
        <v>19980</v>
      </c>
      <c r="B17258" t="s">
        <v>19987</v>
      </c>
      <c r="C17258">
        <v>1.9646625979499999E-2</v>
      </c>
      <c r="D17258">
        <v>0.88782171190500003</v>
      </c>
      <c r="E17258">
        <v>14.740629685157399</v>
      </c>
    </row>
    <row r="17259" spans="1:5">
      <c r="A17259" t="s">
        <v>19988</v>
      </c>
      <c r="B17259" t="s">
        <v>19989</v>
      </c>
      <c r="C17259">
        <v>0</v>
      </c>
      <c r="D17259">
        <v>0.96685407201700002</v>
      </c>
      <c r="E17259">
        <v>3.68215892053973</v>
      </c>
    </row>
    <row r="17260" spans="1:5">
      <c r="A17260" t="s">
        <v>19990</v>
      </c>
      <c r="B17260" t="s">
        <v>19991</v>
      </c>
      <c r="C17260">
        <v>7.1109782425900006E-2</v>
      </c>
      <c r="D17260" t="s">
        <v>106</v>
      </c>
      <c r="E17260">
        <v>24</v>
      </c>
    </row>
    <row r="17261" spans="1:5">
      <c r="A17261" t="s">
        <v>19990</v>
      </c>
      <c r="B17261" t="s">
        <v>19992</v>
      </c>
      <c r="C17261">
        <f>0.157743332194</f>
        <v>0.157743332194</v>
      </c>
      <c r="D17261" t="s">
        <v>106</v>
      </c>
      <c r="E17261">
        <v>24</v>
      </c>
    </row>
    <row r="17262" spans="1:5">
      <c r="A17262" t="s">
        <v>19993</v>
      </c>
      <c r="B17262" t="s">
        <v>19994</v>
      </c>
      <c r="C17262">
        <v>0.59599003151700003</v>
      </c>
      <c r="D17262">
        <v>0.94262356207999998</v>
      </c>
      <c r="E17262">
        <v>9.9190404797601204</v>
      </c>
    </row>
    <row r="17263" spans="1:5">
      <c r="A17263" t="s">
        <v>19993</v>
      </c>
      <c r="B17263" t="s">
        <v>19995</v>
      </c>
      <c r="C17263">
        <v>8.8837181231200005E-2</v>
      </c>
      <c r="D17263">
        <v>0.94262356207999998</v>
      </c>
      <c r="E17263">
        <v>9.9190404797601204</v>
      </c>
    </row>
    <row r="17264" spans="1:5">
      <c r="A17264" t="s">
        <v>19996</v>
      </c>
      <c r="B17264" t="s">
        <v>19997</v>
      </c>
      <c r="C17264">
        <v>0</v>
      </c>
      <c r="D17264">
        <v>0.96228372223600001</v>
      </c>
      <c r="E17264">
        <v>24</v>
      </c>
    </row>
    <row r="17265" spans="1:5">
      <c r="A17265" t="s">
        <v>19996</v>
      </c>
      <c r="B17265" t="s">
        <v>19998</v>
      </c>
      <c r="C17265">
        <v>0</v>
      </c>
      <c r="D17265">
        <v>0.96228372223600001</v>
      </c>
      <c r="E17265">
        <v>24</v>
      </c>
    </row>
    <row r="17266" spans="1:5">
      <c r="A17266" t="s">
        <v>19996</v>
      </c>
      <c r="B17266" t="s">
        <v>19999</v>
      </c>
      <c r="C17266">
        <f>0</f>
        <v>0</v>
      </c>
      <c r="D17266">
        <v>0.96228372223600001</v>
      </c>
      <c r="E17266">
        <v>24</v>
      </c>
    </row>
    <row r="17267" spans="1:5">
      <c r="A17267" t="s">
        <v>19996</v>
      </c>
      <c r="B17267" t="s">
        <v>20000</v>
      </c>
      <c r="C17267">
        <v>0</v>
      </c>
      <c r="D17267">
        <v>0.96228372223600001</v>
      </c>
      <c r="E17267">
        <v>24</v>
      </c>
    </row>
    <row r="17268" spans="1:5">
      <c r="A17268" t="s">
        <v>19996</v>
      </c>
      <c r="B17268" t="s">
        <v>20001</v>
      </c>
      <c r="C17268">
        <f>0</f>
        <v>0</v>
      </c>
      <c r="D17268">
        <v>0.96228372223600001</v>
      </c>
      <c r="E17268">
        <v>24</v>
      </c>
    </row>
    <row r="17269" spans="1:5">
      <c r="A17269" t="s">
        <v>19996</v>
      </c>
      <c r="B17269" t="s">
        <v>20002</v>
      </c>
      <c r="C17269">
        <v>0</v>
      </c>
      <c r="D17269">
        <v>0.96228372223600001</v>
      </c>
      <c r="E17269">
        <v>24</v>
      </c>
    </row>
    <row r="17270" spans="1:5">
      <c r="A17270" t="s">
        <v>19996</v>
      </c>
      <c r="B17270" t="s">
        <v>20003</v>
      </c>
      <c r="C17270">
        <v>0</v>
      </c>
      <c r="D17270">
        <v>0.96228372223600001</v>
      </c>
      <c r="E17270">
        <v>24</v>
      </c>
    </row>
    <row r="17271" spans="1:5">
      <c r="A17271" t="s">
        <v>19996</v>
      </c>
      <c r="B17271" t="s">
        <v>20004</v>
      </c>
      <c r="C17271">
        <f>0</f>
        <v>0</v>
      </c>
      <c r="D17271">
        <v>0.96228372223600001</v>
      </c>
      <c r="E17271">
        <v>24</v>
      </c>
    </row>
    <row r="17272" spans="1:5">
      <c r="A17272" t="s">
        <v>20005</v>
      </c>
      <c r="B17272" t="s">
        <v>20006</v>
      </c>
      <c r="C17272">
        <f>0</f>
        <v>0</v>
      </c>
      <c r="D17272" t="s">
        <v>106</v>
      </c>
      <c r="E17272">
        <v>6.8005997001499203</v>
      </c>
    </row>
    <row r="17273" spans="1:5">
      <c r="A17273" t="s">
        <v>20005</v>
      </c>
      <c r="B17273" t="s">
        <v>20007</v>
      </c>
      <c r="C17273">
        <v>0</v>
      </c>
      <c r="D17273" t="s">
        <v>106</v>
      </c>
      <c r="E17273">
        <v>6.8005997001499203</v>
      </c>
    </row>
    <row r="17274" spans="1:5">
      <c r="A17274" t="s">
        <v>20005</v>
      </c>
      <c r="B17274" t="s">
        <v>20008</v>
      </c>
      <c r="C17274">
        <v>0</v>
      </c>
      <c r="D17274" t="s">
        <v>106</v>
      </c>
      <c r="E17274">
        <v>6.8005997001499203</v>
      </c>
    </row>
    <row r="17275" spans="1:5">
      <c r="A17275" t="s">
        <v>20005</v>
      </c>
      <c r="B17275" t="s">
        <v>20009</v>
      </c>
      <c r="C17275">
        <v>0</v>
      </c>
      <c r="D17275" t="s">
        <v>106</v>
      </c>
      <c r="E17275">
        <v>6.8005997001499203</v>
      </c>
    </row>
    <row r="17276" spans="1:5">
      <c r="A17276" t="s">
        <v>20005</v>
      </c>
      <c r="B17276" t="s">
        <v>20010</v>
      </c>
      <c r="C17276">
        <f>0</f>
        <v>0</v>
      </c>
      <c r="D17276" t="s">
        <v>106</v>
      </c>
      <c r="E17276">
        <v>6.8005997001499203</v>
      </c>
    </row>
    <row r="17277" spans="1:5">
      <c r="A17277" t="s">
        <v>20005</v>
      </c>
      <c r="B17277" t="s">
        <v>20011</v>
      </c>
      <c r="C17277">
        <v>0</v>
      </c>
      <c r="D17277" t="s">
        <v>106</v>
      </c>
      <c r="E17277">
        <v>6.8005997001499203</v>
      </c>
    </row>
    <row r="17278" spans="1:5">
      <c r="A17278" t="s">
        <v>20005</v>
      </c>
      <c r="B17278" t="s">
        <v>20012</v>
      </c>
      <c r="C17278">
        <f>0</f>
        <v>0</v>
      </c>
      <c r="D17278" t="s">
        <v>106</v>
      </c>
      <c r="E17278">
        <v>6.8005997001499203</v>
      </c>
    </row>
    <row r="17279" spans="1:5">
      <c r="A17279" t="s">
        <v>20005</v>
      </c>
      <c r="B17279" t="s">
        <v>20013</v>
      </c>
      <c r="C17279">
        <f>0</f>
        <v>0</v>
      </c>
      <c r="D17279" t="s">
        <v>106</v>
      </c>
      <c r="E17279">
        <v>6.8005997001499203</v>
      </c>
    </row>
    <row r="17280" spans="1:5">
      <c r="A17280" t="s">
        <v>20005</v>
      </c>
      <c r="B17280" t="s">
        <v>20014</v>
      </c>
      <c r="C17280">
        <v>0</v>
      </c>
      <c r="D17280" t="s">
        <v>106</v>
      </c>
      <c r="E17280">
        <v>6.8005997001499203</v>
      </c>
    </row>
    <row r="17281" spans="1:5">
      <c r="A17281" t="s">
        <v>20005</v>
      </c>
      <c r="B17281" t="s">
        <v>20015</v>
      </c>
      <c r="C17281">
        <f>0</f>
        <v>0</v>
      </c>
      <c r="D17281" t="s">
        <v>106</v>
      </c>
      <c r="E17281">
        <v>6.8005997001499203</v>
      </c>
    </row>
    <row r="17282" spans="1:5">
      <c r="A17282" t="s">
        <v>20005</v>
      </c>
      <c r="B17282" t="s">
        <v>20016</v>
      </c>
      <c r="C17282">
        <v>0</v>
      </c>
      <c r="D17282" t="s">
        <v>106</v>
      </c>
      <c r="E17282">
        <v>6.8005997001499203</v>
      </c>
    </row>
    <row r="17283" spans="1:5">
      <c r="A17283" t="s">
        <v>20017</v>
      </c>
      <c r="B17283" t="s">
        <v>20018</v>
      </c>
      <c r="C17283">
        <v>0.56133972142099997</v>
      </c>
      <c r="D17283">
        <v>0.99462718182499998</v>
      </c>
      <c r="E17283">
        <v>6.2968515742128899</v>
      </c>
    </row>
    <row r="17284" spans="1:5">
      <c r="A17284" t="s">
        <v>20019</v>
      </c>
      <c r="B17284" t="s">
        <v>20020</v>
      </c>
      <c r="C17284">
        <v>0</v>
      </c>
      <c r="D17284" t="s">
        <v>106</v>
      </c>
      <c r="E17284">
        <v>13.625187406296799</v>
      </c>
    </row>
    <row r="17285" spans="1:5">
      <c r="A17285" t="s">
        <v>20019</v>
      </c>
      <c r="B17285" t="s">
        <v>20021</v>
      </c>
      <c r="C17285">
        <v>0</v>
      </c>
      <c r="D17285" t="s">
        <v>106</v>
      </c>
      <c r="E17285">
        <v>13.625187406296799</v>
      </c>
    </row>
    <row r="17286" spans="1:5">
      <c r="A17286" t="s">
        <v>20019</v>
      </c>
      <c r="B17286" t="s">
        <v>20022</v>
      </c>
      <c r="C17286">
        <f>0</f>
        <v>0</v>
      </c>
      <c r="D17286" t="s">
        <v>106</v>
      </c>
      <c r="E17286">
        <v>13.625187406296799</v>
      </c>
    </row>
    <row r="17287" spans="1:5">
      <c r="A17287" t="s">
        <v>20019</v>
      </c>
      <c r="B17287" t="s">
        <v>20023</v>
      </c>
      <c r="C17287">
        <f>0</f>
        <v>0</v>
      </c>
      <c r="D17287" t="s">
        <v>106</v>
      </c>
      <c r="E17287">
        <v>13.625187406296799</v>
      </c>
    </row>
    <row r="17288" spans="1:5">
      <c r="A17288" t="s">
        <v>20019</v>
      </c>
      <c r="B17288" t="s">
        <v>20024</v>
      </c>
      <c r="C17288">
        <v>0</v>
      </c>
      <c r="D17288" t="s">
        <v>106</v>
      </c>
      <c r="E17288">
        <v>13.625187406296799</v>
      </c>
    </row>
    <row r="17289" spans="1:5">
      <c r="A17289" t="s">
        <v>20019</v>
      </c>
      <c r="B17289" t="s">
        <v>20025</v>
      </c>
      <c r="C17289">
        <v>0</v>
      </c>
      <c r="D17289" t="s">
        <v>106</v>
      </c>
      <c r="E17289">
        <v>13.625187406296799</v>
      </c>
    </row>
    <row r="17290" spans="1:5">
      <c r="A17290" t="s">
        <v>20019</v>
      </c>
      <c r="B17290" t="s">
        <v>20026</v>
      </c>
      <c r="C17290">
        <f>0</f>
        <v>0</v>
      </c>
      <c r="D17290" t="s">
        <v>106</v>
      </c>
      <c r="E17290">
        <v>13.625187406296799</v>
      </c>
    </row>
    <row r="17291" spans="1:5">
      <c r="A17291" t="s">
        <v>20019</v>
      </c>
      <c r="B17291" t="s">
        <v>20027</v>
      </c>
      <c r="C17291">
        <f>0</f>
        <v>0</v>
      </c>
      <c r="D17291" t="s">
        <v>106</v>
      </c>
      <c r="E17291">
        <v>13.625187406296799</v>
      </c>
    </row>
    <row r="17292" spans="1:5">
      <c r="A17292" t="s">
        <v>20019</v>
      </c>
      <c r="B17292" t="s">
        <v>20028</v>
      </c>
      <c r="C17292">
        <v>0</v>
      </c>
      <c r="D17292" t="s">
        <v>106</v>
      </c>
      <c r="E17292">
        <v>13.625187406296799</v>
      </c>
    </row>
    <row r="17293" spans="1:5">
      <c r="A17293" t="s">
        <v>20029</v>
      </c>
      <c r="B17293" t="s">
        <v>20030</v>
      </c>
      <c r="C17293">
        <v>0</v>
      </c>
      <c r="D17293">
        <v>0.94477800452899996</v>
      </c>
      <c r="E17293">
        <v>6.8005997001499203</v>
      </c>
    </row>
    <row r="17294" spans="1:5">
      <c r="A17294" t="s">
        <v>20029</v>
      </c>
      <c r="B17294" t="s">
        <v>20031</v>
      </c>
      <c r="C17294">
        <v>7.0756845802400006E-2</v>
      </c>
      <c r="D17294">
        <v>0.94477800452899996</v>
      </c>
      <c r="E17294">
        <v>6.8005997001499203</v>
      </c>
    </row>
    <row r="17295" spans="1:5">
      <c r="A17295" t="s">
        <v>20029</v>
      </c>
      <c r="B17295" t="s">
        <v>20032</v>
      </c>
      <c r="C17295">
        <v>0</v>
      </c>
      <c r="D17295">
        <v>0.94477800452899996</v>
      </c>
      <c r="E17295">
        <v>6.8005997001499203</v>
      </c>
    </row>
    <row r="17296" spans="1:5">
      <c r="A17296" t="s">
        <v>20029</v>
      </c>
      <c r="B17296" t="s">
        <v>20033</v>
      </c>
      <c r="C17296">
        <v>0</v>
      </c>
      <c r="D17296">
        <v>0.94477800452899996</v>
      </c>
      <c r="E17296">
        <v>6.8005997001499203</v>
      </c>
    </row>
    <row r="17297" spans="1:5">
      <c r="A17297" t="s">
        <v>20029</v>
      </c>
      <c r="B17297" t="s">
        <v>20034</v>
      </c>
      <c r="C17297">
        <v>0</v>
      </c>
      <c r="D17297">
        <v>0.94477800452899996</v>
      </c>
      <c r="E17297">
        <v>6.8005997001499203</v>
      </c>
    </row>
    <row r="17298" spans="1:5">
      <c r="A17298" t="s">
        <v>20029</v>
      </c>
      <c r="B17298" t="s">
        <v>20035</v>
      </c>
      <c r="C17298">
        <f>0</f>
        <v>0</v>
      </c>
      <c r="D17298">
        <v>0.94477800452899996</v>
      </c>
      <c r="E17298">
        <v>6.8005997001499203</v>
      </c>
    </row>
    <row r="17299" spans="1:5">
      <c r="A17299" t="s">
        <v>20036</v>
      </c>
      <c r="B17299" t="s">
        <v>20037</v>
      </c>
      <c r="C17299">
        <v>8.2204436637200007E-2</v>
      </c>
      <c r="D17299" t="s">
        <v>106</v>
      </c>
      <c r="E17299">
        <v>23.7481259370314</v>
      </c>
    </row>
    <row r="17300" spans="1:5">
      <c r="A17300" t="s">
        <v>20036</v>
      </c>
      <c r="B17300" t="s">
        <v>20038</v>
      </c>
      <c r="C17300">
        <v>0</v>
      </c>
      <c r="D17300" t="s">
        <v>106</v>
      </c>
      <c r="E17300">
        <v>23.7481259370314</v>
      </c>
    </row>
    <row r="17301" spans="1:5">
      <c r="A17301" t="s">
        <v>20036</v>
      </c>
      <c r="B17301" t="s">
        <v>20039</v>
      </c>
      <c r="C17301">
        <v>0</v>
      </c>
      <c r="D17301" t="s">
        <v>106</v>
      </c>
      <c r="E17301">
        <v>23.7481259370314</v>
      </c>
    </row>
    <row r="17302" spans="1:5">
      <c r="A17302" t="s">
        <v>20036</v>
      </c>
      <c r="B17302" t="s">
        <v>20040</v>
      </c>
      <c r="C17302">
        <f>0</f>
        <v>0</v>
      </c>
      <c r="D17302" t="s">
        <v>106</v>
      </c>
      <c r="E17302">
        <v>23.7481259370314</v>
      </c>
    </row>
    <row r="17303" spans="1:5">
      <c r="A17303" t="s">
        <v>20036</v>
      </c>
      <c r="B17303" t="s">
        <v>20041</v>
      </c>
      <c r="C17303">
        <v>6.2330559645599999E-3</v>
      </c>
      <c r="D17303" t="s">
        <v>106</v>
      </c>
      <c r="E17303">
        <v>23.7481259370314</v>
      </c>
    </row>
    <row r="17304" spans="1:5">
      <c r="A17304" t="s">
        <v>20042</v>
      </c>
      <c r="B17304" t="s">
        <v>20043</v>
      </c>
      <c r="C17304">
        <f>0</f>
        <v>0</v>
      </c>
      <c r="D17304">
        <v>0.89430851787300003</v>
      </c>
      <c r="E17304">
        <v>7.8680659670164896</v>
      </c>
    </row>
    <row r="17305" spans="1:5">
      <c r="A17305" t="s">
        <v>20042</v>
      </c>
      <c r="B17305" t="s">
        <v>20044</v>
      </c>
      <c r="C17305">
        <f>0.154182267064</f>
        <v>0.15418226706400001</v>
      </c>
      <c r="D17305">
        <v>0.89430851787300003</v>
      </c>
      <c r="E17305">
        <v>7.8680659670164896</v>
      </c>
    </row>
    <row r="17306" spans="1:5">
      <c r="A17306" t="s">
        <v>20042</v>
      </c>
      <c r="B17306" t="s">
        <v>20045</v>
      </c>
      <c r="C17306">
        <f>0</f>
        <v>0</v>
      </c>
      <c r="D17306">
        <v>0.89430851787300003</v>
      </c>
      <c r="E17306">
        <v>7.8680659670164896</v>
      </c>
    </row>
    <row r="17307" spans="1:5">
      <c r="A17307" t="s">
        <v>20042</v>
      </c>
      <c r="B17307" t="s">
        <v>20046</v>
      </c>
      <c r="C17307">
        <v>0</v>
      </c>
      <c r="D17307">
        <v>0.89430851787300003</v>
      </c>
      <c r="E17307">
        <v>7.8680659670164896</v>
      </c>
    </row>
    <row r="17308" spans="1:5">
      <c r="A17308" t="s">
        <v>20042</v>
      </c>
      <c r="B17308" t="s">
        <v>20047</v>
      </c>
      <c r="C17308">
        <f>0</f>
        <v>0</v>
      </c>
      <c r="D17308">
        <v>0.89430851787300003</v>
      </c>
      <c r="E17308">
        <v>7.8680659670164896</v>
      </c>
    </row>
    <row r="17309" spans="1:5">
      <c r="A17309" t="s">
        <v>20042</v>
      </c>
      <c r="B17309" t="s">
        <v>20048</v>
      </c>
      <c r="C17309">
        <f>0</f>
        <v>0</v>
      </c>
      <c r="D17309">
        <v>0.89430851787300003</v>
      </c>
      <c r="E17309">
        <v>7.8680659670164896</v>
      </c>
    </row>
    <row r="17310" spans="1:5">
      <c r="A17310" t="s">
        <v>20042</v>
      </c>
      <c r="B17310" t="s">
        <v>20049</v>
      </c>
      <c r="C17310">
        <v>0</v>
      </c>
      <c r="D17310">
        <v>0.89430851787300003</v>
      </c>
      <c r="E17310">
        <v>7.8680659670164896</v>
      </c>
    </row>
    <row r="17311" spans="1:5">
      <c r="A17311" t="s">
        <v>20050</v>
      </c>
      <c r="B17311" t="s">
        <v>20051</v>
      </c>
      <c r="C17311">
        <f>0</f>
        <v>0</v>
      </c>
      <c r="D17311" t="s">
        <v>106</v>
      </c>
      <c r="E17311">
        <v>0.95952023988005997</v>
      </c>
    </row>
    <row r="17312" spans="1:5">
      <c r="A17312" t="s">
        <v>20050</v>
      </c>
      <c r="B17312" t="s">
        <v>20052</v>
      </c>
      <c r="C17312">
        <v>0</v>
      </c>
      <c r="D17312" t="s">
        <v>106</v>
      </c>
      <c r="E17312">
        <v>0.95952023988005997</v>
      </c>
    </row>
    <row r="17313" spans="1:5">
      <c r="A17313" t="s">
        <v>20050</v>
      </c>
      <c r="B17313" t="s">
        <v>20053</v>
      </c>
      <c r="C17313">
        <v>0</v>
      </c>
      <c r="D17313" t="s">
        <v>106</v>
      </c>
      <c r="E17313">
        <v>0.95952023988005997</v>
      </c>
    </row>
    <row r="17314" spans="1:5">
      <c r="A17314" t="s">
        <v>20050</v>
      </c>
      <c r="B17314" t="s">
        <v>20054</v>
      </c>
      <c r="C17314">
        <f>0</f>
        <v>0</v>
      </c>
      <c r="D17314" t="s">
        <v>106</v>
      </c>
      <c r="E17314">
        <v>0.95952023988005997</v>
      </c>
    </row>
    <row r="17315" spans="1:5">
      <c r="A17315" t="s">
        <v>20050</v>
      </c>
      <c r="B17315" t="s">
        <v>20055</v>
      </c>
      <c r="C17315">
        <v>0</v>
      </c>
      <c r="D17315" t="s">
        <v>106</v>
      </c>
      <c r="E17315">
        <v>0.95952023988005997</v>
      </c>
    </row>
    <row r="17316" spans="1:5">
      <c r="A17316" t="s">
        <v>20050</v>
      </c>
      <c r="B17316" t="s">
        <v>20056</v>
      </c>
      <c r="C17316">
        <v>0</v>
      </c>
      <c r="D17316" t="s">
        <v>106</v>
      </c>
      <c r="E17316">
        <v>0.95952023988005997</v>
      </c>
    </row>
    <row r="17317" spans="1:5">
      <c r="A17317" t="s">
        <v>20050</v>
      </c>
      <c r="B17317" t="s">
        <v>20057</v>
      </c>
      <c r="C17317">
        <f>0</f>
        <v>0</v>
      </c>
      <c r="D17317" t="s">
        <v>106</v>
      </c>
      <c r="E17317">
        <v>0.95952023988005997</v>
      </c>
    </row>
    <row r="17318" spans="1:5">
      <c r="A17318" t="s">
        <v>20050</v>
      </c>
      <c r="B17318" t="s">
        <v>20058</v>
      </c>
      <c r="C17318">
        <f>0</f>
        <v>0</v>
      </c>
      <c r="D17318" t="s">
        <v>106</v>
      </c>
      <c r="E17318">
        <v>0.95952023988005997</v>
      </c>
    </row>
    <row r="17319" spans="1:5">
      <c r="A17319" t="s">
        <v>20050</v>
      </c>
      <c r="B17319" t="s">
        <v>20059</v>
      </c>
      <c r="C17319">
        <f>0</f>
        <v>0</v>
      </c>
      <c r="D17319" t="s">
        <v>106</v>
      </c>
      <c r="E17319">
        <v>0.95952023988005997</v>
      </c>
    </row>
    <row r="17320" spans="1:5">
      <c r="A17320" t="s">
        <v>20050</v>
      </c>
      <c r="B17320" t="s">
        <v>20060</v>
      </c>
      <c r="C17320">
        <f>0</f>
        <v>0</v>
      </c>
      <c r="D17320" t="s">
        <v>106</v>
      </c>
      <c r="E17320">
        <v>0.95952023988005997</v>
      </c>
    </row>
    <row r="17321" spans="1:5">
      <c r="A17321" t="s">
        <v>20050</v>
      </c>
      <c r="B17321" t="s">
        <v>20061</v>
      </c>
      <c r="C17321">
        <f>0</f>
        <v>0</v>
      </c>
      <c r="D17321" t="s">
        <v>106</v>
      </c>
      <c r="E17321">
        <v>0.95952023988005997</v>
      </c>
    </row>
    <row r="17322" spans="1:5">
      <c r="A17322" t="s">
        <v>20050</v>
      </c>
      <c r="B17322" t="s">
        <v>20062</v>
      </c>
      <c r="C17322">
        <v>0</v>
      </c>
      <c r="D17322" t="s">
        <v>106</v>
      </c>
      <c r="E17322">
        <v>0.95952023988005997</v>
      </c>
    </row>
    <row r="17323" spans="1:5">
      <c r="A17323" t="s">
        <v>20050</v>
      </c>
      <c r="B17323" t="s">
        <v>20063</v>
      </c>
      <c r="C17323">
        <f>0</f>
        <v>0</v>
      </c>
      <c r="D17323" t="s">
        <v>106</v>
      </c>
      <c r="E17323">
        <v>0.95952023988005997</v>
      </c>
    </row>
    <row r="17324" spans="1:5">
      <c r="A17324" t="s">
        <v>20050</v>
      </c>
      <c r="B17324" t="s">
        <v>20064</v>
      </c>
      <c r="C17324">
        <f>0</f>
        <v>0</v>
      </c>
      <c r="D17324" t="s">
        <v>106</v>
      </c>
      <c r="E17324">
        <v>0.95952023988005997</v>
      </c>
    </row>
    <row r="17325" spans="1:5">
      <c r="A17325" t="s">
        <v>20050</v>
      </c>
      <c r="B17325" t="s">
        <v>20065</v>
      </c>
      <c r="C17325">
        <f>0</f>
        <v>0</v>
      </c>
      <c r="D17325" t="s">
        <v>106</v>
      </c>
      <c r="E17325">
        <v>0.95952023988005997</v>
      </c>
    </row>
    <row r="17326" spans="1:5">
      <c r="A17326" t="s">
        <v>20050</v>
      </c>
      <c r="B17326" t="s">
        <v>20066</v>
      </c>
      <c r="C17326">
        <v>0</v>
      </c>
      <c r="D17326" t="s">
        <v>106</v>
      </c>
      <c r="E17326">
        <v>0.95952023988005997</v>
      </c>
    </row>
    <row r="17327" spans="1:5">
      <c r="A17327" t="s">
        <v>20050</v>
      </c>
      <c r="B17327" t="s">
        <v>20067</v>
      </c>
      <c r="C17327">
        <v>0</v>
      </c>
      <c r="D17327" t="s">
        <v>106</v>
      </c>
      <c r="E17327">
        <v>0.95952023988005997</v>
      </c>
    </row>
    <row r="17328" spans="1:5">
      <c r="A17328" t="s">
        <v>20050</v>
      </c>
      <c r="B17328" t="s">
        <v>20068</v>
      </c>
      <c r="C17328">
        <v>0</v>
      </c>
      <c r="D17328" t="s">
        <v>106</v>
      </c>
      <c r="E17328">
        <v>0.95952023988005997</v>
      </c>
    </row>
    <row r="17329" spans="1:5">
      <c r="A17329" t="s">
        <v>20050</v>
      </c>
      <c r="B17329" t="s">
        <v>20069</v>
      </c>
      <c r="C17329">
        <f>0</f>
        <v>0</v>
      </c>
      <c r="D17329" t="s">
        <v>106</v>
      </c>
      <c r="E17329">
        <v>0.95952023988005997</v>
      </c>
    </row>
    <row r="17330" spans="1:5">
      <c r="A17330" t="s">
        <v>20050</v>
      </c>
      <c r="B17330" t="s">
        <v>20070</v>
      </c>
      <c r="C17330">
        <v>0</v>
      </c>
      <c r="D17330" t="s">
        <v>106</v>
      </c>
      <c r="E17330">
        <v>0.95952023988005997</v>
      </c>
    </row>
    <row r="17331" spans="1:5">
      <c r="A17331" t="s">
        <v>20050</v>
      </c>
      <c r="B17331" t="s">
        <v>20071</v>
      </c>
      <c r="C17331">
        <f>0</f>
        <v>0</v>
      </c>
      <c r="D17331" t="s">
        <v>106</v>
      </c>
      <c r="E17331">
        <v>0.95952023988005997</v>
      </c>
    </row>
    <row r="17332" spans="1:5">
      <c r="A17332" t="s">
        <v>20072</v>
      </c>
      <c r="B17332" t="s">
        <v>20073</v>
      </c>
      <c r="C17332">
        <f>0</f>
        <v>0</v>
      </c>
      <c r="D17332">
        <v>0.98956637327100005</v>
      </c>
      <c r="E17332">
        <v>5.3493253373313303</v>
      </c>
    </row>
    <row r="17333" spans="1:5">
      <c r="A17333" t="s">
        <v>20072</v>
      </c>
      <c r="B17333" t="s">
        <v>20074</v>
      </c>
      <c r="C17333">
        <f>0</f>
        <v>0</v>
      </c>
      <c r="D17333">
        <v>0.98956637327100005</v>
      </c>
      <c r="E17333">
        <v>5.3493253373313303</v>
      </c>
    </row>
    <row r="17334" spans="1:5">
      <c r="A17334" t="s">
        <v>20072</v>
      </c>
      <c r="B17334" t="s">
        <v>20075</v>
      </c>
      <c r="C17334">
        <f>0</f>
        <v>0</v>
      </c>
      <c r="D17334">
        <v>0.98956637327100005</v>
      </c>
      <c r="E17334">
        <v>5.3493253373313303</v>
      </c>
    </row>
    <row r="17335" spans="1:5">
      <c r="A17335" t="s">
        <v>20072</v>
      </c>
      <c r="B17335" t="s">
        <v>20076</v>
      </c>
      <c r="C17335">
        <f>0</f>
        <v>0</v>
      </c>
      <c r="D17335">
        <v>0.98956637327100005</v>
      </c>
      <c r="E17335">
        <v>5.3493253373313303</v>
      </c>
    </row>
    <row r="17336" spans="1:5">
      <c r="A17336" t="s">
        <v>20072</v>
      </c>
      <c r="B17336" t="s">
        <v>20077</v>
      </c>
      <c r="C17336">
        <v>0</v>
      </c>
      <c r="D17336">
        <v>0.98956637327100005</v>
      </c>
      <c r="E17336">
        <v>5.3493253373313303</v>
      </c>
    </row>
    <row r="17337" spans="1:5">
      <c r="A17337" t="s">
        <v>20072</v>
      </c>
      <c r="B17337" t="s">
        <v>20078</v>
      </c>
      <c r="C17337">
        <v>0</v>
      </c>
      <c r="D17337">
        <v>0.98956637327100005</v>
      </c>
      <c r="E17337">
        <v>5.3493253373313303</v>
      </c>
    </row>
    <row r="17338" spans="1:5">
      <c r="A17338" t="s">
        <v>20072</v>
      </c>
      <c r="B17338" t="s">
        <v>20079</v>
      </c>
      <c r="C17338">
        <f>0</f>
        <v>0</v>
      </c>
      <c r="D17338">
        <v>0.98956637327100005</v>
      </c>
      <c r="E17338">
        <v>5.3493253373313303</v>
      </c>
    </row>
    <row r="17339" spans="1:5">
      <c r="A17339" t="s">
        <v>20072</v>
      </c>
      <c r="B17339" t="s">
        <v>20080</v>
      </c>
      <c r="C17339">
        <v>0.109883649115</v>
      </c>
      <c r="D17339">
        <v>0.98956637327100005</v>
      </c>
      <c r="E17339">
        <v>5.3493253373313303</v>
      </c>
    </row>
    <row r="17340" spans="1:5">
      <c r="A17340" t="s">
        <v>20072</v>
      </c>
      <c r="B17340" t="s">
        <v>20081</v>
      </c>
      <c r="C17340">
        <v>0</v>
      </c>
      <c r="D17340">
        <v>0.98956637327100005</v>
      </c>
      <c r="E17340">
        <v>5.3493253373313303</v>
      </c>
    </row>
    <row r="17341" spans="1:5">
      <c r="A17341" t="s">
        <v>20072</v>
      </c>
      <c r="B17341" t="s">
        <v>20082</v>
      </c>
      <c r="C17341">
        <f>0</f>
        <v>0</v>
      </c>
      <c r="D17341">
        <v>0.98956637327100005</v>
      </c>
      <c r="E17341">
        <v>5.3493253373313303</v>
      </c>
    </row>
    <row r="17342" spans="1:5">
      <c r="A17342" t="s">
        <v>20072</v>
      </c>
      <c r="B17342" t="s">
        <v>20083</v>
      </c>
      <c r="C17342">
        <v>0</v>
      </c>
      <c r="D17342">
        <v>0.98956637327100005</v>
      </c>
      <c r="E17342">
        <v>5.3493253373313303</v>
      </c>
    </row>
    <row r="17343" spans="1:5">
      <c r="A17343" t="s">
        <v>20084</v>
      </c>
      <c r="B17343" t="s">
        <v>20085</v>
      </c>
      <c r="C17343">
        <f>0</f>
        <v>0</v>
      </c>
      <c r="D17343" t="s">
        <v>106</v>
      </c>
      <c r="E17343">
        <v>7.5922038980509701</v>
      </c>
    </row>
    <row r="17344" spans="1:5">
      <c r="A17344" t="s">
        <v>20084</v>
      </c>
      <c r="B17344" t="s">
        <v>20086</v>
      </c>
      <c r="C17344">
        <f>0</f>
        <v>0</v>
      </c>
      <c r="D17344" t="s">
        <v>106</v>
      </c>
      <c r="E17344">
        <v>7.5922038980509701</v>
      </c>
    </row>
    <row r="17345" spans="1:5">
      <c r="A17345" t="s">
        <v>20084</v>
      </c>
      <c r="B17345" t="s">
        <v>20087</v>
      </c>
      <c r="C17345">
        <f>0</f>
        <v>0</v>
      </c>
      <c r="D17345" t="s">
        <v>106</v>
      </c>
      <c r="E17345">
        <v>7.5922038980509701</v>
      </c>
    </row>
    <row r="17346" spans="1:5">
      <c r="A17346" t="s">
        <v>20084</v>
      </c>
      <c r="B17346" t="s">
        <v>20088</v>
      </c>
      <c r="C17346">
        <f>0</f>
        <v>0</v>
      </c>
      <c r="D17346" t="s">
        <v>106</v>
      </c>
      <c r="E17346">
        <v>7.5922038980509701</v>
      </c>
    </row>
    <row r="17347" spans="1:5">
      <c r="A17347" t="s">
        <v>20084</v>
      </c>
      <c r="B17347" t="s">
        <v>20089</v>
      </c>
      <c r="C17347">
        <f>0</f>
        <v>0</v>
      </c>
      <c r="D17347" t="s">
        <v>106</v>
      </c>
      <c r="E17347">
        <v>7.5922038980509701</v>
      </c>
    </row>
    <row r="17348" spans="1:5">
      <c r="A17348" t="s">
        <v>20084</v>
      </c>
      <c r="B17348" t="s">
        <v>20090</v>
      </c>
      <c r="C17348">
        <f>0</f>
        <v>0</v>
      </c>
      <c r="D17348" t="s">
        <v>106</v>
      </c>
      <c r="E17348">
        <v>7.5922038980509701</v>
      </c>
    </row>
    <row r="17349" spans="1:5">
      <c r="A17349" t="s">
        <v>20091</v>
      </c>
      <c r="B17349" t="s">
        <v>20092</v>
      </c>
      <c r="C17349">
        <f>0</f>
        <v>0</v>
      </c>
      <c r="D17349" t="s">
        <v>106</v>
      </c>
      <c r="E17349">
        <v>24</v>
      </c>
    </row>
    <row r="17350" spans="1:5">
      <c r="A17350" t="s">
        <v>20091</v>
      </c>
      <c r="B17350" t="s">
        <v>20093</v>
      </c>
      <c r="C17350">
        <v>0</v>
      </c>
      <c r="D17350" t="s">
        <v>106</v>
      </c>
      <c r="E17350">
        <v>24</v>
      </c>
    </row>
    <row r="17351" spans="1:5">
      <c r="A17351" t="s">
        <v>20091</v>
      </c>
      <c r="B17351" t="s">
        <v>20094</v>
      </c>
      <c r="C17351">
        <v>0</v>
      </c>
      <c r="D17351" t="s">
        <v>106</v>
      </c>
      <c r="E17351">
        <v>24</v>
      </c>
    </row>
    <row r="17352" spans="1:5">
      <c r="A17352" t="s">
        <v>20091</v>
      </c>
      <c r="B17352" t="s">
        <v>20095</v>
      </c>
      <c r="C17352">
        <v>6.1973367302899998E-2</v>
      </c>
      <c r="D17352" t="s">
        <v>106</v>
      </c>
      <c r="E17352">
        <v>24</v>
      </c>
    </row>
    <row r="17353" spans="1:5">
      <c r="A17353" t="s">
        <v>20091</v>
      </c>
      <c r="B17353" t="s">
        <v>20096</v>
      </c>
      <c r="C17353">
        <v>0</v>
      </c>
      <c r="D17353" t="s">
        <v>106</v>
      </c>
      <c r="E17353">
        <v>24</v>
      </c>
    </row>
    <row r="17354" spans="1:5">
      <c r="A17354" t="s">
        <v>20091</v>
      </c>
      <c r="B17354" t="s">
        <v>20097</v>
      </c>
      <c r="C17354">
        <v>0</v>
      </c>
      <c r="D17354" t="s">
        <v>106</v>
      </c>
      <c r="E17354">
        <v>24</v>
      </c>
    </row>
    <row r="17355" spans="1:5">
      <c r="A17355" t="s">
        <v>20091</v>
      </c>
      <c r="B17355" t="s">
        <v>20098</v>
      </c>
      <c r="C17355">
        <v>0</v>
      </c>
      <c r="D17355" t="s">
        <v>106</v>
      </c>
      <c r="E17355">
        <v>24</v>
      </c>
    </row>
    <row r="17356" spans="1:5">
      <c r="A17356" t="s">
        <v>20091</v>
      </c>
      <c r="B17356" t="s">
        <v>20099</v>
      </c>
      <c r="C17356">
        <v>0</v>
      </c>
      <c r="D17356" t="s">
        <v>106</v>
      </c>
      <c r="E17356">
        <v>24</v>
      </c>
    </row>
    <row r="17357" spans="1:5">
      <c r="A17357" t="s">
        <v>20091</v>
      </c>
      <c r="B17357" t="s">
        <v>20100</v>
      </c>
      <c r="C17357">
        <v>0</v>
      </c>
      <c r="D17357" t="s">
        <v>106</v>
      </c>
      <c r="E17357">
        <v>24</v>
      </c>
    </row>
    <row r="17358" spans="1:5">
      <c r="A17358" t="s">
        <v>20091</v>
      </c>
      <c r="B17358" t="s">
        <v>20101</v>
      </c>
      <c r="C17358">
        <v>0</v>
      </c>
      <c r="D17358" t="s">
        <v>106</v>
      </c>
      <c r="E17358">
        <v>24</v>
      </c>
    </row>
    <row r="17359" spans="1:5">
      <c r="A17359" t="s">
        <v>20102</v>
      </c>
      <c r="B17359" t="s">
        <v>20103</v>
      </c>
      <c r="C17359">
        <f>0</f>
        <v>0</v>
      </c>
      <c r="D17359" t="s">
        <v>106</v>
      </c>
      <c r="E17359">
        <v>5.5772113943028403</v>
      </c>
    </row>
    <row r="17360" spans="1:5">
      <c r="A17360" t="s">
        <v>20102</v>
      </c>
      <c r="B17360" t="s">
        <v>20104</v>
      </c>
      <c r="C17360">
        <v>0</v>
      </c>
      <c r="D17360" t="s">
        <v>106</v>
      </c>
      <c r="E17360">
        <v>5.5772113943028403</v>
      </c>
    </row>
    <row r="17361" spans="1:5">
      <c r="A17361" t="s">
        <v>20102</v>
      </c>
      <c r="B17361" t="s">
        <v>20105</v>
      </c>
      <c r="C17361">
        <f>0</f>
        <v>0</v>
      </c>
      <c r="D17361" t="s">
        <v>106</v>
      </c>
      <c r="E17361">
        <v>5.5772113943028403</v>
      </c>
    </row>
    <row r="17362" spans="1:5">
      <c r="A17362" t="s">
        <v>20102</v>
      </c>
      <c r="B17362" t="s">
        <v>20106</v>
      </c>
      <c r="C17362">
        <f>0</f>
        <v>0</v>
      </c>
      <c r="D17362" t="s">
        <v>106</v>
      </c>
      <c r="E17362">
        <v>5.5772113943028403</v>
      </c>
    </row>
    <row r="17363" spans="1:5">
      <c r="A17363" t="s">
        <v>20102</v>
      </c>
      <c r="B17363" t="s">
        <v>20107</v>
      </c>
      <c r="C17363">
        <v>0</v>
      </c>
      <c r="D17363" t="s">
        <v>106</v>
      </c>
      <c r="E17363">
        <v>5.5772113943028403</v>
      </c>
    </row>
    <row r="17364" spans="1:5">
      <c r="A17364" t="s">
        <v>20102</v>
      </c>
      <c r="B17364" t="s">
        <v>20108</v>
      </c>
      <c r="C17364">
        <v>0</v>
      </c>
      <c r="D17364" t="s">
        <v>106</v>
      </c>
      <c r="E17364">
        <v>5.5772113943028403</v>
      </c>
    </row>
    <row r="17365" spans="1:5">
      <c r="A17365" t="s">
        <v>20102</v>
      </c>
      <c r="B17365" t="s">
        <v>20109</v>
      </c>
      <c r="C17365">
        <v>0</v>
      </c>
      <c r="D17365" t="s">
        <v>106</v>
      </c>
      <c r="E17365">
        <v>5.5772113943028403</v>
      </c>
    </row>
    <row r="17366" spans="1:5">
      <c r="A17366" t="s">
        <v>20102</v>
      </c>
      <c r="B17366" t="s">
        <v>20110</v>
      </c>
      <c r="C17366">
        <f>0</f>
        <v>0</v>
      </c>
      <c r="D17366" t="s">
        <v>106</v>
      </c>
      <c r="E17366">
        <v>5.5772113943028403</v>
      </c>
    </row>
    <row r="17367" spans="1:5">
      <c r="A17367" t="s">
        <v>20102</v>
      </c>
      <c r="B17367" t="s">
        <v>20111</v>
      </c>
      <c r="C17367">
        <v>0</v>
      </c>
      <c r="D17367" t="s">
        <v>106</v>
      </c>
      <c r="E17367">
        <v>5.5772113943028403</v>
      </c>
    </row>
    <row r="17368" spans="1:5">
      <c r="A17368" t="s">
        <v>20102</v>
      </c>
      <c r="B17368" t="s">
        <v>20112</v>
      </c>
      <c r="C17368">
        <v>0</v>
      </c>
      <c r="D17368" t="s">
        <v>106</v>
      </c>
      <c r="E17368">
        <v>5.5772113943028403</v>
      </c>
    </row>
    <row r="17369" spans="1:5">
      <c r="A17369" t="s">
        <v>20113</v>
      </c>
      <c r="B17369" t="s">
        <v>20114</v>
      </c>
      <c r="C17369">
        <v>0</v>
      </c>
      <c r="D17369">
        <v>0.86565542323599998</v>
      </c>
      <c r="E17369">
        <v>9.6191904047975996</v>
      </c>
    </row>
    <row r="17370" spans="1:5">
      <c r="A17370" t="s">
        <v>20113</v>
      </c>
      <c r="B17370" t="s">
        <v>20115</v>
      </c>
      <c r="C17370">
        <v>0</v>
      </c>
      <c r="D17370">
        <v>0.86565542323599998</v>
      </c>
      <c r="E17370">
        <v>9.6191904047975996</v>
      </c>
    </row>
    <row r="17371" spans="1:5">
      <c r="A17371" t="s">
        <v>20113</v>
      </c>
      <c r="B17371" t="s">
        <v>20116</v>
      </c>
      <c r="C17371">
        <f>0</f>
        <v>0</v>
      </c>
      <c r="D17371">
        <v>0.86565542323599998</v>
      </c>
      <c r="E17371">
        <v>9.6191904047975996</v>
      </c>
    </row>
    <row r="17372" spans="1:5">
      <c r="A17372" t="s">
        <v>20113</v>
      </c>
      <c r="B17372" t="s">
        <v>20117</v>
      </c>
      <c r="C17372">
        <f>0.163376528226</f>
        <v>0.16337652822599999</v>
      </c>
      <c r="D17372">
        <v>0.86565542323599998</v>
      </c>
      <c r="E17372">
        <v>9.6191904047975996</v>
      </c>
    </row>
    <row r="17373" spans="1:5">
      <c r="A17373" t="s">
        <v>20113</v>
      </c>
      <c r="B17373" t="s">
        <v>20118</v>
      </c>
      <c r="C17373">
        <v>0</v>
      </c>
      <c r="D17373">
        <v>0.86565542323599998</v>
      </c>
      <c r="E17373">
        <v>9.6191904047975996</v>
      </c>
    </row>
    <row r="17374" spans="1:5">
      <c r="A17374" t="s">
        <v>20119</v>
      </c>
      <c r="B17374" t="s">
        <v>20120</v>
      </c>
      <c r="C17374">
        <v>0</v>
      </c>
      <c r="D17374">
        <v>0.880076254542</v>
      </c>
      <c r="E17374">
        <v>5.8170914542728598</v>
      </c>
    </row>
    <row r="17375" spans="1:5">
      <c r="A17375" t="s">
        <v>20119</v>
      </c>
      <c r="B17375" t="s">
        <v>20121</v>
      </c>
      <c r="C17375">
        <v>0</v>
      </c>
      <c r="D17375">
        <v>0.880076254542</v>
      </c>
      <c r="E17375">
        <v>5.8170914542728598</v>
      </c>
    </row>
    <row r="17376" spans="1:5">
      <c r="A17376" t="s">
        <v>20119</v>
      </c>
      <c r="B17376" t="s">
        <v>20122</v>
      </c>
      <c r="C17376">
        <f>0</f>
        <v>0</v>
      </c>
      <c r="D17376">
        <v>0.880076254542</v>
      </c>
      <c r="E17376">
        <v>5.8170914542728598</v>
      </c>
    </row>
    <row r="17377" spans="1:5">
      <c r="A17377" t="s">
        <v>20119</v>
      </c>
      <c r="B17377" t="s">
        <v>20123</v>
      </c>
      <c r="C17377">
        <v>4.7643532788700003E-2</v>
      </c>
      <c r="D17377">
        <v>0.880076254542</v>
      </c>
      <c r="E17377">
        <v>5.8170914542728598</v>
      </c>
    </row>
    <row r="17378" spans="1:5">
      <c r="A17378" t="s">
        <v>20119</v>
      </c>
      <c r="B17378" t="s">
        <v>20124</v>
      </c>
      <c r="C17378">
        <f>0</f>
        <v>0</v>
      </c>
      <c r="D17378">
        <v>0.880076254542</v>
      </c>
      <c r="E17378">
        <v>5.8170914542728598</v>
      </c>
    </row>
    <row r="17379" spans="1:5">
      <c r="A17379" t="s">
        <v>20119</v>
      </c>
      <c r="B17379" t="s">
        <v>20125</v>
      </c>
      <c r="C17379">
        <v>0</v>
      </c>
      <c r="D17379">
        <v>0.880076254542</v>
      </c>
      <c r="E17379">
        <v>5.8170914542728598</v>
      </c>
    </row>
    <row r="17380" spans="1:5">
      <c r="A17380" t="s">
        <v>20119</v>
      </c>
      <c r="B17380" t="s">
        <v>20126</v>
      </c>
      <c r="C17380">
        <f>0.00955203563817</f>
        <v>9.5520356381699999E-3</v>
      </c>
      <c r="D17380">
        <v>0.880076254542</v>
      </c>
      <c r="E17380">
        <v>5.8170914542728598</v>
      </c>
    </row>
    <row r="17381" spans="1:5">
      <c r="A17381" t="s">
        <v>20119</v>
      </c>
      <c r="B17381" t="s">
        <v>20127</v>
      </c>
      <c r="C17381">
        <v>0</v>
      </c>
      <c r="D17381">
        <v>0.880076254542</v>
      </c>
      <c r="E17381">
        <v>5.8170914542728598</v>
      </c>
    </row>
    <row r="17382" spans="1:5">
      <c r="A17382" t="s">
        <v>20128</v>
      </c>
      <c r="B17382" t="s">
        <v>20129</v>
      </c>
      <c r="C17382">
        <v>0</v>
      </c>
      <c r="D17382">
        <v>0.71675466486999995</v>
      </c>
      <c r="E17382">
        <v>4.1739130434782599</v>
      </c>
    </row>
    <row r="17383" spans="1:5">
      <c r="A17383" t="s">
        <v>20128</v>
      </c>
      <c r="B17383" t="s">
        <v>20130</v>
      </c>
      <c r="C17383">
        <v>0.119310489171</v>
      </c>
      <c r="D17383">
        <v>0.71675466486999995</v>
      </c>
      <c r="E17383">
        <v>4.1739130434782599</v>
      </c>
    </row>
    <row r="17384" spans="1:5">
      <c r="A17384" t="s">
        <v>20131</v>
      </c>
      <c r="B17384" t="s">
        <v>20132</v>
      </c>
      <c r="C17384">
        <f>0</f>
        <v>0</v>
      </c>
      <c r="D17384">
        <v>0.67131192405100004</v>
      </c>
      <c r="E17384">
        <v>6.1769115442278801</v>
      </c>
    </row>
    <row r="17385" spans="1:5">
      <c r="A17385" t="s">
        <v>20131</v>
      </c>
      <c r="B17385" t="s">
        <v>20133</v>
      </c>
      <c r="C17385">
        <v>0</v>
      </c>
      <c r="D17385">
        <v>0.67131192405100004</v>
      </c>
      <c r="E17385">
        <v>6.1769115442278801</v>
      </c>
    </row>
    <row r="17386" spans="1:5">
      <c r="A17386" t="s">
        <v>20131</v>
      </c>
      <c r="B17386" t="s">
        <v>20134</v>
      </c>
      <c r="C17386">
        <v>0</v>
      </c>
      <c r="D17386">
        <v>0.67131192405100004</v>
      </c>
      <c r="E17386">
        <v>6.1769115442278801</v>
      </c>
    </row>
    <row r="17387" spans="1:5">
      <c r="A17387" t="s">
        <v>20131</v>
      </c>
      <c r="B17387" t="s">
        <v>20135</v>
      </c>
      <c r="C17387">
        <f>0</f>
        <v>0</v>
      </c>
      <c r="D17387">
        <v>0.67131192405100004</v>
      </c>
      <c r="E17387">
        <v>6.1769115442278801</v>
      </c>
    </row>
    <row r="17388" spans="1:5">
      <c r="A17388" t="s">
        <v>20136</v>
      </c>
      <c r="B17388" t="s">
        <v>20137</v>
      </c>
      <c r="C17388">
        <v>0.23401081987799999</v>
      </c>
      <c r="D17388" t="s">
        <v>106</v>
      </c>
      <c r="E17388">
        <v>24</v>
      </c>
    </row>
    <row r="17389" spans="1:5">
      <c r="A17389" t="s">
        <v>20138</v>
      </c>
      <c r="B17389" t="s">
        <v>20139</v>
      </c>
      <c r="C17389">
        <v>0.71902891590700002</v>
      </c>
      <c r="D17389">
        <v>0.86628238438299998</v>
      </c>
      <c r="E17389">
        <v>1.57121439280359</v>
      </c>
    </row>
    <row r="17390" spans="1:5">
      <c r="A17390" t="s">
        <v>20138</v>
      </c>
      <c r="B17390" t="s">
        <v>20140</v>
      </c>
      <c r="C17390">
        <v>0</v>
      </c>
      <c r="D17390">
        <v>0.86628238438299998</v>
      </c>
      <c r="E17390">
        <v>1.57121439280359</v>
      </c>
    </row>
    <row r="17391" spans="1:5">
      <c r="A17391" t="s">
        <v>20141</v>
      </c>
      <c r="B17391" t="s">
        <v>20142</v>
      </c>
      <c r="C17391">
        <v>0</v>
      </c>
      <c r="D17391" t="s">
        <v>106</v>
      </c>
      <c r="E17391">
        <v>10.710644677661101</v>
      </c>
    </row>
    <row r="17392" spans="1:5">
      <c r="A17392" t="s">
        <v>20141</v>
      </c>
      <c r="B17392" t="s">
        <v>20143</v>
      </c>
      <c r="C17392">
        <v>0</v>
      </c>
      <c r="D17392" t="s">
        <v>106</v>
      </c>
      <c r="E17392">
        <v>10.710644677661101</v>
      </c>
    </row>
    <row r="17393" spans="1:5">
      <c r="A17393" t="s">
        <v>20141</v>
      </c>
      <c r="B17393" t="s">
        <v>20144</v>
      </c>
      <c r="C17393">
        <f>0</f>
        <v>0</v>
      </c>
      <c r="D17393" t="s">
        <v>106</v>
      </c>
      <c r="E17393">
        <v>10.710644677661101</v>
      </c>
    </row>
    <row r="17394" spans="1:5">
      <c r="A17394" t="s">
        <v>20141</v>
      </c>
      <c r="B17394" t="s">
        <v>20145</v>
      </c>
      <c r="C17394">
        <f>0</f>
        <v>0</v>
      </c>
      <c r="D17394" t="s">
        <v>106</v>
      </c>
      <c r="E17394">
        <v>10.710644677661101</v>
      </c>
    </row>
    <row r="17395" spans="1:5">
      <c r="A17395" t="s">
        <v>20141</v>
      </c>
      <c r="B17395" t="s">
        <v>20146</v>
      </c>
      <c r="C17395">
        <f>0</f>
        <v>0</v>
      </c>
      <c r="D17395" t="s">
        <v>106</v>
      </c>
      <c r="E17395">
        <v>10.710644677661101</v>
      </c>
    </row>
    <row r="17396" spans="1:5">
      <c r="A17396" t="s">
        <v>20141</v>
      </c>
      <c r="B17396" t="s">
        <v>20147</v>
      </c>
      <c r="C17396">
        <v>0</v>
      </c>
      <c r="D17396" t="s">
        <v>106</v>
      </c>
      <c r="E17396">
        <v>10.710644677661101</v>
      </c>
    </row>
    <row r="17397" spans="1:5">
      <c r="A17397" t="s">
        <v>20141</v>
      </c>
      <c r="B17397" t="s">
        <v>20148</v>
      </c>
      <c r="C17397">
        <v>0</v>
      </c>
      <c r="D17397" t="s">
        <v>106</v>
      </c>
      <c r="E17397">
        <v>10.710644677661101</v>
      </c>
    </row>
    <row r="17398" spans="1:5">
      <c r="A17398" t="s">
        <v>20141</v>
      </c>
      <c r="B17398" t="s">
        <v>20149</v>
      </c>
      <c r="C17398">
        <f>0</f>
        <v>0</v>
      </c>
      <c r="D17398" t="s">
        <v>106</v>
      </c>
      <c r="E17398">
        <v>10.710644677661101</v>
      </c>
    </row>
    <row r="17399" spans="1:5">
      <c r="A17399" t="s">
        <v>20141</v>
      </c>
      <c r="B17399" t="s">
        <v>20150</v>
      </c>
      <c r="C17399">
        <v>0</v>
      </c>
      <c r="D17399" t="s">
        <v>106</v>
      </c>
      <c r="E17399">
        <v>10.710644677661101</v>
      </c>
    </row>
    <row r="17400" spans="1:5">
      <c r="A17400" t="s">
        <v>20151</v>
      </c>
      <c r="B17400" t="s">
        <v>20152</v>
      </c>
      <c r="C17400">
        <v>0</v>
      </c>
      <c r="D17400" t="s">
        <v>106</v>
      </c>
      <c r="E17400">
        <v>13.625187406296799</v>
      </c>
    </row>
    <row r="17401" spans="1:5">
      <c r="A17401" t="s">
        <v>20151</v>
      </c>
      <c r="B17401" t="s">
        <v>20153</v>
      </c>
      <c r="C17401">
        <f>0</f>
        <v>0</v>
      </c>
      <c r="D17401" t="s">
        <v>106</v>
      </c>
      <c r="E17401">
        <v>13.625187406296799</v>
      </c>
    </row>
    <row r="17402" spans="1:5">
      <c r="A17402" t="s">
        <v>20151</v>
      </c>
      <c r="B17402" t="s">
        <v>20154</v>
      </c>
      <c r="C17402">
        <v>0</v>
      </c>
      <c r="D17402" t="s">
        <v>106</v>
      </c>
      <c r="E17402">
        <v>13.625187406296799</v>
      </c>
    </row>
    <row r="17403" spans="1:5">
      <c r="A17403" t="s">
        <v>20151</v>
      </c>
      <c r="B17403" t="s">
        <v>20155</v>
      </c>
      <c r="C17403">
        <f>0</f>
        <v>0</v>
      </c>
      <c r="D17403" t="s">
        <v>106</v>
      </c>
      <c r="E17403">
        <v>13.625187406296799</v>
      </c>
    </row>
    <row r="17404" spans="1:5">
      <c r="A17404" t="s">
        <v>20156</v>
      </c>
      <c r="B17404" t="s">
        <v>20157</v>
      </c>
      <c r="C17404">
        <f>0</f>
        <v>0</v>
      </c>
      <c r="D17404" t="s">
        <v>106</v>
      </c>
      <c r="E17404">
        <v>6.0569715142428704</v>
      </c>
    </row>
    <row r="17405" spans="1:5">
      <c r="A17405" t="s">
        <v>20156</v>
      </c>
      <c r="B17405" t="s">
        <v>20158</v>
      </c>
      <c r="C17405">
        <v>0</v>
      </c>
      <c r="D17405" t="s">
        <v>106</v>
      </c>
      <c r="E17405">
        <v>6.0569715142428704</v>
      </c>
    </row>
    <row r="17406" spans="1:5">
      <c r="A17406" t="s">
        <v>20156</v>
      </c>
      <c r="B17406" t="s">
        <v>20159</v>
      </c>
      <c r="C17406">
        <f>0</f>
        <v>0</v>
      </c>
      <c r="D17406" t="s">
        <v>106</v>
      </c>
      <c r="E17406">
        <v>6.0569715142428704</v>
      </c>
    </row>
    <row r="17407" spans="1:5">
      <c r="A17407" t="s">
        <v>20156</v>
      </c>
      <c r="B17407" t="s">
        <v>20160</v>
      </c>
      <c r="C17407">
        <v>0</v>
      </c>
      <c r="D17407" t="s">
        <v>106</v>
      </c>
      <c r="E17407">
        <v>6.0569715142428704</v>
      </c>
    </row>
    <row r="17408" spans="1:5">
      <c r="A17408" t="s">
        <v>20156</v>
      </c>
      <c r="B17408" t="s">
        <v>20161</v>
      </c>
      <c r="C17408">
        <f>0</f>
        <v>0</v>
      </c>
      <c r="D17408" t="s">
        <v>106</v>
      </c>
      <c r="E17408">
        <v>6.0569715142428704</v>
      </c>
    </row>
    <row r="17409" spans="1:5">
      <c r="A17409" t="s">
        <v>20156</v>
      </c>
      <c r="B17409" t="s">
        <v>20162</v>
      </c>
      <c r="C17409">
        <f>0</f>
        <v>0</v>
      </c>
      <c r="D17409" t="s">
        <v>106</v>
      </c>
      <c r="E17409">
        <v>6.0569715142428704</v>
      </c>
    </row>
    <row r="17410" spans="1:5">
      <c r="A17410" t="s">
        <v>20156</v>
      </c>
      <c r="B17410" t="s">
        <v>20163</v>
      </c>
      <c r="C17410">
        <v>0</v>
      </c>
      <c r="D17410" t="s">
        <v>106</v>
      </c>
      <c r="E17410">
        <v>6.0569715142428704</v>
      </c>
    </row>
    <row r="17411" spans="1:5">
      <c r="A17411" t="s">
        <v>20156</v>
      </c>
      <c r="B17411" t="s">
        <v>20164</v>
      </c>
      <c r="C17411">
        <v>6.3853411921599998E-3</v>
      </c>
      <c r="D17411" t="s">
        <v>106</v>
      </c>
      <c r="E17411">
        <v>6.0569715142428704</v>
      </c>
    </row>
    <row r="17412" spans="1:5">
      <c r="A17412" t="s">
        <v>20156</v>
      </c>
      <c r="B17412" t="s">
        <v>20165</v>
      </c>
      <c r="C17412">
        <v>0</v>
      </c>
      <c r="D17412" t="s">
        <v>106</v>
      </c>
      <c r="E17412">
        <v>6.0569715142428704</v>
      </c>
    </row>
    <row r="17413" spans="1:5">
      <c r="A17413" t="s">
        <v>20166</v>
      </c>
      <c r="B17413" t="s">
        <v>20167</v>
      </c>
      <c r="C17413">
        <f>0</f>
        <v>0</v>
      </c>
      <c r="D17413" t="s">
        <v>106</v>
      </c>
      <c r="E17413">
        <v>0.57571214392803505</v>
      </c>
    </row>
    <row r="17414" spans="1:5">
      <c r="A17414" t="s">
        <v>20166</v>
      </c>
      <c r="B17414" t="s">
        <v>20168</v>
      </c>
      <c r="C17414">
        <f>0</f>
        <v>0</v>
      </c>
      <c r="D17414" t="s">
        <v>106</v>
      </c>
      <c r="E17414">
        <v>0.57571214392803505</v>
      </c>
    </row>
    <row r="17415" spans="1:5">
      <c r="A17415" t="s">
        <v>20166</v>
      </c>
      <c r="B17415" t="s">
        <v>20169</v>
      </c>
      <c r="C17415">
        <f>0</f>
        <v>0</v>
      </c>
      <c r="D17415" t="s">
        <v>106</v>
      </c>
      <c r="E17415">
        <v>0.57571214392803505</v>
      </c>
    </row>
    <row r="17416" spans="1:5">
      <c r="A17416" t="s">
        <v>20166</v>
      </c>
      <c r="B17416" t="s">
        <v>20170</v>
      </c>
      <c r="C17416">
        <f>0</f>
        <v>0</v>
      </c>
      <c r="D17416" t="s">
        <v>106</v>
      </c>
      <c r="E17416">
        <v>0.57571214392803505</v>
      </c>
    </row>
    <row r="17417" spans="1:5">
      <c r="A17417" t="s">
        <v>20166</v>
      </c>
      <c r="B17417" t="s">
        <v>20171</v>
      </c>
      <c r="C17417">
        <f>0</f>
        <v>0</v>
      </c>
      <c r="D17417" t="s">
        <v>106</v>
      </c>
      <c r="E17417">
        <v>0.57571214392803505</v>
      </c>
    </row>
    <row r="17418" spans="1:5">
      <c r="A17418" t="s">
        <v>20166</v>
      </c>
      <c r="B17418" t="s">
        <v>20172</v>
      </c>
      <c r="C17418">
        <v>0</v>
      </c>
      <c r="D17418" t="s">
        <v>106</v>
      </c>
      <c r="E17418">
        <v>0.57571214392803505</v>
      </c>
    </row>
    <row r="17419" spans="1:5">
      <c r="A17419" t="s">
        <v>20173</v>
      </c>
      <c r="B17419" t="s">
        <v>20174</v>
      </c>
      <c r="C17419">
        <f>0</f>
        <v>0</v>
      </c>
      <c r="D17419">
        <v>0.994267394335</v>
      </c>
      <c r="E17419">
        <v>1.96701649175412</v>
      </c>
    </row>
    <row r="17420" spans="1:5">
      <c r="A17420" t="s">
        <v>20173</v>
      </c>
      <c r="B17420" t="s">
        <v>20175</v>
      </c>
      <c r="C17420">
        <f>0.161812022302</f>
        <v>0.16181202230200001</v>
      </c>
      <c r="D17420">
        <v>0.994267394335</v>
      </c>
      <c r="E17420">
        <v>1.96701649175412</v>
      </c>
    </row>
    <row r="17421" spans="1:5">
      <c r="A17421" t="s">
        <v>20173</v>
      </c>
      <c r="B17421" t="s">
        <v>20176</v>
      </c>
      <c r="C17421">
        <v>0</v>
      </c>
      <c r="D17421">
        <v>0.994267394335</v>
      </c>
      <c r="E17421">
        <v>1.96701649175412</v>
      </c>
    </row>
    <row r="17422" spans="1:5">
      <c r="A17422" t="s">
        <v>20173</v>
      </c>
      <c r="B17422" t="s">
        <v>20177</v>
      </c>
      <c r="C17422">
        <f>0</f>
        <v>0</v>
      </c>
      <c r="D17422">
        <v>0.994267394335</v>
      </c>
      <c r="E17422">
        <v>1.96701649175412</v>
      </c>
    </row>
    <row r="17423" spans="1:5">
      <c r="A17423" t="s">
        <v>20173</v>
      </c>
      <c r="B17423" t="s">
        <v>20178</v>
      </c>
      <c r="C17423">
        <f>0.00215199820647</f>
        <v>2.15199820647E-3</v>
      </c>
      <c r="D17423">
        <v>0.994267394335</v>
      </c>
      <c r="E17423">
        <v>1.96701649175412</v>
      </c>
    </row>
    <row r="17424" spans="1:5">
      <c r="A17424" t="s">
        <v>20173</v>
      </c>
      <c r="B17424" t="s">
        <v>20179</v>
      </c>
      <c r="C17424">
        <f>0</f>
        <v>0</v>
      </c>
      <c r="D17424">
        <v>0.994267394335</v>
      </c>
      <c r="E17424">
        <v>1.96701649175412</v>
      </c>
    </row>
    <row r="17425" spans="1:5">
      <c r="A17425" t="s">
        <v>20173</v>
      </c>
      <c r="B17425" t="s">
        <v>20180</v>
      </c>
      <c r="C17425">
        <v>0</v>
      </c>
      <c r="D17425">
        <v>0.994267394335</v>
      </c>
      <c r="E17425">
        <v>1.96701649175412</v>
      </c>
    </row>
    <row r="17426" spans="1:5">
      <c r="A17426" t="s">
        <v>20173</v>
      </c>
      <c r="B17426" t="s">
        <v>20181</v>
      </c>
      <c r="C17426">
        <f>0.50539626312</f>
        <v>0.50539626311999997</v>
      </c>
      <c r="D17426">
        <v>0.994267394335</v>
      </c>
      <c r="E17426">
        <v>1.96701649175412</v>
      </c>
    </row>
    <row r="17427" spans="1:5">
      <c r="A17427" t="s">
        <v>20182</v>
      </c>
      <c r="B17427" t="s">
        <v>20183</v>
      </c>
      <c r="C17427">
        <v>0</v>
      </c>
      <c r="D17427" t="s">
        <v>106</v>
      </c>
      <c r="E17427">
        <v>15.1244377811094</v>
      </c>
    </row>
    <row r="17428" spans="1:5">
      <c r="A17428" t="s">
        <v>20182</v>
      </c>
      <c r="B17428" t="s">
        <v>20184</v>
      </c>
      <c r="C17428">
        <v>0</v>
      </c>
      <c r="D17428" t="s">
        <v>106</v>
      </c>
      <c r="E17428">
        <v>15.1244377811094</v>
      </c>
    </row>
    <row r="17429" spans="1:5">
      <c r="A17429" t="s">
        <v>20182</v>
      </c>
      <c r="B17429" t="s">
        <v>20185</v>
      </c>
      <c r="C17429">
        <v>0</v>
      </c>
      <c r="D17429" t="s">
        <v>106</v>
      </c>
      <c r="E17429">
        <v>15.1244377811094</v>
      </c>
    </row>
    <row r="17430" spans="1:5">
      <c r="A17430" t="s">
        <v>20182</v>
      </c>
      <c r="B17430" t="s">
        <v>20186</v>
      </c>
      <c r="C17430">
        <v>0</v>
      </c>
      <c r="D17430" t="s">
        <v>106</v>
      </c>
      <c r="E17430">
        <v>15.1244377811094</v>
      </c>
    </row>
    <row r="17431" spans="1:5">
      <c r="A17431" t="s">
        <v>20182</v>
      </c>
      <c r="B17431" t="s">
        <v>20187</v>
      </c>
      <c r="C17431">
        <v>0</v>
      </c>
      <c r="D17431" t="s">
        <v>106</v>
      </c>
      <c r="E17431">
        <v>15.1244377811094</v>
      </c>
    </row>
    <row r="17432" spans="1:5">
      <c r="A17432" t="s">
        <v>20182</v>
      </c>
      <c r="B17432" t="s">
        <v>20188</v>
      </c>
      <c r="C17432">
        <v>0</v>
      </c>
      <c r="D17432" t="s">
        <v>106</v>
      </c>
      <c r="E17432">
        <v>15.1244377811094</v>
      </c>
    </row>
    <row r="17433" spans="1:5">
      <c r="A17433" t="s">
        <v>20182</v>
      </c>
      <c r="B17433" t="s">
        <v>20189</v>
      </c>
      <c r="C17433">
        <v>0</v>
      </c>
      <c r="D17433" t="s">
        <v>106</v>
      </c>
      <c r="E17433">
        <v>15.1244377811094</v>
      </c>
    </row>
    <row r="17434" spans="1:5">
      <c r="A17434" t="s">
        <v>20190</v>
      </c>
      <c r="B17434" t="s">
        <v>20191</v>
      </c>
      <c r="C17434">
        <f>0</f>
        <v>0</v>
      </c>
      <c r="D17434">
        <v>0.93660631659899996</v>
      </c>
      <c r="E17434">
        <v>3.13043478260869</v>
      </c>
    </row>
    <row r="17435" spans="1:5">
      <c r="A17435" t="s">
        <v>20190</v>
      </c>
      <c r="B17435" t="s">
        <v>20192</v>
      </c>
      <c r="C17435">
        <v>0</v>
      </c>
      <c r="D17435">
        <v>0.93660631659899996</v>
      </c>
      <c r="E17435">
        <v>3.13043478260869</v>
      </c>
    </row>
    <row r="17436" spans="1:5">
      <c r="A17436" t="s">
        <v>20190</v>
      </c>
      <c r="B17436" t="s">
        <v>20193</v>
      </c>
      <c r="C17436">
        <v>0.23609029667699999</v>
      </c>
      <c r="D17436">
        <v>0.93660631659899996</v>
      </c>
      <c r="E17436">
        <v>3.13043478260869</v>
      </c>
    </row>
    <row r="17437" spans="1:5">
      <c r="A17437" t="s">
        <v>20190</v>
      </c>
      <c r="B17437" t="s">
        <v>20194</v>
      </c>
      <c r="C17437">
        <v>0</v>
      </c>
      <c r="D17437">
        <v>0.93660631659899996</v>
      </c>
      <c r="E17437">
        <v>3.13043478260869</v>
      </c>
    </row>
    <row r="17438" spans="1:5">
      <c r="A17438" t="s">
        <v>20190</v>
      </c>
      <c r="B17438" t="s">
        <v>20195</v>
      </c>
      <c r="C17438">
        <v>0</v>
      </c>
      <c r="D17438">
        <v>0.93660631659899996</v>
      </c>
      <c r="E17438">
        <v>3.13043478260869</v>
      </c>
    </row>
    <row r="17439" spans="1:5">
      <c r="A17439" t="s">
        <v>20190</v>
      </c>
      <c r="B17439" t="s">
        <v>20196</v>
      </c>
      <c r="C17439">
        <v>0.15940045007600001</v>
      </c>
      <c r="D17439">
        <v>0.93660631659899996</v>
      </c>
      <c r="E17439">
        <v>3.13043478260869</v>
      </c>
    </row>
    <row r="17440" spans="1:5">
      <c r="A17440" t="s">
        <v>20197</v>
      </c>
      <c r="B17440" t="s">
        <v>20198</v>
      </c>
      <c r="C17440">
        <v>0</v>
      </c>
      <c r="D17440" t="s">
        <v>106</v>
      </c>
      <c r="E17440">
        <v>1.33133433283358</v>
      </c>
    </row>
    <row r="17441" spans="1:5">
      <c r="A17441" t="s">
        <v>20197</v>
      </c>
      <c r="B17441" t="s">
        <v>20199</v>
      </c>
      <c r="C17441">
        <f>0</f>
        <v>0</v>
      </c>
      <c r="D17441" t="s">
        <v>106</v>
      </c>
      <c r="E17441">
        <v>1.33133433283358</v>
      </c>
    </row>
    <row r="17442" spans="1:5">
      <c r="A17442" t="s">
        <v>20197</v>
      </c>
      <c r="B17442" t="s">
        <v>20200</v>
      </c>
      <c r="C17442">
        <v>0</v>
      </c>
      <c r="D17442" t="s">
        <v>106</v>
      </c>
      <c r="E17442">
        <v>1.33133433283358</v>
      </c>
    </row>
    <row r="17443" spans="1:5">
      <c r="A17443" t="s">
        <v>20197</v>
      </c>
      <c r="B17443" t="s">
        <v>20201</v>
      </c>
      <c r="C17443">
        <f>0</f>
        <v>0</v>
      </c>
      <c r="D17443" t="s">
        <v>106</v>
      </c>
      <c r="E17443">
        <v>1.33133433283358</v>
      </c>
    </row>
    <row r="17444" spans="1:5">
      <c r="A17444" t="s">
        <v>20202</v>
      </c>
      <c r="B17444" t="s">
        <v>20203</v>
      </c>
      <c r="C17444">
        <f>0</f>
        <v>0</v>
      </c>
      <c r="D17444">
        <v>0.94579500029100005</v>
      </c>
      <c r="E17444">
        <v>6.0569715142428704</v>
      </c>
    </row>
    <row r="17445" spans="1:5">
      <c r="A17445" t="s">
        <v>20202</v>
      </c>
      <c r="B17445" t="s">
        <v>20204</v>
      </c>
      <c r="C17445">
        <f>0</f>
        <v>0</v>
      </c>
      <c r="D17445">
        <v>0.94579500029100005</v>
      </c>
      <c r="E17445">
        <v>6.0569715142428704</v>
      </c>
    </row>
    <row r="17446" spans="1:5">
      <c r="A17446" t="s">
        <v>20202</v>
      </c>
      <c r="B17446" t="s">
        <v>20205</v>
      </c>
      <c r="C17446">
        <f>0</f>
        <v>0</v>
      </c>
      <c r="D17446">
        <v>0.94579500029100005</v>
      </c>
      <c r="E17446">
        <v>6.0569715142428704</v>
      </c>
    </row>
    <row r="17447" spans="1:5">
      <c r="A17447" t="s">
        <v>20202</v>
      </c>
      <c r="B17447" t="s">
        <v>20206</v>
      </c>
      <c r="C17447">
        <f>0</f>
        <v>0</v>
      </c>
      <c r="D17447">
        <v>0.94579500029100005</v>
      </c>
      <c r="E17447">
        <v>6.0569715142428704</v>
      </c>
    </row>
    <row r="17448" spans="1:5">
      <c r="A17448" t="s">
        <v>20202</v>
      </c>
      <c r="B17448" t="s">
        <v>20207</v>
      </c>
      <c r="C17448">
        <f>0</f>
        <v>0</v>
      </c>
      <c r="D17448">
        <v>0.94579500029100005</v>
      </c>
      <c r="E17448">
        <v>6.0569715142428704</v>
      </c>
    </row>
    <row r="17449" spans="1:5">
      <c r="A17449" t="s">
        <v>20208</v>
      </c>
      <c r="B17449" t="s">
        <v>20209</v>
      </c>
      <c r="C17449">
        <v>0</v>
      </c>
      <c r="D17449">
        <v>0.87012776865700003</v>
      </c>
      <c r="E17449">
        <v>24</v>
      </c>
    </row>
    <row r="17450" spans="1:5">
      <c r="A17450" t="s">
        <v>20208</v>
      </c>
      <c r="B17450" t="s">
        <v>20210</v>
      </c>
      <c r="C17450">
        <v>0</v>
      </c>
      <c r="D17450">
        <v>0.87012776865700003</v>
      </c>
      <c r="E17450">
        <v>24</v>
      </c>
    </row>
    <row r="17451" spans="1:5">
      <c r="A17451" t="s">
        <v>20208</v>
      </c>
      <c r="B17451" t="s">
        <v>20211</v>
      </c>
      <c r="C17451">
        <v>6.6450764249799996E-2</v>
      </c>
      <c r="D17451">
        <v>0.87012776865700003</v>
      </c>
      <c r="E17451">
        <v>24</v>
      </c>
    </row>
    <row r="17452" spans="1:5">
      <c r="A17452" t="s">
        <v>20208</v>
      </c>
      <c r="B17452" t="s">
        <v>20212</v>
      </c>
      <c r="C17452">
        <v>0</v>
      </c>
      <c r="D17452">
        <v>0.87012776865700003</v>
      </c>
      <c r="E17452">
        <v>24</v>
      </c>
    </row>
    <row r="17453" spans="1:5">
      <c r="A17453" t="s">
        <v>20208</v>
      </c>
      <c r="B17453" t="s">
        <v>20213</v>
      </c>
      <c r="C17453">
        <v>0</v>
      </c>
      <c r="D17453">
        <v>0.87012776865700003</v>
      </c>
      <c r="E17453">
        <v>24</v>
      </c>
    </row>
    <row r="17454" spans="1:5">
      <c r="A17454" t="s">
        <v>20208</v>
      </c>
      <c r="B17454" t="s">
        <v>20214</v>
      </c>
      <c r="C17454">
        <f>0</f>
        <v>0</v>
      </c>
      <c r="D17454">
        <v>0.87012776865700003</v>
      </c>
      <c r="E17454">
        <v>24</v>
      </c>
    </row>
    <row r="17455" spans="1:5">
      <c r="A17455" t="s">
        <v>20215</v>
      </c>
      <c r="B17455" t="s">
        <v>20216</v>
      </c>
      <c r="C17455">
        <v>0</v>
      </c>
      <c r="D17455" t="s">
        <v>106</v>
      </c>
      <c r="E17455">
        <v>19.6341829085457</v>
      </c>
    </row>
    <row r="17456" spans="1:5">
      <c r="A17456" t="s">
        <v>20215</v>
      </c>
      <c r="B17456" t="s">
        <v>20217</v>
      </c>
      <c r="C17456">
        <f>0</f>
        <v>0</v>
      </c>
      <c r="D17456" t="s">
        <v>106</v>
      </c>
      <c r="E17456">
        <v>19.6341829085457</v>
      </c>
    </row>
    <row r="17457" spans="1:5">
      <c r="A17457" t="s">
        <v>20215</v>
      </c>
      <c r="B17457" t="s">
        <v>20218</v>
      </c>
      <c r="C17457">
        <v>0</v>
      </c>
      <c r="D17457" t="s">
        <v>106</v>
      </c>
      <c r="E17457">
        <v>19.6341829085457</v>
      </c>
    </row>
    <row r="17458" spans="1:5">
      <c r="A17458" t="s">
        <v>20215</v>
      </c>
      <c r="B17458" t="s">
        <v>20219</v>
      </c>
      <c r="C17458">
        <f>0.0891684185917</f>
        <v>8.9168418591699994E-2</v>
      </c>
      <c r="D17458" t="s">
        <v>106</v>
      </c>
      <c r="E17458">
        <v>19.6341829085457</v>
      </c>
    </row>
    <row r="17459" spans="1:5">
      <c r="A17459" t="s">
        <v>20215</v>
      </c>
      <c r="B17459" t="s">
        <v>20220</v>
      </c>
      <c r="C17459">
        <v>0</v>
      </c>
      <c r="D17459" t="s">
        <v>106</v>
      </c>
      <c r="E17459">
        <v>19.6341829085457</v>
      </c>
    </row>
    <row r="17460" spans="1:5">
      <c r="A17460" t="s">
        <v>20215</v>
      </c>
      <c r="B17460" t="s">
        <v>20221</v>
      </c>
      <c r="C17460">
        <v>0</v>
      </c>
      <c r="D17460" t="s">
        <v>106</v>
      </c>
      <c r="E17460">
        <v>19.6341829085457</v>
      </c>
    </row>
    <row r="17461" spans="1:5">
      <c r="A17461" t="s">
        <v>20215</v>
      </c>
      <c r="B17461" t="s">
        <v>20222</v>
      </c>
      <c r="C17461">
        <v>0</v>
      </c>
      <c r="D17461" t="s">
        <v>106</v>
      </c>
      <c r="E17461">
        <v>19.6341829085457</v>
      </c>
    </row>
    <row r="17462" spans="1:5">
      <c r="A17462" t="s">
        <v>20215</v>
      </c>
      <c r="B17462" t="s">
        <v>20223</v>
      </c>
      <c r="C17462">
        <v>0</v>
      </c>
      <c r="D17462" t="s">
        <v>106</v>
      </c>
      <c r="E17462">
        <v>19.6341829085457</v>
      </c>
    </row>
    <row r="17463" spans="1:5">
      <c r="A17463" t="s">
        <v>20224</v>
      </c>
      <c r="B17463" t="s">
        <v>20225</v>
      </c>
      <c r="C17463">
        <f>0</f>
        <v>0</v>
      </c>
      <c r="D17463">
        <v>0.81100423749999995</v>
      </c>
      <c r="E17463">
        <v>11.8740629685157</v>
      </c>
    </row>
    <row r="17464" spans="1:5">
      <c r="A17464" t="s">
        <v>20224</v>
      </c>
      <c r="B17464" t="s">
        <v>20226</v>
      </c>
      <c r="C17464">
        <v>0.19430663782999999</v>
      </c>
      <c r="D17464">
        <v>0.81100423749999995</v>
      </c>
      <c r="E17464">
        <v>11.8740629685157</v>
      </c>
    </row>
    <row r="17465" spans="1:5">
      <c r="A17465" t="s">
        <v>20227</v>
      </c>
      <c r="B17465" t="s">
        <v>20228</v>
      </c>
      <c r="C17465">
        <f>0</f>
        <v>0</v>
      </c>
      <c r="D17465">
        <v>0.99808815291300002</v>
      </c>
      <c r="E17465">
        <v>0</v>
      </c>
    </row>
    <row r="17466" spans="1:5">
      <c r="A17466" t="s">
        <v>20227</v>
      </c>
      <c r="B17466" t="s">
        <v>20229</v>
      </c>
      <c r="C17466">
        <f>0</f>
        <v>0</v>
      </c>
      <c r="D17466">
        <v>0.99808815291300002</v>
      </c>
      <c r="E17466">
        <v>0</v>
      </c>
    </row>
    <row r="17467" spans="1:5">
      <c r="A17467" t="s">
        <v>20227</v>
      </c>
      <c r="B17467" t="s">
        <v>20230</v>
      </c>
      <c r="C17467">
        <v>0</v>
      </c>
      <c r="D17467">
        <v>0.99808815291300002</v>
      </c>
      <c r="E17467">
        <v>0</v>
      </c>
    </row>
    <row r="17468" spans="1:5">
      <c r="A17468" t="s">
        <v>20227</v>
      </c>
      <c r="B17468" t="s">
        <v>20231</v>
      </c>
      <c r="C17468">
        <f>0.147096437228</f>
        <v>0.147096437228</v>
      </c>
      <c r="D17468">
        <v>0.99808815291300002</v>
      </c>
      <c r="E17468">
        <v>0</v>
      </c>
    </row>
    <row r="17469" spans="1:5">
      <c r="A17469" t="s">
        <v>20227</v>
      </c>
      <c r="B17469" t="s">
        <v>20232</v>
      </c>
      <c r="C17469">
        <v>0</v>
      </c>
      <c r="D17469">
        <v>0.99808815291300002</v>
      </c>
      <c r="E17469">
        <v>0</v>
      </c>
    </row>
    <row r="17470" spans="1:5">
      <c r="A17470" t="s">
        <v>20227</v>
      </c>
      <c r="B17470" t="s">
        <v>20233</v>
      </c>
      <c r="C17470">
        <f>0</f>
        <v>0</v>
      </c>
      <c r="D17470">
        <v>0.99808815291300002</v>
      </c>
      <c r="E17470">
        <v>0</v>
      </c>
    </row>
    <row r="17471" spans="1:5">
      <c r="A17471" t="s">
        <v>20227</v>
      </c>
      <c r="B17471" t="s">
        <v>20234</v>
      </c>
      <c r="C17471">
        <f>0</f>
        <v>0</v>
      </c>
      <c r="D17471">
        <v>0.99808815291300002</v>
      </c>
      <c r="E17471">
        <v>0</v>
      </c>
    </row>
    <row r="17472" spans="1:5">
      <c r="A17472" t="s">
        <v>20227</v>
      </c>
      <c r="B17472" t="s">
        <v>20235</v>
      </c>
      <c r="C17472">
        <f>0</f>
        <v>0</v>
      </c>
      <c r="D17472">
        <v>0.99808815291300002</v>
      </c>
      <c r="E17472">
        <v>0</v>
      </c>
    </row>
    <row r="17473" spans="1:5">
      <c r="A17473" t="s">
        <v>20227</v>
      </c>
      <c r="B17473" t="s">
        <v>20236</v>
      </c>
      <c r="C17473">
        <f>0.327257417388</f>
        <v>0.32725741738800002</v>
      </c>
      <c r="D17473">
        <v>0.99808815291300002</v>
      </c>
      <c r="E17473">
        <v>0</v>
      </c>
    </row>
    <row r="17474" spans="1:5">
      <c r="A17474" t="s">
        <v>20237</v>
      </c>
      <c r="B17474" t="s">
        <v>20238</v>
      </c>
      <c r="C17474">
        <f>0</f>
        <v>0</v>
      </c>
      <c r="D17474">
        <v>0.87134902636199996</v>
      </c>
      <c r="E17474">
        <v>1.7631184407796101</v>
      </c>
    </row>
    <row r="17475" spans="1:5">
      <c r="A17475" t="s">
        <v>20237</v>
      </c>
      <c r="B17475" t="s">
        <v>20239</v>
      </c>
      <c r="C17475">
        <f>0.0432952149596</f>
        <v>4.3295214959600002E-2</v>
      </c>
      <c r="D17475">
        <v>0.87134902636199996</v>
      </c>
      <c r="E17475">
        <v>1.7631184407796101</v>
      </c>
    </row>
    <row r="17476" spans="1:5">
      <c r="A17476" t="s">
        <v>20237</v>
      </c>
      <c r="B17476" t="s">
        <v>20240</v>
      </c>
      <c r="C17476">
        <f>0</f>
        <v>0</v>
      </c>
      <c r="D17476">
        <v>0.87134902636199996</v>
      </c>
      <c r="E17476">
        <v>1.7631184407796101</v>
      </c>
    </row>
    <row r="17477" spans="1:5">
      <c r="A17477" t="s">
        <v>20237</v>
      </c>
      <c r="B17477" t="s">
        <v>20241</v>
      </c>
      <c r="C17477">
        <f>0</f>
        <v>0</v>
      </c>
      <c r="D17477">
        <v>0.87134902636199996</v>
      </c>
      <c r="E17477">
        <v>1.7631184407796101</v>
      </c>
    </row>
    <row r="17478" spans="1:5">
      <c r="A17478" t="s">
        <v>20237</v>
      </c>
      <c r="B17478" t="s">
        <v>20242</v>
      </c>
      <c r="C17478">
        <f>0</f>
        <v>0</v>
      </c>
      <c r="D17478">
        <v>0.87134902636199996</v>
      </c>
      <c r="E17478">
        <v>1.7631184407796101</v>
      </c>
    </row>
    <row r="17479" spans="1:5">
      <c r="A17479" t="s">
        <v>20237</v>
      </c>
      <c r="B17479" t="s">
        <v>20243</v>
      </c>
      <c r="C17479">
        <f>0</f>
        <v>0</v>
      </c>
      <c r="D17479">
        <v>0.87134902636199996</v>
      </c>
      <c r="E17479">
        <v>1.7631184407796101</v>
      </c>
    </row>
    <row r="17480" spans="1:5">
      <c r="A17480" t="s">
        <v>20237</v>
      </c>
      <c r="B17480" t="s">
        <v>20244</v>
      </c>
      <c r="C17480">
        <f>0</f>
        <v>0</v>
      </c>
      <c r="D17480">
        <v>0.87134902636199996</v>
      </c>
      <c r="E17480">
        <v>1.7631184407796101</v>
      </c>
    </row>
    <row r="17481" spans="1:5">
      <c r="A17481" t="s">
        <v>20237</v>
      </c>
      <c r="B17481" t="s">
        <v>20245</v>
      </c>
      <c r="C17481">
        <f>0</f>
        <v>0</v>
      </c>
      <c r="D17481">
        <v>0.87134902636199996</v>
      </c>
      <c r="E17481">
        <v>1.7631184407796101</v>
      </c>
    </row>
    <row r="17482" spans="1:5">
      <c r="A17482" t="s">
        <v>20237</v>
      </c>
      <c r="B17482" t="s">
        <v>20246</v>
      </c>
      <c r="C17482">
        <f>0</f>
        <v>0</v>
      </c>
      <c r="D17482">
        <v>0.87134902636199996</v>
      </c>
      <c r="E17482">
        <v>1.7631184407796101</v>
      </c>
    </row>
    <row r="17483" spans="1:5">
      <c r="A17483" t="s">
        <v>20247</v>
      </c>
      <c r="B17483" t="s">
        <v>20248</v>
      </c>
      <c r="C17483">
        <v>0</v>
      </c>
      <c r="D17483">
        <v>0.98644963255200002</v>
      </c>
      <c r="E17483">
        <v>14.3688155922038</v>
      </c>
    </row>
    <row r="17484" spans="1:5">
      <c r="A17484" t="s">
        <v>20247</v>
      </c>
      <c r="B17484" t="s">
        <v>20249</v>
      </c>
      <c r="C17484">
        <v>0</v>
      </c>
      <c r="D17484">
        <v>0.98644963255200002</v>
      </c>
      <c r="E17484">
        <v>14.3688155922038</v>
      </c>
    </row>
    <row r="17485" spans="1:5">
      <c r="A17485" t="s">
        <v>20247</v>
      </c>
      <c r="B17485" t="s">
        <v>20250</v>
      </c>
      <c r="C17485">
        <v>0.26433904297900002</v>
      </c>
      <c r="D17485">
        <v>0.98644963255200002</v>
      </c>
      <c r="E17485">
        <v>14.3688155922038</v>
      </c>
    </row>
    <row r="17486" spans="1:5">
      <c r="A17486" t="s">
        <v>20247</v>
      </c>
      <c r="B17486" t="s">
        <v>20251</v>
      </c>
      <c r="C17486">
        <v>0</v>
      </c>
      <c r="D17486">
        <v>0.98644963255200002</v>
      </c>
      <c r="E17486">
        <v>14.3688155922038</v>
      </c>
    </row>
    <row r="17487" spans="1:5">
      <c r="A17487" t="s">
        <v>20247</v>
      </c>
      <c r="B17487" t="s">
        <v>20252</v>
      </c>
      <c r="C17487">
        <v>0</v>
      </c>
      <c r="D17487">
        <v>0.98644963255200002</v>
      </c>
      <c r="E17487">
        <v>14.3688155922038</v>
      </c>
    </row>
    <row r="17488" spans="1:5">
      <c r="A17488" t="s">
        <v>20247</v>
      </c>
      <c r="B17488" t="s">
        <v>20253</v>
      </c>
      <c r="C17488">
        <v>0</v>
      </c>
      <c r="D17488">
        <v>0.98644963255200002</v>
      </c>
      <c r="E17488">
        <v>14.3688155922038</v>
      </c>
    </row>
    <row r="17489" spans="1:5">
      <c r="A17489" t="s">
        <v>20247</v>
      </c>
      <c r="B17489" t="s">
        <v>20254</v>
      </c>
      <c r="C17489">
        <v>5.9847979227500001E-2</v>
      </c>
      <c r="D17489">
        <v>0.98644963255200002</v>
      </c>
      <c r="E17489">
        <v>14.3688155922038</v>
      </c>
    </row>
    <row r="17490" spans="1:5">
      <c r="A17490" t="s">
        <v>20255</v>
      </c>
      <c r="B17490" t="s">
        <v>20256</v>
      </c>
      <c r="C17490">
        <v>0</v>
      </c>
      <c r="D17490">
        <v>0.95454109117700003</v>
      </c>
      <c r="E17490">
        <v>1.6311844077961</v>
      </c>
    </row>
    <row r="17491" spans="1:5">
      <c r="A17491" t="s">
        <v>20255</v>
      </c>
      <c r="B17491" t="s">
        <v>20257</v>
      </c>
      <c r="C17491">
        <v>7.6780667624400001E-2</v>
      </c>
      <c r="D17491">
        <v>0.95454109117700003</v>
      </c>
      <c r="E17491">
        <v>1.6311844077961</v>
      </c>
    </row>
    <row r="17492" spans="1:5">
      <c r="A17492" t="s">
        <v>20255</v>
      </c>
      <c r="B17492" t="s">
        <v>20258</v>
      </c>
      <c r="C17492">
        <v>0</v>
      </c>
      <c r="D17492">
        <v>0.95454109117700003</v>
      </c>
      <c r="E17492">
        <v>1.6311844077961</v>
      </c>
    </row>
    <row r="17493" spans="1:5">
      <c r="A17493" t="s">
        <v>20255</v>
      </c>
      <c r="B17493" t="s">
        <v>20259</v>
      </c>
      <c r="C17493">
        <f>0</f>
        <v>0</v>
      </c>
      <c r="D17493">
        <v>0.95454109117700003</v>
      </c>
      <c r="E17493">
        <v>1.6311844077961</v>
      </c>
    </row>
    <row r="17494" spans="1:5">
      <c r="A17494" t="s">
        <v>20255</v>
      </c>
      <c r="B17494" t="s">
        <v>20260</v>
      </c>
      <c r="C17494">
        <v>0</v>
      </c>
      <c r="D17494">
        <v>0.95454109117700003</v>
      </c>
      <c r="E17494">
        <v>1.6311844077961</v>
      </c>
    </row>
    <row r="17495" spans="1:5">
      <c r="A17495" t="s">
        <v>20255</v>
      </c>
      <c r="B17495" t="s">
        <v>20261</v>
      </c>
      <c r="C17495">
        <v>0.131967290702</v>
      </c>
      <c r="D17495">
        <v>0.95454109117700003</v>
      </c>
      <c r="E17495">
        <v>1.6311844077961</v>
      </c>
    </row>
    <row r="17496" spans="1:5">
      <c r="A17496" t="s">
        <v>20255</v>
      </c>
      <c r="B17496" t="s">
        <v>20262</v>
      </c>
      <c r="C17496">
        <f>0</f>
        <v>0</v>
      </c>
      <c r="D17496">
        <v>0.95454109117700003</v>
      </c>
      <c r="E17496">
        <v>1.6311844077961</v>
      </c>
    </row>
    <row r="17497" spans="1:5">
      <c r="A17497" t="s">
        <v>20255</v>
      </c>
      <c r="B17497" t="s">
        <v>20263</v>
      </c>
      <c r="C17497">
        <v>0</v>
      </c>
      <c r="D17497">
        <v>0.95454109117700003</v>
      </c>
      <c r="E17497">
        <v>1.6311844077961</v>
      </c>
    </row>
    <row r="17498" spans="1:5">
      <c r="A17498" t="s">
        <v>20255</v>
      </c>
      <c r="B17498" t="s">
        <v>20264</v>
      </c>
      <c r="C17498">
        <v>0</v>
      </c>
      <c r="D17498">
        <v>0.95454109117700003</v>
      </c>
      <c r="E17498">
        <v>1.6311844077961</v>
      </c>
    </row>
    <row r="17499" spans="1:5">
      <c r="A17499" t="s">
        <v>20265</v>
      </c>
      <c r="B17499" t="s">
        <v>20266</v>
      </c>
      <c r="C17499">
        <f>0</f>
        <v>0</v>
      </c>
      <c r="D17499" t="s">
        <v>106</v>
      </c>
      <c r="E17499">
        <v>5.69715142428785</v>
      </c>
    </row>
    <row r="17500" spans="1:5">
      <c r="A17500" t="s">
        <v>20265</v>
      </c>
      <c r="B17500" t="s">
        <v>20267</v>
      </c>
      <c r="C17500">
        <f>0</f>
        <v>0</v>
      </c>
      <c r="D17500" t="s">
        <v>106</v>
      </c>
      <c r="E17500">
        <v>5.69715142428785</v>
      </c>
    </row>
    <row r="17501" spans="1:5">
      <c r="A17501" t="s">
        <v>20265</v>
      </c>
      <c r="B17501" t="s">
        <v>20268</v>
      </c>
      <c r="C17501">
        <f>0</f>
        <v>0</v>
      </c>
      <c r="D17501" t="s">
        <v>106</v>
      </c>
      <c r="E17501">
        <v>5.69715142428785</v>
      </c>
    </row>
    <row r="17502" spans="1:5">
      <c r="A17502" t="s">
        <v>20269</v>
      </c>
      <c r="B17502" t="s">
        <v>20270</v>
      </c>
      <c r="C17502">
        <f>0</f>
        <v>0</v>
      </c>
      <c r="D17502">
        <v>0.977966064922</v>
      </c>
      <c r="E17502">
        <v>1.00749625187406</v>
      </c>
    </row>
    <row r="17503" spans="1:5">
      <c r="A17503" t="s">
        <v>20269</v>
      </c>
      <c r="B17503" t="s">
        <v>20271</v>
      </c>
      <c r="C17503">
        <v>0</v>
      </c>
      <c r="D17503">
        <v>0.977966064922</v>
      </c>
      <c r="E17503">
        <v>1.00749625187406</v>
      </c>
    </row>
    <row r="17504" spans="1:5">
      <c r="A17504" t="s">
        <v>20269</v>
      </c>
      <c r="B17504" t="s">
        <v>20272</v>
      </c>
      <c r="C17504">
        <f>0.415420621771</f>
        <v>0.41542062177099998</v>
      </c>
      <c r="D17504">
        <v>0.977966064922</v>
      </c>
      <c r="E17504">
        <v>1.00749625187406</v>
      </c>
    </row>
    <row r="17505" spans="1:5">
      <c r="A17505" t="s">
        <v>20269</v>
      </c>
      <c r="B17505" t="s">
        <v>20273</v>
      </c>
      <c r="C17505">
        <f>0</f>
        <v>0</v>
      </c>
      <c r="D17505">
        <v>0.977966064922</v>
      </c>
      <c r="E17505">
        <v>1.00749625187406</v>
      </c>
    </row>
    <row r="17506" spans="1:5">
      <c r="A17506" t="s">
        <v>20269</v>
      </c>
      <c r="B17506" t="s">
        <v>20274</v>
      </c>
      <c r="C17506">
        <v>0</v>
      </c>
      <c r="D17506">
        <v>0.977966064922</v>
      </c>
      <c r="E17506">
        <v>1.00749625187406</v>
      </c>
    </row>
    <row r="17507" spans="1:5">
      <c r="A17507" t="s">
        <v>20269</v>
      </c>
      <c r="B17507" t="s">
        <v>20275</v>
      </c>
      <c r="C17507">
        <v>0</v>
      </c>
      <c r="D17507">
        <v>0.977966064922</v>
      </c>
      <c r="E17507">
        <v>1.00749625187406</v>
      </c>
    </row>
    <row r="17508" spans="1:5">
      <c r="A17508" t="s">
        <v>20269</v>
      </c>
      <c r="B17508" t="s">
        <v>20276</v>
      </c>
      <c r="C17508">
        <v>0</v>
      </c>
      <c r="D17508">
        <v>0.977966064922</v>
      </c>
      <c r="E17508">
        <v>1.00749625187406</v>
      </c>
    </row>
    <row r="17509" spans="1:5">
      <c r="A17509" t="s">
        <v>20269</v>
      </c>
      <c r="B17509" t="s">
        <v>20277</v>
      </c>
      <c r="C17509">
        <v>6.7568728970000005E-2</v>
      </c>
      <c r="D17509">
        <v>0.977966064922</v>
      </c>
      <c r="E17509">
        <v>1.00749625187406</v>
      </c>
    </row>
    <row r="17510" spans="1:5">
      <c r="A17510" t="s">
        <v>20269</v>
      </c>
      <c r="B17510" t="s">
        <v>20278</v>
      </c>
      <c r="C17510">
        <f>0</f>
        <v>0</v>
      </c>
      <c r="D17510">
        <v>0.977966064922</v>
      </c>
      <c r="E17510">
        <v>1.00749625187406</v>
      </c>
    </row>
    <row r="17511" spans="1:5">
      <c r="A17511" t="s">
        <v>20269</v>
      </c>
      <c r="B17511" t="s">
        <v>20279</v>
      </c>
      <c r="C17511">
        <f>0</f>
        <v>0</v>
      </c>
      <c r="D17511">
        <v>0.977966064922</v>
      </c>
      <c r="E17511">
        <v>1.00749625187406</v>
      </c>
    </row>
    <row r="17512" spans="1:5">
      <c r="A17512" t="s">
        <v>20269</v>
      </c>
      <c r="B17512" t="s">
        <v>20280</v>
      </c>
      <c r="C17512">
        <v>0</v>
      </c>
      <c r="D17512">
        <v>0.977966064922</v>
      </c>
      <c r="E17512">
        <v>1.00749625187406</v>
      </c>
    </row>
    <row r="17513" spans="1:5">
      <c r="A17513" t="s">
        <v>20269</v>
      </c>
      <c r="B17513" t="s">
        <v>20281</v>
      </c>
      <c r="C17513">
        <f>0</f>
        <v>0</v>
      </c>
      <c r="D17513">
        <v>0.977966064922</v>
      </c>
      <c r="E17513">
        <v>1.00749625187406</v>
      </c>
    </row>
    <row r="17514" spans="1:5">
      <c r="A17514" t="s">
        <v>20282</v>
      </c>
      <c r="B17514" t="s">
        <v>20283</v>
      </c>
      <c r="C17514">
        <f>0</f>
        <v>0</v>
      </c>
      <c r="D17514" t="s">
        <v>106</v>
      </c>
      <c r="E17514">
        <v>17.715142428785601</v>
      </c>
    </row>
    <row r="17515" spans="1:5">
      <c r="A17515" t="s">
        <v>20282</v>
      </c>
      <c r="B17515" t="s">
        <v>20284</v>
      </c>
      <c r="C17515">
        <f>0</f>
        <v>0</v>
      </c>
      <c r="D17515" t="s">
        <v>106</v>
      </c>
      <c r="E17515">
        <v>17.715142428785601</v>
      </c>
    </row>
    <row r="17516" spans="1:5">
      <c r="A17516" t="s">
        <v>20282</v>
      </c>
      <c r="B17516" t="s">
        <v>20285</v>
      </c>
      <c r="C17516">
        <v>0.112668343652</v>
      </c>
      <c r="D17516" t="s">
        <v>106</v>
      </c>
      <c r="E17516">
        <v>17.715142428785601</v>
      </c>
    </row>
    <row r="17517" spans="1:5">
      <c r="A17517" t="s">
        <v>20282</v>
      </c>
      <c r="B17517" t="s">
        <v>20286</v>
      </c>
      <c r="C17517">
        <v>0</v>
      </c>
      <c r="D17517" t="s">
        <v>106</v>
      </c>
      <c r="E17517">
        <v>17.715142428785601</v>
      </c>
    </row>
    <row r="17518" spans="1:5">
      <c r="A17518" t="s">
        <v>20282</v>
      </c>
      <c r="B17518" t="s">
        <v>20287</v>
      </c>
      <c r="C17518">
        <f>0.0784619916593</f>
        <v>7.8461991659299998E-2</v>
      </c>
      <c r="D17518" t="s">
        <v>106</v>
      </c>
      <c r="E17518">
        <v>17.715142428785601</v>
      </c>
    </row>
    <row r="17519" spans="1:5">
      <c r="A17519" t="s">
        <v>20288</v>
      </c>
      <c r="B17519" t="s">
        <v>20289</v>
      </c>
      <c r="C17519">
        <v>0.76073772419499996</v>
      </c>
      <c r="D17519">
        <v>0.99391409748500004</v>
      </c>
      <c r="E17519">
        <v>4.2698650674662604</v>
      </c>
    </row>
    <row r="17520" spans="1:5">
      <c r="A17520" t="s">
        <v>20288</v>
      </c>
      <c r="B17520" t="s">
        <v>20290</v>
      </c>
      <c r="C17520">
        <v>0</v>
      </c>
      <c r="D17520">
        <v>0.99391409748500004</v>
      </c>
      <c r="E17520">
        <v>4.2698650674662604</v>
      </c>
    </row>
    <row r="17521" spans="1:5">
      <c r="A17521" t="s">
        <v>20288</v>
      </c>
      <c r="B17521" t="s">
        <v>20291</v>
      </c>
      <c r="C17521">
        <v>0</v>
      </c>
      <c r="D17521">
        <v>0.99391409748500004</v>
      </c>
      <c r="E17521">
        <v>4.2698650674662604</v>
      </c>
    </row>
    <row r="17522" spans="1:5">
      <c r="A17522" t="s">
        <v>20288</v>
      </c>
      <c r="B17522" t="s">
        <v>20292</v>
      </c>
      <c r="C17522">
        <v>0</v>
      </c>
      <c r="D17522">
        <v>0.99391409748500004</v>
      </c>
      <c r="E17522">
        <v>4.2698650674662604</v>
      </c>
    </row>
    <row r="17523" spans="1:5">
      <c r="A17523" t="s">
        <v>20288</v>
      </c>
      <c r="B17523" t="s">
        <v>20293</v>
      </c>
      <c r="C17523">
        <v>4.3152816732100002E-2</v>
      </c>
      <c r="D17523">
        <v>0.99391409748500004</v>
      </c>
      <c r="E17523">
        <v>4.2698650674662604</v>
      </c>
    </row>
    <row r="17524" spans="1:5">
      <c r="A17524" t="s">
        <v>20288</v>
      </c>
      <c r="B17524" t="s">
        <v>20294</v>
      </c>
      <c r="C17524">
        <f>0</f>
        <v>0</v>
      </c>
      <c r="D17524">
        <v>0.99391409748500004</v>
      </c>
      <c r="E17524">
        <v>4.2698650674662604</v>
      </c>
    </row>
    <row r="17525" spans="1:5">
      <c r="A17525" t="s">
        <v>20295</v>
      </c>
      <c r="B17525" t="s">
        <v>20296</v>
      </c>
      <c r="C17525">
        <v>0</v>
      </c>
      <c r="D17525" t="s">
        <v>106</v>
      </c>
      <c r="E17525">
        <v>9.1634182908545707</v>
      </c>
    </row>
    <row r="17526" spans="1:5">
      <c r="A17526" t="s">
        <v>20295</v>
      </c>
      <c r="B17526" t="s">
        <v>20297</v>
      </c>
      <c r="C17526">
        <f>0</f>
        <v>0</v>
      </c>
      <c r="D17526" t="s">
        <v>106</v>
      </c>
      <c r="E17526">
        <v>9.1634182908545707</v>
      </c>
    </row>
    <row r="17527" spans="1:5">
      <c r="A17527" t="s">
        <v>20295</v>
      </c>
      <c r="B17527" t="s">
        <v>20298</v>
      </c>
      <c r="C17527">
        <v>0</v>
      </c>
      <c r="D17527" t="s">
        <v>106</v>
      </c>
      <c r="E17527">
        <v>9.1634182908545707</v>
      </c>
    </row>
    <row r="17528" spans="1:5">
      <c r="A17528" t="s">
        <v>20295</v>
      </c>
      <c r="B17528" t="s">
        <v>20299</v>
      </c>
      <c r="C17528">
        <f>0</f>
        <v>0</v>
      </c>
      <c r="D17528" t="s">
        <v>106</v>
      </c>
      <c r="E17528">
        <v>9.1634182908545707</v>
      </c>
    </row>
    <row r="17529" spans="1:5">
      <c r="A17529" t="s">
        <v>20295</v>
      </c>
      <c r="B17529" t="s">
        <v>20300</v>
      </c>
      <c r="C17529">
        <f>0</f>
        <v>0</v>
      </c>
      <c r="D17529" t="s">
        <v>106</v>
      </c>
      <c r="E17529">
        <v>9.1634182908545707</v>
      </c>
    </row>
    <row r="17530" spans="1:5">
      <c r="A17530" t="s">
        <v>20295</v>
      </c>
      <c r="B17530" t="s">
        <v>20301</v>
      </c>
      <c r="C17530">
        <f>0</f>
        <v>0</v>
      </c>
      <c r="D17530" t="s">
        <v>106</v>
      </c>
      <c r="E17530">
        <v>9.1634182908545707</v>
      </c>
    </row>
    <row r="17531" spans="1:5">
      <c r="A17531" t="s">
        <v>20295</v>
      </c>
      <c r="B17531" t="s">
        <v>20302</v>
      </c>
      <c r="C17531">
        <v>0</v>
      </c>
      <c r="D17531" t="s">
        <v>106</v>
      </c>
      <c r="E17531">
        <v>9.1634182908545707</v>
      </c>
    </row>
    <row r="17532" spans="1:5">
      <c r="A17532" t="s">
        <v>20303</v>
      </c>
      <c r="B17532" t="s">
        <v>20304</v>
      </c>
      <c r="C17532">
        <f>0</f>
        <v>0</v>
      </c>
      <c r="D17532" t="s">
        <v>106</v>
      </c>
      <c r="E17532">
        <v>1.00749625187406</v>
      </c>
    </row>
    <row r="17533" spans="1:5">
      <c r="A17533" t="s">
        <v>20303</v>
      </c>
      <c r="B17533" t="s">
        <v>20305</v>
      </c>
      <c r="C17533">
        <f>0</f>
        <v>0</v>
      </c>
      <c r="D17533" t="s">
        <v>106</v>
      </c>
      <c r="E17533">
        <v>1.00749625187406</v>
      </c>
    </row>
    <row r="17534" spans="1:5">
      <c r="A17534" t="s">
        <v>20303</v>
      </c>
      <c r="B17534" t="s">
        <v>20306</v>
      </c>
      <c r="C17534">
        <v>0</v>
      </c>
      <c r="D17534" t="s">
        <v>106</v>
      </c>
      <c r="E17534">
        <v>1.00749625187406</v>
      </c>
    </row>
    <row r="17535" spans="1:5">
      <c r="A17535" t="s">
        <v>20307</v>
      </c>
      <c r="B17535" t="s">
        <v>20308</v>
      </c>
      <c r="C17535">
        <v>8.1759823968799994E-3</v>
      </c>
      <c r="D17535">
        <v>0.75598625652899998</v>
      </c>
      <c r="E17535">
        <v>9.6191904047975996</v>
      </c>
    </row>
    <row r="17536" spans="1:5">
      <c r="A17536" t="s">
        <v>20307</v>
      </c>
      <c r="B17536" t="s">
        <v>20309</v>
      </c>
      <c r="C17536">
        <f>0</f>
        <v>0</v>
      </c>
      <c r="D17536">
        <v>0.75598625652899998</v>
      </c>
      <c r="E17536">
        <v>9.6191904047975996</v>
      </c>
    </row>
    <row r="17537" spans="1:5">
      <c r="A17537" t="s">
        <v>20307</v>
      </c>
      <c r="B17537" t="s">
        <v>20310</v>
      </c>
      <c r="C17537">
        <v>0</v>
      </c>
      <c r="D17537">
        <v>0.75598625652899998</v>
      </c>
      <c r="E17537">
        <v>9.6191904047975996</v>
      </c>
    </row>
    <row r="17538" spans="1:5">
      <c r="A17538" t="s">
        <v>20307</v>
      </c>
      <c r="B17538" t="s">
        <v>20311</v>
      </c>
      <c r="C17538">
        <v>0</v>
      </c>
      <c r="D17538">
        <v>0.75598625652899998</v>
      </c>
      <c r="E17538">
        <v>9.6191904047975996</v>
      </c>
    </row>
    <row r="17539" spans="1:5">
      <c r="A17539" t="s">
        <v>20307</v>
      </c>
      <c r="B17539" t="s">
        <v>20312</v>
      </c>
      <c r="C17539">
        <f>0</f>
        <v>0</v>
      </c>
      <c r="D17539">
        <v>0.75598625652899998</v>
      </c>
      <c r="E17539">
        <v>9.6191904047975996</v>
      </c>
    </row>
    <row r="17540" spans="1:5">
      <c r="A17540" t="s">
        <v>20307</v>
      </c>
      <c r="B17540" t="s">
        <v>20313</v>
      </c>
      <c r="C17540">
        <v>0</v>
      </c>
      <c r="D17540">
        <v>0.75598625652899998</v>
      </c>
      <c r="E17540">
        <v>9.6191904047975996</v>
      </c>
    </row>
    <row r="17541" spans="1:5">
      <c r="A17541" t="s">
        <v>20307</v>
      </c>
      <c r="B17541" t="s">
        <v>20314</v>
      </c>
      <c r="C17541">
        <v>0</v>
      </c>
      <c r="D17541">
        <v>0.75598625652899998</v>
      </c>
      <c r="E17541">
        <v>9.6191904047975996</v>
      </c>
    </row>
    <row r="17542" spans="1:5">
      <c r="A17542" t="s">
        <v>20307</v>
      </c>
      <c r="B17542" t="s">
        <v>20315</v>
      </c>
      <c r="C17542">
        <f>0</f>
        <v>0</v>
      </c>
      <c r="D17542">
        <v>0.75598625652899998</v>
      </c>
      <c r="E17542">
        <v>9.6191904047975996</v>
      </c>
    </row>
    <row r="17543" spans="1:5">
      <c r="A17543" t="s">
        <v>20307</v>
      </c>
      <c r="B17543" t="s">
        <v>20316</v>
      </c>
      <c r="C17543">
        <f>0</f>
        <v>0</v>
      </c>
      <c r="D17543">
        <v>0.75598625652899998</v>
      </c>
      <c r="E17543">
        <v>9.6191904047975996</v>
      </c>
    </row>
    <row r="17544" spans="1:5">
      <c r="A17544" t="s">
        <v>20307</v>
      </c>
      <c r="B17544" t="s">
        <v>20317</v>
      </c>
      <c r="C17544">
        <v>0</v>
      </c>
      <c r="D17544">
        <v>0.75598625652899998</v>
      </c>
      <c r="E17544">
        <v>9.6191904047975996</v>
      </c>
    </row>
    <row r="17545" spans="1:5">
      <c r="A17545" t="s">
        <v>20318</v>
      </c>
      <c r="B17545" t="s">
        <v>20319</v>
      </c>
      <c r="C17545">
        <f>0</f>
        <v>0</v>
      </c>
      <c r="D17545">
        <v>0.80640756673699998</v>
      </c>
      <c r="E17545">
        <v>14.176911544227799</v>
      </c>
    </row>
    <row r="17546" spans="1:5">
      <c r="A17546" t="s">
        <v>20318</v>
      </c>
      <c r="B17546" t="s">
        <v>20320</v>
      </c>
      <c r="C17546">
        <v>0</v>
      </c>
      <c r="D17546">
        <v>0.80640756673699998</v>
      </c>
      <c r="E17546">
        <v>14.176911544227799</v>
      </c>
    </row>
    <row r="17547" spans="1:5">
      <c r="A17547" t="s">
        <v>20318</v>
      </c>
      <c r="B17547" t="s">
        <v>20321</v>
      </c>
      <c r="C17547">
        <v>0</v>
      </c>
      <c r="D17547">
        <v>0.80640756673699998</v>
      </c>
      <c r="E17547">
        <v>14.176911544227799</v>
      </c>
    </row>
    <row r="17548" spans="1:5">
      <c r="A17548" t="s">
        <v>20318</v>
      </c>
      <c r="B17548" t="s">
        <v>20322</v>
      </c>
      <c r="C17548">
        <v>0</v>
      </c>
      <c r="D17548">
        <v>0.80640756673699998</v>
      </c>
      <c r="E17548">
        <v>14.176911544227799</v>
      </c>
    </row>
    <row r="17549" spans="1:5">
      <c r="A17549" t="s">
        <v>20318</v>
      </c>
      <c r="B17549" t="s">
        <v>20323</v>
      </c>
      <c r="C17549">
        <f>0</f>
        <v>0</v>
      </c>
      <c r="D17549">
        <v>0.80640756673699998</v>
      </c>
      <c r="E17549">
        <v>14.176911544227799</v>
      </c>
    </row>
    <row r="17550" spans="1:5">
      <c r="A17550" t="s">
        <v>20318</v>
      </c>
      <c r="B17550" t="s">
        <v>20324</v>
      </c>
      <c r="C17550">
        <f>0</f>
        <v>0</v>
      </c>
      <c r="D17550">
        <v>0.80640756673699998</v>
      </c>
      <c r="E17550">
        <v>14.176911544227799</v>
      </c>
    </row>
    <row r="17551" spans="1:5">
      <c r="A17551" t="s">
        <v>20318</v>
      </c>
      <c r="B17551" t="s">
        <v>20325</v>
      </c>
      <c r="C17551">
        <v>2.82603307761E-3</v>
      </c>
      <c r="D17551">
        <v>0.80640756673699998</v>
      </c>
      <c r="E17551">
        <v>14.176911544227799</v>
      </c>
    </row>
    <row r="17552" spans="1:5">
      <c r="A17552" t="s">
        <v>20318</v>
      </c>
      <c r="B17552" t="s">
        <v>20326</v>
      </c>
      <c r="C17552">
        <f>0</f>
        <v>0</v>
      </c>
      <c r="D17552">
        <v>0.80640756673699998</v>
      </c>
      <c r="E17552">
        <v>14.176911544227799</v>
      </c>
    </row>
    <row r="17553" spans="1:5">
      <c r="A17553" t="s">
        <v>20318</v>
      </c>
      <c r="B17553" t="s">
        <v>20327</v>
      </c>
      <c r="C17553">
        <v>0</v>
      </c>
      <c r="D17553">
        <v>0.80640756673699998</v>
      </c>
      <c r="E17553">
        <v>14.176911544227799</v>
      </c>
    </row>
    <row r="17554" spans="1:5">
      <c r="A17554" t="s">
        <v>20318</v>
      </c>
      <c r="B17554" t="s">
        <v>20328</v>
      </c>
      <c r="C17554">
        <f>0</f>
        <v>0</v>
      </c>
      <c r="D17554">
        <v>0.80640756673699998</v>
      </c>
      <c r="E17554">
        <v>14.176911544227799</v>
      </c>
    </row>
    <row r="17555" spans="1:5">
      <c r="A17555" t="s">
        <v>20318</v>
      </c>
      <c r="B17555" t="s">
        <v>20329</v>
      </c>
      <c r="C17555">
        <v>0</v>
      </c>
      <c r="D17555">
        <v>0.80640756673699998</v>
      </c>
      <c r="E17555">
        <v>14.176911544227799</v>
      </c>
    </row>
    <row r="17556" spans="1:5">
      <c r="A17556" t="s">
        <v>20318</v>
      </c>
      <c r="B17556" t="s">
        <v>20330</v>
      </c>
      <c r="C17556">
        <f>0</f>
        <v>0</v>
      </c>
      <c r="D17556">
        <v>0.80640756673699998</v>
      </c>
      <c r="E17556">
        <v>14.176911544227799</v>
      </c>
    </row>
    <row r="17557" spans="1:5">
      <c r="A17557" t="s">
        <v>20318</v>
      </c>
      <c r="B17557" t="s">
        <v>20331</v>
      </c>
      <c r="C17557">
        <f>0</f>
        <v>0</v>
      </c>
      <c r="D17557">
        <v>0.80640756673699998</v>
      </c>
      <c r="E17557">
        <v>14.176911544227799</v>
      </c>
    </row>
    <row r="17558" spans="1:5">
      <c r="A17558" t="s">
        <v>20318</v>
      </c>
      <c r="B17558" t="s">
        <v>20332</v>
      </c>
      <c r="C17558">
        <f>0</f>
        <v>0</v>
      </c>
      <c r="D17558">
        <v>0.80640756673699998</v>
      </c>
      <c r="E17558">
        <v>14.176911544227799</v>
      </c>
    </row>
    <row r="17559" spans="1:5">
      <c r="A17559" t="s">
        <v>20318</v>
      </c>
      <c r="B17559" t="s">
        <v>20333</v>
      </c>
      <c r="C17559">
        <f>0</f>
        <v>0</v>
      </c>
      <c r="D17559">
        <v>0.80640756673699998</v>
      </c>
      <c r="E17559">
        <v>14.176911544227799</v>
      </c>
    </row>
    <row r="17560" spans="1:5">
      <c r="A17560" t="s">
        <v>20334</v>
      </c>
      <c r="B17560" t="s">
        <v>20335</v>
      </c>
      <c r="C17560">
        <v>1.13824059662E-2</v>
      </c>
      <c r="D17560" t="s">
        <v>106</v>
      </c>
      <c r="E17560">
        <v>24</v>
      </c>
    </row>
    <row r="17561" spans="1:5">
      <c r="A17561" t="s">
        <v>20334</v>
      </c>
      <c r="B17561" t="s">
        <v>20336</v>
      </c>
      <c r="C17561">
        <f>0</f>
        <v>0</v>
      </c>
      <c r="D17561" t="s">
        <v>106</v>
      </c>
      <c r="E17561">
        <v>24</v>
      </c>
    </row>
    <row r="17562" spans="1:5">
      <c r="A17562" t="s">
        <v>20334</v>
      </c>
      <c r="B17562" t="s">
        <v>20337</v>
      </c>
      <c r="C17562">
        <v>0</v>
      </c>
      <c r="D17562" t="s">
        <v>106</v>
      </c>
      <c r="E17562">
        <v>24</v>
      </c>
    </row>
    <row r="17563" spans="1:5">
      <c r="A17563" t="s">
        <v>20334</v>
      </c>
      <c r="B17563" t="s">
        <v>20338</v>
      </c>
      <c r="C17563">
        <f>0</f>
        <v>0</v>
      </c>
      <c r="D17563" t="s">
        <v>106</v>
      </c>
      <c r="E17563">
        <v>24</v>
      </c>
    </row>
    <row r="17564" spans="1:5">
      <c r="A17564" t="s">
        <v>20334</v>
      </c>
      <c r="B17564" t="s">
        <v>20339</v>
      </c>
      <c r="C17564">
        <v>1.03140393578E-2</v>
      </c>
      <c r="D17564" t="s">
        <v>106</v>
      </c>
      <c r="E17564">
        <v>24</v>
      </c>
    </row>
    <row r="17565" spans="1:5">
      <c r="A17565" t="s">
        <v>20340</v>
      </c>
      <c r="B17565" t="s">
        <v>20341</v>
      </c>
      <c r="C17565">
        <v>0.29047682655200002</v>
      </c>
      <c r="D17565">
        <v>0.96001513787600001</v>
      </c>
      <c r="E17565">
        <v>9.1634182908545707</v>
      </c>
    </row>
    <row r="17566" spans="1:5">
      <c r="A17566" t="s">
        <v>20340</v>
      </c>
      <c r="B17566" t="s">
        <v>20342</v>
      </c>
      <c r="C17566">
        <f>0</f>
        <v>0</v>
      </c>
      <c r="D17566">
        <v>0.96001513787600001</v>
      </c>
      <c r="E17566">
        <v>9.1634182908545707</v>
      </c>
    </row>
    <row r="17567" spans="1:5">
      <c r="A17567" t="s">
        <v>20340</v>
      </c>
      <c r="B17567" t="s">
        <v>20343</v>
      </c>
      <c r="C17567">
        <f>0.330120317336</f>
        <v>0.330120317336</v>
      </c>
      <c r="D17567">
        <v>0.96001513787600001</v>
      </c>
      <c r="E17567">
        <v>9.1634182908545707</v>
      </c>
    </row>
    <row r="17568" spans="1:5">
      <c r="A17568" t="s">
        <v>20340</v>
      </c>
      <c r="B17568" t="s">
        <v>20344</v>
      </c>
      <c r="C17568">
        <v>0</v>
      </c>
      <c r="D17568">
        <v>0.96001513787600001</v>
      </c>
      <c r="E17568">
        <v>9.1634182908545707</v>
      </c>
    </row>
    <row r="17569" spans="1:5">
      <c r="A17569" t="s">
        <v>20340</v>
      </c>
      <c r="B17569" t="s">
        <v>20345</v>
      </c>
      <c r="C17569">
        <v>0</v>
      </c>
      <c r="D17569">
        <v>0.96001513787600001</v>
      </c>
      <c r="E17569">
        <v>9.1634182908545707</v>
      </c>
    </row>
    <row r="17570" spans="1:5">
      <c r="A17570" t="s">
        <v>20340</v>
      </c>
      <c r="B17570" t="s">
        <v>20346</v>
      </c>
      <c r="C17570">
        <f>0</f>
        <v>0</v>
      </c>
      <c r="D17570">
        <v>0.96001513787600001</v>
      </c>
      <c r="E17570">
        <v>9.1634182908545707</v>
      </c>
    </row>
    <row r="17571" spans="1:5">
      <c r="A17571" t="s">
        <v>20340</v>
      </c>
      <c r="B17571" t="s">
        <v>20347</v>
      </c>
      <c r="C17571">
        <v>0</v>
      </c>
      <c r="D17571">
        <v>0.96001513787600001</v>
      </c>
      <c r="E17571">
        <v>9.1634182908545707</v>
      </c>
    </row>
    <row r="17572" spans="1:5">
      <c r="A17572" t="s">
        <v>20348</v>
      </c>
      <c r="B17572" t="s">
        <v>20349</v>
      </c>
      <c r="C17572">
        <f>0.269099243458</f>
        <v>0.26909924345800001</v>
      </c>
      <c r="D17572">
        <v>0.979086597989</v>
      </c>
      <c r="E17572">
        <v>8.8635682158920499</v>
      </c>
    </row>
    <row r="17573" spans="1:5">
      <c r="A17573" t="s">
        <v>20348</v>
      </c>
      <c r="B17573" t="s">
        <v>20350</v>
      </c>
      <c r="C17573">
        <v>0</v>
      </c>
      <c r="D17573">
        <v>0.979086597989</v>
      </c>
      <c r="E17573">
        <v>8.8635682158920499</v>
      </c>
    </row>
    <row r="17574" spans="1:5">
      <c r="A17574" t="s">
        <v>20348</v>
      </c>
      <c r="B17574" t="s">
        <v>20351</v>
      </c>
      <c r="C17574">
        <f>0</f>
        <v>0</v>
      </c>
      <c r="D17574">
        <v>0.979086597989</v>
      </c>
      <c r="E17574">
        <v>8.8635682158920499</v>
      </c>
    </row>
    <row r="17575" spans="1:5">
      <c r="A17575" t="s">
        <v>20348</v>
      </c>
      <c r="B17575" t="s">
        <v>20352</v>
      </c>
      <c r="C17575">
        <f>0</f>
        <v>0</v>
      </c>
      <c r="D17575">
        <v>0.979086597989</v>
      </c>
      <c r="E17575">
        <v>8.8635682158920499</v>
      </c>
    </row>
    <row r="17576" spans="1:5">
      <c r="A17576" t="s">
        <v>20348</v>
      </c>
      <c r="B17576" t="s">
        <v>20353</v>
      </c>
      <c r="C17576">
        <f>0</f>
        <v>0</v>
      </c>
      <c r="D17576">
        <v>0.979086597989</v>
      </c>
      <c r="E17576">
        <v>8.8635682158920499</v>
      </c>
    </row>
    <row r="17577" spans="1:5">
      <c r="A17577" t="s">
        <v>20348</v>
      </c>
      <c r="B17577" t="s">
        <v>20354</v>
      </c>
      <c r="C17577">
        <v>0</v>
      </c>
      <c r="D17577">
        <v>0.979086597989</v>
      </c>
      <c r="E17577">
        <v>8.8635682158920499</v>
      </c>
    </row>
    <row r="17578" spans="1:5">
      <c r="A17578" t="s">
        <v>20355</v>
      </c>
      <c r="B17578" t="s">
        <v>20356</v>
      </c>
      <c r="C17578">
        <v>0.158350962451</v>
      </c>
      <c r="D17578">
        <v>0.96003215170300005</v>
      </c>
      <c r="E17578">
        <v>15.5082458770614</v>
      </c>
    </row>
    <row r="17579" spans="1:5">
      <c r="A17579" t="s">
        <v>20355</v>
      </c>
      <c r="B17579" t="s">
        <v>20357</v>
      </c>
      <c r="C17579">
        <v>0</v>
      </c>
      <c r="D17579">
        <v>0.96003215170300005</v>
      </c>
      <c r="E17579">
        <v>15.5082458770614</v>
      </c>
    </row>
    <row r="17580" spans="1:5">
      <c r="A17580" t="s">
        <v>20355</v>
      </c>
      <c r="B17580" t="s">
        <v>20358</v>
      </c>
      <c r="C17580">
        <v>4.3983879676099999E-2</v>
      </c>
      <c r="D17580">
        <v>0.96003215170300005</v>
      </c>
      <c r="E17580">
        <v>15.5082458770614</v>
      </c>
    </row>
    <row r="17581" spans="1:5">
      <c r="A17581" t="s">
        <v>20355</v>
      </c>
      <c r="B17581" t="s">
        <v>20359</v>
      </c>
      <c r="C17581">
        <v>0</v>
      </c>
      <c r="D17581">
        <v>0.96003215170300005</v>
      </c>
      <c r="E17581">
        <v>15.5082458770614</v>
      </c>
    </row>
    <row r="17582" spans="1:5">
      <c r="A17582" t="s">
        <v>20355</v>
      </c>
      <c r="B17582" t="s">
        <v>20360</v>
      </c>
      <c r="C17582">
        <v>0</v>
      </c>
      <c r="D17582">
        <v>0.96003215170300005</v>
      </c>
      <c r="E17582">
        <v>15.5082458770614</v>
      </c>
    </row>
    <row r="17583" spans="1:5">
      <c r="A17583" t="s">
        <v>20361</v>
      </c>
      <c r="B17583" t="s">
        <v>20362</v>
      </c>
      <c r="C17583">
        <f>0</f>
        <v>0</v>
      </c>
      <c r="D17583">
        <v>0.72912031928400001</v>
      </c>
      <c r="E17583">
        <v>23.508245877061398</v>
      </c>
    </row>
    <row r="17584" spans="1:5">
      <c r="A17584" t="s">
        <v>20361</v>
      </c>
      <c r="B17584" t="s">
        <v>20363</v>
      </c>
      <c r="C17584">
        <f>0.0127147900309</f>
        <v>1.27147900309E-2</v>
      </c>
      <c r="D17584">
        <v>0.72912031928400001</v>
      </c>
      <c r="E17584">
        <v>23.508245877061398</v>
      </c>
    </row>
    <row r="17585" spans="1:5">
      <c r="A17585" t="s">
        <v>20361</v>
      </c>
      <c r="B17585" t="s">
        <v>20364</v>
      </c>
      <c r="C17585">
        <f>0.118338204612</f>
        <v>0.11833820461199999</v>
      </c>
      <c r="D17585">
        <v>0.72912031928400001</v>
      </c>
      <c r="E17585">
        <v>23.508245877061398</v>
      </c>
    </row>
    <row r="17586" spans="1:5">
      <c r="A17586" t="s">
        <v>20361</v>
      </c>
      <c r="B17586" t="s">
        <v>20365</v>
      </c>
      <c r="C17586">
        <f>0</f>
        <v>0</v>
      </c>
      <c r="D17586">
        <v>0.72912031928400001</v>
      </c>
      <c r="E17586">
        <v>23.508245877061398</v>
      </c>
    </row>
    <row r="17587" spans="1:5">
      <c r="A17587" t="s">
        <v>20366</v>
      </c>
      <c r="B17587" t="s">
        <v>20367</v>
      </c>
      <c r="C17587">
        <v>0.257190814559</v>
      </c>
      <c r="D17587">
        <v>0.91429701965300003</v>
      </c>
      <c r="E17587">
        <v>1.16341829085457</v>
      </c>
    </row>
    <row r="17588" spans="1:5">
      <c r="A17588" t="s">
        <v>20366</v>
      </c>
      <c r="B17588" t="s">
        <v>20368</v>
      </c>
      <c r="C17588">
        <f>0</f>
        <v>0</v>
      </c>
      <c r="D17588">
        <v>0.91429701965300003</v>
      </c>
      <c r="E17588">
        <v>1.16341829085457</v>
      </c>
    </row>
    <row r="17589" spans="1:5">
      <c r="A17589" t="s">
        <v>20366</v>
      </c>
      <c r="B17589" t="s">
        <v>20369</v>
      </c>
      <c r="C17589">
        <f>0</f>
        <v>0</v>
      </c>
      <c r="D17589">
        <v>0.91429701965300003</v>
      </c>
      <c r="E17589">
        <v>1.16341829085457</v>
      </c>
    </row>
    <row r="17590" spans="1:5">
      <c r="A17590" t="s">
        <v>20366</v>
      </c>
      <c r="B17590" t="s">
        <v>20370</v>
      </c>
      <c r="C17590">
        <f>0</f>
        <v>0</v>
      </c>
      <c r="D17590">
        <v>0.91429701965300003</v>
      </c>
      <c r="E17590">
        <v>1.16341829085457</v>
      </c>
    </row>
    <row r="17591" spans="1:5">
      <c r="A17591" t="s">
        <v>20371</v>
      </c>
      <c r="B17591" t="s">
        <v>20372</v>
      </c>
      <c r="C17591">
        <f>0</f>
        <v>0</v>
      </c>
      <c r="D17591" t="s">
        <v>106</v>
      </c>
      <c r="E17591">
        <v>1.7631184407796101</v>
      </c>
    </row>
    <row r="17592" spans="1:5">
      <c r="A17592" t="s">
        <v>20371</v>
      </c>
      <c r="B17592" t="s">
        <v>20373</v>
      </c>
      <c r="C17592">
        <v>0</v>
      </c>
      <c r="D17592" t="s">
        <v>106</v>
      </c>
      <c r="E17592">
        <v>1.7631184407796101</v>
      </c>
    </row>
    <row r="17593" spans="1:5">
      <c r="A17593" t="s">
        <v>20371</v>
      </c>
      <c r="B17593" t="s">
        <v>20374</v>
      </c>
      <c r="C17593">
        <v>0</v>
      </c>
      <c r="D17593" t="s">
        <v>106</v>
      </c>
      <c r="E17593">
        <v>1.7631184407796101</v>
      </c>
    </row>
    <row r="17594" spans="1:5">
      <c r="A17594" t="s">
        <v>20371</v>
      </c>
      <c r="B17594" t="s">
        <v>20375</v>
      </c>
      <c r="C17594">
        <v>0</v>
      </c>
      <c r="D17594" t="s">
        <v>106</v>
      </c>
      <c r="E17594">
        <v>1.7631184407796101</v>
      </c>
    </row>
    <row r="17595" spans="1:5">
      <c r="A17595" t="s">
        <v>20376</v>
      </c>
      <c r="B17595" t="s">
        <v>20377</v>
      </c>
      <c r="C17595">
        <v>7.9356477029700001E-2</v>
      </c>
      <c r="D17595">
        <v>0.76496834040999995</v>
      </c>
      <c r="E17595">
        <v>10.0749625187406</v>
      </c>
    </row>
    <row r="17596" spans="1:5">
      <c r="A17596" t="s">
        <v>20376</v>
      </c>
      <c r="B17596" t="s">
        <v>20378</v>
      </c>
      <c r="C17596">
        <f>0</f>
        <v>0</v>
      </c>
      <c r="D17596">
        <v>0.76496834040999995</v>
      </c>
      <c r="E17596">
        <v>10.0749625187406</v>
      </c>
    </row>
    <row r="17597" spans="1:5">
      <c r="A17597" t="s">
        <v>20376</v>
      </c>
      <c r="B17597" t="s">
        <v>20379</v>
      </c>
      <c r="C17597">
        <f>0</f>
        <v>0</v>
      </c>
      <c r="D17597">
        <v>0.76496834040999995</v>
      </c>
      <c r="E17597">
        <v>10.0749625187406</v>
      </c>
    </row>
    <row r="17598" spans="1:5">
      <c r="A17598" t="s">
        <v>20380</v>
      </c>
      <c r="B17598" t="s">
        <v>20381</v>
      </c>
      <c r="C17598">
        <f>0</f>
        <v>0</v>
      </c>
      <c r="D17598">
        <v>0.92598061966</v>
      </c>
      <c r="E17598">
        <v>17.103448275862</v>
      </c>
    </row>
    <row r="17599" spans="1:5">
      <c r="A17599" t="s">
        <v>20380</v>
      </c>
      <c r="B17599" t="s">
        <v>20382</v>
      </c>
      <c r="C17599">
        <v>0</v>
      </c>
      <c r="D17599">
        <v>0.92598061966</v>
      </c>
      <c r="E17599">
        <v>17.103448275862</v>
      </c>
    </row>
    <row r="17600" spans="1:5">
      <c r="A17600" t="s">
        <v>20380</v>
      </c>
      <c r="B17600" t="s">
        <v>20383</v>
      </c>
      <c r="C17600">
        <v>0</v>
      </c>
      <c r="D17600">
        <v>0.92598061966</v>
      </c>
      <c r="E17600">
        <v>17.103448275862</v>
      </c>
    </row>
    <row r="17601" spans="1:5">
      <c r="A17601" t="s">
        <v>20380</v>
      </c>
      <c r="B17601" t="s">
        <v>20384</v>
      </c>
      <c r="C17601">
        <v>0</v>
      </c>
      <c r="D17601">
        <v>0.92598061966</v>
      </c>
      <c r="E17601">
        <v>17.103448275862</v>
      </c>
    </row>
    <row r="17602" spans="1:5">
      <c r="A17602" t="s">
        <v>20380</v>
      </c>
      <c r="B17602" t="s">
        <v>20385</v>
      </c>
      <c r="C17602">
        <v>0</v>
      </c>
      <c r="D17602">
        <v>0.92598061966</v>
      </c>
      <c r="E17602">
        <v>17.103448275862</v>
      </c>
    </row>
    <row r="17603" spans="1:5">
      <c r="A17603" t="s">
        <v>20386</v>
      </c>
      <c r="B17603" t="s">
        <v>20387</v>
      </c>
      <c r="C17603">
        <v>0</v>
      </c>
      <c r="D17603">
        <v>0.59835535174400001</v>
      </c>
      <c r="E17603">
        <v>6.0569715142428704</v>
      </c>
    </row>
    <row r="17604" spans="1:5">
      <c r="A17604" t="s">
        <v>20388</v>
      </c>
      <c r="B17604" t="s">
        <v>20389</v>
      </c>
      <c r="C17604">
        <v>0</v>
      </c>
      <c r="D17604" t="s">
        <v>106</v>
      </c>
      <c r="E17604">
        <v>6.6806596701649097</v>
      </c>
    </row>
    <row r="17605" spans="1:5">
      <c r="A17605" t="s">
        <v>20390</v>
      </c>
      <c r="B17605" t="s">
        <v>20391</v>
      </c>
      <c r="C17605">
        <v>7.1368222304100004E-2</v>
      </c>
      <c r="D17605">
        <v>0.841516327156</v>
      </c>
      <c r="E17605">
        <v>3.13043478260869</v>
      </c>
    </row>
    <row r="17606" spans="1:5">
      <c r="A17606" t="s">
        <v>20390</v>
      </c>
      <c r="B17606" t="s">
        <v>20392</v>
      </c>
      <c r="C17606">
        <v>0</v>
      </c>
      <c r="D17606">
        <v>0.841516327156</v>
      </c>
      <c r="E17606">
        <v>3.13043478260869</v>
      </c>
    </row>
    <row r="17607" spans="1:5">
      <c r="A17607" t="s">
        <v>20390</v>
      </c>
      <c r="B17607" t="s">
        <v>20393</v>
      </c>
      <c r="C17607">
        <v>0</v>
      </c>
      <c r="D17607">
        <v>0.841516327156</v>
      </c>
      <c r="E17607">
        <v>3.13043478260869</v>
      </c>
    </row>
    <row r="17608" spans="1:5">
      <c r="A17608" t="s">
        <v>20390</v>
      </c>
      <c r="B17608" t="s">
        <v>20394</v>
      </c>
      <c r="C17608">
        <v>0.33823648693399999</v>
      </c>
      <c r="D17608">
        <v>0.841516327156</v>
      </c>
      <c r="E17608">
        <v>3.13043478260869</v>
      </c>
    </row>
    <row r="17609" spans="1:5">
      <c r="A17609" t="s">
        <v>20390</v>
      </c>
      <c r="B17609" t="s">
        <v>20395</v>
      </c>
      <c r="C17609">
        <v>0</v>
      </c>
      <c r="D17609">
        <v>0.841516327156</v>
      </c>
      <c r="E17609">
        <v>3.13043478260869</v>
      </c>
    </row>
    <row r="17610" spans="1:5">
      <c r="A17610" t="s">
        <v>20390</v>
      </c>
      <c r="B17610" t="s">
        <v>20396</v>
      </c>
      <c r="C17610">
        <v>0</v>
      </c>
      <c r="D17610">
        <v>0.841516327156</v>
      </c>
      <c r="E17610">
        <v>3.13043478260869</v>
      </c>
    </row>
    <row r="17611" spans="1:5">
      <c r="A17611" t="s">
        <v>20390</v>
      </c>
      <c r="B17611" t="s">
        <v>20397</v>
      </c>
      <c r="C17611">
        <v>0</v>
      </c>
      <c r="D17611">
        <v>0.841516327156</v>
      </c>
      <c r="E17611">
        <v>3.13043478260869</v>
      </c>
    </row>
    <row r="17612" spans="1:5">
      <c r="A17612" t="s">
        <v>20390</v>
      </c>
      <c r="B17612" t="s">
        <v>20398</v>
      </c>
      <c r="C17612">
        <v>0</v>
      </c>
      <c r="D17612">
        <v>0.841516327156</v>
      </c>
      <c r="E17612">
        <v>3.13043478260869</v>
      </c>
    </row>
    <row r="17613" spans="1:5">
      <c r="A17613" t="s">
        <v>20390</v>
      </c>
      <c r="B17613" t="s">
        <v>20399</v>
      </c>
      <c r="C17613">
        <v>0</v>
      </c>
      <c r="D17613">
        <v>0.841516327156</v>
      </c>
      <c r="E17613">
        <v>3.13043478260869</v>
      </c>
    </row>
    <row r="17614" spans="1:5">
      <c r="A17614" t="s">
        <v>20400</v>
      </c>
      <c r="B17614" t="s">
        <v>20401</v>
      </c>
      <c r="C17614">
        <f>0.279826162976</f>
        <v>0.27982616297599999</v>
      </c>
      <c r="D17614">
        <v>0.455344777762</v>
      </c>
      <c r="E17614">
        <v>10.0749625187406</v>
      </c>
    </row>
    <row r="17615" spans="1:5">
      <c r="A17615" t="s">
        <v>20402</v>
      </c>
      <c r="B17615" t="s">
        <v>20403</v>
      </c>
      <c r="C17615">
        <v>0.31956993890899998</v>
      </c>
      <c r="D17615">
        <v>0.70693798360799998</v>
      </c>
      <c r="E17615">
        <v>8.0119940029985006</v>
      </c>
    </row>
    <row r="17616" spans="1:5">
      <c r="A17616" t="s">
        <v>20404</v>
      </c>
      <c r="B17616" t="s">
        <v>20405</v>
      </c>
      <c r="C17616">
        <v>0</v>
      </c>
      <c r="D17616" t="s">
        <v>106</v>
      </c>
      <c r="E17616">
        <v>24</v>
      </c>
    </row>
    <row r="17617" spans="1:5">
      <c r="A17617" t="s">
        <v>20404</v>
      </c>
      <c r="B17617" t="s">
        <v>20406</v>
      </c>
      <c r="C17617">
        <f>0</f>
        <v>0</v>
      </c>
      <c r="D17617" t="s">
        <v>106</v>
      </c>
      <c r="E17617">
        <v>24</v>
      </c>
    </row>
    <row r="17618" spans="1:5">
      <c r="A17618" t="s">
        <v>20404</v>
      </c>
      <c r="B17618" t="s">
        <v>20407</v>
      </c>
      <c r="C17618">
        <f>0</f>
        <v>0</v>
      </c>
      <c r="D17618" t="s">
        <v>106</v>
      </c>
      <c r="E17618">
        <v>24</v>
      </c>
    </row>
    <row r="17619" spans="1:5">
      <c r="A17619" t="s">
        <v>20404</v>
      </c>
      <c r="B17619" t="s">
        <v>20408</v>
      </c>
      <c r="C17619">
        <f>0</f>
        <v>0</v>
      </c>
      <c r="D17619" t="s">
        <v>106</v>
      </c>
      <c r="E17619">
        <v>24</v>
      </c>
    </row>
    <row r="17620" spans="1:5">
      <c r="A17620" t="s">
        <v>20404</v>
      </c>
      <c r="B17620" t="s">
        <v>20409</v>
      </c>
      <c r="C17620">
        <v>0</v>
      </c>
      <c r="D17620" t="s">
        <v>106</v>
      </c>
      <c r="E17620">
        <v>24</v>
      </c>
    </row>
    <row r="17621" spans="1:5">
      <c r="A17621" t="s">
        <v>20404</v>
      </c>
      <c r="B17621" t="s">
        <v>20410</v>
      </c>
      <c r="C17621">
        <f>0</f>
        <v>0</v>
      </c>
      <c r="D17621" t="s">
        <v>106</v>
      </c>
      <c r="E17621">
        <v>24</v>
      </c>
    </row>
    <row r="17622" spans="1:5">
      <c r="A17622" t="s">
        <v>20404</v>
      </c>
      <c r="B17622" t="s">
        <v>20411</v>
      </c>
      <c r="C17622">
        <v>0</v>
      </c>
      <c r="D17622" t="s">
        <v>106</v>
      </c>
      <c r="E17622">
        <v>24</v>
      </c>
    </row>
    <row r="17623" spans="1:5">
      <c r="A17623" t="s">
        <v>20404</v>
      </c>
      <c r="B17623" t="s">
        <v>20412</v>
      </c>
      <c r="C17623">
        <f>0</f>
        <v>0</v>
      </c>
      <c r="D17623" t="s">
        <v>106</v>
      </c>
      <c r="E17623">
        <v>24</v>
      </c>
    </row>
    <row r="17624" spans="1:5">
      <c r="A17624" t="s">
        <v>20404</v>
      </c>
      <c r="B17624" t="s">
        <v>20413</v>
      </c>
      <c r="C17624">
        <f>0</f>
        <v>0</v>
      </c>
      <c r="D17624" t="s">
        <v>106</v>
      </c>
      <c r="E17624">
        <v>24</v>
      </c>
    </row>
    <row r="17625" spans="1:5">
      <c r="A17625" t="s">
        <v>20404</v>
      </c>
      <c r="B17625" t="s">
        <v>20414</v>
      </c>
      <c r="C17625">
        <v>0</v>
      </c>
      <c r="D17625" t="s">
        <v>106</v>
      </c>
      <c r="E17625">
        <v>24</v>
      </c>
    </row>
    <row r="17626" spans="1:5">
      <c r="A17626" t="s">
        <v>20415</v>
      </c>
      <c r="B17626" t="s">
        <v>20416</v>
      </c>
      <c r="C17626">
        <v>0</v>
      </c>
      <c r="D17626">
        <v>0.99584513599799995</v>
      </c>
      <c r="E17626">
        <v>9.0194902548725597</v>
      </c>
    </row>
    <row r="17627" spans="1:5">
      <c r="A17627" t="s">
        <v>20415</v>
      </c>
      <c r="B17627" t="s">
        <v>20417</v>
      </c>
      <c r="C17627">
        <v>0</v>
      </c>
      <c r="D17627">
        <v>0.99584513599799995</v>
      </c>
      <c r="E17627">
        <v>9.0194902548725597</v>
      </c>
    </row>
    <row r="17628" spans="1:5">
      <c r="A17628" t="s">
        <v>20415</v>
      </c>
      <c r="B17628" t="s">
        <v>20418</v>
      </c>
      <c r="C17628">
        <v>0</v>
      </c>
      <c r="D17628">
        <v>0.99584513599799995</v>
      </c>
      <c r="E17628">
        <v>9.0194902548725597</v>
      </c>
    </row>
    <row r="17629" spans="1:5">
      <c r="A17629" t="s">
        <v>20415</v>
      </c>
      <c r="B17629" t="s">
        <v>20419</v>
      </c>
      <c r="C17629">
        <v>0</v>
      </c>
      <c r="D17629">
        <v>0.99584513599799995</v>
      </c>
      <c r="E17629">
        <v>9.0194902548725597</v>
      </c>
    </row>
    <row r="17630" spans="1:5">
      <c r="A17630" t="s">
        <v>20415</v>
      </c>
      <c r="B17630" t="s">
        <v>20420</v>
      </c>
      <c r="C17630">
        <v>0</v>
      </c>
      <c r="D17630">
        <v>0.99584513599799995</v>
      </c>
      <c r="E17630">
        <v>9.0194902548725597</v>
      </c>
    </row>
    <row r="17631" spans="1:5">
      <c r="A17631" t="s">
        <v>20415</v>
      </c>
      <c r="B17631" t="s">
        <v>20421</v>
      </c>
      <c r="C17631">
        <v>0</v>
      </c>
      <c r="D17631">
        <v>0.99584513599799995</v>
      </c>
      <c r="E17631">
        <v>9.0194902548725597</v>
      </c>
    </row>
    <row r="17632" spans="1:5">
      <c r="A17632" t="s">
        <v>20415</v>
      </c>
      <c r="B17632" t="s">
        <v>20422</v>
      </c>
      <c r="C17632">
        <v>0</v>
      </c>
      <c r="D17632">
        <v>0.99584513599799995</v>
      </c>
      <c r="E17632">
        <v>9.0194902548725597</v>
      </c>
    </row>
    <row r="17633" spans="1:5">
      <c r="A17633" t="s">
        <v>20415</v>
      </c>
      <c r="B17633" t="s">
        <v>20423</v>
      </c>
      <c r="C17633">
        <v>0</v>
      </c>
      <c r="D17633">
        <v>0.99584513599799995</v>
      </c>
      <c r="E17633">
        <v>9.0194902548725597</v>
      </c>
    </row>
    <row r="17634" spans="1:5">
      <c r="A17634" t="s">
        <v>20415</v>
      </c>
      <c r="B17634" t="s">
        <v>20424</v>
      </c>
      <c r="C17634">
        <v>0</v>
      </c>
      <c r="D17634">
        <v>0.99584513599799995</v>
      </c>
      <c r="E17634">
        <v>9.0194902548725597</v>
      </c>
    </row>
    <row r="17635" spans="1:5">
      <c r="A17635" t="s">
        <v>20415</v>
      </c>
      <c r="B17635" t="s">
        <v>20425</v>
      </c>
      <c r="C17635">
        <v>7.4405472239500003E-2</v>
      </c>
      <c r="D17635">
        <v>0.99584513599799995</v>
      </c>
      <c r="E17635">
        <v>9.0194902548725597</v>
      </c>
    </row>
    <row r="17636" spans="1:5">
      <c r="A17636" t="s">
        <v>20415</v>
      </c>
      <c r="B17636" t="s">
        <v>20426</v>
      </c>
      <c r="C17636">
        <v>0</v>
      </c>
      <c r="D17636">
        <v>0.99584513599799995</v>
      </c>
      <c r="E17636">
        <v>9.0194902548725597</v>
      </c>
    </row>
    <row r="17637" spans="1:5">
      <c r="A17637" t="s">
        <v>20415</v>
      </c>
      <c r="B17637" t="s">
        <v>20427</v>
      </c>
      <c r="C17637">
        <v>0</v>
      </c>
      <c r="D17637">
        <v>0.99584513599799995</v>
      </c>
      <c r="E17637">
        <v>9.0194902548725597</v>
      </c>
    </row>
    <row r="17638" spans="1:5">
      <c r="A17638" t="s">
        <v>20415</v>
      </c>
      <c r="B17638" t="s">
        <v>20428</v>
      </c>
      <c r="C17638">
        <v>0</v>
      </c>
      <c r="D17638">
        <v>0.99584513599799995</v>
      </c>
      <c r="E17638">
        <v>9.0194902548725597</v>
      </c>
    </row>
    <row r="17639" spans="1:5">
      <c r="A17639" t="s">
        <v>20415</v>
      </c>
      <c r="B17639" t="s">
        <v>20429</v>
      </c>
      <c r="C17639">
        <v>0</v>
      </c>
      <c r="D17639">
        <v>0.99584513599799995</v>
      </c>
      <c r="E17639">
        <v>9.0194902548725597</v>
      </c>
    </row>
    <row r="17640" spans="1:5">
      <c r="A17640" t="s">
        <v>20415</v>
      </c>
      <c r="B17640" t="s">
        <v>20430</v>
      </c>
      <c r="C17640">
        <v>0.134701540816</v>
      </c>
      <c r="D17640">
        <v>0.99584513599799995</v>
      </c>
      <c r="E17640">
        <v>9.0194902548725597</v>
      </c>
    </row>
    <row r="17641" spans="1:5">
      <c r="A17641" t="s">
        <v>20415</v>
      </c>
      <c r="B17641" t="s">
        <v>20431</v>
      </c>
      <c r="C17641">
        <v>0</v>
      </c>
      <c r="D17641">
        <v>0.99584513599799995</v>
      </c>
      <c r="E17641">
        <v>9.0194902548725597</v>
      </c>
    </row>
    <row r="17642" spans="1:5">
      <c r="A17642" t="s">
        <v>20415</v>
      </c>
      <c r="B17642" t="s">
        <v>20432</v>
      </c>
      <c r="C17642">
        <f>0</f>
        <v>0</v>
      </c>
      <c r="D17642">
        <v>0.99584513599799995</v>
      </c>
      <c r="E17642">
        <v>9.0194902548725597</v>
      </c>
    </row>
    <row r="17643" spans="1:5">
      <c r="A17643" t="s">
        <v>20415</v>
      </c>
      <c r="B17643" t="s">
        <v>20433</v>
      </c>
      <c r="C17643">
        <v>0</v>
      </c>
      <c r="D17643">
        <v>0.99584513599799995</v>
      </c>
      <c r="E17643">
        <v>9.0194902548725597</v>
      </c>
    </row>
    <row r="17644" spans="1:5">
      <c r="A17644" t="s">
        <v>20415</v>
      </c>
      <c r="B17644" t="s">
        <v>20434</v>
      </c>
      <c r="C17644">
        <v>0</v>
      </c>
      <c r="D17644">
        <v>0.99584513599799995</v>
      </c>
      <c r="E17644">
        <v>9.0194902548725597</v>
      </c>
    </row>
    <row r="17645" spans="1:5">
      <c r="A17645" t="s">
        <v>20415</v>
      </c>
      <c r="B17645" t="s">
        <v>20435</v>
      </c>
      <c r="C17645">
        <v>0</v>
      </c>
      <c r="D17645">
        <v>0.99584513599799995</v>
      </c>
      <c r="E17645">
        <v>9.0194902548725597</v>
      </c>
    </row>
    <row r="17646" spans="1:5">
      <c r="A17646" t="s">
        <v>20415</v>
      </c>
      <c r="B17646" t="s">
        <v>20436</v>
      </c>
      <c r="C17646">
        <v>0</v>
      </c>
      <c r="D17646">
        <v>0.99584513599799995</v>
      </c>
      <c r="E17646">
        <v>9.0194902548725597</v>
      </c>
    </row>
    <row r="17647" spans="1:5">
      <c r="A17647" t="s">
        <v>20415</v>
      </c>
      <c r="B17647" t="s">
        <v>20437</v>
      </c>
      <c r="C17647">
        <v>0</v>
      </c>
      <c r="D17647">
        <v>0.99584513599799995</v>
      </c>
      <c r="E17647">
        <v>9.0194902548725597</v>
      </c>
    </row>
    <row r="17648" spans="1:5">
      <c r="A17648" t="s">
        <v>20415</v>
      </c>
      <c r="B17648" t="s">
        <v>20438</v>
      </c>
      <c r="C17648">
        <f>0</f>
        <v>0</v>
      </c>
      <c r="D17648">
        <v>0.99584513599799995</v>
      </c>
      <c r="E17648">
        <v>9.0194902548725597</v>
      </c>
    </row>
    <row r="17649" spans="1:5">
      <c r="A17649" t="s">
        <v>20415</v>
      </c>
      <c r="B17649" t="s">
        <v>20439</v>
      </c>
      <c r="C17649">
        <v>0</v>
      </c>
      <c r="D17649">
        <v>0.99584513599799995</v>
      </c>
      <c r="E17649">
        <v>9.0194902548725597</v>
      </c>
    </row>
    <row r="17650" spans="1:5">
      <c r="A17650" t="s">
        <v>20415</v>
      </c>
      <c r="B17650" t="s">
        <v>20440</v>
      </c>
      <c r="C17650">
        <f>0</f>
        <v>0</v>
      </c>
      <c r="D17650">
        <v>0.99584513599799995</v>
      </c>
      <c r="E17650">
        <v>9.0194902548725597</v>
      </c>
    </row>
    <row r="17651" spans="1:5">
      <c r="A17651" t="s">
        <v>20415</v>
      </c>
      <c r="B17651" t="s">
        <v>20441</v>
      </c>
      <c r="C17651">
        <f>0</f>
        <v>0</v>
      </c>
      <c r="D17651">
        <v>0.99584513599799995</v>
      </c>
      <c r="E17651">
        <v>9.0194902548725597</v>
      </c>
    </row>
    <row r="17652" spans="1:5">
      <c r="A17652" t="s">
        <v>20415</v>
      </c>
      <c r="B17652" t="s">
        <v>20442</v>
      </c>
      <c r="C17652">
        <f>0</f>
        <v>0</v>
      </c>
      <c r="D17652">
        <v>0.99584513599799995</v>
      </c>
      <c r="E17652">
        <v>9.0194902548725597</v>
      </c>
    </row>
    <row r="17653" spans="1:5">
      <c r="A17653" t="s">
        <v>20415</v>
      </c>
      <c r="B17653" t="s">
        <v>20443</v>
      </c>
      <c r="C17653">
        <v>0</v>
      </c>
      <c r="D17653">
        <v>0.99584513599799995</v>
      </c>
      <c r="E17653">
        <v>9.0194902548725597</v>
      </c>
    </row>
    <row r="17654" spans="1:5">
      <c r="A17654" t="s">
        <v>20415</v>
      </c>
      <c r="B17654" t="s">
        <v>20444</v>
      </c>
      <c r="C17654">
        <f>0</f>
        <v>0</v>
      </c>
      <c r="D17654">
        <v>0.99584513599799995</v>
      </c>
      <c r="E17654">
        <v>9.0194902548725597</v>
      </c>
    </row>
    <row r="17655" spans="1:5">
      <c r="A17655" t="s">
        <v>20415</v>
      </c>
      <c r="B17655" t="s">
        <v>20445</v>
      </c>
      <c r="C17655">
        <v>0</v>
      </c>
      <c r="D17655">
        <v>0.99584513599799995</v>
      </c>
      <c r="E17655">
        <v>9.0194902548725597</v>
      </c>
    </row>
    <row r="17656" spans="1:5">
      <c r="A17656" t="s">
        <v>20415</v>
      </c>
      <c r="B17656" t="s">
        <v>20446</v>
      </c>
      <c r="C17656">
        <f>0</f>
        <v>0</v>
      </c>
      <c r="D17656">
        <v>0.99584513599799995</v>
      </c>
      <c r="E17656">
        <v>9.0194902548725597</v>
      </c>
    </row>
    <row r="17657" spans="1:5">
      <c r="A17657" t="s">
        <v>20415</v>
      </c>
      <c r="B17657" t="s">
        <v>20447</v>
      </c>
      <c r="C17657">
        <v>0</v>
      </c>
      <c r="D17657">
        <v>0.99584513599799995</v>
      </c>
      <c r="E17657">
        <v>9.0194902548725597</v>
      </c>
    </row>
    <row r="17658" spans="1:5">
      <c r="A17658" t="s">
        <v>20415</v>
      </c>
      <c r="B17658" t="s">
        <v>20448</v>
      </c>
      <c r="C17658">
        <v>0</v>
      </c>
      <c r="D17658">
        <v>0.99584513599799995</v>
      </c>
      <c r="E17658">
        <v>9.0194902548725597</v>
      </c>
    </row>
    <row r="17659" spans="1:5">
      <c r="A17659" t="s">
        <v>20415</v>
      </c>
      <c r="B17659" t="s">
        <v>20449</v>
      </c>
      <c r="C17659">
        <v>0</v>
      </c>
      <c r="D17659">
        <v>0.99584513599799995</v>
      </c>
      <c r="E17659">
        <v>9.0194902548725597</v>
      </c>
    </row>
    <row r="17660" spans="1:5">
      <c r="A17660" t="s">
        <v>20415</v>
      </c>
      <c r="B17660" t="s">
        <v>20450</v>
      </c>
      <c r="C17660">
        <f>0</f>
        <v>0</v>
      </c>
      <c r="D17660">
        <v>0.99584513599799995</v>
      </c>
      <c r="E17660">
        <v>9.0194902548725597</v>
      </c>
    </row>
    <row r="17661" spans="1:5">
      <c r="A17661" t="s">
        <v>20415</v>
      </c>
      <c r="B17661" t="s">
        <v>20451</v>
      </c>
      <c r="C17661">
        <f>0</f>
        <v>0</v>
      </c>
      <c r="D17661">
        <v>0.99584513599799995</v>
      </c>
      <c r="E17661">
        <v>9.0194902548725597</v>
      </c>
    </row>
    <row r="17662" spans="1:5">
      <c r="A17662" t="s">
        <v>20415</v>
      </c>
      <c r="B17662" t="s">
        <v>20452</v>
      </c>
      <c r="C17662">
        <v>0</v>
      </c>
      <c r="D17662">
        <v>0.99584513599799995</v>
      </c>
      <c r="E17662">
        <v>9.0194902548725597</v>
      </c>
    </row>
    <row r="17663" spans="1:5">
      <c r="A17663" t="s">
        <v>20415</v>
      </c>
      <c r="B17663" t="s">
        <v>20453</v>
      </c>
      <c r="C17663">
        <v>0</v>
      </c>
      <c r="D17663">
        <v>0.99584513599799995</v>
      </c>
      <c r="E17663">
        <v>9.0194902548725597</v>
      </c>
    </row>
    <row r="17664" spans="1:5">
      <c r="A17664" t="s">
        <v>20415</v>
      </c>
      <c r="B17664" t="s">
        <v>20454</v>
      </c>
      <c r="C17664">
        <f>0</f>
        <v>0</v>
      </c>
      <c r="D17664">
        <v>0.99584513599799995</v>
      </c>
      <c r="E17664">
        <v>9.0194902548725597</v>
      </c>
    </row>
    <row r="17665" spans="1:5">
      <c r="A17665" t="s">
        <v>20415</v>
      </c>
      <c r="B17665" t="s">
        <v>20455</v>
      </c>
      <c r="C17665">
        <f>0</f>
        <v>0</v>
      </c>
      <c r="D17665">
        <v>0.99584513599799995</v>
      </c>
      <c r="E17665">
        <v>9.0194902548725597</v>
      </c>
    </row>
    <row r="17666" spans="1:5">
      <c r="A17666" t="s">
        <v>20415</v>
      </c>
      <c r="B17666" t="s">
        <v>20456</v>
      </c>
      <c r="C17666">
        <v>0</v>
      </c>
      <c r="D17666">
        <v>0.99584513599799995</v>
      </c>
      <c r="E17666">
        <v>9.0194902548725597</v>
      </c>
    </row>
    <row r="17667" spans="1:5">
      <c r="A17667" t="s">
        <v>20457</v>
      </c>
      <c r="B17667" t="s">
        <v>20458</v>
      </c>
      <c r="C17667">
        <v>1.4121948971100001E-3</v>
      </c>
      <c r="D17667">
        <v>0.96351601042699997</v>
      </c>
      <c r="E17667">
        <v>24</v>
      </c>
    </row>
    <row r="17668" spans="1:5">
      <c r="A17668" t="s">
        <v>20457</v>
      </c>
      <c r="B17668" t="s">
        <v>20459</v>
      </c>
      <c r="C17668">
        <f>0</f>
        <v>0</v>
      </c>
      <c r="D17668">
        <v>0.96351601042699997</v>
      </c>
      <c r="E17668">
        <v>24</v>
      </c>
    </row>
    <row r="17669" spans="1:5">
      <c r="A17669" t="s">
        <v>20457</v>
      </c>
      <c r="B17669" t="s">
        <v>20460</v>
      </c>
      <c r="C17669">
        <v>5.3819050466499999E-2</v>
      </c>
      <c r="D17669">
        <v>0.96351601042699997</v>
      </c>
      <c r="E17669">
        <v>24</v>
      </c>
    </row>
    <row r="17670" spans="1:5">
      <c r="A17670" t="s">
        <v>20457</v>
      </c>
      <c r="B17670" t="s">
        <v>20461</v>
      </c>
      <c r="C17670">
        <v>0</v>
      </c>
      <c r="D17670">
        <v>0.96351601042699997</v>
      </c>
      <c r="E17670">
        <v>24</v>
      </c>
    </row>
    <row r="17671" spans="1:5">
      <c r="A17671" t="s">
        <v>20462</v>
      </c>
      <c r="B17671" t="s">
        <v>20463</v>
      </c>
      <c r="C17671">
        <f>0</f>
        <v>0</v>
      </c>
      <c r="D17671">
        <v>0.51245364633500001</v>
      </c>
      <c r="E17671">
        <v>4.58170914542728</v>
      </c>
    </row>
    <row r="17672" spans="1:5">
      <c r="A17672" t="s">
        <v>20462</v>
      </c>
      <c r="B17672" t="s">
        <v>20464</v>
      </c>
      <c r="C17672">
        <f>0</f>
        <v>0</v>
      </c>
      <c r="D17672">
        <v>0.51245364633500001</v>
      </c>
      <c r="E17672">
        <v>4.58170914542728</v>
      </c>
    </row>
    <row r="17673" spans="1:5">
      <c r="A17673" t="s">
        <v>20462</v>
      </c>
      <c r="B17673" t="s">
        <v>20465</v>
      </c>
      <c r="C17673">
        <f>0</f>
        <v>0</v>
      </c>
      <c r="D17673">
        <v>0.51245364633500001</v>
      </c>
      <c r="E17673">
        <v>4.58170914542728</v>
      </c>
    </row>
    <row r="17674" spans="1:5">
      <c r="A17674" t="s">
        <v>20462</v>
      </c>
      <c r="B17674" t="s">
        <v>20466</v>
      </c>
      <c r="C17674">
        <v>0</v>
      </c>
      <c r="D17674">
        <v>0.51245364633500001</v>
      </c>
      <c r="E17674">
        <v>4.58170914542728</v>
      </c>
    </row>
    <row r="17675" spans="1:5">
      <c r="A17675" t="s">
        <v>20462</v>
      </c>
      <c r="B17675" t="s">
        <v>20467</v>
      </c>
      <c r="C17675">
        <f>0</f>
        <v>0</v>
      </c>
      <c r="D17675">
        <v>0.51245364633500001</v>
      </c>
      <c r="E17675">
        <v>4.58170914542728</v>
      </c>
    </row>
    <row r="17676" spans="1:5">
      <c r="A17676" t="s">
        <v>20462</v>
      </c>
      <c r="B17676" t="s">
        <v>20468</v>
      </c>
      <c r="C17676">
        <v>0</v>
      </c>
      <c r="D17676">
        <v>0.51245364633500001</v>
      </c>
      <c r="E17676">
        <v>4.58170914542728</v>
      </c>
    </row>
    <row r="17677" spans="1:5">
      <c r="A17677" t="s">
        <v>20462</v>
      </c>
      <c r="B17677" t="s">
        <v>20469</v>
      </c>
      <c r="C17677">
        <f>0</f>
        <v>0</v>
      </c>
      <c r="D17677">
        <v>0.51245364633500001</v>
      </c>
      <c r="E17677">
        <v>4.58170914542728</v>
      </c>
    </row>
    <row r="17678" spans="1:5">
      <c r="A17678" t="s">
        <v>20462</v>
      </c>
      <c r="B17678" t="s">
        <v>20470</v>
      </c>
      <c r="C17678">
        <f>0.34405866143</f>
        <v>0.34405866143000002</v>
      </c>
      <c r="D17678">
        <v>0.51245364633500001</v>
      </c>
      <c r="E17678">
        <v>4.58170914542728</v>
      </c>
    </row>
    <row r="17679" spans="1:5">
      <c r="A17679" t="s">
        <v>20471</v>
      </c>
      <c r="B17679" t="s">
        <v>20472</v>
      </c>
      <c r="C17679">
        <v>0</v>
      </c>
      <c r="D17679">
        <v>0.96974945886399999</v>
      </c>
      <c r="E17679">
        <v>23.508245877061398</v>
      </c>
    </row>
    <row r="17680" spans="1:5">
      <c r="A17680" t="s">
        <v>20471</v>
      </c>
      <c r="B17680" t="s">
        <v>20473</v>
      </c>
      <c r="C17680">
        <v>2.4373647151800001E-2</v>
      </c>
      <c r="D17680">
        <v>0.96974945886399999</v>
      </c>
      <c r="E17680">
        <v>23.508245877061398</v>
      </c>
    </row>
    <row r="17681" spans="1:5">
      <c r="A17681" t="s">
        <v>20471</v>
      </c>
      <c r="B17681" t="s">
        <v>20474</v>
      </c>
      <c r="C17681">
        <v>0</v>
      </c>
      <c r="D17681">
        <v>0.96974945886399999</v>
      </c>
      <c r="E17681">
        <v>23.508245877061398</v>
      </c>
    </row>
    <row r="17682" spans="1:5">
      <c r="A17682" t="s">
        <v>20471</v>
      </c>
      <c r="B17682" t="s">
        <v>20475</v>
      </c>
      <c r="C17682">
        <v>2.4732800022200001E-2</v>
      </c>
      <c r="D17682">
        <v>0.96974945886399999</v>
      </c>
      <c r="E17682">
        <v>23.508245877061398</v>
      </c>
    </row>
    <row r="17683" spans="1:5">
      <c r="A17683" t="s">
        <v>20476</v>
      </c>
      <c r="B17683" t="s">
        <v>20477</v>
      </c>
      <c r="C17683">
        <v>0</v>
      </c>
      <c r="D17683">
        <v>0.78646716078500001</v>
      </c>
      <c r="E17683">
        <v>9.9190404797601204</v>
      </c>
    </row>
    <row r="17684" spans="1:5">
      <c r="A17684" t="s">
        <v>20476</v>
      </c>
      <c r="B17684" t="s">
        <v>20478</v>
      </c>
      <c r="C17684">
        <v>0</v>
      </c>
      <c r="D17684">
        <v>0.78646716078500001</v>
      </c>
      <c r="E17684">
        <v>9.9190404797601204</v>
      </c>
    </row>
    <row r="17685" spans="1:5">
      <c r="A17685" t="s">
        <v>20476</v>
      </c>
      <c r="B17685" t="s">
        <v>20479</v>
      </c>
      <c r="C17685">
        <v>0</v>
      </c>
      <c r="D17685">
        <v>0.78646716078500001</v>
      </c>
      <c r="E17685">
        <v>9.9190404797601204</v>
      </c>
    </row>
    <row r="17686" spans="1:5">
      <c r="A17686" t="s">
        <v>20476</v>
      </c>
      <c r="B17686" t="s">
        <v>20480</v>
      </c>
      <c r="C17686">
        <v>0.13491530157699999</v>
      </c>
      <c r="D17686">
        <v>0.78646716078500001</v>
      </c>
      <c r="E17686">
        <v>9.9190404797601204</v>
      </c>
    </row>
    <row r="17687" spans="1:5">
      <c r="A17687" t="s">
        <v>20476</v>
      </c>
      <c r="B17687" t="s">
        <v>20481</v>
      </c>
      <c r="C17687">
        <v>0</v>
      </c>
      <c r="D17687">
        <v>0.78646716078500001</v>
      </c>
      <c r="E17687">
        <v>9.9190404797601204</v>
      </c>
    </row>
    <row r="17688" spans="1:5">
      <c r="A17688" t="s">
        <v>20476</v>
      </c>
      <c r="B17688" t="s">
        <v>20482</v>
      </c>
      <c r="C17688">
        <v>0</v>
      </c>
      <c r="D17688">
        <v>0.78646716078500001</v>
      </c>
      <c r="E17688">
        <v>9.9190404797601204</v>
      </c>
    </row>
    <row r="17689" spans="1:5">
      <c r="A17689" t="s">
        <v>20483</v>
      </c>
      <c r="B17689" t="s">
        <v>20484</v>
      </c>
      <c r="C17689">
        <f>0</f>
        <v>0</v>
      </c>
      <c r="D17689" t="s">
        <v>106</v>
      </c>
      <c r="E17689">
        <v>21.409295352323799</v>
      </c>
    </row>
    <row r="17690" spans="1:5">
      <c r="A17690" t="s">
        <v>20483</v>
      </c>
      <c r="B17690" t="s">
        <v>20485</v>
      </c>
      <c r="C17690">
        <f>0</f>
        <v>0</v>
      </c>
      <c r="D17690" t="s">
        <v>106</v>
      </c>
      <c r="E17690">
        <v>21.409295352323799</v>
      </c>
    </row>
    <row r="17691" spans="1:5">
      <c r="A17691" t="s">
        <v>20486</v>
      </c>
      <c r="B17691" t="s">
        <v>20487</v>
      </c>
      <c r="C17691">
        <f>0</f>
        <v>0</v>
      </c>
      <c r="D17691">
        <v>0.96587173327200004</v>
      </c>
      <c r="E17691">
        <v>17.307346326836502</v>
      </c>
    </row>
    <row r="17692" spans="1:5">
      <c r="A17692" t="s">
        <v>20486</v>
      </c>
      <c r="B17692" t="s">
        <v>20488</v>
      </c>
      <c r="C17692">
        <v>0</v>
      </c>
      <c r="D17692">
        <v>0.96587173327200004</v>
      </c>
      <c r="E17692">
        <v>17.307346326836502</v>
      </c>
    </row>
    <row r="17693" spans="1:5">
      <c r="A17693" t="s">
        <v>20486</v>
      </c>
      <c r="B17693" t="s">
        <v>20489</v>
      </c>
      <c r="C17693">
        <v>0</v>
      </c>
      <c r="D17693">
        <v>0.96587173327200004</v>
      </c>
      <c r="E17693">
        <v>17.307346326836502</v>
      </c>
    </row>
    <row r="17694" spans="1:5">
      <c r="A17694" t="s">
        <v>20486</v>
      </c>
      <c r="B17694" t="s">
        <v>20490</v>
      </c>
      <c r="C17694">
        <f>0</f>
        <v>0</v>
      </c>
      <c r="D17694">
        <v>0.96587173327200004</v>
      </c>
      <c r="E17694">
        <v>17.307346326836502</v>
      </c>
    </row>
    <row r="17695" spans="1:5">
      <c r="A17695" t="s">
        <v>20486</v>
      </c>
      <c r="B17695" t="s">
        <v>20491</v>
      </c>
      <c r="C17695">
        <v>0</v>
      </c>
      <c r="D17695">
        <v>0.96587173327200004</v>
      </c>
      <c r="E17695">
        <v>17.307346326836502</v>
      </c>
    </row>
    <row r="17696" spans="1:5">
      <c r="A17696" t="s">
        <v>20486</v>
      </c>
      <c r="B17696" t="s">
        <v>20492</v>
      </c>
      <c r="C17696">
        <v>0</v>
      </c>
      <c r="D17696">
        <v>0.96587173327200004</v>
      </c>
      <c r="E17696">
        <v>17.307346326836502</v>
      </c>
    </row>
    <row r="17697" spans="1:5">
      <c r="A17697" t="s">
        <v>20486</v>
      </c>
      <c r="B17697" t="s">
        <v>20493</v>
      </c>
      <c r="C17697">
        <v>0</v>
      </c>
      <c r="D17697">
        <v>0.96587173327200004</v>
      </c>
      <c r="E17697">
        <v>17.307346326836502</v>
      </c>
    </row>
    <row r="17698" spans="1:5">
      <c r="A17698" t="s">
        <v>20486</v>
      </c>
      <c r="B17698" t="s">
        <v>20494</v>
      </c>
      <c r="C17698">
        <v>0</v>
      </c>
      <c r="D17698">
        <v>0.96587173327200004</v>
      </c>
      <c r="E17698">
        <v>17.307346326836502</v>
      </c>
    </row>
    <row r="17699" spans="1:5">
      <c r="A17699" t="s">
        <v>20486</v>
      </c>
      <c r="B17699" t="s">
        <v>20495</v>
      </c>
      <c r="C17699">
        <v>0</v>
      </c>
      <c r="D17699">
        <v>0.96587173327200004</v>
      </c>
      <c r="E17699">
        <v>17.307346326836502</v>
      </c>
    </row>
    <row r="17700" spans="1:5">
      <c r="A17700" t="s">
        <v>20486</v>
      </c>
      <c r="B17700" t="s">
        <v>20496</v>
      </c>
      <c r="C17700">
        <v>0</v>
      </c>
      <c r="D17700">
        <v>0.96587173327200004</v>
      </c>
      <c r="E17700">
        <v>17.307346326836502</v>
      </c>
    </row>
    <row r="17701" spans="1:5">
      <c r="A17701" t="s">
        <v>20486</v>
      </c>
      <c r="B17701" t="s">
        <v>20497</v>
      </c>
      <c r="C17701">
        <v>0</v>
      </c>
      <c r="D17701">
        <v>0.96587173327200004</v>
      </c>
      <c r="E17701">
        <v>17.307346326836502</v>
      </c>
    </row>
    <row r="17702" spans="1:5">
      <c r="A17702" t="s">
        <v>20486</v>
      </c>
      <c r="B17702" t="s">
        <v>20498</v>
      </c>
      <c r="C17702">
        <v>8.2200438056499996E-3</v>
      </c>
      <c r="D17702">
        <v>0.96587173327200004</v>
      </c>
      <c r="E17702">
        <v>17.307346326836502</v>
      </c>
    </row>
    <row r="17703" spans="1:5">
      <c r="A17703" t="s">
        <v>20486</v>
      </c>
      <c r="B17703" t="s">
        <v>20499</v>
      </c>
      <c r="C17703">
        <v>0</v>
      </c>
      <c r="D17703">
        <v>0.96587173327200004</v>
      </c>
      <c r="E17703">
        <v>17.307346326836502</v>
      </c>
    </row>
    <row r="17704" spans="1:5">
      <c r="A17704" t="s">
        <v>20486</v>
      </c>
      <c r="B17704" t="s">
        <v>20500</v>
      </c>
      <c r="C17704">
        <f>0.0839739244794</f>
        <v>8.3973924479399997E-2</v>
      </c>
      <c r="D17704">
        <v>0.96587173327200004</v>
      </c>
      <c r="E17704">
        <v>17.307346326836502</v>
      </c>
    </row>
    <row r="17705" spans="1:5">
      <c r="A17705" t="s">
        <v>20486</v>
      </c>
      <c r="B17705" t="s">
        <v>20501</v>
      </c>
      <c r="C17705">
        <v>0</v>
      </c>
      <c r="D17705">
        <v>0.96587173327200004</v>
      </c>
      <c r="E17705">
        <v>17.307346326836502</v>
      </c>
    </row>
    <row r="17706" spans="1:5">
      <c r="A17706" t="s">
        <v>20502</v>
      </c>
      <c r="B17706" t="s">
        <v>20503</v>
      </c>
      <c r="C17706">
        <v>4.3738087279700001E-2</v>
      </c>
      <c r="D17706">
        <v>0.778658219165</v>
      </c>
      <c r="E17706">
        <v>5.8170914542728598</v>
      </c>
    </row>
    <row r="17707" spans="1:5">
      <c r="A17707" t="s">
        <v>20502</v>
      </c>
      <c r="B17707" t="s">
        <v>20504</v>
      </c>
      <c r="C17707">
        <v>0</v>
      </c>
      <c r="D17707">
        <v>0.778658219165</v>
      </c>
      <c r="E17707">
        <v>5.8170914542728598</v>
      </c>
    </row>
    <row r="17708" spans="1:5">
      <c r="A17708" t="s">
        <v>20502</v>
      </c>
      <c r="B17708" t="s">
        <v>20505</v>
      </c>
      <c r="C17708">
        <v>0</v>
      </c>
      <c r="D17708">
        <v>0.778658219165</v>
      </c>
      <c r="E17708">
        <v>5.8170914542728598</v>
      </c>
    </row>
    <row r="17709" spans="1:5">
      <c r="A17709" t="s">
        <v>20502</v>
      </c>
      <c r="B17709" t="s">
        <v>20506</v>
      </c>
      <c r="C17709">
        <v>0</v>
      </c>
      <c r="D17709">
        <v>0.778658219165</v>
      </c>
      <c r="E17709">
        <v>5.8170914542728598</v>
      </c>
    </row>
    <row r="17710" spans="1:5">
      <c r="A17710" t="s">
        <v>20502</v>
      </c>
      <c r="B17710" t="s">
        <v>20507</v>
      </c>
      <c r="C17710">
        <v>0</v>
      </c>
      <c r="D17710">
        <v>0.778658219165</v>
      </c>
      <c r="E17710">
        <v>5.8170914542728598</v>
      </c>
    </row>
    <row r="17711" spans="1:5">
      <c r="A17711" t="s">
        <v>20502</v>
      </c>
      <c r="B17711" t="s">
        <v>20508</v>
      </c>
      <c r="C17711">
        <v>7.8705420898999998E-2</v>
      </c>
      <c r="D17711">
        <v>0.778658219165</v>
      </c>
      <c r="E17711">
        <v>5.8170914542728598</v>
      </c>
    </row>
    <row r="17712" spans="1:5">
      <c r="A17712" t="s">
        <v>20502</v>
      </c>
      <c r="B17712" t="s">
        <v>20509</v>
      </c>
      <c r="C17712">
        <v>0</v>
      </c>
      <c r="D17712">
        <v>0.778658219165</v>
      </c>
      <c r="E17712">
        <v>5.8170914542728598</v>
      </c>
    </row>
    <row r="17713" spans="1:5">
      <c r="A17713" t="s">
        <v>20502</v>
      </c>
      <c r="B17713" t="s">
        <v>20510</v>
      </c>
      <c r="C17713">
        <v>0</v>
      </c>
      <c r="D17713">
        <v>0.778658219165</v>
      </c>
      <c r="E17713">
        <v>5.8170914542728598</v>
      </c>
    </row>
    <row r="17714" spans="1:5">
      <c r="A17714" t="s">
        <v>20511</v>
      </c>
      <c r="B17714" t="s">
        <v>20512</v>
      </c>
      <c r="C17714">
        <f>0</f>
        <v>0</v>
      </c>
      <c r="D17714" t="s">
        <v>106</v>
      </c>
      <c r="E17714">
        <v>24</v>
      </c>
    </row>
    <row r="17715" spans="1:5">
      <c r="A17715" t="s">
        <v>20511</v>
      </c>
      <c r="B17715" t="s">
        <v>20513</v>
      </c>
      <c r="C17715">
        <f>0</f>
        <v>0</v>
      </c>
      <c r="D17715" t="s">
        <v>106</v>
      </c>
      <c r="E17715">
        <v>24</v>
      </c>
    </row>
    <row r="17716" spans="1:5">
      <c r="A17716" t="s">
        <v>20511</v>
      </c>
      <c r="B17716" t="s">
        <v>20514</v>
      </c>
      <c r="C17716">
        <v>0</v>
      </c>
      <c r="D17716" t="s">
        <v>106</v>
      </c>
      <c r="E17716">
        <v>24</v>
      </c>
    </row>
    <row r="17717" spans="1:5">
      <c r="A17717" t="s">
        <v>20511</v>
      </c>
      <c r="B17717" t="s">
        <v>20515</v>
      </c>
      <c r="C17717">
        <f>0</f>
        <v>0</v>
      </c>
      <c r="D17717" t="s">
        <v>106</v>
      </c>
      <c r="E17717">
        <v>24</v>
      </c>
    </row>
    <row r="17718" spans="1:5">
      <c r="A17718" t="s">
        <v>20511</v>
      </c>
      <c r="B17718" t="s">
        <v>20516</v>
      </c>
      <c r="C17718">
        <v>0</v>
      </c>
      <c r="D17718" t="s">
        <v>106</v>
      </c>
      <c r="E17718">
        <v>24</v>
      </c>
    </row>
    <row r="17719" spans="1:5">
      <c r="A17719" t="s">
        <v>20511</v>
      </c>
      <c r="B17719" t="s">
        <v>20517</v>
      </c>
      <c r="C17719">
        <f>0</f>
        <v>0</v>
      </c>
      <c r="D17719" t="s">
        <v>106</v>
      </c>
      <c r="E17719">
        <v>24</v>
      </c>
    </row>
    <row r="17720" spans="1:5">
      <c r="A17720" t="s">
        <v>20511</v>
      </c>
      <c r="B17720" t="s">
        <v>20518</v>
      </c>
      <c r="C17720">
        <f>0</f>
        <v>0</v>
      </c>
      <c r="D17720" t="s">
        <v>106</v>
      </c>
      <c r="E17720">
        <v>24</v>
      </c>
    </row>
    <row r="17721" spans="1:5">
      <c r="A17721" t="s">
        <v>20511</v>
      </c>
      <c r="B17721" t="s">
        <v>20519</v>
      </c>
      <c r="C17721">
        <f>0</f>
        <v>0</v>
      </c>
      <c r="D17721" t="s">
        <v>106</v>
      </c>
      <c r="E17721">
        <v>24</v>
      </c>
    </row>
    <row r="17722" spans="1:5">
      <c r="A17722" t="s">
        <v>20511</v>
      </c>
      <c r="B17722" t="s">
        <v>20520</v>
      </c>
      <c r="C17722">
        <f>0</f>
        <v>0</v>
      </c>
      <c r="D17722" t="s">
        <v>106</v>
      </c>
      <c r="E17722">
        <v>24</v>
      </c>
    </row>
    <row r="17723" spans="1:5">
      <c r="A17723" t="s">
        <v>20511</v>
      </c>
      <c r="B17723" t="s">
        <v>20521</v>
      </c>
      <c r="C17723">
        <f>0</f>
        <v>0</v>
      </c>
      <c r="D17723" t="s">
        <v>106</v>
      </c>
      <c r="E17723">
        <v>24</v>
      </c>
    </row>
    <row r="17724" spans="1:5">
      <c r="A17724" t="s">
        <v>20511</v>
      </c>
      <c r="B17724" t="s">
        <v>20522</v>
      </c>
      <c r="C17724">
        <f>0</f>
        <v>0</v>
      </c>
      <c r="D17724" t="s">
        <v>106</v>
      </c>
      <c r="E17724">
        <v>24</v>
      </c>
    </row>
    <row r="17725" spans="1:5">
      <c r="A17725" t="s">
        <v>20511</v>
      </c>
      <c r="B17725" t="s">
        <v>20523</v>
      </c>
      <c r="C17725">
        <f>0</f>
        <v>0</v>
      </c>
      <c r="D17725" t="s">
        <v>106</v>
      </c>
      <c r="E17725">
        <v>24</v>
      </c>
    </row>
    <row r="17726" spans="1:5">
      <c r="A17726" t="s">
        <v>20511</v>
      </c>
      <c r="B17726" t="s">
        <v>20524</v>
      </c>
      <c r="C17726">
        <v>0</v>
      </c>
      <c r="D17726" t="s">
        <v>106</v>
      </c>
      <c r="E17726">
        <v>24</v>
      </c>
    </row>
    <row r="17727" spans="1:5">
      <c r="A17727" t="s">
        <v>20511</v>
      </c>
      <c r="B17727" t="s">
        <v>20525</v>
      </c>
      <c r="C17727">
        <f>0</f>
        <v>0</v>
      </c>
      <c r="D17727" t="s">
        <v>106</v>
      </c>
      <c r="E17727">
        <v>24</v>
      </c>
    </row>
    <row r="17728" spans="1:5">
      <c r="A17728" t="s">
        <v>20511</v>
      </c>
      <c r="B17728" t="s">
        <v>20526</v>
      </c>
      <c r="C17728">
        <f>0</f>
        <v>0</v>
      </c>
      <c r="D17728" t="s">
        <v>106</v>
      </c>
      <c r="E17728">
        <v>24</v>
      </c>
    </row>
    <row r="17729" spans="1:5">
      <c r="A17729" t="s">
        <v>20511</v>
      </c>
      <c r="B17729" t="s">
        <v>20527</v>
      </c>
      <c r="C17729">
        <v>0</v>
      </c>
      <c r="D17729" t="s">
        <v>106</v>
      </c>
      <c r="E17729">
        <v>24</v>
      </c>
    </row>
    <row r="17730" spans="1:5">
      <c r="A17730" t="s">
        <v>20528</v>
      </c>
      <c r="B17730" t="s">
        <v>20529</v>
      </c>
      <c r="C17730">
        <v>0</v>
      </c>
      <c r="D17730" t="s">
        <v>106</v>
      </c>
      <c r="E17730">
        <v>1.22338830584707</v>
      </c>
    </row>
    <row r="17731" spans="1:5">
      <c r="A17731" t="s">
        <v>20530</v>
      </c>
      <c r="B17731" t="s">
        <v>20531</v>
      </c>
      <c r="C17731">
        <v>0</v>
      </c>
      <c r="D17731" t="s">
        <v>106</v>
      </c>
      <c r="E17731">
        <v>13.0854572713643</v>
      </c>
    </row>
    <row r="17732" spans="1:5">
      <c r="A17732" t="s">
        <v>20530</v>
      </c>
      <c r="B17732" t="s">
        <v>20532</v>
      </c>
      <c r="C17732">
        <v>0</v>
      </c>
      <c r="D17732" t="s">
        <v>106</v>
      </c>
      <c r="E17732">
        <v>13.0854572713643</v>
      </c>
    </row>
    <row r="17733" spans="1:5">
      <c r="A17733" t="s">
        <v>20530</v>
      </c>
      <c r="B17733" t="s">
        <v>20533</v>
      </c>
      <c r="C17733">
        <v>0</v>
      </c>
      <c r="D17733" t="s">
        <v>106</v>
      </c>
      <c r="E17733">
        <v>13.0854572713643</v>
      </c>
    </row>
    <row r="17734" spans="1:5">
      <c r="A17734" t="s">
        <v>20530</v>
      </c>
      <c r="B17734" t="s">
        <v>20534</v>
      </c>
      <c r="C17734">
        <v>0</v>
      </c>
      <c r="D17734" t="s">
        <v>106</v>
      </c>
      <c r="E17734">
        <v>13.0854572713643</v>
      </c>
    </row>
    <row r="17735" spans="1:5">
      <c r="A17735" t="s">
        <v>20535</v>
      </c>
      <c r="B17735" t="s">
        <v>20536</v>
      </c>
      <c r="C17735">
        <f>0</f>
        <v>0</v>
      </c>
      <c r="D17735" t="s">
        <v>106</v>
      </c>
      <c r="E17735">
        <v>1.51124437781109</v>
      </c>
    </row>
    <row r="17736" spans="1:5">
      <c r="A17736" t="s">
        <v>20535</v>
      </c>
      <c r="B17736" t="s">
        <v>20537</v>
      </c>
      <c r="C17736">
        <v>0</v>
      </c>
      <c r="D17736" t="s">
        <v>106</v>
      </c>
      <c r="E17736">
        <v>1.51124437781109</v>
      </c>
    </row>
    <row r="17737" spans="1:5">
      <c r="A17737" t="s">
        <v>20535</v>
      </c>
      <c r="B17737" t="s">
        <v>20538</v>
      </c>
      <c r="C17737">
        <f>0</f>
        <v>0</v>
      </c>
      <c r="D17737" t="s">
        <v>106</v>
      </c>
      <c r="E17737">
        <v>1.51124437781109</v>
      </c>
    </row>
    <row r="17738" spans="1:5">
      <c r="A17738" t="s">
        <v>20539</v>
      </c>
      <c r="B17738" t="s">
        <v>20540</v>
      </c>
      <c r="C17738">
        <f>0</f>
        <v>0</v>
      </c>
      <c r="D17738" t="s">
        <v>106</v>
      </c>
      <c r="E17738">
        <v>10.710644677661101</v>
      </c>
    </row>
    <row r="17739" spans="1:5">
      <c r="A17739" t="s">
        <v>20539</v>
      </c>
      <c r="B17739" t="s">
        <v>20541</v>
      </c>
      <c r="C17739">
        <f>0</f>
        <v>0</v>
      </c>
      <c r="D17739" t="s">
        <v>106</v>
      </c>
      <c r="E17739">
        <v>10.710644677661101</v>
      </c>
    </row>
    <row r="17740" spans="1:5">
      <c r="A17740" t="s">
        <v>20539</v>
      </c>
      <c r="B17740" t="s">
        <v>20542</v>
      </c>
      <c r="C17740">
        <v>0</v>
      </c>
      <c r="D17740" t="s">
        <v>106</v>
      </c>
      <c r="E17740">
        <v>10.710644677661101</v>
      </c>
    </row>
    <row r="17741" spans="1:5">
      <c r="A17741" t="s">
        <v>20539</v>
      </c>
      <c r="B17741" t="s">
        <v>20543</v>
      </c>
      <c r="C17741">
        <f>0</f>
        <v>0</v>
      </c>
      <c r="D17741" t="s">
        <v>106</v>
      </c>
      <c r="E17741">
        <v>10.710644677661101</v>
      </c>
    </row>
    <row r="17742" spans="1:5">
      <c r="A17742" t="s">
        <v>20539</v>
      </c>
      <c r="B17742" t="s">
        <v>20544</v>
      </c>
      <c r="C17742">
        <f>0</f>
        <v>0</v>
      </c>
      <c r="D17742" t="s">
        <v>106</v>
      </c>
      <c r="E17742">
        <v>10.710644677661101</v>
      </c>
    </row>
    <row r="17743" spans="1:5">
      <c r="A17743" t="s">
        <v>20539</v>
      </c>
      <c r="B17743" t="s">
        <v>20545</v>
      </c>
      <c r="C17743">
        <f>0</f>
        <v>0</v>
      </c>
      <c r="D17743" t="s">
        <v>106</v>
      </c>
      <c r="E17743">
        <v>10.710644677661101</v>
      </c>
    </row>
    <row r="17744" spans="1:5">
      <c r="A17744" t="s">
        <v>20546</v>
      </c>
      <c r="B17744" t="s">
        <v>20547</v>
      </c>
      <c r="C17744">
        <v>0</v>
      </c>
      <c r="D17744">
        <v>0.74931379439300005</v>
      </c>
      <c r="E17744">
        <v>1.45127436281859</v>
      </c>
    </row>
    <row r="17745" spans="1:5">
      <c r="A17745" t="s">
        <v>20546</v>
      </c>
      <c r="B17745" t="s">
        <v>20548</v>
      </c>
      <c r="C17745">
        <f>0</f>
        <v>0</v>
      </c>
      <c r="D17745">
        <v>0.74931379439300005</v>
      </c>
      <c r="E17745">
        <v>1.45127436281859</v>
      </c>
    </row>
    <row r="17746" spans="1:5">
      <c r="A17746" t="s">
        <v>20546</v>
      </c>
      <c r="B17746" t="s">
        <v>20549</v>
      </c>
      <c r="C17746">
        <f>0.0348779929957</f>
        <v>3.4877992995699998E-2</v>
      </c>
      <c r="D17746">
        <v>0.74931379439300005</v>
      </c>
      <c r="E17746">
        <v>1.45127436281859</v>
      </c>
    </row>
    <row r="17747" spans="1:5">
      <c r="A17747" t="s">
        <v>20550</v>
      </c>
      <c r="B17747" t="s">
        <v>20551</v>
      </c>
      <c r="C17747">
        <v>0.63440315074300002</v>
      </c>
      <c r="D17747">
        <v>0.96307781126299996</v>
      </c>
      <c r="E17747">
        <v>10.878560719640101</v>
      </c>
    </row>
    <row r="17748" spans="1:5">
      <c r="A17748" t="s">
        <v>20550</v>
      </c>
      <c r="B17748" t="s">
        <v>20552</v>
      </c>
      <c r="C17748">
        <f>0</f>
        <v>0</v>
      </c>
      <c r="D17748">
        <v>0.96307781126299996</v>
      </c>
      <c r="E17748">
        <v>10.878560719640101</v>
      </c>
    </row>
    <row r="17749" spans="1:5">
      <c r="A17749" t="s">
        <v>20550</v>
      </c>
      <c r="B17749" t="s">
        <v>20553</v>
      </c>
      <c r="C17749">
        <f>0.0486965550119</f>
        <v>4.8696555011899997E-2</v>
      </c>
      <c r="D17749">
        <v>0.96307781126299996</v>
      </c>
      <c r="E17749">
        <v>10.878560719640101</v>
      </c>
    </row>
    <row r="17750" spans="1:5">
      <c r="A17750" t="s">
        <v>20554</v>
      </c>
      <c r="B17750" t="s">
        <v>20555</v>
      </c>
      <c r="C17750">
        <v>2.0591434328300001E-2</v>
      </c>
      <c r="D17750">
        <v>0.95424367777100005</v>
      </c>
      <c r="E17750">
        <v>1.51124437781109</v>
      </c>
    </row>
    <row r="17751" spans="1:5">
      <c r="A17751" t="s">
        <v>20554</v>
      </c>
      <c r="B17751" t="s">
        <v>20556</v>
      </c>
      <c r="C17751">
        <f>0</f>
        <v>0</v>
      </c>
      <c r="D17751">
        <v>0.95424367777100005</v>
      </c>
      <c r="E17751">
        <v>1.51124437781109</v>
      </c>
    </row>
    <row r="17752" spans="1:5">
      <c r="A17752" t="s">
        <v>20554</v>
      </c>
      <c r="B17752" t="s">
        <v>20557</v>
      </c>
      <c r="C17752">
        <v>0.39911183046299997</v>
      </c>
      <c r="D17752">
        <v>0.95424367777100005</v>
      </c>
      <c r="E17752">
        <v>1.51124437781109</v>
      </c>
    </row>
    <row r="17753" spans="1:5">
      <c r="A17753" t="s">
        <v>20558</v>
      </c>
      <c r="B17753" t="s">
        <v>20559</v>
      </c>
      <c r="C17753">
        <v>0.12528342314099999</v>
      </c>
      <c r="D17753">
        <v>0.95742200263099997</v>
      </c>
      <c r="E17753">
        <v>13.625187406296799</v>
      </c>
    </row>
    <row r="17754" spans="1:5">
      <c r="A17754" t="s">
        <v>20558</v>
      </c>
      <c r="B17754" t="s">
        <v>20560</v>
      </c>
      <c r="C17754">
        <v>0</v>
      </c>
      <c r="D17754">
        <v>0.95742200263099997</v>
      </c>
      <c r="E17754">
        <v>13.625187406296799</v>
      </c>
    </row>
    <row r="17755" spans="1:5">
      <c r="A17755" t="s">
        <v>20558</v>
      </c>
      <c r="B17755" t="s">
        <v>20561</v>
      </c>
      <c r="C17755">
        <v>0</v>
      </c>
      <c r="D17755">
        <v>0.95742200263099997</v>
      </c>
      <c r="E17755">
        <v>13.625187406296799</v>
      </c>
    </row>
    <row r="17756" spans="1:5">
      <c r="A17756" t="s">
        <v>20558</v>
      </c>
      <c r="B17756" t="s">
        <v>20562</v>
      </c>
      <c r="C17756">
        <f>0</f>
        <v>0</v>
      </c>
      <c r="D17756">
        <v>0.95742200263099997</v>
      </c>
      <c r="E17756">
        <v>13.625187406296799</v>
      </c>
    </row>
    <row r="17757" spans="1:5">
      <c r="A17757" t="s">
        <v>20563</v>
      </c>
      <c r="B17757" t="s">
        <v>20564</v>
      </c>
      <c r="C17757">
        <v>0</v>
      </c>
      <c r="D17757" t="s">
        <v>106</v>
      </c>
      <c r="E17757">
        <v>19.6341829085457</v>
      </c>
    </row>
    <row r="17758" spans="1:5">
      <c r="A17758" t="s">
        <v>20563</v>
      </c>
      <c r="B17758" t="s">
        <v>20565</v>
      </c>
      <c r="C17758">
        <v>0</v>
      </c>
      <c r="D17758" t="s">
        <v>106</v>
      </c>
      <c r="E17758">
        <v>19.6341829085457</v>
      </c>
    </row>
    <row r="17759" spans="1:5">
      <c r="A17759" t="s">
        <v>20563</v>
      </c>
      <c r="B17759" t="s">
        <v>20566</v>
      </c>
      <c r="C17759">
        <f>0</f>
        <v>0</v>
      </c>
      <c r="D17759" t="s">
        <v>106</v>
      </c>
      <c r="E17759">
        <v>19.6341829085457</v>
      </c>
    </row>
    <row r="17760" spans="1:5">
      <c r="A17760" t="s">
        <v>20563</v>
      </c>
      <c r="B17760" t="s">
        <v>20567</v>
      </c>
      <c r="C17760">
        <v>0</v>
      </c>
      <c r="D17760" t="s">
        <v>106</v>
      </c>
      <c r="E17760">
        <v>19.6341829085457</v>
      </c>
    </row>
    <row r="17761" spans="1:5">
      <c r="A17761" t="s">
        <v>20563</v>
      </c>
      <c r="B17761" t="s">
        <v>20568</v>
      </c>
      <c r="C17761">
        <f>0</f>
        <v>0</v>
      </c>
      <c r="D17761" t="s">
        <v>106</v>
      </c>
      <c r="E17761">
        <v>19.6341829085457</v>
      </c>
    </row>
    <row r="17762" spans="1:5">
      <c r="A17762" t="s">
        <v>20563</v>
      </c>
      <c r="B17762" t="s">
        <v>20569</v>
      </c>
      <c r="C17762">
        <v>5.3671028072599998E-2</v>
      </c>
      <c r="D17762" t="s">
        <v>106</v>
      </c>
      <c r="E17762">
        <v>19.6341829085457</v>
      </c>
    </row>
    <row r="17763" spans="1:5">
      <c r="A17763" t="s">
        <v>20563</v>
      </c>
      <c r="B17763" t="s">
        <v>20570</v>
      </c>
      <c r="C17763">
        <v>0</v>
      </c>
      <c r="D17763" t="s">
        <v>106</v>
      </c>
      <c r="E17763">
        <v>19.6341829085457</v>
      </c>
    </row>
    <row r="17764" spans="1:5">
      <c r="A17764" t="s">
        <v>20563</v>
      </c>
      <c r="B17764" t="s">
        <v>20571</v>
      </c>
      <c r="C17764">
        <f>0</f>
        <v>0</v>
      </c>
      <c r="D17764" t="s">
        <v>106</v>
      </c>
      <c r="E17764">
        <v>19.6341829085457</v>
      </c>
    </row>
    <row r="17765" spans="1:5">
      <c r="A17765" t="s">
        <v>20563</v>
      </c>
      <c r="B17765" t="s">
        <v>20572</v>
      </c>
      <c r="C17765">
        <f>0</f>
        <v>0</v>
      </c>
      <c r="D17765" t="s">
        <v>106</v>
      </c>
      <c r="E17765">
        <v>19.6341829085457</v>
      </c>
    </row>
    <row r="17766" spans="1:5">
      <c r="A17766" t="s">
        <v>20563</v>
      </c>
      <c r="B17766" t="s">
        <v>20573</v>
      </c>
      <c r="C17766">
        <v>0</v>
      </c>
      <c r="D17766" t="s">
        <v>106</v>
      </c>
      <c r="E17766">
        <v>19.6341829085457</v>
      </c>
    </row>
    <row r="17767" spans="1:5">
      <c r="A17767" t="s">
        <v>20563</v>
      </c>
      <c r="B17767" t="s">
        <v>20574</v>
      </c>
      <c r="C17767">
        <v>0</v>
      </c>
      <c r="D17767" t="s">
        <v>106</v>
      </c>
      <c r="E17767">
        <v>19.6341829085457</v>
      </c>
    </row>
    <row r="17768" spans="1:5">
      <c r="A17768" t="s">
        <v>20563</v>
      </c>
      <c r="B17768" t="s">
        <v>20575</v>
      </c>
      <c r="C17768">
        <f>0</f>
        <v>0</v>
      </c>
      <c r="D17768" t="s">
        <v>106</v>
      </c>
      <c r="E17768">
        <v>19.6341829085457</v>
      </c>
    </row>
    <row r="17769" spans="1:5">
      <c r="A17769" t="s">
        <v>20563</v>
      </c>
      <c r="B17769" t="s">
        <v>20576</v>
      </c>
      <c r="C17769">
        <v>0</v>
      </c>
      <c r="D17769" t="s">
        <v>106</v>
      </c>
      <c r="E17769">
        <v>19.6341829085457</v>
      </c>
    </row>
    <row r="17770" spans="1:5">
      <c r="A17770" t="s">
        <v>20563</v>
      </c>
      <c r="B17770" t="s">
        <v>20577</v>
      </c>
      <c r="C17770">
        <v>0</v>
      </c>
      <c r="D17770" t="s">
        <v>106</v>
      </c>
      <c r="E17770">
        <v>19.6341829085457</v>
      </c>
    </row>
    <row r="17771" spans="1:5">
      <c r="A17771" t="s">
        <v>20578</v>
      </c>
      <c r="B17771" t="s">
        <v>20579</v>
      </c>
      <c r="C17771">
        <f>0.02132749203</f>
        <v>2.1327492029999999E-2</v>
      </c>
      <c r="D17771" t="s">
        <v>106</v>
      </c>
      <c r="E17771">
        <v>24</v>
      </c>
    </row>
    <row r="17772" spans="1:5">
      <c r="A17772" t="s">
        <v>20578</v>
      </c>
      <c r="B17772" t="s">
        <v>20580</v>
      </c>
      <c r="C17772">
        <v>1.2941967026099999E-2</v>
      </c>
      <c r="D17772" t="s">
        <v>106</v>
      </c>
      <c r="E17772">
        <v>24</v>
      </c>
    </row>
    <row r="17773" spans="1:5">
      <c r="A17773" t="s">
        <v>20581</v>
      </c>
      <c r="B17773" t="s">
        <v>20582</v>
      </c>
      <c r="C17773">
        <v>0.50426304651999998</v>
      </c>
      <c r="D17773">
        <v>0.96831196409200004</v>
      </c>
      <c r="E17773">
        <v>1.11544227886056</v>
      </c>
    </row>
    <row r="17774" spans="1:5">
      <c r="A17774" t="s">
        <v>20581</v>
      </c>
      <c r="B17774" t="s">
        <v>20583</v>
      </c>
      <c r="C17774">
        <v>0.26459798156800002</v>
      </c>
      <c r="D17774">
        <v>0.96831196409200004</v>
      </c>
      <c r="E17774">
        <v>1.11544227886056</v>
      </c>
    </row>
    <row r="17775" spans="1:5">
      <c r="A17775" t="s">
        <v>20584</v>
      </c>
      <c r="B17775" t="s">
        <v>20585</v>
      </c>
      <c r="C17775">
        <v>0.15252475375899999</v>
      </c>
      <c r="D17775">
        <v>0.96950645689799997</v>
      </c>
      <c r="E17775">
        <v>0.86356821589205401</v>
      </c>
    </row>
    <row r="17776" spans="1:5">
      <c r="A17776" t="s">
        <v>20584</v>
      </c>
      <c r="B17776" t="s">
        <v>20586</v>
      </c>
      <c r="C17776">
        <f>0.031419755558</f>
        <v>3.1419755558000001E-2</v>
      </c>
      <c r="D17776">
        <v>0.96950645689799997</v>
      </c>
      <c r="E17776">
        <v>0.86356821589205401</v>
      </c>
    </row>
    <row r="17777" spans="1:5">
      <c r="A17777" t="s">
        <v>20584</v>
      </c>
      <c r="B17777" t="s">
        <v>20587</v>
      </c>
      <c r="C17777">
        <f>0</f>
        <v>0</v>
      </c>
      <c r="D17777">
        <v>0.96950645689799997</v>
      </c>
      <c r="E17777">
        <v>0.86356821589205401</v>
      </c>
    </row>
    <row r="17778" spans="1:5">
      <c r="A17778" t="s">
        <v>20588</v>
      </c>
      <c r="B17778" t="s">
        <v>20589</v>
      </c>
      <c r="C17778">
        <v>0</v>
      </c>
      <c r="D17778">
        <v>0.99799848191200002</v>
      </c>
      <c r="E17778">
        <v>9.4632683658170897</v>
      </c>
    </row>
    <row r="17779" spans="1:5">
      <c r="A17779" t="s">
        <v>20588</v>
      </c>
      <c r="B17779" t="s">
        <v>20590</v>
      </c>
      <c r="C17779">
        <v>0</v>
      </c>
      <c r="D17779">
        <v>0.99799848191200002</v>
      </c>
      <c r="E17779">
        <v>9.4632683658170897</v>
      </c>
    </row>
    <row r="17780" spans="1:5">
      <c r="A17780" t="s">
        <v>20588</v>
      </c>
      <c r="B17780" t="s">
        <v>20591</v>
      </c>
      <c r="C17780">
        <v>0.13841318302</v>
      </c>
      <c r="D17780">
        <v>0.99799848191200002</v>
      </c>
      <c r="E17780">
        <v>9.4632683658170897</v>
      </c>
    </row>
    <row r="17781" spans="1:5">
      <c r="A17781" t="s">
        <v>20588</v>
      </c>
      <c r="B17781" t="s">
        <v>20592</v>
      </c>
      <c r="C17781">
        <v>0</v>
      </c>
      <c r="D17781">
        <v>0.99799848191200002</v>
      </c>
      <c r="E17781">
        <v>9.4632683658170897</v>
      </c>
    </row>
    <row r="17782" spans="1:5">
      <c r="A17782" t="s">
        <v>20588</v>
      </c>
      <c r="B17782" t="s">
        <v>20593</v>
      </c>
      <c r="C17782">
        <v>0.19890407718799999</v>
      </c>
      <c r="D17782">
        <v>0.99799848191200002</v>
      </c>
      <c r="E17782">
        <v>9.4632683658170897</v>
      </c>
    </row>
    <row r="17783" spans="1:5">
      <c r="A17783" t="s">
        <v>20588</v>
      </c>
      <c r="B17783" t="s">
        <v>20594</v>
      </c>
      <c r="C17783">
        <v>0</v>
      </c>
      <c r="D17783">
        <v>0.99799848191200002</v>
      </c>
      <c r="E17783">
        <v>9.4632683658170897</v>
      </c>
    </row>
    <row r="17784" spans="1:5">
      <c r="A17784" t="s">
        <v>20595</v>
      </c>
      <c r="B17784" t="s">
        <v>20596</v>
      </c>
      <c r="C17784">
        <f>0.00869724637302</f>
        <v>8.6972463730200008E-3</v>
      </c>
      <c r="D17784" t="s">
        <v>106</v>
      </c>
      <c r="E17784">
        <v>24</v>
      </c>
    </row>
    <row r="17785" spans="1:5">
      <c r="A17785" t="s">
        <v>20595</v>
      </c>
      <c r="B17785" t="s">
        <v>20597</v>
      </c>
      <c r="C17785">
        <f>0.0395786277879</f>
        <v>3.95786277879E-2</v>
      </c>
      <c r="D17785" t="s">
        <v>106</v>
      </c>
      <c r="E17785">
        <v>24</v>
      </c>
    </row>
    <row r="17786" spans="1:5">
      <c r="A17786" t="s">
        <v>20598</v>
      </c>
      <c r="B17786" t="s">
        <v>20599</v>
      </c>
      <c r="C17786">
        <v>0</v>
      </c>
      <c r="D17786">
        <v>0.89583321614800004</v>
      </c>
      <c r="E17786">
        <v>0.95952023988005997</v>
      </c>
    </row>
    <row r="17787" spans="1:5">
      <c r="A17787" t="s">
        <v>20598</v>
      </c>
      <c r="B17787" t="s">
        <v>20600</v>
      </c>
      <c r="C17787">
        <f>0</f>
        <v>0</v>
      </c>
      <c r="D17787">
        <v>0.89583321614800004</v>
      </c>
      <c r="E17787">
        <v>0.95952023988005997</v>
      </c>
    </row>
    <row r="17788" spans="1:5">
      <c r="A17788" t="s">
        <v>20598</v>
      </c>
      <c r="B17788" t="s">
        <v>20601</v>
      </c>
      <c r="C17788">
        <f>0</f>
        <v>0</v>
      </c>
      <c r="D17788">
        <v>0.89583321614800004</v>
      </c>
      <c r="E17788">
        <v>0.95952023988005997</v>
      </c>
    </row>
    <row r="17789" spans="1:5">
      <c r="A17789" t="s">
        <v>20598</v>
      </c>
      <c r="B17789" t="s">
        <v>20602</v>
      </c>
      <c r="C17789">
        <v>0</v>
      </c>
      <c r="D17789">
        <v>0.89583321614800004</v>
      </c>
      <c r="E17789">
        <v>0.95952023988005997</v>
      </c>
    </row>
    <row r="17790" spans="1:5">
      <c r="A17790" t="s">
        <v>20598</v>
      </c>
      <c r="B17790" t="s">
        <v>20603</v>
      </c>
      <c r="C17790">
        <f>0.40766643188</f>
        <v>0.40766643188000001</v>
      </c>
      <c r="D17790">
        <v>0.89583321614800004</v>
      </c>
      <c r="E17790">
        <v>0.95952023988005997</v>
      </c>
    </row>
    <row r="17791" spans="1:5">
      <c r="A17791" t="s">
        <v>20604</v>
      </c>
      <c r="B17791" t="s">
        <v>20605</v>
      </c>
      <c r="C17791">
        <v>0</v>
      </c>
      <c r="D17791">
        <v>0.95561031397399998</v>
      </c>
      <c r="E17791">
        <v>10.5547226386806</v>
      </c>
    </row>
    <row r="17792" spans="1:5">
      <c r="A17792" t="s">
        <v>20604</v>
      </c>
      <c r="B17792" t="s">
        <v>20606</v>
      </c>
      <c r="C17792">
        <v>0</v>
      </c>
      <c r="D17792">
        <v>0.95561031397399998</v>
      </c>
      <c r="E17792">
        <v>10.5547226386806</v>
      </c>
    </row>
    <row r="17793" spans="1:5">
      <c r="A17793" t="s">
        <v>20604</v>
      </c>
      <c r="B17793" t="s">
        <v>20607</v>
      </c>
      <c r="C17793">
        <f>0</f>
        <v>0</v>
      </c>
      <c r="D17793">
        <v>0.95561031397399998</v>
      </c>
      <c r="E17793">
        <v>10.5547226386806</v>
      </c>
    </row>
    <row r="17794" spans="1:5">
      <c r="A17794" t="s">
        <v>20604</v>
      </c>
      <c r="B17794" t="s">
        <v>20608</v>
      </c>
      <c r="C17794">
        <v>7.5864041475300001E-2</v>
      </c>
      <c r="D17794">
        <v>0.95561031397399998</v>
      </c>
      <c r="E17794">
        <v>10.5547226386806</v>
      </c>
    </row>
    <row r="17795" spans="1:5">
      <c r="A17795" t="s">
        <v>20604</v>
      </c>
      <c r="B17795" t="s">
        <v>20609</v>
      </c>
      <c r="C17795">
        <v>0.17318029256600001</v>
      </c>
      <c r="D17795">
        <v>0.95561031397399998</v>
      </c>
      <c r="E17795">
        <v>10.5547226386806</v>
      </c>
    </row>
    <row r="17796" spans="1:5">
      <c r="A17796" t="s">
        <v>20610</v>
      </c>
      <c r="B17796" t="s">
        <v>20611</v>
      </c>
      <c r="C17796">
        <v>0</v>
      </c>
      <c r="D17796" t="s">
        <v>106</v>
      </c>
      <c r="E17796">
        <v>8.1439280359820092</v>
      </c>
    </row>
    <row r="17797" spans="1:5">
      <c r="A17797" t="s">
        <v>20610</v>
      </c>
      <c r="B17797" t="s">
        <v>20612</v>
      </c>
      <c r="C17797">
        <f>0</f>
        <v>0</v>
      </c>
      <c r="D17797" t="s">
        <v>106</v>
      </c>
      <c r="E17797">
        <v>8.1439280359820092</v>
      </c>
    </row>
    <row r="17798" spans="1:5">
      <c r="A17798" t="s">
        <v>20613</v>
      </c>
      <c r="B17798" t="s">
        <v>20614</v>
      </c>
      <c r="C17798">
        <f>0.152562043841</f>
        <v>0.152562043841</v>
      </c>
      <c r="D17798">
        <v>0.75988110218500005</v>
      </c>
      <c r="E17798">
        <v>11.5382308845577</v>
      </c>
    </row>
    <row r="17799" spans="1:5">
      <c r="A17799" t="s">
        <v>20615</v>
      </c>
      <c r="B17799" t="s">
        <v>20616</v>
      </c>
      <c r="C17799">
        <v>7.5542646257399995E-2</v>
      </c>
      <c r="D17799">
        <v>0.98716975140899998</v>
      </c>
      <c r="E17799">
        <v>24</v>
      </c>
    </row>
    <row r="17800" spans="1:5">
      <c r="A17800" t="s">
        <v>20615</v>
      </c>
      <c r="B17800" t="s">
        <v>20617</v>
      </c>
      <c r="C17800">
        <f>0</f>
        <v>0</v>
      </c>
      <c r="D17800">
        <v>0.98716975140899998</v>
      </c>
      <c r="E17800">
        <v>24</v>
      </c>
    </row>
    <row r="17801" spans="1:5">
      <c r="A17801" t="s">
        <v>20615</v>
      </c>
      <c r="B17801" t="s">
        <v>20618</v>
      </c>
      <c r="C17801">
        <v>2.89093836833E-2</v>
      </c>
      <c r="D17801">
        <v>0.98716975140899998</v>
      </c>
      <c r="E17801">
        <v>24</v>
      </c>
    </row>
    <row r="17802" spans="1:5">
      <c r="A17802" t="s">
        <v>20615</v>
      </c>
      <c r="B17802" t="s">
        <v>20619</v>
      </c>
      <c r="C17802">
        <v>0</v>
      </c>
      <c r="D17802">
        <v>0.98716975140899998</v>
      </c>
      <c r="E17802">
        <v>24</v>
      </c>
    </row>
    <row r="17803" spans="1:5">
      <c r="A17803" t="s">
        <v>20620</v>
      </c>
      <c r="B17803" t="s">
        <v>20621</v>
      </c>
      <c r="C17803">
        <f>0</f>
        <v>0</v>
      </c>
      <c r="D17803" t="s">
        <v>106</v>
      </c>
      <c r="E17803">
        <v>1.8230884557721101</v>
      </c>
    </row>
    <row r="17804" spans="1:5">
      <c r="A17804" t="s">
        <v>20620</v>
      </c>
      <c r="B17804" t="s">
        <v>20622</v>
      </c>
      <c r="C17804">
        <f>0</f>
        <v>0</v>
      </c>
      <c r="D17804" t="s">
        <v>106</v>
      </c>
      <c r="E17804">
        <v>1.8230884557721101</v>
      </c>
    </row>
    <row r="17805" spans="1:5">
      <c r="A17805" t="s">
        <v>20620</v>
      </c>
      <c r="B17805" t="s">
        <v>20623</v>
      </c>
      <c r="C17805">
        <f>0</f>
        <v>0</v>
      </c>
      <c r="D17805" t="s">
        <v>106</v>
      </c>
      <c r="E17805">
        <v>1.8230884557721101</v>
      </c>
    </row>
    <row r="17806" spans="1:5">
      <c r="A17806" t="s">
        <v>20620</v>
      </c>
      <c r="B17806" t="s">
        <v>20624</v>
      </c>
      <c r="C17806">
        <f>0</f>
        <v>0</v>
      </c>
      <c r="D17806" t="s">
        <v>106</v>
      </c>
      <c r="E17806">
        <v>1.8230884557721101</v>
      </c>
    </row>
    <row r="17807" spans="1:5">
      <c r="A17807" t="s">
        <v>20620</v>
      </c>
      <c r="B17807" t="s">
        <v>20625</v>
      </c>
      <c r="C17807">
        <f>0</f>
        <v>0</v>
      </c>
      <c r="D17807" t="s">
        <v>106</v>
      </c>
      <c r="E17807">
        <v>1.8230884557721101</v>
      </c>
    </row>
    <row r="17808" spans="1:5">
      <c r="A17808" t="s">
        <v>20620</v>
      </c>
      <c r="B17808" t="s">
        <v>20626</v>
      </c>
      <c r="C17808">
        <f>0</f>
        <v>0</v>
      </c>
      <c r="D17808" t="s">
        <v>106</v>
      </c>
      <c r="E17808">
        <v>1.8230884557721101</v>
      </c>
    </row>
    <row r="17809" spans="1:5">
      <c r="A17809" t="s">
        <v>20620</v>
      </c>
      <c r="B17809" t="s">
        <v>20627</v>
      </c>
      <c r="C17809">
        <v>0</v>
      </c>
      <c r="D17809" t="s">
        <v>106</v>
      </c>
      <c r="E17809">
        <v>1.8230884557721101</v>
      </c>
    </row>
    <row r="17810" spans="1:5">
      <c r="A17810" t="s">
        <v>20620</v>
      </c>
      <c r="B17810" t="s">
        <v>20628</v>
      </c>
      <c r="C17810">
        <f>0</f>
        <v>0</v>
      </c>
      <c r="D17810" t="s">
        <v>106</v>
      </c>
      <c r="E17810">
        <v>1.8230884557721101</v>
      </c>
    </row>
    <row r="17811" spans="1:5">
      <c r="A17811" t="s">
        <v>20620</v>
      </c>
      <c r="B17811" t="s">
        <v>20629</v>
      </c>
      <c r="C17811">
        <f>0</f>
        <v>0</v>
      </c>
      <c r="D17811" t="s">
        <v>106</v>
      </c>
      <c r="E17811">
        <v>1.8230884557721101</v>
      </c>
    </row>
    <row r="17812" spans="1:5">
      <c r="A17812" t="s">
        <v>20630</v>
      </c>
      <c r="B17812" t="s">
        <v>20631</v>
      </c>
      <c r="C17812">
        <f>0</f>
        <v>0</v>
      </c>
      <c r="D17812" t="s">
        <v>106</v>
      </c>
      <c r="E17812">
        <v>24</v>
      </c>
    </row>
    <row r="17813" spans="1:5">
      <c r="A17813" t="s">
        <v>20630</v>
      </c>
      <c r="B17813" t="s">
        <v>20632</v>
      </c>
      <c r="C17813">
        <v>0</v>
      </c>
      <c r="D17813" t="s">
        <v>106</v>
      </c>
      <c r="E17813">
        <v>24</v>
      </c>
    </row>
    <row r="17814" spans="1:5">
      <c r="A17814" t="s">
        <v>20630</v>
      </c>
      <c r="B17814" t="s">
        <v>20633</v>
      </c>
      <c r="C17814">
        <v>0</v>
      </c>
      <c r="D17814" t="s">
        <v>106</v>
      </c>
      <c r="E17814">
        <v>24</v>
      </c>
    </row>
    <row r="17815" spans="1:5">
      <c r="A17815" t="s">
        <v>20630</v>
      </c>
      <c r="B17815" t="s">
        <v>20634</v>
      </c>
      <c r="C17815">
        <f>0</f>
        <v>0</v>
      </c>
      <c r="D17815" t="s">
        <v>106</v>
      </c>
      <c r="E17815">
        <v>24</v>
      </c>
    </row>
    <row r="17816" spans="1:5">
      <c r="A17816" t="s">
        <v>20630</v>
      </c>
      <c r="B17816" t="s">
        <v>20635</v>
      </c>
      <c r="C17816">
        <f>0</f>
        <v>0</v>
      </c>
      <c r="D17816" t="s">
        <v>106</v>
      </c>
      <c r="E17816">
        <v>24</v>
      </c>
    </row>
    <row r="17817" spans="1:5">
      <c r="A17817" t="s">
        <v>20630</v>
      </c>
      <c r="B17817" t="s">
        <v>20636</v>
      </c>
      <c r="C17817">
        <f>0</f>
        <v>0</v>
      </c>
      <c r="D17817" t="s">
        <v>106</v>
      </c>
      <c r="E17817">
        <v>24</v>
      </c>
    </row>
    <row r="17818" spans="1:5">
      <c r="A17818" t="s">
        <v>20630</v>
      </c>
      <c r="B17818" t="s">
        <v>20637</v>
      </c>
      <c r="C17818">
        <f>0.053609578945</f>
        <v>5.3609578945E-2</v>
      </c>
      <c r="D17818" t="s">
        <v>106</v>
      </c>
      <c r="E17818">
        <v>24</v>
      </c>
    </row>
    <row r="17819" spans="1:5">
      <c r="A17819" t="s">
        <v>20638</v>
      </c>
      <c r="B17819" t="s">
        <v>20639</v>
      </c>
      <c r="C17819">
        <v>0</v>
      </c>
      <c r="D17819">
        <v>0.97244726963799999</v>
      </c>
      <c r="E17819">
        <v>11.370314842578701</v>
      </c>
    </row>
    <row r="17820" spans="1:5">
      <c r="A17820" t="s">
        <v>20638</v>
      </c>
      <c r="B17820" t="s">
        <v>20640</v>
      </c>
      <c r="C17820">
        <v>0</v>
      </c>
      <c r="D17820">
        <v>0.97244726963799999</v>
      </c>
      <c r="E17820">
        <v>11.370314842578701</v>
      </c>
    </row>
    <row r="17821" spans="1:5">
      <c r="A17821" t="s">
        <v>20638</v>
      </c>
      <c r="B17821" t="s">
        <v>20641</v>
      </c>
      <c r="C17821">
        <v>0</v>
      </c>
      <c r="D17821">
        <v>0.97244726963799999</v>
      </c>
      <c r="E17821">
        <v>11.370314842578701</v>
      </c>
    </row>
    <row r="17822" spans="1:5">
      <c r="A17822" t="s">
        <v>20638</v>
      </c>
      <c r="B17822" t="s">
        <v>20642</v>
      </c>
      <c r="C17822">
        <f>0</f>
        <v>0</v>
      </c>
      <c r="D17822">
        <v>0.97244726963799999</v>
      </c>
      <c r="E17822">
        <v>11.370314842578701</v>
      </c>
    </row>
    <row r="17823" spans="1:5">
      <c r="A17823" t="s">
        <v>20638</v>
      </c>
      <c r="B17823" t="s">
        <v>20643</v>
      </c>
      <c r="C17823">
        <f>0</f>
        <v>0</v>
      </c>
      <c r="D17823">
        <v>0.97244726963799999</v>
      </c>
      <c r="E17823">
        <v>11.370314842578701</v>
      </c>
    </row>
    <row r="17824" spans="1:5">
      <c r="A17824" t="s">
        <v>20638</v>
      </c>
      <c r="B17824" t="s">
        <v>20644</v>
      </c>
      <c r="C17824">
        <f>0</f>
        <v>0</v>
      </c>
      <c r="D17824">
        <v>0.97244726963799999</v>
      </c>
      <c r="E17824">
        <v>11.370314842578701</v>
      </c>
    </row>
    <row r="17825" spans="1:5">
      <c r="A17825" t="s">
        <v>20638</v>
      </c>
      <c r="B17825" t="s">
        <v>20645</v>
      </c>
      <c r="C17825">
        <v>0</v>
      </c>
      <c r="D17825">
        <v>0.97244726963799999</v>
      </c>
      <c r="E17825">
        <v>11.370314842578701</v>
      </c>
    </row>
    <row r="17826" spans="1:5">
      <c r="A17826" t="s">
        <v>20638</v>
      </c>
      <c r="B17826" t="s">
        <v>20646</v>
      </c>
      <c r="C17826">
        <f>0</f>
        <v>0</v>
      </c>
      <c r="D17826">
        <v>0.97244726963799999</v>
      </c>
      <c r="E17826">
        <v>11.370314842578701</v>
      </c>
    </row>
    <row r="17827" spans="1:5">
      <c r="A17827" t="s">
        <v>20638</v>
      </c>
      <c r="B17827" t="s">
        <v>20647</v>
      </c>
      <c r="C17827">
        <f>0</f>
        <v>0</v>
      </c>
      <c r="D17827">
        <v>0.97244726963799999</v>
      </c>
      <c r="E17827">
        <v>11.370314842578701</v>
      </c>
    </row>
    <row r="17828" spans="1:5">
      <c r="A17828" t="s">
        <v>20638</v>
      </c>
      <c r="B17828" t="s">
        <v>20648</v>
      </c>
      <c r="C17828">
        <f>0.22756820533</f>
        <v>0.22756820533</v>
      </c>
      <c r="D17828">
        <v>0.97244726963799999</v>
      </c>
      <c r="E17828">
        <v>11.370314842578701</v>
      </c>
    </row>
    <row r="17829" spans="1:5">
      <c r="A17829" t="s">
        <v>20638</v>
      </c>
      <c r="B17829" t="s">
        <v>20649</v>
      </c>
      <c r="C17829">
        <v>0</v>
      </c>
      <c r="D17829">
        <v>0.97244726963799999</v>
      </c>
      <c r="E17829">
        <v>11.370314842578701</v>
      </c>
    </row>
    <row r="17830" spans="1:5">
      <c r="A17830" t="s">
        <v>20638</v>
      </c>
      <c r="B17830" t="s">
        <v>20650</v>
      </c>
      <c r="C17830">
        <v>3.3987904612100002E-2</v>
      </c>
      <c r="D17830">
        <v>0.97244726963799999</v>
      </c>
      <c r="E17830">
        <v>11.370314842578701</v>
      </c>
    </row>
    <row r="17831" spans="1:5">
      <c r="A17831" t="s">
        <v>20651</v>
      </c>
      <c r="B17831" t="s">
        <v>20652</v>
      </c>
      <c r="C17831">
        <v>0</v>
      </c>
      <c r="D17831" t="s">
        <v>106</v>
      </c>
      <c r="E17831">
        <v>13.8170914542728</v>
      </c>
    </row>
    <row r="17832" spans="1:5">
      <c r="A17832" t="s">
        <v>20651</v>
      </c>
      <c r="B17832" t="s">
        <v>20653</v>
      </c>
      <c r="C17832">
        <v>0</v>
      </c>
      <c r="D17832" t="s">
        <v>106</v>
      </c>
      <c r="E17832">
        <v>13.8170914542728</v>
      </c>
    </row>
    <row r="17833" spans="1:5">
      <c r="A17833" t="s">
        <v>20651</v>
      </c>
      <c r="B17833" t="s">
        <v>20654</v>
      </c>
      <c r="C17833">
        <v>0</v>
      </c>
      <c r="D17833" t="s">
        <v>106</v>
      </c>
      <c r="E17833">
        <v>13.8170914542728</v>
      </c>
    </row>
    <row r="17834" spans="1:5">
      <c r="A17834" t="s">
        <v>20651</v>
      </c>
      <c r="B17834" t="s">
        <v>20655</v>
      </c>
      <c r="C17834">
        <v>0</v>
      </c>
      <c r="D17834" t="s">
        <v>106</v>
      </c>
      <c r="E17834">
        <v>13.8170914542728</v>
      </c>
    </row>
    <row r="17835" spans="1:5">
      <c r="A17835" t="s">
        <v>20651</v>
      </c>
      <c r="B17835" t="s">
        <v>20656</v>
      </c>
      <c r="C17835">
        <v>0</v>
      </c>
      <c r="D17835" t="s">
        <v>106</v>
      </c>
      <c r="E17835">
        <v>13.8170914542728</v>
      </c>
    </row>
    <row r="17836" spans="1:5">
      <c r="A17836" t="s">
        <v>20651</v>
      </c>
      <c r="B17836" t="s">
        <v>20657</v>
      </c>
      <c r="C17836">
        <v>0</v>
      </c>
      <c r="D17836" t="s">
        <v>106</v>
      </c>
      <c r="E17836">
        <v>13.8170914542728</v>
      </c>
    </row>
    <row r="17837" spans="1:5">
      <c r="A17837" t="s">
        <v>20651</v>
      </c>
      <c r="B17837" t="s">
        <v>20658</v>
      </c>
      <c r="C17837">
        <f>0</f>
        <v>0</v>
      </c>
      <c r="D17837" t="s">
        <v>106</v>
      </c>
      <c r="E17837">
        <v>13.8170914542728</v>
      </c>
    </row>
    <row r="17838" spans="1:5">
      <c r="A17838" t="s">
        <v>20651</v>
      </c>
      <c r="B17838" t="s">
        <v>20659</v>
      </c>
      <c r="C17838">
        <f>0</f>
        <v>0</v>
      </c>
      <c r="D17838" t="s">
        <v>106</v>
      </c>
      <c r="E17838">
        <v>13.8170914542728</v>
      </c>
    </row>
    <row r="17839" spans="1:5">
      <c r="A17839" t="s">
        <v>20651</v>
      </c>
      <c r="B17839" t="s">
        <v>20660</v>
      </c>
      <c r="C17839">
        <f>0</f>
        <v>0</v>
      </c>
      <c r="D17839" t="s">
        <v>106</v>
      </c>
      <c r="E17839">
        <v>13.8170914542728</v>
      </c>
    </row>
    <row r="17840" spans="1:5">
      <c r="A17840" t="s">
        <v>20651</v>
      </c>
      <c r="B17840" t="s">
        <v>20661</v>
      </c>
      <c r="C17840">
        <v>0</v>
      </c>
      <c r="D17840" t="s">
        <v>106</v>
      </c>
      <c r="E17840">
        <v>13.8170914542728</v>
      </c>
    </row>
    <row r="17841" spans="1:5">
      <c r="A17841" t="s">
        <v>20651</v>
      </c>
      <c r="B17841" t="s">
        <v>20662</v>
      </c>
      <c r="C17841">
        <v>0</v>
      </c>
      <c r="D17841" t="s">
        <v>106</v>
      </c>
      <c r="E17841">
        <v>13.8170914542728</v>
      </c>
    </row>
    <row r="17842" spans="1:5">
      <c r="A17842" t="s">
        <v>20651</v>
      </c>
      <c r="B17842" t="s">
        <v>20663</v>
      </c>
      <c r="C17842">
        <v>0</v>
      </c>
      <c r="D17842" t="s">
        <v>106</v>
      </c>
      <c r="E17842">
        <v>13.8170914542728</v>
      </c>
    </row>
    <row r="17843" spans="1:5">
      <c r="A17843" t="s">
        <v>20651</v>
      </c>
      <c r="B17843" t="s">
        <v>20664</v>
      </c>
      <c r="C17843">
        <f>0</f>
        <v>0</v>
      </c>
      <c r="D17843" t="s">
        <v>106</v>
      </c>
      <c r="E17843">
        <v>13.8170914542728</v>
      </c>
    </row>
    <row r="17844" spans="1:5">
      <c r="A17844" t="s">
        <v>20665</v>
      </c>
      <c r="B17844" t="s">
        <v>20666</v>
      </c>
      <c r="C17844">
        <v>0</v>
      </c>
      <c r="D17844">
        <v>0.98530317570500003</v>
      </c>
      <c r="E17844">
        <v>4.7976011994003001</v>
      </c>
    </row>
    <row r="17845" spans="1:5">
      <c r="A17845" t="s">
        <v>20665</v>
      </c>
      <c r="B17845" t="s">
        <v>20667</v>
      </c>
      <c r="C17845">
        <f>0</f>
        <v>0</v>
      </c>
      <c r="D17845">
        <v>0.98530317570500003</v>
      </c>
      <c r="E17845">
        <v>4.7976011994003001</v>
      </c>
    </row>
    <row r="17846" spans="1:5">
      <c r="A17846" t="s">
        <v>20668</v>
      </c>
      <c r="B17846" t="s">
        <v>20669</v>
      </c>
      <c r="C17846">
        <f>0.257294946043</f>
        <v>0.25729494604300002</v>
      </c>
      <c r="D17846">
        <v>0.57157465041400002</v>
      </c>
      <c r="E17846">
        <v>0.16791604197901</v>
      </c>
    </row>
    <row r="17847" spans="1:5">
      <c r="A17847" t="s">
        <v>20670</v>
      </c>
      <c r="B17847" t="s">
        <v>20671</v>
      </c>
      <c r="C17847">
        <v>0</v>
      </c>
      <c r="D17847">
        <v>0.99838105263999999</v>
      </c>
      <c r="E17847">
        <v>0.40779610194902499</v>
      </c>
    </row>
    <row r="17848" spans="1:5">
      <c r="A17848" t="s">
        <v>20670</v>
      </c>
      <c r="B17848" t="s">
        <v>20672</v>
      </c>
      <c r="C17848">
        <v>0.54309992073199997</v>
      </c>
      <c r="D17848">
        <v>0.99838105263999999</v>
      </c>
      <c r="E17848">
        <v>0.40779610194902499</v>
      </c>
    </row>
    <row r="17849" spans="1:5">
      <c r="A17849" t="s">
        <v>20670</v>
      </c>
      <c r="B17849" t="s">
        <v>20673</v>
      </c>
      <c r="C17849">
        <v>0</v>
      </c>
      <c r="D17849">
        <v>0.99838105263999999</v>
      </c>
      <c r="E17849">
        <v>0.40779610194902499</v>
      </c>
    </row>
    <row r="17850" spans="1:5">
      <c r="A17850" t="s">
        <v>20670</v>
      </c>
      <c r="B17850" t="s">
        <v>20674</v>
      </c>
      <c r="C17850">
        <v>0</v>
      </c>
      <c r="D17850">
        <v>0.99838105263999999</v>
      </c>
      <c r="E17850">
        <v>0.40779610194902499</v>
      </c>
    </row>
    <row r="17851" spans="1:5">
      <c r="A17851" t="s">
        <v>20670</v>
      </c>
      <c r="B17851" t="s">
        <v>20675</v>
      </c>
      <c r="C17851">
        <v>0.14786469205200001</v>
      </c>
      <c r="D17851">
        <v>0.99838105263999999</v>
      </c>
      <c r="E17851">
        <v>0.40779610194902499</v>
      </c>
    </row>
    <row r="17852" spans="1:5">
      <c r="A17852" t="s">
        <v>20670</v>
      </c>
      <c r="B17852" t="s">
        <v>20676</v>
      </c>
      <c r="C17852">
        <v>0</v>
      </c>
      <c r="D17852">
        <v>0.99838105263999999</v>
      </c>
      <c r="E17852">
        <v>0.40779610194902499</v>
      </c>
    </row>
    <row r="17853" spans="1:5">
      <c r="A17853" t="s">
        <v>20670</v>
      </c>
      <c r="B17853" t="s">
        <v>20677</v>
      </c>
      <c r="C17853">
        <v>0</v>
      </c>
      <c r="D17853">
        <v>0.99838105263999999</v>
      </c>
      <c r="E17853">
        <v>0.40779610194902499</v>
      </c>
    </row>
    <row r="17854" spans="1:5">
      <c r="A17854" t="s">
        <v>20670</v>
      </c>
      <c r="B17854" t="s">
        <v>20678</v>
      </c>
      <c r="C17854">
        <f>0</f>
        <v>0</v>
      </c>
      <c r="D17854">
        <v>0.99838105263999999</v>
      </c>
      <c r="E17854">
        <v>0.40779610194902499</v>
      </c>
    </row>
    <row r="17855" spans="1:5">
      <c r="A17855" t="s">
        <v>20679</v>
      </c>
      <c r="B17855" t="s">
        <v>20680</v>
      </c>
      <c r="C17855">
        <f>0</f>
        <v>0</v>
      </c>
      <c r="D17855">
        <v>0.98249565308999998</v>
      </c>
      <c r="E17855">
        <v>1.33133433283358</v>
      </c>
    </row>
    <row r="17856" spans="1:5">
      <c r="A17856" t="s">
        <v>20679</v>
      </c>
      <c r="B17856" t="s">
        <v>20681</v>
      </c>
      <c r="C17856">
        <f>0</f>
        <v>0</v>
      </c>
      <c r="D17856">
        <v>0.98249565308999998</v>
      </c>
      <c r="E17856">
        <v>1.33133433283358</v>
      </c>
    </row>
    <row r="17857" spans="1:5">
      <c r="A17857" t="s">
        <v>20679</v>
      </c>
      <c r="B17857" t="s">
        <v>20682</v>
      </c>
      <c r="C17857">
        <f>0.114589512375</f>
        <v>0.11458951237499999</v>
      </c>
      <c r="D17857">
        <v>0.98249565308999998</v>
      </c>
      <c r="E17857">
        <v>1.33133433283358</v>
      </c>
    </row>
    <row r="17858" spans="1:5">
      <c r="A17858" t="s">
        <v>20679</v>
      </c>
      <c r="B17858" t="s">
        <v>20683</v>
      </c>
      <c r="C17858">
        <f>0</f>
        <v>0</v>
      </c>
      <c r="D17858">
        <v>0.98249565308999998</v>
      </c>
      <c r="E17858">
        <v>1.33133433283358</v>
      </c>
    </row>
    <row r="17859" spans="1:5">
      <c r="A17859" t="s">
        <v>20679</v>
      </c>
      <c r="B17859" t="s">
        <v>20684</v>
      </c>
      <c r="C17859">
        <f>0.260936449735</f>
        <v>0.26093644973500002</v>
      </c>
      <c r="D17859">
        <v>0.98249565308999998</v>
      </c>
      <c r="E17859">
        <v>1.33133433283358</v>
      </c>
    </row>
    <row r="17860" spans="1:5">
      <c r="A17860" t="s">
        <v>20679</v>
      </c>
      <c r="B17860" t="s">
        <v>20685</v>
      </c>
      <c r="C17860">
        <f>0</f>
        <v>0</v>
      </c>
      <c r="D17860">
        <v>0.98249565308999998</v>
      </c>
      <c r="E17860">
        <v>1.33133433283358</v>
      </c>
    </row>
    <row r="17861" spans="1:5">
      <c r="A17861" t="s">
        <v>20679</v>
      </c>
      <c r="B17861" t="s">
        <v>20686</v>
      </c>
      <c r="C17861">
        <f>0</f>
        <v>0</v>
      </c>
      <c r="D17861">
        <v>0.98249565308999998</v>
      </c>
      <c r="E17861">
        <v>1.33133433283358</v>
      </c>
    </row>
    <row r="17862" spans="1:5">
      <c r="A17862" t="s">
        <v>20679</v>
      </c>
      <c r="B17862" t="s">
        <v>20687</v>
      </c>
      <c r="C17862">
        <f>0</f>
        <v>0</v>
      </c>
      <c r="D17862">
        <v>0.98249565308999998</v>
      </c>
      <c r="E17862">
        <v>1.33133433283358</v>
      </c>
    </row>
    <row r="17863" spans="1:5">
      <c r="A17863" t="s">
        <v>20688</v>
      </c>
      <c r="B17863" t="s">
        <v>20689</v>
      </c>
      <c r="C17863">
        <v>0</v>
      </c>
      <c r="D17863">
        <v>0.859172299704</v>
      </c>
      <c r="E17863">
        <v>5.8170914542728598</v>
      </c>
    </row>
    <row r="17864" spans="1:5">
      <c r="A17864" t="s">
        <v>20688</v>
      </c>
      <c r="B17864" t="s">
        <v>20690</v>
      </c>
      <c r="C17864">
        <v>0</v>
      </c>
      <c r="D17864">
        <v>0.859172299704</v>
      </c>
      <c r="E17864">
        <v>5.8170914542728598</v>
      </c>
    </row>
    <row r="17865" spans="1:5">
      <c r="A17865" t="s">
        <v>20688</v>
      </c>
      <c r="B17865" t="s">
        <v>20691</v>
      </c>
      <c r="C17865">
        <v>0.170309518248</v>
      </c>
      <c r="D17865">
        <v>0.859172299704</v>
      </c>
      <c r="E17865">
        <v>5.8170914542728598</v>
      </c>
    </row>
    <row r="17866" spans="1:5">
      <c r="A17866" t="s">
        <v>20688</v>
      </c>
      <c r="B17866" t="s">
        <v>20692</v>
      </c>
      <c r="C17866">
        <v>0</v>
      </c>
      <c r="D17866">
        <v>0.859172299704</v>
      </c>
      <c r="E17866">
        <v>5.8170914542728598</v>
      </c>
    </row>
    <row r="17867" spans="1:5">
      <c r="A17867" t="s">
        <v>20688</v>
      </c>
      <c r="B17867" t="s">
        <v>20693</v>
      </c>
      <c r="C17867">
        <v>0</v>
      </c>
      <c r="D17867">
        <v>0.859172299704</v>
      </c>
      <c r="E17867">
        <v>5.8170914542728598</v>
      </c>
    </row>
    <row r="17868" spans="1:5">
      <c r="A17868" t="s">
        <v>20688</v>
      </c>
      <c r="B17868" t="s">
        <v>20694</v>
      </c>
      <c r="C17868">
        <f>0</f>
        <v>0</v>
      </c>
      <c r="D17868">
        <v>0.859172299704</v>
      </c>
      <c r="E17868">
        <v>5.8170914542728598</v>
      </c>
    </row>
    <row r="17869" spans="1:5">
      <c r="A17869" t="s">
        <v>20688</v>
      </c>
      <c r="B17869" t="s">
        <v>20695</v>
      </c>
      <c r="C17869">
        <f>0</f>
        <v>0</v>
      </c>
      <c r="D17869">
        <v>0.859172299704</v>
      </c>
      <c r="E17869">
        <v>5.8170914542728598</v>
      </c>
    </row>
    <row r="17870" spans="1:5">
      <c r="A17870" t="s">
        <v>20696</v>
      </c>
      <c r="B17870" t="s">
        <v>20697</v>
      </c>
      <c r="C17870">
        <f>0</f>
        <v>0</v>
      </c>
      <c r="D17870">
        <v>0.67143042215899995</v>
      </c>
      <c r="E17870">
        <v>4.3778110944527704</v>
      </c>
    </row>
    <row r="17871" spans="1:5">
      <c r="A17871" t="s">
        <v>20696</v>
      </c>
      <c r="B17871" t="s">
        <v>20698</v>
      </c>
      <c r="C17871">
        <f>0</f>
        <v>0</v>
      </c>
      <c r="D17871">
        <v>0.67143042215899995</v>
      </c>
      <c r="E17871">
        <v>4.3778110944527704</v>
      </c>
    </row>
    <row r="17872" spans="1:5">
      <c r="A17872" t="s">
        <v>20696</v>
      </c>
      <c r="B17872" t="s">
        <v>20699</v>
      </c>
      <c r="C17872">
        <f>0.0692723241239</f>
        <v>6.9272324123899998E-2</v>
      </c>
      <c r="D17872">
        <v>0.67143042215899995</v>
      </c>
      <c r="E17872">
        <v>4.3778110944527704</v>
      </c>
    </row>
    <row r="17873" spans="1:5">
      <c r="A17873" t="s">
        <v>20696</v>
      </c>
      <c r="B17873" t="s">
        <v>20700</v>
      </c>
      <c r="C17873">
        <f>0</f>
        <v>0</v>
      </c>
      <c r="D17873">
        <v>0.67143042215899995</v>
      </c>
      <c r="E17873">
        <v>4.3778110944527704</v>
      </c>
    </row>
    <row r="17874" spans="1:5">
      <c r="A17874" t="s">
        <v>20696</v>
      </c>
      <c r="B17874" t="s">
        <v>20701</v>
      </c>
      <c r="C17874">
        <f>0</f>
        <v>0</v>
      </c>
      <c r="D17874">
        <v>0.67143042215899995</v>
      </c>
      <c r="E17874">
        <v>4.3778110944527704</v>
      </c>
    </row>
    <row r="17875" spans="1:5">
      <c r="A17875" t="s">
        <v>20696</v>
      </c>
      <c r="B17875" t="s">
        <v>20702</v>
      </c>
      <c r="C17875">
        <v>0</v>
      </c>
      <c r="D17875">
        <v>0.67143042215899995</v>
      </c>
      <c r="E17875">
        <v>4.3778110944527704</v>
      </c>
    </row>
    <row r="17876" spans="1:5">
      <c r="A17876" t="s">
        <v>20696</v>
      </c>
      <c r="B17876" t="s">
        <v>20703</v>
      </c>
      <c r="C17876">
        <f>0</f>
        <v>0</v>
      </c>
      <c r="D17876">
        <v>0.67143042215899995</v>
      </c>
      <c r="E17876">
        <v>4.3778110944527704</v>
      </c>
    </row>
    <row r="17877" spans="1:5">
      <c r="A17877" t="s">
        <v>20696</v>
      </c>
      <c r="B17877" t="s">
        <v>20704</v>
      </c>
      <c r="C17877">
        <f>0</f>
        <v>0</v>
      </c>
      <c r="D17877">
        <v>0.67143042215899995</v>
      </c>
      <c r="E17877">
        <v>4.3778110944527704</v>
      </c>
    </row>
    <row r="17878" spans="1:5">
      <c r="A17878" t="s">
        <v>20696</v>
      </c>
      <c r="B17878" t="s">
        <v>20705</v>
      </c>
      <c r="C17878">
        <f>0</f>
        <v>0</v>
      </c>
      <c r="D17878">
        <v>0.67143042215899995</v>
      </c>
      <c r="E17878">
        <v>4.3778110944527704</v>
      </c>
    </row>
    <row r="17879" spans="1:5">
      <c r="A17879" t="s">
        <v>20706</v>
      </c>
      <c r="B17879" t="s">
        <v>20707</v>
      </c>
      <c r="C17879">
        <v>0.19986531695099999</v>
      </c>
      <c r="D17879">
        <v>0.95876684659699996</v>
      </c>
      <c r="E17879">
        <v>13.997001499250301</v>
      </c>
    </row>
    <row r="17880" spans="1:5">
      <c r="A17880" t="s">
        <v>20706</v>
      </c>
      <c r="B17880" t="s">
        <v>20708</v>
      </c>
      <c r="C17880">
        <f>0</f>
        <v>0</v>
      </c>
      <c r="D17880">
        <v>0.95876684659699996</v>
      </c>
      <c r="E17880">
        <v>13.997001499250301</v>
      </c>
    </row>
    <row r="17881" spans="1:5">
      <c r="A17881" t="s">
        <v>20706</v>
      </c>
      <c r="B17881" t="s">
        <v>20709</v>
      </c>
      <c r="C17881">
        <v>0</v>
      </c>
      <c r="D17881">
        <v>0.95876684659699996</v>
      </c>
      <c r="E17881">
        <v>13.997001499250301</v>
      </c>
    </row>
    <row r="17882" spans="1:5">
      <c r="A17882" t="s">
        <v>20706</v>
      </c>
      <c r="B17882" t="s">
        <v>20710</v>
      </c>
      <c r="C17882">
        <f>0</f>
        <v>0</v>
      </c>
      <c r="D17882">
        <v>0.95876684659699996</v>
      </c>
      <c r="E17882">
        <v>13.997001499250301</v>
      </c>
    </row>
    <row r="17883" spans="1:5">
      <c r="A17883" t="s">
        <v>20706</v>
      </c>
      <c r="B17883" t="s">
        <v>20711</v>
      </c>
      <c r="C17883">
        <f>0.0362118566114</f>
        <v>3.6211856611400001E-2</v>
      </c>
      <c r="D17883">
        <v>0.95876684659699996</v>
      </c>
      <c r="E17883">
        <v>13.997001499250301</v>
      </c>
    </row>
    <row r="17884" spans="1:5">
      <c r="A17884" t="s">
        <v>20706</v>
      </c>
      <c r="B17884" t="s">
        <v>20712</v>
      </c>
      <c r="C17884">
        <f>0</f>
        <v>0</v>
      </c>
      <c r="D17884">
        <v>0.95876684659699996</v>
      </c>
      <c r="E17884">
        <v>13.997001499250301</v>
      </c>
    </row>
    <row r="17885" spans="1:5">
      <c r="A17885" t="s">
        <v>20706</v>
      </c>
      <c r="B17885" t="s">
        <v>20713</v>
      </c>
      <c r="C17885">
        <f>0</f>
        <v>0</v>
      </c>
      <c r="D17885">
        <v>0.95876684659699996</v>
      </c>
      <c r="E17885">
        <v>13.997001499250301</v>
      </c>
    </row>
    <row r="17886" spans="1:5">
      <c r="A17886" t="s">
        <v>20706</v>
      </c>
      <c r="B17886" t="s">
        <v>20714</v>
      </c>
      <c r="C17886">
        <v>0</v>
      </c>
      <c r="D17886">
        <v>0.95876684659699996</v>
      </c>
      <c r="E17886">
        <v>13.997001499250301</v>
      </c>
    </row>
    <row r="17887" spans="1:5">
      <c r="A17887" t="s">
        <v>20706</v>
      </c>
      <c r="B17887" t="s">
        <v>20715</v>
      </c>
      <c r="C17887">
        <f>0</f>
        <v>0</v>
      </c>
      <c r="D17887">
        <v>0.95876684659699996</v>
      </c>
      <c r="E17887">
        <v>13.997001499250301</v>
      </c>
    </row>
    <row r="17888" spans="1:5">
      <c r="A17888" t="s">
        <v>20716</v>
      </c>
      <c r="B17888" t="s">
        <v>20717</v>
      </c>
      <c r="C17888">
        <f>0</f>
        <v>0</v>
      </c>
      <c r="D17888" t="s">
        <v>106</v>
      </c>
      <c r="E17888">
        <v>4.9055472263868003</v>
      </c>
    </row>
    <row r="17889" spans="1:5">
      <c r="A17889" t="s">
        <v>20716</v>
      </c>
      <c r="B17889" t="s">
        <v>20718</v>
      </c>
      <c r="C17889">
        <f>0</f>
        <v>0</v>
      </c>
      <c r="D17889" t="s">
        <v>106</v>
      </c>
      <c r="E17889">
        <v>4.9055472263868003</v>
      </c>
    </row>
    <row r="17890" spans="1:5">
      <c r="A17890" t="s">
        <v>20716</v>
      </c>
      <c r="B17890" t="s">
        <v>20719</v>
      </c>
      <c r="C17890">
        <v>0</v>
      </c>
      <c r="D17890" t="s">
        <v>106</v>
      </c>
      <c r="E17890">
        <v>4.9055472263868003</v>
      </c>
    </row>
    <row r="17891" spans="1:5">
      <c r="A17891" t="s">
        <v>20716</v>
      </c>
      <c r="B17891" t="s">
        <v>20720</v>
      </c>
      <c r="C17891">
        <f>0</f>
        <v>0</v>
      </c>
      <c r="D17891" t="s">
        <v>106</v>
      </c>
      <c r="E17891">
        <v>4.9055472263868003</v>
      </c>
    </row>
    <row r="17892" spans="1:5">
      <c r="A17892" t="s">
        <v>20721</v>
      </c>
      <c r="B17892" t="s">
        <v>20722</v>
      </c>
      <c r="C17892">
        <v>0</v>
      </c>
      <c r="D17892">
        <v>0.53665207050300001</v>
      </c>
      <c r="E17892">
        <v>24</v>
      </c>
    </row>
    <row r="17893" spans="1:5">
      <c r="A17893" t="s">
        <v>20721</v>
      </c>
      <c r="B17893" t="s">
        <v>20723</v>
      </c>
      <c r="C17893">
        <v>0</v>
      </c>
      <c r="D17893">
        <v>0.53665207050300001</v>
      </c>
      <c r="E17893">
        <v>24</v>
      </c>
    </row>
    <row r="17894" spans="1:5">
      <c r="A17894" t="s">
        <v>20721</v>
      </c>
      <c r="B17894" t="s">
        <v>20724</v>
      </c>
      <c r="C17894">
        <v>0</v>
      </c>
      <c r="D17894">
        <v>0.53665207050300001</v>
      </c>
      <c r="E17894">
        <v>24</v>
      </c>
    </row>
    <row r="17895" spans="1:5">
      <c r="A17895" t="s">
        <v>20721</v>
      </c>
      <c r="B17895" t="s">
        <v>20725</v>
      </c>
      <c r="C17895">
        <v>0</v>
      </c>
      <c r="D17895">
        <v>0.53665207050300001</v>
      </c>
      <c r="E17895">
        <v>24</v>
      </c>
    </row>
    <row r="17896" spans="1:5">
      <c r="A17896" t="s">
        <v>20721</v>
      </c>
      <c r="B17896" t="s">
        <v>20726</v>
      </c>
      <c r="C17896">
        <v>0</v>
      </c>
      <c r="D17896">
        <v>0.53665207050300001</v>
      </c>
      <c r="E17896">
        <v>24</v>
      </c>
    </row>
    <row r="17897" spans="1:5">
      <c r="A17897" t="s">
        <v>20721</v>
      </c>
      <c r="B17897" t="s">
        <v>20727</v>
      </c>
      <c r="C17897">
        <v>2.5278683338599998E-2</v>
      </c>
      <c r="D17897">
        <v>0.53665207050300001</v>
      </c>
      <c r="E17897">
        <v>24</v>
      </c>
    </row>
    <row r="17898" spans="1:5">
      <c r="A17898" t="s">
        <v>20721</v>
      </c>
      <c r="B17898" t="s">
        <v>20728</v>
      </c>
      <c r="C17898">
        <v>0</v>
      </c>
      <c r="D17898">
        <v>0.53665207050300001</v>
      </c>
      <c r="E17898">
        <v>24</v>
      </c>
    </row>
    <row r="17899" spans="1:5">
      <c r="A17899" t="s">
        <v>20721</v>
      </c>
      <c r="B17899" t="s">
        <v>20729</v>
      </c>
      <c r="C17899">
        <v>1.40446996809E-2</v>
      </c>
      <c r="D17899">
        <v>0.53665207050300001</v>
      </c>
      <c r="E17899">
        <v>24</v>
      </c>
    </row>
    <row r="17900" spans="1:5">
      <c r="A17900" t="s">
        <v>20721</v>
      </c>
      <c r="B17900" t="s">
        <v>20730</v>
      </c>
      <c r="C17900">
        <v>0</v>
      </c>
      <c r="D17900">
        <v>0.53665207050300001</v>
      </c>
      <c r="E17900">
        <v>24</v>
      </c>
    </row>
    <row r="17901" spans="1:5">
      <c r="A17901" t="s">
        <v>20721</v>
      </c>
      <c r="B17901" t="s">
        <v>20731</v>
      </c>
      <c r="C17901">
        <f>0</f>
        <v>0</v>
      </c>
      <c r="D17901">
        <v>0.53665207050300001</v>
      </c>
      <c r="E17901">
        <v>24</v>
      </c>
    </row>
    <row r="17902" spans="1:5">
      <c r="A17902" t="s">
        <v>20721</v>
      </c>
      <c r="B17902" t="s">
        <v>20732</v>
      </c>
      <c r="C17902">
        <v>0</v>
      </c>
      <c r="D17902">
        <v>0.53665207050300001</v>
      </c>
      <c r="E17902">
        <v>24</v>
      </c>
    </row>
    <row r="17903" spans="1:5">
      <c r="A17903" t="s">
        <v>20721</v>
      </c>
      <c r="B17903" t="s">
        <v>20733</v>
      </c>
      <c r="C17903">
        <v>0</v>
      </c>
      <c r="D17903">
        <v>0.53665207050300001</v>
      </c>
      <c r="E17903">
        <v>24</v>
      </c>
    </row>
    <row r="17904" spans="1:5">
      <c r="A17904" t="s">
        <v>20721</v>
      </c>
      <c r="B17904" t="s">
        <v>20734</v>
      </c>
      <c r="C17904">
        <v>0</v>
      </c>
      <c r="D17904">
        <v>0.53665207050300001</v>
      </c>
      <c r="E17904">
        <v>24</v>
      </c>
    </row>
    <row r="17905" spans="1:5">
      <c r="A17905" t="s">
        <v>20721</v>
      </c>
      <c r="B17905" t="s">
        <v>20735</v>
      </c>
      <c r="C17905">
        <v>0</v>
      </c>
      <c r="D17905">
        <v>0.53665207050300001</v>
      </c>
      <c r="E17905">
        <v>24</v>
      </c>
    </row>
    <row r="17906" spans="1:5">
      <c r="A17906" t="s">
        <v>20721</v>
      </c>
      <c r="B17906" t="s">
        <v>20736</v>
      </c>
      <c r="C17906">
        <v>0</v>
      </c>
      <c r="D17906">
        <v>0.53665207050300001</v>
      </c>
      <c r="E17906">
        <v>24</v>
      </c>
    </row>
    <row r="17907" spans="1:5">
      <c r="A17907" t="s">
        <v>20721</v>
      </c>
      <c r="B17907" t="s">
        <v>20737</v>
      </c>
      <c r="C17907">
        <v>0</v>
      </c>
      <c r="D17907">
        <v>0.53665207050300001</v>
      </c>
      <c r="E17907">
        <v>24</v>
      </c>
    </row>
    <row r="17908" spans="1:5">
      <c r="A17908" t="s">
        <v>20721</v>
      </c>
      <c r="B17908" t="s">
        <v>20738</v>
      </c>
      <c r="C17908">
        <v>0</v>
      </c>
      <c r="D17908">
        <v>0.53665207050300001</v>
      </c>
      <c r="E17908">
        <v>24</v>
      </c>
    </row>
    <row r="17909" spans="1:5">
      <c r="A17909" t="s">
        <v>20721</v>
      </c>
      <c r="B17909" t="s">
        <v>20739</v>
      </c>
      <c r="C17909">
        <v>0</v>
      </c>
      <c r="D17909">
        <v>0.53665207050300001</v>
      </c>
      <c r="E17909">
        <v>24</v>
      </c>
    </row>
    <row r="17910" spans="1:5">
      <c r="A17910" t="s">
        <v>20721</v>
      </c>
      <c r="B17910" t="s">
        <v>20740</v>
      </c>
      <c r="C17910">
        <v>0</v>
      </c>
      <c r="D17910">
        <v>0.53665207050300001</v>
      </c>
      <c r="E17910">
        <v>24</v>
      </c>
    </row>
    <row r="17911" spans="1:5">
      <c r="A17911" t="s">
        <v>20721</v>
      </c>
      <c r="B17911" t="s">
        <v>20741</v>
      </c>
      <c r="C17911">
        <v>0</v>
      </c>
      <c r="D17911">
        <v>0.53665207050300001</v>
      </c>
      <c r="E17911">
        <v>24</v>
      </c>
    </row>
    <row r="17912" spans="1:5">
      <c r="A17912" t="s">
        <v>20721</v>
      </c>
      <c r="B17912" t="s">
        <v>20742</v>
      </c>
      <c r="C17912">
        <v>0</v>
      </c>
      <c r="D17912">
        <v>0.53665207050300001</v>
      </c>
      <c r="E17912">
        <v>24</v>
      </c>
    </row>
    <row r="17913" spans="1:5">
      <c r="A17913" t="s">
        <v>20721</v>
      </c>
      <c r="B17913" t="s">
        <v>20743</v>
      </c>
      <c r="C17913">
        <f>0</f>
        <v>0</v>
      </c>
      <c r="D17913">
        <v>0.53665207050300001</v>
      </c>
      <c r="E17913">
        <v>24</v>
      </c>
    </row>
    <row r="17914" spans="1:5">
      <c r="A17914" t="s">
        <v>20721</v>
      </c>
      <c r="B17914" t="s">
        <v>20744</v>
      </c>
      <c r="C17914">
        <f>0</f>
        <v>0</v>
      </c>
      <c r="D17914">
        <v>0.53665207050300001</v>
      </c>
      <c r="E17914">
        <v>24</v>
      </c>
    </row>
    <row r="17915" spans="1:5">
      <c r="A17915" t="s">
        <v>20721</v>
      </c>
      <c r="B17915" t="s">
        <v>20745</v>
      </c>
      <c r="C17915">
        <v>0</v>
      </c>
      <c r="D17915">
        <v>0.53665207050300001</v>
      </c>
      <c r="E17915">
        <v>24</v>
      </c>
    </row>
    <row r="17916" spans="1:5">
      <c r="A17916" t="s">
        <v>20721</v>
      </c>
      <c r="B17916" t="s">
        <v>20746</v>
      </c>
      <c r="C17916">
        <f>0</f>
        <v>0</v>
      </c>
      <c r="D17916">
        <v>0.53665207050300001</v>
      </c>
      <c r="E17916">
        <v>24</v>
      </c>
    </row>
    <row r="17917" spans="1:5">
      <c r="A17917" t="s">
        <v>20747</v>
      </c>
      <c r="B17917" t="s">
        <v>20748</v>
      </c>
      <c r="C17917">
        <f>0.205845513681</f>
        <v>0.20584551368099999</v>
      </c>
      <c r="D17917">
        <v>0.93601104140000002</v>
      </c>
      <c r="E17917">
        <v>1.06746626686656</v>
      </c>
    </row>
    <row r="17918" spans="1:5">
      <c r="A17918" t="s">
        <v>20747</v>
      </c>
      <c r="B17918" t="s">
        <v>20749</v>
      </c>
      <c r="C17918">
        <v>0</v>
      </c>
      <c r="D17918">
        <v>0.93601104140000002</v>
      </c>
      <c r="E17918">
        <v>1.06746626686656</v>
      </c>
    </row>
    <row r="17919" spans="1:5">
      <c r="A17919" t="s">
        <v>20747</v>
      </c>
      <c r="B17919" t="s">
        <v>20750</v>
      </c>
      <c r="C17919">
        <v>0</v>
      </c>
      <c r="D17919">
        <v>0.93601104140000002</v>
      </c>
      <c r="E17919">
        <v>1.06746626686656</v>
      </c>
    </row>
    <row r="17920" spans="1:5">
      <c r="A17920" t="s">
        <v>20747</v>
      </c>
      <c r="B17920" t="s">
        <v>20751</v>
      </c>
      <c r="C17920">
        <f>0</f>
        <v>0</v>
      </c>
      <c r="D17920">
        <v>0.93601104140000002</v>
      </c>
      <c r="E17920">
        <v>1.06746626686656</v>
      </c>
    </row>
    <row r="17921" spans="1:5">
      <c r="A17921" t="s">
        <v>20747</v>
      </c>
      <c r="B17921" t="s">
        <v>20752</v>
      </c>
      <c r="C17921">
        <v>0</v>
      </c>
      <c r="D17921">
        <v>0.93601104140000002</v>
      </c>
      <c r="E17921">
        <v>1.06746626686656</v>
      </c>
    </row>
    <row r="17922" spans="1:5">
      <c r="A17922" t="s">
        <v>20747</v>
      </c>
      <c r="B17922" t="s">
        <v>20753</v>
      </c>
      <c r="C17922">
        <f>0</f>
        <v>0</v>
      </c>
      <c r="D17922">
        <v>0.93601104140000002</v>
      </c>
      <c r="E17922">
        <v>1.06746626686656</v>
      </c>
    </row>
    <row r="17923" spans="1:5">
      <c r="A17923" t="s">
        <v>20747</v>
      </c>
      <c r="B17923" t="s">
        <v>20754</v>
      </c>
      <c r="C17923">
        <v>0</v>
      </c>
      <c r="D17923">
        <v>0.93601104140000002</v>
      </c>
      <c r="E17923">
        <v>1.06746626686656</v>
      </c>
    </row>
    <row r="17924" spans="1:5">
      <c r="A17924" t="s">
        <v>20747</v>
      </c>
      <c r="B17924" t="s">
        <v>20755</v>
      </c>
      <c r="C17924">
        <v>0.235236013104</v>
      </c>
      <c r="D17924">
        <v>0.93601104140000002</v>
      </c>
      <c r="E17924">
        <v>1.06746626686656</v>
      </c>
    </row>
    <row r="17925" spans="1:5">
      <c r="A17925" t="s">
        <v>20747</v>
      </c>
      <c r="B17925" t="s">
        <v>20756</v>
      </c>
      <c r="C17925">
        <v>0</v>
      </c>
      <c r="D17925">
        <v>0.93601104140000002</v>
      </c>
      <c r="E17925">
        <v>1.06746626686656</v>
      </c>
    </row>
    <row r="17926" spans="1:5">
      <c r="A17926" t="s">
        <v>20747</v>
      </c>
      <c r="B17926" t="s">
        <v>20757</v>
      </c>
      <c r="C17926">
        <v>0</v>
      </c>
      <c r="D17926">
        <v>0.93601104140000002</v>
      </c>
      <c r="E17926">
        <v>1.06746626686656</v>
      </c>
    </row>
    <row r="17927" spans="1:5">
      <c r="A17927" t="s">
        <v>20747</v>
      </c>
      <c r="B17927" t="s">
        <v>20758</v>
      </c>
      <c r="C17927">
        <v>0</v>
      </c>
      <c r="D17927">
        <v>0.93601104140000002</v>
      </c>
      <c r="E17927">
        <v>1.06746626686656</v>
      </c>
    </row>
    <row r="17928" spans="1:5">
      <c r="A17928" t="s">
        <v>20759</v>
      </c>
      <c r="B17928" t="s">
        <v>20760</v>
      </c>
      <c r="C17928">
        <v>0</v>
      </c>
      <c r="D17928" t="s">
        <v>106</v>
      </c>
      <c r="E17928">
        <v>14.9325337331334</v>
      </c>
    </row>
    <row r="17929" spans="1:5">
      <c r="A17929" t="s">
        <v>20759</v>
      </c>
      <c r="B17929" t="s">
        <v>20761</v>
      </c>
      <c r="C17929">
        <f>0</f>
        <v>0</v>
      </c>
      <c r="D17929" t="s">
        <v>106</v>
      </c>
      <c r="E17929">
        <v>14.9325337331334</v>
      </c>
    </row>
    <row r="17930" spans="1:5">
      <c r="A17930" t="s">
        <v>20759</v>
      </c>
      <c r="B17930" t="s">
        <v>20762</v>
      </c>
      <c r="C17930">
        <v>0</v>
      </c>
      <c r="D17930" t="s">
        <v>106</v>
      </c>
      <c r="E17930">
        <v>14.9325337331334</v>
      </c>
    </row>
    <row r="17931" spans="1:5">
      <c r="A17931" t="s">
        <v>20759</v>
      </c>
      <c r="B17931" t="s">
        <v>20763</v>
      </c>
      <c r="C17931">
        <f>0</f>
        <v>0</v>
      </c>
      <c r="D17931" t="s">
        <v>106</v>
      </c>
      <c r="E17931">
        <v>14.9325337331334</v>
      </c>
    </row>
    <row r="17932" spans="1:5">
      <c r="A17932" t="s">
        <v>20759</v>
      </c>
      <c r="B17932" t="s">
        <v>20764</v>
      </c>
      <c r="C17932">
        <f>0</f>
        <v>0</v>
      </c>
      <c r="D17932" t="s">
        <v>106</v>
      </c>
      <c r="E17932">
        <v>14.9325337331334</v>
      </c>
    </row>
    <row r="17933" spans="1:5">
      <c r="A17933" t="s">
        <v>20759</v>
      </c>
      <c r="B17933" t="s">
        <v>20765</v>
      </c>
      <c r="C17933">
        <v>0</v>
      </c>
      <c r="D17933" t="s">
        <v>106</v>
      </c>
      <c r="E17933">
        <v>14.9325337331334</v>
      </c>
    </row>
    <row r="17934" spans="1:5">
      <c r="A17934" t="s">
        <v>20759</v>
      </c>
      <c r="B17934" t="s">
        <v>20766</v>
      </c>
      <c r="C17934">
        <f>0</f>
        <v>0</v>
      </c>
      <c r="D17934" t="s">
        <v>106</v>
      </c>
      <c r="E17934">
        <v>14.9325337331334</v>
      </c>
    </row>
    <row r="17935" spans="1:5">
      <c r="A17935" t="s">
        <v>20759</v>
      </c>
      <c r="B17935" t="s">
        <v>20767</v>
      </c>
      <c r="C17935">
        <v>0</v>
      </c>
      <c r="D17935" t="s">
        <v>106</v>
      </c>
      <c r="E17935">
        <v>14.9325337331334</v>
      </c>
    </row>
    <row r="17936" spans="1:5">
      <c r="A17936" t="s">
        <v>20768</v>
      </c>
      <c r="B17936" t="s">
        <v>20769</v>
      </c>
      <c r="C17936">
        <v>0</v>
      </c>
      <c r="D17936">
        <v>0.95987988926000001</v>
      </c>
      <c r="E17936">
        <v>2.39880059970015</v>
      </c>
    </row>
    <row r="17937" spans="1:5">
      <c r="A17937" t="s">
        <v>20770</v>
      </c>
      <c r="B17937" t="s">
        <v>20771</v>
      </c>
      <c r="C17937">
        <f>0</f>
        <v>0</v>
      </c>
      <c r="D17937">
        <v>0.71745051901400003</v>
      </c>
      <c r="E17937">
        <v>3.5862068965517202</v>
      </c>
    </row>
    <row r="17938" spans="1:5">
      <c r="A17938" t="s">
        <v>20770</v>
      </c>
      <c r="B17938" t="s">
        <v>20772</v>
      </c>
      <c r="C17938">
        <f>0</f>
        <v>0</v>
      </c>
      <c r="D17938">
        <v>0.71745051901400003</v>
      </c>
      <c r="E17938">
        <v>3.5862068965517202</v>
      </c>
    </row>
    <row r="17939" spans="1:5">
      <c r="A17939" t="s">
        <v>20773</v>
      </c>
      <c r="B17939" t="s">
        <v>20774</v>
      </c>
      <c r="C17939">
        <v>0.318491673064</v>
      </c>
      <c r="D17939">
        <v>0.99644847071300002</v>
      </c>
      <c r="E17939">
        <v>9.1634182908545707</v>
      </c>
    </row>
    <row r="17940" spans="1:5">
      <c r="A17940" t="s">
        <v>20775</v>
      </c>
      <c r="B17940" t="s">
        <v>20776</v>
      </c>
      <c r="C17940">
        <f>0.0531557334611</f>
        <v>5.3155733461100002E-2</v>
      </c>
      <c r="D17940" t="s">
        <v>106</v>
      </c>
      <c r="E17940">
        <v>24</v>
      </c>
    </row>
    <row r="17941" spans="1:5">
      <c r="A17941" t="s">
        <v>20775</v>
      </c>
      <c r="B17941" t="s">
        <v>20777</v>
      </c>
      <c r="C17941">
        <v>0</v>
      </c>
      <c r="D17941" t="s">
        <v>106</v>
      </c>
      <c r="E17941">
        <v>24</v>
      </c>
    </row>
    <row r="17942" spans="1:5">
      <c r="A17942" t="s">
        <v>20775</v>
      </c>
      <c r="B17942" t="s">
        <v>20778</v>
      </c>
      <c r="C17942">
        <v>0</v>
      </c>
      <c r="D17942" t="s">
        <v>106</v>
      </c>
      <c r="E17942">
        <v>24</v>
      </c>
    </row>
    <row r="17943" spans="1:5">
      <c r="A17943" t="s">
        <v>20775</v>
      </c>
      <c r="B17943" t="s">
        <v>20779</v>
      </c>
      <c r="C17943">
        <v>0</v>
      </c>
      <c r="D17943" t="s">
        <v>106</v>
      </c>
      <c r="E17943">
        <v>24</v>
      </c>
    </row>
    <row r="17944" spans="1:5">
      <c r="A17944" t="s">
        <v>20780</v>
      </c>
      <c r="B17944" t="s">
        <v>20781</v>
      </c>
      <c r="C17944">
        <v>0</v>
      </c>
      <c r="D17944">
        <v>0.90531745457799995</v>
      </c>
      <c r="E17944">
        <v>5.1214392803598203</v>
      </c>
    </row>
    <row r="17945" spans="1:5">
      <c r="A17945" t="s">
        <v>20780</v>
      </c>
      <c r="B17945" t="s">
        <v>20782</v>
      </c>
      <c r="C17945">
        <f>0</f>
        <v>0</v>
      </c>
      <c r="D17945">
        <v>0.90531745457799995</v>
      </c>
      <c r="E17945">
        <v>5.1214392803598203</v>
      </c>
    </row>
    <row r="17946" spans="1:5">
      <c r="A17946" t="s">
        <v>20780</v>
      </c>
      <c r="B17946" t="s">
        <v>20783</v>
      </c>
      <c r="C17946">
        <f>0</f>
        <v>0</v>
      </c>
      <c r="D17946">
        <v>0.90531745457799995</v>
      </c>
      <c r="E17946">
        <v>5.1214392803598203</v>
      </c>
    </row>
    <row r="17947" spans="1:5">
      <c r="A17947" t="s">
        <v>20780</v>
      </c>
      <c r="B17947" t="s">
        <v>20784</v>
      </c>
      <c r="C17947">
        <f>0</f>
        <v>0</v>
      </c>
      <c r="D17947">
        <v>0.90531745457799995</v>
      </c>
      <c r="E17947">
        <v>5.1214392803598203</v>
      </c>
    </row>
    <row r="17948" spans="1:5">
      <c r="A17948" t="s">
        <v>20780</v>
      </c>
      <c r="B17948" t="s">
        <v>20785</v>
      </c>
      <c r="C17948">
        <v>0</v>
      </c>
      <c r="D17948">
        <v>0.90531745457799995</v>
      </c>
      <c r="E17948">
        <v>5.1214392803598203</v>
      </c>
    </row>
    <row r="17949" spans="1:5">
      <c r="A17949" t="s">
        <v>20786</v>
      </c>
      <c r="B17949" t="s">
        <v>20787</v>
      </c>
      <c r="C17949">
        <f>0.0837980984799</f>
        <v>8.3798098479899996E-2</v>
      </c>
      <c r="D17949">
        <v>0.90954921947</v>
      </c>
      <c r="E17949">
        <v>12.5577211394302</v>
      </c>
    </row>
    <row r="17950" spans="1:5">
      <c r="A17950" t="s">
        <v>20786</v>
      </c>
      <c r="B17950" t="s">
        <v>20788</v>
      </c>
      <c r="C17950">
        <v>7.1267526449100005E-2</v>
      </c>
      <c r="D17950">
        <v>0.90954921947</v>
      </c>
      <c r="E17950">
        <v>12.5577211394302</v>
      </c>
    </row>
    <row r="17951" spans="1:5">
      <c r="A17951" t="s">
        <v>20789</v>
      </c>
      <c r="B17951" t="s">
        <v>20790</v>
      </c>
      <c r="C17951">
        <v>0.126800424592</v>
      </c>
      <c r="D17951">
        <v>0.97479539466300003</v>
      </c>
      <c r="E17951">
        <v>20.2938530734632</v>
      </c>
    </row>
    <row r="17952" spans="1:5">
      <c r="A17952" t="s">
        <v>20789</v>
      </c>
      <c r="B17952" t="s">
        <v>20791</v>
      </c>
      <c r="C17952">
        <v>0</v>
      </c>
      <c r="D17952">
        <v>0.97479539466300003</v>
      </c>
      <c r="E17952">
        <v>20.2938530734632</v>
      </c>
    </row>
    <row r="17953" spans="1:5">
      <c r="A17953" t="s">
        <v>20792</v>
      </c>
      <c r="B17953" t="s">
        <v>20793</v>
      </c>
      <c r="C17953">
        <f>0.684843525425</f>
        <v>0.68484352542500004</v>
      </c>
      <c r="D17953">
        <v>0.98558041512100003</v>
      </c>
      <c r="E17953">
        <v>1.8230884557721101</v>
      </c>
    </row>
    <row r="17954" spans="1:5">
      <c r="A17954" t="s">
        <v>20792</v>
      </c>
      <c r="B17954" t="s">
        <v>20794</v>
      </c>
      <c r="C17954">
        <v>0</v>
      </c>
      <c r="D17954">
        <v>0.98558041512100003</v>
      </c>
      <c r="E17954">
        <v>1.8230884557721101</v>
      </c>
    </row>
    <row r="17955" spans="1:5">
      <c r="A17955" t="s">
        <v>20792</v>
      </c>
      <c r="B17955" t="s">
        <v>20795</v>
      </c>
      <c r="C17955">
        <f>0.0633154884909</f>
        <v>6.3315488490900004E-2</v>
      </c>
      <c r="D17955">
        <v>0.98558041512100003</v>
      </c>
      <c r="E17955">
        <v>1.8230884557721101</v>
      </c>
    </row>
    <row r="17956" spans="1:5">
      <c r="A17956" t="s">
        <v>20792</v>
      </c>
      <c r="B17956" t="s">
        <v>20796</v>
      </c>
      <c r="C17956">
        <v>0</v>
      </c>
      <c r="D17956">
        <v>0.98558041512100003</v>
      </c>
      <c r="E17956">
        <v>1.8230884557721101</v>
      </c>
    </row>
    <row r="17957" spans="1:5">
      <c r="A17957" t="s">
        <v>20797</v>
      </c>
      <c r="B17957" t="s">
        <v>20798</v>
      </c>
      <c r="C17957">
        <v>0.109065766111</v>
      </c>
      <c r="D17957">
        <v>0.88083916242399996</v>
      </c>
      <c r="E17957">
        <v>5.5772113943028403</v>
      </c>
    </row>
    <row r="17958" spans="1:5">
      <c r="A17958" t="s">
        <v>20797</v>
      </c>
      <c r="B17958" t="s">
        <v>20799</v>
      </c>
      <c r="C17958">
        <v>0</v>
      </c>
      <c r="D17958">
        <v>0.88083916242399996</v>
      </c>
      <c r="E17958">
        <v>5.5772113943028403</v>
      </c>
    </row>
    <row r="17959" spans="1:5">
      <c r="A17959" t="s">
        <v>20797</v>
      </c>
      <c r="B17959" t="s">
        <v>20800</v>
      </c>
      <c r="C17959">
        <f>0</f>
        <v>0</v>
      </c>
      <c r="D17959">
        <v>0.88083916242399996</v>
      </c>
      <c r="E17959">
        <v>5.5772113943028403</v>
      </c>
    </row>
    <row r="17960" spans="1:5">
      <c r="A17960" t="s">
        <v>20797</v>
      </c>
      <c r="B17960" t="s">
        <v>20801</v>
      </c>
      <c r="C17960">
        <f>0</f>
        <v>0</v>
      </c>
      <c r="D17960">
        <v>0.88083916242399996</v>
      </c>
      <c r="E17960">
        <v>5.5772113943028403</v>
      </c>
    </row>
    <row r="17961" spans="1:5">
      <c r="A17961" t="s">
        <v>20797</v>
      </c>
      <c r="B17961" t="s">
        <v>20802</v>
      </c>
      <c r="C17961">
        <f>0</f>
        <v>0</v>
      </c>
      <c r="D17961">
        <v>0.88083916242399996</v>
      </c>
      <c r="E17961">
        <v>5.5772113943028403</v>
      </c>
    </row>
    <row r="17962" spans="1:5">
      <c r="A17962" t="s">
        <v>20797</v>
      </c>
      <c r="B17962" t="s">
        <v>20803</v>
      </c>
      <c r="C17962">
        <v>0.31812951007899998</v>
      </c>
      <c r="D17962">
        <v>0.88083916242399996</v>
      </c>
      <c r="E17962">
        <v>5.5772113943028403</v>
      </c>
    </row>
    <row r="17963" spans="1:5">
      <c r="A17963" t="s">
        <v>20804</v>
      </c>
      <c r="B17963" t="s">
        <v>20805</v>
      </c>
      <c r="C17963">
        <f>0</f>
        <v>0</v>
      </c>
      <c r="D17963">
        <v>0.94878676104399995</v>
      </c>
      <c r="E17963">
        <v>12.3898050974512</v>
      </c>
    </row>
    <row r="17964" spans="1:5">
      <c r="A17964" t="s">
        <v>20804</v>
      </c>
      <c r="B17964" t="s">
        <v>20806</v>
      </c>
      <c r="C17964">
        <v>0</v>
      </c>
      <c r="D17964">
        <v>0.94878676104399995</v>
      </c>
      <c r="E17964">
        <v>12.3898050974512</v>
      </c>
    </row>
    <row r="17965" spans="1:5">
      <c r="A17965" t="s">
        <v>20804</v>
      </c>
      <c r="B17965" t="s">
        <v>20807</v>
      </c>
      <c r="C17965">
        <v>0.124375555966</v>
      </c>
      <c r="D17965">
        <v>0.94878676104399995</v>
      </c>
      <c r="E17965">
        <v>12.3898050974512</v>
      </c>
    </row>
    <row r="17966" spans="1:5">
      <c r="A17966" t="s">
        <v>20804</v>
      </c>
      <c r="B17966" t="s">
        <v>20808</v>
      </c>
      <c r="C17966">
        <f>0</f>
        <v>0</v>
      </c>
      <c r="D17966">
        <v>0.94878676104399995</v>
      </c>
      <c r="E17966">
        <v>12.3898050974512</v>
      </c>
    </row>
    <row r="17967" spans="1:5">
      <c r="A17967" t="s">
        <v>20804</v>
      </c>
      <c r="B17967" t="s">
        <v>20809</v>
      </c>
      <c r="C17967">
        <f>0</f>
        <v>0</v>
      </c>
      <c r="D17967">
        <v>0.94878676104399995</v>
      </c>
      <c r="E17967">
        <v>12.3898050974512</v>
      </c>
    </row>
    <row r="17968" spans="1:5">
      <c r="A17968" t="s">
        <v>20804</v>
      </c>
      <c r="B17968" t="s">
        <v>20810</v>
      </c>
      <c r="C17968">
        <v>0</v>
      </c>
      <c r="D17968">
        <v>0.94878676104399995</v>
      </c>
      <c r="E17968">
        <v>12.3898050974512</v>
      </c>
    </row>
    <row r="17969" spans="1:5">
      <c r="A17969" t="s">
        <v>20804</v>
      </c>
      <c r="B17969" t="s">
        <v>20811</v>
      </c>
      <c r="C17969">
        <f>0</f>
        <v>0</v>
      </c>
      <c r="D17969">
        <v>0.94878676104399995</v>
      </c>
      <c r="E17969">
        <v>12.3898050974512</v>
      </c>
    </row>
    <row r="17970" spans="1:5">
      <c r="A17970" t="s">
        <v>20804</v>
      </c>
      <c r="B17970" t="s">
        <v>20812</v>
      </c>
      <c r="C17970">
        <f>0</f>
        <v>0</v>
      </c>
      <c r="D17970">
        <v>0.94878676104399995</v>
      </c>
      <c r="E17970">
        <v>12.3898050974512</v>
      </c>
    </row>
    <row r="17971" spans="1:5">
      <c r="A17971" t="s">
        <v>20804</v>
      </c>
      <c r="B17971" t="s">
        <v>20813</v>
      </c>
      <c r="C17971">
        <f>0</f>
        <v>0</v>
      </c>
      <c r="D17971">
        <v>0.94878676104399995</v>
      </c>
      <c r="E17971">
        <v>12.3898050974512</v>
      </c>
    </row>
    <row r="17972" spans="1:5">
      <c r="A17972" t="s">
        <v>20804</v>
      </c>
      <c r="B17972" t="s">
        <v>20814</v>
      </c>
      <c r="C17972">
        <f>0</f>
        <v>0</v>
      </c>
      <c r="D17972">
        <v>0.94878676104399995</v>
      </c>
      <c r="E17972">
        <v>12.3898050974512</v>
      </c>
    </row>
    <row r="17973" spans="1:5">
      <c r="A17973" t="s">
        <v>20804</v>
      </c>
      <c r="B17973" t="s">
        <v>20815</v>
      </c>
      <c r="C17973">
        <f>0</f>
        <v>0</v>
      </c>
      <c r="D17973">
        <v>0.94878676104399995</v>
      </c>
      <c r="E17973">
        <v>12.3898050974512</v>
      </c>
    </row>
    <row r="17974" spans="1:5">
      <c r="A17974" t="s">
        <v>20804</v>
      </c>
      <c r="B17974" t="s">
        <v>20816</v>
      </c>
      <c r="C17974">
        <f>0</f>
        <v>0</v>
      </c>
      <c r="D17974">
        <v>0.94878676104399995</v>
      </c>
      <c r="E17974">
        <v>12.3898050974512</v>
      </c>
    </row>
    <row r="17975" spans="1:5">
      <c r="A17975" t="s">
        <v>20804</v>
      </c>
      <c r="B17975" t="s">
        <v>20817</v>
      </c>
      <c r="C17975">
        <f>0.00666002871462</f>
        <v>6.6600287146199996E-3</v>
      </c>
      <c r="D17975">
        <v>0.94878676104399995</v>
      </c>
      <c r="E17975">
        <v>12.3898050974512</v>
      </c>
    </row>
    <row r="17976" spans="1:5">
      <c r="A17976" t="s">
        <v>20804</v>
      </c>
      <c r="B17976" t="s">
        <v>20818</v>
      </c>
      <c r="C17976">
        <f>0</f>
        <v>0</v>
      </c>
      <c r="D17976">
        <v>0.94878676104399995</v>
      </c>
      <c r="E17976">
        <v>12.3898050974512</v>
      </c>
    </row>
    <row r="17977" spans="1:5">
      <c r="A17977" t="s">
        <v>20804</v>
      </c>
      <c r="B17977" t="s">
        <v>20819</v>
      </c>
      <c r="C17977">
        <f>0</f>
        <v>0</v>
      </c>
      <c r="D17977">
        <v>0.94878676104399995</v>
      </c>
      <c r="E17977">
        <v>12.3898050974512</v>
      </c>
    </row>
    <row r="17978" spans="1:5">
      <c r="A17978" t="s">
        <v>20820</v>
      </c>
      <c r="B17978" t="s">
        <v>20821</v>
      </c>
      <c r="C17978">
        <v>0.57185496511599998</v>
      </c>
      <c r="D17978">
        <v>0.99690051108900002</v>
      </c>
      <c r="E17978">
        <v>10.0749625187406</v>
      </c>
    </row>
    <row r="17979" spans="1:5">
      <c r="A17979" t="s">
        <v>20820</v>
      </c>
      <c r="B17979" t="s">
        <v>20822</v>
      </c>
      <c r="C17979">
        <v>0</v>
      </c>
      <c r="D17979">
        <v>0.99690051108900002</v>
      </c>
      <c r="E17979">
        <v>10.0749625187406</v>
      </c>
    </row>
    <row r="17980" spans="1:5">
      <c r="A17980" t="s">
        <v>20820</v>
      </c>
      <c r="B17980" t="s">
        <v>20823</v>
      </c>
      <c r="C17980">
        <f>0.0531603434231</f>
        <v>5.3160343423099998E-2</v>
      </c>
      <c r="D17980">
        <v>0.99690051108900002</v>
      </c>
      <c r="E17980">
        <v>10.0749625187406</v>
      </c>
    </row>
    <row r="17981" spans="1:5">
      <c r="A17981" t="s">
        <v>20820</v>
      </c>
      <c r="B17981" t="s">
        <v>20824</v>
      </c>
      <c r="C17981">
        <v>0</v>
      </c>
      <c r="D17981">
        <v>0.99690051108900002</v>
      </c>
      <c r="E17981">
        <v>10.0749625187406</v>
      </c>
    </row>
    <row r="17982" spans="1:5">
      <c r="A17982" t="s">
        <v>20820</v>
      </c>
      <c r="B17982" t="s">
        <v>20825</v>
      </c>
      <c r="C17982">
        <v>0</v>
      </c>
      <c r="D17982">
        <v>0.99690051108900002</v>
      </c>
      <c r="E17982">
        <v>10.0749625187406</v>
      </c>
    </row>
    <row r="17983" spans="1:5">
      <c r="A17983" t="s">
        <v>20820</v>
      </c>
      <c r="B17983" t="s">
        <v>20826</v>
      </c>
      <c r="C17983">
        <f>0</f>
        <v>0</v>
      </c>
      <c r="D17983">
        <v>0.99690051108900002</v>
      </c>
      <c r="E17983">
        <v>10.0749625187406</v>
      </c>
    </row>
    <row r="17984" spans="1:5">
      <c r="A17984" t="s">
        <v>20820</v>
      </c>
      <c r="B17984" t="s">
        <v>20827</v>
      </c>
      <c r="C17984">
        <v>0</v>
      </c>
      <c r="D17984">
        <v>0.99690051108900002</v>
      </c>
      <c r="E17984">
        <v>10.0749625187406</v>
      </c>
    </row>
    <row r="17985" spans="1:5">
      <c r="A17985" t="s">
        <v>20820</v>
      </c>
      <c r="B17985" t="s">
        <v>20828</v>
      </c>
      <c r="C17985">
        <f>0</f>
        <v>0</v>
      </c>
      <c r="D17985">
        <v>0.99690051108900002</v>
      </c>
      <c r="E17985">
        <v>10.0749625187406</v>
      </c>
    </row>
    <row r="17986" spans="1:5">
      <c r="A17986" t="s">
        <v>20820</v>
      </c>
      <c r="B17986" t="s">
        <v>20829</v>
      </c>
      <c r="C17986">
        <v>0</v>
      </c>
      <c r="D17986">
        <v>0.99690051108900002</v>
      </c>
      <c r="E17986">
        <v>10.0749625187406</v>
      </c>
    </row>
    <row r="17987" spans="1:5">
      <c r="A17987" t="s">
        <v>20820</v>
      </c>
      <c r="B17987" t="s">
        <v>20830</v>
      </c>
      <c r="C17987">
        <f>0</f>
        <v>0</v>
      </c>
      <c r="D17987">
        <v>0.99690051108900002</v>
      </c>
      <c r="E17987">
        <v>10.0749625187406</v>
      </c>
    </row>
    <row r="17988" spans="1:5">
      <c r="A17988" t="s">
        <v>20820</v>
      </c>
      <c r="B17988" t="s">
        <v>20831</v>
      </c>
      <c r="C17988">
        <v>0</v>
      </c>
      <c r="D17988">
        <v>0.99690051108900002</v>
      </c>
      <c r="E17988">
        <v>10.0749625187406</v>
      </c>
    </row>
    <row r="17989" spans="1:5">
      <c r="A17989" t="s">
        <v>20820</v>
      </c>
      <c r="B17989" t="s">
        <v>20832</v>
      </c>
      <c r="C17989">
        <v>0</v>
      </c>
      <c r="D17989">
        <v>0.99690051108900002</v>
      </c>
      <c r="E17989">
        <v>10.0749625187406</v>
      </c>
    </row>
    <row r="17990" spans="1:5">
      <c r="A17990" t="s">
        <v>20833</v>
      </c>
      <c r="B17990" t="s">
        <v>20834</v>
      </c>
      <c r="C17990">
        <v>0</v>
      </c>
      <c r="D17990" t="s">
        <v>106</v>
      </c>
      <c r="E17990">
        <v>5.9370314842578704</v>
      </c>
    </row>
    <row r="17991" spans="1:5">
      <c r="A17991" t="s">
        <v>20835</v>
      </c>
      <c r="B17991" t="s">
        <v>20836</v>
      </c>
      <c r="C17991">
        <v>0</v>
      </c>
      <c r="D17991" t="s">
        <v>106</v>
      </c>
      <c r="E17991">
        <v>16.095952023988001</v>
      </c>
    </row>
    <row r="17992" spans="1:5">
      <c r="A17992" t="s">
        <v>20835</v>
      </c>
      <c r="B17992" t="s">
        <v>20837</v>
      </c>
      <c r="C17992">
        <v>0</v>
      </c>
      <c r="D17992" t="s">
        <v>106</v>
      </c>
      <c r="E17992">
        <v>16.095952023988001</v>
      </c>
    </row>
    <row r="17993" spans="1:5">
      <c r="A17993" t="s">
        <v>20835</v>
      </c>
      <c r="B17993" t="s">
        <v>20838</v>
      </c>
      <c r="C17993">
        <v>0</v>
      </c>
      <c r="D17993" t="s">
        <v>106</v>
      </c>
      <c r="E17993">
        <v>16.095952023988001</v>
      </c>
    </row>
    <row r="17994" spans="1:5">
      <c r="A17994" t="s">
        <v>20835</v>
      </c>
      <c r="B17994" t="s">
        <v>20839</v>
      </c>
      <c r="C17994">
        <v>0</v>
      </c>
      <c r="D17994" t="s">
        <v>106</v>
      </c>
      <c r="E17994">
        <v>16.095952023988001</v>
      </c>
    </row>
    <row r="17995" spans="1:5">
      <c r="A17995" t="s">
        <v>20835</v>
      </c>
      <c r="B17995" t="s">
        <v>20840</v>
      </c>
      <c r="C17995">
        <f>0</f>
        <v>0</v>
      </c>
      <c r="D17995" t="s">
        <v>106</v>
      </c>
      <c r="E17995">
        <v>16.095952023988001</v>
      </c>
    </row>
    <row r="17996" spans="1:5">
      <c r="A17996" t="s">
        <v>20835</v>
      </c>
      <c r="B17996" t="s">
        <v>20841</v>
      </c>
      <c r="C17996">
        <f>0</f>
        <v>0</v>
      </c>
      <c r="D17996" t="s">
        <v>106</v>
      </c>
      <c r="E17996">
        <v>16.095952023988001</v>
      </c>
    </row>
    <row r="17997" spans="1:5">
      <c r="A17997" t="s">
        <v>20835</v>
      </c>
      <c r="B17997" t="s">
        <v>20842</v>
      </c>
      <c r="C17997">
        <v>0</v>
      </c>
      <c r="D17997" t="s">
        <v>106</v>
      </c>
      <c r="E17997">
        <v>16.095952023988001</v>
      </c>
    </row>
    <row r="17998" spans="1:5">
      <c r="A17998" t="s">
        <v>20835</v>
      </c>
      <c r="B17998" t="s">
        <v>20843</v>
      </c>
      <c r="C17998">
        <f>0</f>
        <v>0</v>
      </c>
      <c r="D17998" t="s">
        <v>106</v>
      </c>
      <c r="E17998">
        <v>16.095952023988001</v>
      </c>
    </row>
    <row r="17999" spans="1:5">
      <c r="A17999" t="s">
        <v>20835</v>
      </c>
      <c r="B17999" t="s">
        <v>20844</v>
      </c>
      <c r="C17999">
        <f>0</f>
        <v>0</v>
      </c>
      <c r="D17999" t="s">
        <v>106</v>
      </c>
      <c r="E17999">
        <v>16.095952023988001</v>
      </c>
    </row>
    <row r="18000" spans="1:5">
      <c r="A18000" t="s">
        <v>20835</v>
      </c>
      <c r="B18000" t="s">
        <v>20845</v>
      </c>
      <c r="C18000">
        <v>0</v>
      </c>
      <c r="D18000" t="s">
        <v>106</v>
      </c>
      <c r="E18000">
        <v>16.095952023988001</v>
      </c>
    </row>
    <row r="18001" spans="1:5">
      <c r="A18001" t="s">
        <v>20835</v>
      </c>
      <c r="B18001" t="s">
        <v>20846</v>
      </c>
      <c r="C18001">
        <v>0</v>
      </c>
      <c r="D18001" t="s">
        <v>106</v>
      </c>
      <c r="E18001">
        <v>16.095952023988001</v>
      </c>
    </row>
    <row r="18002" spans="1:5">
      <c r="A18002" t="s">
        <v>20835</v>
      </c>
      <c r="B18002" t="s">
        <v>20847</v>
      </c>
      <c r="C18002">
        <f>0</f>
        <v>0</v>
      </c>
      <c r="D18002" t="s">
        <v>106</v>
      </c>
      <c r="E18002">
        <v>16.095952023988001</v>
      </c>
    </row>
    <row r="18003" spans="1:5">
      <c r="A18003" t="s">
        <v>20848</v>
      </c>
      <c r="B18003" t="s">
        <v>20849</v>
      </c>
      <c r="C18003">
        <f>0</f>
        <v>0</v>
      </c>
      <c r="D18003" t="s">
        <v>106</v>
      </c>
      <c r="E18003">
        <v>24</v>
      </c>
    </row>
    <row r="18004" spans="1:5">
      <c r="A18004" t="s">
        <v>20848</v>
      </c>
      <c r="B18004" t="s">
        <v>20850</v>
      </c>
      <c r="C18004">
        <v>7.5959919721799996E-2</v>
      </c>
      <c r="D18004" t="s">
        <v>106</v>
      </c>
      <c r="E18004">
        <v>24</v>
      </c>
    </row>
    <row r="18005" spans="1:5">
      <c r="A18005" t="s">
        <v>20848</v>
      </c>
      <c r="B18005" t="s">
        <v>20851</v>
      </c>
      <c r="C18005">
        <f>0</f>
        <v>0</v>
      </c>
      <c r="D18005" t="s">
        <v>106</v>
      </c>
      <c r="E18005">
        <v>24</v>
      </c>
    </row>
    <row r="18006" spans="1:5">
      <c r="A18006" t="s">
        <v>20848</v>
      </c>
      <c r="B18006" t="s">
        <v>20852</v>
      </c>
      <c r="C18006">
        <v>0</v>
      </c>
      <c r="D18006" t="s">
        <v>106</v>
      </c>
      <c r="E18006">
        <v>24</v>
      </c>
    </row>
    <row r="18007" spans="1:5">
      <c r="A18007" t="s">
        <v>20848</v>
      </c>
      <c r="B18007" t="s">
        <v>20853</v>
      </c>
      <c r="C18007">
        <v>0</v>
      </c>
      <c r="D18007" t="s">
        <v>106</v>
      </c>
      <c r="E18007">
        <v>24</v>
      </c>
    </row>
    <row r="18008" spans="1:5">
      <c r="A18008" t="s">
        <v>20848</v>
      </c>
      <c r="B18008" t="s">
        <v>20854</v>
      </c>
      <c r="C18008">
        <f>0</f>
        <v>0</v>
      </c>
      <c r="D18008" t="s">
        <v>106</v>
      </c>
      <c r="E18008">
        <v>24</v>
      </c>
    </row>
    <row r="18009" spans="1:5">
      <c r="A18009" t="s">
        <v>20855</v>
      </c>
      <c r="B18009" t="s">
        <v>20856</v>
      </c>
      <c r="C18009">
        <v>9.4965937069699996E-2</v>
      </c>
      <c r="D18009">
        <v>0.82991711117699996</v>
      </c>
      <c r="E18009">
        <v>7.7361319340329802</v>
      </c>
    </row>
    <row r="18010" spans="1:5">
      <c r="A18010" t="s">
        <v>20857</v>
      </c>
      <c r="B18010" t="s">
        <v>20858</v>
      </c>
      <c r="C18010">
        <v>0.14645318443399999</v>
      </c>
      <c r="D18010">
        <v>0.87803135832599999</v>
      </c>
      <c r="E18010">
        <v>4.7976011994003001</v>
      </c>
    </row>
    <row r="18011" spans="1:5">
      <c r="A18011" t="s">
        <v>20859</v>
      </c>
      <c r="B18011" t="s">
        <v>20860</v>
      </c>
      <c r="C18011">
        <v>0</v>
      </c>
      <c r="D18011">
        <v>0.92787345770600005</v>
      </c>
      <c r="E18011">
        <v>13.0854572713643</v>
      </c>
    </row>
    <row r="18012" spans="1:5">
      <c r="A18012" t="s">
        <v>20859</v>
      </c>
      <c r="B18012" t="s">
        <v>20861</v>
      </c>
      <c r="C18012">
        <v>0</v>
      </c>
      <c r="D18012">
        <v>0.92787345770600005</v>
      </c>
      <c r="E18012">
        <v>13.0854572713643</v>
      </c>
    </row>
    <row r="18013" spans="1:5">
      <c r="A18013" t="s">
        <v>20859</v>
      </c>
      <c r="B18013" t="s">
        <v>20862</v>
      </c>
      <c r="C18013">
        <v>0</v>
      </c>
      <c r="D18013">
        <v>0.92787345770600005</v>
      </c>
      <c r="E18013">
        <v>13.0854572713643</v>
      </c>
    </row>
    <row r="18014" spans="1:5">
      <c r="A18014" t="s">
        <v>20859</v>
      </c>
      <c r="B18014" t="s">
        <v>20863</v>
      </c>
      <c r="C18014">
        <v>0.11149316887000001</v>
      </c>
      <c r="D18014">
        <v>0.92787345770600005</v>
      </c>
      <c r="E18014">
        <v>13.0854572713643</v>
      </c>
    </row>
    <row r="18015" spans="1:5">
      <c r="A18015" t="s">
        <v>20859</v>
      </c>
      <c r="B18015" t="s">
        <v>20864</v>
      </c>
      <c r="C18015">
        <v>1.6479224679299999E-2</v>
      </c>
      <c r="D18015">
        <v>0.92787345770600005</v>
      </c>
      <c r="E18015">
        <v>13.0854572713643</v>
      </c>
    </row>
    <row r="18016" spans="1:5">
      <c r="A18016" t="s">
        <v>20859</v>
      </c>
      <c r="B18016" t="s">
        <v>20865</v>
      </c>
      <c r="C18016">
        <f>0</f>
        <v>0</v>
      </c>
      <c r="D18016">
        <v>0.92787345770600005</v>
      </c>
      <c r="E18016">
        <v>13.0854572713643</v>
      </c>
    </row>
    <row r="18017" spans="1:5">
      <c r="A18017" t="s">
        <v>20859</v>
      </c>
      <c r="B18017" t="s">
        <v>20866</v>
      </c>
      <c r="C18017">
        <v>0</v>
      </c>
      <c r="D18017">
        <v>0.92787345770600005</v>
      </c>
      <c r="E18017">
        <v>13.0854572713643</v>
      </c>
    </row>
    <row r="18018" spans="1:5">
      <c r="A18018" t="s">
        <v>20867</v>
      </c>
      <c r="B18018" t="s">
        <v>20868</v>
      </c>
      <c r="C18018">
        <v>0.24050599931200001</v>
      </c>
      <c r="D18018">
        <v>0.64975036825400001</v>
      </c>
      <c r="E18018">
        <v>10.710644677661101</v>
      </c>
    </row>
    <row r="18019" spans="1:5">
      <c r="A18019" t="s">
        <v>20867</v>
      </c>
      <c r="B18019" t="s">
        <v>20869</v>
      </c>
      <c r="C18019">
        <f>0.00283417123502</f>
        <v>2.8341712350199999E-3</v>
      </c>
      <c r="D18019">
        <v>0.64975036825400001</v>
      </c>
      <c r="E18019">
        <v>10.710644677661101</v>
      </c>
    </row>
    <row r="18020" spans="1:5">
      <c r="A18020" t="s">
        <v>20867</v>
      </c>
      <c r="B18020" t="s">
        <v>20870</v>
      </c>
      <c r="C18020">
        <f>0</f>
        <v>0</v>
      </c>
      <c r="D18020">
        <v>0.64975036825400001</v>
      </c>
      <c r="E18020">
        <v>10.710644677661101</v>
      </c>
    </row>
    <row r="18021" spans="1:5">
      <c r="A18021" t="s">
        <v>20867</v>
      </c>
      <c r="B18021" t="s">
        <v>20871</v>
      </c>
      <c r="C18021">
        <f>0</f>
        <v>0</v>
      </c>
      <c r="D18021">
        <v>0.64975036825400001</v>
      </c>
      <c r="E18021">
        <v>10.710644677661101</v>
      </c>
    </row>
    <row r="18022" spans="1:5">
      <c r="A18022" t="s">
        <v>20872</v>
      </c>
      <c r="B18022" t="s">
        <v>20873</v>
      </c>
      <c r="C18022">
        <v>0.79130443109199999</v>
      </c>
      <c r="D18022">
        <v>0.98701685536100003</v>
      </c>
      <c r="E18022">
        <v>1.22338830584707</v>
      </c>
    </row>
    <row r="18023" spans="1:5">
      <c r="A18023" t="s">
        <v>20872</v>
      </c>
      <c r="B18023" t="s">
        <v>20874</v>
      </c>
      <c r="C18023">
        <f>0</f>
        <v>0</v>
      </c>
      <c r="D18023">
        <v>0.98701685536100003</v>
      </c>
      <c r="E18023">
        <v>1.22338830584707</v>
      </c>
    </row>
    <row r="18024" spans="1:5">
      <c r="A18024" t="s">
        <v>20872</v>
      </c>
      <c r="B18024" t="s">
        <v>20875</v>
      </c>
      <c r="C18024">
        <v>0.48091640207899999</v>
      </c>
      <c r="D18024">
        <v>0.98701685536100003</v>
      </c>
      <c r="E18024">
        <v>1.22338830584707</v>
      </c>
    </row>
    <row r="18025" spans="1:5">
      <c r="A18025" t="s">
        <v>20876</v>
      </c>
      <c r="B18025" t="s">
        <v>20877</v>
      </c>
      <c r="C18025">
        <f>0</f>
        <v>0</v>
      </c>
      <c r="D18025">
        <v>0.99670936018900003</v>
      </c>
      <c r="E18025">
        <v>5.2413793103448203</v>
      </c>
    </row>
    <row r="18026" spans="1:5">
      <c r="A18026" t="s">
        <v>20876</v>
      </c>
      <c r="B18026" t="s">
        <v>20878</v>
      </c>
      <c r="C18026">
        <f>0</f>
        <v>0</v>
      </c>
      <c r="D18026">
        <v>0.99670936018900003</v>
      </c>
      <c r="E18026">
        <v>5.2413793103448203</v>
      </c>
    </row>
    <row r="18027" spans="1:5">
      <c r="A18027" t="s">
        <v>20876</v>
      </c>
      <c r="B18027" t="s">
        <v>20879</v>
      </c>
      <c r="C18027">
        <f>0</f>
        <v>0</v>
      </c>
      <c r="D18027">
        <v>0.99670936018900003</v>
      </c>
      <c r="E18027">
        <v>5.2413793103448203</v>
      </c>
    </row>
    <row r="18028" spans="1:5">
      <c r="A18028" t="s">
        <v>20876</v>
      </c>
      <c r="B18028" t="s">
        <v>20880</v>
      </c>
      <c r="C18028">
        <f>0.102460003142</f>
        <v>0.102460003142</v>
      </c>
      <c r="D18028">
        <v>0.99670936018900003</v>
      </c>
      <c r="E18028">
        <v>5.2413793103448203</v>
      </c>
    </row>
    <row r="18029" spans="1:5">
      <c r="A18029" t="s">
        <v>20876</v>
      </c>
      <c r="B18029" t="s">
        <v>20881</v>
      </c>
      <c r="C18029">
        <f>0</f>
        <v>0</v>
      </c>
      <c r="D18029">
        <v>0.99670936018900003</v>
      </c>
      <c r="E18029">
        <v>5.2413793103448203</v>
      </c>
    </row>
    <row r="18030" spans="1:5">
      <c r="A18030" t="s">
        <v>20876</v>
      </c>
      <c r="B18030" t="s">
        <v>20882</v>
      </c>
      <c r="C18030">
        <v>0</v>
      </c>
      <c r="D18030">
        <v>0.99670936018900003</v>
      </c>
      <c r="E18030">
        <v>5.2413793103448203</v>
      </c>
    </row>
    <row r="18031" spans="1:5">
      <c r="A18031" t="s">
        <v>20876</v>
      </c>
      <c r="B18031" t="s">
        <v>20883</v>
      </c>
      <c r="C18031">
        <f>0</f>
        <v>0</v>
      </c>
      <c r="D18031">
        <v>0.99670936018900003</v>
      </c>
      <c r="E18031">
        <v>5.2413793103448203</v>
      </c>
    </row>
    <row r="18032" spans="1:5">
      <c r="A18032" t="s">
        <v>20876</v>
      </c>
      <c r="B18032" t="s">
        <v>20884</v>
      </c>
      <c r="C18032">
        <f>0</f>
        <v>0</v>
      </c>
      <c r="D18032">
        <v>0.99670936018900003</v>
      </c>
      <c r="E18032">
        <v>5.2413793103448203</v>
      </c>
    </row>
    <row r="18033" spans="1:5">
      <c r="A18033" t="s">
        <v>20885</v>
      </c>
      <c r="B18033" t="s">
        <v>20886</v>
      </c>
      <c r="C18033">
        <f>0</f>
        <v>0</v>
      </c>
      <c r="D18033" t="s">
        <v>106</v>
      </c>
      <c r="E18033">
        <v>4.3778110944527704</v>
      </c>
    </row>
    <row r="18034" spans="1:5">
      <c r="A18034" t="s">
        <v>20885</v>
      </c>
      <c r="B18034" t="s">
        <v>20887</v>
      </c>
      <c r="C18034">
        <f>0</f>
        <v>0</v>
      </c>
      <c r="D18034" t="s">
        <v>106</v>
      </c>
      <c r="E18034">
        <v>4.3778110944527704</v>
      </c>
    </row>
    <row r="18035" spans="1:5">
      <c r="A18035" t="s">
        <v>20888</v>
      </c>
      <c r="B18035" t="s">
        <v>20889</v>
      </c>
      <c r="C18035">
        <v>0</v>
      </c>
      <c r="D18035">
        <v>0.96930518011800004</v>
      </c>
      <c r="E18035">
        <v>17.511244377811</v>
      </c>
    </row>
    <row r="18036" spans="1:5">
      <c r="A18036" t="s">
        <v>20888</v>
      </c>
      <c r="B18036" t="s">
        <v>20890</v>
      </c>
      <c r="C18036">
        <f>0.0431150840282</f>
        <v>4.3115084028200003E-2</v>
      </c>
      <c r="D18036">
        <v>0.96930518011800004</v>
      </c>
      <c r="E18036">
        <v>17.511244377811</v>
      </c>
    </row>
    <row r="18037" spans="1:5">
      <c r="A18037" t="s">
        <v>20888</v>
      </c>
      <c r="B18037" t="s">
        <v>20891</v>
      </c>
      <c r="C18037">
        <v>0</v>
      </c>
      <c r="D18037">
        <v>0.96930518011800004</v>
      </c>
      <c r="E18037">
        <v>17.511244377811</v>
      </c>
    </row>
    <row r="18038" spans="1:5">
      <c r="A18038" t="s">
        <v>20888</v>
      </c>
      <c r="B18038" t="s">
        <v>20892</v>
      </c>
      <c r="C18038">
        <v>0</v>
      </c>
      <c r="D18038">
        <v>0.96930518011800004</v>
      </c>
      <c r="E18038">
        <v>17.511244377811</v>
      </c>
    </row>
    <row r="18039" spans="1:5">
      <c r="A18039" t="s">
        <v>20893</v>
      </c>
      <c r="B18039" t="s">
        <v>20894</v>
      </c>
      <c r="C18039">
        <v>0.22440541018900001</v>
      </c>
      <c r="D18039">
        <v>0.98118578787800004</v>
      </c>
      <c r="E18039">
        <v>9.6191904047975996</v>
      </c>
    </row>
    <row r="18040" spans="1:5">
      <c r="A18040" t="s">
        <v>20895</v>
      </c>
      <c r="B18040" t="s">
        <v>20896</v>
      </c>
      <c r="C18040">
        <f>0</f>
        <v>0</v>
      </c>
      <c r="D18040" t="s">
        <v>106</v>
      </c>
      <c r="E18040">
        <v>5.9370314842578704</v>
      </c>
    </row>
    <row r="18041" spans="1:5">
      <c r="A18041" t="s">
        <v>20895</v>
      </c>
      <c r="B18041" t="s">
        <v>20897</v>
      </c>
      <c r="C18041">
        <v>0</v>
      </c>
      <c r="D18041" t="s">
        <v>106</v>
      </c>
      <c r="E18041">
        <v>5.9370314842578704</v>
      </c>
    </row>
    <row r="18042" spans="1:5">
      <c r="A18042" t="s">
        <v>20898</v>
      </c>
      <c r="B18042" t="s">
        <v>20899</v>
      </c>
      <c r="C18042">
        <v>0</v>
      </c>
      <c r="D18042" t="s">
        <v>106</v>
      </c>
      <c r="E18042">
        <v>10.230884557721099</v>
      </c>
    </row>
    <row r="18043" spans="1:5">
      <c r="A18043" t="s">
        <v>20898</v>
      </c>
      <c r="B18043" t="s">
        <v>20900</v>
      </c>
      <c r="C18043">
        <v>0</v>
      </c>
      <c r="D18043" t="s">
        <v>106</v>
      </c>
      <c r="E18043">
        <v>10.230884557721099</v>
      </c>
    </row>
    <row r="18044" spans="1:5">
      <c r="A18044" t="s">
        <v>20898</v>
      </c>
      <c r="B18044" t="s">
        <v>20901</v>
      </c>
      <c r="C18044">
        <v>0</v>
      </c>
      <c r="D18044" t="s">
        <v>106</v>
      </c>
      <c r="E18044">
        <v>10.230884557721099</v>
      </c>
    </row>
    <row r="18045" spans="1:5">
      <c r="A18045" t="s">
        <v>20898</v>
      </c>
      <c r="B18045" t="s">
        <v>20902</v>
      </c>
      <c r="C18045">
        <f>0</f>
        <v>0</v>
      </c>
      <c r="D18045" t="s">
        <v>106</v>
      </c>
      <c r="E18045">
        <v>10.230884557721099</v>
      </c>
    </row>
    <row r="18046" spans="1:5">
      <c r="A18046" t="s">
        <v>20903</v>
      </c>
      <c r="B18046" t="s">
        <v>20904</v>
      </c>
      <c r="C18046">
        <v>0</v>
      </c>
      <c r="D18046" t="s">
        <v>106</v>
      </c>
      <c r="E18046">
        <v>4.3778110944527704</v>
      </c>
    </row>
    <row r="18047" spans="1:5">
      <c r="A18047" t="s">
        <v>20903</v>
      </c>
      <c r="B18047" t="s">
        <v>20905</v>
      </c>
      <c r="C18047">
        <v>0</v>
      </c>
      <c r="D18047" t="s">
        <v>106</v>
      </c>
      <c r="E18047">
        <v>4.3778110944527704</v>
      </c>
    </row>
    <row r="18048" spans="1:5">
      <c r="A18048" t="s">
        <v>20903</v>
      </c>
      <c r="B18048" t="s">
        <v>20906</v>
      </c>
      <c r="C18048">
        <v>0</v>
      </c>
      <c r="D18048" t="s">
        <v>106</v>
      </c>
      <c r="E18048">
        <v>4.3778110944527704</v>
      </c>
    </row>
    <row r="18049" spans="1:5">
      <c r="A18049" t="s">
        <v>20903</v>
      </c>
      <c r="B18049" t="s">
        <v>20907</v>
      </c>
      <c r="C18049">
        <f>0</f>
        <v>0</v>
      </c>
      <c r="D18049" t="s">
        <v>106</v>
      </c>
      <c r="E18049">
        <v>4.3778110944527704</v>
      </c>
    </row>
    <row r="18050" spans="1:5">
      <c r="A18050" t="s">
        <v>20903</v>
      </c>
      <c r="B18050" t="s">
        <v>20908</v>
      </c>
      <c r="C18050">
        <v>0</v>
      </c>
      <c r="D18050" t="s">
        <v>106</v>
      </c>
      <c r="E18050">
        <v>4.3778110944527704</v>
      </c>
    </row>
    <row r="18051" spans="1:5">
      <c r="A18051" t="s">
        <v>20903</v>
      </c>
      <c r="B18051" t="s">
        <v>20909</v>
      </c>
      <c r="C18051">
        <f>0</f>
        <v>0</v>
      </c>
      <c r="D18051" t="s">
        <v>106</v>
      </c>
      <c r="E18051">
        <v>4.3778110944527704</v>
      </c>
    </row>
    <row r="18052" spans="1:5">
      <c r="A18052" t="s">
        <v>20903</v>
      </c>
      <c r="B18052" t="s">
        <v>20910</v>
      </c>
      <c r="C18052">
        <f>0</f>
        <v>0</v>
      </c>
      <c r="D18052" t="s">
        <v>106</v>
      </c>
      <c r="E18052">
        <v>4.3778110944527704</v>
      </c>
    </row>
    <row r="18053" spans="1:5">
      <c r="A18053" t="s">
        <v>20903</v>
      </c>
      <c r="B18053" t="s">
        <v>20911</v>
      </c>
      <c r="C18053">
        <v>0</v>
      </c>
      <c r="D18053" t="s">
        <v>106</v>
      </c>
      <c r="E18053">
        <v>4.3778110944527704</v>
      </c>
    </row>
    <row r="18054" spans="1:5">
      <c r="A18054" t="s">
        <v>20912</v>
      </c>
      <c r="B18054" t="s">
        <v>20913</v>
      </c>
      <c r="C18054">
        <v>0</v>
      </c>
      <c r="D18054">
        <v>0.99319408814400001</v>
      </c>
      <c r="E18054">
        <v>13.445277361319301</v>
      </c>
    </row>
    <row r="18055" spans="1:5">
      <c r="A18055" t="s">
        <v>20912</v>
      </c>
      <c r="B18055" t="s">
        <v>20914</v>
      </c>
      <c r="C18055">
        <v>0</v>
      </c>
      <c r="D18055">
        <v>0.99319408814400001</v>
      </c>
      <c r="E18055">
        <v>13.445277361319301</v>
      </c>
    </row>
    <row r="18056" spans="1:5">
      <c r="A18056" t="s">
        <v>20912</v>
      </c>
      <c r="B18056" t="s">
        <v>20915</v>
      </c>
      <c r="C18056">
        <v>0.237471617064</v>
      </c>
      <c r="D18056">
        <v>0.99319408814400001</v>
      </c>
      <c r="E18056">
        <v>13.445277361319301</v>
      </c>
    </row>
    <row r="18057" spans="1:5">
      <c r="A18057" t="s">
        <v>20912</v>
      </c>
      <c r="B18057" t="s">
        <v>20916</v>
      </c>
      <c r="C18057">
        <v>2.7846525127000001E-2</v>
      </c>
      <c r="D18057">
        <v>0.99319408814400001</v>
      </c>
      <c r="E18057">
        <v>13.445277361319301</v>
      </c>
    </row>
    <row r="18058" spans="1:5">
      <c r="A18058" t="s">
        <v>20912</v>
      </c>
      <c r="B18058" t="s">
        <v>20917</v>
      </c>
      <c r="C18058">
        <f>0</f>
        <v>0</v>
      </c>
      <c r="D18058">
        <v>0.99319408814400001</v>
      </c>
      <c r="E18058">
        <v>13.445277361319301</v>
      </c>
    </row>
    <row r="18059" spans="1:5">
      <c r="A18059" t="s">
        <v>20912</v>
      </c>
      <c r="B18059" t="s">
        <v>20918</v>
      </c>
      <c r="C18059">
        <v>0</v>
      </c>
      <c r="D18059">
        <v>0.99319408814400001</v>
      </c>
      <c r="E18059">
        <v>13.445277361319301</v>
      </c>
    </row>
    <row r="18060" spans="1:5">
      <c r="A18060" t="s">
        <v>20912</v>
      </c>
      <c r="B18060" t="s">
        <v>20919</v>
      </c>
      <c r="C18060">
        <f>0</f>
        <v>0</v>
      </c>
      <c r="D18060">
        <v>0.99319408814400001</v>
      </c>
      <c r="E18060">
        <v>13.445277361319301</v>
      </c>
    </row>
    <row r="18061" spans="1:5">
      <c r="A18061" t="s">
        <v>20912</v>
      </c>
      <c r="B18061" t="s">
        <v>20920</v>
      </c>
      <c r="C18061">
        <f>0</f>
        <v>0</v>
      </c>
      <c r="D18061">
        <v>0.99319408814400001</v>
      </c>
      <c r="E18061">
        <v>13.445277361319301</v>
      </c>
    </row>
    <row r="18062" spans="1:5">
      <c r="A18062" t="s">
        <v>20912</v>
      </c>
      <c r="B18062" t="s">
        <v>20921</v>
      </c>
      <c r="C18062">
        <v>0</v>
      </c>
      <c r="D18062">
        <v>0.99319408814400001</v>
      </c>
      <c r="E18062">
        <v>13.445277361319301</v>
      </c>
    </row>
    <row r="18063" spans="1:5">
      <c r="A18063" t="s">
        <v>20912</v>
      </c>
      <c r="B18063" t="s">
        <v>20922</v>
      </c>
      <c r="C18063">
        <v>0</v>
      </c>
      <c r="D18063">
        <v>0.99319408814400001</v>
      </c>
      <c r="E18063">
        <v>13.445277361319301</v>
      </c>
    </row>
    <row r="18064" spans="1:5">
      <c r="A18064" t="s">
        <v>20912</v>
      </c>
      <c r="B18064" t="s">
        <v>20923</v>
      </c>
      <c r="C18064">
        <v>0</v>
      </c>
      <c r="D18064">
        <v>0.99319408814400001</v>
      </c>
      <c r="E18064">
        <v>13.445277361319301</v>
      </c>
    </row>
    <row r="18065" spans="1:5">
      <c r="A18065" t="s">
        <v>20912</v>
      </c>
      <c r="B18065" t="s">
        <v>20924</v>
      </c>
      <c r="C18065">
        <v>0</v>
      </c>
      <c r="D18065">
        <v>0.99319408814400001</v>
      </c>
      <c r="E18065">
        <v>13.445277361319301</v>
      </c>
    </row>
    <row r="18066" spans="1:5">
      <c r="A18066" t="s">
        <v>20925</v>
      </c>
      <c r="B18066" t="s">
        <v>20926</v>
      </c>
      <c r="C18066">
        <v>0.46385055721399998</v>
      </c>
      <c r="D18066">
        <v>0.938339402175</v>
      </c>
      <c r="E18066">
        <v>2.6386806596701602</v>
      </c>
    </row>
    <row r="18067" spans="1:5">
      <c r="A18067" t="s">
        <v>20927</v>
      </c>
      <c r="B18067" t="s">
        <v>20928</v>
      </c>
      <c r="C18067">
        <v>0</v>
      </c>
      <c r="D18067">
        <v>0.96532862097399996</v>
      </c>
      <c r="E18067">
        <v>4.1739130434782599</v>
      </c>
    </row>
    <row r="18068" spans="1:5">
      <c r="A18068" t="s">
        <v>20927</v>
      </c>
      <c r="B18068" t="s">
        <v>20929</v>
      </c>
      <c r="C18068">
        <v>0</v>
      </c>
      <c r="D18068">
        <v>0.96532862097399996</v>
      </c>
      <c r="E18068">
        <v>4.1739130434782599</v>
      </c>
    </row>
    <row r="18069" spans="1:5">
      <c r="A18069" t="s">
        <v>20927</v>
      </c>
      <c r="B18069" t="s">
        <v>20930</v>
      </c>
      <c r="C18069">
        <f>0.15849926292</f>
        <v>0.15849926291999999</v>
      </c>
      <c r="D18069">
        <v>0.96532862097399996</v>
      </c>
      <c r="E18069">
        <v>4.1739130434782599</v>
      </c>
    </row>
    <row r="18070" spans="1:5">
      <c r="A18070" t="s">
        <v>20927</v>
      </c>
      <c r="B18070" t="s">
        <v>20931</v>
      </c>
      <c r="C18070">
        <v>0.124181509775</v>
      </c>
      <c r="D18070">
        <v>0.96532862097399996</v>
      </c>
      <c r="E18070">
        <v>4.1739130434782599</v>
      </c>
    </row>
    <row r="18071" spans="1:5">
      <c r="A18071" t="s">
        <v>20927</v>
      </c>
      <c r="B18071" t="s">
        <v>20932</v>
      </c>
      <c r="C18071">
        <v>0</v>
      </c>
      <c r="D18071">
        <v>0.96532862097399996</v>
      </c>
      <c r="E18071">
        <v>4.1739130434782599</v>
      </c>
    </row>
    <row r="18072" spans="1:5">
      <c r="A18072" t="s">
        <v>20927</v>
      </c>
      <c r="B18072" t="s">
        <v>20933</v>
      </c>
      <c r="C18072">
        <v>0</v>
      </c>
      <c r="D18072">
        <v>0.96532862097399996</v>
      </c>
      <c r="E18072">
        <v>4.1739130434782599</v>
      </c>
    </row>
    <row r="18073" spans="1:5">
      <c r="A18073" t="s">
        <v>20927</v>
      </c>
      <c r="B18073" t="s">
        <v>20934</v>
      </c>
      <c r="C18073">
        <v>0</v>
      </c>
      <c r="D18073">
        <v>0.96532862097399996</v>
      </c>
      <c r="E18073">
        <v>4.1739130434782599</v>
      </c>
    </row>
    <row r="18074" spans="1:5">
      <c r="A18074" t="s">
        <v>20935</v>
      </c>
      <c r="B18074" t="s">
        <v>20936</v>
      </c>
      <c r="C18074">
        <f>0</f>
        <v>0</v>
      </c>
      <c r="D18074">
        <v>0.77731135248000005</v>
      </c>
      <c r="E18074">
        <v>0.215892053973013</v>
      </c>
    </row>
    <row r="18075" spans="1:5">
      <c r="A18075" t="s">
        <v>20935</v>
      </c>
      <c r="B18075" t="s">
        <v>20937</v>
      </c>
      <c r="C18075">
        <f>0</f>
        <v>0</v>
      </c>
      <c r="D18075">
        <v>0.77731135248000005</v>
      </c>
      <c r="E18075">
        <v>0.215892053973013</v>
      </c>
    </row>
    <row r="18076" spans="1:5">
      <c r="A18076" t="s">
        <v>20935</v>
      </c>
      <c r="B18076" t="s">
        <v>20938</v>
      </c>
      <c r="C18076">
        <f>0</f>
        <v>0</v>
      </c>
      <c r="D18076">
        <v>0.77731135248000005</v>
      </c>
      <c r="E18076">
        <v>0.215892053973013</v>
      </c>
    </row>
    <row r="18077" spans="1:5">
      <c r="A18077" t="s">
        <v>20935</v>
      </c>
      <c r="B18077" t="s">
        <v>20939</v>
      </c>
      <c r="C18077">
        <v>0</v>
      </c>
      <c r="D18077">
        <v>0.77731135248000005</v>
      </c>
      <c r="E18077">
        <v>0.215892053973013</v>
      </c>
    </row>
    <row r="18078" spans="1:5">
      <c r="A18078" t="s">
        <v>20935</v>
      </c>
      <c r="B18078" t="s">
        <v>20940</v>
      </c>
      <c r="C18078">
        <v>0.149354192277</v>
      </c>
      <c r="D18078">
        <v>0.77731135248000005</v>
      </c>
      <c r="E18078">
        <v>0.215892053973013</v>
      </c>
    </row>
    <row r="18079" spans="1:5">
      <c r="A18079" t="s">
        <v>20941</v>
      </c>
      <c r="B18079" t="s">
        <v>20942</v>
      </c>
      <c r="C18079">
        <v>3.92278074891E-2</v>
      </c>
      <c r="D18079">
        <v>0.91269293861099998</v>
      </c>
      <c r="E18079">
        <v>11.7061469265367</v>
      </c>
    </row>
    <row r="18080" spans="1:5">
      <c r="A18080" t="s">
        <v>20941</v>
      </c>
      <c r="B18080" t="s">
        <v>20943</v>
      </c>
      <c r="C18080">
        <v>0</v>
      </c>
      <c r="D18080">
        <v>0.91269293861099998</v>
      </c>
      <c r="E18080">
        <v>11.7061469265367</v>
      </c>
    </row>
    <row r="18081" spans="1:5">
      <c r="A18081" t="s">
        <v>20941</v>
      </c>
      <c r="B18081" t="s">
        <v>20944</v>
      </c>
      <c r="C18081">
        <v>0</v>
      </c>
      <c r="D18081">
        <v>0.91269293861099998</v>
      </c>
      <c r="E18081">
        <v>11.7061469265367</v>
      </c>
    </row>
    <row r="18082" spans="1:5">
      <c r="A18082" t="s">
        <v>20941</v>
      </c>
      <c r="B18082" t="s">
        <v>20945</v>
      </c>
      <c r="C18082">
        <v>0</v>
      </c>
      <c r="D18082">
        <v>0.91269293861099998</v>
      </c>
      <c r="E18082">
        <v>11.7061469265367</v>
      </c>
    </row>
    <row r="18083" spans="1:5">
      <c r="A18083" t="s">
        <v>20941</v>
      </c>
      <c r="B18083" t="s">
        <v>20946</v>
      </c>
      <c r="C18083">
        <v>0</v>
      </c>
      <c r="D18083">
        <v>0.91269293861099998</v>
      </c>
      <c r="E18083">
        <v>11.7061469265367</v>
      </c>
    </row>
    <row r="18084" spans="1:5">
      <c r="A18084" t="s">
        <v>20941</v>
      </c>
      <c r="B18084" t="s">
        <v>20947</v>
      </c>
      <c r="C18084">
        <v>0</v>
      </c>
      <c r="D18084">
        <v>0.91269293861099998</v>
      </c>
      <c r="E18084">
        <v>11.7061469265367</v>
      </c>
    </row>
    <row r="18085" spans="1:5">
      <c r="A18085" t="s">
        <v>20941</v>
      </c>
      <c r="B18085" t="s">
        <v>20948</v>
      </c>
      <c r="C18085">
        <v>0.155581510211</v>
      </c>
      <c r="D18085">
        <v>0.91269293861099998</v>
      </c>
      <c r="E18085">
        <v>11.7061469265367</v>
      </c>
    </row>
    <row r="18086" spans="1:5">
      <c r="A18086" t="s">
        <v>20949</v>
      </c>
      <c r="B18086" t="s">
        <v>20950</v>
      </c>
      <c r="C18086">
        <f>0</f>
        <v>0</v>
      </c>
      <c r="D18086">
        <v>0.99211061946699997</v>
      </c>
      <c r="E18086">
        <v>24</v>
      </c>
    </row>
    <row r="18087" spans="1:5">
      <c r="A18087" t="s">
        <v>20949</v>
      </c>
      <c r="B18087" t="s">
        <v>20951</v>
      </c>
      <c r="C18087">
        <v>5.24548206613E-2</v>
      </c>
      <c r="D18087">
        <v>0.99211061946699997</v>
      </c>
      <c r="E18087">
        <v>24</v>
      </c>
    </row>
    <row r="18088" spans="1:5">
      <c r="A18088" t="s">
        <v>20949</v>
      </c>
      <c r="B18088" t="s">
        <v>20952</v>
      </c>
      <c r="C18088">
        <v>0</v>
      </c>
      <c r="D18088">
        <v>0.99211061946699997</v>
      </c>
      <c r="E18088">
        <v>24</v>
      </c>
    </row>
    <row r="18089" spans="1:5">
      <c r="A18089" t="s">
        <v>20949</v>
      </c>
      <c r="B18089" t="s">
        <v>20953</v>
      </c>
      <c r="C18089">
        <v>0</v>
      </c>
      <c r="D18089">
        <v>0.99211061946699997</v>
      </c>
      <c r="E18089">
        <v>24</v>
      </c>
    </row>
    <row r="18090" spans="1:5">
      <c r="A18090" t="s">
        <v>20949</v>
      </c>
      <c r="B18090" t="s">
        <v>20954</v>
      </c>
      <c r="C18090">
        <f>0</f>
        <v>0</v>
      </c>
      <c r="D18090">
        <v>0.99211061946699997</v>
      </c>
      <c r="E18090">
        <v>24</v>
      </c>
    </row>
    <row r="18091" spans="1:5">
      <c r="A18091" t="s">
        <v>20955</v>
      </c>
      <c r="B18091" t="s">
        <v>20956</v>
      </c>
      <c r="C18091">
        <f>0.111596140291</f>
        <v>0.111596140291</v>
      </c>
      <c r="D18091">
        <v>0.29436283570400001</v>
      </c>
      <c r="E18091">
        <v>0.95952023988005997</v>
      </c>
    </row>
    <row r="18092" spans="1:5">
      <c r="A18092" t="s">
        <v>20957</v>
      </c>
      <c r="B18092" t="s">
        <v>20958</v>
      </c>
      <c r="C18092">
        <v>0</v>
      </c>
      <c r="D18092" t="s">
        <v>106</v>
      </c>
      <c r="E18092">
        <v>16.695652173913</v>
      </c>
    </row>
    <row r="18093" spans="1:5">
      <c r="A18093" t="s">
        <v>20957</v>
      </c>
      <c r="B18093" t="s">
        <v>20959</v>
      </c>
      <c r="C18093">
        <v>0</v>
      </c>
      <c r="D18093" t="s">
        <v>106</v>
      </c>
      <c r="E18093">
        <v>16.695652173913</v>
      </c>
    </row>
    <row r="18094" spans="1:5">
      <c r="A18094" t="s">
        <v>20957</v>
      </c>
      <c r="B18094" t="s">
        <v>20960</v>
      </c>
      <c r="C18094">
        <v>0</v>
      </c>
      <c r="D18094" t="s">
        <v>106</v>
      </c>
      <c r="E18094">
        <v>16.695652173913</v>
      </c>
    </row>
    <row r="18095" spans="1:5">
      <c r="A18095" t="s">
        <v>20957</v>
      </c>
      <c r="B18095" t="s">
        <v>20961</v>
      </c>
      <c r="C18095">
        <v>0</v>
      </c>
      <c r="D18095" t="s">
        <v>106</v>
      </c>
      <c r="E18095">
        <v>16.695652173913</v>
      </c>
    </row>
    <row r="18096" spans="1:5">
      <c r="A18096" t="s">
        <v>20957</v>
      </c>
      <c r="B18096" t="s">
        <v>20962</v>
      </c>
      <c r="C18096">
        <f>0</f>
        <v>0</v>
      </c>
      <c r="D18096" t="s">
        <v>106</v>
      </c>
      <c r="E18096">
        <v>16.695652173913</v>
      </c>
    </row>
    <row r="18097" spans="1:5">
      <c r="A18097" t="s">
        <v>20957</v>
      </c>
      <c r="B18097" t="s">
        <v>20963</v>
      </c>
      <c r="C18097">
        <v>0.20833951425899999</v>
      </c>
      <c r="D18097" t="s">
        <v>106</v>
      </c>
      <c r="E18097">
        <v>16.695652173913</v>
      </c>
    </row>
    <row r="18098" spans="1:5">
      <c r="A18098" t="s">
        <v>20957</v>
      </c>
      <c r="B18098" t="s">
        <v>20964</v>
      </c>
      <c r="C18098">
        <v>0</v>
      </c>
      <c r="D18098" t="s">
        <v>106</v>
      </c>
      <c r="E18098">
        <v>16.695652173913</v>
      </c>
    </row>
    <row r="18099" spans="1:5">
      <c r="A18099" t="s">
        <v>20957</v>
      </c>
      <c r="B18099" t="s">
        <v>20965</v>
      </c>
      <c r="C18099">
        <f>0</f>
        <v>0</v>
      </c>
      <c r="D18099" t="s">
        <v>106</v>
      </c>
      <c r="E18099">
        <v>16.695652173913</v>
      </c>
    </row>
    <row r="18100" spans="1:5">
      <c r="A18100" t="s">
        <v>20957</v>
      </c>
      <c r="B18100" t="s">
        <v>20966</v>
      </c>
      <c r="C18100">
        <v>0</v>
      </c>
      <c r="D18100" t="s">
        <v>106</v>
      </c>
      <c r="E18100">
        <v>16.695652173913</v>
      </c>
    </row>
    <row r="18101" spans="1:5">
      <c r="A18101" t="s">
        <v>20957</v>
      </c>
      <c r="B18101" t="s">
        <v>20967</v>
      </c>
      <c r="C18101">
        <v>0</v>
      </c>
      <c r="D18101" t="s">
        <v>106</v>
      </c>
      <c r="E18101">
        <v>16.695652173913</v>
      </c>
    </row>
    <row r="18102" spans="1:5">
      <c r="A18102" t="s">
        <v>20957</v>
      </c>
      <c r="B18102" t="s">
        <v>20968</v>
      </c>
      <c r="C18102">
        <v>0</v>
      </c>
      <c r="D18102" t="s">
        <v>106</v>
      </c>
      <c r="E18102">
        <v>16.695652173913</v>
      </c>
    </row>
    <row r="18103" spans="1:5">
      <c r="A18103" t="s">
        <v>20957</v>
      </c>
      <c r="B18103" t="s">
        <v>20969</v>
      </c>
      <c r="C18103">
        <v>0</v>
      </c>
      <c r="D18103" t="s">
        <v>106</v>
      </c>
      <c r="E18103">
        <v>16.695652173913</v>
      </c>
    </row>
    <row r="18104" spans="1:5">
      <c r="A18104" t="s">
        <v>20970</v>
      </c>
      <c r="B18104" t="s">
        <v>20971</v>
      </c>
      <c r="C18104">
        <v>0</v>
      </c>
      <c r="D18104">
        <v>0.82672942311200004</v>
      </c>
      <c r="E18104">
        <v>24</v>
      </c>
    </row>
    <row r="18105" spans="1:5">
      <c r="A18105" t="s">
        <v>20970</v>
      </c>
      <c r="B18105" t="s">
        <v>20972</v>
      </c>
      <c r="C18105">
        <f>0</f>
        <v>0</v>
      </c>
      <c r="D18105">
        <v>0.82672942311200004</v>
      </c>
      <c r="E18105">
        <v>24</v>
      </c>
    </row>
    <row r="18106" spans="1:5">
      <c r="A18106" t="s">
        <v>20970</v>
      </c>
      <c r="B18106" t="s">
        <v>20973</v>
      </c>
      <c r="C18106">
        <v>3.6401175940600002E-2</v>
      </c>
      <c r="D18106">
        <v>0.82672942311200004</v>
      </c>
      <c r="E18106">
        <v>24</v>
      </c>
    </row>
    <row r="18107" spans="1:5">
      <c r="A18107" t="s">
        <v>20970</v>
      </c>
      <c r="B18107" t="s">
        <v>20974</v>
      </c>
      <c r="C18107">
        <f>0.214212680055</f>
        <v>0.21421268005499999</v>
      </c>
      <c r="D18107">
        <v>0.82672942311200004</v>
      </c>
      <c r="E18107">
        <v>24</v>
      </c>
    </row>
    <row r="18108" spans="1:5">
      <c r="A18108" t="s">
        <v>20970</v>
      </c>
      <c r="B18108" t="s">
        <v>20975</v>
      </c>
      <c r="C18108">
        <v>0</v>
      </c>
      <c r="D18108">
        <v>0.82672942311200004</v>
      </c>
      <c r="E18108">
        <v>24</v>
      </c>
    </row>
    <row r="18109" spans="1:5">
      <c r="A18109" t="s">
        <v>20976</v>
      </c>
      <c r="B18109" t="s">
        <v>20977</v>
      </c>
      <c r="C18109">
        <v>0</v>
      </c>
      <c r="D18109">
        <v>0.66839080134999995</v>
      </c>
      <c r="E18109">
        <v>4.0659670164917499</v>
      </c>
    </row>
    <row r="18110" spans="1:5">
      <c r="A18110" t="s">
        <v>20976</v>
      </c>
      <c r="B18110" t="s">
        <v>20978</v>
      </c>
      <c r="C18110">
        <v>0.10949344356600001</v>
      </c>
      <c r="D18110">
        <v>0.66839080134999995</v>
      </c>
      <c r="E18110">
        <v>4.0659670164917499</v>
      </c>
    </row>
    <row r="18111" spans="1:5">
      <c r="A18111" t="s">
        <v>20976</v>
      </c>
      <c r="B18111" t="s">
        <v>20979</v>
      </c>
      <c r="C18111">
        <f>0.106659601395</f>
        <v>0.106659601395</v>
      </c>
      <c r="D18111">
        <v>0.66839080134999995</v>
      </c>
      <c r="E18111">
        <v>4.0659670164917499</v>
      </c>
    </row>
    <row r="18112" spans="1:5">
      <c r="A18112" t="s">
        <v>20976</v>
      </c>
      <c r="B18112" t="s">
        <v>20980</v>
      </c>
      <c r="C18112">
        <v>0</v>
      </c>
      <c r="D18112">
        <v>0.66839080134999995</v>
      </c>
      <c r="E18112">
        <v>4.0659670164917499</v>
      </c>
    </row>
    <row r="18113" spans="1:5">
      <c r="A18113" t="s">
        <v>20981</v>
      </c>
      <c r="B18113" t="s">
        <v>20982</v>
      </c>
      <c r="C18113">
        <v>0.42416211304200002</v>
      </c>
      <c r="D18113">
        <v>0.98288942362200005</v>
      </c>
      <c r="E18113">
        <v>3.97001499250374</v>
      </c>
    </row>
    <row r="18114" spans="1:5">
      <c r="A18114" t="s">
        <v>20983</v>
      </c>
      <c r="B18114" t="s">
        <v>20984</v>
      </c>
      <c r="C18114">
        <v>0</v>
      </c>
      <c r="D18114">
        <v>0.66814672633700001</v>
      </c>
      <c r="E18114">
        <v>2.2548725637181399</v>
      </c>
    </row>
    <row r="18115" spans="1:5">
      <c r="A18115" t="s">
        <v>20983</v>
      </c>
      <c r="B18115" t="s">
        <v>20985</v>
      </c>
      <c r="C18115">
        <f>0</f>
        <v>0</v>
      </c>
      <c r="D18115">
        <v>0.66814672633700001</v>
      </c>
      <c r="E18115">
        <v>2.2548725637181399</v>
      </c>
    </row>
    <row r="18116" spans="1:5">
      <c r="A18116" t="s">
        <v>20983</v>
      </c>
      <c r="B18116" t="s">
        <v>20986</v>
      </c>
      <c r="C18116">
        <v>0</v>
      </c>
      <c r="D18116">
        <v>0.66814672633700001</v>
      </c>
      <c r="E18116">
        <v>2.2548725637181399</v>
      </c>
    </row>
    <row r="18117" spans="1:5">
      <c r="A18117" t="s">
        <v>20983</v>
      </c>
      <c r="B18117" t="s">
        <v>20987</v>
      </c>
      <c r="C18117">
        <f>0.0675250903638</f>
        <v>6.75250903638E-2</v>
      </c>
      <c r="D18117">
        <v>0.66814672633700001</v>
      </c>
      <c r="E18117">
        <v>2.2548725637181399</v>
      </c>
    </row>
    <row r="18118" spans="1:5">
      <c r="A18118" t="s">
        <v>20983</v>
      </c>
      <c r="B18118" t="s">
        <v>20988</v>
      </c>
      <c r="C18118">
        <v>0</v>
      </c>
      <c r="D18118">
        <v>0.66814672633700001</v>
      </c>
      <c r="E18118">
        <v>2.2548725637181399</v>
      </c>
    </row>
    <row r="18119" spans="1:5">
      <c r="A18119" t="s">
        <v>20983</v>
      </c>
      <c r="B18119" t="s">
        <v>20989</v>
      </c>
      <c r="C18119">
        <f>0</f>
        <v>0</v>
      </c>
      <c r="D18119">
        <v>0.66814672633700001</v>
      </c>
      <c r="E18119">
        <v>2.2548725637181399</v>
      </c>
    </row>
    <row r="18120" spans="1:5">
      <c r="A18120" t="s">
        <v>20983</v>
      </c>
      <c r="B18120" t="s">
        <v>20990</v>
      </c>
      <c r="C18120">
        <f>0</f>
        <v>0</v>
      </c>
      <c r="D18120">
        <v>0.66814672633700001</v>
      </c>
      <c r="E18120">
        <v>2.2548725637181399</v>
      </c>
    </row>
    <row r="18121" spans="1:5">
      <c r="A18121" t="s">
        <v>20983</v>
      </c>
      <c r="B18121" t="s">
        <v>20991</v>
      </c>
      <c r="C18121">
        <f>0</f>
        <v>0</v>
      </c>
      <c r="D18121">
        <v>0.66814672633700001</v>
      </c>
      <c r="E18121">
        <v>2.2548725637181399</v>
      </c>
    </row>
    <row r="18122" spans="1:5">
      <c r="A18122" t="s">
        <v>20992</v>
      </c>
      <c r="B18122" t="s">
        <v>20993</v>
      </c>
      <c r="C18122">
        <v>0</v>
      </c>
      <c r="D18122" t="s">
        <v>106</v>
      </c>
      <c r="E18122">
        <v>4.68965517241379</v>
      </c>
    </row>
    <row r="18123" spans="1:5">
      <c r="A18123" t="s">
        <v>20992</v>
      </c>
      <c r="B18123" t="s">
        <v>20994</v>
      </c>
      <c r="C18123">
        <v>0</v>
      </c>
      <c r="D18123" t="s">
        <v>106</v>
      </c>
      <c r="E18123">
        <v>4.68965517241379</v>
      </c>
    </row>
    <row r="18124" spans="1:5">
      <c r="A18124" t="s">
        <v>20992</v>
      </c>
      <c r="B18124" t="s">
        <v>20995</v>
      </c>
      <c r="C18124">
        <v>0</v>
      </c>
      <c r="D18124" t="s">
        <v>106</v>
      </c>
      <c r="E18124">
        <v>4.68965517241379</v>
      </c>
    </row>
    <row r="18125" spans="1:5">
      <c r="A18125" t="s">
        <v>20992</v>
      </c>
      <c r="B18125" t="s">
        <v>20996</v>
      </c>
      <c r="C18125">
        <v>0</v>
      </c>
      <c r="D18125" t="s">
        <v>106</v>
      </c>
      <c r="E18125">
        <v>4.68965517241379</v>
      </c>
    </row>
    <row r="18126" spans="1:5">
      <c r="A18126" t="s">
        <v>20992</v>
      </c>
      <c r="B18126" t="s">
        <v>20997</v>
      </c>
      <c r="C18126">
        <v>0</v>
      </c>
      <c r="D18126" t="s">
        <v>106</v>
      </c>
      <c r="E18126">
        <v>4.68965517241379</v>
      </c>
    </row>
    <row r="18127" spans="1:5">
      <c r="A18127" t="s">
        <v>20998</v>
      </c>
      <c r="B18127" t="s">
        <v>20999</v>
      </c>
      <c r="C18127">
        <v>0</v>
      </c>
      <c r="D18127">
        <v>0.96291115668000005</v>
      </c>
      <c r="E18127">
        <v>8.0119940029985006</v>
      </c>
    </row>
    <row r="18128" spans="1:5">
      <c r="A18128" t="s">
        <v>20998</v>
      </c>
      <c r="B18128" t="s">
        <v>21000</v>
      </c>
      <c r="C18128">
        <v>0</v>
      </c>
      <c r="D18128">
        <v>0.96291115668000005</v>
      </c>
      <c r="E18128">
        <v>8.0119940029985006</v>
      </c>
    </row>
    <row r="18129" spans="1:5">
      <c r="A18129" t="s">
        <v>20998</v>
      </c>
      <c r="B18129" t="s">
        <v>21001</v>
      </c>
      <c r="C18129">
        <v>0</v>
      </c>
      <c r="D18129">
        <v>0.96291115668000005</v>
      </c>
      <c r="E18129">
        <v>8.0119940029985006</v>
      </c>
    </row>
    <row r="18130" spans="1:5">
      <c r="A18130" t="s">
        <v>20998</v>
      </c>
      <c r="B18130" t="s">
        <v>21002</v>
      </c>
      <c r="C18130">
        <f>0</f>
        <v>0</v>
      </c>
      <c r="D18130">
        <v>0.96291115668000005</v>
      </c>
      <c r="E18130">
        <v>8.0119940029985006</v>
      </c>
    </row>
    <row r="18131" spans="1:5">
      <c r="A18131" t="s">
        <v>20998</v>
      </c>
      <c r="B18131" t="s">
        <v>21003</v>
      </c>
      <c r="C18131">
        <f>0</f>
        <v>0</v>
      </c>
      <c r="D18131">
        <v>0.96291115668000005</v>
      </c>
      <c r="E18131">
        <v>8.0119940029985006</v>
      </c>
    </row>
    <row r="18132" spans="1:5">
      <c r="A18132" t="s">
        <v>20998</v>
      </c>
      <c r="B18132" t="s">
        <v>21004</v>
      </c>
      <c r="C18132">
        <f>0</f>
        <v>0</v>
      </c>
      <c r="D18132">
        <v>0.96291115668000005</v>
      </c>
      <c r="E18132">
        <v>8.0119940029985006</v>
      </c>
    </row>
    <row r="18133" spans="1:5">
      <c r="A18133" t="s">
        <v>20998</v>
      </c>
      <c r="B18133" t="s">
        <v>21005</v>
      </c>
      <c r="C18133">
        <f>0</f>
        <v>0</v>
      </c>
      <c r="D18133">
        <v>0.96291115668000005</v>
      </c>
      <c r="E18133">
        <v>8.0119940029985006</v>
      </c>
    </row>
    <row r="18134" spans="1:5">
      <c r="A18134" t="s">
        <v>20998</v>
      </c>
      <c r="B18134" t="s">
        <v>21006</v>
      </c>
      <c r="C18134">
        <v>0.25562292375599999</v>
      </c>
      <c r="D18134">
        <v>0.96291115668000005</v>
      </c>
      <c r="E18134">
        <v>8.0119940029985006</v>
      </c>
    </row>
    <row r="18135" spans="1:5">
      <c r="A18135" t="s">
        <v>20998</v>
      </c>
      <c r="B18135" t="s">
        <v>21007</v>
      </c>
      <c r="C18135">
        <f>0</f>
        <v>0</v>
      </c>
      <c r="D18135">
        <v>0.96291115668000005</v>
      </c>
      <c r="E18135">
        <v>8.0119940029985006</v>
      </c>
    </row>
    <row r="18136" spans="1:5">
      <c r="A18136" t="s">
        <v>21008</v>
      </c>
      <c r="B18136" t="s">
        <v>21009</v>
      </c>
      <c r="C18136">
        <v>0.43675553181999999</v>
      </c>
      <c r="D18136">
        <v>0.99474412947500002</v>
      </c>
      <c r="E18136">
        <v>1.51124437781109</v>
      </c>
    </row>
    <row r="18137" spans="1:5">
      <c r="A18137" t="s">
        <v>21008</v>
      </c>
      <c r="B18137" t="s">
        <v>21010</v>
      </c>
      <c r="C18137">
        <v>1.9649151546900001E-2</v>
      </c>
      <c r="D18137">
        <v>0.99474412947500002</v>
      </c>
      <c r="E18137">
        <v>1.51124437781109</v>
      </c>
    </row>
    <row r="18138" spans="1:5">
      <c r="A18138" t="s">
        <v>21008</v>
      </c>
      <c r="B18138" t="s">
        <v>21011</v>
      </c>
      <c r="C18138">
        <f>0</f>
        <v>0</v>
      </c>
      <c r="D18138">
        <v>0.99474412947500002</v>
      </c>
      <c r="E18138">
        <v>1.51124437781109</v>
      </c>
    </row>
    <row r="18139" spans="1:5">
      <c r="A18139" t="s">
        <v>21008</v>
      </c>
      <c r="B18139" t="s">
        <v>21012</v>
      </c>
      <c r="C18139">
        <f>0</f>
        <v>0</v>
      </c>
      <c r="D18139">
        <v>0.99474412947500002</v>
      </c>
      <c r="E18139">
        <v>1.51124437781109</v>
      </c>
    </row>
    <row r="18140" spans="1:5">
      <c r="A18140" t="s">
        <v>21013</v>
      </c>
      <c r="B18140" t="s">
        <v>21014</v>
      </c>
      <c r="C18140">
        <v>0.21441204655599999</v>
      </c>
      <c r="D18140">
        <v>0.99057327920399996</v>
      </c>
      <c r="E18140">
        <v>9.9190404797601204</v>
      </c>
    </row>
    <row r="18141" spans="1:5">
      <c r="A18141" t="s">
        <v>21013</v>
      </c>
      <c r="B18141" t="s">
        <v>21015</v>
      </c>
      <c r="C18141">
        <v>0</v>
      </c>
      <c r="D18141">
        <v>0.99057327920399996</v>
      </c>
      <c r="E18141">
        <v>9.9190404797601204</v>
      </c>
    </row>
    <row r="18142" spans="1:5">
      <c r="A18142" t="s">
        <v>21013</v>
      </c>
      <c r="B18142" t="s">
        <v>21016</v>
      </c>
      <c r="C18142">
        <v>0</v>
      </c>
      <c r="D18142">
        <v>0.99057327920399996</v>
      </c>
      <c r="E18142">
        <v>9.9190404797601204</v>
      </c>
    </row>
    <row r="18143" spans="1:5">
      <c r="A18143" t="s">
        <v>21013</v>
      </c>
      <c r="B18143" t="s">
        <v>21017</v>
      </c>
      <c r="C18143">
        <v>0.31886981832400002</v>
      </c>
      <c r="D18143">
        <v>0.99057327920399996</v>
      </c>
      <c r="E18143">
        <v>9.9190404797601204</v>
      </c>
    </row>
    <row r="18144" spans="1:5">
      <c r="A18144" t="s">
        <v>21013</v>
      </c>
      <c r="B18144" t="s">
        <v>21018</v>
      </c>
      <c r="C18144">
        <f>0</f>
        <v>0</v>
      </c>
      <c r="D18144">
        <v>0.99057327920399996</v>
      </c>
      <c r="E18144">
        <v>9.9190404797601204</v>
      </c>
    </row>
    <row r="18145" spans="1:5">
      <c r="A18145" t="s">
        <v>21019</v>
      </c>
      <c r="B18145" t="s">
        <v>21020</v>
      </c>
      <c r="C18145">
        <v>0.77227430161400001</v>
      </c>
      <c r="D18145">
        <v>0.98334645011900002</v>
      </c>
      <c r="E18145">
        <v>1.1994002998500701E-2</v>
      </c>
    </row>
    <row r="18146" spans="1:5">
      <c r="A18146" t="s">
        <v>21019</v>
      </c>
      <c r="B18146" t="s">
        <v>21021</v>
      </c>
      <c r="C18146">
        <v>0</v>
      </c>
      <c r="D18146">
        <v>0.98334645011900002</v>
      </c>
      <c r="E18146">
        <v>1.1994002998500701E-2</v>
      </c>
    </row>
    <row r="18147" spans="1:5">
      <c r="A18147" t="s">
        <v>21019</v>
      </c>
      <c r="B18147" t="s">
        <v>21022</v>
      </c>
      <c r="C18147">
        <v>2.4572771960299999E-2</v>
      </c>
      <c r="D18147">
        <v>0.98334645011900002</v>
      </c>
      <c r="E18147">
        <v>1.1994002998500701E-2</v>
      </c>
    </row>
    <row r="18148" spans="1:5">
      <c r="A18148" t="s">
        <v>21019</v>
      </c>
      <c r="B18148" t="s">
        <v>21023</v>
      </c>
      <c r="C18148">
        <v>0</v>
      </c>
      <c r="D18148">
        <v>0.98334645011900002</v>
      </c>
      <c r="E18148">
        <v>1.1994002998500701E-2</v>
      </c>
    </row>
    <row r="18149" spans="1:5">
      <c r="A18149" t="s">
        <v>21024</v>
      </c>
      <c r="B18149" t="s">
        <v>21025</v>
      </c>
      <c r="C18149">
        <v>0</v>
      </c>
      <c r="D18149">
        <v>0.88961189202799995</v>
      </c>
      <c r="E18149">
        <v>4.9055472263868003</v>
      </c>
    </row>
    <row r="18150" spans="1:5">
      <c r="A18150" t="s">
        <v>21024</v>
      </c>
      <c r="B18150" t="s">
        <v>21026</v>
      </c>
      <c r="C18150">
        <v>0</v>
      </c>
      <c r="D18150">
        <v>0.88961189202799995</v>
      </c>
      <c r="E18150">
        <v>4.9055472263868003</v>
      </c>
    </row>
    <row r="18151" spans="1:5">
      <c r="A18151" t="s">
        <v>21024</v>
      </c>
      <c r="B18151" t="s">
        <v>21027</v>
      </c>
      <c r="C18151">
        <f>0</f>
        <v>0</v>
      </c>
      <c r="D18151">
        <v>0.88961189202799995</v>
      </c>
      <c r="E18151">
        <v>4.9055472263868003</v>
      </c>
    </row>
    <row r="18152" spans="1:5">
      <c r="A18152" t="s">
        <v>21024</v>
      </c>
      <c r="B18152" t="s">
        <v>21028</v>
      </c>
      <c r="C18152">
        <v>1.4019599494099999E-2</v>
      </c>
      <c r="D18152">
        <v>0.88961189202799995</v>
      </c>
      <c r="E18152">
        <v>4.9055472263868003</v>
      </c>
    </row>
    <row r="18153" spans="1:5">
      <c r="A18153" t="s">
        <v>21024</v>
      </c>
      <c r="B18153" t="s">
        <v>21029</v>
      </c>
      <c r="C18153">
        <v>0</v>
      </c>
      <c r="D18153">
        <v>0.88961189202799995</v>
      </c>
      <c r="E18153">
        <v>4.9055472263868003</v>
      </c>
    </row>
    <row r="18154" spans="1:5">
      <c r="A18154" t="s">
        <v>21024</v>
      </c>
      <c r="B18154" t="s">
        <v>21030</v>
      </c>
      <c r="C18154">
        <v>0</v>
      </c>
      <c r="D18154">
        <v>0.88961189202799995</v>
      </c>
      <c r="E18154">
        <v>4.9055472263868003</v>
      </c>
    </row>
    <row r="18155" spans="1:5">
      <c r="A18155" t="s">
        <v>21024</v>
      </c>
      <c r="B18155" t="s">
        <v>21031</v>
      </c>
      <c r="C18155">
        <v>0</v>
      </c>
      <c r="D18155">
        <v>0.88961189202799995</v>
      </c>
      <c r="E18155">
        <v>4.9055472263868003</v>
      </c>
    </row>
    <row r="18156" spans="1:5">
      <c r="A18156" t="s">
        <v>21024</v>
      </c>
      <c r="B18156" t="s">
        <v>21032</v>
      </c>
      <c r="C18156">
        <v>0</v>
      </c>
      <c r="D18156">
        <v>0.88961189202799995</v>
      </c>
      <c r="E18156">
        <v>4.9055472263868003</v>
      </c>
    </row>
    <row r="18157" spans="1:5">
      <c r="A18157" t="s">
        <v>21033</v>
      </c>
      <c r="B18157" t="s">
        <v>21034</v>
      </c>
      <c r="C18157">
        <f>0</f>
        <v>0</v>
      </c>
      <c r="D18157">
        <v>0.84465626355400003</v>
      </c>
      <c r="E18157">
        <v>4.68965517241379</v>
      </c>
    </row>
    <row r="18158" spans="1:5">
      <c r="A18158" t="s">
        <v>21033</v>
      </c>
      <c r="B18158" t="s">
        <v>21035</v>
      </c>
      <c r="C18158">
        <v>0</v>
      </c>
      <c r="D18158">
        <v>0.84465626355400003</v>
      </c>
      <c r="E18158">
        <v>4.68965517241379</v>
      </c>
    </row>
    <row r="18159" spans="1:5">
      <c r="A18159" t="s">
        <v>21033</v>
      </c>
      <c r="B18159" t="s">
        <v>21036</v>
      </c>
      <c r="C18159">
        <f>0</f>
        <v>0</v>
      </c>
      <c r="D18159">
        <v>0.84465626355400003</v>
      </c>
      <c r="E18159">
        <v>4.68965517241379</v>
      </c>
    </row>
    <row r="18160" spans="1:5">
      <c r="A18160" t="s">
        <v>21033</v>
      </c>
      <c r="B18160" t="s">
        <v>21037</v>
      </c>
      <c r="C18160">
        <f>0</f>
        <v>0</v>
      </c>
      <c r="D18160">
        <v>0.84465626355400003</v>
      </c>
      <c r="E18160">
        <v>4.68965517241379</v>
      </c>
    </row>
    <row r="18161" spans="1:5">
      <c r="A18161" t="s">
        <v>21033</v>
      </c>
      <c r="B18161" t="s">
        <v>21038</v>
      </c>
      <c r="C18161">
        <f>0</f>
        <v>0</v>
      </c>
      <c r="D18161">
        <v>0.84465626355400003</v>
      </c>
      <c r="E18161">
        <v>4.68965517241379</v>
      </c>
    </row>
    <row r="18162" spans="1:5">
      <c r="A18162" t="s">
        <v>21033</v>
      </c>
      <c r="B18162" t="s">
        <v>21039</v>
      </c>
      <c r="C18162">
        <f>0.0164079264334</f>
        <v>1.64079264334E-2</v>
      </c>
      <c r="D18162">
        <v>0.84465626355400003</v>
      </c>
      <c r="E18162">
        <v>4.68965517241379</v>
      </c>
    </row>
    <row r="18163" spans="1:5">
      <c r="A18163" t="s">
        <v>21033</v>
      </c>
      <c r="B18163" t="s">
        <v>21040</v>
      </c>
      <c r="C18163">
        <f>0.0959402165754</f>
        <v>9.59402165754E-2</v>
      </c>
      <c r="D18163">
        <v>0.84465626355400003</v>
      </c>
      <c r="E18163">
        <v>4.68965517241379</v>
      </c>
    </row>
    <row r="18164" spans="1:5">
      <c r="A18164" t="s">
        <v>21033</v>
      </c>
      <c r="B18164" t="s">
        <v>21041</v>
      </c>
      <c r="C18164">
        <f>0</f>
        <v>0</v>
      </c>
      <c r="D18164">
        <v>0.84465626355400003</v>
      </c>
      <c r="E18164">
        <v>4.68965517241379</v>
      </c>
    </row>
    <row r="18165" spans="1:5">
      <c r="A18165" t="s">
        <v>21033</v>
      </c>
      <c r="B18165" t="s">
        <v>21042</v>
      </c>
      <c r="C18165">
        <f>0</f>
        <v>0</v>
      </c>
      <c r="D18165">
        <v>0.84465626355400003</v>
      </c>
      <c r="E18165">
        <v>4.68965517241379</v>
      </c>
    </row>
    <row r="18166" spans="1:5">
      <c r="A18166" t="s">
        <v>21033</v>
      </c>
      <c r="B18166" t="s">
        <v>21043</v>
      </c>
      <c r="C18166">
        <f>0</f>
        <v>0</v>
      </c>
      <c r="D18166">
        <v>0.84465626355400003</v>
      </c>
      <c r="E18166">
        <v>4.68965517241379</v>
      </c>
    </row>
    <row r="18167" spans="1:5">
      <c r="A18167" t="s">
        <v>21044</v>
      </c>
      <c r="B18167" t="s">
        <v>21045</v>
      </c>
      <c r="C18167">
        <v>0</v>
      </c>
      <c r="D18167">
        <v>0.76350927783199996</v>
      </c>
      <c r="E18167">
        <v>13.997001499250301</v>
      </c>
    </row>
    <row r="18168" spans="1:5">
      <c r="A18168" t="s">
        <v>21044</v>
      </c>
      <c r="B18168" t="s">
        <v>21046</v>
      </c>
      <c r="C18168">
        <v>0</v>
      </c>
      <c r="D18168">
        <v>0.76350927783199996</v>
      </c>
      <c r="E18168">
        <v>13.997001499250301</v>
      </c>
    </row>
    <row r="18169" spans="1:5">
      <c r="A18169" t="s">
        <v>21044</v>
      </c>
      <c r="B18169" t="s">
        <v>21047</v>
      </c>
      <c r="C18169">
        <v>6.92934491407E-2</v>
      </c>
      <c r="D18169">
        <v>0.76350927783199996</v>
      </c>
      <c r="E18169">
        <v>13.997001499250301</v>
      </c>
    </row>
    <row r="18170" spans="1:5">
      <c r="A18170" t="s">
        <v>21044</v>
      </c>
      <c r="B18170" t="s">
        <v>21048</v>
      </c>
      <c r="C18170">
        <v>0.153323087074</v>
      </c>
      <c r="D18170">
        <v>0.76350927783199996</v>
      </c>
      <c r="E18170">
        <v>13.997001499250301</v>
      </c>
    </row>
    <row r="18171" spans="1:5">
      <c r="A18171" t="s">
        <v>21049</v>
      </c>
      <c r="B18171" t="s">
        <v>21050</v>
      </c>
      <c r="C18171">
        <v>0</v>
      </c>
      <c r="D18171" t="s">
        <v>106</v>
      </c>
      <c r="E18171">
        <v>18.554722638680602</v>
      </c>
    </row>
    <row r="18172" spans="1:5">
      <c r="A18172" t="s">
        <v>21049</v>
      </c>
      <c r="B18172" t="s">
        <v>21051</v>
      </c>
      <c r="C18172">
        <v>0</v>
      </c>
      <c r="D18172" t="s">
        <v>106</v>
      </c>
      <c r="E18172">
        <v>18.554722638680602</v>
      </c>
    </row>
    <row r="18173" spans="1:5">
      <c r="A18173" t="s">
        <v>21049</v>
      </c>
      <c r="B18173" t="s">
        <v>21052</v>
      </c>
      <c r="C18173">
        <v>0</v>
      </c>
      <c r="D18173" t="s">
        <v>106</v>
      </c>
      <c r="E18173">
        <v>18.554722638680602</v>
      </c>
    </row>
    <row r="18174" spans="1:5">
      <c r="A18174" t="s">
        <v>21049</v>
      </c>
      <c r="B18174" t="s">
        <v>21053</v>
      </c>
      <c r="C18174">
        <f>0</f>
        <v>0</v>
      </c>
      <c r="D18174" t="s">
        <v>106</v>
      </c>
      <c r="E18174">
        <v>18.554722638680602</v>
      </c>
    </row>
    <row r="18175" spans="1:5">
      <c r="A18175" t="s">
        <v>21049</v>
      </c>
      <c r="B18175" t="s">
        <v>21054</v>
      </c>
      <c r="C18175">
        <v>0</v>
      </c>
      <c r="D18175" t="s">
        <v>106</v>
      </c>
      <c r="E18175">
        <v>18.554722638680602</v>
      </c>
    </row>
    <row r="18176" spans="1:5">
      <c r="A18176" t="s">
        <v>21049</v>
      </c>
      <c r="B18176" t="s">
        <v>21055</v>
      </c>
      <c r="C18176">
        <f>0</f>
        <v>0</v>
      </c>
      <c r="D18176" t="s">
        <v>106</v>
      </c>
      <c r="E18176">
        <v>18.554722638680602</v>
      </c>
    </row>
    <row r="18177" spans="1:5">
      <c r="A18177" t="s">
        <v>21049</v>
      </c>
      <c r="B18177" t="s">
        <v>21056</v>
      </c>
      <c r="C18177">
        <v>0</v>
      </c>
      <c r="D18177" t="s">
        <v>106</v>
      </c>
      <c r="E18177">
        <v>18.554722638680602</v>
      </c>
    </row>
    <row r="18178" spans="1:5">
      <c r="A18178" t="s">
        <v>21049</v>
      </c>
      <c r="B18178" t="s">
        <v>21057</v>
      </c>
      <c r="C18178">
        <f>0</f>
        <v>0</v>
      </c>
      <c r="D18178" t="s">
        <v>106</v>
      </c>
      <c r="E18178">
        <v>18.554722638680602</v>
      </c>
    </row>
    <row r="18179" spans="1:5">
      <c r="A18179" t="s">
        <v>21058</v>
      </c>
      <c r="B18179" t="s">
        <v>21059</v>
      </c>
      <c r="C18179">
        <v>0</v>
      </c>
      <c r="D18179">
        <v>0.77546296965999995</v>
      </c>
      <c r="E18179">
        <v>20.2938530734632</v>
      </c>
    </row>
    <row r="18180" spans="1:5">
      <c r="A18180" t="s">
        <v>21058</v>
      </c>
      <c r="B18180" t="s">
        <v>21060</v>
      </c>
      <c r="C18180">
        <v>0</v>
      </c>
      <c r="D18180">
        <v>0.77546296965999995</v>
      </c>
      <c r="E18180">
        <v>20.2938530734632</v>
      </c>
    </row>
    <row r="18181" spans="1:5">
      <c r="A18181" t="s">
        <v>21058</v>
      </c>
      <c r="B18181" t="s">
        <v>21061</v>
      </c>
      <c r="C18181">
        <v>0</v>
      </c>
      <c r="D18181">
        <v>0.77546296965999995</v>
      </c>
      <c r="E18181">
        <v>20.2938530734632</v>
      </c>
    </row>
    <row r="18182" spans="1:5">
      <c r="A18182" t="s">
        <v>21058</v>
      </c>
      <c r="B18182" t="s">
        <v>21062</v>
      </c>
      <c r="C18182">
        <v>0</v>
      </c>
      <c r="D18182">
        <v>0.77546296965999995</v>
      </c>
      <c r="E18182">
        <v>20.2938530734632</v>
      </c>
    </row>
    <row r="18183" spans="1:5">
      <c r="A18183" t="s">
        <v>21058</v>
      </c>
      <c r="B18183" t="s">
        <v>21063</v>
      </c>
      <c r="C18183">
        <f>0</f>
        <v>0</v>
      </c>
      <c r="D18183">
        <v>0.77546296965999995</v>
      </c>
      <c r="E18183">
        <v>20.2938530734632</v>
      </c>
    </row>
    <row r="18184" spans="1:5">
      <c r="A18184" t="s">
        <v>21058</v>
      </c>
      <c r="B18184" t="s">
        <v>21064</v>
      </c>
      <c r="C18184">
        <f>0</f>
        <v>0</v>
      </c>
      <c r="D18184">
        <v>0.77546296965999995</v>
      </c>
      <c r="E18184">
        <v>20.2938530734632</v>
      </c>
    </row>
    <row r="18185" spans="1:5">
      <c r="A18185" t="s">
        <v>21058</v>
      </c>
      <c r="B18185" t="s">
        <v>21065</v>
      </c>
      <c r="C18185">
        <f>0</f>
        <v>0</v>
      </c>
      <c r="D18185">
        <v>0.77546296965999995</v>
      </c>
      <c r="E18185">
        <v>20.2938530734632</v>
      </c>
    </row>
    <row r="18186" spans="1:5">
      <c r="A18186" t="s">
        <v>21058</v>
      </c>
      <c r="B18186" t="s">
        <v>21066</v>
      </c>
      <c r="C18186">
        <v>0</v>
      </c>
      <c r="D18186">
        <v>0.77546296965999995</v>
      </c>
      <c r="E18186">
        <v>20.2938530734632</v>
      </c>
    </row>
    <row r="18187" spans="1:5">
      <c r="A18187" t="s">
        <v>21058</v>
      </c>
      <c r="B18187" t="s">
        <v>21067</v>
      </c>
      <c r="C18187">
        <v>0</v>
      </c>
      <c r="D18187">
        <v>0.77546296965999995</v>
      </c>
      <c r="E18187">
        <v>20.2938530734632</v>
      </c>
    </row>
    <row r="18188" spans="1:5">
      <c r="A18188" t="s">
        <v>21058</v>
      </c>
      <c r="B18188" t="s">
        <v>21068</v>
      </c>
      <c r="C18188">
        <f>0</f>
        <v>0</v>
      </c>
      <c r="D18188">
        <v>0.77546296965999995</v>
      </c>
      <c r="E18188">
        <v>20.2938530734632</v>
      </c>
    </row>
    <row r="18189" spans="1:5">
      <c r="A18189" t="s">
        <v>21058</v>
      </c>
      <c r="B18189" t="s">
        <v>21069</v>
      </c>
      <c r="C18189">
        <v>0</v>
      </c>
      <c r="D18189">
        <v>0.77546296965999995</v>
      </c>
      <c r="E18189">
        <v>20.2938530734632</v>
      </c>
    </row>
    <row r="18190" spans="1:5">
      <c r="A18190" t="s">
        <v>21058</v>
      </c>
      <c r="B18190" t="s">
        <v>21070</v>
      </c>
      <c r="C18190">
        <v>0</v>
      </c>
      <c r="D18190">
        <v>0.77546296965999995</v>
      </c>
      <c r="E18190">
        <v>20.2938530734632</v>
      </c>
    </row>
    <row r="18191" spans="1:5">
      <c r="A18191" t="s">
        <v>21058</v>
      </c>
      <c r="B18191" t="s">
        <v>21071</v>
      </c>
      <c r="C18191">
        <v>0</v>
      </c>
      <c r="D18191">
        <v>0.77546296965999995</v>
      </c>
      <c r="E18191">
        <v>20.2938530734632</v>
      </c>
    </row>
    <row r="18192" spans="1:5">
      <c r="A18192" t="s">
        <v>21072</v>
      </c>
      <c r="B18192" t="s">
        <v>21073</v>
      </c>
      <c r="C18192">
        <v>5.5556613565499999E-2</v>
      </c>
      <c r="D18192">
        <v>0.87859968076399997</v>
      </c>
      <c r="E18192">
        <v>5.5772113943028403</v>
      </c>
    </row>
    <row r="18193" spans="1:5">
      <c r="A18193" t="s">
        <v>21072</v>
      </c>
      <c r="B18193" t="s">
        <v>21074</v>
      </c>
      <c r="C18193">
        <v>0</v>
      </c>
      <c r="D18193">
        <v>0.87859968076399997</v>
      </c>
      <c r="E18193">
        <v>5.5772113943028403</v>
      </c>
    </row>
    <row r="18194" spans="1:5">
      <c r="A18194" t="s">
        <v>21072</v>
      </c>
      <c r="B18194" t="s">
        <v>21075</v>
      </c>
      <c r="C18194">
        <v>0.14316489465099999</v>
      </c>
      <c r="D18194">
        <v>0.87859968076399997</v>
      </c>
      <c r="E18194">
        <v>5.5772113943028403</v>
      </c>
    </row>
    <row r="18195" spans="1:5">
      <c r="A18195" t="s">
        <v>21072</v>
      </c>
      <c r="B18195" t="s">
        <v>21076</v>
      </c>
      <c r="C18195">
        <v>0</v>
      </c>
      <c r="D18195">
        <v>0.87859968076399997</v>
      </c>
      <c r="E18195">
        <v>5.5772113943028403</v>
      </c>
    </row>
    <row r="18196" spans="1:5">
      <c r="A18196" t="s">
        <v>21077</v>
      </c>
      <c r="B18196" t="s">
        <v>21078</v>
      </c>
      <c r="C18196">
        <f>0</f>
        <v>0</v>
      </c>
      <c r="D18196">
        <v>0.99796785406900002</v>
      </c>
      <c r="E18196">
        <v>5.1214392803598203</v>
      </c>
    </row>
    <row r="18197" spans="1:5">
      <c r="A18197" t="s">
        <v>21077</v>
      </c>
      <c r="B18197" t="s">
        <v>21079</v>
      </c>
      <c r="C18197">
        <v>0</v>
      </c>
      <c r="D18197">
        <v>0.99796785406900002</v>
      </c>
      <c r="E18197">
        <v>5.1214392803598203</v>
      </c>
    </row>
    <row r="18198" spans="1:5">
      <c r="A18198" t="s">
        <v>21077</v>
      </c>
      <c r="B18198" t="s">
        <v>21080</v>
      </c>
      <c r="C18198">
        <v>0</v>
      </c>
      <c r="D18198">
        <v>0.99796785406900002</v>
      </c>
      <c r="E18198">
        <v>5.1214392803598203</v>
      </c>
    </row>
    <row r="18199" spans="1:5">
      <c r="A18199" t="s">
        <v>21077</v>
      </c>
      <c r="B18199" t="s">
        <v>21081</v>
      </c>
      <c r="C18199">
        <f>0</f>
        <v>0</v>
      </c>
      <c r="D18199">
        <v>0.99796785406900002</v>
      </c>
      <c r="E18199">
        <v>5.1214392803598203</v>
      </c>
    </row>
    <row r="18200" spans="1:5">
      <c r="A18200" t="s">
        <v>21077</v>
      </c>
      <c r="B18200" t="s">
        <v>21082</v>
      </c>
      <c r="C18200">
        <f>0</f>
        <v>0</v>
      </c>
      <c r="D18200">
        <v>0.99796785406900002</v>
      </c>
      <c r="E18200">
        <v>5.1214392803598203</v>
      </c>
    </row>
    <row r="18201" spans="1:5">
      <c r="A18201" t="s">
        <v>21077</v>
      </c>
      <c r="B18201" t="s">
        <v>21083</v>
      </c>
      <c r="C18201">
        <v>0</v>
      </c>
      <c r="D18201">
        <v>0.99796785406900002</v>
      </c>
      <c r="E18201">
        <v>5.1214392803598203</v>
      </c>
    </row>
    <row r="18202" spans="1:5">
      <c r="A18202" t="s">
        <v>21077</v>
      </c>
      <c r="B18202" t="s">
        <v>21084</v>
      </c>
      <c r="C18202">
        <v>0.13641300752300001</v>
      </c>
      <c r="D18202">
        <v>0.99796785406900002</v>
      </c>
      <c r="E18202">
        <v>5.1214392803598203</v>
      </c>
    </row>
    <row r="18203" spans="1:5">
      <c r="A18203" t="s">
        <v>21077</v>
      </c>
      <c r="B18203" t="s">
        <v>21085</v>
      </c>
      <c r="C18203">
        <v>0</v>
      </c>
      <c r="D18203">
        <v>0.99796785406900002</v>
      </c>
      <c r="E18203">
        <v>5.1214392803598203</v>
      </c>
    </row>
    <row r="18204" spans="1:5">
      <c r="A18204" t="s">
        <v>21077</v>
      </c>
      <c r="B18204" t="s">
        <v>21086</v>
      </c>
      <c r="C18204">
        <v>0</v>
      </c>
      <c r="D18204">
        <v>0.99796785406900002</v>
      </c>
      <c r="E18204">
        <v>5.1214392803598203</v>
      </c>
    </row>
    <row r="18205" spans="1:5">
      <c r="A18205" t="s">
        <v>21077</v>
      </c>
      <c r="B18205" t="s">
        <v>21087</v>
      </c>
      <c r="C18205">
        <f>0.312760277815</f>
        <v>0.31276027781499999</v>
      </c>
      <c r="D18205">
        <v>0.99796785406900002</v>
      </c>
      <c r="E18205">
        <v>5.1214392803598203</v>
      </c>
    </row>
    <row r="18206" spans="1:5">
      <c r="A18206" t="s">
        <v>21088</v>
      </c>
      <c r="B18206" t="s">
        <v>21089</v>
      </c>
      <c r="C18206">
        <v>0</v>
      </c>
      <c r="D18206">
        <v>0.98643034857099998</v>
      </c>
      <c r="E18206">
        <v>15.904047976011899</v>
      </c>
    </row>
    <row r="18207" spans="1:5">
      <c r="A18207" t="s">
        <v>21088</v>
      </c>
      <c r="B18207" t="s">
        <v>21090</v>
      </c>
      <c r="C18207">
        <v>0</v>
      </c>
      <c r="D18207">
        <v>0.98643034857099998</v>
      </c>
      <c r="E18207">
        <v>15.904047976011899</v>
      </c>
    </row>
    <row r="18208" spans="1:5">
      <c r="A18208" t="s">
        <v>21088</v>
      </c>
      <c r="B18208" t="s">
        <v>21091</v>
      </c>
      <c r="C18208">
        <v>0.13662814273500001</v>
      </c>
      <c r="D18208">
        <v>0.98643034857099998</v>
      </c>
      <c r="E18208">
        <v>15.904047976011899</v>
      </c>
    </row>
    <row r="18209" spans="1:5">
      <c r="A18209" t="s">
        <v>21088</v>
      </c>
      <c r="B18209" t="s">
        <v>21092</v>
      </c>
      <c r="C18209">
        <v>0</v>
      </c>
      <c r="D18209">
        <v>0.98643034857099998</v>
      </c>
      <c r="E18209">
        <v>15.904047976011899</v>
      </c>
    </row>
    <row r="18210" spans="1:5">
      <c r="A18210" t="s">
        <v>21088</v>
      </c>
      <c r="B18210" t="s">
        <v>21093</v>
      </c>
      <c r="C18210">
        <f>0</f>
        <v>0</v>
      </c>
      <c r="D18210">
        <v>0.98643034857099998</v>
      </c>
      <c r="E18210">
        <v>15.904047976011899</v>
      </c>
    </row>
    <row r="18211" spans="1:5">
      <c r="A18211" t="s">
        <v>21088</v>
      </c>
      <c r="B18211" t="s">
        <v>21094</v>
      </c>
      <c r="C18211">
        <v>0</v>
      </c>
      <c r="D18211">
        <v>0.98643034857099998</v>
      </c>
      <c r="E18211">
        <v>15.904047976011899</v>
      </c>
    </row>
    <row r="18212" spans="1:5">
      <c r="A18212" t="s">
        <v>21088</v>
      </c>
      <c r="B18212" t="s">
        <v>21095</v>
      </c>
      <c r="C18212">
        <f>0</f>
        <v>0</v>
      </c>
      <c r="D18212">
        <v>0.98643034857099998</v>
      </c>
      <c r="E18212">
        <v>15.904047976011899</v>
      </c>
    </row>
    <row r="18213" spans="1:5">
      <c r="A18213" t="s">
        <v>21088</v>
      </c>
      <c r="B18213" t="s">
        <v>21096</v>
      </c>
      <c r="C18213">
        <v>0</v>
      </c>
      <c r="D18213">
        <v>0.98643034857099998</v>
      </c>
      <c r="E18213">
        <v>15.904047976011899</v>
      </c>
    </row>
    <row r="18214" spans="1:5">
      <c r="A18214" t="s">
        <v>21088</v>
      </c>
      <c r="B18214" t="s">
        <v>21097</v>
      </c>
      <c r="C18214">
        <v>0</v>
      </c>
      <c r="D18214">
        <v>0.98643034857099998</v>
      </c>
      <c r="E18214">
        <v>15.904047976011899</v>
      </c>
    </row>
    <row r="18215" spans="1:5">
      <c r="A18215" t="s">
        <v>21088</v>
      </c>
      <c r="B18215" t="s">
        <v>21098</v>
      </c>
      <c r="C18215">
        <v>0.113142317881</v>
      </c>
      <c r="D18215">
        <v>0.98643034857099998</v>
      </c>
      <c r="E18215">
        <v>15.904047976011899</v>
      </c>
    </row>
    <row r="18216" spans="1:5">
      <c r="A18216" t="s">
        <v>21088</v>
      </c>
      <c r="B18216" t="s">
        <v>21099</v>
      </c>
      <c r="C18216">
        <v>0</v>
      </c>
      <c r="D18216">
        <v>0.98643034857099998</v>
      </c>
      <c r="E18216">
        <v>15.904047976011899</v>
      </c>
    </row>
    <row r="18217" spans="1:5">
      <c r="A18217" t="s">
        <v>21100</v>
      </c>
      <c r="B18217" t="s">
        <v>21101</v>
      </c>
      <c r="C18217">
        <f>0</f>
        <v>0</v>
      </c>
      <c r="D18217">
        <v>0.87332432070800003</v>
      </c>
      <c r="E18217">
        <v>20.065967016491701</v>
      </c>
    </row>
    <row r="18218" spans="1:5">
      <c r="A18218" t="s">
        <v>21100</v>
      </c>
      <c r="B18218" t="s">
        <v>21102</v>
      </c>
      <c r="C18218">
        <v>0</v>
      </c>
      <c r="D18218">
        <v>0.87332432070800003</v>
      </c>
      <c r="E18218">
        <v>20.065967016491701</v>
      </c>
    </row>
    <row r="18219" spans="1:5">
      <c r="A18219" t="s">
        <v>21100</v>
      </c>
      <c r="B18219" t="s">
        <v>21103</v>
      </c>
      <c r="C18219">
        <f>0</f>
        <v>0</v>
      </c>
      <c r="D18219">
        <v>0.87332432070800003</v>
      </c>
      <c r="E18219">
        <v>20.065967016491701</v>
      </c>
    </row>
    <row r="18220" spans="1:5">
      <c r="A18220" t="s">
        <v>21100</v>
      </c>
      <c r="B18220" t="s">
        <v>21104</v>
      </c>
      <c r="C18220">
        <v>0</v>
      </c>
      <c r="D18220">
        <v>0.87332432070800003</v>
      </c>
      <c r="E18220">
        <v>20.065967016491701</v>
      </c>
    </row>
    <row r="18221" spans="1:5">
      <c r="A18221" t="s">
        <v>21100</v>
      </c>
      <c r="B18221" t="s">
        <v>21105</v>
      </c>
      <c r="C18221">
        <f>0</f>
        <v>0</v>
      </c>
      <c r="D18221">
        <v>0.87332432070800003</v>
      </c>
      <c r="E18221">
        <v>20.065967016491701</v>
      </c>
    </row>
    <row r="18222" spans="1:5">
      <c r="A18222" t="s">
        <v>21100</v>
      </c>
      <c r="B18222" t="s">
        <v>21106</v>
      </c>
      <c r="C18222">
        <f>0</f>
        <v>0</v>
      </c>
      <c r="D18222">
        <v>0.87332432070800003</v>
      </c>
      <c r="E18222">
        <v>20.065967016491701</v>
      </c>
    </row>
    <row r="18223" spans="1:5">
      <c r="A18223" t="s">
        <v>21100</v>
      </c>
      <c r="B18223" t="s">
        <v>21107</v>
      </c>
      <c r="C18223">
        <f>0</f>
        <v>0</v>
      </c>
      <c r="D18223">
        <v>0.87332432070800003</v>
      </c>
      <c r="E18223">
        <v>20.065967016491701</v>
      </c>
    </row>
    <row r="18224" spans="1:5">
      <c r="A18224" t="s">
        <v>21100</v>
      </c>
      <c r="B18224" t="s">
        <v>21108</v>
      </c>
      <c r="C18224">
        <f>0</f>
        <v>0</v>
      </c>
      <c r="D18224">
        <v>0.87332432070800003</v>
      </c>
      <c r="E18224">
        <v>20.065967016491701</v>
      </c>
    </row>
    <row r="18225" spans="1:5">
      <c r="A18225" t="s">
        <v>21100</v>
      </c>
      <c r="B18225" t="s">
        <v>21109</v>
      </c>
      <c r="C18225">
        <v>0</v>
      </c>
      <c r="D18225">
        <v>0.87332432070800003</v>
      </c>
      <c r="E18225">
        <v>20.065967016491701</v>
      </c>
    </row>
    <row r="18226" spans="1:5">
      <c r="A18226" t="s">
        <v>21100</v>
      </c>
      <c r="B18226" t="s">
        <v>21110</v>
      </c>
      <c r="C18226">
        <f>0</f>
        <v>0</v>
      </c>
      <c r="D18226">
        <v>0.87332432070800003</v>
      </c>
      <c r="E18226">
        <v>20.065967016491701</v>
      </c>
    </row>
    <row r="18227" spans="1:5">
      <c r="A18227" t="s">
        <v>21100</v>
      </c>
      <c r="B18227" t="s">
        <v>21111</v>
      </c>
      <c r="C18227">
        <f>0</f>
        <v>0</v>
      </c>
      <c r="D18227">
        <v>0.87332432070800003</v>
      </c>
      <c r="E18227">
        <v>20.065967016491701</v>
      </c>
    </row>
    <row r="18228" spans="1:5">
      <c r="A18228" t="s">
        <v>21100</v>
      </c>
      <c r="B18228" t="s">
        <v>21112</v>
      </c>
      <c r="C18228">
        <v>0</v>
      </c>
      <c r="D18228">
        <v>0.87332432070800003</v>
      </c>
      <c r="E18228">
        <v>20.065967016491701</v>
      </c>
    </row>
    <row r="18229" spans="1:5">
      <c r="A18229" t="s">
        <v>21100</v>
      </c>
      <c r="B18229" t="s">
        <v>21113</v>
      </c>
      <c r="C18229">
        <v>0</v>
      </c>
      <c r="D18229">
        <v>0.87332432070800003</v>
      </c>
      <c r="E18229">
        <v>20.065967016491701</v>
      </c>
    </row>
    <row r="18230" spans="1:5">
      <c r="A18230" t="s">
        <v>21114</v>
      </c>
      <c r="B18230" t="s">
        <v>21115</v>
      </c>
      <c r="C18230">
        <v>0</v>
      </c>
      <c r="D18230" t="s">
        <v>106</v>
      </c>
      <c r="E18230">
        <v>24</v>
      </c>
    </row>
    <row r="18231" spans="1:5">
      <c r="A18231" t="s">
        <v>21114</v>
      </c>
      <c r="B18231" t="s">
        <v>21116</v>
      </c>
      <c r="C18231">
        <v>0.150106817088</v>
      </c>
      <c r="D18231" t="s">
        <v>106</v>
      </c>
      <c r="E18231">
        <v>24</v>
      </c>
    </row>
    <row r="18232" spans="1:5">
      <c r="A18232" t="s">
        <v>21114</v>
      </c>
      <c r="B18232" t="s">
        <v>21117</v>
      </c>
      <c r="C18232">
        <f>0.0696424003327</f>
        <v>6.96424003327E-2</v>
      </c>
      <c r="D18232" t="s">
        <v>106</v>
      </c>
      <c r="E18232">
        <v>24</v>
      </c>
    </row>
    <row r="18233" spans="1:5">
      <c r="A18233" t="s">
        <v>21118</v>
      </c>
      <c r="B18233" t="s">
        <v>21119</v>
      </c>
      <c r="C18233">
        <v>0</v>
      </c>
      <c r="D18233" t="s">
        <v>106</v>
      </c>
      <c r="E18233">
        <v>5.69715142428785</v>
      </c>
    </row>
    <row r="18234" spans="1:5">
      <c r="A18234" t="s">
        <v>21118</v>
      </c>
      <c r="B18234" t="s">
        <v>21120</v>
      </c>
      <c r="C18234">
        <f>0</f>
        <v>0</v>
      </c>
      <c r="D18234" t="s">
        <v>106</v>
      </c>
      <c r="E18234">
        <v>5.69715142428785</v>
      </c>
    </row>
    <row r="18235" spans="1:5">
      <c r="A18235" t="s">
        <v>21118</v>
      </c>
      <c r="B18235" t="s">
        <v>21121</v>
      </c>
      <c r="C18235">
        <f>0</f>
        <v>0</v>
      </c>
      <c r="D18235" t="s">
        <v>106</v>
      </c>
      <c r="E18235">
        <v>5.69715142428785</v>
      </c>
    </row>
    <row r="18236" spans="1:5">
      <c r="A18236" t="s">
        <v>21118</v>
      </c>
      <c r="B18236" t="s">
        <v>21122</v>
      </c>
      <c r="C18236">
        <v>0</v>
      </c>
      <c r="D18236" t="s">
        <v>106</v>
      </c>
      <c r="E18236">
        <v>5.69715142428785</v>
      </c>
    </row>
    <row r="18237" spans="1:5">
      <c r="A18237" t="s">
        <v>21118</v>
      </c>
      <c r="B18237" t="s">
        <v>21123</v>
      </c>
      <c r="C18237">
        <f>0</f>
        <v>0</v>
      </c>
      <c r="D18237" t="s">
        <v>106</v>
      </c>
      <c r="E18237">
        <v>5.69715142428785</v>
      </c>
    </row>
    <row r="18238" spans="1:5">
      <c r="A18238" t="s">
        <v>21118</v>
      </c>
      <c r="B18238" t="s">
        <v>21124</v>
      </c>
      <c r="C18238">
        <f>0</f>
        <v>0</v>
      </c>
      <c r="D18238" t="s">
        <v>106</v>
      </c>
      <c r="E18238">
        <v>5.69715142428785</v>
      </c>
    </row>
    <row r="18239" spans="1:5">
      <c r="A18239" t="s">
        <v>21118</v>
      </c>
      <c r="B18239" t="s">
        <v>21125</v>
      </c>
      <c r="C18239">
        <v>0</v>
      </c>
      <c r="D18239" t="s">
        <v>106</v>
      </c>
      <c r="E18239">
        <v>5.69715142428785</v>
      </c>
    </row>
    <row r="18240" spans="1:5">
      <c r="A18240" t="s">
        <v>21126</v>
      </c>
      <c r="B18240" t="s">
        <v>21127</v>
      </c>
      <c r="C18240">
        <f>0</f>
        <v>0</v>
      </c>
      <c r="D18240">
        <v>0.84252512804199997</v>
      </c>
      <c r="E18240">
        <v>1.6911544227886</v>
      </c>
    </row>
    <row r="18241" spans="1:5">
      <c r="A18241" t="s">
        <v>21126</v>
      </c>
      <c r="B18241" t="s">
        <v>21128</v>
      </c>
      <c r="C18241">
        <v>5.8526019930300001E-3</v>
      </c>
      <c r="D18241">
        <v>0.84252512804199997</v>
      </c>
      <c r="E18241">
        <v>1.6911544227886</v>
      </c>
    </row>
    <row r="18242" spans="1:5">
      <c r="A18242" t="s">
        <v>21126</v>
      </c>
      <c r="B18242" t="s">
        <v>21129</v>
      </c>
      <c r="C18242">
        <v>4.9954776474300001E-2</v>
      </c>
      <c r="D18242">
        <v>0.84252512804199997</v>
      </c>
      <c r="E18242">
        <v>1.6911544227886</v>
      </c>
    </row>
    <row r="18243" spans="1:5">
      <c r="A18243" t="s">
        <v>21126</v>
      </c>
      <c r="B18243" t="s">
        <v>21130</v>
      </c>
      <c r="C18243">
        <v>0</v>
      </c>
      <c r="D18243">
        <v>0.84252512804199997</v>
      </c>
      <c r="E18243">
        <v>1.6911544227886</v>
      </c>
    </row>
    <row r="18244" spans="1:5">
      <c r="A18244" t="s">
        <v>21131</v>
      </c>
      <c r="B18244" t="s">
        <v>21132</v>
      </c>
      <c r="C18244">
        <f>0.553509603598</f>
        <v>0.55350960359800006</v>
      </c>
      <c r="D18244">
        <v>0.76354003887800004</v>
      </c>
      <c r="E18244">
        <v>1.00749625187406</v>
      </c>
    </row>
    <row r="18245" spans="1:5">
      <c r="A18245" t="s">
        <v>21131</v>
      </c>
      <c r="B18245" t="s">
        <v>21133</v>
      </c>
      <c r="C18245">
        <v>0</v>
      </c>
      <c r="D18245">
        <v>0.76354003887800004</v>
      </c>
      <c r="E18245">
        <v>1.00749625187406</v>
      </c>
    </row>
    <row r="18246" spans="1:5">
      <c r="A18246" t="s">
        <v>21131</v>
      </c>
      <c r="B18246" t="s">
        <v>21134</v>
      </c>
      <c r="C18246">
        <v>5.2586132311600003E-2</v>
      </c>
      <c r="D18246">
        <v>0.76354003887800004</v>
      </c>
      <c r="E18246">
        <v>1.00749625187406</v>
      </c>
    </row>
    <row r="18247" spans="1:5">
      <c r="A18247" t="s">
        <v>21135</v>
      </c>
      <c r="B18247" t="s">
        <v>21136</v>
      </c>
      <c r="C18247">
        <f>0.11663142042</f>
        <v>0.11663142042000001</v>
      </c>
      <c r="D18247">
        <v>0.72175530233200003</v>
      </c>
      <c r="E18247">
        <v>0.503748125937031</v>
      </c>
    </row>
    <row r="18248" spans="1:5">
      <c r="A18248" t="s">
        <v>21135</v>
      </c>
      <c r="B18248" t="s">
        <v>21137</v>
      </c>
      <c r="C18248">
        <v>4.3081447092499997E-3</v>
      </c>
      <c r="D18248">
        <v>0.72175530233200003</v>
      </c>
      <c r="E18248">
        <v>0.503748125937031</v>
      </c>
    </row>
    <row r="18249" spans="1:5">
      <c r="A18249" t="s">
        <v>21135</v>
      </c>
      <c r="B18249" t="s">
        <v>21138</v>
      </c>
      <c r="C18249">
        <f>0</f>
        <v>0</v>
      </c>
      <c r="D18249">
        <v>0.72175530233200003</v>
      </c>
      <c r="E18249">
        <v>0.503748125937031</v>
      </c>
    </row>
    <row r="18250" spans="1:5">
      <c r="A18250" t="s">
        <v>21135</v>
      </c>
      <c r="B18250" t="s">
        <v>21139</v>
      </c>
      <c r="C18250">
        <v>0</v>
      </c>
      <c r="D18250">
        <v>0.72175530233200003</v>
      </c>
      <c r="E18250">
        <v>0.503748125937031</v>
      </c>
    </row>
    <row r="18251" spans="1:5">
      <c r="A18251" t="s">
        <v>21135</v>
      </c>
      <c r="B18251" t="s">
        <v>21140</v>
      </c>
      <c r="C18251">
        <f>0</f>
        <v>0</v>
      </c>
      <c r="D18251">
        <v>0.72175530233200003</v>
      </c>
      <c r="E18251">
        <v>0.503748125937031</v>
      </c>
    </row>
    <row r="18252" spans="1:5">
      <c r="A18252" t="s">
        <v>21135</v>
      </c>
      <c r="B18252" t="s">
        <v>21141</v>
      </c>
      <c r="C18252">
        <f>0</f>
        <v>0</v>
      </c>
      <c r="D18252">
        <v>0.72175530233200003</v>
      </c>
      <c r="E18252">
        <v>0.503748125937031</v>
      </c>
    </row>
    <row r="18253" spans="1:5">
      <c r="A18253" t="s">
        <v>21135</v>
      </c>
      <c r="B18253" t="s">
        <v>21142</v>
      </c>
      <c r="C18253">
        <v>0</v>
      </c>
      <c r="D18253">
        <v>0.72175530233200003</v>
      </c>
      <c r="E18253">
        <v>0.503748125937031</v>
      </c>
    </row>
    <row r="18254" spans="1:5">
      <c r="A18254" t="s">
        <v>21143</v>
      </c>
      <c r="B18254" t="s">
        <v>21144</v>
      </c>
      <c r="C18254">
        <f>0</f>
        <v>0</v>
      </c>
      <c r="D18254">
        <v>0.69482345509999999</v>
      </c>
      <c r="E18254">
        <v>24</v>
      </c>
    </row>
    <row r="18255" spans="1:5">
      <c r="A18255" t="s">
        <v>21145</v>
      </c>
      <c r="B18255" t="s">
        <v>21146</v>
      </c>
      <c r="C18255">
        <f>0</f>
        <v>0</v>
      </c>
      <c r="D18255" t="s">
        <v>106</v>
      </c>
      <c r="E18255">
        <v>3.13043478260869</v>
      </c>
    </row>
    <row r="18256" spans="1:5">
      <c r="A18256" t="s">
        <v>21145</v>
      </c>
      <c r="B18256" t="s">
        <v>21147</v>
      </c>
      <c r="C18256">
        <f>0</f>
        <v>0</v>
      </c>
      <c r="D18256" t="s">
        <v>106</v>
      </c>
      <c r="E18256">
        <v>3.13043478260869</v>
      </c>
    </row>
    <row r="18257" spans="1:5">
      <c r="A18257" t="s">
        <v>21145</v>
      </c>
      <c r="B18257" t="s">
        <v>21148</v>
      </c>
      <c r="C18257">
        <f>0</f>
        <v>0</v>
      </c>
      <c r="D18257" t="s">
        <v>106</v>
      </c>
      <c r="E18257">
        <v>3.13043478260869</v>
      </c>
    </row>
    <row r="18258" spans="1:5">
      <c r="A18258" t="s">
        <v>21145</v>
      </c>
      <c r="B18258" t="s">
        <v>21149</v>
      </c>
      <c r="C18258">
        <v>0</v>
      </c>
      <c r="D18258" t="s">
        <v>106</v>
      </c>
      <c r="E18258">
        <v>3.13043478260869</v>
      </c>
    </row>
    <row r="18259" spans="1:5">
      <c r="A18259" t="s">
        <v>21145</v>
      </c>
      <c r="B18259" t="s">
        <v>21150</v>
      </c>
      <c r="C18259">
        <f>0</f>
        <v>0</v>
      </c>
      <c r="D18259" t="s">
        <v>106</v>
      </c>
      <c r="E18259">
        <v>3.13043478260869</v>
      </c>
    </row>
    <row r="18260" spans="1:5">
      <c r="A18260" t="s">
        <v>21151</v>
      </c>
      <c r="B18260" t="s">
        <v>21152</v>
      </c>
      <c r="C18260">
        <f>0</f>
        <v>0</v>
      </c>
      <c r="D18260" t="s">
        <v>106</v>
      </c>
      <c r="E18260">
        <v>9.3073463268365799</v>
      </c>
    </row>
    <row r="18261" spans="1:5">
      <c r="A18261" t="s">
        <v>21151</v>
      </c>
      <c r="B18261" t="s">
        <v>21153</v>
      </c>
      <c r="C18261">
        <v>0</v>
      </c>
      <c r="D18261" t="s">
        <v>106</v>
      </c>
      <c r="E18261">
        <v>9.3073463268365799</v>
      </c>
    </row>
    <row r="18262" spans="1:5">
      <c r="A18262" t="s">
        <v>21151</v>
      </c>
      <c r="B18262" t="s">
        <v>21154</v>
      </c>
      <c r="C18262">
        <f>0</f>
        <v>0</v>
      </c>
      <c r="D18262" t="s">
        <v>106</v>
      </c>
      <c r="E18262">
        <v>9.3073463268365799</v>
      </c>
    </row>
    <row r="18263" spans="1:5">
      <c r="A18263" t="s">
        <v>21151</v>
      </c>
      <c r="B18263" t="s">
        <v>21155</v>
      </c>
      <c r="C18263">
        <v>0</v>
      </c>
      <c r="D18263" t="s">
        <v>106</v>
      </c>
      <c r="E18263">
        <v>9.3073463268365799</v>
      </c>
    </row>
    <row r="18264" spans="1:5">
      <c r="A18264" t="s">
        <v>21151</v>
      </c>
      <c r="B18264" t="s">
        <v>21156</v>
      </c>
      <c r="C18264">
        <v>0</v>
      </c>
      <c r="D18264" t="s">
        <v>106</v>
      </c>
      <c r="E18264">
        <v>9.3073463268365799</v>
      </c>
    </row>
    <row r="18265" spans="1:5">
      <c r="A18265" t="s">
        <v>21151</v>
      </c>
      <c r="B18265" t="s">
        <v>21157</v>
      </c>
      <c r="C18265">
        <f>0</f>
        <v>0</v>
      </c>
      <c r="D18265" t="s">
        <v>106</v>
      </c>
      <c r="E18265">
        <v>9.3073463268365799</v>
      </c>
    </row>
    <row r="18266" spans="1:5">
      <c r="A18266" t="s">
        <v>21151</v>
      </c>
      <c r="B18266" t="s">
        <v>21158</v>
      </c>
      <c r="C18266">
        <f>0</f>
        <v>0</v>
      </c>
      <c r="D18266" t="s">
        <v>106</v>
      </c>
      <c r="E18266">
        <v>9.3073463268365799</v>
      </c>
    </row>
    <row r="18267" spans="1:5">
      <c r="A18267" t="s">
        <v>21151</v>
      </c>
      <c r="B18267" t="s">
        <v>21159</v>
      </c>
      <c r="C18267">
        <f>0</f>
        <v>0</v>
      </c>
      <c r="D18267" t="s">
        <v>106</v>
      </c>
      <c r="E18267">
        <v>9.3073463268365799</v>
      </c>
    </row>
    <row r="18268" spans="1:5">
      <c r="A18268" t="s">
        <v>21151</v>
      </c>
      <c r="B18268" t="s">
        <v>21160</v>
      </c>
      <c r="C18268">
        <f>0</f>
        <v>0</v>
      </c>
      <c r="D18268" t="s">
        <v>106</v>
      </c>
      <c r="E18268">
        <v>9.3073463268365799</v>
      </c>
    </row>
    <row r="18269" spans="1:5">
      <c r="A18269" t="s">
        <v>21151</v>
      </c>
      <c r="B18269" t="s">
        <v>21161</v>
      </c>
      <c r="C18269">
        <f>0</f>
        <v>0</v>
      </c>
      <c r="D18269" t="s">
        <v>106</v>
      </c>
      <c r="E18269">
        <v>9.3073463268365799</v>
      </c>
    </row>
    <row r="18270" spans="1:5">
      <c r="A18270" t="s">
        <v>21151</v>
      </c>
      <c r="B18270" t="s">
        <v>21162</v>
      </c>
      <c r="C18270">
        <v>0</v>
      </c>
      <c r="D18270" t="s">
        <v>106</v>
      </c>
      <c r="E18270">
        <v>9.3073463268365799</v>
      </c>
    </row>
    <row r="18271" spans="1:5">
      <c r="A18271" t="s">
        <v>21151</v>
      </c>
      <c r="B18271" t="s">
        <v>21163</v>
      </c>
      <c r="C18271">
        <v>0</v>
      </c>
      <c r="D18271" t="s">
        <v>106</v>
      </c>
      <c r="E18271">
        <v>9.3073463268365799</v>
      </c>
    </row>
    <row r="18272" spans="1:5">
      <c r="A18272" t="s">
        <v>21151</v>
      </c>
      <c r="B18272" t="s">
        <v>21164</v>
      </c>
      <c r="C18272">
        <v>0</v>
      </c>
      <c r="D18272" t="s">
        <v>106</v>
      </c>
      <c r="E18272">
        <v>9.3073463268365799</v>
      </c>
    </row>
    <row r="18273" spans="1:5">
      <c r="A18273" t="s">
        <v>21151</v>
      </c>
      <c r="B18273" t="s">
        <v>21165</v>
      </c>
      <c r="C18273">
        <f>0</f>
        <v>0</v>
      </c>
      <c r="D18273" t="s">
        <v>106</v>
      </c>
      <c r="E18273">
        <v>9.3073463268365799</v>
      </c>
    </row>
    <row r="18274" spans="1:5">
      <c r="A18274" t="s">
        <v>21166</v>
      </c>
      <c r="B18274" t="s">
        <v>21167</v>
      </c>
      <c r="C18274">
        <f>0</f>
        <v>0</v>
      </c>
      <c r="D18274">
        <v>0.56931466216500004</v>
      </c>
      <c r="E18274">
        <v>8.5757121439280297</v>
      </c>
    </row>
    <row r="18275" spans="1:5">
      <c r="A18275" t="s">
        <v>21166</v>
      </c>
      <c r="B18275" t="s">
        <v>21168</v>
      </c>
      <c r="C18275">
        <v>5.4266683174199998E-2</v>
      </c>
      <c r="D18275">
        <v>0.56931466216500004</v>
      </c>
      <c r="E18275">
        <v>8.5757121439280297</v>
      </c>
    </row>
    <row r="18276" spans="1:5">
      <c r="A18276" t="s">
        <v>21166</v>
      </c>
      <c r="B18276" t="s">
        <v>21169</v>
      </c>
      <c r="C18276">
        <v>0</v>
      </c>
      <c r="D18276">
        <v>0.56931466216500004</v>
      </c>
      <c r="E18276">
        <v>8.5757121439280297</v>
      </c>
    </row>
    <row r="18277" spans="1:5">
      <c r="A18277" t="s">
        <v>21170</v>
      </c>
      <c r="B18277" t="s">
        <v>21171</v>
      </c>
      <c r="C18277">
        <f>0.314177516089</f>
        <v>0.31417751608900002</v>
      </c>
      <c r="D18277">
        <v>0.99289567192499995</v>
      </c>
      <c r="E18277">
        <v>8.2878560719640095</v>
      </c>
    </row>
    <row r="18278" spans="1:5">
      <c r="A18278" t="s">
        <v>21170</v>
      </c>
      <c r="B18278" t="s">
        <v>21172</v>
      </c>
      <c r="C18278">
        <f>0</f>
        <v>0</v>
      </c>
      <c r="D18278">
        <v>0.99289567192499995</v>
      </c>
      <c r="E18278">
        <v>8.2878560719640095</v>
      </c>
    </row>
    <row r="18279" spans="1:5">
      <c r="A18279" t="s">
        <v>21170</v>
      </c>
      <c r="B18279" t="s">
        <v>21173</v>
      </c>
      <c r="C18279">
        <v>0</v>
      </c>
      <c r="D18279">
        <v>0.99289567192499995</v>
      </c>
      <c r="E18279">
        <v>8.2878560719640095</v>
      </c>
    </row>
    <row r="18280" spans="1:5">
      <c r="A18280" t="s">
        <v>21170</v>
      </c>
      <c r="B18280" t="s">
        <v>21174</v>
      </c>
      <c r="C18280">
        <f>0</f>
        <v>0</v>
      </c>
      <c r="D18280">
        <v>0.99289567192499995</v>
      </c>
      <c r="E18280">
        <v>8.2878560719640095</v>
      </c>
    </row>
    <row r="18281" spans="1:5">
      <c r="A18281" t="s">
        <v>21170</v>
      </c>
      <c r="B18281" t="s">
        <v>21175</v>
      </c>
      <c r="C18281">
        <v>2.6679690219200001E-2</v>
      </c>
      <c r="D18281">
        <v>0.99289567192499995</v>
      </c>
      <c r="E18281">
        <v>8.2878560719640095</v>
      </c>
    </row>
    <row r="18282" spans="1:5">
      <c r="A18282" t="s">
        <v>21170</v>
      </c>
      <c r="B18282" t="s">
        <v>21176</v>
      </c>
      <c r="C18282">
        <v>0</v>
      </c>
      <c r="D18282">
        <v>0.99289567192499995</v>
      </c>
      <c r="E18282">
        <v>8.2878560719640095</v>
      </c>
    </row>
    <row r="18283" spans="1:5">
      <c r="A18283" t="s">
        <v>21170</v>
      </c>
      <c r="B18283" t="s">
        <v>21177</v>
      </c>
      <c r="C18283">
        <v>0</v>
      </c>
      <c r="D18283">
        <v>0.99289567192499995</v>
      </c>
      <c r="E18283">
        <v>8.2878560719640095</v>
      </c>
    </row>
    <row r="18284" spans="1:5">
      <c r="A18284" t="s">
        <v>21170</v>
      </c>
      <c r="B18284" t="s">
        <v>21178</v>
      </c>
      <c r="C18284">
        <f>0</f>
        <v>0</v>
      </c>
      <c r="D18284">
        <v>0.99289567192499995</v>
      </c>
      <c r="E18284">
        <v>8.2878560719640095</v>
      </c>
    </row>
    <row r="18285" spans="1:5">
      <c r="A18285" t="s">
        <v>21170</v>
      </c>
      <c r="B18285" t="s">
        <v>21179</v>
      </c>
      <c r="C18285">
        <v>0</v>
      </c>
      <c r="D18285">
        <v>0.99289567192499995</v>
      </c>
      <c r="E18285">
        <v>8.2878560719640095</v>
      </c>
    </row>
    <row r="18286" spans="1:5">
      <c r="A18286" t="s">
        <v>21170</v>
      </c>
      <c r="B18286" t="s">
        <v>21180</v>
      </c>
      <c r="C18286">
        <v>0</v>
      </c>
      <c r="D18286">
        <v>0.99289567192499995</v>
      </c>
      <c r="E18286">
        <v>8.2878560719640095</v>
      </c>
    </row>
    <row r="18287" spans="1:5">
      <c r="A18287" t="s">
        <v>21181</v>
      </c>
      <c r="B18287" t="s">
        <v>21182</v>
      </c>
      <c r="C18287">
        <v>0.69509493017099999</v>
      </c>
      <c r="D18287">
        <v>0.94240138091600001</v>
      </c>
      <c r="E18287">
        <v>0.31184407796101898</v>
      </c>
    </row>
    <row r="18288" spans="1:5">
      <c r="A18288" t="s">
        <v>21181</v>
      </c>
      <c r="B18288" t="s">
        <v>21183</v>
      </c>
      <c r="C18288">
        <v>0</v>
      </c>
      <c r="D18288">
        <v>0.94240138091600001</v>
      </c>
      <c r="E18288">
        <v>0.31184407796101898</v>
      </c>
    </row>
    <row r="18289" spans="1:5">
      <c r="A18289" t="s">
        <v>21181</v>
      </c>
      <c r="B18289" t="s">
        <v>21184</v>
      </c>
      <c r="C18289">
        <f>0.0665588144676</f>
        <v>6.6558814467599994E-2</v>
      </c>
      <c r="D18289">
        <v>0.94240138091600001</v>
      </c>
      <c r="E18289">
        <v>0.31184407796101898</v>
      </c>
    </row>
    <row r="18290" spans="1:5">
      <c r="A18290" t="s">
        <v>21185</v>
      </c>
      <c r="B18290" t="s">
        <v>21186</v>
      </c>
      <c r="C18290">
        <v>0</v>
      </c>
      <c r="D18290">
        <v>0.91531263198299995</v>
      </c>
      <c r="E18290">
        <v>6.8005997001499203</v>
      </c>
    </row>
    <row r="18291" spans="1:5">
      <c r="A18291" t="s">
        <v>21185</v>
      </c>
      <c r="B18291" t="s">
        <v>21187</v>
      </c>
      <c r="C18291">
        <f>0</f>
        <v>0</v>
      </c>
      <c r="D18291">
        <v>0.91531263198299995</v>
      </c>
      <c r="E18291">
        <v>6.8005997001499203</v>
      </c>
    </row>
    <row r="18292" spans="1:5">
      <c r="A18292" t="s">
        <v>21188</v>
      </c>
      <c r="B18292" t="s">
        <v>21189</v>
      </c>
      <c r="C18292">
        <f>0</f>
        <v>0</v>
      </c>
      <c r="D18292" t="s">
        <v>106</v>
      </c>
      <c r="E18292">
        <v>24</v>
      </c>
    </row>
    <row r="18293" spans="1:5">
      <c r="A18293" t="s">
        <v>21188</v>
      </c>
      <c r="B18293" t="s">
        <v>21190</v>
      </c>
      <c r="C18293">
        <f>0</f>
        <v>0</v>
      </c>
      <c r="D18293" t="s">
        <v>106</v>
      </c>
      <c r="E18293">
        <v>24</v>
      </c>
    </row>
    <row r="18294" spans="1:5">
      <c r="A18294" t="s">
        <v>21188</v>
      </c>
      <c r="B18294" t="s">
        <v>21191</v>
      </c>
      <c r="C18294">
        <v>0</v>
      </c>
      <c r="D18294" t="s">
        <v>106</v>
      </c>
      <c r="E18294">
        <v>24</v>
      </c>
    </row>
    <row r="18295" spans="1:5">
      <c r="A18295" t="s">
        <v>21188</v>
      </c>
      <c r="B18295" t="s">
        <v>21192</v>
      </c>
      <c r="C18295">
        <v>0</v>
      </c>
      <c r="D18295" t="s">
        <v>106</v>
      </c>
      <c r="E18295">
        <v>24</v>
      </c>
    </row>
    <row r="18296" spans="1:5">
      <c r="A18296" t="s">
        <v>21193</v>
      </c>
      <c r="B18296" t="s">
        <v>21194</v>
      </c>
      <c r="C18296">
        <v>0</v>
      </c>
      <c r="D18296" t="s">
        <v>106</v>
      </c>
      <c r="E18296">
        <v>3.68215892053973</v>
      </c>
    </row>
    <row r="18297" spans="1:5">
      <c r="A18297" t="s">
        <v>21193</v>
      </c>
      <c r="B18297" t="s">
        <v>21195</v>
      </c>
      <c r="C18297">
        <v>0</v>
      </c>
      <c r="D18297" t="s">
        <v>106</v>
      </c>
      <c r="E18297">
        <v>3.68215892053973</v>
      </c>
    </row>
    <row r="18298" spans="1:5">
      <c r="A18298" t="s">
        <v>21193</v>
      </c>
      <c r="B18298" t="s">
        <v>21196</v>
      </c>
      <c r="C18298">
        <f>0</f>
        <v>0</v>
      </c>
      <c r="D18298" t="s">
        <v>106</v>
      </c>
      <c r="E18298">
        <v>3.68215892053973</v>
      </c>
    </row>
    <row r="18299" spans="1:5">
      <c r="A18299" t="s">
        <v>21197</v>
      </c>
      <c r="B18299" t="s">
        <v>21198</v>
      </c>
      <c r="C18299">
        <v>0</v>
      </c>
      <c r="D18299">
        <v>0.72100292053100001</v>
      </c>
      <c r="E18299">
        <v>21.8770614692653</v>
      </c>
    </row>
    <row r="18300" spans="1:5">
      <c r="A18300" t="s">
        <v>21197</v>
      </c>
      <c r="B18300" t="s">
        <v>21199</v>
      </c>
      <c r="C18300">
        <v>0</v>
      </c>
      <c r="D18300">
        <v>0.72100292053100001</v>
      </c>
      <c r="E18300">
        <v>21.8770614692653</v>
      </c>
    </row>
    <row r="18301" spans="1:5">
      <c r="A18301" t="s">
        <v>21197</v>
      </c>
      <c r="B18301" t="s">
        <v>21200</v>
      </c>
      <c r="C18301">
        <v>0</v>
      </c>
      <c r="D18301">
        <v>0.72100292053100001</v>
      </c>
      <c r="E18301">
        <v>21.8770614692653</v>
      </c>
    </row>
    <row r="18302" spans="1:5">
      <c r="A18302" t="s">
        <v>21197</v>
      </c>
      <c r="B18302" t="s">
        <v>21201</v>
      </c>
      <c r="C18302">
        <v>0</v>
      </c>
      <c r="D18302">
        <v>0.72100292053100001</v>
      </c>
      <c r="E18302">
        <v>21.8770614692653</v>
      </c>
    </row>
    <row r="18303" spans="1:5">
      <c r="A18303" t="s">
        <v>21197</v>
      </c>
      <c r="B18303" t="s">
        <v>21202</v>
      </c>
      <c r="C18303">
        <v>0</v>
      </c>
      <c r="D18303">
        <v>0.72100292053100001</v>
      </c>
      <c r="E18303">
        <v>21.8770614692653</v>
      </c>
    </row>
    <row r="18304" spans="1:5">
      <c r="A18304" t="s">
        <v>21197</v>
      </c>
      <c r="B18304" t="s">
        <v>21203</v>
      </c>
      <c r="C18304">
        <v>6.5274129293299999E-3</v>
      </c>
      <c r="D18304">
        <v>0.72100292053100001</v>
      </c>
      <c r="E18304">
        <v>21.8770614692653</v>
      </c>
    </row>
    <row r="18305" spans="1:5">
      <c r="A18305" t="s">
        <v>21197</v>
      </c>
      <c r="B18305" t="s">
        <v>21204</v>
      </c>
      <c r="C18305">
        <v>2.4583721212899999E-2</v>
      </c>
      <c r="D18305">
        <v>0.72100292053100001</v>
      </c>
      <c r="E18305">
        <v>21.8770614692653</v>
      </c>
    </row>
    <row r="18306" spans="1:5">
      <c r="A18306" t="s">
        <v>21205</v>
      </c>
      <c r="B18306" t="s">
        <v>21206</v>
      </c>
      <c r="C18306">
        <v>0.138109791876</v>
      </c>
      <c r="D18306" t="s">
        <v>106</v>
      </c>
      <c r="E18306">
        <v>2.79460269865067</v>
      </c>
    </row>
    <row r="18307" spans="1:5">
      <c r="A18307" t="s">
        <v>21205</v>
      </c>
      <c r="B18307" t="s">
        <v>21207</v>
      </c>
      <c r="C18307">
        <v>0</v>
      </c>
      <c r="D18307" t="s">
        <v>106</v>
      </c>
      <c r="E18307">
        <v>2.79460269865067</v>
      </c>
    </row>
    <row r="18308" spans="1:5">
      <c r="A18308" t="s">
        <v>21205</v>
      </c>
      <c r="B18308" t="s">
        <v>21208</v>
      </c>
      <c r="C18308">
        <v>0</v>
      </c>
      <c r="D18308" t="s">
        <v>106</v>
      </c>
      <c r="E18308">
        <v>2.79460269865067</v>
      </c>
    </row>
    <row r="18309" spans="1:5">
      <c r="A18309" t="s">
        <v>21205</v>
      </c>
      <c r="B18309" t="s">
        <v>21209</v>
      </c>
      <c r="C18309">
        <f>0</f>
        <v>0</v>
      </c>
      <c r="D18309" t="s">
        <v>106</v>
      </c>
      <c r="E18309">
        <v>2.79460269865067</v>
      </c>
    </row>
    <row r="18310" spans="1:5">
      <c r="A18310" t="s">
        <v>21205</v>
      </c>
      <c r="B18310" t="s">
        <v>21210</v>
      </c>
      <c r="C18310">
        <f>0</f>
        <v>0</v>
      </c>
      <c r="D18310" t="s">
        <v>106</v>
      </c>
      <c r="E18310">
        <v>2.79460269865067</v>
      </c>
    </row>
    <row r="18311" spans="1:5">
      <c r="A18311" t="s">
        <v>21205</v>
      </c>
      <c r="B18311" t="s">
        <v>21211</v>
      </c>
      <c r="C18311">
        <f>0</f>
        <v>0</v>
      </c>
      <c r="D18311" t="s">
        <v>106</v>
      </c>
      <c r="E18311">
        <v>2.79460269865067</v>
      </c>
    </row>
    <row r="18312" spans="1:5">
      <c r="A18312" t="s">
        <v>21205</v>
      </c>
      <c r="B18312" t="s">
        <v>21212</v>
      </c>
      <c r="C18312">
        <v>0.19007723020600001</v>
      </c>
      <c r="D18312" t="s">
        <v>106</v>
      </c>
      <c r="E18312">
        <v>2.79460269865067</v>
      </c>
    </row>
    <row r="18313" spans="1:5">
      <c r="A18313" t="s">
        <v>21213</v>
      </c>
      <c r="B18313" t="s">
        <v>21214</v>
      </c>
      <c r="C18313">
        <f>0.462764503585</f>
        <v>0.46276450358499999</v>
      </c>
      <c r="D18313">
        <v>0.84978071934900001</v>
      </c>
      <c r="E18313">
        <v>1.16341829085457</v>
      </c>
    </row>
    <row r="18314" spans="1:5">
      <c r="A18314" t="s">
        <v>21215</v>
      </c>
      <c r="B18314" t="s">
        <v>21216</v>
      </c>
      <c r="C18314">
        <v>0</v>
      </c>
      <c r="D18314" t="s">
        <v>106</v>
      </c>
      <c r="E18314">
        <v>23.280359820089899</v>
      </c>
    </row>
    <row r="18315" spans="1:5">
      <c r="A18315" t="s">
        <v>21215</v>
      </c>
      <c r="B18315" t="s">
        <v>21217</v>
      </c>
      <c r="C18315">
        <v>0</v>
      </c>
      <c r="D18315" t="s">
        <v>106</v>
      </c>
      <c r="E18315">
        <v>23.280359820089899</v>
      </c>
    </row>
    <row r="18316" spans="1:5">
      <c r="A18316" t="s">
        <v>21215</v>
      </c>
      <c r="B18316" t="s">
        <v>21218</v>
      </c>
      <c r="C18316">
        <f>0</f>
        <v>0</v>
      </c>
      <c r="D18316" t="s">
        <v>106</v>
      </c>
      <c r="E18316">
        <v>23.280359820089899</v>
      </c>
    </row>
    <row r="18317" spans="1:5">
      <c r="A18317" t="s">
        <v>21215</v>
      </c>
      <c r="B18317" t="s">
        <v>21219</v>
      </c>
      <c r="C18317">
        <v>0</v>
      </c>
      <c r="D18317" t="s">
        <v>106</v>
      </c>
      <c r="E18317">
        <v>23.280359820089899</v>
      </c>
    </row>
    <row r="18318" spans="1:5">
      <c r="A18318" t="s">
        <v>21215</v>
      </c>
      <c r="B18318" t="s">
        <v>21220</v>
      </c>
      <c r="C18318">
        <v>0</v>
      </c>
      <c r="D18318" t="s">
        <v>106</v>
      </c>
      <c r="E18318">
        <v>23.280359820089899</v>
      </c>
    </row>
    <row r="18319" spans="1:5">
      <c r="A18319" t="s">
        <v>21221</v>
      </c>
      <c r="B18319" t="s">
        <v>21222</v>
      </c>
      <c r="C18319">
        <v>0</v>
      </c>
      <c r="D18319">
        <v>0.85455659961700003</v>
      </c>
      <c r="E18319">
        <v>0.215892053973013</v>
      </c>
    </row>
    <row r="18320" spans="1:5">
      <c r="A18320" t="s">
        <v>21221</v>
      </c>
      <c r="B18320" t="s">
        <v>21223</v>
      </c>
      <c r="C18320">
        <v>0.43216883815599999</v>
      </c>
      <c r="D18320">
        <v>0.85455659961700003</v>
      </c>
      <c r="E18320">
        <v>0.215892053973013</v>
      </c>
    </row>
    <row r="18321" spans="1:5">
      <c r="A18321" t="s">
        <v>21221</v>
      </c>
      <c r="B18321" t="s">
        <v>21224</v>
      </c>
      <c r="C18321">
        <f>0</f>
        <v>0</v>
      </c>
      <c r="D18321">
        <v>0.85455659961700003</v>
      </c>
      <c r="E18321">
        <v>0.215892053973013</v>
      </c>
    </row>
    <row r="18322" spans="1:5">
      <c r="A18322" t="s">
        <v>21221</v>
      </c>
      <c r="B18322" t="s">
        <v>21225</v>
      </c>
      <c r="C18322">
        <v>0</v>
      </c>
      <c r="D18322">
        <v>0.85455659961700003</v>
      </c>
      <c r="E18322">
        <v>0.215892053973013</v>
      </c>
    </row>
    <row r="18323" spans="1:5">
      <c r="A18323" t="s">
        <v>21221</v>
      </c>
      <c r="B18323" t="s">
        <v>21226</v>
      </c>
      <c r="C18323">
        <v>0</v>
      </c>
      <c r="D18323">
        <v>0.85455659961700003</v>
      </c>
      <c r="E18323">
        <v>0.215892053973013</v>
      </c>
    </row>
    <row r="18324" spans="1:5">
      <c r="A18324" t="s">
        <v>21221</v>
      </c>
      <c r="B18324" t="s">
        <v>21227</v>
      </c>
      <c r="C18324">
        <f>0</f>
        <v>0</v>
      </c>
      <c r="D18324">
        <v>0.85455659961700003</v>
      </c>
      <c r="E18324">
        <v>0.215892053973013</v>
      </c>
    </row>
    <row r="18325" spans="1:5">
      <c r="A18325" t="s">
        <v>21221</v>
      </c>
      <c r="B18325" t="s">
        <v>21228</v>
      </c>
      <c r="C18325">
        <v>0</v>
      </c>
      <c r="D18325">
        <v>0.85455659961700003</v>
      </c>
      <c r="E18325">
        <v>0.215892053973013</v>
      </c>
    </row>
    <row r="18326" spans="1:5">
      <c r="A18326" t="s">
        <v>21221</v>
      </c>
      <c r="B18326" t="s">
        <v>21229</v>
      </c>
      <c r="C18326">
        <f>0</f>
        <v>0</v>
      </c>
      <c r="D18326">
        <v>0.85455659961700003</v>
      </c>
      <c r="E18326">
        <v>0.215892053973013</v>
      </c>
    </row>
    <row r="18327" spans="1:5">
      <c r="A18327" t="s">
        <v>21230</v>
      </c>
      <c r="B18327" t="s">
        <v>21231</v>
      </c>
      <c r="C18327">
        <f>0</f>
        <v>0</v>
      </c>
      <c r="D18327">
        <v>0.69499282866500001</v>
      </c>
      <c r="E18327">
        <v>17.103448275862</v>
      </c>
    </row>
    <row r="18328" spans="1:5">
      <c r="A18328" t="s">
        <v>21230</v>
      </c>
      <c r="B18328" t="s">
        <v>21232</v>
      </c>
      <c r="C18328">
        <f>0</f>
        <v>0</v>
      </c>
      <c r="D18328">
        <v>0.69499282866500001</v>
      </c>
      <c r="E18328">
        <v>17.103448275862</v>
      </c>
    </row>
    <row r="18329" spans="1:5">
      <c r="A18329" t="s">
        <v>21230</v>
      </c>
      <c r="B18329" t="s">
        <v>21233</v>
      </c>
      <c r="C18329">
        <f>0</f>
        <v>0</v>
      </c>
      <c r="D18329">
        <v>0.69499282866500001</v>
      </c>
      <c r="E18329">
        <v>17.103448275862</v>
      </c>
    </row>
    <row r="18330" spans="1:5">
      <c r="A18330" t="s">
        <v>21230</v>
      </c>
      <c r="B18330" t="s">
        <v>21234</v>
      </c>
      <c r="C18330">
        <v>0</v>
      </c>
      <c r="D18330">
        <v>0.69499282866500001</v>
      </c>
      <c r="E18330">
        <v>17.103448275862</v>
      </c>
    </row>
    <row r="18331" spans="1:5">
      <c r="A18331" t="s">
        <v>21230</v>
      </c>
      <c r="B18331" t="s">
        <v>21235</v>
      </c>
      <c r="C18331">
        <v>0</v>
      </c>
      <c r="D18331">
        <v>0.69499282866500001</v>
      </c>
      <c r="E18331">
        <v>17.103448275862</v>
      </c>
    </row>
    <row r="18332" spans="1:5">
      <c r="A18332" t="s">
        <v>21236</v>
      </c>
      <c r="B18332" t="s">
        <v>21237</v>
      </c>
      <c r="C18332">
        <v>0</v>
      </c>
      <c r="D18332">
        <v>0.82831436910300005</v>
      </c>
      <c r="E18332">
        <v>13.0854572713643</v>
      </c>
    </row>
    <row r="18333" spans="1:5">
      <c r="A18333" t="s">
        <v>21236</v>
      </c>
      <c r="B18333" t="s">
        <v>21238</v>
      </c>
      <c r="C18333">
        <v>3.0559666484499998E-2</v>
      </c>
      <c r="D18333">
        <v>0.82831436910300005</v>
      </c>
      <c r="E18333">
        <v>13.0854572713643</v>
      </c>
    </row>
    <row r="18334" spans="1:5">
      <c r="A18334" t="s">
        <v>21236</v>
      </c>
      <c r="B18334" t="s">
        <v>21239</v>
      </c>
      <c r="C18334">
        <v>0</v>
      </c>
      <c r="D18334">
        <v>0.82831436910300005</v>
      </c>
      <c r="E18334">
        <v>13.0854572713643</v>
      </c>
    </row>
    <row r="18335" spans="1:5">
      <c r="A18335" t="s">
        <v>21236</v>
      </c>
      <c r="B18335" t="s">
        <v>21240</v>
      </c>
      <c r="C18335">
        <f>0</f>
        <v>0</v>
      </c>
      <c r="D18335">
        <v>0.82831436910300005</v>
      </c>
      <c r="E18335">
        <v>13.0854572713643</v>
      </c>
    </row>
    <row r="18336" spans="1:5">
      <c r="A18336" t="s">
        <v>21236</v>
      </c>
      <c r="B18336" t="s">
        <v>21241</v>
      </c>
      <c r="C18336">
        <v>0.21589053855400001</v>
      </c>
      <c r="D18336">
        <v>0.82831436910300005</v>
      </c>
      <c r="E18336">
        <v>13.0854572713643</v>
      </c>
    </row>
    <row r="18337" spans="1:5">
      <c r="A18337" t="s">
        <v>21236</v>
      </c>
      <c r="B18337" t="s">
        <v>21242</v>
      </c>
      <c r="C18337">
        <v>0</v>
      </c>
      <c r="D18337">
        <v>0.82831436910300005</v>
      </c>
      <c r="E18337">
        <v>13.0854572713643</v>
      </c>
    </row>
    <row r="18338" spans="1:5">
      <c r="A18338" t="s">
        <v>21236</v>
      </c>
      <c r="B18338" t="s">
        <v>21243</v>
      </c>
      <c r="C18338">
        <v>0</v>
      </c>
      <c r="D18338">
        <v>0.82831436910300005</v>
      </c>
      <c r="E18338">
        <v>13.0854572713643</v>
      </c>
    </row>
    <row r="18339" spans="1:5">
      <c r="A18339" t="s">
        <v>21244</v>
      </c>
      <c r="B18339" t="s">
        <v>21245</v>
      </c>
      <c r="C18339">
        <v>0</v>
      </c>
      <c r="D18339">
        <v>0.99158776855200004</v>
      </c>
      <c r="E18339">
        <v>0.69565217391304301</v>
      </c>
    </row>
    <row r="18340" spans="1:5">
      <c r="A18340" t="s">
        <v>21244</v>
      </c>
      <c r="B18340" t="s">
        <v>21246</v>
      </c>
      <c r="C18340">
        <f>0</f>
        <v>0</v>
      </c>
      <c r="D18340">
        <v>0.99158776855200004</v>
      </c>
      <c r="E18340">
        <v>0.69565217391304301</v>
      </c>
    </row>
    <row r="18341" spans="1:5">
      <c r="A18341" t="s">
        <v>21244</v>
      </c>
      <c r="B18341" t="s">
        <v>21247</v>
      </c>
      <c r="C18341">
        <f>0</f>
        <v>0</v>
      </c>
      <c r="D18341">
        <v>0.99158776855200004</v>
      </c>
      <c r="E18341">
        <v>0.69565217391304301</v>
      </c>
    </row>
    <row r="18342" spans="1:5">
      <c r="A18342" t="s">
        <v>21244</v>
      </c>
      <c r="B18342" t="s">
        <v>21248</v>
      </c>
      <c r="C18342">
        <f>0</f>
        <v>0</v>
      </c>
      <c r="D18342">
        <v>0.99158776855200004</v>
      </c>
      <c r="E18342">
        <v>0.69565217391304301</v>
      </c>
    </row>
    <row r="18343" spans="1:5">
      <c r="A18343" t="s">
        <v>21244</v>
      </c>
      <c r="B18343" t="s">
        <v>21249</v>
      </c>
      <c r="C18343">
        <f>0</f>
        <v>0</v>
      </c>
      <c r="D18343">
        <v>0.99158776855200004</v>
      </c>
      <c r="E18343">
        <v>0.69565217391304301</v>
      </c>
    </row>
    <row r="18344" spans="1:5">
      <c r="A18344" t="s">
        <v>21244</v>
      </c>
      <c r="B18344" t="s">
        <v>21250</v>
      </c>
      <c r="C18344">
        <f>0</f>
        <v>0</v>
      </c>
      <c r="D18344">
        <v>0.99158776855200004</v>
      </c>
      <c r="E18344">
        <v>0.69565217391304301</v>
      </c>
    </row>
    <row r="18345" spans="1:5">
      <c r="A18345" t="s">
        <v>21244</v>
      </c>
      <c r="B18345" t="s">
        <v>21251</v>
      </c>
      <c r="C18345">
        <f>0</f>
        <v>0</v>
      </c>
      <c r="D18345">
        <v>0.99158776855200004</v>
      </c>
      <c r="E18345">
        <v>0.69565217391304301</v>
      </c>
    </row>
    <row r="18346" spans="1:5">
      <c r="A18346" t="s">
        <v>21244</v>
      </c>
      <c r="B18346" t="s">
        <v>21252</v>
      </c>
      <c r="C18346">
        <v>0</v>
      </c>
      <c r="D18346">
        <v>0.99158776855200004</v>
      </c>
      <c r="E18346">
        <v>0.69565217391304301</v>
      </c>
    </row>
    <row r="18347" spans="1:5">
      <c r="A18347" t="s">
        <v>21244</v>
      </c>
      <c r="B18347" t="s">
        <v>21253</v>
      </c>
      <c r="C18347">
        <v>0</v>
      </c>
      <c r="D18347">
        <v>0.99158776855200004</v>
      </c>
      <c r="E18347">
        <v>0.69565217391304301</v>
      </c>
    </row>
    <row r="18348" spans="1:5">
      <c r="A18348" t="s">
        <v>21244</v>
      </c>
      <c r="B18348" t="s">
        <v>21254</v>
      </c>
      <c r="C18348">
        <f>0.468266704648</f>
        <v>0.46826670464800002</v>
      </c>
      <c r="D18348">
        <v>0.99158776855200004</v>
      </c>
      <c r="E18348">
        <v>0.69565217391304301</v>
      </c>
    </row>
    <row r="18349" spans="1:5">
      <c r="A18349" t="s">
        <v>21255</v>
      </c>
      <c r="B18349" t="s">
        <v>21256</v>
      </c>
      <c r="C18349">
        <v>0.170891154346</v>
      </c>
      <c r="D18349">
        <v>0.92117204145599996</v>
      </c>
      <c r="E18349">
        <v>12.5577211394302</v>
      </c>
    </row>
    <row r="18350" spans="1:5">
      <c r="A18350" t="s">
        <v>21255</v>
      </c>
      <c r="B18350" t="s">
        <v>21257</v>
      </c>
      <c r="C18350">
        <f>0</f>
        <v>0</v>
      </c>
      <c r="D18350">
        <v>0.92117204145599996</v>
      </c>
      <c r="E18350">
        <v>12.5577211394302</v>
      </c>
    </row>
    <row r="18351" spans="1:5">
      <c r="A18351" t="s">
        <v>21255</v>
      </c>
      <c r="B18351" t="s">
        <v>21258</v>
      </c>
      <c r="C18351">
        <v>0.27089356339199999</v>
      </c>
      <c r="D18351">
        <v>0.92117204145599996</v>
      </c>
      <c r="E18351">
        <v>12.5577211394302</v>
      </c>
    </row>
    <row r="18352" spans="1:5">
      <c r="A18352" t="s">
        <v>21259</v>
      </c>
      <c r="B18352" t="s">
        <v>21260</v>
      </c>
      <c r="C18352">
        <v>0</v>
      </c>
      <c r="D18352">
        <v>0.98393157120800001</v>
      </c>
      <c r="E18352">
        <v>23.280359820089899</v>
      </c>
    </row>
    <row r="18353" spans="1:5">
      <c r="A18353" t="s">
        <v>21259</v>
      </c>
      <c r="B18353" t="s">
        <v>21261</v>
      </c>
      <c r="C18353">
        <v>0</v>
      </c>
      <c r="D18353">
        <v>0.98393157120800001</v>
      </c>
      <c r="E18353">
        <v>23.280359820089899</v>
      </c>
    </row>
    <row r="18354" spans="1:5">
      <c r="A18354" t="s">
        <v>21259</v>
      </c>
      <c r="B18354" t="s">
        <v>21262</v>
      </c>
      <c r="C18354">
        <v>4.8473173523199999E-2</v>
      </c>
      <c r="D18354">
        <v>0.98393157120800001</v>
      </c>
      <c r="E18354">
        <v>23.280359820089899</v>
      </c>
    </row>
    <row r="18355" spans="1:5">
      <c r="A18355" t="s">
        <v>21259</v>
      </c>
      <c r="B18355" t="s">
        <v>21263</v>
      </c>
      <c r="C18355">
        <v>9.8180231328700004E-2</v>
      </c>
      <c r="D18355">
        <v>0.98393157120800001</v>
      </c>
      <c r="E18355">
        <v>23.280359820089899</v>
      </c>
    </row>
    <row r="18356" spans="1:5">
      <c r="A18356" t="s">
        <v>21264</v>
      </c>
      <c r="B18356" t="s">
        <v>21265</v>
      </c>
      <c r="C18356">
        <f>0.0208875230689</f>
        <v>2.0887523068899998E-2</v>
      </c>
      <c r="D18356">
        <v>0.91225177277199998</v>
      </c>
      <c r="E18356">
        <v>1.51124437781109</v>
      </c>
    </row>
    <row r="18357" spans="1:5">
      <c r="A18357" t="s">
        <v>21264</v>
      </c>
      <c r="B18357" t="s">
        <v>21266</v>
      </c>
      <c r="C18357">
        <v>0</v>
      </c>
      <c r="D18357">
        <v>0.91225177277199998</v>
      </c>
      <c r="E18357">
        <v>1.51124437781109</v>
      </c>
    </row>
    <row r="18358" spans="1:5">
      <c r="A18358" t="s">
        <v>21264</v>
      </c>
      <c r="B18358" t="s">
        <v>21267</v>
      </c>
      <c r="C18358">
        <v>0</v>
      </c>
      <c r="D18358">
        <v>0.91225177277199998</v>
      </c>
      <c r="E18358">
        <v>1.51124437781109</v>
      </c>
    </row>
    <row r="18359" spans="1:5">
      <c r="A18359" t="s">
        <v>21264</v>
      </c>
      <c r="B18359" t="s">
        <v>21268</v>
      </c>
      <c r="C18359">
        <v>0</v>
      </c>
      <c r="D18359">
        <v>0.91225177277199998</v>
      </c>
      <c r="E18359">
        <v>1.51124437781109</v>
      </c>
    </row>
    <row r="18360" spans="1:5">
      <c r="A18360" t="s">
        <v>21264</v>
      </c>
      <c r="B18360" t="s">
        <v>21269</v>
      </c>
      <c r="C18360">
        <f>0</f>
        <v>0</v>
      </c>
      <c r="D18360">
        <v>0.91225177277199998</v>
      </c>
      <c r="E18360">
        <v>1.51124437781109</v>
      </c>
    </row>
    <row r="18361" spans="1:5">
      <c r="A18361" t="s">
        <v>21264</v>
      </c>
      <c r="B18361" t="s">
        <v>21270</v>
      </c>
      <c r="C18361">
        <f>0</f>
        <v>0</v>
      </c>
      <c r="D18361">
        <v>0.91225177277199998</v>
      </c>
      <c r="E18361">
        <v>1.51124437781109</v>
      </c>
    </row>
    <row r="18362" spans="1:5">
      <c r="A18362" t="s">
        <v>21264</v>
      </c>
      <c r="B18362" t="s">
        <v>21271</v>
      </c>
      <c r="C18362">
        <v>1.49372845093E-2</v>
      </c>
      <c r="D18362">
        <v>0.91225177277199998</v>
      </c>
      <c r="E18362">
        <v>1.51124437781109</v>
      </c>
    </row>
    <row r="18363" spans="1:5">
      <c r="A18363" t="s">
        <v>21264</v>
      </c>
      <c r="B18363" t="s">
        <v>21272</v>
      </c>
      <c r="C18363">
        <v>0</v>
      </c>
      <c r="D18363">
        <v>0.91225177277199998</v>
      </c>
      <c r="E18363">
        <v>1.51124437781109</v>
      </c>
    </row>
    <row r="18364" spans="1:5">
      <c r="A18364" t="s">
        <v>21273</v>
      </c>
      <c r="B18364" t="s">
        <v>21274</v>
      </c>
      <c r="C18364">
        <f>0</f>
        <v>0</v>
      </c>
      <c r="D18364" t="s">
        <v>106</v>
      </c>
      <c r="E18364">
        <v>1.96701649175412</v>
      </c>
    </row>
    <row r="18365" spans="1:5">
      <c r="A18365" t="s">
        <v>21275</v>
      </c>
      <c r="B18365" t="s">
        <v>21276</v>
      </c>
      <c r="C18365">
        <v>0</v>
      </c>
      <c r="D18365">
        <v>0.99592427199199995</v>
      </c>
      <c r="E18365">
        <v>6.0569715142428704</v>
      </c>
    </row>
    <row r="18366" spans="1:5">
      <c r="A18366" t="s">
        <v>21275</v>
      </c>
      <c r="B18366" t="s">
        <v>21277</v>
      </c>
      <c r="C18366">
        <f>0</f>
        <v>0</v>
      </c>
      <c r="D18366">
        <v>0.99592427199199995</v>
      </c>
      <c r="E18366">
        <v>6.0569715142428704</v>
      </c>
    </row>
    <row r="18367" spans="1:5">
      <c r="A18367" t="s">
        <v>21275</v>
      </c>
      <c r="B18367" t="s">
        <v>21278</v>
      </c>
      <c r="C18367">
        <f>0</f>
        <v>0</v>
      </c>
      <c r="D18367">
        <v>0.99592427199199995</v>
      </c>
      <c r="E18367">
        <v>6.0569715142428704</v>
      </c>
    </row>
    <row r="18368" spans="1:5">
      <c r="A18368" t="s">
        <v>21275</v>
      </c>
      <c r="B18368" t="s">
        <v>21279</v>
      </c>
      <c r="C18368">
        <v>0</v>
      </c>
      <c r="D18368">
        <v>0.99592427199199995</v>
      </c>
      <c r="E18368">
        <v>6.0569715142428704</v>
      </c>
    </row>
    <row r="18369" spans="1:5">
      <c r="A18369" t="s">
        <v>21275</v>
      </c>
      <c r="B18369" t="s">
        <v>21280</v>
      </c>
      <c r="C18369">
        <f>0</f>
        <v>0</v>
      </c>
      <c r="D18369">
        <v>0.99592427199199995</v>
      </c>
      <c r="E18369">
        <v>6.0569715142428704</v>
      </c>
    </row>
    <row r="18370" spans="1:5">
      <c r="A18370" t="s">
        <v>21281</v>
      </c>
      <c r="B18370" t="s">
        <v>21282</v>
      </c>
      <c r="C18370">
        <v>0</v>
      </c>
      <c r="D18370">
        <v>0.98559208823099997</v>
      </c>
      <c r="E18370">
        <v>19.6341829085457</v>
      </c>
    </row>
    <row r="18371" spans="1:5">
      <c r="A18371" t="s">
        <v>21281</v>
      </c>
      <c r="B18371" t="s">
        <v>21283</v>
      </c>
      <c r="C18371">
        <v>0</v>
      </c>
      <c r="D18371">
        <v>0.98559208823099997</v>
      </c>
      <c r="E18371">
        <v>19.6341829085457</v>
      </c>
    </row>
    <row r="18372" spans="1:5">
      <c r="A18372" t="s">
        <v>21281</v>
      </c>
      <c r="B18372" t="s">
        <v>21284</v>
      </c>
      <c r="C18372">
        <v>1.7656146712400001E-2</v>
      </c>
      <c r="D18372">
        <v>0.98559208823099997</v>
      </c>
      <c r="E18372">
        <v>19.6341829085457</v>
      </c>
    </row>
    <row r="18373" spans="1:5">
      <c r="A18373" t="s">
        <v>21281</v>
      </c>
      <c r="B18373" t="s">
        <v>21285</v>
      </c>
      <c r="C18373">
        <v>6.9103888245799994E-2</v>
      </c>
      <c r="D18373">
        <v>0.98559208823099997</v>
      </c>
      <c r="E18373">
        <v>19.6341829085457</v>
      </c>
    </row>
    <row r="18374" spans="1:5">
      <c r="A18374" t="s">
        <v>21286</v>
      </c>
      <c r="B18374" t="s">
        <v>21287</v>
      </c>
      <c r="C18374">
        <v>0</v>
      </c>
      <c r="D18374">
        <v>0.95866180941900003</v>
      </c>
      <c r="E18374">
        <v>11.370314842578701</v>
      </c>
    </row>
    <row r="18375" spans="1:5">
      <c r="A18375" t="s">
        <v>21286</v>
      </c>
      <c r="B18375" t="s">
        <v>21288</v>
      </c>
      <c r="C18375">
        <v>0.16188092696199999</v>
      </c>
      <c r="D18375">
        <v>0.95866180941900003</v>
      </c>
      <c r="E18375">
        <v>11.370314842578701</v>
      </c>
    </row>
    <row r="18376" spans="1:5">
      <c r="A18376" t="s">
        <v>21286</v>
      </c>
      <c r="B18376" t="s">
        <v>21289</v>
      </c>
      <c r="C18376">
        <v>2.84853406629E-2</v>
      </c>
      <c r="D18376">
        <v>0.95866180941900003</v>
      </c>
      <c r="E18376">
        <v>11.370314842578701</v>
      </c>
    </row>
    <row r="18377" spans="1:5">
      <c r="A18377" t="s">
        <v>21290</v>
      </c>
      <c r="B18377" t="s">
        <v>21291</v>
      </c>
      <c r="C18377">
        <f>0</f>
        <v>0</v>
      </c>
      <c r="D18377" t="s">
        <v>106</v>
      </c>
      <c r="E18377">
        <v>19.4182908545727</v>
      </c>
    </row>
    <row r="18378" spans="1:5">
      <c r="A18378" t="s">
        <v>21290</v>
      </c>
      <c r="B18378" t="s">
        <v>21292</v>
      </c>
      <c r="C18378">
        <v>8.8014688718100007E-3</v>
      </c>
      <c r="D18378" t="s">
        <v>106</v>
      </c>
      <c r="E18378">
        <v>19.4182908545727</v>
      </c>
    </row>
    <row r="18379" spans="1:5">
      <c r="A18379" t="s">
        <v>21290</v>
      </c>
      <c r="B18379" t="s">
        <v>21293</v>
      </c>
      <c r="C18379">
        <f>0</f>
        <v>0</v>
      </c>
      <c r="D18379" t="s">
        <v>106</v>
      </c>
      <c r="E18379">
        <v>19.4182908545727</v>
      </c>
    </row>
    <row r="18380" spans="1:5">
      <c r="A18380" t="s">
        <v>21294</v>
      </c>
      <c r="B18380" t="s">
        <v>21295</v>
      </c>
      <c r="C18380">
        <v>0</v>
      </c>
      <c r="D18380">
        <v>0.90016286791</v>
      </c>
      <c r="E18380">
        <v>9.5952023988005994E-2</v>
      </c>
    </row>
    <row r="18381" spans="1:5">
      <c r="A18381" t="s">
        <v>21294</v>
      </c>
      <c r="B18381" t="s">
        <v>21296</v>
      </c>
      <c r="C18381">
        <v>0.72419234924099996</v>
      </c>
      <c r="D18381">
        <v>0.90016286791</v>
      </c>
      <c r="E18381">
        <v>9.5952023988005994E-2</v>
      </c>
    </row>
    <row r="18382" spans="1:5">
      <c r="A18382" t="s">
        <v>21294</v>
      </c>
      <c r="B18382" t="s">
        <v>21297</v>
      </c>
      <c r="C18382">
        <v>0</v>
      </c>
      <c r="D18382">
        <v>0.90016286791</v>
      </c>
      <c r="E18382">
        <v>9.5952023988005994E-2</v>
      </c>
    </row>
    <row r="18383" spans="1:5">
      <c r="A18383" t="s">
        <v>21294</v>
      </c>
      <c r="B18383" t="s">
        <v>21298</v>
      </c>
      <c r="C18383">
        <f>0</f>
        <v>0</v>
      </c>
      <c r="D18383">
        <v>0.90016286791</v>
      </c>
      <c r="E18383">
        <v>9.5952023988005994E-2</v>
      </c>
    </row>
    <row r="18384" spans="1:5">
      <c r="A18384" t="s">
        <v>21299</v>
      </c>
      <c r="B18384" t="s">
        <v>21300</v>
      </c>
      <c r="C18384">
        <f>0</f>
        <v>0</v>
      </c>
      <c r="D18384">
        <v>0.99481940476700004</v>
      </c>
      <c r="E18384">
        <v>14.5487256371814</v>
      </c>
    </row>
    <row r="18385" spans="1:5">
      <c r="A18385" t="s">
        <v>21299</v>
      </c>
      <c r="B18385" t="s">
        <v>21301</v>
      </c>
      <c r="C18385">
        <f>0.0761281338268</f>
        <v>7.6128133826800004E-2</v>
      </c>
      <c r="D18385">
        <v>0.99481940476700004</v>
      </c>
      <c r="E18385">
        <v>14.5487256371814</v>
      </c>
    </row>
    <row r="18386" spans="1:5">
      <c r="A18386" t="s">
        <v>21299</v>
      </c>
      <c r="B18386" t="s">
        <v>21302</v>
      </c>
      <c r="C18386">
        <f>0.11298437565</f>
        <v>0.11298437565</v>
      </c>
      <c r="D18386">
        <v>0.99481940476700004</v>
      </c>
      <c r="E18386">
        <v>14.5487256371814</v>
      </c>
    </row>
    <row r="18387" spans="1:5">
      <c r="A18387" t="s">
        <v>21299</v>
      </c>
      <c r="B18387" t="s">
        <v>21303</v>
      </c>
      <c r="C18387">
        <v>0</v>
      </c>
      <c r="D18387">
        <v>0.99481940476700004</v>
      </c>
      <c r="E18387">
        <v>14.5487256371814</v>
      </c>
    </row>
    <row r="18388" spans="1:5">
      <c r="A18388" t="s">
        <v>21299</v>
      </c>
      <c r="B18388" t="s">
        <v>21304</v>
      </c>
      <c r="C18388">
        <v>0</v>
      </c>
      <c r="D18388">
        <v>0.99481940476700004</v>
      </c>
      <c r="E18388">
        <v>14.5487256371814</v>
      </c>
    </row>
    <row r="18389" spans="1:5">
      <c r="A18389" t="s">
        <v>21305</v>
      </c>
      <c r="B18389" t="s">
        <v>21306</v>
      </c>
      <c r="C18389">
        <v>0.20835915586699999</v>
      </c>
      <c r="D18389">
        <v>0.86343612791900004</v>
      </c>
      <c r="E18389">
        <v>10.0749625187406</v>
      </c>
    </row>
    <row r="18390" spans="1:5">
      <c r="A18390" t="s">
        <v>21305</v>
      </c>
      <c r="B18390" t="s">
        <v>21307</v>
      </c>
      <c r="C18390">
        <v>0</v>
      </c>
      <c r="D18390">
        <v>0.86343612791900004</v>
      </c>
      <c r="E18390">
        <v>10.0749625187406</v>
      </c>
    </row>
    <row r="18391" spans="1:5">
      <c r="A18391" t="s">
        <v>21305</v>
      </c>
      <c r="B18391" t="s">
        <v>21308</v>
      </c>
      <c r="C18391">
        <f>0.0450148402765</f>
        <v>4.5014840276499997E-2</v>
      </c>
      <c r="D18391">
        <v>0.86343612791900004</v>
      </c>
      <c r="E18391">
        <v>10.0749625187406</v>
      </c>
    </row>
    <row r="18392" spans="1:5">
      <c r="A18392" t="s">
        <v>21309</v>
      </c>
      <c r="B18392" t="s">
        <v>21310</v>
      </c>
      <c r="C18392">
        <f>0</f>
        <v>0</v>
      </c>
      <c r="D18392">
        <v>0.88794641677499997</v>
      </c>
      <c r="E18392">
        <v>0.95952023988005997</v>
      </c>
    </row>
    <row r="18393" spans="1:5">
      <c r="A18393" t="s">
        <v>21309</v>
      </c>
      <c r="B18393" t="s">
        <v>21311</v>
      </c>
      <c r="C18393">
        <v>0.32729354361000002</v>
      </c>
      <c r="D18393">
        <v>0.88794641677499997</v>
      </c>
      <c r="E18393">
        <v>0.95952023988005997</v>
      </c>
    </row>
    <row r="18394" spans="1:5">
      <c r="A18394" t="s">
        <v>21312</v>
      </c>
      <c r="B18394" t="s">
        <v>21313</v>
      </c>
      <c r="C18394">
        <f>0</f>
        <v>0</v>
      </c>
      <c r="D18394">
        <v>0.90677695073599995</v>
      </c>
      <c r="E18394">
        <v>10.0749625187406</v>
      </c>
    </row>
    <row r="18395" spans="1:5">
      <c r="A18395" t="s">
        <v>21312</v>
      </c>
      <c r="B18395" t="s">
        <v>21314</v>
      </c>
      <c r="C18395">
        <f>0</f>
        <v>0</v>
      </c>
      <c r="D18395">
        <v>0.90677695073599995</v>
      </c>
      <c r="E18395">
        <v>10.0749625187406</v>
      </c>
    </row>
    <row r="18396" spans="1:5">
      <c r="A18396" t="s">
        <v>21312</v>
      </c>
      <c r="B18396" t="s">
        <v>21315</v>
      </c>
      <c r="C18396">
        <v>0</v>
      </c>
      <c r="D18396">
        <v>0.90677695073599995</v>
      </c>
      <c r="E18396">
        <v>10.0749625187406</v>
      </c>
    </row>
    <row r="18397" spans="1:5">
      <c r="A18397" t="s">
        <v>21312</v>
      </c>
      <c r="B18397" t="s">
        <v>21316</v>
      </c>
      <c r="C18397">
        <v>0</v>
      </c>
      <c r="D18397">
        <v>0.90677695073599995</v>
      </c>
      <c r="E18397">
        <v>10.0749625187406</v>
      </c>
    </row>
    <row r="18398" spans="1:5">
      <c r="A18398" t="s">
        <v>21312</v>
      </c>
      <c r="B18398" t="s">
        <v>21317</v>
      </c>
      <c r="C18398">
        <v>0</v>
      </c>
      <c r="D18398">
        <v>0.90677695073599995</v>
      </c>
      <c r="E18398">
        <v>10.0749625187406</v>
      </c>
    </row>
    <row r="18399" spans="1:5">
      <c r="A18399" t="s">
        <v>21312</v>
      </c>
      <c r="B18399" t="s">
        <v>21318</v>
      </c>
      <c r="C18399">
        <f>0.0356114386088</f>
        <v>3.5611438608799999E-2</v>
      </c>
      <c r="D18399">
        <v>0.90677695073599995</v>
      </c>
      <c r="E18399">
        <v>10.0749625187406</v>
      </c>
    </row>
    <row r="18400" spans="1:5">
      <c r="A18400" t="s">
        <v>21312</v>
      </c>
      <c r="B18400" t="s">
        <v>21319</v>
      </c>
      <c r="C18400">
        <v>0</v>
      </c>
      <c r="D18400">
        <v>0.90677695073599995</v>
      </c>
      <c r="E18400">
        <v>10.0749625187406</v>
      </c>
    </row>
    <row r="18401" spans="1:5">
      <c r="A18401" t="s">
        <v>21312</v>
      </c>
      <c r="B18401" t="s">
        <v>21320</v>
      </c>
      <c r="C18401">
        <v>0.16409277359400001</v>
      </c>
      <c r="D18401">
        <v>0.90677695073599995</v>
      </c>
      <c r="E18401">
        <v>10.0749625187406</v>
      </c>
    </row>
    <row r="18402" spans="1:5">
      <c r="A18402" t="s">
        <v>21321</v>
      </c>
      <c r="B18402" t="s">
        <v>21322</v>
      </c>
      <c r="C18402">
        <v>0</v>
      </c>
      <c r="D18402">
        <v>0.87642315325999998</v>
      </c>
      <c r="E18402">
        <v>2.1709145427286298</v>
      </c>
    </row>
    <row r="18403" spans="1:5">
      <c r="A18403" t="s">
        <v>21321</v>
      </c>
      <c r="B18403" t="s">
        <v>21323</v>
      </c>
      <c r="C18403">
        <f>0</f>
        <v>0</v>
      </c>
      <c r="D18403">
        <v>0.87642315325999998</v>
      </c>
      <c r="E18403">
        <v>2.1709145427286298</v>
      </c>
    </row>
    <row r="18404" spans="1:5">
      <c r="A18404" t="s">
        <v>21321</v>
      </c>
      <c r="B18404" t="s">
        <v>21324</v>
      </c>
      <c r="C18404">
        <f>0.399959035257</f>
        <v>0.399959035257</v>
      </c>
      <c r="D18404">
        <v>0.87642315325999998</v>
      </c>
      <c r="E18404">
        <v>2.1709145427286298</v>
      </c>
    </row>
    <row r="18405" spans="1:5">
      <c r="A18405" t="s">
        <v>21321</v>
      </c>
      <c r="B18405" t="s">
        <v>21325</v>
      </c>
      <c r="C18405">
        <f>0.2190380973</f>
        <v>0.21903809730000001</v>
      </c>
      <c r="D18405">
        <v>0.87642315325999998</v>
      </c>
      <c r="E18405">
        <v>2.1709145427286298</v>
      </c>
    </row>
    <row r="18406" spans="1:5">
      <c r="A18406" t="s">
        <v>21326</v>
      </c>
      <c r="B18406" t="s">
        <v>21327</v>
      </c>
      <c r="C18406">
        <f>0</f>
        <v>0</v>
      </c>
      <c r="D18406">
        <v>0.930512863468</v>
      </c>
      <c r="E18406">
        <v>6.4287856071964002</v>
      </c>
    </row>
    <row r="18407" spans="1:5">
      <c r="A18407" t="s">
        <v>21328</v>
      </c>
      <c r="B18407" t="s">
        <v>21329</v>
      </c>
      <c r="C18407">
        <f>0</f>
        <v>0</v>
      </c>
      <c r="D18407">
        <v>0.92364624823899999</v>
      </c>
      <c r="E18407">
        <v>1.7631184407796101</v>
      </c>
    </row>
    <row r="18408" spans="1:5">
      <c r="A18408" t="s">
        <v>21328</v>
      </c>
      <c r="B18408" t="s">
        <v>21330</v>
      </c>
      <c r="C18408">
        <v>0</v>
      </c>
      <c r="D18408">
        <v>0.92364624823899999</v>
      </c>
      <c r="E18408">
        <v>1.7631184407796101</v>
      </c>
    </row>
    <row r="18409" spans="1:5">
      <c r="A18409" t="s">
        <v>21328</v>
      </c>
      <c r="B18409" t="s">
        <v>21331</v>
      </c>
      <c r="C18409">
        <v>0</v>
      </c>
      <c r="D18409">
        <v>0.92364624823899999</v>
      </c>
      <c r="E18409">
        <v>1.7631184407796101</v>
      </c>
    </row>
    <row r="18410" spans="1:5">
      <c r="A18410" t="s">
        <v>21328</v>
      </c>
      <c r="B18410" t="s">
        <v>21332</v>
      </c>
      <c r="C18410">
        <v>0</v>
      </c>
      <c r="D18410">
        <v>0.92364624823899999</v>
      </c>
      <c r="E18410">
        <v>1.7631184407796101</v>
      </c>
    </row>
    <row r="18411" spans="1:5">
      <c r="A18411" t="s">
        <v>21328</v>
      </c>
      <c r="B18411" t="s">
        <v>21333</v>
      </c>
      <c r="C18411">
        <v>7.7819493211299995E-2</v>
      </c>
      <c r="D18411">
        <v>0.92364624823899999</v>
      </c>
      <c r="E18411">
        <v>1.7631184407796101</v>
      </c>
    </row>
    <row r="18412" spans="1:5">
      <c r="A18412" t="s">
        <v>21328</v>
      </c>
      <c r="B18412" t="s">
        <v>21334</v>
      </c>
      <c r="C18412">
        <v>0</v>
      </c>
      <c r="D18412">
        <v>0.92364624823899999</v>
      </c>
      <c r="E18412">
        <v>1.7631184407796101</v>
      </c>
    </row>
    <row r="18413" spans="1:5">
      <c r="A18413" t="s">
        <v>21335</v>
      </c>
      <c r="B18413" t="s">
        <v>21336</v>
      </c>
      <c r="C18413">
        <f>0</f>
        <v>0</v>
      </c>
      <c r="D18413">
        <v>0.98277468214700003</v>
      </c>
      <c r="E18413">
        <v>8.0119940029985006</v>
      </c>
    </row>
    <row r="18414" spans="1:5">
      <c r="A18414" t="s">
        <v>21335</v>
      </c>
      <c r="B18414" t="s">
        <v>21337</v>
      </c>
      <c r="C18414">
        <v>0</v>
      </c>
      <c r="D18414">
        <v>0.98277468214700003</v>
      </c>
      <c r="E18414">
        <v>8.0119940029985006</v>
      </c>
    </row>
    <row r="18415" spans="1:5">
      <c r="A18415" t="s">
        <v>21335</v>
      </c>
      <c r="B18415" t="s">
        <v>21338</v>
      </c>
      <c r="C18415">
        <v>0.41110016282900003</v>
      </c>
      <c r="D18415">
        <v>0.98277468214700003</v>
      </c>
      <c r="E18415">
        <v>8.0119940029985006</v>
      </c>
    </row>
    <row r="18416" spans="1:5">
      <c r="A18416" t="s">
        <v>21335</v>
      </c>
      <c r="B18416" t="s">
        <v>21339</v>
      </c>
      <c r="C18416">
        <v>0</v>
      </c>
      <c r="D18416">
        <v>0.98277468214700003</v>
      </c>
      <c r="E18416">
        <v>8.0119940029985006</v>
      </c>
    </row>
    <row r="18417" spans="1:5">
      <c r="A18417" t="s">
        <v>21335</v>
      </c>
      <c r="B18417" t="s">
        <v>21340</v>
      </c>
      <c r="C18417">
        <v>0.211917281427</v>
      </c>
      <c r="D18417">
        <v>0.98277468214700003</v>
      </c>
      <c r="E18417">
        <v>8.0119940029985006</v>
      </c>
    </row>
    <row r="18418" spans="1:5">
      <c r="A18418" t="s">
        <v>21335</v>
      </c>
      <c r="B18418" t="s">
        <v>21341</v>
      </c>
      <c r="C18418">
        <f>0</f>
        <v>0</v>
      </c>
      <c r="D18418">
        <v>0.98277468214700003</v>
      </c>
      <c r="E18418">
        <v>8.0119940029985006</v>
      </c>
    </row>
    <row r="18419" spans="1:5">
      <c r="A18419" t="s">
        <v>21342</v>
      </c>
      <c r="B18419" t="s">
        <v>21343</v>
      </c>
      <c r="C18419">
        <v>0</v>
      </c>
      <c r="D18419">
        <v>0.98795309661999997</v>
      </c>
      <c r="E18419">
        <v>8.4317841079460205</v>
      </c>
    </row>
    <row r="18420" spans="1:5">
      <c r="A18420" t="s">
        <v>21342</v>
      </c>
      <c r="B18420" t="s">
        <v>21344</v>
      </c>
      <c r="C18420">
        <v>0</v>
      </c>
      <c r="D18420">
        <v>0.98795309661999997</v>
      </c>
      <c r="E18420">
        <v>8.4317841079460205</v>
      </c>
    </row>
    <row r="18421" spans="1:5">
      <c r="A18421" t="s">
        <v>21342</v>
      </c>
      <c r="B18421" t="s">
        <v>21345</v>
      </c>
      <c r="C18421">
        <v>0</v>
      </c>
      <c r="D18421">
        <v>0.98795309661999997</v>
      </c>
      <c r="E18421">
        <v>8.4317841079460205</v>
      </c>
    </row>
    <row r="18422" spans="1:5">
      <c r="A18422" t="s">
        <v>21342</v>
      </c>
      <c r="B18422" t="s">
        <v>21346</v>
      </c>
      <c r="C18422">
        <f>0</f>
        <v>0</v>
      </c>
      <c r="D18422">
        <v>0.98795309661999997</v>
      </c>
      <c r="E18422">
        <v>8.4317841079460205</v>
      </c>
    </row>
    <row r="18423" spans="1:5">
      <c r="A18423" t="s">
        <v>21342</v>
      </c>
      <c r="B18423" t="s">
        <v>21347</v>
      </c>
      <c r="C18423">
        <f>0</f>
        <v>0</v>
      </c>
      <c r="D18423">
        <v>0.98795309661999997</v>
      </c>
      <c r="E18423">
        <v>8.4317841079460205</v>
      </c>
    </row>
    <row r="18424" spans="1:5">
      <c r="A18424" t="s">
        <v>21342</v>
      </c>
      <c r="B18424" t="s">
        <v>21348</v>
      </c>
      <c r="C18424">
        <v>0</v>
      </c>
      <c r="D18424">
        <v>0.98795309661999997</v>
      </c>
      <c r="E18424">
        <v>8.4317841079460205</v>
      </c>
    </row>
    <row r="18425" spans="1:5">
      <c r="A18425" t="s">
        <v>21342</v>
      </c>
      <c r="B18425" t="s">
        <v>21349</v>
      </c>
      <c r="C18425">
        <v>0</v>
      </c>
      <c r="D18425">
        <v>0.98795309661999997</v>
      </c>
      <c r="E18425">
        <v>8.4317841079460205</v>
      </c>
    </row>
    <row r="18426" spans="1:5">
      <c r="A18426" t="s">
        <v>21342</v>
      </c>
      <c r="B18426" t="s">
        <v>21350</v>
      </c>
      <c r="C18426">
        <v>0</v>
      </c>
      <c r="D18426">
        <v>0.98795309661999997</v>
      </c>
      <c r="E18426">
        <v>8.4317841079460205</v>
      </c>
    </row>
    <row r="18427" spans="1:5">
      <c r="A18427" t="s">
        <v>21342</v>
      </c>
      <c r="B18427" t="s">
        <v>21351</v>
      </c>
      <c r="C18427">
        <v>0</v>
      </c>
      <c r="D18427">
        <v>0.98795309661999997</v>
      </c>
      <c r="E18427">
        <v>8.4317841079460205</v>
      </c>
    </row>
    <row r="18428" spans="1:5">
      <c r="A18428" t="s">
        <v>21342</v>
      </c>
      <c r="B18428" t="s">
        <v>21352</v>
      </c>
      <c r="C18428">
        <v>0</v>
      </c>
      <c r="D18428">
        <v>0.98795309661999997</v>
      </c>
      <c r="E18428">
        <v>8.4317841079460205</v>
      </c>
    </row>
    <row r="18429" spans="1:5">
      <c r="A18429" t="s">
        <v>21342</v>
      </c>
      <c r="B18429" t="s">
        <v>21353</v>
      </c>
      <c r="C18429">
        <f>0.0741430386129</f>
        <v>7.4143038612900003E-2</v>
      </c>
      <c r="D18429">
        <v>0.98795309661999997</v>
      </c>
      <c r="E18429">
        <v>8.4317841079460205</v>
      </c>
    </row>
    <row r="18430" spans="1:5">
      <c r="A18430" t="s">
        <v>21342</v>
      </c>
      <c r="B18430" t="s">
        <v>21354</v>
      </c>
      <c r="C18430">
        <v>6.0460398367999997E-2</v>
      </c>
      <c r="D18430">
        <v>0.98795309661999997</v>
      </c>
      <c r="E18430">
        <v>8.4317841079460205</v>
      </c>
    </row>
    <row r="18431" spans="1:5">
      <c r="A18431" t="s">
        <v>21355</v>
      </c>
      <c r="B18431" t="s">
        <v>21356</v>
      </c>
      <c r="C18431">
        <v>0</v>
      </c>
      <c r="D18431" t="s">
        <v>106</v>
      </c>
      <c r="E18431">
        <v>4.2698650674662604</v>
      </c>
    </row>
    <row r="18432" spans="1:5">
      <c r="A18432" t="s">
        <v>21355</v>
      </c>
      <c r="B18432" t="s">
        <v>21357</v>
      </c>
      <c r="C18432">
        <v>0</v>
      </c>
      <c r="D18432" t="s">
        <v>106</v>
      </c>
      <c r="E18432">
        <v>4.2698650674662604</v>
      </c>
    </row>
    <row r="18433" spans="1:5">
      <c r="A18433" t="s">
        <v>21355</v>
      </c>
      <c r="B18433" t="s">
        <v>21358</v>
      </c>
      <c r="C18433">
        <v>0</v>
      </c>
      <c r="D18433" t="s">
        <v>106</v>
      </c>
      <c r="E18433">
        <v>4.2698650674662604</v>
      </c>
    </row>
    <row r="18434" spans="1:5">
      <c r="A18434" t="s">
        <v>21355</v>
      </c>
      <c r="B18434" t="s">
        <v>21359</v>
      </c>
      <c r="C18434">
        <v>0</v>
      </c>
      <c r="D18434" t="s">
        <v>106</v>
      </c>
      <c r="E18434">
        <v>4.2698650674662604</v>
      </c>
    </row>
    <row r="18435" spans="1:5">
      <c r="A18435" t="s">
        <v>21360</v>
      </c>
      <c r="B18435" t="s">
        <v>21361</v>
      </c>
      <c r="C18435">
        <f>0</f>
        <v>0</v>
      </c>
      <c r="D18435">
        <v>0.95329562485300001</v>
      </c>
      <c r="E18435">
        <v>11.202398800599701</v>
      </c>
    </row>
    <row r="18436" spans="1:5">
      <c r="A18436" t="s">
        <v>21360</v>
      </c>
      <c r="B18436" t="s">
        <v>21362</v>
      </c>
      <c r="C18436">
        <v>0</v>
      </c>
      <c r="D18436">
        <v>0.95329562485300001</v>
      </c>
      <c r="E18436">
        <v>11.202398800599701</v>
      </c>
    </row>
    <row r="18437" spans="1:5">
      <c r="A18437" t="s">
        <v>21360</v>
      </c>
      <c r="B18437" t="s">
        <v>21363</v>
      </c>
      <c r="C18437">
        <v>0.18739722800899999</v>
      </c>
      <c r="D18437">
        <v>0.95329562485300001</v>
      </c>
      <c r="E18437">
        <v>11.202398800599701</v>
      </c>
    </row>
    <row r="18438" spans="1:5">
      <c r="A18438" t="s">
        <v>21360</v>
      </c>
      <c r="B18438" t="s">
        <v>21364</v>
      </c>
      <c r="C18438">
        <v>0</v>
      </c>
      <c r="D18438">
        <v>0.95329562485300001</v>
      </c>
      <c r="E18438">
        <v>11.202398800599701</v>
      </c>
    </row>
    <row r="18439" spans="1:5">
      <c r="A18439" t="s">
        <v>21360</v>
      </c>
      <c r="B18439" t="s">
        <v>21365</v>
      </c>
      <c r="C18439">
        <f>0</f>
        <v>0</v>
      </c>
      <c r="D18439">
        <v>0.95329562485300001</v>
      </c>
      <c r="E18439">
        <v>11.202398800599701</v>
      </c>
    </row>
    <row r="18440" spans="1:5">
      <c r="A18440" t="s">
        <v>21360</v>
      </c>
      <c r="B18440" t="s">
        <v>21366</v>
      </c>
      <c r="C18440">
        <v>0</v>
      </c>
      <c r="D18440">
        <v>0.95329562485300001</v>
      </c>
      <c r="E18440">
        <v>11.202398800599701</v>
      </c>
    </row>
    <row r="18441" spans="1:5">
      <c r="A18441" t="s">
        <v>21360</v>
      </c>
      <c r="B18441" t="s">
        <v>21367</v>
      </c>
      <c r="C18441">
        <v>0</v>
      </c>
      <c r="D18441">
        <v>0.95329562485300001</v>
      </c>
      <c r="E18441">
        <v>11.202398800599701</v>
      </c>
    </row>
    <row r="18442" spans="1:5">
      <c r="A18442" t="s">
        <v>21360</v>
      </c>
      <c r="B18442" t="s">
        <v>21368</v>
      </c>
      <c r="C18442">
        <f>0</f>
        <v>0</v>
      </c>
      <c r="D18442">
        <v>0.95329562485300001</v>
      </c>
      <c r="E18442">
        <v>11.202398800599701</v>
      </c>
    </row>
    <row r="18443" spans="1:5">
      <c r="A18443" t="s">
        <v>21369</v>
      </c>
      <c r="B18443" t="s">
        <v>21370</v>
      </c>
      <c r="C18443">
        <v>0.12579067873200001</v>
      </c>
      <c r="D18443">
        <v>0.88277509749299998</v>
      </c>
      <c r="E18443">
        <v>0</v>
      </c>
    </row>
    <row r="18444" spans="1:5">
      <c r="A18444" t="s">
        <v>21369</v>
      </c>
      <c r="B18444" t="s">
        <v>21371</v>
      </c>
      <c r="C18444">
        <f>0</f>
        <v>0</v>
      </c>
      <c r="D18444">
        <v>0.88277509749299998</v>
      </c>
      <c r="E18444">
        <v>0</v>
      </c>
    </row>
    <row r="18445" spans="1:5">
      <c r="A18445" t="s">
        <v>21369</v>
      </c>
      <c r="B18445" t="s">
        <v>21372</v>
      </c>
      <c r="C18445">
        <v>0</v>
      </c>
      <c r="D18445">
        <v>0.88277509749299998</v>
      </c>
      <c r="E18445">
        <v>0</v>
      </c>
    </row>
    <row r="18446" spans="1:5">
      <c r="A18446" t="s">
        <v>21369</v>
      </c>
      <c r="B18446" t="s">
        <v>21373</v>
      </c>
      <c r="C18446">
        <v>2.10962015707E-2</v>
      </c>
      <c r="D18446">
        <v>0.88277509749299998</v>
      </c>
      <c r="E18446">
        <v>0</v>
      </c>
    </row>
    <row r="18447" spans="1:5">
      <c r="A18447" t="s">
        <v>21369</v>
      </c>
      <c r="B18447" t="s">
        <v>21374</v>
      </c>
      <c r="C18447">
        <f>0</f>
        <v>0</v>
      </c>
      <c r="D18447">
        <v>0.88277509749299998</v>
      </c>
      <c r="E18447">
        <v>0</v>
      </c>
    </row>
    <row r="18448" spans="1:5">
      <c r="A18448" t="s">
        <v>21369</v>
      </c>
      <c r="B18448" t="s">
        <v>21375</v>
      </c>
      <c r="C18448">
        <v>0</v>
      </c>
      <c r="D18448">
        <v>0.88277509749299998</v>
      </c>
      <c r="E18448">
        <v>0</v>
      </c>
    </row>
    <row r="18449" spans="1:5">
      <c r="A18449" t="s">
        <v>21369</v>
      </c>
      <c r="B18449" t="s">
        <v>21376</v>
      </c>
      <c r="C18449">
        <v>0</v>
      </c>
      <c r="D18449">
        <v>0.88277509749299998</v>
      </c>
      <c r="E18449">
        <v>0</v>
      </c>
    </row>
    <row r="18450" spans="1:5">
      <c r="A18450" t="s">
        <v>21369</v>
      </c>
      <c r="B18450" t="s">
        <v>21377</v>
      </c>
      <c r="C18450">
        <f>0</f>
        <v>0</v>
      </c>
      <c r="D18450">
        <v>0.88277509749299998</v>
      </c>
      <c r="E18450">
        <v>0</v>
      </c>
    </row>
    <row r="18451" spans="1:5">
      <c r="A18451" t="s">
        <v>21369</v>
      </c>
      <c r="B18451" t="s">
        <v>21378</v>
      </c>
      <c r="C18451">
        <v>0</v>
      </c>
      <c r="D18451">
        <v>0.88277509749299998</v>
      </c>
      <c r="E18451">
        <v>0</v>
      </c>
    </row>
    <row r="18452" spans="1:5">
      <c r="A18452" t="s">
        <v>21379</v>
      </c>
      <c r="B18452" t="s">
        <v>21380</v>
      </c>
      <c r="C18452">
        <v>0.231117436146</v>
      </c>
      <c r="D18452">
        <v>0.88341988379799996</v>
      </c>
      <c r="E18452">
        <v>11.0344827586206</v>
      </c>
    </row>
    <row r="18453" spans="1:5">
      <c r="A18453" t="s">
        <v>21379</v>
      </c>
      <c r="B18453" t="s">
        <v>21381</v>
      </c>
      <c r="C18453">
        <f>0</f>
        <v>0</v>
      </c>
      <c r="D18453">
        <v>0.88341988379799996</v>
      </c>
      <c r="E18453">
        <v>11.0344827586206</v>
      </c>
    </row>
    <row r="18454" spans="1:5">
      <c r="A18454" t="s">
        <v>21379</v>
      </c>
      <c r="B18454" t="s">
        <v>21382</v>
      </c>
      <c r="C18454">
        <v>0</v>
      </c>
      <c r="D18454">
        <v>0.88341988379799996</v>
      </c>
      <c r="E18454">
        <v>11.0344827586206</v>
      </c>
    </row>
    <row r="18455" spans="1:5">
      <c r="A18455" t="s">
        <v>21379</v>
      </c>
      <c r="B18455" t="s">
        <v>21383</v>
      </c>
      <c r="C18455">
        <f>0</f>
        <v>0</v>
      </c>
      <c r="D18455">
        <v>0.88341988379799996</v>
      </c>
      <c r="E18455">
        <v>11.0344827586206</v>
      </c>
    </row>
    <row r="18456" spans="1:5">
      <c r="A18456" t="s">
        <v>21384</v>
      </c>
      <c r="B18456" t="s">
        <v>21385</v>
      </c>
      <c r="C18456">
        <v>0</v>
      </c>
      <c r="D18456">
        <v>0.77604933663800002</v>
      </c>
      <c r="E18456">
        <v>10.710644677661101</v>
      </c>
    </row>
    <row r="18457" spans="1:5">
      <c r="A18457" t="s">
        <v>21384</v>
      </c>
      <c r="B18457" t="s">
        <v>21386</v>
      </c>
      <c r="C18457">
        <f>0.0155812152529</f>
        <v>1.55812152529E-2</v>
      </c>
      <c r="D18457">
        <v>0.77604933663800002</v>
      </c>
      <c r="E18457">
        <v>10.710644677661101</v>
      </c>
    </row>
    <row r="18458" spans="1:5">
      <c r="A18458" t="s">
        <v>21384</v>
      </c>
      <c r="B18458" t="s">
        <v>21387</v>
      </c>
      <c r="C18458">
        <f>0.0796694977356</f>
        <v>7.9669497735600003E-2</v>
      </c>
      <c r="D18458">
        <v>0.77604933663800002</v>
      </c>
      <c r="E18458">
        <v>10.710644677661101</v>
      </c>
    </row>
    <row r="18459" spans="1:5">
      <c r="A18459" t="s">
        <v>21388</v>
      </c>
      <c r="B18459" t="s">
        <v>21389</v>
      </c>
      <c r="C18459">
        <f>0</f>
        <v>0</v>
      </c>
      <c r="D18459" t="s">
        <v>106</v>
      </c>
      <c r="E18459">
        <v>20.065967016491701</v>
      </c>
    </row>
    <row r="18460" spans="1:5">
      <c r="A18460" t="s">
        <v>21388</v>
      </c>
      <c r="B18460" t="s">
        <v>21390</v>
      </c>
      <c r="C18460">
        <f>0</f>
        <v>0</v>
      </c>
      <c r="D18460" t="s">
        <v>106</v>
      </c>
      <c r="E18460">
        <v>20.065967016491701</v>
      </c>
    </row>
    <row r="18461" spans="1:5">
      <c r="A18461" t="s">
        <v>21388</v>
      </c>
      <c r="B18461" t="s">
        <v>21391</v>
      </c>
      <c r="C18461">
        <f>0.0416839732635</f>
        <v>4.1683973263499999E-2</v>
      </c>
      <c r="D18461" t="s">
        <v>106</v>
      </c>
      <c r="E18461">
        <v>20.065967016491701</v>
      </c>
    </row>
    <row r="18462" spans="1:5">
      <c r="A18462" t="s">
        <v>21388</v>
      </c>
      <c r="B18462" t="s">
        <v>21392</v>
      </c>
      <c r="C18462">
        <v>0</v>
      </c>
      <c r="D18462" t="s">
        <v>106</v>
      </c>
      <c r="E18462">
        <v>20.065967016491701</v>
      </c>
    </row>
    <row r="18463" spans="1:5">
      <c r="A18463" t="s">
        <v>21393</v>
      </c>
      <c r="B18463" t="s">
        <v>21394</v>
      </c>
      <c r="C18463">
        <v>0</v>
      </c>
      <c r="D18463">
        <v>0.63330659656800004</v>
      </c>
      <c r="E18463">
        <v>6.2968515742128899</v>
      </c>
    </row>
    <row r="18464" spans="1:5">
      <c r="A18464" t="s">
        <v>21393</v>
      </c>
      <c r="B18464" t="s">
        <v>21395</v>
      </c>
      <c r="C18464">
        <v>3.7203437920300002E-2</v>
      </c>
      <c r="D18464">
        <v>0.63330659656800004</v>
      </c>
      <c r="E18464">
        <v>6.2968515742128899</v>
      </c>
    </row>
    <row r="18465" spans="1:5">
      <c r="A18465" t="s">
        <v>21396</v>
      </c>
      <c r="B18465" t="s">
        <v>21397</v>
      </c>
      <c r="C18465">
        <v>0</v>
      </c>
      <c r="D18465">
        <v>0.92198532063799998</v>
      </c>
      <c r="E18465">
        <v>4.9055472263868003</v>
      </c>
    </row>
    <row r="18466" spans="1:5">
      <c r="A18466" t="s">
        <v>21396</v>
      </c>
      <c r="B18466" t="s">
        <v>21398</v>
      </c>
      <c r="C18466">
        <v>0</v>
      </c>
      <c r="D18466">
        <v>0.92198532063799998</v>
      </c>
      <c r="E18466">
        <v>4.9055472263868003</v>
      </c>
    </row>
    <row r="18467" spans="1:5">
      <c r="A18467" t="s">
        <v>21396</v>
      </c>
      <c r="B18467" t="s">
        <v>21399</v>
      </c>
      <c r="C18467">
        <f>0</f>
        <v>0</v>
      </c>
      <c r="D18467">
        <v>0.92198532063799998</v>
      </c>
      <c r="E18467">
        <v>4.9055472263868003</v>
      </c>
    </row>
    <row r="18468" spans="1:5">
      <c r="A18468" t="s">
        <v>21396</v>
      </c>
      <c r="B18468" t="s">
        <v>21400</v>
      </c>
      <c r="C18468">
        <v>8.9984151257800002E-2</v>
      </c>
      <c r="D18468">
        <v>0.92198532063799998</v>
      </c>
      <c r="E18468">
        <v>4.9055472263868003</v>
      </c>
    </row>
    <row r="18469" spans="1:5">
      <c r="A18469" t="s">
        <v>21401</v>
      </c>
      <c r="B18469" t="s">
        <v>21402</v>
      </c>
      <c r="C18469">
        <v>0</v>
      </c>
      <c r="D18469">
        <v>0.93102789482000003</v>
      </c>
      <c r="E18469">
        <v>5.69715142428785</v>
      </c>
    </row>
    <row r="18470" spans="1:5">
      <c r="A18470" t="s">
        <v>21401</v>
      </c>
      <c r="B18470" t="s">
        <v>21403</v>
      </c>
      <c r="C18470">
        <v>0</v>
      </c>
      <c r="D18470">
        <v>0.93102789482000003</v>
      </c>
      <c r="E18470">
        <v>5.69715142428785</v>
      </c>
    </row>
    <row r="18471" spans="1:5">
      <c r="A18471" t="s">
        <v>21401</v>
      </c>
      <c r="B18471" t="s">
        <v>21404</v>
      </c>
      <c r="C18471">
        <f>0.0211045156667</f>
        <v>2.1104515666700002E-2</v>
      </c>
      <c r="D18471">
        <v>0.93102789482000003</v>
      </c>
      <c r="E18471">
        <v>5.69715142428785</v>
      </c>
    </row>
    <row r="18472" spans="1:5">
      <c r="A18472" t="s">
        <v>21401</v>
      </c>
      <c r="B18472" t="s">
        <v>21405</v>
      </c>
      <c r="C18472">
        <v>0</v>
      </c>
      <c r="D18472">
        <v>0.93102789482000003</v>
      </c>
      <c r="E18472">
        <v>5.69715142428785</v>
      </c>
    </row>
    <row r="18473" spans="1:5">
      <c r="A18473" t="s">
        <v>21401</v>
      </c>
      <c r="B18473" t="s">
        <v>21406</v>
      </c>
      <c r="C18473">
        <v>0</v>
      </c>
      <c r="D18473">
        <v>0.93102789482000003</v>
      </c>
      <c r="E18473">
        <v>5.69715142428785</v>
      </c>
    </row>
    <row r="18474" spans="1:5">
      <c r="A18474" t="s">
        <v>21401</v>
      </c>
      <c r="B18474" t="s">
        <v>21407</v>
      </c>
      <c r="C18474">
        <f>0</f>
        <v>0</v>
      </c>
      <c r="D18474">
        <v>0.93102789482000003</v>
      </c>
      <c r="E18474">
        <v>5.69715142428785</v>
      </c>
    </row>
    <row r="18475" spans="1:5">
      <c r="A18475" t="s">
        <v>21401</v>
      </c>
      <c r="B18475" t="s">
        <v>21408</v>
      </c>
      <c r="C18475">
        <v>0</v>
      </c>
      <c r="D18475">
        <v>0.93102789482000003</v>
      </c>
      <c r="E18475">
        <v>5.69715142428785</v>
      </c>
    </row>
    <row r="18476" spans="1:5">
      <c r="A18476" t="s">
        <v>21401</v>
      </c>
      <c r="B18476" t="s">
        <v>21409</v>
      </c>
      <c r="C18476">
        <f>0.0068969737466</f>
        <v>6.8969737466000004E-3</v>
      </c>
      <c r="D18476">
        <v>0.93102789482000003</v>
      </c>
      <c r="E18476">
        <v>5.69715142428785</v>
      </c>
    </row>
    <row r="18477" spans="1:5">
      <c r="A18477" t="s">
        <v>21410</v>
      </c>
      <c r="B18477" t="s">
        <v>21411</v>
      </c>
      <c r="C18477">
        <f>0</f>
        <v>0</v>
      </c>
      <c r="D18477">
        <v>0.97199198369299999</v>
      </c>
      <c r="E18477">
        <v>6.2968515742128899</v>
      </c>
    </row>
    <row r="18478" spans="1:5">
      <c r="A18478" t="s">
        <v>21412</v>
      </c>
      <c r="B18478" t="s">
        <v>21413</v>
      </c>
      <c r="C18478">
        <v>3.1689235702800002E-2</v>
      </c>
      <c r="D18478">
        <v>0.94388371843800001</v>
      </c>
      <c r="E18478">
        <v>6.0569715142428704</v>
      </c>
    </row>
    <row r="18479" spans="1:5">
      <c r="A18479" t="s">
        <v>21412</v>
      </c>
      <c r="B18479" t="s">
        <v>21414</v>
      </c>
      <c r="C18479">
        <f>0</f>
        <v>0</v>
      </c>
      <c r="D18479">
        <v>0.94388371843800001</v>
      </c>
      <c r="E18479">
        <v>6.0569715142428704</v>
      </c>
    </row>
    <row r="18480" spans="1:5">
      <c r="A18480" t="s">
        <v>21415</v>
      </c>
      <c r="B18480" t="s">
        <v>21416</v>
      </c>
      <c r="C18480">
        <f>0</f>
        <v>0</v>
      </c>
      <c r="D18480" t="s">
        <v>106</v>
      </c>
      <c r="E18480">
        <v>23.040479760119901</v>
      </c>
    </row>
    <row r="18481" spans="1:5">
      <c r="A18481" t="s">
        <v>21415</v>
      </c>
      <c r="B18481" t="s">
        <v>21417</v>
      </c>
      <c r="C18481">
        <f>0</f>
        <v>0</v>
      </c>
      <c r="D18481" t="s">
        <v>106</v>
      </c>
      <c r="E18481">
        <v>23.040479760119901</v>
      </c>
    </row>
    <row r="18482" spans="1:5">
      <c r="A18482" t="s">
        <v>21415</v>
      </c>
      <c r="B18482" t="s">
        <v>21418</v>
      </c>
      <c r="C18482">
        <v>0</v>
      </c>
      <c r="D18482" t="s">
        <v>106</v>
      </c>
      <c r="E18482">
        <v>23.040479760119901</v>
      </c>
    </row>
    <row r="18483" spans="1:5">
      <c r="A18483" t="s">
        <v>21415</v>
      </c>
      <c r="B18483" t="s">
        <v>21419</v>
      </c>
      <c r="C18483">
        <v>0</v>
      </c>
      <c r="D18483" t="s">
        <v>106</v>
      </c>
      <c r="E18483">
        <v>23.040479760119901</v>
      </c>
    </row>
    <row r="18484" spans="1:5">
      <c r="A18484" t="s">
        <v>21415</v>
      </c>
      <c r="B18484" t="s">
        <v>21420</v>
      </c>
      <c r="C18484">
        <v>0</v>
      </c>
      <c r="D18484" t="s">
        <v>106</v>
      </c>
      <c r="E18484">
        <v>23.040479760119901</v>
      </c>
    </row>
    <row r="18485" spans="1:5">
      <c r="A18485" t="s">
        <v>21415</v>
      </c>
      <c r="B18485" t="s">
        <v>21421</v>
      </c>
      <c r="C18485">
        <f>0</f>
        <v>0</v>
      </c>
      <c r="D18485" t="s">
        <v>106</v>
      </c>
      <c r="E18485">
        <v>23.040479760119901</v>
      </c>
    </row>
    <row r="18486" spans="1:5">
      <c r="A18486" t="s">
        <v>21415</v>
      </c>
      <c r="B18486" t="s">
        <v>21422</v>
      </c>
      <c r="C18486">
        <f>0</f>
        <v>0</v>
      </c>
      <c r="D18486" t="s">
        <v>106</v>
      </c>
      <c r="E18486">
        <v>23.040479760119901</v>
      </c>
    </row>
    <row r="18487" spans="1:5">
      <c r="A18487" t="s">
        <v>21415</v>
      </c>
      <c r="B18487" t="s">
        <v>21423</v>
      </c>
      <c r="C18487">
        <v>0</v>
      </c>
      <c r="D18487" t="s">
        <v>106</v>
      </c>
      <c r="E18487">
        <v>23.040479760119901</v>
      </c>
    </row>
    <row r="18488" spans="1:5">
      <c r="A18488" t="s">
        <v>21415</v>
      </c>
      <c r="B18488" t="s">
        <v>21424</v>
      </c>
      <c r="C18488">
        <v>0</v>
      </c>
      <c r="D18488" t="s">
        <v>106</v>
      </c>
      <c r="E18488">
        <v>23.040479760119901</v>
      </c>
    </row>
    <row r="18489" spans="1:5">
      <c r="A18489" t="s">
        <v>21415</v>
      </c>
      <c r="B18489" t="s">
        <v>21425</v>
      </c>
      <c r="C18489">
        <v>0</v>
      </c>
      <c r="D18489" t="s">
        <v>106</v>
      </c>
      <c r="E18489">
        <v>23.040479760119901</v>
      </c>
    </row>
    <row r="18490" spans="1:5">
      <c r="A18490" t="s">
        <v>21426</v>
      </c>
      <c r="B18490" t="s">
        <v>21427</v>
      </c>
      <c r="C18490">
        <v>0</v>
      </c>
      <c r="D18490">
        <v>0.95192912779000005</v>
      </c>
      <c r="E18490">
        <v>2.0989505247376301</v>
      </c>
    </row>
    <row r="18491" spans="1:5">
      <c r="A18491" t="s">
        <v>21426</v>
      </c>
      <c r="B18491" t="s">
        <v>21428</v>
      </c>
      <c r="C18491">
        <v>0</v>
      </c>
      <c r="D18491">
        <v>0.95192912779000005</v>
      </c>
      <c r="E18491">
        <v>2.0989505247376301</v>
      </c>
    </row>
    <row r="18492" spans="1:5">
      <c r="A18492" t="s">
        <v>21426</v>
      </c>
      <c r="B18492" t="s">
        <v>21429</v>
      </c>
      <c r="C18492">
        <f>0</f>
        <v>0</v>
      </c>
      <c r="D18492">
        <v>0.95192912779000005</v>
      </c>
      <c r="E18492">
        <v>2.0989505247376301</v>
      </c>
    </row>
    <row r="18493" spans="1:5">
      <c r="A18493" t="s">
        <v>21426</v>
      </c>
      <c r="B18493" t="s">
        <v>21430</v>
      </c>
      <c r="C18493">
        <v>7.7787689969600005E-2</v>
      </c>
      <c r="D18493">
        <v>0.95192912779000005</v>
      </c>
      <c r="E18493">
        <v>2.0989505247376301</v>
      </c>
    </row>
    <row r="18494" spans="1:5">
      <c r="A18494" t="s">
        <v>21426</v>
      </c>
      <c r="B18494" t="s">
        <v>21431</v>
      </c>
      <c r="C18494">
        <f>0.129610864919</f>
        <v>0.12961086491900001</v>
      </c>
      <c r="D18494">
        <v>0.95192912779000005</v>
      </c>
      <c r="E18494">
        <v>2.0989505247376301</v>
      </c>
    </row>
    <row r="18495" spans="1:5">
      <c r="A18495" t="s">
        <v>21432</v>
      </c>
      <c r="B18495" t="s">
        <v>21433</v>
      </c>
      <c r="C18495">
        <f>0.302077722145</f>
        <v>0.302077722145</v>
      </c>
      <c r="D18495">
        <v>0.746243799007</v>
      </c>
      <c r="E18495">
        <v>0.57571214392803505</v>
      </c>
    </row>
    <row r="18496" spans="1:5">
      <c r="A18496" t="s">
        <v>21432</v>
      </c>
      <c r="B18496" t="s">
        <v>21434</v>
      </c>
      <c r="C18496">
        <f>0</f>
        <v>0</v>
      </c>
      <c r="D18496">
        <v>0.746243799007</v>
      </c>
      <c r="E18496">
        <v>0.57571214392803505</v>
      </c>
    </row>
    <row r="18497" spans="1:5">
      <c r="A18497" t="s">
        <v>21435</v>
      </c>
      <c r="B18497" t="s">
        <v>21436</v>
      </c>
      <c r="C18497">
        <v>0</v>
      </c>
      <c r="D18497" t="s">
        <v>106</v>
      </c>
      <c r="E18497">
        <v>12.2098950524737</v>
      </c>
    </row>
    <row r="18498" spans="1:5">
      <c r="A18498" t="s">
        <v>21437</v>
      </c>
      <c r="B18498" t="s">
        <v>21438</v>
      </c>
      <c r="C18498">
        <f>0</f>
        <v>0</v>
      </c>
      <c r="D18498" t="s">
        <v>106</v>
      </c>
      <c r="E18498">
        <v>8.4317841079460205</v>
      </c>
    </row>
    <row r="18499" spans="1:5">
      <c r="A18499" t="s">
        <v>21437</v>
      </c>
      <c r="B18499" t="s">
        <v>21439</v>
      </c>
      <c r="C18499">
        <f>0</f>
        <v>0</v>
      </c>
      <c r="D18499" t="s">
        <v>106</v>
      </c>
      <c r="E18499">
        <v>8.4317841079460205</v>
      </c>
    </row>
    <row r="18500" spans="1:5">
      <c r="A18500" t="s">
        <v>21437</v>
      </c>
      <c r="B18500" t="s">
        <v>21440</v>
      </c>
      <c r="C18500">
        <f>0</f>
        <v>0</v>
      </c>
      <c r="D18500" t="s">
        <v>106</v>
      </c>
      <c r="E18500">
        <v>8.4317841079460205</v>
      </c>
    </row>
    <row r="18501" spans="1:5">
      <c r="A18501" t="s">
        <v>21437</v>
      </c>
      <c r="B18501" t="s">
        <v>21441</v>
      </c>
      <c r="C18501">
        <f>0</f>
        <v>0</v>
      </c>
      <c r="D18501" t="s">
        <v>106</v>
      </c>
      <c r="E18501">
        <v>8.4317841079460205</v>
      </c>
    </row>
    <row r="18502" spans="1:5">
      <c r="A18502" t="s">
        <v>21437</v>
      </c>
      <c r="B18502" t="s">
        <v>21442</v>
      </c>
      <c r="C18502">
        <v>0</v>
      </c>
      <c r="D18502" t="s">
        <v>106</v>
      </c>
      <c r="E18502">
        <v>8.4317841079460205</v>
      </c>
    </row>
    <row r="18503" spans="1:5">
      <c r="A18503" t="s">
        <v>21443</v>
      </c>
      <c r="B18503" t="s">
        <v>21444</v>
      </c>
      <c r="C18503">
        <f>0</f>
        <v>0</v>
      </c>
      <c r="D18503">
        <v>0.95495110230199998</v>
      </c>
      <c r="E18503">
        <v>11.202398800599701</v>
      </c>
    </row>
    <row r="18504" spans="1:5">
      <c r="A18504" t="s">
        <v>21443</v>
      </c>
      <c r="B18504" t="s">
        <v>21445</v>
      </c>
      <c r="C18504">
        <f>0.017821590209</f>
        <v>1.7821590209E-2</v>
      </c>
      <c r="D18504">
        <v>0.95495110230199998</v>
      </c>
      <c r="E18504">
        <v>11.202398800599701</v>
      </c>
    </row>
    <row r="18505" spans="1:5">
      <c r="A18505" t="s">
        <v>21443</v>
      </c>
      <c r="B18505" t="s">
        <v>21446</v>
      </c>
      <c r="C18505">
        <v>0</v>
      </c>
      <c r="D18505">
        <v>0.95495110230199998</v>
      </c>
      <c r="E18505">
        <v>11.202398800599701</v>
      </c>
    </row>
    <row r="18506" spans="1:5">
      <c r="A18506" t="s">
        <v>21443</v>
      </c>
      <c r="B18506" t="s">
        <v>21447</v>
      </c>
      <c r="C18506">
        <v>0</v>
      </c>
      <c r="D18506">
        <v>0.95495110230199998</v>
      </c>
      <c r="E18506">
        <v>11.202398800599701</v>
      </c>
    </row>
    <row r="18507" spans="1:5">
      <c r="A18507" t="s">
        <v>21443</v>
      </c>
      <c r="B18507" t="s">
        <v>21448</v>
      </c>
      <c r="C18507">
        <f>0</f>
        <v>0</v>
      </c>
      <c r="D18507">
        <v>0.95495110230199998</v>
      </c>
      <c r="E18507">
        <v>11.202398800599701</v>
      </c>
    </row>
    <row r="18508" spans="1:5">
      <c r="A18508" t="s">
        <v>21443</v>
      </c>
      <c r="B18508" t="s">
        <v>21449</v>
      </c>
      <c r="C18508">
        <f>0</f>
        <v>0</v>
      </c>
      <c r="D18508">
        <v>0.95495110230199998</v>
      </c>
      <c r="E18508">
        <v>11.202398800599701</v>
      </c>
    </row>
    <row r="18509" spans="1:5">
      <c r="A18509" t="s">
        <v>21443</v>
      </c>
      <c r="B18509" t="s">
        <v>21450</v>
      </c>
      <c r="C18509">
        <f>0</f>
        <v>0</v>
      </c>
      <c r="D18509">
        <v>0.95495110230199998</v>
      </c>
      <c r="E18509">
        <v>11.202398800599701</v>
      </c>
    </row>
    <row r="18510" spans="1:5">
      <c r="A18510" t="s">
        <v>21443</v>
      </c>
      <c r="B18510" t="s">
        <v>21451</v>
      </c>
      <c r="C18510">
        <f>0</f>
        <v>0</v>
      </c>
      <c r="D18510">
        <v>0.95495110230199998</v>
      </c>
      <c r="E18510">
        <v>11.202398800599701</v>
      </c>
    </row>
    <row r="18511" spans="1:5">
      <c r="A18511" t="s">
        <v>21443</v>
      </c>
      <c r="B18511" t="s">
        <v>21452</v>
      </c>
      <c r="C18511">
        <f>0</f>
        <v>0</v>
      </c>
      <c r="D18511">
        <v>0.95495110230199998</v>
      </c>
      <c r="E18511">
        <v>11.202398800599701</v>
      </c>
    </row>
    <row r="18512" spans="1:5">
      <c r="A18512" t="s">
        <v>21443</v>
      </c>
      <c r="B18512" t="s">
        <v>21453</v>
      </c>
      <c r="C18512">
        <v>0</v>
      </c>
      <c r="D18512">
        <v>0.95495110230199998</v>
      </c>
      <c r="E18512">
        <v>11.202398800599701</v>
      </c>
    </row>
    <row r="18513" spans="1:5">
      <c r="A18513" t="s">
        <v>21443</v>
      </c>
      <c r="B18513" t="s">
        <v>21454</v>
      </c>
      <c r="C18513">
        <v>0</v>
      </c>
      <c r="D18513">
        <v>0.95495110230199998</v>
      </c>
      <c r="E18513">
        <v>11.202398800599701</v>
      </c>
    </row>
    <row r="18514" spans="1:5">
      <c r="A18514" t="s">
        <v>21443</v>
      </c>
      <c r="B18514" t="s">
        <v>21455</v>
      </c>
      <c r="C18514">
        <f>0</f>
        <v>0</v>
      </c>
      <c r="D18514">
        <v>0.95495110230199998</v>
      </c>
      <c r="E18514">
        <v>11.202398800599701</v>
      </c>
    </row>
    <row r="18515" spans="1:5">
      <c r="A18515" t="s">
        <v>21443</v>
      </c>
      <c r="B18515" t="s">
        <v>21456</v>
      </c>
      <c r="C18515">
        <f>0</f>
        <v>0</v>
      </c>
      <c r="D18515">
        <v>0.95495110230199998</v>
      </c>
      <c r="E18515">
        <v>11.202398800599701</v>
      </c>
    </row>
    <row r="18516" spans="1:5">
      <c r="A18516" t="s">
        <v>21443</v>
      </c>
      <c r="B18516" t="s">
        <v>21457</v>
      </c>
      <c r="C18516">
        <f>0.0874927592487</f>
        <v>8.7492759248699994E-2</v>
      </c>
      <c r="D18516">
        <v>0.95495110230199998</v>
      </c>
      <c r="E18516">
        <v>11.202398800599701</v>
      </c>
    </row>
    <row r="18517" spans="1:5">
      <c r="A18517" t="s">
        <v>21443</v>
      </c>
      <c r="B18517" t="s">
        <v>21458</v>
      </c>
      <c r="C18517">
        <f>0</f>
        <v>0</v>
      </c>
      <c r="D18517">
        <v>0.95495110230199998</v>
      </c>
      <c r="E18517">
        <v>11.202398800599701</v>
      </c>
    </row>
    <row r="18518" spans="1:5">
      <c r="A18518" t="s">
        <v>21443</v>
      </c>
      <c r="B18518" t="s">
        <v>21459</v>
      </c>
      <c r="C18518">
        <f>0</f>
        <v>0</v>
      </c>
      <c r="D18518">
        <v>0.95495110230199998</v>
      </c>
      <c r="E18518">
        <v>11.202398800599701</v>
      </c>
    </row>
    <row r="18519" spans="1:5">
      <c r="A18519" t="s">
        <v>21443</v>
      </c>
      <c r="B18519" t="s">
        <v>21460</v>
      </c>
      <c r="C18519">
        <f>0</f>
        <v>0</v>
      </c>
      <c r="D18519">
        <v>0.95495110230199998</v>
      </c>
      <c r="E18519">
        <v>11.202398800599701</v>
      </c>
    </row>
    <row r="18520" spans="1:5">
      <c r="A18520" t="s">
        <v>21443</v>
      </c>
      <c r="B18520" t="s">
        <v>21461</v>
      </c>
      <c r="C18520">
        <f>0</f>
        <v>0</v>
      </c>
      <c r="D18520">
        <v>0.95495110230199998</v>
      </c>
      <c r="E18520">
        <v>11.202398800599701</v>
      </c>
    </row>
    <row r="18521" spans="1:5">
      <c r="A18521" t="s">
        <v>21443</v>
      </c>
      <c r="B18521" t="s">
        <v>21462</v>
      </c>
      <c r="C18521">
        <v>0</v>
      </c>
      <c r="D18521">
        <v>0.95495110230199998</v>
      </c>
      <c r="E18521">
        <v>11.202398800599701</v>
      </c>
    </row>
    <row r="18522" spans="1:5">
      <c r="A18522" t="s">
        <v>21463</v>
      </c>
      <c r="B18522" t="s">
        <v>21464</v>
      </c>
      <c r="C18522">
        <v>0.18442038783699999</v>
      </c>
      <c r="D18522">
        <v>0.53009813480699997</v>
      </c>
      <c r="E18522">
        <v>9.0194902548725597</v>
      </c>
    </row>
    <row r="18523" spans="1:5">
      <c r="A18523" t="s">
        <v>21465</v>
      </c>
      <c r="B18523" t="s">
        <v>21466</v>
      </c>
      <c r="C18523">
        <v>8.6757688068399993E-2</v>
      </c>
      <c r="D18523">
        <v>0.50583710377000002</v>
      </c>
      <c r="E18523">
        <v>7.3283358320839502</v>
      </c>
    </row>
    <row r="18524" spans="1:5">
      <c r="A18524" t="s">
        <v>21465</v>
      </c>
      <c r="B18524" t="s">
        <v>21467</v>
      </c>
      <c r="C18524">
        <f>0</f>
        <v>0</v>
      </c>
      <c r="D18524">
        <v>0.50583710377000002</v>
      </c>
      <c r="E18524">
        <v>7.3283358320839502</v>
      </c>
    </row>
    <row r="18525" spans="1:5">
      <c r="A18525" t="s">
        <v>21468</v>
      </c>
      <c r="B18525" t="s">
        <v>21469</v>
      </c>
      <c r="C18525">
        <f>0.153278377989</f>
        <v>0.15327837798899999</v>
      </c>
      <c r="D18525">
        <v>0.98710443242000001</v>
      </c>
      <c r="E18525">
        <v>1.06746626686656</v>
      </c>
    </row>
    <row r="18526" spans="1:5">
      <c r="A18526" t="s">
        <v>21468</v>
      </c>
      <c r="B18526" t="s">
        <v>21470</v>
      </c>
      <c r="C18526">
        <v>0.103423198992</v>
      </c>
      <c r="D18526">
        <v>0.98710443242000001</v>
      </c>
      <c r="E18526">
        <v>1.06746626686656</v>
      </c>
    </row>
    <row r="18527" spans="1:5">
      <c r="A18527" t="s">
        <v>21468</v>
      </c>
      <c r="B18527" t="s">
        <v>21471</v>
      </c>
      <c r="C18527">
        <v>0</v>
      </c>
      <c r="D18527">
        <v>0.98710443242000001</v>
      </c>
      <c r="E18527">
        <v>1.06746626686656</v>
      </c>
    </row>
    <row r="18528" spans="1:5">
      <c r="A18528" t="s">
        <v>21472</v>
      </c>
      <c r="B18528" t="s">
        <v>21473</v>
      </c>
      <c r="C18528">
        <v>0</v>
      </c>
      <c r="D18528">
        <v>0.95324466471000002</v>
      </c>
      <c r="E18528">
        <v>0.23988005997001499</v>
      </c>
    </row>
    <row r="18529" spans="1:5">
      <c r="A18529" t="s">
        <v>21472</v>
      </c>
      <c r="B18529" t="s">
        <v>21474</v>
      </c>
      <c r="C18529">
        <f>0.0903315493774</f>
        <v>9.0331549377399997E-2</v>
      </c>
      <c r="D18529">
        <v>0.95324466471000002</v>
      </c>
      <c r="E18529">
        <v>0.23988005997001499</v>
      </c>
    </row>
    <row r="18530" spans="1:5">
      <c r="A18530" t="s">
        <v>21472</v>
      </c>
      <c r="B18530" t="s">
        <v>21475</v>
      </c>
      <c r="C18530">
        <f>0</f>
        <v>0</v>
      </c>
      <c r="D18530">
        <v>0.95324466471000002</v>
      </c>
      <c r="E18530">
        <v>0.23988005997001499</v>
      </c>
    </row>
    <row r="18531" spans="1:5">
      <c r="A18531" t="s">
        <v>21472</v>
      </c>
      <c r="B18531" t="s">
        <v>21476</v>
      </c>
      <c r="C18531">
        <f>0</f>
        <v>0</v>
      </c>
      <c r="D18531">
        <v>0.95324466471000002</v>
      </c>
      <c r="E18531">
        <v>0.23988005997001499</v>
      </c>
    </row>
    <row r="18532" spans="1:5">
      <c r="A18532" t="s">
        <v>21472</v>
      </c>
      <c r="B18532" t="s">
        <v>21477</v>
      </c>
      <c r="C18532">
        <f>0.355771233077</f>
        <v>0.35577123307699998</v>
      </c>
      <c r="D18532">
        <v>0.95324466471000002</v>
      </c>
      <c r="E18532">
        <v>0.23988005997001499</v>
      </c>
    </row>
    <row r="18533" spans="1:5">
      <c r="A18533" t="s">
        <v>21478</v>
      </c>
      <c r="B18533" t="s">
        <v>21479</v>
      </c>
      <c r="C18533">
        <v>0</v>
      </c>
      <c r="D18533">
        <v>0.99043396428700003</v>
      </c>
      <c r="E18533">
        <v>13.2653673163418</v>
      </c>
    </row>
    <row r="18534" spans="1:5">
      <c r="A18534" t="s">
        <v>21478</v>
      </c>
      <c r="B18534" t="s">
        <v>21480</v>
      </c>
      <c r="C18534">
        <v>0</v>
      </c>
      <c r="D18534">
        <v>0.99043396428700003</v>
      </c>
      <c r="E18534">
        <v>13.2653673163418</v>
      </c>
    </row>
    <row r="18535" spans="1:5">
      <c r="A18535" t="s">
        <v>21478</v>
      </c>
      <c r="B18535" t="s">
        <v>21481</v>
      </c>
      <c r="C18535">
        <v>0</v>
      </c>
      <c r="D18535">
        <v>0.99043396428700003</v>
      </c>
      <c r="E18535">
        <v>13.2653673163418</v>
      </c>
    </row>
    <row r="18536" spans="1:5">
      <c r="A18536" t="s">
        <v>21478</v>
      </c>
      <c r="B18536" t="s">
        <v>21482</v>
      </c>
      <c r="C18536">
        <v>0</v>
      </c>
      <c r="D18536">
        <v>0.99043396428700003</v>
      </c>
      <c r="E18536">
        <v>13.2653673163418</v>
      </c>
    </row>
    <row r="18537" spans="1:5">
      <c r="A18537" t="s">
        <v>21478</v>
      </c>
      <c r="B18537" t="s">
        <v>21483</v>
      </c>
      <c r="C18537">
        <v>0</v>
      </c>
      <c r="D18537">
        <v>0.99043396428700003</v>
      </c>
      <c r="E18537">
        <v>13.2653673163418</v>
      </c>
    </row>
    <row r="18538" spans="1:5">
      <c r="A18538" t="s">
        <v>21478</v>
      </c>
      <c r="B18538" t="s">
        <v>21484</v>
      </c>
      <c r="C18538">
        <v>1.46183643577E-2</v>
      </c>
      <c r="D18538">
        <v>0.99043396428700003</v>
      </c>
      <c r="E18538">
        <v>13.2653673163418</v>
      </c>
    </row>
    <row r="18539" spans="1:5">
      <c r="A18539" t="s">
        <v>21478</v>
      </c>
      <c r="B18539" t="s">
        <v>21485</v>
      </c>
      <c r="C18539">
        <v>0</v>
      </c>
      <c r="D18539">
        <v>0.99043396428700003</v>
      </c>
      <c r="E18539">
        <v>13.2653673163418</v>
      </c>
    </row>
    <row r="18540" spans="1:5">
      <c r="A18540" t="s">
        <v>21478</v>
      </c>
      <c r="B18540" t="s">
        <v>21486</v>
      </c>
      <c r="C18540">
        <v>0</v>
      </c>
      <c r="D18540">
        <v>0.99043396428700003</v>
      </c>
      <c r="E18540">
        <v>13.2653673163418</v>
      </c>
    </row>
    <row r="18541" spans="1:5">
      <c r="A18541" t="s">
        <v>21478</v>
      </c>
      <c r="B18541" t="s">
        <v>21487</v>
      </c>
      <c r="C18541">
        <v>0</v>
      </c>
      <c r="D18541">
        <v>0.99043396428700003</v>
      </c>
      <c r="E18541">
        <v>13.2653673163418</v>
      </c>
    </row>
    <row r="18542" spans="1:5">
      <c r="A18542" t="s">
        <v>21478</v>
      </c>
      <c r="B18542" t="s">
        <v>21488</v>
      </c>
      <c r="C18542">
        <v>0</v>
      </c>
      <c r="D18542">
        <v>0.99043396428700003</v>
      </c>
      <c r="E18542">
        <v>13.2653673163418</v>
      </c>
    </row>
    <row r="18543" spans="1:5">
      <c r="A18543" t="s">
        <v>21478</v>
      </c>
      <c r="B18543" t="s">
        <v>21489</v>
      </c>
      <c r="C18543">
        <v>0</v>
      </c>
      <c r="D18543">
        <v>0.99043396428700003</v>
      </c>
      <c r="E18543">
        <v>13.2653673163418</v>
      </c>
    </row>
    <row r="18544" spans="1:5">
      <c r="A18544" t="s">
        <v>21478</v>
      </c>
      <c r="B18544" t="s">
        <v>21490</v>
      </c>
      <c r="C18544">
        <v>1.7483348570400001E-2</v>
      </c>
      <c r="D18544">
        <v>0.99043396428700003</v>
      </c>
      <c r="E18544">
        <v>13.2653673163418</v>
      </c>
    </row>
    <row r="18545" spans="1:5">
      <c r="A18545" t="s">
        <v>21478</v>
      </c>
      <c r="B18545" t="s">
        <v>21491</v>
      </c>
      <c r="C18545">
        <v>0</v>
      </c>
      <c r="D18545">
        <v>0.99043396428700003</v>
      </c>
      <c r="E18545">
        <v>13.2653673163418</v>
      </c>
    </row>
    <row r="18546" spans="1:5">
      <c r="A18546" t="s">
        <v>21492</v>
      </c>
      <c r="B18546" t="s">
        <v>21493</v>
      </c>
      <c r="C18546">
        <v>6.8836029580799998E-2</v>
      </c>
      <c r="D18546">
        <v>0.96645567838400004</v>
      </c>
      <c r="E18546">
        <v>24</v>
      </c>
    </row>
    <row r="18547" spans="1:5">
      <c r="A18547" t="s">
        <v>21494</v>
      </c>
      <c r="B18547" t="s">
        <v>21495</v>
      </c>
      <c r="C18547">
        <v>0</v>
      </c>
      <c r="D18547" t="s">
        <v>106</v>
      </c>
      <c r="E18547">
        <v>1.33133433283358</v>
      </c>
    </row>
    <row r="18548" spans="1:5">
      <c r="A18548" t="s">
        <v>21494</v>
      </c>
      <c r="B18548" t="s">
        <v>21496</v>
      </c>
      <c r="C18548">
        <f>0</f>
        <v>0</v>
      </c>
      <c r="D18548" t="s">
        <v>106</v>
      </c>
      <c r="E18548">
        <v>1.33133433283358</v>
      </c>
    </row>
    <row r="18549" spans="1:5">
      <c r="A18549" t="s">
        <v>21494</v>
      </c>
      <c r="B18549" t="s">
        <v>21497</v>
      </c>
      <c r="C18549">
        <v>0</v>
      </c>
      <c r="D18549" t="s">
        <v>106</v>
      </c>
      <c r="E18549">
        <v>1.33133433283358</v>
      </c>
    </row>
    <row r="18550" spans="1:5">
      <c r="A18550" t="s">
        <v>21494</v>
      </c>
      <c r="B18550" t="s">
        <v>21498</v>
      </c>
      <c r="C18550">
        <f>0</f>
        <v>0</v>
      </c>
      <c r="D18550" t="s">
        <v>106</v>
      </c>
      <c r="E18550">
        <v>1.33133433283358</v>
      </c>
    </row>
    <row r="18551" spans="1:5">
      <c r="A18551" t="s">
        <v>21494</v>
      </c>
      <c r="B18551" t="s">
        <v>21499</v>
      </c>
      <c r="C18551">
        <v>0</v>
      </c>
      <c r="D18551" t="s">
        <v>106</v>
      </c>
      <c r="E18551">
        <v>1.33133433283358</v>
      </c>
    </row>
    <row r="18552" spans="1:5">
      <c r="A18552" t="s">
        <v>21494</v>
      </c>
      <c r="B18552" t="s">
        <v>21500</v>
      </c>
      <c r="C18552">
        <v>0</v>
      </c>
      <c r="D18552" t="s">
        <v>106</v>
      </c>
      <c r="E18552">
        <v>1.33133433283358</v>
      </c>
    </row>
    <row r="18553" spans="1:5">
      <c r="A18553" t="s">
        <v>21494</v>
      </c>
      <c r="B18553" t="s">
        <v>21501</v>
      </c>
      <c r="C18553">
        <f>0</f>
        <v>0</v>
      </c>
      <c r="D18553" t="s">
        <v>106</v>
      </c>
      <c r="E18553">
        <v>1.33133433283358</v>
      </c>
    </row>
    <row r="18554" spans="1:5">
      <c r="A18554" t="s">
        <v>21494</v>
      </c>
      <c r="B18554" t="s">
        <v>21502</v>
      </c>
      <c r="C18554">
        <f>0</f>
        <v>0</v>
      </c>
      <c r="D18554" t="s">
        <v>106</v>
      </c>
      <c r="E18554">
        <v>1.33133433283358</v>
      </c>
    </row>
    <row r="18555" spans="1:5">
      <c r="A18555" t="s">
        <v>21494</v>
      </c>
      <c r="B18555" t="s">
        <v>21503</v>
      </c>
      <c r="C18555">
        <v>0</v>
      </c>
      <c r="D18555" t="s">
        <v>106</v>
      </c>
      <c r="E18555">
        <v>1.33133433283358</v>
      </c>
    </row>
    <row r="18556" spans="1:5">
      <c r="A18556" t="s">
        <v>21494</v>
      </c>
      <c r="B18556" t="s">
        <v>21504</v>
      </c>
      <c r="C18556">
        <v>0</v>
      </c>
      <c r="D18556" t="s">
        <v>106</v>
      </c>
      <c r="E18556">
        <v>1.33133433283358</v>
      </c>
    </row>
    <row r="18557" spans="1:5">
      <c r="A18557" t="s">
        <v>21494</v>
      </c>
      <c r="B18557" t="s">
        <v>21505</v>
      </c>
      <c r="C18557">
        <v>0</v>
      </c>
      <c r="D18557" t="s">
        <v>106</v>
      </c>
      <c r="E18557">
        <v>1.33133433283358</v>
      </c>
    </row>
    <row r="18558" spans="1:5">
      <c r="A18558" t="s">
        <v>21494</v>
      </c>
      <c r="B18558" t="s">
        <v>21506</v>
      </c>
      <c r="C18558">
        <f>0</f>
        <v>0</v>
      </c>
      <c r="D18558" t="s">
        <v>106</v>
      </c>
      <c r="E18558">
        <v>1.33133433283358</v>
      </c>
    </row>
    <row r="18559" spans="1:5">
      <c r="A18559" t="s">
        <v>21494</v>
      </c>
      <c r="B18559" t="s">
        <v>21507</v>
      </c>
      <c r="C18559">
        <f>0</f>
        <v>0</v>
      </c>
      <c r="D18559" t="s">
        <v>106</v>
      </c>
      <c r="E18559">
        <v>1.33133433283358</v>
      </c>
    </row>
    <row r="18560" spans="1:5">
      <c r="A18560" t="s">
        <v>21494</v>
      </c>
      <c r="B18560" t="s">
        <v>21508</v>
      </c>
      <c r="C18560">
        <v>0</v>
      </c>
      <c r="D18560" t="s">
        <v>106</v>
      </c>
      <c r="E18560">
        <v>1.33133433283358</v>
      </c>
    </row>
    <row r="18561" spans="1:5">
      <c r="A18561" t="s">
        <v>21494</v>
      </c>
      <c r="B18561" t="s">
        <v>21509</v>
      </c>
      <c r="C18561">
        <f>0</f>
        <v>0</v>
      </c>
      <c r="D18561" t="s">
        <v>106</v>
      </c>
      <c r="E18561">
        <v>1.33133433283358</v>
      </c>
    </row>
    <row r="18562" spans="1:5">
      <c r="A18562" t="s">
        <v>21494</v>
      </c>
      <c r="B18562" t="s">
        <v>21510</v>
      </c>
      <c r="C18562">
        <v>0</v>
      </c>
      <c r="D18562" t="s">
        <v>106</v>
      </c>
      <c r="E18562">
        <v>1.33133433283358</v>
      </c>
    </row>
    <row r="18563" spans="1:5">
      <c r="A18563" t="s">
        <v>21494</v>
      </c>
      <c r="B18563" t="s">
        <v>21511</v>
      </c>
      <c r="C18563">
        <f>0</f>
        <v>0</v>
      </c>
      <c r="D18563" t="s">
        <v>106</v>
      </c>
      <c r="E18563">
        <v>1.33133433283358</v>
      </c>
    </row>
    <row r="18564" spans="1:5">
      <c r="A18564" t="s">
        <v>21512</v>
      </c>
      <c r="B18564" t="s">
        <v>21513</v>
      </c>
      <c r="C18564">
        <v>0.13095172932900001</v>
      </c>
      <c r="D18564">
        <v>0.96782641440799999</v>
      </c>
      <c r="E18564">
        <v>4.68965517241379</v>
      </c>
    </row>
    <row r="18565" spans="1:5">
      <c r="A18565" t="s">
        <v>21512</v>
      </c>
      <c r="B18565" t="s">
        <v>21514</v>
      </c>
      <c r="C18565">
        <f>0</f>
        <v>0</v>
      </c>
      <c r="D18565">
        <v>0.96782641440799999</v>
      </c>
      <c r="E18565">
        <v>4.68965517241379</v>
      </c>
    </row>
    <row r="18566" spans="1:5">
      <c r="A18566" t="s">
        <v>21512</v>
      </c>
      <c r="B18566" t="s">
        <v>21515</v>
      </c>
      <c r="C18566">
        <f>0.0164110810755</f>
        <v>1.64110810755E-2</v>
      </c>
      <c r="D18566">
        <v>0.96782641440799999</v>
      </c>
      <c r="E18566">
        <v>4.68965517241379</v>
      </c>
    </row>
    <row r="18567" spans="1:5">
      <c r="A18567" t="s">
        <v>21512</v>
      </c>
      <c r="B18567" t="s">
        <v>21516</v>
      </c>
      <c r="C18567">
        <f>0</f>
        <v>0</v>
      </c>
      <c r="D18567">
        <v>0.96782641440799999</v>
      </c>
      <c r="E18567">
        <v>4.68965517241379</v>
      </c>
    </row>
    <row r="18568" spans="1:5">
      <c r="A18568" t="s">
        <v>21512</v>
      </c>
      <c r="B18568" t="s">
        <v>21517</v>
      </c>
      <c r="C18568">
        <v>0</v>
      </c>
      <c r="D18568">
        <v>0.96782641440799999</v>
      </c>
      <c r="E18568">
        <v>4.68965517241379</v>
      </c>
    </row>
    <row r="18569" spans="1:5">
      <c r="A18569" t="s">
        <v>21512</v>
      </c>
      <c r="B18569" t="s">
        <v>21518</v>
      </c>
      <c r="C18569">
        <v>0</v>
      </c>
      <c r="D18569">
        <v>0.96782641440799999</v>
      </c>
      <c r="E18569">
        <v>4.68965517241379</v>
      </c>
    </row>
    <row r="18570" spans="1:5">
      <c r="A18570" t="s">
        <v>21512</v>
      </c>
      <c r="B18570" t="s">
        <v>21519</v>
      </c>
      <c r="C18570">
        <f>0</f>
        <v>0</v>
      </c>
      <c r="D18570">
        <v>0.96782641440799999</v>
      </c>
      <c r="E18570">
        <v>4.68965517241379</v>
      </c>
    </row>
    <row r="18571" spans="1:5">
      <c r="A18571" t="s">
        <v>21520</v>
      </c>
      <c r="B18571" t="s">
        <v>21521</v>
      </c>
      <c r="C18571">
        <f>0.25062392203</f>
        <v>0.25062392203</v>
      </c>
      <c r="D18571">
        <v>0.98148810339400006</v>
      </c>
      <c r="E18571">
        <v>5.9370314842578704</v>
      </c>
    </row>
    <row r="18572" spans="1:5">
      <c r="A18572" t="s">
        <v>21522</v>
      </c>
      <c r="B18572" t="s">
        <v>21523</v>
      </c>
      <c r="C18572">
        <v>0.112394799061</v>
      </c>
      <c r="D18572">
        <v>0.99363593017499996</v>
      </c>
      <c r="E18572">
        <v>2.0989505247376301</v>
      </c>
    </row>
    <row r="18573" spans="1:5">
      <c r="A18573" t="s">
        <v>21522</v>
      </c>
      <c r="B18573" t="s">
        <v>21524</v>
      </c>
      <c r="C18573">
        <v>0</v>
      </c>
      <c r="D18573">
        <v>0.99363593017499996</v>
      </c>
      <c r="E18573">
        <v>2.0989505247376301</v>
      </c>
    </row>
    <row r="18574" spans="1:5">
      <c r="A18574" t="s">
        <v>21522</v>
      </c>
      <c r="B18574" t="s">
        <v>21525</v>
      </c>
      <c r="C18574">
        <f>0</f>
        <v>0</v>
      </c>
      <c r="D18574">
        <v>0.99363593017499996</v>
      </c>
      <c r="E18574">
        <v>2.0989505247376301</v>
      </c>
    </row>
    <row r="18575" spans="1:5">
      <c r="A18575" t="s">
        <v>21522</v>
      </c>
      <c r="B18575" t="s">
        <v>21526</v>
      </c>
      <c r="C18575">
        <v>0</v>
      </c>
      <c r="D18575">
        <v>0.99363593017499996</v>
      </c>
      <c r="E18575">
        <v>2.0989505247376301</v>
      </c>
    </row>
    <row r="18576" spans="1:5">
      <c r="A18576" t="s">
        <v>21522</v>
      </c>
      <c r="B18576" t="s">
        <v>21527</v>
      </c>
      <c r="C18576">
        <f>0</f>
        <v>0</v>
      </c>
      <c r="D18576">
        <v>0.99363593017499996</v>
      </c>
      <c r="E18576">
        <v>2.0989505247376301</v>
      </c>
    </row>
    <row r="18577" spans="1:5">
      <c r="A18577" t="s">
        <v>21522</v>
      </c>
      <c r="B18577" t="s">
        <v>21528</v>
      </c>
      <c r="C18577">
        <v>0</v>
      </c>
      <c r="D18577">
        <v>0.99363593017499996</v>
      </c>
      <c r="E18577">
        <v>2.0989505247376301</v>
      </c>
    </row>
    <row r="18578" spans="1:5">
      <c r="A18578" t="s">
        <v>21522</v>
      </c>
      <c r="B18578" t="s">
        <v>21529</v>
      </c>
      <c r="C18578">
        <f>0</f>
        <v>0</v>
      </c>
      <c r="D18578">
        <v>0.99363593017499996</v>
      </c>
      <c r="E18578">
        <v>2.0989505247376301</v>
      </c>
    </row>
    <row r="18579" spans="1:5">
      <c r="A18579" t="s">
        <v>21522</v>
      </c>
      <c r="B18579" t="s">
        <v>21530</v>
      </c>
      <c r="C18579">
        <f>0</f>
        <v>0</v>
      </c>
      <c r="D18579">
        <v>0.99363593017499996</v>
      </c>
      <c r="E18579">
        <v>2.0989505247376301</v>
      </c>
    </row>
    <row r="18580" spans="1:5">
      <c r="A18580" t="s">
        <v>21522</v>
      </c>
      <c r="B18580" t="s">
        <v>21531</v>
      </c>
      <c r="C18580">
        <f>0</f>
        <v>0</v>
      </c>
      <c r="D18580">
        <v>0.99363593017499996</v>
      </c>
      <c r="E18580">
        <v>2.0989505247376301</v>
      </c>
    </row>
    <row r="18581" spans="1:5">
      <c r="A18581" t="s">
        <v>21522</v>
      </c>
      <c r="B18581" t="s">
        <v>21532</v>
      </c>
      <c r="C18581">
        <v>0</v>
      </c>
      <c r="D18581">
        <v>0.99363593017499996</v>
      </c>
      <c r="E18581">
        <v>2.0989505247376301</v>
      </c>
    </row>
    <row r="18582" spans="1:5">
      <c r="A18582" t="s">
        <v>21522</v>
      </c>
      <c r="B18582" t="s">
        <v>21533</v>
      </c>
      <c r="C18582">
        <f>0</f>
        <v>0</v>
      </c>
      <c r="D18582">
        <v>0.99363593017499996</v>
      </c>
      <c r="E18582">
        <v>2.0989505247376301</v>
      </c>
    </row>
    <row r="18583" spans="1:5">
      <c r="A18583" t="s">
        <v>21522</v>
      </c>
      <c r="B18583" t="s">
        <v>21534</v>
      </c>
      <c r="C18583">
        <v>0</v>
      </c>
      <c r="D18583">
        <v>0.99363593017499996</v>
      </c>
      <c r="E18583">
        <v>2.0989505247376301</v>
      </c>
    </row>
    <row r="18584" spans="1:5">
      <c r="A18584" t="s">
        <v>21522</v>
      </c>
      <c r="B18584" t="s">
        <v>21535</v>
      </c>
      <c r="C18584">
        <v>0</v>
      </c>
      <c r="D18584">
        <v>0.99363593017499996</v>
      </c>
      <c r="E18584">
        <v>2.0989505247376301</v>
      </c>
    </row>
    <row r="18585" spans="1:5">
      <c r="A18585" t="s">
        <v>21522</v>
      </c>
      <c r="B18585" t="s">
        <v>21536</v>
      </c>
      <c r="C18585">
        <f>0</f>
        <v>0</v>
      </c>
      <c r="D18585">
        <v>0.99363593017499996</v>
      </c>
      <c r="E18585">
        <v>2.0989505247376301</v>
      </c>
    </row>
    <row r="18586" spans="1:5">
      <c r="A18586" t="s">
        <v>21522</v>
      </c>
      <c r="B18586" t="s">
        <v>21537</v>
      </c>
      <c r="C18586">
        <v>0</v>
      </c>
      <c r="D18586">
        <v>0.99363593017499996</v>
      </c>
      <c r="E18586">
        <v>2.0989505247376301</v>
      </c>
    </row>
    <row r="18587" spans="1:5">
      <c r="A18587" t="s">
        <v>21522</v>
      </c>
      <c r="B18587" t="s">
        <v>21538</v>
      </c>
      <c r="C18587">
        <f>0</f>
        <v>0</v>
      </c>
      <c r="D18587">
        <v>0.99363593017499996</v>
      </c>
      <c r="E18587">
        <v>2.0989505247376301</v>
      </c>
    </row>
    <row r="18588" spans="1:5">
      <c r="A18588" t="s">
        <v>21522</v>
      </c>
      <c r="B18588" t="s">
        <v>21539</v>
      </c>
      <c r="C18588">
        <v>0</v>
      </c>
      <c r="D18588">
        <v>0.99363593017499996</v>
      </c>
      <c r="E18588">
        <v>2.0989505247376301</v>
      </c>
    </row>
    <row r="18589" spans="1:5">
      <c r="A18589" t="s">
        <v>21522</v>
      </c>
      <c r="B18589" t="s">
        <v>21540</v>
      </c>
      <c r="C18589">
        <f>0</f>
        <v>0</v>
      </c>
      <c r="D18589">
        <v>0.99363593017499996</v>
      </c>
      <c r="E18589">
        <v>2.0989505247376301</v>
      </c>
    </row>
    <row r="18590" spans="1:5">
      <c r="A18590" t="s">
        <v>21522</v>
      </c>
      <c r="B18590" t="s">
        <v>21541</v>
      </c>
      <c r="C18590">
        <f>0</f>
        <v>0</v>
      </c>
      <c r="D18590">
        <v>0.99363593017499996</v>
      </c>
      <c r="E18590">
        <v>2.0989505247376301</v>
      </c>
    </row>
    <row r="18591" spans="1:5">
      <c r="A18591" t="s">
        <v>21522</v>
      </c>
      <c r="B18591" t="s">
        <v>21542</v>
      </c>
      <c r="C18591">
        <f>0</f>
        <v>0</v>
      </c>
      <c r="D18591">
        <v>0.99363593017499996</v>
      </c>
      <c r="E18591">
        <v>2.0989505247376301</v>
      </c>
    </row>
    <row r="18592" spans="1:5">
      <c r="A18592" t="s">
        <v>21543</v>
      </c>
      <c r="B18592" t="s">
        <v>21544</v>
      </c>
      <c r="C18592">
        <v>0.18611560735499999</v>
      </c>
      <c r="D18592">
        <v>0.83622726196099995</v>
      </c>
      <c r="E18592">
        <v>7.3283358320839502</v>
      </c>
    </row>
    <row r="18593" spans="1:5">
      <c r="A18593" t="s">
        <v>21543</v>
      </c>
      <c r="B18593" t="s">
        <v>21545</v>
      </c>
      <c r="C18593">
        <v>0</v>
      </c>
      <c r="D18593">
        <v>0.83622726196099995</v>
      </c>
      <c r="E18593">
        <v>7.3283358320839502</v>
      </c>
    </row>
    <row r="18594" spans="1:5">
      <c r="A18594" t="s">
        <v>21543</v>
      </c>
      <c r="B18594" t="s">
        <v>21546</v>
      </c>
      <c r="C18594">
        <f>0</f>
        <v>0</v>
      </c>
      <c r="D18594">
        <v>0.83622726196099995</v>
      </c>
      <c r="E18594">
        <v>7.3283358320839502</v>
      </c>
    </row>
    <row r="18595" spans="1:5">
      <c r="A18595" t="s">
        <v>21547</v>
      </c>
      <c r="B18595" t="s">
        <v>21548</v>
      </c>
      <c r="C18595">
        <v>0</v>
      </c>
      <c r="D18595">
        <v>0.83268338361100003</v>
      </c>
      <c r="E18595">
        <v>1.6311844077961</v>
      </c>
    </row>
    <row r="18596" spans="1:5">
      <c r="A18596" t="s">
        <v>21547</v>
      </c>
      <c r="B18596" t="s">
        <v>21549</v>
      </c>
      <c r="C18596">
        <v>0.51392599303700004</v>
      </c>
      <c r="D18596">
        <v>0.83268338361100003</v>
      </c>
      <c r="E18596">
        <v>1.6311844077961</v>
      </c>
    </row>
    <row r="18597" spans="1:5">
      <c r="A18597" t="s">
        <v>21550</v>
      </c>
      <c r="B18597" t="s">
        <v>21551</v>
      </c>
      <c r="C18597">
        <v>8.7662287256199997E-2</v>
      </c>
      <c r="D18597">
        <v>0.88792595782600003</v>
      </c>
      <c r="E18597">
        <v>18.1349325337331</v>
      </c>
    </row>
    <row r="18598" spans="1:5">
      <c r="A18598" t="s">
        <v>21550</v>
      </c>
      <c r="B18598" t="s">
        <v>21552</v>
      </c>
      <c r="C18598">
        <f>0</f>
        <v>0</v>
      </c>
      <c r="D18598">
        <v>0.88792595782600003</v>
      </c>
      <c r="E18598">
        <v>18.1349325337331</v>
      </c>
    </row>
    <row r="18599" spans="1:5">
      <c r="A18599" t="s">
        <v>21550</v>
      </c>
      <c r="B18599" t="s">
        <v>21553</v>
      </c>
      <c r="C18599">
        <v>0</v>
      </c>
      <c r="D18599">
        <v>0.88792595782600003</v>
      </c>
      <c r="E18599">
        <v>18.1349325337331</v>
      </c>
    </row>
    <row r="18600" spans="1:5">
      <c r="A18600" t="s">
        <v>21550</v>
      </c>
      <c r="B18600" t="s">
        <v>21554</v>
      </c>
      <c r="C18600">
        <v>0</v>
      </c>
      <c r="D18600">
        <v>0.88792595782600003</v>
      </c>
      <c r="E18600">
        <v>18.1349325337331</v>
      </c>
    </row>
    <row r="18601" spans="1:5">
      <c r="A18601" t="s">
        <v>21550</v>
      </c>
      <c r="B18601" t="s">
        <v>21555</v>
      </c>
      <c r="C18601">
        <v>6.5940891738600002E-2</v>
      </c>
      <c r="D18601">
        <v>0.88792595782600003</v>
      </c>
      <c r="E18601">
        <v>18.1349325337331</v>
      </c>
    </row>
    <row r="18602" spans="1:5">
      <c r="A18602" t="s">
        <v>21550</v>
      </c>
      <c r="B18602" t="s">
        <v>21556</v>
      </c>
      <c r="C18602">
        <v>0</v>
      </c>
      <c r="D18602">
        <v>0.88792595782600003</v>
      </c>
      <c r="E18602">
        <v>18.1349325337331</v>
      </c>
    </row>
    <row r="18603" spans="1:5">
      <c r="A18603" t="s">
        <v>21550</v>
      </c>
      <c r="B18603" t="s">
        <v>21557</v>
      </c>
      <c r="C18603">
        <v>0</v>
      </c>
      <c r="D18603">
        <v>0.88792595782600003</v>
      </c>
      <c r="E18603">
        <v>18.1349325337331</v>
      </c>
    </row>
    <row r="18604" spans="1:5">
      <c r="A18604" t="s">
        <v>21558</v>
      </c>
      <c r="B18604" t="s">
        <v>21559</v>
      </c>
      <c r="C18604">
        <f>0</f>
        <v>0</v>
      </c>
      <c r="D18604">
        <v>0.93368849080000005</v>
      </c>
      <c r="E18604">
        <v>4.7976011994003001</v>
      </c>
    </row>
    <row r="18605" spans="1:5">
      <c r="A18605" t="s">
        <v>21558</v>
      </c>
      <c r="B18605" t="s">
        <v>21560</v>
      </c>
      <c r="C18605">
        <v>0</v>
      </c>
      <c r="D18605">
        <v>0.93368849080000005</v>
      </c>
      <c r="E18605">
        <v>4.7976011994003001</v>
      </c>
    </row>
    <row r="18606" spans="1:5">
      <c r="A18606" t="s">
        <v>21558</v>
      </c>
      <c r="B18606" t="s">
        <v>21561</v>
      </c>
      <c r="C18606">
        <v>0</v>
      </c>
      <c r="D18606">
        <v>0.93368849080000005</v>
      </c>
      <c r="E18606">
        <v>4.7976011994003001</v>
      </c>
    </row>
    <row r="18607" spans="1:5">
      <c r="A18607" t="s">
        <v>21558</v>
      </c>
      <c r="B18607" t="s">
        <v>21562</v>
      </c>
      <c r="C18607">
        <v>0</v>
      </c>
      <c r="D18607">
        <v>0.93368849080000005</v>
      </c>
      <c r="E18607">
        <v>4.7976011994003001</v>
      </c>
    </row>
    <row r="18608" spans="1:5">
      <c r="A18608" t="s">
        <v>21558</v>
      </c>
      <c r="B18608" t="s">
        <v>21563</v>
      </c>
      <c r="C18608">
        <v>0</v>
      </c>
      <c r="D18608">
        <v>0.93368849080000005</v>
      </c>
      <c r="E18608">
        <v>4.7976011994003001</v>
      </c>
    </row>
    <row r="18609" spans="1:5">
      <c r="A18609" t="s">
        <v>21564</v>
      </c>
      <c r="B18609" t="s">
        <v>21565</v>
      </c>
      <c r="C18609">
        <f>0</f>
        <v>0</v>
      </c>
      <c r="D18609" t="s">
        <v>106</v>
      </c>
      <c r="E18609">
        <v>2.96251874062968</v>
      </c>
    </row>
    <row r="18610" spans="1:5">
      <c r="A18610" t="s">
        <v>21564</v>
      </c>
      <c r="B18610" t="s">
        <v>21566</v>
      </c>
      <c r="C18610">
        <f>0</f>
        <v>0</v>
      </c>
      <c r="D18610" t="s">
        <v>106</v>
      </c>
      <c r="E18610">
        <v>2.96251874062968</v>
      </c>
    </row>
    <row r="18611" spans="1:5">
      <c r="A18611" t="s">
        <v>21564</v>
      </c>
      <c r="B18611" t="s">
        <v>21567</v>
      </c>
      <c r="C18611">
        <f>0</f>
        <v>0</v>
      </c>
      <c r="D18611" t="s">
        <v>106</v>
      </c>
      <c r="E18611">
        <v>2.96251874062968</v>
      </c>
    </row>
    <row r="18612" spans="1:5">
      <c r="A18612" t="s">
        <v>21564</v>
      </c>
      <c r="B18612" t="s">
        <v>21568</v>
      </c>
      <c r="C18612">
        <v>0</v>
      </c>
      <c r="D18612" t="s">
        <v>106</v>
      </c>
      <c r="E18612">
        <v>2.96251874062968</v>
      </c>
    </row>
    <row r="18613" spans="1:5">
      <c r="A18613" t="s">
        <v>21564</v>
      </c>
      <c r="B18613" t="s">
        <v>21569</v>
      </c>
      <c r="C18613">
        <v>0</v>
      </c>
      <c r="D18613" t="s">
        <v>106</v>
      </c>
      <c r="E18613">
        <v>2.96251874062968</v>
      </c>
    </row>
    <row r="18614" spans="1:5">
      <c r="A18614" t="s">
        <v>21564</v>
      </c>
      <c r="B18614" t="s">
        <v>21570</v>
      </c>
      <c r="C18614">
        <f>0</f>
        <v>0</v>
      </c>
      <c r="D18614" t="s">
        <v>106</v>
      </c>
      <c r="E18614">
        <v>2.96251874062968</v>
      </c>
    </row>
    <row r="18615" spans="1:5">
      <c r="A18615" t="s">
        <v>21564</v>
      </c>
      <c r="B18615" t="s">
        <v>21571</v>
      </c>
      <c r="C18615">
        <f>0</f>
        <v>0</v>
      </c>
      <c r="D18615" t="s">
        <v>106</v>
      </c>
      <c r="E18615">
        <v>2.96251874062968</v>
      </c>
    </row>
    <row r="18616" spans="1:5">
      <c r="A18616" t="s">
        <v>21564</v>
      </c>
      <c r="B18616" t="s">
        <v>21572</v>
      </c>
      <c r="C18616">
        <f>0</f>
        <v>0</v>
      </c>
      <c r="D18616" t="s">
        <v>106</v>
      </c>
      <c r="E18616">
        <v>2.96251874062968</v>
      </c>
    </row>
    <row r="18617" spans="1:5">
      <c r="A18617" t="s">
        <v>21564</v>
      </c>
      <c r="B18617" t="s">
        <v>21573</v>
      </c>
      <c r="C18617">
        <v>0</v>
      </c>
      <c r="D18617" t="s">
        <v>106</v>
      </c>
      <c r="E18617">
        <v>2.96251874062968</v>
      </c>
    </row>
    <row r="18618" spans="1:5">
      <c r="A18618" t="s">
        <v>21564</v>
      </c>
      <c r="B18618" t="s">
        <v>21574</v>
      </c>
      <c r="C18618">
        <f>0</f>
        <v>0</v>
      </c>
      <c r="D18618" t="s">
        <v>106</v>
      </c>
      <c r="E18618">
        <v>2.96251874062968</v>
      </c>
    </row>
    <row r="18619" spans="1:5">
      <c r="A18619" t="s">
        <v>21564</v>
      </c>
      <c r="B18619" t="s">
        <v>21575</v>
      </c>
      <c r="C18619">
        <v>0</v>
      </c>
      <c r="D18619" t="s">
        <v>106</v>
      </c>
      <c r="E18619">
        <v>2.96251874062968</v>
      </c>
    </row>
    <row r="18620" spans="1:5">
      <c r="A18620" t="s">
        <v>21564</v>
      </c>
      <c r="B18620" t="s">
        <v>21576</v>
      </c>
      <c r="C18620">
        <v>0</v>
      </c>
      <c r="D18620" t="s">
        <v>106</v>
      </c>
      <c r="E18620">
        <v>2.96251874062968</v>
      </c>
    </row>
    <row r="18621" spans="1:5">
      <c r="A18621" t="s">
        <v>21564</v>
      </c>
      <c r="B18621" t="s">
        <v>21577</v>
      </c>
      <c r="C18621">
        <v>0</v>
      </c>
      <c r="D18621" t="s">
        <v>106</v>
      </c>
      <c r="E18621">
        <v>2.96251874062968</v>
      </c>
    </row>
    <row r="18622" spans="1:5">
      <c r="A18622" t="s">
        <v>21564</v>
      </c>
      <c r="B18622" t="s">
        <v>21578</v>
      </c>
      <c r="C18622">
        <v>0</v>
      </c>
      <c r="D18622" t="s">
        <v>106</v>
      </c>
      <c r="E18622">
        <v>2.96251874062968</v>
      </c>
    </row>
    <row r="18623" spans="1:5">
      <c r="A18623" t="s">
        <v>21579</v>
      </c>
      <c r="B18623" t="s">
        <v>21580</v>
      </c>
      <c r="C18623">
        <v>0</v>
      </c>
      <c r="D18623">
        <v>0.95413480324599997</v>
      </c>
      <c r="E18623">
        <v>12.2098950524737</v>
      </c>
    </row>
    <row r="18624" spans="1:5">
      <c r="A18624" t="s">
        <v>21579</v>
      </c>
      <c r="B18624" t="s">
        <v>21581</v>
      </c>
      <c r="C18624">
        <v>0</v>
      </c>
      <c r="D18624">
        <v>0.95413480324599997</v>
      </c>
      <c r="E18624">
        <v>12.2098950524737</v>
      </c>
    </row>
    <row r="18625" spans="1:5">
      <c r="A18625" t="s">
        <v>21579</v>
      </c>
      <c r="B18625" t="s">
        <v>21582</v>
      </c>
      <c r="C18625">
        <f>0</f>
        <v>0</v>
      </c>
      <c r="D18625">
        <v>0.95413480324599997</v>
      </c>
      <c r="E18625">
        <v>12.2098950524737</v>
      </c>
    </row>
    <row r="18626" spans="1:5">
      <c r="A18626" t="s">
        <v>21579</v>
      </c>
      <c r="B18626" t="s">
        <v>21583</v>
      </c>
      <c r="C18626">
        <f>0</f>
        <v>0</v>
      </c>
      <c r="D18626">
        <v>0.95413480324599997</v>
      </c>
      <c r="E18626">
        <v>12.2098950524737</v>
      </c>
    </row>
    <row r="18627" spans="1:5">
      <c r="A18627" t="s">
        <v>21579</v>
      </c>
      <c r="B18627" t="s">
        <v>21584</v>
      </c>
      <c r="C18627">
        <f>0</f>
        <v>0</v>
      </c>
      <c r="D18627">
        <v>0.95413480324599997</v>
      </c>
      <c r="E18627">
        <v>12.2098950524737</v>
      </c>
    </row>
    <row r="18628" spans="1:5">
      <c r="A18628" t="s">
        <v>21579</v>
      </c>
      <c r="B18628" t="s">
        <v>21585</v>
      </c>
      <c r="C18628">
        <v>0</v>
      </c>
      <c r="D18628">
        <v>0.95413480324599997</v>
      </c>
      <c r="E18628">
        <v>12.2098950524737</v>
      </c>
    </row>
    <row r="18629" spans="1:5">
      <c r="A18629" t="s">
        <v>21579</v>
      </c>
      <c r="B18629" t="s">
        <v>21586</v>
      </c>
      <c r="C18629">
        <v>0</v>
      </c>
      <c r="D18629">
        <v>0.95413480324599997</v>
      </c>
      <c r="E18629">
        <v>12.2098950524737</v>
      </c>
    </row>
    <row r="18630" spans="1:5">
      <c r="A18630" t="s">
        <v>21579</v>
      </c>
      <c r="B18630" t="s">
        <v>21587</v>
      </c>
      <c r="C18630">
        <f>0</f>
        <v>0</v>
      </c>
      <c r="D18630">
        <v>0.95413480324599997</v>
      </c>
      <c r="E18630">
        <v>12.2098950524737</v>
      </c>
    </row>
    <row r="18631" spans="1:5">
      <c r="A18631" t="s">
        <v>21579</v>
      </c>
      <c r="B18631" t="s">
        <v>21588</v>
      </c>
      <c r="C18631">
        <f>0</f>
        <v>0</v>
      </c>
      <c r="D18631">
        <v>0.95413480324599997</v>
      </c>
      <c r="E18631">
        <v>12.2098950524737</v>
      </c>
    </row>
    <row r="18632" spans="1:5">
      <c r="A18632" t="s">
        <v>21579</v>
      </c>
      <c r="B18632" t="s">
        <v>21589</v>
      </c>
      <c r="C18632">
        <v>8.4358267156599998E-2</v>
      </c>
      <c r="D18632">
        <v>0.95413480324599997</v>
      </c>
      <c r="E18632">
        <v>12.2098950524737</v>
      </c>
    </row>
    <row r="18633" spans="1:5">
      <c r="A18633" t="s">
        <v>21579</v>
      </c>
      <c r="B18633" t="s">
        <v>21590</v>
      </c>
      <c r="C18633">
        <v>0</v>
      </c>
      <c r="D18633">
        <v>0.95413480324599997</v>
      </c>
      <c r="E18633">
        <v>12.2098950524737</v>
      </c>
    </row>
    <row r="18634" spans="1:5">
      <c r="A18634" t="s">
        <v>21579</v>
      </c>
      <c r="B18634" t="s">
        <v>21591</v>
      </c>
      <c r="C18634">
        <v>0</v>
      </c>
      <c r="D18634">
        <v>0.95413480324599997</v>
      </c>
      <c r="E18634">
        <v>12.2098950524737</v>
      </c>
    </row>
    <row r="18635" spans="1:5">
      <c r="A18635" t="s">
        <v>21579</v>
      </c>
      <c r="B18635" t="s">
        <v>21592</v>
      </c>
      <c r="C18635">
        <f>0</f>
        <v>0</v>
      </c>
      <c r="D18635">
        <v>0.95413480324599997</v>
      </c>
      <c r="E18635">
        <v>12.2098950524737</v>
      </c>
    </row>
    <row r="18636" spans="1:5">
      <c r="A18636" t="s">
        <v>21579</v>
      </c>
      <c r="B18636" t="s">
        <v>21593</v>
      </c>
      <c r="C18636">
        <v>0</v>
      </c>
      <c r="D18636">
        <v>0.95413480324599997</v>
      </c>
      <c r="E18636">
        <v>12.2098950524737</v>
      </c>
    </row>
    <row r="18637" spans="1:5">
      <c r="A18637" t="s">
        <v>21579</v>
      </c>
      <c r="B18637" t="s">
        <v>21594</v>
      </c>
      <c r="C18637">
        <v>0</v>
      </c>
      <c r="D18637">
        <v>0.95413480324599997</v>
      </c>
      <c r="E18637">
        <v>12.2098950524737</v>
      </c>
    </row>
    <row r="18638" spans="1:5">
      <c r="A18638" t="s">
        <v>21579</v>
      </c>
      <c r="B18638" t="s">
        <v>21595</v>
      </c>
      <c r="C18638">
        <v>0</v>
      </c>
      <c r="D18638">
        <v>0.95413480324599997</v>
      </c>
      <c r="E18638">
        <v>12.2098950524737</v>
      </c>
    </row>
    <row r="18639" spans="1:5">
      <c r="A18639" t="s">
        <v>21579</v>
      </c>
      <c r="B18639" t="s">
        <v>21596</v>
      </c>
      <c r="C18639">
        <v>0</v>
      </c>
      <c r="D18639">
        <v>0.95413480324599997</v>
      </c>
      <c r="E18639">
        <v>12.2098950524737</v>
      </c>
    </row>
    <row r="18640" spans="1:5">
      <c r="A18640" t="s">
        <v>21579</v>
      </c>
      <c r="B18640" t="s">
        <v>21597</v>
      </c>
      <c r="C18640">
        <v>0</v>
      </c>
      <c r="D18640">
        <v>0.95413480324599997</v>
      </c>
      <c r="E18640">
        <v>12.2098950524737</v>
      </c>
    </row>
    <row r="18641" spans="1:5">
      <c r="A18641" t="s">
        <v>21579</v>
      </c>
      <c r="B18641" t="s">
        <v>21598</v>
      </c>
      <c r="C18641">
        <v>0</v>
      </c>
      <c r="D18641">
        <v>0.95413480324599997</v>
      </c>
      <c r="E18641">
        <v>12.2098950524737</v>
      </c>
    </row>
    <row r="18642" spans="1:5">
      <c r="A18642" t="s">
        <v>21579</v>
      </c>
      <c r="B18642" t="s">
        <v>21599</v>
      </c>
      <c r="C18642">
        <v>0</v>
      </c>
      <c r="D18642">
        <v>0.95413480324599997</v>
      </c>
      <c r="E18642">
        <v>12.2098950524737</v>
      </c>
    </row>
    <row r="18643" spans="1:5">
      <c r="A18643" t="s">
        <v>21600</v>
      </c>
      <c r="B18643" t="s">
        <v>21601</v>
      </c>
      <c r="C18643">
        <f>0</f>
        <v>0</v>
      </c>
      <c r="D18643" t="s">
        <v>106</v>
      </c>
      <c r="E18643">
        <v>11.8740629685157</v>
      </c>
    </row>
    <row r="18644" spans="1:5">
      <c r="A18644" t="s">
        <v>21600</v>
      </c>
      <c r="B18644" t="s">
        <v>21602</v>
      </c>
      <c r="C18644">
        <f>0</f>
        <v>0</v>
      </c>
      <c r="D18644" t="s">
        <v>106</v>
      </c>
      <c r="E18644">
        <v>11.8740629685157</v>
      </c>
    </row>
    <row r="18645" spans="1:5">
      <c r="A18645" t="s">
        <v>21600</v>
      </c>
      <c r="B18645" t="s">
        <v>21603</v>
      </c>
      <c r="C18645">
        <v>0</v>
      </c>
      <c r="D18645" t="s">
        <v>106</v>
      </c>
      <c r="E18645">
        <v>11.8740629685157</v>
      </c>
    </row>
    <row r="18646" spans="1:5">
      <c r="A18646" t="s">
        <v>21600</v>
      </c>
      <c r="B18646" t="s">
        <v>21604</v>
      </c>
      <c r="C18646">
        <f>0</f>
        <v>0</v>
      </c>
      <c r="D18646" t="s">
        <v>106</v>
      </c>
      <c r="E18646">
        <v>11.8740629685157</v>
      </c>
    </row>
    <row r="18647" spans="1:5">
      <c r="A18647" t="s">
        <v>21600</v>
      </c>
      <c r="B18647" t="s">
        <v>21605</v>
      </c>
      <c r="C18647">
        <f>0</f>
        <v>0</v>
      </c>
      <c r="D18647" t="s">
        <v>106</v>
      </c>
      <c r="E18647">
        <v>11.8740629685157</v>
      </c>
    </row>
    <row r="18648" spans="1:5">
      <c r="A18648" t="s">
        <v>21600</v>
      </c>
      <c r="B18648" t="s">
        <v>21606</v>
      </c>
      <c r="C18648">
        <f>0</f>
        <v>0</v>
      </c>
      <c r="D18648" t="s">
        <v>106</v>
      </c>
      <c r="E18648">
        <v>11.8740629685157</v>
      </c>
    </row>
    <row r="18649" spans="1:5">
      <c r="A18649" t="s">
        <v>21607</v>
      </c>
      <c r="B18649" t="s">
        <v>21608</v>
      </c>
      <c r="C18649">
        <f>0</f>
        <v>0</v>
      </c>
      <c r="D18649" t="s">
        <v>106</v>
      </c>
      <c r="E18649">
        <v>2.96251874062968</v>
      </c>
    </row>
    <row r="18650" spans="1:5">
      <c r="A18650" t="s">
        <v>21607</v>
      </c>
      <c r="B18650" t="s">
        <v>21609</v>
      </c>
      <c r="C18650">
        <v>0</v>
      </c>
      <c r="D18650" t="s">
        <v>106</v>
      </c>
      <c r="E18650">
        <v>2.96251874062968</v>
      </c>
    </row>
    <row r="18651" spans="1:5">
      <c r="A18651" t="s">
        <v>21610</v>
      </c>
      <c r="B18651" t="s">
        <v>21611</v>
      </c>
      <c r="C18651">
        <v>0</v>
      </c>
      <c r="D18651" t="s">
        <v>106</v>
      </c>
      <c r="E18651">
        <v>6.0569715142428704</v>
      </c>
    </row>
    <row r="18652" spans="1:5">
      <c r="A18652" t="s">
        <v>21610</v>
      </c>
      <c r="B18652" t="s">
        <v>21612</v>
      </c>
      <c r="C18652">
        <v>0</v>
      </c>
      <c r="D18652" t="s">
        <v>106</v>
      </c>
      <c r="E18652">
        <v>6.0569715142428704</v>
      </c>
    </row>
    <row r="18653" spans="1:5">
      <c r="A18653" t="s">
        <v>21610</v>
      </c>
      <c r="B18653" t="s">
        <v>21613</v>
      </c>
      <c r="C18653">
        <v>0</v>
      </c>
      <c r="D18653" t="s">
        <v>106</v>
      </c>
      <c r="E18653">
        <v>6.0569715142428704</v>
      </c>
    </row>
    <row r="18654" spans="1:5">
      <c r="A18654" t="s">
        <v>21610</v>
      </c>
      <c r="B18654" t="s">
        <v>21614</v>
      </c>
      <c r="C18654">
        <v>0</v>
      </c>
      <c r="D18654" t="s">
        <v>106</v>
      </c>
      <c r="E18654">
        <v>6.0569715142428704</v>
      </c>
    </row>
    <row r="18655" spans="1:5">
      <c r="A18655" t="s">
        <v>21610</v>
      </c>
      <c r="B18655" t="s">
        <v>21615</v>
      </c>
      <c r="C18655">
        <f>0</f>
        <v>0</v>
      </c>
      <c r="D18655" t="s">
        <v>106</v>
      </c>
      <c r="E18655">
        <v>6.0569715142428704</v>
      </c>
    </row>
    <row r="18656" spans="1:5">
      <c r="A18656" t="s">
        <v>21610</v>
      </c>
      <c r="B18656" t="s">
        <v>21616</v>
      </c>
      <c r="C18656">
        <v>0</v>
      </c>
      <c r="D18656" t="s">
        <v>106</v>
      </c>
      <c r="E18656">
        <v>6.0569715142428704</v>
      </c>
    </row>
    <row r="18657" spans="1:5">
      <c r="A18657" t="s">
        <v>21610</v>
      </c>
      <c r="B18657" t="s">
        <v>21617</v>
      </c>
      <c r="C18657">
        <v>0</v>
      </c>
      <c r="D18657" t="s">
        <v>106</v>
      </c>
      <c r="E18657">
        <v>6.0569715142428704</v>
      </c>
    </row>
    <row r="18658" spans="1:5">
      <c r="A18658" t="s">
        <v>21610</v>
      </c>
      <c r="B18658" t="s">
        <v>21618</v>
      </c>
      <c r="C18658">
        <f>0</f>
        <v>0</v>
      </c>
      <c r="D18658" t="s">
        <v>106</v>
      </c>
      <c r="E18658">
        <v>6.0569715142428704</v>
      </c>
    </row>
    <row r="18659" spans="1:5">
      <c r="A18659" t="s">
        <v>21610</v>
      </c>
      <c r="B18659" t="s">
        <v>21619</v>
      </c>
      <c r="C18659">
        <v>0</v>
      </c>
      <c r="D18659" t="s">
        <v>106</v>
      </c>
      <c r="E18659">
        <v>6.0569715142428704</v>
      </c>
    </row>
    <row r="18660" spans="1:5">
      <c r="A18660" t="s">
        <v>21610</v>
      </c>
      <c r="B18660" t="s">
        <v>21620</v>
      </c>
      <c r="C18660">
        <v>0</v>
      </c>
      <c r="D18660" t="s">
        <v>106</v>
      </c>
      <c r="E18660">
        <v>6.0569715142428704</v>
      </c>
    </row>
    <row r="18661" spans="1:5">
      <c r="A18661" t="s">
        <v>21610</v>
      </c>
      <c r="B18661" t="s">
        <v>21621</v>
      </c>
      <c r="C18661">
        <v>0</v>
      </c>
      <c r="D18661" t="s">
        <v>106</v>
      </c>
      <c r="E18661">
        <v>6.0569715142428704</v>
      </c>
    </row>
    <row r="18662" spans="1:5">
      <c r="A18662" t="s">
        <v>21622</v>
      </c>
      <c r="B18662" t="s">
        <v>21623</v>
      </c>
      <c r="C18662">
        <v>0</v>
      </c>
      <c r="D18662">
        <v>0.569076214606</v>
      </c>
      <c r="E18662">
        <v>14.176911544227799</v>
      </c>
    </row>
    <row r="18663" spans="1:5">
      <c r="A18663" t="s">
        <v>21622</v>
      </c>
      <c r="B18663" t="s">
        <v>21624</v>
      </c>
      <c r="C18663">
        <f>0</f>
        <v>0</v>
      </c>
      <c r="D18663">
        <v>0.569076214606</v>
      </c>
      <c r="E18663">
        <v>14.176911544227799</v>
      </c>
    </row>
    <row r="18664" spans="1:5">
      <c r="A18664" t="s">
        <v>21622</v>
      </c>
      <c r="B18664" t="s">
        <v>21625</v>
      </c>
      <c r="C18664">
        <f>0</f>
        <v>0</v>
      </c>
      <c r="D18664">
        <v>0.569076214606</v>
      </c>
      <c r="E18664">
        <v>14.176911544227799</v>
      </c>
    </row>
    <row r="18665" spans="1:5">
      <c r="A18665" t="s">
        <v>21622</v>
      </c>
      <c r="B18665" t="s">
        <v>21626</v>
      </c>
      <c r="C18665">
        <v>0.102452409326</v>
      </c>
      <c r="D18665">
        <v>0.569076214606</v>
      </c>
      <c r="E18665">
        <v>14.176911544227799</v>
      </c>
    </row>
    <row r="18666" spans="1:5">
      <c r="A18666" t="s">
        <v>21622</v>
      </c>
      <c r="B18666" t="s">
        <v>21627</v>
      </c>
      <c r="C18666">
        <v>0</v>
      </c>
      <c r="D18666">
        <v>0.569076214606</v>
      </c>
      <c r="E18666">
        <v>14.176911544227799</v>
      </c>
    </row>
    <row r="18667" spans="1:5">
      <c r="A18667" t="s">
        <v>21622</v>
      </c>
      <c r="B18667" t="s">
        <v>21628</v>
      </c>
      <c r="C18667">
        <v>0</v>
      </c>
      <c r="D18667">
        <v>0.569076214606</v>
      </c>
      <c r="E18667">
        <v>14.176911544227799</v>
      </c>
    </row>
    <row r="18668" spans="1:5">
      <c r="A18668" t="s">
        <v>21629</v>
      </c>
      <c r="B18668" t="s">
        <v>21630</v>
      </c>
      <c r="C18668">
        <v>0.122987323771</v>
      </c>
      <c r="D18668">
        <v>0.93068853369799998</v>
      </c>
      <c r="E18668">
        <v>0.69565217391304301</v>
      </c>
    </row>
    <row r="18669" spans="1:5">
      <c r="A18669" t="s">
        <v>21629</v>
      </c>
      <c r="B18669" t="s">
        <v>21631</v>
      </c>
      <c r="C18669">
        <v>0</v>
      </c>
      <c r="D18669">
        <v>0.93068853369799998</v>
      </c>
      <c r="E18669">
        <v>0.69565217391304301</v>
      </c>
    </row>
    <row r="18670" spans="1:5">
      <c r="A18670" t="s">
        <v>21629</v>
      </c>
      <c r="B18670" t="s">
        <v>21632</v>
      </c>
      <c r="C18670">
        <v>0.226711014392</v>
      </c>
      <c r="D18670">
        <v>0.93068853369799998</v>
      </c>
      <c r="E18670">
        <v>0.69565217391304301</v>
      </c>
    </row>
    <row r="18671" spans="1:5">
      <c r="A18671" t="s">
        <v>21633</v>
      </c>
      <c r="B18671" t="s">
        <v>21634</v>
      </c>
      <c r="C18671">
        <v>0.43309776172999997</v>
      </c>
      <c r="D18671">
        <v>0.93929843671199997</v>
      </c>
      <c r="E18671">
        <v>13.445277361319301</v>
      </c>
    </row>
    <row r="18672" spans="1:5">
      <c r="A18672" t="s">
        <v>21635</v>
      </c>
      <c r="B18672" t="s">
        <v>21636</v>
      </c>
      <c r="C18672">
        <f>0</f>
        <v>0</v>
      </c>
      <c r="D18672">
        <v>0.95949126173699995</v>
      </c>
      <c r="E18672">
        <v>6.2968515742128899</v>
      </c>
    </row>
    <row r="18673" spans="1:5">
      <c r="A18673" t="s">
        <v>21635</v>
      </c>
      <c r="B18673" t="s">
        <v>21637</v>
      </c>
      <c r="C18673">
        <f>0</f>
        <v>0</v>
      </c>
      <c r="D18673">
        <v>0.95949126173699995</v>
      </c>
      <c r="E18673">
        <v>6.2968515742128899</v>
      </c>
    </row>
    <row r="18674" spans="1:5">
      <c r="A18674" t="s">
        <v>21635</v>
      </c>
      <c r="B18674" t="s">
        <v>21638</v>
      </c>
      <c r="C18674">
        <f>0</f>
        <v>0</v>
      </c>
      <c r="D18674">
        <v>0.95949126173699995</v>
      </c>
      <c r="E18674">
        <v>6.2968515742128899</v>
      </c>
    </row>
    <row r="18675" spans="1:5">
      <c r="A18675" t="s">
        <v>21635</v>
      </c>
      <c r="B18675" t="s">
        <v>21639</v>
      </c>
      <c r="C18675">
        <v>0</v>
      </c>
      <c r="D18675">
        <v>0.95949126173699995</v>
      </c>
      <c r="E18675">
        <v>6.2968515742128899</v>
      </c>
    </row>
    <row r="18676" spans="1:5">
      <c r="A18676" t="s">
        <v>21635</v>
      </c>
      <c r="B18676" t="s">
        <v>21640</v>
      </c>
      <c r="C18676">
        <f>0</f>
        <v>0</v>
      </c>
      <c r="D18676">
        <v>0.95949126173699995</v>
      </c>
      <c r="E18676">
        <v>6.2968515742128899</v>
      </c>
    </row>
    <row r="18677" spans="1:5">
      <c r="A18677" t="s">
        <v>21641</v>
      </c>
      <c r="B18677" t="s">
        <v>21642</v>
      </c>
      <c r="C18677">
        <f>0</f>
        <v>0</v>
      </c>
      <c r="D18677">
        <v>0.81724013084699998</v>
      </c>
      <c r="E18677">
        <v>2.39880059970015</v>
      </c>
    </row>
    <row r="18678" spans="1:5">
      <c r="A18678" t="s">
        <v>21641</v>
      </c>
      <c r="B18678" t="s">
        <v>21643</v>
      </c>
      <c r="C18678">
        <f>0</f>
        <v>0</v>
      </c>
      <c r="D18678">
        <v>0.81724013084699998</v>
      </c>
      <c r="E18678">
        <v>2.39880059970015</v>
      </c>
    </row>
    <row r="18679" spans="1:5">
      <c r="A18679" t="s">
        <v>21641</v>
      </c>
      <c r="B18679" t="s">
        <v>21644</v>
      </c>
      <c r="C18679">
        <v>0</v>
      </c>
      <c r="D18679">
        <v>0.81724013084699998</v>
      </c>
      <c r="E18679">
        <v>2.39880059970015</v>
      </c>
    </row>
    <row r="18680" spans="1:5">
      <c r="A18680" t="s">
        <v>21645</v>
      </c>
      <c r="B18680" t="s">
        <v>21646</v>
      </c>
      <c r="C18680">
        <f>0</f>
        <v>0</v>
      </c>
      <c r="D18680">
        <v>0.80036986589199999</v>
      </c>
      <c r="E18680">
        <v>6.2968515742128899</v>
      </c>
    </row>
    <row r="18681" spans="1:5">
      <c r="A18681" t="s">
        <v>21647</v>
      </c>
      <c r="B18681" t="s">
        <v>21648</v>
      </c>
      <c r="C18681">
        <v>0</v>
      </c>
      <c r="D18681" t="s">
        <v>106</v>
      </c>
      <c r="E18681">
        <v>4.9055472263868003</v>
      </c>
    </row>
    <row r="18682" spans="1:5">
      <c r="A18682" t="s">
        <v>21647</v>
      </c>
      <c r="B18682" t="s">
        <v>21649</v>
      </c>
      <c r="C18682">
        <f>0</f>
        <v>0</v>
      </c>
      <c r="D18682" t="s">
        <v>106</v>
      </c>
      <c r="E18682">
        <v>4.9055472263868003</v>
      </c>
    </row>
    <row r="18683" spans="1:5">
      <c r="A18683" t="s">
        <v>21647</v>
      </c>
      <c r="B18683" t="s">
        <v>21650</v>
      </c>
      <c r="C18683">
        <f>0</f>
        <v>0</v>
      </c>
      <c r="D18683" t="s">
        <v>106</v>
      </c>
      <c r="E18683">
        <v>4.9055472263868003</v>
      </c>
    </row>
    <row r="18684" spans="1:5">
      <c r="A18684" t="s">
        <v>21647</v>
      </c>
      <c r="B18684" t="s">
        <v>21651</v>
      </c>
      <c r="C18684">
        <f>0</f>
        <v>0</v>
      </c>
      <c r="D18684" t="s">
        <v>106</v>
      </c>
      <c r="E18684">
        <v>4.9055472263868003</v>
      </c>
    </row>
    <row r="18685" spans="1:5">
      <c r="A18685" t="s">
        <v>21652</v>
      </c>
      <c r="B18685" t="s">
        <v>21653</v>
      </c>
      <c r="C18685">
        <v>0</v>
      </c>
      <c r="D18685">
        <v>0.995149956758</v>
      </c>
      <c r="E18685">
        <v>24</v>
      </c>
    </row>
    <row r="18686" spans="1:5">
      <c r="A18686" t="s">
        <v>21654</v>
      </c>
      <c r="B18686" t="s">
        <v>21655</v>
      </c>
      <c r="C18686">
        <v>5.31814067236E-2</v>
      </c>
      <c r="D18686">
        <v>0.65385845380200003</v>
      </c>
      <c r="E18686">
        <v>3.97001499250374</v>
      </c>
    </row>
    <row r="18687" spans="1:5">
      <c r="A18687" t="s">
        <v>21656</v>
      </c>
      <c r="B18687" t="s">
        <v>21657</v>
      </c>
      <c r="C18687">
        <f>0.172616058799</f>
        <v>0.17261605879899999</v>
      </c>
      <c r="D18687">
        <v>0.94826786469299995</v>
      </c>
      <c r="E18687">
        <v>5.8170914542728598</v>
      </c>
    </row>
    <row r="18688" spans="1:5">
      <c r="A18688" t="s">
        <v>21656</v>
      </c>
      <c r="B18688" t="s">
        <v>21658</v>
      </c>
      <c r="C18688">
        <f>0</f>
        <v>0</v>
      </c>
      <c r="D18688">
        <v>0.94826786469299995</v>
      </c>
      <c r="E18688">
        <v>5.8170914542728598</v>
      </c>
    </row>
    <row r="18689" spans="1:5">
      <c r="A18689" t="s">
        <v>21656</v>
      </c>
      <c r="B18689" t="s">
        <v>21659</v>
      </c>
      <c r="C18689">
        <f>0</f>
        <v>0</v>
      </c>
      <c r="D18689">
        <v>0.94826786469299995</v>
      </c>
      <c r="E18689">
        <v>5.8170914542728598</v>
      </c>
    </row>
    <row r="18690" spans="1:5">
      <c r="A18690" t="s">
        <v>21656</v>
      </c>
      <c r="B18690" t="s">
        <v>21660</v>
      </c>
      <c r="C18690">
        <f>0</f>
        <v>0</v>
      </c>
      <c r="D18690">
        <v>0.94826786469299995</v>
      </c>
      <c r="E18690">
        <v>5.8170914542728598</v>
      </c>
    </row>
    <row r="18691" spans="1:5">
      <c r="A18691" t="s">
        <v>21661</v>
      </c>
      <c r="B18691" t="s">
        <v>21662</v>
      </c>
      <c r="C18691">
        <v>0</v>
      </c>
      <c r="D18691" t="s">
        <v>106</v>
      </c>
      <c r="E18691">
        <v>1.00749625187406</v>
      </c>
    </row>
    <row r="18692" spans="1:5">
      <c r="A18692" t="s">
        <v>21661</v>
      </c>
      <c r="B18692" t="s">
        <v>21663</v>
      </c>
      <c r="C18692">
        <v>0</v>
      </c>
      <c r="D18692" t="s">
        <v>106</v>
      </c>
      <c r="E18692">
        <v>1.00749625187406</v>
      </c>
    </row>
    <row r="18693" spans="1:5">
      <c r="A18693" t="s">
        <v>21661</v>
      </c>
      <c r="B18693" t="s">
        <v>21664</v>
      </c>
      <c r="C18693">
        <f>0</f>
        <v>0</v>
      </c>
      <c r="D18693" t="s">
        <v>106</v>
      </c>
      <c r="E18693">
        <v>1.00749625187406</v>
      </c>
    </row>
    <row r="18694" spans="1:5">
      <c r="A18694" t="s">
        <v>21665</v>
      </c>
      <c r="B18694" t="s">
        <v>21666</v>
      </c>
      <c r="C18694">
        <v>0</v>
      </c>
      <c r="D18694">
        <v>0.99467039509400001</v>
      </c>
      <c r="E18694">
        <v>5.9370314842578704</v>
      </c>
    </row>
    <row r="18695" spans="1:5">
      <c r="A18695" t="s">
        <v>21665</v>
      </c>
      <c r="B18695" t="s">
        <v>21667</v>
      </c>
      <c r="C18695">
        <v>9.2283027852400001E-2</v>
      </c>
      <c r="D18695">
        <v>0.99467039509400001</v>
      </c>
      <c r="E18695">
        <v>5.9370314842578704</v>
      </c>
    </row>
    <row r="18696" spans="1:5">
      <c r="A18696" t="s">
        <v>21665</v>
      </c>
      <c r="B18696" t="s">
        <v>21668</v>
      </c>
      <c r="C18696">
        <v>0</v>
      </c>
      <c r="D18696">
        <v>0.99467039509400001</v>
      </c>
      <c r="E18696">
        <v>5.9370314842578704</v>
      </c>
    </row>
    <row r="18697" spans="1:5">
      <c r="A18697" t="s">
        <v>21669</v>
      </c>
      <c r="B18697" t="s">
        <v>21670</v>
      </c>
      <c r="C18697">
        <v>0</v>
      </c>
      <c r="D18697" t="s">
        <v>106</v>
      </c>
      <c r="E18697">
        <v>21.8770614692653</v>
      </c>
    </row>
    <row r="18698" spans="1:5">
      <c r="A18698" t="s">
        <v>21669</v>
      </c>
      <c r="B18698" t="s">
        <v>21671</v>
      </c>
      <c r="C18698">
        <v>0</v>
      </c>
      <c r="D18698" t="s">
        <v>106</v>
      </c>
      <c r="E18698">
        <v>21.8770614692653</v>
      </c>
    </row>
    <row r="18699" spans="1:5">
      <c r="A18699" t="s">
        <v>21672</v>
      </c>
      <c r="B18699" t="s">
        <v>21673</v>
      </c>
      <c r="C18699">
        <v>2.1758935085799999E-2</v>
      </c>
      <c r="D18699">
        <v>0.95160136052699995</v>
      </c>
      <c r="E18699">
        <v>6.0569715142428704</v>
      </c>
    </row>
    <row r="18700" spans="1:5">
      <c r="A18700" t="s">
        <v>21672</v>
      </c>
      <c r="B18700" t="s">
        <v>21674</v>
      </c>
      <c r="C18700">
        <f>0</f>
        <v>0</v>
      </c>
      <c r="D18700">
        <v>0.95160136052699995</v>
      </c>
      <c r="E18700">
        <v>6.0569715142428704</v>
      </c>
    </row>
    <row r="18701" spans="1:5">
      <c r="A18701" t="s">
        <v>21672</v>
      </c>
      <c r="B18701" t="s">
        <v>21675</v>
      </c>
      <c r="C18701">
        <f>0</f>
        <v>0</v>
      </c>
      <c r="D18701">
        <v>0.95160136052699995</v>
      </c>
      <c r="E18701">
        <v>6.0569715142428704</v>
      </c>
    </row>
    <row r="18702" spans="1:5">
      <c r="A18702" t="s">
        <v>21672</v>
      </c>
      <c r="B18702" t="s">
        <v>21676</v>
      </c>
      <c r="C18702">
        <v>0</v>
      </c>
      <c r="D18702">
        <v>0.95160136052699995</v>
      </c>
      <c r="E18702">
        <v>6.0569715142428704</v>
      </c>
    </row>
    <row r="18703" spans="1:5">
      <c r="A18703" t="s">
        <v>21677</v>
      </c>
      <c r="B18703" t="s">
        <v>21678</v>
      </c>
      <c r="C18703">
        <v>0</v>
      </c>
      <c r="D18703">
        <v>0.94566835885699996</v>
      </c>
      <c r="E18703">
        <v>0.73163418290854498</v>
      </c>
    </row>
    <row r="18704" spans="1:5">
      <c r="A18704" t="s">
        <v>21677</v>
      </c>
      <c r="B18704" t="s">
        <v>21679</v>
      </c>
      <c r="C18704">
        <v>0</v>
      </c>
      <c r="D18704">
        <v>0.94566835885699996</v>
      </c>
      <c r="E18704">
        <v>0.73163418290854498</v>
      </c>
    </row>
    <row r="18705" spans="1:5">
      <c r="A18705" t="s">
        <v>21677</v>
      </c>
      <c r="B18705" t="s">
        <v>21680</v>
      </c>
      <c r="C18705">
        <f>0</f>
        <v>0</v>
      </c>
      <c r="D18705">
        <v>0.94566835885699996</v>
      </c>
      <c r="E18705">
        <v>0.73163418290854498</v>
      </c>
    </row>
    <row r="18706" spans="1:5">
      <c r="A18706" t="s">
        <v>21677</v>
      </c>
      <c r="B18706" t="s">
        <v>21681</v>
      </c>
      <c r="C18706">
        <f>0</f>
        <v>0</v>
      </c>
      <c r="D18706">
        <v>0.94566835885699996</v>
      </c>
      <c r="E18706">
        <v>0.73163418290854498</v>
      </c>
    </row>
    <row r="18707" spans="1:5">
      <c r="A18707" t="s">
        <v>21677</v>
      </c>
      <c r="B18707" t="s">
        <v>21682</v>
      </c>
      <c r="C18707">
        <v>0.161478592713</v>
      </c>
      <c r="D18707">
        <v>0.94566835885699996</v>
      </c>
      <c r="E18707">
        <v>0.73163418290854498</v>
      </c>
    </row>
    <row r="18708" spans="1:5">
      <c r="A18708" t="s">
        <v>21677</v>
      </c>
      <c r="B18708" t="s">
        <v>21683</v>
      </c>
      <c r="C18708">
        <v>0</v>
      </c>
      <c r="D18708">
        <v>0.94566835885699996</v>
      </c>
      <c r="E18708">
        <v>0.73163418290854498</v>
      </c>
    </row>
    <row r="18709" spans="1:5">
      <c r="A18709" t="s">
        <v>21677</v>
      </c>
      <c r="B18709" t="s">
        <v>21684</v>
      </c>
      <c r="C18709">
        <v>0</v>
      </c>
      <c r="D18709">
        <v>0.94566835885699996</v>
      </c>
      <c r="E18709">
        <v>0.73163418290854498</v>
      </c>
    </row>
    <row r="18710" spans="1:5">
      <c r="A18710" t="s">
        <v>21677</v>
      </c>
      <c r="B18710" t="s">
        <v>21685</v>
      </c>
      <c r="C18710">
        <v>0</v>
      </c>
      <c r="D18710">
        <v>0.94566835885699996</v>
      </c>
      <c r="E18710">
        <v>0.73163418290854498</v>
      </c>
    </row>
    <row r="18711" spans="1:5">
      <c r="A18711" t="s">
        <v>21677</v>
      </c>
      <c r="B18711" t="s">
        <v>21686</v>
      </c>
      <c r="C18711">
        <v>0</v>
      </c>
      <c r="D18711">
        <v>0.94566835885699996</v>
      </c>
      <c r="E18711">
        <v>0.73163418290854498</v>
      </c>
    </row>
    <row r="18712" spans="1:5">
      <c r="A18712" t="s">
        <v>21687</v>
      </c>
      <c r="B18712" t="s">
        <v>21688</v>
      </c>
      <c r="C18712">
        <f>0</f>
        <v>0</v>
      </c>
      <c r="D18712">
        <v>0.95457204172300003</v>
      </c>
      <c r="E18712">
        <v>13.2653673163418</v>
      </c>
    </row>
    <row r="18713" spans="1:5">
      <c r="A18713" t="s">
        <v>21687</v>
      </c>
      <c r="B18713" t="s">
        <v>21689</v>
      </c>
      <c r="C18713">
        <f>0</f>
        <v>0</v>
      </c>
      <c r="D18713">
        <v>0.95457204172300003</v>
      </c>
      <c r="E18713">
        <v>13.2653673163418</v>
      </c>
    </row>
    <row r="18714" spans="1:5">
      <c r="A18714" t="s">
        <v>21687</v>
      </c>
      <c r="B18714" t="s">
        <v>21690</v>
      </c>
      <c r="C18714">
        <f>0.125671145072</f>
        <v>0.125671145072</v>
      </c>
      <c r="D18714">
        <v>0.95457204172300003</v>
      </c>
      <c r="E18714">
        <v>13.2653673163418</v>
      </c>
    </row>
    <row r="18715" spans="1:5">
      <c r="A18715" t="s">
        <v>21687</v>
      </c>
      <c r="B18715" t="s">
        <v>21691</v>
      </c>
      <c r="C18715">
        <v>0.15973351719500001</v>
      </c>
      <c r="D18715">
        <v>0.95457204172300003</v>
      </c>
      <c r="E18715">
        <v>13.2653673163418</v>
      </c>
    </row>
    <row r="18716" spans="1:5">
      <c r="A18716" t="s">
        <v>21692</v>
      </c>
      <c r="B18716" t="s">
        <v>21693</v>
      </c>
      <c r="C18716">
        <v>0</v>
      </c>
      <c r="D18716" t="s">
        <v>106</v>
      </c>
      <c r="E18716">
        <v>16.491754122938499</v>
      </c>
    </row>
    <row r="18717" spans="1:5">
      <c r="A18717" t="s">
        <v>21692</v>
      </c>
      <c r="B18717" t="s">
        <v>21694</v>
      </c>
      <c r="C18717">
        <f>0</f>
        <v>0</v>
      </c>
      <c r="D18717" t="s">
        <v>106</v>
      </c>
      <c r="E18717">
        <v>16.491754122938499</v>
      </c>
    </row>
    <row r="18718" spans="1:5">
      <c r="A18718" t="s">
        <v>21692</v>
      </c>
      <c r="B18718" t="s">
        <v>21695</v>
      </c>
      <c r="C18718">
        <f>0</f>
        <v>0</v>
      </c>
      <c r="D18718" t="s">
        <v>106</v>
      </c>
      <c r="E18718">
        <v>16.491754122938499</v>
      </c>
    </row>
    <row r="18719" spans="1:5">
      <c r="A18719" t="s">
        <v>21692</v>
      </c>
      <c r="B18719" t="s">
        <v>21696</v>
      </c>
      <c r="C18719">
        <f>0.0788626967124</f>
        <v>7.8862696712399996E-2</v>
      </c>
      <c r="D18719" t="s">
        <v>106</v>
      </c>
      <c r="E18719">
        <v>16.491754122938499</v>
      </c>
    </row>
    <row r="18720" spans="1:5">
      <c r="A18720" t="s">
        <v>21697</v>
      </c>
      <c r="B18720" t="s">
        <v>21698</v>
      </c>
      <c r="C18720">
        <v>0</v>
      </c>
      <c r="D18720" t="s">
        <v>106</v>
      </c>
      <c r="E18720">
        <v>1.96701649175412</v>
      </c>
    </row>
    <row r="18721" spans="1:5">
      <c r="A18721" t="s">
        <v>21697</v>
      </c>
      <c r="B18721" t="s">
        <v>21699</v>
      </c>
      <c r="C18721">
        <v>0</v>
      </c>
      <c r="D18721" t="s">
        <v>106</v>
      </c>
      <c r="E18721">
        <v>1.96701649175412</v>
      </c>
    </row>
    <row r="18722" spans="1:5">
      <c r="A18722" t="s">
        <v>21697</v>
      </c>
      <c r="B18722" t="s">
        <v>21700</v>
      </c>
      <c r="C18722">
        <v>0</v>
      </c>
      <c r="D18722" t="s">
        <v>106</v>
      </c>
      <c r="E18722">
        <v>1.96701649175412</v>
      </c>
    </row>
    <row r="18723" spans="1:5">
      <c r="A18723" t="s">
        <v>21697</v>
      </c>
      <c r="B18723" t="s">
        <v>21701</v>
      </c>
      <c r="C18723">
        <v>0</v>
      </c>
      <c r="D18723" t="s">
        <v>106</v>
      </c>
      <c r="E18723">
        <v>1.96701649175412</v>
      </c>
    </row>
    <row r="18724" spans="1:5">
      <c r="A18724" t="s">
        <v>21697</v>
      </c>
      <c r="B18724" t="s">
        <v>21702</v>
      </c>
      <c r="C18724">
        <v>0</v>
      </c>
      <c r="D18724" t="s">
        <v>106</v>
      </c>
      <c r="E18724">
        <v>1.96701649175412</v>
      </c>
    </row>
    <row r="18725" spans="1:5">
      <c r="A18725" t="s">
        <v>21697</v>
      </c>
      <c r="B18725" t="s">
        <v>21703</v>
      </c>
      <c r="C18725">
        <v>0</v>
      </c>
      <c r="D18725" t="s">
        <v>106</v>
      </c>
      <c r="E18725">
        <v>1.96701649175412</v>
      </c>
    </row>
    <row r="18726" spans="1:5">
      <c r="A18726" t="s">
        <v>21697</v>
      </c>
      <c r="B18726" t="s">
        <v>21704</v>
      </c>
      <c r="C18726">
        <v>0</v>
      </c>
      <c r="D18726" t="s">
        <v>106</v>
      </c>
      <c r="E18726">
        <v>1.96701649175412</v>
      </c>
    </row>
    <row r="18727" spans="1:5">
      <c r="A18727" t="s">
        <v>21697</v>
      </c>
      <c r="B18727" t="s">
        <v>21705</v>
      </c>
      <c r="C18727">
        <v>0</v>
      </c>
      <c r="D18727" t="s">
        <v>106</v>
      </c>
      <c r="E18727">
        <v>1.96701649175412</v>
      </c>
    </row>
    <row r="18728" spans="1:5">
      <c r="A18728" t="s">
        <v>21697</v>
      </c>
      <c r="B18728" t="s">
        <v>21706</v>
      </c>
      <c r="C18728">
        <v>0</v>
      </c>
      <c r="D18728" t="s">
        <v>106</v>
      </c>
      <c r="E18728">
        <v>1.96701649175412</v>
      </c>
    </row>
    <row r="18729" spans="1:5">
      <c r="A18729" t="s">
        <v>21697</v>
      </c>
      <c r="B18729" t="s">
        <v>21707</v>
      </c>
      <c r="C18729">
        <v>0</v>
      </c>
      <c r="D18729" t="s">
        <v>106</v>
      </c>
      <c r="E18729">
        <v>1.96701649175412</v>
      </c>
    </row>
    <row r="18730" spans="1:5">
      <c r="A18730" t="s">
        <v>21697</v>
      </c>
      <c r="B18730" t="s">
        <v>21708</v>
      </c>
      <c r="C18730">
        <v>0</v>
      </c>
      <c r="D18730" t="s">
        <v>106</v>
      </c>
      <c r="E18730">
        <v>1.96701649175412</v>
      </c>
    </row>
    <row r="18731" spans="1:5">
      <c r="A18731" t="s">
        <v>21709</v>
      </c>
      <c r="B18731" t="s">
        <v>21710</v>
      </c>
      <c r="C18731">
        <f>0</f>
        <v>0</v>
      </c>
      <c r="D18731" t="s">
        <v>106</v>
      </c>
      <c r="E18731">
        <v>7.4602698650674597</v>
      </c>
    </row>
    <row r="18732" spans="1:5">
      <c r="A18732" t="s">
        <v>21711</v>
      </c>
      <c r="B18732" t="s">
        <v>21712</v>
      </c>
      <c r="C18732">
        <v>0.64914781739399996</v>
      </c>
      <c r="D18732">
        <v>0.96880450265899998</v>
      </c>
      <c r="E18732">
        <v>0</v>
      </c>
    </row>
    <row r="18733" spans="1:5">
      <c r="A18733" t="s">
        <v>21711</v>
      </c>
      <c r="B18733" t="s">
        <v>21713</v>
      </c>
      <c r="C18733">
        <v>0.13005073256800001</v>
      </c>
      <c r="D18733">
        <v>0.96880450265899998</v>
      </c>
      <c r="E18733">
        <v>0</v>
      </c>
    </row>
    <row r="18734" spans="1:5">
      <c r="A18734" t="s">
        <v>21714</v>
      </c>
      <c r="B18734" t="s">
        <v>21715</v>
      </c>
      <c r="C18734">
        <v>0.13326618545400001</v>
      </c>
      <c r="D18734">
        <v>0.92096913162399996</v>
      </c>
      <c r="E18734">
        <v>17.715142428785601</v>
      </c>
    </row>
    <row r="18735" spans="1:5">
      <c r="A18735" t="s">
        <v>21714</v>
      </c>
      <c r="B18735" t="s">
        <v>21716</v>
      </c>
      <c r="C18735">
        <f>0.00128603603431</f>
        <v>1.2860360343100001E-3</v>
      </c>
      <c r="D18735">
        <v>0.92096913162399996</v>
      </c>
      <c r="E18735">
        <v>17.715142428785601</v>
      </c>
    </row>
    <row r="18736" spans="1:5">
      <c r="A18736" t="s">
        <v>21717</v>
      </c>
      <c r="B18736" t="s">
        <v>21718</v>
      </c>
      <c r="C18736">
        <v>0</v>
      </c>
      <c r="D18736">
        <v>0.97185582113199998</v>
      </c>
      <c r="E18736">
        <v>3.3103448275862002</v>
      </c>
    </row>
    <row r="18737" spans="1:5">
      <c r="A18737" t="s">
        <v>21717</v>
      </c>
      <c r="B18737" t="s">
        <v>21719</v>
      </c>
      <c r="C18737">
        <f>0</f>
        <v>0</v>
      </c>
      <c r="D18737">
        <v>0.97185582113199998</v>
      </c>
      <c r="E18737">
        <v>3.3103448275862002</v>
      </c>
    </row>
    <row r="18738" spans="1:5">
      <c r="A18738" t="s">
        <v>21717</v>
      </c>
      <c r="B18738" t="s">
        <v>21720</v>
      </c>
      <c r="C18738">
        <f>0</f>
        <v>0</v>
      </c>
      <c r="D18738">
        <v>0.97185582113199998</v>
      </c>
      <c r="E18738">
        <v>3.3103448275862002</v>
      </c>
    </row>
    <row r="18739" spans="1:5">
      <c r="A18739" t="s">
        <v>21721</v>
      </c>
      <c r="B18739" t="s">
        <v>21722</v>
      </c>
      <c r="C18739">
        <f>0</f>
        <v>0</v>
      </c>
      <c r="D18739">
        <v>0.56667162295399998</v>
      </c>
      <c r="E18739">
        <v>24</v>
      </c>
    </row>
    <row r="18740" spans="1:5">
      <c r="A18740" t="s">
        <v>21721</v>
      </c>
      <c r="B18740" t="s">
        <v>21723</v>
      </c>
      <c r="C18740">
        <v>8.2769287190500002E-2</v>
      </c>
      <c r="D18740">
        <v>0.56667162295399998</v>
      </c>
      <c r="E18740">
        <v>24</v>
      </c>
    </row>
    <row r="18741" spans="1:5">
      <c r="A18741" t="s">
        <v>21721</v>
      </c>
      <c r="B18741" t="s">
        <v>21724</v>
      </c>
      <c r="C18741">
        <v>0</v>
      </c>
      <c r="D18741">
        <v>0.56667162295399998</v>
      </c>
      <c r="E18741">
        <v>24</v>
      </c>
    </row>
    <row r="18742" spans="1:5">
      <c r="A18742" t="s">
        <v>21721</v>
      </c>
      <c r="B18742" t="s">
        <v>21725</v>
      </c>
      <c r="C18742">
        <f>0</f>
        <v>0</v>
      </c>
      <c r="D18742">
        <v>0.56667162295399998</v>
      </c>
      <c r="E18742">
        <v>24</v>
      </c>
    </row>
    <row r="18743" spans="1:5">
      <c r="A18743" t="s">
        <v>21721</v>
      </c>
      <c r="B18743" t="s">
        <v>21726</v>
      </c>
      <c r="C18743">
        <f>-0.0000650406014269</f>
        <v>-6.5040601426899996E-5</v>
      </c>
      <c r="D18743">
        <v>0.56667162295399998</v>
      </c>
      <c r="E18743">
        <v>24</v>
      </c>
    </row>
    <row r="18744" spans="1:5">
      <c r="A18744" t="s">
        <v>21721</v>
      </c>
      <c r="B18744" t="s">
        <v>21727</v>
      </c>
      <c r="C18744">
        <v>0</v>
      </c>
      <c r="D18744">
        <v>0.56667162295399998</v>
      </c>
      <c r="E18744">
        <v>24</v>
      </c>
    </row>
    <row r="18745" spans="1:5">
      <c r="A18745" t="s">
        <v>21728</v>
      </c>
      <c r="B18745" t="s">
        <v>21729</v>
      </c>
      <c r="C18745">
        <v>0</v>
      </c>
      <c r="D18745">
        <v>0.82516797684700005</v>
      </c>
      <c r="E18745">
        <v>23.040479760119901</v>
      </c>
    </row>
    <row r="18746" spans="1:5">
      <c r="A18746" t="s">
        <v>21728</v>
      </c>
      <c r="B18746" t="s">
        <v>21730</v>
      </c>
      <c r="C18746">
        <f>0</f>
        <v>0</v>
      </c>
      <c r="D18746">
        <v>0.82516797684700005</v>
      </c>
      <c r="E18746">
        <v>23.040479760119901</v>
      </c>
    </row>
    <row r="18747" spans="1:5">
      <c r="A18747" t="s">
        <v>21728</v>
      </c>
      <c r="B18747" t="s">
        <v>21731</v>
      </c>
      <c r="C18747">
        <f>0</f>
        <v>0</v>
      </c>
      <c r="D18747">
        <v>0.82516797684700005</v>
      </c>
      <c r="E18747">
        <v>23.040479760119901</v>
      </c>
    </row>
    <row r="18748" spans="1:5">
      <c r="A18748" t="s">
        <v>21728</v>
      </c>
      <c r="B18748" t="s">
        <v>21732</v>
      </c>
      <c r="C18748">
        <f>0.0479032257142</f>
        <v>4.7903225714199998E-2</v>
      </c>
      <c r="D18748">
        <v>0.82516797684700005</v>
      </c>
      <c r="E18748">
        <v>23.040479760119901</v>
      </c>
    </row>
    <row r="18749" spans="1:5">
      <c r="A18749" t="s">
        <v>21728</v>
      </c>
      <c r="B18749" t="s">
        <v>21733</v>
      </c>
      <c r="C18749">
        <f>0</f>
        <v>0</v>
      </c>
      <c r="D18749">
        <v>0.82516797684700005</v>
      </c>
      <c r="E18749">
        <v>23.040479760119901</v>
      </c>
    </row>
    <row r="18750" spans="1:5">
      <c r="A18750" t="s">
        <v>21728</v>
      </c>
      <c r="B18750" t="s">
        <v>21734</v>
      </c>
      <c r="C18750">
        <f>0</f>
        <v>0</v>
      </c>
      <c r="D18750">
        <v>0.82516797684700005</v>
      </c>
      <c r="E18750">
        <v>23.040479760119901</v>
      </c>
    </row>
    <row r="18751" spans="1:5">
      <c r="A18751" t="s">
        <v>21728</v>
      </c>
      <c r="B18751" t="s">
        <v>21735</v>
      </c>
      <c r="C18751">
        <f>0</f>
        <v>0</v>
      </c>
      <c r="D18751">
        <v>0.82516797684700005</v>
      </c>
      <c r="E18751">
        <v>23.040479760119901</v>
      </c>
    </row>
    <row r="18752" spans="1:5">
      <c r="A18752" t="s">
        <v>21728</v>
      </c>
      <c r="B18752" t="s">
        <v>21736</v>
      </c>
      <c r="C18752">
        <f>0</f>
        <v>0</v>
      </c>
      <c r="D18752">
        <v>0.82516797684700005</v>
      </c>
      <c r="E18752">
        <v>23.040479760119901</v>
      </c>
    </row>
    <row r="18753" spans="1:5">
      <c r="A18753" t="s">
        <v>21728</v>
      </c>
      <c r="B18753" t="s">
        <v>21737</v>
      </c>
      <c r="C18753">
        <f>0</f>
        <v>0</v>
      </c>
      <c r="D18753">
        <v>0.82516797684700005</v>
      </c>
      <c r="E18753">
        <v>23.040479760119901</v>
      </c>
    </row>
    <row r="18754" spans="1:5">
      <c r="A18754" t="s">
        <v>21738</v>
      </c>
      <c r="B18754" t="s">
        <v>21739</v>
      </c>
      <c r="C18754">
        <v>0</v>
      </c>
      <c r="D18754" t="s">
        <v>106</v>
      </c>
      <c r="E18754">
        <v>12.9175412293853</v>
      </c>
    </row>
    <row r="18755" spans="1:5">
      <c r="A18755" t="s">
        <v>21738</v>
      </c>
      <c r="B18755" t="s">
        <v>21740</v>
      </c>
      <c r="C18755">
        <v>0</v>
      </c>
      <c r="D18755" t="s">
        <v>106</v>
      </c>
      <c r="E18755">
        <v>12.9175412293853</v>
      </c>
    </row>
    <row r="18756" spans="1:5">
      <c r="A18756" t="s">
        <v>21741</v>
      </c>
      <c r="B18756" t="s">
        <v>21742</v>
      </c>
      <c r="C18756">
        <f>0</f>
        <v>0</v>
      </c>
      <c r="D18756" t="s">
        <v>106</v>
      </c>
      <c r="E18756">
        <v>17.103448275862</v>
      </c>
    </row>
    <row r="18757" spans="1:5">
      <c r="A18757" t="s">
        <v>21741</v>
      </c>
      <c r="B18757" t="s">
        <v>21743</v>
      </c>
      <c r="C18757">
        <v>0</v>
      </c>
      <c r="D18757" t="s">
        <v>106</v>
      </c>
      <c r="E18757">
        <v>17.103448275862</v>
      </c>
    </row>
    <row r="18758" spans="1:5">
      <c r="A18758" t="s">
        <v>21741</v>
      </c>
      <c r="B18758" t="s">
        <v>21744</v>
      </c>
      <c r="C18758">
        <f>0</f>
        <v>0</v>
      </c>
      <c r="D18758" t="s">
        <v>106</v>
      </c>
      <c r="E18758">
        <v>17.103448275862</v>
      </c>
    </row>
    <row r="18759" spans="1:5">
      <c r="A18759" t="s">
        <v>21741</v>
      </c>
      <c r="B18759" t="s">
        <v>21745</v>
      </c>
      <c r="C18759">
        <v>0</v>
      </c>
      <c r="D18759" t="s">
        <v>106</v>
      </c>
      <c r="E18759">
        <v>17.103448275862</v>
      </c>
    </row>
    <row r="18760" spans="1:5">
      <c r="A18760" t="s">
        <v>21741</v>
      </c>
      <c r="B18760" t="s">
        <v>21746</v>
      </c>
      <c r="C18760">
        <f>0</f>
        <v>0</v>
      </c>
      <c r="D18760" t="s">
        <v>106</v>
      </c>
      <c r="E18760">
        <v>17.103448275862</v>
      </c>
    </row>
    <row r="18761" spans="1:5">
      <c r="A18761" t="s">
        <v>21741</v>
      </c>
      <c r="B18761" t="s">
        <v>21747</v>
      </c>
      <c r="C18761">
        <f>0.0688542632824</f>
        <v>6.8854263282400005E-2</v>
      </c>
      <c r="D18761" t="s">
        <v>106</v>
      </c>
      <c r="E18761">
        <v>17.103448275862</v>
      </c>
    </row>
    <row r="18762" spans="1:5">
      <c r="A18762" t="s">
        <v>21748</v>
      </c>
      <c r="B18762" t="s">
        <v>21749</v>
      </c>
      <c r="C18762">
        <f>0.00125310934929</f>
        <v>1.25310934929E-3</v>
      </c>
      <c r="D18762">
        <v>0.83308882175800003</v>
      </c>
      <c r="E18762">
        <v>5.9370314842578704</v>
      </c>
    </row>
    <row r="18763" spans="1:5">
      <c r="A18763" t="s">
        <v>21748</v>
      </c>
      <c r="B18763" t="s">
        <v>21750</v>
      </c>
      <c r="C18763">
        <v>0.520539908489</v>
      </c>
      <c r="D18763">
        <v>0.83308882175800003</v>
      </c>
      <c r="E18763">
        <v>5.9370314842578704</v>
      </c>
    </row>
    <row r="18764" spans="1:5">
      <c r="A18764" t="s">
        <v>21751</v>
      </c>
      <c r="B18764" t="s">
        <v>21752</v>
      </c>
      <c r="C18764">
        <f>0.0964044948951</f>
        <v>9.6404494895100001E-2</v>
      </c>
      <c r="D18764">
        <v>0.91394419399600002</v>
      </c>
      <c r="E18764">
        <v>24</v>
      </c>
    </row>
    <row r="18765" spans="1:5">
      <c r="A18765" t="s">
        <v>21751</v>
      </c>
      <c r="B18765" t="s">
        <v>21753</v>
      </c>
      <c r="C18765">
        <v>3.4178487988499998E-2</v>
      </c>
      <c r="D18765">
        <v>0.91394419399600002</v>
      </c>
      <c r="E18765">
        <v>24</v>
      </c>
    </row>
    <row r="18766" spans="1:5">
      <c r="A18766" t="s">
        <v>21754</v>
      </c>
      <c r="B18766" t="s">
        <v>21755</v>
      </c>
      <c r="C18766">
        <v>0.27354448848599999</v>
      </c>
      <c r="D18766">
        <v>0.96450131388000004</v>
      </c>
      <c r="E18766">
        <v>24</v>
      </c>
    </row>
    <row r="18767" spans="1:5">
      <c r="A18767" t="s">
        <v>21754</v>
      </c>
      <c r="B18767" t="s">
        <v>21756</v>
      </c>
      <c r="C18767">
        <f>0.0538520165581</f>
        <v>5.3852016558099999E-2</v>
      </c>
      <c r="D18767">
        <v>0.96450131388000004</v>
      </c>
      <c r="E18767">
        <v>24</v>
      </c>
    </row>
    <row r="18768" spans="1:5">
      <c r="A18768" t="s">
        <v>21757</v>
      </c>
      <c r="B18768" t="s">
        <v>21758</v>
      </c>
      <c r="C18768">
        <v>0</v>
      </c>
      <c r="D18768">
        <v>0.79437167181699997</v>
      </c>
      <c r="E18768">
        <v>13.625187406296799</v>
      </c>
    </row>
    <row r="18769" spans="1:5">
      <c r="A18769" t="s">
        <v>21757</v>
      </c>
      <c r="B18769" t="s">
        <v>21759</v>
      </c>
      <c r="C18769">
        <v>9.7067282941000005E-2</v>
      </c>
      <c r="D18769">
        <v>0.79437167181699997</v>
      </c>
      <c r="E18769">
        <v>13.625187406296799</v>
      </c>
    </row>
    <row r="18770" spans="1:5">
      <c r="A18770" t="s">
        <v>21757</v>
      </c>
      <c r="B18770" t="s">
        <v>21760</v>
      </c>
      <c r="C18770">
        <f>0</f>
        <v>0</v>
      </c>
      <c r="D18770">
        <v>0.79437167181699997</v>
      </c>
      <c r="E18770">
        <v>13.625187406296799</v>
      </c>
    </row>
    <row r="18771" spans="1:5">
      <c r="A18771" t="s">
        <v>21757</v>
      </c>
      <c r="B18771" t="s">
        <v>21761</v>
      </c>
      <c r="C18771">
        <v>0</v>
      </c>
      <c r="D18771">
        <v>0.79437167181699997</v>
      </c>
      <c r="E18771">
        <v>13.625187406296799</v>
      </c>
    </row>
    <row r="18772" spans="1:5">
      <c r="A18772" t="s">
        <v>21757</v>
      </c>
      <c r="B18772" t="s">
        <v>21762</v>
      </c>
      <c r="C18772">
        <v>0</v>
      </c>
      <c r="D18772">
        <v>0.79437167181699997</v>
      </c>
      <c r="E18772">
        <v>13.625187406296799</v>
      </c>
    </row>
    <row r="18773" spans="1:5">
      <c r="A18773" t="s">
        <v>21763</v>
      </c>
      <c r="B18773" t="s">
        <v>21764</v>
      </c>
      <c r="C18773">
        <v>0</v>
      </c>
      <c r="D18773">
        <v>0.99329512180199997</v>
      </c>
      <c r="E18773">
        <v>10.230884557721099</v>
      </c>
    </row>
    <row r="18774" spans="1:5">
      <c r="A18774" t="s">
        <v>21763</v>
      </c>
      <c r="B18774" t="s">
        <v>21765</v>
      </c>
      <c r="C18774">
        <v>0</v>
      </c>
      <c r="D18774">
        <v>0.99329512180199997</v>
      </c>
      <c r="E18774">
        <v>10.230884557721099</v>
      </c>
    </row>
    <row r="18775" spans="1:5">
      <c r="A18775" t="s">
        <v>21763</v>
      </c>
      <c r="B18775" t="s">
        <v>21766</v>
      </c>
      <c r="C18775">
        <v>0.328251869448</v>
      </c>
      <c r="D18775">
        <v>0.99329512180199997</v>
      </c>
      <c r="E18775">
        <v>10.230884557721099</v>
      </c>
    </row>
    <row r="18776" spans="1:5">
      <c r="A18776" t="s">
        <v>21763</v>
      </c>
      <c r="B18776" t="s">
        <v>21767</v>
      </c>
      <c r="C18776">
        <v>0</v>
      </c>
      <c r="D18776">
        <v>0.99329512180199997</v>
      </c>
      <c r="E18776">
        <v>10.230884557721099</v>
      </c>
    </row>
    <row r="18777" spans="1:5">
      <c r="A18777" t="s">
        <v>21763</v>
      </c>
      <c r="B18777" t="s">
        <v>21768</v>
      </c>
      <c r="C18777">
        <v>0</v>
      </c>
      <c r="D18777">
        <v>0.99329512180199997</v>
      </c>
      <c r="E18777">
        <v>10.230884557721099</v>
      </c>
    </row>
    <row r="18778" spans="1:5">
      <c r="A18778" t="s">
        <v>21763</v>
      </c>
      <c r="B18778" t="s">
        <v>21769</v>
      </c>
      <c r="C18778">
        <v>0.10739024114700001</v>
      </c>
      <c r="D18778">
        <v>0.99329512180199997</v>
      </c>
      <c r="E18778">
        <v>10.230884557721099</v>
      </c>
    </row>
    <row r="18779" spans="1:5">
      <c r="A18779" t="s">
        <v>21763</v>
      </c>
      <c r="B18779" t="s">
        <v>21770</v>
      </c>
      <c r="C18779">
        <v>0</v>
      </c>
      <c r="D18779">
        <v>0.99329512180199997</v>
      </c>
      <c r="E18779">
        <v>10.230884557721099</v>
      </c>
    </row>
    <row r="18780" spans="1:5">
      <c r="A18780" t="s">
        <v>21763</v>
      </c>
      <c r="B18780" t="s">
        <v>21771</v>
      </c>
      <c r="C18780">
        <f>0</f>
        <v>0</v>
      </c>
      <c r="D18780">
        <v>0.99329512180199997</v>
      </c>
      <c r="E18780">
        <v>10.230884557721099</v>
      </c>
    </row>
    <row r="18781" spans="1:5">
      <c r="A18781" t="s">
        <v>21772</v>
      </c>
      <c r="B18781" t="s">
        <v>21773</v>
      </c>
      <c r="C18781">
        <v>0.16975683159800001</v>
      </c>
      <c r="D18781">
        <v>0.971082429581</v>
      </c>
      <c r="E18781">
        <v>15.5082458770614</v>
      </c>
    </row>
    <row r="18782" spans="1:5">
      <c r="A18782" t="s">
        <v>21772</v>
      </c>
      <c r="B18782" t="s">
        <v>21774</v>
      </c>
      <c r="C18782">
        <v>0</v>
      </c>
      <c r="D18782">
        <v>0.971082429581</v>
      </c>
      <c r="E18782">
        <v>15.5082458770614</v>
      </c>
    </row>
    <row r="18783" spans="1:5">
      <c r="A18783" t="s">
        <v>21772</v>
      </c>
      <c r="B18783" t="s">
        <v>21775</v>
      </c>
      <c r="C18783">
        <v>0</v>
      </c>
      <c r="D18783">
        <v>0.971082429581</v>
      </c>
      <c r="E18783">
        <v>15.5082458770614</v>
      </c>
    </row>
    <row r="18784" spans="1:5">
      <c r="A18784" t="s">
        <v>21772</v>
      </c>
      <c r="B18784" t="s">
        <v>21776</v>
      </c>
      <c r="C18784">
        <v>2.6155240633699998E-2</v>
      </c>
      <c r="D18784">
        <v>0.971082429581</v>
      </c>
      <c r="E18784">
        <v>15.5082458770614</v>
      </c>
    </row>
    <row r="18785" spans="1:5">
      <c r="A18785" t="s">
        <v>21777</v>
      </c>
      <c r="B18785" t="s">
        <v>21778</v>
      </c>
      <c r="C18785">
        <f>0</f>
        <v>0</v>
      </c>
      <c r="D18785">
        <v>0.92701796795199998</v>
      </c>
      <c r="E18785">
        <v>24</v>
      </c>
    </row>
    <row r="18786" spans="1:5">
      <c r="A18786" t="s">
        <v>21777</v>
      </c>
      <c r="B18786" t="s">
        <v>21779</v>
      </c>
      <c r="C18786">
        <f>0</f>
        <v>0</v>
      </c>
      <c r="D18786">
        <v>0.92701796795199998</v>
      </c>
      <c r="E18786">
        <v>24</v>
      </c>
    </row>
    <row r="18787" spans="1:5">
      <c r="A18787" t="s">
        <v>21777</v>
      </c>
      <c r="B18787" t="s">
        <v>21780</v>
      </c>
      <c r="C18787">
        <f>0</f>
        <v>0</v>
      </c>
      <c r="D18787">
        <v>0.92701796795199998</v>
      </c>
      <c r="E18787">
        <v>24</v>
      </c>
    </row>
    <row r="18788" spans="1:5">
      <c r="A18788" t="s">
        <v>21777</v>
      </c>
      <c r="B18788" t="s">
        <v>21781</v>
      </c>
      <c r="C18788">
        <v>0</v>
      </c>
      <c r="D18788">
        <v>0.92701796795199998</v>
      </c>
      <c r="E18788">
        <v>24</v>
      </c>
    </row>
    <row r="18789" spans="1:5">
      <c r="A18789" t="s">
        <v>21777</v>
      </c>
      <c r="B18789" t="s">
        <v>21782</v>
      </c>
      <c r="C18789">
        <v>0</v>
      </c>
      <c r="D18789">
        <v>0.92701796795199998</v>
      </c>
      <c r="E18789">
        <v>24</v>
      </c>
    </row>
    <row r="18790" spans="1:5">
      <c r="A18790" t="s">
        <v>21777</v>
      </c>
      <c r="B18790" t="s">
        <v>21783</v>
      </c>
      <c r="C18790">
        <f>0.0724313910937</f>
        <v>7.2431391093700004E-2</v>
      </c>
      <c r="D18790">
        <v>0.92701796795199998</v>
      </c>
      <c r="E18790">
        <v>24</v>
      </c>
    </row>
    <row r="18791" spans="1:5">
      <c r="A18791" t="s">
        <v>21777</v>
      </c>
      <c r="B18791" t="s">
        <v>21784</v>
      </c>
      <c r="C18791">
        <f>0</f>
        <v>0</v>
      </c>
      <c r="D18791">
        <v>0.92701796795199998</v>
      </c>
      <c r="E18791">
        <v>24</v>
      </c>
    </row>
    <row r="18792" spans="1:5">
      <c r="A18792" t="s">
        <v>21777</v>
      </c>
      <c r="B18792" t="s">
        <v>21785</v>
      </c>
      <c r="C18792">
        <f>0</f>
        <v>0</v>
      </c>
      <c r="D18792">
        <v>0.92701796795199998</v>
      </c>
      <c r="E18792">
        <v>24</v>
      </c>
    </row>
    <row r="18793" spans="1:5">
      <c r="A18793" t="s">
        <v>21777</v>
      </c>
      <c r="B18793" t="s">
        <v>21786</v>
      </c>
      <c r="C18793">
        <v>0</v>
      </c>
      <c r="D18793">
        <v>0.92701796795199998</v>
      </c>
      <c r="E18793">
        <v>24</v>
      </c>
    </row>
    <row r="18794" spans="1:5">
      <c r="A18794" t="s">
        <v>21777</v>
      </c>
      <c r="B18794" t="s">
        <v>21787</v>
      </c>
      <c r="C18794">
        <v>0</v>
      </c>
      <c r="D18794">
        <v>0.92701796795199998</v>
      </c>
      <c r="E18794">
        <v>24</v>
      </c>
    </row>
    <row r="18795" spans="1:5">
      <c r="A18795" t="s">
        <v>21777</v>
      </c>
      <c r="B18795" t="s">
        <v>21788</v>
      </c>
      <c r="C18795">
        <v>0</v>
      </c>
      <c r="D18795">
        <v>0.92701796795199998</v>
      </c>
      <c r="E18795">
        <v>24</v>
      </c>
    </row>
    <row r="18796" spans="1:5">
      <c r="A18796" t="s">
        <v>21777</v>
      </c>
      <c r="B18796" t="s">
        <v>21789</v>
      </c>
      <c r="C18796">
        <v>0</v>
      </c>
      <c r="D18796">
        <v>0.92701796795199998</v>
      </c>
      <c r="E18796">
        <v>24</v>
      </c>
    </row>
    <row r="18797" spans="1:5">
      <c r="A18797" t="s">
        <v>21777</v>
      </c>
      <c r="B18797" t="s">
        <v>21790</v>
      </c>
      <c r="C18797">
        <f>0</f>
        <v>0</v>
      </c>
      <c r="D18797">
        <v>0.92701796795199998</v>
      </c>
      <c r="E18797">
        <v>24</v>
      </c>
    </row>
    <row r="18798" spans="1:5">
      <c r="A18798" t="s">
        <v>21777</v>
      </c>
      <c r="B18798" t="s">
        <v>21791</v>
      </c>
      <c r="C18798">
        <f>0</f>
        <v>0</v>
      </c>
      <c r="D18798">
        <v>0.92701796795199998</v>
      </c>
      <c r="E18798">
        <v>24</v>
      </c>
    </row>
    <row r="18799" spans="1:5">
      <c r="A18799" t="s">
        <v>21777</v>
      </c>
      <c r="B18799" t="s">
        <v>21792</v>
      </c>
      <c r="C18799">
        <v>0</v>
      </c>
      <c r="D18799">
        <v>0.92701796795199998</v>
      </c>
      <c r="E18799">
        <v>24</v>
      </c>
    </row>
    <row r="18800" spans="1:5">
      <c r="A18800" t="s">
        <v>21777</v>
      </c>
      <c r="B18800" t="s">
        <v>21793</v>
      </c>
      <c r="C18800">
        <v>0</v>
      </c>
      <c r="D18800">
        <v>0.92701796795199998</v>
      </c>
      <c r="E18800">
        <v>24</v>
      </c>
    </row>
    <row r="18801" spans="1:5">
      <c r="A18801" t="s">
        <v>21777</v>
      </c>
      <c r="B18801" t="s">
        <v>21794</v>
      </c>
      <c r="C18801">
        <v>0</v>
      </c>
      <c r="D18801">
        <v>0.92701796795199998</v>
      </c>
      <c r="E18801">
        <v>24</v>
      </c>
    </row>
    <row r="18802" spans="1:5">
      <c r="A18802" t="s">
        <v>21777</v>
      </c>
      <c r="B18802" t="s">
        <v>21795</v>
      </c>
      <c r="C18802">
        <f>0.00345500786324</f>
        <v>3.4550078632399998E-3</v>
      </c>
      <c r="D18802">
        <v>0.92701796795199998</v>
      </c>
      <c r="E18802">
        <v>24</v>
      </c>
    </row>
    <row r="18803" spans="1:5">
      <c r="A18803" t="s">
        <v>21796</v>
      </c>
      <c r="B18803" t="s">
        <v>21797</v>
      </c>
      <c r="C18803">
        <v>0</v>
      </c>
      <c r="D18803" t="s">
        <v>106</v>
      </c>
      <c r="E18803">
        <v>23.7481259370314</v>
      </c>
    </row>
    <row r="18804" spans="1:5">
      <c r="A18804" t="s">
        <v>21796</v>
      </c>
      <c r="B18804" t="s">
        <v>21798</v>
      </c>
      <c r="C18804">
        <v>0</v>
      </c>
      <c r="D18804" t="s">
        <v>106</v>
      </c>
      <c r="E18804">
        <v>23.7481259370314</v>
      </c>
    </row>
    <row r="18805" spans="1:5">
      <c r="A18805" t="s">
        <v>21796</v>
      </c>
      <c r="B18805" t="s">
        <v>21799</v>
      </c>
      <c r="C18805">
        <f>0</f>
        <v>0</v>
      </c>
      <c r="D18805" t="s">
        <v>106</v>
      </c>
      <c r="E18805">
        <v>23.7481259370314</v>
      </c>
    </row>
    <row r="18806" spans="1:5">
      <c r="A18806" t="s">
        <v>21796</v>
      </c>
      <c r="B18806" t="s">
        <v>21800</v>
      </c>
      <c r="C18806">
        <v>0</v>
      </c>
      <c r="D18806" t="s">
        <v>106</v>
      </c>
      <c r="E18806">
        <v>23.7481259370314</v>
      </c>
    </row>
    <row r="18807" spans="1:5">
      <c r="A18807" t="s">
        <v>21796</v>
      </c>
      <c r="B18807" t="s">
        <v>21801</v>
      </c>
      <c r="C18807">
        <f>0</f>
        <v>0</v>
      </c>
      <c r="D18807" t="s">
        <v>106</v>
      </c>
      <c r="E18807">
        <v>23.7481259370314</v>
      </c>
    </row>
    <row r="18808" spans="1:5">
      <c r="A18808" t="s">
        <v>21802</v>
      </c>
      <c r="B18808" t="s">
        <v>21803</v>
      </c>
      <c r="C18808">
        <f>0.365855331757</f>
        <v>0.36585533175700002</v>
      </c>
      <c r="D18808">
        <v>0.95774690073500002</v>
      </c>
      <c r="E18808">
        <v>0.40779610194902499</v>
      </c>
    </row>
    <row r="18809" spans="1:5">
      <c r="A18809" t="s">
        <v>21802</v>
      </c>
      <c r="B18809" t="s">
        <v>21804</v>
      </c>
      <c r="C18809">
        <f>0.0405109370784</f>
        <v>4.0510937078399999E-2</v>
      </c>
      <c r="D18809">
        <v>0.95774690073500002</v>
      </c>
      <c r="E18809">
        <v>0.40779610194902499</v>
      </c>
    </row>
    <row r="18810" spans="1:5">
      <c r="A18810" t="s">
        <v>21802</v>
      </c>
      <c r="B18810" t="s">
        <v>21805</v>
      </c>
      <c r="C18810">
        <f>0</f>
        <v>0</v>
      </c>
      <c r="D18810">
        <v>0.95774690073500002</v>
      </c>
      <c r="E18810">
        <v>0.40779610194902499</v>
      </c>
    </row>
    <row r="18811" spans="1:5">
      <c r="A18811" t="s">
        <v>21802</v>
      </c>
      <c r="B18811" t="s">
        <v>21806</v>
      </c>
      <c r="C18811">
        <v>0</v>
      </c>
      <c r="D18811">
        <v>0.95774690073500002</v>
      </c>
      <c r="E18811">
        <v>0.40779610194902499</v>
      </c>
    </row>
    <row r="18812" spans="1:5">
      <c r="A18812" t="s">
        <v>21802</v>
      </c>
      <c r="B18812" t="s">
        <v>21807</v>
      </c>
      <c r="C18812">
        <f>0</f>
        <v>0</v>
      </c>
      <c r="D18812">
        <v>0.95774690073500002</v>
      </c>
      <c r="E18812">
        <v>0.40779610194902499</v>
      </c>
    </row>
    <row r="18813" spans="1:5">
      <c r="A18813" t="s">
        <v>21802</v>
      </c>
      <c r="B18813" t="s">
        <v>21808</v>
      </c>
      <c r="C18813">
        <f>0</f>
        <v>0</v>
      </c>
      <c r="D18813">
        <v>0.95774690073500002</v>
      </c>
      <c r="E18813">
        <v>0.40779610194902499</v>
      </c>
    </row>
    <row r="18814" spans="1:5">
      <c r="A18814" t="s">
        <v>21802</v>
      </c>
      <c r="B18814" t="s">
        <v>21809</v>
      </c>
      <c r="C18814">
        <f>0</f>
        <v>0</v>
      </c>
      <c r="D18814">
        <v>0.95774690073500002</v>
      </c>
      <c r="E18814">
        <v>0.40779610194902499</v>
      </c>
    </row>
    <row r="18815" spans="1:5">
      <c r="A18815" t="s">
        <v>21810</v>
      </c>
      <c r="B18815" t="s">
        <v>21811</v>
      </c>
      <c r="C18815">
        <f>0</f>
        <v>0</v>
      </c>
      <c r="D18815">
        <v>0.93683288074299997</v>
      </c>
      <c r="E18815">
        <v>0.23988005997001499</v>
      </c>
    </row>
    <row r="18816" spans="1:5">
      <c r="A18816" t="s">
        <v>21810</v>
      </c>
      <c r="B18816" t="s">
        <v>21812</v>
      </c>
      <c r="C18816">
        <v>0</v>
      </c>
      <c r="D18816">
        <v>0.93683288074299997</v>
      </c>
      <c r="E18816">
        <v>0.23988005997001499</v>
      </c>
    </row>
    <row r="18817" spans="1:5">
      <c r="A18817" t="s">
        <v>21810</v>
      </c>
      <c r="B18817" t="s">
        <v>21813</v>
      </c>
      <c r="C18817">
        <v>0.61867166998099998</v>
      </c>
      <c r="D18817">
        <v>0.93683288074299997</v>
      </c>
      <c r="E18817">
        <v>0.23988005997001499</v>
      </c>
    </row>
    <row r="18818" spans="1:5">
      <c r="A18818" t="s">
        <v>21810</v>
      </c>
      <c r="B18818" t="s">
        <v>21814</v>
      </c>
      <c r="C18818">
        <v>1.2857902533300001E-2</v>
      </c>
      <c r="D18818">
        <v>0.93683288074299997</v>
      </c>
      <c r="E18818">
        <v>0.23988005997001499</v>
      </c>
    </row>
    <row r="18819" spans="1:5">
      <c r="A18819" t="s">
        <v>21810</v>
      </c>
      <c r="B18819" t="s">
        <v>21815</v>
      </c>
      <c r="C18819">
        <f>0</f>
        <v>0</v>
      </c>
      <c r="D18819">
        <v>0.93683288074299997</v>
      </c>
      <c r="E18819">
        <v>0.23988005997001499</v>
      </c>
    </row>
    <row r="18820" spans="1:5">
      <c r="A18820" t="s">
        <v>21816</v>
      </c>
      <c r="B18820" t="s">
        <v>21817</v>
      </c>
      <c r="C18820">
        <v>0</v>
      </c>
      <c r="D18820">
        <v>0.93883932353699995</v>
      </c>
      <c r="E18820">
        <v>0.73163418290854498</v>
      </c>
    </row>
    <row r="18821" spans="1:5">
      <c r="A18821" t="s">
        <v>21816</v>
      </c>
      <c r="B18821" t="s">
        <v>21818</v>
      </c>
      <c r="C18821">
        <f>0</f>
        <v>0</v>
      </c>
      <c r="D18821">
        <v>0.93883932353699995</v>
      </c>
      <c r="E18821">
        <v>0.73163418290854498</v>
      </c>
    </row>
    <row r="18822" spans="1:5">
      <c r="A18822" t="s">
        <v>21816</v>
      </c>
      <c r="B18822" t="s">
        <v>21819</v>
      </c>
      <c r="C18822">
        <v>0</v>
      </c>
      <c r="D18822">
        <v>0.93883932353699995</v>
      </c>
      <c r="E18822">
        <v>0.73163418290854498</v>
      </c>
    </row>
    <row r="18823" spans="1:5">
      <c r="A18823" t="s">
        <v>21816</v>
      </c>
      <c r="B18823" t="s">
        <v>21820</v>
      </c>
      <c r="C18823">
        <v>0</v>
      </c>
      <c r="D18823">
        <v>0.93883932353699995</v>
      </c>
      <c r="E18823">
        <v>0.73163418290854498</v>
      </c>
    </row>
    <row r="18824" spans="1:5">
      <c r="A18824" t="s">
        <v>21816</v>
      </c>
      <c r="B18824" t="s">
        <v>21821</v>
      </c>
      <c r="C18824">
        <f>0</f>
        <v>0</v>
      </c>
      <c r="D18824">
        <v>0.93883932353699995</v>
      </c>
      <c r="E18824">
        <v>0.73163418290854498</v>
      </c>
    </row>
    <row r="18825" spans="1:5">
      <c r="A18825" t="s">
        <v>21816</v>
      </c>
      <c r="B18825" t="s">
        <v>21822</v>
      </c>
      <c r="C18825">
        <v>0</v>
      </c>
      <c r="D18825">
        <v>0.93883932353699995</v>
      </c>
      <c r="E18825">
        <v>0.73163418290854498</v>
      </c>
    </row>
    <row r="18826" spans="1:5">
      <c r="A18826" t="s">
        <v>21816</v>
      </c>
      <c r="B18826" t="s">
        <v>21823</v>
      </c>
      <c r="C18826">
        <f>0.249550987738</f>
        <v>0.249550987738</v>
      </c>
      <c r="D18826">
        <v>0.93883932353699995</v>
      </c>
      <c r="E18826">
        <v>0.73163418290854498</v>
      </c>
    </row>
    <row r="18827" spans="1:5">
      <c r="A18827" t="s">
        <v>21816</v>
      </c>
      <c r="B18827" t="s">
        <v>21824</v>
      </c>
      <c r="C18827">
        <v>8.7912616437599997E-2</v>
      </c>
      <c r="D18827">
        <v>0.93883932353699995</v>
      </c>
      <c r="E18827">
        <v>0.73163418290854498</v>
      </c>
    </row>
    <row r="18828" spans="1:5">
      <c r="A18828" t="s">
        <v>21825</v>
      </c>
      <c r="B18828" t="s">
        <v>21826</v>
      </c>
      <c r="C18828">
        <f>0</f>
        <v>0</v>
      </c>
      <c r="D18828" t="s">
        <v>106</v>
      </c>
      <c r="E18828">
        <v>22.332833583208298</v>
      </c>
    </row>
    <row r="18829" spans="1:5">
      <c r="A18829" t="s">
        <v>21825</v>
      </c>
      <c r="B18829" t="s">
        <v>21827</v>
      </c>
      <c r="C18829">
        <f>0</f>
        <v>0</v>
      </c>
      <c r="D18829" t="s">
        <v>106</v>
      </c>
      <c r="E18829">
        <v>22.332833583208298</v>
      </c>
    </row>
    <row r="18830" spans="1:5">
      <c r="A18830" t="s">
        <v>21825</v>
      </c>
      <c r="B18830" t="s">
        <v>21828</v>
      </c>
      <c r="C18830">
        <v>0</v>
      </c>
      <c r="D18830" t="s">
        <v>106</v>
      </c>
      <c r="E18830">
        <v>22.332833583208298</v>
      </c>
    </row>
    <row r="18831" spans="1:5">
      <c r="A18831" t="s">
        <v>21829</v>
      </c>
      <c r="B18831" t="s">
        <v>21830</v>
      </c>
      <c r="C18831">
        <v>0.53571128806900004</v>
      </c>
      <c r="D18831">
        <v>0.97284671466999995</v>
      </c>
      <c r="E18831">
        <v>1.51124437781109</v>
      </c>
    </row>
    <row r="18832" spans="1:5">
      <c r="A18832" t="s">
        <v>21829</v>
      </c>
      <c r="B18832" t="s">
        <v>21831</v>
      </c>
      <c r="C18832">
        <f>0</f>
        <v>0</v>
      </c>
      <c r="D18832">
        <v>0.97284671466999995</v>
      </c>
      <c r="E18832">
        <v>1.51124437781109</v>
      </c>
    </row>
    <row r="18833" spans="1:5">
      <c r="A18833" t="s">
        <v>21829</v>
      </c>
      <c r="B18833" t="s">
        <v>21832</v>
      </c>
      <c r="C18833">
        <v>0.15785616811600001</v>
      </c>
      <c r="D18833">
        <v>0.97284671466999995</v>
      </c>
      <c r="E18833">
        <v>1.51124437781109</v>
      </c>
    </row>
    <row r="18834" spans="1:5">
      <c r="A18834" t="s">
        <v>21833</v>
      </c>
      <c r="B18834" t="s">
        <v>21834</v>
      </c>
      <c r="C18834">
        <v>9.2606268287900001E-2</v>
      </c>
      <c r="D18834">
        <v>0.99580089621599999</v>
      </c>
      <c r="E18834">
        <v>8.8635682158920499</v>
      </c>
    </row>
    <row r="18835" spans="1:5">
      <c r="A18835" t="s">
        <v>21833</v>
      </c>
      <c r="B18835" t="s">
        <v>21835</v>
      </c>
      <c r="C18835">
        <v>0.37771664256199999</v>
      </c>
      <c r="D18835">
        <v>0.99580089621599999</v>
      </c>
      <c r="E18835">
        <v>8.8635682158920499</v>
      </c>
    </row>
    <row r="18836" spans="1:5">
      <c r="A18836" t="s">
        <v>21833</v>
      </c>
      <c r="B18836" t="s">
        <v>21836</v>
      </c>
      <c r="C18836">
        <v>0</v>
      </c>
      <c r="D18836">
        <v>0.99580089621599999</v>
      </c>
      <c r="E18836">
        <v>8.8635682158920499</v>
      </c>
    </row>
    <row r="18837" spans="1:5">
      <c r="A18837" t="s">
        <v>21833</v>
      </c>
      <c r="B18837" t="s">
        <v>21837</v>
      </c>
      <c r="C18837">
        <v>0</v>
      </c>
      <c r="D18837">
        <v>0.99580089621599999</v>
      </c>
      <c r="E18837">
        <v>8.8635682158920499</v>
      </c>
    </row>
    <row r="18838" spans="1:5">
      <c r="A18838" t="s">
        <v>21838</v>
      </c>
      <c r="B18838" t="s">
        <v>21839</v>
      </c>
      <c r="C18838">
        <v>5.83387261928E-4</v>
      </c>
      <c r="D18838">
        <v>0.91599316364100003</v>
      </c>
      <c r="E18838">
        <v>14.5487256371814</v>
      </c>
    </row>
    <row r="18839" spans="1:5">
      <c r="A18839" t="s">
        <v>21838</v>
      </c>
      <c r="B18839" t="s">
        <v>21840</v>
      </c>
      <c r="C18839">
        <v>0.21625344665099999</v>
      </c>
      <c r="D18839">
        <v>0.91599316364100003</v>
      </c>
      <c r="E18839">
        <v>14.5487256371814</v>
      </c>
    </row>
    <row r="18840" spans="1:5">
      <c r="A18840" t="s">
        <v>21841</v>
      </c>
      <c r="B18840" t="s">
        <v>21842</v>
      </c>
      <c r="C18840">
        <v>0</v>
      </c>
      <c r="D18840" t="s">
        <v>106</v>
      </c>
      <c r="E18840">
        <v>22.104947526236799</v>
      </c>
    </row>
    <row r="18841" spans="1:5">
      <c r="A18841" t="s">
        <v>21843</v>
      </c>
      <c r="B18841" t="s">
        <v>21844</v>
      </c>
      <c r="C18841">
        <v>0</v>
      </c>
      <c r="D18841">
        <v>0.76571231399799999</v>
      </c>
      <c r="E18841">
        <v>2.1709145427286298</v>
      </c>
    </row>
    <row r="18842" spans="1:5">
      <c r="A18842" t="s">
        <v>21843</v>
      </c>
      <c r="B18842" t="s">
        <v>21845</v>
      </c>
      <c r="C18842">
        <f>0</f>
        <v>0</v>
      </c>
      <c r="D18842">
        <v>0.76571231399799999</v>
      </c>
      <c r="E18842">
        <v>2.1709145427286298</v>
      </c>
    </row>
    <row r="18843" spans="1:5">
      <c r="A18843" t="s">
        <v>21843</v>
      </c>
      <c r="B18843" t="s">
        <v>21846</v>
      </c>
      <c r="C18843">
        <v>0</v>
      </c>
      <c r="D18843">
        <v>0.76571231399799999</v>
      </c>
      <c r="E18843">
        <v>2.1709145427286298</v>
      </c>
    </row>
    <row r="18844" spans="1:5">
      <c r="A18844" t="s">
        <v>21843</v>
      </c>
      <c r="B18844" t="s">
        <v>21847</v>
      </c>
      <c r="C18844">
        <v>0</v>
      </c>
      <c r="D18844">
        <v>0.76571231399799999</v>
      </c>
      <c r="E18844">
        <v>2.1709145427286298</v>
      </c>
    </row>
    <row r="18845" spans="1:5">
      <c r="A18845" t="s">
        <v>21843</v>
      </c>
      <c r="B18845" t="s">
        <v>21848</v>
      </c>
      <c r="C18845">
        <f>0</f>
        <v>0</v>
      </c>
      <c r="D18845">
        <v>0.76571231399799999</v>
      </c>
      <c r="E18845">
        <v>2.1709145427286298</v>
      </c>
    </row>
    <row r="18846" spans="1:5">
      <c r="A18846" t="s">
        <v>21843</v>
      </c>
      <c r="B18846" t="s">
        <v>21849</v>
      </c>
      <c r="C18846">
        <v>0</v>
      </c>
      <c r="D18846">
        <v>0.76571231399799999</v>
      </c>
      <c r="E18846">
        <v>2.1709145427286298</v>
      </c>
    </row>
    <row r="18847" spans="1:5">
      <c r="A18847" t="s">
        <v>21843</v>
      </c>
      <c r="B18847" t="s">
        <v>21850</v>
      </c>
      <c r="C18847">
        <f>0</f>
        <v>0</v>
      </c>
      <c r="D18847">
        <v>0.76571231399799999</v>
      </c>
      <c r="E18847">
        <v>2.1709145427286298</v>
      </c>
    </row>
    <row r="18848" spans="1:5">
      <c r="A18848" t="s">
        <v>21843</v>
      </c>
      <c r="B18848" t="s">
        <v>21851</v>
      </c>
      <c r="C18848">
        <f>0</f>
        <v>0</v>
      </c>
      <c r="D18848">
        <v>0.76571231399799999</v>
      </c>
      <c r="E18848">
        <v>2.1709145427286298</v>
      </c>
    </row>
    <row r="18849" spans="1:5">
      <c r="A18849" t="s">
        <v>21843</v>
      </c>
      <c r="B18849" t="s">
        <v>21852</v>
      </c>
      <c r="C18849">
        <v>0</v>
      </c>
      <c r="D18849">
        <v>0.76571231399799999</v>
      </c>
      <c r="E18849">
        <v>2.1709145427286298</v>
      </c>
    </row>
    <row r="18850" spans="1:5">
      <c r="A18850" t="s">
        <v>21843</v>
      </c>
      <c r="B18850" t="s">
        <v>21853</v>
      </c>
      <c r="C18850">
        <f>0</f>
        <v>0</v>
      </c>
      <c r="D18850">
        <v>0.76571231399799999</v>
      </c>
      <c r="E18850">
        <v>2.1709145427286298</v>
      </c>
    </row>
    <row r="18851" spans="1:5">
      <c r="A18851" t="s">
        <v>21843</v>
      </c>
      <c r="B18851" t="s">
        <v>21854</v>
      </c>
      <c r="C18851">
        <f>0</f>
        <v>0</v>
      </c>
      <c r="D18851">
        <v>0.76571231399799999</v>
      </c>
      <c r="E18851">
        <v>2.1709145427286298</v>
      </c>
    </row>
    <row r="18852" spans="1:5">
      <c r="A18852" t="s">
        <v>21855</v>
      </c>
      <c r="B18852" t="s">
        <v>21856</v>
      </c>
      <c r="C18852">
        <f>0</f>
        <v>0</v>
      </c>
      <c r="D18852">
        <v>0.93927620058600003</v>
      </c>
      <c r="E18852">
        <v>24</v>
      </c>
    </row>
    <row r="18853" spans="1:5">
      <c r="A18853" t="s">
        <v>21855</v>
      </c>
      <c r="B18853" t="s">
        <v>21857</v>
      </c>
      <c r="C18853">
        <f>0</f>
        <v>0</v>
      </c>
      <c r="D18853">
        <v>0.93927620058600003</v>
      </c>
      <c r="E18853">
        <v>24</v>
      </c>
    </row>
    <row r="18854" spans="1:5">
      <c r="A18854" t="s">
        <v>21855</v>
      </c>
      <c r="B18854" t="s">
        <v>21858</v>
      </c>
      <c r="C18854">
        <v>0</v>
      </c>
      <c r="D18854">
        <v>0.93927620058600003</v>
      </c>
      <c r="E18854">
        <v>24</v>
      </c>
    </row>
    <row r="18855" spans="1:5">
      <c r="A18855" t="s">
        <v>21855</v>
      </c>
      <c r="B18855" t="s">
        <v>21859</v>
      </c>
      <c r="C18855">
        <v>0</v>
      </c>
      <c r="D18855">
        <v>0.93927620058600003</v>
      </c>
      <c r="E18855">
        <v>24</v>
      </c>
    </row>
    <row r="18856" spans="1:5">
      <c r="A18856" t="s">
        <v>21855</v>
      </c>
      <c r="B18856" t="s">
        <v>21860</v>
      </c>
      <c r="C18856">
        <v>0</v>
      </c>
      <c r="D18856">
        <v>0.93927620058600003</v>
      </c>
      <c r="E18856">
        <v>24</v>
      </c>
    </row>
    <row r="18857" spans="1:5">
      <c r="A18857" t="s">
        <v>21855</v>
      </c>
      <c r="B18857" t="s">
        <v>21861</v>
      </c>
      <c r="C18857">
        <v>0</v>
      </c>
      <c r="D18857">
        <v>0.93927620058600003</v>
      </c>
      <c r="E18857">
        <v>24</v>
      </c>
    </row>
    <row r="18858" spans="1:5">
      <c r="A18858" t="s">
        <v>21855</v>
      </c>
      <c r="B18858" t="s">
        <v>21862</v>
      </c>
      <c r="C18858">
        <v>6.2858991417599997E-3</v>
      </c>
      <c r="D18858">
        <v>0.93927620058600003</v>
      </c>
      <c r="E18858">
        <v>24</v>
      </c>
    </row>
    <row r="18859" spans="1:5">
      <c r="A18859" t="s">
        <v>21855</v>
      </c>
      <c r="B18859" t="s">
        <v>21863</v>
      </c>
      <c r="C18859">
        <v>0</v>
      </c>
      <c r="D18859">
        <v>0.93927620058600003</v>
      </c>
      <c r="E18859">
        <v>24</v>
      </c>
    </row>
    <row r="18860" spans="1:5">
      <c r="A18860" t="s">
        <v>21855</v>
      </c>
      <c r="B18860" t="s">
        <v>21864</v>
      </c>
      <c r="C18860">
        <v>0</v>
      </c>
      <c r="D18860">
        <v>0.93927620058600003</v>
      </c>
      <c r="E18860">
        <v>24</v>
      </c>
    </row>
    <row r="18861" spans="1:5">
      <c r="A18861" t="s">
        <v>21855</v>
      </c>
      <c r="B18861" t="s">
        <v>21865</v>
      </c>
      <c r="C18861">
        <v>0</v>
      </c>
      <c r="D18861">
        <v>0.93927620058600003</v>
      </c>
      <c r="E18861">
        <v>24</v>
      </c>
    </row>
    <row r="18862" spans="1:5">
      <c r="A18862" t="s">
        <v>21866</v>
      </c>
      <c r="B18862" t="s">
        <v>21867</v>
      </c>
      <c r="C18862">
        <f>0</f>
        <v>0</v>
      </c>
      <c r="D18862" t="s">
        <v>106</v>
      </c>
      <c r="E18862">
        <v>17.715142428785601</v>
      </c>
    </row>
    <row r="18863" spans="1:5">
      <c r="A18863" t="s">
        <v>21866</v>
      </c>
      <c r="B18863" t="s">
        <v>21868</v>
      </c>
      <c r="C18863">
        <f>0</f>
        <v>0</v>
      </c>
      <c r="D18863" t="s">
        <v>106</v>
      </c>
      <c r="E18863">
        <v>17.715142428785601</v>
      </c>
    </row>
    <row r="18864" spans="1:5">
      <c r="A18864" t="s">
        <v>21866</v>
      </c>
      <c r="B18864" t="s">
        <v>21869</v>
      </c>
      <c r="C18864">
        <f>0.152624568661</f>
        <v>0.15262456866099999</v>
      </c>
      <c r="D18864" t="s">
        <v>106</v>
      </c>
      <c r="E18864">
        <v>17.715142428785601</v>
      </c>
    </row>
    <row r="18865" spans="1:5">
      <c r="A18865" t="s">
        <v>21866</v>
      </c>
      <c r="B18865" t="s">
        <v>21870</v>
      </c>
      <c r="C18865">
        <f>0.172794943707</f>
        <v>0.17279494370699999</v>
      </c>
      <c r="D18865" t="s">
        <v>106</v>
      </c>
      <c r="E18865">
        <v>17.715142428785601</v>
      </c>
    </row>
    <row r="18866" spans="1:5">
      <c r="A18866" t="s">
        <v>21866</v>
      </c>
      <c r="B18866" t="s">
        <v>21871</v>
      </c>
      <c r="C18866">
        <f>0</f>
        <v>0</v>
      </c>
      <c r="D18866" t="s">
        <v>106</v>
      </c>
      <c r="E18866">
        <v>17.715142428785601</v>
      </c>
    </row>
    <row r="18867" spans="1:5">
      <c r="A18867" t="s">
        <v>21866</v>
      </c>
      <c r="B18867" t="s">
        <v>21872</v>
      </c>
      <c r="C18867">
        <v>0</v>
      </c>
      <c r="D18867" t="s">
        <v>106</v>
      </c>
      <c r="E18867">
        <v>17.715142428785601</v>
      </c>
    </row>
    <row r="18868" spans="1:5">
      <c r="A18868" t="s">
        <v>21873</v>
      </c>
      <c r="B18868" t="s">
        <v>21874</v>
      </c>
      <c r="C18868">
        <f>0</f>
        <v>0</v>
      </c>
      <c r="D18868">
        <v>0.98870025554999996</v>
      </c>
      <c r="E18868">
        <v>0.14392803598200801</v>
      </c>
    </row>
    <row r="18869" spans="1:5">
      <c r="A18869" t="s">
        <v>21873</v>
      </c>
      <c r="B18869" t="s">
        <v>21875</v>
      </c>
      <c r="C18869">
        <v>0</v>
      </c>
      <c r="D18869">
        <v>0.98870025554999996</v>
      </c>
      <c r="E18869">
        <v>0.14392803598200801</v>
      </c>
    </row>
    <row r="18870" spans="1:5">
      <c r="A18870" t="s">
        <v>21873</v>
      </c>
      <c r="B18870" t="s">
        <v>21876</v>
      </c>
      <c r="C18870">
        <v>2.7819331997399999E-2</v>
      </c>
      <c r="D18870">
        <v>0.98870025554999996</v>
      </c>
      <c r="E18870">
        <v>0.14392803598200801</v>
      </c>
    </row>
    <row r="18871" spans="1:5">
      <c r="A18871" t="s">
        <v>21873</v>
      </c>
      <c r="B18871" t="s">
        <v>21877</v>
      </c>
      <c r="C18871">
        <f>0</f>
        <v>0</v>
      </c>
      <c r="D18871">
        <v>0.98870025554999996</v>
      </c>
      <c r="E18871">
        <v>0.14392803598200801</v>
      </c>
    </row>
    <row r="18872" spans="1:5">
      <c r="A18872" t="s">
        <v>21873</v>
      </c>
      <c r="B18872" t="s">
        <v>21878</v>
      </c>
      <c r="C18872">
        <v>0</v>
      </c>
      <c r="D18872">
        <v>0.98870025554999996</v>
      </c>
      <c r="E18872">
        <v>0.14392803598200801</v>
      </c>
    </row>
    <row r="18873" spans="1:5">
      <c r="A18873" t="s">
        <v>21873</v>
      </c>
      <c r="B18873" t="s">
        <v>21879</v>
      </c>
      <c r="C18873">
        <v>0</v>
      </c>
      <c r="D18873">
        <v>0.98870025554999996</v>
      </c>
      <c r="E18873">
        <v>0.14392803598200801</v>
      </c>
    </row>
    <row r="18874" spans="1:5">
      <c r="A18874" t="s">
        <v>21873</v>
      </c>
      <c r="B18874" t="s">
        <v>21880</v>
      </c>
      <c r="C18874">
        <v>0</v>
      </c>
      <c r="D18874">
        <v>0.98870025554999996</v>
      </c>
      <c r="E18874">
        <v>0.14392803598200801</v>
      </c>
    </row>
    <row r="18875" spans="1:5">
      <c r="A18875" t="s">
        <v>21873</v>
      </c>
      <c r="B18875" t="s">
        <v>21881</v>
      </c>
      <c r="C18875">
        <v>0.60715082002800003</v>
      </c>
      <c r="D18875">
        <v>0.98870025554999996</v>
      </c>
      <c r="E18875">
        <v>0.14392803598200801</v>
      </c>
    </row>
    <row r="18876" spans="1:5">
      <c r="A18876" t="s">
        <v>21882</v>
      </c>
      <c r="B18876" t="s">
        <v>21883</v>
      </c>
      <c r="C18876">
        <v>0</v>
      </c>
      <c r="D18876">
        <v>0.96371816103399999</v>
      </c>
      <c r="E18876">
        <v>4.68965517241379</v>
      </c>
    </row>
    <row r="18877" spans="1:5">
      <c r="A18877" t="s">
        <v>21882</v>
      </c>
      <c r="B18877" t="s">
        <v>21884</v>
      </c>
      <c r="C18877">
        <v>0</v>
      </c>
      <c r="D18877">
        <v>0.96371816103399999</v>
      </c>
      <c r="E18877">
        <v>4.68965517241379</v>
      </c>
    </row>
    <row r="18878" spans="1:5">
      <c r="A18878" t="s">
        <v>21882</v>
      </c>
      <c r="B18878" t="s">
        <v>21885</v>
      </c>
      <c r="C18878">
        <v>0</v>
      </c>
      <c r="D18878">
        <v>0.96371816103399999</v>
      </c>
      <c r="E18878">
        <v>4.68965517241379</v>
      </c>
    </row>
    <row r="18879" spans="1:5">
      <c r="A18879" t="s">
        <v>21882</v>
      </c>
      <c r="B18879" t="s">
        <v>21886</v>
      </c>
      <c r="C18879">
        <v>0</v>
      </c>
      <c r="D18879">
        <v>0.96371816103399999</v>
      </c>
      <c r="E18879">
        <v>4.68965517241379</v>
      </c>
    </row>
    <row r="18880" spans="1:5">
      <c r="A18880" t="s">
        <v>21882</v>
      </c>
      <c r="B18880" t="s">
        <v>21887</v>
      </c>
      <c r="C18880">
        <f>0</f>
        <v>0</v>
      </c>
      <c r="D18880">
        <v>0.96371816103399999</v>
      </c>
      <c r="E18880">
        <v>4.68965517241379</v>
      </c>
    </row>
    <row r="18881" spans="1:5">
      <c r="A18881" t="s">
        <v>21882</v>
      </c>
      <c r="B18881" t="s">
        <v>21888</v>
      </c>
      <c r="C18881">
        <v>7.3787125976799997E-2</v>
      </c>
      <c r="D18881">
        <v>0.96371816103399999</v>
      </c>
      <c r="E18881">
        <v>4.68965517241379</v>
      </c>
    </row>
    <row r="18882" spans="1:5">
      <c r="A18882" t="s">
        <v>21882</v>
      </c>
      <c r="B18882" t="s">
        <v>21889</v>
      </c>
      <c r="C18882">
        <v>0</v>
      </c>
      <c r="D18882">
        <v>0.96371816103399999</v>
      </c>
      <c r="E18882">
        <v>4.68965517241379</v>
      </c>
    </row>
    <row r="18883" spans="1:5">
      <c r="A18883" t="s">
        <v>21882</v>
      </c>
      <c r="B18883" t="s">
        <v>21890</v>
      </c>
      <c r="C18883">
        <v>0</v>
      </c>
      <c r="D18883">
        <v>0.96371816103399999</v>
      </c>
      <c r="E18883">
        <v>4.68965517241379</v>
      </c>
    </row>
    <row r="18884" spans="1:5">
      <c r="A18884" t="s">
        <v>21891</v>
      </c>
      <c r="B18884" t="s">
        <v>21892</v>
      </c>
      <c r="C18884">
        <v>0</v>
      </c>
      <c r="D18884">
        <v>0.70471781732399996</v>
      </c>
      <c r="E18884">
        <v>2.79460269865067</v>
      </c>
    </row>
    <row r="18885" spans="1:5">
      <c r="A18885" t="s">
        <v>21893</v>
      </c>
      <c r="B18885" t="s">
        <v>21894</v>
      </c>
      <c r="C18885">
        <v>0</v>
      </c>
      <c r="D18885" t="s">
        <v>106</v>
      </c>
      <c r="E18885">
        <v>5.2413793103448203</v>
      </c>
    </row>
    <row r="18886" spans="1:5">
      <c r="A18886" t="s">
        <v>21893</v>
      </c>
      <c r="B18886" t="s">
        <v>21895</v>
      </c>
      <c r="C18886">
        <f>0</f>
        <v>0</v>
      </c>
      <c r="D18886" t="s">
        <v>106</v>
      </c>
      <c r="E18886">
        <v>5.2413793103448203</v>
      </c>
    </row>
    <row r="18887" spans="1:5">
      <c r="A18887" t="s">
        <v>21893</v>
      </c>
      <c r="B18887" t="s">
        <v>21896</v>
      </c>
      <c r="C18887">
        <v>0</v>
      </c>
      <c r="D18887" t="s">
        <v>106</v>
      </c>
      <c r="E18887">
        <v>5.2413793103448203</v>
      </c>
    </row>
    <row r="18888" spans="1:5">
      <c r="A18888" t="s">
        <v>21893</v>
      </c>
      <c r="B18888" t="s">
        <v>21897</v>
      </c>
      <c r="C18888">
        <v>0</v>
      </c>
      <c r="D18888" t="s">
        <v>106</v>
      </c>
      <c r="E18888">
        <v>5.2413793103448203</v>
      </c>
    </row>
    <row r="18889" spans="1:5">
      <c r="A18889" t="s">
        <v>21893</v>
      </c>
      <c r="B18889" t="s">
        <v>21898</v>
      </c>
      <c r="C18889">
        <v>0</v>
      </c>
      <c r="D18889" t="s">
        <v>106</v>
      </c>
      <c r="E18889">
        <v>5.2413793103448203</v>
      </c>
    </row>
    <row r="18890" spans="1:5">
      <c r="A18890" t="s">
        <v>21893</v>
      </c>
      <c r="B18890" t="s">
        <v>21899</v>
      </c>
      <c r="C18890">
        <v>0</v>
      </c>
      <c r="D18890" t="s">
        <v>106</v>
      </c>
      <c r="E18890">
        <v>5.2413793103448203</v>
      </c>
    </row>
    <row r="18891" spans="1:5">
      <c r="A18891" t="s">
        <v>21893</v>
      </c>
      <c r="B18891" t="s">
        <v>21900</v>
      </c>
      <c r="C18891">
        <f>0</f>
        <v>0</v>
      </c>
      <c r="D18891" t="s">
        <v>106</v>
      </c>
      <c r="E18891">
        <v>5.2413793103448203</v>
      </c>
    </row>
    <row r="18892" spans="1:5">
      <c r="A18892" t="s">
        <v>21901</v>
      </c>
      <c r="B18892" t="s">
        <v>21902</v>
      </c>
      <c r="C18892">
        <v>0</v>
      </c>
      <c r="D18892" t="s">
        <v>106</v>
      </c>
      <c r="E18892">
        <v>9.1634182908545707</v>
      </c>
    </row>
    <row r="18893" spans="1:5">
      <c r="A18893" t="s">
        <v>21901</v>
      </c>
      <c r="B18893" t="s">
        <v>21903</v>
      </c>
      <c r="C18893">
        <v>0</v>
      </c>
      <c r="D18893" t="s">
        <v>106</v>
      </c>
      <c r="E18893">
        <v>9.1634182908545707</v>
      </c>
    </row>
    <row r="18894" spans="1:5">
      <c r="A18894" t="s">
        <v>21901</v>
      </c>
      <c r="B18894" t="s">
        <v>21904</v>
      </c>
      <c r="C18894">
        <v>0</v>
      </c>
      <c r="D18894" t="s">
        <v>106</v>
      </c>
      <c r="E18894">
        <v>9.1634182908545707</v>
      </c>
    </row>
    <row r="18895" spans="1:5">
      <c r="A18895" t="s">
        <v>21901</v>
      </c>
      <c r="B18895" t="s">
        <v>21905</v>
      </c>
      <c r="C18895">
        <v>0</v>
      </c>
      <c r="D18895" t="s">
        <v>106</v>
      </c>
      <c r="E18895">
        <v>9.1634182908545707</v>
      </c>
    </row>
    <row r="18896" spans="1:5">
      <c r="A18896" t="s">
        <v>21901</v>
      </c>
      <c r="B18896" t="s">
        <v>21906</v>
      </c>
      <c r="C18896">
        <v>0</v>
      </c>
      <c r="D18896" t="s">
        <v>106</v>
      </c>
      <c r="E18896">
        <v>9.1634182908545707</v>
      </c>
    </row>
    <row r="18897" spans="1:5">
      <c r="A18897" t="s">
        <v>21907</v>
      </c>
      <c r="B18897" t="s">
        <v>21908</v>
      </c>
      <c r="C18897">
        <v>0</v>
      </c>
      <c r="D18897">
        <v>0.97475600224299996</v>
      </c>
      <c r="E18897">
        <v>5.2413793103448203</v>
      </c>
    </row>
    <row r="18898" spans="1:5">
      <c r="A18898" t="s">
        <v>21907</v>
      </c>
      <c r="B18898" t="s">
        <v>21909</v>
      </c>
      <c r="C18898">
        <f>0</f>
        <v>0</v>
      </c>
      <c r="D18898">
        <v>0.97475600224299996</v>
      </c>
      <c r="E18898">
        <v>5.2413793103448203</v>
      </c>
    </row>
    <row r="18899" spans="1:5">
      <c r="A18899" t="s">
        <v>21907</v>
      </c>
      <c r="B18899" t="s">
        <v>21910</v>
      </c>
      <c r="C18899">
        <v>0</v>
      </c>
      <c r="D18899">
        <v>0.97475600224299996</v>
      </c>
      <c r="E18899">
        <v>5.2413793103448203</v>
      </c>
    </row>
    <row r="18900" spans="1:5">
      <c r="A18900" t="s">
        <v>21907</v>
      </c>
      <c r="B18900" t="s">
        <v>21911</v>
      </c>
      <c r="C18900">
        <v>0</v>
      </c>
      <c r="D18900">
        <v>0.97475600224299996</v>
      </c>
      <c r="E18900">
        <v>5.2413793103448203</v>
      </c>
    </row>
    <row r="18901" spans="1:5">
      <c r="A18901" t="s">
        <v>21912</v>
      </c>
      <c r="B18901" t="s">
        <v>21913</v>
      </c>
      <c r="C18901">
        <v>1.66318740323E-3</v>
      </c>
      <c r="D18901">
        <v>0.77278918382100004</v>
      </c>
      <c r="E18901">
        <v>5.1214392803598203</v>
      </c>
    </row>
    <row r="18902" spans="1:5">
      <c r="A18902" t="s">
        <v>21914</v>
      </c>
      <c r="B18902" t="s">
        <v>21915</v>
      </c>
      <c r="C18902">
        <v>0</v>
      </c>
      <c r="D18902">
        <v>0.85065772791500005</v>
      </c>
      <c r="E18902">
        <v>18.770614692653599</v>
      </c>
    </row>
    <row r="18903" spans="1:5">
      <c r="A18903" t="s">
        <v>21914</v>
      </c>
      <c r="B18903" t="s">
        <v>21916</v>
      </c>
      <c r="C18903">
        <v>0</v>
      </c>
      <c r="D18903">
        <v>0.85065772791500005</v>
      </c>
      <c r="E18903">
        <v>18.770614692653599</v>
      </c>
    </row>
    <row r="18904" spans="1:5">
      <c r="A18904" t="s">
        <v>21914</v>
      </c>
      <c r="B18904" t="s">
        <v>21917</v>
      </c>
      <c r="C18904">
        <f>0</f>
        <v>0</v>
      </c>
      <c r="D18904">
        <v>0.85065772791500005</v>
      </c>
      <c r="E18904">
        <v>18.770614692653599</v>
      </c>
    </row>
    <row r="18905" spans="1:5">
      <c r="A18905" t="s">
        <v>21914</v>
      </c>
      <c r="B18905" t="s">
        <v>21918</v>
      </c>
      <c r="C18905">
        <f>0.0144436993974</f>
        <v>1.4443699397399999E-2</v>
      </c>
      <c r="D18905">
        <v>0.85065772791500005</v>
      </c>
      <c r="E18905">
        <v>18.770614692653599</v>
      </c>
    </row>
    <row r="18906" spans="1:5">
      <c r="A18906" t="s">
        <v>21914</v>
      </c>
      <c r="B18906" t="s">
        <v>21919</v>
      </c>
      <c r="C18906">
        <f>0</f>
        <v>0</v>
      </c>
      <c r="D18906">
        <v>0.85065772791500005</v>
      </c>
      <c r="E18906">
        <v>18.770614692653599</v>
      </c>
    </row>
    <row r="18907" spans="1:5">
      <c r="A18907" t="s">
        <v>21920</v>
      </c>
      <c r="B18907" t="s">
        <v>21921</v>
      </c>
      <c r="C18907">
        <f>0.0660607935801</f>
        <v>6.6060793580100002E-2</v>
      </c>
      <c r="D18907" t="s">
        <v>106</v>
      </c>
      <c r="E18907">
        <v>24</v>
      </c>
    </row>
    <row r="18908" spans="1:5">
      <c r="A18908" t="s">
        <v>21920</v>
      </c>
      <c r="B18908" t="s">
        <v>21922</v>
      </c>
      <c r="C18908">
        <f>0.10897186499</f>
        <v>0.10897186499</v>
      </c>
      <c r="D18908" t="s">
        <v>106</v>
      </c>
      <c r="E18908">
        <v>24</v>
      </c>
    </row>
    <row r="18909" spans="1:5">
      <c r="A18909" t="s">
        <v>21920</v>
      </c>
      <c r="B18909" t="s">
        <v>21923</v>
      </c>
      <c r="C18909">
        <f>0</f>
        <v>0</v>
      </c>
      <c r="D18909" t="s">
        <v>106</v>
      </c>
      <c r="E18909">
        <v>24</v>
      </c>
    </row>
    <row r="18910" spans="1:5">
      <c r="A18910" t="s">
        <v>21920</v>
      </c>
      <c r="B18910" t="s">
        <v>21924</v>
      </c>
      <c r="C18910">
        <f>0</f>
        <v>0</v>
      </c>
      <c r="D18910" t="s">
        <v>106</v>
      </c>
      <c r="E18910">
        <v>24</v>
      </c>
    </row>
    <row r="18911" spans="1:5">
      <c r="A18911" t="s">
        <v>21925</v>
      </c>
      <c r="B18911" t="s">
        <v>21926</v>
      </c>
      <c r="C18911">
        <v>0.45507221051699998</v>
      </c>
      <c r="D18911">
        <v>0.97963818884800002</v>
      </c>
      <c r="E18911">
        <v>13.0854572713643</v>
      </c>
    </row>
    <row r="18912" spans="1:5">
      <c r="A18912" t="s">
        <v>21925</v>
      </c>
      <c r="B18912" t="s">
        <v>21927</v>
      </c>
      <c r="C18912">
        <v>0.22497238121900001</v>
      </c>
      <c r="D18912">
        <v>0.97963818884800002</v>
      </c>
      <c r="E18912">
        <v>13.0854572713643</v>
      </c>
    </row>
    <row r="18913" spans="1:5">
      <c r="A18913" t="s">
        <v>21928</v>
      </c>
      <c r="B18913" t="s">
        <v>21929</v>
      </c>
      <c r="C18913">
        <v>0</v>
      </c>
      <c r="D18913" t="s">
        <v>106</v>
      </c>
      <c r="E18913">
        <v>1.11544227886056</v>
      </c>
    </row>
    <row r="18914" spans="1:5">
      <c r="A18914" t="s">
        <v>21928</v>
      </c>
      <c r="B18914" t="s">
        <v>21930</v>
      </c>
      <c r="C18914">
        <v>0</v>
      </c>
      <c r="D18914" t="s">
        <v>106</v>
      </c>
      <c r="E18914">
        <v>1.11544227886056</v>
      </c>
    </row>
    <row r="18915" spans="1:5">
      <c r="A18915" t="s">
        <v>21928</v>
      </c>
      <c r="B18915" t="s">
        <v>21931</v>
      </c>
      <c r="C18915">
        <v>0</v>
      </c>
      <c r="D18915" t="s">
        <v>106</v>
      </c>
      <c r="E18915">
        <v>1.11544227886056</v>
      </c>
    </row>
    <row r="18916" spans="1:5">
      <c r="A18916" t="s">
        <v>21928</v>
      </c>
      <c r="B18916" t="s">
        <v>21932</v>
      </c>
      <c r="C18916">
        <v>0</v>
      </c>
      <c r="D18916" t="s">
        <v>106</v>
      </c>
      <c r="E18916">
        <v>1.11544227886056</v>
      </c>
    </row>
    <row r="18917" spans="1:5">
      <c r="A18917" t="s">
        <v>21928</v>
      </c>
      <c r="B18917" t="s">
        <v>21933</v>
      </c>
      <c r="C18917">
        <f>0</f>
        <v>0</v>
      </c>
      <c r="D18917" t="s">
        <v>106</v>
      </c>
      <c r="E18917">
        <v>1.11544227886056</v>
      </c>
    </row>
    <row r="18918" spans="1:5">
      <c r="A18918" t="s">
        <v>21928</v>
      </c>
      <c r="B18918" t="s">
        <v>21934</v>
      </c>
      <c r="C18918">
        <v>0</v>
      </c>
      <c r="D18918" t="s">
        <v>106</v>
      </c>
      <c r="E18918">
        <v>1.11544227886056</v>
      </c>
    </row>
    <row r="18919" spans="1:5">
      <c r="A18919" t="s">
        <v>21935</v>
      </c>
      <c r="B18919" t="s">
        <v>21936</v>
      </c>
      <c r="C18919">
        <f>0.146604418187</f>
        <v>0.14660441818700001</v>
      </c>
      <c r="D18919">
        <v>0.94923577783400004</v>
      </c>
      <c r="E18919">
        <v>1.06746626686656</v>
      </c>
    </row>
    <row r="18920" spans="1:5">
      <c r="A18920" t="s">
        <v>21935</v>
      </c>
      <c r="B18920" t="s">
        <v>21937</v>
      </c>
      <c r="C18920">
        <f>0</f>
        <v>0</v>
      </c>
      <c r="D18920">
        <v>0.94923577783400004</v>
      </c>
      <c r="E18920">
        <v>1.06746626686656</v>
      </c>
    </row>
    <row r="18921" spans="1:5">
      <c r="A18921" t="s">
        <v>21935</v>
      </c>
      <c r="B18921" t="s">
        <v>21938</v>
      </c>
      <c r="C18921">
        <f>0.531861400039</f>
        <v>0.53186140003899995</v>
      </c>
      <c r="D18921">
        <v>0.94923577783400004</v>
      </c>
      <c r="E18921">
        <v>1.06746626686656</v>
      </c>
    </row>
    <row r="18922" spans="1:5">
      <c r="A18922" t="s">
        <v>21935</v>
      </c>
      <c r="B18922" t="s">
        <v>21939</v>
      </c>
      <c r="C18922">
        <v>0</v>
      </c>
      <c r="D18922">
        <v>0.94923577783400004</v>
      </c>
      <c r="E18922">
        <v>1.06746626686656</v>
      </c>
    </row>
    <row r="18923" spans="1:5">
      <c r="A18923" t="s">
        <v>21935</v>
      </c>
      <c r="B18923" t="s">
        <v>21940</v>
      </c>
      <c r="C18923">
        <f>0</f>
        <v>0</v>
      </c>
      <c r="D18923">
        <v>0.94923577783400004</v>
      </c>
      <c r="E18923">
        <v>1.06746626686656</v>
      </c>
    </row>
    <row r="18924" spans="1:5">
      <c r="A18924" t="s">
        <v>21935</v>
      </c>
      <c r="B18924" t="s">
        <v>21941</v>
      </c>
      <c r="C18924">
        <f>0</f>
        <v>0</v>
      </c>
      <c r="D18924">
        <v>0.94923577783400004</v>
      </c>
      <c r="E18924">
        <v>1.06746626686656</v>
      </c>
    </row>
    <row r="18925" spans="1:5">
      <c r="A18925" t="s">
        <v>21935</v>
      </c>
      <c r="B18925" t="s">
        <v>21942</v>
      </c>
      <c r="C18925">
        <f>0</f>
        <v>0</v>
      </c>
      <c r="D18925">
        <v>0.94923577783400004</v>
      </c>
      <c r="E18925">
        <v>1.06746626686656</v>
      </c>
    </row>
    <row r="18926" spans="1:5">
      <c r="A18926" t="s">
        <v>21935</v>
      </c>
      <c r="B18926" t="s">
        <v>21943</v>
      </c>
      <c r="C18926">
        <f>0</f>
        <v>0</v>
      </c>
      <c r="D18926">
        <v>0.94923577783400004</v>
      </c>
      <c r="E18926">
        <v>1.06746626686656</v>
      </c>
    </row>
    <row r="18927" spans="1:5">
      <c r="A18927" t="s">
        <v>21944</v>
      </c>
      <c r="B18927" t="s">
        <v>21945</v>
      </c>
      <c r="C18927">
        <v>5.8904275870699997E-2</v>
      </c>
      <c r="D18927" t="s">
        <v>106</v>
      </c>
      <c r="E18927">
        <v>5.9370314842578704</v>
      </c>
    </row>
    <row r="18928" spans="1:5">
      <c r="A18928" t="s">
        <v>21946</v>
      </c>
      <c r="B18928" t="s">
        <v>21947</v>
      </c>
      <c r="C18928">
        <f>0.152621595896</f>
        <v>0.152621595896</v>
      </c>
      <c r="D18928">
        <v>0.61949677320100005</v>
      </c>
      <c r="E18928">
        <v>13.625187406296799</v>
      </c>
    </row>
    <row r="18929" spans="1:5">
      <c r="A18929" t="s">
        <v>21948</v>
      </c>
      <c r="B18929" t="s">
        <v>21949</v>
      </c>
      <c r="C18929">
        <v>0</v>
      </c>
      <c r="D18929" t="s">
        <v>106</v>
      </c>
      <c r="E18929">
        <v>6.0569715142428704</v>
      </c>
    </row>
    <row r="18930" spans="1:5">
      <c r="A18930" t="s">
        <v>21948</v>
      </c>
      <c r="B18930" t="s">
        <v>21950</v>
      </c>
      <c r="C18930">
        <f>0.18935424938</f>
        <v>0.18935424938000001</v>
      </c>
      <c r="D18930" t="s">
        <v>106</v>
      </c>
      <c r="E18930">
        <v>6.0569715142428704</v>
      </c>
    </row>
    <row r="18931" spans="1:5">
      <c r="A18931" t="s">
        <v>21948</v>
      </c>
      <c r="B18931" t="s">
        <v>21951</v>
      </c>
      <c r="C18931">
        <v>0</v>
      </c>
      <c r="D18931" t="s">
        <v>106</v>
      </c>
      <c r="E18931">
        <v>6.0569715142428704</v>
      </c>
    </row>
    <row r="18932" spans="1:5">
      <c r="A18932" t="s">
        <v>21948</v>
      </c>
      <c r="B18932" t="s">
        <v>21952</v>
      </c>
      <c r="C18932">
        <f>0</f>
        <v>0</v>
      </c>
      <c r="D18932" t="s">
        <v>106</v>
      </c>
      <c r="E18932">
        <v>6.0569715142428704</v>
      </c>
    </row>
    <row r="18933" spans="1:5">
      <c r="A18933" t="s">
        <v>21948</v>
      </c>
      <c r="B18933" t="s">
        <v>21953</v>
      </c>
      <c r="C18933">
        <v>0</v>
      </c>
      <c r="D18933" t="s">
        <v>106</v>
      </c>
      <c r="E18933">
        <v>6.0569715142428704</v>
      </c>
    </row>
    <row r="18934" spans="1:5">
      <c r="A18934" t="s">
        <v>21948</v>
      </c>
      <c r="B18934" t="s">
        <v>21954</v>
      </c>
      <c r="C18934">
        <f>0</f>
        <v>0</v>
      </c>
      <c r="D18934" t="s">
        <v>106</v>
      </c>
      <c r="E18934">
        <v>6.0569715142428704</v>
      </c>
    </row>
    <row r="18935" spans="1:5">
      <c r="A18935" t="s">
        <v>21948</v>
      </c>
      <c r="B18935" t="s">
        <v>21955</v>
      </c>
      <c r="C18935">
        <v>0</v>
      </c>
      <c r="D18935" t="s">
        <v>106</v>
      </c>
      <c r="E18935">
        <v>6.0569715142428704</v>
      </c>
    </row>
    <row r="18936" spans="1:5">
      <c r="A18936" t="s">
        <v>21948</v>
      </c>
      <c r="B18936" t="s">
        <v>21956</v>
      </c>
      <c r="C18936">
        <v>0</v>
      </c>
      <c r="D18936" t="s">
        <v>106</v>
      </c>
      <c r="E18936">
        <v>6.0569715142428704</v>
      </c>
    </row>
    <row r="18937" spans="1:5">
      <c r="A18937" t="s">
        <v>21948</v>
      </c>
      <c r="B18937" t="s">
        <v>21957</v>
      </c>
      <c r="C18937">
        <v>0</v>
      </c>
      <c r="D18937" t="s">
        <v>106</v>
      </c>
      <c r="E18937">
        <v>6.0569715142428704</v>
      </c>
    </row>
    <row r="18938" spans="1:5">
      <c r="A18938" t="s">
        <v>21948</v>
      </c>
      <c r="B18938" t="s">
        <v>21958</v>
      </c>
      <c r="C18938">
        <v>0</v>
      </c>
      <c r="D18938" t="s">
        <v>106</v>
      </c>
      <c r="E18938">
        <v>6.0569715142428704</v>
      </c>
    </row>
    <row r="18939" spans="1:5">
      <c r="A18939" t="s">
        <v>21959</v>
      </c>
      <c r="B18939" t="s">
        <v>21960</v>
      </c>
      <c r="C18939">
        <f>0.0350942561002</f>
        <v>3.5094256100199998E-2</v>
      </c>
      <c r="D18939">
        <v>0.64077877685499995</v>
      </c>
      <c r="E18939">
        <v>1.39130434782608</v>
      </c>
    </row>
    <row r="18940" spans="1:5">
      <c r="A18940" t="s">
        <v>21959</v>
      </c>
      <c r="B18940" t="s">
        <v>21961</v>
      </c>
      <c r="C18940">
        <v>0</v>
      </c>
      <c r="D18940">
        <v>0.64077877685499995</v>
      </c>
      <c r="E18940">
        <v>1.39130434782608</v>
      </c>
    </row>
    <row r="18941" spans="1:5">
      <c r="A18941" t="s">
        <v>21959</v>
      </c>
      <c r="B18941" t="s">
        <v>21962</v>
      </c>
      <c r="C18941">
        <v>0</v>
      </c>
      <c r="D18941">
        <v>0.64077877685499995</v>
      </c>
      <c r="E18941">
        <v>1.39130434782608</v>
      </c>
    </row>
    <row r="18942" spans="1:5">
      <c r="A18942" t="s">
        <v>21959</v>
      </c>
      <c r="B18942" t="s">
        <v>21963</v>
      </c>
      <c r="C18942">
        <f>0.0404772006006</f>
        <v>4.0477200600599998E-2</v>
      </c>
      <c r="D18942">
        <v>0.64077877685499995</v>
      </c>
      <c r="E18942">
        <v>1.39130434782608</v>
      </c>
    </row>
    <row r="18943" spans="1:5">
      <c r="A18943" t="s">
        <v>21964</v>
      </c>
      <c r="B18943" t="s">
        <v>21965</v>
      </c>
      <c r="C18943">
        <v>0.14184204688499999</v>
      </c>
      <c r="D18943" t="s">
        <v>106</v>
      </c>
      <c r="E18943">
        <v>24</v>
      </c>
    </row>
    <row r="18944" spans="1:5">
      <c r="A18944" t="s">
        <v>21964</v>
      </c>
      <c r="B18944" t="s">
        <v>21966</v>
      </c>
      <c r="C18944">
        <v>0</v>
      </c>
      <c r="D18944" t="s">
        <v>106</v>
      </c>
      <c r="E18944">
        <v>24</v>
      </c>
    </row>
    <row r="18945" spans="1:5">
      <c r="A18945" t="s">
        <v>21964</v>
      </c>
      <c r="B18945" t="s">
        <v>21967</v>
      </c>
      <c r="C18945">
        <f>0</f>
        <v>0</v>
      </c>
      <c r="D18945" t="s">
        <v>106</v>
      </c>
      <c r="E18945">
        <v>24</v>
      </c>
    </row>
    <row r="18946" spans="1:5">
      <c r="A18946" t="s">
        <v>21964</v>
      </c>
      <c r="B18946" t="s">
        <v>21968</v>
      </c>
      <c r="C18946">
        <f>0</f>
        <v>0</v>
      </c>
      <c r="D18946" t="s">
        <v>106</v>
      </c>
      <c r="E18946">
        <v>24</v>
      </c>
    </row>
    <row r="18947" spans="1:5">
      <c r="A18947" t="s">
        <v>21964</v>
      </c>
      <c r="B18947" t="s">
        <v>21969</v>
      </c>
      <c r="C18947">
        <f>0</f>
        <v>0</v>
      </c>
      <c r="D18947" t="s">
        <v>106</v>
      </c>
      <c r="E18947">
        <v>24</v>
      </c>
    </row>
    <row r="18948" spans="1:5">
      <c r="A18948" t="s">
        <v>21964</v>
      </c>
      <c r="B18948" t="s">
        <v>21970</v>
      </c>
      <c r="C18948">
        <f>0</f>
        <v>0</v>
      </c>
      <c r="D18948" t="s">
        <v>106</v>
      </c>
      <c r="E18948">
        <v>24</v>
      </c>
    </row>
    <row r="18949" spans="1:5">
      <c r="A18949" t="s">
        <v>21964</v>
      </c>
      <c r="B18949" t="s">
        <v>21971</v>
      </c>
      <c r="C18949">
        <v>0</v>
      </c>
      <c r="D18949" t="s">
        <v>106</v>
      </c>
      <c r="E18949">
        <v>24</v>
      </c>
    </row>
    <row r="18950" spans="1:5">
      <c r="A18950" t="s">
        <v>21964</v>
      </c>
      <c r="B18950" t="s">
        <v>21972</v>
      </c>
      <c r="C18950">
        <v>0</v>
      </c>
      <c r="D18950" t="s">
        <v>106</v>
      </c>
      <c r="E18950">
        <v>24</v>
      </c>
    </row>
    <row r="18951" spans="1:5">
      <c r="A18951" t="s">
        <v>21964</v>
      </c>
      <c r="B18951" t="s">
        <v>21973</v>
      </c>
      <c r="C18951">
        <f>0</f>
        <v>0</v>
      </c>
      <c r="D18951" t="s">
        <v>106</v>
      </c>
      <c r="E18951">
        <v>24</v>
      </c>
    </row>
    <row r="18952" spans="1:5">
      <c r="A18952" t="s">
        <v>21964</v>
      </c>
      <c r="B18952" t="s">
        <v>21974</v>
      </c>
      <c r="C18952">
        <f>0.036047780066</f>
        <v>3.6047780065999999E-2</v>
      </c>
      <c r="D18952" t="s">
        <v>106</v>
      </c>
      <c r="E18952">
        <v>24</v>
      </c>
    </row>
    <row r="18953" spans="1:5">
      <c r="A18953" t="s">
        <v>21975</v>
      </c>
      <c r="B18953" t="s">
        <v>21976</v>
      </c>
      <c r="C18953">
        <f>0</f>
        <v>0</v>
      </c>
      <c r="D18953" t="s">
        <v>106</v>
      </c>
      <c r="E18953">
        <v>9.1634182908545707</v>
      </c>
    </row>
    <row r="18954" spans="1:5">
      <c r="A18954" t="s">
        <v>21975</v>
      </c>
      <c r="B18954" t="s">
        <v>21977</v>
      </c>
      <c r="C18954">
        <f>0</f>
        <v>0</v>
      </c>
      <c r="D18954" t="s">
        <v>106</v>
      </c>
      <c r="E18954">
        <v>9.1634182908545707</v>
      </c>
    </row>
    <row r="18955" spans="1:5">
      <c r="A18955" t="s">
        <v>21975</v>
      </c>
      <c r="B18955" t="s">
        <v>21978</v>
      </c>
      <c r="C18955">
        <f>0</f>
        <v>0</v>
      </c>
      <c r="D18955" t="s">
        <v>106</v>
      </c>
      <c r="E18955">
        <v>9.1634182908545707</v>
      </c>
    </row>
    <row r="18956" spans="1:5">
      <c r="A18956" t="s">
        <v>21975</v>
      </c>
      <c r="B18956" t="s">
        <v>21979</v>
      </c>
      <c r="C18956">
        <f>0</f>
        <v>0</v>
      </c>
      <c r="D18956" t="s">
        <v>106</v>
      </c>
      <c r="E18956">
        <v>9.1634182908545707</v>
      </c>
    </row>
    <row r="18957" spans="1:5">
      <c r="A18957" t="s">
        <v>21980</v>
      </c>
      <c r="B18957" t="s">
        <v>21981</v>
      </c>
      <c r="C18957">
        <f>0.0296648543761</f>
        <v>2.9664854376099999E-2</v>
      </c>
      <c r="D18957" t="s">
        <v>106</v>
      </c>
      <c r="E18957">
        <v>24</v>
      </c>
    </row>
    <row r="18958" spans="1:5">
      <c r="A18958" t="s">
        <v>21980</v>
      </c>
      <c r="B18958" t="s">
        <v>21982</v>
      </c>
      <c r="C18958">
        <f>0</f>
        <v>0</v>
      </c>
      <c r="D18958" t="s">
        <v>106</v>
      </c>
      <c r="E18958">
        <v>24</v>
      </c>
    </row>
    <row r="18959" spans="1:5">
      <c r="A18959" t="s">
        <v>21983</v>
      </c>
      <c r="B18959" t="s">
        <v>21984</v>
      </c>
      <c r="C18959">
        <v>0.22491258679100001</v>
      </c>
      <c r="D18959">
        <v>0.96827590029699995</v>
      </c>
      <c r="E18959">
        <v>11.8740629685157</v>
      </c>
    </row>
    <row r="18960" spans="1:5">
      <c r="A18960" t="s">
        <v>21983</v>
      </c>
      <c r="B18960" t="s">
        <v>21985</v>
      </c>
      <c r="C18960">
        <f>0</f>
        <v>0</v>
      </c>
      <c r="D18960">
        <v>0.96827590029699995</v>
      </c>
      <c r="E18960">
        <v>11.8740629685157</v>
      </c>
    </row>
    <row r="18961" spans="1:5">
      <c r="A18961" t="s">
        <v>21983</v>
      </c>
      <c r="B18961" t="s">
        <v>21986</v>
      </c>
      <c r="C18961">
        <f>0</f>
        <v>0</v>
      </c>
      <c r="D18961">
        <v>0.96827590029699995</v>
      </c>
      <c r="E18961">
        <v>11.8740629685157</v>
      </c>
    </row>
    <row r="18962" spans="1:5">
      <c r="A18962" t="s">
        <v>21983</v>
      </c>
      <c r="B18962" t="s">
        <v>21987</v>
      </c>
      <c r="C18962">
        <v>0</v>
      </c>
      <c r="D18962">
        <v>0.96827590029699995</v>
      </c>
      <c r="E18962">
        <v>11.8740629685157</v>
      </c>
    </row>
    <row r="18963" spans="1:5">
      <c r="A18963" t="s">
        <v>21983</v>
      </c>
      <c r="B18963" t="s">
        <v>21988</v>
      </c>
      <c r="C18963">
        <v>0</v>
      </c>
      <c r="D18963">
        <v>0.96827590029699995</v>
      </c>
      <c r="E18963">
        <v>11.8740629685157</v>
      </c>
    </row>
    <row r="18964" spans="1:5">
      <c r="A18964" t="s">
        <v>21983</v>
      </c>
      <c r="B18964" t="s">
        <v>21989</v>
      </c>
      <c r="C18964">
        <v>0.102556734639</v>
      </c>
      <c r="D18964">
        <v>0.96827590029699995</v>
      </c>
      <c r="E18964">
        <v>11.8740629685157</v>
      </c>
    </row>
    <row r="18965" spans="1:5">
      <c r="A18965" t="s">
        <v>21983</v>
      </c>
      <c r="B18965" t="s">
        <v>21990</v>
      </c>
      <c r="C18965">
        <v>0</v>
      </c>
      <c r="D18965">
        <v>0.96827590029699995</v>
      </c>
      <c r="E18965">
        <v>11.8740629685157</v>
      </c>
    </row>
    <row r="18966" spans="1:5">
      <c r="A18966" t="s">
        <v>21991</v>
      </c>
      <c r="B18966" t="s">
        <v>21992</v>
      </c>
      <c r="C18966">
        <v>0</v>
      </c>
      <c r="D18966">
        <v>0.96686362908800005</v>
      </c>
      <c r="E18966">
        <v>13.2653673163418</v>
      </c>
    </row>
    <row r="18967" spans="1:5">
      <c r="A18967" t="s">
        <v>21991</v>
      </c>
      <c r="B18967" t="s">
        <v>21993</v>
      </c>
      <c r="C18967">
        <v>0</v>
      </c>
      <c r="D18967">
        <v>0.96686362908800005</v>
      </c>
      <c r="E18967">
        <v>13.2653673163418</v>
      </c>
    </row>
    <row r="18968" spans="1:5">
      <c r="A18968" t="s">
        <v>21991</v>
      </c>
      <c r="B18968" t="s">
        <v>21994</v>
      </c>
      <c r="C18968">
        <v>0</v>
      </c>
      <c r="D18968">
        <v>0.96686362908800005</v>
      </c>
      <c r="E18968">
        <v>13.2653673163418</v>
      </c>
    </row>
    <row r="18969" spans="1:5">
      <c r="A18969" t="s">
        <v>21991</v>
      </c>
      <c r="B18969" t="s">
        <v>21995</v>
      </c>
      <c r="C18969">
        <v>0.121086203017</v>
      </c>
      <c r="D18969">
        <v>0.96686362908800005</v>
      </c>
      <c r="E18969">
        <v>13.2653673163418</v>
      </c>
    </row>
    <row r="18970" spans="1:5">
      <c r="A18970" t="s">
        <v>21991</v>
      </c>
      <c r="B18970" t="s">
        <v>21996</v>
      </c>
      <c r="C18970">
        <v>0</v>
      </c>
      <c r="D18970">
        <v>0.96686362908800005</v>
      </c>
      <c r="E18970">
        <v>13.2653673163418</v>
      </c>
    </row>
    <row r="18971" spans="1:5">
      <c r="A18971" t="s">
        <v>21991</v>
      </c>
      <c r="B18971" t="s">
        <v>21997</v>
      </c>
      <c r="C18971">
        <v>0</v>
      </c>
      <c r="D18971">
        <v>0.96686362908800005</v>
      </c>
      <c r="E18971">
        <v>13.2653673163418</v>
      </c>
    </row>
    <row r="18972" spans="1:5">
      <c r="A18972" t="s">
        <v>21991</v>
      </c>
      <c r="B18972" t="s">
        <v>21998</v>
      </c>
      <c r="C18972">
        <v>0</v>
      </c>
      <c r="D18972">
        <v>0.96686362908800005</v>
      </c>
      <c r="E18972">
        <v>13.2653673163418</v>
      </c>
    </row>
    <row r="18973" spans="1:5">
      <c r="A18973" t="s">
        <v>21991</v>
      </c>
      <c r="B18973" t="s">
        <v>21999</v>
      </c>
      <c r="C18973">
        <v>4.1673776384400001E-2</v>
      </c>
      <c r="D18973">
        <v>0.96686362908800005</v>
      </c>
      <c r="E18973">
        <v>13.2653673163418</v>
      </c>
    </row>
    <row r="18974" spans="1:5">
      <c r="A18974" t="s">
        <v>21991</v>
      </c>
      <c r="B18974" t="s">
        <v>22000</v>
      </c>
      <c r="C18974">
        <v>0</v>
      </c>
      <c r="D18974">
        <v>0.96686362908800005</v>
      </c>
      <c r="E18974">
        <v>13.2653673163418</v>
      </c>
    </row>
    <row r="18975" spans="1:5">
      <c r="A18975" t="s">
        <v>21991</v>
      </c>
      <c r="B18975" t="s">
        <v>22001</v>
      </c>
      <c r="C18975">
        <v>0</v>
      </c>
      <c r="D18975">
        <v>0.96686362908800005</v>
      </c>
      <c r="E18975">
        <v>13.2653673163418</v>
      </c>
    </row>
    <row r="18976" spans="1:5">
      <c r="A18976" t="s">
        <v>21991</v>
      </c>
      <c r="B18976" t="s">
        <v>22002</v>
      </c>
      <c r="C18976">
        <v>0</v>
      </c>
      <c r="D18976">
        <v>0.96686362908800005</v>
      </c>
      <c r="E18976">
        <v>13.2653673163418</v>
      </c>
    </row>
    <row r="18977" spans="1:5">
      <c r="A18977" t="s">
        <v>21991</v>
      </c>
      <c r="B18977" t="s">
        <v>22003</v>
      </c>
      <c r="C18977">
        <v>0</v>
      </c>
      <c r="D18977">
        <v>0.96686362908800005</v>
      </c>
      <c r="E18977">
        <v>13.2653673163418</v>
      </c>
    </row>
    <row r="18978" spans="1:5">
      <c r="A18978" t="s">
        <v>22004</v>
      </c>
      <c r="B18978" t="s">
        <v>22005</v>
      </c>
      <c r="C18978">
        <f>0.320755380583</f>
        <v>0.32075538058300002</v>
      </c>
      <c r="D18978">
        <v>0.99448546268500004</v>
      </c>
      <c r="E18978">
        <v>0.503748125937031</v>
      </c>
    </row>
    <row r="18979" spans="1:5">
      <c r="A18979" t="s">
        <v>22004</v>
      </c>
      <c r="B18979" t="s">
        <v>22006</v>
      </c>
      <c r="C18979">
        <f>0</f>
        <v>0</v>
      </c>
      <c r="D18979">
        <v>0.99448546268500004</v>
      </c>
      <c r="E18979">
        <v>0.503748125937031</v>
      </c>
    </row>
    <row r="18980" spans="1:5">
      <c r="A18980" t="s">
        <v>22004</v>
      </c>
      <c r="B18980" t="s">
        <v>22007</v>
      </c>
      <c r="C18980">
        <f>0.492573962285</f>
        <v>0.492573962285</v>
      </c>
      <c r="D18980">
        <v>0.99448546268500004</v>
      </c>
      <c r="E18980">
        <v>0.503748125937031</v>
      </c>
    </row>
    <row r="18981" spans="1:5">
      <c r="A18981" t="s">
        <v>22004</v>
      </c>
      <c r="B18981" t="s">
        <v>22008</v>
      </c>
      <c r="C18981">
        <v>0</v>
      </c>
      <c r="D18981">
        <v>0.99448546268500004</v>
      </c>
      <c r="E18981">
        <v>0.503748125937031</v>
      </c>
    </row>
    <row r="18982" spans="1:5">
      <c r="A18982" t="s">
        <v>22009</v>
      </c>
      <c r="B18982" t="s">
        <v>22010</v>
      </c>
      <c r="C18982">
        <v>9.1118539732100004E-2</v>
      </c>
      <c r="D18982">
        <v>0.38469597686000001</v>
      </c>
      <c r="E18982">
        <v>6.0569715142428704</v>
      </c>
    </row>
    <row r="18983" spans="1:5">
      <c r="A18983" t="s">
        <v>22009</v>
      </c>
      <c r="B18983" t="s">
        <v>22011</v>
      </c>
      <c r="C18983">
        <v>0</v>
      </c>
      <c r="D18983">
        <v>0.38469597686000001</v>
      </c>
      <c r="E18983">
        <v>6.0569715142428704</v>
      </c>
    </row>
    <row r="18984" spans="1:5">
      <c r="A18984" t="s">
        <v>22012</v>
      </c>
      <c r="B18984" t="s">
        <v>22013</v>
      </c>
      <c r="C18984">
        <v>2.77619558356E-2</v>
      </c>
      <c r="D18984">
        <v>0.95047802203099996</v>
      </c>
      <c r="E18984">
        <v>24</v>
      </c>
    </row>
    <row r="18985" spans="1:5">
      <c r="A18985" t="s">
        <v>22012</v>
      </c>
      <c r="B18985" t="s">
        <v>22014</v>
      </c>
      <c r="C18985">
        <v>0</v>
      </c>
      <c r="D18985">
        <v>0.95047802203099996</v>
      </c>
      <c r="E18985">
        <v>24</v>
      </c>
    </row>
    <row r="18986" spans="1:5">
      <c r="A18986" t="s">
        <v>22012</v>
      </c>
      <c r="B18986" t="s">
        <v>22015</v>
      </c>
      <c r="C18986">
        <f>0</f>
        <v>0</v>
      </c>
      <c r="D18986">
        <v>0.95047802203099996</v>
      </c>
      <c r="E18986">
        <v>24</v>
      </c>
    </row>
    <row r="18987" spans="1:5">
      <c r="A18987" t="s">
        <v>22012</v>
      </c>
      <c r="B18987" t="s">
        <v>22016</v>
      </c>
      <c r="C18987">
        <f>0.0622921875639</f>
        <v>6.2292187563900002E-2</v>
      </c>
      <c r="D18987">
        <v>0.95047802203099996</v>
      </c>
      <c r="E18987">
        <v>24</v>
      </c>
    </row>
    <row r="18988" spans="1:5">
      <c r="A18988" t="s">
        <v>22012</v>
      </c>
      <c r="B18988" t="s">
        <v>22017</v>
      </c>
      <c r="C18988">
        <f>0</f>
        <v>0</v>
      </c>
      <c r="D18988">
        <v>0.95047802203099996</v>
      </c>
      <c r="E18988">
        <v>24</v>
      </c>
    </row>
    <row r="18989" spans="1:5">
      <c r="A18989" t="s">
        <v>22012</v>
      </c>
      <c r="B18989" t="s">
        <v>22018</v>
      </c>
      <c r="C18989">
        <f>0</f>
        <v>0</v>
      </c>
      <c r="D18989">
        <v>0.95047802203099996</v>
      </c>
      <c r="E18989">
        <v>24</v>
      </c>
    </row>
    <row r="18990" spans="1:5">
      <c r="A18990" t="s">
        <v>22012</v>
      </c>
      <c r="B18990" t="s">
        <v>22019</v>
      </c>
      <c r="C18990">
        <v>0</v>
      </c>
      <c r="D18990">
        <v>0.95047802203099996</v>
      </c>
      <c r="E18990">
        <v>24</v>
      </c>
    </row>
    <row r="18991" spans="1:5">
      <c r="A18991" t="s">
        <v>22012</v>
      </c>
      <c r="B18991" t="s">
        <v>22020</v>
      </c>
      <c r="C18991">
        <f>0</f>
        <v>0</v>
      </c>
      <c r="D18991">
        <v>0.95047802203099996</v>
      </c>
      <c r="E18991">
        <v>24</v>
      </c>
    </row>
    <row r="18992" spans="1:5">
      <c r="A18992" t="s">
        <v>22021</v>
      </c>
      <c r="B18992" t="s">
        <v>22022</v>
      </c>
      <c r="C18992">
        <v>0.20870692628400001</v>
      </c>
      <c r="D18992" t="s">
        <v>106</v>
      </c>
      <c r="E18992">
        <v>24</v>
      </c>
    </row>
    <row r="18993" spans="1:5">
      <c r="A18993" t="s">
        <v>22023</v>
      </c>
      <c r="B18993" t="s">
        <v>22024</v>
      </c>
      <c r="C18993">
        <f>0</f>
        <v>0</v>
      </c>
      <c r="D18993">
        <v>0.91503917328899997</v>
      </c>
      <c r="E18993">
        <v>18.986506746626599</v>
      </c>
    </row>
    <row r="18994" spans="1:5">
      <c r="A18994" t="s">
        <v>22023</v>
      </c>
      <c r="B18994" t="s">
        <v>22025</v>
      </c>
      <c r="C18994">
        <f>0</f>
        <v>0</v>
      </c>
      <c r="D18994">
        <v>0.91503917328899997</v>
      </c>
      <c r="E18994">
        <v>18.986506746626599</v>
      </c>
    </row>
    <row r="18995" spans="1:5">
      <c r="A18995" t="s">
        <v>22023</v>
      </c>
      <c r="B18995" t="s">
        <v>22026</v>
      </c>
      <c r="C18995">
        <f>0</f>
        <v>0</v>
      </c>
      <c r="D18995">
        <v>0.91503917328899997</v>
      </c>
      <c r="E18995">
        <v>18.986506746626599</v>
      </c>
    </row>
    <row r="18996" spans="1:5">
      <c r="A18996" t="s">
        <v>22023</v>
      </c>
      <c r="B18996" t="s">
        <v>22027</v>
      </c>
      <c r="C18996">
        <f>0</f>
        <v>0</v>
      </c>
      <c r="D18996">
        <v>0.91503917328899997</v>
      </c>
      <c r="E18996">
        <v>18.986506746626599</v>
      </c>
    </row>
    <row r="18997" spans="1:5">
      <c r="A18997" t="s">
        <v>22023</v>
      </c>
      <c r="B18997" t="s">
        <v>22028</v>
      </c>
      <c r="C18997">
        <f>0.192242490537</f>
        <v>0.19224249053699999</v>
      </c>
      <c r="D18997">
        <v>0.91503917328899997</v>
      </c>
      <c r="E18997">
        <v>18.986506746626599</v>
      </c>
    </row>
    <row r="18998" spans="1:5">
      <c r="A18998" t="s">
        <v>22023</v>
      </c>
      <c r="B18998" t="s">
        <v>22029</v>
      </c>
      <c r="C18998">
        <f>0</f>
        <v>0</v>
      </c>
      <c r="D18998">
        <v>0.91503917328899997</v>
      </c>
      <c r="E18998">
        <v>18.986506746626599</v>
      </c>
    </row>
    <row r="18999" spans="1:5">
      <c r="A18999" t="s">
        <v>22023</v>
      </c>
      <c r="B18999" t="s">
        <v>22030</v>
      </c>
      <c r="C18999">
        <f>0</f>
        <v>0</v>
      </c>
      <c r="D18999">
        <v>0.91503917328899997</v>
      </c>
      <c r="E18999">
        <v>18.986506746626599</v>
      </c>
    </row>
    <row r="19000" spans="1:5">
      <c r="A19000" t="s">
        <v>22023</v>
      </c>
      <c r="B19000" t="s">
        <v>22031</v>
      </c>
      <c r="C19000">
        <f>0</f>
        <v>0</v>
      </c>
      <c r="D19000">
        <v>0.91503917328899997</v>
      </c>
      <c r="E19000">
        <v>18.986506746626599</v>
      </c>
    </row>
    <row r="19001" spans="1:5">
      <c r="A19001" t="s">
        <v>22023</v>
      </c>
      <c r="B19001" t="s">
        <v>22032</v>
      </c>
      <c r="C19001">
        <f>0.0131822712501</f>
        <v>1.31822712501E-2</v>
      </c>
      <c r="D19001">
        <v>0.91503917328899997</v>
      </c>
      <c r="E19001">
        <v>18.986506746626599</v>
      </c>
    </row>
    <row r="19002" spans="1:5">
      <c r="A19002" t="s">
        <v>22023</v>
      </c>
      <c r="B19002" t="s">
        <v>22033</v>
      </c>
      <c r="C19002">
        <f>0</f>
        <v>0</v>
      </c>
      <c r="D19002">
        <v>0.91503917328899997</v>
      </c>
      <c r="E19002">
        <v>18.986506746626599</v>
      </c>
    </row>
    <row r="19003" spans="1:5">
      <c r="A19003" t="s">
        <v>22023</v>
      </c>
      <c r="B19003" t="s">
        <v>22034</v>
      </c>
      <c r="C19003">
        <f>0</f>
        <v>0</v>
      </c>
      <c r="D19003">
        <v>0.91503917328899997</v>
      </c>
      <c r="E19003">
        <v>18.986506746626599</v>
      </c>
    </row>
    <row r="19004" spans="1:5">
      <c r="A19004" t="s">
        <v>22023</v>
      </c>
      <c r="B19004" t="s">
        <v>22035</v>
      </c>
      <c r="C19004">
        <f>0</f>
        <v>0</v>
      </c>
      <c r="D19004">
        <v>0.91503917328899997</v>
      </c>
      <c r="E19004">
        <v>18.986506746626599</v>
      </c>
    </row>
    <row r="19005" spans="1:5">
      <c r="A19005" t="s">
        <v>22023</v>
      </c>
      <c r="B19005" t="s">
        <v>22036</v>
      </c>
      <c r="C19005">
        <f>0</f>
        <v>0</v>
      </c>
      <c r="D19005">
        <v>0.91503917328899997</v>
      </c>
      <c r="E19005">
        <v>18.986506746626599</v>
      </c>
    </row>
    <row r="19006" spans="1:5">
      <c r="A19006" t="s">
        <v>22037</v>
      </c>
      <c r="B19006" t="s">
        <v>22038</v>
      </c>
      <c r="C19006">
        <v>0</v>
      </c>
      <c r="D19006">
        <v>0.88625393737699998</v>
      </c>
      <c r="E19006">
        <v>24</v>
      </c>
    </row>
    <row r="19007" spans="1:5">
      <c r="A19007" t="s">
        <v>22037</v>
      </c>
      <c r="B19007" t="s">
        <v>22039</v>
      </c>
      <c r="C19007">
        <f>0</f>
        <v>0</v>
      </c>
      <c r="D19007">
        <v>0.88625393737699998</v>
      </c>
      <c r="E19007">
        <v>24</v>
      </c>
    </row>
    <row r="19008" spans="1:5">
      <c r="A19008" t="s">
        <v>22037</v>
      </c>
      <c r="B19008" t="s">
        <v>22040</v>
      </c>
      <c r="C19008">
        <f>0</f>
        <v>0</v>
      </c>
      <c r="D19008">
        <v>0.88625393737699998</v>
      </c>
      <c r="E19008">
        <v>24</v>
      </c>
    </row>
    <row r="19009" spans="1:5">
      <c r="A19009" t="s">
        <v>22041</v>
      </c>
      <c r="B19009" t="s">
        <v>22042</v>
      </c>
      <c r="C19009">
        <f>0</f>
        <v>0</v>
      </c>
      <c r="D19009" t="s">
        <v>106</v>
      </c>
      <c r="E19009">
        <v>15.700149925037399</v>
      </c>
    </row>
    <row r="19010" spans="1:5">
      <c r="A19010" t="s">
        <v>22041</v>
      </c>
      <c r="B19010" t="s">
        <v>22043</v>
      </c>
      <c r="C19010">
        <v>0</v>
      </c>
      <c r="D19010" t="s">
        <v>106</v>
      </c>
      <c r="E19010">
        <v>15.700149925037399</v>
      </c>
    </row>
    <row r="19011" spans="1:5">
      <c r="A19011" t="s">
        <v>22041</v>
      </c>
      <c r="B19011" t="s">
        <v>22044</v>
      </c>
      <c r="C19011">
        <f>0</f>
        <v>0</v>
      </c>
      <c r="D19011" t="s">
        <v>106</v>
      </c>
      <c r="E19011">
        <v>15.700149925037399</v>
      </c>
    </row>
    <row r="19012" spans="1:5">
      <c r="A19012" t="s">
        <v>22041</v>
      </c>
      <c r="B19012" t="s">
        <v>22045</v>
      </c>
      <c r="C19012">
        <v>0</v>
      </c>
      <c r="D19012" t="s">
        <v>106</v>
      </c>
      <c r="E19012">
        <v>15.700149925037399</v>
      </c>
    </row>
    <row r="19013" spans="1:5">
      <c r="A19013" t="s">
        <v>22041</v>
      </c>
      <c r="B19013" t="s">
        <v>22046</v>
      </c>
      <c r="C19013">
        <f>0</f>
        <v>0</v>
      </c>
      <c r="D19013" t="s">
        <v>106</v>
      </c>
      <c r="E19013">
        <v>15.700149925037399</v>
      </c>
    </row>
    <row r="19014" spans="1:5">
      <c r="A19014" t="s">
        <v>22041</v>
      </c>
      <c r="B19014" t="s">
        <v>22047</v>
      </c>
      <c r="C19014">
        <v>0</v>
      </c>
      <c r="D19014" t="s">
        <v>106</v>
      </c>
      <c r="E19014">
        <v>15.700149925037399</v>
      </c>
    </row>
    <row r="19015" spans="1:5">
      <c r="A19015" t="s">
        <v>22048</v>
      </c>
      <c r="B19015" t="s">
        <v>22049</v>
      </c>
      <c r="C19015">
        <v>0</v>
      </c>
      <c r="D19015">
        <v>0.87505839366500004</v>
      </c>
      <c r="E19015">
        <v>24</v>
      </c>
    </row>
    <row r="19016" spans="1:5">
      <c r="A19016" t="s">
        <v>22048</v>
      </c>
      <c r="B19016" t="s">
        <v>22050</v>
      </c>
      <c r="C19016">
        <v>0</v>
      </c>
      <c r="D19016">
        <v>0.87505839366500004</v>
      </c>
      <c r="E19016">
        <v>24</v>
      </c>
    </row>
    <row r="19017" spans="1:5">
      <c r="A19017" t="s">
        <v>22048</v>
      </c>
      <c r="B19017" t="s">
        <v>22051</v>
      </c>
      <c r="C19017">
        <v>0</v>
      </c>
      <c r="D19017">
        <v>0.87505839366500004</v>
      </c>
      <c r="E19017">
        <v>24</v>
      </c>
    </row>
    <row r="19018" spans="1:5">
      <c r="A19018" t="s">
        <v>22048</v>
      </c>
      <c r="B19018" t="s">
        <v>22052</v>
      </c>
      <c r="C19018">
        <v>0</v>
      </c>
      <c r="D19018">
        <v>0.87505839366500004</v>
      </c>
      <c r="E19018">
        <v>24</v>
      </c>
    </row>
    <row r="19019" spans="1:5">
      <c r="A19019" t="s">
        <v>22048</v>
      </c>
      <c r="B19019" t="s">
        <v>22053</v>
      </c>
      <c r="C19019">
        <v>0</v>
      </c>
      <c r="D19019">
        <v>0.87505839366500004</v>
      </c>
      <c r="E19019">
        <v>24</v>
      </c>
    </row>
    <row r="19020" spans="1:5">
      <c r="A19020" t="s">
        <v>22048</v>
      </c>
      <c r="B19020" t="s">
        <v>22054</v>
      </c>
      <c r="C19020">
        <v>9.9507860921799994E-3</v>
      </c>
      <c r="D19020">
        <v>0.87505839366500004</v>
      </c>
      <c r="E19020">
        <v>24</v>
      </c>
    </row>
    <row r="19021" spans="1:5">
      <c r="A19021" t="s">
        <v>22048</v>
      </c>
      <c r="B19021" t="s">
        <v>22055</v>
      </c>
      <c r="C19021">
        <f>0</f>
        <v>0</v>
      </c>
      <c r="D19021">
        <v>0.87505839366500004</v>
      </c>
      <c r="E19021">
        <v>24</v>
      </c>
    </row>
    <row r="19022" spans="1:5">
      <c r="A19022" t="s">
        <v>22048</v>
      </c>
      <c r="B19022" t="s">
        <v>22056</v>
      </c>
      <c r="C19022">
        <v>4.1534837701100003E-2</v>
      </c>
      <c r="D19022">
        <v>0.87505839366500004</v>
      </c>
      <c r="E19022">
        <v>24</v>
      </c>
    </row>
    <row r="19023" spans="1:5">
      <c r="A19023" t="s">
        <v>22048</v>
      </c>
      <c r="B19023" t="s">
        <v>22057</v>
      </c>
      <c r="C19023">
        <f>0</f>
        <v>0</v>
      </c>
      <c r="D19023">
        <v>0.87505839366500004</v>
      </c>
      <c r="E19023">
        <v>24</v>
      </c>
    </row>
    <row r="19024" spans="1:5">
      <c r="A19024" t="s">
        <v>22058</v>
      </c>
      <c r="B19024" t="s">
        <v>22059</v>
      </c>
      <c r="C19024">
        <f>0</f>
        <v>0</v>
      </c>
      <c r="D19024">
        <v>0.81281494090100004</v>
      </c>
      <c r="E19024">
        <v>1.89505247376311</v>
      </c>
    </row>
    <row r="19025" spans="1:5">
      <c r="A19025" t="s">
        <v>22058</v>
      </c>
      <c r="B19025" t="s">
        <v>22060</v>
      </c>
      <c r="C19025">
        <v>7.5969362441900001E-2</v>
      </c>
      <c r="D19025">
        <v>0.81281494090100004</v>
      </c>
      <c r="E19025">
        <v>1.89505247376311</v>
      </c>
    </row>
    <row r="19026" spans="1:5">
      <c r="A19026" t="s">
        <v>22058</v>
      </c>
      <c r="B19026" t="s">
        <v>22061</v>
      </c>
      <c r="C19026">
        <f>0</f>
        <v>0</v>
      </c>
      <c r="D19026">
        <v>0.81281494090100004</v>
      </c>
      <c r="E19026">
        <v>1.89505247376311</v>
      </c>
    </row>
    <row r="19027" spans="1:5">
      <c r="A19027" t="s">
        <v>22058</v>
      </c>
      <c r="B19027" t="s">
        <v>22062</v>
      </c>
      <c r="C19027">
        <f>0</f>
        <v>0</v>
      </c>
      <c r="D19027">
        <v>0.81281494090100004</v>
      </c>
      <c r="E19027">
        <v>1.89505247376311</v>
      </c>
    </row>
    <row r="19028" spans="1:5">
      <c r="A19028" t="s">
        <v>22058</v>
      </c>
      <c r="B19028" t="s">
        <v>22063</v>
      </c>
      <c r="C19028">
        <f>0.256685823365</f>
        <v>0.25668582336500001</v>
      </c>
      <c r="D19028">
        <v>0.81281494090100004</v>
      </c>
      <c r="E19028">
        <v>1.89505247376311</v>
      </c>
    </row>
    <row r="19029" spans="1:5">
      <c r="A19029" t="s">
        <v>22064</v>
      </c>
      <c r="B19029" t="s">
        <v>22065</v>
      </c>
      <c r="C19029">
        <f>0</f>
        <v>0</v>
      </c>
      <c r="D19029">
        <v>0.58588044231000003</v>
      </c>
      <c r="E19029">
        <v>24</v>
      </c>
    </row>
    <row r="19030" spans="1:5">
      <c r="A19030" t="s">
        <v>22064</v>
      </c>
      <c r="B19030" t="s">
        <v>22066</v>
      </c>
      <c r="C19030">
        <v>0</v>
      </c>
      <c r="D19030">
        <v>0.58588044231000003</v>
      </c>
      <c r="E19030">
        <v>24</v>
      </c>
    </row>
    <row r="19031" spans="1:5">
      <c r="A19031" t="s">
        <v>22064</v>
      </c>
      <c r="B19031" t="s">
        <v>22067</v>
      </c>
      <c r="C19031">
        <v>0</v>
      </c>
      <c r="D19031">
        <v>0.58588044231000003</v>
      </c>
      <c r="E19031">
        <v>24</v>
      </c>
    </row>
    <row r="19032" spans="1:5">
      <c r="A19032" t="s">
        <v>22064</v>
      </c>
      <c r="B19032" t="s">
        <v>22068</v>
      </c>
      <c r="C19032">
        <v>0</v>
      </c>
      <c r="D19032">
        <v>0.58588044231000003</v>
      </c>
      <c r="E19032">
        <v>24</v>
      </c>
    </row>
    <row r="19033" spans="1:5">
      <c r="A19033" t="s">
        <v>22069</v>
      </c>
      <c r="B19033" t="s">
        <v>22070</v>
      </c>
      <c r="C19033">
        <f>0</f>
        <v>0</v>
      </c>
      <c r="D19033">
        <v>0.83748067068300003</v>
      </c>
      <c r="E19033">
        <v>20.509745127436201</v>
      </c>
    </row>
    <row r="19034" spans="1:5">
      <c r="A19034" t="s">
        <v>22069</v>
      </c>
      <c r="B19034" t="s">
        <v>22071</v>
      </c>
      <c r="C19034">
        <v>0</v>
      </c>
      <c r="D19034">
        <v>0.83748067068300003</v>
      </c>
      <c r="E19034">
        <v>20.509745127436201</v>
      </c>
    </row>
    <row r="19035" spans="1:5">
      <c r="A19035" t="s">
        <v>22069</v>
      </c>
      <c r="B19035" t="s">
        <v>22072</v>
      </c>
      <c r="C19035">
        <f>0.122679762716</f>
        <v>0.12267976271599999</v>
      </c>
      <c r="D19035">
        <v>0.83748067068300003</v>
      </c>
      <c r="E19035">
        <v>20.509745127436201</v>
      </c>
    </row>
    <row r="19036" spans="1:5">
      <c r="A19036" t="s">
        <v>22069</v>
      </c>
      <c r="B19036" t="s">
        <v>22073</v>
      </c>
      <c r="C19036">
        <f>0</f>
        <v>0</v>
      </c>
      <c r="D19036">
        <v>0.83748067068300003</v>
      </c>
      <c r="E19036">
        <v>20.509745127436201</v>
      </c>
    </row>
    <row r="19037" spans="1:5">
      <c r="A19037" t="s">
        <v>22069</v>
      </c>
      <c r="B19037" t="s">
        <v>22074</v>
      </c>
      <c r="C19037">
        <f>0</f>
        <v>0</v>
      </c>
      <c r="D19037">
        <v>0.83748067068300003</v>
      </c>
      <c r="E19037">
        <v>20.509745127436201</v>
      </c>
    </row>
    <row r="19038" spans="1:5">
      <c r="A19038" t="s">
        <v>22069</v>
      </c>
      <c r="B19038" t="s">
        <v>22075</v>
      </c>
      <c r="C19038">
        <v>0</v>
      </c>
      <c r="D19038">
        <v>0.83748067068300003</v>
      </c>
      <c r="E19038">
        <v>20.509745127436201</v>
      </c>
    </row>
    <row r="19039" spans="1:5">
      <c r="A19039" t="s">
        <v>22069</v>
      </c>
      <c r="B19039" t="s">
        <v>22076</v>
      </c>
      <c r="C19039">
        <v>0</v>
      </c>
      <c r="D19039">
        <v>0.83748067068300003</v>
      </c>
      <c r="E19039">
        <v>20.509745127436201</v>
      </c>
    </row>
    <row r="19040" spans="1:5">
      <c r="A19040" t="s">
        <v>22069</v>
      </c>
      <c r="B19040" t="s">
        <v>22077</v>
      </c>
      <c r="C19040">
        <f>0</f>
        <v>0</v>
      </c>
      <c r="D19040">
        <v>0.83748067068300003</v>
      </c>
      <c r="E19040">
        <v>20.509745127436201</v>
      </c>
    </row>
    <row r="19041" spans="1:5">
      <c r="A19041" t="s">
        <v>22069</v>
      </c>
      <c r="B19041" t="s">
        <v>22078</v>
      </c>
      <c r="C19041">
        <f>0</f>
        <v>0</v>
      </c>
      <c r="D19041">
        <v>0.83748067068300003</v>
      </c>
      <c r="E19041">
        <v>20.509745127436201</v>
      </c>
    </row>
    <row r="19042" spans="1:5">
      <c r="A19042" t="s">
        <v>22079</v>
      </c>
      <c r="B19042" t="s">
        <v>22080</v>
      </c>
      <c r="C19042">
        <f>0</f>
        <v>0</v>
      </c>
      <c r="D19042">
        <v>0.98092505956700005</v>
      </c>
      <c r="E19042">
        <v>0.503748125937031</v>
      </c>
    </row>
    <row r="19043" spans="1:5">
      <c r="A19043" t="s">
        <v>22079</v>
      </c>
      <c r="B19043" t="s">
        <v>22081</v>
      </c>
      <c r="C19043">
        <f>0.104075691507</f>
        <v>0.104075691507</v>
      </c>
      <c r="D19043">
        <v>0.98092505956700005</v>
      </c>
      <c r="E19043">
        <v>0.503748125937031</v>
      </c>
    </row>
    <row r="19044" spans="1:5">
      <c r="A19044" t="s">
        <v>22079</v>
      </c>
      <c r="B19044" t="s">
        <v>22082</v>
      </c>
      <c r="C19044">
        <f>0.119292230288</f>
        <v>0.119292230288</v>
      </c>
      <c r="D19044">
        <v>0.98092505956700005</v>
      </c>
      <c r="E19044">
        <v>0.503748125937031</v>
      </c>
    </row>
    <row r="19045" spans="1:5">
      <c r="A19045" t="s">
        <v>22079</v>
      </c>
      <c r="B19045" t="s">
        <v>22083</v>
      </c>
      <c r="C19045">
        <f>0</f>
        <v>0</v>
      </c>
      <c r="D19045">
        <v>0.98092505956700005</v>
      </c>
      <c r="E19045">
        <v>0.503748125937031</v>
      </c>
    </row>
    <row r="19046" spans="1:5">
      <c r="A19046" t="s">
        <v>22079</v>
      </c>
      <c r="B19046" t="s">
        <v>22084</v>
      </c>
      <c r="C19046">
        <f>0</f>
        <v>0</v>
      </c>
      <c r="D19046">
        <v>0.98092505956700005</v>
      </c>
      <c r="E19046">
        <v>0.503748125937031</v>
      </c>
    </row>
    <row r="19047" spans="1:5">
      <c r="A19047" t="s">
        <v>22079</v>
      </c>
      <c r="B19047" t="s">
        <v>22085</v>
      </c>
      <c r="C19047">
        <f>0</f>
        <v>0</v>
      </c>
      <c r="D19047">
        <v>0.98092505956700005</v>
      </c>
      <c r="E19047">
        <v>0.503748125937031</v>
      </c>
    </row>
    <row r="19048" spans="1:5">
      <c r="A19048" t="s">
        <v>22086</v>
      </c>
      <c r="B19048" t="s">
        <v>22087</v>
      </c>
      <c r="C19048">
        <v>0</v>
      </c>
      <c r="D19048">
        <v>0.89998536098000004</v>
      </c>
      <c r="E19048">
        <v>4.68965517241379</v>
      </c>
    </row>
    <row r="19049" spans="1:5">
      <c r="A19049" t="s">
        <v>22086</v>
      </c>
      <c r="B19049" t="s">
        <v>22088</v>
      </c>
      <c r="C19049">
        <v>0</v>
      </c>
      <c r="D19049">
        <v>0.89998536098000004</v>
      </c>
      <c r="E19049">
        <v>4.68965517241379</v>
      </c>
    </row>
    <row r="19050" spans="1:5">
      <c r="A19050" t="s">
        <v>22086</v>
      </c>
      <c r="B19050" t="s">
        <v>22089</v>
      </c>
      <c r="C19050">
        <v>0</v>
      </c>
      <c r="D19050">
        <v>0.89998536098000004</v>
      </c>
      <c r="E19050">
        <v>4.68965517241379</v>
      </c>
    </row>
    <row r="19051" spans="1:5">
      <c r="A19051" t="s">
        <v>22086</v>
      </c>
      <c r="B19051" t="s">
        <v>22090</v>
      </c>
      <c r="C19051">
        <v>9.6678743081300006E-2</v>
      </c>
      <c r="D19051">
        <v>0.89998536098000004</v>
      </c>
      <c r="E19051">
        <v>4.68965517241379</v>
      </c>
    </row>
    <row r="19052" spans="1:5">
      <c r="A19052" t="s">
        <v>22086</v>
      </c>
      <c r="B19052" t="s">
        <v>22091</v>
      </c>
      <c r="C19052">
        <f>0</f>
        <v>0</v>
      </c>
      <c r="D19052">
        <v>0.89998536098000004</v>
      </c>
      <c r="E19052">
        <v>4.68965517241379</v>
      </c>
    </row>
    <row r="19053" spans="1:5">
      <c r="A19053" t="s">
        <v>22086</v>
      </c>
      <c r="B19053" t="s">
        <v>22092</v>
      </c>
      <c r="C19053">
        <v>0</v>
      </c>
      <c r="D19053">
        <v>0.89998536098000004</v>
      </c>
      <c r="E19053">
        <v>4.68965517241379</v>
      </c>
    </row>
    <row r="19054" spans="1:5">
      <c r="A19054" t="s">
        <v>22086</v>
      </c>
      <c r="B19054" t="s">
        <v>22093</v>
      </c>
      <c r="C19054">
        <v>0</v>
      </c>
      <c r="D19054">
        <v>0.89998536098000004</v>
      </c>
      <c r="E19054">
        <v>4.68965517241379</v>
      </c>
    </row>
    <row r="19055" spans="1:5">
      <c r="A19055" t="s">
        <v>22086</v>
      </c>
      <c r="B19055" t="s">
        <v>22094</v>
      </c>
      <c r="C19055">
        <v>0</v>
      </c>
      <c r="D19055">
        <v>0.89998536098000004</v>
      </c>
      <c r="E19055">
        <v>4.68965517241379</v>
      </c>
    </row>
    <row r="19056" spans="1:5">
      <c r="A19056" t="s">
        <v>22095</v>
      </c>
      <c r="B19056" t="s">
        <v>22096</v>
      </c>
      <c r="C19056">
        <v>0</v>
      </c>
      <c r="D19056" t="s">
        <v>106</v>
      </c>
      <c r="E19056">
        <v>7.7361319340329802</v>
      </c>
    </row>
    <row r="19057" spans="1:5">
      <c r="A19057" t="s">
        <v>22095</v>
      </c>
      <c r="B19057" t="s">
        <v>22097</v>
      </c>
      <c r="C19057">
        <f>0</f>
        <v>0</v>
      </c>
      <c r="D19057" t="s">
        <v>106</v>
      </c>
      <c r="E19057">
        <v>7.7361319340329802</v>
      </c>
    </row>
    <row r="19058" spans="1:5">
      <c r="A19058" t="s">
        <v>22095</v>
      </c>
      <c r="B19058" t="s">
        <v>22098</v>
      </c>
      <c r="C19058">
        <v>0</v>
      </c>
      <c r="D19058" t="s">
        <v>106</v>
      </c>
      <c r="E19058">
        <v>7.7361319340329802</v>
      </c>
    </row>
    <row r="19059" spans="1:5">
      <c r="A19059" t="s">
        <v>22095</v>
      </c>
      <c r="B19059" t="s">
        <v>22099</v>
      </c>
      <c r="C19059">
        <v>0</v>
      </c>
      <c r="D19059" t="s">
        <v>106</v>
      </c>
      <c r="E19059">
        <v>7.7361319340329802</v>
      </c>
    </row>
    <row r="19060" spans="1:5">
      <c r="A19060" t="s">
        <v>22095</v>
      </c>
      <c r="B19060" t="s">
        <v>22100</v>
      </c>
      <c r="C19060">
        <v>0</v>
      </c>
      <c r="D19060" t="s">
        <v>106</v>
      </c>
      <c r="E19060">
        <v>7.7361319340329802</v>
      </c>
    </row>
    <row r="19061" spans="1:5">
      <c r="A19061" t="s">
        <v>22095</v>
      </c>
      <c r="B19061" t="s">
        <v>22101</v>
      </c>
      <c r="C19061">
        <v>0</v>
      </c>
      <c r="D19061" t="s">
        <v>106</v>
      </c>
      <c r="E19061">
        <v>7.7361319340329802</v>
      </c>
    </row>
    <row r="19062" spans="1:5">
      <c r="A19062" t="s">
        <v>22095</v>
      </c>
      <c r="B19062" t="s">
        <v>22102</v>
      </c>
      <c r="C19062">
        <f>0</f>
        <v>0</v>
      </c>
      <c r="D19062" t="s">
        <v>106</v>
      </c>
      <c r="E19062">
        <v>7.7361319340329802</v>
      </c>
    </row>
    <row r="19063" spans="1:5">
      <c r="A19063" t="s">
        <v>22095</v>
      </c>
      <c r="B19063" t="s">
        <v>22103</v>
      </c>
      <c r="C19063">
        <v>0</v>
      </c>
      <c r="D19063" t="s">
        <v>106</v>
      </c>
      <c r="E19063">
        <v>7.7361319340329802</v>
      </c>
    </row>
    <row r="19064" spans="1:5">
      <c r="A19064" t="s">
        <v>22104</v>
      </c>
      <c r="B19064" t="s">
        <v>22105</v>
      </c>
      <c r="C19064">
        <f>0.00872476341657</f>
        <v>8.7247634165700007E-3</v>
      </c>
      <c r="D19064">
        <v>0.98886823791599998</v>
      </c>
      <c r="E19064">
        <v>11.0344827586206</v>
      </c>
    </row>
    <row r="19065" spans="1:5">
      <c r="A19065" t="s">
        <v>22104</v>
      </c>
      <c r="B19065" t="s">
        <v>22106</v>
      </c>
      <c r="C19065">
        <v>0</v>
      </c>
      <c r="D19065">
        <v>0.98886823791599998</v>
      </c>
      <c r="E19065">
        <v>11.0344827586206</v>
      </c>
    </row>
    <row r="19066" spans="1:5">
      <c r="A19066" t="s">
        <v>22104</v>
      </c>
      <c r="B19066" t="s">
        <v>22107</v>
      </c>
      <c r="C19066">
        <v>0</v>
      </c>
      <c r="D19066">
        <v>0.98886823791599998</v>
      </c>
      <c r="E19066">
        <v>11.0344827586206</v>
      </c>
    </row>
    <row r="19067" spans="1:5">
      <c r="A19067" t="s">
        <v>22104</v>
      </c>
      <c r="B19067" t="s">
        <v>22108</v>
      </c>
      <c r="C19067">
        <v>0.19482905982099999</v>
      </c>
      <c r="D19067">
        <v>0.98886823791599998</v>
      </c>
      <c r="E19067">
        <v>11.0344827586206</v>
      </c>
    </row>
    <row r="19068" spans="1:5">
      <c r="A19068" t="s">
        <v>22109</v>
      </c>
      <c r="B19068" t="s">
        <v>22110</v>
      </c>
      <c r="C19068">
        <v>0.24360344353400001</v>
      </c>
      <c r="D19068">
        <v>0.93678106246399995</v>
      </c>
      <c r="E19068">
        <v>11.0344827586206</v>
      </c>
    </row>
    <row r="19069" spans="1:5">
      <c r="A19069" t="s">
        <v>22109</v>
      </c>
      <c r="B19069" t="s">
        <v>22111</v>
      </c>
      <c r="C19069">
        <v>0</v>
      </c>
      <c r="D19069">
        <v>0.93678106246399995</v>
      </c>
      <c r="E19069">
        <v>11.0344827586206</v>
      </c>
    </row>
    <row r="19070" spans="1:5">
      <c r="A19070" t="s">
        <v>22109</v>
      </c>
      <c r="B19070" t="s">
        <v>22112</v>
      </c>
      <c r="C19070">
        <v>0</v>
      </c>
      <c r="D19070">
        <v>0.93678106246399995</v>
      </c>
      <c r="E19070">
        <v>11.0344827586206</v>
      </c>
    </row>
    <row r="19071" spans="1:5">
      <c r="A19071" t="s">
        <v>22109</v>
      </c>
      <c r="B19071" t="s">
        <v>22113</v>
      </c>
      <c r="C19071">
        <f>0</f>
        <v>0</v>
      </c>
      <c r="D19071">
        <v>0.93678106246399995</v>
      </c>
      <c r="E19071">
        <v>11.0344827586206</v>
      </c>
    </row>
    <row r="19072" spans="1:5">
      <c r="A19072" t="s">
        <v>22109</v>
      </c>
      <c r="B19072" t="s">
        <v>22114</v>
      </c>
      <c r="C19072">
        <f>0</f>
        <v>0</v>
      </c>
      <c r="D19072">
        <v>0.93678106246399995</v>
      </c>
      <c r="E19072">
        <v>11.0344827586206</v>
      </c>
    </row>
    <row r="19073" spans="1:5">
      <c r="A19073" t="s">
        <v>22109</v>
      </c>
      <c r="B19073" t="s">
        <v>22115</v>
      </c>
      <c r="C19073">
        <v>0</v>
      </c>
      <c r="D19073">
        <v>0.93678106246399995</v>
      </c>
      <c r="E19073">
        <v>11.0344827586206</v>
      </c>
    </row>
    <row r="19074" spans="1:5">
      <c r="A19074" t="s">
        <v>22116</v>
      </c>
      <c r="B19074" t="s">
        <v>22117</v>
      </c>
      <c r="C19074">
        <v>0</v>
      </c>
      <c r="D19074">
        <v>0.86190352504699996</v>
      </c>
      <c r="E19074">
        <v>14.3688155922038</v>
      </c>
    </row>
    <row r="19075" spans="1:5">
      <c r="A19075" t="s">
        <v>22116</v>
      </c>
      <c r="B19075" t="s">
        <v>22118</v>
      </c>
      <c r="C19075">
        <v>7.8906049074000006E-2</v>
      </c>
      <c r="D19075">
        <v>0.86190352504699996</v>
      </c>
      <c r="E19075">
        <v>14.3688155922038</v>
      </c>
    </row>
    <row r="19076" spans="1:5">
      <c r="A19076" t="s">
        <v>22116</v>
      </c>
      <c r="B19076" t="s">
        <v>22119</v>
      </c>
      <c r="C19076">
        <v>0</v>
      </c>
      <c r="D19076">
        <v>0.86190352504699996</v>
      </c>
      <c r="E19076">
        <v>14.3688155922038</v>
      </c>
    </row>
    <row r="19077" spans="1:5">
      <c r="A19077" t="s">
        <v>22116</v>
      </c>
      <c r="B19077" t="s">
        <v>22120</v>
      </c>
      <c r="C19077">
        <f>0.04441383301</f>
        <v>4.4413833010000001E-2</v>
      </c>
      <c r="D19077">
        <v>0.86190352504699996</v>
      </c>
      <c r="E19077">
        <v>14.3688155922038</v>
      </c>
    </row>
    <row r="19078" spans="1:5">
      <c r="A19078" t="s">
        <v>22116</v>
      </c>
      <c r="B19078" t="s">
        <v>22121</v>
      </c>
      <c r="C19078">
        <f>0</f>
        <v>0</v>
      </c>
      <c r="D19078">
        <v>0.86190352504699996</v>
      </c>
      <c r="E19078">
        <v>14.3688155922038</v>
      </c>
    </row>
    <row r="19079" spans="1:5">
      <c r="A19079" t="s">
        <v>22116</v>
      </c>
      <c r="B19079" t="s">
        <v>22122</v>
      </c>
      <c r="C19079">
        <v>0</v>
      </c>
      <c r="D19079">
        <v>0.86190352504699996</v>
      </c>
      <c r="E19079">
        <v>14.3688155922038</v>
      </c>
    </row>
    <row r="19080" spans="1:5">
      <c r="A19080" t="s">
        <v>22116</v>
      </c>
      <c r="B19080" t="s">
        <v>22123</v>
      </c>
      <c r="C19080">
        <v>0</v>
      </c>
      <c r="D19080">
        <v>0.86190352504699996</v>
      </c>
      <c r="E19080">
        <v>14.3688155922038</v>
      </c>
    </row>
    <row r="19081" spans="1:5">
      <c r="A19081" t="s">
        <v>22116</v>
      </c>
      <c r="B19081" t="s">
        <v>22124</v>
      </c>
      <c r="C19081">
        <f>0</f>
        <v>0</v>
      </c>
      <c r="D19081">
        <v>0.86190352504699996</v>
      </c>
      <c r="E19081">
        <v>14.3688155922038</v>
      </c>
    </row>
    <row r="19082" spans="1:5">
      <c r="A19082" t="s">
        <v>22116</v>
      </c>
      <c r="B19082" t="s">
        <v>22125</v>
      </c>
      <c r="C19082">
        <f>0</f>
        <v>0</v>
      </c>
      <c r="D19082">
        <v>0.86190352504699996</v>
      </c>
      <c r="E19082">
        <v>14.3688155922038</v>
      </c>
    </row>
    <row r="19083" spans="1:5">
      <c r="A19083" t="s">
        <v>22116</v>
      </c>
      <c r="B19083" t="s">
        <v>22126</v>
      </c>
      <c r="C19083">
        <v>0</v>
      </c>
      <c r="D19083">
        <v>0.86190352504699996</v>
      </c>
      <c r="E19083">
        <v>14.3688155922038</v>
      </c>
    </row>
    <row r="19084" spans="1:5">
      <c r="A19084" t="s">
        <v>22127</v>
      </c>
      <c r="B19084" t="s">
        <v>22128</v>
      </c>
      <c r="C19084">
        <v>0</v>
      </c>
      <c r="D19084">
        <v>0.87207950643099996</v>
      </c>
      <c r="E19084">
        <v>16.899550224887498</v>
      </c>
    </row>
    <row r="19085" spans="1:5">
      <c r="A19085" t="s">
        <v>22127</v>
      </c>
      <c r="B19085" t="s">
        <v>22129</v>
      </c>
      <c r="C19085">
        <f>0</f>
        <v>0</v>
      </c>
      <c r="D19085">
        <v>0.87207950643099996</v>
      </c>
      <c r="E19085">
        <v>16.899550224887498</v>
      </c>
    </row>
    <row r="19086" spans="1:5">
      <c r="A19086" t="s">
        <v>22127</v>
      </c>
      <c r="B19086" t="s">
        <v>22130</v>
      </c>
      <c r="C19086">
        <f>0.014324479206</f>
        <v>1.4324479205999999E-2</v>
      </c>
      <c r="D19086">
        <v>0.87207950643099996</v>
      </c>
      <c r="E19086">
        <v>16.899550224887498</v>
      </c>
    </row>
    <row r="19087" spans="1:5">
      <c r="A19087" t="s">
        <v>22127</v>
      </c>
      <c r="B19087" t="s">
        <v>22131</v>
      </c>
      <c r="C19087">
        <f>0</f>
        <v>0</v>
      </c>
      <c r="D19087">
        <v>0.87207950643099996</v>
      </c>
      <c r="E19087">
        <v>16.899550224887498</v>
      </c>
    </row>
    <row r="19088" spans="1:5">
      <c r="A19088" t="s">
        <v>22127</v>
      </c>
      <c r="B19088" t="s">
        <v>22132</v>
      </c>
      <c r="C19088">
        <v>0</v>
      </c>
      <c r="D19088">
        <v>0.87207950643099996</v>
      </c>
      <c r="E19088">
        <v>16.899550224887498</v>
      </c>
    </row>
    <row r="19089" spans="1:5">
      <c r="A19089" t="s">
        <v>22127</v>
      </c>
      <c r="B19089" t="s">
        <v>22133</v>
      </c>
      <c r="C19089">
        <v>6.9317926977799996E-2</v>
      </c>
      <c r="D19089">
        <v>0.87207950643099996</v>
      </c>
      <c r="E19089">
        <v>16.899550224887498</v>
      </c>
    </row>
    <row r="19090" spans="1:5">
      <c r="A19090" t="s">
        <v>22134</v>
      </c>
      <c r="B19090" t="s">
        <v>22135</v>
      </c>
      <c r="C19090">
        <v>0</v>
      </c>
      <c r="D19090">
        <v>0.99928197130300001</v>
      </c>
      <c r="E19090">
        <v>18.770614692653599</v>
      </c>
    </row>
    <row r="19091" spans="1:5">
      <c r="A19091" t="s">
        <v>22134</v>
      </c>
      <c r="B19091" t="s">
        <v>22136</v>
      </c>
      <c r="C19091">
        <v>0</v>
      </c>
      <c r="D19091">
        <v>0.99928197130300001</v>
      </c>
      <c r="E19091">
        <v>18.770614692653599</v>
      </c>
    </row>
    <row r="19092" spans="1:5">
      <c r="A19092" t="s">
        <v>22134</v>
      </c>
      <c r="B19092" t="s">
        <v>22137</v>
      </c>
      <c r="C19092">
        <v>0.124528685148</v>
      </c>
      <c r="D19092">
        <v>0.99928197130300001</v>
      </c>
      <c r="E19092">
        <v>18.770614692653599</v>
      </c>
    </row>
    <row r="19093" spans="1:5">
      <c r="A19093" t="s">
        <v>22134</v>
      </c>
      <c r="B19093" t="s">
        <v>22138</v>
      </c>
      <c r="C19093">
        <f>0</f>
        <v>0</v>
      </c>
      <c r="D19093">
        <v>0.99928197130300001</v>
      </c>
      <c r="E19093">
        <v>18.770614692653599</v>
      </c>
    </row>
    <row r="19094" spans="1:5">
      <c r="A19094" t="s">
        <v>22134</v>
      </c>
      <c r="B19094" t="s">
        <v>22139</v>
      </c>
      <c r="C19094">
        <f>0</f>
        <v>0</v>
      </c>
      <c r="D19094">
        <v>0.99928197130300001</v>
      </c>
      <c r="E19094">
        <v>18.770614692653599</v>
      </c>
    </row>
    <row r="19095" spans="1:5">
      <c r="A19095" t="s">
        <v>22134</v>
      </c>
      <c r="B19095" t="s">
        <v>22140</v>
      </c>
      <c r="C19095">
        <v>0</v>
      </c>
      <c r="D19095">
        <v>0.99928197130300001</v>
      </c>
      <c r="E19095">
        <v>18.770614692653599</v>
      </c>
    </row>
    <row r="19096" spans="1:5">
      <c r="A19096" t="s">
        <v>22134</v>
      </c>
      <c r="B19096" t="s">
        <v>22141</v>
      </c>
      <c r="C19096">
        <v>0</v>
      </c>
      <c r="D19096">
        <v>0.99928197130300001</v>
      </c>
      <c r="E19096">
        <v>18.770614692653599</v>
      </c>
    </row>
    <row r="19097" spans="1:5">
      <c r="A19097" t="s">
        <v>22142</v>
      </c>
      <c r="B19097" t="s">
        <v>22143</v>
      </c>
      <c r="C19097">
        <f>0.0280495379219</f>
        <v>2.80495379219E-2</v>
      </c>
      <c r="D19097">
        <v>0.82729704003899995</v>
      </c>
      <c r="E19097">
        <v>2.8785607196401801</v>
      </c>
    </row>
    <row r="19098" spans="1:5">
      <c r="A19098" t="s">
        <v>22142</v>
      </c>
      <c r="B19098" t="s">
        <v>22144</v>
      </c>
      <c r="C19098">
        <v>0</v>
      </c>
      <c r="D19098">
        <v>0.82729704003899995</v>
      </c>
      <c r="E19098">
        <v>2.8785607196401801</v>
      </c>
    </row>
    <row r="19099" spans="1:5">
      <c r="A19099" t="s">
        <v>22142</v>
      </c>
      <c r="B19099" t="s">
        <v>22145</v>
      </c>
      <c r="C19099">
        <f>0</f>
        <v>0</v>
      </c>
      <c r="D19099">
        <v>0.82729704003899995</v>
      </c>
      <c r="E19099">
        <v>2.8785607196401801</v>
      </c>
    </row>
    <row r="19100" spans="1:5">
      <c r="A19100" t="s">
        <v>22142</v>
      </c>
      <c r="B19100" t="s">
        <v>22146</v>
      </c>
      <c r="C19100">
        <v>0.44184252474899999</v>
      </c>
      <c r="D19100">
        <v>0.82729704003899995</v>
      </c>
      <c r="E19100">
        <v>2.8785607196401801</v>
      </c>
    </row>
    <row r="19101" spans="1:5">
      <c r="A19101" t="s">
        <v>22147</v>
      </c>
      <c r="B19101" t="s">
        <v>22148</v>
      </c>
      <c r="C19101">
        <v>0</v>
      </c>
      <c r="D19101" t="s">
        <v>106</v>
      </c>
      <c r="E19101">
        <v>3.97001499250374</v>
      </c>
    </row>
    <row r="19102" spans="1:5">
      <c r="A19102" t="s">
        <v>22147</v>
      </c>
      <c r="B19102" t="s">
        <v>22149</v>
      </c>
      <c r="C19102">
        <v>0</v>
      </c>
      <c r="D19102" t="s">
        <v>106</v>
      </c>
      <c r="E19102">
        <v>3.97001499250374</v>
      </c>
    </row>
    <row r="19103" spans="1:5">
      <c r="A19103" t="s">
        <v>22147</v>
      </c>
      <c r="B19103" t="s">
        <v>22150</v>
      </c>
      <c r="C19103">
        <v>0.14159666318899999</v>
      </c>
      <c r="D19103" t="s">
        <v>106</v>
      </c>
      <c r="E19103">
        <v>3.97001499250374</v>
      </c>
    </row>
    <row r="19104" spans="1:5">
      <c r="A19104" t="s">
        <v>22147</v>
      </c>
      <c r="B19104" t="s">
        <v>22151</v>
      </c>
      <c r="C19104">
        <v>0.53249182616599999</v>
      </c>
      <c r="D19104" t="s">
        <v>106</v>
      </c>
      <c r="E19104">
        <v>3.97001499250374</v>
      </c>
    </row>
    <row r="19105" spans="1:5">
      <c r="A19105" t="s">
        <v>22152</v>
      </c>
      <c r="B19105" t="s">
        <v>22153</v>
      </c>
      <c r="C19105">
        <v>0</v>
      </c>
      <c r="D19105">
        <v>0.83503676495099999</v>
      </c>
      <c r="E19105">
        <v>6.5487256371814002</v>
      </c>
    </row>
    <row r="19106" spans="1:5">
      <c r="A19106" t="s">
        <v>22152</v>
      </c>
      <c r="B19106" t="s">
        <v>22154</v>
      </c>
      <c r="C19106">
        <f>0</f>
        <v>0</v>
      </c>
      <c r="D19106">
        <v>0.83503676495099999</v>
      </c>
      <c r="E19106">
        <v>6.5487256371814002</v>
      </c>
    </row>
    <row r="19107" spans="1:5">
      <c r="A19107" t="s">
        <v>22152</v>
      </c>
      <c r="B19107" t="s">
        <v>22155</v>
      </c>
      <c r="C19107">
        <v>0</v>
      </c>
      <c r="D19107">
        <v>0.83503676495099999</v>
      </c>
      <c r="E19107">
        <v>6.5487256371814002</v>
      </c>
    </row>
    <row r="19108" spans="1:5">
      <c r="A19108" t="s">
        <v>22152</v>
      </c>
      <c r="B19108" t="s">
        <v>22156</v>
      </c>
      <c r="C19108">
        <f>0</f>
        <v>0</v>
      </c>
      <c r="D19108">
        <v>0.83503676495099999</v>
      </c>
      <c r="E19108">
        <v>6.5487256371814002</v>
      </c>
    </row>
    <row r="19109" spans="1:5">
      <c r="A19109" t="s">
        <v>22152</v>
      </c>
      <c r="B19109" t="s">
        <v>22157</v>
      </c>
      <c r="C19109">
        <f>0</f>
        <v>0</v>
      </c>
      <c r="D19109">
        <v>0.83503676495099999</v>
      </c>
      <c r="E19109">
        <v>6.5487256371814002</v>
      </c>
    </row>
    <row r="19110" spans="1:5">
      <c r="A19110" t="s">
        <v>22152</v>
      </c>
      <c r="B19110" t="s">
        <v>22158</v>
      </c>
      <c r="C19110">
        <f>0</f>
        <v>0</v>
      </c>
      <c r="D19110">
        <v>0.83503676495099999</v>
      </c>
      <c r="E19110">
        <v>6.5487256371814002</v>
      </c>
    </row>
    <row r="19111" spans="1:5">
      <c r="A19111" t="s">
        <v>22159</v>
      </c>
      <c r="B19111" t="s">
        <v>22160</v>
      </c>
      <c r="C19111">
        <v>0</v>
      </c>
      <c r="D19111" t="s">
        <v>106</v>
      </c>
      <c r="E19111">
        <v>24</v>
      </c>
    </row>
    <row r="19112" spans="1:5">
      <c r="A19112" t="s">
        <v>22159</v>
      </c>
      <c r="B19112" t="s">
        <v>22161</v>
      </c>
      <c r="C19112">
        <f>0</f>
        <v>0</v>
      </c>
      <c r="D19112" t="s">
        <v>106</v>
      </c>
      <c r="E19112">
        <v>24</v>
      </c>
    </row>
    <row r="19113" spans="1:5">
      <c r="A19113" t="s">
        <v>22159</v>
      </c>
      <c r="B19113" t="s">
        <v>22162</v>
      </c>
      <c r="C19113">
        <f>0</f>
        <v>0</v>
      </c>
      <c r="D19113" t="s">
        <v>106</v>
      </c>
      <c r="E19113">
        <v>24</v>
      </c>
    </row>
    <row r="19114" spans="1:5">
      <c r="A19114" t="s">
        <v>22159</v>
      </c>
      <c r="B19114" t="s">
        <v>22163</v>
      </c>
      <c r="C19114">
        <v>0</v>
      </c>
      <c r="D19114" t="s">
        <v>106</v>
      </c>
      <c r="E19114">
        <v>24</v>
      </c>
    </row>
    <row r="19115" spans="1:5">
      <c r="A19115" t="s">
        <v>22159</v>
      </c>
      <c r="B19115" t="s">
        <v>22164</v>
      </c>
      <c r="C19115">
        <f>0</f>
        <v>0</v>
      </c>
      <c r="D19115" t="s">
        <v>106</v>
      </c>
      <c r="E19115">
        <v>24</v>
      </c>
    </row>
    <row r="19116" spans="1:5">
      <c r="A19116" t="s">
        <v>22159</v>
      </c>
      <c r="B19116" t="s">
        <v>22165</v>
      </c>
      <c r="C19116">
        <f>0</f>
        <v>0</v>
      </c>
      <c r="D19116" t="s">
        <v>106</v>
      </c>
      <c r="E19116">
        <v>24</v>
      </c>
    </row>
    <row r="19117" spans="1:5">
      <c r="A19117" t="s">
        <v>22166</v>
      </c>
      <c r="B19117" t="s">
        <v>22167</v>
      </c>
      <c r="C19117">
        <v>0.55277239631300001</v>
      </c>
      <c r="D19117">
        <v>0.97572994694399995</v>
      </c>
      <c r="E19117">
        <v>8.4317841079460205</v>
      </c>
    </row>
    <row r="19118" spans="1:5">
      <c r="A19118" t="s">
        <v>22166</v>
      </c>
      <c r="B19118" t="s">
        <v>22168</v>
      </c>
      <c r="C19118">
        <v>0.18627737880199999</v>
      </c>
      <c r="D19118">
        <v>0.97572994694399995</v>
      </c>
      <c r="E19118">
        <v>8.4317841079460205</v>
      </c>
    </row>
    <row r="19119" spans="1:5">
      <c r="A19119" t="s">
        <v>22166</v>
      </c>
      <c r="B19119" t="s">
        <v>22169</v>
      </c>
      <c r="C19119">
        <v>0</v>
      </c>
      <c r="D19119">
        <v>0.97572994694399995</v>
      </c>
      <c r="E19119">
        <v>8.4317841079460205</v>
      </c>
    </row>
    <row r="19120" spans="1:5">
      <c r="A19120" t="s">
        <v>22170</v>
      </c>
      <c r="B19120" t="s">
        <v>22171</v>
      </c>
      <c r="C19120">
        <v>2.0324049841900001E-2</v>
      </c>
      <c r="D19120">
        <v>0.17293873180399999</v>
      </c>
      <c r="E19120">
        <v>5.8170914542728598</v>
      </c>
    </row>
    <row r="19121" spans="1:5">
      <c r="A19121" t="s">
        <v>22172</v>
      </c>
      <c r="B19121" t="s">
        <v>22173</v>
      </c>
      <c r="C19121">
        <f>0</f>
        <v>0</v>
      </c>
      <c r="D19121">
        <v>0.98267529403099996</v>
      </c>
      <c r="E19121">
        <v>9.9190404797601204</v>
      </c>
    </row>
    <row r="19122" spans="1:5">
      <c r="A19122" t="s">
        <v>22172</v>
      </c>
      <c r="B19122" t="s">
        <v>22174</v>
      </c>
      <c r="C19122">
        <v>0</v>
      </c>
      <c r="D19122">
        <v>0.98267529403099996</v>
      </c>
      <c r="E19122">
        <v>9.9190404797601204</v>
      </c>
    </row>
    <row r="19123" spans="1:5">
      <c r="A19123" t="s">
        <v>22172</v>
      </c>
      <c r="B19123" t="s">
        <v>22175</v>
      </c>
      <c r="C19123">
        <f>0</f>
        <v>0</v>
      </c>
      <c r="D19123">
        <v>0.98267529403099996</v>
      </c>
      <c r="E19123">
        <v>9.9190404797601204</v>
      </c>
    </row>
    <row r="19124" spans="1:5">
      <c r="A19124" t="s">
        <v>22172</v>
      </c>
      <c r="B19124" t="s">
        <v>22176</v>
      </c>
      <c r="C19124">
        <v>0.36216137531600001</v>
      </c>
      <c r="D19124">
        <v>0.98267529403099996</v>
      </c>
      <c r="E19124">
        <v>9.9190404797601204</v>
      </c>
    </row>
    <row r="19125" spans="1:5">
      <c r="A19125" t="s">
        <v>22172</v>
      </c>
      <c r="B19125" t="s">
        <v>22177</v>
      </c>
      <c r="C19125">
        <f>0</f>
        <v>0</v>
      </c>
      <c r="D19125">
        <v>0.98267529403099996</v>
      </c>
      <c r="E19125">
        <v>9.9190404797601204</v>
      </c>
    </row>
    <row r="19126" spans="1:5">
      <c r="A19126" t="s">
        <v>22172</v>
      </c>
      <c r="B19126" t="s">
        <v>22178</v>
      </c>
      <c r="C19126">
        <v>0</v>
      </c>
      <c r="D19126">
        <v>0.98267529403099996</v>
      </c>
      <c r="E19126">
        <v>9.9190404797601204</v>
      </c>
    </row>
    <row r="19127" spans="1:5">
      <c r="A19127" t="s">
        <v>22172</v>
      </c>
      <c r="B19127" t="s">
        <v>22179</v>
      </c>
      <c r="C19127">
        <f>0</f>
        <v>0</v>
      </c>
      <c r="D19127">
        <v>0.98267529403099996</v>
      </c>
      <c r="E19127">
        <v>9.9190404797601204</v>
      </c>
    </row>
    <row r="19128" spans="1:5">
      <c r="A19128" t="s">
        <v>22172</v>
      </c>
      <c r="B19128" t="s">
        <v>22180</v>
      </c>
      <c r="C19128">
        <v>0</v>
      </c>
      <c r="D19128">
        <v>0.98267529403099996</v>
      </c>
      <c r="E19128">
        <v>9.9190404797601204</v>
      </c>
    </row>
    <row r="19129" spans="1:5">
      <c r="A19129" t="s">
        <v>22172</v>
      </c>
      <c r="B19129" t="s">
        <v>22181</v>
      </c>
      <c r="C19129">
        <v>0</v>
      </c>
      <c r="D19129">
        <v>0.98267529403099996</v>
      </c>
      <c r="E19129">
        <v>9.9190404797601204</v>
      </c>
    </row>
    <row r="19130" spans="1:5">
      <c r="A19130" t="s">
        <v>22172</v>
      </c>
      <c r="B19130" t="s">
        <v>22182</v>
      </c>
      <c r="C19130">
        <f>0</f>
        <v>0</v>
      </c>
      <c r="D19130">
        <v>0.98267529403099996</v>
      </c>
      <c r="E19130">
        <v>9.9190404797601204</v>
      </c>
    </row>
    <row r="19131" spans="1:5">
      <c r="A19131" t="s">
        <v>22183</v>
      </c>
      <c r="B19131" t="s">
        <v>22184</v>
      </c>
      <c r="C19131">
        <v>0</v>
      </c>
      <c r="D19131" t="s">
        <v>106</v>
      </c>
      <c r="E19131">
        <v>4.1739130434782599</v>
      </c>
    </row>
    <row r="19132" spans="1:5">
      <c r="A19132" t="s">
        <v>22183</v>
      </c>
      <c r="B19132" t="s">
        <v>22185</v>
      </c>
      <c r="C19132">
        <f>0</f>
        <v>0</v>
      </c>
      <c r="D19132" t="s">
        <v>106</v>
      </c>
      <c r="E19132">
        <v>4.1739130434782599</v>
      </c>
    </row>
    <row r="19133" spans="1:5">
      <c r="A19133" t="s">
        <v>22183</v>
      </c>
      <c r="B19133" t="s">
        <v>22186</v>
      </c>
      <c r="C19133">
        <v>0</v>
      </c>
      <c r="D19133" t="s">
        <v>106</v>
      </c>
      <c r="E19133">
        <v>4.1739130434782599</v>
      </c>
    </row>
    <row r="19134" spans="1:5">
      <c r="A19134" t="s">
        <v>22183</v>
      </c>
      <c r="B19134" t="s">
        <v>22187</v>
      </c>
      <c r="C19134">
        <v>0</v>
      </c>
      <c r="D19134" t="s">
        <v>106</v>
      </c>
      <c r="E19134">
        <v>4.1739130434782599</v>
      </c>
    </row>
    <row r="19135" spans="1:5">
      <c r="A19135" t="s">
        <v>22183</v>
      </c>
      <c r="B19135" t="s">
        <v>22188</v>
      </c>
      <c r="C19135">
        <f>0</f>
        <v>0</v>
      </c>
      <c r="D19135" t="s">
        <v>106</v>
      </c>
      <c r="E19135">
        <v>4.1739130434782599</v>
      </c>
    </row>
    <row r="19136" spans="1:5">
      <c r="A19136" t="s">
        <v>22183</v>
      </c>
      <c r="B19136" t="s">
        <v>22189</v>
      </c>
      <c r="C19136">
        <v>0</v>
      </c>
      <c r="D19136" t="s">
        <v>106</v>
      </c>
      <c r="E19136">
        <v>4.1739130434782599</v>
      </c>
    </row>
    <row r="19137" spans="1:5">
      <c r="A19137" t="s">
        <v>22183</v>
      </c>
      <c r="B19137" t="s">
        <v>22190</v>
      </c>
      <c r="C19137">
        <v>0</v>
      </c>
      <c r="D19137" t="s">
        <v>106</v>
      </c>
      <c r="E19137">
        <v>4.1739130434782599</v>
      </c>
    </row>
    <row r="19138" spans="1:5">
      <c r="A19138" t="s">
        <v>22191</v>
      </c>
      <c r="B19138" t="s">
        <v>22192</v>
      </c>
      <c r="C19138">
        <v>0.23581782908599999</v>
      </c>
      <c r="D19138" t="s">
        <v>106</v>
      </c>
      <c r="E19138">
        <v>23.7481259370314</v>
      </c>
    </row>
    <row r="19139" spans="1:5">
      <c r="A19139" t="s">
        <v>22191</v>
      </c>
      <c r="B19139" t="s">
        <v>22193</v>
      </c>
      <c r="C19139">
        <f>0</f>
        <v>0</v>
      </c>
      <c r="D19139" t="s">
        <v>106</v>
      </c>
      <c r="E19139">
        <v>23.7481259370314</v>
      </c>
    </row>
    <row r="19140" spans="1:5">
      <c r="A19140" t="s">
        <v>22191</v>
      </c>
      <c r="B19140" t="s">
        <v>22194</v>
      </c>
      <c r="C19140">
        <v>3.8433386662400003E-2</v>
      </c>
      <c r="D19140" t="s">
        <v>106</v>
      </c>
      <c r="E19140">
        <v>23.7481259370314</v>
      </c>
    </row>
    <row r="19141" spans="1:5">
      <c r="A19141" t="s">
        <v>22195</v>
      </c>
      <c r="B19141" t="s">
        <v>22196</v>
      </c>
      <c r="C19141">
        <v>0.200848488179</v>
      </c>
      <c r="D19141">
        <v>0.87210569727999998</v>
      </c>
      <c r="E19141">
        <v>24</v>
      </c>
    </row>
    <row r="19142" spans="1:5">
      <c r="A19142" t="s">
        <v>22197</v>
      </c>
      <c r="B19142" t="s">
        <v>22198</v>
      </c>
      <c r="C19142">
        <v>0</v>
      </c>
      <c r="D19142">
        <v>0.97922138360900002</v>
      </c>
      <c r="E19142">
        <v>8.7196401799100407</v>
      </c>
    </row>
    <row r="19143" spans="1:5">
      <c r="A19143" t="s">
        <v>22197</v>
      </c>
      <c r="B19143" t="s">
        <v>22199</v>
      </c>
      <c r="C19143">
        <v>0</v>
      </c>
      <c r="D19143">
        <v>0.97922138360900002</v>
      </c>
      <c r="E19143">
        <v>8.7196401799100407</v>
      </c>
    </row>
    <row r="19144" spans="1:5">
      <c r="A19144" t="s">
        <v>22197</v>
      </c>
      <c r="B19144" t="s">
        <v>22200</v>
      </c>
      <c r="C19144">
        <v>0</v>
      </c>
      <c r="D19144">
        <v>0.97922138360900002</v>
      </c>
      <c r="E19144">
        <v>8.7196401799100407</v>
      </c>
    </row>
    <row r="19145" spans="1:5">
      <c r="A19145" t="s">
        <v>22197</v>
      </c>
      <c r="B19145" t="s">
        <v>22201</v>
      </c>
      <c r="C19145">
        <v>0</v>
      </c>
      <c r="D19145">
        <v>0.97922138360900002</v>
      </c>
      <c r="E19145">
        <v>8.7196401799100407</v>
      </c>
    </row>
    <row r="19146" spans="1:5">
      <c r="A19146" t="s">
        <v>22197</v>
      </c>
      <c r="B19146" t="s">
        <v>22202</v>
      </c>
      <c r="C19146">
        <v>0</v>
      </c>
      <c r="D19146">
        <v>0.97922138360900002</v>
      </c>
      <c r="E19146">
        <v>8.7196401799100407</v>
      </c>
    </row>
    <row r="19147" spans="1:5">
      <c r="A19147" t="s">
        <v>22197</v>
      </c>
      <c r="B19147" t="s">
        <v>22203</v>
      </c>
      <c r="C19147">
        <v>0</v>
      </c>
      <c r="D19147">
        <v>0.97922138360900002</v>
      </c>
      <c r="E19147">
        <v>8.7196401799100407</v>
      </c>
    </row>
    <row r="19148" spans="1:5">
      <c r="A19148" t="s">
        <v>22197</v>
      </c>
      <c r="B19148" t="s">
        <v>22204</v>
      </c>
      <c r="C19148">
        <v>0.37349224639200002</v>
      </c>
      <c r="D19148">
        <v>0.97922138360900002</v>
      </c>
      <c r="E19148">
        <v>8.7196401799100407</v>
      </c>
    </row>
    <row r="19149" spans="1:5">
      <c r="A19149" t="s">
        <v>22197</v>
      </c>
      <c r="B19149" t="s">
        <v>22205</v>
      </c>
      <c r="C19149">
        <v>0</v>
      </c>
      <c r="D19149">
        <v>0.97922138360900002</v>
      </c>
      <c r="E19149">
        <v>8.7196401799100407</v>
      </c>
    </row>
    <row r="19150" spans="1:5">
      <c r="A19150" t="s">
        <v>22197</v>
      </c>
      <c r="B19150" t="s">
        <v>22206</v>
      </c>
      <c r="C19150">
        <v>0</v>
      </c>
      <c r="D19150">
        <v>0.97922138360900002</v>
      </c>
      <c r="E19150">
        <v>8.7196401799100407</v>
      </c>
    </row>
    <row r="19151" spans="1:5">
      <c r="A19151" t="s">
        <v>22197</v>
      </c>
      <c r="B19151" t="s">
        <v>22207</v>
      </c>
      <c r="C19151">
        <v>2.0819537594100001E-2</v>
      </c>
      <c r="D19151">
        <v>0.97922138360900002</v>
      </c>
      <c r="E19151">
        <v>8.7196401799100407</v>
      </c>
    </row>
    <row r="19152" spans="1:5">
      <c r="A19152" t="s">
        <v>22197</v>
      </c>
      <c r="B19152" t="s">
        <v>22208</v>
      </c>
      <c r="C19152">
        <v>0</v>
      </c>
      <c r="D19152">
        <v>0.97922138360900002</v>
      </c>
      <c r="E19152">
        <v>8.7196401799100407</v>
      </c>
    </row>
    <row r="19153" spans="1:5">
      <c r="A19153" t="s">
        <v>22197</v>
      </c>
      <c r="B19153" t="s">
        <v>22209</v>
      </c>
      <c r="C19153">
        <v>0</v>
      </c>
      <c r="D19153">
        <v>0.97922138360900002</v>
      </c>
      <c r="E19153">
        <v>8.7196401799100407</v>
      </c>
    </row>
    <row r="19154" spans="1:5">
      <c r="A19154" t="s">
        <v>22210</v>
      </c>
      <c r="B19154" t="s">
        <v>22211</v>
      </c>
      <c r="C19154">
        <f>0.00708134722363</f>
        <v>7.0813472236299999E-3</v>
      </c>
      <c r="D19154">
        <v>0.94836080114700005</v>
      </c>
      <c r="E19154">
        <v>6.1769115442278801</v>
      </c>
    </row>
    <row r="19155" spans="1:5">
      <c r="A19155" t="s">
        <v>22210</v>
      </c>
      <c r="B19155" t="s">
        <v>22212</v>
      </c>
      <c r="C19155">
        <f>0.145929854306</f>
        <v>0.145929854306</v>
      </c>
      <c r="D19155">
        <v>0.94836080114700005</v>
      </c>
      <c r="E19155">
        <v>6.1769115442278801</v>
      </c>
    </row>
    <row r="19156" spans="1:5">
      <c r="A19156" t="s">
        <v>22210</v>
      </c>
      <c r="B19156" t="s">
        <v>22213</v>
      </c>
      <c r="C19156">
        <f>0</f>
        <v>0</v>
      </c>
      <c r="D19156">
        <v>0.94836080114700005</v>
      </c>
      <c r="E19156">
        <v>6.1769115442278801</v>
      </c>
    </row>
    <row r="19157" spans="1:5">
      <c r="A19157" t="s">
        <v>22210</v>
      </c>
      <c r="B19157" t="s">
        <v>22214</v>
      </c>
      <c r="C19157">
        <f>0</f>
        <v>0</v>
      </c>
      <c r="D19157">
        <v>0.94836080114700005</v>
      </c>
      <c r="E19157">
        <v>6.1769115442278801</v>
      </c>
    </row>
    <row r="19158" spans="1:5">
      <c r="A19158" t="s">
        <v>22210</v>
      </c>
      <c r="B19158" t="s">
        <v>22215</v>
      </c>
      <c r="C19158">
        <v>0</v>
      </c>
      <c r="D19158">
        <v>0.94836080114700005</v>
      </c>
      <c r="E19158">
        <v>6.1769115442278801</v>
      </c>
    </row>
    <row r="19159" spans="1:5">
      <c r="A19159" t="s">
        <v>22216</v>
      </c>
      <c r="B19159" t="s">
        <v>22217</v>
      </c>
      <c r="C19159">
        <f>0.397184953514</f>
        <v>0.39718495351400002</v>
      </c>
      <c r="D19159">
        <v>0.97869623220699997</v>
      </c>
      <c r="E19159">
        <v>1.89505247376311</v>
      </c>
    </row>
    <row r="19160" spans="1:5">
      <c r="A19160" t="s">
        <v>22216</v>
      </c>
      <c r="B19160" t="s">
        <v>22218</v>
      </c>
      <c r="C19160">
        <v>0.12115639127400001</v>
      </c>
      <c r="D19160">
        <v>0.97869623220699997</v>
      </c>
      <c r="E19160">
        <v>1.89505247376311</v>
      </c>
    </row>
    <row r="19161" spans="1:5">
      <c r="A19161" t="s">
        <v>22219</v>
      </c>
      <c r="B19161" t="s">
        <v>22220</v>
      </c>
      <c r="C19161">
        <v>0.37572241294999997</v>
      </c>
      <c r="D19161">
        <v>0.234420143912</v>
      </c>
      <c r="E19161">
        <v>5.4692653673163401</v>
      </c>
    </row>
    <row r="19162" spans="1:5">
      <c r="A19162" t="s">
        <v>22221</v>
      </c>
      <c r="B19162" t="s">
        <v>22222</v>
      </c>
      <c r="C19162">
        <v>3.2474083807499998E-2</v>
      </c>
      <c r="D19162">
        <v>0.86008024860099996</v>
      </c>
      <c r="E19162">
        <v>21.637181409295302</v>
      </c>
    </row>
    <row r="19163" spans="1:5">
      <c r="A19163" t="s">
        <v>22221</v>
      </c>
      <c r="B19163" t="s">
        <v>22223</v>
      </c>
      <c r="C19163">
        <f>0</f>
        <v>0</v>
      </c>
      <c r="D19163">
        <v>0.86008024860099996</v>
      </c>
      <c r="E19163">
        <v>21.637181409295302</v>
      </c>
    </row>
    <row r="19164" spans="1:5">
      <c r="A19164" t="s">
        <v>22221</v>
      </c>
      <c r="B19164" t="s">
        <v>22224</v>
      </c>
      <c r="C19164">
        <v>0</v>
      </c>
      <c r="D19164">
        <v>0.86008024860099996</v>
      </c>
      <c r="E19164">
        <v>21.637181409295302</v>
      </c>
    </row>
    <row r="19165" spans="1:5">
      <c r="A19165" t="s">
        <v>22221</v>
      </c>
      <c r="B19165" t="s">
        <v>22225</v>
      </c>
      <c r="C19165">
        <f>0</f>
        <v>0</v>
      </c>
      <c r="D19165">
        <v>0.86008024860099996</v>
      </c>
      <c r="E19165">
        <v>21.637181409295302</v>
      </c>
    </row>
    <row r="19166" spans="1:5">
      <c r="A19166" t="s">
        <v>22221</v>
      </c>
      <c r="B19166" t="s">
        <v>22226</v>
      </c>
      <c r="C19166">
        <v>0</v>
      </c>
      <c r="D19166">
        <v>0.86008024860099996</v>
      </c>
      <c r="E19166">
        <v>21.637181409295302</v>
      </c>
    </row>
    <row r="19167" spans="1:5">
      <c r="A19167" t="s">
        <v>22221</v>
      </c>
      <c r="B19167" t="s">
        <v>22227</v>
      </c>
      <c r="C19167">
        <f>0</f>
        <v>0</v>
      </c>
      <c r="D19167">
        <v>0.86008024860099996</v>
      </c>
      <c r="E19167">
        <v>21.637181409295302</v>
      </c>
    </row>
    <row r="19168" spans="1:5">
      <c r="A19168" t="s">
        <v>22221</v>
      </c>
      <c r="B19168" t="s">
        <v>22228</v>
      </c>
      <c r="C19168">
        <v>0</v>
      </c>
      <c r="D19168">
        <v>0.86008024860099996</v>
      </c>
      <c r="E19168">
        <v>21.637181409295302</v>
      </c>
    </row>
    <row r="19169" spans="1:5">
      <c r="A19169" t="s">
        <v>22221</v>
      </c>
      <c r="B19169" t="s">
        <v>22229</v>
      </c>
      <c r="C19169">
        <v>0</v>
      </c>
      <c r="D19169">
        <v>0.86008024860099996</v>
      </c>
      <c r="E19169">
        <v>21.637181409295302</v>
      </c>
    </row>
    <row r="19170" spans="1:5">
      <c r="A19170" t="s">
        <v>22230</v>
      </c>
      <c r="B19170" t="s">
        <v>22231</v>
      </c>
      <c r="C19170">
        <v>0</v>
      </c>
      <c r="D19170">
        <v>0.79850367983600001</v>
      </c>
      <c r="E19170">
        <v>16.095952023988001</v>
      </c>
    </row>
    <row r="19171" spans="1:5">
      <c r="A19171" t="s">
        <v>22230</v>
      </c>
      <c r="B19171" t="s">
        <v>22232</v>
      </c>
      <c r="C19171">
        <f>0</f>
        <v>0</v>
      </c>
      <c r="D19171">
        <v>0.79850367983600001</v>
      </c>
      <c r="E19171">
        <v>16.095952023988001</v>
      </c>
    </row>
    <row r="19172" spans="1:5">
      <c r="A19172" t="s">
        <v>22230</v>
      </c>
      <c r="B19172" t="s">
        <v>22233</v>
      </c>
      <c r="C19172">
        <f>0</f>
        <v>0</v>
      </c>
      <c r="D19172">
        <v>0.79850367983600001</v>
      </c>
      <c r="E19172">
        <v>16.095952023988001</v>
      </c>
    </row>
    <row r="19173" spans="1:5">
      <c r="A19173" t="s">
        <v>22230</v>
      </c>
      <c r="B19173" t="s">
        <v>22234</v>
      </c>
      <c r="C19173">
        <v>0</v>
      </c>
      <c r="D19173">
        <v>0.79850367983600001</v>
      </c>
      <c r="E19173">
        <v>16.095952023988001</v>
      </c>
    </row>
    <row r="19174" spans="1:5">
      <c r="A19174" t="s">
        <v>22230</v>
      </c>
      <c r="B19174" t="s">
        <v>22235</v>
      </c>
      <c r="C19174">
        <v>0</v>
      </c>
      <c r="D19174">
        <v>0.79850367983600001</v>
      </c>
      <c r="E19174">
        <v>16.095952023988001</v>
      </c>
    </row>
    <row r="19175" spans="1:5">
      <c r="A19175" t="s">
        <v>22230</v>
      </c>
      <c r="B19175" t="s">
        <v>22236</v>
      </c>
      <c r="C19175">
        <f>0.0238302948262</f>
        <v>2.3830294826199999E-2</v>
      </c>
      <c r="D19175">
        <v>0.79850367983600001</v>
      </c>
      <c r="E19175">
        <v>16.095952023988001</v>
      </c>
    </row>
    <row r="19176" spans="1:5">
      <c r="A19176" t="s">
        <v>22230</v>
      </c>
      <c r="B19176" t="s">
        <v>22237</v>
      </c>
      <c r="C19176">
        <f>0</f>
        <v>0</v>
      </c>
      <c r="D19176">
        <v>0.79850367983600001</v>
      </c>
      <c r="E19176">
        <v>16.095952023988001</v>
      </c>
    </row>
    <row r="19177" spans="1:5">
      <c r="A19177" t="s">
        <v>22238</v>
      </c>
      <c r="B19177" t="s">
        <v>22239</v>
      </c>
      <c r="C19177">
        <v>0.83763847553399995</v>
      </c>
      <c r="D19177">
        <v>0.91119567106099997</v>
      </c>
      <c r="E19177">
        <v>0.26386806596701601</v>
      </c>
    </row>
    <row r="19178" spans="1:5">
      <c r="A19178" t="s">
        <v>22238</v>
      </c>
      <c r="B19178" t="s">
        <v>22240</v>
      </c>
      <c r="C19178">
        <f>0</f>
        <v>0</v>
      </c>
      <c r="D19178">
        <v>0.91119567106099997</v>
      </c>
      <c r="E19178">
        <v>0.26386806596701601</v>
      </c>
    </row>
    <row r="19179" spans="1:5">
      <c r="A19179" t="s">
        <v>22241</v>
      </c>
      <c r="B19179" t="s">
        <v>22242</v>
      </c>
      <c r="C19179">
        <v>3.4289234689500001E-2</v>
      </c>
      <c r="D19179">
        <v>0.99439297666600002</v>
      </c>
      <c r="E19179">
        <v>24</v>
      </c>
    </row>
    <row r="19180" spans="1:5">
      <c r="A19180" t="s">
        <v>22241</v>
      </c>
      <c r="B19180" t="s">
        <v>22243</v>
      </c>
      <c r="C19180">
        <v>0</v>
      </c>
      <c r="D19180">
        <v>0.99439297666600002</v>
      </c>
      <c r="E19180">
        <v>24</v>
      </c>
    </row>
    <row r="19181" spans="1:5">
      <c r="A19181" t="s">
        <v>22241</v>
      </c>
      <c r="B19181" t="s">
        <v>22244</v>
      </c>
      <c r="C19181">
        <f>0</f>
        <v>0</v>
      </c>
      <c r="D19181">
        <v>0.99439297666600002</v>
      </c>
      <c r="E19181">
        <v>24</v>
      </c>
    </row>
    <row r="19182" spans="1:5">
      <c r="A19182" t="s">
        <v>22241</v>
      </c>
      <c r="B19182" t="s">
        <v>22245</v>
      </c>
      <c r="C19182">
        <f>0</f>
        <v>0</v>
      </c>
      <c r="D19182">
        <v>0.99439297666600002</v>
      </c>
      <c r="E19182">
        <v>24</v>
      </c>
    </row>
    <row r="19183" spans="1:5">
      <c r="A19183" t="s">
        <v>22241</v>
      </c>
      <c r="B19183" t="s">
        <v>22246</v>
      </c>
      <c r="C19183">
        <f>0</f>
        <v>0</v>
      </c>
      <c r="D19183">
        <v>0.99439297666600002</v>
      </c>
      <c r="E19183">
        <v>24</v>
      </c>
    </row>
    <row r="19184" spans="1:5">
      <c r="A19184" t="s">
        <v>22241</v>
      </c>
      <c r="B19184" t="s">
        <v>22247</v>
      </c>
      <c r="C19184">
        <f>0</f>
        <v>0</v>
      </c>
      <c r="D19184">
        <v>0.99439297666600002</v>
      </c>
      <c r="E19184">
        <v>24</v>
      </c>
    </row>
    <row r="19185" spans="1:5">
      <c r="A19185" t="s">
        <v>22241</v>
      </c>
      <c r="B19185" t="s">
        <v>22248</v>
      </c>
      <c r="C19185">
        <f>0</f>
        <v>0</v>
      </c>
      <c r="D19185">
        <v>0.99439297666600002</v>
      </c>
      <c r="E19185">
        <v>24</v>
      </c>
    </row>
    <row r="19186" spans="1:5">
      <c r="A19186" t="s">
        <v>22241</v>
      </c>
      <c r="B19186" t="s">
        <v>22249</v>
      </c>
      <c r="C19186">
        <v>0</v>
      </c>
      <c r="D19186">
        <v>0.99439297666600002</v>
      </c>
      <c r="E19186">
        <v>24</v>
      </c>
    </row>
    <row r="19187" spans="1:5">
      <c r="A19187" t="s">
        <v>22241</v>
      </c>
      <c r="B19187" t="s">
        <v>22250</v>
      </c>
      <c r="C19187">
        <f>0</f>
        <v>0</v>
      </c>
      <c r="D19187">
        <v>0.99439297666600002</v>
      </c>
      <c r="E19187">
        <v>24</v>
      </c>
    </row>
    <row r="19188" spans="1:5">
      <c r="A19188" t="s">
        <v>22241</v>
      </c>
      <c r="B19188" t="s">
        <v>22251</v>
      </c>
      <c r="C19188">
        <f>0</f>
        <v>0</v>
      </c>
      <c r="D19188">
        <v>0.99439297666600002</v>
      </c>
      <c r="E19188">
        <v>24</v>
      </c>
    </row>
    <row r="19189" spans="1:5">
      <c r="A19189" t="s">
        <v>22241</v>
      </c>
      <c r="B19189" t="s">
        <v>22252</v>
      </c>
      <c r="C19189">
        <f>0</f>
        <v>0</v>
      </c>
      <c r="D19189">
        <v>0.99439297666600002</v>
      </c>
      <c r="E19189">
        <v>24</v>
      </c>
    </row>
    <row r="19190" spans="1:5">
      <c r="A19190" t="s">
        <v>22253</v>
      </c>
      <c r="B19190" t="s">
        <v>22254</v>
      </c>
      <c r="C19190">
        <f>0</f>
        <v>0</v>
      </c>
      <c r="D19190">
        <v>0.95595075484500003</v>
      </c>
      <c r="E19190">
        <v>13.997001499250301</v>
      </c>
    </row>
    <row r="19191" spans="1:5">
      <c r="A19191" t="s">
        <v>22253</v>
      </c>
      <c r="B19191" t="s">
        <v>22255</v>
      </c>
      <c r="C19191">
        <v>0.33038818319300001</v>
      </c>
      <c r="D19191">
        <v>0.95595075484500003</v>
      </c>
      <c r="E19191">
        <v>13.997001499250301</v>
      </c>
    </row>
    <row r="19192" spans="1:5">
      <c r="A19192" t="s">
        <v>22253</v>
      </c>
      <c r="B19192" t="s">
        <v>22256</v>
      </c>
      <c r="C19192">
        <v>5.3724396311099999E-3</v>
      </c>
      <c r="D19192">
        <v>0.95595075484500003</v>
      </c>
      <c r="E19192">
        <v>13.997001499250301</v>
      </c>
    </row>
    <row r="19193" spans="1:5">
      <c r="A19193" t="s">
        <v>22253</v>
      </c>
      <c r="B19193" t="s">
        <v>22257</v>
      </c>
      <c r="C19193">
        <f>0</f>
        <v>0</v>
      </c>
      <c r="D19193">
        <v>0.95595075484500003</v>
      </c>
      <c r="E19193">
        <v>13.997001499250301</v>
      </c>
    </row>
    <row r="19194" spans="1:5">
      <c r="A19194" t="s">
        <v>22253</v>
      </c>
      <c r="B19194" t="s">
        <v>22258</v>
      </c>
      <c r="C19194">
        <f>0</f>
        <v>0</v>
      </c>
      <c r="D19194">
        <v>0.95595075484500003</v>
      </c>
      <c r="E19194">
        <v>13.997001499250301</v>
      </c>
    </row>
    <row r="19195" spans="1:5">
      <c r="A19195" t="s">
        <v>22259</v>
      </c>
      <c r="B19195" t="s">
        <v>22260</v>
      </c>
      <c r="C19195">
        <v>1.86404363178</v>
      </c>
      <c r="D19195">
        <v>0.96170407729899998</v>
      </c>
      <c r="E19195">
        <v>0.131934032983508</v>
      </c>
    </row>
    <row r="19196" spans="1:5">
      <c r="A19196" t="s">
        <v>22259</v>
      </c>
      <c r="B19196" t="s">
        <v>22261</v>
      </c>
      <c r="C19196">
        <f>-1.64601959399</f>
        <v>-1.64601959399</v>
      </c>
      <c r="D19196">
        <v>0.96170407729899998</v>
      </c>
      <c r="E19196">
        <v>0.131934032983508</v>
      </c>
    </row>
    <row r="19197" spans="1:5">
      <c r="A19197" t="s">
        <v>22262</v>
      </c>
      <c r="B19197" t="s">
        <v>22263</v>
      </c>
      <c r="C19197">
        <v>7.5086979235599996E-2</v>
      </c>
      <c r="D19197">
        <v>0.47012282388900001</v>
      </c>
      <c r="E19197">
        <v>0.86356821589205401</v>
      </c>
    </row>
    <row r="19198" spans="1:5">
      <c r="A19198" t="s">
        <v>22262</v>
      </c>
      <c r="B19198" t="s">
        <v>22264</v>
      </c>
      <c r="C19198">
        <f>0</f>
        <v>0</v>
      </c>
      <c r="D19198">
        <v>0.47012282388900001</v>
      </c>
      <c r="E19198">
        <v>0.86356821589205401</v>
      </c>
    </row>
    <row r="19199" spans="1:5">
      <c r="A19199" t="s">
        <v>22262</v>
      </c>
      <c r="B19199" t="s">
        <v>22265</v>
      </c>
      <c r="C19199">
        <v>0</v>
      </c>
      <c r="D19199">
        <v>0.47012282388900001</v>
      </c>
      <c r="E19199">
        <v>0.86356821589205401</v>
      </c>
    </row>
    <row r="19200" spans="1:5">
      <c r="A19200" t="s">
        <v>22262</v>
      </c>
      <c r="B19200" t="s">
        <v>22266</v>
      </c>
      <c r="C19200">
        <f>0</f>
        <v>0</v>
      </c>
      <c r="D19200">
        <v>0.47012282388900001</v>
      </c>
      <c r="E19200">
        <v>0.86356821589205401</v>
      </c>
    </row>
    <row r="19201" spans="1:5">
      <c r="A19201" t="s">
        <v>22267</v>
      </c>
      <c r="B19201" t="s">
        <v>22268</v>
      </c>
      <c r="C19201">
        <f>0.255617237024</f>
        <v>0.25561723702400002</v>
      </c>
      <c r="D19201">
        <v>0.97341015948099996</v>
      </c>
      <c r="E19201">
        <v>18.554722638680602</v>
      </c>
    </row>
    <row r="19202" spans="1:5">
      <c r="A19202" t="s">
        <v>22267</v>
      </c>
      <c r="B19202" t="s">
        <v>22269</v>
      </c>
      <c r="C19202">
        <f>0</f>
        <v>0</v>
      </c>
      <c r="D19202">
        <v>0.97341015948099996</v>
      </c>
      <c r="E19202">
        <v>18.554722638680602</v>
      </c>
    </row>
    <row r="19203" spans="1:5">
      <c r="A19203" t="s">
        <v>22267</v>
      </c>
      <c r="B19203" t="s">
        <v>22270</v>
      </c>
      <c r="C19203">
        <f>0</f>
        <v>0</v>
      </c>
      <c r="D19203">
        <v>0.97341015948099996</v>
      </c>
      <c r="E19203">
        <v>18.554722638680602</v>
      </c>
    </row>
    <row r="19204" spans="1:5">
      <c r="A19204" t="s">
        <v>22267</v>
      </c>
      <c r="B19204" t="s">
        <v>22271</v>
      </c>
      <c r="C19204">
        <f>0</f>
        <v>0</v>
      </c>
      <c r="D19204">
        <v>0.97341015948099996</v>
      </c>
      <c r="E19204">
        <v>18.554722638680602</v>
      </c>
    </row>
    <row r="19205" spans="1:5">
      <c r="A19205" t="s">
        <v>22267</v>
      </c>
      <c r="B19205" t="s">
        <v>22272</v>
      </c>
      <c r="C19205">
        <f>0.00478080572752</f>
        <v>4.7808057275199999E-3</v>
      </c>
      <c r="D19205">
        <v>0.97341015948099996</v>
      </c>
      <c r="E19205">
        <v>18.554722638680602</v>
      </c>
    </row>
    <row r="19206" spans="1:5">
      <c r="A19206" t="s">
        <v>22267</v>
      </c>
      <c r="B19206" t="s">
        <v>22273</v>
      </c>
      <c r="C19206">
        <f>0</f>
        <v>0</v>
      </c>
      <c r="D19206">
        <v>0.97341015948099996</v>
      </c>
      <c r="E19206">
        <v>18.554722638680602</v>
      </c>
    </row>
    <row r="19207" spans="1:5">
      <c r="A19207" t="s">
        <v>22267</v>
      </c>
      <c r="B19207" t="s">
        <v>22274</v>
      </c>
      <c r="C19207">
        <v>0</v>
      </c>
      <c r="D19207">
        <v>0.97341015948099996</v>
      </c>
      <c r="E19207">
        <v>18.554722638680602</v>
      </c>
    </row>
    <row r="19208" spans="1:5">
      <c r="A19208" t="s">
        <v>22267</v>
      </c>
      <c r="B19208" t="s">
        <v>22275</v>
      </c>
      <c r="C19208">
        <v>0</v>
      </c>
      <c r="D19208">
        <v>0.97341015948099996</v>
      </c>
      <c r="E19208">
        <v>18.554722638680602</v>
      </c>
    </row>
    <row r="19209" spans="1:5">
      <c r="A19209" t="s">
        <v>22276</v>
      </c>
      <c r="B19209" t="s">
        <v>22277</v>
      </c>
      <c r="C19209">
        <v>0</v>
      </c>
      <c r="D19209" t="s">
        <v>106</v>
      </c>
      <c r="E19209">
        <v>0.77961019490254801</v>
      </c>
    </row>
    <row r="19210" spans="1:5">
      <c r="A19210" t="s">
        <v>22276</v>
      </c>
      <c r="B19210" t="s">
        <v>22278</v>
      </c>
      <c r="C19210">
        <v>0</v>
      </c>
      <c r="D19210" t="s">
        <v>106</v>
      </c>
      <c r="E19210">
        <v>0.77961019490254801</v>
      </c>
    </row>
    <row r="19211" spans="1:5">
      <c r="A19211" t="s">
        <v>22276</v>
      </c>
      <c r="B19211" t="s">
        <v>22279</v>
      </c>
      <c r="C19211">
        <v>0</v>
      </c>
      <c r="D19211" t="s">
        <v>106</v>
      </c>
      <c r="E19211">
        <v>0.77961019490254801</v>
      </c>
    </row>
    <row r="19212" spans="1:5">
      <c r="A19212" t="s">
        <v>22280</v>
      </c>
      <c r="B19212" t="s">
        <v>22281</v>
      </c>
      <c r="C19212">
        <f>0.18083164858</f>
        <v>0.18083164858</v>
      </c>
      <c r="D19212">
        <v>0.59678979117700004</v>
      </c>
      <c r="E19212">
        <v>0.91154422788605605</v>
      </c>
    </row>
    <row r="19213" spans="1:5">
      <c r="A19213" t="s">
        <v>22280</v>
      </c>
      <c r="B19213" t="s">
        <v>22282</v>
      </c>
      <c r="C19213">
        <v>0</v>
      </c>
      <c r="D19213">
        <v>0.59678979117700004</v>
      </c>
      <c r="E19213">
        <v>0.91154422788605605</v>
      </c>
    </row>
    <row r="19214" spans="1:5">
      <c r="A19214" t="s">
        <v>22280</v>
      </c>
      <c r="B19214" t="s">
        <v>22283</v>
      </c>
      <c r="C19214">
        <f>0</f>
        <v>0</v>
      </c>
      <c r="D19214">
        <v>0.59678979117700004</v>
      </c>
      <c r="E19214">
        <v>0.91154422788605605</v>
      </c>
    </row>
    <row r="19215" spans="1:5">
      <c r="A19215" t="s">
        <v>22284</v>
      </c>
      <c r="B19215" t="s">
        <v>22285</v>
      </c>
      <c r="C19215">
        <v>0.35404964463900002</v>
      </c>
      <c r="D19215">
        <v>0.99330268467899996</v>
      </c>
      <c r="E19215">
        <v>16.299850074962499</v>
      </c>
    </row>
    <row r="19216" spans="1:5">
      <c r="A19216" t="s">
        <v>22286</v>
      </c>
      <c r="B19216" t="s">
        <v>22287</v>
      </c>
      <c r="C19216">
        <v>0</v>
      </c>
      <c r="D19216" t="s">
        <v>106</v>
      </c>
      <c r="E19216">
        <v>14.740629685157399</v>
      </c>
    </row>
    <row r="19217" spans="1:5">
      <c r="A19217" t="s">
        <v>22286</v>
      </c>
      <c r="B19217" t="s">
        <v>22288</v>
      </c>
      <c r="C19217">
        <f>0</f>
        <v>0</v>
      </c>
      <c r="D19217" t="s">
        <v>106</v>
      </c>
      <c r="E19217">
        <v>14.740629685157399</v>
      </c>
    </row>
    <row r="19218" spans="1:5">
      <c r="A19218" t="s">
        <v>22286</v>
      </c>
      <c r="B19218" t="s">
        <v>22289</v>
      </c>
      <c r="C19218">
        <f>0</f>
        <v>0</v>
      </c>
      <c r="D19218" t="s">
        <v>106</v>
      </c>
      <c r="E19218">
        <v>14.740629685157399</v>
      </c>
    </row>
    <row r="19219" spans="1:5">
      <c r="A19219" t="s">
        <v>22286</v>
      </c>
      <c r="B19219" t="s">
        <v>22290</v>
      </c>
      <c r="C19219">
        <f>0</f>
        <v>0</v>
      </c>
      <c r="D19219" t="s">
        <v>106</v>
      </c>
      <c r="E19219">
        <v>14.740629685157399</v>
      </c>
    </row>
    <row r="19220" spans="1:5">
      <c r="A19220" t="s">
        <v>22286</v>
      </c>
      <c r="B19220" t="s">
        <v>22291</v>
      </c>
      <c r="C19220">
        <v>0</v>
      </c>
      <c r="D19220" t="s">
        <v>106</v>
      </c>
      <c r="E19220">
        <v>14.740629685157399</v>
      </c>
    </row>
    <row r="19221" spans="1:5">
      <c r="A19221" t="s">
        <v>22286</v>
      </c>
      <c r="B19221" t="s">
        <v>22292</v>
      </c>
      <c r="C19221">
        <f>0</f>
        <v>0</v>
      </c>
      <c r="D19221" t="s">
        <v>106</v>
      </c>
      <c r="E19221">
        <v>14.740629685157399</v>
      </c>
    </row>
    <row r="19222" spans="1:5">
      <c r="A19222" t="s">
        <v>22286</v>
      </c>
      <c r="B19222" t="s">
        <v>22293</v>
      </c>
      <c r="C19222">
        <v>0</v>
      </c>
      <c r="D19222" t="s">
        <v>106</v>
      </c>
      <c r="E19222">
        <v>14.740629685157399</v>
      </c>
    </row>
    <row r="19223" spans="1:5">
      <c r="A19223" t="s">
        <v>22286</v>
      </c>
      <c r="B19223" t="s">
        <v>22294</v>
      </c>
      <c r="C19223">
        <f>0</f>
        <v>0</v>
      </c>
      <c r="D19223" t="s">
        <v>106</v>
      </c>
      <c r="E19223">
        <v>14.740629685157399</v>
      </c>
    </row>
    <row r="19224" spans="1:5">
      <c r="A19224" t="s">
        <v>22295</v>
      </c>
      <c r="B19224" t="s">
        <v>22296</v>
      </c>
      <c r="C19224">
        <v>6.30529921159E-2</v>
      </c>
      <c r="D19224">
        <v>0.98614619473099996</v>
      </c>
      <c r="E19224">
        <v>24</v>
      </c>
    </row>
    <row r="19225" spans="1:5">
      <c r="A19225" t="s">
        <v>22295</v>
      </c>
      <c r="B19225" t="s">
        <v>22297</v>
      </c>
      <c r="C19225">
        <f>0</f>
        <v>0</v>
      </c>
      <c r="D19225">
        <v>0.98614619473099996</v>
      </c>
      <c r="E19225">
        <v>24</v>
      </c>
    </row>
    <row r="19226" spans="1:5">
      <c r="A19226" t="s">
        <v>22295</v>
      </c>
      <c r="B19226" t="s">
        <v>22298</v>
      </c>
      <c r="C19226">
        <f>0</f>
        <v>0</v>
      </c>
      <c r="D19226">
        <v>0.98614619473099996</v>
      </c>
      <c r="E19226">
        <v>24</v>
      </c>
    </row>
    <row r="19227" spans="1:5">
      <c r="A19227" t="s">
        <v>22295</v>
      </c>
      <c r="B19227" t="s">
        <v>22299</v>
      </c>
      <c r="C19227">
        <f>0</f>
        <v>0</v>
      </c>
      <c r="D19227">
        <v>0.98614619473099996</v>
      </c>
      <c r="E19227">
        <v>24</v>
      </c>
    </row>
    <row r="19228" spans="1:5">
      <c r="A19228" t="s">
        <v>22295</v>
      </c>
      <c r="B19228" t="s">
        <v>22300</v>
      </c>
      <c r="C19228">
        <f>0</f>
        <v>0</v>
      </c>
      <c r="D19228">
        <v>0.98614619473099996</v>
      </c>
      <c r="E19228">
        <v>24</v>
      </c>
    </row>
    <row r="19229" spans="1:5">
      <c r="A19229" t="s">
        <v>22301</v>
      </c>
      <c r="B19229" t="s">
        <v>22302</v>
      </c>
      <c r="C19229">
        <v>0</v>
      </c>
      <c r="D19229" t="s">
        <v>106</v>
      </c>
      <c r="E19229">
        <v>16.095952023988001</v>
      </c>
    </row>
    <row r="19230" spans="1:5">
      <c r="A19230" t="s">
        <v>22301</v>
      </c>
      <c r="B19230" t="s">
        <v>22303</v>
      </c>
      <c r="C19230">
        <v>0</v>
      </c>
      <c r="D19230" t="s">
        <v>106</v>
      </c>
      <c r="E19230">
        <v>16.095952023988001</v>
      </c>
    </row>
    <row r="19231" spans="1:5">
      <c r="A19231" t="s">
        <v>22301</v>
      </c>
      <c r="B19231" t="s">
        <v>22304</v>
      </c>
      <c r="C19231">
        <f>0</f>
        <v>0</v>
      </c>
      <c r="D19231" t="s">
        <v>106</v>
      </c>
      <c r="E19231">
        <v>16.095952023988001</v>
      </c>
    </row>
    <row r="19232" spans="1:5">
      <c r="A19232" t="s">
        <v>22301</v>
      </c>
      <c r="B19232" t="s">
        <v>22305</v>
      </c>
      <c r="C19232">
        <f>0</f>
        <v>0</v>
      </c>
      <c r="D19232" t="s">
        <v>106</v>
      </c>
      <c r="E19232">
        <v>16.095952023988001</v>
      </c>
    </row>
    <row r="19233" spans="1:5">
      <c r="A19233" t="s">
        <v>22301</v>
      </c>
      <c r="B19233" t="s">
        <v>22306</v>
      </c>
      <c r="C19233">
        <f>0</f>
        <v>0</v>
      </c>
      <c r="D19233" t="s">
        <v>106</v>
      </c>
      <c r="E19233">
        <v>16.095952023988001</v>
      </c>
    </row>
    <row r="19234" spans="1:5">
      <c r="A19234" t="s">
        <v>22301</v>
      </c>
      <c r="B19234" t="s">
        <v>22307</v>
      </c>
      <c r="C19234">
        <v>0</v>
      </c>
      <c r="D19234" t="s">
        <v>106</v>
      </c>
      <c r="E19234">
        <v>16.095952023988001</v>
      </c>
    </row>
    <row r="19235" spans="1:5">
      <c r="A19235" t="s">
        <v>22308</v>
      </c>
      <c r="B19235" t="s">
        <v>22309</v>
      </c>
      <c r="C19235">
        <v>0</v>
      </c>
      <c r="D19235">
        <v>0.57219513117300003</v>
      </c>
      <c r="E19235">
        <v>17.307346326836502</v>
      </c>
    </row>
    <row r="19236" spans="1:5">
      <c r="A19236" t="s">
        <v>22308</v>
      </c>
      <c r="B19236" t="s">
        <v>22310</v>
      </c>
      <c r="C19236">
        <f>0.182658517723</f>
        <v>0.18265851772300001</v>
      </c>
      <c r="D19236">
        <v>0.57219513117300003</v>
      </c>
      <c r="E19236">
        <v>17.307346326836502</v>
      </c>
    </row>
    <row r="19237" spans="1:5">
      <c r="A19237" t="s">
        <v>22308</v>
      </c>
      <c r="B19237" t="s">
        <v>22311</v>
      </c>
      <c r="C19237">
        <v>1.0077956160599999E-2</v>
      </c>
      <c r="D19237">
        <v>0.57219513117300003</v>
      </c>
      <c r="E19237">
        <v>17.307346326836502</v>
      </c>
    </row>
    <row r="19238" spans="1:5">
      <c r="A19238" t="s">
        <v>22308</v>
      </c>
      <c r="B19238" t="s">
        <v>22312</v>
      </c>
      <c r="C19238">
        <f>0</f>
        <v>0</v>
      </c>
      <c r="D19238">
        <v>0.57219513117300003</v>
      </c>
      <c r="E19238">
        <v>17.307346326836502</v>
      </c>
    </row>
    <row r="19239" spans="1:5">
      <c r="A19239" t="s">
        <v>22308</v>
      </c>
      <c r="B19239" t="s">
        <v>22313</v>
      </c>
      <c r="C19239">
        <v>0</v>
      </c>
      <c r="D19239">
        <v>0.57219513117300003</v>
      </c>
      <c r="E19239">
        <v>17.307346326836502</v>
      </c>
    </row>
    <row r="19240" spans="1:5">
      <c r="A19240" t="s">
        <v>22314</v>
      </c>
      <c r="B19240" t="s">
        <v>22315</v>
      </c>
      <c r="C19240">
        <f>0</f>
        <v>0</v>
      </c>
      <c r="D19240" t="s">
        <v>106</v>
      </c>
      <c r="E19240">
        <v>24</v>
      </c>
    </row>
    <row r="19241" spans="1:5">
      <c r="A19241" t="s">
        <v>22316</v>
      </c>
      <c r="B19241" t="s">
        <v>22317</v>
      </c>
      <c r="C19241">
        <f>0</f>
        <v>0</v>
      </c>
      <c r="D19241">
        <v>0.93747461546699995</v>
      </c>
      <c r="E19241">
        <v>3.0464767616191901</v>
      </c>
    </row>
    <row r="19242" spans="1:5">
      <c r="A19242" t="s">
        <v>22316</v>
      </c>
      <c r="B19242" t="s">
        <v>22318</v>
      </c>
      <c r="C19242">
        <f>0</f>
        <v>0</v>
      </c>
      <c r="D19242">
        <v>0.93747461546699995</v>
      </c>
      <c r="E19242">
        <v>3.0464767616191901</v>
      </c>
    </row>
    <row r="19243" spans="1:5">
      <c r="A19243" t="s">
        <v>22316</v>
      </c>
      <c r="B19243" t="s">
        <v>22319</v>
      </c>
      <c r="C19243">
        <v>4.3776674299000001E-4</v>
      </c>
      <c r="D19243">
        <v>0.93747461546699995</v>
      </c>
      <c r="E19243">
        <v>3.0464767616191901</v>
      </c>
    </row>
    <row r="19244" spans="1:5">
      <c r="A19244" t="s">
        <v>22316</v>
      </c>
      <c r="B19244" t="s">
        <v>22320</v>
      </c>
      <c r="C19244">
        <v>0</v>
      </c>
      <c r="D19244">
        <v>0.93747461546699995</v>
      </c>
      <c r="E19244">
        <v>3.0464767616191901</v>
      </c>
    </row>
    <row r="19245" spans="1:5">
      <c r="A19245" t="s">
        <v>22316</v>
      </c>
      <c r="B19245" t="s">
        <v>22321</v>
      </c>
      <c r="C19245">
        <f>0</f>
        <v>0</v>
      </c>
      <c r="D19245">
        <v>0.93747461546699995</v>
      </c>
      <c r="E19245">
        <v>3.0464767616191901</v>
      </c>
    </row>
    <row r="19246" spans="1:5">
      <c r="A19246" t="s">
        <v>22316</v>
      </c>
      <c r="B19246" t="s">
        <v>22322</v>
      </c>
      <c r="C19246">
        <v>0.161874944459</v>
      </c>
      <c r="D19246">
        <v>0.93747461546699995</v>
      </c>
      <c r="E19246">
        <v>3.0464767616191901</v>
      </c>
    </row>
    <row r="19247" spans="1:5">
      <c r="A19247" t="s">
        <v>22316</v>
      </c>
      <c r="B19247" t="s">
        <v>22323</v>
      </c>
      <c r="C19247">
        <v>0</v>
      </c>
      <c r="D19247">
        <v>0.93747461546699995</v>
      </c>
      <c r="E19247">
        <v>3.0464767616191901</v>
      </c>
    </row>
    <row r="19248" spans="1:5">
      <c r="A19248" t="s">
        <v>22316</v>
      </c>
      <c r="B19248" t="s">
        <v>22324</v>
      </c>
      <c r="C19248">
        <v>0</v>
      </c>
      <c r="D19248">
        <v>0.93747461546699995</v>
      </c>
      <c r="E19248">
        <v>3.0464767616191901</v>
      </c>
    </row>
    <row r="19249" spans="1:5">
      <c r="A19249" t="s">
        <v>22316</v>
      </c>
      <c r="B19249" t="s">
        <v>22325</v>
      </c>
      <c r="C19249">
        <f>0</f>
        <v>0</v>
      </c>
      <c r="D19249">
        <v>0.93747461546699995</v>
      </c>
      <c r="E19249">
        <v>3.0464767616191901</v>
      </c>
    </row>
    <row r="19250" spans="1:5">
      <c r="A19250" t="s">
        <v>22316</v>
      </c>
      <c r="B19250" t="s">
        <v>22326</v>
      </c>
      <c r="C19250">
        <f>0</f>
        <v>0</v>
      </c>
      <c r="D19250">
        <v>0.93747461546699995</v>
      </c>
      <c r="E19250">
        <v>3.0464767616191901</v>
      </c>
    </row>
    <row r="19251" spans="1:5">
      <c r="A19251" t="s">
        <v>22316</v>
      </c>
      <c r="B19251" t="s">
        <v>22327</v>
      </c>
      <c r="C19251">
        <f>0</f>
        <v>0</v>
      </c>
      <c r="D19251">
        <v>0.93747461546699995</v>
      </c>
      <c r="E19251">
        <v>3.0464767616191901</v>
      </c>
    </row>
    <row r="19252" spans="1:5">
      <c r="A19252" t="s">
        <v>22328</v>
      </c>
      <c r="B19252" t="s">
        <v>22329</v>
      </c>
      <c r="C19252">
        <v>0</v>
      </c>
      <c r="D19252">
        <v>0.99316804944600001</v>
      </c>
      <c r="E19252">
        <v>4.1739130434782599</v>
      </c>
    </row>
    <row r="19253" spans="1:5">
      <c r="A19253" t="s">
        <v>22328</v>
      </c>
      <c r="B19253" t="s">
        <v>22330</v>
      </c>
      <c r="C19253">
        <v>0.196703940371</v>
      </c>
      <c r="D19253">
        <v>0.99316804944600001</v>
      </c>
      <c r="E19253">
        <v>4.1739130434782599</v>
      </c>
    </row>
    <row r="19254" spans="1:5">
      <c r="A19254" t="s">
        <v>22328</v>
      </c>
      <c r="B19254" t="s">
        <v>22331</v>
      </c>
      <c r="C19254">
        <v>0</v>
      </c>
      <c r="D19254">
        <v>0.99316804944600001</v>
      </c>
      <c r="E19254">
        <v>4.1739130434782599</v>
      </c>
    </row>
    <row r="19255" spans="1:5">
      <c r="A19255" t="s">
        <v>22328</v>
      </c>
      <c r="B19255" t="s">
        <v>22332</v>
      </c>
      <c r="C19255">
        <v>0</v>
      </c>
      <c r="D19255">
        <v>0.99316804944600001</v>
      </c>
      <c r="E19255">
        <v>4.1739130434782599</v>
      </c>
    </row>
    <row r="19256" spans="1:5">
      <c r="A19256" t="s">
        <v>22328</v>
      </c>
      <c r="B19256" t="s">
        <v>22333</v>
      </c>
      <c r="C19256">
        <v>0.28772942913799998</v>
      </c>
      <c r="D19256">
        <v>0.99316804944600001</v>
      </c>
      <c r="E19256">
        <v>4.1739130434782599</v>
      </c>
    </row>
    <row r="19257" spans="1:5">
      <c r="A19257" t="s">
        <v>22328</v>
      </c>
      <c r="B19257" t="s">
        <v>22334</v>
      </c>
      <c r="C19257">
        <f>0</f>
        <v>0</v>
      </c>
      <c r="D19257">
        <v>0.99316804944600001</v>
      </c>
      <c r="E19257">
        <v>4.1739130434782599</v>
      </c>
    </row>
    <row r="19258" spans="1:5">
      <c r="A19258" t="s">
        <v>22328</v>
      </c>
      <c r="B19258" t="s">
        <v>22335</v>
      </c>
      <c r="C19258">
        <v>0</v>
      </c>
      <c r="D19258">
        <v>0.99316804944600001</v>
      </c>
      <c r="E19258">
        <v>4.1739130434782599</v>
      </c>
    </row>
    <row r="19259" spans="1:5">
      <c r="A19259" t="s">
        <v>22328</v>
      </c>
      <c r="B19259" t="s">
        <v>22336</v>
      </c>
      <c r="C19259">
        <f>0</f>
        <v>0</v>
      </c>
      <c r="D19259">
        <v>0.99316804944600001</v>
      </c>
      <c r="E19259">
        <v>4.1739130434782599</v>
      </c>
    </row>
    <row r="19260" spans="1:5">
      <c r="A19260" t="s">
        <v>22328</v>
      </c>
      <c r="B19260" t="s">
        <v>22337</v>
      </c>
      <c r="C19260">
        <f>0</f>
        <v>0</v>
      </c>
      <c r="D19260">
        <v>0.99316804944600001</v>
      </c>
      <c r="E19260">
        <v>4.1739130434782599</v>
      </c>
    </row>
    <row r="19261" spans="1:5">
      <c r="A19261" t="s">
        <v>22328</v>
      </c>
      <c r="B19261" t="s">
        <v>22338</v>
      </c>
      <c r="C19261">
        <v>0</v>
      </c>
      <c r="D19261">
        <v>0.99316804944600001</v>
      </c>
      <c r="E19261">
        <v>4.1739130434782599</v>
      </c>
    </row>
    <row r="19262" spans="1:5">
      <c r="A19262" t="s">
        <v>22339</v>
      </c>
      <c r="B19262" t="s">
        <v>22340</v>
      </c>
      <c r="C19262">
        <v>0</v>
      </c>
      <c r="D19262">
        <v>0.70748280426400001</v>
      </c>
      <c r="E19262">
        <v>24</v>
      </c>
    </row>
    <row r="19263" spans="1:5">
      <c r="A19263" t="s">
        <v>22339</v>
      </c>
      <c r="B19263" t="s">
        <v>22341</v>
      </c>
      <c r="C19263">
        <v>0</v>
      </c>
      <c r="D19263">
        <v>0.70748280426400001</v>
      </c>
      <c r="E19263">
        <v>24</v>
      </c>
    </row>
    <row r="19264" spans="1:5">
      <c r="A19264" t="s">
        <v>22339</v>
      </c>
      <c r="B19264" t="s">
        <v>22342</v>
      </c>
      <c r="C19264">
        <f>0</f>
        <v>0</v>
      </c>
      <c r="D19264">
        <v>0.70748280426400001</v>
      </c>
      <c r="E19264">
        <v>24</v>
      </c>
    </row>
    <row r="19265" spans="1:5">
      <c r="A19265" t="s">
        <v>22343</v>
      </c>
      <c r="B19265" t="s">
        <v>22344</v>
      </c>
      <c r="C19265">
        <f>0</f>
        <v>0</v>
      </c>
      <c r="D19265">
        <v>0.66390452828099999</v>
      </c>
      <c r="E19265">
        <v>4.1739130434782599</v>
      </c>
    </row>
    <row r="19266" spans="1:5">
      <c r="A19266" t="s">
        <v>22343</v>
      </c>
      <c r="B19266" t="s">
        <v>22345</v>
      </c>
      <c r="C19266">
        <v>0</v>
      </c>
      <c r="D19266">
        <v>0.66390452828099999</v>
      </c>
      <c r="E19266">
        <v>4.1739130434782599</v>
      </c>
    </row>
    <row r="19267" spans="1:5">
      <c r="A19267" t="s">
        <v>22343</v>
      </c>
      <c r="B19267" t="s">
        <v>22346</v>
      </c>
      <c r="C19267">
        <f>0.010424323248</f>
        <v>1.0424323248E-2</v>
      </c>
      <c r="D19267">
        <v>0.66390452828099999</v>
      </c>
      <c r="E19267">
        <v>4.1739130434782599</v>
      </c>
    </row>
    <row r="19268" spans="1:5">
      <c r="A19268" t="s">
        <v>22347</v>
      </c>
      <c r="B19268" t="s">
        <v>22348</v>
      </c>
      <c r="C19268">
        <v>0</v>
      </c>
      <c r="D19268" t="s">
        <v>106</v>
      </c>
      <c r="E19268">
        <v>16.899550224887498</v>
      </c>
    </row>
    <row r="19269" spans="1:5">
      <c r="A19269" t="s">
        <v>22347</v>
      </c>
      <c r="B19269" t="s">
        <v>22349</v>
      </c>
      <c r="C19269">
        <f>0.0527605155114</f>
        <v>5.27605155114E-2</v>
      </c>
      <c r="D19269" t="s">
        <v>106</v>
      </c>
      <c r="E19269">
        <v>16.899550224887498</v>
      </c>
    </row>
    <row r="19270" spans="1:5">
      <c r="A19270" t="s">
        <v>22347</v>
      </c>
      <c r="B19270" t="s">
        <v>22350</v>
      </c>
      <c r="C19270">
        <v>0</v>
      </c>
      <c r="D19270" t="s">
        <v>106</v>
      </c>
      <c r="E19270">
        <v>16.899550224887498</v>
      </c>
    </row>
    <row r="19271" spans="1:5">
      <c r="A19271" t="s">
        <v>22347</v>
      </c>
      <c r="B19271" t="s">
        <v>22351</v>
      </c>
      <c r="C19271">
        <v>0</v>
      </c>
      <c r="D19271" t="s">
        <v>106</v>
      </c>
      <c r="E19271">
        <v>16.899550224887498</v>
      </c>
    </row>
    <row r="19272" spans="1:5">
      <c r="A19272" t="s">
        <v>22347</v>
      </c>
      <c r="B19272" t="s">
        <v>22352</v>
      </c>
      <c r="C19272">
        <v>0</v>
      </c>
      <c r="D19272" t="s">
        <v>106</v>
      </c>
      <c r="E19272">
        <v>16.899550224887498</v>
      </c>
    </row>
    <row r="19273" spans="1:5">
      <c r="A19273" t="s">
        <v>22347</v>
      </c>
      <c r="B19273" t="s">
        <v>22353</v>
      </c>
      <c r="C19273">
        <v>7.0394926581099998E-2</v>
      </c>
      <c r="D19273" t="s">
        <v>106</v>
      </c>
      <c r="E19273">
        <v>16.899550224887498</v>
      </c>
    </row>
    <row r="19274" spans="1:5">
      <c r="A19274" t="s">
        <v>22347</v>
      </c>
      <c r="B19274" t="s">
        <v>22354</v>
      </c>
      <c r="C19274">
        <v>0</v>
      </c>
      <c r="D19274" t="s">
        <v>106</v>
      </c>
      <c r="E19274">
        <v>16.899550224887498</v>
      </c>
    </row>
    <row r="19275" spans="1:5">
      <c r="A19275" t="s">
        <v>22355</v>
      </c>
      <c r="B19275" t="s">
        <v>22356</v>
      </c>
      <c r="C19275">
        <f>0</f>
        <v>0</v>
      </c>
      <c r="D19275" t="s">
        <v>106</v>
      </c>
      <c r="E19275">
        <v>24</v>
      </c>
    </row>
    <row r="19276" spans="1:5">
      <c r="A19276" t="s">
        <v>22355</v>
      </c>
      <c r="B19276" t="s">
        <v>22357</v>
      </c>
      <c r="C19276">
        <f>0.0321454915999</f>
        <v>3.2145491599900003E-2</v>
      </c>
      <c r="D19276" t="s">
        <v>106</v>
      </c>
      <c r="E19276">
        <v>24</v>
      </c>
    </row>
    <row r="19277" spans="1:5">
      <c r="A19277" t="s">
        <v>22358</v>
      </c>
      <c r="B19277" t="s">
        <v>22359</v>
      </c>
      <c r="C19277">
        <f>0</f>
        <v>0</v>
      </c>
      <c r="D19277">
        <v>0.81573055342</v>
      </c>
      <c r="E19277">
        <v>2.8785607196401801</v>
      </c>
    </row>
    <row r="19278" spans="1:5">
      <c r="A19278" t="s">
        <v>22358</v>
      </c>
      <c r="B19278" t="s">
        <v>22360</v>
      </c>
      <c r="C19278">
        <v>0</v>
      </c>
      <c r="D19278">
        <v>0.81573055342</v>
      </c>
      <c r="E19278">
        <v>2.8785607196401801</v>
      </c>
    </row>
    <row r="19279" spans="1:5">
      <c r="A19279" t="s">
        <v>22358</v>
      </c>
      <c r="B19279" t="s">
        <v>22361</v>
      </c>
      <c r="C19279">
        <v>0</v>
      </c>
      <c r="D19279">
        <v>0.81573055342</v>
      </c>
      <c r="E19279">
        <v>2.8785607196401801</v>
      </c>
    </row>
    <row r="19280" spans="1:5">
      <c r="A19280" t="s">
        <v>22362</v>
      </c>
      <c r="B19280" t="s">
        <v>22363</v>
      </c>
      <c r="C19280">
        <v>0</v>
      </c>
      <c r="D19280">
        <v>0.99803042803300002</v>
      </c>
      <c r="E19280">
        <v>18.554722638680602</v>
      </c>
    </row>
    <row r="19281" spans="1:5">
      <c r="A19281" t="s">
        <v>22362</v>
      </c>
      <c r="B19281" t="s">
        <v>22364</v>
      </c>
      <c r="C19281">
        <v>0</v>
      </c>
      <c r="D19281">
        <v>0.99803042803300002</v>
      </c>
      <c r="E19281">
        <v>18.554722638680602</v>
      </c>
    </row>
    <row r="19282" spans="1:5">
      <c r="A19282" t="s">
        <v>22362</v>
      </c>
      <c r="B19282" t="s">
        <v>22365</v>
      </c>
      <c r="C19282">
        <f>0</f>
        <v>0</v>
      </c>
      <c r="D19282">
        <v>0.99803042803300002</v>
      </c>
      <c r="E19282">
        <v>18.554722638680602</v>
      </c>
    </row>
    <row r="19283" spans="1:5">
      <c r="A19283" t="s">
        <v>22362</v>
      </c>
      <c r="B19283" t="s">
        <v>22366</v>
      </c>
      <c r="C19283">
        <f>0</f>
        <v>0</v>
      </c>
      <c r="D19283">
        <v>0.99803042803300002</v>
      </c>
      <c r="E19283">
        <v>18.554722638680602</v>
      </c>
    </row>
    <row r="19284" spans="1:5">
      <c r="A19284" t="s">
        <v>22362</v>
      </c>
      <c r="B19284" t="s">
        <v>22367</v>
      </c>
      <c r="C19284">
        <f>0</f>
        <v>0</v>
      </c>
      <c r="D19284">
        <v>0.99803042803300002</v>
      </c>
      <c r="E19284">
        <v>18.554722638680602</v>
      </c>
    </row>
    <row r="19285" spans="1:5">
      <c r="A19285" t="s">
        <v>22362</v>
      </c>
      <c r="B19285" t="s">
        <v>22368</v>
      </c>
      <c r="C19285">
        <f>0</f>
        <v>0</v>
      </c>
      <c r="D19285">
        <v>0.99803042803300002</v>
      </c>
      <c r="E19285">
        <v>18.554722638680602</v>
      </c>
    </row>
    <row r="19286" spans="1:5">
      <c r="A19286" t="s">
        <v>22362</v>
      </c>
      <c r="B19286" t="s">
        <v>22369</v>
      </c>
      <c r="C19286">
        <f>0</f>
        <v>0</v>
      </c>
      <c r="D19286">
        <v>0.99803042803300002</v>
      </c>
      <c r="E19286">
        <v>18.554722638680602</v>
      </c>
    </row>
    <row r="19287" spans="1:5">
      <c r="A19287" t="s">
        <v>22362</v>
      </c>
      <c r="B19287" t="s">
        <v>22370</v>
      </c>
      <c r="C19287">
        <v>0</v>
      </c>
      <c r="D19287">
        <v>0.99803042803300002</v>
      </c>
      <c r="E19287">
        <v>18.554722638680602</v>
      </c>
    </row>
    <row r="19288" spans="1:5">
      <c r="A19288" t="s">
        <v>22362</v>
      </c>
      <c r="B19288" t="s">
        <v>22371</v>
      </c>
      <c r="C19288">
        <f>0</f>
        <v>0</v>
      </c>
      <c r="D19288">
        <v>0.99803042803300002</v>
      </c>
      <c r="E19288">
        <v>18.554722638680602</v>
      </c>
    </row>
    <row r="19289" spans="1:5">
      <c r="A19289" t="s">
        <v>22362</v>
      </c>
      <c r="B19289" t="s">
        <v>22372</v>
      </c>
      <c r="C19289">
        <v>0</v>
      </c>
      <c r="D19289">
        <v>0.99803042803300002</v>
      </c>
      <c r="E19289">
        <v>18.554722638680602</v>
      </c>
    </row>
    <row r="19290" spans="1:5">
      <c r="A19290" t="s">
        <v>22362</v>
      </c>
      <c r="B19290" t="s">
        <v>22373</v>
      </c>
      <c r="C19290">
        <v>0</v>
      </c>
      <c r="D19290">
        <v>0.99803042803300002</v>
      </c>
      <c r="E19290">
        <v>18.554722638680602</v>
      </c>
    </row>
    <row r="19291" spans="1:5">
      <c r="A19291" t="s">
        <v>22362</v>
      </c>
      <c r="B19291" t="s">
        <v>22374</v>
      </c>
      <c r="C19291">
        <f>0</f>
        <v>0</v>
      </c>
      <c r="D19291">
        <v>0.99803042803300002</v>
      </c>
      <c r="E19291">
        <v>18.554722638680602</v>
      </c>
    </row>
    <row r="19292" spans="1:5">
      <c r="A19292" t="s">
        <v>22362</v>
      </c>
      <c r="B19292" t="s">
        <v>22375</v>
      </c>
      <c r="C19292">
        <v>0</v>
      </c>
      <c r="D19292">
        <v>0.99803042803300002</v>
      </c>
      <c r="E19292">
        <v>18.554722638680602</v>
      </c>
    </row>
    <row r="19293" spans="1:5">
      <c r="A19293" t="s">
        <v>22362</v>
      </c>
      <c r="B19293" t="s">
        <v>22376</v>
      </c>
      <c r="C19293">
        <f>0.0349057452396</f>
        <v>3.4905745239600001E-2</v>
      </c>
      <c r="D19293">
        <v>0.99803042803300002</v>
      </c>
      <c r="E19293">
        <v>18.554722638680602</v>
      </c>
    </row>
    <row r="19294" spans="1:5">
      <c r="A19294" t="s">
        <v>22362</v>
      </c>
      <c r="B19294" t="s">
        <v>22377</v>
      </c>
      <c r="C19294">
        <v>0</v>
      </c>
      <c r="D19294">
        <v>0.99803042803300002</v>
      </c>
      <c r="E19294">
        <v>18.554722638680602</v>
      </c>
    </row>
    <row r="19295" spans="1:5">
      <c r="A19295" t="s">
        <v>22362</v>
      </c>
      <c r="B19295" t="s">
        <v>22378</v>
      </c>
      <c r="C19295">
        <v>0</v>
      </c>
      <c r="D19295">
        <v>0.99803042803300002</v>
      </c>
      <c r="E19295">
        <v>18.554722638680602</v>
      </c>
    </row>
    <row r="19296" spans="1:5">
      <c r="A19296" t="s">
        <v>22362</v>
      </c>
      <c r="B19296" t="s">
        <v>22379</v>
      </c>
      <c r="C19296">
        <v>0.20508487629800001</v>
      </c>
      <c r="D19296">
        <v>0.99803042803300002</v>
      </c>
      <c r="E19296">
        <v>18.554722638680602</v>
      </c>
    </row>
    <row r="19297" spans="1:5">
      <c r="A19297" t="s">
        <v>22380</v>
      </c>
      <c r="B19297" t="s">
        <v>22381</v>
      </c>
      <c r="C19297">
        <v>0</v>
      </c>
      <c r="D19297">
        <v>0.93585675692299997</v>
      </c>
      <c r="E19297">
        <v>1.2713643178410701</v>
      </c>
    </row>
    <row r="19298" spans="1:5">
      <c r="A19298" t="s">
        <v>22380</v>
      </c>
      <c r="B19298" t="s">
        <v>22382</v>
      </c>
      <c r="C19298">
        <f>0</f>
        <v>0</v>
      </c>
      <c r="D19298">
        <v>0.93585675692299997</v>
      </c>
      <c r="E19298">
        <v>1.2713643178410701</v>
      </c>
    </row>
    <row r="19299" spans="1:5">
      <c r="A19299" t="s">
        <v>22380</v>
      </c>
      <c r="B19299" t="s">
        <v>22383</v>
      </c>
      <c r="C19299">
        <f>0</f>
        <v>0</v>
      </c>
      <c r="D19299">
        <v>0.93585675692299997</v>
      </c>
      <c r="E19299">
        <v>1.2713643178410701</v>
      </c>
    </row>
    <row r="19300" spans="1:5">
      <c r="A19300" t="s">
        <v>22380</v>
      </c>
      <c r="B19300" t="s">
        <v>22384</v>
      </c>
      <c r="C19300">
        <v>0</v>
      </c>
      <c r="D19300">
        <v>0.93585675692299997</v>
      </c>
      <c r="E19300">
        <v>1.2713643178410701</v>
      </c>
    </row>
    <row r="19301" spans="1:5">
      <c r="A19301" t="s">
        <v>22380</v>
      </c>
      <c r="B19301" t="s">
        <v>22385</v>
      </c>
      <c r="C19301">
        <f>0</f>
        <v>0</v>
      </c>
      <c r="D19301">
        <v>0.93585675692299997</v>
      </c>
      <c r="E19301">
        <v>1.2713643178410701</v>
      </c>
    </row>
    <row r="19302" spans="1:5">
      <c r="A19302" t="s">
        <v>22380</v>
      </c>
      <c r="B19302" t="s">
        <v>22386</v>
      </c>
      <c r="C19302">
        <v>1.84964782553E-2</v>
      </c>
      <c r="D19302">
        <v>0.93585675692299997</v>
      </c>
      <c r="E19302">
        <v>1.2713643178410701</v>
      </c>
    </row>
    <row r="19303" spans="1:5">
      <c r="A19303" t="s">
        <v>22380</v>
      </c>
      <c r="B19303" t="s">
        <v>22387</v>
      </c>
      <c r="C19303">
        <v>0.20103078094099999</v>
      </c>
      <c r="D19303">
        <v>0.93585675692299997</v>
      </c>
      <c r="E19303">
        <v>1.2713643178410701</v>
      </c>
    </row>
    <row r="19304" spans="1:5">
      <c r="A19304" t="s">
        <v>22380</v>
      </c>
      <c r="B19304" t="s">
        <v>22388</v>
      </c>
      <c r="C19304">
        <f>0</f>
        <v>0</v>
      </c>
      <c r="D19304">
        <v>0.93585675692299997</v>
      </c>
      <c r="E19304">
        <v>1.2713643178410701</v>
      </c>
    </row>
    <row r="19305" spans="1:5">
      <c r="A19305" t="s">
        <v>22389</v>
      </c>
      <c r="B19305" t="s">
        <v>22390</v>
      </c>
      <c r="C19305">
        <f>0</f>
        <v>0</v>
      </c>
      <c r="D19305">
        <v>0.99233521739899999</v>
      </c>
      <c r="E19305">
        <v>23.040479760119901</v>
      </c>
    </row>
    <row r="19306" spans="1:5">
      <c r="A19306" t="s">
        <v>22389</v>
      </c>
      <c r="B19306" t="s">
        <v>22391</v>
      </c>
      <c r="C19306">
        <v>0</v>
      </c>
      <c r="D19306">
        <v>0.99233521739899999</v>
      </c>
      <c r="E19306">
        <v>23.040479760119901</v>
      </c>
    </row>
    <row r="19307" spans="1:5">
      <c r="A19307" t="s">
        <v>22389</v>
      </c>
      <c r="B19307" t="s">
        <v>22392</v>
      </c>
      <c r="C19307">
        <v>7.9517850802799994E-2</v>
      </c>
      <c r="D19307">
        <v>0.99233521739899999</v>
      </c>
      <c r="E19307">
        <v>23.040479760119901</v>
      </c>
    </row>
    <row r="19308" spans="1:5">
      <c r="A19308" t="s">
        <v>22389</v>
      </c>
      <c r="B19308" t="s">
        <v>22393</v>
      </c>
      <c r="C19308">
        <v>0</v>
      </c>
      <c r="D19308">
        <v>0.99233521739899999</v>
      </c>
      <c r="E19308">
        <v>23.040479760119901</v>
      </c>
    </row>
    <row r="19309" spans="1:5">
      <c r="A19309" t="s">
        <v>22389</v>
      </c>
      <c r="B19309" t="s">
        <v>22394</v>
      </c>
      <c r="C19309">
        <v>0</v>
      </c>
      <c r="D19309">
        <v>0.99233521739899999</v>
      </c>
      <c r="E19309">
        <v>23.040479760119901</v>
      </c>
    </row>
    <row r="19310" spans="1:5">
      <c r="A19310" t="s">
        <v>22389</v>
      </c>
      <c r="B19310" t="s">
        <v>22395</v>
      </c>
      <c r="C19310">
        <v>0</v>
      </c>
      <c r="D19310">
        <v>0.99233521739899999</v>
      </c>
      <c r="E19310">
        <v>23.040479760119901</v>
      </c>
    </row>
    <row r="19311" spans="1:5">
      <c r="A19311" t="s">
        <v>22389</v>
      </c>
      <c r="B19311" t="s">
        <v>22396</v>
      </c>
      <c r="C19311">
        <v>0</v>
      </c>
      <c r="D19311">
        <v>0.99233521739899999</v>
      </c>
      <c r="E19311">
        <v>23.040479760119901</v>
      </c>
    </row>
    <row r="19312" spans="1:5">
      <c r="A19312" t="s">
        <v>22389</v>
      </c>
      <c r="B19312" t="s">
        <v>22397</v>
      </c>
      <c r="C19312">
        <v>0</v>
      </c>
      <c r="D19312">
        <v>0.99233521739899999</v>
      </c>
      <c r="E19312">
        <v>23.040479760119901</v>
      </c>
    </row>
    <row r="19313" spans="1:5">
      <c r="A19313" t="s">
        <v>22389</v>
      </c>
      <c r="B19313" t="s">
        <v>22398</v>
      </c>
      <c r="C19313">
        <v>2.1270890071200001E-2</v>
      </c>
      <c r="D19313">
        <v>0.99233521739899999</v>
      </c>
      <c r="E19313">
        <v>23.040479760119901</v>
      </c>
    </row>
    <row r="19314" spans="1:5">
      <c r="A19314" t="s">
        <v>22389</v>
      </c>
      <c r="B19314" t="s">
        <v>22399</v>
      </c>
      <c r="C19314">
        <v>0</v>
      </c>
      <c r="D19314">
        <v>0.99233521739899999</v>
      </c>
      <c r="E19314">
        <v>23.040479760119901</v>
      </c>
    </row>
    <row r="19315" spans="1:5">
      <c r="A19315" t="s">
        <v>22389</v>
      </c>
      <c r="B19315" t="s">
        <v>22400</v>
      </c>
      <c r="C19315">
        <v>0</v>
      </c>
      <c r="D19315">
        <v>0.99233521739899999</v>
      </c>
      <c r="E19315">
        <v>23.040479760119901</v>
      </c>
    </row>
    <row r="19316" spans="1:5">
      <c r="A19316" t="s">
        <v>22401</v>
      </c>
      <c r="B19316" t="s">
        <v>22402</v>
      </c>
      <c r="C19316">
        <f>0</f>
        <v>0</v>
      </c>
      <c r="D19316">
        <v>0.97547036994699998</v>
      </c>
      <c r="E19316">
        <v>0.73163418290854498</v>
      </c>
    </row>
    <row r="19317" spans="1:5">
      <c r="A19317" t="s">
        <v>22401</v>
      </c>
      <c r="B19317" t="s">
        <v>22403</v>
      </c>
      <c r="C19317">
        <v>0</v>
      </c>
      <c r="D19317">
        <v>0.97547036994699998</v>
      </c>
      <c r="E19317">
        <v>0.73163418290854498</v>
      </c>
    </row>
    <row r="19318" spans="1:5">
      <c r="A19318" t="s">
        <v>22401</v>
      </c>
      <c r="B19318" t="s">
        <v>22404</v>
      </c>
      <c r="C19318">
        <f>0</f>
        <v>0</v>
      </c>
      <c r="D19318">
        <v>0.97547036994699998</v>
      </c>
      <c r="E19318">
        <v>0.73163418290854498</v>
      </c>
    </row>
    <row r="19319" spans="1:5">
      <c r="A19319" t="s">
        <v>22401</v>
      </c>
      <c r="B19319" t="s">
        <v>22405</v>
      </c>
      <c r="C19319">
        <f>0.0220749714127</f>
        <v>2.2074971412700001E-2</v>
      </c>
      <c r="D19319">
        <v>0.97547036994699998</v>
      </c>
      <c r="E19319">
        <v>0.73163418290854498</v>
      </c>
    </row>
    <row r="19320" spans="1:5">
      <c r="A19320" t="s">
        <v>22401</v>
      </c>
      <c r="B19320" t="s">
        <v>22406</v>
      </c>
      <c r="C19320">
        <f>0</f>
        <v>0</v>
      </c>
      <c r="D19320">
        <v>0.97547036994699998</v>
      </c>
      <c r="E19320">
        <v>0.73163418290854498</v>
      </c>
    </row>
    <row r="19321" spans="1:5">
      <c r="A19321" t="s">
        <v>22401</v>
      </c>
      <c r="B19321" t="s">
        <v>22407</v>
      </c>
      <c r="C19321">
        <f>0</f>
        <v>0</v>
      </c>
      <c r="D19321">
        <v>0.97547036994699998</v>
      </c>
      <c r="E19321">
        <v>0.73163418290854498</v>
      </c>
    </row>
    <row r="19322" spans="1:5">
      <c r="A19322" t="s">
        <v>22401</v>
      </c>
      <c r="B19322" t="s">
        <v>22408</v>
      </c>
      <c r="C19322">
        <f>0</f>
        <v>0</v>
      </c>
      <c r="D19322">
        <v>0.97547036994699998</v>
      </c>
      <c r="E19322">
        <v>0.73163418290854498</v>
      </c>
    </row>
    <row r="19323" spans="1:5">
      <c r="A19323" t="s">
        <v>22401</v>
      </c>
      <c r="B19323" t="s">
        <v>22409</v>
      </c>
      <c r="C19323">
        <f>0.19562940152</f>
        <v>0.19562940152</v>
      </c>
      <c r="D19323">
        <v>0.97547036994699998</v>
      </c>
      <c r="E19323">
        <v>0.73163418290854498</v>
      </c>
    </row>
    <row r="19324" spans="1:5">
      <c r="A19324" t="s">
        <v>22401</v>
      </c>
      <c r="B19324" t="s">
        <v>22410</v>
      </c>
      <c r="C19324">
        <f>0</f>
        <v>0</v>
      </c>
      <c r="D19324">
        <v>0.97547036994699998</v>
      </c>
      <c r="E19324">
        <v>0.73163418290854498</v>
      </c>
    </row>
    <row r="19325" spans="1:5">
      <c r="A19325" t="s">
        <v>22401</v>
      </c>
      <c r="B19325" t="s">
        <v>22411</v>
      </c>
      <c r="C19325">
        <f>0</f>
        <v>0</v>
      </c>
      <c r="D19325">
        <v>0.97547036994699998</v>
      </c>
      <c r="E19325">
        <v>0.73163418290854498</v>
      </c>
    </row>
    <row r="19326" spans="1:5">
      <c r="A19326" t="s">
        <v>22401</v>
      </c>
      <c r="B19326" t="s">
        <v>22412</v>
      </c>
      <c r="C19326">
        <f>0</f>
        <v>0</v>
      </c>
      <c r="D19326">
        <v>0.97547036994699998</v>
      </c>
      <c r="E19326">
        <v>0.73163418290854498</v>
      </c>
    </row>
    <row r="19327" spans="1:5">
      <c r="A19327" t="s">
        <v>22413</v>
      </c>
      <c r="B19327" t="s">
        <v>22414</v>
      </c>
      <c r="C19327">
        <f>0</f>
        <v>0</v>
      </c>
      <c r="D19327" t="s">
        <v>106</v>
      </c>
      <c r="E19327">
        <v>13.8170914542728</v>
      </c>
    </row>
    <row r="19328" spans="1:5">
      <c r="A19328" t="s">
        <v>22413</v>
      </c>
      <c r="B19328" t="s">
        <v>22415</v>
      </c>
      <c r="C19328">
        <f>0</f>
        <v>0</v>
      </c>
      <c r="D19328" t="s">
        <v>106</v>
      </c>
      <c r="E19328">
        <v>13.8170914542728</v>
      </c>
    </row>
    <row r="19329" spans="1:5">
      <c r="A19329" t="s">
        <v>22413</v>
      </c>
      <c r="B19329" t="s">
        <v>22416</v>
      </c>
      <c r="C19329">
        <f>0</f>
        <v>0</v>
      </c>
      <c r="D19329" t="s">
        <v>106</v>
      </c>
      <c r="E19329">
        <v>13.8170914542728</v>
      </c>
    </row>
    <row r="19330" spans="1:5">
      <c r="A19330" t="s">
        <v>22413</v>
      </c>
      <c r="B19330" t="s">
        <v>22417</v>
      </c>
      <c r="C19330">
        <f>0</f>
        <v>0</v>
      </c>
      <c r="D19330" t="s">
        <v>106</v>
      </c>
      <c r="E19330">
        <v>13.8170914542728</v>
      </c>
    </row>
    <row r="19331" spans="1:5">
      <c r="A19331" t="s">
        <v>22413</v>
      </c>
      <c r="B19331" t="s">
        <v>22418</v>
      </c>
      <c r="C19331">
        <f>0</f>
        <v>0</v>
      </c>
      <c r="D19331" t="s">
        <v>106</v>
      </c>
      <c r="E19331">
        <v>13.8170914542728</v>
      </c>
    </row>
    <row r="19332" spans="1:5">
      <c r="A19332" t="s">
        <v>22413</v>
      </c>
      <c r="B19332" t="s">
        <v>22419</v>
      </c>
      <c r="C19332">
        <f>0</f>
        <v>0</v>
      </c>
      <c r="D19332" t="s">
        <v>106</v>
      </c>
      <c r="E19332">
        <v>13.8170914542728</v>
      </c>
    </row>
    <row r="19333" spans="1:5">
      <c r="A19333" t="s">
        <v>22413</v>
      </c>
      <c r="B19333" t="s">
        <v>22420</v>
      </c>
      <c r="C19333">
        <f>0</f>
        <v>0</v>
      </c>
      <c r="D19333" t="s">
        <v>106</v>
      </c>
      <c r="E19333">
        <v>13.8170914542728</v>
      </c>
    </row>
    <row r="19334" spans="1:5">
      <c r="A19334" t="s">
        <v>22413</v>
      </c>
      <c r="B19334" t="s">
        <v>22421</v>
      </c>
      <c r="C19334">
        <f>0</f>
        <v>0</v>
      </c>
      <c r="D19334" t="s">
        <v>106</v>
      </c>
      <c r="E19334">
        <v>13.8170914542728</v>
      </c>
    </row>
    <row r="19335" spans="1:5">
      <c r="A19335" t="s">
        <v>22413</v>
      </c>
      <c r="B19335" t="s">
        <v>22422</v>
      </c>
      <c r="C19335">
        <v>0</v>
      </c>
      <c r="D19335" t="s">
        <v>106</v>
      </c>
      <c r="E19335">
        <v>13.8170914542728</v>
      </c>
    </row>
    <row r="19336" spans="1:5">
      <c r="A19336" t="s">
        <v>22413</v>
      </c>
      <c r="B19336" t="s">
        <v>22423</v>
      </c>
      <c r="C19336">
        <v>0</v>
      </c>
      <c r="D19336" t="s">
        <v>106</v>
      </c>
      <c r="E19336">
        <v>13.8170914542728</v>
      </c>
    </row>
    <row r="19337" spans="1:5">
      <c r="A19337" t="s">
        <v>22424</v>
      </c>
      <c r="B19337" t="s">
        <v>22425</v>
      </c>
      <c r="C19337">
        <v>0</v>
      </c>
      <c r="D19337">
        <v>0.81099515244099996</v>
      </c>
      <c r="E19337">
        <v>4.58170914542728</v>
      </c>
    </row>
    <row r="19338" spans="1:5">
      <c r="A19338" t="s">
        <v>22424</v>
      </c>
      <c r="B19338" t="s">
        <v>22426</v>
      </c>
      <c r="C19338">
        <f>0.298459284585</f>
        <v>0.29845928458499998</v>
      </c>
      <c r="D19338">
        <v>0.81099515244099996</v>
      </c>
      <c r="E19338">
        <v>4.58170914542728</v>
      </c>
    </row>
    <row r="19339" spans="1:5">
      <c r="A19339" t="s">
        <v>22424</v>
      </c>
      <c r="B19339" t="s">
        <v>22427</v>
      </c>
      <c r="C19339">
        <f>0</f>
        <v>0</v>
      </c>
      <c r="D19339">
        <v>0.81099515244099996</v>
      </c>
      <c r="E19339">
        <v>4.58170914542728</v>
      </c>
    </row>
    <row r="19340" spans="1:5">
      <c r="A19340" t="s">
        <v>22424</v>
      </c>
      <c r="B19340" t="s">
        <v>22428</v>
      </c>
      <c r="C19340">
        <v>0</v>
      </c>
      <c r="D19340">
        <v>0.81099515244099996</v>
      </c>
      <c r="E19340">
        <v>4.58170914542728</v>
      </c>
    </row>
    <row r="19341" spans="1:5">
      <c r="A19341" t="s">
        <v>22424</v>
      </c>
      <c r="B19341" t="s">
        <v>22429</v>
      </c>
      <c r="C19341">
        <f>0</f>
        <v>0</v>
      </c>
      <c r="D19341">
        <v>0.81099515244099996</v>
      </c>
      <c r="E19341">
        <v>4.58170914542728</v>
      </c>
    </row>
    <row r="19342" spans="1:5">
      <c r="A19342" t="s">
        <v>22424</v>
      </c>
      <c r="B19342" t="s">
        <v>22430</v>
      </c>
      <c r="C19342">
        <f>0</f>
        <v>0</v>
      </c>
      <c r="D19342">
        <v>0.81099515244099996</v>
      </c>
      <c r="E19342">
        <v>4.58170914542728</v>
      </c>
    </row>
    <row r="19343" spans="1:5">
      <c r="A19343" t="s">
        <v>22424</v>
      </c>
      <c r="B19343" t="s">
        <v>22431</v>
      </c>
      <c r="C19343">
        <v>0</v>
      </c>
      <c r="D19343">
        <v>0.81099515244099996</v>
      </c>
      <c r="E19343">
        <v>4.58170914542728</v>
      </c>
    </row>
    <row r="19344" spans="1:5">
      <c r="A19344" t="s">
        <v>22424</v>
      </c>
      <c r="B19344" t="s">
        <v>22432</v>
      </c>
      <c r="C19344">
        <v>0</v>
      </c>
      <c r="D19344">
        <v>0.81099515244099996</v>
      </c>
      <c r="E19344">
        <v>4.58170914542728</v>
      </c>
    </row>
    <row r="19345" spans="1:5">
      <c r="A19345" t="s">
        <v>22433</v>
      </c>
      <c r="B19345" t="s">
        <v>22434</v>
      </c>
      <c r="C19345">
        <v>0</v>
      </c>
      <c r="D19345" t="s">
        <v>106</v>
      </c>
      <c r="E19345">
        <v>23.7481259370314</v>
      </c>
    </row>
    <row r="19346" spans="1:5">
      <c r="A19346" t="s">
        <v>22433</v>
      </c>
      <c r="B19346" t="s">
        <v>22435</v>
      </c>
      <c r="C19346">
        <f>0</f>
        <v>0</v>
      </c>
      <c r="D19346" t="s">
        <v>106</v>
      </c>
      <c r="E19346">
        <v>23.7481259370314</v>
      </c>
    </row>
    <row r="19347" spans="1:5">
      <c r="A19347" t="s">
        <v>22433</v>
      </c>
      <c r="B19347" t="s">
        <v>22436</v>
      </c>
      <c r="C19347">
        <f>0.060506966305</f>
        <v>6.0506966305E-2</v>
      </c>
      <c r="D19347" t="s">
        <v>106</v>
      </c>
      <c r="E19347">
        <v>23.7481259370314</v>
      </c>
    </row>
    <row r="19348" spans="1:5">
      <c r="A19348" t="s">
        <v>22433</v>
      </c>
      <c r="B19348" t="s">
        <v>22437</v>
      </c>
      <c r="C19348">
        <v>0</v>
      </c>
      <c r="D19348" t="s">
        <v>106</v>
      </c>
      <c r="E19348">
        <v>23.7481259370314</v>
      </c>
    </row>
    <row r="19349" spans="1:5">
      <c r="A19349" t="s">
        <v>22438</v>
      </c>
      <c r="B19349" t="s">
        <v>22439</v>
      </c>
      <c r="C19349">
        <v>0.122988513496</v>
      </c>
      <c r="D19349">
        <v>0.98886228283800004</v>
      </c>
      <c r="E19349">
        <v>10.0749625187406</v>
      </c>
    </row>
    <row r="19350" spans="1:5">
      <c r="A19350" t="s">
        <v>22438</v>
      </c>
      <c r="B19350" t="s">
        <v>22440</v>
      </c>
      <c r="C19350">
        <v>0</v>
      </c>
      <c r="D19350">
        <v>0.98886228283800004</v>
      </c>
      <c r="E19350">
        <v>10.0749625187406</v>
      </c>
    </row>
    <row r="19351" spans="1:5">
      <c r="A19351" t="s">
        <v>22438</v>
      </c>
      <c r="B19351" t="s">
        <v>22441</v>
      </c>
      <c r="C19351">
        <v>0.18343319562999999</v>
      </c>
      <c r="D19351">
        <v>0.98886228283800004</v>
      </c>
      <c r="E19351">
        <v>10.0749625187406</v>
      </c>
    </row>
    <row r="19352" spans="1:5">
      <c r="A19352" t="s">
        <v>22438</v>
      </c>
      <c r="B19352" t="s">
        <v>22442</v>
      </c>
      <c r="C19352">
        <f>0</f>
        <v>0</v>
      </c>
      <c r="D19352">
        <v>0.98886228283800004</v>
      </c>
      <c r="E19352">
        <v>10.0749625187406</v>
      </c>
    </row>
    <row r="19353" spans="1:5">
      <c r="A19353" t="s">
        <v>22438</v>
      </c>
      <c r="B19353" t="s">
        <v>22443</v>
      </c>
      <c r="C19353">
        <f>0</f>
        <v>0</v>
      </c>
      <c r="D19353">
        <v>0.98886228283800004</v>
      </c>
      <c r="E19353">
        <v>10.0749625187406</v>
      </c>
    </row>
    <row r="19354" spans="1:5">
      <c r="A19354" t="s">
        <v>22444</v>
      </c>
      <c r="B19354" t="s">
        <v>22445</v>
      </c>
      <c r="C19354">
        <v>0</v>
      </c>
      <c r="D19354">
        <v>0.92257286806700001</v>
      </c>
      <c r="E19354">
        <v>19.4182908545727</v>
      </c>
    </row>
    <row r="19355" spans="1:5">
      <c r="A19355" t="s">
        <v>22444</v>
      </c>
      <c r="B19355" t="s">
        <v>22446</v>
      </c>
      <c r="C19355">
        <v>0</v>
      </c>
      <c r="D19355">
        <v>0.92257286806700001</v>
      </c>
      <c r="E19355">
        <v>19.4182908545727</v>
      </c>
    </row>
    <row r="19356" spans="1:5">
      <c r="A19356" t="s">
        <v>22444</v>
      </c>
      <c r="B19356" t="s">
        <v>22447</v>
      </c>
      <c r="C19356">
        <v>0</v>
      </c>
      <c r="D19356">
        <v>0.92257286806700001</v>
      </c>
      <c r="E19356">
        <v>19.4182908545727</v>
      </c>
    </row>
    <row r="19357" spans="1:5">
      <c r="A19357" t="s">
        <v>22444</v>
      </c>
      <c r="B19357" t="s">
        <v>22448</v>
      </c>
      <c r="C19357">
        <f>0</f>
        <v>0</v>
      </c>
      <c r="D19357">
        <v>0.92257286806700001</v>
      </c>
      <c r="E19357">
        <v>19.4182908545727</v>
      </c>
    </row>
    <row r="19358" spans="1:5">
      <c r="A19358" t="s">
        <v>22444</v>
      </c>
      <c r="B19358" t="s">
        <v>22449</v>
      </c>
      <c r="C19358">
        <f>0</f>
        <v>0</v>
      </c>
      <c r="D19358">
        <v>0.92257286806700001</v>
      </c>
      <c r="E19358">
        <v>19.4182908545727</v>
      </c>
    </row>
    <row r="19359" spans="1:5">
      <c r="A19359" t="s">
        <v>22444</v>
      </c>
      <c r="B19359" t="s">
        <v>22450</v>
      </c>
      <c r="C19359">
        <v>0</v>
      </c>
      <c r="D19359">
        <v>0.92257286806700001</v>
      </c>
      <c r="E19359">
        <v>19.4182908545727</v>
      </c>
    </row>
    <row r="19360" spans="1:5">
      <c r="A19360" t="s">
        <v>22444</v>
      </c>
      <c r="B19360" t="s">
        <v>22451</v>
      </c>
      <c r="C19360">
        <v>0</v>
      </c>
      <c r="D19360">
        <v>0.92257286806700001</v>
      </c>
      <c r="E19360">
        <v>19.4182908545727</v>
      </c>
    </row>
    <row r="19361" spans="1:5">
      <c r="A19361" t="s">
        <v>22444</v>
      </c>
      <c r="B19361" t="s">
        <v>22452</v>
      </c>
      <c r="C19361">
        <v>0</v>
      </c>
      <c r="D19361">
        <v>0.92257286806700001</v>
      </c>
      <c r="E19361">
        <v>19.4182908545727</v>
      </c>
    </row>
    <row r="19362" spans="1:5">
      <c r="A19362" t="s">
        <v>22453</v>
      </c>
      <c r="B19362" t="s">
        <v>22454</v>
      </c>
      <c r="C19362">
        <v>0</v>
      </c>
      <c r="D19362" t="s">
        <v>106</v>
      </c>
      <c r="E19362">
        <v>0.23988005997001499</v>
      </c>
    </row>
    <row r="19363" spans="1:5">
      <c r="A19363" t="s">
        <v>22453</v>
      </c>
      <c r="B19363" t="s">
        <v>22455</v>
      </c>
      <c r="C19363">
        <v>0</v>
      </c>
      <c r="D19363" t="s">
        <v>106</v>
      </c>
      <c r="E19363">
        <v>0.23988005997001499</v>
      </c>
    </row>
    <row r="19364" spans="1:5">
      <c r="A19364" t="s">
        <v>22453</v>
      </c>
      <c r="B19364" t="s">
        <v>22456</v>
      </c>
      <c r="C19364">
        <v>0</v>
      </c>
      <c r="D19364" t="s">
        <v>106</v>
      </c>
      <c r="E19364">
        <v>0.23988005997001499</v>
      </c>
    </row>
    <row r="19365" spans="1:5">
      <c r="A19365" t="s">
        <v>22453</v>
      </c>
      <c r="B19365" t="s">
        <v>22457</v>
      </c>
      <c r="C19365">
        <v>0</v>
      </c>
      <c r="D19365" t="s">
        <v>106</v>
      </c>
      <c r="E19365">
        <v>0.23988005997001499</v>
      </c>
    </row>
    <row r="19366" spans="1:5">
      <c r="A19366" t="s">
        <v>22453</v>
      </c>
      <c r="B19366" t="s">
        <v>22458</v>
      </c>
      <c r="C19366">
        <f>0</f>
        <v>0</v>
      </c>
      <c r="D19366" t="s">
        <v>106</v>
      </c>
      <c r="E19366">
        <v>0.23988005997001499</v>
      </c>
    </row>
    <row r="19367" spans="1:5">
      <c r="A19367" t="s">
        <v>22453</v>
      </c>
      <c r="B19367" t="s">
        <v>22459</v>
      </c>
      <c r="C19367">
        <v>0</v>
      </c>
      <c r="D19367" t="s">
        <v>106</v>
      </c>
      <c r="E19367">
        <v>0.23988005997001499</v>
      </c>
    </row>
    <row r="19368" spans="1:5">
      <c r="A19368" t="s">
        <v>22460</v>
      </c>
      <c r="B19368" t="s">
        <v>22461</v>
      </c>
      <c r="C19368">
        <v>0</v>
      </c>
      <c r="D19368" t="s">
        <v>106</v>
      </c>
      <c r="E19368">
        <v>20.965517241379299</v>
      </c>
    </row>
    <row r="19369" spans="1:5">
      <c r="A19369" t="s">
        <v>22460</v>
      </c>
      <c r="B19369" t="s">
        <v>22462</v>
      </c>
      <c r="C19369">
        <v>0</v>
      </c>
      <c r="D19369" t="s">
        <v>106</v>
      </c>
      <c r="E19369">
        <v>20.965517241379299</v>
      </c>
    </row>
    <row r="19370" spans="1:5">
      <c r="A19370" t="s">
        <v>22460</v>
      </c>
      <c r="B19370" t="s">
        <v>22463</v>
      </c>
      <c r="C19370">
        <f>0</f>
        <v>0</v>
      </c>
      <c r="D19370" t="s">
        <v>106</v>
      </c>
      <c r="E19370">
        <v>20.965517241379299</v>
      </c>
    </row>
    <row r="19371" spans="1:5">
      <c r="A19371" t="s">
        <v>22460</v>
      </c>
      <c r="B19371" t="s">
        <v>22464</v>
      </c>
      <c r="C19371">
        <f>0</f>
        <v>0</v>
      </c>
      <c r="D19371" t="s">
        <v>106</v>
      </c>
      <c r="E19371">
        <v>20.965517241379299</v>
      </c>
    </row>
    <row r="19372" spans="1:5">
      <c r="A19372" t="s">
        <v>22460</v>
      </c>
      <c r="B19372" t="s">
        <v>22465</v>
      </c>
      <c r="C19372">
        <v>0</v>
      </c>
      <c r="D19372" t="s">
        <v>106</v>
      </c>
      <c r="E19372">
        <v>20.965517241379299</v>
      </c>
    </row>
    <row r="19373" spans="1:5">
      <c r="A19373" t="s">
        <v>22460</v>
      </c>
      <c r="B19373" t="s">
        <v>22466</v>
      </c>
      <c r="C19373">
        <f>0</f>
        <v>0</v>
      </c>
      <c r="D19373" t="s">
        <v>106</v>
      </c>
      <c r="E19373">
        <v>20.965517241379299</v>
      </c>
    </row>
    <row r="19374" spans="1:5">
      <c r="A19374" t="s">
        <v>22460</v>
      </c>
      <c r="B19374" t="s">
        <v>22467</v>
      </c>
      <c r="C19374">
        <f>0</f>
        <v>0</v>
      </c>
      <c r="D19374" t="s">
        <v>106</v>
      </c>
      <c r="E19374">
        <v>20.965517241379299</v>
      </c>
    </row>
    <row r="19375" spans="1:5">
      <c r="A19375" t="s">
        <v>22460</v>
      </c>
      <c r="B19375" t="s">
        <v>22468</v>
      </c>
      <c r="C19375">
        <v>0</v>
      </c>
      <c r="D19375" t="s">
        <v>106</v>
      </c>
      <c r="E19375">
        <v>20.965517241379299</v>
      </c>
    </row>
    <row r="19376" spans="1:5">
      <c r="A19376" t="s">
        <v>22469</v>
      </c>
      <c r="B19376" t="s">
        <v>22470</v>
      </c>
      <c r="C19376">
        <v>0</v>
      </c>
      <c r="D19376">
        <v>0.556362493229</v>
      </c>
      <c r="E19376">
        <v>5.1214392803598203</v>
      </c>
    </row>
    <row r="19377" spans="1:5">
      <c r="A19377" t="s">
        <v>22469</v>
      </c>
      <c r="B19377" t="s">
        <v>22471</v>
      </c>
      <c r="C19377">
        <v>0.323212477035</v>
      </c>
      <c r="D19377">
        <v>0.556362493229</v>
      </c>
      <c r="E19377">
        <v>5.1214392803598203</v>
      </c>
    </row>
    <row r="19378" spans="1:5">
      <c r="A19378" t="s">
        <v>22469</v>
      </c>
      <c r="B19378" t="s">
        <v>22472</v>
      </c>
      <c r="C19378">
        <v>0</v>
      </c>
      <c r="D19378">
        <v>0.556362493229</v>
      </c>
      <c r="E19378">
        <v>5.1214392803598203</v>
      </c>
    </row>
    <row r="19379" spans="1:5">
      <c r="A19379" t="s">
        <v>22469</v>
      </c>
      <c r="B19379" t="s">
        <v>22473</v>
      </c>
      <c r="C19379">
        <v>0</v>
      </c>
      <c r="D19379">
        <v>0.556362493229</v>
      </c>
      <c r="E19379">
        <v>5.1214392803598203</v>
      </c>
    </row>
    <row r="19380" spans="1:5">
      <c r="A19380" t="s">
        <v>22469</v>
      </c>
      <c r="B19380" t="s">
        <v>22474</v>
      </c>
      <c r="C19380">
        <f>0</f>
        <v>0</v>
      </c>
      <c r="D19380">
        <v>0.556362493229</v>
      </c>
      <c r="E19380">
        <v>5.1214392803598203</v>
      </c>
    </row>
    <row r="19381" spans="1:5">
      <c r="A19381" t="s">
        <v>22469</v>
      </c>
      <c r="B19381" t="s">
        <v>22475</v>
      </c>
      <c r="C19381">
        <v>0</v>
      </c>
      <c r="D19381">
        <v>0.556362493229</v>
      </c>
      <c r="E19381">
        <v>5.1214392803598203</v>
      </c>
    </row>
    <row r="19382" spans="1:5">
      <c r="A19382" t="s">
        <v>22476</v>
      </c>
      <c r="B19382" t="s">
        <v>22477</v>
      </c>
      <c r="C19382">
        <v>0</v>
      </c>
      <c r="D19382">
        <v>0.98337275182899997</v>
      </c>
      <c r="E19382">
        <v>7.1964017991004496</v>
      </c>
    </row>
    <row r="19383" spans="1:5">
      <c r="A19383" t="s">
        <v>22476</v>
      </c>
      <c r="B19383" t="s">
        <v>22478</v>
      </c>
      <c r="C19383">
        <v>0.98495345429400005</v>
      </c>
      <c r="D19383">
        <v>0.98337275182899997</v>
      </c>
      <c r="E19383">
        <v>7.1964017991004496</v>
      </c>
    </row>
    <row r="19384" spans="1:5">
      <c r="A19384" t="s">
        <v>22476</v>
      </c>
      <c r="B19384" t="s">
        <v>22479</v>
      </c>
      <c r="C19384">
        <f>0.157945437818</f>
        <v>0.157945437818</v>
      </c>
      <c r="D19384">
        <v>0.98337275182899997</v>
      </c>
      <c r="E19384">
        <v>7.1964017991004496</v>
      </c>
    </row>
    <row r="19385" spans="1:5">
      <c r="A19385" t="s">
        <v>22480</v>
      </c>
      <c r="B19385" t="s">
        <v>22481</v>
      </c>
      <c r="C19385">
        <f>0</f>
        <v>0</v>
      </c>
      <c r="D19385" t="s">
        <v>106</v>
      </c>
      <c r="E19385">
        <v>24</v>
      </c>
    </row>
    <row r="19386" spans="1:5">
      <c r="A19386" t="s">
        <v>22480</v>
      </c>
      <c r="B19386" t="s">
        <v>22482</v>
      </c>
      <c r="C19386">
        <f>0</f>
        <v>0</v>
      </c>
      <c r="D19386" t="s">
        <v>106</v>
      </c>
      <c r="E19386">
        <v>24</v>
      </c>
    </row>
    <row r="19387" spans="1:5">
      <c r="A19387" t="s">
        <v>22480</v>
      </c>
      <c r="B19387" t="s">
        <v>22483</v>
      </c>
      <c r="C19387">
        <v>0</v>
      </c>
      <c r="D19387" t="s">
        <v>106</v>
      </c>
      <c r="E19387">
        <v>24</v>
      </c>
    </row>
    <row r="19388" spans="1:5">
      <c r="A19388" t="s">
        <v>22480</v>
      </c>
      <c r="B19388" t="s">
        <v>22484</v>
      </c>
      <c r="C19388">
        <f>0</f>
        <v>0</v>
      </c>
      <c r="D19388" t="s">
        <v>106</v>
      </c>
      <c r="E19388">
        <v>24</v>
      </c>
    </row>
    <row r="19389" spans="1:5">
      <c r="A19389" t="s">
        <v>22480</v>
      </c>
      <c r="B19389" t="s">
        <v>22485</v>
      </c>
      <c r="C19389">
        <f>0</f>
        <v>0</v>
      </c>
      <c r="D19389" t="s">
        <v>106</v>
      </c>
      <c r="E19389">
        <v>24</v>
      </c>
    </row>
    <row r="19390" spans="1:5">
      <c r="A19390" t="s">
        <v>22480</v>
      </c>
      <c r="B19390" t="s">
        <v>22486</v>
      </c>
      <c r="C19390">
        <f>0</f>
        <v>0</v>
      </c>
      <c r="D19390" t="s">
        <v>106</v>
      </c>
      <c r="E19390">
        <v>24</v>
      </c>
    </row>
    <row r="19391" spans="1:5">
      <c r="A19391" t="s">
        <v>22480</v>
      </c>
      <c r="B19391" t="s">
        <v>22487</v>
      </c>
      <c r="C19391">
        <f>0</f>
        <v>0</v>
      </c>
      <c r="D19391" t="s">
        <v>106</v>
      </c>
      <c r="E19391">
        <v>24</v>
      </c>
    </row>
    <row r="19392" spans="1:5">
      <c r="A19392" t="s">
        <v>22480</v>
      </c>
      <c r="B19392" t="s">
        <v>22488</v>
      </c>
      <c r="C19392">
        <f>0</f>
        <v>0</v>
      </c>
      <c r="D19392" t="s">
        <v>106</v>
      </c>
      <c r="E19392">
        <v>24</v>
      </c>
    </row>
    <row r="19393" spans="1:5">
      <c r="A19393" t="s">
        <v>22480</v>
      </c>
      <c r="B19393" t="s">
        <v>22489</v>
      </c>
      <c r="C19393">
        <f>0</f>
        <v>0</v>
      </c>
      <c r="D19393" t="s">
        <v>106</v>
      </c>
      <c r="E19393">
        <v>24</v>
      </c>
    </row>
    <row r="19394" spans="1:5">
      <c r="A19394" t="s">
        <v>22480</v>
      </c>
      <c r="B19394" t="s">
        <v>22490</v>
      </c>
      <c r="C19394">
        <f>0</f>
        <v>0</v>
      </c>
      <c r="D19394" t="s">
        <v>106</v>
      </c>
      <c r="E19394">
        <v>24</v>
      </c>
    </row>
    <row r="19395" spans="1:5">
      <c r="A19395" t="s">
        <v>22480</v>
      </c>
      <c r="B19395" t="s">
        <v>22491</v>
      </c>
      <c r="C19395">
        <v>0</v>
      </c>
      <c r="D19395" t="s">
        <v>106</v>
      </c>
      <c r="E19395">
        <v>24</v>
      </c>
    </row>
    <row r="19396" spans="1:5">
      <c r="A19396" t="s">
        <v>22492</v>
      </c>
      <c r="B19396" t="s">
        <v>22493</v>
      </c>
      <c r="C19396">
        <v>0.156430656783</v>
      </c>
      <c r="D19396" t="s">
        <v>106</v>
      </c>
      <c r="E19396">
        <v>22.800599700149899</v>
      </c>
    </row>
    <row r="19397" spans="1:5">
      <c r="A19397" t="s">
        <v>22492</v>
      </c>
      <c r="B19397" t="s">
        <v>22494</v>
      </c>
      <c r="C19397">
        <f>0</f>
        <v>0</v>
      </c>
      <c r="D19397" t="s">
        <v>106</v>
      </c>
      <c r="E19397">
        <v>22.800599700149899</v>
      </c>
    </row>
    <row r="19398" spans="1:5">
      <c r="A19398" t="s">
        <v>22492</v>
      </c>
      <c r="B19398" t="s">
        <v>22495</v>
      </c>
      <c r="C19398">
        <v>2.27782546867E-2</v>
      </c>
      <c r="D19398" t="s">
        <v>106</v>
      </c>
      <c r="E19398">
        <v>22.800599700149899</v>
      </c>
    </row>
    <row r="19399" spans="1:5">
      <c r="A19399" t="s">
        <v>22492</v>
      </c>
      <c r="B19399" t="s">
        <v>22496</v>
      </c>
      <c r="C19399">
        <f>0</f>
        <v>0</v>
      </c>
      <c r="D19399" t="s">
        <v>106</v>
      </c>
      <c r="E19399">
        <v>22.800599700149899</v>
      </c>
    </row>
    <row r="19400" spans="1:5">
      <c r="A19400" t="s">
        <v>22497</v>
      </c>
      <c r="B19400" t="s">
        <v>22498</v>
      </c>
      <c r="C19400">
        <v>0</v>
      </c>
      <c r="D19400" t="s">
        <v>106</v>
      </c>
      <c r="E19400">
        <v>14.176911544227799</v>
      </c>
    </row>
    <row r="19401" spans="1:5">
      <c r="A19401" t="s">
        <v>22499</v>
      </c>
      <c r="B19401" t="s">
        <v>22500</v>
      </c>
      <c r="C19401">
        <f>0</f>
        <v>0</v>
      </c>
      <c r="D19401">
        <v>0.87307543995000003</v>
      </c>
      <c r="E19401">
        <v>1.51124437781109</v>
      </c>
    </row>
    <row r="19402" spans="1:5">
      <c r="A19402" t="s">
        <v>22499</v>
      </c>
      <c r="B19402" t="s">
        <v>22501</v>
      </c>
      <c r="C19402">
        <f>0</f>
        <v>0</v>
      </c>
      <c r="D19402">
        <v>0.87307543995000003</v>
      </c>
      <c r="E19402">
        <v>1.51124437781109</v>
      </c>
    </row>
    <row r="19403" spans="1:5">
      <c r="A19403" t="s">
        <v>22499</v>
      </c>
      <c r="B19403" t="s">
        <v>22502</v>
      </c>
      <c r="C19403">
        <v>4.7781361595899997E-2</v>
      </c>
      <c r="D19403">
        <v>0.87307543995000003</v>
      </c>
      <c r="E19403">
        <v>1.51124437781109</v>
      </c>
    </row>
    <row r="19404" spans="1:5">
      <c r="A19404" t="s">
        <v>22499</v>
      </c>
      <c r="B19404" t="s">
        <v>22503</v>
      </c>
      <c r="C19404">
        <v>0</v>
      </c>
      <c r="D19404">
        <v>0.87307543995000003</v>
      </c>
      <c r="E19404">
        <v>1.51124437781109</v>
      </c>
    </row>
    <row r="19405" spans="1:5">
      <c r="A19405" t="s">
        <v>22499</v>
      </c>
      <c r="B19405" t="s">
        <v>22504</v>
      </c>
      <c r="C19405">
        <v>0.29638650356000001</v>
      </c>
      <c r="D19405">
        <v>0.87307543995000003</v>
      </c>
      <c r="E19405">
        <v>1.51124437781109</v>
      </c>
    </row>
    <row r="19406" spans="1:5">
      <c r="A19406" t="s">
        <v>22499</v>
      </c>
      <c r="B19406" t="s">
        <v>22505</v>
      </c>
      <c r="C19406">
        <f>0</f>
        <v>0</v>
      </c>
      <c r="D19406">
        <v>0.87307543995000003</v>
      </c>
      <c r="E19406">
        <v>1.51124437781109</v>
      </c>
    </row>
    <row r="19407" spans="1:5">
      <c r="A19407" t="s">
        <v>22506</v>
      </c>
      <c r="B19407" t="s">
        <v>22507</v>
      </c>
      <c r="C19407">
        <v>0</v>
      </c>
      <c r="D19407">
        <v>0.99707606531899995</v>
      </c>
      <c r="E19407">
        <v>9.0194902548725597</v>
      </c>
    </row>
    <row r="19408" spans="1:5">
      <c r="A19408" t="s">
        <v>22506</v>
      </c>
      <c r="B19408" t="s">
        <v>22508</v>
      </c>
      <c r="C19408">
        <v>0.51146416037999998</v>
      </c>
      <c r="D19408">
        <v>0.99707606531899995</v>
      </c>
      <c r="E19408">
        <v>9.0194902548725597</v>
      </c>
    </row>
    <row r="19409" spans="1:5">
      <c r="A19409" t="s">
        <v>22506</v>
      </c>
      <c r="B19409" t="s">
        <v>22509</v>
      </c>
      <c r="C19409">
        <f>0.0529919107477</f>
        <v>5.2991910747700002E-2</v>
      </c>
      <c r="D19409">
        <v>0.99707606531899995</v>
      </c>
      <c r="E19409">
        <v>9.0194902548725597</v>
      </c>
    </row>
    <row r="19410" spans="1:5">
      <c r="A19410" t="s">
        <v>22510</v>
      </c>
      <c r="B19410" t="s">
        <v>22511</v>
      </c>
      <c r="C19410">
        <v>0</v>
      </c>
      <c r="D19410">
        <v>0.88613902860100002</v>
      </c>
      <c r="E19410">
        <v>1.51124437781109</v>
      </c>
    </row>
    <row r="19411" spans="1:5">
      <c r="A19411" t="s">
        <v>22510</v>
      </c>
      <c r="B19411" t="s">
        <v>22512</v>
      </c>
      <c r="C19411">
        <v>0</v>
      </c>
      <c r="D19411">
        <v>0.88613902860100002</v>
      </c>
      <c r="E19411">
        <v>1.51124437781109</v>
      </c>
    </row>
    <row r="19412" spans="1:5">
      <c r="A19412" t="s">
        <v>22510</v>
      </c>
      <c r="B19412" t="s">
        <v>22513</v>
      </c>
      <c r="C19412">
        <v>0.29938610361099999</v>
      </c>
      <c r="D19412">
        <v>0.88613902860100002</v>
      </c>
      <c r="E19412">
        <v>1.51124437781109</v>
      </c>
    </row>
    <row r="19413" spans="1:5">
      <c r="A19413" t="s">
        <v>22514</v>
      </c>
      <c r="B19413" t="s">
        <v>22515</v>
      </c>
      <c r="C19413">
        <f>0</f>
        <v>0</v>
      </c>
      <c r="D19413" t="s">
        <v>106</v>
      </c>
      <c r="E19413">
        <v>10.5547226386806</v>
      </c>
    </row>
    <row r="19414" spans="1:5">
      <c r="A19414" t="s">
        <v>22514</v>
      </c>
      <c r="B19414" t="s">
        <v>22516</v>
      </c>
      <c r="C19414">
        <f>0</f>
        <v>0</v>
      </c>
      <c r="D19414" t="s">
        <v>106</v>
      </c>
      <c r="E19414">
        <v>10.5547226386806</v>
      </c>
    </row>
    <row r="19415" spans="1:5">
      <c r="A19415" t="s">
        <v>22514</v>
      </c>
      <c r="B19415" t="s">
        <v>22517</v>
      </c>
      <c r="C19415">
        <v>0</v>
      </c>
      <c r="D19415" t="s">
        <v>106</v>
      </c>
      <c r="E19415">
        <v>10.5547226386806</v>
      </c>
    </row>
    <row r="19416" spans="1:5">
      <c r="A19416" t="s">
        <v>22514</v>
      </c>
      <c r="B19416" t="s">
        <v>22518</v>
      </c>
      <c r="C19416">
        <v>0</v>
      </c>
      <c r="D19416" t="s">
        <v>106</v>
      </c>
      <c r="E19416">
        <v>10.5547226386806</v>
      </c>
    </row>
    <row r="19417" spans="1:5">
      <c r="A19417" t="s">
        <v>22514</v>
      </c>
      <c r="B19417" t="s">
        <v>22519</v>
      </c>
      <c r="C19417">
        <v>0</v>
      </c>
      <c r="D19417" t="s">
        <v>106</v>
      </c>
      <c r="E19417">
        <v>10.5547226386806</v>
      </c>
    </row>
    <row r="19418" spans="1:5">
      <c r="A19418" t="s">
        <v>22514</v>
      </c>
      <c r="B19418" t="s">
        <v>22520</v>
      </c>
      <c r="C19418">
        <v>0</v>
      </c>
      <c r="D19418" t="s">
        <v>106</v>
      </c>
      <c r="E19418">
        <v>10.5547226386806</v>
      </c>
    </row>
    <row r="19419" spans="1:5">
      <c r="A19419" t="s">
        <v>22514</v>
      </c>
      <c r="B19419" t="s">
        <v>22521</v>
      </c>
      <c r="C19419">
        <f>0</f>
        <v>0</v>
      </c>
      <c r="D19419" t="s">
        <v>106</v>
      </c>
      <c r="E19419">
        <v>10.5547226386806</v>
      </c>
    </row>
    <row r="19420" spans="1:5">
      <c r="A19420" t="s">
        <v>22514</v>
      </c>
      <c r="B19420" t="s">
        <v>22522</v>
      </c>
      <c r="C19420">
        <v>0</v>
      </c>
      <c r="D19420" t="s">
        <v>106</v>
      </c>
      <c r="E19420">
        <v>10.5547226386806</v>
      </c>
    </row>
    <row r="19421" spans="1:5">
      <c r="A19421" t="s">
        <v>22514</v>
      </c>
      <c r="B19421" t="s">
        <v>22523</v>
      </c>
      <c r="C19421">
        <f>0</f>
        <v>0</v>
      </c>
      <c r="D19421" t="s">
        <v>106</v>
      </c>
      <c r="E19421">
        <v>10.5547226386806</v>
      </c>
    </row>
    <row r="19422" spans="1:5">
      <c r="A19422" t="s">
        <v>22514</v>
      </c>
      <c r="B19422" t="s">
        <v>22524</v>
      </c>
      <c r="C19422">
        <f>0</f>
        <v>0</v>
      </c>
      <c r="D19422" t="s">
        <v>106</v>
      </c>
      <c r="E19422">
        <v>10.5547226386806</v>
      </c>
    </row>
    <row r="19423" spans="1:5">
      <c r="A19423" t="s">
        <v>22525</v>
      </c>
      <c r="B19423" t="s">
        <v>22526</v>
      </c>
      <c r="C19423">
        <v>0</v>
      </c>
      <c r="D19423">
        <v>0.78696887301999996</v>
      </c>
      <c r="E19423">
        <v>6.9325337331334298</v>
      </c>
    </row>
    <row r="19424" spans="1:5">
      <c r="A19424" t="s">
        <v>22525</v>
      </c>
      <c r="B19424" t="s">
        <v>22527</v>
      </c>
      <c r="C19424">
        <v>0.15693994038600001</v>
      </c>
      <c r="D19424">
        <v>0.78696887301999996</v>
      </c>
      <c r="E19424">
        <v>6.9325337331334298</v>
      </c>
    </row>
    <row r="19425" spans="1:5">
      <c r="A19425" t="s">
        <v>22528</v>
      </c>
      <c r="B19425" t="s">
        <v>22529</v>
      </c>
      <c r="C19425">
        <f>0.0125216037024</f>
        <v>1.25216037024E-2</v>
      </c>
      <c r="D19425" t="s">
        <v>106</v>
      </c>
      <c r="E19425">
        <v>5.9370314842578704</v>
      </c>
    </row>
    <row r="19426" spans="1:5">
      <c r="A19426" t="s">
        <v>22530</v>
      </c>
      <c r="B19426" t="s">
        <v>22531</v>
      </c>
      <c r="C19426">
        <f>0</f>
        <v>0</v>
      </c>
      <c r="D19426" t="s">
        <v>106</v>
      </c>
      <c r="E19426">
        <v>5.3493253373313303</v>
      </c>
    </row>
    <row r="19427" spans="1:5">
      <c r="A19427" t="s">
        <v>22530</v>
      </c>
      <c r="B19427" t="s">
        <v>22532</v>
      </c>
      <c r="C19427">
        <f>0</f>
        <v>0</v>
      </c>
      <c r="D19427" t="s">
        <v>106</v>
      </c>
      <c r="E19427">
        <v>5.3493253373313303</v>
      </c>
    </row>
    <row r="19428" spans="1:5">
      <c r="A19428" t="s">
        <v>22530</v>
      </c>
      <c r="B19428" t="s">
        <v>22533</v>
      </c>
      <c r="C19428">
        <v>0</v>
      </c>
      <c r="D19428" t="s">
        <v>106</v>
      </c>
      <c r="E19428">
        <v>5.3493253373313303</v>
      </c>
    </row>
    <row r="19429" spans="1:5">
      <c r="A19429" t="s">
        <v>22530</v>
      </c>
      <c r="B19429" t="s">
        <v>22534</v>
      </c>
      <c r="C19429">
        <v>0</v>
      </c>
      <c r="D19429" t="s">
        <v>106</v>
      </c>
      <c r="E19429">
        <v>5.3493253373313303</v>
      </c>
    </row>
    <row r="19430" spans="1:5">
      <c r="A19430" t="s">
        <v>22530</v>
      </c>
      <c r="B19430" t="s">
        <v>22535</v>
      </c>
      <c r="C19430">
        <f>0</f>
        <v>0</v>
      </c>
      <c r="D19430" t="s">
        <v>106</v>
      </c>
      <c r="E19430">
        <v>5.3493253373313303</v>
      </c>
    </row>
    <row r="19431" spans="1:5">
      <c r="A19431" t="s">
        <v>22530</v>
      </c>
      <c r="B19431" t="s">
        <v>22536</v>
      </c>
      <c r="C19431">
        <f>0</f>
        <v>0</v>
      </c>
      <c r="D19431" t="s">
        <v>106</v>
      </c>
      <c r="E19431">
        <v>5.3493253373313303</v>
      </c>
    </row>
    <row r="19432" spans="1:5">
      <c r="A19432" t="s">
        <v>22530</v>
      </c>
      <c r="B19432" t="s">
        <v>22537</v>
      </c>
      <c r="C19432">
        <f>0</f>
        <v>0</v>
      </c>
      <c r="D19432" t="s">
        <v>106</v>
      </c>
      <c r="E19432">
        <v>5.3493253373313303</v>
      </c>
    </row>
    <row r="19433" spans="1:5">
      <c r="A19433" t="s">
        <v>22538</v>
      </c>
      <c r="B19433" t="s">
        <v>22539</v>
      </c>
      <c r="C19433">
        <v>0.107613146225</v>
      </c>
      <c r="D19433">
        <v>0.92172494472900002</v>
      </c>
      <c r="E19433">
        <v>24</v>
      </c>
    </row>
    <row r="19434" spans="1:5">
      <c r="A19434" t="s">
        <v>22538</v>
      </c>
      <c r="B19434" t="s">
        <v>22540</v>
      </c>
      <c r="C19434">
        <v>0</v>
      </c>
      <c r="D19434">
        <v>0.92172494472900002</v>
      </c>
      <c r="E19434">
        <v>24</v>
      </c>
    </row>
    <row r="19435" spans="1:5">
      <c r="A19435" t="s">
        <v>22538</v>
      </c>
      <c r="B19435" t="s">
        <v>22541</v>
      </c>
      <c r="C19435">
        <f>0</f>
        <v>0</v>
      </c>
      <c r="D19435">
        <v>0.92172494472900002</v>
      </c>
      <c r="E19435">
        <v>24</v>
      </c>
    </row>
    <row r="19436" spans="1:5">
      <c r="A19436" t="s">
        <v>22538</v>
      </c>
      <c r="B19436" t="s">
        <v>22542</v>
      </c>
      <c r="C19436">
        <v>0</v>
      </c>
      <c r="D19436">
        <v>0.92172494472900002</v>
      </c>
      <c r="E19436">
        <v>24</v>
      </c>
    </row>
    <row r="19437" spans="1:5">
      <c r="A19437" t="s">
        <v>22538</v>
      </c>
      <c r="B19437" t="s">
        <v>22543</v>
      </c>
      <c r="C19437">
        <v>0</v>
      </c>
      <c r="D19437">
        <v>0.92172494472900002</v>
      </c>
      <c r="E19437">
        <v>24</v>
      </c>
    </row>
    <row r="19438" spans="1:5">
      <c r="A19438" t="s">
        <v>22538</v>
      </c>
      <c r="B19438" t="s">
        <v>22544</v>
      </c>
      <c r="C19438">
        <v>0</v>
      </c>
      <c r="D19438">
        <v>0.92172494472900002</v>
      </c>
      <c r="E19438">
        <v>24</v>
      </c>
    </row>
    <row r="19439" spans="1:5">
      <c r="A19439" t="s">
        <v>22545</v>
      </c>
      <c r="B19439" t="s">
        <v>22546</v>
      </c>
      <c r="C19439">
        <v>0</v>
      </c>
      <c r="D19439">
        <v>0.99726321443400001</v>
      </c>
      <c r="E19439">
        <v>7.0644677661169402</v>
      </c>
    </row>
    <row r="19440" spans="1:5">
      <c r="A19440" t="s">
        <v>22547</v>
      </c>
      <c r="B19440" t="s">
        <v>22548</v>
      </c>
      <c r="C19440">
        <v>0</v>
      </c>
      <c r="D19440" t="s">
        <v>106</v>
      </c>
      <c r="E19440">
        <v>24</v>
      </c>
    </row>
    <row r="19441" spans="1:5">
      <c r="A19441" t="s">
        <v>22549</v>
      </c>
      <c r="B19441" t="s">
        <v>22550</v>
      </c>
      <c r="C19441">
        <v>0.12917261020000001</v>
      </c>
      <c r="D19441">
        <v>0.97675494786700001</v>
      </c>
      <c r="E19441">
        <v>8.5757121439280297</v>
      </c>
    </row>
    <row r="19442" spans="1:5">
      <c r="A19442" t="s">
        <v>22549</v>
      </c>
      <c r="B19442" t="s">
        <v>22551</v>
      </c>
      <c r="C19442">
        <v>9.5325505141200001E-2</v>
      </c>
      <c r="D19442">
        <v>0.97675494786700001</v>
      </c>
      <c r="E19442">
        <v>8.5757121439280297</v>
      </c>
    </row>
    <row r="19443" spans="1:5">
      <c r="A19443" t="s">
        <v>22549</v>
      </c>
      <c r="B19443" t="s">
        <v>22552</v>
      </c>
      <c r="C19443">
        <f>0</f>
        <v>0</v>
      </c>
      <c r="D19443">
        <v>0.97675494786700001</v>
      </c>
      <c r="E19443">
        <v>8.5757121439280297</v>
      </c>
    </row>
    <row r="19444" spans="1:5">
      <c r="A19444" t="s">
        <v>22549</v>
      </c>
      <c r="B19444" t="s">
        <v>22553</v>
      </c>
      <c r="C19444">
        <v>0</v>
      </c>
      <c r="D19444">
        <v>0.97675494786700001</v>
      </c>
      <c r="E19444">
        <v>8.5757121439280297</v>
      </c>
    </row>
    <row r="19445" spans="1:5">
      <c r="A19445" t="s">
        <v>22549</v>
      </c>
      <c r="B19445" t="s">
        <v>22554</v>
      </c>
      <c r="C19445">
        <f>0</f>
        <v>0</v>
      </c>
      <c r="D19445">
        <v>0.97675494786700001</v>
      </c>
      <c r="E19445">
        <v>8.5757121439280297</v>
      </c>
    </row>
    <row r="19446" spans="1:5">
      <c r="A19446" t="s">
        <v>22549</v>
      </c>
      <c r="B19446" t="s">
        <v>22555</v>
      </c>
      <c r="C19446">
        <v>0</v>
      </c>
      <c r="D19446">
        <v>0.97675494786700001</v>
      </c>
      <c r="E19446">
        <v>8.5757121439280297</v>
      </c>
    </row>
    <row r="19447" spans="1:5">
      <c r="A19447" t="s">
        <v>22549</v>
      </c>
      <c r="B19447" t="s">
        <v>22556</v>
      </c>
      <c r="C19447">
        <f>0</f>
        <v>0</v>
      </c>
      <c r="D19447">
        <v>0.97675494786700001</v>
      </c>
      <c r="E19447">
        <v>8.5757121439280297</v>
      </c>
    </row>
    <row r="19448" spans="1:5">
      <c r="A19448" t="s">
        <v>22549</v>
      </c>
      <c r="B19448" t="s">
        <v>22557</v>
      </c>
      <c r="C19448">
        <v>0</v>
      </c>
      <c r="D19448">
        <v>0.97675494786700001</v>
      </c>
      <c r="E19448">
        <v>8.5757121439280297</v>
      </c>
    </row>
    <row r="19449" spans="1:5">
      <c r="A19449" t="s">
        <v>22558</v>
      </c>
      <c r="B19449" t="s">
        <v>22559</v>
      </c>
      <c r="C19449">
        <f>0</f>
        <v>0</v>
      </c>
      <c r="D19449" t="s">
        <v>106</v>
      </c>
      <c r="E19449">
        <v>16.095952023988001</v>
      </c>
    </row>
    <row r="19450" spans="1:5">
      <c r="A19450" t="s">
        <v>22558</v>
      </c>
      <c r="B19450" t="s">
        <v>22560</v>
      </c>
      <c r="C19450">
        <v>0</v>
      </c>
      <c r="D19450" t="s">
        <v>106</v>
      </c>
      <c r="E19450">
        <v>16.095952023988001</v>
      </c>
    </row>
    <row r="19451" spans="1:5">
      <c r="A19451" t="s">
        <v>22558</v>
      </c>
      <c r="B19451" t="s">
        <v>22561</v>
      </c>
      <c r="C19451">
        <f>0</f>
        <v>0</v>
      </c>
      <c r="D19451" t="s">
        <v>106</v>
      </c>
      <c r="E19451">
        <v>16.095952023988001</v>
      </c>
    </row>
    <row r="19452" spans="1:5">
      <c r="A19452" t="s">
        <v>22558</v>
      </c>
      <c r="B19452" t="s">
        <v>22562</v>
      </c>
      <c r="C19452">
        <f>0</f>
        <v>0</v>
      </c>
      <c r="D19452" t="s">
        <v>106</v>
      </c>
      <c r="E19452">
        <v>16.095952023988001</v>
      </c>
    </row>
    <row r="19453" spans="1:5">
      <c r="A19453" t="s">
        <v>22563</v>
      </c>
      <c r="B19453" t="s">
        <v>22564</v>
      </c>
      <c r="C19453">
        <v>0</v>
      </c>
      <c r="D19453" t="s">
        <v>106</v>
      </c>
      <c r="E19453">
        <v>5.9370314842578704</v>
      </c>
    </row>
    <row r="19454" spans="1:5">
      <c r="A19454" t="s">
        <v>22563</v>
      </c>
      <c r="B19454" t="s">
        <v>22565</v>
      </c>
      <c r="C19454">
        <f>0</f>
        <v>0</v>
      </c>
      <c r="D19454" t="s">
        <v>106</v>
      </c>
      <c r="E19454">
        <v>5.9370314842578704</v>
      </c>
    </row>
    <row r="19455" spans="1:5">
      <c r="A19455" t="s">
        <v>22563</v>
      </c>
      <c r="B19455" t="s">
        <v>22566</v>
      </c>
      <c r="C19455">
        <f>0</f>
        <v>0</v>
      </c>
      <c r="D19455" t="s">
        <v>106</v>
      </c>
      <c r="E19455">
        <v>5.9370314842578704</v>
      </c>
    </row>
    <row r="19456" spans="1:5">
      <c r="A19456" t="s">
        <v>22563</v>
      </c>
      <c r="B19456" t="s">
        <v>22567</v>
      </c>
      <c r="C19456">
        <v>0</v>
      </c>
      <c r="D19456" t="s">
        <v>106</v>
      </c>
      <c r="E19456">
        <v>5.9370314842578704</v>
      </c>
    </row>
    <row r="19457" spans="1:5">
      <c r="A19457" t="s">
        <v>22563</v>
      </c>
      <c r="B19457" t="s">
        <v>22568</v>
      </c>
      <c r="C19457">
        <f>0</f>
        <v>0</v>
      </c>
      <c r="D19457" t="s">
        <v>106</v>
      </c>
      <c r="E19457">
        <v>5.9370314842578704</v>
      </c>
    </row>
    <row r="19458" spans="1:5">
      <c r="A19458" t="s">
        <v>22563</v>
      </c>
      <c r="B19458" t="s">
        <v>22569</v>
      </c>
      <c r="C19458">
        <f>0</f>
        <v>0</v>
      </c>
      <c r="D19458" t="s">
        <v>106</v>
      </c>
      <c r="E19458">
        <v>5.9370314842578704</v>
      </c>
    </row>
    <row r="19459" spans="1:5">
      <c r="A19459" t="s">
        <v>22563</v>
      </c>
      <c r="B19459" t="s">
        <v>22570</v>
      </c>
      <c r="C19459">
        <f>0</f>
        <v>0</v>
      </c>
      <c r="D19459" t="s">
        <v>106</v>
      </c>
      <c r="E19459">
        <v>5.9370314842578704</v>
      </c>
    </row>
    <row r="19460" spans="1:5">
      <c r="A19460" t="s">
        <v>22563</v>
      </c>
      <c r="B19460" t="s">
        <v>22571</v>
      </c>
      <c r="C19460">
        <f>0</f>
        <v>0</v>
      </c>
      <c r="D19460" t="s">
        <v>106</v>
      </c>
      <c r="E19460">
        <v>5.9370314842578704</v>
      </c>
    </row>
    <row r="19461" spans="1:5">
      <c r="A19461" t="s">
        <v>22563</v>
      </c>
      <c r="B19461" t="s">
        <v>22572</v>
      </c>
      <c r="C19461">
        <v>0</v>
      </c>
      <c r="D19461" t="s">
        <v>106</v>
      </c>
      <c r="E19461">
        <v>5.9370314842578704</v>
      </c>
    </row>
    <row r="19462" spans="1:5">
      <c r="A19462" t="s">
        <v>22573</v>
      </c>
      <c r="B19462" t="s">
        <v>22574</v>
      </c>
      <c r="C19462">
        <v>0.73080147023099995</v>
      </c>
      <c r="D19462">
        <v>0.99056718932499999</v>
      </c>
      <c r="E19462">
        <v>9.9190404797601204</v>
      </c>
    </row>
    <row r="19463" spans="1:5">
      <c r="A19463" t="s">
        <v>22573</v>
      </c>
      <c r="B19463" t="s">
        <v>22575</v>
      </c>
      <c r="C19463">
        <v>0</v>
      </c>
      <c r="D19463">
        <v>0.99056718932499999</v>
      </c>
      <c r="E19463">
        <v>9.9190404797601204</v>
      </c>
    </row>
    <row r="19464" spans="1:5">
      <c r="A19464" t="s">
        <v>22573</v>
      </c>
      <c r="B19464" t="s">
        <v>22576</v>
      </c>
      <c r="C19464">
        <f>0.0199029756683</f>
        <v>1.9902975668299999E-2</v>
      </c>
      <c r="D19464">
        <v>0.99056718932499999</v>
      </c>
      <c r="E19464">
        <v>9.9190404797601204</v>
      </c>
    </row>
    <row r="19465" spans="1:5">
      <c r="A19465" t="s">
        <v>22573</v>
      </c>
      <c r="B19465" t="s">
        <v>22577</v>
      </c>
      <c r="C19465">
        <v>0</v>
      </c>
      <c r="D19465">
        <v>0.99056718932499999</v>
      </c>
      <c r="E19465">
        <v>9.9190404797601204</v>
      </c>
    </row>
    <row r="19466" spans="1:5">
      <c r="A19466" t="s">
        <v>22578</v>
      </c>
      <c r="B19466" t="s">
        <v>22579</v>
      </c>
      <c r="C19466">
        <v>0</v>
      </c>
      <c r="D19466" t="s">
        <v>106</v>
      </c>
      <c r="E19466">
        <v>24</v>
      </c>
    </row>
    <row r="19467" spans="1:5">
      <c r="A19467" t="s">
        <v>22578</v>
      </c>
      <c r="B19467" t="s">
        <v>22580</v>
      </c>
      <c r="C19467">
        <f>0</f>
        <v>0</v>
      </c>
      <c r="D19467" t="s">
        <v>106</v>
      </c>
      <c r="E19467">
        <v>24</v>
      </c>
    </row>
    <row r="19468" spans="1:5">
      <c r="A19468" t="s">
        <v>22578</v>
      </c>
      <c r="B19468" t="s">
        <v>22581</v>
      </c>
      <c r="C19468">
        <v>5.4620494346399998E-2</v>
      </c>
      <c r="D19468" t="s">
        <v>106</v>
      </c>
      <c r="E19468">
        <v>24</v>
      </c>
    </row>
    <row r="19469" spans="1:5">
      <c r="A19469" t="s">
        <v>22578</v>
      </c>
      <c r="B19469" t="s">
        <v>22582</v>
      </c>
      <c r="C19469">
        <v>0</v>
      </c>
      <c r="D19469" t="s">
        <v>106</v>
      </c>
      <c r="E19469">
        <v>24</v>
      </c>
    </row>
    <row r="19470" spans="1:5">
      <c r="A19470" t="s">
        <v>22578</v>
      </c>
      <c r="B19470" t="s">
        <v>22583</v>
      </c>
      <c r="C19470">
        <f>0</f>
        <v>0</v>
      </c>
      <c r="D19470" t="s">
        <v>106</v>
      </c>
      <c r="E19470">
        <v>24</v>
      </c>
    </row>
    <row r="19471" spans="1:5">
      <c r="A19471" t="s">
        <v>22578</v>
      </c>
      <c r="B19471" t="s">
        <v>22584</v>
      </c>
      <c r="C19471">
        <f>0</f>
        <v>0</v>
      </c>
      <c r="D19471" t="s">
        <v>106</v>
      </c>
      <c r="E19471">
        <v>24</v>
      </c>
    </row>
    <row r="19472" spans="1:5">
      <c r="A19472" t="s">
        <v>22585</v>
      </c>
      <c r="B19472" t="s">
        <v>22586</v>
      </c>
      <c r="C19472">
        <v>0</v>
      </c>
      <c r="D19472">
        <v>0.51018769744600001</v>
      </c>
      <c r="E19472">
        <v>1.00749625187406</v>
      </c>
    </row>
    <row r="19473" spans="1:5">
      <c r="A19473" t="s">
        <v>22585</v>
      </c>
      <c r="B19473" t="s">
        <v>22587</v>
      </c>
      <c r="C19473">
        <v>3.6342213183000002E-2</v>
      </c>
      <c r="D19473">
        <v>0.51018769744600001</v>
      </c>
      <c r="E19473">
        <v>1.00749625187406</v>
      </c>
    </row>
    <row r="19474" spans="1:5">
      <c r="A19474" t="s">
        <v>22585</v>
      </c>
      <c r="B19474" t="s">
        <v>22588</v>
      </c>
      <c r="C19474">
        <f>0</f>
        <v>0</v>
      </c>
      <c r="D19474">
        <v>0.51018769744600001</v>
      </c>
      <c r="E19474">
        <v>1.00749625187406</v>
      </c>
    </row>
    <row r="19475" spans="1:5">
      <c r="A19475" t="s">
        <v>22585</v>
      </c>
      <c r="B19475" t="s">
        <v>22589</v>
      </c>
      <c r="C19475">
        <v>1.90036530983E-3</v>
      </c>
      <c r="D19475">
        <v>0.51018769744600001</v>
      </c>
      <c r="E19475">
        <v>1.00749625187406</v>
      </c>
    </row>
    <row r="19476" spans="1:5">
      <c r="A19476" t="s">
        <v>22590</v>
      </c>
      <c r="B19476" t="s">
        <v>22591</v>
      </c>
      <c r="C19476">
        <f>0</f>
        <v>0</v>
      </c>
      <c r="D19476" t="s">
        <v>106</v>
      </c>
      <c r="E19476">
        <v>24</v>
      </c>
    </row>
    <row r="19477" spans="1:5">
      <c r="A19477" t="s">
        <v>22590</v>
      </c>
      <c r="B19477" t="s">
        <v>22592</v>
      </c>
      <c r="C19477">
        <f>0.145514121236</f>
        <v>0.14551412123599999</v>
      </c>
      <c r="D19477" t="s">
        <v>106</v>
      </c>
      <c r="E19477">
        <v>24</v>
      </c>
    </row>
    <row r="19478" spans="1:5">
      <c r="A19478" t="s">
        <v>22590</v>
      </c>
      <c r="B19478" t="s">
        <v>22593</v>
      </c>
      <c r="C19478">
        <f>0</f>
        <v>0</v>
      </c>
      <c r="D19478" t="s">
        <v>106</v>
      </c>
      <c r="E19478">
        <v>24</v>
      </c>
    </row>
    <row r="19479" spans="1:5">
      <c r="A19479" t="s">
        <v>22590</v>
      </c>
      <c r="B19479" t="s">
        <v>22594</v>
      </c>
      <c r="C19479">
        <f>0</f>
        <v>0</v>
      </c>
      <c r="D19479" t="s">
        <v>106</v>
      </c>
      <c r="E19479">
        <v>24</v>
      </c>
    </row>
    <row r="19480" spans="1:5">
      <c r="A19480" t="s">
        <v>22590</v>
      </c>
      <c r="B19480" t="s">
        <v>22595</v>
      </c>
      <c r="C19480">
        <f>0</f>
        <v>0</v>
      </c>
      <c r="D19480" t="s">
        <v>106</v>
      </c>
      <c r="E19480">
        <v>24</v>
      </c>
    </row>
    <row r="19481" spans="1:5">
      <c r="A19481" t="s">
        <v>22596</v>
      </c>
      <c r="B19481" t="s">
        <v>22597</v>
      </c>
      <c r="C19481">
        <v>0</v>
      </c>
      <c r="D19481" t="s">
        <v>106</v>
      </c>
      <c r="E19481">
        <v>18.1349325337331</v>
      </c>
    </row>
    <row r="19482" spans="1:5">
      <c r="A19482" t="s">
        <v>22596</v>
      </c>
      <c r="B19482" t="s">
        <v>22598</v>
      </c>
      <c r="C19482">
        <f>0</f>
        <v>0</v>
      </c>
      <c r="D19482" t="s">
        <v>106</v>
      </c>
      <c r="E19482">
        <v>18.1349325337331</v>
      </c>
    </row>
    <row r="19483" spans="1:5">
      <c r="A19483" t="s">
        <v>22596</v>
      </c>
      <c r="B19483" t="s">
        <v>22599</v>
      </c>
      <c r="C19483">
        <v>0</v>
      </c>
      <c r="D19483" t="s">
        <v>106</v>
      </c>
      <c r="E19483">
        <v>18.1349325337331</v>
      </c>
    </row>
    <row r="19484" spans="1:5">
      <c r="A19484" t="s">
        <v>22596</v>
      </c>
      <c r="B19484" t="s">
        <v>22600</v>
      </c>
      <c r="C19484">
        <v>0</v>
      </c>
      <c r="D19484" t="s">
        <v>106</v>
      </c>
      <c r="E19484">
        <v>18.1349325337331</v>
      </c>
    </row>
    <row r="19485" spans="1:5">
      <c r="A19485" t="s">
        <v>22601</v>
      </c>
      <c r="B19485" t="s">
        <v>22602</v>
      </c>
      <c r="C19485">
        <v>0.146283796992</v>
      </c>
      <c r="D19485">
        <v>0.990031015091</v>
      </c>
      <c r="E19485">
        <v>24</v>
      </c>
    </row>
    <row r="19486" spans="1:5">
      <c r="A19486" t="s">
        <v>22601</v>
      </c>
      <c r="B19486" t="s">
        <v>22603</v>
      </c>
      <c r="C19486">
        <f>0</f>
        <v>0</v>
      </c>
      <c r="D19486">
        <v>0.990031015091</v>
      </c>
      <c r="E19486">
        <v>24</v>
      </c>
    </row>
    <row r="19487" spans="1:5">
      <c r="A19487" t="s">
        <v>22601</v>
      </c>
      <c r="B19487" t="s">
        <v>22604</v>
      </c>
      <c r="C19487">
        <v>0</v>
      </c>
      <c r="D19487">
        <v>0.990031015091</v>
      </c>
      <c r="E19487">
        <v>24</v>
      </c>
    </row>
    <row r="19488" spans="1:5">
      <c r="A19488" t="s">
        <v>22601</v>
      </c>
      <c r="B19488" t="s">
        <v>22605</v>
      </c>
      <c r="C19488">
        <f>0.00685055048323</f>
        <v>6.8505504832299998E-3</v>
      </c>
      <c r="D19488">
        <v>0.990031015091</v>
      </c>
      <c r="E19488">
        <v>24</v>
      </c>
    </row>
    <row r="19489" spans="1:5">
      <c r="A19489" t="s">
        <v>22606</v>
      </c>
      <c r="B19489" t="s">
        <v>22607</v>
      </c>
      <c r="C19489">
        <f>0</f>
        <v>0</v>
      </c>
      <c r="D19489" t="s">
        <v>106</v>
      </c>
      <c r="E19489">
        <v>3.3103448275862002</v>
      </c>
    </row>
    <row r="19490" spans="1:5">
      <c r="A19490" t="s">
        <v>22606</v>
      </c>
      <c r="B19490" t="s">
        <v>22608</v>
      </c>
      <c r="C19490">
        <f>0</f>
        <v>0</v>
      </c>
      <c r="D19490" t="s">
        <v>106</v>
      </c>
      <c r="E19490">
        <v>3.3103448275862002</v>
      </c>
    </row>
    <row r="19491" spans="1:5">
      <c r="A19491" t="s">
        <v>22606</v>
      </c>
      <c r="B19491" t="s">
        <v>22609</v>
      </c>
      <c r="C19491">
        <v>0</v>
      </c>
      <c r="D19491" t="s">
        <v>106</v>
      </c>
      <c r="E19491">
        <v>3.3103448275862002</v>
      </c>
    </row>
    <row r="19492" spans="1:5">
      <c r="A19492" t="s">
        <v>22606</v>
      </c>
      <c r="B19492" t="s">
        <v>22610</v>
      </c>
      <c r="C19492">
        <v>0</v>
      </c>
      <c r="D19492" t="s">
        <v>106</v>
      </c>
      <c r="E19492">
        <v>3.3103448275862002</v>
      </c>
    </row>
    <row r="19493" spans="1:5">
      <c r="A19493" t="s">
        <v>22606</v>
      </c>
      <c r="B19493" t="s">
        <v>22611</v>
      </c>
      <c r="C19493">
        <v>0.43453289811099999</v>
      </c>
      <c r="D19493" t="s">
        <v>106</v>
      </c>
      <c r="E19493">
        <v>3.3103448275862002</v>
      </c>
    </row>
    <row r="19494" spans="1:5">
      <c r="A19494" t="s">
        <v>22606</v>
      </c>
      <c r="B19494" t="s">
        <v>22612</v>
      </c>
      <c r="C19494">
        <f>0.316540747507</f>
        <v>0.31654074750700001</v>
      </c>
      <c r="D19494" t="s">
        <v>106</v>
      </c>
      <c r="E19494">
        <v>3.3103448275862002</v>
      </c>
    </row>
    <row r="19495" spans="1:5">
      <c r="A19495" t="s">
        <v>22613</v>
      </c>
      <c r="B19495" t="s">
        <v>22614</v>
      </c>
      <c r="C19495">
        <v>0.12830709071099999</v>
      </c>
      <c r="D19495">
        <v>0.96471685471299995</v>
      </c>
      <c r="E19495">
        <v>12.7376311844077</v>
      </c>
    </row>
    <row r="19496" spans="1:5">
      <c r="A19496" t="s">
        <v>22613</v>
      </c>
      <c r="B19496" t="s">
        <v>22615</v>
      </c>
      <c r="C19496">
        <f>0</f>
        <v>0</v>
      </c>
      <c r="D19496">
        <v>0.96471685471299995</v>
      </c>
      <c r="E19496">
        <v>12.7376311844077</v>
      </c>
    </row>
    <row r="19497" spans="1:5">
      <c r="A19497" t="s">
        <v>22613</v>
      </c>
      <c r="B19497" t="s">
        <v>22616</v>
      </c>
      <c r="C19497">
        <f>0</f>
        <v>0</v>
      </c>
      <c r="D19497">
        <v>0.96471685471299995</v>
      </c>
      <c r="E19497">
        <v>12.7376311844077</v>
      </c>
    </row>
    <row r="19498" spans="1:5">
      <c r="A19498" t="s">
        <v>22613</v>
      </c>
      <c r="B19498" t="s">
        <v>22617</v>
      </c>
      <c r="C19498">
        <f>0</f>
        <v>0</v>
      </c>
      <c r="D19498">
        <v>0.96471685471299995</v>
      </c>
      <c r="E19498">
        <v>12.7376311844077</v>
      </c>
    </row>
    <row r="19499" spans="1:5">
      <c r="A19499" t="s">
        <v>22613</v>
      </c>
      <c r="B19499" t="s">
        <v>22618</v>
      </c>
      <c r="C19499">
        <f>0</f>
        <v>0</v>
      </c>
      <c r="D19499">
        <v>0.96471685471299995</v>
      </c>
      <c r="E19499">
        <v>12.7376311844077</v>
      </c>
    </row>
    <row r="19500" spans="1:5">
      <c r="A19500" t="s">
        <v>22613</v>
      </c>
      <c r="B19500" t="s">
        <v>22619</v>
      </c>
      <c r="C19500">
        <f>0.0558657827774</f>
        <v>5.5865782777400001E-2</v>
      </c>
      <c r="D19500">
        <v>0.96471685471299995</v>
      </c>
      <c r="E19500">
        <v>12.7376311844077</v>
      </c>
    </row>
    <row r="19501" spans="1:5">
      <c r="A19501" t="s">
        <v>22620</v>
      </c>
      <c r="B19501" t="s">
        <v>22621</v>
      </c>
      <c r="C19501">
        <v>0.15175815174000001</v>
      </c>
      <c r="D19501">
        <v>0.97329956855499999</v>
      </c>
      <c r="E19501">
        <v>21.181409295352299</v>
      </c>
    </row>
    <row r="19502" spans="1:5">
      <c r="A19502" t="s">
        <v>22620</v>
      </c>
      <c r="B19502" t="s">
        <v>22622</v>
      </c>
      <c r="C19502">
        <f>0.0675742823263</f>
        <v>6.75742823263E-2</v>
      </c>
      <c r="D19502">
        <v>0.97329956855499999</v>
      </c>
      <c r="E19502">
        <v>21.181409295352299</v>
      </c>
    </row>
    <row r="19503" spans="1:5">
      <c r="A19503" t="s">
        <v>22623</v>
      </c>
      <c r="B19503" t="s">
        <v>22624</v>
      </c>
      <c r="C19503">
        <v>0.50372614419600004</v>
      </c>
      <c r="D19503">
        <v>0.97033202326199997</v>
      </c>
      <c r="E19503">
        <v>10.5547226386806</v>
      </c>
    </row>
    <row r="19504" spans="1:5">
      <c r="A19504" t="s">
        <v>22623</v>
      </c>
      <c r="B19504" t="s">
        <v>22625</v>
      </c>
      <c r="C19504">
        <f>0</f>
        <v>0</v>
      </c>
      <c r="D19504">
        <v>0.97033202326199997</v>
      </c>
      <c r="E19504">
        <v>10.5547226386806</v>
      </c>
    </row>
    <row r="19505" spans="1:5">
      <c r="A19505" t="s">
        <v>22623</v>
      </c>
      <c r="B19505" t="s">
        <v>22626</v>
      </c>
      <c r="C19505">
        <f>0</f>
        <v>0</v>
      </c>
      <c r="D19505">
        <v>0.97033202326199997</v>
      </c>
      <c r="E19505">
        <v>10.5547226386806</v>
      </c>
    </row>
    <row r="19506" spans="1:5">
      <c r="A19506" t="s">
        <v>22623</v>
      </c>
      <c r="B19506" t="s">
        <v>22627</v>
      </c>
      <c r="C19506">
        <v>0</v>
      </c>
      <c r="D19506">
        <v>0.97033202326199997</v>
      </c>
      <c r="E19506">
        <v>10.5547226386806</v>
      </c>
    </row>
    <row r="19507" spans="1:5">
      <c r="A19507" t="s">
        <v>22628</v>
      </c>
      <c r="B19507" t="s">
        <v>22629</v>
      </c>
      <c r="C19507">
        <f>0.00336210004247</f>
        <v>3.36210004247E-3</v>
      </c>
      <c r="D19507">
        <v>0.71441004983500001</v>
      </c>
      <c r="E19507">
        <v>5.9370314842578704</v>
      </c>
    </row>
    <row r="19508" spans="1:5">
      <c r="A19508" t="s">
        <v>22628</v>
      </c>
      <c r="B19508" t="s">
        <v>22630</v>
      </c>
      <c r="C19508">
        <f>0</f>
        <v>0</v>
      </c>
      <c r="D19508">
        <v>0.71441004983500001</v>
      </c>
      <c r="E19508">
        <v>5.9370314842578704</v>
      </c>
    </row>
    <row r="19509" spans="1:5">
      <c r="A19509" t="s">
        <v>22628</v>
      </c>
      <c r="B19509" t="s">
        <v>22631</v>
      </c>
      <c r="C19509">
        <f>0</f>
        <v>0</v>
      </c>
      <c r="D19509">
        <v>0.71441004983500001</v>
      </c>
      <c r="E19509">
        <v>5.9370314842578704</v>
      </c>
    </row>
    <row r="19510" spans="1:5">
      <c r="A19510" t="s">
        <v>22628</v>
      </c>
      <c r="B19510" t="s">
        <v>22632</v>
      </c>
      <c r="C19510">
        <f>0</f>
        <v>0</v>
      </c>
      <c r="D19510">
        <v>0.71441004983500001</v>
      </c>
      <c r="E19510">
        <v>5.9370314842578704</v>
      </c>
    </row>
    <row r="19511" spans="1:5">
      <c r="A19511" t="s">
        <v>22628</v>
      </c>
      <c r="B19511" t="s">
        <v>22633</v>
      </c>
      <c r="C19511">
        <f>0</f>
        <v>0</v>
      </c>
      <c r="D19511">
        <v>0.71441004983500001</v>
      </c>
      <c r="E19511">
        <v>5.9370314842578704</v>
      </c>
    </row>
    <row r="19512" spans="1:5">
      <c r="A19512" t="s">
        <v>22628</v>
      </c>
      <c r="B19512" t="s">
        <v>22634</v>
      </c>
      <c r="C19512">
        <f>0.00626803486791</f>
        <v>6.2680348679100004E-3</v>
      </c>
      <c r="D19512">
        <v>0.71441004983500001</v>
      </c>
      <c r="E19512">
        <v>5.9370314842578704</v>
      </c>
    </row>
    <row r="19513" spans="1:5">
      <c r="A19513" t="s">
        <v>22628</v>
      </c>
      <c r="B19513" t="s">
        <v>22635</v>
      </c>
      <c r="C19513">
        <f>0</f>
        <v>0</v>
      </c>
      <c r="D19513">
        <v>0.71441004983500001</v>
      </c>
      <c r="E19513">
        <v>5.9370314842578704</v>
      </c>
    </row>
    <row r="19514" spans="1:5">
      <c r="A19514" t="s">
        <v>22628</v>
      </c>
      <c r="B19514" t="s">
        <v>22636</v>
      </c>
      <c r="C19514">
        <f>0</f>
        <v>0</v>
      </c>
      <c r="D19514">
        <v>0.71441004983500001</v>
      </c>
      <c r="E19514">
        <v>5.9370314842578704</v>
      </c>
    </row>
    <row r="19515" spans="1:5">
      <c r="A19515" t="s">
        <v>22628</v>
      </c>
      <c r="B19515" t="s">
        <v>22637</v>
      </c>
      <c r="C19515">
        <v>0</v>
      </c>
      <c r="D19515">
        <v>0.71441004983500001</v>
      </c>
      <c r="E19515">
        <v>5.9370314842578704</v>
      </c>
    </row>
    <row r="19516" spans="1:5">
      <c r="A19516" t="s">
        <v>22628</v>
      </c>
      <c r="B19516" t="s">
        <v>22638</v>
      </c>
      <c r="C19516">
        <f>0</f>
        <v>0</v>
      </c>
      <c r="D19516">
        <v>0.71441004983500001</v>
      </c>
      <c r="E19516">
        <v>5.9370314842578704</v>
      </c>
    </row>
    <row r="19517" spans="1:5">
      <c r="A19517" t="s">
        <v>22639</v>
      </c>
      <c r="B19517" t="s">
        <v>22640</v>
      </c>
      <c r="C19517">
        <f>0.644033537644</f>
        <v>0.64403353764399995</v>
      </c>
      <c r="D19517">
        <v>0.95886289254599999</v>
      </c>
      <c r="E19517">
        <v>1.6311844077961</v>
      </c>
    </row>
    <row r="19518" spans="1:5">
      <c r="A19518" t="s">
        <v>22639</v>
      </c>
      <c r="B19518" t="s">
        <v>22641</v>
      </c>
      <c r="C19518">
        <v>0</v>
      </c>
      <c r="D19518">
        <v>0.95886289254599999</v>
      </c>
      <c r="E19518">
        <v>1.6311844077961</v>
      </c>
    </row>
    <row r="19519" spans="1:5">
      <c r="A19519" t="s">
        <v>22639</v>
      </c>
      <c r="B19519" t="s">
        <v>22642</v>
      </c>
      <c r="C19519">
        <v>0.19453452528099999</v>
      </c>
      <c r="D19519">
        <v>0.95886289254599999</v>
      </c>
      <c r="E19519">
        <v>1.6311844077961</v>
      </c>
    </row>
    <row r="19520" spans="1:5">
      <c r="A19520" t="s">
        <v>22643</v>
      </c>
      <c r="B19520" t="s">
        <v>22644</v>
      </c>
      <c r="C19520">
        <v>0.161124149031</v>
      </c>
      <c r="D19520" t="s">
        <v>106</v>
      </c>
      <c r="E19520">
        <v>17.103448275862</v>
      </c>
    </row>
    <row r="19521" spans="1:5">
      <c r="A19521" t="s">
        <v>22643</v>
      </c>
      <c r="B19521" t="s">
        <v>22645</v>
      </c>
      <c r="C19521">
        <v>9.1333824177999998E-2</v>
      </c>
      <c r="D19521" t="s">
        <v>106</v>
      </c>
      <c r="E19521">
        <v>17.103448275862</v>
      </c>
    </row>
    <row r="19522" spans="1:5">
      <c r="A19522" t="s">
        <v>22643</v>
      </c>
      <c r="B19522" t="s">
        <v>22646</v>
      </c>
      <c r="C19522">
        <f>0</f>
        <v>0</v>
      </c>
      <c r="D19522" t="s">
        <v>106</v>
      </c>
      <c r="E19522">
        <v>17.103448275862</v>
      </c>
    </row>
    <row r="19523" spans="1:5">
      <c r="A19523" t="s">
        <v>22647</v>
      </c>
      <c r="B19523" t="s">
        <v>22648</v>
      </c>
      <c r="C19523">
        <v>0</v>
      </c>
      <c r="D19523" t="s">
        <v>106</v>
      </c>
      <c r="E19523">
        <v>2.96251874062968</v>
      </c>
    </row>
    <row r="19524" spans="1:5">
      <c r="A19524" t="s">
        <v>22647</v>
      </c>
      <c r="B19524" t="s">
        <v>22649</v>
      </c>
      <c r="C19524">
        <f>0</f>
        <v>0</v>
      </c>
      <c r="D19524" t="s">
        <v>106</v>
      </c>
      <c r="E19524">
        <v>2.96251874062968</v>
      </c>
    </row>
    <row r="19525" spans="1:5">
      <c r="A19525" t="s">
        <v>22647</v>
      </c>
      <c r="B19525" t="s">
        <v>22650</v>
      </c>
      <c r="C19525">
        <v>0</v>
      </c>
      <c r="D19525" t="s">
        <v>106</v>
      </c>
      <c r="E19525">
        <v>2.96251874062968</v>
      </c>
    </row>
    <row r="19526" spans="1:5">
      <c r="A19526" t="s">
        <v>22647</v>
      </c>
      <c r="B19526" t="s">
        <v>22651</v>
      </c>
      <c r="C19526">
        <v>0</v>
      </c>
      <c r="D19526" t="s">
        <v>106</v>
      </c>
      <c r="E19526">
        <v>2.96251874062968</v>
      </c>
    </row>
    <row r="19527" spans="1:5">
      <c r="A19527" t="s">
        <v>22647</v>
      </c>
      <c r="B19527" t="s">
        <v>22652</v>
      </c>
      <c r="C19527">
        <v>0</v>
      </c>
      <c r="D19527" t="s">
        <v>106</v>
      </c>
      <c r="E19527">
        <v>2.96251874062968</v>
      </c>
    </row>
    <row r="19528" spans="1:5">
      <c r="A19528" t="s">
        <v>22653</v>
      </c>
      <c r="B19528" t="s">
        <v>22654</v>
      </c>
      <c r="C19528">
        <v>0</v>
      </c>
      <c r="D19528" t="s">
        <v>106</v>
      </c>
      <c r="E19528">
        <v>24</v>
      </c>
    </row>
    <row r="19529" spans="1:5">
      <c r="A19529" t="s">
        <v>22653</v>
      </c>
      <c r="B19529" t="s">
        <v>22655</v>
      </c>
      <c r="C19529">
        <v>0</v>
      </c>
      <c r="D19529" t="s">
        <v>106</v>
      </c>
      <c r="E19529">
        <v>24</v>
      </c>
    </row>
    <row r="19530" spans="1:5">
      <c r="A19530" t="s">
        <v>22653</v>
      </c>
      <c r="B19530" t="s">
        <v>22656</v>
      </c>
      <c r="C19530">
        <f>0</f>
        <v>0</v>
      </c>
      <c r="D19530" t="s">
        <v>106</v>
      </c>
      <c r="E19530">
        <v>24</v>
      </c>
    </row>
    <row r="19531" spans="1:5">
      <c r="A19531" t="s">
        <v>22653</v>
      </c>
      <c r="B19531" t="s">
        <v>22657</v>
      </c>
      <c r="C19531">
        <f>0</f>
        <v>0</v>
      </c>
      <c r="D19531" t="s">
        <v>106</v>
      </c>
      <c r="E19531">
        <v>24</v>
      </c>
    </row>
    <row r="19532" spans="1:5">
      <c r="A19532" t="s">
        <v>22653</v>
      </c>
      <c r="B19532" t="s">
        <v>22658</v>
      </c>
      <c r="C19532">
        <v>0</v>
      </c>
      <c r="D19532" t="s">
        <v>106</v>
      </c>
      <c r="E19532">
        <v>24</v>
      </c>
    </row>
    <row r="19533" spans="1:5">
      <c r="A19533" t="s">
        <v>22653</v>
      </c>
      <c r="B19533" t="s">
        <v>22659</v>
      </c>
      <c r="C19533">
        <v>0</v>
      </c>
      <c r="D19533" t="s">
        <v>106</v>
      </c>
      <c r="E19533">
        <v>24</v>
      </c>
    </row>
    <row r="19534" spans="1:5">
      <c r="A19534" t="s">
        <v>22653</v>
      </c>
      <c r="B19534" t="s">
        <v>22660</v>
      </c>
      <c r="C19534">
        <v>0</v>
      </c>
      <c r="D19534" t="s">
        <v>106</v>
      </c>
      <c r="E19534">
        <v>24</v>
      </c>
    </row>
    <row r="19535" spans="1:5">
      <c r="A19535" t="s">
        <v>22661</v>
      </c>
      <c r="B19535" t="s">
        <v>22662</v>
      </c>
      <c r="C19535">
        <f>0</f>
        <v>0</v>
      </c>
      <c r="D19535" t="s">
        <v>106</v>
      </c>
      <c r="E19535">
        <v>8.2878560719640095</v>
      </c>
    </row>
    <row r="19536" spans="1:5">
      <c r="A19536" t="s">
        <v>22663</v>
      </c>
      <c r="B19536" t="s">
        <v>22664</v>
      </c>
      <c r="C19536">
        <v>0</v>
      </c>
      <c r="D19536">
        <v>0.98374488691899997</v>
      </c>
      <c r="E19536">
        <v>7.0644677661169402</v>
      </c>
    </row>
    <row r="19537" spans="1:5">
      <c r="A19537" t="s">
        <v>22663</v>
      </c>
      <c r="B19537" t="s">
        <v>22665</v>
      </c>
      <c r="C19537">
        <v>0</v>
      </c>
      <c r="D19537">
        <v>0.98374488691899997</v>
      </c>
      <c r="E19537">
        <v>7.0644677661169402</v>
      </c>
    </row>
    <row r="19538" spans="1:5">
      <c r="A19538" t="s">
        <v>22663</v>
      </c>
      <c r="B19538" t="s">
        <v>22666</v>
      </c>
      <c r="C19538">
        <v>0</v>
      </c>
      <c r="D19538">
        <v>0.98374488691899997</v>
      </c>
      <c r="E19538">
        <v>7.0644677661169402</v>
      </c>
    </row>
    <row r="19539" spans="1:5">
      <c r="A19539" t="s">
        <v>22663</v>
      </c>
      <c r="B19539" t="s">
        <v>22667</v>
      </c>
      <c r="C19539">
        <v>0</v>
      </c>
      <c r="D19539">
        <v>0.98374488691899997</v>
      </c>
      <c r="E19539">
        <v>7.0644677661169402</v>
      </c>
    </row>
    <row r="19540" spans="1:5">
      <c r="A19540" t="s">
        <v>22663</v>
      </c>
      <c r="B19540" t="s">
        <v>22668</v>
      </c>
      <c r="C19540">
        <f>0</f>
        <v>0</v>
      </c>
      <c r="D19540">
        <v>0.98374488691899997</v>
      </c>
      <c r="E19540">
        <v>7.0644677661169402</v>
      </c>
    </row>
    <row r="19541" spans="1:5">
      <c r="A19541" t="s">
        <v>22663</v>
      </c>
      <c r="B19541" t="s">
        <v>22669</v>
      </c>
      <c r="C19541">
        <v>0</v>
      </c>
      <c r="D19541">
        <v>0.98374488691899997</v>
      </c>
      <c r="E19541">
        <v>7.0644677661169402</v>
      </c>
    </row>
    <row r="19542" spans="1:5">
      <c r="A19542" t="s">
        <v>22663</v>
      </c>
      <c r="B19542" t="s">
        <v>22670</v>
      </c>
      <c r="C19542">
        <v>0</v>
      </c>
      <c r="D19542">
        <v>0.98374488691899997</v>
      </c>
      <c r="E19542">
        <v>7.0644677661169402</v>
      </c>
    </row>
    <row r="19543" spans="1:5">
      <c r="A19543" t="s">
        <v>22663</v>
      </c>
      <c r="B19543" t="s">
        <v>22671</v>
      </c>
      <c r="C19543">
        <f>0</f>
        <v>0</v>
      </c>
      <c r="D19543">
        <v>0.98374488691899997</v>
      </c>
      <c r="E19543">
        <v>7.0644677661169402</v>
      </c>
    </row>
    <row r="19544" spans="1:5">
      <c r="A19544" t="s">
        <v>22663</v>
      </c>
      <c r="B19544" t="s">
        <v>22672</v>
      </c>
      <c r="C19544">
        <v>0</v>
      </c>
      <c r="D19544">
        <v>0.98374488691899997</v>
      </c>
      <c r="E19544">
        <v>7.0644677661169402</v>
      </c>
    </row>
    <row r="19545" spans="1:5">
      <c r="A19545" t="s">
        <v>22663</v>
      </c>
      <c r="B19545" t="s">
        <v>22673</v>
      </c>
      <c r="C19545">
        <f>0</f>
        <v>0</v>
      </c>
      <c r="D19545">
        <v>0.98374488691899997</v>
      </c>
      <c r="E19545">
        <v>7.0644677661169402</v>
      </c>
    </row>
    <row r="19546" spans="1:5">
      <c r="A19546" t="s">
        <v>22663</v>
      </c>
      <c r="B19546" t="s">
        <v>22674</v>
      </c>
      <c r="C19546">
        <f>0</f>
        <v>0</v>
      </c>
      <c r="D19546">
        <v>0.98374488691899997</v>
      </c>
      <c r="E19546">
        <v>7.0644677661169402</v>
      </c>
    </row>
    <row r="19547" spans="1:5">
      <c r="A19547" t="s">
        <v>22663</v>
      </c>
      <c r="B19547" t="s">
        <v>22675</v>
      </c>
      <c r="C19547">
        <v>0</v>
      </c>
      <c r="D19547">
        <v>0.98374488691899997</v>
      </c>
      <c r="E19547">
        <v>7.0644677661169402</v>
      </c>
    </row>
    <row r="19548" spans="1:5">
      <c r="A19548" t="s">
        <v>22663</v>
      </c>
      <c r="B19548" t="s">
        <v>22676</v>
      </c>
      <c r="C19548">
        <f>0</f>
        <v>0</v>
      </c>
      <c r="D19548">
        <v>0.98374488691899997</v>
      </c>
      <c r="E19548">
        <v>7.0644677661169402</v>
      </c>
    </row>
    <row r="19549" spans="1:5">
      <c r="A19549" t="s">
        <v>22663</v>
      </c>
      <c r="B19549" t="s">
        <v>22677</v>
      </c>
      <c r="C19549">
        <v>0</v>
      </c>
      <c r="D19549">
        <v>0.98374488691899997</v>
      </c>
      <c r="E19549">
        <v>7.0644677661169402</v>
      </c>
    </row>
    <row r="19550" spans="1:5">
      <c r="A19550" t="s">
        <v>22663</v>
      </c>
      <c r="B19550" t="s">
        <v>22678</v>
      </c>
      <c r="C19550">
        <v>0.42001435215799998</v>
      </c>
      <c r="D19550">
        <v>0.98374488691899997</v>
      </c>
      <c r="E19550">
        <v>7.0644677661169402</v>
      </c>
    </row>
    <row r="19551" spans="1:5">
      <c r="A19551" t="s">
        <v>22663</v>
      </c>
      <c r="B19551" t="s">
        <v>22679</v>
      </c>
      <c r="C19551">
        <f>0</f>
        <v>0</v>
      </c>
      <c r="D19551">
        <v>0.98374488691899997</v>
      </c>
      <c r="E19551">
        <v>7.0644677661169402</v>
      </c>
    </row>
    <row r="19552" spans="1:5">
      <c r="A19552" t="s">
        <v>22663</v>
      </c>
      <c r="B19552" t="s">
        <v>22680</v>
      </c>
      <c r="C19552">
        <v>0</v>
      </c>
      <c r="D19552">
        <v>0.98374488691899997</v>
      </c>
      <c r="E19552">
        <v>7.0644677661169402</v>
      </c>
    </row>
    <row r="19553" spans="1:5">
      <c r="A19553" t="s">
        <v>22681</v>
      </c>
      <c r="B19553" t="s">
        <v>22682</v>
      </c>
      <c r="C19553">
        <f>0</f>
        <v>0</v>
      </c>
      <c r="D19553">
        <v>0.92148826581400001</v>
      </c>
      <c r="E19553">
        <v>11.0344827586206</v>
      </c>
    </row>
    <row r="19554" spans="1:5">
      <c r="A19554" t="s">
        <v>22681</v>
      </c>
      <c r="B19554" t="s">
        <v>22683</v>
      </c>
      <c r="C19554">
        <f>0</f>
        <v>0</v>
      </c>
      <c r="D19554">
        <v>0.92148826581400001</v>
      </c>
      <c r="E19554">
        <v>11.0344827586206</v>
      </c>
    </row>
    <row r="19555" spans="1:5">
      <c r="A19555" t="s">
        <v>22681</v>
      </c>
      <c r="B19555" t="s">
        <v>22684</v>
      </c>
      <c r="C19555">
        <f>0.237942937666</f>
        <v>0.237942937666</v>
      </c>
      <c r="D19555">
        <v>0.92148826581400001</v>
      </c>
      <c r="E19555">
        <v>11.0344827586206</v>
      </c>
    </row>
    <row r="19556" spans="1:5">
      <c r="A19556" t="s">
        <v>22681</v>
      </c>
      <c r="B19556" t="s">
        <v>22685</v>
      </c>
      <c r="C19556">
        <f>0</f>
        <v>0</v>
      </c>
      <c r="D19556">
        <v>0.92148826581400001</v>
      </c>
      <c r="E19556">
        <v>11.0344827586206</v>
      </c>
    </row>
    <row r="19557" spans="1:5">
      <c r="A19557" t="s">
        <v>22681</v>
      </c>
      <c r="B19557" t="s">
        <v>22686</v>
      </c>
      <c r="C19557">
        <f>0.111534773544</f>
        <v>0.111534773544</v>
      </c>
      <c r="D19557">
        <v>0.92148826581400001</v>
      </c>
      <c r="E19557">
        <v>11.0344827586206</v>
      </c>
    </row>
    <row r="19558" spans="1:5">
      <c r="A19558" t="s">
        <v>22681</v>
      </c>
      <c r="B19558" t="s">
        <v>22687</v>
      </c>
      <c r="C19558">
        <v>0</v>
      </c>
      <c r="D19558">
        <v>0.92148826581400001</v>
      </c>
      <c r="E19558">
        <v>11.0344827586206</v>
      </c>
    </row>
    <row r="19559" spans="1:5">
      <c r="A19559" t="s">
        <v>22681</v>
      </c>
      <c r="B19559" t="s">
        <v>22688</v>
      </c>
      <c r="C19559">
        <f>0</f>
        <v>0</v>
      </c>
      <c r="D19559">
        <v>0.92148826581400001</v>
      </c>
      <c r="E19559">
        <v>11.0344827586206</v>
      </c>
    </row>
    <row r="19560" spans="1:5">
      <c r="A19560" t="s">
        <v>22681</v>
      </c>
      <c r="B19560" t="s">
        <v>22689</v>
      </c>
      <c r="C19560">
        <f>0</f>
        <v>0</v>
      </c>
      <c r="D19560">
        <v>0.92148826581400001</v>
      </c>
      <c r="E19560">
        <v>11.0344827586206</v>
      </c>
    </row>
    <row r="19561" spans="1:5">
      <c r="A19561" t="s">
        <v>22690</v>
      </c>
      <c r="B19561" t="s">
        <v>22691</v>
      </c>
      <c r="C19561">
        <v>0.41811593121399998</v>
      </c>
      <c r="D19561">
        <v>0.84655901244999998</v>
      </c>
      <c r="E19561">
        <v>2.7106446776611599</v>
      </c>
    </row>
    <row r="19562" spans="1:5">
      <c r="A19562" t="s">
        <v>22690</v>
      </c>
      <c r="B19562" t="s">
        <v>22692</v>
      </c>
      <c r="C19562">
        <v>0</v>
      </c>
      <c r="D19562">
        <v>0.84655901244999998</v>
      </c>
      <c r="E19562">
        <v>2.7106446776611599</v>
      </c>
    </row>
    <row r="19563" spans="1:5">
      <c r="A19563" t="s">
        <v>22690</v>
      </c>
      <c r="B19563" t="s">
        <v>22693</v>
      </c>
      <c r="C19563">
        <v>0</v>
      </c>
      <c r="D19563">
        <v>0.84655901244999998</v>
      </c>
      <c r="E19563">
        <v>2.7106446776611599</v>
      </c>
    </row>
    <row r="19564" spans="1:5">
      <c r="A19564" t="s">
        <v>22690</v>
      </c>
      <c r="B19564" t="s">
        <v>22694</v>
      </c>
      <c r="C19564">
        <f>0.278227841957</f>
        <v>0.27822784195700001</v>
      </c>
      <c r="D19564">
        <v>0.84655901244999998</v>
      </c>
      <c r="E19564">
        <v>2.7106446776611599</v>
      </c>
    </row>
    <row r="19565" spans="1:5">
      <c r="A19565" t="s">
        <v>22690</v>
      </c>
      <c r="B19565" t="s">
        <v>22695</v>
      </c>
      <c r="C19565">
        <f>0</f>
        <v>0</v>
      </c>
      <c r="D19565">
        <v>0.84655901244999998</v>
      </c>
      <c r="E19565">
        <v>2.7106446776611599</v>
      </c>
    </row>
    <row r="19566" spans="1:5">
      <c r="A19566" t="s">
        <v>22696</v>
      </c>
      <c r="B19566" t="s">
        <v>22697</v>
      </c>
      <c r="C19566">
        <v>0</v>
      </c>
      <c r="D19566">
        <v>0.91072338568699995</v>
      </c>
      <c r="E19566">
        <v>11.370314842578701</v>
      </c>
    </row>
    <row r="19567" spans="1:5">
      <c r="A19567" t="s">
        <v>22696</v>
      </c>
      <c r="B19567" t="s">
        <v>22698</v>
      </c>
      <c r="C19567">
        <f>0</f>
        <v>0</v>
      </c>
      <c r="D19567">
        <v>0.91072338568699995</v>
      </c>
      <c r="E19567">
        <v>11.370314842578701</v>
      </c>
    </row>
    <row r="19568" spans="1:5">
      <c r="A19568" t="s">
        <v>22696</v>
      </c>
      <c r="B19568" t="s">
        <v>22699</v>
      </c>
      <c r="C19568">
        <f>0</f>
        <v>0</v>
      </c>
      <c r="D19568">
        <v>0.91072338568699995</v>
      </c>
      <c r="E19568">
        <v>11.370314842578701</v>
      </c>
    </row>
    <row r="19569" spans="1:5">
      <c r="A19569" t="s">
        <v>22696</v>
      </c>
      <c r="B19569" t="s">
        <v>22700</v>
      </c>
      <c r="C19569">
        <v>0</v>
      </c>
      <c r="D19569">
        <v>0.91072338568699995</v>
      </c>
      <c r="E19569">
        <v>11.370314842578701</v>
      </c>
    </row>
    <row r="19570" spans="1:5">
      <c r="A19570" t="s">
        <v>22696</v>
      </c>
      <c r="B19570" t="s">
        <v>22701</v>
      </c>
      <c r="C19570">
        <v>0</v>
      </c>
      <c r="D19570">
        <v>0.91072338568699995</v>
      </c>
      <c r="E19570">
        <v>11.370314842578701</v>
      </c>
    </row>
    <row r="19571" spans="1:5">
      <c r="A19571" t="s">
        <v>22696</v>
      </c>
      <c r="B19571" t="s">
        <v>22702</v>
      </c>
      <c r="C19571">
        <v>0</v>
      </c>
      <c r="D19571">
        <v>0.91072338568699995</v>
      </c>
      <c r="E19571">
        <v>11.370314842578701</v>
      </c>
    </row>
    <row r="19572" spans="1:5">
      <c r="A19572" t="s">
        <v>22696</v>
      </c>
      <c r="B19572" t="s">
        <v>22703</v>
      </c>
      <c r="C19572">
        <v>0</v>
      </c>
      <c r="D19572">
        <v>0.91072338568699995</v>
      </c>
      <c r="E19572">
        <v>11.370314842578701</v>
      </c>
    </row>
    <row r="19573" spans="1:5">
      <c r="A19573" t="s">
        <v>22696</v>
      </c>
      <c r="B19573" t="s">
        <v>22704</v>
      </c>
      <c r="C19573">
        <v>0</v>
      </c>
      <c r="D19573">
        <v>0.91072338568699995</v>
      </c>
      <c r="E19573">
        <v>11.370314842578701</v>
      </c>
    </row>
    <row r="19574" spans="1:5">
      <c r="A19574" t="s">
        <v>22696</v>
      </c>
      <c r="B19574" t="s">
        <v>22705</v>
      </c>
      <c r="C19574">
        <v>0</v>
      </c>
      <c r="D19574">
        <v>0.91072338568699995</v>
      </c>
      <c r="E19574">
        <v>11.370314842578701</v>
      </c>
    </row>
    <row r="19575" spans="1:5">
      <c r="A19575" t="s">
        <v>22696</v>
      </c>
      <c r="B19575" t="s">
        <v>22706</v>
      </c>
      <c r="C19575">
        <v>5.1996739627000001E-2</v>
      </c>
      <c r="D19575">
        <v>0.91072338568699995</v>
      </c>
      <c r="E19575">
        <v>11.370314842578701</v>
      </c>
    </row>
    <row r="19576" spans="1:5">
      <c r="A19576" t="s">
        <v>22696</v>
      </c>
      <c r="B19576" t="s">
        <v>22707</v>
      </c>
      <c r="C19576">
        <f>0</f>
        <v>0</v>
      </c>
      <c r="D19576">
        <v>0.91072338568699995</v>
      </c>
      <c r="E19576">
        <v>11.370314842578701</v>
      </c>
    </row>
    <row r="19577" spans="1:5">
      <c r="A19577" t="s">
        <v>22696</v>
      </c>
      <c r="B19577" t="s">
        <v>22708</v>
      </c>
      <c r="C19577">
        <f>0</f>
        <v>0</v>
      </c>
      <c r="D19577">
        <v>0.91072338568699995</v>
      </c>
      <c r="E19577">
        <v>11.370314842578701</v>
      </c>
    </row>
    <row r="19578" spans="1:5">
      <c r="A19578" t="s">
        <v>22696</v>
      </c>
      <c r="B19578" t="s">
        <v>22709</v>
      </c>
      <c r="C19578">
        <f>0</f>
        <v>0</v>
      </c>
      <c r="D19578">
        <v>0.91072338568699995</v>
      </c>
      <c r="E19578">
        <v>11.370314842578701</v>
      </c>
    </row>
    <row r="19579" spans="1:5">
      <c r="A19579" t="s">
        <v>22710</v>
      </c>
      <c r="B19579" t="s">
        <v>22711</v>
      </c>
      <c r="C19579">
        <f>0</f>
        <v>0</v>
      </c>
      <c r="D19579" t="s">
        <v>106</v>
      </c>
      <c r="E19579">
        <v>21.637181409295302</v>
      </c>
    </row>
    <row r="19580" spans="1:5">
      <c r="A19580" t="s">
        <v>22712</v>
      </c>
      <c r="B19580" t="s">
        <v>22713</v>
      </c>
      <c r="C19580">
        <v>0.18105325992900001</v>
      </c>
      <c r="D19580">
        <v>0.89823167342900001</v>
      </c>
      <c r="E19580">
        <v>3.0464767616191901</v>
      </c>
    </row>
    <row r="19581" spans="1:5">
      <c r="A19581" t="s">
        <v>22712</v>
      </c>
      <c r="B19581" t="s">
        <v>22714</v>
      </c>
      <c r="C19581">
        <v>0.20844525904700001</v>
      </c>
      <c r="D19581">
        <v>0.89823167342900001</v>
      </c>
      <c r="E19581">
        <v>3.0464767616191901</v>
      </c>
    </row>
    <row r="19582" spans="1:5">
      <c r="A19582" t="s">
        <v>22715</v>
      </c>
      <c r="B19582" t="s">
        <v>22716</v>
      </c>
      <c r="C19582">
        <v>0</v>
      </c>
      <c r="D19582" t="s">
        <v>106</v>
      </c>
      <c r="E19582">
        <v>24</v>
      </c>
    </row>
    <row r="19583" spans="1:5">
      <c r="A19583" t="s">
        <v>22717</v>
      </c>
      <c r="B19583" t="s">
        <v>22718</v>
      </c>
      <c r="C19583">
        <v>0</v>
      </c>
      <c r="D19583">
        <v>8.6723111694199995E-2</v>
      </c>
      <c r="E19583">
        <v>5.3493253373313303</v>
      </c>
    </row>
    <row r="19584" spans="1:5">
      <c r="A19584" t="s">
        <v>22719</v>
      </c>
      <c r="B19584" t="s">
        <v>22720</v>
      </c>
      <c r="C19584">
        <v>0</v>
      </c>
      <c r="D19584" t="s">
        <v>106</v>
      </c>
      <c r="E19584">
        <v>15.316341829085401</v>
      </c>
    </row>
    <row r="19585" spans="1:5">
      <c r="A19585" t="s">
        <v>22719</v>
      </c>
      <c r="B19585" t="s">
        <v>22721</v>
      </c>
      <c r="C19585">
        <f>0</f>
        <v>0</v>
      </c>
      <c r="D19585" t="s">
        <v>106</v>
      </c>
      <c r="E19585">
        <v>15.316341829085401</v>
      </c>
    </row>
    <row r="19586" spans="1:5">
      <c r="A19586" t="s">
        <v>22719</v>
      </c>
      <c r="B19586" t="s">
        <v>22722</v>
      </c>
      <c r="C19586">
        <f>0</f>
        <v>0</v>
      </c>
      <c r="D19586" t="s">
        <v>106</v>
      </c>
      <c r="E19586">
        <v>15.316341829085401</v>
      </c>
    </row>
    <row r="19587" spans="1:5">
      <c r="A19587" t="s">
        <v>22719</v>
      </c>
      <c r="B19587" t="s">
        <v>22723</v>
      </c>
      <c r="C19587">
        <v>0</v>
      </c>
      <c r="D19587" t="s">
        <v>106</v>
      </c>
      <c r="E19587">
        <v>15.316341829085401</v>
      </c>
    </row>
    <row r="19588" spans="1:5">
      <c r="A19588" t="s">
        <v>22719</v>
      </c>
      <c r="B19588" t="s">
        <v>22724</v>
      </c>
      <c r="C19588">
        <v>0</v>
      </c>
      <c r="D19588" t="s">
        <v>106</v>
      </c>
      <c r="E19588">
        <v>15.316341829085401</v>
      </c>
    </row>
    <row r="19589" spans="1:5">
      <c r="A19589" t="s">
        <v>22719</v>
      </c>
      <c r="B19589" t="s">
        <v>22725</v>
      </c>
      <c r="C19589">
        <f>0</f>
        <v>0</v>
      </c>
      <c r="D19589" t="s">
        <v>106</v>
      </c>
      <c r="E19589">
        <v>15.316341829085401</v>
      </c>
    </row>
    <row r="19590" spans="1:5">
      <c r="A19590" t="s">
        <v>22726</v>
      </c>
      <c r="B19590" t="s">
        <v>22727</v>
      </c>
      <c r="C19590">
        <v>0</v>
      </c>
      <c r="D19590" t="s">
        <v>106</v>
      </c>
      <c r="E19590">
        <v>10.5547226386806</v>
      </c>
    </row>
    <row r="19591" spans="1:5">
      <c r="A19591" t="s">
        <v>22726</v>
      </c>
      <c r="B19591" t="s">
        <v>22728</v>
      </c>
      <c r="C19591">
        <f>0</f>
        <v>0</v>
      </c>
      <c r="D19591" t="s">
        <v>106</v>
      </c>
      <c r="E19591">
        <v>10.5547226386806</v>
      </c>
    </row>
    <row r="19592" spans="1:5">
      <c r="A19592" t="s">
        <v>22726</v>
      </c>
      <c r="B19592" t="s">
        <v>22729</v>
      </c>
      <c r="C19592">
        <v>0</v>
      </c>
      <c r="D19592" t="s">
        <v>106</v>
      </c>
      <c r="E19592">
        <v>10.5547226386806</v>
      </c>
    </row>
    <row r="19593" spans="1:5">
      <c r="A19593" t="s">
        <v>22726</v>
      </c>
      <c r="B19593" t="s">
        <v>22730</v>
      </c>
      <c r="C19593">
        <v>0</v>
      </c>
      <c r="D19593" t="s">
        <v>106</v>
      </c>
      <c r="E19593">
        <v>10.5547226386806</v>
      </c>
    </row>
    <row r="19594" spans="1:5">
      <c r="A19594" t="s">
        <v>22731</v>
      </c>
      <c r="B19594" t="s">
        <v>22732</v>
      </c>
      <c r="C19594">
        <v>0.426951358344</v>
      </c>
      <c r="D19594">
        <v>0.98947019113199997</v>
      </c>
      <c r="E19594">
        <v>14.5487256371814</v>
      </c>
    </row>
    <row r="19595" spans="1:5">
      <c r="A19595" t="s">
        <v>22731</v>
      </c>
      <c r="B19595" t="s">
        <v>22733</v>
      </c>
      <c r="C19595">
        <f>0</f>
        <v>0</v>
      </c>
      <c r="D19595">
        <v>0.98947019113199997</v>
      </c>
      <c r="E19595">
        <v>14.5487256371814</v>
      </c>
    </row>
    <row r="19596" spans="1:5">
      <c r="A19596" t="s">
        <v>22731</v>
      </c>
      <c r="B19596" t="s">
        <v>22734</v>
      </c>
      <c r="C19596">
        <f>0.032234782671</f>
        <v>3.2234782671000002E-2</v>
      </c>
      <c r="D19596">
        <v>0.98947019113199997</v>
      </c>
      <c r="E19596">
        <v>14.5487256371814</v>
      </c>
    </row>
    <row r="19597" spans="1:5">
      <c r="A19597" t="s">
        <v>22735</v>
      </c>
      <c r="B19597" t="s">
        <v>22736</v>
      </c>
      <c r="C19597">
        <v>0</v>
      </c>
      <c r="D19597">
        <v>0.98946436327499998</v>
      </c>
      <c r="E19597">
        <v>1.6311844077961</v>
      </c>
    </row>
    <row r="19598" spans="1:5">
      <c r="A19598" t="s">
        <v>22735</v>
      </c>
      <c r="B19598" t="s">
        <v>22737</v>
      </c>
      <c r="C19598">
        <v>2.6399155419500001E-2</v>
      </c>
      <c r="D19598">
        <v>0.98946436327499998</v>
      </c>
      <c r="E19598">
        <v>1.6311844077961</v>
      </c>
    </row>
    <row r="19599" spans="1:5">
      <c r="A19599" t="s">
        <v>22735</v>
      </c>
      <c r="B19599" t="s">
        <v>22738</v>
      </c>
      <c r="C19599">
        <v>0.180093512245</v>
      </c>
      <c r="D19599">
        <v>0.98946436327499998</v>
      </c>
      <c r="E19599">
        <v>1.6311844077961</v>
      </c>
    </row>
    <row r="19600" spans="1:5">
      <c r="A19600" t="s">
        <v>22735</v>
      </c>
      <c r="B19600" t="s">
        <v>22739</v>
      </c>
      <c r="C19600">
        <v>0</v>
      </c>
      <c r="D19600">
        <v>0.98946436327499998</v>
      </c>
      <c r="E19600">
        <v>1.6311844077961</v>
      </c>
    </row>
    <row r="19601" spans="1:5">
      <c r="A19601" t="s">
        <v>22735</v>
      </c>
      <c r="B19601" t="s">
        <v>22740</v>
      </c>
      <c r="C19601">
        <f>0</f>
        <v>0</v>
      </c>
      <c r="D19601">
        <v>0.98946436327499998</v>
      </c>
      <c r="E19601">
        <v>1.6311844077961</v>
      </c>
    </row>
    <row r="19602" spans="1:5">
      <c r="A19602" t="s">
        <v>22735</v>
      </c>
      <c r="B19602" t="s">
        <v>22741</v>
      </c>
      <c r="C19602">
        <v>0</v>
      </c>
      <c r="D19602">
        <v>0.98946436327499998</v>
      </c>
      <c r="E19602">
        <v>1.6311844077961</v>
      </c>
    </row>
    <row r="19603" spans="1:5">
      <c r="A19603" t="s">
        <v>22735</v>
      </c>
      <c r="B19603" t="s">
        <v>22742</v>
      </c>
      <c r="C19603">
        <v>0</v>
      </c>
      <c r="D19603">
        <v>0.98946436327499998</v>
      </c>
      <c r="E19603">
        <v>1.6311844077961</v>
      </c>
    </row>
    <row r="19604" spans="1:5">
      <c r="A19604" t="s">
        <v>22743</v>
      </c>
      <c r="B19604" t="s">
        <v>22744</v>
      </c>
      <c r="C19604">
        <f>0</f>
        <v>0</v>
      </c>
      <c r="D19604" t="s">
        <v>106</v>
      </c>
      <c r="E19604">
        <v>7.0644677661169402</v>
      </c>
    </row>
    <row r="19605" spans="1:5">
      <c r="A19605" t="s">
        <v>22743</v>
      </c>
      <c r="B19605" t="s">
        <v>22745</v>
      </c>
      <c r="C19605">
        <v>0</v>
      </c>
      <c r="D19605" t="s">
        <v>106</v>
      </c>
      <c r="E19605">
        <v>7.0644677661169402</v>
      </c>
    </row>
    <row r="19606" spans="1:5">
      <c r="A19606" t="s">
        <v>22743</v>
      </c>
      <c r="B19606" t="s">
        <v>22746</v>
      </c>
      <c r="C19606">
        <v>0</v>
      </c>
      <c r="D19606" t="s">
        <v>106</v>
      </c>
      <c r="E19606">
        <v>7.0644677661169402</v>
      </c>
    </row>
    <row r="19607" spans="1:5">
      <c r="A19607" t="s">
        <v>22743</v>
      </c>
      <c r="B19607" t="s">
        <v>22747</v>
      </c>
      <c r="C19607">
        <f>0</f>
        <v>0</v>
      </c>
      <c r="D19607" t="s">
        <v>106</v>
      </c>
      <c r="E19607">
        <v>7.0644677661169402</v>
      </c>
    </row>
    <row r="19608" spans="1:5">
      <c r="A19608" t="s">
        <v>22743</v>
      </c>
      <c r="B19608" t="s">
        <v>22748</v>
      </c>
      <c r="C19608">
        <v>0</v>
      </c>
      <c r="D19608" t="s">
        <v>106</v>
      </c>
      <c r="E19608">
        <v>7.0644677661169402</v>
      </c>
    </row>
    <row r="19609" spans="1:5">
      <c r="A19609" t="s">
        <v>22743</v>
      </c>
      <c r="B19609" t="s">
        <v>22749</v>
      </c>
      <c r="C19609">
        <f>0</f>
        <v>0</v>
      </c>
      <c r="D19609" t="s">
        <v>106</v>
      </c>
      <c r="E19609">
        <v>7.0644677661169402</v>
      </c>
    </row>
    <row r="19610" spans="1:5">
      <c r="A19610" t="s">
        <v>22743</v>
      </c>
      <c r="B19610" t="s">
        <v>22750</v>
      </c>
      <c r="C19610">
        <v>1.8247333409500001E-2</v>
      </c>
      <c r="D19610" t="s">
        <v>106</v>
      </c>
      <c r="E19610">
        <v>7.0644677661169402</v>
      </c>
    </row>
    <row r="19611" spans="1:5">
      <c r="A19611" t="s">
        <v>22743</v>
      </c>
      <c r="B19611" t="s">
        <v>22751</v>
      </c>
      <c r="C19611">
        <v>0</v>
      </c>
      <c r="D19611" t="s">
        <v>106</v>
      </c>
      <c r="E19611">
        <v>7.0644677661169402</v>
      </c>
    </row>
    <row r="19612" spans="1:5">
      <c r="A19612" t="s">
        <v>22743</v>
      </c>
      <c r="B19612" t="s">
        <v>22752</v>
      </c>
      <c r="C19612">
        <v>0</v>
      </c>
      <c r="D19612" t="s">
        <v>106</v>
      </c>
      <c r="E19612">
        <v>7.0644677661169402</v>
      </c>
    </row>
    <row r="19613" spans="1:5">
      <c r="A19613" t="s">
        <v>22743</v>
      </c>
      <c r="B19613" t="s">
        <v>22753</v>
      </c>
      <c r="C19613">
        <v>0</v>
      </c>
      <c r="D19613" t="s">
        <v>106</v>
      </c>
      <c r="E19613">
        <v>7.0644677661169402</v>
      </c>
    </row>
    <row r="19614" spans="1:5">
      <c r="A19614" t="s">
        <v>22743</v>
      </c>
      <c r="B19614" t="s">
        <v>22754</v>
      </c>
      <c r="C19614">
        <f>0</f>
        <v>0</v>
      </c>
      <c r="D19614" t="s">
        <v>106</v>
      </c>
      <c r="E19614">
        <v>7.0644677661169402</v>
      </c>
    </row>
    <row r="19615" spans="1:5">
      <c r="A19615" t="s">
        <v>22743</v>
      </c>
      <c r="B19615" t="s">
        <v>22755</v>
      </c>
      <c r="C19615">
        <f>0</f>
        <v>0</v>
      </c>
      <c r="D19615" t="s">
        <v>106</v>
      </c>
      <c r="E19615">
        <v>7.0644677661169402</v>
      </c>
    </row>
    <row r="19616" spans="1:5">
      <c r="A19616" t="s">
        <v>22756</v>
      </c>
      <c r="B19616" t="s">
        <v>22757</v>
      </c>
      <c r="C19616">
        <f>0</f>
        <v>0</v>
      </c>
      <c r="D19616">
        <v>0.99087266307400002</v>
      </c>
      <c r="E19616">
        <v>3.2263868065966999</v>
      </c>
    </row>
    <row r="19617" spans="1:5">
      <c r="A19617" t="s">
        <v>22756</v>
      </c>
      <c r="B19617" t="s">
        <v>22758</v>
      </c>
      <c r="C19617">
        <v>0</v>
      </c>
      <c r="D19617">
        <v>0.99087266307400002</v>
      </c>
      <c r="E19617">
        <v>3.2263868065966999</v>
      </c>
    </row>
    <row r="19618" spans="1:5">
      <c r="A19618" t="s">
        <v>22756</v>
      </c>
      <c r="B19618" t="s">
        <v>22759</v>
      </c>
      <c r="C19618">
        <v>0</v>
      </c>
      <c r="D19618">
        <v>0.99087266307400002</v>
      </c>
      <c r="E19618">
        <v>3.2263868065966999</v>
      </c>
    </row>
    <row r="19619" spans="1:5">
      <c r="A19619" t="s">
        <v>22756</v>
      </c>
      <c r="B19619" t="s">
        <v>22760</v>
      </c>
      <c r="C19619">
        <v>0</v>
      </c>
      <c r="D19619">
        <v>0.99087266307400002</v>
      </c>
      <c r="E19619">
        <v>3.2263868065966999</v>
      </c>
    </row>
    <row r="19620" spans="1:5">
      <c r="A19620" t="s">
        <v>22756</v>
      </c>
      <c r="B19620" t="s">
        <v>22761</v>
      </c>
      <c r="C19620">
        <v>0.28232392564999997</v>
      </c>
      <c r="D19620">
        <v>0.99087266307400002</v>
      </c>
      <c r="E19620">
        <v>3.2263868065966999</v>
      </c>
    </row>
    <row r="19621" spans="1:5">
      <c r="A19621" t="s">
        <v>22762</v>
      </c>
      <c r="B19621" t="s">
        <v>22763</v>
      </c>
      <c r="C19621">
        <v>0</v>
      </c>
      <c r="D19621" t="s">
        <v>106</v>
      </c>
      <c r="E19621">
        <v>9.0194902548725597</v>
      </c>
    </row>
    <row r="19622" spans="1:5">
      <c r="A19622" t="s">
        <v>22762</v>
      </c>
      <c r="B19622" t="s">
        <v>22764</v>
      </c>
      <c r="C19622">
        <v>0</v>
      </c>
      <c r="D19622" t="s">
        <v>106</v>
      </c>
      <c r="E19622">
        <v>9.0194902548725597</v>
      </c>
    </row>
    <row r="19623" spans="1:5">
      <c r="A19623" t="s">
        <v>22762</v>
      </c>
      <c r="B19623" t="s">
        <v>22765</v>
      </c>
      <c r="C19623">
        <f>0</f>
        <v>0</v>
      </c>
      <c r="D19623" t="s">
        <v>106</v>
      </c>
      <c r="E19623">
        <v>9.0194902548725597</v>
      </c>
    </row>
    <row r="19624" spans="1:5">
      <c r="A19624" t="s">
        <v>22762</v>
      </c>
      <c r="B19624" t="s">
        <v>22766</v>
      </c>
      <c r="C19624">
        <f>0</f>
        <v>0</v>
      </c>
      <c r="D19624" t="s">
        <v>106</v>
      </c>
      <c r="E19624">
        <v>9.0194902548725597</v>
      </c>
    </row>
    <row r="19625" spans="1:5">
      <c r="A19625" t="s">
        <v>22762</v>
      </c>
      <c r="B19625" t="s">
        <v>22767</v>
      </c>
      <c r="C19625">
        <f>0</f>
        <v>0</v>
      </c>
      <c r="D19625" t="s">
        <v>106</v>
      </c>
      <c r="E19625">
        <v>9.0194902548725597</v>
      </c>
    </row>
    <row r="19626" spans="1:5">
      <c r="A19626" t="s">
        <v>22762</v>
      </c>
      <c r="B19626" t="s">
        <v>22768</v>
      </c>
      <c r="C19626">
        <f>0</f>
        <v>0</v>
      </c>
      <c r="D19626" t="s">
        <v>106</v>
      </c>
      <c r="E19626">
        <v>9.0194902548725597</v>
      </c>
    </row>
    <row r="19627" spans="1:5">
      <c r="A19627" t="s">
        <v>22762</v>
      </c>
      <c r="B19627" t="s">
        <v>22769</v>
      </c>
      <c r="C19627">
        <f>0</f>
        <v>0</v>
      </c>
      <c r="D19627" t="s">
        <v>106</v>
      </c>
      <c r="E19627">
        <v>9.0194902548725597</v>
      </c>
    </row>
    <row r="19628" spans="1:5">
      <c r="A19628" t="s">
        <v>22762</v>
      </c>
      <c r="B19628" t="s">
        <v>22770</v>
      </c>
      <c r="C19628">
        <f>0</f>
        <v>0</v>
      </c>
      <c r="D19628" t="s">
        <v>106</v>
      </c>
      <c r="E19628">
        <v>9.0194902548725597</v>
      </c>
    </row>
    <row r="19629" spans="1:5">
      <c r="A19629" t="s">
        <v>22762</v>
      </c>
      <c r="B19629" t="s">
        <v>22771</v>
      </c>
      <c r="C19629">
        <v>0</v>
      </c>
      <c r="D19629" t="s">
        <v>106</v>
      </c>
      <c r="E19629">
        <v>9.0194902548725597</v>
      </c>
    </row>
    <row r="19630" spans="1:5">
      <c r="A19630" t="s">
        <v>22772</v>
      </c>
      <c r="B19630" t="s">
        <v>22773</v>
      </c>
      <c r="C19630">
        <v>0</v>
      </c>
      <c r="D19630">
        <v>0.96924726923799998</v>
      </c>
      <c r="E19630">
        <v>0.69565217391304301</v>
      </c>
    </row>
    <row r="19631" spans="1:5">
      <c r="A19631" t="s">
        <v>22772</v>
      </c>
      <c r="B19631" t="s">
        <v>22774</v>
      </c>
      <c r="C19631">
        <v>0</v>
      </c>
      <c r="D19631">
        <v>0.96924726923799998</v>
      </c>
      <c r="E19631">
        <v>0.69565217391304301</v>
      </c>
    </row>
    <row r="19632" spans="1:5">
      <c r="A19632" t="s">
        <v>22772</v>
      </c>
      <c r="B19632" t="s">
        <v>22775</v>
      </c>
      <c r="C19632">
        <v>0.26330238446999998</v>
      </c>
      <c r="D19632">
        <v>0.96924726923799998</v>
      </c>
      <c r="E19632">
        <v>0.69565217391304301</v>
      </c>
    </row>
    <row r="19633" spans="1:5">
      <c r="A19633" t="s">
        <v>22772</v>
      </c>
      <c r="B19633" t="s">
        <v>22776</v>
      </c>
      <c r="C19633">
        <v>0.31390646655999999</v>
      </c>
      <c r="D19633">
        <v>0.96924726923799998</v>
      </c>
      <c r="E19633">
        <v>0.69565217391304301</v>
      </c>
    </row>
    <row r="19634" spans="1:5">
      <c r="A19634" t="s">
        <v>22777</v>
      </c>
      <c r="B19634" t="s">
        <v>22778</v>
      </c>
      <c r="C19634">
        <f>0</f>
        <v>0</v>
      </c>
      <c r="D19634" t="s">
        <v>106</v>
      </c>
      <c r="E19634">
        <v>1.8230884557721101</v>
      </c>
    </row>
    <row r="19635" spans="1:5">
      <c r="A19635" t="s">
        <v>22777</v>
      </c>
      <c r="B19635" t="s">
        <v>22779</v>
      </c>
      <c r="C19635">
        <v>0</v>
      </c>
      <c r="D19635" t="s">
        <v>106</v>
      </c>
      <c r="E19635">
        <v>1.8230884557721101</v>
      </c>
    </row>
    <row r="19636" spans="1:5">
      <c r="A19636" t="s">
        <v>22777</v>
      </c>
      <c r="B19636" t="s">
        <v>22780</v>
      </c>
      <c r="C19636">
        <f>0</f>
        <v>0</v>
      </c>
      <c r="D19636" t="s">
        <v>106</v>
      </c>
      <c r="E19636">
        <v>1.8230884557721101</v>
      </c>
    </row>
    <row r="19637" spans="1:5">
      <c r="A19637" t="s">
        <v>22777</v>
      </c>
      <c r="B19637" t="s">
        <v>22781</v>
      </c>
      <c r="C19637">
        <f>0</f>
        <v>0</v>
      </c>
      <c r="D19637" t="s">
        <v>106</v>
      </c>
      <c r="E19637">
        <v>1.8230884557721101</v>
      </c>
    </row>
    <row r="19638" spans="1:5">
      <c r="A19638" t="s">
        <v>22777</v>
      </c>
      <c r="B19638" t="s">
        <v>22782</v>
      </c>
      <c r="C19638">
        <f>0</f>
        <v>0</v>
      </c>
      <c r="D19638" t="s">
        <v>106</v>
      </c>
      <c r="E19638">
        <v>1.8230884557721101</v>
      </c>
    </row>
    <row r="19639" spans="1:5">
      <c r="A19639" t="s">
        <v>22777</v>
      </c>
      <c r="B19639" t="s">
        <v>22783</v>
      </c>
      <c r="C19639">
        <v>0</v>
      </c>
      <c r="D19639" t="s">
        <v>106</v>
      </c>
      <c r="E19639">
        <v>1.8230884557721101</v>
      </c>
    </row>
    <row r="19640" spans="1:5">
      <c r="A19640" t="s">
        <v>22777</v>
      </c>
      <c r="B19640" t="s">
        <v>22784</v>
      </c>
      <c r="C19640">
        <f>0</f>
        <v>0</v>
      </c>
      <c r="D19640" t="s">
        <v>106</v>
      </c>
      <c r="E19640">
        <v>1.8230884557721101</v>
      </c>
    </row>
    <row r="19641" spans="1:5">
      <c r="A19641" t="s">
        <v>22777</v>
      </c>
      <c r="B19641" t="s">
        <v>22785</v>
      </c>
      <c r="C19641">
        <v>0</v>
      </c>
      <c r="D19641" t="s">
        <v>106</v>
      </c>
      <c r="E19641">
        <v>1.8230884557721101</v>
      </c>
    </row>
    <row r="19642" spans="1:5">
      <c r="A19642" t="s">
        <v>22777</v>
      </c>
      <c r="B19642" t="s">
        <v>22786</v>
      </c>
      <c r="C19642">
        <f>0</f>
        <v>0</v>
      </c>
      <c r="D19642" t="s">
        <v>106</v>
      </c>
      <c r="E19642">
        <v>1.8230884557721101</v>
      </c>
    </row>
    <row r="19643" spans="1:5">
      <c r="A19643" t="s">
        <v>22787</v>
      </c>
      <c r="B19643" t="s">
        <v>22788</v>
      </c>
      <c r="C19643">
        <f>0</f>
        <v>0</v>
      </c>
      <c r="D19643">
        <v>0.64864296485200001</v>
      </c>
      <c r="E19643">
        <v>21.181409295352299</v>
      </c>
    </row>
    <row r="19644" spans="1:5">
      <c r="A19644" t="s">
        <v>22787</v>
      </c>
      <c r="B19644" t="s">
        <v>22789</v>
      </c>
      <c r="C19644">
        <f>0</f>
        <v>0</v>
      </c>
      <c r="D19644">
        <v>0.64864296485200001</v>
      </c>
      <c r="E19644">
        <v>21.181409295352299</v>
      </c>
    </row>
    <row r="19645" spans="1:5">
      <c r="A19645" t="s">
        <v>22787</v>
      </c>
      <c r="B19645" t="s">
        <v>22790</v>
      </c>
      <c r="C19645">
        <f>0.0529049200948</f>
        <v>5.2904920094800002E-2</v>
      </c>
      <c r="D19645">
        <v>0.64864296485200001</v>
      </c>
      <c r="E19645">
        <v>21.181409295352299</v>
      </c>
    </row>
    <row r="19646" spans="1:5">
      <c r="A19646" t="s">
        <v>22791</v>
      </c>
      <c r="B19646" t="s">
        <v>22792</v>
      </c>
      <c r="C19646">
        <v>6.7519453951499997E-2</v>
      </c>
      <c r="D19646" t="s">
        <v>106</v>
      </c>
      <c r="E19646">
        <v>6.1769115442278801</v>
      </c>
    </row>
    <row r="19647" spans="1:5">
      <c r="A19647" t="s">
        <v>22791</v>
      </c>
      <c r="B19647" t="s">
        <v>22793</v>
      </c>
      <c r="C19647">
        <v>0</v>
      </c>
      <c r="D19647" t="s">
        <v>106</v>
      </c>
      <c r="E19647">
        <v>6.1769115442278801</v>
      </c>
    </row>
    <row r="19648" spans="1:5">
      <c r="A19648" t="s">
        <v>22791</v>
      </c>
      <c r="B19648" t="s">
        <v>22794</v>
      </c>
      <c r="C19648">
        <v>0</v>
      </c>
      <c r="D19648" t="s">
        <v>106</v>
      </c>
      <c r="E19648">
        <v>6.1769115442278801</v>
      </c>
    </row>
    <row r="19649" spans="1:5">
      <c r="A19649" t="s">
        <v>22791</v>
      </c>
      <c r="B19649" t="s">
        <v>22795</v>
      </c>
      <c r="C19649">
        <f>0</f>
        <v>0</v>
      </c>
      <c r="D19649" t="s">
        <v>106</v>
      </c>
      <c r="E19649">
        <v>6.1769115442278801</v>
      </c>
    </row>
    <row r="19650" spans="1:5">
      <c r="A19650" t="s">
        <v>22796</v>
      </c>
      <c r="B19650" t="s">
        <v>22797</v>
      </c>
      <c r="C19650">
        <v>0</v>
      </c>
      <c r="D19650" t="s">
        <v>106</v>
      </c>
      <c r="E19650">
        <v>3.97001499250374</v>
      </c>
    </row>
    <row r="19651" spans="1:5">
      <c r="A19651" t="s">
        <v>22796</v>
      </c>
      <c r="B19651" t="s">
        <v>22798</v>
      </c>
      <c r="C19651">
        <f>0.0217664462188</f>
        <v>2.1766446218800001E-2</v>
      </c>
      <c r="D19651" t="s">
        <v>106</v>
      </c>
      <c r="E19651">
        <v>3.97001499250374</v>
      </c>
    </row>
    <row r="19652" spans="1:5">
      <c r="A19652" t="s">
        <v>22799</v>
      </c>
      <c r="B19652" t="s">
        <v>22800</v>
      </c>
      <c r="C19652">
        <v>0</v>
      </c>
      <c r="D19652" t="s">
        <v>106</v>
      </c>
      <c r="E19652">
        <v>9.7631184407796106</v>
      </c>
    </row>
    <row r="19653" spans="1:5">
      <c r="A19653" t="s">
        <v>22799</v>
      </c>
      <c r="B19653" t="s">
        <v>22801</v>
      </c>
      <c r="C19653">
        <v>0</v>
      </c>
      <c r="D19653" t="s">
        <v>106</v>
      </c>
      <c r="E19653">
        <v>9.7631184407796106</v>
      </c>
    </row>
    <row r="19654" spans="1:5">
      <c r="A19654" t="s">
        <v>22799</v>
      </c>
      <c r="B19654" t="s">
        <v>22802</v>
      </c>
      <c r="C19654">
        <v>0</v>
      </c>
      <c r="D19654" t="s">
        <v>106</v>
      </c>
      <c r="E19654">
        <v>9.7631184407796106</v>
      </c>
    </row>
    <row r="19655" spans="1:5">
      <c r="A19655" t="s">
        <v>22799</v>
      </c>
      <c r="B19655" t="s">
        <v>22803</v>
      </c>
      <c r="C19655">
        <v>0</v>
      </c>
      <c r="D19655" t="s">
        <v>106</v>
      </c>
      <c r="E19655">
        <v>9.7631184407796106</v>
      </c>
    </row>
    <row r="19656" spans="1:5">
      <c r="A19656" t="s">
        <v>22799</v>
      </c>
      <c r="B19656" t="s">
        <v>22804</v>
      </c>
      <c r="C19656">
        <v>0</v>
      </c>
      <c r="D19656" t="s">
        <v>106</v>
      </c>
      <c r="E19656">
        <v>9.7631184407796106</v>
      </c>
    </row>
    <row r="19657" spans="1:5">
      <c r="A19657" t="s">
        <v>22799</v>
      </c>
      <c r="B19657" t="s">
        <v>22805</v>
      </c>
      <c r="C19657">
        <v>0</v>
      </c>
      <c r="D19657" t="s">
        <v>106</v>
      </c>
      <c r="E19657">
        <v>9.7631184407796106</v>
      </c>
    </row>
    <row r="19658" spans="1:5">
      <c r="A19658" t="s">
        <v>22799</v>
      </c>
      <c r="B19658" t="s">
        <v>22806</v>
      </c>
      <c r="C19658">
        <v>0</v>
      </c>
      <c r="D19658" t="s">
        <v>106</v>
      </c>
      <c r="E19658">
        <v>9.7631184407796106</v>
      </c>
    </row>
    <row r="19659" spans="1:5">
      <c r="A19659" t="s">
        <v>22799</v>
      </c>
      <c r="B19659" t="s">
        <v>22807</v>
      </c>
      <c r="C19659">
        <v>0</v>
      </c>
      <c r="D19659" t="s">
        <v>106</v>
      </c>
      <c r="E19659">
        <v>9.7631184407796106</v>
      </c>
    </row>
    <row r="19660" spans="1:5">
      <c r="A19660" t="s">
        <v>22799</v>
      </c>
      <c r="B19660" t="s">
        <v>22808</v>
      </c>
      <c r="C19660">
        <f>0</f>
        <v>0</v>
      </c>
      <c r="D19660" t="s">
        <v>106</v>
      </c>
      <c r="E19660">
        <v>9.7631184407796106</v>
      </c>
    </row>
    <row r="19661" spans="1:5">
      <c r="A19661" t="s">
        <v>22799</v>
      </c>
      <c r="B19661" t="s">
        <v>22809</v>
      </c>
      <c r="C19661">
        <f>0</f>
        <v>0</v>
      </c>
      <c r="D19661" t="s">
        <v>106</v>
      </c>
      <c r="E19661">
        <v>9.7631184407796106</v>
      </c>
    </row>
    <row r="19662" spans="1:5">
      <c r="A19662" t="s">
        <v>22799</v>
      </c>
      <c r="B19662" t="s">
        <v>22810</v>
      </c>
      <c r="C19662">
        <f>0</f>
        <v>0</v>
      </c>
      <c r="D19662" t="s">
        <v>106</v>
      </c>
      <c r="E19662">
        <v>9.7631184407796106</v>
      </c>
    </row>
    <row r="19663" spans="1:5">
      <c r="A19663" t="s">
        <v>22811</v>
      </c>
      <c r="B19663" t="s">
        <v>22812</v>
      </c>
      <c r="C19663">
        <f>0</f>
        <v>0</v>
      </c>
      <c r="D19663">
        <v>0.96211936924100006</v>
      </c>
      <c r="E19663">
        <v>4.0659670164917499</v>
      </c>
    </row>
    <row r="19664" spans="1:5">
      <c r="A19664" t="s">
        <v>22811</v>
      </c>
      <c r="B19664" t="s">
        <v>22813</v>
      </c>
      <c r="C19664">
        <f>0</f>
        <v>0</v>
      </c>
      <c r="D19664">
        <v>0.96211936924100006</v>
      </c>
      <c r="E19664">
        <v>4.0659670164917499</v>
      </c>
    </row>
    <row r="19665" spans="1:5">
      <c r="A19665" t="s">
        <v>22811</v>
      </c>
      <c r="B19665" t="s">
        <v>22814</v>
      </c>
      <c r="C19665">
        <v>0.155468619901</v>
      </c>
      <c r="D19665">
        <v>0.96211936924100006</v>
      </c>
      <c r="E19665">
        <v>4.0659670164917499</v>
      </c>
    </row>
    <row r="19666" spans="1:5">
      <c r="A19666" t="s">
        <v>22811</v>
      </c>
      <c r="B19666" t="s">
        <v>22815</v>
      </c>
      <c r="C19666">
        <f>0</f>
        <v>0</v>
      </c>
      <c r="D19666">
        <v>0.96211936924100006</v>
      </c>
      <c r="E19666">
        <v>4.0659670164917499</v>
      </c>
    </row>
    <row r="19667" spans="1:5">
      <c r="A19667" t="s">
        <v>22816</v>
      </c>
      <c r="B19667" t="s">
        <v>22817</v>
      </c>
      <c r="C19667">
        <v>0</v>
      </c>
      <c r="D19667">
        <v>0.76053778274499995</v>
      </c>
      <c r="E19667">
        <v>1.8230884557721101</v>
      </c>
    </row>
    <row r="19668" spans="1:5">
      <c r="A19668" t="s">
        <v>22816</v>
      </c>
      <c r="B19668" t="s">
        <v>22818</v>
      </c>
      <c r="C19668">
        <v>3.6253618826599998E-2</v>
      </c>
      <c r="D19668">
        <v>0.76053778274499995</v>
      </c>
      <c r="E19668">
        <v>1.8230884557721101</v>
      </c>
    </row>
    <row r="19669" spans="1:5">
      <c r="A19669" t="s">
        <v>22816</v>
      </c>
      <c r="B19669" t="s">
        <v>22819</v>
      </c>
      <c r="C19669">
        <v>0</v>
      </c>
      <c r="D19669">
        <v>0.76053778274499995</v>
      </c>
      <c r="E19669">
        <v>1.8230884557721101</v>
      </c>
    </row>
    <row r="19670" spans="1:5">
      <c r="A19670" t="s">
        <v>22816</v>
      </c>
      <c r="B19670" t="s">
        <v>22820</v>
      </c>
      <c r="C19670">
        <v>0</v>
      </c>
      <c r="D19670">
        <v>0.76053778274499995</v>
      </c>
      <c r="E19670">
        <v>1.8230884557721101</v>
      </c>
    </row>
    <row r="19671" spans="1:5">
      <c r="A19671" t="s">
        <v>22816</v>
      </c>
      <c r="B19671" t="s">
        <v>22821</v>
      </c>
      <c r="C19671">
        <f>0</f>
        <v>0</v>
      </c>
      <c r="D19671">
        <v>0.76053778274499995</v>
      </c>
      <c r="E19671">
        <v>1.8230884557721101</v>
      </c>
    </row>
    <row r="19672" spans="1:5">
      <c r="A19672" t="s">
        <v>22816</v>
      </c>
      <c r="B19672" t="s">
        <v>22822</v>
      </c>
      <c r="C19672">
        <v>0</v>
      </c>
      <c r="D19672">
        <v>0.76053778274499995</v>
      </c>
      <c r="E19672">
        <v>1.8230884557721101</v>
      </c>
    </row>
    <row r="19673" spans="1:5">
      <c r="A19673" t="s">
        <v>22816</v>
      </c>
      <c r="B19673" t="s">
        <v>22823</v>
      </c>
      <c r="C19673">
        <f>0</f>
        <v>0</v>
      </c>
      <c r="D19673">
        <v>0.76053778274499995</v>
      </c>
      <c r="E19673">
        <v>1.8230884557721101</v>
      </c>
    </row>
    <row r="19674" spans="1:5">
      <c r="A19674" t="s">
        <v>22816</v>
      </c>
      <c r="B19674" t="s">
        <v>22824</v>
      </c>
      <c r="C19674">
        <f>0</f>
        <v>0</v>
      </c>
      <c r="D19674">
        <v>0.76053778274499995</v>
      </c>
      <c r="E19674">
        <v>1.8230884557721101</v>
      </c>
    </row>
    <row r="19675" spans="1:5">
      <c r="A19675" t="s">
        <v>22816</v>
      </c>
      <c r="B19675" t="s">
        <v>22825</v>
      </c>
      <c r="C19675">
        <f>0</f>
        <v>0</v>
      </c>
      <c r="D19675">
        <v>0.76053778274499995</v>
      </c>
      <c r="E19675">
        <v>1.8230884557721101</v>
      </c>
    </row>
    <row r="19676" spans="1:5">
      <c r="A19676" t="s">
        <v>22816</v>
      </c>
      <c r="B19676" t="s">
        <v>22826</v>
      </c>
      <c r="C19676">
        <v>0</v>
      </c>
      <c r="D19676">
        <v>0.76053778274499995</v>
      </c>
      <c r="E19676">
        <v>1.8230884557721101</v>
      </c>
    </row>
    <row r="19677" spans="1:5">
      <c r="A19677" t="s">
        <v>22816</v>
      </c>
      <c r="B19677" t="s">
        <v>22827</v>
      </c>
      <c r="C19677">
        <f>0</f>
        <v>0</v>
      </c>
      <c r="D19677">
        <v>0.76053778274499995</v>
      </c>
      <c r="E19677">
        <v>1.8230884557721101</v>
      </c>
    </row>
    <row r="19678" spans="1:5">
      <c r="A19678" t="s">
        <v>22828</v>
      </c>
      <c r="B19678" t="s">
        <v>22829</v>
      </c>
      <c r="C19678">
        <f>0</f>
        <v>0</v>
      </c>
      <c r="D19678" t="s">
        <v>106</v>
      </c>
      <c r="E19678">
        <v>6.8005997001499203</v>
      </c>
    </row>
    <row r="19679" spans="1:5">
      <c r="A19679" t="s">
        <v>22828</v>
      </c>
      <c r="B19679" t="s">
        <v>22830</v>
      </c>
      <c r="C19679">
        <f>0</f>
        <v>0</v>
      </c>
      <c r="D19679" t="s">
        <v>106</v>
      </c>
      <c r="E19679">
        <v>6.8005997001499203</v>
      </c>
    </row>
    <row r="19680" spans="1:5">
      <c r="A19680" t="s">
        <v>22828</v>
      </c>
      <c r="B19680" t="s">
        <v>22831</v>
      </c>
      <c r="C19680">
        <f>0.197825094344</f>
        <v>0.197825094344</v>
      </c>
      <c r="D19680" t="s">
        <v>106</v>
      </c>
      <c r="E19680">
        <v>6.8005997001499203</v>
      </c>
    </row>
    <row r="19681" spans="1:5">
      <c r="A19681" t="s">
        <v>22828</v>
      </c>
      <c r="B19681" t="s">
        <v>22832</v>
      </c>
      <c r="C19681">
        <f>0</f>
        <v>0</v>
      </c>
      <c r="D19681" t="s">
        <v>106</v>
      </c>
      <c r="E19681">
        <v>6.8005997001499203</v>
      </c>
    </row>
    <row r="19682" spans="1:5">
      <c r="A19682" t="s">
        <v>22833</v>
      </c>
      <c r="B19682" t="s">
        <v>22834</v>
      </c>
      <c r="C19682">
        <v>0</v>
      </c>
      <c r="D19682">
        <v>0.89910905757699999</v>
      </c>
      <c r="E19682">
        <v>4.4737631184407798</v>
      </c>
    </row>
    <row r="19683" spans="1:5">
      <c r="A19683" t="s">
        <v>22833</v>
      </c>
      <c r="B19683" t="s">
        <v>22835</v>
      </c>
      <c r="C19683">
        <v>0</v>
      </c>
      <c r="D19683">
        <v>0.89910905757699999</v>
      </c>
      <c r="E19683">
        <v>4.4737631184407798</v>
      </c>
    </row>
    <row r="19684" spans="1:5">
      <c r="A19684" t="s">
        <v>22833</v>
      </c>
      <c r="B19684" t="s">
        <v>22836</v>
      </c>
      <c r="C19684">
        <f>0</f>
        <v>0</v>
      </c>
      <c r="D19684">
        <v>0.89910905757699999</v>
      </c>
      <c r="E19684">
        <v>4.4737631184407798</v>
      </c>
    </row>
    <row r="19685" spans="1:5">
      <c r="A19685" t="s">
        <v>22833</v>
      </c>
      <c r="B19685" t="s">
        <v>22837</v>
      </c>
      <c r="C19685">
        <f>0</f>
        <v>0</v>
      </c>
      <c r="D19685">
        <v>0.89910905757699999</v>
      </c>
      <c r="E19685">
        <v>4.4737631184407798</v>
      </c>
    </row>
    <row r="19686" spans="1:5">
      <c r="A19686" t="s">
        <v>22833</v>
      </c>
      <c r="B19686" t="s">
        <v>22838</v>
      </c>
      <c r="C19686">
        <f>0</f>
        <v>0</v>
      </c>
      <c r="D19686">
        <v>0.89910905757699999</v>
      </c>
      <c r="E19686">
        <v>4.4737631184407798</v>
      </c>
    </row>
    <row r="19687" spans="1:5">
      <c r="A19687" t="s">
        <v>22833</v>
      </c>
      <c r="B19687" t="s">
        <v>22839</v>
      </c>
      <c r="C19687">
        <f>0</f>
        <v>0</v>
      </c>
      <c r="D19687">
        <v>0.89910905757699999</v>
      </c>
      <c r="E19687">
        <v>4.4737631184407798</v>
      </c>
    </row>
    <row r="19688" spans="1:5">
      <c r="A19688" t="s">
        <v>22833</v>
      </c>
      <c r="B19688" t="s">
        <v>22840</v>
      </c>
      <c r="C19688">
        <v>0</v>
      </c>
      <c r="D19688">
        <v>0.89910905757699999</v>
      </c>
      <c r="E19688">
        <v>4.4737631184407798</v>
      </c>
    </row>
    <row r="19689" spans="1:5">
      <c r="A19689" t="s">
        <v>22833</v>
      </c>
      <c r="B19689" t="s">
        <v>22841</v>
      </c>
      <c r="C19689">
        <f>0</f>
        <v>0</v>
      </c>
      <c r="D19689">
        <v>0.89910905757699999</v>
      </c>
      <c r="E19689">
        <v>4.4737631184407798</v>
      </c>
    </row>
    <row r="19690" spans="1:5">
      <c r="A19690" t="s">
        <v>22833</v>
      </c>
      <c r="B19690" t="s">
        <v>22842</v>
      </c>
      <c r="C19690">
        <v>0</v>
      </c>
      <c r="D19690">
        <v>0.89910905757699999</v>
      </c>
      <c r="E19690">
        <v>4.4737631184407798</v>
      </c>
    </row>
    <row r="19691" spans="1:5">
      <c r="A19691" t="s">
        <v>22843</v>
      </c>
      <c r="B19691" t="s">
        <v>22844</v>
      </c>
      <c r="C19691">
        <f>0</f>
        <v>0</v>
      </c>
      <c r="D19691">
        <v>0.806149762336</v>
      </c>
      <c r="E19691">
        <v>0.86356821589205401</v>
      </c>
    </row>
    <row r="19692" spans="1:5">
      <c r="A19692" t="s">
        <v>22843</v>
      </c>
      <c r="B19692" t="s">
        <v>22845</v>
      </c>
      <c r="C19692">
        <f>0.300506226057</f>
        <v>0.300506226057</v>
      </c>
      <c r="D19692">
        <v>0.806149762336</v>
      </c>
      <c r="E19692">
        <v>0.86356821589205401</v>
      </c>
    </row>
    <row r="19693" spans="1:5">
      <c r="A19693" t="s">
        <v>22846</v>
      </c>
      <c r="B19693" t="s">
        <v>22847</v>
      </c>
      <c r="C19693">
        <f>0</f>
        <v>0</v>
      </c>
      <c r="D19693">
        <v>0.83583805173400005</v>
      </c>
      <c r="E19693">
        <v>12.9175412293853</v>
      </c>
    </row>
    <row r="19694" spans="1:5">
      <c r="A19694" t="s">
        <v>22846</v>
      </c>
      <c r="B19694" t="s">
        <v>22848</v>
      </c>
      <c r="C19694">
        <v>0</v>
      </c>
      <c r="D19694">
        <v>0.83583805173400005</v>
      </c>
      <c r="E19694">
        <v>12.9175412293853</v>
      </c>
    </row>
    <row r="19695" spans="1:5">
      <c r="A19695" t="s">
        <v>22846</v>
      </c>
      <c r="B19695" t="s">
        <v>22849</v>
      </c>
      <c r="C19695">
        <v>0</v>
      </c>
      <c r="D19695">
        <v>0.83583805173400005</v>
      </c>
      <c r="E19695">
        <v>12.9175412293853</v>
      </c>
    </row>
    <row r="19696" spans="1:5">
      <c r="A19696" t="s">
        <v>22846</v>
      </c>
      <c r="B19696" t="s">
        <v>22850</v>
      </c>
      <c r="C19696">
        <v>5.6449156117099997E-2</v>
      </c>
      <c r="D19696">
        <v>0.83583805173400005</v>
      </c>
      <c r="E19696">
        <v>12.9175412293853</v>
      </c>
    </row>
    <row r="19697" spans="1:5">
      <c r="A19697" t="s">
        <v>22846</v>
      </c>
      <c r="B19697" t="s">
        <v>22851</v>
      </c>
      <c r="C19697">
        <v>0</v>
      </c>
      <c r="D19697">
        <v>0.83583805173400005</v>
      </c>
      <c r="E19697">
        <v>12.9175412293853</v>
      </c>
    </row>
    <row r="19698" spans="1:5">
      <c r="A19698" t="s">
        <v>22846</v>
      </c>
      <c r="B19698" t="s">
        <v>22852</v>
      </c>
      <c r="C19698">
        <v>0</v>
      </c>
      <c r="D19698">
        <v>0.83583805173400005</v>
      </c>
      <c r="E19698">
        <v>12.9175412293853</v>
      </c>
    </row>
    <row r="19699" spans="1:5">
      <c r="A19699" t="s">
        <v>22846</v>
      </c>
      <c r="B19699" t="s">
        <v>22853</v>
      </c>
      <c r="C19699">
        <v>5.2550482600200003E-2</v>
      </c>
      <c r="D19699">
        <v>0.83583805173400005</v>
      </c>
      <c r="E19699">
        <v>12.9175412293853</v>
      </c>
    </row>
    <row r="19700" spans="1:5">
      <c r="A19700" t="s">
        <v>22846</v>
      </c>
      <c r="B19700" t="s">
        <v>22854</v>
      </c>
      <c r="C19700">
        <v>0</v>
      </c>
      <c r="D19700">
        <v>0.83583805173400005</v>
      </c>
      <c r="E19700">
        <v>12.9175412293853</v>
      </c>
    </row>
    <row r="19701" spans="1:5">
      <c r="A19701" t="s">
        <v>22855</v>
      </c>
      <c r="B19701" t="s">
        <v>22856</v>
      </c>
      <c r="C19701">
        <f>0.302761548624</f>
        <v>0.30276154862400001</v>
      </c>
      <c r="D19701">
        <v>0.99530954299600005</v>
      </c>
      <c r="E19701">
        <v>7.4602698650674597</v>
      </c>
    </row>
    <row r="19702" spans="1:5">
      <c r="A19702" t="s">
        <v>22855</v>
      </c>
      <c r="B19702" t="s">
        <v>22857</v>
      </c>
      <c r="C19702">
        <f>0.190295118918</f>
        <v>0.19029511891799999</v>
      </c>
      <c r="D19702">
        <v>0.99530954299600005</v>
      </c>
      <c r="E19702">
        <v>7.4602698650674597</v>
      </c>
    </row>
    <row r="19703" spans="1:5">
      <c r="A19703" t="s">
        <v>22855</v>
      </c>
      <c r="B19703" t="s">
        <v>22858</v>
      </c>
      <c r="C19703">
        <f>0</f>
        <v>0</v>
      </c>
      <c r="D19703">
        <v>0.99530954299600005</v>
      </c>
      <c r="E19703">
        <v>7.4602698650674597</v>
      </c>
    </row>
    <row r="19704" spans="1:5">
      <c r="A19704" t="s">
        <v>22855</v>
      </c>
      <c r="B19704" t="s">
        <v>22859</v>
      </c>
      <c r="C19704">
        <f>0</f>
        <v>0</v>
      </c>
      <c r="D19704">
        <v>0.99530954299600005</v>
      </c>
      <c r="E19704">
        <v>7.4602698650674597</v>
      </c>
    </row>
    <row r="19705" spans="1:5">
      <c r="A19705" t="s">
        <v>22855</v>
      </c>
      <c r="B19705" t="s">
        <v>22860</v>
      </c>
      <c r="C19705">
        <f>0</f>
        <v>0</v>
      </c>
      <c r="D19705">
        <v>0.99530954299600005</v>
      </c>
      <c r="E19705">
        <v>7.4602698650674597</v>
      </c>
    </row>
    <row r="19706" spans="1:5">
      <c r="A19706" t="s">
        <v>22861</v>
      </c>
      <c r="B19706" t="s">
        <v>22862</v>
      </c>
      <c r="C19706">
        <v>0.17208721880799999</v>
      </c>
      <c r="D19706">
        <v>0.97853048250800001</v>
      </c>
      <c r="E19706">
        <v>24</v>
      </c>
    </row>
    <row r="19707" spans="1:5">
      <c r="A19707" t="s">
        <v>22861</v>
      </c>
      <c r="B19707" t="s">
        <v>22863</v>
      </c>
      <c r="C19707">
        <v>6.4595846215800001E-2</v>
      </c>
      <c r="D19707">
        <v>0.97853048250800001</v>
      </c>
      <c r="E19707">
        <v>24</v>
      </c>
    </row>
    <row r="19708" spans="1:5">
      <c r="A19708" t="s">
        <v>22861</v>
      </c>
      <c r="B19708" t="s">
        <v>22864</v>
      </c>
      <c r="C19708">
        <f>0</f>
        <v>0</v>
      </c>
      <c r="D19708">
        <v>0.97853048250800001</v>
      </c>
      <c r="E19708">
        <v>24</v>
      </c>
    </row>
    <row r="19709" spans="1:5">
      <c r="A19709" t="s">
        <v>22861</v>
      </c>
      <c r="B19709" t="s">
        <v>22865</v>
      </c>
      <c r="C19709">
        <v>0</v>
      </c>
      <c r="D19709">
        <v>0.97853048250800001</v>
      </c>
      <c r="E19709">
        <v>24</v>
      </c>
    </row>
    <row r="19710" spans="1:5">
      <c r="A19710" t="s">
        <v>22866</v>
      </c>
      <c r="B19710" t="s">
        <v>22867</v>
      </c>
      <c r="C19710">
        <f>0</f>
        <v>0</v>
      </c>
      <c r="D19710">
        <v>0.84938328469199997</v>
      </c>
      <c r="E19710">
        <v>19.1904047976012</v>
      </c>
    </row>
    <row r="19711" spans="1:5">
      <c r="A19711" t="s">
        <v>22866</v>
      </c>
      <c r="B19711" t="s">
        <v>22868</v>
      </c>
      <c r="C19711">
        <f>0</f>
        <v>0</v>
      </c>
      <c r="D19711">
        <v>0.84938328469199997</v>
      </c>
      <c r="E19711">
        <v>19.1904047976012</v>
      </c>
    </row>
    <row r="19712" spans="1:5">
      <c r="A19712" t="s">
        <v>22866</v>
      </c>
      <c r="B19712" t="s">
        <v>22869</v>
      </c>
      <c r="C19712">
        <f>0</f>
        <v>0</v>
      </c>
      <c r="D19712">
        <v>0.84938328469199997</v>
      </c>
      <c r="E19712">
        <v>19.1904047976012</v>
      </c>
    </row>
    <row r="19713" spans="1:5">
      <c r="A19713" t="s">
        <v>22866</v>
      </c>
      <c r="B19713" t="s">
        <v>22870</v>
      </c>
      <c r="C19713">
        <v>0</v>
      </c>
      <c r="D19713">
        <v>0.84938328469199997</v>
      </c>
      <c r="E19713">
        <v>19.1904047976012</v>
      </c>
    </row>
    <row r="19714" spans="1:5">
      <c r="A19714" t="s">
        <v>22866</v>
      </c>
      <c r="B19714" t="s">
        <v>22871</v>
      </c>
      <c r="C19714">
        <f>0</f>
        <v>0</v>
      </c>
      <c r="D19714">
        <v>0.84938328469199997</v>
      </c>
      <c r="E19714">
        <v>19.1904047976012</v>
      </c>
    </row>
    <row r="19715" spans="1:5">
      <c r="A19715" t="s">
        <v>22866</v>
      </c>
      <c r="B19715" t="s">
        <v>22872</v>
      </c>
      <c r="C19715">
        <f>0.00209760095795</f>
        <v>2.09760095795E-3</v>
      </c>
      <c r="D19715">
        <v>0.84938328469199997</v>
      </c>
      <c r="E19715">
        <v>19.1904047976012</v>
      </c>
    </row>
    <row r="19716" spans="1:5">
      <c r="A19716" t="s">
        <v>22866</v>
      </c>
      <c r="B19716" t="s">
        <v>22873</v>
      </c>
      <c r="C19716">
        <f>0</f>
        <v>0</v>
      </c>
      <c r="D19716">
        <v>0.84938328469199997</v>
      </c>
      <c r="E19716">
        <v>19.1904047976012</v>
      </c>
    </row>
    <row r="19717" spans="1:5">
      <c r="A19717" t="s">
        <v>22866</v>
      </c>
      <c r="B19717" t="s">
        <v>22874</v>
      </c>
      <c r="C19717">
        <v>8.5095734155699997E-4</v>
      </c>
      <c r="D19717">
        <v>0.84938328469199997</v>
      </c>
      <c r="E19717">
        <v>19.1904047976012</v>
      </c>
    </row>
    <row r="19718" spans="1:5">
      <c r="A19718" t="s">
        <v>22866</v>
      </c>
      <c r="B19718" t="s">
        <v>22875</v>
      </c>
      <c r="C19718">
        <v>0</v>
      </c>
      <c r="D19718">
        <v>0.84938328469199997</v>
      </c>
      <c r="E19718">
        <v>19.1904047976012</v>
      </c>
    </row>
    <row r="19719" spans="1:5">
      <c r="A19719" t="s">
        <v>22866</v>
      </c>
      <c r="B19719" t="s">
        <v>22876</v>
      </c>
      <c r="C19719">
        <v>0</v>
      </c>
      <c r="D19719">
        <v>0.84938328469199997</v>
      </c>
      <c r="E19719">
        <v>19.1904047976012</v>
      </c>
    </row>
    <row r="19720" spans="1:5">
      <c r="A19720" t="s">
        <v>22866</v>
      </c>
      <c r="B19720" t="s">
        <v>22877</v>
      </c>
      <c r="C19720">
        <v>0</v>
      </c>
      <c r="D19720">
        <v>0.84938328469199997</v>
      </c>
      <c r="E19720">
        <v>19.1904047976012</v>
      </c>
    </row>
    <row r="19721" spans="1:5">
      <c r="A19721" t="s">
        <v>22866</v>
      </c>
      <c r="B19721" t="s">
        <v>22878</v>
      </c>
      <c r="C19721">
        <f>0</f>
        <v>0</v>
      </c>
      <c r="D19721">
        <v>0.84938328469199997</v>
      </c>
      <c r="E19721">
        <v>19.1904047976012</v>
      </c>
    </row>
    <row r="19722" spans="1:5">
      <c r="A19722" t="s">
        <v>22866</v>
      </c>
      <c r="B19722" t="s">
        <v>22879</v>
      </c>
      <c r="C19722">
        <f>0</f>
        <v>0</v>
      </c>
      <c r="D19722">
        <v>0.84938328469199997</v>
      </c>
      <c r="E19722">
        <v>19.1904047976012</v>
      </c>
    </row>
    <row r="19723" spans="1:5">
      <c r="A19723" t="s">
        <v>22866</v>
      </c>
      <c r="B19723" t="s">
        <v>22880</v>
      </c>
      <c r="C19723">
        <v>0</v>
      </c>
      <c r="D19723">
        <v>0.84938328469199997</v>
      </c>
      <c r="E19723">
        <v>19.1904047976012</v>
      </c>
    </row>
    <row r="19724" spans="1:5">
      <c r="A19724" t="s">
        <v>22881</v>
      </c>
      <c r="B19724" t="s">
        <v>22882</v>
      </c>
      <c r="C19724">
        <v>0</v>
      </c>
      <c r="D19724" t="s">
        <v>106</v>
      </c>
      <c r="E19724">
        <v>13.0854572713643</v>
      </c>
    </row>
    <row r="19725" spans="1:5">
      <c r="A19725" t="s">
        <v>22881</v>
      </c>
      <c r="B19725" t="s">
        <v>22883</v>
      </c>
      <c r="C19725">
        <v>0</v>
      </c>
      <c r="D19725" t="s">
        <v>106</v>
      </c>
      <c r="E19725">
        <v>13.0854572713643</v>
      </c>
    </row>
    <row r="19726" spans="1:5">
      <c r="A19726" t="s">
        <v>22881</v>
      </c>
      <c r="B19726" t="s">
        <v>22884</v>
      </c>
      <c r="C19726">
        <v>0</v>
      </c>
      <c r="D19726" t="s">
        <v>106</v>
      </c>
      <c r="E19726">
        <v>13.0854572713643</v>
      </c>
    </row>
    <row r="19727" spans="1:5">
      <c r="A19727" t="s">
        <v>22881</v>
      </c>
      <c r="B19727" t="s">
        <v>22885</v>
      </c>
      <c r="C19727">
        <v>0</v>
      </c>
      <c r="D19727" t="s">
        <v>106</v>
      </c>
      <c r="E19727">
        <v>13.0854572713643</v>
      </c>
    </row>
    <row r="19728" spans="1:5">
      <c r="A19728" t="s">
        <v>22881</v>
      </c>
      <c r="B19728" t="s">
        <v>22886</v>
      </c>
      <c r="C19728">
        <v>0</v>
      </c>
      <c r="D19728" t="s">
        <v>106</v>
      </c>
      <c r="E19728">
        <v>13.0854572713643</v>
      </c>
    </row>
    <row r="19729" spans="1:5">
      <c r="A19729" t="s">
        <v>22881</v>
      </c>
      <c r="B19729" t="s">
        <v>22887</v>
      </c>
      <c r="C19729">
        <v>0</v>
      </c>
      <c r="D19729" t="s">
        <v>106</v>
      </c>
      <c r="E19729">
        <v>13.0854572713643</v>
      </c>
    </row>
    <row r="19730" spans="1:5">
      <c r="A19730" t="s">
        <v>22881</v>
      </c>
      <c r="B19730" t="s">
        <v>22888</v>
      </c>
      <c r="C19730">
        <v>0</v>
      </c>
      <c r="D19730" t="s">
        <v>106</v>
      </c>
      <c r="E19730">
        <v>13.0854572713643</v>
      </c>
    </row>
    <row r="19731" spans="1:5">
      <c r="A19731" t="s">
        <v>22889</v>
      </c>
      <c r="B19731" t="s">
        <v>22890</v>
      </c>
      <c r="C19731">
        <f>0</f>
        <v>0</v>
      </c>
      <c r="D19731">
        <v>0.75754303077600005</v>
      </c>
      <c r="E19731">
        <v>24</v>
      </c>
    </row>
    <row r="19732" spans="1:5">
      <c r="A19732" t="s">
        <v>22889</v>
      </c>
      <c r="B19732" t="s">
        <v>22891</v>
      </c>
      <c r="C19732">
        <v>0</v>
      </c>
      <c r="D19732">
        <v>0.75754303077600005</v>
      </c>
      <c r="E19732">
        <v>24</v>
      </c>
    </row>
    <row r="19733" spans="1:5">
      <c r="A19733" t="s">
        <v>22889</v>
      </c>
      <c r="B19733" t="s">
        <v>22892</v>
      </c>
      <c r="C19733">
        <v>0</v>
      </c>
      <c r="D19733">
        <v>0.75754303077600005</v>
      </c>
      <c r="E19733">
        <v>24</v>
      </c>
    </row>
    <row r="19734" spans="1:5">
      <c r="A19734" t="s">
        <v>22889</v>
      </c>
      <c r="B19734" t="s">
        <v>22893</v>
      </c>
      <c r="C19734">
        <f>0</f>
        <v>0</v>
      </c>
      <c r="D19734">
        <v>0.75754303077600005</v>
      </c>
      <c r="E19734">
        <v>24</v>
      </c>
    </row>
    <row r="19735" spans="1:5">
      <c r="A19735" t="s">
        <v>22889</v>
      </c>
      <c r="B19735" t="s">
        <v>22894</v>
      </c>
      <c r="C19735">
        <f>0.0637343134662</f>
        <v>6.3734313466199996E-2</v>
      </c>
      <c r="D19735">
        <v>0.75754303077600005</v>
      </c>
      <c r="E19735">
        <v>24</v>
      </c>
    </row>
    <row r="19736" spans="1:5">
      <c r="A19736" t="s">
        <v>22889</v>
      </c>
      <c r="B19736" t="s">
        <v>22895</v>
      </c>
      <c r="C19736">
        <f>0</f>
        <v>0</v>
      </c>
      <c r="D19736">
        <v>0.75754303077600005</v>
      </c>
      <c r="E19736">
        <v>24</v>
      </c>
    </row>
    <row r="19737" spans="1:5">
      <c r="A19737" t="s">
        <v>22889</v>
      </c>
      <c r="B19737" t="s">
        <v>22896</v>
      </c>
      <c r="C19737">
        <f>0</f>
        <v>0</v>
      </c>
      <c r="D19737">
        <v>0.75754303077600005</v>
      </c>
      <c r="E19737">
        <v>24</v>
      </c>
    </row>
    <row r="19738" spans="1:5">
      <c r="A19738" t="s">
        <v>22889</v>
      </c>
      <c r="B19738" t="s">
        <v>22897</v>
      </c>
      <c r="C19738">
        <f>0.0800134523754</f>
        <v>8.0013452375400002E-2</v>
      </c>
      <c r="D19738">
        <v>0.75754303077600005</v>
      </c>
      <c r="E19738">
        <v>24</v>
      </c>
    </row>
    <row r="19739" spans="1:5">
      <c r="A19739" t="s">
        <v>22889</v>
      </c>
      <c r="B19739" t="s">
        <v>22898</v>
      </c>
      <c r="C19739">
        <v>0</v>
      </c>
      <c r="D19739">
        <v>0.75754303077600005</v>
      </c>
      <c r="E19739">
        <v>24</v>
      </c>
    </row>
    <row r="19740" spans="1:5">
      <c r="A19740" t="s">
        <v>22889</v>
      </c>
      <c r="B19740" t="s">
        <v>22899</v>
      </c>
      <c r="C19740">
        <f>0</f>
        <v>0</v>
      </c>
      <c r="D19740">
        <v>0.75754303077600005</v>
      </c>
      <c r="E19740">
        <v>24</v>
      </c>
    </row>
    <row r="19741" spans="1:5">
      <c r="A19741" t="s">
        <v>22889</v>
      </c>
      <c r="B19741" t="s">
        <v>22900</v>
      </c>
      <c r="C19741">
        <f>0</f>
        <v>0</v>
      </c>
      <c r="D19741">
        <v>0.75754303077600005</v>
      </c>
      <c r="E19741">
        <v>24</v>
      </c>
    </row>
    <row r="19742" spans="1:5">
      <c r="A19742" t="s">
        <v>22901</v>
      </c>
      <c r="B19742" t="s">
        <v>22902</v>
      </c>
      <c r="C19742">
        <f>0.0102765352945</f>
        <v>1.0276535294500001E-2</v>
      </c>
      <c r="D19742">
        <v>0.99013552770000002</v>
      </c>
      <c r="E19742">
        <v>17.511244377811</v>
      </c>
    </row>
    <row r="19743" spans="1:5">
      <c r="A19743" t="s">
        <v>22901</v>
      </c>
      <c r="B19743" t="s">
        <v>22903</v>
      </c>
      <c r="C19743">
        <f>0</f>
        <v>0</v>
      </c>
      <c r="D19743">
        <v>0.99013552770000002</v>
      </c>
      <c r="E19743">
        <v>17.511244377811</v>
      </c>
    </row>
    <row r="19744" spans="1:5">
      <c r="A19744" t="s">
        <v>22901</v>
      </c>
      <c r="B19744" t="s">
        <v>22904</v>
      </c>
      <c r="C19744">
        <f>0</f>
        <v>0</v>
      </c>
      <c r="D19744">
        <v>0.99013552770000002</v>
      </c>
      <c r="E19744">
        <v>17.511244377811</v>
      </c>
    </row>
    <row r="19745" spans="1:5">
      <c r="A19745" t="s">
        <v>22905</v>
      </c>
      <c r="B19745" t="s">
        <v>22906</v>
      </c>
      <c r="C19745">
        <v>1.0000630639300001</v>
      </c>
      <c r="D19745">
        <v>0.94619066131899998</v>
      </c>
      <c r="E19745">
        <v>0.40779610194902499</v>
      </c>
    </row>
    <row r="19746" spans="1:5">
      <c r="A19746" t="s">
        <v>22907</v>
      </c>
      <c r="B19746" t="s">
        <v>22908</v>
      </c>
      <c r="C19746">
        <f>0.121038516016</f>
        <v>0.12103851601600001</v>
      </c>
      <c r="D19746">
        <v>0.99643064390199998</v>
      </c>
      <c r="E19746">
        <v>13.2653673163418</v>
      </c>
    </row>
    <row r="19747" spans="1:5">
      <c r="A19747" t="s">
        <v>22907</v>
      </c>
      <c r="B19747" t="s">
        <v>22909</v>
      </c>
      <c r="C19747">
        <v>0</v>
      </c>
      <c r="D19747">
        <v>0.99643064390199998</v>
      </c>
      <c r="E19747">
        <v>13.2653673163418</v>
      </c>
    </row>
    <row r="19748" spans="1:5">
      <c r="A19748" t="s">
        <v>22907</v>
      </c>
      <c r="B19748" t="s">
        <v>22910</v>
      </c>
      <c r="C19748">
        <f>0</f>
        <v>0</v>
      </c>
      <c r="D19748">
        <v>0.99643064390199998</v>
      </c>
      <c r="E19748">
        <v>13.2653673163418</v>
      </c>
    </row>
    <row r="19749" spans="1:5">
      <c r="A19749" t="s">
        <v>22907</v>
      </c>
      <c r="B19749" t="s">
        <v>22911</v>
      </c>
      <c r="C19749">
        <v>6.5136957294600006E-2</v>
      </c>
      <c r="D19749">
        <v>0.99643064390199998</v>
      </c>
      <c r="E19749">
        <v>13.2653673163418</v>
      </c>
    </row>
    <row r="19750" spans="1:5">
      <c r="A19750" t="s">
        <v>22907</v>
      </c>
      <c r="B19750" t="s">
        <v>22912</v>
      </c>
      <c r="C19750">
        <v>0</v>
      </c>
      <c r="D19750">
        <v>0.99643064390199998</v>
      </c>
      <c r="E19750">
        <v>13.2653673163418</v>
      </c>
    </row>
    <row r="19751" spans="1:5">
      <c r="A19751" t="s">
        <v>22907</v>
      </c>
      <c r="B19751" t="s">
        <v>22913</v>
      </c>
      <c r="C19751">
        <v>0</v>
      </c>
      <c r="D19751">
        <v>0.99643064390199998</v>
      </c>
      <c r="E19751">
        <v>13.2653673163418</v>
      </c>
    </row>
    <row r="19752" spans="1:5">
      <c r="A19752" t="s">
        <v>22914</v>
      </c>
      <c r="B19752" t="s">
        <v>22915</v>
      </c>
      <c r="C19752">
        <f>0</f>
        <v>0</v>
      </c>
      <c r="D19752">
        <v>0.99484200626399999</v>
      </c>
      <c r="E19752">
        <v>5.9370314842578704</v>
      </c>
    </row>
    <row r="19753" spans="1:5">
      <c r="A19753" t="s">
        <v>22914</v>
      </c>
      <c r="B19753" t="s">
        <v>22916</v>
      </c>
      <c r="C19753">
        <v>0</v>
      </c>
      <c r="D19753">
        <v>0.99484200626399999</v>
      </c>
      <c r="E19753">
        <v>5.9370314842578704</v>
      </c>
    </row>
    <row r="19754" spans="1:5">
      <c r="A19754" t="s">
        <v>22917</v>
      </c>
      <c r="B19754" t="s">
        <v>22918</v>
      </c>
      <c r="C19754">
        <f>0</f>
        <v>0</v>
      </c>
      <c r="D19754" t="s">
        <v>106</v>
      </c>
      <c r="E19754">
        <v>0.14392803598200801</v>
      </c>
    </row>
    <row r="19755" spans="1:5">
      <c r="A19755" t="s">
        <v>22917</v>
      </c>
      <c r="B19755" t="s">
        <v>22919</v>
      </c>
      <c r="C19755">
        <f>0</f>
        <v>0</v>
      </c>
      <c r="D19755" t="s">
        <v>106</v>
      </c>
      <c r="E19755">
        <v>0.14392803598200801</v>
      </c>
    </row>
    <row r="19756" spans="1:5">
      <c r="A19756" t="s">
        <v>22920</v>
      </c>
      <c r="B19756" t="s">
        <v>22921</v>
      </c>
      <c r="C19756">
        <v>0</v>
      </c>
      <c r="D19756" t="s">
        <v>106</v>
      </c>
      <c r="E19756">
        <v>22.5727136431784</v>
      </c>
    </row>
    <row r="19757" spans="1:5">
      <c r="A19757" t="s">
        <v>22920</v>
      </c>
      <c r="B19757" t="s">
        <v>22922</v>
      </c>
      <c r="C19757">
        <f>0</f>
        <v>0</v>
      </c>
      <c r="D19757" t="s">
        <v>106</v>
      </c>
      <c r="E19757">
        <v>22.5727136431784</v>
      </c>
    </row>
    <row r="19758" spans="1:5">
      <c r="A19758" t="s">
        <v>22920</v>
      </c>
      <c r="B19758" t="s">
        <v>22923</v>
      </c>
      <c r="C19758">
        <f>0</f>
        <v>0</v>
      </c>
      <c r="D19758" t="s">
        <v>106</v>
      </c>
      <c r="E19758">
        <v>22.5727136431784</v>
      </c>
    </row>
    <row r="19759" spans="1:5">
      <c r="A19759" t="s">
        <v>22924</v>
      </c>
      <c r="B19759" t="s">
        <v>22925</v>
      </c>
      <c r="C19759">
        <v>0</v>
      </c>
      <c r="D19759">
        <v>0.87579633182799999</v>
      </c>
      <c r="E19759">
        <v>2.2548725637181399</v>
      </c>
    </row>
    <row r="19760" spans="1:5">
      <c r="A19760" t="s">
        <v>22924</v>
      </c>
      <c r="B19760" t="s">
        <v>22926</v>
      </c>
      <c r="C19760">
        <f>0</f>
        <v>0</v>
      </c>
      <c r="D19760">
        <v>0.87579633182799999</v>
      </c>
      <c r="E19760">
        <v>2.2548725637181399</v>
      </c>
    </row>
    <row r="19761" spans="1:5">
      <c r="A19761" t="s">
        <v>22924</v>
      </c>
      <c r="B19761" t="s">
        <v>22927</v>
      </c>
      <c r="C19761">
        <v>0</v>
      </c>
      <c r="D19761">
        <v>0.87579633182799999</v>
      </c>
      <c r="E19761">
        <v>2.2548725637181399</v>
      </c>
    </row>
    <row r="19762" spans="1:5">
      <c r="A19762" t="s">
        <v>22924</v>
      </c>
      <c r="B19762" t="s">
        <v>22928</v>
      </c>
      <c r="C19762">
        <v>0</v>
      </c>
      <c r="D19762">
        <v>0.87579633182799999</v>
      </c>
      <c r="E19762">
        <v>2.2548725637181399</v>
      </c>
    </row>
    <row r="19763" spans="1:5">
      <c r="A19763" t="s">
        <v>22924</v>
      </c>
      <c r="B19763" t="s">
        <v>22929</v>
      </c>
      <c r="C19763">
        <v>0</v>
      </c>
      <c r="D19763">
        <v>0.87579633182799999</v>
      </c>
      <c r="E19763">
        <v>2.2548725637181399</v>
      </c>
    </row>
    <row r="19764" spans="1:5">
      <c r="A19764" t="s">
        <v>22924</v>
      </c>
      <c r="B19764" t="s">
        <v>22930</v>
      </c>
      <c r="C19764">
        <v>0</v>
      </c>
      <c r="D19764">
        <v>0.87579633182799999</v>
      </c>
      <c r="E19764">
        <v>2.2548725637181399</v>
      </c>
    </row>
    <row r="19765" spans="1:5">
      <c r="A19765" t="s">
        <v>22924</v>
      </c>
      <c r="B19765" t="s">
        <v>22931</v>
      </c>
      <c r="C19765">
        <f>0</f>
        <v>0</v>
      </c>
      <c r="D19765">
        <v>0.87579633182799999</v>
      </c>
      <c r="E19765">
        <v>2.2548725637181399</v>
      </c>
    </row>
    <row r="19766" spans="1:5">
      <c r="A19766" t="s">
        <v>22924</v>
      </c>
      <c r="B19766" t="s">
        <v>22932</v>
      </c>
      <c r="C19766">
        <v>0</v>
      </c>
      <c r="D19766">
        <v>0.87579633182799999</v>
      </c>
      <c r="E19766">
        <v>2.2548725637181399</v>
      </c>
    </row>
    <row r="19767" spans="1:5">
      <c r="A19767" t="s">
        <v>22924</v>
      </c>
      <c r="B19767" t="s">
        <v>22933</v>
      </c>
      <c r="C19767">
        <f>0</f>
        <v>0</v>
      </c>
      <c r="D19767">
        <v>0.87579633182799999</v>
      </c>
      <c r="E19767">
        <v>2.2548725637181399</v>
      </c>
    </row>
    <row r="19768" spans="1:5">
      <c r="A19768" t="s">
        <v>22924</v>
      </c>
      <c r="B19768" t="s">
        <v>22934</v>
      </c>
      <c r="C19768">
        <v>0</v>
      </c>
      <c r="D19768">
        <v>0.87579633182799999</v>
      </c>
      <c r="E19768">
        <v>2.2548725637181399</v>
      </c>
    </row>
    <row r="19769" spans="1:5">
      <c r="A19769" t="s">
        <v>22924</v>
      </c>
      <c r="B19769" t="s">
        <v>22935</v>
      </c>
      <c r="C19769">
        <v>0</v>
      </c>
      <c r="D19769">
        <v>0.87579633182799999</v>
      </c>
      <c r="E19769">
        <v>2.2548725637181399</v>
      </c>
    </row>
    <row r="19770" spans="1:5">
      <c r="A19770" t="s">
        <v>22936</v>
      </c>
      <c r="B19770" t="s">
        <v>22937</v>
      </c>
      <c r="C19770">
        <f>0</f>
        <v>0</v>
      </c>
      <c r="D19770" t="s">
        <v>106</v>
      </c>
      <c r="E19770">
        <v>15.904047976011899</v>
      </c>
    </row>
    <row r="19771" spans="1:5">
      <c r="A19771" t="s">
        <v>22936</v>
      </c>
      <c r="B19771" t="s">
        <v>22938</v>
      </c>
      <c r="C19771">
        <v>0</v>
      </c>
      <c r="D19771" t="s">
        <v>106</v>
      </c>
      <c r="E19771">
        <v>15.904047976011899</v>
      </c>
    </row>
    <row r="19772" spans="1:5">
      <c r="A19772" t="s">
        <v>22936</v>
      </c>
      <c r="B19772" t="s">
        <v>22939</v>
      </c>
      <c r="C19772">
        <f>0</f>
        <v>0</v>
      </c>
      <c r="D19772" t="s">
        <v>106</v>
      </c>
      <c r="E19772">
        <v>15.904047976011899</v>
      </c>
    </row>
    <row r="19773" spans="1:5">
      <c r="A19773" t="s">
        <v>22936</v>
      </c>
      <c r="B19773" t="s">
        <v>22940</v>
      </c>
      <c r="C19773">
        <f>0</f>
        <v>0</v>
      </c>
      <c r="D19773" t="s">
        <v>106</v>
      </c>
      <c r="E19773">
        <v>15.904047976011899</v>
      </c>
    </row>
    <row r="19774" spans="1:5">
      <c r="A19774" t="s">
        <v>22936</v>
      </c>
      <c r="B19774" t="s">
        <v>22941</v>
      </c>
      <c r="C19774">
        <f>0</f>
        <v>0</v>
      </c>
      <c r="D19774" t="s">
        <v>106</v>
      </c>
      <c r="E19774">
        <v>15.904047976011899</v>
      </c>
    </row>
    <row r="19775" spans="1:5">
      <c r="A19775" t="s">
        <v>22936</v>
      </c>
      <c r="B19775" t="s">
        <v>22942</v>
      </c>
      <c r="C19775">
        <v>0</v>
      </c>
      <c r="D19775" t="s">
        <v>106</v>
      </c>
      <c r="E19775">
        <v>15.904047976011899</v>
      </c>
    </row>
    <row r="19776" spans="1:5">
      <c r="A19776" t="s">
        <v>22943</v>
      </c>
      <c r="B19776" t="s">
        <v>22944</v>
      </c>
      <c r="C19776">
        <v>0</v>
      </c>
      <c r="D19776">
        <v>0.96371213065600003</v>
      </c>
      <c r="E19776">
        <v>11.202398800599701</v>
      </c>
    </row>
    <row r="19777" spans="1:5">
      <c r="A19777" t="s">
        <v>22943</v>
      </c>
      <c r="B19777" t="s">
        <v>22945</v>
      </c>
      <c r="C19777">
        <v>8.7476961413900003E-2</v>
      </c>
      <c r="D19777">
        <v>0.96371213065600003</v>
      </c>
      <c r="E19777">
        <v>11.202398800599701</v>
      </c>
    </row>
    <row r="19778" spans="1:5">
      <c r="A19778" t="s">
        <v>22943</v>
      </c>
      <c r="B19778" t="s">
        <v>22946</v>
      </c>
      <c r="C19778">
        <v>0.13349367412599999</v>
      </c>
      <c r="D19778">
        <v>0.96371213065600003</v>
      </c>
      <c r="E19778">
        <v>11.202398800599701</v>
      </c>
    </row>
    <row r="19779" spans="1:5">
      <c r="A19779" t="s">
        <v>22943</v>
      </c>
      <c r="B19779" t="s">
        <v>22947</v>
      </c>
      <c r="C19779">
        <f>0</f>
        <v>0</v>
      </c>
      <c r="D19779">
        <v>0.96371213065600003</v>
      </c>
      <c r="E19779">
        <v>11.202398800599701</v>
      </c>
    </row>
    <row r="19780" spans="1:5">
      <c r="A19780" t="s">
        <v>22943</v>
      </c>
      <c r="B19780" t="s">
        <v>22948</v>
      </c>
      <c r="C19780">
        <f>0</f>
        <v>0</v>
      </c>
      <c r="D19780">
        <v>0.96371213065600003</v>
      </c>
      <c r="E19780">
        <v>11.202398800599701</v>
      </c>
    </row>
    <row r="19781" spans="1:5">
      <c r="A19781" t="s">
        <v>22943</v>
      </c>
      <c r="B19781" t="s">
        <v>22949</v>
      </c>
      <c r="C19781">
        <v>0</v>
      </c>
      <c r="D19781">
        <v>0.96371213065600003</v>
      </c>
      <c r="E19781">
        <v>11.202398800599701</v>
      </c>
    </row>
    <row r="19782" spans="1:5">
      <c r="A19782" t="s">
        <v>22943</v>
      </c>
      <c r="B19782" t="s">
        <v>22950</v>
      </c>
      <c r="C19782">
        <f>0</f>
        <v>0</v>
      </c>
      <c r="D19782">
        <v>0.96371213065600003</v>
      </c>
      <c r="E19782">
        <v>11.202398800599701</v>
      </c>
    </row>
    <row r="19783" spans="1:5">
      <c r="A19783" t="s">
        <v>22943</v>
      </c>
      <c r="B19783" t="s">
        <v>22951</v>
      </c>
      <c r="C19783">
        <v>0</v>
      </c>
      <c r="D19783">
        <v>0.96371213065600003</v>
      </c>
      <c r="E19783">
        <v>11.202398800599701</v>
      </c>
    </row>
    <row r="19784" spans="1:5">
      <c r="A19784" t="s">
        <v>22952</v>
      </c>
      <c r="B19784" t="s">
        <v>22953</v>
      </c>
      <c r="C19784">
        <v>0</v>
      </c>
      <c r="D19784" t="s">
        <v>106</v>
      </c>
      <c r="E19784">
        <v>7.7361319340329802</v>
      </c>
    </row>
    <row r="19785" spans="1:5">
      <c r="A19785" t="s">
        <v>22952</v>
      </c>
      <c r="B19785" t="s">
        <v>22954</v>
      </c>
      <c r="C19785">
        <f>0</f>
        <v>0</v>
      </c>
      <c r="D19785" t="s">
        <v>106</v>
      </c>
      <c r="E19785">
        <v>7.7361319340329802</v>
      </c>
    </row>
    <row r="19786" spans="1:5">
      <c r="A19786" t="s">
        <v>22955</v>
      </c>
      <c r="B19786" t="s">
        <v>22956</v>
      </c>
      <c r="C19786">
        <v>0</v>
      </c>
      <c r="D19786">
        <v>0.946738254</v>
      </c>
      <c r="E19786">
        <v>24</v>
      </c>
    </row>
    <row r="19787" spans="1:5">
      <c r="A19787" t="s">
        <v>22955</v>
      </c>
      <c r="B19787" t="s">
        <v>22957</v>
      </c>
      <c r="C19787">
        <v>0</v>
      </c>
      <c r="D19787">
        <v>0.946738254</v>
      </c>
      <c r="E19787">
        <v>24</v>
      </c>
    </row>
    <row r="19788" spans="1:5">
      <c r="A19788" t="s">
        <v>22955</v>
      </c>
      <c r="B19788" t="s">
        <v>22958</v>
      </c>
      <c r="C19788">
        <v>0</v>
      </c>
      <c r="D19788">
        <v>0.946738254</v>
      </c>
      <c r="E19788">
        <v>24</v>
      </c>
    </row>
    <row r="19789" spans="1:5">
      <c r="A19789" t="s">
        <v>22955</v>
      </c>
      <c r="B19789" t="s">
        <v>22959</v>
      </c>
      <c r="C19789">
        <v>0.111131229873</v>
      </c>
      <c r="D19789">
        <v>0.946738254</v>
      </c>
      <c r="E19789">
        <v>24</v>
      </c>
    </row>
    <row r="19790" spans="1:5">
      <c r="A19790" t="s">
        <v>22955</v>
      </c>
      <c r="B19790" t="s">
        <v>22960</v>
      </c>
      <c r="C19790">
        <v>0</v>
      </c>
      <c r="D19790">
        <v>0.946738254</v>
      </c>
      <c r="E19790">
        <v>24</v>
      </c>
    </row>
    <row r="19791" spans="1:5">
      <c r="A19791" t="s">
        <v>22955</v>
      </c>
      <c r="B19791" t="s">
        <v>22961</v>
      </c>
      <c r="C19791">
        <v>0</v>
      </c>
      <c r="D19791">
        <v>0.946738254</v>
      </c>
      <c r="E19791">
        <v>24</v>
      </c>
    </row>
    <row r="19792" spans="1:5">
      <c r="A19792" t="s">
        <v>22955</v>
      </c>
      <c r="B19792" t="s">
        <v>22962</v>
      </c>
      <c r="C19792">
        <v>0</v>
      </c>
      <c r="D19792">
        <v>0.946738254</v>
      </c>
      <c r="E19792">
        <v>24</v>
      </c>
    </row>
    <row r="19793" spans="1:5">
      <c r="A19793" t="s">
        <v>22955</v>
      </c>
      <c r="B19793" t="s">
        <v>22963</v>
      </c>
      <c r="C19793">
        <f>0.00676466480839</f>
        <v>6.76466480839E-3</v>
      </c>
      <c r="D19793">
        <v>0.946738254</v>
      </c>
      <c r="E19793">
        <v>24</v>
      </c>
    </row>
    <row r="19794" spans="1:5">
      <c r="A19794" t="s">
        <v>22964</v>
      </c>
      <c r="B19794" t="s">
        <v>22965</v>
      </c>
      <c r="C19794">
        <v>0.45987266448500003</v>
      </c>
      <c r="D19794">
        <v>0.88605386959700005</v>
      </c>
      <c r="E19794">
        <v>0.86356821589205401</v>
      </c>
    </row>
    <row r="19795" spans="1:5">
      <c r="A19795" t="s">
        <v>22964</v>
      </c>
      <c r="B19795" t="s">
        <v>22966</v>
      </c>
      <c r="C19795">
        <f>0</f>
        <v>0</v>
      </c>
      <c r="D19795">
        <v>0.88605386959700005</v>
      </c>
      <c r="E19795">
        <v>0.86356821589205401</v>
      </c>
    </row>
    <row r="19796" spans="1:5">
      <c r="A19796" t="s">
        <v>22967</v>
      </c>
      <c r="B19796" t="s">
        <v>22968</v>
      </c>
      <c r="C19796">
        <f>0</f>
        <v>0</v>
      </c>
      <c r="D19796">
        <v>0.96182072487500003</v>
      </c>
      <c r="E19796">
        <v>0.86356821589205401</v>
      </c>
    </row>
    <row r="19797" spans="1:5">
      <c r="A19797" t="s">
        <v>22967</v>
      </c>
      <c r="B19797" t="s">
        <v>22969</v>
      </c>
      <c r="C19797">
        <f>0.149786326026</f>
        <v>0.14978632602600001</v>
      </c>
      <c r="D19797">
        <v>0.96182072487500003</v>
      </c>
      <c r="E19797">
        <v>0.86356821589205401</v>
      </c>
    </row>
    <row r="19798" spans="1:5">
      <c r="A19798" t="s">
        <v>22967</v>
      </c>
      <c r="B19798" t="s">
        <v>22970</v>
      </c>
      <c r="C19798">
        <v>0</v>
      </c>
      <c r="D19798">
        <v>0.96182072487500003</v>
      </c>
      <c r="E19798">
        <v>0.86356821589205401</v>
      </c>
    </row>
    <row r="19799" spans="1:5">
      <c r="A19799" t="s">
        <v>22967</v>
      </c>
      <c r="B19799" t="s">
        <v>22971</v>
      </c>
      <c r="C19799">
        <f>0</f>
        <v>0</v>
      </c>
      <c r="D19799">
        <v>0.96182072487500003</v>
      </c>
      <c r="E19799">
        <v>0.86356821589205401</v>
      </c>
    </row>
    <row r="19800" spans="1:5">
      <c r="A19800" t="s">
        <v>22967</v>
      </c>
      <c r="B19800" t="s">
        <v>22972</v>
      </c>
      <c r="C19800">
        <f>0</f>
        <v>0</v>
      </c>
      <c r="D19800">
        <v>0.96182072487500003</v>
      </c>
      <c r="E19800">
        <v>0.86356821589205401</v>
      </c>
    </row>
    <row r="19801" spans="1:5">
      <c r="A19801" t="s">
        <v>22967</v>
      </c>
      <c r="B19801" t="s">
        <v>22973</v>
      </c>
      <c r="C19801">
        <f>0</f>
        <v>0</v>
      </c>
      <c r="D19801">
        <v>0.96182072487500003</v>
      </c>
      <c r="E19801">
        <v>0.86356821589205401</v>
      </c>
    </row>
    <row r="19802" spans="1:5">
      <c r="A19802" t="s">
        <v>22974</v>
      </c>
      <c r="B19802" t="s">
        <v>22975</v>
      </c>
      <c r="C19802">
        <v>0</v>
      </c>
      <c r="D19802" t="s">
        <v>106</v>
      </c>
      <c r="E19802">
        <v>1.00749625187406</v>
      </c>
    </row>
    <row r="19803" spans="1:5">
      <c r="A19803" t="s">
        <v>22974</v>
      </c>
      <c r="B19803" t="s">
        <v>22976</v>
      </c>
      <c r="C19803">
        <f>0</f>
        <v>0</v>
      </c>
      <c r="D19803" t="s">
        <v>106</v>
      </c>
      <c r="E19803">
        <v>1.00749625187406</v>
      </c>
    </row>
    <row r="19804" spans="1:5">
      <c r="A19804" t="s">
        <v>22974</v>
      </c>
      <c r="B19804" t="s">
        <v>22977</v>
      </c>
      <c r="C19804">
        <f>0</f>
        <v>0</v>
      </c>
      <c r="D19804" t="s">
        <v>106</v>
      </c>
      <c r="E19804">
        <v>1.00749625187406</v>
      </c>
    </row>
    <row r="19805" spans="1:5">
      <c r="A19805" t="s">
        <v>22974</v>
      </c>
      <c r="B19805" t="s">
        <v>22978</v>
      </c>
      <c r="C19805">
        <f>0</f>
        <v>0</v>
      </c>
      <c r="D19805" t="s">
        <v>106</v>
      </c>
      <c r="E19805">
        <v>1.00749625187406</v>
      </c>
    </row>
    <row r="19806" spans="1:5">
      <c r="A19806" t="s">
        <v>22974</v>
      </c>
      <c r="B19806" t="s">
        <v>22979</v>
      </c>
      <c r="C19806">
        <f>0</f>
        <v>0</v>
      </c>
      <c r="D19806" t="s">
        <v>106</v>
      </c>
      <c r="E19806">
        <v>1.00749625187406</v>
      </c>
    </row>
    <row r="19807" spans="1:5">
      <c r="A19807" t="s">
        <v>22974</v>
      </c>
      <c r="B19807" t="s">
        <v>22980</v>
      </c>
      <c r="C19807">
        <v>0</v>
      </c>
      <c r="D19807" t="s">
        <v>106</v>
      </c>
      <c r="E19807">
        <v>1.00749625187406</v>
      </c>
    </row>
    <row r="19808" spans="1:5">
      <c r="A19808" t="s">
        <v>22974</v>
      </c>
      <c r="B19808" t="s">
        <v>22981</v>
      </c>
      <c r="C19808">
        <f>0</f>
        <v>0</v>
      </c>
      <c r="D19808" t="s">
        <v>106</v>
      </c>
      <c r="E19808">
        <v>1.00749625187406</v>
      </c>
    </row>
    <row r="19809" spans="1:5">
      <c r="A19809" t="s">
        <v>22982</v>
      </c>
      <c r="B19809" t="s">
        <v>22983</v>
      </c>
      <c r="C19809">
        <f>0.0227152220939</f>
        <v>2.2715222093899999E-2</v>
      </c>
      <c r="D19809">
        <v>0.89714778184400001</v>
      </c>
      <c r="E19809">
        <v>3.68215892053973</v>
      </c>
    </row>
    <row r="19810" spans="1:5">
      <c r="A19810" t="s">
        <v>22982</v>
      </c>
      <c r="B19810" t="s">
        <v>22984</v>
      </c>
      <c r="C19810">
        <v>4.06078735043E-2</v>
      </c>
      <c r="D19810">
        <v>0.89714778184400001</v>
      </c>
      <c r="E19810">
        <v>3.68215892053973</v>
      </c>
    </row>
    <row r="19811" spans="1:5">
      <c r="A19811" t="s">
        <v>22982</v>
      </c>
      <c r="B19811" t="s">
        <v>22985</v>
      </c>
      <c r="C19811">
        <f>0</f>
        <v>0</v>
      </c>
      <c r="D19811">
        <v>0.89714778184400001</v>
      </c>
      <c r="E19811">
        <v>3.68215892053973</v>
      </c>
    </row>
    <row r="19812" spans="1:5">
      <c r="A19812" t="s">
        <v>22986</v>
      </c>
      <c r="B19812" t="s">
        <v>22987</v>
      </c>
      <c r="C19812">
        <v>8.1018516269400001E-2</v>
      </c>
      <c r="D19812" t="s">
        <v>106</v>
      </c>
      <c r="E19812">
        <v>2.1709145427286298</v>
      </c>
    </row>
    <row r="19813" spans="1:5">
      <c r="A19813" t="s">
        <v>22986</v>
      </c>
      <c r="B19813" t="s">
        <v>22988</v>
      </c>
      <c r="C19813">
        <f>0.0740367394544</f>
        <v>7.4036739454399994E-2</v>
      </c>
      <c r="D19813" t="s">
        <v>106</v>
      </c>
      <c r="E19813">
        <v>2.1709145427286298</v>
      </c>
    </row>
    <row r="19814" spans="1:5">
      <c r="A19814" t="s">
        <v>22986</v>
      </c>
      <c r="B19814" t="s">
        <v>22989</v>
      </c>
      <c r="C19814">
        <v>0</v>
      </c>
      <c r="D19814" t="s">
        <v>106</v>
      </c>
      <c r="E19814">
        <v>2.1709145427286298</v>
      </c>
    </row>
    <row r="19815" spans="1:5">
      <c r="A19815" t="s">
        <v>22986</v>
      </c>
      <c r="B19815" t="s">
        <v>22990</v>
      </c>
      <c r="C19815">
        <f>0</f>
        <v>0</v>
      </c>
      <c r="D19815" t="s">
        <v>106</v>
      </c>
      <c r="E19815">
        <v>2.1709145427286298</v>
      </c>
    </row>
    <row r="19816" spans="1:5">
      <c r="A19816" t="s">
        <v>22986</v>
      </c>
      <c r="B19816" t="s">
        <v>22991</v>
      </c>
      <c r="C19816">
        <v>0</v>
      </c>
      <c r="D19816" t="s">
        <v>106</v>
      </c>
      <c r="E19816">
        <v>2.1709145427286298</v>
      </c>
    </row>
    <row r="19817" spans="1:5">
      <c r="A19817" t="s">
        <v>22992</v>
      </c>
      <c r="B19817" t="s">
        <v>22993</v>
      </c>
      <c r="C19817">
        <v>0</v>
      </c>
      <c r="D19817">
        <v>0.97545584576699995</v>
      </c>
      <c r="E19817">
        <v>24</v>
      </c>
    </row>
    <row r="19818" spans="1:5">
      <c r="A19818" t="s">
        <v>22992</v>
      </c>
      <c r="B19818" t="s">
        <v>22994</v>
      </c>
      <c r="C19818">
        <v>0</v>
      </c>
      <c r="D19818">
        <v>0.97545584576699995</v>
      </c>
      <c r="E19818">
        <v>24</v>
      </c>
    </row>
    <row r="19819" spans="1:5">
      <c r="A19819" t="s">
        <v>22992</v>
      </c>
      <c r="B19819" t="s">
        <v>22995</v>
      </c>
      <c r="C19819">
        <v>0</v>
      </c>
      <c r="D19819">
        <v>0.97545584576699995</v>
      </c>
      <c r="E19819">
        <v>24</v>
      </c>
    </row>
    <row r="19820" spans="1:5">
      <c r="A19820" t="s">
        <v>22992</v>
      </c>
      <c r="B19820" t="s">
        <v>22996</v>
      </c>
      <c r="C19820">
        <v>0</v>
      </c>
      <c r="D19820">
        <v>0.97545584576699995</v>
      </c>
      <c r="E19820">
        <v>24</v>
      </c>
    </row>
    <row r="19821" spans="1:5">
      <c r="A19821" t="s">
        <v>22992</v>
      </c>
      <c r="B19821" t="s">
        <v>22997</v>
      </c>
      <c r="C19821">
        <v>0</v>
      </c>
      <c r="D19821">
        <v>0.97545584576699995</v>
      </c>
      <c r="E19821">
        <v>24</v>
      </c>
    </row>
    <row r="19822" spans="1:5">
      <c r="A19822" t="s">
        <v>22992</v>
      </c>
      <c r="B19822" t="s">
        <v>22998</v>
      </c>
      <c r="C19822">
        <v>0.12987016899000001</v>
      </c>
      <c r="D19822">
        <v>0.97545584576699995</v>
      </c>
      <c r="E19822">
        <v>24</v>
      </c>
    </row>
    <row r="19823" spans="1:5">
      <c r="A19823" t="s">
        <v>22992</v>
      </c>
      <c r="B19823" t="s">
        <v>22999</v>
      </c>
      <c r="C19823">
        <v>0</v>
      </c>
      <c r="D19823">
        <v>0.97545584576699995</v>
      </c>
      <c r="E19823">
        <v>24</v>
      </c>
    </row>
    <row r="19824" spans="1:5">
      <c r="A19824" t="s">
        <v>22992</v>
      </c>
      <c r="B19824" t="s">
        <v>23000</v>
      </c>
      <c r="C19824">
        <v>0</v>
      </c>
      <c r="D19824">
        <v>0.97545584576699995</v>
      </c>
      <c r="E19824">
        <v>24</v>
      </c>
    </row>
    <row r="19825" spans="1:5">
      <c r="A19825" t="s">
        <v>23001</v>
      </c>
      <c r="B19825" t="s">
        <v>23002</v>
      </c>
      <c r="C19825">
        <v>0.14346516591</v>
      </c>
      <c r="D19825">
        <v>0.95308498310099998</v>
      </c>
      <c r="E19825">
        <v>10.230884557721099</v>
      </c>
    </row>
    <row r="19826" spans="1:5">
      <c r="A19826" t="s">
        <v>23001</v>
      </c>
      <c r="B19826" t="s">
        <v>23003</v>
      </c>
      <c r="C19826">
        <v>0</v>
      </c>
      <c r="D19826">
        <v>0.95308498310099998</v>
      </c>
      <c r="E19826">
        <v>10.230884557721099</v>
      </c>
    </row>
    <row r="19827" spans="1:5">
      <c r="A19827" t="s">
        <v>23001</v>
      </c>
      <c r="B19827" t="s">
        <v>23004</v>
      </c>
      <c r="C19827">
        <v>0</v>
      </c>
      <c r="D19827">
        <v>0.95308498310099998</v>
      </c>
      <c r="E19827">
        <v>10.230884557721099</v>
      </c>
    </row>
    <row r="19828" spans="1:5">
      <c r="A19828" t="s">
        <v>23001</v>
      </c>
      <c r="B19828" t="s">
        <v>23005</v>
      </c>
      <c r="C19828">
        <f>0</f>
        <v>0</v>
      </c>
      <c r="D19828">
        <v>0.95308498310099998</v>
      </c>
      <c r="E19828">
        <v>10.230884557721099</v>
      </c>
    </row>
    <row r="19829" spans="1:5">
      <c r="A19829" t="s">
        <v>23001</v>
      </c>
      <c r="B19829" t="s">
        <v>23006</v>
      </c>
      <c r="C19829">
        <v>0</v>
      </c>
      <c r="D19829">
        <v>0.95308498310099998</v>
      </c>
      <c r="E19829">
        <v>10.230884557721099</v>
      </c>
    </row>
    <row r="19830" spans="1:5">
      <c r="A19830" t="s">
        <v>23001</v>
      </c>
      <c r="B19830" t="s">
        <v>23007</v>
      </c>
      <c r="C19830">
        <f>0</f>
        <v>0</v>
      </c>
      <c r="D19830">
        <v>0.95308498310099998</v>
      </c>
      <c r="E19830">
        <v>10.230884557721099</v>
      </c>
    </row>
    <row r="19831" spans="1:5">
      <c r="A19831" t="s">
        <v>23008</v>
      </c>
      <c r="B19831" t="s">
        <v>23009</v>
      </c>
      <c r="C19831">
        <f>0</f>
        <v>0</v>
      </c>
      <c r="D19831" t="s">
        <v>106</v>
      </c>
      <c r="E19831">
        <v>3.13043478260869</v>
      </c>
    </row>
    <row r="19832" spans="1:5">
      <c r="A19832" t="s">
        <v>23008</v>
      </c>
      <c r="B19832" t="s">
        <v>23010</v>
      </c>
      <c r="C19832">
        <f>0</f>
        <v>0</v>
      </c>
      <c r="D19832" t="s">
        <v>106</v>
      </c>
      <c r="E19832">
        <v>3.13043478260869</v>
      </c>
    </row>
    <row r="19833" spans="1:5">
      <c r="A19833" t="s">
        <v>23008</v>
      </c>
      <c r="B19833" t="s">
        <v>23011</v>
      </c>
      <c r="C19833">
        <v>0</v>
      </c>
      <c r="D19833" t="s">
        <v>106</v>
      </c>
      <c r="E19833">
        <v>3.13043478260869</v>
      </c>
    </row>
    <row r="19834" spans="1:5">
      <c r="A19834" t="s">
        <v>23008</v>
      </c>
      <c r="B19834" t="s">
        <v>23012</v>
      </c>
      <c r="C19834">
        <f>0</f>
        <v>0</v>
      </c>
      <c r="D19834" t="s">
        <v>106</v>
      </c>
      <c r="E19834">
        <v>3.13043478260869</v>
      </c>
    </row>
    <row r="19835" spans="1:5">
      <c r="A19835" t="s">
        <v>23008</v>
      </c>
      <c r="B19835" t="s">
        <v>23013</v>
      </c>
      <c r="C19835">
        <f>0</f>
        <v>0</v>
      </c>
      <c r="D19835" t="s">
        <v>106</v>
      </c>
      <c r="E19835">
        <v>3.13043478260869</v>
      </c>
    </row>
    <row r="19836" spans="1:5">
      <c r="A19836" t="s">
        <v>23014</v>
      </c>
      <c r="B19836" t="s">
        <v>23015</v>
      </c>
      <c r="C19836">
        <v>0.14297439380999999</v>
      </c>
      <c r="D19836">
        <v>0.99266793046900004</v>
      </c>
      <c r="E19836">
        <v>15.904047976011899</v>
      </c>
    </row>
    <row r="19837" spans="1:5">
      <c r="A19837" t="s">
        <v>23014</v>
      </c>
      <c r="B19837" t="s">
        <v>23016</v>
      </c>
      <c r="C19837">
        <v>0</v>
      </c>
      <c r="D19837">
        <v>0.99266793046900004</v>
      </c>
      <c r="E19837">
        <v>15.904047976011899</v>
      </c>
    </row>
    <row r="19838" spans="1:5">
      <c r="A19838" t="s">
        <v>23014</v>
      </c>
      <c r="B19838" t="s">
        <v>23017</v>
      </c>
      <c r="C19838">
        <v>0</v>
      </c>
      <c r="D19838">
        <v>0.99266793046900004</v>
      </c>
      <c r="E19838">
        <v>15.904047976011899</v>
      </c>
    </row>
    <row r="19839" spans="1:5">
      <c r="A19839" t="s">
        <v>23014</v>
      </c>
      <c r="B19839" t="s">
        <v>23018</v>
      </c>
      <c r="C19839">
        <v>0</v>
      </c>
      <c r="D19839">
        <v>0.99266793046900004</v>
      </c>
      <c r="E19839">
        <v>15.904047976011899</v>
      </c>
    </row>
    <row r="19840" spans="1:5">
      <c r="A19840" t="s">
        <v>23014</v>
      </c>
      <c r="B19840" t="s">
        <v>23019</v>
      </c>
      <c r="C19840">
        <f>0</f>
        <v>0</v>
      </c>
      <c r="D19840">
        <v>0.99266793046900004</v>
      </c>
      <c r="E19840">
        <v>15.904047976011899</v>
      </c>
    </row>
    <row r="19841" spans="1:5">
      <c r="A19841" t="s">
        <v>23014</v>
      </c>
      <c r="B19841" t="s">
        <v>23020</v>
      </c>
      <c r="C19841">
        <f>0</f>
        <v>0</v>
      </c>
      <c r="D19841">
        <v>0.99266793046900004</v>
      </c>
      <c r="E19841">
        <v>15.904047976011899</v>
      </c>
    </row>
    <row r="19842" spans="1:5">
      <c r="A19842" t="s">
        <v>23014</v>
      </c>
      <c r="B19842" t="s">
        <v>23021</v>
      </c>
      <c r="C19842">
        <f>0</f>
        <v>0</v>
      </c>
      <c r="D19842">
        <v>0.99266793046900004</v>
      </c>
      <c r="E19842">
        <v>15.904047976011899</v>
      </c>
    </row>
    <row r="19843" spans="1:5">
      <c r="A19843" t="s">
        <v>23014</v>
      </c>
      <c r="B19843" t="s">
        <v>23022</v>
      </c>
      <c r="C19843">
        <v>0</v>
      </c>
      <c r="D19843">
        <v>0.99266793046900004</v>
      </c>
      <c r="E19843">
        <v>15.904047976011899</v>
      </c>
    </row>
    <row r="19844" spans="1:5">
      <c r="A19844" t="s">
        <v>23014</v>
      </c>
      <c r="B19844" t="s">
        <v>23023</v>
      </c>
      <c r="C19844">
        <f>0</f>
        <v>0</v>
      </c>
      <c r="D19844">
        <v>0.99266793046900004</v>
      </c>
      <c r="E19844">
        <v>15.904047976011899</v>
      </c>
    </row>
    <row r="19845" spans="1:5">
      <c r="A19845" t="s">
        <v>23014</v>
      </c>
      <c r="B19845" t="s">
        <v>23024</v>
      </c>
      <c r="C19845">
        <f>0</f>
        <v>0</v>
      </c>
      <c r="D19845">
        <v>0.99266793046900004</v>
      </c>
      <c r="E19845">
        <v>15.904047976011899</v>
      </c>
    </row>
    <row r="19846" spans="1:5">
      <c r="A19846" t="s">
        <v>23014</v>
      </c>
      <c r="B19846" t="s">
        <v>23025</v>
      </c>
      <c r="C19846">
        <v>0</v>
      </c>
      <c r="D19846">
        <v>0.99266793046900004</v>
      </c>
      <c r="E19846">
        <v>15.904047976011899</v>
      </c>
    </row>
    <row r="19847" spans="1:5">
      <c r="A19847" t="s">
        <v>23014</v>
      </c>
      <c r="B19847" t="s">
        <v>23026</v>
      </c>
      <c r="C19847">
        <v>0</v>
      </c>
      <c r="D19847">
        <v>0.99266793046900004</v>
      </c>
      <c r="E19847">
        <v>15.904047976011899</v>
      </c>
    </row>
    <row r="19848" spans="1:5">
      <c r="A19848" t="s">
        <v>23014</v>
      </c>
      <c r="B19848" t="s">
        <v>23027</v>
      </c>
      <c r="C19848">
        <f>0.104102690399</f>
        <v>0.104102690399</v>
      </c>
      <c r="D19848">
        <v>0.99266793046900004</v>
      </c>
      <c r="E19848">
        <v>15.904047976011899</v>
      </c>
    </row>
    <row r="19849" spans="1:5">
      <c r="A19849" t="s">
        <v>23014</v>
      </c>
      <c r="B19849" t="s">
        <v>23028</v>
      </c>
      <c r="C19849">
        <v>0</v>
      </c>
      <c r="D19849">
        <v>0.99266793046900004</v>
      </c>
      <c r="E19849">
        <v>15.904047976011899</v>
      </c>
    </row>
    <row r="19850" spans="1:5">
      <c r="A19850" t="s">
        <v>23014</v>
      </c>
      <c r="B19850" t="s">
        <v>23029</v>
      </c>
      <c r="C19850">
        <v>0</v>
      </c>
      <c r="D19850">
        <v>0.99266793046900004</v>
      </c>
      <c r="E19850">
        <v>15.904047976011899</v>
      </c>
    </row>
    <row r="19851" spans="1:5">
      <c r="A19851" t="s">
        <v>23030</v>
      </c>
      <c r="B19851" t="s">
        <v>23031</v>
      </c>
      <c r="C19851">
        <f>0</f>
        <v>0</v>
      </c>
      <c r="D19851">
        <v>0.91574440820000003</v>
      </c>
      <c r="E19851">
        <v>17.103448275862</v>
      </c>
    </row>
    <row r="19852" spans="1:5">
      <c r="A19852" t="s">
        <v>23030</v>
      </c>
      <c r="B19852" t="s">
        <v>23032</v>
      </c>
      <c r="C19852">
        <f>0</f>
        <v>0</v>
      </c>
      <c r="D19852">
        <v>0.91574440820000003</v>
      </c>
      <c r="E19852">
        <v>17.103448275862</v>
      </c>
    </row>
    <row r="19853" spans="1:5">
      <c r="A19853" t="s">
        <v>23030</v>
      </c>
      <c r="B19853" t="s">
        <v>23033</v>
      </c>
      <c r="C19853">
        <f>0</f>
        <v>0</v>
      </c>
      <c r="D19853">
        <v>0.91574440820000003</v>
      </c>
      <c r="E19853">
        <v>17.103448275862</v>
      </c>
    </row>
    <row r="19854" spans="1:5">
      <c r="A19854" t="s">
        <v>23030</v>
      </c>
      <c r="B19854" t="s">
        <v>23034</v>
      </c>
      <c r="C19854">
        <f>0</f>
        <v>0</v>
      </c>
      <c r="D19854">
        <v>0.91574440820000003</v>
      </c>
      <c r="E19854">
        <v>17.103448275862</v>
      </c>
    </row>
    <row r="19855" spans="1:5">
      <c r="A19855" t="s">
        <v>23030</v>
      </c>
      <c r="B19855" t="s">
        <v>23035</v>
      </c>
      <c r="C19855">
        <f>0</f>
        <v>0</v>
      </c>
      <c r="D19855">
        <v>0.91574440820000003</v>
      </c>
      <c r="E19855">
        <v>17.103448275862</v>
      </c>
    </row>
    <row r="19856" spans="1:5">
      <c r="A19856" t="s">
        <v>23030</v>
      </c>
      <c r="B19856" t="s">
        <v>23036</v>
      </c>
      <c r="C19856">
        <f>0</f>
        <v>0</v>
      </c>
      <c r="D19856">
        <v>0.91574440820000003</v>
      </c>
      <c r="E19856">
        <v>17.103448275862</v>
      </c>
    </row>
    <row r="19857" spans="1:5">
      <c r="A19857" t="s">
        <v>23030</v>
      </c>
      <c r="B19857" t="s">
        <v>23037</v>
      </c>
      <c r="C19857">
        <f>0</f>
        <v>0</v>
      </c>
      <c r="D19857">
        <v>0.91574440820000003</v>
      </c>
      <c r="E19857">
        <v>17.103448275862</v>
      </c>
    </row>
    <row r="19858" spans="1:5">
      <c r="A19858" t="s">
        <v>23030</v>
      </c>
      <c r="B19858" t="s">
        <v>23038</v>
      </c>
      <c r="C19858">
        <f>0</f>
        <v>0</v>
      </c>
      <c r="D19858">
        <v>0.91574440820000003</v>
      </c>
      <c r="E19858">
        <v>17.103448275862</v>
      </c>
    </row>
    <row r="19859" spans="1:5">
      <c r="A19859" t="s">
        <v>23030</v>
      </c>
      <c r="B19859" t="s">
        <v>23039</v>
      </c>
      <c r="C19859">
        <v>0</v>
      </c>
      <c r="D19859">
        <v>0.91574440820000003</v>
      </c>
      <c r="E19859">
        <v>17.103448275862</v>
      </c>
    </row>
    <row r="19860" spans="1:5">
      <c r="A19860" t="s">
        <v>23030</v>
      </c>
      <c r="B19860" t="s">
        <v>23040</v>
      </c>
      <c r="C19860">
        <v>0</v>
      </c>
      <c r="D19860">
        <v>0.91574440820000003</v>
      </c>
      <c r="E19860">
        <v>17.103448275862</v>
      </c>
    </row>
    <row r="19861" spans="1:5">
      <c r="A19861" t="s">
        <v>23041</v>
      </c>
      <c r="B19861" t="s">
        <v>23042</v>
      </c>
      <c r="C19861">
        <v>0</v>
      </c>
      <c r="D19861" t="s">
        <v>106</v>
      </c>
      <c r="E19861">
        <v>16.491754122938499</v>
      </c>
    </row>
    <row r="19862" spans="1:5">
      <c r="A19862" t="s">
        <v>23041</v>
      </c>
      <c r="B19862" t="s">
        <v>23043</v>
      </c>
      <c r="C19862">
        <v>0</v>
      </c>
      <c r="D19862" t="s">
        <v>106</v>
      </c>
      <c r="E19862">
        <v>16.491754122938499</v>
      </c>
    </row>
    <row r="19863" spans="1:5">
      <c r="A19863" t="s">
        <v>23041</v>
      </c>
      <c r="B19863" t="s">
        <v>23044</v>
      </c>
      <c r="C19863">
        <f>0</f>
        <v>0</v>
      </c>
      <c r="D19863" t="s">
        <v>106</v>
      </c>
      <c r="E19863">
        <v>16.491754122938499</v>
      </c>
    </row>
    <row r="19864" spans="1:5">
      <c r="A19864" t="s">
        <v>23041</v>
      </c>
      <c r="B19864" t="s">
        <v>23045</v>
      </c>
      <c r="C19864">
        <v>0</v>
      </c>
      <c r="D19864" t="s">
        <v>106</v>
      </c>
      <c r="E19864">
        <v>16.491754122938499</v>
      </c>
    </row>
    <row r="19865" spans="1:5">
      <c r="A19865" t="s">
        <v>23041</v>
      </c>
      <c r="B19865" t="s">
        <v>23046</v>
      </c>
      <c r="C19865">
        <v>0</v>
      </c>
      <c r="D19865" t="s">
        <v>106</v>
      </c>
      <c r="E19865">
        <v>16.491754122938499</v>
      </c>
    </row>
    <row r="19866" spans="1:5">
      <c r="A19866" t="s">
        <v>23041</v>
      </c>
      <c r="B19866" t="s">
        <v>23047</v>
      </c>
      <c r="C19866">
        <f>0</f>
        <v>0</v>
      </c>
      <c r="D19866" t="s">
        <v>106</v>
      </c>
      <c r="E19866">
        <v>16.491754122938499</v>
      </c>
    </row>
    <row r="19867" spans="1:5">
      <c r="A19867" t="s">
        <v>23041</v>
      </c>
      <c r="B19867" t="s">
        <v>23048</v>
      </c>
      <c r="C19867">
        <f>0</f>
        <v>0</v>
      </c>
      <c r="D19867" t="s">
        <v>106</v>
      </c>
      <c r="E19867">
        <v>16.491754122938499</v>
      </c>
    </row>
    <row r="19868" spans="1:5">
      <c r="A19868" t="s">
        <v>23041</v>
      </c>
      <c r="B19868" t="s">
        <v>23049</v>
      </c>
      <c r="C19868">
        <v>0</v>
      </c>
      <c r="D19868" t="s">
        <v>106</v>
      </c>
      <c r="E19868">
        <v>16.491754122938499</v>
      </c>
    </row>
    <row r="19869" spans="1:5">
      <c r="A19869" t="s">
        <v>23041</v>
      </c>
      <c r="B19869" t="s">
        <v>23050</v>
      </c>
      <c r="C19869">
        <f>0.0160979251897</f>
        <v>1.6097925189700001E-2</v>
      </c>
      <c r="D19869" t="s">
        <v>106</v>
      </c>
      <c r="E19869">
        <v>16.491754122938499</v>
      </c>
    </row>
    <row r="19870" spans="1:5">
      <c r="A19870" t="s">
        <v>23041</v>
      </c>
      <c r="B19870" t="s">
        <v>23051</v>
      </c>
      <c r="C19870">
        <f>0</f>
        <v>0</v>
      </c>
      <c r="D19870" t="s">
        <v>106</v>
      </c>
      <c r="E19870">
        <v>16.491754122938499</v>
      </c>
    </row>
    <row r="19871" spans="1:5">
      <c r="A19871" t="s">
        <v>23041</v>
      </c>
      <c r="B19871" t="s">
        <v>23052</v>
      </c>
      <c r="C19871">
        <v>0</v>
      </c>
      <c r="D19871" t="s">
        <v>106</v>
      </c>
      <c r="E19871">
        <v>16.491754122938499</v>
      </c>
    </row>
    <row r="19872" spans="1:5">
      <c r="A19872" t="s">
        <v>23041</v>
      </c>
      <c r="B19872" t="s">
        <v>23053</v>
      </c>
      <c r="C19872">
        <f>0</f>
        <v>0</v>
      </c>
      <c r="D19872" t="s">
        <v>106</v>
      </c>
      <c r="E19872">
        <v>16.491754122938499</v>
      </c>
    </row>
    <row r="19873" spans="1:5">
      <c r="A19873" t="s">
        <v>23041</v>
      </c>
      <c r="B19873" t="s">
        <v>23054</v>
      </c>
      <c r="C19873">
        <v>0</v>
      </c>
      <c r="D19873" t="s">
        <v>106</v>
      </c>
      <c r="E19873">
        <v>16.491754122938499</v>
      </c>
    </row>
    <row r="19874" spans="1:5">
      <c r="A19874" t="s">
        <v>23041</v>
      </c>
      <c r="B19874" t="s">
        <v>23055</v>
      </c>
      <c r="C19874">
        <v>0</v>
      </c>
      <c r="D19874" t="s">
        <v>106</v>
      </c>
      <c r="E19874">
        <v>16.491754122938499</v>
      </c>
    </row>
    <row r="19875" spans="1:5">
      <c r="A19875" t="s">
        <v>23041</v>
      </c>
      <c r="B19875" t="s">
        <v>23056</v>
      </c>
      <c r="C19875">
        <v>0.13118557166700001</v>
      </c>
      <c r="D19875" t="s">
        <v>106</v>
      </c>
      <c r="E19875">
        <v>16.491754122938499</v>
      </c>
    </row>
    <row r="19876" spans="1:5">
      <c r="A19876" t="s">
        <v>23041</v>
      </c>
      <c r="B19876" t="s">
        <v>23057</v>
      </c>
      <c r="C19876">
        <v>0</v>
      </c>
      <c r="D19876" t="s">
        <v>106</v>
      </c>
      <c r="E19876">
        <v>16.491754122938499</v>
      </c>
    </row>
    <row r="19877" spans="1:5">
      <c r="A19877" t="s">
        <v>23041</v>
      </c>
      <c r="B19877" t="s">
        <v>23058</v>
      </c>
      <c r="C19877">
        <v>0</v>
      </c>
      <c r="D19877" t="s">
        <v>106</v>
      </c>
      <c r="E19877">
        <v>16.491754122938499</v>
      </c>
    </row>
    <row r="19878" spans="1:5">
      <c r="A19878" t="s">
        <v>23041</v>
      </c>
      <c r="B19878" t="s">
        <v>23059</v>
      </c>
      <c r="C19878">
        <v>0</v>
      </c>
      <c r="D19878" t="s">
        <v>106</v>
      </c>
      <c r="E19878">
        <v>16.491754122938499</v>
      </c>
    </row>
    <row r="19879" spans="1:5">
      <c r="A19879" t="s">
        <v>23060</v>
      </c>
      <c r="B19879" t="s">
        <v>23061</v>
      </c>
      <c r="C19879">
        <f>0</f>
        <v>0</v>
      </c>
      <c r="D19879" t="s">
        <v>106</v>
      </c>
      <c r="E19879">
        <v>11.202398800599701</v>
      </c>
    </row>
    <row r="19880" spans="1:5">
      <c r="A19880" t="s">
        <v>23060</v>
      </c>
      <c r="B19880" t="s">
        <v>23062</v>
      </c>
      <c r="C19880">
        <v>0</v>
      </c>
      <c r="D19880" t="s">
        <v>106</v>
      </c>
      <c r="E19880">
        <v>11.202398800599701</v>
      </c>
    </row>
    <row r="19881" spans="1:5">
      <c r="A19881" t="s">
        <v>23060</v>
      </c>
      <c r="B19881" t="s">
        <v>23063</v>
      </c>
      <c r="C19881">
        <f>0</f>
        <v>0</v>
      </c>
      <c r="D19881" t="s">
        <v>106</v>
      </c>
      <c r="E19881">
        <v>11.202398800599701</v>
      </c>
    </row>
    <row r="19882" spans="1:5">
      <c r="A19882" t="s">
        <v>23060</v>
      </c>
      <c r="B19882" t="s">
        <v>23064</v>
      </c>
      <c r="C19882">
        <v>0</v>
      </c>
      <c r="D19882" t="s">
        <v>106</v>
      </c>
      <c r="E19882">
        <v>11.202398800599701</v>
      </c>
    </row>
    <row r="19883" spans="1:5">
      <c r="A19883" t="s">
        <v>23060</v>
      </c>
      <c r="B19883" t="s">
        <v>23065</v>
      </c>
      <c r="C19883">
        <v>0</v>
      </c>
      <c r="D19883" t="s">
        <v>106</v>
      </c>
      <c r="E19883">
        <v>11.202398800599701</v>
      </c>
    </row>
    <row r="19884" spans="1:5">
      <c r="A19884" t="s">
        <v>23066</v>
      </c>
      <c r="B19884" t="s">
        <v>23067</v>
      </c>
      <c r="C19884">
        <f>0</f>
        <v>0</v>
      </c>
      <c r="D19884">
        <v>0.96303956725100004</v>
      </c>
      <c r="E19884">
        <v>20.2938530734632</v>
      </c>
    </row>
    <row r="19885" spans="1:5">
      <c r="A19885" t="s">
        <v>23066</v>
      </c>
      <c r="B19885" t="s">
        <v>23068</v>
      </c>
      <c r="C19885">
        <v>0</v>
      </c>
      <c r="D19885">
        <v>0.96303956725100004</v>
      </c>
      <c r="E19885">
        <v>20.2938530734632</v>
      </c>
    </row>
    <row r="19886" spans="1:5">
      <c r="A19886" t="s">
        <v>23066</v>
      </c>
      <c r="B19886" t="s">
        <v>23069</v>
      </c>
      <c r="C19886">
        <v>0</v>
      </c>
      <c r="D19886">
        <v>0.96303956725100004</v>
      </c>
      <c r="E19886">
        <v>20.2938530734632</v>
      </c>
    </row>
    <row r="19887" spans="1:5">
      <c r="A19887" t="s">
        <v>23070</v>
      </c>
      <c r="B19887" t="s">
        <v>23071</v>
      </c>
      <c r="C19887">
        <v>0</v>
      </c>
      <c r="D19887">
        <v>0.93388822818799999</v>
      </c>
      <c r="E19887">
        <v>1.96701649175412</v>
      </c>
    </row>
    <row r="19888" spans="1:5">
      <c r="A19888" t="s">
        <v>23070</v>
      </c>
      <c r="B19888" t="s">
        <v>23072</v>
      </c>
      <c r="C19888">
        <f>0.297943497533</f>
        <v>0.29794349753299998</v>
      </c>
      <c r="D19888">
        <v>0.93388822818799999</v>
      </c>
      <c r="E19888">
        <v>1.96701649175412</v>
      </c>
    </row>
    <row r="19889" spans="1:5">
      <c r="A19889" t="s">
        <v>23070</v>
      </c>
      <c r="B19889" t="s">
        <v>23073</v>
      </c>
      <c r="C19889">
        <v>0</v>
      </c>
      <c r="D19889">
        <v>0.93388822818799999</v>
      </c>
      <c r="E19889">
        <v>1.96701649175412</v>
      </c>
    </row>
    <row r="19890" spans="1:5">
      <c r="A19890" t="s">
        <v>23070</v>
      </c>
      <c r="B19890" t="s">
        <v>23074</v>
      </c>
      <c r="C19890">
        <f>0</f>
        <v>0</v>
      </c>
      <c r="D19890">
        <v>0.93388822818799999</v>
      </c>
      <c r="E19890">
        <v>1.96701649175412</v>
      </c>
    </row>
    <row r="19891" spans="1:5">
      <c r="A19891" t="s">
        <v>23070</v>
      </c>
      <c r="B19891" t="s">
        <v>23075</v>
      </c>
      <c r="C19891">
        <f>0.149854694454</f>
        <v>0.14985469445399999</v>
      </c>
      <c r="D19891">
        <v>0.93388822818799999</v>
      </c>
      <c r="E19891">
        <v>1.96701649175412</v>
      </c>
    </row>
    <row r="19892" spans="1:5">
      <c r="A19892" t="s">
        <v>23070</v>
      </c>
      <c r="B19892" t="s">
        <v>23076</v>
      </c>
      <c r="C19892">
        <f>0</f>
        <v>0</v>
      </c>
      <c r="D19892">
        <v>0.93388822818799999</v>
      </c>
      <c r="E19892">
        <v>1.96701649175412</v>
      </c>
    </row>
    <row r="19893" spans="1:5">
      <c r="A19893" t="s">
        <v>23070</v>
      </c>
      <c r="B19893" t="s">
        <v>23077</v>
      </c>
      <c r="C19893">
        <f>0</f>
        <v>0</v>
      </c>
      <c r="D19893">
        <v>0.93388822818799999</v>
      </c>
      <c r="E19893">
        <v>1.96701649175412</v>
      </c>
    </row>
    <row r="19894" spans="1:5">
      <c r="A19894" t="s">
        <v>23078</v>
      </c>
      <c r="B19894" t="s">
        <v>23079</v>
      </c>
      <c r="C19894">
        <f>0</f>
        <v>0</v>
      </c>
      <c r="D19894">
        <v>0.93665710488300002</v>
      </c>
      <c r="E19894">
        <v>15.1244377811094</v>
      </c>
    </row>
    <row r="19895" spans="1:5">
      <c r="A19895" t="s">
        <v>23078</v>
      </c>
      <c r="B19895" t="s">
        <v>23080</v>
      </c>
      <c r="C19895">
        <v>0</v>
      </c>
      <c r="D19895">
        <v>0.93665710488300002</v>
      </c>
      <c r="E19895">
        <v>15.1244377811094</v>
      </c>
    </row>
    <row r="19896" spans="1:5">
      <c r="A19896" t="s">
        <v>23078</v>
      </c>
      <c r="B19896" t="s">
        <v>23081</v>
      </c>
      <c r="C19896">
        <f>0</f>
        <v>0</v>
      </c>
      <c r="D19896">
        <v>0.93665710488300002</v>
      </c>
      <c r="E19896">
        <v>15.1244377811094</v>
      </c>
    </row>
    <row r="19897" spans="1:5">
      <c r="A19897" t="s">
        <v>23078</v>
      </c>
      <c r="B19897" t="s">
        <v>23082</v>
      </c>
      <c r="C19897">
        <f>0</f>
        <v>0</v>
      </c>
      <c r="D19897">
        <v>0.93665710488300002</v>
      </c>
      <c r="E19897">
        <v>15.1244377811094</v>
      </c>
    </row>
    <row r="19898" spans="1:5">
      <c r="A19898" t="s">
        <v>23078</v>
      </c>
      <c r="B19898" t="s">
        <v>23083</v>
      </c>
      <c r="C19898">
        <f>0</f>
        <v>0</v>
      </c>
      <c r="D19898">
        <v>0.93665710488300002</v>
      </c>
      <c r="E19898">
        <v>15.1244377811094</v>
      </c>
    </row>
    <row r="19899" spans="1:5">
      <c r="A19899" t="s">
        <v>23078</v>
      </c>
      <c r="B19899" t="s">
        <v>23084</v>
      </c>
      <c r="C19899">
        <v>0</v>
      </c>
      <c r="D19899">
        <v>0.93665710488300002</v>
      </c>
      <c r="E19899">
        <v>15.1244377811094</v>
      </c>
    </row>
    <row r="19900" spans="1:5">
      <c r="A19900" t="s">
        <v>23078</v>
      </c>
      <c r="B19900" t="s">
        <v>23085</v>
      </c>
      <c r="C19900">
        <v>0.18038012009099999</v>
      </c>
      <c r="D19900">
        <v>0.93665710488300002</v>
      </c>
      <c r="E19900">
        <v>15.1244377811094</v>
      </c>
    </row>
    <row r="19901" spans="1:5">
      <c r="A19901" t="s">
        <v>23078</v>
      </c>
      <c r="B19901" t="s">
        <v>23086</v>
      </c>
      <c r="C19901">
        <f>0.182798884069</f>
        <v>0.18279888406899999</v>
      </c>
      <c r="D19901">
        <v>0.93665710488300002</v>
      </c>
      <c r="E19901">
        <v>15.1244377811094</v>
      </c>
    </row>
    <row r="19902" spans="1:5">
      <c r="A19902" t="s">
        <v>23087</v>
      </c>
      <c r="B19902" t="s">
        <v>23088</v>
      </c>
      <c r="C19902">
        <v>0</v>
      </c>
      <c r="D19902">
        <v>0.93108539099200005</v>
      </c>
      <c r="E19902">
        <v>3.8740629685157399</v>
      </c>
    </row>
    <row r="19903" spans="1:5">
      <c r="A19903" t="s">
        <v>23087</v>
      </c>
      <c r="B19903" t="s">
        <v>23089</v>
      </c>
      <c r="C19903">
        <v>7.9178484807500005E-2</v>
      </c>
      <c r="D19903">
        <v>0.93108539099200005</v>
      </c>
      <c r="E19903">
        <v>3.8740629685157399</v>
      </c>
    </row>
    <row r="19904" spans="1:5">
      <c r="A19904" t="s">
        <v>23087</v>
      </c>
      <c r="B19904" t="s">
        <v>23090</v>
      </c>
      <c r="C19904">
        <f>0</f>
        <v>0</v>
      </c>
      <c r="D19904">
        <v>0.93108539099200005</v>
      </c>
      <c r="E19904">
        <v>3.8740629685157399</v>
      </c>
    </row>
    <row r="19905" spans="1:5">
      <c r="A19905" t="s">
        <v>23087</v>
      </c>
      <c r="B19905" t="s">
        <v>23091</v>
      </c>
      <c r="C19905">
        <f>0.024198721765</f>
        <v>2.4198721765E-2</v>
      </c>
      <c r="D19905">
        <v>0.93108539099200005</v>
      </c>
      <c r="E19905">
        <v>3.8740629685157399</v>
      </c>
    </row>
    <row r="19906" spans="1:5">
      <c r="A19906" t="s">
        <v>23092</v>
      </c>
      <c r="B19906" t="s">
        <v>23093</v>
      </c>
      <c r="C19906">
        <v>0.25067062538899998</v>
      </c>
      <c r="D19906">
        <v>0.81018755079600002</v>
      </c>
      <c r="E19906">
        <v>0.69565217391304301</v>
      </c>
    </row>
    <row r="19907" spans="1:5">
      <c r="A19907" t="s">
        <v>23094</v>
      </c>
      <c r="B19907" t="s">
        <v>23095</v>
      </c>
      <c r="C19907">
        <v>0.229324631783</v>
      </c>
      <c r="D19907">
        <v>0.98582928746800003</v>
      </c>
      <c r="E19907">
        <v>19.850074962518701</v>
      </c>
    </row>
    <row r="19908" spans="1:5">
      <c r="A19908" t="s">
        <v>23094</v>
      </c>
      <c r="B19908" t="s">
        <v>23096</v>
      </c>
      <c r="C19908">
        <f>0.0164815499237</f>
        <v>1.64815499237E-2</v>
      </c>
      <c r="D19908">
        <v>0.98582928746800003</v>
      </c>
      <c r="E19908">
        <v>19.850074962518701</v>
      </c>
    </row>
    <row r="19909" spans="1:5">
      <c r="A19909" t="s">
        <v>23097</v>
      </c>
      <c r="B19909" t="s">
        <v>23098</v>
      </c>
      <c r="C19909">
        <v>1.0052745460300001</v>
      </c>
      <c r="D19909">
        <v>0.65690952475999997</v>
      </c>
      <c r="E19909">
        <v>4.68965517241379</v>
      </c>
    </row>
    <row r="19910" spans="1:5">
      <c r="A19910" t="s">
        <v>23097</v>
      </c>
      <c r="B19910" t="s">
        <v>23099</v>
      </c>
      <c r="C19910">
        <v>1.8900316825900002E-2</v>
      </c>
      <c r="D19910">
        <v>0.65690952475999997</v>
      </c>
      <c r="E19910">
        <v>4.68965517241379</v>
      </c>
    </row>
    <row r="19911" spans="1:5">
      <c r="A19911" t="s">
        <v>23100</v>
      </c>
      <c r="B19911" t="s">
        <v>23101</v>
      </c>
      <c r="C19911">
        <v>0</v>
      </c>
      <c r="D19911">
        <v>0.85983614222399996</v>
      </c>
      <c r="E19911">
        <v>5.69715142428785</v>
      </c>
    </row>
    <row r="19912" spans="1:5">
      <c r="A19912" t="s">
        <v>23100</v>
      </c>
      <c r="B19912" t="s">
        <v>23102</v>
      </c>
      <c r="C19912">
        <v>0</v>
      </c>
      <c r="D19912">
        <v>0.85983614222399996</v>
      </c>
      <c r="E19912">
        <v>5.69715142428785</v>
      </c>
    </row>
    <row r="19913" spans="1:5">
      <c r="A19913" t="s">
        <v>23100</v>
      </c>
      <c r="B19913" t="s">
        <v>23103</v>
      </c>
      <c r="C19913">
        <v>0</v>
      </c>
      <c r="D19913">
        <v>0.85983614222399996</v>
      </c>
      <c r="E19913">
        <v>5.69715142428785</v>
      </c>
    </row>
    <row r="19914" spans="1:5">
      <c r="A19914" t="s">
        <v>23100</v>
      </c>
      <c r="B19914" t="s">
        <v>23104</v>
      </c>
      <c r="C19914">
        <v>0</v>
      </c>
      <c r="D19914">
        <v>0.85983614222399996</v>
      </c>
      <c r="E19914">
        <v>5.69715142428785</v>
      </c>
    </row>
    <row r="19915" spans="1:5">
      <c r="A19915" t="s">
        <v>23100</v>
      </c>
      <c r="B19915" t="s">
        <v>23105</v>
      </c>
      <c r="C19915">
        <f>0</f>
        <v>0</v>
      </c>
      <c r="D19915">
        <v>0.85983614222399996</v>
      </c>
      <c r="E19915">
        <v>5.69715142428785</v>
      </c>
    </row>
    <row r="19916" spans="1:5">
      <c r="A19916" t="s">
        <v>23100</v>
      </c>
      <c r="B19916" t="s">
        <v>23106</v>
      </c>
      <c r="C19916">
        <v>0</v>
      </c>
      <c r="D19916">
        <v>0.85983614222399996</v>
      </c>
      <c r="E19916">
        <v>5.69715142428785</v>
      </c>
    </row>
    <row r="19917" spans="1:5">
      <c r="A19917" t="s">
        <v>23100</v>
      </c>
      <c r="B19917" t="s">
        <v>23107</v>
      </c>
      <c r="C19917">
        <v>0</v>
      </c>
      <c r="D19917">
        <v>0.85983614222399996</v>
      </c>
      <c r="E19917">
        <v>5.69715142428785</v>
      </c>
    </row>
    <row r="19918" spans="1:5">
      <c r="A19918" t="s">
        <v>23100</v>
      </c>
      <c r="B19918" t="s">
        <v>23108</v>
      </c>
      <c r="C19918">
        <f>0</f>
        <v>0</v>
      </c>
      <c r="D19918">
        <v>0.85983614222399996</v>
      </c>
      <c r="E19918">
        <v>5.69715142428785</v>
      </c>
    </row>
    <row r="19919" spans="1:5">
      <c r="A19919" t="s">
        <v>23100</v>
      </c>
      <c r="B19919" t="s">
        <v>23109</v>
      </c>
      <c r="C19919">
        <f>0</f>
        <v>0</v>
      </c>
      <c r="D19919">
        <v>0.85983614222399996</v>
      </c>
      <c r="E19919">
        <v>5.69715142428785</v>
      </c>
    </row>
    <row r="19920" spans="1:5">
      <c r="A19920" t="s">
        <v>23100</v>
      </c>
      <c r="B19920" t="s">
        <v>23110</v>
      </c>
      <c r="C19920">
        <f>0</f>
        <v>0</v>
      </c>
      <c r="D19920">
        <v>0.85983614222399996</v>
      </c>
      <c r="E19920">
        <v>5.69715142428785</v>
      </c>
    </row>
    <row r="19921" spans="1:5">
      <c r="A19921" t="s">
        <v>23100</v>
      </c>
      <c r="B19921" t="s">
        <v>23111</v>
      </c>
      <c r="C19921">
        <v>0</v>
      </c>
      <c r="D19921">
        <v>0.85983614222399996</v>
      </c>
      <c r="E19921">
        <v>5.69715142428785</v>
      </c>
    </row>
    <row r="19922" spans="1:5">
      <c r="A19922" t="s">
        <v>23100</v>
      </c>
      <c r="B19922" t="s">
        <v>23112</v>
      </c>
      <c r="C19922">
        <v>0</v>
      </c>
      <c r="D19922">
        <v>0.85983614222399996</v>
      </c>
      <c r="E19922">
        <v>5.69715142428785</v>
      </c>
    </row>
    <row r="19923" spans="1:5">
      <c r="A19923" t="s">
        <v>23100</v>
      </c>
      <c r="B19923" t="s">
        <v>23113</v>
      </c>
      <c r="C19923">
        <f>0</f>
        <v>0</v>
      </c>
      <c r="D19923">
        <v>0.85983614222399996</v>
      </c>
      <c r="E19923">
        <v>5.69715142428785</v>
      </c>
    </row>
    <row r="19924" spans="1:5">
      <c r="A19924" t="s">
        <v>23100</v>
      </c>
      <c r="B19924" t="s">
        <v>23114</v>
      </c>
      <c r="C19924">
        <v>0</v>
      </c>
      <c r="D19924">
        <v>0.85983614222399996</v>
      </c>
      <c r="E19924">
        <v>5.69715142428785</v>
      </c>
    </row>
    <row r="19925" spans="1:5">
      <c r="A19925" t="s">
        <v>23100</v>
      </c>
      <c r="B19925" t="s">
        <v>23115</v>
      </c>
      <c r="C19925">
        <f>0</f>
        <v>0</v>
      </c>
      <c r="D19925">
        <v>0.85983614222399996</v>
      </c>
      <c r="E19925">
        <v>5.69715142428785</v>
      </c>
    </row>
    <row r="19926" spans="1:5">
      <c r="A19926" t="s">
        <v>23100</v>
      </c>
      <c r="B19926" t="s">
        <v>23116</v>
      </c>
      <c r="C19926">
        <f>0</f>
        <v>0</v>
      </c>
      <c r="D19926">
        <v>0.85983614222399996</v>
      </c>
      <c r="E19926">
        <v>5.69715142428785</v>
      </c>
    </row>
    <row r="19927" spans="1:5">
      <c r="A19927" t="s">
        <v>23100</v>
      </c>
      <c r="B19927" t="s">
        <v>23117</v>
      </c>
      <c r="C19927">
        <v>6.56555182894E-2</v>
      </c>
      <c r="D19927">
        <v>0.85983614222399996</v>
      </c>
      <c r="E19927">
        <v>5.69715142428785</v>
      </c>
    </row>
    <row r="19928" spans="1:5">
      <c r="A19928" t="s">
        <v>23100</v>
      </c>
      <c r="B19928" t="s">
        <v>23118</v>
      </c>
      <c r="C19928">
        <v>0</v>
      </c>
      <c r="D19928">
        <v>0.85983614222399996</v>
      </c>
      <c r="E19928">
        <v>5.69715142428785</v>
      </c>
    </row>
    <row r="19929" spans="1:5">
      <c r="A19929" t="s">
        <v>23100</v>
      </c>
      <c r="B19929" t="s">
        <v>23119</v>
      </c>
      <c r="C19929">
        <f>0</f>
        <v>0</v>
      </c>
      <c r="D19929">
        <v>0.85983614222399996</v>
      </c>
      <c r="E19929">
        <v>5.69715142428785</v>
      </c>
    </row>
    <row r="19930" spans="1:5">
      <c r="A19930" t="s">
        <v>23100</v>
      </c>
      <c r="B19930" t="s">
        <v>23120</v>
      </c>
      <c r="C19930">
        <v>0</v>
      </c>
      <c r="D19930">
        <v>0.85983614222399996</v>
      </c>
      <c r="E19930">
        <v>5.69715142428785</v>
      </c>
    </row>
    <row r="19931" spans="1:5">
      <c r="A19931" t="s">
        <v>23100</v>
      </c>
      <c r="B19931" t="s">
        <v>23121</v>
      </c>
      <c r="C19931">
        <v>0</v>
      </c>
      <c r="D19931">
        <v>0.85983614222399996</v>
      </c>
      <c r="E19931">
        <v>5.69715142428785</v>
      </c>
    </row>
    <row r="19932" spans="1:5">
      <c r="A19932" t="s">
        <v>23100</v>
      </c>
      <c r="B19932" t="s">
        <v>23122</v>
      </c>
      <c r="C19932">
        <f>0</f>
        <v>0</v>
      </c>
      <c r="D19932">
        <v>0.85983614222399996</v>
      </c>
      <c r="E19932">
        <v>5.69715142428785</v>
      </c>
    </row>
    <row r="19933" spans="1:5">
      <c r="A19933" t="s">
        <v>23100</v>
      </c>
      <c r="B19933" t="s">
        <v>23123</v>
      </c>
      <c r="C19933">
        <v>0</v>
      </c>
      <c r="D19933">
        <v>0.85983614222399996</v>
      </c>
      <c r="E19933">
        <v>5.69715142428785</v>
      </c>
    </row>
    <row r="19934" spans="1:5">
      <c r="A19934" t="s">
        <v>23100</v>
      </c>
      <c r="B19934" t="s">
        <v>23124</v>
      </c>
      <c r="C19934">
        <v>0</v>
      </c>
      <c r="D19934">
        <v>0.85983614222399996</v>
      </c>
      <c r="E19934">
        <v>5.69715142428785</v>
      </c>
    </row>
    <row r="19935" spans="1:5">
      <c r="A19935" t="s">
        <v>23125</v>
      </c>
      <c r="B19935" t="s">
        <v>23126</v>
      </c>
      <c r="C19935">
        <v>0</v>
      </c>
      <c r="D19935">
        <v>0.97211921277299995</v>
      </c>
      <c r="E19935">
        <v>18.554722638680602</v>
      </c>
    </row>
    <row r="19936" spans="1:5">
      <c r="A19936" t="s">
        <v>23125</v>
      </c>
      <c r="B19936" t="s">
        <v>23127</v>
      </c>
      <c r="C19936">
        <v>0</v>
      </c>
      <c r="D19936">
        <v>0.97211921277299995</v>
      </c>
      <c r="E19936">
        <v>18.554722638680602</v>
      </c>
    </row>
    <row r="19937" spans="1:5">
      <c r="A19937" t="s">
        <v>23125</v>
      </c>
      <c r="B19937" t="s">
        <v>23128</v>
      </c>
      <c r="C19937">
        <f>0.126800866479</f>
        <v>0.12680086647899999</v>
      </c>
      <c r="D19937">
        <v>0.97211921277299995</v>
      </c>
      <c r="E19937">
        <v>18.554722638680602</v>
      </c>
    </row>
    <row r="19938" spans="1:5">
      <c r="A19938" t="s">
        <v>23125</v>
      </c>
      <c r="B19938" t="s">
        <v>23129</v>
      </c>
      <c r="C19938">
        <v>0</v>
      </c>
      <c r="D19938">
        <v>0.97211921277299995</v>
      </c>
      <c r="E19938">
        <v>18.554722638680602</v>
      </c>
    </row>
    <row r="19939" spans="1:5">
      <c r="A19939" t="s">
        <v>23125</v>
      </c>
      <c r="B19939" t="s">
        <v>23130</v>
      </c>
      <c r="C19939">
        <v>0</v>
      </c>
      <c r="D19939">
        <v>0.97211921277299995</v>
      </c>
      <c r="E19939">
        <v>18.554722638680602</v>
      </c>
    </row>
    <row r="19940" spans="1:5">
      <c r="A19940" t="s">
        <v>23125</v>
      </c>
      <c r="B19940" t="s">
        <v>23131</v>
      </c>
      <c r="C19940">
        <f>0</f>
        <v>0</v>
      </c>
      <c r="D19940">
        <v>0.97211921277299995</v>
      </c>
      <c r="E19940">
        <v>18.554722638680602</v>
      </c>
    </row>
    <row r="19941" spans="1:5">
      <c r="A19941" t="s">
        <v>23132</v>
      </c>
      <c r="B19941" t="s">
        <v>23133</v>
      </c>
      <c r="C19941">
        <v>0.16464771195</v>
      </c>
      <c r="D19941">
        <v>0.88805429413299997</v>
      </c>
      <c r="E19941">
        <v>15.316341829085401</v>
      </c>
    </row>
    <row r="19942" spans="1:5">
      <c r="A19942" t="s">
        <v>23132</v>
      </c>
      <c r="B19942" t="s">
        <v>23134</v>
      </c>
      <c r="C19942">
        <v>7.58939882732E-2</v>
      </c>
      <c r="D19942">
        <v>0.88805429413299997</v>
      </c>
      <c r="E19942">
        <v>15.316341829085401</v>
      </c>
    </row>
    <row r="19943" spans="1:5">
      <c r="A19943" t="s">
        <v>23135</v>
      </c>
      <c r="B19943" t="s">
        <v>23136</v>
      </c>
      <c r="C19943">
        <f>0.0676650715741</f>
        <v>6.7665071574099997E-2</v>
      </c>
      <c r="D19943">
        <v>0.86055549337600001</v>
      </c>
      <c r="E19943">
        <v>1.22338830584707</v>
      </c>
    </row>
    <row r="19944" spans="1:5">
      <c r="A19944" t="s">
        <v>23135</v>
      </c>
      <c r="B19944" t="s">
        <v>23137</v>
      </c>
      <c r="C19944">
        <v>0.60669785602500004</v>
      </c>
      <c r="D19944">
        <v>0.86055549337600001</v>
      </c>
      <c r="E19944">
        <v>1.22338830584707</v>
      </c>
    </row>
    <row r="19945" spans="1:5">
      <c r="A19945" t="s">
        <v>23138</v>
      </c>
      <c r="B19945" t="s">
        <v>23139</v>
      </c>
      <c r="C19945">
        <f>0</f>
        <v>0</v>
      </c>
      <c r="D19945">
        <v>0.63790760264099999</v>
      </c>
      <c r="E19945">
        <v>3.40629685157421</v>
      </c>
    </row>
    <row r="19946" spans="1:5">
      <c r="A19946" t="s">
        <v>23138</v>
      </c>
      <c r="B19946" t="s">
        <v>23140</v>
      </c>
      <c r="C19946">
        <f>0</f>
        <v>0</v>
      </c>
      <c r="D19946">
        <v>0.63790760264099999</v>
      </c>
      <c r="E19946">
        <v>3.40629685157421</v>
      </c>
    </row>
    <row r="19947" spans="1:5">
      <c r="A19947" t="s">
        <v>23138</v>
      </c>
      <c r="B19947" t="s">
        <v>23141</v>
      </c>
      <c r="C19947">
        <v>0</v>
      </c>
      <c r="D19947">
        <v>0.63790760264099999</v>
      </c>
      <c r="E19947">
        <v>3.40629685157421</v>
      </c>
    </row>
    <row r="19948" spans="1:5">
      <c r="A19948" t="s">
        <v>23142</v>
      </c>
      <c r="B19948" t="s">
        <v>23143</v>
      </c>
      <c r="C19948">
        <v>0</v>
      </c>
      <c r="D19948">
        <v>0.87237581041199996</v>
      </c>
      <c r="E19948">
        <v>19.6341829085457</v>
      </c>
    </row>
    <row r="19949" spans="1:5">
      <c r="A19949" t="s">
        <v>23142</v>
      </c>
      <c r="B19949" t="s">
        <v>23144</v>
      </c>
      <c r="C19949">
        <v>0</v>
      </c>
      <c r="D19949">
        <v>0.87237581041199996</v>
      </c>
      <c r="E19949">
        <v>19.6341829085457</v>
      </c>
    </row>
    <row r="19950" spans="1:5">
      <c r="A19950" t="s">
        <v>23142</v>
      </c>
      <c r="B19950" t="s">
        <v>23145</v>
      </c>
      <c r="C19950">
        <v>0</v>
      </c>
      <c r="D19950">
        <v>0.87237581041199996</v>
      </c>
      <c r="E19950">
        <v>19.6341829085457</v>
      </c>
    </row>
    <row r="19951" spans="1:5">
      <c r="A19951" t="s">
        <v>23142</v>
      </c>
      <c r="B19951" t="s">
        <v>23146</v>
      </c>
      <c r="C19951">
        <v>0</v>
      </c>
      <c r="D19951">
        <v>0.87237581041199996</v>
      </c>
      <c r="E19951">
        <v>19.6341829085457</v>
      </c>
    </row>
    <row r="19952" spans="1:5">
      <c r="A19952" t="s">
        <v>23142</v>
      </c>
      <c r="B19952" t="s">
        <v>23147</v>
      </c>
      <c r="C19952">
        <v>4.8852909421900001E-2</v>
      </c>
      <c r="D19952">
        <v>0.87237581041199996</v>
      </c>
      <c r="E19952">
        <v>19.6341829085457</v>
      </c>
    </row>
    <row r="19953" spans="1:5">
      <c r="A19953" t="s">
        <v>23142</v>
      </c>
      <c r="B19953" t="s">
        <v>23148</v>
      </c>
      <c r="C19953">
        <v>2.9515087170299999E-2</v>
      </c>
      <c r="D19953">
        <v>0.87237581041199996</v>
      </c>
      <c r="E19953">
        <v>19.6341829085457</v>
      </c>
    </row>
    <row r="19954" spans="1:5">
      <c r="A19954" t="s">
        <v>23149</v>
      </c>
      <c r="B19954" t="s">
        <v>23150</v>
      </c>
      <c r="C19954">
        <v>0</v>
      </c>
      <c r="D19954" t="s">
        <v>106</v>
      </c>
      <c r="E19954">
        <v>7.7361319340329802</v>
      </c>
    </row>
    <row r="19955" spans="1:5">
      <c r="A19955" t="s">
        <v>23149</v>
      </c>
      <c r="B19955" t="s">
        <v>23151</v>
      </c>
      <c r="C19955">
        <v>0</v>
      </c>
      <c r="D19955" t="s">
        <v>106</v>
      </c>
      <c r="E19955">
        <v>7.7361319340329802</v>
      </c>
    </row>
    <row r="19956" spans="1:5">
      <c r="A19956" t="s">
        <v>23149</v>
      </c>
      <c r="B19956" t="s">
        <v>23152</v>
      </c>
      <c r="C19956">
        <v>0</v>
      </c>
      <c r="D19956" t="s">
        <v>106</v>
      </c>
      <c r="E19956">
        <v>7.7361319340329802</v>
      </c>
    </row>
    <row r="19957" spans="1:5">
      <c r="A19957" t="s">
        <v>23149</v>
      </c>
      <c r="B19957" t="s">
        <v>23153</v>
      </c>
      <c r="C19957">
        <v>0</v>
      </c>
      <c r="D19957" t="s">
        <v>106</v>
      </c>
      <c r="E19957">
        <v>7.7361319340329802</v>
      </c>
    </row>
    <row r="19958" spans="1:5">
      <c r="A19958" t="s">
        <v>23149</v>
      </c>
      <c r="B19958" t="s">
        <v>23154</v>
      </c>
      <c r="C19958">
        <v>0</v>
      </c>
      <c r="D19958" t="s">
        <v>106</v>
      </c>
      <c r="E19958">
        <v>7.7361319340329802</v>
      </c>
    </row>
    <row r="19959" spans="1:5">
      <c r="A19959" t="s">
        <v>23155</v>
      </c>
      <c r="B19959" t="s">
        <v>23156</v>
      </c>
      <c r="C19959">
        <v>0</v>
      </c>
      <c r="D19959">
        <v>0.94148461596699995</v>
      </c>
      <c r="E19959">
        <v>24</v>
      </c>
    </row>
    <row r="19960" spans="1:5">
      <c r="A19960" t="s">
        <v>23157</v>
      </c>
      <c r="B19960" t="s">
        <v>23158</v>
      </c>
      <c r="C19960">
        <v>0.25913994477399999</v>
      </c>
      <c r="D19960" t="s">
        <v>106</v>
      </c>
      <c r="E19960">
        <v>5.1214392803598203</v>
      </c>
    </row>
    <row r="19961" spans="1:5">
      <c r="A19961" t="s">
        <v>23159</v>
      </c>
      <c r="B19961" t="s">
        <v>23160</v>
      </c>
      <c r="C19961">
        <f>0.0736091888373</f>
        <v>7.3609188837299999E-2</v>
      </c>
      <c r="D19961">
        <v>0.79932513042200004</v>
      </c>
      <c r="E19961">
        <v>24</v>
      </c>
    </row>
    <row r="19962" spans="1:5">
      <c r="A19962" t="s">
        <v>23161</v>
      </c>
      <c r="B19962" t="s">
        <v>23162</v>
      </c>
      <c r="C19962">
        <v>0</v>
      </c>
      <c r="D19962">
        <v>0.98587722188000004</v>
      </c>
      <c r="E19962">
        <v>7.7361319340329802</v>
      </c>
    </row>
    <row r="19963" spans="1:5">
      <c r="A19963" t="s">
        <v>23161</v>
      </c>
      <c r="B19963" t="s">
        <v>23163</v>
      </c>
      <c r="C19963">
        <v>0.72393167047899998</v>
      </c>
      <c r="D19963">
        <v>0.98587722188000004</v>
      </c>
      <c r="E19963">
        <v>7.7361319340329802</v>
      </c>
    </row>
    <row r="19964" spans="1:5">
      <c r="A19964" t="s">
        <v>23164</v>
      </c>
      <c r="B19964" t="s">
        <v>23165</v>
      </c>
      <c r="C19964">
        <v>0</v>
      </c>
      <c r="D19964" t="s">
        <v>106</v>
      </c>
      <c r="E19964">
        <v>2.0269865067466202</v>
      </c>
    </row>
    <row r="19965" spans="1:5">
      <c r="A19965" t="s">
        <v>23164</v>
      </c>
      <c r="B19965" t="s">
        <v>23166</v>
      </c>
      <c r="C19965">
        <v>0</v>
      </c>
      <c r="D19965" t="s">
        <v>106</v>
      </c>
      <c r="E19965">
        <v>2.0269865067466202</v>
      </c>
    </row>
    <row r="19966" spans="1:5">
      <c r="A19966" t="s">
        <v>23164</v>
      </c>
      <c r="B19966" t="s">
        <v>23167</v>
      </c>
      <c r="C19966">
        <f>0</f>
        <v>0</v>
      </c>
      <c r="D19966" t="s">
        <v>106</v>
      </c>
      <c r="E19966">
        <v>2.0269865067466202</v>
      </c>
    </row>
    <row r="19967" spans="1:5">
      <c r="A19967" t="s">
        <v>23164</v>
      </c>
      <c r="B19967" t="s">
        <v>23168</v>
      </c>
      <c r="C19967">
        <v>0</v>
      </c>
      <c r="D19967" t="s">
        <v>106</v>
      </c>
      <c r="E19967">
        <v>2.0269865067466202</v>
      </c>
    </row>
    <row r="19968" spans="1:5">
      <c r="A19968" t="s">
        <v>23164</v>
      </c>
      <c r="B19968" t="s">
        <v>23169</v>
      </c>
      <c r="C19968">
        <f>0</f>
        <v>0</v>
      </c>
      <c r="D19968" t="s">
        <v>106</v>
      </c>
      <c r="E19968">
        <v>2.0269865067466202</v>
      </c>
    </row>
    <row r="19969" spans="1:5">
      <c r="A19969" t="s">
        <v>23170</v>
      </c>
      <c r="B19969" t="s">
        <v>23171</v>
      </c>
      <c r="C19969">
        <v>0.125151017068</v>
      </c>
      <c r="D19969">
        <v>0.79041377952000003</v>
      </c>
      <c r="E19969">
        <v>7.3283358320839502</v>
      </c>
    </row>
    <row r="19970" spans="1:5">
      <c r="A19970" t="s">
        <v>23170</v>
      </c>
      <c r="B19970" t="s">
        <v>23172</v>
      </c>
      <c r="C19970">
        <f>0</f>
        <v>0</v>
      </c>
      <c r="D19970">
        <v>0.79041377952000003</v>
      </c>
      <c r="E19970">
        <v>7.3283358320839502</v>
      </c>
    </row>
    <row r="19971" spans="1:5">
      <c r="A19971" t="s">
        <v>23170</v>
      </c>
      <c r="B19971" t="s">
        <v>23173</v>
      </c>
      <c r="C19971">
        <v>0</v>
      </c>
      <c r="D19971">
        <v>0.79041377952000003</v>
      </c>
      <c r="E19971">
        <v>7.3283358320839502</v>
      </c>
    </row>
    <row r="19972" spans="1:5">
      <c r="A19972" t="s">
        <v>23174</v>
      </c>
      <c r="B19972" t="s">
        <v>23175</v>
      </c>
      <c r="C19972">
        <v>0</v>
      </c>
      <c r="D19972" t="s">
        <v>106</v>
      </c>
      <c r="E19972">
        <v>6.8005997001499203</v>
      </c>
    </row>
    <row r="19973" spans="1:5">
      <c r="A19973" t="s">
        <v>23174</v>
      </c>
      <c r="B19973" t="s">
        <v>23176</v>
      </c>
      <c r="C19973">
        <v>0</v>
      </c>
      <c r="D19973" t="s">
        <v>106</v>
      </c>
      <c r="E19973">
        <v>6.8005997001499203</v>
      </c>
    </row>
    <row r="19974" spans="1:5">
      <c r="A19974" t="s">
        <v>23174</v>
      </c>
      <c r="B19974" t="s">
        <v>23177</v>
      </c>
      <c r="C19974">
        <v>0</v>
      </c>
      <c r="D19974" t="s">
        <v>106</v>
      </c>
      <c r="E19974">
        <v>6.8005997001499203</v>
      </c>
    </row>
    <row r="19975" spans="1:5">
      <c r="A19975" t="s">
        <v>23174</v>
      </c>
      <c r="B19975" t="s">
        <v>23178</v>
      </c>
      <c r="C19975">
        <v>0</v>
      </c>
      <c r="D19975" t="s">
        <v>106</v>
      </c>
      <c r="E19975">
        <v>6.8005997001499203</v>
      </c>
    </row>
    <row r="19976" spans="1:5">
      <c r="A19976" t="s">
        <v>23174</v>
      </c>
      <c r="B19976" t="s">
        <v>23179</v>
      </c>
      <c r="C19976">
        <v>0</v>
      </c>
      <c r="D19976" t="s">
        <v>106</v>
      </c>
      <c r="E19976">
        <v>6.8005997001499203</v>
      </c>
    </row>
    <row r="19977" spans="1:5">
      <c r="A19977" t="s">
        <v>23174</v>
      </c>
      <c r="B19977" t="s">
        <v>23180</v>
      </c>
      <c r="C19977">
        <v>0</v>
      </c>
      <c r="D19977" t="s">
        <v>106</v>
      </c>
      <c r="E19977">
        <v>6.8005997001499203</v>
      </c>
    </row>
    <row r="19978" spans="1:5">
      <c r="A19978" t="s">
        <v>23174</v>
      </c>
      <c r="B19978" t="s">
        <v>23181</v>
      </c>
      <c r="C19978">
        <v>0</v>
      </c>
      <c r="D19978" t="s">
        <v>106</v>
      </c>
      <c r="E19978">
        <v>6.8005997001499203</v>
      </c>
    </row>
    <row r="19979" spans="1:5">
      <c r="A19979" t="s">
        <v>23174</v>
      </c>
      <c r="B19979" t="s">
        <v>23182</v>
      </c>
      <c r="C19979">
        <v>0</v>
      </c>
      <c r="D19979" t="s">
        <v>106</v>
      </c>
      <c r="E19979">
        <v>6.8005997001499203</v>
      </c>
    </row>
    <row r="19980" spans="1:5">
      <c r="A19980" t="s">
        <v>23174</v>
      </c>
      <c r="B19980" t="s">
        <v>23183</v>
      </c>
      <c r="C19980">
        <v>0</v>
      </c>
      <c r="D19980" t="s">
        <v>106</v>
      </c>
      <c r="E19980">
        <v>6.8005997001499203</v>
      </c>
    </row>
    <row r="19981" spans="1:5">
      <c r="A19981" t="s">
        <v>23174</v>
      </c>
      <c r="B19981" t="s">
        <v>23184</v>
      </c>
      <c r="C19981">
        <v>2.4219405433999999E-2</v>
      </c>
      <c r="D19981" t="s">
        <v>106</v>
      </c>
      <c r="E19981">
        <v>6.8005997001499203</v>
      </c>
    </row>
    <row r="19982" spans="1:5">
      <c r="A19982" t="s">
        <v>23174</v>
      </c>
      <c r="B19982" t="s">
        <v>23185</v>
      </c>
      <c r="C19982">
        <v>0</v>
      </c>
      <c r="D19982" t="s">
        <v>106</v>
      </c>
      <c r="E19982">
        <v>6.8005997001499203</v>
      </c>
    </row>
    <row r="19983" spans="1:5">
      <c r="A19983" t="s">
        <v>23174</v>
      </c>
      <c r="B19983" t="s">
        <v>23186</v>
      </c>
      <c r="C19983">
        <v>0</v>
      </c>
      <c r="D19983" t="s">
        <v>106</v>
      </c>
      <c r="E19983">
        <v>6.8005997001499203</v>
      </c>
    </row>
    <row r="19984" spans="1:5">
      <c r="A19984" t="s">
        <v>23174</v>
      </c>
      <c r="B19984" t="s">
        <v>23187</v>
      </c>
      <c r="C19984">
        <v>0</v>
      </c>
      <c r="D19984" t="s">
        <v>106</v>
      </c>
      <c r="E19984">
        <v>6.8005997001499203</v>
      </c>
    </row>
    <row r="19985" spans="1:5">
      <c r="A19985" t="s">
        <v>23174</v>
      </c>
      <c r="B19985" t="s">
        <v>23188</v>
      </c>
      <c r="C19985">
        <f>0</f>
        <v>0</v>
      </c>
      <c r="D19985" t="s">
        <v>106</v>
      </c>
      <c r="E19985">
        <v>6.8005997001499203</v>
      </c>
    </row>
    <row r="19986" spans="1:5">
      <c r="A19986" t="s">
        <v>23174</v>
      </c>
      <c r="B19986" t="s">
        <v>23189</v>
      </c>
      <c r="C19986">
        <v>0</v>
      </c>
      <c r="D19986" t="s">
        <v>106</v>
      </c>
      <c r="E19986">
        <v>6.8005997001499203</v>
      </c>
    </row>
    <row r="19987" spans="1:5">
      <c r="A19987" t="s">
        <v>23174</v>
      </c>
      <c r="B19987" t="s">
        <v>23190</v>
      </c>
      <c r="C19987">
        <v>0</v>
      </c>
      <c r="D19987" t="s">
        <v>106</v>
      </c>
      <c r="E19987">
        <v>6.8005997001499203</v>
      </c>
    </row>
    <row r="19988" spans="1:5">
      <c r="A19988" t="s">
        <v>23191</v>
      </c>
      <c r="B19988" t="s">
        <v>23192</v>
      </c>
      <c r="C19988" s="1">
        <v>2.7659821168899999E-5</v>
      </c>
      <c r="D19988">
        <v>0.42191639550100002</v>
      </c>
      <c r="E19988">
        <v>1.16341829085457</v>
      </c>
    </row>
    <row r="19989" spans="1:5">
      <c r="A19989" t="s">
        <v>23193</v>
      </c>
      <c r="B19989" t="s">
        <v>23194</v>
      </c>
      <c r="C19989">
        <v>0</v>
      </c>
      <c r="D19989">
        <v>0.96199196589400005</v>
      </c>
      <c r="E19989">
        <v>1.7631184407796101</v>
      </c>
    </row>
    <row r="19990" spans="1:5">
      <c r="A19990" t="s">
        <v>23193</v>
      </c>
      <c r="B19990" t="s">
        <v>23195</v>
      </c>
      <c r="C19990">
        <v>3.11691855041E-2</v>
      </c>
      <c r="D19990">
        <v>0.96199196589400005</v>
      </c>
      <c r="E19990">
        <v>1.7631184407796101</v>
      </c>
    </row>
    <row r="19991" spans="1:5">
      <c r="A19991" t="s">
        <v>23193</v>
      </c>
      <c r="B19991" t="s">
        <v>23196</v>
      </c>
      <c r="C19991">
        <v>0</v>
      </c>
      <c r="D19991">
        <v>0.96199196589400005</v>
      </c>
      <c r="E19991">
        <v>1.7631184407796101</v>
      </c>
    </row>
    <row r="19992" spans="1:5">
      <c r="A19992" t="s">
        <v>23197</v>
      </c>
      <c r="B19992" t="s">
        <v>23198</v>
      </c>
      <c r="C19992">
        <v>0.165423658275</v>
      </c>
      <c r="D19992">
        <v>0.94782966741499997</v>
      </c>
      <c r="E19992">
        <v>5.2413793103448203</v>
      </c>
    </row>
    <row r="19993" spans="1:5">
      <c r="A19993" t="s">
        <v>23199</v>
      </c>
      <c r="B19993" t="s">
        <v>23200</v>
      </c>
      <c r="C19993">
        <f>0</f>
        <v>0</v>
      </c>
      <c r="D19993" t="s">
        <v>106</v>
      </c>
      <c r="E19993">
        <v>1.96701649175412</v>
      </c>
    </row>
    <row r="19994" spans="1:5">
      <c r="A19994" t="s">
        <v>23201</v>
      </c>
      <c r="B19994" t="s">
        <v>23202</v>
      </c>
      <c r="C19994">
        <f>0.0557045819934</f>
        <v>5.5704581993399997E-2</v>
      </c>
      <c r="D19994" t="s">
        <v>106</v>
      </c>
      <c r="E19994">
        <v>24</v>
      </c>
    </row>
    <row r="19995" spans="1:5">
      <c r="A19995" t="s">
        <v>23201</v>
      </c>
      <c r="B19995" t="s">
        <v>23203</v>
      </c>
      <c r="C19995">
        <f>0</f>
        <v>0</v>
      </c>
      <c r="D19995" t="s">
        <v>106</v>
      </c>
      <c r="E19995">
        <v>24</v>
      </c>
    </row>
    <row r="19996" spans="1:5">
      <c r="A19996" t="s">
        <v>23201</v>
      </c>
      <c r="B19996" t="s">
        <v>23204</v>
      </c>
      <c r="C19996">
        <f>0</f>
        <v>0</v>
      </c>
      <c r="D19996" t="s">
        <v>106</v>
      </c>
      <c r="E19996">
        <v>24</v>
      </c>
    </row>
    <row r="19997" spans="1:5">
      <c r="A19997" t="s">
        <v>23201</v>
      </c>
      <c r="B19997" t="s">
        <v>23205</v>
      </c>
      <c r="C19997">
        <f>0.107811421502</f>
        <v>0.107811421502</v>
      </c>
      <c r="D19997" t="s">
        <v>106</v>
      </c>
      <c r="E19997">
        <v>24</v>
      </c>
    </row>
    <row r="19998" spans="1:5">
      <c r="A19998" t="s">
        <v>23206</v>
      </c>
      <c r="B19998" t="s">
        <v>23207</v>
      </c>
      <c r="C19998">
        <v>0.18625677185299999</v>
      </c>
      <c r="D19998">
        <v>0.98837790418299998</v>
      </c>
      <c r="E19998">
        <v>1.8230884557721101</v>
      </c>
    </row>
    <row r="19999" spans="1:5">
      <c r="A19999" t="s">
        <v>23206</v>
      </c>
      <c r="B19999" t="s">
        <v>23208</v>
      </c>
      <c r="C19999">
        <f>0</f>
        <v>0</v>
      </c>
      <c r="D19999">
        <v>0.98837790418299998</v>
      </c>
      <c r="E19999">
        <v>1.8230884557721101</v>
      </c>
    </row>
    <row r="20000" spans="1:5">
      <c r="A20000" t="s">
        <v>23206</v>
      </c>
      <c r="B20000" t="s">
        <v>23209</v>
      </c>
      <c r="C20000">
        <f>0.106880899605</f>
        <v>0.106880899605</v>
      </c>
      <c r="D20000">
        <v>0.98837790418299998</v>
      </c>
      <c r="E20000">
        <v>1.8230884557721101</v>
      </c>
    </row>
    <row r="20001" spans="1:5">
      <c r="A20001" t="s">
        <v>23206</v>
      </c>
      <c r="B20001" t="s">
        <v>23210</v>
      </c>
      <c r="C20001">
        <f>0</f>
        <v>0</v>
      </c>
      <c r="D20001">
        <v>0.98837790418299998</v>
      </c>
      <c r="E20001">
        <v>1.8230884557721101</v>
      </c>
    </row>
    <row r="20002" spans="1:5">
      <c r="A20002" t="s">
        <v>23206</v>
      </c>
      <c r="B20002" t="s">
        <v>23211</v>
      </c>
      <c r="C20002">
        <v>0</v>
      </c>
      <c r="D20002">
        <v>0.98837790418299998</v>
      </c>
      <c r="E20002">
        <v>1.8230884557721101</v>
      </c>
    </row>
    <row r="20003" spans="1:5">
      <c r="A20003" t="s">
        <v>23206</v>
      </c>
      <c r="B20003" t="s">
        <v>23212</v>
      </c>
      <c r="C20003">
        <f>0</f>
        <v>0</v>
      </c>
      <c r="D20003">
        <v>0.98837790418299998</v>
      </c>
      <c r="E20003">
        <v>1.8230884557721101</v>
      </c>
    </row>
    <row r="20004" spans="1:5">
      <c r="A20004" t="s">
        <v>23213</v>
      </c>
      <c r="B20004" t="s">
        <v>23214</v>
      </c>
      <c r="C20004">
        <f>0</f>
        <v>0</v>
      </c>
      <c r="D20004">
        <v>0.98575902101199997</v>
      </c>
      <c r="E20004">
        <v>21.409295352323799</v>
      </c>
    </row>
    <row r="20005" spans="1:5">
      <c r="A20005" t="s">
        <v>23213</v>
      </c>
      <c r="B20005" t="s">
        <v>23215</v>
      </c>
      <c r="C20005">
        <v>0</v>
      </c>
      <c r="D20005">
        <v>0.98575902101199997</v>
      </c>
      <c r="E20005">
        <v>21.409295352323799</v>
      </c>
    </row>
    <row r="20006" spans="1:5">
      <c r="A20006" t="s">
        <v>23213</v>
      </c>
      <c r="B20006" t="s">
        <v>23216</v>
      </c>
      <c r="C20006">
        <v>0</v>
      </c>
      <c r="D20006">
        <v>0.98575902101199997</v>
      </c>
      <c r="E20006">
        <v>21.409295352323799</v>
      </c>
    </row>
    <row r="20007" spans="1:5">
      <c r="A20007" t="s">
        <v>23213</v>
      </c>
      <c r="B20007" t="s">
        <v>23217</v>
      </c>
      <c r="C20007">
        <v>0</v>
      </c>
      <c r="D20007">
        <v>0.98575902101199997</v>
      </c>
      <c r="E20007">
        <v>21.409295352323799</v>
      </c>
    </row>
    <row r="20008" spans="1:5">
      <c r="A20008" t="s">
        <v>23213</v>
      </c>
      <c r="B20008" t="s">
        <v>23218</v>
      </c>
      <c r="C20008">
        <f>0</f>
        <v>0</v>
      </c>
      <c r="D20008">
        <v>0.98575902101199997</v>
      </c>
      <c r="E20008">
        <v>21.409295352323799</v>
      </c>
    </row>
    <row r="20009" spans="1:5">
      <c r="A20009" t="s">
        <v>23213</v>
      </c>
      <c r="B20009" t="s">
        <v>23219</v>
      </c>
      <c r="C20009">
        <v>0</v>
      </c>
      <c r="D20009">
        <v>0.98575902101199997</v>
      </c>
      <c r="E20009">
        <v>21.409295352323799</v>
      </c>
    </row>
    <row r="20010" spans="1:5">
      <c r="A20010" t="s">
        <v>23213</v>
      </c>
      <c r="B20010" t="s">
        <v>23220</v>
      </c>
      <c r="C20010">
        <f>0</f>
        <v>0</v>
      </c>
      <c r="D20010">
        <v>0.98575902101199997</v>
      </c>
      <c r="E20010">
        <v>21.409295352323799</v>
      </c>
    </row>
    <row r="20011" spans="1:5">
      <c r="A20011" t="s">
        <v>23213</v>
      </c>
      <c r="B20011" t="s">
        <v>23221</v>
      </c>
      <c r="C20011">
        <f>0.113061346681</f>
        <v>0.113061346681</v>
      </c>
      <c r="D20011">
        <v>0.98575902101199997</v>
      </c>
      <c r="E20011">
        <v>21.409295352323799</v>
      </c>
    </row>
    <row r="20012" spans="1:5">
      <c r="A20012" t="s">
        <v>23213</v>
      </c>
      <c r="B20012" t="s">
        <v>23222</v>
      </c>
      <c r="C20012">
        <v>0</v>
      </c>
      <c r="D20012">
        <v>0.98575902101199997</v>
      </c>
      <c r="E20012">
        <v>21.409295352323799</v>
      </c>
    </row>
    <row r="20013" spans="1:5">
      <c r="A20013" t="s">
        <v>23213</v>
      </c>
      <c r="B20013" t="s">
        <v>23223</v>
      </c>
      <c r="C20013">
        <v>0</v>
      </c>
      <c r="D20013">
        <v>0.98575902101199997</v>
      </c>
      <c r="E20013">
        <v>21.409295352323799</v>
      </c>
    </row>
    <row r="20014" spans="1:5">
      <c r="A20014" t="s">
        <v>23224</v>
      </c>
      <c r="B20014" t="s">
        <v>23225</v>
      </c>
      <c r="C20014">
        <v>0</v>
      </c>
      <c r="D20014">
        <v>0.81254981261299997</v>
      </c>
      <c r="E20014">
        <v>2.96251874062968</v>
      </c>
    </row>
    <row r="20015" spans="1:5">
      <c r="A20015" t="s">
        <v>23224</v>
      </c>
      <c r="B20015" t="s">
        <v>23226</v>
      </c>
      <c r="C20015">
        <v>0</v>
      </c>
      <c r="D20015">
        <v>0.81254981261299997</v>
      </c>
      <c r="E20015">
        <v>2.96251874062968</v>
      </c>
    </row>
    <row r="20016" spans="1:5">
      <c r="A20016" t="s">
        <v>23224</v>
      </c>
      <c r="B20016" t="s">
        <v>23227</v>
      </c>
      <c r="C20016">
        <f>0</f>
        <v>0</v>
      </c>
      <c r="D20016">
        <v>0.81254981261299997</v>
      </c>
      <c r="E20016">
        <v>2.96251874062968</v>
      </c>
    </row>
    <row r="20017" spans="1:5">
      <c r="A20017" t="s">
        <v>23224</v>
      </c>
      <c r="B20017" t="s">
        <v>23228</v>
      </c>
      <c r="C20017">
        <v>0.15017439873800001</v>
      </c>
      <c r="D20017">
        <v>0.81254981261299997</v>
      </c>
      <c r="E20017">
        <v>2.96251874062968</v>
      </c>
    </row>
    <row r="20018" spans="1:5">
      <c r="A20018" t="s">
        <v>23224</v>
      </c>
      <c r="B20018" t="s">
        <v>23229</v>
      </c>
      <c r="C20018">
        <v>3.5095187892299998E-2</v>
      </c>
      <c r="D20018">
        <v>0.81254981261299997</v>
      </c>
      <c r="E20018">
        <v>2.96251874062968</v>
      </c>
    </row>
    <row r="20019" spans="1:5">
      <c r="A20019" t="s">
        <v>23230</v>
      </c>
      <c r="B20019" t="s">
        <v>23231</v>
      </c>
      <c r="C20019">
        <f>0</f>
        <v>0</v>
      </c>
      <c r="D20019">
        <v>0.99260937438800001</v>
      </c>
      <c r="E20019">
        <v>10.878560719640101</v>
      </c>
    </row>
    <row r="20020" spans="1:5">
      <c r="A20020" t="s">
        <v>23230</v>
      </c>
      <c r="B20020" t="s">
        <v>23232</v>
      </c>
      <c r="C20020">
        <f>0</f>
        <v>0</v>
      </c>
      <c r="D20020">
        <v>0.99260937438800001</v>
      </c>
      <c r="E20020">
        <v>10.878560719640101</v>
      </c>
    </row>
    <row r="20021" spans="1:5">
      <c r="A20021" t="s">
        <v>23230</v>
      </c>
      <c r="B20021" t="s">
        <v>23233</v>
      </c>
      <c r="C20021">
        <f>0</f>
        <v>0</v>
      </c>
      <c r="D20021">
        <v>0.99260937438800001</v>
      </c>
      <c r="E20021">
        <v>10.878560719640101</v>
      </c>
    </row>
    <row r="20022" spans="1:5">
      <c r="A20022" t="s">
        <v>23230</v>
      </c>
      <c r="B20022" t="s">
        <v>23234</v>
      </c>
      <c r="C20022">
        <v>0.672161621431</v>
      </c>
      <c r="D20022">
        <v>0.99260937438800001</v>
      </c>
      <c r="E20022">
        <v>10.878560719640101</v>
      </c>
    </row>
    <row r="20023" spans="1:5">
      <c r="A20023" t="s">
        <v>23230</v>
      </c>
      <c r="B20023" t="s">
        <v>23235</v>
      </c>
      <c r="C20023">
        <f>0</f>
        <v>0</v>
      </c>
      <c r="D20023">
        <v>0.99260937438800001</v>
      </c>
      <c r="E20023">
        <v>10.878560719640101</v>
      </c>
    </row>
    <row r="20024" spans="1:5">
      <c r="A20024" t="s">
        <v>23230</v>
      </c>
      <c r="B20024" t="s">
        <v>23236</v>
      </c>
      <c r="C20024">
        <f>0.076999362977</f>
        <v>7.6999362976999997E-2</v>
      </c>
      <c r="D20024">
        <v>0.99260937438800001</v>
      </c>
      <c r="E20024">
        <v>10.878560719640101</v>
      </c>
    </row>
    <row r="20025" spans="1:5">
      <c r="A20025" t="s">
        <v>23237</v>
      </c>
      <c r="B20025" t="s">
        <v>23238</v>
      </c>
      <c r="C20025">
        <v>0</v>
      </c>
      <c r="D20025">
        <v>0.93683132394099999</v>
      </c>
      <c r="E20025">
        <v>13.445277361319301</v>
      </c>
    </row>
    <row r="20026" spans="1:5">
      <c r="A20026" t="s">
        <v>23237</v>
      </c>
      <c r="B20026" t="s">
        <v>23239</v>
      </c>
      <c r="C20026">
        <v>0</v>
      </c>
      <c r="D20026">
        <v>0.93683132394099999</v>
      </c>
      <c r="E20026">
        <v>13.445277361319301</v>
      </c>
    </row>
    <row r="20027" spans="1:5">
      <c r="A20027" t="s">
        <v>23237</v>
      </c>
      <c r="B20027" t="s">
        <v>23240</v>
      </c>
      <c r="C20027">
        <v>0</v>
      </c>
      <c r="D20027">
        <v>0.93683132394099999</v>
      </c>
      <c r="E20027">
        <v>13.445277361319301</v>
      </c>
    </row>
    <row r="20028" spans="1:5">
      <c r="A20028" t="s">
        <v>23237</v>
      </c>
      <c r="B20028" t="s">
        <v>23241</v>
      </c>
      <c r="C20028">
        <v>6.5807666996000005E-2</v>
      </c>
      <c r="D20028">
        <v>0.93683132394099999</v>
      </c>
      <c r="E20028">
        <v>13.445277361319301</v>
      </c>
    </row>
    <row r="20029" spans="1:5">
      <c r="A20029" t="s">
        <v>23237</v>
      </c>
      <c r="B20029" t="s">
        <v>23242</v>
      </c>
      <c r="C20029">
        <v>0</v>
      </c>
      <c r="D20029">
        <v>0.93683132394099999</v>
      </c>
      <c r="E20029">
        <v>13.445277361319301</v>
      </c>
    </row>
    <row r="20030" spans="1:5">
      <c r="A20030" t="s">
        <v>23237</v>
      </c>
      <c r="B20030" t="s">
        <v>23243</v>
      </c>
      <c r="C20030">
        <v>0</v>
      </c>
      <c r="D20030">
        <v>0.93683132394099999</v>
      </c>
      <c r="E20030">
        <v>13.445277361319301</v>
      </c>
    </row>
    <row r="20031" spans="1:5">
      <c r="A20031" t="s">
        <v>23237</v>
      </c>
      <c r="B20031" t="s">
        <v>23244</v>
      </c>
      <c r="C20031">
        <v>0</v>
      </c>
      <c r="D20031">
        <v>0.93683132394099999</v>
      </c>
      <c r="E20031">
        <v>13.445277361319301</v>
      </c>
    </row>
    <row r="20032" spans="1:5">
      <c r="A20032" t="s">
        <v>23237</v>
      </c>
      <c r="B20032" t="s">
        <v>23245</v>
      </c>
      <c r="C20032">
        <v>0</v>
      </c>
      <c r="D20032">
        <v>0.93683132394099999</v>
      </c>
      <c r="E20032">
        <v>13.445277361319301</v>
      </c>
    </row>
    <row r="20033" spans="1:5">
      <c r="A20033" t="s">
        <v>23237</v>
      </c>
      <c r="B20033" t="s">
        <v>23246</v>
      </c>
      <c r="C20033">
        <v>0</v>
      </c>
      <c r="D20033">
        <v>0.93683132394099999</v>
      </c>
      <c r="E20033">
        <v>13.445277361319301</v>
      </c>
    </row>
    <row r="20034" spans="1:5">
      <c r="A20034" t="s">
        <v>23237</v>
      </c>
      <c r="B20034" t="s">
        <v>23247</v>
      </c>
      <c r="C20034">
        <v>0</v>
      </c>
      <c r="D20034">
        <v>0.93683132394099999</v>
      </c>
      <c r="E20034">
        <v>13.445277361319301</v>
      </c>
    </row>
    <row r="20035" spans="1:5">
      <c r="A20035" t="s">
        <v>23237</v>
      </c>
      <c r="B20035" t="s">
        <v>23248</v>
      </c>
      <c r="C20035">
        <v>0</v>
      </c>
      <c r="D20035">
        <v>0.93683132394099999</v>
      </c>
      <c r="E20035">
        <v>13.445277361319301</v>
      </c>
    </row>
    <row r="20036" spans="1:5">
      <c r="A20036" t="s">
        <v>23237</v>
      </c>
      <c r="B20036" t="s">
        <v>23249</v>
      </c>
      <c r="C20036">
        <v>0</v>
      </c>
      <c r="D20036">
        <v>0.93683132394099999</v>
      </c>
      <c r="E20036">
        <v>13.445277361319301</v>
      </c>
    </row>
    <row r="20037" spans="1:5">
      <c r="A20037" t="s">
        <v>23237</v>
      </c>
      <c r="B20037" t="s">
        <v>23250</v>
      </c>
      <c r="C20037">
        <v>0</v>
      </c>
      <c r="D20037">
        <v>0.93683132394099999</v>
      </c>
      <c r="E20037">
        <v>13.445277361319301</v>
      </c>
    </row>
    <row r="20038" spans="1:5">
      <c r="A20038" t="s">
        <v>23251</v>
      </c>
      <c r="B20038" t="s">
        <v>23252</v>
      </c>
      <c r="C20038">
        <v>0</v>
      </c>
      <c r="D20038">
        <v>0.89614947487999996</v>
      </c>
      <c r="E20038">
        <v>3.4902548725637099</v>
      </c>
    </row>
    <row r="20039" spans="1:5">
      <c r="A20039" t="s">
        <v>23251</v>
      </c>
      <c r="B20039" t="s">
        <v>23253</v>
      </c>
      <c r="C20039">
        <v>0</v>
      </c>
      <c r="D20039">
        <v>0.89614947487999996</v>
      </c>
      <c r="E20039">
        <v>3.4902548725637099</v>
      </c>
    </row>
    <row r="20040" spans="1:5">
      <c r="A20040" t="s">
        <v>23251</v>
      </c>
      <c r="B20040" t="s">
        <v>23254</v>
      </c>
      <c r="C20040">
        <f>0.0385076115086</f>
        <v>3.85076115086E-2</v>
      </c>
      <c r="D20040">
        <v>0.89614947487999996</v>
      </c>
      <c r="E20040">
        <v>3.4902548725637099</v>
      </c>
    </row>
    <row r="20041" spans="1:5">
      <c r="A20041" t="s">
        <v>23251</v>
      </c>
      <c r="B20041" t="s">
        <v>23255</v>
      </c>
      <c r="C20041">
        <f>0.186907991075</f>
        <v>0.186907991075</v>
      </c>
      <c r="D20041">
        <v>0.89614947487999996</v>
      </c>
      <c r="E20041">
        <v>3.4902548725637099</v>
      </c>
    </row>
    <row r="20042" spans="1:5">
      <c r="A20042" t="s">
        <v>23256</v>
      </c>
      <c r="B20042" t="s">
        <v>23257</v>
      </c>
      <c r="C20042">
        <v>0</v>
      </c>
      <c r="D20042" t="s">
        <v>106</v>
      </c>
      <c r="E20042">
        <v>1.16341829085457</v>
      </c>
    </row>
    <row r="20043" spans="1:5">
      <c r="A20043" t="s">
        <v>23256</v>
      </c>
      <c r="B20043" t="s">
        <v>23258</v>
      </c>
      <c r="C20043">
        <f>0</f>
        <v>0</v>
      </c>
      <c r="D20043" t="s">
        <v>106</v>
      </c>
      <c r="E20043">
        <v>1.16341829085457</v>
      </c>
    </row>
    <row r="20044" spans="1:5">
      <c r="A20044" t="s">
        <v>23256</v>
      </c>
      <c r="B20044" t="s">
        <v>23259</v>
      </c>
      <c r="C20044">
        <f>0</f>
        <v>0</v>
      </c>
      <c r="D20044" t="s">
        <v>106</v>
      </c>
      <c r="E20044">
        <v>1.16341829085457</v>
      </c>
    </row>
    <row r="20045" spans="1:5">
      <c r="A20045" t="s">
        <v>23256</v>
      </c>
      <c r="B20045" t="s">
        <v>23260</v>
      </c>
      <c r="C20045">
        <v>0</v>
      </c>
      <c r="D20045" t="s">
        <v>106</v>
      </c>
      <c r="E20045">
        <v>1.16341829085457</v>
      </c>
    </row>
    <row r="20046" spans="1:5">
      <c r="A20046" t="s">
        <v>23256</v>
      </c>
      <c r="B20046" t="s">
        <v>23261</v>
      </c>
      <c r="C20046">
        <f>0</f>
        <v>0</v>
      </c>
      <c r="D20046" t="s">
        <v>106</v>
      </c>
      <c r="E20046">
        <v>1.16341829085457</v>
      </c>
    </row>
    <row r="20047" spans="1:5">
      <c r="A20047" t="s">
        <v>23256</v>
      </c>
      <c r="B20047" t="s">
        <v>23262</v>
      </c>
      <c r="C20047">
        <f>0</f>
        <v>0</v>
      </c>
      <c r="D20047" t="s">
        <v>106</v>
      </c>
      <c r="E20047">
        <v>1.16341829085457</v>
      </c>
    </row>
    <row r="20048" spans="1:5">
      <c r="A20048" t="s">
        <v>23256</v>
      </c>
      <c r="B20048" t="s">
        <v>23263</v>
      </c>
      <c r="C20048">
        <f>0</f>
        <v>0</v>
      </c>
      <c r="D20048" t="s">
        <v>106</v>
      </c>
      <c r="E20048">
        <v>1.16341829085457</v>
      </c>
    </row>
    <row r="20049" spans="1:5">
      <c r="A20049" t="s">
        <v>23256</v>
      </c>
      <c r="B20049" t="s">
        <v>23264</v>
      </c>
      <c r="C20049">
        <f>0</f>
        <v>0</v>
      </c>
      <c r="D20049" t="s">
        <v>106</v>
      </c>
      <c r="E20049">
        <v>1.16341829085457</v>
      </c>
    </row>
    <row r="20050" spans="1:5">
      <c r="A20050" t="s">
        <v>23265</v>
      </c>
      <c r="B20050" t="s">
        <v>23266</v>
      </c>
      <c r="C20050">
        <f>0.00157319446162</f>
        <v>1.57319446162E-3</v>
      </c>
      <c r="D20050">
        <v>3.2877943914099997E-2</v>
      </c>
      <c r="E20050">
        <v>22.104947526236799</v>
      </c>
    </row>
    <row r="20051" spans="1:5">
      <c r="A20051" t="s">
        <v>23267</v>
      </c>
      <c r="B20051" t="s">
        <v>23268</v>
      </c>
      <c r="C20051">
        <v>0</v>
      </c>
      <c r="D20051" t="s">
        <v>106</v>
      </c>
      <c r="E20051">
        <v>0.23988005997001499</v>
      </c>
    </row>
    <row r="20052" spans="1:5">
      <c r="A20052" t="s">
        <v>23267</v>
      </c>
      <c r="B20052" t="s">
        <v>23269</v>
      </c>
      <c r="C20052">
        <v>0</v>
      </c>
      <c r="D20052" t="s">
        <v>106</v>
      </c>
      <c r="E20052">
        <v>0.23988005997001499</v>
      </c>
    </row>
    <row r="20053" spans="1:5">
      <c r="A20053" t="s">
        <v>23267</v>
      </c>
      <c r="B20053" t="s">
        <v>23270</v>
      </c>
      <c r="C20053">
        <f>0</f>
        <v>0</v>
      </c>
      <c r="D20053" t="s">
        <v>106</v>
      </c>
      <c r="E20053">
        <v>0.23988005997001499</v>
      </c>
    </row>
    <row r="20054" spans="1:5">
      <c r="A20054" t="s">
        <v>23267</v>
      </c>
      <c r="B20054" t="s">
        <v>23271</v>
      </c>
      <c r="C20054">
        <v>0</v>
      </c>
      <c r="D20054" t="s">
        <v>106</v>
      </c>
      <c r="E20054">
        <v>0.23988005997001499</v>
      </c>
    </row>
    <row r="20055" spans="1:5">
      <c r="A20055" t="s">
        <v>23267</v>
      </c>
      <c r="B20055" t="s">
        <v>23272</v>
      </c>
      <c r="C20055">
        <v>0</v>
      </c>
      <c r="D20055" t="s">
        <v>106</v>
      </c>
      <c r="E20055">
        <v>0.23988005997001499</v>
      </c>
    </row>
    <row r="20056" spans="1:5">
      <c r="A20056" t="s">
        <v>23273</v>
      </c>
      <c r="B20056" t="s">
        <v>23274</v>
      </c>
      <c r="C20056">
        <v>0</v>
      </c>
      <c r="D20056" t="s">
        <v>106</v>
      </c>
      <c r="E20056">
        <v>10.878560719640101</v>
      </c>
    </row>
    <row r="20057" spans="1:5">
      <c r="A20057" t="s">
        <v>23273</v>
      </c>
      <c r="B20057" t="s">
        <v>23275</v>
      </c>
      <c r="C20057">
        <v>0</v>
      </c>
      <c r="D20057" t="s">
        <v>106</v>
      </c>
      <c r="E20057">
        <v>10.878560719640101</v>
      </c>
    </row>
    <row r="20058" spans="1:5">
      <c r="A20058" t="s">
        <v>23273</v>
      </c>
      <c r="B20058" t="s">
        <v>23276</v>
      </c>
      <c r="C20058">
        <v>0</v>
      </c>
      <c r="D20058" t="s">
        <v>106</v>
      </c>
      <c r="E20058">
        <v>10.878560719640101</v>
      </c>
    </row>
    <row r="20059" spans="1:5">
      <c r="A20059" t="s">
        <v>23273</v>
      </c>
      <c r="B20059" t="s">
        <v>23277</v>
      </c>
      <c r="C20059">
        <v>0</v>
      </c>
      <c r="D20059" t="s">
        <v>106</v>
      </c>
      <c r="E20059">
        <v>10.878560719640101</v>
      </c>
    </row>
    <row r="20060" spans="1:5">
      <c r="A20060" t="s">
        <v>23273</v>
      </c>
      <c r="B20060" t="s">
        <v>23278</v>
      </c>
      <c r="C20060">
        <v>0</v>
      </c>
      <c r="D20060" t="s">
        <v>106</v>
      </c>
      <c r="E20060">
        <v>10.878560719640101</v>
      </c>
    </row>
    <row r="20061" spans="1:5">
      <c r="A20061" t="s">
        <v>23279</v>
      </c>
      <c r="B20061" t="s">
        <v>23280</v>
      </c>
      <c r="C20061">
        <f>0</f>
        <v>0</v>
      </c>
      <c r="D20061" t="s">
        <v>106</v>
      </c>
      <c r="E20061">
        <v>2.7106446776611599</v>
      </c>
    </row>
    <row r="20062" spans="1:5">
      <c r="A20062" t="s">
        <v>23279</v>
      </c>
      <c r="B20062" t="s">
        <v>23281</v>
      </c>
      <c r="C20062">
        <f>0.101173653953</f>
        <v>0.101173653953</v>
      </c>
      <c r="D20062" t="s">
        <v>106</v>
      </c>
      <c r="E20062">
        <v>2.7106446776611599</v>
      </c>
    </row>
    <row r="20063" spans="1:5">
      <c r="A20063" t="s">
        <v>23279</v>
      </c>
      <c r="B20063" t="s">
        <v>23282</v>
      </c>
      <c r="C20063">
        <f>0.150184137396</f>
        <v>0.15018413739600001</v>
      </c>
      <c r="D20063" t="s">
        <v>106</v>
      </c>
      <c r="E20063">
        <v>2.7106446776611599</v>
      </c>
    </row>
    <row r="20064" spans="1:5">
      <c r="A20064" t="s">
        <v>23283</v>
      </c>
      <c r="B20064" t="s">
        <v>23284</v>
      </c>
      <c r="C20064">
        <f>0.177384271888</f>
        <v>0.17738427188799999</v>
      </c>
      <c r="D20064">
        <v>0.89482205700799999</v>
      </c>
      <c r="E20064">
        <v>13.997001499250301</v>
      </c>
    </row>
    <row r="20065" spans="1:5">
      <c r="A20065" t="s">
        <v>23283</v>
      </c>
      <c r="B20065" t="s">
        <v>23285</v>
      </c>
      <c r="C20065">
        <f>0</f>
        <v>0</v>
      </c>
      <c r="D20065">
        <v>0.89482205700799999</v>
      </c>
      <c r="E20065">
        <v>13.997001499250301</v>
      </c>
    </row>
    <row r="20066" spans="1:5">
      <c r="A20066" t="s">
        <v>23283</v>
      </c>
      <c r="B20066" t="s">
        <v>23286</v>
      </c>
      <c r="C20066">
        <f>0.0129930370896</f>
        <v>1.29930370896E-2</v>
      </c>
      <c r="D20066">
        <v>0.89482205700799999</v>
      </c>
      <c r="E20066">
        <v>13.997001499250301</v>
      </c>
    </row>
    <row r="20067" spans="1:5">
      <c r="A20067" t="s">
        <v>23287</v>
      </c>
      <c r="B20067" t="s">
        <v>23288</v>
      </c>
      <c r="C20067">
        <v>5.68743829233E-2</v>
      </c>
      <c r="D20067">
        <v>0.97740859392900004</v>
      </c>
      <c r="E20067">
        <v>8.8635682158920499</v>
      </c>
    </row>
    <row r="20068" spans="1:5">
      <c r="A20068" t="s">
        <v>23287</v>
      </c>
      <c r="B20068" t="s">
        <v>23289</v>
      </c>
      <c r="C20068">
        <v>0.69689342324000003</v>
      </c>
      <c r="D20068">
        <v>0.97740859392900004</v>
      </c>
      <c r="E20068">
        <v>8.8635682158920499</v>
      </c>
    </row>
    <row r="20069" spans="1:5">
      <c r="A20069" t="s">
        <v>23287</v>
      </c>
      <c r="B20069" t="s">
        <v>23290</v>
      </c>
      <c r="C20069">
        <v>0</v>
      </c>
      <c r="D20069">
        <v>0.97740859392900004</v>
      </c>
      <c r="E20069">
        <v>8.8635682158920499</v>
      </c>
    </row>
    <row r="20070" spans="1:5">
      <c r="A20070" t="s">
        <v>23287</v>
      </c>
      <c r="B20070" t="s">
        <v>23291</v>
      </c>
      <c r="C20070">
        <v>0</v>
      </c>
      <c r="D20070">
        <v>0.97740859392900004</v>
      </c>
      <c r="E20070">
        <v>8.8635682158920499</v>
      </c>
    </row>
    <row r="20071" spans="1:5">
      <c r="A20071" t="s">
        <v>23287</v>
      </c>
      <c r="B20071" t="s">
        <v>23292</v>
      </c>
      <c r="C20071">
        <f>0</f>
        <v>0</v>
      </c>
      <c r="D20071">
        <v>0.97740859392900004</v>
      </c>
      <c r="E20071">
        <v>8.8635682158920499</v>
      </c>
    </row>
    <row r="20072" spans="1:5">
      <c r="A20072" t="s">
        <v>23293</v>
      </c>
      <c r="B20072" t="s">
        <v>23294</v>
      </c>
      <c r="C20072">
        <f>0.468509971621</f>
        <v>0.468509971621</v>
      </c>
      <c r="D20072">
        <v>0.82419118681500003</v>
      </c>
      <c r="E20072">
        <v>1.57121439280359</v>
      </c>
    </row>
    <row r="20073" spans="1:5">
      <c r="A20073" t="s">
        <v>23293</v>
      </c>
      <c r="B20073" t="s">
        <v>23295</v>
      </c>
      <c r="C20073">
        <f>0</f>
        <v>0</v>
      </c>
      <c r="D20073">
        <v>0.82419118681500003</v>
      </c>
      <c r="E20073">
        <v>1.57121439280359</v>
      </c>
    </row>
    <row r="20074" spans="1:5">
      <c r="A20074" t="s">
        <v>23293</v>
      </c>
      <c r="B20074" t="s">
        <v>23296</v>
      </c>
      <c r="C20074">
        <v>0</v>
      </c>
      <c r="D20074">
        <v>0.82419118681500003</v>
      </c>
      <c r="E20074">
        <v>1.57121439280359</v>
      </c>
    </row>
    <row r="20075" spans="1:5">
      <c r="A20075" t="s">
        <v>23293</v>
      </c>
      <c r="B20075" t="s">
        <v>23297</v>
      </c>
      <c r="C20075">
        <f>0</f>
        <v>0</v>
      </c>
      <c r="D20075">
        <v>0.82419118681500003</v>
      </c>
      <c r="E20075">
        <v>1.57121439280359</v>
      </c>
    </row>
    <row r="20076" spans="1:5">
      <c r="A20076" t="s">
        <v>23298</v>
      </c>
      <c r="B20076" t="s">
        <v>23299</v>
      </c>
      <c r="C20076">
        <v>8.4181994689499995E-2</v>
      </c>
      <c r="D20076">
        <v>0.99764949072300002</v>
      </c>
      <c r="E20076">
        <v>24</v>
      </c>
    </row>
    <row r="20077" spans="1:5">
      <c r="A20077" t="s">
        <v>23298</v>
      </c>
      <c r="B20077" t="s">
        <v>23300</v>
      </c>
      <c r="C20077">
        <f>0.247494535277</f>
        <v>0.24749453527699999</v>
      </c>
      <c r="D20077">
        <v>0.99764949072300002</v>
      </c>
      <c r="E20077">
        <v>24</v>
      </c>
    </row>
    <row r="20078" spans="1:5">
      <c r="A20078" t="s">
        <v>23301</v>
      </c>
      <c r="B20078" t="s">
        <v>23302</v>
      </c>
      <c r="C20078">
        <v>0</v>
      </c>
      <c r="D20078">
        <v>0.72596716085099999</v>
      </c>
      <c r="E20078">
        <v>21.8770614692653</v>
      </c>
    </row>
    <row r="20079" spans="1:5">
      <c r="A20079" t="s">
        <v>23301</v>
      </c>
      <c r="B20079" t="s">
        <v>23303</v>
      </c>
      <c r="C20079">
        <v>0</v>
      </c>
      <c r="D20079">
        <v>0.72596716085099999</v>
      </c>
      <c r="E20079">
        <v>21.8770614692653</v>
      </c>
    </row>
    <row r="20080" spans="1:5">
      <c r="A20080" t="s">
        <v>23301</v>
      </c>
      <c r="B20080" t="s">
        <v>23304</v>
      </c>
      <c r="C20080">
        <f>0</f>
        <v>0</v>
      </c>
      <c r="D20080">
        <v>0.72596716085099999</v>
      </c>
      <c r="E20080">
        <v>21.8770614692653</v>
      </c>
    </row>
    <row r="20081" spans="1:5">
      <c r="A20081" t="s">
        <v>23301</v>
      </c>
      <c r="B20081" t="s">
        <v>23305</v>
      </c>
      <c r="C20081">
        <v>0</v>
      </c>
      <c r="D20081">
        <v>0.72596716085099999</v>
      </c>
      <c r="E20081">
        <v>21.8770614692653</v>
      </c>
    </row>
    <row r="20082" spans="1:5">
      <c r="A20082" t="s">
        <v>23301</v>
      </c>
      <c r="B20082" t="s">
        <v>23306</v>
      </c>
      <c r="C20082">
        <v>0</v>
      </c>
      <c r="D20082">
        <v>0.72596716085099999</v>
      </c>
      <c r="E20082">
        <v>21.8770614692653</v>
      </c>
    </row>
    <row r="20083" spans="1:5">
      <c r="A20083" t="s">
        <v>23301</v>
      </c>
      <c r="B20083" t="s">
        <v>23307</v>
      </c>
      <c r="C20083">
        <v>0</v>
      </c>
      <c r="D20083">
        <v>0.72596716085099999</v>
      </c>
      <c r="E20083">
        <v>21.8770614692653</v>
      </c>
    </row>
    <row r="20084" spans="1:5">
      <c r="A20084" t="s">
        <v>23301</v>
      </c>
      <c r="B20084" t="s">
        <v>23308</v>
      </c>
      <c r="C20084">
        <v>0</v>
      </c>
      <c r="D20084">
        <v>0.72596716085099999</v>
      </c>
      <c r="E20084">
        <v>21.8770614692653</v>
      </c>
    </row>
    <row r="20085" spans="1:5">
      <c r="A20085" t="s">
        <v>23301</v>
      </c>
      <c r="B20085" t="s">
        <v>23309</v>
      </c>
      <c r="C20085">
        <f>0.00300375761782</f>
        <v>3.0037576178200001E-3</v>
      </c>
      <c r="D20085">
        <v>0.72596716085099999</v>
      </c>
      <c r="E20085">
        <v>21.8770614692653</v>
      </c>
    </row>
    <row r="20086" spans="1:5">
      <c r="A20086" t="s">
        <v>23301</v>
      </c>
      <c r="B20086" t="s">
        <v>23310</v>
      </c>
      <c r="C20086">
        <v>0</v>
      </c>
      <c r="D20086">
        <v>0.72596716085099999</v>
      </c>
      <c r="E20086">
        <v>21.8770614692653</v>
      </c>
    </row>
    <row r="20087" spans="1:5">
      <c r="A20087" t="s">
        <v>23301</v>
      </c>
      <c r="B20087" t="s">
        <v>23311</v>
      </c>
      <c r="C20087">
        <f>0</f>
        <v>0</v>
      </c>
      <c r="D20087">
        <v>0.72596716085099999</v>
      </c>
      <c r="E20087">
        <v>21.8770614692653</v>
      </c>
    </row>
    <row r="20088" spans="1:5">
      <c r="A20088" t="s">
        <v>23301</v>
      </c>
      <c r="B20088" t="s">
        <v>23312</v>
      </c>
      <c r="C20088">
        <v>4.2789297580500003E-3</v>
      </c>
      <c r="D20088">
        <v>0.72596716085099999</v>
      </c>
      <c r="E20088">
        <v>21.8770614692653</v>
      </c>
    </row>
    <row r="20089" spans="1:5">
      <c r="A20089" t="s">
        <v>23301</v>
      </c>
      <c r="B20089" t="s">
        <v>23313</v>
      </c>
      <c r="C20089">
        <f>0</f>
        <v>0</v>
      </c>
      <c r="D20089">
        <v>0.72596716085099999</v>
      </c>
      <c r="E20089">
        <v>21.8770614692653</v>
      </c>
    </row>
    <row r="20090" spans="1:5">
      <c r="A20090" t="s">
        <v>23301</v>
      </c>
      <c r="B20090" t="s">
        <v>23314</v>
      </c>
      <c r="C20090">
        <v>0</v>
      </c>
      <c r="D20090">
        <v>0.72596716085099999</v>
      </c>
      <c r="E20090">
        <v>21.8770614692653</v>
      </c>
    </row>
    <row r="20091" spans="1:5">
      <c r="A20091" t="s">
        <v>23315</v>
      </c>
      <c r="B20091" t="s">
        <v>23316</v>
      </c>
      <c r="C20091">
        <v>0</v>
      </c>
      <c r="D20091" t="s">
        <v>106</v>
      </c>
      <c r="E20091">
        <v>15.904047976011899</v>
      </c>
    </row>
    <row r="20092" spans="1:5">
      <c r="A20092" t="s">
        <v>23315</v>
      </c>
      <c r="B20092" t="s">
        <v>23317</v>
      </c>
      <c r="C20092">
        <v>0</v>
      </c>
      <c r="D20092" t="s">
        <v>106</v>
      </c>
      <c r="E20092">
        <v>15.904047976011899</v>
      </c>
    </row>
    <row r="20093" spans="1:5">
      <c r="A20093" t="s">
        <v>23315</v>
      </c>
      <c r="B20093" t="s">
        <v>23318</v>
      </c>
      <c r="C20093">
        <f>0</f>
        <v>0</v>
      </c>
      <c r="D20093" t="s">
        <v>106</v>
      </c>
      <c r="E20093">
        <v>15.904047976011899</v>
      </c>
    </row>
    <row r="20094" spans="1:5">
      <c r="A20094" t="s">
        <v>23315</v>
      </c>
      <c r="B20094" t="s">
        <v>23319</v>
      </c>
      <c r="C20094">
        <f>0</f>
        <v>0</v>
      </c>
      <c r="D20094" t="s">
        <v>106</v>
      </c>
      <c r="E20094">
        <v>15.904047976011899</v>
      </c>
    </row>
    <row r="20095" spans="1:5">
      <c r="A20095" t="s">
        <v>23315</v>
      </c>
      <c r="B20095" t="s">
        <v>23320</v>
      </c>
      <c r="C20095">
        <f>0</f>
        <v>0</v>
      </c>
      <c r="D20095" t="s">
        <v>106</v>
      </c>
      <c r="E20095">
        <v>15.904047976011899</v>
      </c>
    </row>
    <row r="20096" spans="1:5">
      <c r="A20096" t="s">
        <v>23321</v>
      </c>
      <c r="B20096" t="s">
        <v>23322</v>
      </c>
      <c r="C20096">
        <v>0.13683066456500001</v>
      </c>
      <c r="D20096">
        <v>0.71330517036600005</v>
      </c>
      <c r="E20096">
        <v>13.625187406296799</v>
      </c>
    </row>
    <row r="20097" spans="1:5">
      <c r="A20097" t="s">
        <v>23323</v>
      </c>
      <c r="B20097" t="s">
        <v>23324</v>
      </c>
      <c r="C20097">
        <v>3.0106469072E-2</v>
      </c>
      <c r="D20097">
        <v>0.97585565811099995</v>
      </c>
      <c r="E20097">
        <v>1.16341829085457</v>
      </c>
    </row>
    <row r="20098" spans="1:5">
      <c r="A20098" t="s">
        <v>23323</v>
      </c>
      <c r="B20098" t="s">
        <v>23325</v>
      </c>
      <c r="C20098">
        <f>0</f>
        <v>0</v>
      </c>
      <c r="D20098">
        <v>0.97585565811099995</v>
      </c>
      <c r="E20098">
        <v>1.16341829085457</v>
      </c>
    </row>
    <row r="20099" spans="1:5">
      <c r="A20099" t="s">
        <v>23323</v>
      </c>
      <c r="B20099" t="s">
        <v>23326</v>
      </c>
      <c r="C20099">
        <f>0</f>
        <v>0</v>
      </c>
      <c r="D20099">
        <v>0.97585565811099995</v>
      </c>
      <c r="E20099">
        <v>1.16341829085457</v>
      </c>
    </row>
    <row r="20100" spans="1:5">
      <c r="A20100" t="s">
        <v>23323</v>
      </c>
      <c r="B20100" t="s">
        <v>23327</v>
      </c>
      <c r="C20100">
        <v>0.26503738234300001</v>
      </c>
      <c r="D20100">
        <v>0.97585565811099995</v>
      </c>
      <c r="E20100">
        <v>1.16341829085457</v>
      </c>
    </row>
    <row r="20101" spans="1:5">
      <c r="A20101" t="s">
        <v>23328</v>
      </c>
      <c r="B20101" t="s">
        <v>23329</v>
      </c>
      <c r="C20101">
        <f>0</f>
        <v>0</v>
      </c>
      <c r="D20101" t="s">
        <v>106</v>
      </c>
      <c r="E20101">
        <v>17.715142428785601</v>
      </c>
    </row>
    <row r="20102" spans="1:5">
      <c r="A20102" t="s">
        <v>23328</v>
      </c>
      <c r="B20102" t="s">
        <v>23330</v>
      </c>
      <c r="C20102">
        <f>0</f>
        <v>0</v>
      </c>
      <c r="D20102" t="s">
        <v>106</v>
      </c>
      <c r="E20102">
        <v>17.715142428785601</v>
      </c>
    </row>
    <row r="20103" spans="1:5">
      <c r="A20103" t="s">
        <v>23328</v>
      </c>
      <c r="B20103" t="s">
        <v>23331</v>
      </c>
      <c r="C20103">
        <f>0</f>
        <v>0</v>
      </c>
      <c r="D20103" t="s">
        <v>106</v>
      </c>
      <c r="E20103">
        <v>17.715142428785601</v>
      </c>
    </row>
    <row r="20104" spans="1:5">
      <c r="A20104" t="s">
        <v>23328</v>
      </c>
      <c r="B20104" t="s">
        <v>23332</v>
      </c>
      <c r="C20104">
        <f>0</f>
        <v>0</v>
      </c>
      <c r="D20104" t="s">
        <v>106</v>
      </c>
      <c r="E20104">
        <v>17.715142428785601</v>
      </c>
    </row>
    <row r="20105" spans="1:5">
      <c r="A20105" t="s">
        <v>23328</v>
      </c>
      <c r="B20105" t="s">
        <v>23333</v>
      </c>
      <c r="C20105">
        <v>0</v>
      </c>
      <c r="D20105" t="s">
        <v>106</v>
      </c>
      <c r="E20105">
        <v>17.715142428785601</v>
      </c>
    </row>
    <row r="20106" spans="1:5">
      <c r="A20106" t="s">
        <v>23334</v>
      </c>
      <c r="B20106" t="s">
        <v>23335</v>
      </c>
      <c r="C20106">
        <v>0</v>
      </c>
      <c r="D20106">
        <v>0.83339010537500002</v>
      </c>
      <c r="E20106">
        <v>23.280359820089899</v>
      </c>
    </row>
    <row r="20107" spans="1:5">
      <c r="A20107" t="s">
        <v>23334</v>
      </c>
      <c r="B20107" t="s">
        <v>23336</v>
      </c>
      <c r="C20107">
        <v>0</v>
      </c>
      <c r="D20107">
        <v>0.83339010537500002</v>
      </c>
      <c r="E20107">
        <v>23.280359820089899</v>
      </c>
    </row>
    <row r="20108" spans="1:5">
      <c r="A20108" t="s">
        <v>23334</v>
      </c>
      <c r="B20108" t="s">
        <v>23337</v>
      </c>
      <c r="C20108">
        <v>0</v>
      </c>
      <c r="D20108">
        <v>0.83339010537500002</v>
      </c>
      <c r="E20108">
        <v>23.280359820089899</v>
      </c>
    </row>
    <row r="20109" spans="1:5">
      <c r="A20109" t="s">
        <v>23334</v>
      </c>
      <c r="B20109" t="s">
        <v>23338</v>
      </c>
      <c r="C20109">
        <f>0.0457458836548</f>
        <v>4.57458836548E-2</v>
      </c>
      <c r="D20109">
        <v>0.83339010537500002</v>
      </c>
      <c r="E20109">
        <v>23.280359820089899</v>
      </c>
    </row>
    <row r="20110" spans="1:5">
      <c r="A20110" t="s">
        <v>23334</v>
      </c>
      <c r="B20110" t="s">
        <v>23339</v>
      </c>
      <c r="C20110">
        <f>0.059129746536</f>
        <v>5.9129746535999998E-2</v>
      </c>
      <c r="D20110">
        <v>0.83339010537500002</v>
      </c>
      <c r="E20110">
        <v>23.280359820089899</v>
      </c>
    </row>
    <row r="20111" spans="1:5">
      <c r="A20111" t="s">
        <v>23340</v>
      </c>
      <c r="B20111" t="s">
        <v>23341</v>
      </c>
      <c r="C20111">
        <f>0</f>
        <v>0</v>
      </c>
      <c r="D20111" t="s">
        <v>106</v>
      </c>
      <c r="E20111">
        <v>24</v>
      </c>
    </row>
    <row r="20112" spans="1:5">
      <c r="A20112" t="s">
        <v>23340</v>
      </c>
      <c r="B20112" t="s">
        <v>23342</v>
      </c>
      <c r="C20112">
        <v>0</v>
      </c>
      <c r="D20112" t="s">
        <v>106</v>
      </c>
      <c r="E20112">
        <v>24</v>
      </c>
    </row>
    <row r="20113" spans="1:5">
      <c r="A20113" t="s">
        <v>23340</v>
      </c>
      <c r="B20113" t="s">
        <v>23343</v>
      </c>
      <c r="C20113">
        <v>0</v>
      </c>
      <c r="D20113" t="s">
        <v>106</v>
      </c>
      <c r="E20113">
        <v>24</v>
      </c>
    </row>
    <row r="20114" spans="1:5">
      <c r="A20114" t="s">
        <v>23340</v>
      </c>
      <c r="B20114" t="s">
        <v>23344</v>
      </c>
      <c r="C20114">
        <v>0</v>
      </c>
      <c r="D20114" t="s">
        <v>106</v>
      </c>
      <c r="E20114">
        <v>24</v>
      </c>
    </row>
    <row r="20115" spans="1:5">
      <c r="A20115" t="s">
        <v>23340</v>
      </c>
      <c r="B20115" t="s">
        <v>23345</v>
      </c>
      <c r="C20115">
        <v>0</v>
      </c>
      <c r="D20115" t="s">
        <v>106</v>
      </c>
      <c r="E20115">
        <v>24</v>
      </c>
    </row>
    <row r="20116" spans="1:5">
      <c r="A20116" t="s">
        <v>23340</v>
      </c>
      <c r="B20116" t="s">
        <v>23346</v>
      </c>
      <c r="C20116">
        <f>0</f>
        <v>0</v>
      </c>
      <c r="D20116" t="s">
        <v>106</v>
      </c>
      <c r="E20116">
        <v>24</v>
      </c>
    </row>
    <row r="20117" spans="1:5">
      <c r="A20117" t="s">
        <v>23340</v>
      </c>
      <c r="B20117" t="s">
        <v>23347</v>
      </c>
      <c r="C20117">
        <v>0</v>
      </c>
      <c r="D20117" t="s">
        <v>106</v>
      </c>
      <c r="E20117">
        <v>24</v>
      </c>
    </row>
    <row r="20118" spans="1:5">
      <c r="A20118" t="s">
        <v>23348</v>
      </c>
      <c r="B20118" t="s">
        <v>23349</v>
      </c>
      <c r="C20118">
        <v>0</v>
      </c>
      <c r="D20118" t="s">
        <v>106</v>
      </c>
      <c r="E20118">
        <v>9.9190404797601204</v>
      </c>
    </row>
    <row r="20119" spans="1:5">
      <c r="A20119" t="s">
        <v>23348</v>
      </c>
      <c r="B20119" t="s">
        <v>23350</v>
      </c>
      <c r="C20119">
        <f>0</f>
        <v>0</v>
      </c>
      <c r="D20119" t="s">
        <v>106</v>
      </c>
      <c r="E20119">
        <v>9.9190404797601204</v>
      </c>
    </row>
    <row r="20120" spans="1:5">
      <c r="A20120" t="s">
        <v>23348</v>
      </c>
      <c r="B20120" t="s">
        <v>23351</v>
      </c>
      <c r="C20120">
        <v>0</v>
      </c>
      <c r="D20120" t="s">
        <v>106</v>
      </c>
      <c r="E20120">
        <v>9.9190404797601204</v>
      </c>
    </row>
    <row r="20121" spans="1:5">
      <c r="A20121" t="s">
        <v>23348</v>
      </c>
      <c r="B20121" t="s">
        <v>23352</v>
      </c>
      <c r="C20121">
        <v>0</v>
      </c>
      <c r="D20121" t="s">
        <v>106</v>
      </c>
      <c r="E20121">
        <v>9.9190404797601204</v>
      </c>
    </row>
    <row r="20122" spans="1:5">
      <c r="A20122" t="s">
        <v>23348</v>
      </c>
      <c r="B20122" t="s">
        <v>23353</v>
      </c>
      <c r="C20122">
        <f>0</f>
        <v>0</v>
      </c>
      <c r="D20122" t="s">
        <v>106</v>
      </c>
      <c r="E20122">
        <v>9.9190404797601204</v>
      </c>
    </row>
    <row r="20123" spans="1:5">
      <c r="A20123" t="s">
        <v>23348</v>
      </c>
      <c r="B20123" t="s">
        <v>23354</v>
      </c>
      <c r="C20123">
        <v>0</v>
      </c>
      <c r="D20123" t="s">
        <v>106</v>
      </c>
      <c r="E20123">
        <v>9.9190404797601204</v>
      </c>
    </row>
    <row r="20124" spans="1:5">
      <c r="A20124" t="s">
        <v>23348</v>
      </c>
      <c r="B20124" t="s">
        <v>23355</v>
      </c>
      <c r="C20124">
        <f>0</f>
        <v>0</v>
      </c>
      <c r="D20124" t="s">
        <v>106</v>
      </c>
      <c r="E20124">
        <v>9.9190404797601204</v>
      </c>
    </row>
    <row r="20125" spans="1:5">
      <c r="A20125" t="s">
        <v>23356</v>
      </c>
      <c r="B20125" t="s">
        <v>23357</v>
      </c>
      <c r="C20125">
        <v>0</v>
      </c>
      <c r="D20125">
        <v>0.944768771472</v>
      </c>
      <c r="E20125">
        <v>22.5727136431784</v>
      </c>
    </row>
    <row r="20126" spans="1:5">
      <c r="A20126" t="s">
        <v>23356</v>
      </c>
      <c r="B20126" t="s">
        <v>23358</v>
      </c>
      <c r="C20126">
        <f>0</f>
        <v>0</v>
      </c>
      <c r="D20126">
        <v>0.944768771472</v>
      </c>
      <c r="E20126">
        <v>22.5727136431784</v>
      </c>
    </row>
    <row r="20127" spans="1:5">
      <c r="A20127" t="s">
        <v>23356</v>
      </c>
      <c r="B20127" t="s">
        <v>23359</v>
      </c>
      <c r="C20127">
        <f>0</f>
        <v>0</v>
      </c>
      <c r="D20127">
        <v>0.944768771472</v>
      </c>
      <c r="E20127">
        <v>22.5727136431784</v>
      </c>
    </row>
    <row r="20128" spans="1:5">
      <c r="A20128" t="s">
        <v>23356</v>
      </c>
      <c r="B20128" t="s">
        <v>23360</v>
      </c>
      <c r="C20128">
        <v>0</v>
      </c>
      <c r="D20128">
        <v>0.944768771472</v>
      </c>
      <c r="E20128">
        <v>22.5727136431784</v>
      </c>
    </row>
    <row r="20129" spans="1:5">
      <c r="A20129" t="s">
        <v>23356</v>
      </c>
      <c r="B20129" t="s">
        <v>23361</v>
      </c>
      <c r="C20129">
        <f>0</f>
        <v>0</v>
      </c>
      <c r="D20129">
        <v>0.944768771472</v>
      </c>
      <c r="E20129">
        <v>22.5727136431784</v>
      </c>
    </row>
    <row r="20130" spans="1:5">
      <c r="A20130" t="s">
        <v>23356</v>
      </c>
      <c r="B20130" t="s">
        <v>23362</v>
      </c>
      <c r="C20130">
        <f>0</f>
        <v>0</v>
      </c>
      <c r="D20130">
        <v>0.944768771472</v>
      </c>
      <c r="E20130">
        <v>22.5727136431784</v>
      </c>
    </row>
    <row r="20131" spans="1:5">
      <c r="A20131" t="s">
        <v>23363</v>
      </c>
      <c r="B20131" t="s">
        <v>23364</v>
      </c>
      <c r="C20131">
        <v>0</v>
      </c>
      <c r="D20131" t="s">
        <v>106</v>
      </c>
      <c r="E20131">
        <v>16.491754122938499</v>
      </c>
    </row>
    <row r="20132" spans="1:5">
      <c r="A20132" t="s">
        <v>23363</v>
      </c>
      <c r="B20132" t="s">
        <v>23365</v>
      </c>
      <c r="C20132">
        <f>0</f>
        <v>0</v>
      </c>
      <c r="D20132" t="s">
        <v>106</v>
      </c>
      <c r="E20132">
        <v>16.491754122938499</v>
      </c>
    </row>
    <row r="20133" spans="1:5">
      <c r="A20133" t="s">
        <v>23363</v>
      </c>
      <c r="B20133" t="s">
        <v>23366</v>
      </c>
      <c r="C20133">
        <v>0</v>
      </c>
      <c r="D20133" t="s">
        <v>106</v>
      </c>
      <c r="E20133">
        <v>16.491754122938499</v>
      </c>
    </row>
    <row r="20134" spans="1:5">
      <c r="A20134" t="s">
        <v>23363</v>
      </c>
      <c r="B20134" t="s">
        <v>23367</v>
      </c>
      <c r="C20134">
        <v>0</v>
      </c>
      <c r="D20134" t="s">
        <v>106</v>
      </c>
      <c r="E20134">
        <v>16.491754122938499</v>
      </c>
    </row>
    <row r="20135" spans="1:5">
      <c r="A20135" t="s">
        <v>23363</v>
      </c>
      <c r="B20135" t="s">
        <v>23368</v>
      </c>
      <c r="C20135">
        <v>0</v>
      </c>
      <c r="D20135" t="s">
        <v>106</v>
      </c>
      <c r="E20135">
        <v>16.491754122938499</v>
      </c>
    </row>
    <row r="20136" spans="1:5">
      <c r="A20136" t="s">
        <v>23363</v>
      </c>
      <c r="B20136" t="s">
        <v>23369</v>
      </c>
      <c r="C20136">
        <f>0</f>
        <v>0</v>
      </c>
      <c r="D20136" t="s">
        <v>106</v>
      </c>
      <c r="E20136">
        <v>16.491754122938499</v>
      </c>
    </row>
    <row r="20137" spans="1:5">
      <c r="A20137" t="s">
        <v>23363</v>
      </c>
      <c r="B20137" t="s">
        <v>23370</v>
      </c>
      <c r="C20137">
        <v>0</v>
      </c>
      <c r="D20137" t="s">
        <v>106</v>
      </c>
      <c r="E20137">
        <v>16.491754122938499</v>
      </c>
    </row>
    <row r="20138" spans="1:5">
      <c r="A20138" t="s">
        <v>23363</v>
      </c>
      <c r="B20138" t="s">
        <v>23371</v>
      </c>
      <c r="C20138">
        <f>0</f>
        <v>0</v>
      </c>
      <c r="D20138" t="s">
        <v>106</v>
      </c>
      <c r="E20138">
        <v>16.491754122938499</v>
      </c>
    </row>
    <row r="20139" spans="1:5">
      <c r="A20139" t="s">
        <v>23363</v>
      </c>
      <c r="B20139" t="s">
        <v>23372</v>
      </c>
      <c r="C20139">
        <f>0</f>
        <v>0</v>
      </c>
      <c r="D20139" t="s">
        <v>106</v>
      </c>
      <c r="E20139">
        <v>16.491754122938499</v>
      </c>
    </row>
    <row r="20140" spans="1:5">
      <c r="A20140" t="s">
        <v>23373</v>
      </c>
      <c r="B20140" t="s">
        <v>23374</v>
      </c>
      <c r="C20140">
        <f>0</f>
        <v>0</v>
      </c>
      <c r="D20140">
        <v>0.92970053408499997</v>
      </c>
      <c r="E20140">
        <v>2.7106446776611599</v>
      </c>
    </row>
    <row r="20141" spans="1:5">
      <c r="A20141" t="s">
        <v>23373</v>
      </c>
      <c r="B20141" t="s">
        <v>23375</v>
      </c>
      <c r="C20141">
        <f>0</f>
        <v>0</v>
      </c>
      <c r="D20141">
        <v>0.92970053408499997</v>
      </c>
      <c r="E20141">
        <v>2.7106446776611599</v>
      </c>
    </row>
    <row r="20142" spans="1:5">
      <c r="A20142" t="s">
        <v>23373</v>
      </c>
      <c r="B20142" t="s">
        <v>23376</v>
      </c>
      <c r="C20142">
        <f>0</f>
        <v>0</v>
      </c>
      <c r="D20142">
        <v>0.92970053408499997</v>
      </c>
      <c r="E20142">
        <v>2.7106446776611599</v>
      </c>
    </row>
    <row r="20143" spans="1:5">
      <c r="A20143" t="s">
        <v>23373</v>
      </c>
      <c r="B20143" t="s">
        <v>23377</v>
      </c>
      <c r="C20143">
        <v>0</v>
      </c>
      <c r="D20143">
        <v>0.92970053408499997</v>
      </c>
      <c r="E20143">
        <v>2.7106446776611599</v>
      </c>
    </row>
    <row r="20144" spans="1:5">
      <c r="A20144" t="s">
        <v>23373</v>
      </c>
      <c r="B20144" t="s">
        <v>23378</v>
      </c>
      <c r="C20144">
        <f>0</f>
        <v>0</v>
      </c>
      <c r="D20144">
        <v>0.92970053408499997</v>
      </c>
      <c r="E20144">
        <v>2.7106446776611599</v>
      </c>
    </row>
    <row r="20145" spans="1:5">
      <c r="A20145" t="s">
        <v>23373</v>
      </c>
      <c r="B20145" t="s">
        <v>23379</v>
      </c>
      <c r="C20145">
        <v>0</v>
      </c>
      <c r="D20145">
        <v>0.92970053408499997</v>
      </c>
      <c r="E20145">
        <v>2.7106446776611599</v>
      </c>
    </row>
    <row r="20146" spans="1:5">
      <c r="A20146" t="s">
        <v>23373</v>
      </c>
      <c r="B20146" t="s">
        <v>23380</v>
      </c>
      <c r="C20146">
        <v>0</v>
      </c>
      <c r="D20146">
        <v>0.92970053408499997</v>
      </c>
      <c r="E20146">
        <v>2.7106446776611599</v>
      </c>
    </row>
    <row r="20147" spans="1:5">
      <c r="A20147" t="s">
        <v>23373</v>
      </c>
      <c r="B20147" t="s">
        <v>23381</v>
      </c>
      <c r="C20147">
        <v>0</v>
      </c>
      <c r="D20147">
        <v>0.92970053408499997</v>
      </c>
      <c r="E20147">
        <v>2.7106446776611599</v>
      </c>
    </row>
    <row r="20148" spans="1:5">
      <c r="A20148" t="s">
        <v>23373</v>
      </c>
      <c r="B20148" t="s">
        <v>23382</v>
      </c>
      <c r="C20148">
        <f>0</f>
        <v>0</v>
      </c>
      <c r="D20148">
        <v>0.92970053408499997</v>
      </c>
      <c r="E20148">
        <v>2.7106446776611599</v>
      </c>
    </row>
    <row r="20149" spans="1:5">
      <c r="A20149" t="s">
        <v>23383</v>
      </c>
      <c r="B20149" t="s">
        <v>23384</v>
      </c>
      <c r="C20149">
        <v>0</v>
      </c>
      <c r="D20149" t="s">
        <v>106</v>
      </c>
      <c r="E20149">
        <v>11.8740629685157</v>
      </c>
    </row>
    <row r="20150" spans="1:5">
      <c r="A20150" t="s">
        <v>23383</v>
      </c>
      <c r="B20150" t="s">
        <v>23385</v>
      </c>
      <c r="C20150">
        <v>0</v>
      </c>
      <c r="D20150" t="s">
        <v>106</v>
      </c>
      <c r="E20150">
        <v>11.8740629685157</v>
      </c>
    </row>
    <row r="20151" spans="1:5">
      <c r="A20151" t="s">
        <v>23383</v>
      </c>
      <c r="B20151" t="s">
        <v>23386</v>
      </c>
      <c r="C20151">
        <f>0</f>
        <v>0</v>
      </c>
      <c r="D20151" t="s">
        <v>106</v>
      </c>
      <c r="E20151">
        <v>11.8740629685157</v>
      </c>
    </row>
    <row r="20152" spans="1:5">
      <c r="A20152" t="s">
        <v>23383</v>
      </c>
      <c r="B20152" t="s">
        <v>23387</v>
      </c>
      <c r="C20152">
        <f>0</f>
        <v>0</v>
      </c>
      <c r="D20152" t="s">
        <v>106</v>
      </c>
      <c r="E20152">
        <v>11.8740629685157</v>
      </c>
    </row>
    <row r="20153" spans="1:5">
      <c r="A20153" t="s">
        <v>23383</v>
      </c>
      <c r="B20153" t="s">
        <v>23388</v>
      </c>
      <c r="C20153">
        <v>0</v>
      </c>
      <c r="D20153" t="s">
        <v>106</v>
      </c>
      <c r="E20153">
        <v>11.8740629685157</v>
      </c>
    </row>
    <row r="20154" spans="1:5">
      <c r="A20154" t="s">
        <v>23383</v>
      </c>
      <c r="B20154" t="s">
        <v>23389</v>
      </c>
      <c r="C20154">
        <f>0</f>
        <v>0</v>
      </c>
      <c r="D20154" t="s">
        <v>106</v>
      </c>
      <c r="E20154">
        <v>11.8740629685157</v>
      </c>
    </row>
    <row r="20155" spans="1:5">
      <c r="A20155" t="s">
        <v>23383</v>
      </c>
      <c r="B20155" t="s">
        <v>23390</v>
      </c>
      <c r="C20155">
        <v>0</v>
      </c>
      <c r="D20155" t="s">
        <v>106</v>
      </c>
      <c r="E20155">
        <v>11.8740629685157</v>
      </c>
    </row>
    <row r="20156" spans="1:5">
      <c r="A20156" t="s">
        <v>23383</v>
      </c>
      <c r="B20156" t="s">
        <v>23391</v>
      </c>
      <c r="C20156">
        <f>0</f>
        <v>0</v>
      </c>
      <c r="D20156" t="s">
        <v>106</v>
      </c>
      <c r="E20156">
        <v>11.8740629685157</v>
      </c>
    </row>
    <row r="20157" spans="1:5">
      <c r="A20157" t="s">
        <v>23383</v>
      </c>
      <c r="B20157" t="s">
        <v>23392</v>
      </c>
      <c r="C20157">
        <f>0</f>
        <v>0</v>
      </c>
      <c r="D20157" t="s">
        <v>106</v>
      </c>
      <c r="E20157">
        <v>11.8740629685157</v>
      </c>
    </row>
    <row r="20158" spans="1:5">
      <c r="A20158" t="s">
        <v>23393</v>
      </c>
      <c r="B20158" t="s">
        <v>23394</v>
      </c>
      <c r="C20158">
        <f>0</f>
        <v>0</v>
      </c>
      <c r="D20158" t="s">
        <v>106</v>
      </c>
      <c r="E20158">
        <v>12.9175412293853</v>
      </c>
    </row>
    <row r="20159" spans="1:5">
      <c r="A20159" t="s">
        <v>23393</v>
      </c>
      <c r="B20159" t="s">
        <v>23395</v>
      </c>
      <c r="C20159">
        <f>0</f>
        <v>0</v>
      </c>
      <c r="D20159" t="s">
        <v>106</v>
      </c>
      <c r="E20159">
        <v>12.9175412293853</v>
      </c>
    </row>
    <row r="20160" spans="1:5">
      <c r="A20160" t="s">
        <v>23393</v>
      </c>
      <c r="B20160" t="s">
        <v>23396</v>
      </c>
      <c r="C20160">
        <f>0</f>
        <v>0</v>
      </c>
      <c r="D20160" t="s">
        <v>106</v>
      </c>
      <c r="E20160">
        <v>12.9175412293853</v>
      </c>
    </row>
    <row r="20161" spans="1:5">
      <c r="A20161" t="s">
        <v>23397</v>
      </c>
      <c r="B20161" t="s">
        <v>23398</v>
      </c>
      <c r="C20161">
        <v>0</v>
      </c>
      <c r="D20161">
        <v>0.95900450020000005</v>
      </c>
      <c r="E20161">
        <v>2.0269865067466202</v>
      </c>
    </row>
    <row r="20162" spans="1:5">
      <c r="A20162" t="s">
        <v>23397</v>
      </c>
      <c r="B20162" t="s">
        <v>23399</v>
      </c>
      <c r="C20162">
        <v>1.6442091847E-2</v>
      </c>
      <c r="D20162">
        <v>0.95900450020000005</v>
      </c>
      <c r="E20162">
        <v>2.0269865067466202</v>
      </c>
    </row>
    <row r="20163" spans="1:5">
      <c r="A20163" t="s">
        <v>23397</v>
      </c>
      <c r="B20163" t="s">
        <v>23400</v>
      </c>
      <c r="C20163">
        <v>0</v>
      </c>
      <c r="D20163">
        <v>0.95900450020000005</v>
      </c>
      <c r="E20163">
        <v>2.0269865067466202</v>
      </c>
    </row>
    <row r="20164" spans="1:5">
      <c r="A20164" t="s">
        <v>23397</v>
      </c>
      <c r="B20164" t="s">
        <v>23401</v>
      </c>
      <c r="C20164">
        <v>3.3474696277399997E-2</v>
      </c>
      <c r="D20164">
        <v>0.95900450020000005</v>
      </c>
      <c r="E20164">
        <v>2.0269865067466202</v>
      </c>
    </row>
    <row r="20165" spans="1:5">
      <c r="A20165" t="s">
        <v>23397</v>
      </c>
      <c r="B20165" t="s">
        <v>23402</v>
      </c>
      <c r="C20165">
        <v>0</v>
      </c>
      <c r="D20165">
        <v>0.95900450020000005</v>
      </c>
      <c r="E20165">
        <v>2.0269865067466202</v>
      </c>
    </row>
    <row r="20166" spans="1:5">
      <c r="A20166" t="s">
        <v>23397</v>
      </c>
      <c r="B20166" t="s">
        <v>23403</v>
      </c>
      <c r="C20166">
        <v>0</v>
      </c>
      <c r="D20166">
        <v>0.95900450020000005</v>
      </c>
      <c r="E20166">
        <v>2.0269865067466202</v>
      </c>
    </row>
    <row r="20167" spans="1:5">
      <c r="A20167" t="s">
        <v>23397</v>
      </c>
      <c r="B20167" t="s">
        <v>23404</v>
      </c>
      <c r="C20167">
        <v>0</v>
      </c>
      <c r="D20167">
        <v>0.95900450020000005</v>
      </c>
      <c r="E20167">
        <v>2.0269865067466202</v>
      </c>
    </row>
    <row r="20168" spans="1:5">
      <c r="A20168" t="s">
        <v>23405</v>
      </c>
      <c r="B20168" t="s">
        <v>23406</v>
      </c>
      <c r="C20168">
        <v>0</v>
      </c>
      <c r="D20168" t="s">
        <v>106</v>
      </c>
      <c r="E20168">
        <v>1.6311844077961</v>
      </c>
    </row>
    <row r="20169" spans="1:5">
      <c r="A20169" t="s">
        <v>23405</v>
      </c>
      <c r="B20169" t="s">
        <v>23407</v>
      </c>
      <c r="C20169">
        <v>0</v>
      </c>
      <c r="D20169" t="s">
        <v>106</v>
      </c>
      <c r="E20169">
        <v>1.6311844077961</v>
      </c>
    </row>
    <row r="20170" spans="1:5">
      <c r="A20170" t="s">
        <v>23405</v>
      </c>
      <c r="B20170" t="s">
        <v>23408</v>
      </c>
      <c r="C20170">
        <f>0</f>
        <v>0</v>
      </c>
      <c r="D20170" t="s">
        <v>106</v>
      </c>
      <c r="E20170">
        <v>1.6311844077961</v>
      </c>
    </row>
    <row r="20171" spans="1:5">
      <c r="A20171" t="s">
        <v>23409</v>
      </c>
      <c r="B20171" t="s">
        <v>23410</v>
      </c>
      <c r="C20171">
        <v>0.14927370477400001</v>
      </c>
      <c r="D20171">
        <v>0.97278727139800003</v>
      </c>
      <c r="E20171">
        <v>11.8740629685157</v>
      </c>
    </row>
    <row r="20172" spans="1:5">
      <c r="A20172" t="s">
        <v>23409</v>
      </c>
      <c r="B20172" t="s">
        <v>23411</v>
      </c>
      <c r="C20172">
        <v>0</v>
      </c>
      <c r="D20172">
        <v>0.97278727139800003</v>
      </c>
      <c r="E20172">
        <v>11.8740629685157</v>
      </c>
    </row>
    <row r="20173" spans="1:5">
      <c r="A20173" t="s">
        <v>23409</v>
      </c>
      <c r="B20173" t="s">
        <v>23412</v>
      </c>
      <c r="C20173">
        <f>0</f>
        <v>0</v>
      </c>
      <c r="D20173">
        <v>0.97278727139800003</v>
      </c>
      <c r="E20173">
        <v>11.8740629685157</v>
      </c>
    </row>
    <row r="20174" spans="1:5">
      <c r="A20174" t="s">
        <v>23409</v>
      </c>
      <c r="B20174" t="s">
        <v>23413</v>
      </c>
      <c r="C20174">
        <v>0</v>
      </c>
      <c r="D20174">
        <v>0.97278727139800003</v>
      </c>
      <c r="E20174">
        <v>11.8740629685157</v>
      </c>
    </row>
    <row r="20175" spans="1:5">
      <c r="A20175" t="s">
        <v>23409</v>
      </c>
      <c r="B20175" t="s">
        <v>23414</v>
      </c>
      <c r="C20175">
        <v>0</v>
      </c>
      <c r="D20175">
        <v>0.97278727139800003</v>
      </c>
      <c r="E20175">
        <v>11.8740629685157</v>
      </c>
    </row>
    <row r="20176" spans="1:5">
      <c r="A20176" t="s">
        <v>23409</v>
      </c>
      <c r="B20176" t="s">
        <v>23415</v>
      </c>
      <c r="C20176">
        <v>0</v>
      </c>
      <c r="D20176">
        <v>0.97278727139800003</v>
      </c>
      <c r="E20176">
        <v>11.8740629685157</v>
      </c>
    </row>
    <row r="20177" spans="1:5">
      <c r="A20177" t="s">
        <v>23409</v>
      </c>
      <c r="B20177" t="s">
        <v>23416</v>
      </c>
      <c r="C20177">
        <v>0</v>
      </c>
      <c r="D20177">
        <v>0.97278727139800003</v>
      </c>
      <c r="E20177">
        <v>11.8740629685157</v>
      </c>
    </row>
    <row r="20178" spans="1:5">
      <c r="A20178" t="s">
        <v>23417</v>
      </c>
      <c r="B20178" t="s">
        <v>23418</v>
      </c>
      <c r="C20178">
        <f>0</f>
        <v>0</v>
      </c>
      <c r="D20178" t="s">
        <v>106</v>
      </c>
      <c r="E20178">
        <v>19.850074962518701</v>
      </c>
    </row>
    <row r="20179" spans="1:5">
      <c r="A20179" t="s">
        <v>23417</v>
      </c>
      <c r="B20179" t="s">
        <v>23419</v>
      </c>
      <c r="C20179">
        <f>0</f>
        <v>0</v>
      </c>
      <c r="D20179" t="s">
        <v>106</v>
      </c>
      <c r="E20179">
        <v>19.850074962518701</v>
      </c>
    </row>
    <row r="20180" spans="1:5">
      <c r="A20180" t="s">
        <v>23417</v>
      </c>
      <c r="B20180" t="s">
        <v>23420</v>
      </c>
      <c r="C20180">
        <f>0.000763370632714</f>
        <v>7.6337063271399999E-4</v>
      </c>
      <c r="D20180" t="s">
        <v>106</v>
      </c>
      <c r="E20180">
        <v>19.850074962518701</v>
      </c>
    </row>
    <row r="20181" spans="1:5">
      <c r="A20181" t="s">
        <v>23417</v>
      </c>
      <c r="B20181" t="s">
        <v>23421</v>
      </c>
      <c r="C20181">
        <f>0.109345084631</f>
        <v>0.109345084631</v>
      </c>
      <c r="D20181" t="s">
        <v>106</v>
      </c>
      <c r="E20181">
        <v>19.850074962518701</v>
      </c>
    </row>
    <row r="20182" spans="1:5">
      <c r="A20182" t="s">
        <v>23417</v>
      </c>
      <c r="B20182" t="s">
        <v>23422</v>
      </c>
      <c r="C20182">
        <f>0</f>
        <v>0</v>
      </c>
      <c r="D20182" t="s">
        <v>106</v>
      </c>
      <c r="E20182">
        <v>19.850074962518701</v>
      </c>
    </row>
    <row r="20183" spans="1:5">
      <c r="A20183" t="s">
        <v>23417</v>
      </c>
      <c r="B20183" t="s">
        <v>23423</v>
      </c>
      <c r="C20183">
        <f>0</f>
        <v>0</v>
      </c>
      <c r="D20183" t="s">
        <v>106</v>
      </c>
      <c r="E20183">
        <v>19.850074962518701</v>
      </c>
    </row>
    <row r="20184" spans="1:5">
      <c r="A20184" t="s">
        <v>23417</v>
      </c>
      <c r="B20184" t="s">
        <v>23424</v>
      </c>
      <c r="C20184">
        <f>0</f>
        <v>0</v>
      </c>
      <c r="D20184" t="s">
        <v>106</v>
      </c>
      <c r="E20184">
        <v>19.850074962518701</v>
      </c>
    </row>
    <row r="20185" spans="1:5">
      <c r="A20185" t="s">
        <v>23425</v>
      </c>
      <c r="B20185" t="s">
        <v>23426</v>
      </c>
      <c r="C20185">
        <f>0.138268545623</f>
        <v>0.13826854562300001</v>
      </c>
      <c r="D20185">
        <v>0.88593378243700005</v>
      </c>
      <c r="E20185">
        <v>16.095952023988001</v>
      </c>
    </row>
    <row r="20186" spans="1:5">
      <c r="A20186" t="s">
        <v>23425</v>
      </c>
      <c r="B20186" t="s">
        <v>23427</v>
      </c>
      <c r="C20186">
        <f>0</f>
        <v>0</v>
      </c>
      <c r="D20186">
        <v>0.88593378243700005</v>
      </c>
      <c r="E20186">
        <v>16.095952023988001</v>
      </c>
    </row>
    <row r="20187" spans="1:5">
      <c r="A20187" t="s">
        <v>23425</v>
      </c>
      <c r="B20187" t="s">
        <v>23428</v>
      </c>
      <c r="C20187">
        <v>0</v>
      </c>
      <c r="D20187">
        <v>0.88593378243700005</v>
      </c>
      <c r="E20187">
        <v>16.095952023988001</v>
      </c>
    </row>
    <row r="20188" spans="1:5">
      <c r="A20188" t="s">
        <v>23425</v>
      </c>
      <c r="B20188" t="s">
        <v>23429</v>
      </c>
      <c r="C20188">
        <v>0</v>
      </c>
      <c r="D20188">
        <v>0.88593378243700005</v>
      </c>
      <c r="E20188">
        <v>16.095952023988001</v>
      </c>
    </row>
    <row r="20189" spans="1:5">
      <c r="A20189" t="s">
        <v>23430</v>
      </c>
      <c r="B20189" t="s">
        <v>23431</v>
      </c>
      <c r="C20189">
        <f>0</f>
        <v>0</v>
      </c>
      <c r="D20189">
        <v>0.86683949432600005</v>
      </c>
      <c r="E20189">
        <v>13.445277361319301</v>
      </c>
    </row>
    <row r="20190" spans="1:5">
      <c r="A20190" t="s">
        <v>23430</v>
      </c>
      <c r="B20190" t="s">
        <v>23432</v>
      </c>
      <c r="C20190">
        <v>0</v>
      </c>
      <c r="D20190">
        <v>0.86683949432600005</v>
      </c>
      <c r="E20190">
        <v>13.445277361319301</v>
      </c>
    </row>
    <row r="20191" spans="1:5">
      <c r="A20191" t="s">
        <v>23430</v>
      </c>
      <c r="B20191" t="s">
        <v>23433</v>
      </c>
      <c r="C20191">
        <v>0</v>
      </c>
      <c r="D20191">
        <v>0.86683949432600005</v>
      </c>
      <c r="E20191">
        <v>13.445277361319301</v>
      </c>
    </row>
    <row r="20192" spans="1:5">
      <c r="A20192" t="s">
        <v>23430</v>
      </c>
      <c r="B20192" t="s">
        <v>23434</v>
      </c>
      <c r="C20192">
        <v>2.2269376656500001E-2</v>
      </c>
      <c r="D20192">
        <v>0.86683949432600005</v>
      </c>
      <c r="E20192">
        <v>13.445277361319301</v>
      </c>
    </row>
    <row r="20193" spans="1:5">
      <c r="A20193" t="s">
        <v>23430</v>
      </c>
      <c r="B20193" t="s">
        <v>23435</v>
      </c>
      <c r="C20193">
        <v>0</v>
      </c>
      <c r="D20193">
        <v>0.86683949432600005</v>
      </c>
      <c r="E20193">
        <v>13.445277361319301</v>
      </c>
    </row>
    <row r="20194" spans="1:5">
      <c r="A20194" t="s">
        <v>23430</v>
      </c>
      <c r="B20194" t="s">
        <v>23436</v>
      </c>
      <c r="C20194">
        <v>0</v>
      </c>
      <c r="D20194">
        <v>0.86683949432600005</v>
      </c>
      <c r="E20194">
        <v>13.445277361319301</v>
      </c>
    </row>
    <row r="20195" spans="1:5">
      <c r="A20195" t="s">
        <v>23430</v>
      </c>
      <c r="B20195" t="s">
        <v>23437</v>
      </c>
      <c r="C20195">
        <v>0</v>
      </c>
      <c r="D20195">
        <v>0.86683949432600005</v>
      </c>
      <c r="E20195">
        <v>13.445277361319301</v>
      </c>
    </row>
    <row r="20196" spans="1:5">
      <c r="A20196" t="s">
        <v>23430</v>
      </c>
      <c r="B20196" t="s">
        <v>23438</v>
      </c>
      <c r="C20196">
        <v>0</v>
      </c>
      <c r="D20196">
        <v>0.86683949432600005</v>
      </c>
      <c r="E20196">
        <v>13.445277361319301</v>
      </c>
    </row>
    <row r="20197" spans="1:5">
      <c r="A20197" t="s">
        <v>23430</v>
      </c>
      <c r="B20197" t="s">
        <v>23439</v>
      </c>
      <c r="C20197">
        <f>0</f>
        <v>0</v>
      </c>
      <c r="D20197">
        <v>0.86683949432600005</v>
      </c>
      <c r="E20197">
        <v>13.445277361319301</v>
      </c>
    </row>
    <row r="20198" spans="1:5">
      <c r="A20198" t="s">
        <v>23430</v>
      </c>
      <c r="B20198" t="s">
        <v>23440</v>
      </c>
      <c r="C20198">
        <v>0</v>
      </c>
      <c r="D20198">
        <v>0.86683949432600005</v>
      </c>
      <c r="E20198">
        <v>13.445277361319301</v>
      </c>
    </row>
    <row r="20199" spans="1:5">
      <c r="A20199" t="s">
        <v>23430</v>
      </c>
      <c r="B20199" t="s">
        <v>23441</v>
      </c>
      <c r="C20199">
        <v>0</v>
      </c>
      <c r="D20199">
        <v>0.86683949432600005</v>
      </c>
      <c r="E20199">
        <v>13.445277361319301</v>
      </c>
    </row>
    <row r="20200" spans="1:5">
      <c r="A20200" t="s">
        <v>23430</v>
      </c>
      <c r="B20200" t="s">
        <v>23442</v>
      </c>
      <c r="C20200">
        <v>2.62492299402E-2</v>
      </c>
      <c r="D20200">
        <v>0.86683949432600005</v>
      </c>
      <c r="E20200">
        <v>13.445277361319301</v>
      </c>
    </row>
    <row r="20201" spans="1:5">
      <c r="A20201" t="s">
        <v>23430</v>
      </c>
      <c r="B20201" t="s">
        <v>23443</v>
      </c>
      <c r="C20201">
        <v>0</v>
      </c>
      <c r="D20201">
        <v>0.86683949432600005</v>
      </c>
      <c r="E20201">
        <v>13.445277361319301</v>
      </c>
    </row>
    <row r="20202" spans="1:5">
      <c r="A20202" t="s">
        <v>23430</v>
      </c>
      <c r="B20202" t="s">
        <v>23444</v>
      </c>
      <c r="C20202">
        <f>0</f>
        <v>0</v>
      </c>
      <c r="D20202">
        <v>0.86683949432600005</v>
      </c>
      <c r="E20202">
        <v>13.445277361319301</v>
      </c>
    </row>
    <row r="20203" spans="1:5">
      <c r="A20203" t="s">
        <v>23430</v>
      </c>
      <c r="B20203" t="s">
        <v>23445</v>
      </c>
      <c r="C20203">
        <v>0</v>
      </c>
      <c r="D20203">
        <v>0.86683949432600005</v>
      </c>
      <c r="E20203">
        <v>13.445277361319301</v>
      </c>
    </row>
    <row r="20204" spans="1:5">
      <c r="A20204" t="s">
        <v>23446</v>
      </c>
      <c r="B20204" t="s">
        <v>23447</v>
      </c>
      <c r="C20204">
        <f>0</f>
        <v>0</v>
      </c>
      <c r="D20204" t="s">
        <v>106</v>
      </c>
      <c r="E20204">
        <v>10.398800599700101</v>
      </c>
    </row>
    <row r="20205" spans="1:5">
      <c r="A20205" t="s">
        <v>23446</v>
      </c>
      <c r="B20205" t="s">
        <v>23448</v>
      </c>
      <c r="C20205">
        <v>0</v>
      </c>
      <c r="D20205" t="s">
        <v>106</v>
      </c>
      <c r="E20205">
        <v>10.398800599700101</v>
      </c>
    </row>
    <row r="20206" spans="1:5">
      <c r="A20206" t="s">
        <v>23446</v>
      </c>
      <c r="B20206" t="s">
        <v>23449</v>
      </c>
      <c r="C20206">
        <v>0</v>
      </c>
      <c r="D20206" t="s">
        <v>106</v>
      </c>
      <c r="E20206">
        <v>10.398800599700101</v>
      </c>
    </row>
    <row r="20207" spans="1:5">
      <c r="A20207" t="s">
        <v>23446</v>
      </c>
      <c r="B20207" t="s">
        <v>23450</v>
      </c>
      <c r="C20207">
        <v>0</v>
      </c>
      <c r="D20207" t="s">
        <v>106</v>
      </c>
      <c r="E20207">
        <v>10.398800599700101</v>
      </c>
    </row>
    <row r="20208" spans="1:5">
      <c r="A20208" t="s">
        <v>23451</v>
      </c>
      <c r="B20208" t="s">
        <v>23452</v>
      </c>
      <c r="C20208">
        <v>0</v>
      </c>
      <c r="D20208" t="s">
        <v>106</v>
      </c>
      <c r="E20208">
        <v>21.8770614692653</v>
      </c>
    </row>
    <row r="20209" spans="1:5">
      <c r="A20209" t="s">
        <v>23451</v>
      </c>
      <c r="B20209" t="s">
        <v>23453</v>
      </c>
      <c r="C20209">
        <v>0</v>
      </c>
      <c r="D20209" t="s">
        <v>106</v>
      </c>
      <c r="E20209">
        <v>21.8770614692653</v>
      </c>
    </row>
    <row r="20210" spans="1:5">
      <c r="A20210" t="s">
        <v>23451</v>
      </c>
      <c r="B20210" t="s">
        <v>23454</v>
      </c>
      <c r="C20210">
        <v>0</v>
      </c>
      <c r="D20210" t="s">
        <v>106</v>
      </c>
      <c r="E20210">
        <v>21.8770614692653</v>
      </c>
    </row>
    <row r="20211" spans="1:5">
      <c r="A20211" t="s">
        <v>23451</v>
      </c>
      <c r="B20211" t="s">
        <v>23455</v>
      </c>
      <c r="C20211">
        <v>0</v>
      </c>
      <c r="D20211" t="s">
        <v>106</v>
      </c>
      <c r="E20211">
        <v>21.8770614692653</v>
      </c>
    </row>
    <row r="20212" spans="1:5">
      <c r="A20212" t="s">
        <v>23451</v>
      </c>
      <c r="B20212" t="s">
        <v>23456</v>
      </c>
      <c r="C20212">
        <v>0</v>
      </c>
      <c r="D20212" t="s">
        <v>106</v>
      </c>
      <c r="E20212">
        <v>21.8770614692653</v>
      </c>
    </row>
    <row r="20213" spans="1:5">
      <c r="A20213" t="s">
        <v>23457</v>
      </c>
      <c r="B20213" t="s">
        <v>23458</v>
      </c>
      <c r="C20213">
        <f>0</f>
        <v>0</v>
      </c>
      <c r="D20213">
        <v>0.43109459042499998</v>
      </c>
      <c r="E20213">
        <v>3.7781109445277301</v>
      </c>
    </row>
    <row r="20214" spans="1:5">
      <c r="A20214" t="s">
        <v>23457</v>
      </c>
      <c r="B20214" t="s">
        <v>23459</v>
      </c>
      <c r="C20214">
        <f>0</f>
        <v>0</v>
      </c>
      <c r="D20214">
        <v>0.43109459042499998</v>
      </c>
      <c r="E20214">
        <v>3.7781109445277301</v>
      </c>
    </row>
    <row r="20215" spans="1:5">
      <c r="A20215" t="s">
        <v>23457</v>
      </c>
      <c r="B20215" t="s">
        <v>23460</v>
      </c>
      <c r="C20215">
        <v>0</v>
      </c>
      <c r="D20215">
        <v>0.43109459042499998</v>
      </c>
      <c r="E20215">
        <v>3.7781109445277301</v>
      </c>
    </row>
    <row r="20216" spans="1:5">
      <c r="A20216" t="s">
        <v>23461</v>
      </c>
      <c r="B20216" t="s">
        <v>23462</v>
      </c>
      <c r="C20216">
        <f>0</f>
        <v>0</v>
      </c>
      <c r="D20216">
        <v>0.98492719266700002</v>
      </c>
      <c r="E20216">
        <v>1.51124437781109</v>
      </c>
    </row>
    <row r="20217" spans="1:5">
      <c r="A20217" t="s">
        <v>23461</v>
      </c>
      <c r="B20217" t="s">
        <v>23463</v>
      </c>
      <c r="C20217">
        <f>0</f>
        <v>0</v>
      </c>
      <c r="D20217">
        <v>0.98492719266700002</v>
      </c>
      <c r="E20217">
        <v>1.51124437781109</v>
      </c>
    </row>
    <row r="20218" spans="1:5">
      <c r="A20218" t="s">
        <v>23461</v>
      </c>
      <c r="B20218" t="s">
        <v>23464</v>
      </c>
      <c r="C20218">
        <v>0</v>
      </c>
      <c r="D20218">
        <v>0.98492719266700002</v>
      </c>
      <c r="E20218">
        <v>1.51124437781109</v>
      </c>
    </row>
    <row r="20219" spans="1:5">
      <c r="A20219" t="s">
        <v>23461</v>
      </c>
      <c r="B20219" t="s">
        <v>23465</v>
      </c>
      <c r="C20219">
        <f>0</f>
        <v>0</v>
      </c>
      <c r="D20219">
        <v>0.98492719266700002</v>
      </c>
      <c r="E20219">
        <v>1.51124437781109</v>
      </c>
    </row>
    <row r="20220" spans="1:5">
      <c r="A20220" t="s">
        <v>23461</v>
      </c>
      <c r="B20220" t="s">
        <v>23466</v>
      </c>
      <c r="C20220">
        <v>0</v>
      </c>
      <c r="D20220">
        <v>0.98492719266700002</v>
      </c>
      <c r="E20220">
        <v>1.51124437781109</v>
      </c>
    </row>
    <row r="20221" spans="1:5">
      <c r="A20221" t="s">
        <v>23461</v>
      </c>
      <c r="B20221" t="s">
        <v>23467</v>
      </c>
      <c r="C20221">
        <v>0</v>
      </c>
      <c r="D20221">
        <v>0.98492719266700002</v>
      </c>
      <c r="E20221">
        <v>1.51124437781109</v>
      </c>
    </row>
    <row r="20222" spans="1:5">
      <c r="A20222" t="s">
        <v>23461</v>
      </c>
      <c r="B20222" t="s">
        <v>23468</v>
      </c>
      <c r="C20222">
        <v>0</v>
      </c>
      <c r="D20222">
        <v>0.98492719266700002</v>
      </c>
      <c r="E20222">
        <v>1.51124437781109</v>
      </c>
    </row>
    <row r="20223" spans="1:5">
      <c r="A20223" t="s">
        <v>23461</v>
      </c>
      <c r="B20223" t="s">
        <v>23469</v>
      </c>
      <c r="C20223">
        <v>0.60611347156600004</v>
      </c>
      <c r="D20223">
        <v>0.98492719266700002</v>
      </c>
      <c r="E20223">
        <v>1.51124437781109</v>
      </c>
    </row>
    <row r="20224" spans="1:5">
      <c r="A20224" t="s">
        <v>23461</v>
      </c>
      <c r="B20224" t="s">
        <v>23470</v>
      </c>
      <c r="C20224">
        <v>0</v>
      </c>
      <c r="D20224">
        <v>0.98492719266700002</v>
      </c>
      <c r="E20224">
        <v>1.51124437781109</v>
      </c>
    </row>
    <row r="20225" spans="1:5">
      <c r="A20225" t="s">
        <v>23461</v>
      </c>
      <c r="B20225" t="s">
        <v>23471</v>
      </c>
      <c r="C20225">
        <v>0</v>
      </c>
      <c r="D20225">
        <v>0.98492719266700002</v>
      </c>
      <c r="E20225">
        <v>1.51124437781109</v>
      </c>
    </row>
    <row r="20226" spans="1:5">
      <c r="A20226" t="s">
        <v>23461</v>
      </c>
      <c r="B20226" t="s">
        <v>23472</v>
      </c>
      <c r="C20226">
        <f>0.182775871875</f>
        <v>0.182775871875</v>
      </c>
      <c r="D20226">
        <v>0.98492719266700002</v>
      </c>
      <c r="E20226">
        <v>1.51124437781109</v>
      </c>
    </row>
    <row r="20227" spans="1:5">
      <c r="A20227" t="s">
        <v>23473</v>
      </c>
      <c r="B20227" t="s">
        <v>23474</v>
      </c>
      <c r="C20227">
        <f>0</f>
        <v>0</v>
      </c>
      <c r="D20227">
        <v>0.99514012539499996</v>
      </c>
      <c r="E20227">
        <v>6.0569715142428704</v>
      </c>
    </row>
    <row r="20228" spans="1:5">
      <c r="A20228" t="s">
        <v>23473</v>
      </c>
      <c r="B20228" t="s">
        <v>23475</v>
      </c>
      <c r="C20228">
        <v>0</v>
      </c>
      <c r="D20228">
        <v>0.99514012539499996</v>
      </c>
      <c r="E20228">
        <v>6.0569715142428704</v>
      </c>
    </row>
    <row r="20229" spans="1:5">
      <c r="A20229" t="s">
        <v>23473</v>
      </c>
      <c r="B20229" t="s">
        <v>23476</v>
      </c>
      <c r="C20229">
        <f>0</f>
        <v>0</v>
      </c>
      <c r="D20229">
        <v>0.99514012539499996</v>
      </c>
      <c r="E20229">
        <v>6.0569715142428704</v>
      </c>
    </row>
    <row r="20230" spans="1:5">
      <c r="A20230" t="s">
        <v>23473</v>
      </c>
      <c r="B20230" t="s">
        <v>23477</v>
      </c>
      <c r="C20230">
        <f>0</f>
        <v>0</v>
      </c>
      <c r="D20230">
        <v>0.99514012539499996</v>
      </c>
      <c r="E20230">
        <v>6.0569715142428704</v>
      </c>
    </row>
    <row r="20231" spans="1:5">
      <c r="A20231" t="s">
        <v>23478</v>
      </c>
      <c r="B20231" t="s">
        <v>23479</v>
      </c>
      <c r="C20231">
        <v>0</v>
      </c>
      <c r="D20231">
        <v>0.99377478485299997</v>
      </c>
      <c r="E20231">
        <v>24</v>
      </c>
    </row>
    <row r="20232" spans="1:5">
      <c r="A20232" t="s">
        <v>23478</v>
      </c>
      <c r="B20232" t="s">
        <v>23480</v>
      </c>
      <c r="C20232">
        <v>0</v>
      </c>
      <c r="D20232">
        <v>0.99377478485299997</v>
      </c>
      <c r="E20232">
        <v>24</v>
      </c>
    </row>
    <row r="20233" spans="1:5">
      <c r="A20233" t="s">
        <v>23478</v>
      </c>
      <c r="B20233" t="s">
        <v>23481</v>
      </c>
      <c r="C20233">
        <v>0</v>
      </c>
      <c r="D20233">
        <v>0.99377478485299997</v>
      </c>
      <c r="E20233">
        <v>24</v>
      </c>
    </row>
    <row r="20234" spans="1:5">
      <c r="A20234" t="s">
        <v>23482</v>
      </c>
      <c r="B20234" t="s">
        <v>23483</v>
      </c>
      <c r="C20234">
        <v>0</v>
      </c>
      <c r="D20234" t="s">
        <v>106</v>
      </c>
      <c r="E20234">
        <v>5.3493253373313303</v>
      </c>
    </row>
    <row r="20235" spans="1:5">
      <c r="A20235" t="s">
        <v>23482</v>
      </c>
      <c r="B20235" t="s">
        <v>23484</v>
      </c>
      <c r="C20235">
        <f>0.0680294377031</f>
        <v>6.8029437703100007E-2</v>
      </c>
      <c r="D20235" t="s">
        <v>106</v>
      </c>
      <c r="E20235">
        <v>5.3493253373313303</v>
      </c>
    </row>
    <row r="20236" spans="1:5">
      <c r="A20236" t="s">
        <v>23482</v>
      </c>
      <c r="B20236" t="s">
        <v>23485</v>
      </c>
      <c r="C20236">
        <v>0.47280978782400002</v>
      </c>
      <c r="D20236" t="s">
        <v>106</v>
      </c>
      <c r="E20236">
        <v>5.3493253373313303</v>
      </c>
    </row>
    <row r="20237" spans="1:5">
      <c r="A20237" t="s">
        <v>23482</v>
      </c>
      <c r="B20237" t="s">
        <v>23486</v>
      </c>
      <c r="C20237">
        <v>0</v>
      </c>
      <c r="D20237" t="s">
        <v>106</v>
      </c>
      <c r="E20237">
        <v>5.3493253373313303</v>
      </c>
    </row>
    <row r="20238" spans="1:5">
      <c r="A20238" t="s">
        <v>23482</v>
      </c>
      <c r="B20238" t="s">
        <v>23487</v>
      </c>
      <c r="C20238">
        <v>0</v>
      </c>
      <c r="D20238" t="s">
        <v>106</v>
      </c>
      <c r="E20238">
        <v>5.3493253373313303</v>
      </c>
    </row>
    <row r="20239" spans="1:5">
      <c r="A20239" t="s">
        <v>23482</v>
      </c>
      <c r="B20239" t="s">
        <v>23488</v>
      </c>
      <c r="C20239">
        <v>0</v>
      </c>
      <c r="D20239" t="s">
        <v>106</v>
      </c>
      <c r="E20239">
        <v>5.3493253373313303</v>
      </c>
    </row>
    <row r="20240" spans="1:5">
      <c r="A20240" t="s">
        <v>23482</v>
      </c>
      <c r="B20240" t="s">
        <v>23489</v>
      </c>
      <c r="C20240">
        <v>0</v>
      </c>
      <c r="D20240" t="s">
        <v>106</v>
      </c>
      <c r="E20240">
        <v>5.3493253373313303</v>
      </c>
    </row>
    <row r="20241" spans="1:5">
      <c r="A20241" t="s">
        <v>23482</v>
      </c>
      <c r="B20241" t="s">
        <v>23490</v>
      </c>
      <c r="C20241">
        <f>0</f>
        <v>0</v>
      </c>
      <c r="D20241" t="s">
        <v>106</v>
      </c>
      <c r="E20241">
        <v>5.3493253373313303</v>
      </c>
    </row>
    <row r="20242" spans="1:5">
      <c r="A20242" t="s">
        <v>23491</v>
      </c>
      <c r="B20242" t="s">
        <v>23492</v>
      </c>
      <c r="C20242">
        <v>0</v>
      </c>
      <c r="D20242">
        <v>0.30431715678400001</v>
      </c>
      <c r="E20242">
        <v>23.508245877061398</v>
      </c>
    </row>
    <row r="20243" spans="1:5">
      <c r="A20243" t="s">
        <v>23491</v>
      </c>
      <c r="B20243" t="s">
        <v>23493</v>
      </c>
      <c r="C20243">
        <v>0</v>
      </c>
      <c r="D20243">
        <v>0.30431715678400001</v>
      </c>
      <c r="E20243">
        <v>23.508245877061398</v>
      </c>
    </row>
    <row r="20244" spans="1:5">
      <c r="A20244" t="s">
        <v>23491</v>
      </c>
      <c r="B20244" t="s">
        <v>23494</v>
      </c>
      <c r="C20244">
        <v>0</v>
      </c>
      <c r="D20244">
        <v>0.30431715678400001</v>
      </c>
      <c r="E20244">
        <v>23.508245877061398</v>
      </c>
    </row>
    <row r="20245" spans="1:5">
      <c r="A20245" t="s">
        <v>23491</v>
      </c>
      <c r="B20245" t="s">
        <v>23495</v>
      </c>
      <c r="C20245">
        <v>0</v>
      </c>
      <c r="D20245">
        <v>0.30431715678400001</v>
      </c>
      <c r="E20245">
        <v>23.508245877061398</v>
      </c>
    </row>
    <row r="20246" spans="1:5">
      <c r="A20246" t="s">
        <v>23491</v>
      </c>
      <c r="B20246" t="s">
        <v>23496</v>
      </c>
      <c r="C20246">
        <f>0</f>
        <v>0</v>
      </c>
      <c r="D20246">
        <v>0.30431715678400001</v>
      </c>
      <c r="E20246">
        <v>23.508245877061398</v>
      </c>
    </row>
    <row r="20247" spans="1:5">
      <c r="A20247" t="s">
        <v>23491</v>
      </c>
      <c r="B20247" t="s">
        <v>23497</v>
      </c>
      <c r="C20247">
        <v>0</v>
      </c>
      <c r="D20247">
        <v>0.30431715678400001</v>
      </c>
      <c r="E20247">
        <v>23.508245877061398</v>
      </c>
    </row>
    <row r="20248" spans="1:5">
      <c r="A20248" t="s">
        <v>23491</v>
      </c>
      <c r="B20248" t="s">
        <v>23498</v>
      </c>
      <c r="C20248">
        <v>0</v>
      </c>
      <c r="D20248">
        <v>0.30431715678400001</v>
      </c>
      <c r="E20248">
        <v>23.508245877061398</v>
      </c>
    </row>
    <row r="20249" spans="1:5">
      <c r="A20249" t="s">
        <v>23491</v>
      </c>
      <c r="B20249" t="s">
        <v>23499</v>
      </c>
      <c r="C20249">
        <v>0</v>
      </c>
      <c r="D20249">
        <v>0.30431715678400001</v>
      </c>
      <c r="E20249">
        <v>23.508245877061398</v>
      </c>
    </row>
    <row r="20250" spans="1:5">
      <c r="A20250" t="s">
        <v>23491</v>
      </c>
      <c r="B20250" t="s">
        <v>23500</v>
      </c>
      <c r="C20250">
        <f>0</f>
        <v>0</v>
      </c>
      <c r="D20250">
        <v>0.30431715678400001</v>
      </c>
      <c r="E20250">
        <v>23.508245877061398</v>
      </c>
    </row>
    <row r="20251" spans="1:5">
      <c r="A20251" t="s">
        <v>23501</v>
      </c>
      <c r="B20251" t="s">
        <v>23502</v>
      </c>
      <c r="C20251">
        <f>0</f>
        <v>0</v>
      </c>
      <c r="D20251" t="s">
        <v>106</v>
      </c>
      <c r="E20251">
        <v>7.7361319340329802</v>
      </c>
    </row>
    <row r="20252" spans="1:5">
      <c r="A20252" t="s">
        <v>23501</v>
      </c>
      <c r="B20252" t="s">
        <v>23503</v>
      </c>
      <c r="C20252">
        <v>0</v>
      </c>
      <c r="D20252" t="s">
        <v>106</v>
      </c>
      <c r="E20252">
        <v>7.7361319340329802</v>
      </c>
    </row>
    <row r="20253" spans="1:5">
      <c r="A20253" t="s">
        <v>23501</v>
      </c>
      <c r="B20253" t="s">
        <v>23504</v>
      </c>
      <c r="C20253">
        <f>0</f>
        <v>0</v>
      </c>
      <c r="D20253" t="s">
        <v>106</v>
      </c>
      <c r="E20253">
        <v>7.7361319340329802</v>
      </c>
    </row>
    <row r="20254" spans="1:5">
      <c r="A20254" t="s">
        <v>23505</v>
      </c>
      <c r="B20254" t="s">
        <v>23506</v>
      </c>
      <c r="C20254">
        <f>0</f>
        <v>0</v>
      </c>
      <c r="D20254">
        <v>0.86930816553500001</v>
      </c>
      <c r="E20254">
        <v>16.695652173913</v>
      </c>
    </row>
    <row r="20255" spans="1:5">
      <c r="A20255" t="s">
        <v>23505</v>
      </c>
      <c r="B20255" t="s">
        <v>23507</v>
      </c>
      <c r="C20255">
        <v>0</v>
      </c>
      <c r="D20255">
        <v>0.86930816553500001</v>
      </c>
      <c r="E20255">
        <v>16.695652173913</v>
      </c>
    </row>
    <row r="20256" spans="1:5">
      <c r="A20256" t="s">
        <v>23505</v>
      </c>
      <c r="B20256" t="s">
        <v>23508</v>
      </c>
      <c r="C20256">
        <v>0</v>
      </c>
      <c r="D20256">
        <v>0.86930816553500001</v>
      </c>
      <c r="E20256">
        <v>16.695652173913</v>
      </c>
    </row>
    <row r="20257" spans="1:5">
      <c r="A20257" t="s">
        <v>23505</v>
      </c>
      <c r="B20257" t="s">
        <v>23509</v>
      </c>
      <c r="C20257">
        <v>0</v>
      </c>
      <c r="D20257">
        <v>0.86930816553500001</v>
      </c>
      <c r="E20257">
        <v>16.695652173913</v>
      </c>
    </row>
    <row r="20258" spans="1:5">
      <c r="A20258" t="s">
        <v>23505</v>
      </c>
      <c r="B20258" t="s">
        <v>23510</v>
      </c>
      <c r="C20258">
        <v>0</v>
      </c>
      <c r="D20258">
        <v>0.86930816553500001</v>
      </c>
      <c r="E20258">
        <v>16.695652173913</v>
      </c>
    </row>
    <row r="20259" spans="1:5">
      <c r="A20259" t="s">
        <v>23505</v>
      </c>
      <c r="B20259" t="s">
        <v>23511</v>
      </c>
      <c r="C20259">
        <v>0</v>
      </c>
      <c r="D20259">
        <v>0.86930816553500001</v>
      </c>
      <c r="E20259">
        <v>16.695652173913</v>
      </c>
    </row>
    <row r="20260" spans="1:5">
      <c r="A20260" t="s">
        <v>23505</v>
      </c>
      <c r="B20260" t="s">
        <v>23512</v>
      </c>
      <c r="C20260">
        <v>0</v>
      </c>
      <c r="D20260">
        <v>0.86930816553500001</v>
      </c>
      <c r="E20260">
        <v>16.695652173913</v>
      </c>
    </row>
    <row r="20261" spans="1:5">
      <c r="A20261" t="s">
        <v>23505</v>
      </c>
      <c r="B20261" t="s">
        <v>23513</v>
      </c>
      <c r="C20261">
        <v>0</v>
      </c>
      <c r="D20261">
        <v>0.86930816553500001</v>
      </c>
      <c r="E20261">
        <v>16.695652173913</v>
      </c>
    </row>
    <row r="20262" spans="1:5">
      <c r="A20262" t="s">
        <v>23505</v>
      </c>
      <c r="B20262" t="s">
        <v>23514</v>
      </c>
      <c r="C20262">
        <f>0.165549141779</f>
        <v>0.16554914177899999</v>
      </c>
      <c r="D20262">
        <v>0.86930816553500001</v>
      </c>
      <c r="E20262">
        <v>16.695652173913</v>
      </c>
    </row>
    <row r="20263" spans="1:5">
      <c r="A20263" t="s">
        <v>23505</v>
      </c>
      <c r="B20263" t="s">
        <v>23515</v>
      </c>
      <c r="C20263">
        <v>0</v>
      </c>
      <c r="D20263">
        <v>0.86930816553500001</v>
      </c>
      <c r="E20263">
        <v>16.695652173913</v>
      </c>
    </row>
    <row r="20264" spans="1:5">
      <c r="A20264" t="s">
        <v>23505</v>
      </c>
      <c r="B20264" t="s">
        <v>23516</v>
      </c>
      <c r="C20264">
        <v>3.2085350502199998E-3</v>
      </c>
      <c r="D20264">
        <v>0.86930816553500001</v>
      </c>
      <c r="E20264">
        <v>16.695652173913</v>
      </c>
    </row>
    <row r="20265" spans="1:5">
      <c r="A20265" t="s">
        <v>23517</v>
      </c>
      <c r="B20265" t="s">
        <v>23518</v>
      </c>
      <c r="C20265">
        <v>0</v>
      </c>
      <c r="D20265" t="s">
        <v>106</v>
      </c>
      <c r="E20265">
        <v>13.997001499250301</v>
      </c>
    </row>
    <row r="20266" spans="1:5">
      <c r="A20266" t="s">
        <v>23517</v>
      </c>
      <c r="B20266" t="s">
        <v>23519</v>
      </c>
      <c r="C20266">
        <f>0</f>
        <v>0</v>
      </c>
      <c r="D20266" t="s">
        <v>106</v>
      </c>
      <c r="E20266">
        <v>13.997001499250301</v>
      </c>
    </row>
    <row r="20267" spans="1:5">
      <c r="A20267" t="s">
        <v>23517</v>
      </c>
      <c r="B20267" t="s">
        <v>23520</v>
      </c>
      <c r="C20267">
        <f>0</f>
        <v>0</v>
      </c>
      <c r="D20267" t="s">
        <v>106</v>
      </c>
      <c r="E20267">
        <v>13.997001499250301</v>
      </c>
    </row>
    <row r="20268" spans="1:5">
      <c r="A20268" t="s">
        <v>23517</v>
      </c>
      <c r="B20268" t="s">
        <v>23521</v>
      </c>
      <c r="C20268">
        <f>0</f>
        <v>0</v>
      </c>
      <c r="D20268" t="s">
        <v>106</v>
      </c>
      <c r="E20268">
        <v>13.997001499250301</v>
      </c>
    </row>
    <row r="20269" spans="1:5">
      <c r="A20269" t="s">
        <v>23517</v>
      </c>
      <c r="B20269" t="s">
        <v>23522</v>
      </c>
      <c r="C20269">
        <f>0</f>
        <v>0</v>
      </c>
      <c r="D20269" t="s">
        <v>106</v>
      </c>
      <c r="E20269">
        <v>13.997001499250301</v>
      </c>
    </row>
    <row r="20270" spans="1:5">
      <c r="A20270" t="s">
        <v>23517</v>
      </c>
      <c r="B20270" t="s">
        <v>23523</v>
      </c>
      <c r="C20270">
        <f>0</f>
        <v>0</v>
      </c>
      <c r="D20270" t="s">
        <v>106</v>
      </c>
      <c r="E20270">
        <v>13.997001499250301</v>
      </c>
    </row>
    <row r="20271" spans="1:5">
      <c r="A20271" t="s">
        <v>23517</v>
      </c>
      <c r="B20271" t="s">
        <v>23524</v>
      </c>
      <c r="C20271">
        <v>0</v>
      </c>
      <c r="D20271" t="s">
        <v>106</v>
      </c>
      <c r="E20271">
        <v>13.997001499250301</v>
      </c>
    </row>
    <row r="20272" spans="1:5">
      <c r="A20272" t="s">
        <v>23517</v>
      </c>
      <c r="B20272" t="s">
        <v>23525</v>
      </c>
      <c r="C20272">
        <f>0</f>
        <v>0</v>
      </c>
      <c r="D20272" t="s">
        <v>106</v>
      </c>
      <c r="E20272">
        <v>13.997001499250301</v>
      </c>
    </row>
    <row r="20273" spans="1:5">
      <c r="A20273" t="s">
        <v>23517</v>
      </c>
      <c r="B20273" t="s">
        <v>23526</v>
      </c>
      <c r="C20273">
        <f>0</f>
        <v>0</v>
      </c>
      <c r="D20273" t="s">
        <v>106</v>
      </c>
      <c r="E20273">
        <v>13.997001499250301</v>
      </c>
    </row>
    <row r="20274" spans="1:5">
      <c r="A20274" t="s">
        <v>23517</v>
      </c>
      <c r="B20274" t="s">
        <v>23527</v>
      </c>
      <c r="C20274">
        <v>0</v>
      </c>
      <c r="D20274" t="s">
        <v>106</v>
      </c>
      <c r="E20274">
        <v>13.997001499250301</v>
      </c>
    </row>
    <row r="20275" spans="1:5">
      <c r="A20275" t="s">
        <v>23517</v>
      </c>
      <c r="B20275" t="s">
        <v>23528</v>
      </c>
      <c r="C20275">
        <v>0</v>
      </c>
      <c r="D20275" t="s">
        <v>106</v>
      </c>
      <c r="E20275">
        <v>13.997001499250301</v>
      </c>
    </row>
    <row r="20276" spans="1:5">
      <c r="A20276" t="s">
        <v>23517</v>
      </c>
      <c r="B20276" t="s">
        <v>23529</v>
      </c>
      <c r="C20276">
        <f>0</f>
        <v>0</v>
      </c>
      <c r="D20276" t="s">
        <v>106</v>
      </c>
      <c r="E20276">
        <v>13.997001499250301</v>
      </c>
    </row>
    <row r="20277" spans="1:5">
      <c r="A20277" t="s">
        <v>23530</v>
      </c>
      <c r="B20277" t="s">
        <v>23531</v>
      </c>
      <c r="C20277">
        <v>0.21034099385499999</v>
      </c>
      <c r="D20277">
        <v>0.97294438189700005</v>
      </c>
      <c r="E20277">
        <v>24</v>
      </c>
    </row>
    <row r="20278" spans="1:5">
      <c r="A20278" t="s">
        <v>23530</v>
      </c>
      <c r="B20278" t="s">
        <v>23532</v>
      </c>
      <c r="C20278">
        <f>0</f>
        <v>0</v>
      </c>
      <c r="D20278">
        <v>0.97294438189700005</v>
      </c>
      <c r="E20278">
        <v>24</v>
      </c>
    </row>
    <row r="20279" spans="1:5">
      <c r="A20279" t="s">
        <v>23530</v>
      </c>
      <c r="B20279" t="s">
        <v>23533</v>
      </c>
      <c r="C20279">
        <v>0</v>
      </c>
      <c r="D20279">
        <v>0.97294438189700005</v>
      </c>
      <c r="E20279">
        <v>24</v>
      </c>
    </row>
    <row r="20280" spans="1:5">
      <c r="A20280" t="s">
        <v>23530</v>
      </c>
      <c r="B20280" t="s">
        <v>23534</v>
      </c>
      <c r="C20280">
        <v>0</v>
      </c>
      <c r="D20280">
        <v>0.97294438189700005</v>
      </c>
      <c r="E20280">
        <v>24</v>
      </c>
    </row>
    <row r="20281" spans="1:5">
      <c r="A20281" t="s">
        <v>23530</v>
      </c>
      <c r="B20281" t="s">
        <v>23535</v>
      </c>
      <c r="C20281">
        <v>0</v>
      </c>
      <c r="D20281">
        <v>0.97294438189700005</v>
      </c>
      <c r="E20281">
        <v>24</v>
      </c>
    </row>
    <row r="20282" spans="1:5">
      <c r="A20282" t="s">
        <v>23530</v>
      </c>
      <c r="B20282" t="s">
        <v>23536</v>
      </c>
      <c r="C20282">
        <v>0</v>
      </c>
      <c r="D20282">
        <v>0.97294438189700005</v>
      </c>
      <c r="E20282">
        <v>24</v>
      </c>
    </row>
    <row r="20283" spans="1:5">
      <c r="A20283" t="s">
        <v>23530</v>
      </c>
      <c r="B20283" t="s">
        <v>23537</v>
      </c>
      <c r="C20283">
        <f>0</f>
        <v>0</v>
      </c>
      <c r="D20283">
        <v>0.97294438189700005</v>
      </c>
      <c r="E20283">
        <v>24</v>
      </c>
    </row>
    <row r="20284" spans="1:5">
      <c r="A20284" t="s">
        <v>23530</v>
      </c>
      <c r="B20284" t="s">
        <v>23538</v>
      </c>
      <c r="C20284">
        <f>0.00759846962304</f>
        <v>7.5984696230399999E-3</v>
      </c>
      <c r="D20284">
        <v>0.97294438189700005</v>
      </c>
      <c r="E20284">
        <v>24</v>
      </c>
    </row>
    <row r="20285" spans="1:5">
      <c r="A20285" t="s">
        <v>23539</v>
      </c>
      <c r="B20285" t="s">
        <v>23540</v>
      </c>
      <c r="C20285">
        <v>0.104977917171</v>
      </c>
      <c r="D20285" t="s">
        <v>106</v>
      </c>
      <c r="E20285">
        <v>19.4182908545727</v>
      </c>
    </row>
    <row r="20286" spans="1:5">
      <c r="A20286" t="s">
        <v>23541</v>
      </c>
      <c r="B20286" t="s">
        <v>23542</v>
      </c>
      <c r="C20286">
        <v>0</v>
      </c>
      <c r="D20286" t="s">
        <v>106</v>
      </c>
      <c r="E20286">
        <v>21.181409295352299</v>
      </c>
    </row>
    <row r="20287" spans="1:5">
      <c r="A20287" t="s">
        <v>23541</v>
      </c>
      <c r="B20287" t="s">
        <v>23543</v>
      </c>
      <c r="C20287">
        <f>0</f>
        <v>0</v>
      </c>
      <c r="D20287" t="s">
        <v>106</v>
      </c>
      <c r="E20287">
        <v>21.181409295352299</v>
      </c>
    </row>
    <row r="20288" spans="1:5">
      <c r="A20288" t="s">
        <v>23544</v>
      </c>
      <c r="B20288" t="s">
        <v>23545</v>
      </c>
      <c r="C20288">
        <f>0</f>
        <v>0</v>
      </c>
      <c r="D20288" t="s">
        <v>106</v>
      </c>
      <c r="E20288">
        <v>24</v>
      </c>
    </row>
    <row r="20289" spans="1:5">
      <c r="A20289" t="s">
        <v>23544</v>
      </c>
      <c r="B20289" t="s">
        <v>23546</v>
      </c>
      <c r="C20289">
        <f>0</f>
        <v>0</v>
      </c>
      <c r="D20289" t="s">
        <v>106</v>
      </c>
      <c r="E20289">
        <v>24</v>
      </c>
    </row>
    <row r="20290" spans="1:5">
      <c r="A20290" t="s">
        <v>23544</v>
      </c>
      <c r="B20290" t="s">
        <v>23547</v>
      </c>
      <c r="C20290">
        <f>0.0155944250807</f>
        <v>1.5594425080700001E-2</v>
      </c>
      <c r="D20290" t="s">
        <v>106</v>
      </c>
      <c r="E20290">
        <v>24</v>
      </c>
    </row>
    <row r="20291" spans="1:5">
      <c r="A20291" t="s">
        <v>23544</v>
      </c>
      <c r="B20291" t="s">
        <v>23548</v>
      </c>
      <c r="C20291">
        <v>0</v>
      </c>
      <c r="D20291" t="s">
        <v>106</v>
      </c>
      <c r="E20291">
        <v>24</v>
      </c>
    </row>
    <row r="20292" spans="1:5">
      <c r="A20292" t="s">
        <v>23544</v>
      </c>
      <c r="B20292" t="s">
        <v>23549</v>
      </c>
      <c r="C20292">
        <v>0</v>
      </c>
      <c r="D20292" t="s">
        <v>106</v>
      </c>
      <c r="E20292">
        <v>24</v>
      </c>
    </row>
    <row r="20293" spans="1:5">
      <c r="A20293" t="s">
        <v>23544</v>
      </c>
      <c r="B20293" t="s">
        <v>23550</v>
      </c>
      <c r="C20293">
        <v>0</v>
      </c>
      <c r="D20293" t="s">
        <v>106</v>
      </c>
      <c r="E20293">
        <v>24</v>
      </c>
    </row>
    <row r="20294" spans="1:5">
      <c r="A20294" t="s">
        <v>23544</v>
      </c>
      <c r="B20294" t="s">
        <v>23551</v>
      </c>
      <c r="C20294">
        <v>0</v>
      </c>
      <c r="D20294" t="s">
        <v>106</v>
      </c>
      <c r="E20294">
        <v>24</v>
      </c>
    </row>
    <row r="20295" spans="1:5">
      <c r="A20295" t="s">
        <v>23544</v>
      </c>
      <c r="B20295" t="s">
        <v>23552</v>
      </c>
      <c r="C20295">
        <v>0</v>
      </c>
      <c r="D20295" t="s">
        <v>106</v>
      </c>
      <c r="E20295">
        <v>24</v>
      </c>
    </row>
    <row r="20296" spans="1:5">
      <c r="A20296" t="s">
        <v>23544</v>
      </c>
      <c r="B20296" t="s">
        <v>23553</v>
      </c>
      <c r="C20296">
        <f>0</f>
        <v>0</v>
      </c>
      <c r="D20296" t="s">
        <v>106</v>
      </c>
      <c r="E20296">
        <v>24</v>
      </c>
    </row>
    <row r="20297" spans="1:5">
      <c r="A20297" t="s">
        <v>23544</v>
      </c>
      <c r="B20297" t="s">
        <v>23554</v>
      </c>
      <c r="C20297">
        <f>0</f>
        <v>0</v>
      </c>
      <c r="D20297" t="s">
        <v>106</v>
      </c>
      <c r="E20297">
        <v>24</v>
      </c>
    </row>
    <row r="20298" spans="1:5">
      <c r="A20298" t="s">
        <v>23544</v>
      </c>
      <c r="B20298" t="s">
        <v>23555</v>
      </c>
      <c r="C20298">
        <v>0</v>
      </c>
      <c r="D20298" t="s">
        <v>106</v>
      </c>
      <c r="E20298">
        <v>24</v>
      </c>
    </row>
    <row r="20299" spans="1:5">
      <c r="A20299" t="s">
        <v>23544</v>
      </c>
      <c r="B20299" t="s">
        <v>23556</v>
      </c>
      <c r="C20299">
        <v>0</v>
      </c>
      <c r="D20299" t="s">
        <v>106</v>
      </c>
      <c r="E20299">
        <v>24</v>
      </c>
    </row>
    <row r="20300" spans="1:5">
      <c r="A20300" t="s">
        <v>23544</v>
      </c>
      <c r="B20300" t="s">
        <v>23557</v>
      </c>
      <c r="C20300">
        <f>0</f>
        <v>0</v>
      </c>
      <c r="D20300" t="s">
        <v>106</v>
      </c>
      <c r="E20300">
        <v>24</v>
      </c>
    </row>
    <row r="20301" spans="1:5">
      <c r="A20301" t="s">
        <v>23544</v>
      </c>
      <c r="B20301" t="s">
        <v>23558</v>
      </c>
      <c r="C20301">
        <v>0</v>
      </c>
      <c r="D20301" t="s">
        <v>106</v>
      </c>
      <c r="E20301">
        <v>24</v>
      </c>
    </row>
    <row r="20302" spans="1:5">
      <c r="A20302" t="s">
        <v>23544</v>
      </c>
      <c r="B20302" t="s">
        <v>23559</v>
      </c>
      <c r="C20302">
        <v>0</v>
      </c>
      <c r="D20302" t="s">
        <v>106</v>
      </c>
      <c r="E20302">
        <v>24</v>
      </c>
    </row>
    <row r="20303" spans="1:5">
      <c r="A20303" t="s">
        <v>23544</v>
      </c>
      <c r="B20303" t="s">
        <v>23560</v>
      </c>
      <c r="C20303">
        <f>0</f>
        <v>0</v>
      </c>
      <c r="D20303" t="s">
        <v>106</v>
      </c>
      <c r="E20303">
        <v>24</v>
      </c>
    </row>
    <row r="20304" spans="1:5">
      <c r="A20304" t="s">
        <v>23544</v>
      </c>
      <c r="B20304" t="s">
        <v>23561</v>
      </c>
      <c r="C20304">
        <f>0</f>
        <v>0</v>
      </c>
      <c r="D20304" t="s">
        <v>106</v>
      </c>
      <c r="E20304">
        <v>24</v>
      </c>
    </row>
    <row r="20305" spans="1:5">
      <c r="A20305" t="s">
        <v>23562</v>
      </c>
      <c r="B20305" t="s">
        <v>23563</v>
      </c>
      <c r="C20305">
        <f>0</f>
        <v>0</v>
      </c>
      <c r="D20305" t="s">
        <v>106</v>
      </c>
      <c r="E20305">
        <v>8.7196401799100407</v>
      </c>
    </row>
    <row r="20306" spans="1:5">
      <c r="A20306" t="s">
        <v>23562</v>
      </c>
      <c r="B20306" t="s">
        <v>23564</v>
      </c>
      <c r="C20306">
        <f>0</f>
        <v>0</v>
      </c>
      <c r="D20306" t="s">
        <v>106</v>
      </c>
      <c r="E20306">
        <v>8.7196401799100407</v>
      </c>
    </row>
    <row r="20307" spans="1:5">
      <c r="A20307" t="s">
        <v>23565</v>
      </c>
      <c r="B20307" t="s">
        <v>23566</v>
      </c>
      <c r="C20307">
        <v>3.6473448948699999E-2</v>
      </c>
      <c r="D20307">
        <v>0.99794852886600005</v>
      </c>
      <c r="E20307">
        <v>0.53973013493253297</v>
      </c>
    </row>
    <row r="20308" spans="1:5">
      <c r="A20308" t="s">
        <v>23565</v>
      </c>
      <c r="B20308" t="s">
        <v>23567</v>
      </c>
      <c r="C20308">
        <v>0</v>
      </c>
      <c r="D20308">
        <v>0.99794852886600005</v>
      </c>
      <c r="E20308">
        <v>0.53973013493253297</v>
      </c>
    </row>
    <row r="20309" spans="1:5">
      <c r="A20309" t="s">
        <v>23565</v>
      </c>
      <c r="B20309" t="s">
        <v>23568</v>
      </c>
      <c r="C20309">
        <v>0</v>
      </c>
      <c r="D20309">
        <v>0.99794852886600005</v>
      </c>
      <c r="E20309">
        <v>0.53973013493253297</v>
      </c>
    </row>
    <row r="20310" spans="1:5">
      <c r="A20310" t="s">
        <v>23565</v>
      </c>
      <c r="B20310" t="s">
        <v>23569</v>
      </c>
      <c r="C20310">
        <v>0</v>
      </c>
      <c r="D20310">
        <v>0.99794852886600005</v>
      </c>
      <c r="E20310">
        <v>0.53973013493253297</v>
      </c>
    </row>
    <row r="20311" spans="1:5">
      <c r="A20311" t="s">
        <v>23565</v>
      </c>
      <c r="B20311" t="s">
        <v>23570</v>
      </c>
      <c r="C20311">
        <v>0.54675713633199996</v>
      </c>
      <c r="D20311">
        <v>0.99794852886600005</v>
      </c>
      <c r="E20311">
        <v>0.53973013493253297</v>
      </c>
    </row>
    <row r="20312" spans="1:5">
      <c r="A20312" t="s">
        <v>23565</v>
      </c>
      <c r="B20312" t="s">
        <v>23571</v>
      </c>
      <c r="C20312">
        <v>0</v>
      </c>
      <c r="D20312">
        <v>0.99794852886600005</v>
      </c>
      <c r="E20312">
        <v>0.53973013493253297</v>
      </c>
    </row>
    <row r="20313" spans="1:5">
      <c r="A20313" t="s">
        <v>23565</v>
      </c>
      <c r="B20313" t="s">
        <v>23572</v>
      </c>
      <c r="C20313">
        <v>0</v>
      </c>
      <c r="D20313">
        <v>0.99794852886600005</v>
      </c>
      <c r="E20313">
        <v>0.53973013493253297</v>
      </c>
    </row>
    <row r="20314" spans="1:5">
      <c r="A20314" t="s">
        <v>23565</v>
      </c>
      <c r="B20314" t="s">
        <v>23573</v>
      </c>
      <c r="C20314">
        <v>0</v>
      </c>
      <c r="D20314">
        <v>0.99794852886600005</v>
      </c>
      <c r="E20314">
        <v>0.53973013493253297</v>
      </c>
    </row>
    <row r="20315" spans="1:5">
      <c r="A20315" t="s">
        <v>23574</v>
      </c>
      <c r="B20315" t="s">
        <v>23575</v>
      </c>
      <c r="C20315">
        <v>7.5849851016299999E-2</v>
      </c>
      <c r="D20315">
        <v>0.93173046883599997</v>
      </c>
      <c r="E20315">
        <v>8.5757121439280297</v>
      </c>
    </row>
    <row r="20316" spans="1:5">
      <c r="A20316" t="s">
        <v>23574</v>
      </c>
      <c r="B20316" t="s">
        <v>23576</v>
      </c>
      <c r="C20316">
        <v>0</v>
      </c>
      <c r="D20316">
        <v>0.93173046883599997</v>
      </c>
      <c r="E20316">
        <v>8.5757121439280297</v>
      </c>
    </row>
    <row r="20317" spans="1:5">
      <c r="A20317" t="s">
        <v>23574</v>
      </c>
      <c r="B20317" t="s">
        <v>23577</v>
      </c>
      <c r="C20317">
        <f>0</f>
        <v>0</v>
      </c>
      <c r="D20317">
        <v>0.93173046883599997</v>
      </c>
      <c r="E20317">
        <v>8.5757121439280297</v>
      </c>
    </row>
    <row r="20318" spans="1:5">
      <c r="A20318" t="s">
        <v>23578</v>
      </c>
      <c r="B20318" t="s">
        <v>23579</v>
      </c>
      <c r="C20318">
        <f>0.290031982159</f>
        <v>0.290031982159</v>
      </c>
      <c r="D20318">
        <v>0.84435032639899998</v>
      </c>
      <c r="E20318">
        <v>6.4287856071964002</v>
      </c>
    </row>
    <row r="20319" spans="1:5">
      <c r="A20319" t="s">
        <v>23578</v>
      </c>
      <c r="B20319" t="s">
        <v>23580</v>
      </c>
      <c r="C20319">
        <f>0</f>
        <v>0</v>
      </c>
      <c r="D20319">
        <v>0.84435032639899998</v>
      </c>
      <c r="E20319">
        <v>6.4287856071964002</v>
      </c>
    </row>
    <row r="20320" spans="1:5">
      <c r="A20320" t="s">
        <v>23581</v>
      </c>
      <c r="B20320" t="s">
        <v>23582</v>
      </c>
      <c r="C20320">
        <v>0</v>
      </c>
      <c r="D20320">
        <v>0.97566062443199997</v>
      </c>
      <c r="E20320">
        <v>1.6911544227886</v>
      </c>
    </row>
    <row r="20321" spans="1:5">
      <c r="A20321" t="s">
        <v>23581</v>
      </c>
      <c r="B20321" t="s">
        <v>23583</v>
      </c>
      <c r="C20321">
        <f>0</f>
        <v>0</v>
      </c>
      <c r="D20321">
        <v>0.97566062443199997</v>
      </c>
      <c r="E20321">
        <v>1.6911544227886</v>
      </c>
    </row>
    <row r="20322" spans="1:5">
      <c r="A20322" t="s">
        <v>23581</v>
      </c>
      <c r="B20322" t="s">
        <v>23584</v>
      </c>
      <c r="C20322">
        <v>0.336640977994</v>
      </c>
      <c r="D20322">
        <v>0.97566062443199997</v>
      </c>
      <c r="E20322">
        <v>1.6911544227886</v>
      </c>
    </row>
    <row r="20323" spans="1:5">
      <c r="A20323" t="s">
        <v>23581</v>
      </c>
      <c r="B20323" t="s">
        <v>23585</v>
      </c>
      <c r="C20323">
        <v>0</v>
      </c>
      <c r="D20323">
        <v>0.97566062443199997</v>
      </c>
      <c r="E20323">
        <v>1.6911544227886</v>
      </c>
    </row>
    <row r="20324" spans="1:5">
      <c r="A20324" t="s">
        <v>23581</v>
      </c>
      <c r="B20324" t="s">
        <v>23586</v>
      </c>
      <c r="C20324">
        <f>0</f>
        <v>0</v>
      </c>
      <c r="D20324">
        <v>0.97566062443199997</v>
      </c>
      <c r="E20324">
        <v>1.6911544227886</v>
      </c>
    </row>
    <row r="20325" spans="1:5">
      <c r="A20325" t="s">
        <v>23581</v>
      </c>
      <c r="B20325" t="s">
        <v>23587</v>
      </c>
      <c r="C20325">
        <v>0.62682723368299997</v>
      </c>
      <c r="D20325">
        <v>0.97566062443199997</v>
      </c>
      <c r="E20325">
        <v>1.6911544227886</v>
      </c>
    </row>
    <row r="20326" spans="1:5">
      <c r="A20326" t="s">
        <v>23581</v>
      </c>
      <c r="B20326" t="s">
        <v>23588</v>
      </c>
      <c r="C20326">
        <f>0</f>
        <v>0</v>
      </c>
      <c r="D20326">
        <v>0.97566062443199997</v>
      </c>
      <c r="E20326">
        <v>1.6911544227886</v>
      </c>
    </row>
    <row r="20327" spans="1:5">
      <c r="A20327" t="s">
        <v>23581</v>
      </c>
      <c r="B20327" t="s">
        <v>23589</v>
      </c>
      <c r="C20327">
        <v>0</v>
      </c>
      <c r="D20327">
        <v>0.97566062443199997</v>
      </c>
      <c r="E20327">
        <v>1.6911544227886</v>
      </c>
    </row>
    <row r="20328" spans="1:5">
      <c r="A20328" t="s">
        <v>23590</v>
      </c>
      <c r="B20328" t="s">
        <v>23591</v>
      </c>
      <c r="C20328">
        <v>5.0798037938099998E-2</v>
      </c>
      <c r="D20328" t="s">
        <v>106</v>
      </c>
      <c r="E20328">
        <v>19.4182908545727</v>
      </c>
    </row>
    <row r="20329" spans="1:5">
      <c r="A20329" t="s">
        <v>23590</v>
      </c>
      <c r="B20329" t="s">
        <v>23592</v>
      </c>
      <c r="C20329">
        <v>0</v>
      </c>
      <c r="D20329" t="s">
        <v>106</v>
      </c>
      <c r="E20329">
        <v>19.4182908545727</v>
      </c>
    </row>
    <row r="20330" spans="1:5">
      <c r="A20330" t="s">
        <v>23590</v>
      </c>
      <c r="B20330" t="s">
        <v>23593</v>
      </c>
      <c r="C20330">
        <v>0</v>
      </c>
      <c r="D20330" t="s">
        <v>106</v>
      </c>
      <c r="E20330">
        <v>19.4182908545727</v>
      </c>
    </row>
    <row r="20331" spans="1:5">
      <c r="A20331" t="s">
        <v>23590</v>
      </c>
      <c r="B20331" t="s">
        <v>23594</v>
      </c>
      <c r="C20331">
        <v>0</v>
      </c>
      <c r="D20331" t="s">
        <v>106</v>
      </c>
      <c r="E20331">
        <v>19.4182908545727</v>
      </c>
    </row>
    <row r="20332" spans="1:5">
      <c r="A20332" t="s">
        <v>23590</v>
      </c>
      <c r="B20332" t="s">
        <v>23595</v>
      </c>
      <c r="C20332">
        <v>0</v>
      </c>
      <c r="D20332" t="s">
        <v>106</v>
      </c>
      <c r="E20332">
        <v>19.4182908545727</v>
      </c>
    </row>
    <row r="20333" spans="1:5">
      <c r="A20333" t="s">
        <v>23590</v>
      </c>
      <c r="B20333" t="s">
        <v>23596</v>
      </c>
      <c r="C20333">
        <v>0</v>
      </c>
      <c r="D20333" t="s">
        <v>106</v>
      </c>
      <c r="E20333">
        <v>19.4182908545727</v>
      </c>
    </row>
    <row r="20334" spans="1:5">
      <c r="A20334" t="s">
        <v>23590</v>
      </c>
      <c r="B20334" t="s">
        <v>23597</v>
      </c>
      <c r="C20334">
        <v>6.2199991184100002E-2</v>
      </c>
      <c r="D20334" t="s">
        <v>106</v>
      </c>
      <c r="E20334">
        <v>19.4182908545727</v>
      </c>
    </row>
    <row r="20335" spans="1:5">
      <c r="A20335" t="s">
        <v>23590</v>
      </c>
      <c r="B20335" t="s">
        <v>23598</v>
      </c>
      <c r="C20335">
        <v>0</v>
      </c>
      <c r="D20335" t="s">
        <v>106</v>
      </c>
      <c r="E20335">
        <v>19.4182908545727</v>
      </c>
    </row>
    <row r="20336" spans="1:5">
      <c r="A20336" t="s">
        <v>23590</v>
      </c>
      <c r="B20336" t="s">
        <v>23599</v>
      </c>
      <c r="C20336">
        <v>0</v>
      </c>
      <c r="D20336" t="s">
        <v>106</v>
      </c>
      <c r="E20336">
        <v>19.4182908545727</v>
      </c>
    </row>
    <row r="20337" spans="1:5">
      <c r="A20337" t="s">
        <v>23590</v>
      </c>
      <c r="B20337" t="s">
        <v>23600</v>
      </c>
      <c r="C20337">
        <f>0</f>
        <v>0</v>
      </c>
      <c r="D20337" t="s">
        <v>106</v>
      </c>
      <c r="E20337">
        <v>19.4182908545727</v>
      </c>
    </row>
    <row r="20338" spans="1:5">
      <c r="A20338" t="s">
        <v>23590</v>
      </c>
      <c r="B20338" t="s">
        <v>23601</v>
      </c>
      <c r="C20338">
        <v>0</v>
      </c>
      <c r="D20338" t="s">
        <v>106</v>
      </c>
      <c r="E20338">
        <v>19.4182908545727</v>
      </c>
    </row>
    <row r="20339" spans="1:5">
      <c r="A20339" t="s">
        <v>23602</v>
      </c>
      <c r="B20339" t="s">
        <v>23603</v>
      </c>
      <c r="C20339">
        <v>0.290053111654</v>
      </c>
      <c r="D20339">
        <v>0.95197023945399994</v>
      </c>
      <c r="E20339">
        <v>12.2098950524737</v>
      </c>
    </row>
    <row r="20340" spans="1:5">
      <c r="A20340" t="s">
        <v>23602</v>
      </c>
      <c r="B20340" t="s">
        <v>23604</v>
      </c>
      <c r="C20340">
        <f>0</f>
        <v>0</v>
      </c>
      <c r="D20340">
        <v>0.95197023945399994</v>
      </c>
      <c r="E20340">
        <v>12.2098950524737</v>
      </c>
    </row>
    <row r="20341" spans="1:5">
      <c r="A20341" t="s">
        <v>23602</v>
      </c>
      <c r="B20341" t="s">
        <v>23605</v>
      </c>
      <c r="C20341">
        <v>0</v>
      </c>
      <c r="D20341">
        <v>0.95197023945399994</v>
      </c>
      <c r="E20341">
        <v>12.2098950524737</v>
      </c>
    </row>
    <row r="20342" spans="1:5">
      <c r="A20342" t="s">
        <v>23606</v>
      </c>
      <c r="B20342" t="s">
        <v>23607</v>
      </c>
      <c r="C20342">
        <v>0</v>
      </c>
      <c r="D20342" t="s">
        <v>106</v>
      </c>
      <c r="E20342">
        <v>22.332833583208298</v>
      </c>
    </row>
    <row r="20343" spans="1:5">
      <c r="A20343" t="s">
        <v>23606</v>
      </c>
      <c r="B20343" t="s">
        <v>23608</v>
      </c>
      <c r="C20343">
        <v>0</v>
      </c>
      <c r="D20343" t="s">
        <v>106</v>
      </c>
      <c r="E20343">
        <v>22.332833583208298</v>
      </c>
    </row>
    <row r="20344" spans="1:5">
      <c r="A20344" t="s">
        <v>23606</v>
      </c>
      <c r="B20344" t="s">
        <v>23609</v>
      </c>
      <c r="C20344">
        <f>0</f>
        <v>0</v>
      </c>
      <c r="D20344" t="s">
        <v>106</v>
      </c>
      <c r="E20344">
        <v>22.332833583208298</v>
      </c>
    </row>
    <row r="20345" spans="1:5">
      <c r="A20345" t="s">
        <v>23606</v>
      </c>
      <c r="B20345" t="s">
        <v>23610</v>
      </c>
      <c r="C20345">
        <f>0</f>
        <v>0</v>
      </c>
      <c r="D20345" t="s">
        <v>106</v>
      </c>
      <c r="E20345">
        <v>22.332833583208298</v>
      </c>
    </row>
    <row r="20346" spans="1:5">
      <c r="A20346" t="s">
        <v>23606</v>
      </c>
      <c r="B20346" t="s">
        <v>23611</v>
      </c>
      <c r="C20346">
        <f>0</f>
        <v>0</v>
      </c>
      <c r="D20346" t="s">
        <v>106</v>
      </c>
      <c r="E20346">
        <v>22.332833583208298</v>
      </c>
    </row>
    <row r="20347" spans="1:5">
      <c r="A20347" t="s">
        <v>23606</v>
      </c>
      <c r="B20347" t="s">
        <v>23612</v>
      </c>
      <c r="C20347">
        <f>0</f>
        <v>0</v>
      </c>
      <c r="D20347" t="s">
        <v>106</v>
      </c>
      <c r="E20347">
        <v>22.332833583208298</v>
      </c>
    </row>
    <row r="20348" spans="1:5">
      <c r="A20348" t="s">
        <v>23606</v>
      </c>
      <c r="B20348" t="s">
        <v>23613</v>
      </c>
      <c r="C20348">
        <v>0</v>
      </c>
      <c r="D20348" t="s">
        <v>106</v>
      </c>
      <c r="E20348">
        <v>22.332833583208298</v>
      </c>
    </row>
    <row r="20349" spans="1:5">
      <c r="A20349" t="s">
        <v>23606</v>
      </c>
      <c r="B20349" t="s">
        <v>23614</v>
      </c>
      <c r="C20349">
        <v>0</v>
      </c>
      <c r="D20349" t="s">
        <v>106</v>
      </c>
      <c r="E20349">
        <v>22.332833583208298</v>
      </c>
    </row>
    <row r="20350" spans="1:5">
      <c r="A20350" t="s">
        <v>23606</v>
      </c>
      <c r="B20350" t="s">
        <v>23615</v>
      </c>
      <c r="C20350">
        <f>0</f>
        <v>0</v>
      </c>
      <c r="D20350" t="s">
        <v>106</v>
      </c>
      <c r="E20350">
        <v>22.332833583208298</v>
      </c>
    </row>
    <row r="20351" spans="1:5">
      <c r="A20351" t="s">
        <v>23606</v>
      </c>
      <c r="B20351" t="s">
        <v>23616</v>
      </c>
      <c r="C20351">
        <v>0</v>
      </c>
      <c r="D20351" t="s">
        <v>106</v>
      </c>
      <c r="E20351">
        <v>22.332833583208298</v>
      </c>
    </row>
    <row r="20352" spans="1:5">
      <c r="A20352" t="s">
        <v>23606</v>
      </c>
      <c r="B20352" t="s">
        <v>23617</v>
      </c>
      <c r="C20352">
        <v>0</v>
      </c>
      <c r="D20352" t="s">
        <v>106</v>
      </c>
      <c r="E20352">
        <v>22.332833583208298</v>
      </c>
    </row>
    <row r="20353" spans="1:5">
      <c r="A20353" t="s">
        <v>23606</v>
      </c>
      <c r="B20353" t="s">
        <v>23618</v>
      </c>
      <c r="C20353">
        <f>0</f>
        <v>0</v>
      </c>
      <c r="D20353" t="s">
        <v>106</v>
      </c>
      <c r="E20353">
        <v>22.332833583208298</v>
      </c>
    </row>
    <row r="20354" spans="1:5">
      <c r="A20354" t="s">
        <v>23606</v>
      </c>
      <c r="B20354" t="s">
        <v>23619</v>
      </c>
      <c r="C20354">
        <v>0</v>
      </c>
      <c r="D20354" t="s">
        <v>106</v>
      </c>
      <c r="E20354">
        <v>22.332833583208298</v>
      </c>
    </row>
    <row r="20355" spans="1:5">
      <c r="A20355" t="s">
        <v>23606</v>
      </c>
      <c r="B20355" t="s">
        <v>23620</v>
      </c>
      <c r="C20355">
        <f>0</f>
        <v>0</v>
      </c>
      <c r="D20355" t="s">
        <v>106</v>
      </c>
      <c r="E20355">
        <v>22.332833583208298</v>
      </c>
    </row>
    <row r="20356" spans="1:5">
      <c r="A20356" t="s">
        <v>23606</v>
      </c>
      <c r="B20356" t="s">
        <v>23621</v>
      </c>
      <c r="C20356">
        <v>0</v>
      </c>
      <c r="D20356" t="s">
        <v>106</v>
      </c>
      <c r="E20356">
        <v>22.332833583208298</v>
      </c>
    </row>
    <row r="20357" spans="1:5">
      <c r="A20357" t="s">
        <v>23606</v>
      </c>
      <c r="B20357" t="s">
        <v>23622</v>
      </c>
      <c r="C20357">
        <v>0</v>
      </c>
      <c r="D20357" t="s">
        <v>106</v>
      </c>
      <c r="E20357">
        <v>22.332833583208298</v>
      </c>
    </row>
    <row r="20358" spans="1:5">
      <c r="A20358" t="s">
        <v>23606</v>
      </c>
      <c r="B20358" t="s">
        <v>23623</v>
      </c>
      <c r="C20358">
        <v>0</v>
      </c>
      <c r="D20358" t="s">
        <v>106</v>
      </c>
      <c r="E20358">
        <v>22.332833583208298</v>
      </c>
    </row>
    <row r="20359" spans="1:5">
      <c r="A20359" t="s">
        <v>23624</v>
      </c>
      <c r="B20359" t="s">
        <v>23625</v>
      </c>
      <c r="C20359">
        <v>0</v>
      </c>
      <c r="D20359">
        <v>0.89322451503400002</v>
      </c>
      <c r="E20359">
        <v>0.131934032983508</v>
      </c>
    </row>
    <row r="20360" spans="1:5">
      <c r="A20360" t="s">
        <v>23624</v>
      </c>
      <c r="B20360" t="s">
        <v>23626</v>
      </c>
      <c r="C20360">
        <v>0.43770518885999998</v>
      </c>
      <c r="D20360">
        <v>0.89322451503400002</v>
      </c>
      <c r="E20360">
        <v>0.131934032983508</v>
      </c>
    </row>
    <row r="20361" spans="1:5">
      <c r="A20361" t="s">
        <v>23624</v>
      </c>
      <c r="B20361" t="s">
        <v>23627</v>
      </c>
      <c r="C20361">
        <v>0</v>
      </c>
      <c r="D20361">
        <v>0.89322451503400002</v>
      </c>
      <c r="E20361">
        <v>0.131934032983508</v>
      </c>
    </row>
    <row r="20362" spans="1:5">
      <c r="A20362" t="s">
        <v>23624</v>
      </c>
      <c r="B20362" t="s">
        <v>23628</v>
      </c>
      <c r="C20362">
        <f>0</f>
        <v>0</v>
      </c>
      <c r="D20362">
        <v>0.89322451503400002</v>
      </c>
      <c r="E20362">
        <v>0.131934032983508</v>
      </c>
    </row>
    <row r="20363" spans="1:5">
      <c r="A20363" t="s">
        <v>23624</v>
      </c>
      <c r="B20363" t="s">
        <v>23629</v>
      </c>
      <c r="C20363">
        <f>0</f>
        <v>0</v>
      </c>
      <c r="D20363">
        <v>0.89322451503400002</v>
      </c>
      <c r="E20363">
        <v>0.131934032983508</v>
      </c>
    </row>
    <row r="20364" spans="1:5">
      <c r="A20364" t="s">
        <v>23630</v>
      </c>
      <c r="B20364" t="s">
        <v>23631</v>
      </c>
      <c r="C20364">
        <v>0.25973077835500002</v>
      </c>
      <c r="D20364">
        <v>0.95867286483299996</v>
      </c>
      <c r="E20364">
        <v>2.96251874062968</v>
      </c>
    </row>
    <row r="20365" spans="1:5">
      <c r="A20365" t="s">
        <v>23630</v>
      </c>
      <c r="B20365" t="s">
        <v>23632</v>
      </c>
      <c r="C20365">
        <v>0</v>
      </c>
      <c r="D20365">
        <v>0.95867286483299996</v>
      </c>
      <c r="E20365">
        <v>2.96251874062968</v>
      </c>
    </row>
    <row r="20366" spans="1:5">
      <c r="A20366" t="s">
        <v>23630</v>
      </c>
      <c r="B20366" t="s">
        <v>23633</v>
      </c>
      <c r="C20366">
        <v>0</v>
      </c>
      <c r="D20366">
        <v>0.95867286483299996</v>
      </c>
      <c r="E20366">
        <v>2.96251874062968</v>
      </c>
    </row>
    <row r="20367" spans="1:5">
      <c r="A20367" t="s">
        <v>23630</v>
      </c>
      <c r="B20367" t="s">
        <v>23634</v>
      </c>
      <c r="C20367">
        <f>0</f>
        <v>0</v>
      </c>
      <c r="D20367">
        <v>0.95867286483299996</v>
      </c>
      <c r="E20367">
        <v>2.96251874062968</v>
      </c>
    </row>
    <row r="20368" spans="1:5">
      <c r="A20368" t="s">
        <v>23635</v>
      </c>
      <c r="B20368" t="s">
        <v>23636</v>
      </c>
      <c r="C20368">
        <v>0</v>
      </c>
      <c r="D20368">
        <v>0.99455591571400004</v>
      </c>
      <c r="E20368">
        <v>15.904047976011899</v>
      </c>
    </row>
    <row r="20369" spans="1:5">
      <c r="A20369" t="s">
        <v>23635</v>
      </c>
      <c r="B20369" t="s">
        <v>23637</v>
      </c>
      <c r="C20369">
        <f>0.156620398503</f>
        <v>0.156620398503</v>
      </c>
      <c r="D20369">
        <v>0.99455591571400004</v>
      </c>
      <c r="E20369">
        <v>15.904047976011899</v>
      </c>
    </row>
    <row r="20370" spans="1:5">
      <c r="A20370" t="s">
        <v>23635</v>
      </c>
      <c r="B20370" t="s">
        <v>23638</v>
      </c>
      <c r="C20370">
        <f>0</f>
        <v>0</v>
      </c>
      <c r="D20370">
        <v>0.99455591571400004</v>
      </c>
      <c r="E20370">
        <v>15.904047976011899</v>
      </c>
    </row>
    <row r="20371" spans="1:5">
      <c r="A20371" t="s">
        <v>23639</v>
      </c>
      <c r="B20371" t="s">
        <v>23640</v>
      </c>
      <c r="C20371">
        <v>6.6529758084700005E-2</v>
      </c>
      <c r="D20371" t="s">
        <v>106</v>
      </c>
      <c r="E20371">
        <v>17.715142428785601</v>
      </c>
    </row>
    <row r="20372" spans="1:5">
      <c r="A20372" t="s">
        <v>23639</v>
      </c>
      <c r="B20372" t="s">
        <v>23641</v>
      </c>
      <c r="C20372">
        <f>0</f>
        <v>0</v>
      </c>
      <c r="D20372" t="s">
        <v>106</v>
      </c>
      <c r="E20372">
        <v>17.715142428785601</v>
      </c>
    </row>
    <row r="20373" spans="1:5">
      <c r="A20373" t="s">
        <v>23639</v>
      </c>
      <c r="B20373" t="s">
        <v>23642</v>
      </c>
      <c r="C20373">
        <v>0.122294041656</v>
      </c>
      <c r="D20373" t="s">
        <v>106</v>
      </c>
      <c r="E20373">
        <v>17.715142428785601</v>
      </c>
    </row>
    <row r="20374" spans="1:5">
      <c r="A20374" t="s">
        <v>23639</v>
      </c>
      <c r="B20374" t="s">
        <v>23643</v>
      </c>
      <c r="C20374">
        <v>0</v>
      </c>
      <c r="D20374" t="s">
        <v>106</v>
      </c>
      <c r="E20374">
        <v>17.715142428785601</v>
      </c>
    </row>
    <row r="20375" spans="1:5">
      <c r="A20375" t="s">
        <v>23644</v>
      </c>
      <c r="B20375" t="s">
        <v>23645</v>
      </c>
      <c r="C20375">
        <v>0</v>
      </c>
      <c r="D20375">
        <v>0.88411495777299998</v>
      </c>
      <c r="E20375">
        <v>6.0569715142428704</v>
      </c>
    </row>
    <row r="20376" spans="1:5">
      <c r="A20376" t="s">
        <v>23644</v>
      </c>
      <c r="B20376" t="s">
        <v>23646</v>
      </c>
      <c r="C20376">
        <f>0</f>
        <v>0</v>
      </c>
      <c r="D20376">
        <v>0.88411495777299998</v>
      </c>
      <c r="E20376">
        <v>6.0569715142428704</v>
      </c>
    </row>
    <row r="20377" spans="1:5">
      <c r="A20377" t="s">
        <v>23644</v>
      </c>
      <c r="B20377" t="s">
        <v>23647</v>
      </c>
      <c r="C20377">
        <f>0</f>
        <v>0</v>
      </c>
      <c r="D20377">
        <v>0.88411495777299998</v>
      </c>
      <c r="E20377">
        <v>6.0569715142428704</v>
      </c>
    </row>
    <row r="20378" spans="1:5">
      <c r="A20378" t="s">
        <v>23644</v>
      </c>
      <c r="B20378" t="s">
        <v>23648</v>
      </c>
      <c r="C20378">
        <f>0</f>
        <v>0</v>
      </c>
      <c r="D20378">
        <v>0.88411495777299998</v>
      </c>
      <c r="E20378">
        <v>6.0569715142428704</v>
      </c>
    </row>
    <row r="20379" spans="1:5">
      <c r="A20379" t="s">
        <v>23644</v>
      </c>
      <c r="B20379" t="s">
        <v>23649</v>
      </c>
      <c r="C20379">
        <f>0</f>
        <v>0</v>
      </c>
      <c r="D20379">
        <v>0.88411495777299998</v>
      </c>
      <c r="E20379">
        <v>6.0569715142428704</v>
      </c>
    </row>
    <row r="20380" spans="1:5">
      <c r="A20380" t="s">
        <v>23650</v>
      </c>
      <c r="B20380" t="s">
        <v>23651</v>
      </c>
      <c r="C20380">
        <v>0</v>
      </c>
      <c r="D20380" t="s">
        <v>106</v>
      </c>
      <c r="E20380">
        <v>13.0854572713643</v>
      </c>
    </row>
    <row r="20381" spans="1:5">
      <c r="A20381" t="s">
        <v>23650</v>
      </c>
      <c r="B20381" t="s">
        <v>23652</v>
      </c>
      <c r="C20381">
        <v>0</v>
      </c>
      <c r="D20381" t="s">
        <v>106</v>
      </c>
      <c r="E20381">
        <v>13.0854572713643</v>
      </c>
    </row>
    <row r="20382" spans="1:5">
      <c r="A20382" t="s">
        <v>23650</v>
      </c>
      <c r="B20382" t="s">
        <v>23653</v>
      </c>
      <c r="C20382">
        <v>0</v>
      </c>
      <c r="D20382" t="s">
        <v>106</v>
      </c>
      <c r="E20382">
        <v>13.0854572713643</v>
      </c>
    </row>
    <row r="20383" spans="1:5">
      <c r="A20383" t="s">
        <v>23650</v>
      </c>
      <c r="B20383" t="s">
        <v>23654</v>
      </c>
      <c r="C20383">
        <v>0</v>
      </c>
      <c r="D20383" t="s">
        <v>106</v>
      </c>
      <c r="E20383">
        <v>13.0854572713643</v>
      </c>
    </row>
    <row r="20384" spans="1:5">
      <c r="A20384" t="s">
        <v>23650</v>
      </c>
      <c r="B20384" t="s">
        <v>23655</v>
      </c>
      <c r="C20384">
        <v>0</v>
      </c>
      <c r="D20384" t="s">
        <v>106</v>
      </c>
      <c r="E20384">
        <v>13.0854572713643</v>
      </c>
    </row>
    <row r="20385" spans="1:5">
      <c r="A20385" t="s">
        <v>23650</v>
      </c>
      <c r="B20385" t="s">
        <v>23656</v>
      </c>
      <c r="C20385">
        <v>0</v>
      </c>
      <c r="D20385" t="s">
        <v>106</v>
      </c>
      <c r="E20385">
        <v>13.0854572713643</v>
      </c>
    </row>
    <row r="20386" spans="1:5">
      <c r="A20386" t="s">
        <v>23650</v>
      </c>
      <c r="B20386" t="s">
        <v>23657</v>
      </c>
      <c r="C20386">
        <v>0</v>
      </c>
      <c r="D20386" t="s">
        <v>106</v>
      </c>
      <c r="E20386">
        <v>13.0854572713643</v>
      </c>
    </row>
    <row r="20387" spans="1:5">
      <c r="A20387" t="s">
        <v>23650</v>
      </c>
      <c r="B20387" t="s">
        <v>23658</v>
      </c>
      <c r="C20387">
        <v>0</v>
      </c>
      <c r="D20387" t="s">
        <v>106</v>
      </c>
      <c r="E20387">
        <v>13.0854572713643</v>
      </c>
    </row>
    <row r="20388" spans="1:5">
      <c r="A20388" t="s">
        <v>23659</v>
      </c>
      <c r="B20388" t="s">
        <v>23660</v>
      </c>
      <c r="C20388">
        <v>0</v>
      </c>
      <c r="D20388">
        <v>0.69124490077900003</v>
      </c>
      <c r="E20388">
        <v>23.508245877061398</v>
      </c>
    </row>
    <row r="20389" spans="1:5">
      <c r="A20389" t="s">
        <v>23659</v>
      </c>
      <c r="B20389" t="s">
        <v>23661</v>
      </c>
      <c r="C20389">
        <v>0</v>
      </c>
      <c r="D20389">
        <v>0.69124490077900003</v>
      </c>
      <c r="E20389">
        <v>23.508245877061398</v>
      </c>
    </row>
    <row r="20390" spans="1:5">
      <c r="A20390" t="s">
        <v>23659</v>
      </c>
      <c r="B20390" t="s">
        <v>23662</v>
      </c>
      <c r="C20390">
        <v>6.9399339503599996E-3</v>
      </c>
      <c r="D20390">
        <v>0.69124490077900003</v>
      </c>
      <c r="E20390">
        <v>23.508245877061398</v>
      </c>
    </row>
    <row r="20391" spans="1:5">
      <c r="A20391" t="s">
        <v>23659</v>
      </c>
      <c r="B20391" t="s">
        <v>23663</v>
      </c>
      <c r="C20391">
        <v>0</v>
      </c>
      <c r="D20391">
        <v>0.69124490077900003</v>
      </c>
      <c r="E20391">
        <v>23.508245877061398</v>
      </c>
    </row>
    <row r="20392" spans="1:5">
      <c r="A20392" t="s">
        <v>23659</v>
      </c>
      <c r="B20392" t="s">
        <v>23664</v>
      </c>
      <c r="C20392">
        <f>0</f>
        <v>0</v>
      </c>
      <c r="D20392">
        <v>0.69124490077900003</v>
      </c>
      <c r="E20392">
        <v>23.508245877061398</v>
      </c>
    </row>
    <row r="20393" spans="1:5">
      <c r="A20393" t="s">
        <v>23659</v>
      </c>
      <c r="B20393" t="s">
        <v>23665</v>
      </c>
      <c r="C20393">
        <f>0</f>
        <v>0</v>
      </c>
      <c r="D20393">
        <v>0.69124490077900003</v>
      </c>
      <c r="E20393">
        <v>23.508245877061398</v>
      </c>
    </row>
    <row r="20394" spans="1:5">
      <c r="A20394" t="s">
        <v>23659</v>
      </c>
      <c r="B20394" t="s">
        <v>23666</v>
      </c>
      <c r="C20394">
        <v>0</v>
      </c>
      <c r="D20394">
        <v>0.69124490077900003</v>
      </c>
      <c r="E20394">
        <v>23.508245877061398</v>
      </c>
    </row>
    <row r="20395" spans="1:5">
      <c r="A20395" t="s">
        <v>23659</v>
      </c>
      <c r="B20395" t="s">
        <v>23667</v>
      </c>
      <c r="C20395">
        <f>0</f>
        <v>0</v>
      </c>
      <c r="D20395">
        <v>0.69124490077900003</v>
      </c>
      <c r="E20395">
        <v>23.508245877061398</v>
      </c>
    </row>
    <row r="20396" spans="1:5">
      <c r="A20396" t="s">
        <v>23659</v>
      </c>
      <c r="B20396" t="s">
        <v>23668</v>
      </c>
      <c r="C20396">
        <f>0</f>
        <v>0</v>
      </c>
      <c r="D20396">
        <v>0.69124490077900003</v>
      </c>
      <c r="E20396">
        <v>23.508245877061398</v>
      </c>
    </row>
    <row r="20397" spans="1:5">
      <c r="A20397" t="s">
        <v>23659</v>
      </c>
      <c r="B20397" t="s">
        <v>23669</v>
      </c>
      <c r="C20397">
        <f>0</f>
        <v>0</v>
      </c>
      <c r="D20397">
        <v>0.69124490077900003</v>
      </c>
      <c r="E20397">
        <v>23.508245877061398</v>
      </c>
    </row>
    <row r="20398" spans="1:5">
      <c r="A20398" t="s">
        <v>23670</v>
      </c>
      <c r="B20398" t="s">
        <v>23671</v>
      </c>
      <c r="C20398">
        <v>0</v>
      </c>
      <c r="D20398">
        <v>0.97616162184400002</v>
      </c>
      <c r="E20398">
        <v>15.1244377811094</v>
      </c>
    </row>
    <row r="20399" spans="1:5">
      <c r="A20399" t="s">
        <v>23670</v>
      </c>
      <c r="B20399" t="s">
        <v>23672</v>
      </c>
      <c r="C20399">
        <v>0</v>
      </c>
      <c r="D20399">
        <v>0.97616162184400002</v>
      </c>
      <c r="E20399">
        <v>15.1244377811094</v>
      </c>
    </row>
    <row r="20400" spans="1:5">
      <c r="A20400" t="s">
        <v>23670</v>
      </c>
      <c r="B20400" t="s">
        <v>23673</v>
      </c>
      <c r="C20400">
        <v>0</v>
      </c>
      <c r="D20400">
        <v>0.97616162184400002</v>
      </c>
      <c r="E20400">
        <v>15.1244377811094</v>
      </c>
    </row>
    <row r="20401" spans="1:5">
      <c r="A20401" t="s">
        <v>23670</v>
      </c>
      <c r="B20401" t="s">
        <v>23674</v>
      </c>
      <c r="C20401">
        <v>0</v>
      </c>
      <c r="D20401">
        <v>0.97616162184400002</v>
      </c>
      <c r="E20401">
        <v>15.1244377811094</v>
      </c>
    </row>
    <row r="20402" spans="1:5">
      <c r="A20402" t="s">
        <v>23670</v>
      </c>
      <c r="B20402" t="s">
        <v>23675</v>
      </c>
      <c r="C20402">
        <v>0</v>
      </c>
      <c r="D20402">
        <v>0.97616162184400002</v>
      </c>
      <c r="E20402">
        <v>15.1244377811094</v>
      </c>
    </row>
    <row r="20403" spans="1:5">
      <c r="A20403" t="s">
        <v>23670</v>
      </c>
      <c r="B20403" t="s">
        <v>23676</v>
      </c>
      <c r="C20403">
        <v>0</v>
      </c>
      <c r="D20403">
        <v>0.97616162184400002</v>
      </c>
      <c r="E20403">
        <v>15.1244377811094</v>
      </c>
    </row>
    <row r="20404" spans="1:5">
      <c r="A20404" t="s">
        <v>23670</v>
      </c>
      <c r="B20404" t="s">
        <v>23677</v>
      </c>
      <c r="C20404">
        <v>0</v>
      </c>
      <c r="D20404">
        <v>0.97616162184400002</v>
      </c>
      <c r="E20404">
        <v>15.1244377811094</v>
      </c>
    </row>
    <row r="20405" spans="1:5">
      <c r="A20405" t="s">
        <v>23670</v>
      </c>
      <c r="B20405" t="s">
        <v>23678</v>
      </c>
      <c r="C20405">
        <v>0</v>
      </c>
      <c r="D20405">
        <v>0.97616162184400002</v>
      </c>
      <c r="E20405">
        <v>15.1244377811094</v>
      </c>
    </row>
    <row r="20406" spans="1:5">
      <c r="A20406" t="s">
        <v>23670</v>
      </c>
      <c r="B20406" t="s">
        <v>23679</v>
      </c>
      <c r="C20406">
        <v>1.8656304473399998E-2</v>
      </c>
      <c r="D20406">
        <v>0.97616162184400002</v>
      </c>
      <c r="E20406">
        <v>15.1244377811094</v>
      </c>
    </row>
    <row r="20407" spans="1:5">
      <c r="A20407" t="s">
        <v>23670</v>
      </c>
      <c r="B20407" t="s">
        <v>23680</v>
      </c>
      <c r="C20407">
        <v>0</v>
      </c>
      <c r="D20407">
        <v>0.97616162184400002</v>
      </c>
      <c r="E20407">
        <v>15.1244377811094</v>
      </c>
    </row>
    <row r="20408" spans="1:5">
      <c r="A20408" t="s">
        <v>23670</v>
      </c>
      <c r="B20408" t="s">
        <v>23681</v>
      </c>
      <c r="C20408">
        <v>2.7774470925299999E-2</v>
      </c>
      <c r="D20408">
        <v>0.97616162184400002</v>
      </c>
      <c r="E20408">
        <v>15.1244377811094</v>
      </c>
    </row>
    <row r="20409" spans="1:5">
      <c r="A20409" t="s">
        <v>23682</v>
      </c>
      <c r="B20409" t="s">
        <v>23683</v>
      </c>
      <c r="C20409">
        <f>0</f>
        <v>0</v>
      </c>
      <c r="D20409">
        <v>0.97504867747400004</v>
      </c>
      <c r="E20409">
        <v>5.4692653673163401</v>
      </c>
    </row>
    <row r="20410" spans="1:5">
      <c r="A20410" t="s">
        <v>23682</v>
      </c>
      <c r="B20410" t="s">
        <v>23684</v>
      </c>
      <c r="C20410">
        <f>0</f>
        <v>0</v>
      </c>
      <c r="D20410">
        <v>0.97504867747400004</v>
      </c>
      <c r="E20410">
        <v>5.4692653673163401</v>
      </c>
    </row>
    <row r="20411" spans="1:5">
      <c r="A20411" t="s">
        <v>23682</v>
      </c>
      <c r="B20411" t="s">
        <v>23685</v>
      </c>
      <c r="C20411">
        <v>2.55630752801E-2</v>
      </c>
      <c r="D20411">
        <v>0.97504867747400004</v>
      </c>
      <c r="E20411">
        <v>5.4692653673163401</v>
      </c>
    </row>
    <row r="20412" spans="1:5">
      <c r="A20412" t="s">
        <v>23682</v>
      </c>
      <c r="B20412" t="s">
        <v>23686</v>
      </c>
      <c r="C20412">
        <v>6.3874959336000001E-2</v>
      </c>
      <c r="D20412">
        <v>0.97504867747400004</v>
      </c>
      <c r="E20412">
        <v>5.4692653673163401</v>
      </c>
    </row>
    <row r="20413" spans="1:5">
      <c r="A20413" t="s">
        <v>23682</v>
      </c>
      <c r="B20413" t="s">
        <v>23687</v>
      </c>
      <c r="C20413">
        <v>0</v>
      </c>
      <c r="D20413">
        <v>0.97504867747400004</v>
      </c>
      <c r="E20413">
        <v>5.4692653673163401</v>
      </c>
    </row>
    <row r="20414" spans="1:5">
      <c r="A20414" t="s">
        <v>23682</v>
      </c>
      <c r="B20414" t="s">
        <v>23688</v>
      </c>
      <c r="C20414">
        <v>0</v>
      </c>
      <c r="D20414">
        <v>0.97504867747400004</v>
      </c>
      <c r="E20414">
        <v>5.4692653673163401</v>
      </c>
    </row>
    <row r="20415" spans="1:5">
      <c r="A20415" t="s">
        <v>23682</v>
      </c>
      <c r="B20415" t="s">
        <v>23689</v>
      </c>
      <c r="C20415">
        <v>0</v>
      </c>
      <c r="D20415">
        <v>0.97504867747400004</v>
      </c>
      <c r="E20415">
        <v>5.4692653673163401</v>
      </c>
    </row>
    <row r="20416" spans="1:5">
      <c r="A20416" t="s">
        <v>23682</v>
      </c>
      <c r="B20416" t="s">
        <v>23690</v>
      </c>
      <c r="C20416">
        <v>0</v>
      </c>
      <c r="D20416">
        <v>0.97504867747400004</v>
      </c>
      <c r="E20416">
        <v>5.4692653673163401</v>
      </c>
    </row>
    <row r="20417" spans="1:5">
      <c r="A20417" t="s">
        <v>23691</v>
      </c>
      <c r="B20417" t="s">
        <v>23692</v>
      </c>
      <c r="C20417">
        <v>0</v>
      </c>
      <c r="D20417">
        <v>0.95153370837700002</v>
      </c>
      <c r="E20417">
        <v>3.8740629685157399</v>
      </c>
    </row>
    <row r="20418" spans="1:5">
      <c r="A20418" t="s">
        <v>23691</v>
      </c>
      <c r="B20418" t="s">
        <v>23693</v>
      </c>
      <c r="C20418">
        <f>0.0467585873675</f>
        <v>4.67585873675E-2</v>
      </c>
      <c r="D20418">
        <v>0.95153370837700002</v>
      </c>
      <c r="E20418">
        <v>3.8740629685157399</v>
      </c>
    </row>
    <row r="20419" spans="1:5">
      <c r="A20419" t="s">
        <v>23691</v>
      </c>
      <c r="B20419" t="s">
        <v>23694</v>
      </c>
      <c r="C20419">
        <f>0</f>
        <v>0</v>
      </c>
      <c r="D20419">
        <v>0.95153370837700002</v>
      </c>
      <c r="E20419">
        <v>3.8740629685157399</v>
      </c>
    </row>
    <row r="20420" spans="1:5">
      <c r="A20420" t="s">
        <v>23691</v>
      </c>
      <c r="B20420" t="s">
        <v>23695</v>
      </c>
      <c r="C20420">
        <f>0</f>
        <v>0</v>
      </c>
      <c r="D20420">
        <v>0.95153370837700002</v>
      </c>
      <c r="E20420">
        <v>3.8740629685157399</v>
      </c>
    </row>
    <row r="20421" spans="1:5">
      <c r="A20421" t="s">
        <v>23691</v>
      </c>
      <c r="B20421" t="s">
        <v>23696</v>
      </c>
      <c r="C20421">
        <f>0</f>
        <v>0</v>
      </c>
      <c r="D20421">
        <v>0.95153370837700002</v>
      </c>
      <c r="E20421">
        <v>3.8740629685157399</v>
      </c>
    </row>
    <row r="20422" spans="1:5">
      <c r="A20422" t="s">
        <v>23691</v>
      </c>
      <c r="B20422" t="s">
        <v>23697</v>
      </c>
      <c r="C20422">
        <f>0</f>
        <v>0</v>
      </c>
      <c r="D20422">
        <v>0.95153370837700002</v>
      </c>
      <c r="E20422">
        <v>3.8740629685157399</v>
      </c>
    </row>
    <row r="20423" spans="1:5">
      <c r="A20423" t="s">
        <v>23691</v>
      </c>
      <c r="B20423" t="s">
        <v>23698</v>
      </c>
      <c r="C20423">
        <f>0</f>
        <v>0</v>
      </c>
      <c r="D20423">
        <v>0.95153370837700002</v>
      </c>
      <c r="E20423">
        <v>3.8740629685157399</v>
      </c>
    </row>
    <row r="20424" spans="1:5">
      <c r="A20424" t="s">
        <v>23691</v>
      </c>
      <c r="B20424" t="s">
        <v>23699</v>
      </c>
      <c r="C20424">
        <f>0.167586121035</f>
        <v>0.16758612103500001</v>
      </c>
      <c r="D20424">
        <v>0.95153370837700002</v>
      </c>
      <c r="E20424">
        <v>3.8740629685157399</v>
      </c>
    </row>
    <row r="20425" spans="1:5">
      <c r="A20425" t="s">
        <v>23691</v>
      </c>
      <c r="B20425" t="s">
        <v>23700</v>
      </c>
      <c r="C20425">
        <f>0</f>
        <v>0</v>
      </c>
      <c r="D20425">
        <v>0.95153370837700002</v>
      </c>
      <c r="E20425">
        <v>3.8740629685157399</v>
      </c>
    </row>
    <row r="20426" spans="1:5">
      <c r="A20426" t="s">
        <v>23691</v>
      </c>
      <c r="B20426" t="s">
        <v>23701</v>
      </c>
      <c r="C20426">
        <f>0</f>
        <v>0</v>
      </c>
      <c r="D20426">
        <v>0.95153370837700002</v>
      </c>
      <c r="E20426">
        <v>3.8740629685157399</v>
      </c>
    </row>
    <row r="20427" spans="1:5">
      <c r="A20427" t="s">
        <v>23691</v>
      </c>
      <c r="B20427" t="s">
        <v>23702</v>
      </c>
      <c r="C20427">
        <f>0</f>
        <v>0</v>
      </c>
      <c r="D20427">
        <v>0.95153370837700002</v>
      </c>
      <c r="E20427">
        <v>3.8740629685157399</v>
      </c>
    </row>
    <row r="20428" spans="1:5">
      <c r="A20428" t="s">
        <v>23691</v>
      </c>
      <c r="B20428" t="s">
        <v>23703</v>
      </c>
      <c r="C20428">
        <v>0</v>
      </c>
      <c r="D20428">
        <v>0.95153370837700002</v>
      </c>
      <c r="E20428">
        <v>3.8740629685157399</v>
      </c>
    </row>
    <row r="20429" spans="1:5">
      <c r="A20429" t="s">
        <v>23691</v>
      </c>
      <c r="B20429" t="s">
        <v>23704</v>
      </c>
      <c r="C20429">
        <f>0</f>
        <v>0</v>
      </c>
      <c r="D20429">
        <v>0.95153370837700002</v>
      </c>
      <c r="E20429">
        <v>3.8740629685157399</v>
      </c>
    </row>
    <row r="20430" spans="1:5">
      <c r="A20430" t="s">
        <v>23691</v>
      </c>
      <c r="B20430" t="s">
        <v>23705</v>
      </c>
      <c r="C20430">
        <v>0</v>
      </c>
      <c r="D20430">
        <v>0.95153370837700002</v>
      </c>
      <c r="E20430">
        <v>3.8740629685157399</v>
      </c>
    </row>
    <row r="20431" spans="1:5">
      <c r="A20431" t="s">
        <v>23706</v>
      </c>
      <c r="B20431" t="s">
        <v>23707</v>
      </c>
      <c r="C20431">
        <v>0</v>
      </c>
      <c r="D20431" t="s">
        <v>106</v>
      </c>
      <c r="E20431">
        <v>3.68215892053973</v>
      </c>
    </row>
    <row r="20432" spans="1:5">
      <c r="A20432" t="s">
        <v>23706</v>
      </c>
      <c r="B20432" t="s">
        <v>23708</v>
      </c>
      <c r="C20432">
        <f>0</f>
        <v>0</v>
      </c>
      <c r="D20432" t="s">
        <v>106</v>
      </c>
      <c r="E20432">
        <v>3.68215892053973</v>
      </c>
    </row>
    <row r="20433" spans="1:5">
      <c r="A20433" t="s">
        <v>23706</v>
      </c>
      <c r="B20433" t="s">
        <v>23709</v>
      </c>
      <c r="C20433">
        <v>0</v>
      </c>
      <c r="D20433" t="s">
        <v>106</v>
      </c>
      <c r="E20433">
        <v>3.68215892053973</v>
      </c>
    </row>
    <row r="20434" spans="1:5">
      <c r="A20434" t="s">
        <v>23706</v>
      </c>
      <c r="B20434" t="s">
        <v>23710</v>
      </c>
      <c r="C20434">
        <v>0</v>
      </c>
      <c r="D20434" t="s">
        <v>106</v>
      </c>
      <c r="E20434">
        <v>3.68215892053973</v>
      </c>
    </row>
    <row r="20435" spans="1:5">
      <c r="A20435" t="s">
        <v>23706</v>
      </c>
      <c r="B20435" t="s">
        <v>23711</v>
      </c>
      <c r="C20435">
        <f>0.0640994647084</f>
        <v>6.40994647084E-2</v>
      </c>
      <c r="D20435" t="s">
        <v>106</v>
      </c>
      <c r="E20435">
        <v>3.68215892053973</v>
      </c>
    </row>
    <row r="20436" spans="1:5">
      <c r="A20436" t="s">
        <v>23706</v>
      </c>
      <c r="B20436" t="s">
        <v>23712</v>
      </c>
      <c r="C20436">
        <v>0</v>
      </c>
      <c r="D20436" t="s">
        <v>106</v>
      </c>
      <c r="E20436">
        <v>3.68215892053973</v>
      </c>
    </row>
    <row r="20437" spans="1:5">
      <c r="A20437" t="s">
        <v>23706</v>
      </c>
      <c r="B20437" t="s">
        <v>23713</v>
      </c>
      <c r="C20437">
        <v>0</v>
      </c>
      <c r="D20437" t="s">
        <v>106</v>
      </c>
      <c r="E20437">
        <v>3.68215892053973</v>
      </c>
    </row>
    <row r="20438" spans="1:5">
      <c r="A20438" t="s">
        <v>23706</v>
      </c>
      <c r="B20438" t="s">
        <v>23714</v>
      </c>
      <c r="C20438">
        <f>0</f>
        <v>0</v>
      </c>
      <c r="D20438" t="s">
        <v>106</v>
      </c>
      <c r="E20438">
        <v>3.68215892053973</v>
      </c>
    </row>
    <row r="20439" spans="1:5">
      <c r="A20439" t="s">
        <v>23706</v>
      </c>
      <c r="B20439" t="s">
        <v>23715</v>
      </c>
      <c r="C20439">
        <v>1.5689705099099999E-3</v>
      </c>
      <c r="D20439" t="s">
        <v>106</v>
      </c>
      <c r="E20439">
        <v>3.68215892053973</v>
      </c>
    </row>
    <row r="20440" spans="1:5">
      <c r="A20440" t="s">
        <v>23716</v>
      </c>
      <c r="B20440" t="s">
        <v>23717</v>
      </c>
      <c r="C20440">
        <v>0</v>
      </c>
      <c r="D20440" t="s">
        <v>106</v>
      </c>
      <c r="E20440">
        <v>1.8230884557721101</v>
      </c>
    </row>
    <row r="20441" spans="1:5">
      <c r="A20441" t="s">
        <v>23716</v>
      </c>
      <c r="B20441" t="s">
        <v>23718</v>
      </c>
      <c r="C20441">
        <v>0</v>
      </c>
      <c r="D20441" t="s">
        <v>106</v>
      </c>
      <c r="E20441">
        <v>1.8230884557721101</v>
      </c>
    </row>
    <row r="20442" spans="1:5">
      <c r="A20442" t="s">
        <v>23716</v>
      </c>
      <c r="B20442" t="s">
        <v>23719</v>
      </c>
      <c r="C20442">
        <f>0</f>
        <v>0</v>
      </c>
      <c r="D20442" t="s">
        <v>106</v>
      </c>
      <c r="E20442">
        <v>1.8230884557721101</v>
      </c>
    </row>
    <row r="20443" spans="1:5">
      <c r="A20443" t="s">
        <v>23720</v>
      </c>
      <c r="B20443" t="s">
        <v>23721</v>
      </c>
      <c r="C20443">
        <f>0</f>
        <v>0</v>
      </c>
      <c r="D20443">
        <v>0.96837981406499996</v>
      </c>
      <c r="E20443">
        <v>3.8740629685157399</v>
      </c>
    </row>
    <row r="20444" spans="1:5">
      <c r="A20444" t="s">
        <v>23720</v>
      </c>
      <c r="B20444" t="s">
        <v>23722</v>
      </c>
      <c r="C20444">
        <f>0</f>
        <v>0</v>
      </c>
      <c r="D20444">
        <v>0.96837981406499996</v>
      </c>
      <c r="E20444">
        <v>3.8740629685157399</v>
      </c>
    </row>
    <row r="20445" spans="1:5">
      <c r="A20445" t="s">
        <v>23720</v>
      </c>
      <c r="B20445" t="s">
        <v>23723</v>
      </c>
      <c r="C20445">
        <f>0</f>
        <v>0</v>
      </c>
      <c r="D20445">
        <v>0.96837981406499996</v>
      </c>
      <c r="E20445">
        <v>3.8740629685157399</v>
      </c>
    </row>
    <row r="20446" spans="1:5">
      <c r="A20446" t="s">
        <v>23720</v>
      </c>
      <c r="B20446" t="s">
        <v>23724</v>
      </c>
      <c r="C20446">
        <f>0</f>
        <v>0</v>
      </c>
      <c r="D20446">
        <v>0.96837981406499996</v>
      </c>
      <c r="E20446">
        <v>3.8740629685157399</v>
      </c>
    </row>
    <row r="20447" spans="1:5">
      <c r="A20447" t="s">
        <v>23720</v>
      </c>
      <c r="B20447" t="s">
        <v>23725</v>
      </c>
      <c r="C20447">
        <f>0</f>
        <v>0</v>
      </c>
      <c r="D20447">
        <v>0.96837981406499996</v>
      </c>
      <c r="E20447">
        <v>3.8740629685157399</v>
      </c>
    </row>
    <row r="20448" spans="1:5">
      <c r="A20448" t="s">
        <v>23726</v>
      </c>
      <c r="B20448" t="s">
        <v>23727</v>
      </c>
      <c r="C20448">
        <f>0.342176125583</f>
        <v>0.34217612558299998</v>
      </c>
      <c r="D20448">
        <v>0.97572881313899995</v>
      </c>
      <c r="E20448">
        <v>2.6386806596701602</v>
      </c>
    </row>
    <row r="20449" spans="1:5">
      <c r="A20449" t="s">
        <v>23728</v>
      </c>
      <c r="B20449" t="s">
        <v>23729</v>
      </c>
      <c r="C20449">
        <f>0</f>
        <v>0</v>
      </c>
      <c r="D20449">
        <v>0.89989517128200003</v>
      </c>
      <c r="E20449">
        <v>24</v>
      </c>
    </row>
    <row r="20450" spans="1:5">
      <c r="A20450" t="s">
        <v>23728</v>
      </c>
      <c r="B20450" t="s">
        <v>23730</v>
      </c>
      <c r="C20450">
        <f>0</f>
        <v>0</v>
      </c>
      <c r="D20450">
        <v>0.89989517128200003</v>
      </c>
      <c r="E20450">
        <v>24</v>
      </c>
    </row>
    <row r="20451" spans="1:5">
      <c r="A20451" t="s">
        <v>23728</v>
      </c>
      <c r="B20451" t="s">
        <v>23731</v>
      </c>
      <c r="C20451">
        <f>0.114615141051</f>
        <v>0.114615141051</v>
      </c>
      <c r="D20451">
        <v>0.89989517128200003</v>
      </c>
      <c r="E20451">
        <v>24</v>
      </c>
    </row>
    <row r="20452" spans="1:5">
      <c r="A20452" t="s">
        <v>23728</v>
      </c>
      <c r="B20452" t="s">
        <v>23732</v>
      </c>
      <c r="C20452">
        <f>0</f>
        <v>0</v>
      </c>
      <c r="D20452">
        <v>0.89989517128200003</v>
      </c>
      <c r="E20452">
        <v>24</v>
      </c>
    </row>
    <row r="20453" spans="1:5">
      <c r="A20453" t="s">
        <v>23728</v>
      </c>
      <c r="B20453" t="s">
        <v>23733</v>
      </c>
      <c r="C20453">
        <f>0.0802311579549</f>
        <v>8.0231157954900004E-2</v>
      </c>
      <c r="D20453">
        <v>0.89989517128200003</v>
      </c>
      <c r="E20453">
        <v>24</v>
      </c>
    </row>
    <row r="20454" spans="1:5">
      <c r="A20454" t="s">
        <v>23734</v>
      </c>
      <c r="B20454" t="s">
        <v>23735</v>
      </c>
      <c r="C20454">
        <v>0</v>
      </c>
      <c r="D20454">
        <v>0.72757151999400005</v>
      </c>
      <c r="E20454">
        <v>23.280359820089899</v>
      </c>
    </row>
    <row r="20455" spans="1:5">
      <c r="A20455" t="s">
        <v>23734</v>
      </c>
      <c r="B20455" t="s">
        <v>23736</v>
      </c>
      <c r="C20455">
        <v>5.9055519852499998E-3</v>
      </c>
      <c r="D20455">
        <v>0.72757151999400005</v>
      </c>
      <c r="E20455">
        <v>23.280359820089899</v>
      </c>
    </row>
    <row r="20456" spans="1:5">
      <c r="A20456" t="s">
        <v>23734</v>
      </c>
      <c r="B20456" t="s">
        <v>23737</v>
      </c>
      <c r="C20456">
        <v>8.7419534668800002E-3</v>
      </c>
      <c r="D20456">
        <v>0.72757151999400005</v>
      </c>
      <c r="E20456">
        <v>23.280359820089899</v>
      </c>
    </row>
    <row r="20457" spans="1:5">
      <c r="A20457" t="s">
        <v>23738</v>
      </c>
      <c r="B20457" t="s">
        <v>23739</v>
      </c>
      <c r="C20457">
        <v>0</v>
      </c>
      <c r="D20457">
        <v>0.72023254527199998</v>
      </c>
      <c r="E20457">
        <v>24</v>
      </c>
    </row>
    <row r="20458" spans="1:5">
      <c r="A20458" t="s">
        <v>23738</v>
      </c>
      <c r="B20458" t="s">
        <v>23740</v>
      </c>
      <c r="C20458">
        <f>0</f>
        <v>0</v>
      </c>
      <c r="D20458">
        <v>0.72023254527199998</v>
      </c>
      <c r="E20458">
        <v>24</v>
      </c>
    </row>
    <row r="20459" spans="1:5">
      <c r="A20459" t="s">
        <v>23738</v>
      </c>
      <c r="B20459" t="s">
        <v>23741</v>
      </c>
      <c r="C20459">
        <f>0.0213146531451</f>
        <v>2.1314653145100001E-2</v>
      </c>
      <c r="D20459">
        <v>0.72023254527199998</v>
      </c>
      <c r="E20459">
        <v>24</v>
      </c>
    </row>
    <row r="20460" spans="1:5">
      <c r="A20460" t="s">
        <v>23738</v>
      </c>
      <c r="B20460" t="s">
        <v>23742</v>
      </c>
      <c r="C20460">
        <v>3.8433375968599998E-3</v>
      </c>
      <c r="D20460">
        <v>0.72023254527199998</v>
      </c>
      <c r="E20460">
        <v>24</v>
      </c>
    </row>
    <row r="20461" spans="1:5">
      <c r="A20461" t="s">
        <v>23738</v>
      </c>
      <c r="B20461" t="s">
        <v>23743</v>
      </c>
      <c r="C20461">
        <v>0</v>
      </c>
      <c r="D20461">
        <v>0.72023254527199998</v>
      </c>
      <c r="E20461">
        <v>24</v>
      </c>
    </row>
    <row r="20462" spans="1:5">
      <c r="A20462" t="s">
        <v>23738</v>
      </c>
      <c r="B20462" t="s">
        <v>23744</v>
      </c>
      <c r="C20462">
        <v>0</v>
      </c>
      <c r="D20462">
        <v>0.72023254527199998</v>
      </c>
      <c r="E20462">
        <v>24</v>
      </c>
    </row>
    <row r="20463" spans="1:5">
      <c r="A20463" t="s">
        <v>23738</v>
      </c>
      <c r="B20463" t="s">
        <v>23745</v>
      </c>
      <c r="C20463">
        <v>0</v>
      </c>
      <c r="D20463">
        <v>0.72023254527199998</v>
      </c>
      <c r="E20463">
        <v>24</v>
      </c>
    </row>
    <row r="20464" spans="1:5">
      <c r="A20464" t="s">
        <v>23738</v>
      </c>
      <c r="B20464" t="s">
        <v>23746</v>
      </c>
      <c r="C20464">
        <f>0</f>
        <v>0</v>
      </c>
      <c r="D20464">
        <v>0.72023254527199998</v>
      </c>
      <c r="E20464">
        <v>24</v>
      </c>
    </row>
    <row r="20465" spans="1:5">
      <c r="A20465" t="s">
        <v>23738</v>
      </c>
      <c r="B20465" t="s">
        <v>23747</v>
      </c>
      <c r="C20465">
        <v>0</v>
      </c>
      <c r="D20465">
        <v>0.72023254527199998</v>
      </c>
      <c r="E20465">
        <v>24</v>
      </c>
    </row>
    <row r="20466" spans="1:5">
      <c r="A20466" t="s">
        <v>23748</v>
      </c>
      <c r="B20466" t="s">
        <v>23749</v>
      </c>
      <c r="C20466">
        <f>0</f>
        <v>0</v>
      </c>
      <c r="D20466" t="s">
        <v>106</v>
      </c>
      <c r="E20466">
        <v>5.9370314842578704</v>
      </c>
    </row>
    <row r="20467" spans="1:5">
      <c r="A20467" t="s">
        <v>23748</v>
      </c>
      <c r="B20467" t="s">
        <v>23750</v>
      </c>
      <c r="C20467">
        <f>0</f>
        <v>0</v>
      </c>
      <c r="D20467" t="s">
        <v>106</v>
      </c>
      <c r="E20467">
        <v>5.9370314842578704</v>
      </c>
    </row>
    <row r="20468" spans="1:5">
      <c r="A20468" t="s">
        <v>23748</v>
      </c>
      <c r="B20468" t="s">
        <v>23751</v>
      </c>
      <c r="C20468">
        <f>0</f>
        <v>0</v>
      </c>
      <c r="D20468" t="s">
        <v>106</v>
      </c>
      <c r="E20468">
        <v>5.9370314842578704</v>
      </c>
    </row>
    <row r="20469" spans="1:5">
      <c r="A20469" t="s">
        <v>23748</v>
      </c>
      <c r="B20469" t="s">
        <v>23752</v>
      </c>
      <c r="C20469">
        <f>0</f>
        <v>0</v>
      </c>
      <c r="D20469" t="s">
        <v>106</v>
      </c>
      <c r="E20469">
        <v>5.9370314842578704</v>
      </c>
    </row>
    <row r="20470" spans="1:5">
      <c r="A20470" t="s">
        <v>23748</v>
      </c>
      <c r="B20470" t="s">
        <v>23753</v>
      </c>
      <c r="C20470">
        <f>0</f>
        <v>0</v>
      </c>
      <c r="D20470" t="s">
        <v>106</v>
      </c>
      <c r="E20470">
        <v>5.9370314842578704</v>
      </c>
    </row>
    <row r="20471" spans="1:5">
      <c r="A20471" t="s">
        <v>23748</v>
      </c>
      <c r="B20471" t="s">
        <v>23754</v>
      </c>
      <c r="C20471">
        <f>0</f>
        <v>0</v>
      </c>
      <c r="D20471" t="s">
        <v>106</v>
      </c>
      <c r="E20471">
        <v>5.9370314842578704</v>
      </c>
    </row>
    <row r="20472" spans="1:5">
      <c r="A20472" t="s">
        <v>23748</v>
      </c>
      <c r="B20472" t="s">
        <v>23755</v>
      </c>
      <c r="C20472">
        <f>0</f>
        <v>0</v>
      </c>
      <c r="D20472" t="s">
        <v>106</v>
      </c>
      <c r="E20472">
        <v>5.9370314842578704</v>
      </c>
    </row>
    <row r="20473" spans="1:5">
      <c r="A20473" t="s">
        <v>23748</v>
      </c>
      <c r="B20473" t="s">
        <v>23756</v>
      </c>
      <c r="C20473">
        <f>0</f>
        <v>0</v>
      </c>
      <c r="D20473" t="s">
        <v>106</v>
      </c>
      <c r="E20473">
        <v>5.9370314842578704</v>
      </c>
    </row>
    <row r="20474" spans="1:5">
      <c r="A20474" t="s">
        <v>23748</v>
      </c>
      <c r="B20474" t="s">
        <v>23757</v>
      </c>
      <c r="C20474">
        <f>0</f>
        <v>0</v>
      </c>
      <c r="D20474" t="s">
        <v>106</v>
      </c>
      <c r="E20474">
        <v>5.9370314842578704</v>
      </c>
    </row>
    <row r="20475" spans="1:5">
      <c r="A20475" t="s">
        <v>23748</v>
      </c>
      <c r="B20475" t="s">
        <v>23758</v>
      </c>
      <c r="C20475">
        <v>0</v>
      </c>
      <c r="D20475" t="s">
        <v>106</v>
      </c>
      <c r="E20475">
        <v>5.9370314842578704</v>
      </c>
    </row>
    <row r="20476" spans="1:5">
      <c r="A20476" t="s">
        <v>23748</v>
      </c>
      <c r="B20476" t="s">
        <v>23759</v>
      </c>
      <c r="C20476">
        <f>0</f>
        <v>0</v>
      </c>
      <c r="D20476" t="s">
        <v>106</v>
      </c>
      <c r="E20476">
        <v>5.9370314842578704</v>
      </c>
    </row>
    <row r="20477" spans="1:5">
      <c r="A20477" t="s">
        <v>23748</v>
      </c>
      <c r="B20477" t="s">
        <v>23760</v>
      </c>
      <c r="C20477">
        <f>0</f>
        <v>0</v>
      </c>
      <c r="D20477" t="s">
        <v>106</v>
      </c>
      <c r="E20477">
        <v>5.9370314842578704</v>
      </c>
    </row>
    <row r="20478" spans="1:5">
      <c r="A20478" t="s">
        <v>23748</v>
      </c>
      <c r="B20478" t="s">
        <v>23761</v>
      </c>
      <c r="C20478">
        <f>0</f>
        <v>0</v>
      </c>
      <c r="D20478" t="s">
        <v>106</v>
      </c>
      <c r="E20478">
        <v>5.9370314842578704</v>
      </c>
    </row>
    <row r="20479" spans="1:5">
      <c r="A20479" t="s">
        <v>23748</v>
      </c>
      <c r="B20479" t="s">
        <v>23762</v>
      </c>
      <c r="C20479">
        <f>0</f>
        <v>0</v>
      </c>
      <c r="D20479" t="s">
        <v>106</v>
      </c>
      <c r="E20479">
        <v>5.9370314842578704</v>
      </c>
    </row>
    <row r="20480" spans="1:5">
      <c r="A20480" t="s">
        <v>23748</v>
      </c>
      <c r="B20480" t="s">
        <v>23763</v>
      </c>
      <c r="C20480">
        <v>0</v>
      </c>
      <c r="D20480" t="s">
        <v>106</v>
      </c>
      <c r="E20480">
        <v>5.9370314842578704</v>
      </c>
    </row>
    <row r="20481" spans="1:5">
      <c r="A20481" t="s">
        <v>23748</v>
      </c>
      <c r="B20481" t="s">
        <v>23764</v>
      </c>
      <c r="C20481">
        <f>0</f>
        <v>0</v>
      </c>
      <c r="D20481" t="s">
        <v>106</v>
      </c>
      <c r="E20481">
        <v>5.9370314842578704</v>
      </c>
    </row>
    <row r="20482" spans="1:5">
      <c r="A20482" t="s">
        <v>23748</v>
      </c>
      <c r="B20482" t="s">
        <v>23765</v>
      </c>
      <c r="C20482">
        <f>0</f>
        <v>0</v>
      </c>
      <c r="D20482" t="s">
        <v>106</v>
      </c>
      <c r="E20482">
        <v>5.9370314842578704</v>
      </c>
    </row>
    <row r="20483" spans="1:5">
      <c r="A20483" t="s">
        <v>23748</v>
      </c>
      <c r="B20483" t="s">
        <v>23766</v>
      </c>
      <c r="C20483">
        <v>0</v>
      </c>
      <c r="D20483" t="s">
        <v>106</v>
      </c>
      <c r="E20483">
        <v>5.9370314842578704</v>
      </c>
    </row>
    <row r="20484" spans="1:5">
      <c r="A20484" t="s">
        <v>23748</v>
      </c>
      <c r="B20484" t="s">
        <v>23767</v>
      </c>
      <c r="C20484">
        <v>0</v>
      </c>
      <c r="D20484" t="s">
        <v>106</v>
      </c>
      <c r="E20484">
        <v>5.9370314842578704</v>
      </c>
    </row>
    <row r="20485" spans="1:5">
      <c r="A20485" t="s">
        <v>23768</v>
      </c>
      <c r="B20485" t="s">
        <v>23769</v>
      </c>
      <c r="C20485">
        <v>0</v>
      </c>
      <c r="D20485">
        <v>0.98364696812600005</v>
      </c>
      <c r="E20485">
        <v>24</v>
      </c>
    </row>
    <row r="20486" spans="1:5">
      <c r="A20486" t="s">
        <v>23768</v>
      </c>
      <c r="B20486" t="s">
        <v>23770</v>
      </c>
      <c r="C20486">
        <v>0</v>
      </c>
      <c r="D20486">
        <v>0.98364696812600005</v>
      </c>
      <c r="E20486">
        <v>24</v>
      </c>
    </row>
    <row r="20487" spans="1:5">
      <c r="A20487" t="s">
        <v>23768</v>
      </c>
      <c r="B20487" t="s">
        <v>23771</v>
      </c>
      <c r="C20487">
        <v>9.1778804287900001E-2</v>
      </c>
      <c r="D20487">
        <v>0.98364696812600005</v>
      </c>
      <c r="E20487">
        <v>24</v>
      </c>
    </row>
    <row r="20488" spans="1:5">
      <c r="A20488" t="s">
        <v>23768</v>
      </c>
      <c r="B20488" t="s">
        <v>23772</v>
      </c>
      <c r="C20488">
        <v>0</v>
      </c>
      <c r="D20488">
        <v>0.98364696812600005</v>
      </c>
      <c r="E20488">
        <v>24</v>
      </c>
    </row>
    <row r="20489" spans="1:5">
      <c r="A20489" t="s">
        <v>23768</v>
      </c>
      <c r="B20489" t="s">
        <v>23773</v>
      </c>
      <c r="C20489">
        <v>0</v>
      </c>
      <c r="D20489">
        <v>0.98364696812600005</v>
      </c>
      <c r="E20489">
        <v>24</v>
      </c>
    </row>
    <row r="20490" spans="1:5">
      <c r="A20490" t="s">
        <v>23768</v>
      </c>
      <c r="B20490" t="s">
        <v>23774</v>
      </c>
      <c r="C20490">
        <f>0</f>
        <v>0</v>
      </c>
      <c r="D20490">
        <v>0.98364696812600005</v>
      </c>
      <c r="E20490">
        <v>24</v>
      </c>
    </row>
    <row r="20491" spans="1:5">
      <c r="A20491" t="s">
        <v>23768</v>
      </c>
      <c r="B20491" t="s">
        <v>23775</v>
      </c>
      <c r="C20491">
        <v>0</v>
      </c>
      <c r="D20491">
        <v>0.98364696812600005</v>
      </c>
      <c r="E20491">
        <v>24</v>
      </c>
    </row>
    <row r="20492" spans="1:5">
      <c r="A20492" t="s">
        <v>23768</v>
      </c>
      <c r="B20492" t="s">
        <v>23776</v>
      </c>
      <c r="C20492">
        <f>0</f>
        <v>0</v>
      </c>
      <c r="D20492">
        <v>0.98364696812600005</v>
      </c>
      <c r="E20492">
        <v>24</v>
      </c>
    </row>
    <row r="20493" spans="1:5">
      <c r="A20493" t="s">
        <v>23768</v>
      </c>
      <c r="B20493" t="s">
        <v>23777</v>
      </c>
      <c r="C20493">
        <f>0</f>
        <v>0</v>
      </c>
      <c r="D20493">
        <v>0.98364696812600005</v>
      </c>
      <c r="E20493">
        <v>24</v>
      </c>
    </row>
    <row r="20494" spans="1:5">
      <c r="A20494" t="s">
        <v>23768</v>
      </c>
      <c r="B20494" t="s">
        <v>23778</v>
      </c>
      <c r="C20494">
        <f>0</f>
        <v>0</v>
      </c>
      <c r="D20494">
        <v>0.98364696812600005</v>
      </c>
      <c r="E20494">
        <v>24</v>
      </c>
    </row>
    <row r="20495" spans="1:5">
      <c r="A20495" t="s">
        <v>23779</v>
      </c>
      <c r="B20495" t="s">
        <v>23780</v>
      </c>
      <c r="C20495">
        <f>0</f>
        <v>0</v>
      </c>
      <c r="D20495">
        <v>0.85414793915200005</v>
      </c>
      <c r="E20495">
        <v>23.280359820089899</v>
      </c>
    </row>
    <row r="20496" spans="1:5">
      <c r="A20496" t="s">
        <v>23779</v>
      </c>
      <c r="B20496" t="s">
        <v>23781</v>
      </c>
      <c r="C20496">
        <f>0</f>
        <v>0</v>
      </c>
      <c r="D20496">
        <v>0.85414793915200005</v>
      </c>
      <c r="E20496">
        <v>23.280359820089899</v>
      </c>
    </row>
    <row r="20497" spans="1:5">
      <c r="A20497" t="s">
        <v>23779</v>
      </c>
      <c r="B20497" t="s">
        <v>23782</v>
      </c>
      <c r="C20497">
        <f>0</f>
        <v>0</v>
      </c>
      <c r="D20497">
        <v>0.85414793915200005</v>
      </c>
      <c r="E20497">
        <v>23.280359820089899</v>
      </c>
    </row>
    <row r="20498" spans="1:5">
      <c r="A20498" t="s">
        <v>23779</v>
      </c>
      <c r="B20498" t="s">
        <v>23783</v>
      </c>
      <c r="C20498">
        <f>0</f>
        <v>0</v>
      </c>
      <c r="D20498">
        <v>0.85414793915200005</v>
      </c>
      <c r="E20498">
        <v>23.280359820089899</v>
      </c>
    </row>
    <row r="20499" spans="1:5">
      <c r="A20499" t="s">
        <v>23779</v>
      </c>
      <c r="B20499" t="s">
        <v>23784</v>
      </c>
      <c r="C20499">
        <v>0</v>
      </c>
      <c r="D20499">
        <v>0.85414793915200005</v>
      </c>
      <c r="E20499">
        <v>23.280359820089899</v>
      </c>
    </row>
    <row r="20500" spans="1:5">
      <c r="A20500" t="s">
        <v>23779</v>
      </c>
      <c r="B20500" t="s">
        <v>23785</v>
      </c>
      <c r="C20500">
        <f>0</f>
        <v>0</v>
      </c>
      <c r="D20500">
        <v>0.85414793915200005</v>
      </c>
      <c r="E20500">
        <v>23.280359820089899</v>
      </c>
    </row>
    <row r="20501" spans="1:5">
      <c r="A20501" t="s">
        <v>23779</v>
      </c>
      <c r="B20501" t="s">
        <v>23786</v>
      </c>
      <c r="C20501">
        <f>0</f>
        <v>0</v>
      </c>
      <c r="D20501">
        <v>0.85414793915200005</v>
      </c>
      <c r="E20501">
        <v>23.280359820089899</v>
      </c>
    </row>
    <row r="20502" spans="1:5">
      <c r="A20502" t="s">
        <v>23779</v>
      </c>
      <c r="B20502" t="s">
        <v>23787</v>
      </c>
      <c r="C20502">
        <f>0</f>
        <v>0</v>
      </c>
      <c r="D20502">
        <v>0.85414793915200005</v>
      </c>
      <c r="E20502">
        <v>23.280359820089899</v>
      </c>
    </row>
    <row r="20503" spans="1:5">
      <c r="A20503" t="s">
        <v>23779</v>
      </c>
      <c r="B20503" t="s">
        <v>23788</v>
      </c>
      <c r="C20503">
        <f>0</f>
        <v>0</v>
      </c>
      <c r="D20503">
        <v>0.85414793915200005</v>
      </c>
      <c r="E20503">
        <v>23.280359820089899</v>
      </c>
    </row>
    <row r="20504" spans="1:5">
      <c r="A20504" t="s">
        <v>23779</v>
      </c>
      <c r="B20504" t="s">
        <v>23789</v>
      </c>
      <c r="C20504">
        <v>0</v>
      </c>
      <c r="D20504">
        <v>0.85414793915200005</v>
      </c>
      <c r="E20504">
        <v>23.280359820089899</v>
      </c>
    </row>
    <row r="20505" spans="1:5">
      <c r="A20505" t="s">
        <v>23779</v>
      </c>
      <c r="B20505" t="s">
        <v>23790</v>
      </c>
      <c r="C20505">
        <f>0.00752591275618</f>
        <v>7.5259127561799997E-3</v>
      </c>
      <c r="D20505">
        <v>0.85414793915200005</v>
      </c>
      <c r="E20505">
        <v>23.280359820089899</v>
      </c>
    </row>
    <row r="20506" spans="1:5">
      <c r="A20506" t="s">
        <v>23779</v>
      </c>
      <c r="B20506" t="s">
        <v>23791</v>
      </c>
      <c r="C20506">
        <f>0</f>
        <v>0</v>
      </c>
      <c r="D20506">
        <v>0.85414793915200005</v>
      </c>
      <c r="E20506">
        <v>23.280359820089899</v>
      </c>
    </row>
    <row r="20507" spans="1:5">
      <c r="A20507" t="s">
        <v>23779</v>
      </c>
      <c r="B20507" t="s">
        <v>23792</v>
      </c>
      <c r="C20507">
        <f>0</f>
        <v>0</v>
      </c>
      <c r="D20507">
        <v>0.85414793915200005</v>
      </c>
      <c r="E20507">
        <v>23.280359820089899</v>
      </c>
    </row>
    <row r="20508" spans="1:5">
      <c r="A20508" t="s">
        <v>23779</v>
      </c>
      <c r="B20508" t="s">
        <v>23793</v>
      </c>
      <c r="C20508">
        <f>0</f>
        <v>0</v>
      </c>
      <c r="D20508">
        <v>0.85414793915200005</v>
      </c>
      <c r="E20508">
        <v>23.280359820089899</v>
      </c>
    </row>
    <row r="20509" spans="1:5">
      <c r="A20509" t="s">
        <v>23779</v>
      </c>
      <c r="B20509" t="s">
        <v>23794</v>
      </c>
      <c r="C20509">
        <v>1.07511509353E-2</v>
      </c>
      <c r="D20509">
        <v>0.85414793915200005</v>
      </c>
      <c r="E20509">
        <v>23.280359820089899</v>
      </c>
    </row>
    <row r="20510" spans="1:5">
      <c r="A20510" t="s">
        <v>23779</v>
      </c>
      <c r="B20510" t="s">
        <v>23795</v>
      </c>
      <c r="C20510">
        <v>0</v>
      </c>
      <c r="D20510">
        <v>0.85414793915200005</v>
      </c>
      <c r="E20510">
        <v>23.280359820089899</v>
      </c>
    </row>
    <row r="20511" spans="1:5">
      <c r="A20511" t="s">
        <v>23779</v>
      </c>
      <c r="B20511" t="s">
        <v>23796</v>
      </c>
      <c r="C20511">
        <v>0</v>
      </c>
      <c r="D20511">
        <v>0.85414793915200005</v>
      </c>
      <c r="E20511">
        <v>23.280359820089899</v>
      </c>
    </row>
    <row r="20512" spans="1:5">
      <c r="A20512" t="s">
        <v>23779</v>
      </c>
      <c r="B20512" t="s">
        <v>23797</v>
      </c>
      <c r="C20512">
        <f>0</f>
        <v>0</v>
      </c>
      <c r="D20512">
        <v>0.85414793915200005</v>
      </c>
      <c r="E20512">
        <v>23.280359820089899</v>
      </c>
    </row>
    <row r="20513" spans="1:5">
      <c r="A20513" t="s">
        <v>23798</v>
      </c>
      <c r="B20513" t="s">
        <v>23799</v>
      </c>
      <c r="C20513">
        <v>0</v>
      </c>
      <c r="D20513" t="s">
        <v>106</v>
      </c>
      <c r="E20513">
        <v>13.997001499250301</v>
      </c>
    </row>
    <row r="20514" spans="1:5">
      <c r="A20514" t="s">
        <v>23798</v>
      </c>
      <c r="B20514" t="s">
        <v>23800</v>
      </c>
      <c r="C20514">
        <f>0</f>
        <v>0</v>
      </c>
      <c r="D20514" t="s">
        <v>106</v>
      </c>
      <c r="E20514">
        <v>13.997001499250301</v>
      </c>
    </row>
    <row r="20515" spans="1:5">
      <c r="A20515" t="s">
        <v>23798</v>
      </c>
      <c r="B20515" t="s">
        <v>23801</v>
      </c>
      <c r="C20515">
        <f>0</f>
        <v>0</v>
      </c>
      <c r="D20515" t="s">
        <v>106</v>
      </c>
      <c r="E20515">
        <v>13.997001499250301</v>
      </c>
    </row>
    <row r="20516" spans="1:5">
      <c r="A20516" t="s">
        <v>23798</v>
      </c>
      <c r="B20516" t="s">
        <v>23802</v>
      </c>
      <c r="C20516">
        <v>0</v>
      </c>
      <c r="D20516" t="s">
        <v>106</v>
      </c>
      <c r="E20516">
        <v>13.997001499250301</v>
      </c>
    </row>
    <row r="20517" spans="1:5">
      <c r="A20517" t="s">
        <v>23798</v>
      </c>
      <c r="B20517" t="s">
        <v>23803</v>
      </c>
      <c r="C20517">
        <f>0</f>
        <v>0</v>
      </c>
      <c r="D20517" t="s">
        <v>106</v>
      </c>
      <c r="E20517">
        <v>13.997001499250301</v>
      </c>
    </row>
    <row r="20518" spans="1:5">
      <c r="A20518" t="s">
        <v>23798</v>
      </c>
      <c r="B20518" t="s">
        <v>23804</v>
      </c>
      <c r="C20518">
        <v>0</v>
      </c>
      <c r="D20518" t="s">
        <v>106</v>
      </c>
      <c r="E20518">
        <v>13.997001499250301</v>
      </c>
    </row>
    <row r="20519" spans="1:5">
      <c r="A20519" t="s">
        <v>23798</v>
      </c>
      <c r="B20519" t="s">
        <v>23805</v>
      </c>
      <c r="C20519">
        <v>0</v>
      </c>
      <c r="D20519" t="s">
        <v>106</v>
      </c>
      <c r="E20519">
        <v>13.997001499250301</v>
      </c>
    </row>
    <row r="20520" spans="1:5">
      <c r="A20520" t="s">
        <v>23798</v>
      </c>
      <c r="B20520" t="s">
        <v>23806</v>
      </c>
      <c r="C20520">
        <v>0</v>
      </c>
      <c r="D20520" t="s">
        <v>106</v>
      </c>
      <c r="E20520">
        <v>13.997001499250301</v>
      </c>
    </row>
    <row r="20521" spans="1:5">
      <c r="A20521" t="s">
        <v>23798</v>
      </c>
      <c r="B20521" t="s">
        <v>23807</v>
      </c>
      <c r="C20521">
        <v>0</v>
      </c>
      <c r="D20521" t="s">
        <v>106</v>
      </c>
      <c r="E20521">
        <v>13.997001499250301</v>
      </c>
    </row>
    <row r="20522" spans="1:5">
      <c r="A20522" t="s">
        <v>23808</v>
      </c>
      <c r="B20522" t="s">
        <v>23809</v>
      </c>
      <c r="C20522">
        <v>8.8162112269999995E-2</v>
      </c>
      <c r="D20522" t="s">
        <v>106</v>
      </c>
      <c r="E20522">
        <v>24</v>
      </c>
    </row>
    <row r="20523" spans="1:5">
      <c r="A20523" t="s">
        <v>23808</v>
      </c>
      <c r="B20523" t="s">
        <v>23810</v>
      </c>
      <c r="C20523">
        <v>0</v>
      </c>
      <c r="D20523" t="s">
        <v>106</v>
      </c>
      <c r="E20523">
        <v>24</v>
      </c>
    </row>
    <row r="20524" spans="1:5">
      <c r="A20524" t="s">
        <v>23808</v>
      </c>
      <c r="B20524" t="s">
        <v>23811</v>
      </c>
      <c r="C20524">
        <f>0.024696085868</f>
        <v>2.4696085868000001E-2</v>
      </c>
      <c r="D20524" t="s">
        <v>106</v>
      </c>
      <c r="E20524">
        <v>24</v>
      </c>
    </row>
    <row r="20525" spans="1:5">
      <c r="A20525" t="s">
        <v>23808</v>
      </c>
      <c r="B20525" t="s">
        <v>23812</v>
      </c>
      <c r="C20525">
        <f>0</f>
        <v>0</v>
      </c>
      <c r="D20525" t="s">
        <v>106</v>
      </c>
      <c r="E20525">
        <v>24</v>
      </c>
    </row>
    <row r="20526" spans="1:5">
      <c r="A20526" t="s">
        <v>23808</v>
      </c>
      <c r="B20526" t="s">
        <v>23813</v>
      </c>
      <c r="C20526">
        <v>0</v>
      </c>
      <c r="D20526" t="s">
        <v>106</v>
      </c>
      <c r="E20526">
        <v>24</v>
      </c>
    </row>
    <row r="20527" spans="1:5">
      <c r="A20527" t="s">
        <v>23814</v>
      </c>
      <c r="B20527" t="s">
        <v>23815</v>
      </c>
      <c r="C20527">
        <f>0</f>
        <v>0</v>
      </c>
      <c r="D20527" t="s">
        <v>106</v>
      </c>
      <c r="E20527">
        <v>10.398800599700101</v>
      </c>
    </row>
    <row r="20528" spans="1:5">
      <c r="A20528" t="s">
        <v>23816</v>
      </c>
      <c r="B20528" t="s">
        <v>23817</v>
      </c>
      <c r="C20528">
        <f>0</f>
        <v>0</v>
      </c>
      <c r="D20528" t="s">
        <v>106</v>
      </c>
      <c r="E20528">
        <v>0.73163418290854498</v>
      </c>
    </row>
    <row r="20529" spans="1:5">
      <c r="A20529" t="s">
        <v>23816</v>
      </c>
      <c r="B20529" t="s">
        <v>23818</v>
      </c>
      <c r="C20529">
        <v>0</v>
      </c>
      <c r="D20529" t="s">
        <v>106</v>
      </c>
      <c r="E20529">
        <v>0.73163418290854498</v>
      </c>
    </row>
    <row r="20530" spans="1:5">
      <c r="A20530" t="s">
        <v>23816</v>
      </c>
      <c r="B20530" t="s">
        <v>23819</v>
      </c>
      <c r="C20530">
        <f>0</f>
        <v>0</v>
      </c>
      <c r="D20530" t="s">
        <v>106</v>
      </c>
      <c r="E20530">
        <v>0.73163418290854498</v>
      </c>
    </row>
    <row r="20531" spans="1:5">
      <c r="A20531" t="s">
        <v>23816</v>
      </c>
      <c r="B20531" t="s">
        <v>23820</v>
      </c>
      <c r="C20531">
        <f>0</f>
        <v>0</v>
      </c>
      <c r="D20531" t="s">
        <v>106</v>
      </c>
      <c r="E20531">
        <v>0.73163418290854498</v>
      </c>
    </row>
    <row r="20532" spans="1:5">
      <c r="A20532" t="s">
        <v>23816</v>
      </c>
      <c r="B20532" t="s">
        <v>23821</v>
      </c>
      <c r="C20532">
        <v>0</v>
      </c>
      <c r="D20532" t="s">
        <v>106</v>
      </c>
      <c r="E20532">
        <v>0.73163418290854498</v>
      </c>
    </row>
    <row r="20533" spans="1:5">
      <c r="A20533" t="s">
        <v>23816</v>
      </c>
      <c r="B20533" t="s">
        <v>23822</v>
      </c>
      <c r="C20533">
        <v>0</v>
      </c>
      <c r="D20533" t="s">
        <v>106</v>
      </c>
      <c r="E20533">
        <v>0.73163418290854498</v>
      </c>
    </row>
    <row r="20534" spans="1:5">
      <c r="A20534" t="s">
        <v>23816</v>
      </c>
      <c r="B20534" t="s">
        <v>23823</v>
      </c>
      <c r="C20534">
        <f>0</f>
        <v>0</v>
      </c>
      <c r="D20534" t="s">
        <v>106</v>
      </c>
      <c r="E20534">
        <v>0.73163418290854498</v>
      </c>
    </row>
    <row r="20535" spans="1:5">
      <c r="A20535" t="s">
        <v>23824</v>
      </c>
      <c r="B20535" t="s">
        <v>23825</v>
      </c>
      <c r="C20535">
        <f>0</f>
        <v>0</v>
      </c>
      <c r="D20535" t="s">
        <v>106</v>
      </c>
      <c r="E20535">
        <v>2.1709145427286298</v>
      </c>
    </row>
    <row r="20536" spans="1:5">
      <c r="A20536" t="s">
        <v>23824</v>
      </c>
      <c r="B20536" t="s">
        <v>23826</v>
      </c>
      <c r="C20536">
        <v>0</v>
      </c>
      <c r="D20536" t="s">
        <v>106</v>
      </c>
      <c r="E20536">
        <v>2.1709145427286298</v>
      </c>
    </row>
    <row r="20537" spans="1:5">
      <c r="A20537" t="s">
        <v>23824</v>
      </c>
      <c r="B20537" t="s">
        <v>23827</v>
      </c>
      <c r="C20537">
        <v>1.45340445301E-2</v>
      </c>
      <c r="D20537" t="s">
        <v>106</v>
      </c>
      <c r="E20537">
        <v>2.1709145427286298</v>
      </c>
    </row>
    <row r="20538" spans="1:5">
      <c r="A20538" t="s">
        <v>23824</v>
      </c>
      <c r="B20538" t="s">
        <v>23828</v>
      </c>
      <c r="C20538">
        <f>0</f>
        <v>0</v>
      </c>
      <c r="D20538" t="s">
        <v>106</v>
      </c>
      <c r="E20538">
        <v>2.1709145427286298</v>
      </c>
    </row>
    <row r="20539" spans="1:5">
      <c r="A20539" t="s">
        <v>23824</v>
      </c>
      <c r="B20539" t="s">
        <v>23829</v>
      </c>
      <c r="C20539">
        <v>0</v>
      </c>
      <c r="D20539" t="s">
        <v>106</v>
      </c>
      <c r="E20539">
        <v>2.1709145427286298</v>
      </c>
    </row>
    <row r="20540" spans="1:5">
      <c r="A20540" t="s">
        <v>23824</v>
      </c>
      <c r="B20540" t="s">
        <v>23830</v>
      </c>
      <c r="C20540">
        <v>0.16436722358799999</v>
      </c>
      <c r="D20540" t="s">
        <v>106</v>
      </c>
      <c r="E20540">
        <v>2.1709145427286298</v>
      </c>
    </row>
    <row r="20541" spans="1:5">
      <c r="A20541" t="s">
        <v>23824</v>
      </c>
      <c r="B20541" t="s">
        <v>23831</v>
      </c>
      <c r="C20541">
        <v>0</v>
      </c>
      <c r="D20541" t="s">
        <v>106</v>
      </c>
      <c r="E20541">
        <v>2.1709145427286298</v>
      </c>
    </row>
    <row r="20542" spans="1:5">
      <c r="A20542" t="s">
        <v>23832</v>
      </c>
      <c r="B20542" t="s">
        <v>23833</v>
      </c>
      <c r="C20542">
        <f>0.234443997362</f>
        <v>0.234443997362</v>
      </c>
      <c r="D20542">
        <v>0.99567176022100001</v>
      </c>
      <c r="E20542">
        <v>2.8785607196401801</v>
      </c>
    </row>
    <row r="20543" spans="1:5">
      <c r="A20543" t="s">
        <v>23832</v>
      </c>
      <c r="B20543" t="s">
        <v>23834</v>
      </c>
      <c r="C20543">
        <v>0.29115240500799999</v>
      </c>
      <c r="D20543">
        <v>0.99567176022100001</v>
      </c>
      <c r="E20543">
        <v>2.8785607196401801</v>
      </c>
    </row>
    <row r="20544" spans="1:5">
      <c r="A20544" t="s">
        <v>23832</v>
      </c>
      <c r="B20544" t="s">
        <v>23835</v>
      </c>
      <c r="C20544">
        <v>0</v>
      </c>
      <c r="D20544">
        <v>0.99567176022100001</v>
      </c>
      <c r="E20544">
        <v>2.8785607196401801</v>
      </c>
    </row>
    <row r="20545" spans="1:5">
      <c r="A20545" t="s">
        <v>23832</v>
      </c>
      <c r="B20545" t="s">
        <v>23836</v>
      </c>
      <c r="C20545">
        <v>0</v>
      </c>
      <c r="D20545">
        <v>0.99567176022100001</v>
      </c>
      <c r="E20545">
        <v>2.8785607196401801</v>
      </c>
    </row>
    <row r="20546" spans="1:5">
      <c r="A20546" t="s">
        <v>23832</v>
      </c>
      <c r="B20546" t="s">
        <v>23837</v>
      </c>
      <c r="C20546">
        <v>0</v>
      </c>
      <c r="D20546">
        <v>0.99567176022100001</v>
      </c>
      <c r="E20546">
        <v>2.8785607196401801</v>
      </c>
    </row>
    <row r="20547" spans="1:5">
      <c r="A20547" t="s">
        <v>23832</v>
      </c>
      <c r="B20547" t="s">
        <v>23838</v>
      </c>
      <c r="C20547">
        <f>0</f>
        <v>0</v>
      </c>
      <c r="D20547">
        <v>0.99567176022100001</v>
      </c>
      <c r="E20547">
        <v>2.8785607196401801</v>
      </c>
    </row>
    <row r="20548" spans="1:5">
      <c r="A20548" t="s">
        <v>23832</v>
      </c>
      <c r="B20548" t="s">
        <v>23839</v>
      </c>
      <c r="C20548">
        <v>0</v>
      </c>
      <c r="D20548">
        <v>0.99567176022100001</v>
      </c>
      <c r="E20548">
        <v>2.8785607196401801</v>
      </c>
    </row>
    <row r="20549" spans="1:5">
      <c r="A20549" t="s">
        <v>23832</v>
      </c>
      <c r="B20549" t="s">
        <v>23840</v>
      </c>
      <c r="C20549">
        <v>0</v>
      </c>
      <c r="D20549">
        <v>0.99567176022100001</v>
      </c>
      <c r="E20549">
        <v>2.8785607196401801</v>
      </c>
    </row>
    <row r="20550" spans="1:5">
      <c r="A20550" t="s">
        <v>23832</v>
      </c>
      <c r="B20550" t="s">
        <v>23841</v>
      </c>
      <c r="C20550">
        <v>0</v>
      </c>
      <c r="D20550">
        <v>0.99567176022100001</v>
      </c>
      <c r="E20550">
        <v>2.8785607196401801</v>
      </c>
    </row>
    <row r="20551" spans="1:5">
      <c r="A20551" t="s">
        <v>23842</v>
      </c>
      <c r="B20551" t="s">
        <v>23843</v>
      </c>
      <c r="C20551">
        <v>0.180396072775</v>
      </c>
      <c r="D20551">
        <v>0.86094355803599998</v>
      </c>
      <c r="E20551">
        <v>16.899550224887498</v>
      </c>
    </row>
    <row r="20552" spans="1:5">
      <c r="A20552" t="s">
        <v>23842</v>
      </c>
      <c r="B20552" t="s">
        <v>23844</v>
      </c>
      <c r="C20552">
        <f>0</f>
        <v>0</v>
      </c>
      <c r="D20552">
        <v>0.86094355803599998</v>
      </c>
      <c r="E20552">
        <v>16.899550224887498</v>
      </c>
    </row>
    <row r="20553" spans="1:5">
      <c r="A20553" t="s">
        <v>23842</v>
      </c>
      <c r="B20553" t="s">
        <v>23845</v>
      </c>
      <c r="C20553">
        <f>0</f>
        <v>0</v>
      </c>
      <c r="D20553">
        <v>0.86094355803599998</v>
      </c>
      <c r="E20553">
        <v>16.899550224887498</v>
      </c>
    </row>
    <row r="20554" spans="1:5">
      <c r="A20554" t="s">
        <v>23842</v>
      </c>
      <c r="B20554" t="s">
        <v>23846</v>
      </c>
      <c r="C20554">
        <f>0.0620708105116</f>
        <v>6.2070810511600003E-2</v>
      </c>
      <c r="D20554">
        <v>0.86094355803599998</v>
      </c>
      <c r="E20554">
        <v>16.899550224887498</v>
      </c>
    </row>
    <row r="20555" spans="1:5">
      <c r="A20555" t="s">
        <v>23842</v>
      </c>
      <c r="B20555" t="s">
        <v>23847</v>
      </c>
      <c r="C20555">
        <v>0</v>
      </c>
      <c r="D20555">
        <v>0.86094355803599998</v>
      </c>
      <c r="E20555">
        <v>16.899550224887498</v>
      </c>
    </row>
    <row r="20556" spans="1:5">
      <c r="A20556" t="s">
        <v>23842</v>
      </c>
      <c r="B20556" t="s">
        <v>23848</v>
      </c>
      <c r="C20556">
        <f>0</f>
        <v>0</v>
      </c>
      <c r="D20556">
        <v>0.86094355803599998</v>
      </c>
      <c r="E20556">
        <v>16.899550224887498</v>
      </c>
    </row>
    <row r="20557" spans="1:5">
      <c r="A20557" t="s">
        <v>23842</v>
      </c>
      <c r="B20557" t="s">
        <v>23849</v>
      </c>
      <c r="C20557">
        <v>0</v>
      </c>
      <c r="D20557">
        <v>0.86094355803599998</v>
      </c>
      <c r="E20557">
        <v>16.899550224887498</v>
      </c>
    </row>
    <row r="20558" spans="1:5">
      <c r="A20558" t="s">
        <v>23850</v>
      </c>
      <c r="B20558" t="s">
        <v>23851</v>
      </c>
      <c r="C20558">
        <v>0</v>
      </c>
      <c r="D20558" t="s">
        <v>106</v>
      </c>
      <c r="E20558">
        <v>7.4602698650674597</v>
      </c>
    </row>
    <row r="20559" spans="1:5">
      <c r="A20559" t="s">
        <v>23852</v>
      </c>
      <c r="B20559" t="s">
        <v>23853</v>
      </c>
      <c r="C20559">
        <v>0</v>
      </c>
      <c r="D20559" t="s">
        <v>106</v>
      </c>
      <c r="E20559">
        <v>12.5577211394302</v>
      </c>
    </row>
    <row r="20560" spans="1:5">
      <c r="A20560" t="s">
        <v>23852</v>
      </c>
      <c r="B20560" t="s">
        <v>23854</v>
      </c>
      <c r="C20560">
        <v>0</v>
      </c>
      <c r="D20560" t="s">
        <v>106</v>
      </c>
      <c r="E20560">
        <v>12.5577211394302</v>
      </c>
    </row>
    <row r="20561" spans="1:5">
      <c r="A20561" t="s">
        <v>23852</v>
      </c>
      <c r="B20561" t="s">
        <v>23855</v>
      </c>
      <c r="C20561">
        <f>0</f>
        <v>0</v>
      </c>
      <c r="D20561" t="s">
        <v>106</v>
      </c>
      <c r="E20561">
        <v>12.5577211394302</v>
      </c>
    </row>
    <row r="20562" spans="1:5">
      <c r="A20562" t="s">
        <v>23852</v>
      </c>
      <c r="B20562" t="s">
        <v>23856</v>
      </c>
      <c r="C20562">
        <v>0</v>
      </c>
      <c r="D20562" t="s">
        <v>106</v>
      </c>
      <c r="E20562">
        <v>12.5577211394302</v>
      </c>
    </row>
    <row r="20563" spans="1:5">
      <c r="A20563" t="s">
        <v>23857</v>
      </c>
      <c r="B20563" t="s">
        <v>23858</v>
      </c>
      <c r="C20563">
        <f>0</f>
        <v>0</v>
      </c>
      <c r="D20563" t="s">
        <v>106</v>
      </c>
      <c r="E20563">
        <v>14.5487256371814</v>
      </c>
    </row>
    <row r="20564" spans="1:5">
      <c r="A20564" t="s">
        <v>23857</v>
      </c>
      <c r="B20564" t="s">
        <v>23859</v>
      </c>
      <c r="C20564">
        <v>0</v>
      </c>
      <c r="D20564" t="s">
        <v>106</v>
      </c>
      <c r="E20564">
        <v>14.5487256371814</v>
      </c>
    </row>
    <row r="20565" spans="1:5">
      <c r="A20565" t="s">
        <v>23857</v>
      </c>
      <c r="B20565" t="s">
        <v>23860</v>
      </c>
      <c r="C20565">
        <f>0</f>
        <v>0</v>
      </c>
      <c r="D20565" t="s">
        <v>106</v>
      </c>
      <c r="E20565">
        <v>14.5487256371814</v>
      </c>
    </row>
    <row r="20566" spans="1:5">
      <c r="A20566" t="s">
        <v>23857</v>
      </c>
      <c r="B20566" t="s">
        <v>23861</v>
      </c>
      <c r="C20566">
        <v>0</v>
      </c>
      <c r="D20566" t="s">
        <v>106</v>
      </c>
      <c r="E20566">
        <v>14.5487256371814</v>
      </c>
    </row>
    <row r="20567" spans="1:5">
      <c r="A20567" t="s">
        <v>23862</v>
      </c>
      <c r="B20567" t="s">
        <v>23863</v>
      </c>
      <c r="C20567">
        <v>7.4816055472000001E-2</v>
      </c>
      <c r="D20567">
        <v>0.991406603464</v>
      </c>
      <c r="E20567">
        <v>1.22338830584707</v>
      </c>
    </row>
    <row r="20568" spans="1:5">
      <c r="A20568" t="s">
        <v>23862</v>
      </c>
      <c r="B20568" t="s">
        <v>23864</v>
      </c>
      <c r="C20568">
        <v>0</v>
      </c>
      <c r="D20568">
        <v>0.991406603464</v>
      </c>
      <c r="E20568">
        <v>1.22338830584707</v>
      </c>
    </row>
    <row r="20569" spans="1:5">
      <c r="A20569" t="s">
        <v>23862</v>
      </c>
      <c r="B20569" t="s">
        <v>23865</v>
      </c>
      <c r="C20569">
        <f>0</f>
        <v>0</v>
      </c>
      <c r="D20569">
        <v>0.991406603464</v>
      </c>
      <c r="E20569">
        <v>1.22338830584707</v>
      </c>
    </row>
    <row r="20570" spans="1:5">
      <c r="A20570" t="s">
        <v>23862</v>
      </c>
      <c r="B20570" t="s">
        <v>23866</v>
      </c>
      <c r="C20570">
        <v>0</v>
      </c>
      <c r="D20570">
        <v>0.991406603464</v>
      </c>
      <c r="E20570">
        <v>1.22338830584707</v>
      </c>
    </row>
    <row r="20571" spans="1:5">
      <c r="A20571" t="s">
        <v>23862</v>
      </c>
      <c r="B20571" t="s">
        <v>23867</v>
      </c>
      <c r="C20571">
        <v>0</v>
      </c>
      <c r="D20571">
        <v>0.991406603464</v>
      </c>
      <c r="E20571">
        <v>1.22338830584707</v>
      </c>
    </row>
    <row r="20572" spans="1:5">
      <c r="A20572" t="s">
        <v>23862</v>
      </c>
      <c r="B20572" t="s">
        <v>23868</v>
      </c>
      <c r="C20572">
        <v>0</v>
      </c>
      <c r="D20572">
        <v>0.991406603464</v>
      </c>
      <c r="E20572">
        <v>1.22338830584707</v>
      </c>
    </row>
    <row r="20573" spans="1:5">
      <c r="A20573" t="s">
        <v>23862</v>
      </c>
      <c r="B20573" t="s">
        <v>23869</v>
      </c>
      <c r="C20573">
        <v>0</v>
      </c>
      <c r="D20573">
        <v>0.991406603464</v>
      </c>
      <c r="E20573">
        <v>1.22338830584707</v>
      </c>
    </row>
    <row r="20574" spans="1:5">
      <c r="A20574" t="s">
        <v>23862</v>
      </c>
      <c r="B20574" t="s">
        <v>23870</v>
      </c>
      <c r="C20574">
        <f>0</f>
        <v>0</v>
      </c>
      <c r="D20574">
        <v>0.991406603464</v>
      </c>
      <c r="E20574">
        <v>1.22338830584707</v>
      </c>
    </row>
    <row r="20575" spans="1:5">
      <c r="A20575" t="s">
        <v>23862</v>
      </c>
      <c r="B20575" t="s">
        <v>23871</v>
      </c>
      <c r="C20575">
        <v>0.20897449131900001</v>
      </c>
      <c r="D20575">
        <v>0.991406603464</v>
      </c>
      <c r="E20575">
        <v>1.22338830584707</v>
      </c>
    </row>
    <row r="20576" spans="1:5">
      <c r="A20576" t="s">
        <v>23862</v>
      </c>
      <c r="B20576" t="s">
        <v>23872</v>
      </c>
      <c r="C20576">
        <v>0</v>
      </c>
      <c r="D20576">
        <v>0.991406603464</v>
      </c>
      <c r="E20576">
        <v>1.22338830584707</v>
      </c>
    </row>
    <row r="20577" spans="1:5">
      <c r="A20577" t="s">
        <v>23862</v>
      </c>
      <c r="B20577" t="s">
        <v>23873</v>
      </c>
      <c r="C20577">
        <v>0</v>
      </c>
      <c r="D20577">
        <v>0.991406603464</v>
      </c>
      <c r="E20577">
        <v>1.22338830584707</v>
      </c>
    </row>
    <row r="20578" spans="1:5">
      <c r="A20578" t="s">
        <v>23874</v>
      </c>
      <c r="B20578" t="s">
        <v>23875</v>
      </c>
      <c r="C20578">
        <v>7.3893561962099993E-2</v>
      </c>
      <c r="D20578">
        <v>0.95198152700299998</v>
      </c>
      <c r="E20578">
        <v>5.2413793103448203</v>
      </c>
    </row>
    <row r="20579" spans="1:5">
      <c r="A20579" t="s">
        <v>23874</v>
      </c>
      <c r="B20579" t="s">
        <v>23876</v>
      </c>
      <c r="C20579">
        <v>0</v>
      </c>
      <c r="D20579">
        <v>0.95198152700299998</v>
      </c>
      <c r="E20579">
        <v>5.2413793103448203</v>
      </c>
    </row>
    <row r="20580" spans="1:5">
      <c r="A20580" t="s">
        <v>23874</v>
      </c>
      <c r="B20580" t="s">
        <v>23877</v>
      </c>
      <c r="C20580">
        <v>0</v>
      </c>
      <c r="D20580">
        <v>0.95198152700299998</v>
      </c>
      <c r="E20580">
        <v>5.2413793103448203</v>
      </c>
    </row>
    <row r="20581" spans="1:5">
      <c r="A20581" t="s">
        <v>23874</v>
      </c>
      <c r="B20581" t="s">
        <v>23878</v>
      </c>
      <c r="C20581">
        <v>0</v>
      </c>
      <c r="D20581">
        <v>0.95198152700299998</v>
      </c>
      <c r="E20581">
        <v>5.2413793103448203</v>
      </c>
    </row>
    <row r="20582" spans="1:5">
      <c r="A20582" t="s">
        <v>23874</v>
      </c>
      <c r="B20582" t="s">
        <v>23879</v>
      </c>
      <c r="C20582">
        <v>0</v>
      </c>
      <c r="D20582">
        <v>0.95198152700299998</v>
      </c>
      <c r="E20582">
        <v>5.2413793103448203</v>
      </c>
    </row>
    <row r="20583" spans="1:5">
      <c r="A20583" t="s">
        <v>23874</v>
      </c>
      <c r="B20583" t="s">
        <v>23880</v>
      </c>
      <c r="C20583">
        <f>0</f>
        <v>0</v>
      </c>
      <c r="D20583">
        <v>0.95198152700299998</v>
      </c>
      <c r="E20583">
        <v>5.2413793103448203</v>
      </c>
    </row>
    <row r="20584" spans="1:5">
      <c r="A20584" t="s">
        <v>23874</v>
      </c>
      <c r="B20584" t="s">
        <v>23881</v>
      </c>
      <c r="C20584">
        <f>0</f>
        <v>0</v>
      </c>
      <c r="D20584">
        <v>0.95198152700299998</v>
      </c>
      <c r="E20584">
        <v>5.2413793103448203</v>
      </c>
    </row>
    <row r="20585" spans="1:5">
      <c r="A20585" t="s">
        <v>23874</v>
      </c>
      <c r="B20585" t="s">
        <v>23882</v>
      </c>
      <c r="C20585">
        <v>0</v>
      </c>
      <c r="D20585">
        <v>0.95198152700299998</v>
      </c>
      <c r="E20585">
        <v>5.2413793103448203</v>
      </c>
    </row>
    <row r="20586" spans="1:5">
      <c r="A20586" t="s">
        <v>23874</v>
      </c>
      <c r="B20586" t="s">
        <v>23883</v>
      </c>
      <c r="C20586">
        <v>0</v>
      </c>
      <c r="D20586">
        <v>0.95198152700299998</v>
      </c>
      <c r="E20586">
        <v>5.2413793103448203</v>
      </c>
    </row>
    <row r="20587" spans="1:5">
      <c r="A20587" t="s">
        <v>23874</v>
      </c>
      <c r="B20587" t="s">
        <v>23884</v>
      </c>
      <c r="C20587">
        <v>0</v>
      </c>
      <c r="D20587">
        <v>0.95198152700299998</v>
      </c>
      <c r="E20587">
        <v>5.2413793103448203</v>
      </c>
    </row>
    <row r="20588" spans="1:5">
      <c r="A20588" t="s">
        <v>23874</v>
      </c>
      <c r="B20588" t="s">
        <v>23885</v>
      </c>
      <c r="C20588">
        <v>0.13724914718699999</v>
      </c>
      <c r="D20588">
        <v>0.95198152700299998</v>
      </c>
      <c r="E20588">
        <v>5.2413793103448203</v>
      </c>
    </row>
    <row r="20589" spans="1:5">
      <c r="A20589" t="s">
        <v>23886</v>
      </c>
      <c r="B20589" t="s">
        <v>23887</v>
      </c>
      <c r="C20589">
        <f>0</f>
        <v>0</v>
      </c>
      <c r="D20589">
        <v>0.99324167562400001</v>
      </c>
      <c r="E20589">
        <v>3.4902548725637099</v>
      </c>
    </row>
    <row r="20590" spans="1:5">
      <c r="A20590" t="s">
        <v>23886</v>
      </c>
      <c r="B20590" t="s">
        <v>23888</v>
      </c>
      <c r="C20590">
        <f>0</f>
        <v>0</v>
      </c>
      <c r="D20590">
        <v>0.99324167562400001</v>
      </c>
      <c r="E20590">
        <v>3.4902548725637099</v>
      </c>
    </row>
    <row r="20591" spans="1:5">
      <c r="A20591" t="s">
        <v>23886</v>
      </c>
      <c r="B20591" t="s">
        <v>23889</v>
      </c>
      <c r="C20591">
        <f>0</f>
        <v>0</v>
      </c>
      <c r="D20591">
        <v>0.99324167562400001</v>
      </c>
      <c r="E20591">
        <v>3.4902548725637099</v>
      </c>
    </row>
    <row r="20592" spans="1:5">
      <c r="A20592" t="s">
        <v>23886</v>
      </c>
      <c r="B20592" t="s">
        <v>23890</v>
      </c>
      <c r="C20592">
        <f>0</f>
        <v>0</v>
      </c>
      <c r="D20592">
        <v>0.99324167562400001</v>
      </c>
      <c r="E20592">
        <v>3.4902548725637099</v>
      </c>
    </row>
    <row r="20593" spans="1:5">
      <c r="A20593" t="s">
        <v>23886</v>
      </c>
      <c r="B20593" t="s">
        <v>23891</v>
      </c>
      <c r="C20593">
        <v>0</v>
      </c>
      <c r="D20593">
        <v>0.99324167562400001</v>
      </c>
      <c r="E20593">
        <v>3.4902548725637099</v>
      </c>
    </row>
    <row r="20594" spans="1:5">
      <c r="A20594" t="s">
        <v>23886</v>
      </c>
      <c r="B20594" t="s">
        <v>23892</v>
      </c>
      <c r="C20594">
        <f>0</f>
        <v>0</v>
      </c>
      <c r="D20594">
        <v>0.99324167562400001</v>
      </c>
      <c r="E20594">
        <v>3.4902548725637099</v>
      </c>
    </row>
    <row r="20595" spans="1:5">
      <c r="A20595" t="s">
        <v>23893</v>
      </c>
      <c r="B20595" t="s">
        <v>23894</v>
      </c>
      <c r="C20595">
        <v>0</v>
      </c>
      <c r="D20595" t="s">
        <v>106</v>
      </c>
      <c r="E20595">
        <v>5.69715142428785</v>
      </c>
    </row>
    <row r="20596" spans="1:5">
      <c r="A20596" t="s">
        <v>23893</v>
      </c>
      <c r="B20596" t="s">
        <v>23895</v>
      </c>
      <c r="C20596">
        <v>0</v>
      </c>
      <c r="D20596" t="s">
        <v>106</v>
      </c>
      <c r="E20596">
        <v>5.69715142428785</v>
      </c>
    </row>
    <row r="20597" spans="1:5">
      <c r="A20597" t="s">
        <v>23893</v>
      </c>
      <c r="B20597" t="s">
        <v>23896</v>
      </c>
      <c r="C20597">
        <v>0</v>
      </c>
      <c r="D20597" t="s">
        <v>106</v>
      </c>
      <c r="E20597">
        <v>5.69715142428785</v>
      </c>
    </row>
    <row r="20598" spans="1:5">
      <c r="A20598" t="s">
        <v>23893</v>
      </c>
      <c r="B20598" t="s">
        <v>23897</v>
      </c>
      <c r="C20598">
        <f>0</f>
        <v>0</v>
      </c>
      <c r="D20598" t="s">
        <v>106</v>
      </c>
      <c r="E20598">
        <v>5.69715142428785</v>
      </c>
    </row>
    <row r="20599" spans="1:5">
      <c r="A20599" t="s">
        <v>23893</v>
      </c>
      <c r="B20599" t="s">
        <v>23898</v>
      </c>
      <c r="C20599">
        <v>0</v>
      </c>
      <c r="D20599" t="s">
        <v>106</v>
      </c>
      <c r="E20599">
        <v>5.69715142428785</v>
      </c>
    </row>
    <row r="20600" spans="1:5">
      <c r="A20600" t="s">
        <v>23899</v>
      </c>
      <c r="B20600" t="s">
        <v>23900</v>
      </c>
      <c r="C20600">
        <v>0.148394612812</v>
      </c>
      <c r="D20600">
        <v>0.89974803470599996</v>
      </c>
      <c r="E20600">
        <v>11.8740629685157</v>
      </c>
    </row>
    <row r="20601" spans="1:5">
      <c r="A20601" t="s">
        <v>23899</v>
      </c>
      <c r="B20601" t="s">
        <v>23901</v>
      </c>
      <c r="C20601">
        <f>0</f>
        <v>0</v>
      </c>
      <c r="D20601">
        <v>0.89974803470599996</v>
      </c>
      <c r="E20601">
        <v>11.8740629685157</v>
      </c>
    </row>
    <row r="20602" spans="1:5">
      <c r="A20602" t="s">
        <v>23899</v>
      </c>
      <c r="B20602" t="s">
        <v>23902</v>
      </c>
      <c r="C20602">
        <f>0</f>
        <v>0</v>
      </c>
      <c r="D20602">
        <v>0.89974803470599996</v>
      </c>
      <c r="E20602">
        <v>11.8740629685157</v>
      </c>
    </row>
    <row r="20603" spans="1:5">
      <c r="A20603" t="s">
        <v>23899</v>
      </c>
      <c r="B20603" t="s">
        <v>23903</v>
      </c>
      <c r="C20603">
        <f>0.181495568583</f>
        <v>0.18149556858300001</v>
      </c>
      <c r="D20603">
        <v>0.89974803470599996</v>
      </c>
      <c r="E20603">
        <v>11.8740629685157</v>
      </c>
    </row>
    <row r="20604" spans="1:5">
      <c r="A20604" t="s">
        <v>23904</v>
      </c>
      <c r="B20604" t="s">
        <v>23905</v>
      </c>
      <c r="C20604">
        <v>0.73617597366999998</v>
      </c>
      <c r="D20604">
        <v>0.91010314639300005</v>
      </c>
      <c r="E20604">
        <v>2.0989505247376301</v>
      </c>
    </row>
    <row r="20605" spans="1:5">
      <c r="A20605" t="s">
        <v>23906</v>
      </c>
      <c r="B20605" t="s">
        <v>23907</v>
      </c>
      <c r="C20605">
        <v>0</v>
      </c>
      <c r="D20605">
        <v>0.99667236350499999</v>
      </c>
      <c r="E20605">
        <v>15.1244377811094</v>
      </c>
    </row>
    <row r="20606" spans="1:5">
      <c r="A20606" t="s">
        <v>23906</v>
      </c>
      <c r="B20606" t="s">
        <v>23908</v>
      </c>
      <c r="C20606">
        <v>0</v>
      </c>
      <c r="D20606">
        <v>0.99667236350499999</v>
      </c>
      <c r="E20606">
        <v>15.1244377811094</v>
      </c>
    </row>
    <row r="20607" spans="1:5">
      <c r="A20607" t="s">
        <v>23906</v>
      </c>
      <c r="B20607" t="s">
        <v>23909</v>
      </c>
      <c r="C20607">
        <v>0</v>
      </c>
      <c r="D20607">
        <v>0.99667236350499999</v>
      </c>
      <c r="E20607">
        <v>15.1244377811094</v>
      </c>
    </row>
    <row r="20608" spans="1:5">
      <c r="A20608" t="s">
        <v>23906</v>
      </c>
      <c r="B20608" t="s">
        <v>23910</v>
      </c>
      <c r="C20608">
        <v>0.22816723507100001</v>
      </c>
      <c r="D20608">
        <v>0.99667236350499999</v>
      </c>
      <c r="E20608">
        <v>15.1244377811094</v>
      </c>
    </row>
    <row r="20609" spans="1:5">
      <c r="A20609" t="s">
        <v>23911</v>
      </c>
      <c r="B20609" t="s">
        <v>23912</v>
      </c>
      <c r="C20609">
        <v>0</v>
      </c>
      <c r="D20609" t="s">
        <v>106</v>
      </c>
      <c r="E20609">
        <v>14.9325337331334</v>
      </c>
    </row>
    <row r="20610" spans="1:5">
      <c r="A20610" t="s">
        <v>23911</v>
      </c>
      <c r="B20610" t="s">
        <v>23913</v>
      </c>
      <c r="C20610">
        <v>0</v>
      </c>
      <c r="D20610" t="s">
        <v>106</v>
      </c>
      <c r="E20610">
        <v>14.9325337331334</v>
      </c>
    </row>
    <row r="20611" spans="1:5">
      <c r="A20611" t="s">
        <v>23911</v>
      </c>
      <c r="B20611" t="s">
        <v>23914</v>
      </c>
      <c r="C20611">
        <v>0</v>
      </c>
      <c r="D20611" t="s">
        <v>106</v>
      </c>
      <c r="E20611">
        <v>14.9325337331334</v>
      </c>
    </row>
    <row r="20612" spans="1:5">
      <c r="A20612" t="s">
        <v>23911</v>
      </c>
      <c r="B20612" t="s">
        <v>23915</v>
      </c>
      <c r="C20612">
        <f>0</f>
        <v>0</v>
      </c>
      <c r="D20612" t="s">
        <v>106</v>
      </c>
      <c r="E20612">
        <v>14.9325337331334</v>
      </c>
    </row>
    <row r="20613" spans="1:5">
      <c r="A20613" t="s">
        <v>23911</v>
      </c>
      <c r="B20613" t="s">
        <v>23916</v>
      </c>
      <c r="C20613">
        <f>0</f>
        <v>0</v>
      </c>
      <c r="D20613" t="s">
        <v>106</v>
      </c>
      <c r="E20613">
        <v>14.9325337331334</v>
      </c>
    </row>
    <row r="20614" spans="1:5">
      <c r="A20614" t="s">
        <v>23911</v>
      </c>
      <c r="B20614" t="s">
        <v>23917</v>
      </c>
      <c r="C20614">
        <v>0</v>
      </c>
      <c r="D20614" t="s">
        <v>106</v>
      </c>
      <c r="E20614">
        <v>14.9325337331334</v>
      </c>
    </row>
    <row r="20615" spans="1:5">
      <c r="A20615" t="s">
        <v>23911</v>
      </c>
      <c r="B20615" t="s">
        <v>23918</v>
      </c>
      <c r="C20615">
        <v>0</v>
      </c>
      <c r="D20615" t="s">
        <v>106</v>
      </c>
      <c r="E20615">
        <v>14.9325337331334</v>
      </c>
    </row>
    <row r="20616" spans="1:5">
      <c r="A20616" t="s">
        <v>23911</v>
      </c>
      <c r="B20616" t="s">
        <v>23919</v>
      </c>
      <c r="C20616">
        <f>0</f>
        <v>0</v>
      </c>
      <c r="D20616" t="s">
        <v>106</v>
      </c>
      <c r="E20616">
        <v>14.9325337331334</v>
      </c>
    </row>
    <row r="20617" spans="1:5">
      <c r="A20617" t="s">
        <v>23911</v>
      </c>
      <c r="B20617" t="s">
        <v>23920</v>
      </c>
      <c r="C20617">
        <v>0</v>
      </c>
      <c r="D20617" t="s">
        <v>106</v>
      </c>
      <c r="E20617">
        <v>14.9325337331334</v>
      </c>
    </row>
    <row r="20618" spans="1:5">
      <c r="A20618" t="s">
        <v>23911</v>
      </c>
      <c r="B20618" t="s">
        <v>23921</v>
      </c>
      <c r="C20618">
        <f>0</f>
        <v>0</v>
      </c>
      <c r="D20618" t="s">
        <v>106</v>
      </c>
      <c r="E20618">
        <v>14.9325337331334</v>
      </c>
    </row>
    <row r="20619" spans="1:5">
      <c r="A20619" t="s">
        <v>23911</v>
      </c>
      <c r="B20619" t="s">
        <v>23922</v>
      </c>
      <c r="C20619">
        <f>0</f>
        <v>0</v>
      </c>
      <c r="D20619" t="s">
        <v>106</v>
      </c>
      <c r="E20619">
        <v>14.9325337331334</v>
      </c>
    </row>
    <row r="20620" spans="1:5">
      <c r="A20620" t="s">
        <v>23911</v>
      </c>
      <c r="B20620" t="s">
        <v>23923</v>
      </c>
      <c r="C20620">
        <f>0</f>
        <v>0</v>
      </c>
      <c r="D20620" t="s">
        <v>106</v>
      </c>
      <c r="E20620">
        <v>14.9325337331334</v>
      </c>
    </row>
    <row r="20621" spans="1:5">
      <c r="A20621" t="s">
        <v>23924</v>
      </c>
      <c r="B20621" t="s">
        <v>23925</v>
      </c>
      <c r="C20621">
        <v>0</v>
      </c>
      <c r="D20621" t="s">
        <v>106</v>
      </c>
      <c r="E20621">
        <v>2.4707646176911502</v>
      </c>
    </row>
    <row r="20622" spans="1:5">
      <c r="A20622" t="s">
        <v>23924</v>
      </c>
      <c r="B20622" t="s">
        <v>23926</v>
      </c>
      <c r="C20622">
        <f>0</f>
        <v>0</v>
      </c>
      <c r="D20622" t="s">
        <v>106</v>
      </c>
      <c r="E20622">
        <v>2.4707646176911502</v>
      </c>
    </row>
    <row r="20623" spans="1:5">
      <c r="A20623" t="s">
        <v>23924</v>
      </c>
      <c r="B20623" t="s">
        <v>23927</v>
      </c>
      <c r="C20623">
        <f>0</f>
        <v>0</v>
      </c>
      <c r="D20623" t="s">
        <v>106</v>
      </c>
      <c r="E20623">
        <v>2.4707646176911502</v>
      </c>
    </row>
    <row r="20624" spans="1:5">
      <c r="A20624" t="s">
        <v>23924</v>
      </c>
      <c r="B20624" t="s">
        <v>23928</v>
      </c>
      <c r="C20624">
        <f>0</f>
        <v>0</v>
      </c>
      <c r="D20624" t="s">
        <v>106</v>
      </c>
      <c r="E20624">
        <v>2.4707646176911502</v>
      </c>
    </row>
    <row r="20625" spans="1:5">
      <c r="A20625" t="s">
        <v>23929</v>
      </c>
      <c r="B20625" t="s">
        <v>23930</v>
      </c>
      <c r="C20625">
        <v>3.5347664726800003E-2</v>
      </c>
      <c r="D20625">
        <v>0.67806460501900001</v>
      </c>
      <c r="E20625">
        <v>14.3688155922038</v>
      </c>
    </row>
    <row r="20626" spans="1:5">
      <c r="A20626" t="s">
        <v>23929</v>
      </c>
      <c r="B20626" t="s">
        <v>23931</v>
      </c>
      <c r="C20626">
        <v>0</v>
      </c>
      <c r="D20626">
        <v>0.67806460501900001</v>
      </c>
      <c r="E20626">
        <v>14.3688155922038</v>
      </c>
    </row>
    <row r="20627" spans="1:5">
      <c r="A20627" t="s">
        <v>23932</v>
      </c>
      <c r="B20627" t="s">
        <v>23933</v>
      </c>
      <c r="C20627">
        <v>5.6727519537799996E-3</v>
      </c>
      <c r="D20627">
        <v>0.65540758944300004</v>
      </c>
      <c r="E20627">
        <v>24</v>
      </c>
    </row>
    <row r="20628" spans="1:5">
      <c r="A20628" t="s">
        <v>23932</v>
      </c>
      <c r="B20628" t="s">
        <v>23934</v>
      </c>
      <c r="C20628">
        <f>0.00149891739076</f>
        <v>1.4989173907600001E-3</v>
      </c>
      <c r="D20628">
        <v>0.65540758944300004</v>
      </c>
      <c r="E20628">
        <v>24</v>
      </c>
    </row>
    <row r="20629" spans="1:5">
      <c r="A20629" t="s">
        <v>23932</v>
      </c>
      <c r="B20629" t="s">
        <v>23935</v>
      </c>
      <c r="C20629">
        <f>0</f>
        <v>0</v>
      </c>
      <c r="D20629">
        <v>0.65540758944300004</v>
      </c>
      <c r="E20629">
        <v>24</v>
      </c>
    </row>
    <row r="20630" spans="1:5">
      <c r="A20630" t="s">
        <v>23932</v>
      </c>
      <c r="B20630" t="s">
        <v>23936</v>
      </c>
      <c r="C20630">
        <f>0</f>
        <v>0</v>
      </c>
      <c r="D20630">
        <v>0.65540758944300004</v>
      </c>
      <c r="E20630">
        <v>24</v>
      </c>
    </row>
    <row r="20631" spans="1:5">
      <c r="A20631" t="s">
        <v>23932</v>
      </c>
      <c r="B20631" t="s">
        <v>23937</v>
      </c>
      <c r="C20631">
        <f>0</f>
        <v>0</v>
      </c>
      <c r="D20631">
        <v>0.65540758944300004</v>
      </c>
      <c r="E20631">
        <v>24</v>
      </c>
    </row>
    <row r="20632" spans="1:5">
      <c r="A20632" t="s">
        <v>23938</v>
      </c>
      <c r="B20632" t="s">
        <v>23939</v>
      </c>
      <c r="C20632">
        <v>1.6569495463899998E-2</v>
      </c>
      <c r="D20632">
        <v>0.48602259160200001</v>
      </c>
      <c r="E20632">
        <v>11.7061469265367</v>
      </c>
    </row>
    <row r="20633" spans="1:5">
      <c r="A20633" t="s">
        <v>23938</v>
      </c>
      <c r="B20633" t="s">
        <v>23940</v>
      </c>
      <c r="C20633">
        <v>0</v>
      </c>
      <c r="D20633">
        <v>0.48602259160200001</v>
      </c>
      <c r="E20633">
        <v>11.7061469265367</v>
      </c>
    </row>
    <row r="20634" spans="1:5">
      <c r="A20634" t="s">
        <v>23941</v>
      </c>
      <c r="B20634" t="s">
        <v>23942</v>
      </c>
      <c r="C20634">
        <f>0.00794948281155</f>
        <v>7.9494828115499998E-3</v>
      </c>
      <c r="D20634">
        <v>0.86477386594299999</v>
      </c>
      <c r="E20634">
        <v>6.0569715142428704</v>
      </c>
    </row>
    <row r="20635" spans="1:5">
      <c r="A20635" t="s">
        <v>23941</v>
      </c>
      <c r="B20635" t="s">
        <v>23943</v>
      </c>
      <c r="C20635">
        <f>0</f>
        <v>0</v>
      </c>
      <c r="D20635">
        <v>0.86477386594299999</v>
      </c>
      <c r="E20635">
        <v>6.0569715142428704</v>
      </c>
    </row>
    <row r="20636" spans="1:5">
      <c r="A20636" t="s">
        <v>23941</v>
      </c>
      <c r="B20636" t="s">
        <v>23944</v>
      </c>
      <c r="C20636">
        <v>0</v>
      </c>
      <c r="D20636">
        <v>0.86477386594299999</v>
      </c>
      <c r="E20636">
        <v>6.0569715142428704</v>
      </c>
    </row>
    <row r="20637" spans="1:5">
      <c r="A20637" t="s">
        <v>23941</v>
      </c>
      <c r="B20637" t="s">
        <v>23945</v>
      </c>
      <c r="C20637">
        <v>0</v>
      </c>
      <c r="D20637">
        <v>0.86477386594299999</v>
      </c>
      <c r="E20637">
        <v>6.0569715142428704</v>
      </c>
    </row>
    <row r="20638" spans="1:5">
      <c r="A20638" t="s">
        <v>23946</v>
      </c>
      <c r="B20638" t="s">
        <v>23947</v>
      </c>
      <c r="C20638">
        <v>7.37771830301E-3</v>
      </c>
      <c r="D20638">
        <v>0.77732714964600003</v>
      </c>
      <c r="E20638">
        <v>20.7376311844077</v>
      </c>
    </row>
    <row r="20639" spans="1:5">
      <c r="A20639" t="s">
        <v>23946</v>
      </c>
      <c r="B20639" t="s">
        <v>23948</v>
      </c>
      <c r="C20639">
        <v>0</v>
      </c>
      <c r="D20639">
        <v>0.77732714964600003</v>
      </c>
      <c r="E20639">
        <v>20.7376311844077</v>
      </c>
    </row>
    <row r="20640" spans="1:5">
      <c r="A20640" t="s">
        <v>23946</v>
      </c>
      <c r="B20640" t="s">
        <v>23949</v>
      </c>
      <c r="C20640">
        <v>0</v>
      </c>
      <c r="D20640">
        <v>0.77732714964600003</v>
      </c>
      <c r="E20640">
        <v>20.7376311844077</v>
      </c>
    </row>
    <row r="20641" spans="1:5">
      <c r="A20641" t="s">
        <v>23946</v>
      </c>
      <c r="B20641" t="s">
        <v>23950</v>
      </c>
      <c r="C20641">
        <v>0</v>
      </c>
      <c r="D20641">
        <v>0.77732714964600003</v>
      </c>
      <c r="E20641">
        <v>20.7376311844077</v>
      </c>
    </row>
    <row r="20642" spans="1:5">
      <c r="A20642" t="s">
        <v>23951</v>
      </c>
      <c r="B20642" t="s">
        <v>23952</v>
      </c>
      <c r="C20642">
        <v>0.13434421256099999</v>
      </c>
      <c r="D20642">
        <v>0.97349230890600003</v>
      </c>
      <c r="E20642">
        <v>4.9055472263868003</v>
      </c>
    </row>
    <row r="20643" spans="1:5">
      <c r="A20643" t="s">
        <v>23951</v>
      </c>
      <c r="B20643" t="s">
        <v>23953</v>
      </c>
      <c r="C20643">
        <f>0</f>
        <v>0</v>
      </c>
      <c r="D20643">
        <v>0.97349230890600003</v>
      </c>
      <c r="E20643">
        <v>4.9055472263868003</v>
      </c>
    </row>
    <row r="20644" spans="1:5">
      <c r="A20644" t="s">
        <v>23954</v>
      </c>
      <c r="B20644" t="s">
        <v>23955</v>
      </c>
      <c r="C20644">
        <v>0.30406779925400002</v>
      </c>
      <c r="D20644">
        <v>0.97438901915800002</v>
      </c>
      <c r="E20644">
        <v>12.9175412293853</v>
      </c>
    </row>
    <row r="20645" spans="1:5">
      <c r="A20645" t="s">
        <v>23954</v>
      </c>
      <c r="B20645" t="s">
        <v>23956</v>
      </c>
      <c r="C20645">
        <f>0</f>
        <v>0</v>
      </c>
      <c r="D20645">
        <v>0.97438901915800002</v>
      </c>
      <c r="E20645">
        <v>12.9175412293853</v>
      </c>
    </row>
    <row r="20646" spans="1:5">
      <c r="A20646" t="s">
        <v>23954</v>
      </c>
      <c r="B20646" t="s">
        <v>23957</v>
      </c>
      <c r="C20646">
        <f>0.0377950059727</f>
        <v>3.7795005972700003E-2</v>
      </c>
      <c r="D20646">
        <v>0.97438901915800002</v>
      </c>
      <c r="E20646">
        <v>12.9175412293853</v>
      </c>
    </row>
    <row r="20647" spans="1:5">
      <c r="A20647" t="s">
        <v>23958</v>
      </c>
      <c r="B20647" t="s">
        <v>23959</v>
      </c>
      <c r="C20647">
        <f>0.277868270636</f>
        <v>0.277868270636</v>
      </c>
      <c r="D20647">
        <v>0.49068695924599998</v>
      </c>
      <c r="E20647">
        <v>2.96251874062968</v>
      </c>
    </row>
    <row r="20648" spans="1:5">
      <c r="A20648" t="s">
        <v>23960</v>
      </c>
      <c r="B20648" t="s">
        <v>23961</v>
      </c>
      <c r="C20648">
        <f>0</f>
        <v>0</v>
      </c>
      <c r="D20648">
        <v>0.89334142265399996</v>
      </c>
      <c r="E20648">
        <v>18.770614692653599</v>
      </c>
    </row>
    <row r="20649" spans="1:5">
      <c r="A20649" t="s">
        <v>23960</v>
      </c>
      <c r="B20649" t="s">
        <v>23962</v>
      </c>
      <c r="C20649">
        <f>0.139279198403</f>
        <v>0.13927919840299999</v>
      </c>
      <c r="D20649">
        <v>0.89334142265399996</v>
      </c>
      <c r="E20649">
        <v>18.770614692653599</v>
      </c>
    </row>
    <row r="20650" spans="1:5">
      <c r="A20650" t="s">
        <v>23960</v>
      </c>
      <c r="B20650" t="s">
        <v>23963</v>
      </c>
      <c r="C20650">
        <f>0</f>
        <v>0</v>
      </c>
      <c r="D20650">
        <v>0.89334142265399996</v>
      </c>
      <c r="E20650">
        <v>18.770614692653599</v>
      </c>
    </row>
    <row r="20651" spans="1:5">
      <c r="A20651" t="s">
        <v>23964</v>
      </c>
      <c r="B20651" t="s">
        <v>23965</v>
      </c>
      <c r="C20651">
        <v>0</v>
      </c>
      <c r="D20651">
        <v>0.83323738704899997</v>
      </c>
      <c r="E20651">
        <v>5.3493253373313303</v>
      </c>
    </row>
    <row r="20652" spans="1:5">
      <c r="A20652" t="s">
        <v>23964</v>
      </c>
      <c r="B20652" t="s">
        <v>23966</v>
      </c>
      <c r="C20652">
        <f>0</f>
        <v>0</v>
      </c>
      <c r="D20652">
        <v>0.83323738704899997</v>
      </c>
      <c r="E20652">
        <v>5.3493253373313303</v>
      </c>
    </row>
    <row r="20653" spans="1:5">
      <c r="A20653" t="s">
        <v>23964</v>
      </c>
      <c r="B20653" t="s">
        <v>23967</v>
      </c>
      <c r="C20653">
        <v>0</v>
      </c>
      <c r="D20653">
        <v>0.83323738704899997</v>
      </c>
      <c r="E20653">
        <v>5.3493253373313303</v>
      </c>
    </row>
    <row r="20654" spans="1:5">
      <c r="A20654" t="s">
        <v>23964</v>
      </c>
      <c r="B20654" t="s">
        <v>23968</v>
      </c>
      <c r="C20654">
        <f>0</f>
        <v>0</v>
      </c>
      <c r="D20654">
        <v>0.83323738704899997</v>
      </c>
      <c r="E20654">
        <v>5.3493253373313303</v>
      </c>
    </row>
    <row r="20655" spans="1:5">
      <c r="A20655" t="s">
        <v>23964</v>
      </c>
      <c r="B20655" t="s">
        <v>23969</v>
      </c>
      <c r="C20655">
        <v>0</v>
      </c>
      <c r="D20655">
        <v>0.83323738704899997</v>
      </c>
      <c r="E20655">
        <v>5.3493253373313303</v>
      </c>
    </row>
    <row r="20656" spans="1:5">
      <c r="A20656" t="s">
        <v>23964</v>
      </c>
      <c r="B20656" t="s">
        <v>23970</v>
      </c>
      <c r="C20656">
        <v>0</v>
      </c>
      <c r="D20656">
        <v>0.83323738704899997</v>
      </c>
      <c r="E20656">
        <v>5.3493253373313303</v>
      </c>
    </row>
    <row r="20657" spans="1:5">
      <c r="A20657" t="s">
        <v>23964</v>
      </c>
      <c r="B20657" t="s">
        <v>23971</v>
      </c>
      <c r="C20657">
        <f>0</f>
        <v>0</v>
      </c>
      <c r="D20657">
        <v>0.83323738704899997</v>
      </c>
      <c r="E20657">
        <v>5.3493253373313303</v>
      </c>
    </row>
    <row r="20658" spans="1:5">
      <c r="A20658" t="s">
        <v>23964</v>
      </c>
      <c r="B20658" t="s">
        <v>23972</v>
      </c>
      <c r="C20658">
        <f>0</f>
        <v>0</v>
      </c>
      <c r="D20658">
        <v>0.83323738704899997</v>
      </c>
      <c r="E20658">
        <v>5.3493253373313303</v>
      </c>
    </row>
    <row r="20659" spans="1:5">
      <c r="A20659" t="s">
        <v>23973</v>
      </c>
      <c r="B20659" t="s">
        <v>23974</v>
      </c>
      <c r="C20659">
        <f>0</f>
        <v>0</v>
      </c>
      <c r="D20659">
        <v>0.95868298523200002</v>
      </c>
      <c r="E20659">
        <v>0</v>
      </c>
    </row>
    <row r="20660" spans="1:5">
      <c r="A20660" t="s">
        <v>23973</v>
      </c>
      <c r="B20660" t="s">
        <v>23975</v>
      </c>
      <c r="C20660">
        <f>0</f>
        <v>0</v>
      </c>
      <c r="D20660">
        <v>0.95868298523200002</v>
      </c>
      <c r="E20660">
        <v>0</v>
      </c>
    </row>
    <row r="20661" spans="1:5">
      <c r="A20661" t="s">
        <v>23973</v>
      </c>
      <c r="B20661" t="s">
        <v>23976</v>
      </c>
      <c r="C20661">
        <f>0.373369123919</f>
        <v>0.37336912391900001</v>
      </c>
      <c r="D20661">
        <v>0.95868298523200002</v>
      </c>
      <c r="E20661">
        <v>0</v>
      </c>
    </row>
    <row r="20662" spans="1:5">
      <c r="A20662" t="s">
        <v>23973</v>
      </c>
      <c r="B20662" t="s">
        <v>23977</v>
      </c>
      <c r="C20662">
        <f>0.663639342473</f>
        <v>0.66363934247300005</v>
      </c>
      <c r="D20662">
        <v>0.95868298523200002</v>
      </c>
      <c r="E20662">
        <v>0</v>
      </c>
    </row>
    <row r="20663" spans="1:5">
      <c r="A20663" t="s">
        <v>23973</v>
      </c>
      <c r="B20663" t="s">
        <v>23978</v>
      </c>
      <c r="C20663">
        <f>0</f>
        <v>0</v>
      </c>
      <c r="D20663">
        <v>0.95868298523200002</v>
      </c>
      <c r="E20663">
        <v>0</v>
      </c>
    </row>
    <row r="20664" spans="1:5">
      <c r="A20664" t="s">
        <v>23979</v>
      </c>
      <c r="B20664" t="s">
        <v>23980</v>
      </c>
      <c r="C20664">
        <f>0.0188516517272</f>
        <v>1.8851651727199999E-2</v>
      </c>
      <c r="D20664">
        <v>0.96371605254000003</v>
      </c>
      <c r="E20664">
        <v>1.57121439280359</v>
      </c>
    </row>
    <row r="20665" spans="1:5">
      <c r="A20665" t="s">
        <v>23979</v>
      </c>
      <c r="B20665" t="s">
        <v>23981</v>
      </c>
      <c r="C20665">
        <f>0</f>
        <v>0</v>
      </c>
      <c r="D20665">
        <v>0.96371605254000003</v>
      </c>
      <c r="E20665">
        <v>1.57121439280359</v>
      </c>
    </row>
    <row r="20666" spans="1:5">
      <c r="A20666" t="s">
        <v>23979</v>
      </c>
      <c r="B20666" t="s">
        <v>23982</v>
      </c>
      <c r="C20666">
        <v>0</v>
      </c>
      <c r="D20666">
        <v>0.96371605254000003</v>
      </c>
      <c r="E20666">
        <v>1.57121439280359</v>
      </c>
    </row>
    <row r="20667" spans="1:5">
      <c r="A20667" t="s">
        <v>23979</v>
      </c>
      <c r="B20667" t="s">
        <v>23983</v>
      </c>
      <c r="C20667">
        <f>0.0956718657223</f>
        <v>9.5671865722300006E-2</v>
      </c>
      <c r="D20667">
        <v>0.96371605254000003</v>
      </c>
      <c r="E20667">
        <v>1.57121439280359</v>
      </c>
    </row>
    <row r="20668" spans="1:5">
      <c r="A20668" t="s">
        <v>23984</v>
      </c>
      <c r="B20668" t="s">
        <v>23985</v>
      </c>
      <c r="C20668">
        <f>0.32650906863</f>
        <v>0.32650906863000001</v>
      </c>
      <c r="D20668">
        <v>0.88058604795100004</v>
      </c>
      <c r="E20668">
        <v>12.3898050974512</v>
      </c>
    </row>
    <row r="20669" spans="1:5">
      <c r="A20669" t="s">
        <v>23986</v>
      </c>
      <c r="B20669" t="s">
        <v>23987</v>
      </c>
      <c r="C20669">
        <v>0</v>
      </c>
      <c r="D20669" t="s">
        <v>106</v>
      </c>
      <c r="E20669">
        <v>9.1634182908545707</v>
      </c>
    </row>
    <row r="20670" spans="1:5">
      <c r="A20670" t="s">
        <v>23986</v>
      </c>
      <c r="B20670" t="s">
        <v>23988</v>
      </c>
      <c r="C20670">
        <v>0</v>
      </c>
      <c r="D20670" t="s">
        <v>106</v>
      </c>
      <c r="E20670">
        <v>9.1634182908545707</v>
      </c>
    </row>
    <row r="20671" spans="1:5">
      <c r="A20671" t="s">
        <v>23986</v>
      </c>
      <c r="B20671" t="s">
        <v>23989</v>
      </c>
      <c r="C20671">
        <f>0</f>
        <v>0</v>
      </c>
      <c r="D20671" t="s">
        <v>106</v>
      </c>
      <c r="E20671">
        <v>9.1634182908545707</v>
      </c>
    </row>
    <row r="20672" spans="1:5">
      <c r="A20672" t="s">
        <v>23986</v>
      </c>
      <c r="B20672" t="s">
        <v>23990</v>
      </c>
      <c r="C20672">
        <v>0</v>
      </c>
      <c r="D20672" t="s">
        <v>106</v>
      </c>
      <c r="E20672">
        <v>9.1634182908545707</v>
      </c>
    </row>
    <row r="20673" spans="1:5">
      <c r="A20673" t="s">
        <v>23986</v>
      </c>
      <c r="B20673" t="s">
        <v>23991</v>
      </c>
      <c r="C20673">
        <f>0</f>
        <v>0</v>
      </c>
      <c r="D20673" t="s">
        <v>106</v>
      </c>
      <c r="E20673">
        <v>9.1634182908545707</v>
      </c>
    </row>
    <row r="20674" spans="1:5">
      <c r="A20674" t="s">
        <v>23986</v>
      </c>
      <c r="B20674" t="s">
        <v>23992</v>
      </c>
      <c r="C20674">
        <v>0</v>
      </c>
      <c r="D20674" t="s">
        <v>106</v>
      </c>
      <c r="E20674">
        <v>9.1634182908545707</v>
      </c>
    </row>
    <row r="20675" spans="1:5">
      <c r="A20675" t="s">
        <v>23986</v>
      </c>
      <c r="B20675" t="s">
        <v>23993</v>
      </c>
      <c r="C20675">
        <f>0</f>
        <v>0</v>
      </c>
      <c r="D20675" t="s">
        <v>106</v>
      </c>
      <c r="E20675">
        <v>9.1634182908545707</v>
      </c>
    </row>
    <row r="20676" spans="1:5">
      <c r="A20676" t="s">
        <v>23994</v>
      </c>
      <c r="B20676" t="s">
        <v>23995</v>
      </c>
      <c r="C20676">
        <f>0</f>
        <v>0</v>
      </c>
      <c r="D20676">
        <v>0.975820443659</v>
      </c>
      <c r="E20676">
        <v>10.0749625187406</v>
      </c>
    </row>
    <row r="20677" spans="1:5">
      <c r="A20677" t="s">
        <v>23994</v>
      </c>
      <c r="B20677" t="s">
        <v>23996</v>
      </c>
      <c r="C20677">
        <f>0</f>
        <v>0</v>
      </c>
      <c r="D20677">
        <v>0.975820443659</v>
      </c>
      <c r="E20677">
        <v>10.0749625187406</v>
      </c>
    </row>
    <row r="20678" spans="1:5">
      <c r="A20678" t="s">
        <v>23994</v>
      </c>
      <c r="B20678" t="s">
        <v>23997</v>
      </c>
      <c r="C20678">
        <f>0</f>
        <v>0</v>
      </c>
      <c r="D20678">
        <v>0.975820443659</v>
      </c>
      <c r="E20678">
        <v>10.0749625187406</v>
      </c>
    </row>
    <row r="20679" spans="1:5">
      <c r="A20679" t="s">
        <v>23994</v>
      </c>
      <c r="B20679" t="s">
        <v>23998</v>
      </c>
      <c r="C20679">
        <v>0</v>
      </c>
      <c r="D20679">
        <v>0.975820443659</v>
      </c>
      <c r="E20679">
        <v>10.0749625187406</v>
      </c>
    </row>
    <row r="20680" spans="1:5">
      <c r="A20680" t="s">
        <v>23994</v>
      </c>
      <c r="B20680" t="s">
        <v>23999</v>
      </c>
      <c r="C20680">
        <v>0</v>
      </c>
      <c r="D20680">
        <v>0.975820443659</v>
      </c>
      <c r="E20680">
        <v>10.0749625187406</v>
      </c>
    </row>
    <row r="20681" spans="1:5">
      <c r="A20681" t="s">
        <v>23994</v>
      </c>
      <c r="B20681" t="s">
        <v>24000</v>
      </c>
      <c r="C20681">
        <f>0</f>
        <v>0</v>
      </c>
      <c r="D20681">
        <v>0.975820443659</v>
      </c>
      <c r="E20681">
        <v>10.0749625187406</v>
      </c>
    </row>
    <row r="20682" spans="1:5">
      <c r="A20682" t="s">
        <v>23994</v>
      </c>
      <c r="B20682" t="s">
        <v>24001</v>
      </c>
      <c r="C20682">
        <f>0</f>
        <v>0</v>
      </c>
      <c r="D20682">
        <v>0.975820443659</v>
      </c>
      <c r="E20682">
        <v>10.0749625187406</v>
      </c>
    </row>
    <row r="20683" spans="1:5">
      <c r="A20683" t="s">
        <v>23994</v>
      </c>
      <c r="B20683" t="s">
        <v>24002</v>
      </c>
      <c r="C20683">
        <f>0.0685608250732</f>
        <v>6.8560825073199994E-2</v>
      </c>
      <c r="D20683">
        <v>0.975820443659</v>
      </c>
      <c r="E20683">
        <v>10.0749625187406</v>
      </c>
    </row>
    <row r="20684" spans="1:5">
      <c r="A20684" t="s">
        <v>23994</v>
      </c>
      <c r="B20684" t="s">
        <v>24003</v>
      </c>
      <c r="C20684">
        <v>0</v>
      </c>
      <c r="D20684">
        <v>0.975820443659</v>
      </c>
      <c r="E20684">
        <v>10.0749625187406</v>
      </c>
    </row>
    <row r="20685" spans="1:5">
      <c r="A20685" t="s">
        <v>23994</v>
      </c>
      <c r="B20685" t="s">
        <v>24004</v>
      </c>
      <c r="C20685">
        <v>0.221243814377</v>
      </c>
      <c r="D20685">
        <v>0.975820443659</v>
      </c>
      <c r="E20685">
        <v>10.0749625187406</v>
      </c>
    </row>
    <row r="20686" spans="1:5">
      <c r="A20686" t="s">
        <v>23994</v>
      </c>
      <c r="B20686" t="s">
        <v>24005</v>
      </c>
      <c r="C20686">
        <f>0</f>
        <v>0</v>
      </c>
      <c r="D20686">
        <v>0.975820443659</v>
      </c>
      <c r="E20686">
        <v>10.0749625187406</v>
      </c>
    </row>
    <row r="20687" spans="1:5">
      <c r="A20687" t="s">
        <v>24006</v>
      </c>
      <c r="B20687" t="s">
        <v>24007</v>
      </c>
      <c r="C20687">
        <v>0</v>
      </c>
      <c r="D20687" t="s">
        <v>106</v>
      </c>
      <c r="E20687">
        <v>9.9190404797601204</v>
      </c>
    </row>
    <row r="20688" spans="1:5">
      <c r="A20688" t="s">
        <v>24008</v>
      </c>
      <c r="B20688" t="s">
        <v>24009</v>
      </c>
      <c r="C20688">
        <v>0</v>
      </c>
      <c r="D20688" t="s">
        <v>106</v>
      </c>
      <c r="E20688">
        <v>24</v>
      </c>
    </row>
    <row r="20689" spans="1:5">
      <c r="A20689" t="s">
        <v>24008</v>
      </c>
      <c r="B20689" t="s">
        <v>24010</v>
      </c>
      <c r="C20689">
        <v>0</v>
      </c>
      <c r="D20689" t="s">
        <v>106</v>
      </c>
      <c r="E20689">
        <v>24</v>
      </c>
    </row>
    <row r="20690" spans="1:5">
      <c r="A20690" t="s">
        <v>24008</v>
      </c>
      <c r="B20690" t="s">
        <v>24011</v>
      </c>
      <c r="C20690">
        <f>0</f>
        <v>0</v>
      </c>
      <c r="D20690" t="s">
        <v>106</v>
      </c>
      <c r="E20690">
        <v>24</v>
      </c>
    </row>
    <row r="20691" spans="1:5">
      <c r="A20691" t="s">
        <v>24008</v>
      </c>
      <c r="B20691" t="s">
        <v>24012</v>
      </c>
      <c r="C20691">
        <v>0</v>
      </c>
      <c r="D20691" t="s">
        <v>106</v>
      </c>
      <c r="E20691">
        <v>24</v>
      </c>
    </row>
    <row r="20692" spans="1:5">
      <c r="A20692" t="s">
        <v>24008</v>
      </c>
      <c r="B20692" t="s">
        <v>24013</v>
      </c>
      <c r="C20692">
        <v>0</v>
      </c>
      <c r="D20692" t="s">
        <v>106</v>
      </c>
      <c r="E20692">
        <v>24</v>
      </c>
    </row>
    <row r="20693" spans="1:5">
      <c r="A20693" t="s">
        <v>24008</v>
      </c>
      <c r="B20693" t="s">
        <v>24014</v>
      </c>
      <c r="C20693">
        <v>0</v>
      </c>
      <c r="D20693" t="s">
        <v>106</v>
      </c>
      <c r="E20693">
        <v>24</v>
      </c>
    </row>
    <row r="20694" spans="1:5">
      <c r="A20694" t="s">
        <v>24008</v>
      </c>
      <c r="B20694" t="s">
        <v>24015</v>
      </c>
      <c r="C20694">
        <f>0</f>
        <v>0</v>
      </c>
      <c r="D20694" t="s">
        <v>106</v>
      </c>
      <c r="E20694">
        <v>24</v>
      </c>
    </row>
    <row r="20695" spans="1:5">
      <c r="A20695" t="s">
        <v>24008</v>
      </c>
      <c r="B20695" t="s">
        <v>24016</v>
      </c>
      <c r="C20695">
        <v>0</v>
      </c>
      <c r="D20695" t="s">
        <v>106</v>
      </c>
      <c r="E20695">
        <v>24</v>
      </c>
    </row>
    <row r="20696" spans="1:5">
      <c r="A20696" t="s">
        <v>24008</v>
      </c>
      <c r="B20696" t="s">
        <v>24017</v>
      </c>
      <c r="C20696">
        <v>0</v>
      </c>
      <c r="D20696" t="s">
        <v>106</v>
      </c>
      <c r="E20696">
        <v>24</v>
      </c>
    </row>
    <row r="20697" spans="1:5">
      <c r="A20697" t="s">
        <v>24008</v>
      </c>
      <c r="B20697" t="s">
        <v>24018</v>
      </c>
      <c r="C20697">
        <v>0</v>
      </c>
      <c r="D20697" t="s">
        <v>106</v>
      </c>
      <c r="E20697">
        <v>24</v>
      </c>
    </row>
    <row r="20698" spans="1:5">
      <c r="A20698" t="s">
        <v>24008</v>
      </c>
      <c r="B20698" t="s">
        <v>24019</v>
      </c>
      <c r="C20698">
        <v>0</v>
      </c>
      <c r="D20698" t="s">
        <v>106</v>
      </c>
      <c r="E20698">
        <v>24</v>
      </c>
    </row>
    <row r="20699" spans="1:5">
      <c r="A20699" t="s">
        <v>24008</v>
      </c>
      <c r="B20699" t="s">
        <v>24020</v>
      </c>
      <c r="C20699">
        <v>0</v>
      </c>
      <c r="D20699" t="s">
        <v>106</v>
      </c>
      <c r="E20699">
        <v>24</v>
      </c>
    </row>
    <row r="20700" spans="1:5">
      <c r="A20700" t="s">
        <v>24021</v>
      </c>
      <c r="B20700" t="s">
        <v>24022</v>
      </c>
      <c r="C20700">
        <v>0</v>
      </c>
      <c r="D20700">
        <v>0.95689998005599997</v>
      </c>
      <c r="E20700">
        <v>24</v>
      </c>
    </row>
    <row r="20701" spans="1:5">
      <c r="A20701" t="s">
        <v>24021</v>
      </c>
      <c r="B20701" t="s">
        <v>24023</v>
      </c>
      <c r="C20701">
        <v>0</v>
      </c>
      <c r="D20701">
        <v>0.95689998005599997</v>
      </c>
      <c r="E20701">
        <v>24</v>
      </c>
    </row>
    <row r="20702" spans="1:5">
      <c r="A20702" t="s">
        <v>24021</v>
      </c>
      <c r="B20702" t="s">
        <v>24024</v>
      </c>
      <c r="C20702">
        <f>0</f>
        <v>0</v>
      </c>
      <c r="D20702">
        <v>0.95689998005599997</v>
      </c>
      <c r="E20702">
        <v>24</v>
      </c>
    </row>
    <row r="20703" spans="1:5">
      <c r="A20703" t="s">
        <v>24021</v>
      </c>
      <c r="B20703" t="s">
        <v>24025</v>
      </c>
      <c r="C20703">
        <f>0</f>
        <v>0</v>
      </c>
      <c r="D20703">
        <v>0.95689998005599997</v>
      </c>
      <c r="E20703">
        <v>24</v>
      </c>
    </row>
    <row r="20704" spans="1:5">
      <c r="A20704" t="s">
        <v>24021</v>
      </c>
      <c r="B20704" t="s">
        <v>24026</v>
      </c>
      <c r="C20704">
        <f>0</f>
        <v>0</v>
      </c>
      <c r="D20704">
        <v>0.95689998005599997</v>
      </c>
      <c r="E20704">
        <v>24</v>
      </c>
    </row>
    <row r="20705" spans="1:5">
      <c r="A20705" t="s">
        <v>24021</v>
      </c>
      <c r="B20705" t="s">
        <v>24027</v>
      </c>
      <c r="C20705">
        <v>2.1850718802199999E-2</v>
      </c>
      <c r="D20705">
        <v>0.95689998005599997</v>
      </c>
      <c r="E20705">
        <v>24</v>
      </c>
    </row>
    <row r="20706" spans="1:5">
      <c r="A20706" t="s">
        <v>24021</v>
      </c>
      <c r="B20706" t="s">
        <v>24028</v>
      </c>
      <c r="C20706">
        <v>3.5016089964999997E-2</v>
      </c>
      <c r="D20706">
        <v>0.95689998005599997</v>
      </c>
      <c r="E20706">
        <v>24</v>
      </c>
    </row>
    <row r="20707" spans="1:5">
      <c r="A20707" t="s">
        <v>24021</v>
      </c>
      <c r="B20707" t="s">
        <v>24029</v>
      </c>
      <c r="C20707">
        <f>0</f>
        <v>0</v>
      </c>
      <c r="D20707">
        <v>0.95689998005599997</v>
      </c>
      <c r="E20707">
        <v>24</v>
      </c>
    </row>
    <row r="20708" spans="1:5">
      <c r="A20708" t="s">
        <v>24030</v>
      </c>
      <c r="B20708" t="s">
        <v>24031</v>
      </c>
      <c r="C20708">
        <v>0</v>
      </c>
      <c r="D20708" t="s">
        <v>106</v>
      </c>
      <c r="E20708">
        <v>9.9190404797601204</v>
      </c>
    </row>
    <row r="20709" spans="1:5">
      <c r="A20709" t="s">
        <v>24032</v>
      </c>
      <c r="B20709" t="s">
        <v>24033</v>
      </c>
      <c r="C20709">
        <f>0</f>
        <v>0</v>
      </c>
      <c r="D20709">
        <v>0.59715474695100002</v>
      </c>
      <c r="E20709">
        <v>24</v>
      </c>
    </row>
    <row r="20710" spans="1:5">
      <c r="A20710" t="s">
        <v>24032</v>
      </c>
      <c r="B20710" t="s">
        <v>24034</v>
      </c>
      <c r="C20710">
        <v>0</v>
      </c>
      <c r="D20710">
        <v>0.59715474695100002</v>
      </c>
      <c r="E20710">
        <v>24</v>
      </c>
    </row>
    <row r="20711" spans="1:5">
      <c r="A20711" t="s">
        <v>24032</v>
      </c>
      <c r="B20711" t="s">
        <v>24035</v>
      </c>
      <c r="C20711">
        <v>0</v>
      </c>
      <c r="D20711">
        <v>0.59715474695100002</v>
      </c>
      <c r="E20711">
        <v>24</v>
      </c>
    </row>
    <row r="20712" spans="1:5">
      <c r="A20712" t="s">
        <v>24032</v>
      </c>
      <c r="B20712" t="s">
        <v>24036</v>
      </c>
      <c r="C20712">
        <v>0</v>
      </c>
      <c r="D20712">
        <v>0.59715474695100002</v>
      </c>
      <c r="E20712">
        <v>24</v>
      </c>
    </row>
    <row r="20713" spans="1:5">
      <c r="A20713" t="s">
        <v>24032</v>
      </c>
      <c r="B20713" t="s">
        <v>24037</v>
      </c>
      <c r="C20713">
        <v>0</v>
      </c>
      <c r="D20713">
        <v>0.59715474695100002</v>
      </c>
      <c r="E20713">
        <v>24</v>
      </c>
    </row>
    <row r="20714" spans="1:5">
      <c r="A20714" t="s">
        <v>24032</v>
      </c>
      <c r="B20714" t="s">
        <v>24038</v>
      </c>
      <c r="C20714">
        <v>0</v>
      </c>
      <c r="D20714">
        <v>0.59715474695100002</v>
      </c>
      <c r="E20714">
        <v>24</v>
      </c>
    </row>
    <row r="20715" spans="1:5">
      <c r="A20715" t="s">
        <v>24032</v>
      </c>
      <c r="B20715" t="s">
        <v>24039</v>
      </c>
      <c r="C20715">
        <v>0</v>
      </c>
      <c r="D20715">
        <v>0.59715474695100002</v>
      </c>
      <c r="E20715">
        <v>24</v>
      </c>
    </row>
    <row r="20716" spans="1:5">
      <c r="A20716" t="s">
        <v>24032</v>
      </c>
      <c r="B20716" t="s">
        <v>24040</v>
      </c>
      <c r="C20716">
        <f>0</f>
        <v>0</v>
      </c>
      <c r="D20716">
        <v>0.59715474695100002</v>
      </c>
      <c r="E20716">
        <v>24</v>
      </c>
    </row>
    <row r="20717" spans="1:5">
      <c r="A20717" t="s">
        <v>24032</v>
      </c>
      <c r="B20717" t="s">
        <v>24041</v>
      </c>
      <c r="C20717">
        <f>0</f>
        <v>0</v>
      </c>
      <c r="D20717">
        <v>0.59715474695100002</v>
      </c>
      <c r="E20717">
        <v>24</v>
      </c>
    </row>
    <row r="20718" spans="1:5">
      <c r="A20718" t="s">
        <v>24032</v>
      </c>
      <c r="B20718" t="s">
        <v>24042</v>
      </c>
      <c r="C20718">
        <f>0.100682028555</f>
        <v>0.100682028555</v>
      </c>
      <c r="D20718">
        <v>0.59715474695100002</v>
      </c>
      <c r="E20718">
        <v>24</v>
      </c>
    </row>
    <row r="20719" spans="1:5">
      <c r="A20719" t="s">
        <v>24032</v>
      </c>
      <c r="B20719" t="s">
        <v>24043</v>
      </c>
      <c r="C20719">
        <f>0</f>
        <v>0</v>
      </c>
      <c r="D20719">
        <v>0.59715474695100002</v>
      </c>
      <c r="E20719">
        <v>24</v>
      </c>
    </row>
    <row r="20720" spans="1:5">
      <c r="A20720" t="s">
        <v>24032</v>
      </c>
      <c r="B20720" t="s">
        <v>24044</v>
      </c>
      <c r="C20720">
        <f>0</f>
        <v>0</v>
      </c>
      <c r="D20720">
        <v>0.59715474695100002</v>
      </c>
      <c r="E20720">
        <v>24</v>
      </c>
    </row>
    <row r="20721" spans="1:5">
      <c r="A20721" t="s">
        <v>24032</v>
      </c>
      <c r="B20721" t="s">
        <v>24045</v>
      </c>
      <c r="C20721">
        <v>0</v>
      </c>
      <c r="D20721">
        <v>0.59715474695100002</v>
      </c>
      <c r="E20721">
        <v>24</v>
      </c>
    </row>
    <row r="20722" spans="1:5">
      <c r="A20722" t="s">
        <v>24032</v>
      </c>
      <c r="B20722" t="s">
        <v>24046</v>
      </c>
      <c r="C20722">
        <v>0</v>
      </c>
      <c r="D20722">
        <v>0.59715474695100002</v>
      </c>
      <c r="E20722">
        <v>24</v>
      </c>
    </row>
    <row r="20723" spans="1:5">
      <c r="A20723" t="s">
        <v>24032</v>
      </c>
      <c r="B20723" t="s">
        <v>24047</v>
      </c>
      <c r="C20723">
        <v>0</v>
      </c>
      <c r="D20723">
        <v>0.59715474695100002</v>
      </c>
      <c r="E20723">
        <v>24</v>
      </c>
    </row>
    <row r="20724" spans="1:5">
      <c r="A20724" t="s">
        <v>24032</v>
      </c>
      <c r="B20724" t="s">
        <v>24048</v>
      </c>
      <c r="C20724">
        <v>0</v>
      </c>
      <c r="D20724">
        <v>0.59715474695100002</v>
      </c>
      <c r="E20724">
        <v>24</v>
      </c>
    </row>
    <row r="20725" spans="1:5">
      <c r="A20725" t="s">
        <v>24049</v>
      </c>
      <c r="B20725" t="s">
        <v>24050</v>
      </c>
      <c r="C20725">
        <f>0</f>
        <v>0</v>
      </c>
      <c r="D20725">
        <v>0.95656113618799998</v>
      </c>
      <c r="E20725">
        <v>11.7061469265367</v>
      </c>
    </row>
    <row r="20726" spans="1:5">
      <c r="A20726" t="s">
        <v>24049</v>
      </c>
      <c r="B20726" t="s">
        <v>24051</v>
      </c>
      <c r="C20726">
        <v>0</v>
      </c>
      <c r="D20726">
        <v>0.95656113618799998</v>
      </c>
      <c r="E20726">
        <v>11.7061469265367</v>
      </c>
    </row>
    <row r="20727" spans="1:5">
      <c r="A20727" t="s">
        <v>24049</v>
      </c>
      <c r="B20727" t="s">
        <v>24052</v>
      </c>
      <c r="C20727">
        <v>6.1298594858600002E-2</v>
      </c>
      <c r="D20727">
        <v>0.95656113618799998</v>
      </c>
      <c r="E20727">
        <v>11.7061469265367</v>
      </c>
    </row>
    <row r="20728" spans="1:5">
      <c r="A20728" t="s">
        <v>24049</v>
      </c>
      <c r="B20728" t="s">
        <v>24053</v>
      </c>
      <c r="C20728">
        <v>0</v>
      </c>
      <c r="D20728">
        <v>0.95656113618799998</v>
      </c>
      <c r="E20728">
        <v>11.7061469265367</v>
      </c>
    </row>
    <row r="20729" spans="1:5">
      <c r="A20729" t="s">
        <v>24049</v>
      </c>
      <c r="B20729" t="s">
        <v>24054</v>
      </c>
      <c r="C20729">
        <v>0</v>
      </c>
      <c r="D20729">
        <v>0.95656113618799998</v>
      </c>
      <c r="E20729">
        <v>11.7061469265367</v>
      </c>
    </row>
    <row r="20730" spans="1:5">
      <c r="A20730" t="s">
        <v>24049</v>
      </c>
      <c r="B20730" t="s">
        <v>24055</v>
      </c>
      <c r="C20730">
        <v>0.35318948590900001</v>
      </c>
      <c r="D20730">
        <v>0.95656113618799998</v>
      </c>
      <c r="E20730">
        <v>11.7061469265367</v>
      </c>
    </row>
    <row r="20731" spans="1:5">
      <c r="A20731" t="s">
        <v>24049</v>
      </c>
      <c r="B20731" t="s">
        <v>24056</v>
      </c>
      <c r="C20731">
        <f>0</f>
        <v>0</v>
      </c>
      <c r="D20731">
        <v>0.95656113618799998</v>
      </c>
      <c r="E20731">
        <v>11.7061469265367</v>
      </c>
    </row>
    <row r="20732" spans="1:5">
      <c r="A20732" t="s">
        <v>24049</v>
      </c>
      <c r="B20732" t="s">
        <v>24057</v>
      </c>
      <c r="C20732">
        <v>0</v>
      </c>
      <c r="D20732">
        <v>0.95656113618799998</v>
      </c>
      <c r="E20732">
        <v>11.7061469265367</v>
      </c>
    </row>
    <row r="20733" spans="1:5">
      <c r="A20733" t="s">
        <v>24049</v>
      </c>
      <c r="B20733" t="s">
        <v>24058</v>
      </c>
      <c r="C20733">
        <f>0</f>
        <v>0</v>
      </c>
      <c r="D20733">
        <v>0.95656113618799998</v>
      </c>
      <c r="E20733">
        <v>11.7061469265367</v>
      </c>
    </row>
    <row r="20734" spans="1:5">
      <c r="A20734" t="s">
        <v>24049</v>
      </c>
      <c r="B20734" t="s">
        <v>24059</v>
      </c>
      <c r="C20734">
        <v>0</v>
      </c>
      <c r="D20734">
        <v>0.95656113618799998</v>
      </c>
      <c r="E20734">
        <v>11.7061469265367</v>
      </c>
    </row>
    <row r="20735" spans="1:5">
      <c r="A20735" t="s">
        <v>24060</v>
      </c>
      <c r="B20735" t="s">
        <v>24061</v>
      </c>
      <c r="C20735">
        <v>0.146623653715</v>
      </c>
      <c r="D20735">
        <v>0.92012187022000003</v>
      </c>
      <c r="E20735">
        <v>18.986506746626599</v>
      </c>
    </row>
    <row r="20736" spans="1:5">
      <c r="A20736" t="s">
        <v>24060</v>
      </c>
      <c r="B20736" t="s">
        <v>24062</v>
      </c>
      <c r="C20736">
        <v>6.4391543487699997E-3</v>
      </c>
      <c r="D20736">
        <v>0.92012187022000003</v>
      </c>
      <c r="E20736">
        <v>18.986506746626599</v>
      </c>
    </row>
    <row r="20737" spans="1:5">
      <c r="A20737" t="s">
        <v>24060</v>
      </c>
      <c r="B20737" t="s">
        <v>24063</v>
      </c>
      <c r="C20737">
        <v>0</v>
      </c>
      <c r="D20737">
        <v>0.92012187022000003</v>
      </c>
      <c r="E20737">
        <v>18.986506746626599</v>
      </c>
    </row>
    <row r="20738" spans="1:5">
      <c r="A20738" t="s">
        <v>24060</v>
      </c>
      <c r="B20738" t="s">
        <v>24064</v>
      </c>
      <c r="C20738">
        <f>0</f>
        <v>0</v>
      </c>
      <c r="D20738">
        <v>0.92012187022000003</v>
      </c>
      <c r="E20738">
        <v>18.986506746626599</v>
      </c>
    </row>
    <row r="20739" spans="1:5">
      <c r="A20739" t="s">
        <v>24060</v>
      </c>
      <c r="B20739" t="s">
        <v>24065</v>
      </c>
      <c r="C20739">
        <v>0</v>
      </c>
      <c r="D20739">
        <v>0.92012187022000003</v>
      </c>
      <c r="E20739">
        <v>18.986506746626599</v>
      </c>
    </row>
    <row r="20740" spans="1:5">
      <c r="A20740" t="s">
        <v>24060</v>
      </c>
      <c r="B20740" t="s">
        <v>24066</v>
      </c>
      <c r="C20740">
        <v>0</v>
      </c>
      <c r="D20740">
        <v>0.92012187022000003</v>
      </c>
      <c r="E20740">
        <v>18.986506746626599</v>
      </c>
    </row>
    <row r="20741" spans="1:5">
      <c r="A20741" t="s">
        <v>24060</v>
      </c>
      <c r="B20741" t="s">
        <v>24067</v>
      </c>
      <c r="C20741">
        <f>0</f>
        <v>0</v>
      </c>
      <c r="D20741">
        <v>0.92012187022000003</v>
      </c>
      <c r="E20741">
        <v>18.986506746626599</v>
      </c>
    </row>
    <row r="20742" spans="1:5">
      <c r="A20742" t="s">
        <v>24060</v>
      </c>
      <c r="B20742" t="s">
        <v>24068</v>
      </c>
      <c r="C20742">
        <v>0</v>
      </c>
      <c r="D20742">
        <v>0.92012187022000003</v>
      </c>
      <c r="E20742">
        <v>18.986506746626599</v>
      </c>
    </row>
    <row r="20743" spans="1:5">
      <c r="A20743" t="s">
        <v>24060</v>
      </c>
      <c r="B20743" t="s">
        <v>24069</v>
      </c>
      <c r="C20743">
        <v>0</v>
      </c>
      <c r="D20743">
        <v>0.92012187022000003</v>
      </c>
      <c r="E20743">
        <v>18.986506746626599</v>
      </c>
    </row>
    <row r="20744" spans="1:5">
      <c r="A20744" t="s">
        <v>24060</v>
      </c>
      <c r="B20744" t="s">
        <v>24070</v>
      </c>
      <c r="C20744">
        <v>0</v>
      </c>
      <c r="D20744">
        <v>0.92012187022000003</v>
      </c>
      <c r="E20744">
        <v>18.986506746626599</v>
      </c>
    </row>
    <row r="20745" spans="1:5">
      <c r="A20745" t="s">
        <v>24060</v>
      </c>
      <c r="B20745" t="s">
        <v>24071</v>
      </c>
      <c r="C20745">
        <v>0</v>
      </c>
      <c r="D20745">
        <v>0.92012187022000003</v>
      </c>
      <c r="E20745">
        <v>18.986506746626599</v>
      </c>
    </row>
    <row r="20746" spans="1:5">
      <c r="A20746" t="s">
        <v>24060</v>
      </c>
      <c r="B20746" t="s">
        <v>24072</v>
      </c>
      <c r="C20746">
        <v>0</v>
      </c>
      <c r="D20746">
        <v>0.92012187022000003</v>
      </c>
      <c r="E20746">
        <v>18.986506746626599</v>
      </c>
    </row>
    <row r="20747" spans="1:5">
      <c r="A20747" t="s">
        <v>24060</v>
      </c>
      <c r="B20747" t="s">
        <v>24073</v>
      </c>
      <c r="C20747">
        <v>0</v>
      </c>
      <c r="D20747">
        <v>0.92012187022000003</v>
      </c>
      <c r="E20747">
        <v>18.986506746626599</v>
      </c>
    </row>
    <row r="20748" spans="1:5">
      <c r="A20748" t="s">
        <v>24074</v>
      </c>
      <c r="B20748" t="s">
        <v>24075</v>
      </c>
      <c r="C20748">
        <f>0</f>
        <v>0</v>
      </c>
      <c r="D20748">
        <v>0.99044938087800005</v>
      </c>
      <c r="E20748">
        <v>19.4182908545727</v>
      </c>
    </row>
    <row r="20749" spans="1:5">
      <c r="A20749" t="s">
        <v>24074</v>
      </c>
      <c r="B20749" t="s">
        <v>24076</v>
      </c>
      <c r="C20749">
        <v>0</v>
      </c>
      <c r="D20749">
        <v>0.99044938087800005</v>
      </c>
      <c r="E20749">
        <v>19.4182908545727</v>
      </c>
    </row>
    <row r="20750" spans="1:5">
      <c r="A20750" t="s">
        <v>24077</v>
      </c>
      <c r="B20750" t="s">
        <v>24078</v>
      </c>
      <c r="C20750">
        <v>0.14787707025499999</v>
      </c>
      <c r="D20750">
        <v>0.97629447783599999</v>
      </c>
      <c r="E20750">
        <v>24</v>
      </c>
    </row>
    <row r="20751" spans="1:5">
      <c r="A20751" t="s">
        <v>24077</v>
      </c>
      <c r="B20751" t="s">
        <v>24079</v>
      </c>
      <c r="C20751">
        <v>0</v>
      </c>
      <c r="D20751">
        <v>0.97629447783599999</v>
      </c>
      <c r="E20751">
        <v>24</v>
      </c>
    </row>
    <row r="20752" spans="1:5">
      <c r="A20752" t="s">
        <v>24077</v>
      </c>
      <c r="B20752" t="s">
        <v>24080</v>
      </c>
      <c r="C20752">
        <v>9.1579877885499997E-2</v>
      </c>
      <c r="D20752">
        <v>0.97629447783599999</v>
      </c>
      <c r="E20752">
        <v>24</v>
      </c>
    </row>
    <row r="20753" spans="1:5">
      <c r="A20753" t="s">
        <v>24081</v>
      </c>
      <c r="B20753" t="s">
        <v>24082</v>
      </c>
      <c r="C20753">
        <v>0</v>
      </c>
      <c r="D20753" t="s">
        <v>106</v>
      </c>
      <c r="E20753">
        <v>10.710644677661101</v>
      </c>
    </row>
    <row r="20754" spans="1:5">
      <c r="A20754" t="s">
        <v>24081</v>
      </c>
      <c r="B20754" t="s">
        <v>24083</v>
      </c>
      <c r="C20754">
        <v>0</v>
      </c>
      <c r="D20754" t="s">
        <v>106</v>
      </c>
      <c r="E20754">
        <v>10.710644677661101</v>
      </c>
    </row>
    <row r="20755" spans="1:5">
      <c r="A20755" t="s">
        <v>24081</v>
      </c>
      <c r="B20755" t="s">
        <v>24084</v>
      </c>
      <c r="C20755">
        <v>0</v>
      </c>
      <c r="D20755" t="s">
        <v>106</v>
      </c>
      <c r="E20755">
        <v>10.710644677661101</v>
      </c>
    </row>
    <row r="20756" spans="1:5">
      <c r="A20756" t="s">
        <v>24081</v>
      </c>
      <c r="B20756" t="s">
        <v>24085</v>
      </c>
      <c r="C20756">
        <v>0</v>
      </c>
      <c r="D20756" t="s">
        <v>106</v>
      </c>
      <c r="E20756">
        <v>10.710644677661101</v>
      </c>
    </row>
    <row r="20757" spans="1:5">
      <c r="A20757" t="s">
        <v>24081</v>
      </c>
      <c r="B20757" t="s">
        <v>24086</v>
      </c>
      <c r="C20757">
        <v>0</v>
      </c>
      <c r="D20757" t="s">
        <v>106</v>
      </c>
      <c r="E20757">
        <v>10.710644677661101</v>
      </c>
    </row>
    <row r="20758" spans="1:5">
      <c r="A20758" t="s">
        <v>24087</v>
      </c>
      <c r="B20758" t="s">
        <v>24088</v>
      </c>
      <c r="C20758">
        <v>2.9552333161600001E-2</v>
      </c>
      <c r="D20758">
        <v>0.99490849396699998</v>
      </c>
      <c r="E20758">
        <v>2.0989505247376301</v>
      </c>
    </row>
    <row r="20759" spans="1:5">
      <c r="A20759" t="s">
        <v>24087</v>
      </c>
      <c r="B20759" t="s">
        <v>24089</v>
      </c>
      <c r="C20759">
        <v>0</v>
      </c>
      <c r="D20759">
        <v>0.99490849396699998</v>
      </c>
      <c r="E20759">
        <v>2.0989505247376301</v>
      </c>
    </row>
    <row r="20760" spans="1:5">
      <c r="A20760" t="s">
        <v>24087</v>
      </c>
      <c r="B20760" t="s">
        <v>24090</v>
      </c>
      <c r="C20760">
        <v>9.1572436722799994E-2</v>
      </c>
      <c r="D20760">
        <v>0.99490849396699998</v>
      </c>
      <c r="E20760">
        <v>2.0989505247376301</v>
      </c>
    </row>
    <row r="20761" spans="1:5">
      <c r="A20761" t="s">
        <v>24087</v>
      </c>
      <c r="B20761" t="s">
        <v>24091</v>
      </c>
      <c r="C20761">
        <v>0</v>
      </c>
      <c r="D20761">
        <v>0.99490849396699998</v>
      </c>
      <c r="E20761">
        <v>2.0989505247376301</v>
      </c>
    </row>
    <row r="20762" spans="1:5">
      <c r="A20762" t="s">
        <v>24087</v>
      </c>
      <c r="B20762" t="s">
        <v>24092</v>
      </c>
      <c r="C20762">
        <v>0</v>
      </c>
      <c r="D20762">
        <v>0.99490849396699998</v>
      </c>
      <c r="E20762">
        <v>2.0989505247376301</v>
      </c>
    </row>
    <row r="20763" spans="1:5">
      <c r="A20763" t="s">
        <v>24087</v>
      </c>
      <c r="B20763" t="s">
        <v>24093</v>
      </c>
      <c r="C20763">
        <f>0</f>
        <v>0</v>
      </c>
      <c r="D20763">
        <v>0.99490849396699998</v>
      </c>
      <c r="E20763">
        <v>2.0989505247376301</v>
      </c>
    </row>
    <row r="20764" spans="1:5">
      <c r="A20764" t="s">
        <v>24094</v>
      </c>
      <c r="B20764" t="s">
        <v>24095</v>
      </c>
      <c r="C20764">
        <v>0</v>
      </c>
      <c r="D20764" t="s">
        <v>106</v>
      </c>
      <c r="E20764">
        <v>5.8170914542728598</v>
      </c>
    </row>
    <row r="20765" spans="1:5">
      <c r="A20765" t="s">
        <v>24094</v>
      </c>
      <c r="B20765" t="s">
        <v>24096</v>
      </c>
      <c r="C20765">
        <f>0</f>
        <v>0</v>
      </c>
      <c r="D20765" t="s">
        <v>106</v>
      </c>
      <c r="E20765">
        <v>5.8170914542728598</v>
      </c>
    </row>
    <row r="20766" spans="1:5">
      <c r="A20766" t="s">
        <v>24097</v>
      </c>
      <c r="B20766" t="s">
        <v>24098</v>
      </c>
      <c r="C20766">
        <f>0.011961335679</f>
        <v>1.1961335679E-2</v>
      </c>
      <c r="D20766">
        <v>0.71016560497199999</v>
      </c>
      <c r="E20766">
        <v>11.370314842578701</v>
      </c>
    </row>
    <row r="20767" spans="1:5">
      <c r="A20767" t="s">
        <v>24097</v>
      </c>
      <c r="B20767" t="s">
        <v>24099</v>
      </c>
      <c r="C20767">
        <f>0.0676065789544</f>
        <v>6.7606578954400004E-2</v>
      </c>
      <c r="D20767">
        <v>0.71016560497199999</v>
      </c>
      <c r="E20767">
        <v>11.370314842578701</v>
      </c>
    </row>
    <row r="20768" spans="1:5">
      <c r="A20768" t="s">
        <v>24100</v>
      </c>
      <c r="B20768" t="s">
        <v>24101</v>
      </c>
      <c r="C20768">
        <v>0</v>
      </c>
      <c r="D20768">
        <v>0.92169830217199999</v>
      </c>
      <c r="E20768">
        <v>1.7631184407796101</v>
      </c>
    </row>
    <row r="20769" spans="1:5">
      <c r="A20769" t="s">
        <v>24100</v>
      </c>
      <c r="B20769" t="s">
        <v>24102</v>
      </c>
      <c r="C20769">
        <v>0</v>
      </c>
      <c r="D20769">
        <v>0.92169830217199999</v>
      </c>
      <c r="E20769">
        <v>1.7631184407796101</v>
      </c>
    </row>
    <row r="20770" spans="1:5">
      <c r="A20770" t="s">
        <v>24100</v>
      </c>
      <c r="B20770" t="s">
        <v>24103</v>
      </c>
      <c r="C20770">
        <f>0</f>
        <v>0</v>
      </c>
      <c r="D20770">
        <v>0.92169830217199999</v>
      </c>
      <c r="E20770">
        <v>1.7631184407796101</v>
      </c>
    </row>
    <row r="20771" spans="1:5">
      <c r="A20771" t="s">
        <v>24100</v>
      </c>
      <c r="B20771" t="s">
        <v>24104</v>
      </c>
      <c r="C20771">
        <v>0</v>
      </c>
      <c r="D20771">
        <v>0.92169830217199999</v>
      </c>
      <c r="E20771">
        <v>1.7631184407796101</v>
      </c>
    </row>
    <row r="20772" spans="1:5">
      <c r="A20772" t="s">
        <v>24100</v>
      </c>
      <c r="B20772" t="s">
        <v>24105</v>
      </c>
      <c r="C20772">
        <v>0</v>
      </c>
      <c r="D20772">
        <v>0.92169830217199999</v>
      </c>
      <c r="E20772">
        <v>1.7631184407796101</v>
      </c>
    </row>
    <row r="20773" spans="1:5">
      <c r="A20773" t="s">
        <v>24100</v>
      </c>
      <c r="B20773" t="s">
        <v>24106</v>
      </c>
      <c r="C20773">
        <f>0</f>
        <v>0</v>
      </c>
      <c r="D20773">
        <v>0.92169830217199999</v>
      </c>
      <c r="E20773">
        <v>1.7631184407796101</v>
      </c>
    </row>
    <row r="20774" spans="1:5">
      <c r="A20774" t="s">
        <v>24100</v>
      </c>
      <c r="B20774" t="s">
        <v>24107</v>
      </c>
      <c r="C20774">
        <v>0</v>
      </c>
      <c r="D20774">
        <v>0.92169830217199999</v>
      </c>
      <c r="E20774">
        <v>1.7631184407796101</v>
      </c>
    </row>
    <row r="20775" spans="1:5">
      <c r="A20775" t="s">
        <v>24100</v>
      </c>
      <c r="B20775" t="s">
        <v>24108</v>
      </c>
      <c r="C20775">
        <v>0</v>
      </c>
      <c r="D20775">
        <v>0.92169830217199999</v>
      </c>
      <c r="E20775">
        <v>1.7631184407796101</v>
      </c>
    </row>
    <row r="20776" spans="1:5">
      <c r="A20776" t="s">
        <v>24100</v>
      </c>
      <c r="B20776" t="s">
        <v>24109</v>
      </c>
      <c r="C20776">
        <v>0.22711711302400001</v>
      </c>
      <c r="D20776">
        <v>0.92169830217199999</v>
      </c>
      <c r="E20776">
        <v>1.7631184407796101</v>
      </c>
    </row>
    <row r="20777" spans="1:5">
      <c r="A20777" t="s">
        <v>24100</v>
      </c>
      <c r="B20777" t="s">
        <v>24110</v>
      </c>
      <c r="C20777">
        <v>0</v>
      </c>
      <c r="D20777">
        <v>0.92169830217199999</v>
      </c>
      <c r="E20777">
        <v>1.7631184407796101</v>
      </c>
    </row>
    <row r="20778" spans="1:5">
      <c r="A20778" t="s">
        <v>24100</v>
      </c>
      <c r="B20778" t="s">
        <v>24111</v>
      </c>
      <c r="C20778">
        <v>0</v>
      </c>
      <c r="D20778">
        <v>0.92169830217199999</v>
      </c>
      <c r="E20778">
        <v>1.7631184407796101</v>
      </c>
    </row>
    <row r="20779" spans="1:5">
      <c r="A20779" t="s">
        <v>24112</v>
      </c>
      <c r="B20779" t="s">
        <v>24113</v>
      </c>
      <c r="C20779">
        <v>0</v>
      </c>
      <c r="D20779" t="s">
        <v>106</v>
      </c>
      <c r="E20779">
        <v>18.554722638680602</v>
      </c>
    </row>
    <row r="20780" spans="1:5">
      <c r="A20780" t="s">
        <v>24112</v>
      </c>
      <c r="B20780" t="s">
        <v>24114</v>
      </c>
      <c r="C20780">
        <f>0</f>
        <v>0</v>
      </c>
      <c r="D20780" t="s">
        <v>106</v>
      </c>
      <c r="E20780">
        <v>18.554722638680602</v>
      </c>
    </row>
    <row r="20781" spans="1:5">
      <c r="A20781" t="s">
        <v>24112</v>
      </c>
      <c r="B20781" t="s">
        <v>24115</v>
      </c>
      <c r="C20781">
        <f>0</f>
        <v>0</v>
      </c>
      <c r="D20781" t="s">
        <v>106</v>
      </c>
      <c r="E20781">
        <v>18.554722638680602</v>
      </c>
    </row>
    <row r="20782" spans="1:5">
      <c r="A20782" t="s">
        <v>24112</v>
      </c>
      <c r="B20782" t="s">
        <v>24116</v>
      </c>
      <c r="C20782">
        <f>0</f>
        <v>0</v>
      </c>
      <c r="D20782" t="s">
        <v>106</v>
      </c>
      <c r="E20782">
        <v>18.554722638680602</v>
      </c>
    </row>
    <row r="20783" spans="1:5">
      <c r="A20783" t="s">
        <v>24112</v>
      </c>
      <c r="B20783" t="s">
        <v>24117</v>
      </c>
      <c r="C20783">
        <f>0</f>
        <v>0</v>
      </c>
      <c r="D20783" t="s">
        <v>106</v>
      </c>
      <c r="E20783">
        <v>18.554722638680602</v>
      </c>
    </row>
    <row r="20784" spans="1:5">
      <c r="A20784" t="s">
        <v>24112</v>
      </c>
      <c r="B20784" t="s">
        <v>24118</v>
      </c>
      <c r="C20784">
        <v>0</v>
      </c>
      <c r="D20784" t="s">
        <v>106</v>
      </c>
      <c r="E20784">
        <v>18.554722638680602</v>
      </c>
    </row>
    <row r="20785" spans="1:5">
      <c r="A20785" t="s">
        <v>24112</v>
      </c>
      <c r="B20785" t="s">
        <v>24119</v>
      </c>
      <c r="C20785">
        <v>0</v>
      </c>
      <c r="D20785" t="s">
        <v>106</v>
      </c>
      <c r="E20785">
        <v>18.554722638680602</v>
      </c>
    </row>
    <row r="20786" spans="1:5">
      <c r="A20786" t="s">
        <v>24112</v>
      </c>
      <c r="B20786" t="s">
        <v>24120</v>
      </c>
      <c r="C20786">
        <f>0</f>
        <v>0</v>
      </c>
      <c r="D20786" t="s">
        <v>106</v>
      </c>
      <c r="E20786">
        <v>18.554722638680602</v>
      </c>
    </row>
    <row r="20787" spans="1:5">
      <c r="A20787" t="s">
        <v>24112</v>
      </c>
      <c r="B20787" t="s">
        <v>24121</v>
      </c>
      <c r="C20787">
        <v>0</v>
      </c>
      <c r="D20787" t="s">
        <v>106</v>
      </c>
      <c r="E20787">
        <v>18.554722638680602</v>
      </c>
    </row>
    <row r="20788" spans="1:5">
      <c r="A20788" t="s">
        <v>24112</v>
      </c>
      <c r="B20788" t="s">
        <v>24122</v>
      </c>
      <c r="C20788">
        <v>0</v>
      </c>
      <c r="D20788" t="s">
        <v>106</v>
      </c>
      <c r="E20788">
        <v>18.554722638680602</v>
      </c>
    </row>
    <row r="20789" spans="1:5">
      <c r="A20789" t="s">
        <v>24112</v>
      </c>
      <c r="B20789" t="s">
        <v>24123</v>
      </c>
      <c r="C20789">
        <f>0</f>
        <v>0</v>
      </c>
      <c r="D20789" t="s">
        <v>106</v>
      </c>
      <c r="E20789">
        <v>18.554722638680602</v>
      </c>
    </row>
    <row r="20790" spans="1:5">
      <c r="A20790" t="s">
        <v>24124</v>
      </c>
      <c r="B20790" t="s">
        <v>24125</v>
      </c>
      <c r="C20790">
        <f>0.279884976398</f>
        <v>0.27988497639799997</v>
      </c>
      <c r="D20790" t="s">
        <v>106</v>
      </c>
      <c r="E20790">
        <v>2.1709145427286298</v>
      </c>
    </row>
    <row r="20791" spans="1:5">
      <c r="A20791" t="s">
        <v>24124</v>
      </c>
      <c r="B20791" t="s">
        <v>24126</v>
      </c>
      <c r="C20791">
        <v>0.167423625672</v>
      </c>
      <c r="D20791" t="s">
        <v>106</v>
      </c>
      <c r="E20791">
        <v>2.1709145427286298</v>
      </c>
    </row>
    <row r="20792" spans="1:5">
      <c r="A20792" t="s">
        <v>24127</v>
      </c>
      <c r="B20792" t="s">
        <v>24128</v>
      </c>
      <c r="C20792">
        <v>0</v>
      </c>
      <c r="D20792">
        <v>0.78088976566299995</v>
      </c>
      <c r="E20792">
        <v>24</v>
      </c>
    </row>
    <row r="20793" spans="1:5">
      <c r="A20793" t="s">
        <v>24127</v>
      </c>
      <c r="B20793" t="s">
        <v>24129</v>
      </c>
      <c r="C20793">
        <v>0</v>
      </c>
      <c r="D20793">
        <v>0.78088976566299995</v>
      </c>
      <c r="E20793">
        <v>24</v>
      </c>
    </row>
    <row r="20794" spans="1:5">
      <c r="A20794" t="s">
        <v>24127</v>
      </c>
      <c r="B20794" t="s">
        <v>24130</v>
      </c>
      <c r="C20794">
        <v>0.16313003802699999</v>
      </c>
      <c r="D20794">
        <v>0.78088976566299995</v>
      </c>
      <c r="E20794">
        <v>24</v>
      </c>
    </row>
    <row r="20795" spans="1:5">
      <c r="A20795" t="s">
        <v>24127</v>
      </c>
      <c r="B20795" t="s">
        <v>24131</v>
      </c>
      <c r="C20795">
        <v>0</v>
      </c>
      <c r="D20795">
        <v>0.78088976566299995</v>
      </c>
      <c r="E20795">
        <v>24</v>
      </c>
    </row>
    <row r="20796" spans="1:5">
      <c r="A20796" t="s">
        <v>24127</v>
      </c>
      <c r="B20796" t="s">
        <v>24132</v>
      </c>
      <c r="C20796">
        <f>0</f>
        <v>0</v>
      </c>
      <c r="D20796">
        <v>0.78088976566299995</v>
      </c>
      <c r="E20796">
        <v>24</v>
      </c>
    </row>
    <row r="20797" spans="1:5">
      <c r="A20797" t="s">
        <v>24127</v>
      </c>
      <c r="B20797" t="s">
        <v>24133</v>
      </c>
      <c r="C20797">
        <v>0</v>
      </c>
      <c r="D20797">
        <v>0.78088976566299995</v>
      </c>
      <c r="E20797">
        <v>24</v>
      </c>
    </row>
    <row r="20798" spans="1:5">
      <c r="A20798" t="s">
        <v>24134</v>
      </c>
      <c r="B20798" t="s">
        <v>24135</v>
      </c>
      <c r="C20798">
        <f>0.150969883358</f>
        <v>0.15096988335799999</v>
      </c>
      <c r="D20798" t="s">
        <v>106</v>
      </c>
      <c r="E20798">
        <v>24</v>
      </c>
    </row>
    <row r="20799" spans="1:5">
      <c r="A20799" t="s">
        <v>24134</v>
      </c>
      <c r="B20799" t="s">
        <v>24136</v>
      </c>
      <c r="C20799">
        <v>5.6969324774100001E-2</v>
      </c>
      <c r="D20799" t="s">
        <v>106</v>
      </c>
      <c r="E20799">
        <v>24</v>
      </c>
    </row>
    <row r="20800" spans="1:5">
      <c r="A20800" t="s">
        <v>24134</v>
      </c>
      <c r="B20800" t="s">
        <v>24137</v>
      </c>
      <c r="C20800">
        <f>0</f>
        <v>0</v>
      </c>
      <c r="D20800" t="s">
        <v>106</v>
      </c>
      <c r="E20800">
        <v>24</v>
      </c>
    </row>
    <row r="20801" spans="1:5">
      <c r="A20801" t="s">
        <v>24134</v>
      </c>
      <c r="B20801" t="s">
        <v>24138</v>
      </c>
      <c r="C20801">
        <v>0</v>
      </c>
      <c r="D20801" t="s">
        <v>106</v>
      </c>
      <c r="E20801">
        <v>24</v>
      </c>
    </row>
    <row r="20802" spans="1:5">
      <c r="A20802" t="s">
        <v>24134</v>
      </c>
      <c r="B20802" t="s">
        <v>24139</v>
      </c>
      <c r="C20802">
        <v>0</v>
      </c>
      <c r="D20802" t="s">
        <v>106</v>
      </c>
      <c r="E20802">
        <v>24</v>
      </c>
    </row>
    <row r="20803" spans="1:5">
      <c r="A20803" t="s">
        <v>24134</v>
      </c>
      <c r="B20803" t="s">
        <v>24140</v>
      </c>
      <c r="C20803">
        <f>0</f>
        <v>0</v>
      </c>
      <c r="D20803" t="s">
        <v>106</v>
      </c>
      <c r="E20803">
        <v>24</v>
      </c>
    </row>
    <row r="20804" spans="1:5">
      <c r="A20804" t="s">
        <v>24134</v>
      </c>
      <c r="B20804" t="s">
        <v>24141</v>
      </c>
      <c r="C20804">
        <v>0</v>
      </c>
      <c r="D20804" t="s">
        <v>106</v>
      </c>
      <c r="E20804">
        <v>24</v>
      </c>
    </row>
    <row r="20805" spans="1:5">
      <c r="A20805" t="s">
        <v>24134</v>
      </c>
      <c r="B20805" t="s">
        <v>24142</v>
      </c>
      <c r="C20805">
        <f>0</f>
        <v>0</v>
      </c>
      <c r="D20805" t="s">
        <v>106</v>
      </c>
      <c r="E20805">
        <v>24</v>
      </c>
    </row>
    <row r="20806" spans="1:5">
      <c r="A20806" t="s">
        <v>24134</v>
      </c>
      <c r="B20806" t="s">
        <v>24143</v>
      </c>
      <c r="C20806">
        <v>0</v>
      </c>
      <c r="D20806" t="s">
        <v>106</v>
      </c>
      <c r="E20806">
        <v>24</v>
      </c>
    </row>
    <row r="20807" spans="1:5">
      <c r="A20807" t="s">
        <v>24144</v>
      </c>
      <c r="B20807" t="s">
        <v>24145</v>
      </c>
      <c r="C20807">
        <v>0</v>
      </c>
      <c r="D20807" t="s">
        <v>106</v>
      </c>
      <c r="E20807">
        <v>1.11544227886056</v>
      </c>
    </row>
    <row r="20808" spans="1:5">
      <c r="A20808" t="s">
        <v>24144</v>
      </c>
      <c r="B20808" t="s">
        <v>24146</v>
      </c>
      <c r="C20808">
        <v>0</v>
      </c>
      <c r="D20808" t="s">
        <v>106</v>
      </c>
      <c r="E20808">
        <v>1.11544227886056</v>
      </c>
    </row>
    <row r="20809" spans="1:5">
      <c r="A20809" t="s">
        <v>24144</v>
      </c>
      <c r="B20809" t="s">
        <v>24147</v>
      </c>
      <c r="C20809">
        <v>0</v>
      </c>
      <c r="D20809" t="s">
        <v>106</v>
      </c>
      <c r="E20809">
        <v>1.11544227886056</v>
      </c>
    </row>
    <row r="20810" spans="1:5">
      <c r="A20810" t="s">
        <v>24144</v>
      </c>
      <c r="B20810" t="s">
        <v>24148</v>
      </c>
      <c r="C20810">
        <v>0</v>
      </c>
      <c r="D20810" t="s">
        <v>106</v>
      </c>
      <c r="E20810">
        <v>1.11544227886056</v>
      </c>
    </row>
    <row r="20811" spans="1:5">
      <c r="A20811" t="s">
        <v>24144</v>
      </c>
      <c r="B20811" t="s">
        <v>24149</v>
      </c>
      <c r="C20811">
        <v>0</v>
      </c>
      <c r="D20811" t="s">
        <v>106</v>
      </c>
      <c r="E20811">
        <v>1.11544227886056</v>
      </c>
    </row>
    <row r="20812" spans="1:5">
      <c r="A20812" t="s">
        <v>24144</v>
      </c>
      <c r="B20812" t="s">
        <v>24150</v>
      </c>
      <c r="C20812">
        <f>0</f>
        <v>0</v>
      </c>
      <c r="D20812" t="s">
        <v>106</v>
      </c>
      <c r="E20812">
        <v>1.11544227886056</v>
      </c>
    </row>
    <row r="20813" spans="1:5">
      <c r="A20813" t="s">
        <v>24144</v>
      </c>
      <c r="B20813" t="s">
        <v>24151</v>
      </c>
      <c r="C20813">
        <f>0</f>
        <v>0</v>
      </c>
      <c r="D20813" t="s">
        <v>106</v>
      </c>
      <c r="E20813">
        <v>1.11544227886056</v>
      </c>
    </row>
    <row r="20814" spans="1:5">
      <c r="A20814" t="s">
        <v>24144</v>
      </c>
      <c r="B20814" t="s">
        <v>24152</v>
      </c>
      <c r="C20814">
        <v>0</v>
      </c>
      <c r="D20814" t="s">
        <v>106</v>
      </c>
      <c r="E20814">
        <v>1.11544227886056</v>
      </c>
    </row>
    <row r="20815" spans="1:5">
      <c r="A20815" t="s">
        <v>24144</v>
      </c>
      <c r="B20815" t="s">
        <v>24153</v>
      </c>
      <c r="C20815">
        <v>0</v>
      </c>
      <c r="D20815" t="s">
        <v>106</v>
      </c>
      <c r="E20815">
        <v>1.11544227886056</v>
      </c>
    </row>
    <row r="20816" spans="1:5">
      <c r="A20816" t="s">
        <v>24144</v>
      </c>
      <c r="B20816" t="s">
        <v>24154</v>
      </c>
      <c r="C20816">
        <f>0</f>
        <v>0</v>
      </c>
      <c r="D20816" t="s">
        <v>106</v>
      </c>
      <c r="E20816">
        <v>1.11544227886056</v>
      </c>
    </row>
    <row r="20817" spans="1:5">
      <c r="A20817" t="s">
        <v>24144</v>
      </c>
      <c r="B20817" t="s">
        <v>24155</v>
      </c>
      <c r="C20817">
        <f>0</f>
        <v>0</v>
      </c>
      <c r="D20817" t="s">
        <v>106</v>
      </c>
      <c r="E20817">
        <v>1.11544227886056</v>
      </c>
    </row>
    <row r="20818" spans="1:5">
      <c r="A20818" t="s">
        <v>24156</v>
      </c>
      <c r="B20818" t="s">
        <v>24157</v>
      </c>
      <c r="C20818">
        <f>0</f>
        <v>0</v>
      </c>
      <c r="D20818">
        <v>0.99851082528000001</v>
      </c>
      <c r="E20818">
        <v>6.0569715142428704</v>
      </c>
    </row>
    <row r="20819" spans="1:5">
      <c r="A20819" t="s">
        <v>24156</v>
      </c>
      <c r="B20819" t="s">
        <v>24158</v>
      </c>
      <c r="C20819">
        <f>0</f>
        <v>0</v>
      </c>
      <c r="D20819">
        <v>0.99851082528000001</v>
      </c>
      <c r="E20819">
        <v>6.0569715142428704</v>
      </c>
    </row>
    <row r="20820" spans="1:5">
      <c r="A20820" t="s">
        <v>24156</v>
      </c>
      <c r="B20820" t="s">
        <v>24159</v>
      </c>
      <c r="C20820">
        <f>0</f>
        <v>0</v>
      </c>
      <c r="D20820">
        <v>0.99851082528000001</v>
      </c>
      <c r="E20820">
        <v>6.0569715142428704</v>
      </c>
    </row>
    <row r="20821" spans="1:5">
      <c r="A20821" t="s">
        <v>24156</v>
      </c>
      <c r="B20821" t="s">
        <v>24160</v>
      </c>
      <c r="C20821">
        <f>0</f>
        <v>0</v>
      </c>
      <c r="D20821">
        <v>0.99851082528000001</v>
      </c>
      <c r="E20821">
        <v>6.0569715142428704</v>
      </c>
    </row>
    <row r="20822" spans="1:5">
      <c r="A20822" t="s">
        <v>24156</v>
      </c>
      <c r="B20822" t="s">
        <v>24161</v>
      </c>
      <c r="C20822">
        <f>0</f>
        <v>0</v>
      </c>
      <c r="D20822">
        <v>0.99851082528000001</v>
      </c>
      <c r="E20822">
        <v>6.0569715142428704</v>
      </c>
    </row>
    <row r="20823" spans="1:5">
      <c r="A20823" t="s">
        <v>24156</v>
      </c>
      <c r="B20823" t="s">
        <v>24162</v>
      </c>
      <c r="C20823">
        <f>0</f>
        <v>0</v>
      </c>
      <c r="D20823">
        <v>0.99851082528000001</v>
      </c>
      <c r="E20823">
        <v>6.0569715142428704</v>
      </c>
    </row>
    <row r="20824" spans="1:5">
      <c r="A20824" t="s">
        <v>24163</v>
      </c>
      <c r="B20824" t="s">
        <v>24164</v>
      </c>
      <c r="C20824">
        <v>0.38094795815999999</v>
      </c>
      <c r="D20824">
        <v>0.996062999354</v>
      </c>
      <c r="E20824">
        <v>13.625187406296799</v>
      </c>
    </row>
    <row r="20825" spans="1:5">
      <c r="A20825" t="s">
        <v>24163</v>
      </c>
      <c r="B20825" t="s">
        <v>24165</v>
      </c>
      <c r="C20825">
        <v>0</v>
      </c>
      <c r="D20825">
        <v>0.996062999354</v>
      </c>
      <c r="E20825">
        <v>13.625187406296799</v>
      </c>
    </row>
    <row r="20826" spans="1:5">
      <c r="A20826" t="s">
        <v>24163</v>
      </c>
      <c r="B20826" t="s">
        <v>24166</v>
      </c>
      <c r="C20826">
        <v>4.3788803536200002E-2</v>
      </c>
      <c r="D20826">
        <v>0.996062999354</v>
      </c>
      <c r="E20826">
        <v>13.625187406296799</v>
      </c>
    </row>
    <row r="20827" spans="1:5">
      <c r="A20827" t="s">
        <v>24167</v>
      </c>
      <c r="B20827" t="s">
        <v>24168</v>
      </c>
      <c r="C20827">
        <f>0</f>
        <v>0</v>
      </c>
      <c r="D20827" t="s">
        <v>106</v>
      </c>
      <c r="E20827">
        <v>7.4602698650674597</v>
      </c>
    </row>
    <row r="20828" spans="1:5">
      <c r="A20828" t="s">
        <v>24167</v>
      </c>
      <c r="B20828" t="s">
        <v>24169</v>
      </c>
      <c r="C20828">
        <v>0</v>
      </c>
      <c r="D20828" t="s">
        <v>106</v>
      </c>
      <c r="E20828">
        <v>7.4602698650674597</v>
      </c>
    </row>
    <row r="20829" spans="1:5">
      <c r="A20829" t="s">
        <v>24167</v>
      </c>
      <c r="B20829" t="s">
        <v>24170</v>
      </c>
      <c r="C20829">
        <f>0</f>
        <v>0</v>
      </c>
      <c r="D20829" t="s">
        <v>106</v>
      </c>
      <c r="E20829">
        <v>7.4602698650674597</v>
      </c>
    </row>
    <row r="20830" spans="1:5">
      <c r="A20830" t="s">
        <v>24167</v>
      </c>
      <c r="B20830" t="s">
        <v>24171</v>
      </c>
      <c r="C20830">
        <v>0</v>
      </c>
      <c r="D20830" t="s">
        <v>106</v>
      </c>
      <c r="E20830">
        <v>7.4602698650674597</v>
      </c>
    </row>
    <row r="20831" spans="1:5">
      <c r="A20831" t="s">
        <v>24167</v>
      </c>
      <c r="B20831" t="s">
        <v>24172</v>
      </c>
      <c r="C20831">
        <v>0</v>
      </c>
      <c r="D20831" t="s">
        <v>106</v>
      </c>
      <c r="E20831">
        <v>7.4602698650674597</v>
      </c>
    </row>
    <row r="20832" spans="1:5">
      <c r="A20832" t="s">
        <v>24167</v>
      </c>
      <c r="B20832" t="s">
        <v>24173</v>
      </c>
      <c r="C20832">
        <f>0</f>
        <v>0</v>
      </c>
      <c r="D20832" t="s">
        <v>106</v>
      </c>
      <c r="E20832">
        <v>7.4602698650674597</v>
      </c>
    </row>
    <row r="20833" spans="1:5">
      <c r="A20833" t="s">
        <v>24174</v>
      </c>
      <c r="B20833" t="s">
        <v>24175</v>
      </c>
      <c r="C20833">
        <v>0.31220749456800001</v>
      </c>
      <c r="D20833">
        <v>0.976128619162</v>
      </c>
      <c r="E20833">
        <v>13.445277361319301</v>
      </c>
    </row>
    <row r="20834" spans="1:5">
      <c r="A20834" t="s">
        <v>24176</v>
      </c>
      <c r="B20834" t="s">
        <v>24177</v>
      </c>
      <c r="C20834">
        <v>0</v>
      </c>
      <c r="D20834" t="s">
        <v>106</v>
      </c>
      <c r="E20834">
        <v>1.6311844077961</v>
      </c>
    </row>
    <row r="20835" spans="1:5">
      <c r="A20835" t="s">
        <v>24178</v>
      </c>
      <c r="B20835" t="s">
        <v>24179</v>
      </c>
      <c r="C20835">
        <v>2.38765865102E-3</v>
      </c>
      <c r="D20835" t="s">
        <v>106</v>
      </c>
      <c r="E20835">
        <v>3.68215892053973</v>
      </c>
    </row>
    <row r="20836" spans="1:5">
      <c r="A20836" t="s">
        <v>24178</v>
      </c>
      <c r="B20836" t="s">
        <v>24180</v>
      </c>
      <c r="C20836">
        <v>0</v>
      </c>
      <c r="D20836" t="s">
        <v>106</v>
      </c>
      <c r="E20836">
        <v>3.68215892053973</v>
      </c>
    </row>
    <row r="20837" spans="1:5">
      <c r="A20837" t="s">
        <v>24178</v>
      </c>
      <c r="B20837" t="s">
        <v>24181</v>
      </c>
      <c r="C20837">
        <v>0</v>
      </c>
      <c r="D20837" t="s">
        <v>106</v>
      </c>
      <c r="E20837">
        <v>3.68215892053973</v>
      </c>
    </row>
    <row r="20838" spans="1:5">
      <c r="A20838" t="s">
        <v>24178</v>
      </c>
      <c r="B20838" t="s">
        <v>24182</v>
      </c>
      <c r="C20838">
        <v>0</v>
      </c>
      <c r="D20838" t="s">
        <v>106</v>
      </c>
      <c r="E20838">
        <v>3.68215892053973</v>
      </c>
    </row>
    <row r="20839" spans="1:5">
      <c r="A20839" t="s">
        <v>24178</v>
      </c>
      <c r="B20839" t="s">
        <v>24183</v>
      </c>
      <c r="C20839">
        <v>0.70020804324599994</v>
      </c>
      <c r="D20839" t="s">
        <v>106</v>
      </c>
      <c r="E20839">
        <v>3.68215892053973</v>
      </c>
    </row>
    <row r="20840" spans="1:5">
      <c r="A20840" t="s">
        <v>24178</v>
      </c>
      <c r="B20840" t="s">
        <v>24184</v>
      </c>
      <c r="C20840">
        <v>0</v>
      </c>
      <c r="D20840" t="s">
        <v>106</v>
      </c>
      <c r="E20840">
        <v>3.68215892053973</v>
      </c>
    </row>
    <row r="20841" spans="1:5">
      <c r="A20841" t="s">
        <v>24178</v>
      </c>
      <c r="B20841" t="s">
        <v>24185</v>
      </c>
      <c r="C20841">
        <v>0</v>
      </c>
      <c r="D20841" t="s">
        <v>106</v>
      </c>
      <c r="E20841">
        <v>3.68215892053973</v>
      </c>
    </row>
    <row r="20842" spans="1:5">
      <c r="A20842" t="s">
        <v>24178</v>
      </c>
      <c r="B20842" t="s">
        <v>24186</v>
      </c>
      <c r="C20842">
        <f>0</f>
        <v>0</v>
      </c>
      <c r="D20842" t="s">
        <v>106</v>
      </c>
      <c r="E20842">
        <v>3.68215892053973</v>
      </c>
    </row>
    <row r="20843" spans="1:5">
      <c r="A20843" t="s">
        <v>24178</v>
      </c>
      <c r="B20843" t="s">
        <v>24187</v>
      </c>
      <c r="C20843">
        <v>0</v>
      </c>
      <c r="D20843" t="s">
        <v>106</v>
      </c>
      <c r="E20843">
        <v>3.68215892053973</v>
      </c>
    </row>
    <row r="20844" spans="1:5">
      <c r="A20844" t="s">
        <v>24188</v>
      </c>
      <c r="B20844" t="s">
        <v>24189</v>
      </c>
      <c r="C20844">
        <v>0</v>
      </c>
      <c r="D20844">
        <v>0.99057933368399997</v>
      </c>
      <c r="E20844">
        <v>1.96701649175412</v>
      </c>
    </row>
    <row r="20845" spans="1:5">
      <c r="A20845" t="s">
        <v>24188</v>
      </c>
      <c r="B20845" t="s">
        <v>24190</v>
      </c>
      <c r="C20845">
        <v>0</v>
      </c>
      <c r="D20845">
        <v>0.99057933368399997</v>
      </c>
      <c r="E20845">
        <v>1.96701649175412</v>
      </c>
    </row>
    <row r="20846" spans="1:5">
      <c r="A20846" t="s">
        <v>24188</v>
      </c>
      <c r="B20846" t="s">
        <v>24191</v>
      </c>
      <c r="C20846">
        <v>0</v>
      </c>
      <c r="D20846">
        <v>0.99057933368399997</v>
      </c>
      <c r="E20846">
        <v>1.96701649175412</v>
      </c>
    </row>
    <row r="20847" spans="1:5">
      <c r="A20847" t="s">
        <v>24188</v>
      </c>
      <c r="B20847" t="s">
        <v>24192</v>
      </c>
      <c r="C20847">
        <f>0</f>
        <v>0</v>
      </c>
      <c r="D20847">
        <v>0.99057933368399997</v>
      </c>
      <c r="E20847">
        <v>1.96701649175412</v>
      </c>
    </row>
    <row r="20848" spans="1:5">
      <c r="A20848" t="s">
        <v>24188</v>
      </c>
      <c r="B20848" t="s">
        <v>24193</v>
      </c>
      <c r="C20848">
        <v>0</v>
      </c>
      <c r="D20848">
        <v>0.99057933368399997</v>
      </c>
      <c r="E20848">
        <v>1.96701649175412</v>
      </c>
    </row>
    <row r="20849" spans="1:5">
      <c r="A20849" t="s">
        <v>24188</v>
      </c>
      <c r="B20849" t="s">
        <v>24194</v>
      </c>
      <c r="C20849">
        <f>0.129213482245</f>
        <v>0.12921348224500001</v>
      </c>
      <c r="D20849">
        <v>0.99057933368399997</v>
      </c>
      <c r="E20849">
        <v>1.96701649175412</v>
      </c>
    </row>
    <row r="20850" spans="1:5">
      <c r="A20850" t="s">
        <v>24188</v>
      </c>
      <c r="B20850" t="s">
        <v>24195</v>
      </c>
      <c r="C20850">
        <v>0</v>
      </c>
      <c r="D20850">
        <v>0.99057933368399997</v>
      </c>
      <c r="E20850">
        <v>1.96701649175412</v>
      </c>
    </row>
    <row r="20851" spans="1:5">
      <c r="A20851" t="s">
        <v>24188</v>
      </c>
      <c r="B20851" t="s">
        <v>24196</v>
      </c>
      <c r="C20851">
        <v>8.9145773770499995E-2</v>
      </c>
      <c r="D20851">
        <v>0.99057933368399997</v>
      </c>
      <c r="E20851">
        <v>1.96701649175412</v>
      </c>
    </row>
    <row r="20852" spans="1:5">
      <c r="A20852" t="s">
        <v>24188</v>
      </c>
      <c r="B20852" t="s">
        <v>24197</v>
      </c>
      <c r="C20852">
        <f>0</f>
        <v>0</v>
      </c>
      <c r="D20852">
        <v>0.99057933368399997</v>
      </c>
      <c r="E20852">
        <v>1.96701649175412</v>
      </c>
    </row>
    <row r="20853" spans="1:5">
      <c r="A20853" t="s">
        <v>24198</v>
      </c>
      <c r="B20853" t="s">
        <v>24199</v>
      </c>
      <c r="C20853">
        <f>0</f>
        <v>0</v>
      </c>
      <c r="D20853" t="s">
        <v>106</v>
      </c>
      <c r="E20853">
        <v>5.69715142428785</v>
      </c>
    </row>
    <row r="20854" spans="1:5">
      <c r="A20854" t="s">
        <v>24198</v>
      </c>
      <c r="B20854" t="s">
        <v>24200</v>
      </c>
      <c r="C20854">
        <v>0</v>
      </c>
      <c r="D20854" t="s">
        <v>106</v>
      </c>
      <c r="E20854">
        <v>5.69715142428785</v>
      </c>
    </row>
    <row r="20855" spans="1:5">
      <c r="A20855" t="s">
        <v>24198</v>
      </c>
      <c r="B20855" t="s">
        <v>24201</v>
      </c>
      <c r="C20855">
        <f>0</f>
        <v>0</v>
      </c>
      <c r="D20855" t="s">
        <v>106</v>
      </c>
      <c r="E20855">
        <v>5.69715142428785</v>
      </c>
    </row>
    <row r="20856" spans="1:5">
      <c r="A20856" t="s">
        <v>24198</v>
      </c>
      <c r="B20856" t="s">
        <v>24202</v>
      </c>
      <c r="C20856">
        <v>0</v>
      </c>
      <c r="D20856" t="s">
        <v>106</v>
      </c>
      <c r="E20856">
        <v>5.69715142428785</v>
      </c>
    </row>
    <row r="20857" spans="1:5">
      <c r="A20857" t="s">
        <v>24198</v>
      </c>
      <c r="B20857" t="s">
        <v>24203</v>
      </c>
      <c r="C20857">
        <f>0</f>
        <v>0</v>
      </c>
      <c r="D20857" t="s">
        <v>106</v>
      </c>
      <c r="E20857">
        <v>5.69715142428785</v>
      </c>
    </row>
    <row r="20858" spans="1:5">
      <c r="A20858" t="s">
        <v>24204</v>
      </c>
      <c r="B20858" t="s">
        <v>24205</v>
      </c>
      <c r="C20858">
        <v>0.18322294892900001</v>
      </c>
      <c r="D20858">
        <v>0.87306302927699997</v>
      </c>
      <c r="E20858">
        <v>5.9370314842578704</v>
      </c>
    </row>
    <row r="20859" spans="1:5">
      <c r="A20859" t="s">
        <v>24204</v>
      </c>
      <c r="B20859" t="s">
        <v>24206</v>
      </c>
      <c r="C20859">
        <v>0.48874584096099999</v>
      </c>
      <c r="D20859">
        <v>0.87306302927699997</v>
      </c>
      <c r="E20859">
        <v>5.9370314842578704</v>
      </c>
    </row>
    <row r="20860" spans="1:5">
      <c r="A20860" t="s">
        <v>24204</v>
      </c>
      <c r="B20860" t="s">
        <v>24207</v>
      </c>
      <c r="C20860">
        <f>0</f>
        <v>0</v>
      </c>
      <c r="D20860">
        <v>0.87306302927699997</v>
      </c>
      <c r="E20860">
        <v>5.9370314842578704</v>
      </c>
    </row>
    <row r="20861" spans="1:5">
      <c r="A20861" t="s">
        <v>24204</v>
      </c>
      <c r="B20861" t="s">
        <v>24208</v>
      </c>
      <c r="C20861">
        <v>0</v>
      </c>
      <c r="D20861">
        <v>0.87306302927699997</v>
      </c>
      <c r="E20861">
        <v>5.9370314842578704</v>
      </c>
    </row>
    <row r="20862" spans="1:5">
      <c r="A20862" t="s">
        <v>24204</v>
      </c>
      <c r="B20862" t="s">
        <v>24209</v>
      </c>
      <c r="C20862">
        <v>0</v>
      </c>
      <c r="D20862">
        <v>0.87306302927699997</v>
      </c>
      <c r="E20862">
        <v>5.9370314842578704</v>
      </c>
    </row>
    <row r="20863" spans="1:5">
      <c r="A20863" t="s">
        <v>24204</v>
      </c>
      <c r="B20863" t="s">
        <v>24210</v>
      </c>
      <c r="C20863">
        <f>0</f>
        <v>0</v>
      </c>
      <c r="D20863">
        <v>0.87306302927699997</v>
      </c>
      <c r="E20863">
        <v>5.9370314842578704</v>
      </c>
    </row>
    <row r="20864" spans="1:5">
      <c r="A20864" t="s">
        <v>24204</v>
      </c>
      <c r="B20864" t="s">
        <v>24211</v>
      </c>
      <c r="C20864">
        <v>0</v>
      </c>
      <c r="D20864">
        <v>0.87306302927699997</v>
      </c>
      <c r="E20864">
        <v>5.9370314842578704</v>
      </c>
    </row>
    <row r="20865" spans="1:5">
      <c r="A20865" t="s">
        <v>24204</v>
      </c>
      <c r="B20865" t="s">
        <v>24212</v>
      </c>
      <c r="C20865">
        <v>0</v>
      </c>
      <c r="D20865">
        <v>0.87306302927699997</v>
      </c>
      <c r="E20865">
        <v>5.9370314842578704</v>
      </c>
    </row>
    <row r="20866" spans="1:5">
      <c r="A20866" t="s">
        <v>24204</v>
      </c>
      <c r="B20866" t="s">
        <v>24213</v>
      </c>
      <c r="C20866">
        <f>0</f>
        <v>0</v>
      </c>
      <c r="D20866">
        <v>0.87306302927699997</v>
      </c>
      <c r="E20866">
        <v>5.9370314842578704</v>
      </c>
    </row>
    <row r="20867" spans="1:5">
      <c r="A20867" t="s">
        <v>24214</v>
      </c>
      <c r="B20867" t="s">
        <v>24215</v>
      </c>
      <c r="C20867">
        <v>0</v>
      </c>
      <c r="D20867" t="s">
        <v>106</v>
      </c>
      <c r="E20867">
        <v>4.9055472263868003</v>
      </c>
    </row>
    <row r="20868" spans="1:5">
      <c r="A20868" t="s">
        <v>24214</v>
      </c>
      <c r="B20868" t="s">
        <v>24216</v>
      </c>
      <c r="C20868">
        <v>0</v>
      </c>
      <c r="D20868" t="s">
        <v>106</v>
      </c>
      <c r="E20868">
        <v>4.9055472263868003</v>
      </c>
    </row>
    <row r="20869" spans="1:5">
      <c r="A20869" t="s">
        <v>24214</v>
      </c>
      <c r="B20869" t="s">
        <v>24217</v>
      </c>
      <c r="C20869">
        <v>0</v>
      </c>
      <c r="D20869" t="s">
        <v>106</v>
      </c>
      <c r="E20869">
        <v>4.9055472263868003</v>
      </c>
    </row>
    <row r="20870" spans="1:5">
      <c r="A20870" t="s">
        <v>24214</v>
      </c>
      <c r="B20870" t="s">
        <v>24218</v>
      </c>
      <c r="C20870">
        <v>0</v>
      </c>
      <c r="D20870" t="s">
        <v>106</v>
      </c>
      <c r="E20870">
        <v>4.9055472263868003</v>
      </c>
    </row>
    <row r="20871" spans="1:5">
      <c r="A20871" t="s">
        <v>24214</v>
      </c>
      <c r="B20871" t="s">
        <v>24219</v>
      </c>
      <c r="C20871">
        <v>0</v>
      </c>
      <c r="D20871" t="s">
        <v>106</v>
      </c>
      <c r="E20871">
        <v>4.9055472263868003</v>
      </c>
    </row>
    <row r="20872" spans="1:5">
      <c r="A20872" t="s">
        <v>24220</v>
      </c>
      <c r="B20872" t="s">
        <v>24221</v>
      </c>
      <c r="C20872">
        <f>0</f>
        <v>0</v>
      </c>
      <c r="D20872">
        <v>0.794035822783</v>
      </c>
      <c r="E20872">
        <v>0.61169415292353801</v>
      </c>
    </row>
    <row r="20873" spans="1:5">
      <c r="A20873" t="s">
        <v>24220</v>
      </c>
      <c r="B20873" t="s">
        <v>24222</v>
      </c>
      <c r="C20873">
        <f>0.126939250243</f>
        <v>0.12693925024300001</v>
      </c>
      <c r="D20873">
        <v>0.794035822783</v>
      </c>
      <c r="E20873">
        <v>0.61169415292353801</v>
      </c>
    </row>
    <row r="20874" spans="1:5">
      <c r="A20874" t="s">
        <v>24220</v>
      </c>
      <c r="B20874" t="s">
        <v>24223</v>
      </c>
      <c r="C20874">
        <v>0</v>
      </c>
      <c r="D20874">
        <v>0.794035822783</v>
      </c>
      <c r="E20874">
        <v>0.61169415292353801</v>
      </c>
    </row>
    <row r="20875" spans="1:5">
      <c r="A20875" t="s">
        <v>24224</v>
      </c>
      <c r="B20875" t="s">
        <v>24225</v>
      </c>
      <c r="C20875">
        <v>0.324645629268</v>
      </c>
      <c r="D20875">
        <v>0.98895439339500002</v>
      </c>
      <c r="E20875">
        <v>1.00749625187406</v>
      </c>
    </row>
    <row r="20876" spans="1:5">
      <c r="A20876" t="s">
        <v>24224</v>
      </c>
      <c r="B20876" t="s">
        <v>24226</v>
      </c>
      <c r="C20876">
        <f>0.0356476308483</f>
        <v>3.5647630848299999E-2</v>
      </c>
      <c r="D20876">
        <v>0.98895439339500002</v>
      </c>
      <c r="E20876">
        <v>1.00749625187406</v>
      </c>
    </row>
    <row r="20877" spans="1:5">
      <c r="A20877" t="s">
        <v>24227</v>
      </c>
      <c r="B20877" t="s">
        <v>24228</v>
      </c>
      <c r="C20877">
        <f>0</f>
        <v>0</v>
      </c>
      <c r="D20877" t="s">
        <v>106</v>
      </c>
      <c r="E20877">
        <v>0.215892053973013</v>
      </c>
    </row>
    <row r="20878" spans="1:5">
      <c r="A20878" t="s">
        <v>24227</v>
      </c>
      <c r="B20878" t="s">
        <v>24229</v>
      </c>
      <c r="C20878">
        <f>0</f>
        <v>0</v>
      </c>
      <c r="D20878" t="s">
        <v>106</v>
      </c>
      <c r="E20878">
        <v>0.215892053973013</v>
      </c>
    </row>
    <row r="20879" spans="1:5">
      <c r="A20879" t="s">
        <v>24227</v>
      </c>
      <c r="B20879" t="s">
        <v>24230</v>
      </c>
      <c r="C20879">
        <f>0</f>
        <v>0</v>
      </c>
      <c r="D20879" t="s">
        <v>106</v>
      </c>
      <c r="E20879">
        <v>0.215892053973013</v>
      </c>
    </row>
    <row r="20880" spans="1:5">
      <c r="A20880" t="s">
        <v>24231</v>
      </c>
      <c r="B20880" t="s">
        <v>24232</v>
      </c>
      <c r="C20880">
        <v>0</v>
      </c>
      <c r="D20880">
        <v>0.96803901687600002</v>
      </c>
      <c r="E20880">
        <v>5.9370314842578704</v>
      </c>
    </row>
    <row r="20881" spans="1:5">
      <c r="A20881" t="s">
        <v>24231</v>
      </c>
      <c r="B20881" t="s">
        <v>24233</v>
      </c>
      <c r="C20881">
        <v>0</v>
      </c>
      <c r="D20881">
        <v>0.96803901687600002</v>
      </c>
      <c r="E20881">
        <v>5.9370314842578704</v>
      </c>
    </row>
    <row r="20882" spans="1:5">
      <c r="A20882" t="s">
        <v>24231</v>
      </c>
      <c r="B20882" t="s">
        <v>24234</v>
      </c>
      <c r="C20882">
        <f>0</f>
        <v>0</v>
      </c>
      <c r="D20882">
        <v>0.96803901687600002</v>
      </c>
      <c r="E20882">
        <v>5.9370314842578704</v>
      </c>
    </row>
    <row r="20883" spans="1:5">
      <c r="A20883" t="s">
        <v>24231</v>
      </c>
      <c r="B20883" t="s">
        <v>24235</v>
      </c>
      <c r="C20883">
        <v>0</v>
      </c>
      <c r="D20883">
        <v>0.96803901687600002</v>
      </c>
      <c r="E20883">
        <v>5.9370314842578704</v>
      </c>
    </row>
    <row r="20884" spans="1:5">
      <c r="A20884" t="s">
        <v>24231</v>
      </c>
      <c r="B20884" t="s">
        <v>24236</v>
      </c>
      <c r="C20884">
        <v>0</v>
      </c>
      <c r="D20884">
        <v>0.96803901687600002</v>
      </c>
      <c r="E20884">
        <v>5.9370314842578704</v>
      </c>
    </row>
    <row r="20885" spans="1:5">
      <c r="A20885" t="s">
        <v>24237</v>
      </c>
      <c r="B20885" t="s">
        <v>24238</v>
      </c>
      <c r="C20885">
        <v>0</v>
      </c>
      <c r="D20885" t="s">
        <v>106</v>
      </c>
      <c r="E20885">
        <v>1.6311844077961</v>
      </c>
    </row>
    <row r="20886" spans="1:5">
      <c r="A20886" t="s">
        <v>24237</v>
      </c>
      <c r="B20886" t="s">
        <v>24239</v>
      </c>
      <c r="C20886">
        <f>0</f>
        <v>0</v>
      </c>
      <c r="D20886" t="s">
        <v>106</v>
      </c>
      <c r="E20886">
        <v>1.6311844077961</v>
      </c>
    </row>
    <row r="20887" spans="1:5">
      <c r="A20887" t="s">
        <v>24240</v>
      </c>
      <c r="B20887" t="s">
        <v>24241</v>
      </c>
      <c r="C20887">
        <v>0.149262398574</v>
      </c>
      <c r="D20887" t="s">
        <v>106</v>
      </c>
      <c r="E20887">
        <v>6.5487256371814002</v>
      </c>
    </row>
    <row r="20888" spans="1:5">
      <c r="A20888" t="s">
        <v>24240</v>
      </c>
      <c r="B20888" t="s">
        <v>24242</v>
      </c>
      <c r="C20888">
        <v>0</v>
      </c>
      <c r="D20888" t="s">
        <v>106</v>
      </c>
      <c r="E20888">
        <v>6.5487256371814002</v>
      </c>
    </row>
    <row r="20889" spans="1:5">
      <c r="A20889" t="s">
        <v>24240</v>
      </c>
      <c r="B20889" t="s">
        <v>24243</v>
      </c>
      <c r="C20889">
        <v>0</v>
      </c>
      <c r="D20889" t="s">
        <v>106</v>
      </c>
      <c r="E20889">
        <v>6.5487256371814002</v>
      </c>
    </row>
    <row r="20890" spans="1:5">
      <c r="A20890" t="s">
        <v>24240</v>
      </c>
      <c r="B20890" t="s">
        <v>24244</v>
      </c>
      <c r="C20890">
        <v>0.55310383295099996</v>
      </c>
      <c r="D20890" t="s">
        <v>106</v>
      </c>
      <c r="E20890">
        <v>6.5487256371814002</v>
      </c>
    </row>
    <row r="20891" spans="1:5">
      <c r="A20891" t="s">
        <v>24240</v>
      </c>
      <c r="B20891" t="s">
        <v>24245</v>
      </c>
      <c r="C20891">
        <v>0</v>
      </c>
      <c r="D20891" t="s">
        <v>106</v>
      </c>
      <c r="E20891">
        <v>6.5487256371814002</v>
      </c>
    </row>
    <row r="20892" spans="1:5">
      <c r="A20892" t="s">
        <v>24240</v>
      </c>
      <c r="B20892" t="s">
        <v>24246</v>
      </c>
      <c r="C20892">
        <v>0</v>
      </c>
      <c r="D20892" t="s">
        <v>106</v>
      </c>
      <c r="E20892">
        <v>6.5487256371814002</v>
      </c>
    </row>
    <row r="20893" spans="1:5">
      <c r="A20893" t="s">
        <v>24240</v>
      </c>
      <c r="B20893" t="s">
        <v>24247</v>
      </c>
      <c r="C20893">
        <v>0</v>
      </c>
      <c r="D20893" t="s">
        <v>106</v>
      </c>
      <c r="E20893">
        <v>6.5487256371814002</v>
      </c>
    </row>
    <row r="20894" spans="1:5">
      <c r="A20894" t="s">
        <v>24240</v>
      </c>
      <c r="B20894" t="s">
        <v>24248</v>
      </c>
      <c r="C20894">
        <v>0</v>
      </c>
      <c r="D20894" t="s">
        <v>106</v>
      </c>
      <c r="E20894">
        <v>6.5487256371814002</v>
      </c>
    </row>
    <row r="20895" spans="1:5">
      <c r="A20895" t="s">
        <v>24249</v>
      </c>
      <c r="B20895" t="s">
        <v>24250</v>
      </c>
      <c r="C20895">
        <f>0</f>
        <v>0</v>
      </c>
      <c r="D20895" t="s">
        <v>106</v>
      </c>
      <c r="E20895">
        <v>24</v>
      </c>
    </row>
    <row r="20896" spans="1:5">
      <c r="A20896" t="s">
        <v>24249</v>
      </c>
      <c r="B20896" t="s">
        <v>24251</v>
      </c>
      <c r="C20896">
        <f>0</f>
        <v>0</v>
      </c>
      <c r="D20896" t="s">
        <v>106</v>
      </c>
      <c r="E20896">
        <v>24</v>
      </c>
    </row>
    <row r="20897" spans="1:5">
      <c r="A20897" t="s">
        <v>24249</v>
      </c>
      <c r="B20897" t="s">
        <v>24252</v>
      </c>
      <c r="C20897">
        <v>4.5165481216499999E-2</v>
      </c>
      <c r="D20897" t="s">
        <v>106</v>
      </c>
      <c r="E20897">
        <v>24</v>
      </c>
    </row>
    <row r="20898" spans="1:5">
      <c r="A20898" t="s">
        <v>24253</v>
      </c>
      <c r="B20898" t="s">
        <v>24254</v>
      </c>
      <c r="C20898">
        <f>0.286602296864</f>
        <v>0.28660229686400002</v>
      </c>
      <c r="D20898">
        <v>0.954139166564</v>
      </c>
      <c r="E20898">
        <v>1.39130434782608</v>
      </c>
    </row>
    <row r="20899" spans="1:5">
      <c r="A20899" t="s">
        <v>24253</v>
      </c>
      <c r="B20899" t="s">
        <v>24255</v>
      </c>
      <c r="C20899">
        <v>0.41449953328099998</v>
      </c>
      <c r="D20899">
        <v>0.954139166564</v>
      </c>
      <c r="E20899">
        <v>1.39130434782608</v>
      </c>
    </row>
    <row r="20900" spans="1:5">
      <c r="A20900" t="s">
        <v>24256</v>
      </c>
      <c r="B20900" t="s">
        <v>24257</v>
      </c>
      <c r="C20900">
        <v>0</v>
      </c>
      <c r="D20900">
        <v>0.76787548014999996</v>
      </c>
      <c r="E20900">
        <v>1.6311844077961</v>
      </c>
    </row>
    <row r="20901" spans="1:5">
      <c r="A20901" t="s">
        <v>24256</v>
      </c>
      <c r="B20901" t="s">
        <v>24258</v>
      </c>
      <c r="C20901">
        <f>0</f>
        <v>0</v>
      </c>
      <c r="D20901">
        <v>0.76787548014999996</v>
      </c>
      <c r="E20901">
        <v>1.6311844077961</v>
      </c>
    </row>
    <row r="20902" spans="1:5">
      <c r="A20902" t="s">
        <v>24256</v>
      </c>
      <c r="B20902" t="s">
        <v>24259</v>
      </c>
      <c r="C20902">
        <v>0.214921635108</v>
      </c>
      <c r="D20902">
        <v>0.76787548014999996</v>
      </c>
      <c r="E20902">
        <v>1.6311844077961</v>
      </c>
    </row>
    <row r="20903" spans="1:5">
      <c r="A20903" t="s">
        <v>24256</v>
      </c>
      <c r="B20903" t="s">
        <v>24260</v>
      </c>
      <c r="C20903">
        <v>8.1824356442600004E-4</v>
      </c>
      <c r="D20903">
        <v>0.76787548014999996</v>
      </c>
      <c r="E20903">
        <v>1.6311844077961</v>
      </c>
    </row>
    <row r="20904" spans="1:5">
      <c r="A20904" t="s">
        <v>24261</v>
      </c>
      <c r="B20904" t="s">
        <v>24262</v>
      </c>
      <c r="C20904">
        <v>0</v>
      </c>
      <c r="D20904">
        <v>0.77784503994900001</v>
      </c>
      <c r="E20904">
        <v>13.2653673163418</v>
      </c>
    </row>
    <row r="20905" spans="1:5">
      <c r="A20905" t="s">
        <v>24261</v>
      </c>
      <c r="B20905" t="s">
        <v>24263</v>
      </c>
      <c r="C20905">
        <v>2.7564550612399999E-2</v>
      </c>
      <c r="D20905">
        <v>0.77784503994900001</v>
      </c>
      <c r="E20905">
        <v>13.2653673163418</v>
      </c>
    </row>
    <row r="20906" spans="1:5">
      <c r="A20906" t="s">
        <v>24264</v>
      </c>
      <c r="B20906" t="s">
        <v>24265</v>
      </c>
      <c r="C20906">
        <v>0</v>
      </c>
      <c r="D20906">
        <v>0.986823079341</v>
      </c>
      <c r="E20906">
        <v>13.2653673163418</v>
      </c>
    </row>
    <row r="20907" spans="1:5">
      <c r="A20907" t="s">
        <v>24264</v>
      </c>
      <c r="B20907" t="s">
        <v>24266</v>
      </c>
      <c r="C20907">
        <f>0</f>
        <v>0</v>
      </c>
      <c r="D20907">
        <v>0.986823079341</v>
      </c>
      <c r="E20907">
        <v>13.2653673163418</v>
      </c>
    </row>
    <row r="20908" spans="1:5">
      <c r="A20908" t="s">
        <v>24264</v>
      </c>
      <c r="B20908" t="s">
        <v>24267</v>
      </c>
      <c r="C20908">
        <v>0.40453766362900001</v>
      </c>
      <c r="D20908">
        <v>0.986823079341</v>
      </c>
      <c r="E20908">
        <v>13.2653673163418</v>
      </c>
    </row>
    <row r="20909" spans="1:5">
      <c r="A20909" t="s">
        <v>24264</v>
      </c>
      <c r="B20909" t="s">
        <v>24268</v>
      </c>
      <c r="C20909">
        <v>0</v>
      </c>
      <c r="D20909">
        <v>0.986823079341</v>
      </c>
      <c r="E20909">
        <v>13.2653673163418</v>
      </c>
    </row>
    <row r="20910" spans="1:5">
      <c r="A20910" t="s">
        <v>24264</v>
      </c>
      <c r="B20910" t="s">
        <v>24269</v>
      </c>
      <c r="C20910">
        <f>0.0749398022492</f>
        <v>7.4939802249199994E-2</v>
      </c>
      <c r="D20910">
        <v>0.986823079341</v>
      </c>
      <c r="E20910">
        <v>13.2653673163418</v>
      </c>
    </row>
    <row r="20911" spans="1:5">
      <c r="A20911" t="s">
        <v>24264</v>
      </c>
      <c r="B20911" t="s">
        <v>24270</v>
      </c>
      <c r="C20911">
        <v>0</v>
      </c>
      <c r="D20911">
        <v>0.986823079341</v>
      </c>
      <c r="E20911">
        <v>13.2653673163418</v>
      </c>
    </row>
    <row r="20912" spans="1:5">
      <c r="A20912" t="s">
        <v>24264</v>
      </c>
      <c r="B20912" t="s">
        <v>24271</v>
      </c>
      <c r="C20912">
        <v>0</v>
      </c>
      <c r="D20912">
        <v>0.986823079341</v>
      </c>
      <c r="E20912">
        <v>13.2653673163418</v>
      </c>
    </row>
    <row r="20913" spans="1:5">
      <c r="A20913" t="s">
        <v>24264</v>
      </c>
      <c r="B20913" t="s">
        <v>24272</v>
      </c>
      <c r="C20913">
        <f>0</f>
        <v>0</v>
      </c>
      <c r="D20913">
        <v>0.986823079341</v>
      </c>
      <c r="E20913">
        <v>13.2653673163418</v>
      </c>
    </row>
    <row r="20914" spans="1:5">
      <c r="A20914" t="s">
        <v>24264</v>
      </c>
      <c r="B20914" t="s">
        <v>24273</v>
      </c>
      <c r="C20914">
        <f>0</f>
        <v>0</v>
      </c>
      <c r="D20914">
        <v>0.986823079341</v>
      </c>
      <c r="E20914">
        <v>13.2653673163418</v>
      </c>
    </row>
    <row r="20915" spans="1:5">
      <c r="A20915" t="s">
        <v>24264</v>
      </c>
      <c r="B20915" t="s">
        <v>24274</v>
      </c>
      <c r="C20915">
        <f>0</f>
        <v>0</v>
      </c>
      <c r="D20915">
        <v>0.986823079341</v>
      </c>
      <c r="E20915">
        <v>13.2653673163418</v>
      </c>
    </row>
    <row r="20916" spans="1:5">
      <c r="A20916" t="s">
        <v>24275</v>
      </c>
      <c r="B20916" t="s">
        <v>24276</v>
      </c>
      <c r="C20916">
        <v>6.3869136390100001E-2</v>
      </c>
      <c r="D20916">
        <v>0.80507261509000005</v>
      </c>
      <c r="E20916">
        <v>10.878560719640101</v>
      </c>
    </row>
    <row r="20917" spans="1:5">
      <c r="A20917" t="s">
        <v>24275</v>
      </c>
      <c r="B20917" t="s">
        <v>24277</v>
      </c>
      <c r="C20917">
        <v>8.8005626742900002E-3</v>
      </c>
      <c r="D20917">
        <v>0.80507261509000005</v>
      </c>
      <c r="E20917">
        <v>10.878560719640101</v>
      </c>
    </row>
    <row r="20918" spans="1:5">
      <c r="A20918" t="s">
        <v>24278</v>
      </c>
      <c r="B20918" t="s">
        <v>24279</v>
      </c>
      <c r="C20918">
        <v>0.52036180655399999</v>
      </c>
      <c r="D20918">
        <v>0.89839940187099998</v>
      </c>
      <c r="E20918">
        <v>9.6191904047975996</v>
      </c>
    </row>
    <row r="20919" spans="1:5">
      <c r="A20919" t="s">
        <v>24280</v>
      </c>
      <c r="B20919" t="s">
        <v>24281</v>
      </c>
      <c r="C20919">
        <f>0</f>
        <v>0</v>
      </c>
      <c r="D20919">
        <v>0.981687058748</v>
      </c>
      <c r="E20919">
        <v>2.8785607196401801</v>
      </c>
    </row>
    <row r="20920" spans="1:5">
      <c r="A20920" t="s">
        <v>24280</v>
      </c>
      <c r="B20920" t="s">
        <v>24282</v>
      </c>
      <c r="C20920">
        <v>0</v>
      </c>
      <c r="D20920">
        <v>0.981687058748</v>
      </c>
      <c r="E20920">
        <v>2.8785607196401801</v>
      </c>
    </row>
    <row r="20921" spans="1:5">
      <c r="A20921" t="s">
        <v>24280</v>
      </c>
      <c r="B20921" t="s">
        <v>24283</v>
      </c>
      <c r="C20921">
        <f>0</f>
        <v>0</v>
      </c>
      <c r="D20921">
        <v>0.981687058748</v>
      </c>
      <c r="E20921">
        <v>2.8785607196401801</v>
      </c>
    </row>
    <row r="20922" spans="1:5">
      <c r="A20922" t="s">
        <v>24280</v>
      </c>
      <c r="B20922" t="s">
        <v>24284</v>
      </c>
      <c r="C20922">
        <v>0</v>
      </c>
      <c r="D20922">
        <v>0.981687058748</v>
      </c>
      <c r="E20922">
        <v>2.8785607196401801</v>
      </c>
    </row>
    <row r="20923" spans="1:5">
      <c r="A20923" t="s">
        <v>24280</v>
      </c>
      <c r="B20923" t="s">
        <v>24285</v>
      </c>
      <c r="C20923">
        <v>0</v>
      </c>
      <c r="D20923">
        <v>0.981687058748</v>
      </c>
      <c r="E20923">
        <v>2.8785607196401801</v>
      </c>
    </row>
    <row r="20924" spans="1:5">
      <c r="A20924" t="s">
        <v>24280</v>
      </c>
      <c r="B20924" t="s">
        <v>24286</v>
      </c>
      <c r="C20924">
        <f>0</f>
        <v>0</v>
      </c>
      <c r="D20924">
        <v>0.981687058748</v>
      </c>
      <c r="E20924">
        <v>2.8785607196401801</v>
      </c>
    </row>
    <row r="20925" spans="1:5">
      <c r="A20925" t="s">
        <v>24287</v>
      </c>
      <c r="B20925" t="s">
        <v>24288</v>
      </c>
      <c r="C20925">
        <f>0</f>
        <v>0</v>
      </c>
      <c r="D20925" t="s">
        <v>106</v>
      </c>
      <c r="E20925">
        <v>3.13043478260869</v>
      </c>
    </row>
    <row r="20926" spans="1:5">
      <c r="A20926" t="s">
        <v>24287</v>
      </c>
      <c r="B20926" t="s">
        <v>24289</v>
      </c>
      <c r="C20926">
        <f>0</f>
        <v>0</v>
      </c>
      <c r="D20926" t="s">
        <v>106</v>
      </c>
      <c r="E20926">
        <v>3.13043478260869</v>
      </c>
    </row>
    <row r="20927" spans="1:5">
      <c r="A20927" t="s">
        <v>24287</v>
      </c>
      <c r="B20927" t="s">
        <v>24290</v>
      </c>
      <c r="C20927">
        <f>0</f>
        <v>0</v>
      </c>
      <c r="D20927" t="s">
        <v>106</v>
      </c>
      <c r="E20927">
        <v>3.13043478260869</v>
      </c>
    </row>
    <row r="20928" spans="1:5">
      <c r="A20928" t="s">
        <v>24287</v>
      </c>
      <c r="B20928" t="s">
        <v>24291</v>
      </c>
      <c r="C20928">
        <f>0</f>
        <v>0</v>
      </c>
      <c r="D20928" t="s">
        <v>106</v>
      </c>
      <c r="E20928">
        <v>3.13043478260869</v>
      </c>
    </row>
    <row r="20929" spans="1:5">
      <c r="A20929" t="s">
        <v>24292</v>
      </c>
      <c r="B20929" t="s">
        <v>24293</v>
      </c>
      <c r="C20929">
        <v>0</v>
      </c>
      <c r="D20929" t="s">
        <v>106</v>
      </c>
      <c r="E20929">
        <v>2.0269865067466202</v>
      </c>
    </row>
    <row r="20930" spans="1:5">
      <c r="A20930" t="s">
        <v>24292</v>
      </c>
      <c r="B20930" t="s">
        <v>24294</v>
      </c>
      <c r="C20930">
        <f>0</f>
        <v>0</v>
      </c>
      <c r="D20930" t="s">
        <v>106</v>
      </c>
      <c r="E20930">
        <v>2.0269865067466202</v>
      </c>
    </row>
    <row r="20931" spans="1:5">
      <c r="A20931" t="s">
        <v>24292</v>
      </c>
      <c r="B20931" t="s">
        <v>24295</v>
      </c>
      <c r="C20931">
        <f>0</f>
        <v>0</v>
      </c>
      <c r="D20931" t="s">
        <v>106</v>
      </c>
      <c r="E20931">
        <v>2.0269865067466202</v>
      </c>
    </row>
    <row r="20932" spans="1:5">
      <c r="A20932" t="s">
        <v>24292</v>
      </c>
      <c r="B20932" t="s">
        <v>24296</v>
      </c>
      <c r="C20932">
        <f>0</f>
        <v>0</v>
      </c>
      <c r="D20932" t="s">
        <v>106</v>
      </c>
      <c r="E20932">
        <v>2.0269865067466202</v>
      </c>
    </row>
    <row r="20933" spans="1:5">
      <c r="A20933" t="s">
        <v>24292</v>
      </c>
      <c r="B20933" t="s">
        <v>24297</v>
      </c>
      <c r="C20933">
        <f>0</f>
        <v>0</v>
      </c>
      <c r="D20933" t="s">
        <v>106</v>
      </c>
      <c r="E20933">
        <v>2.0269865067466202</v>
      </c>
    </row>
    <row r="20934" spans="1:5">
      <c r="A20934" t="s">
        <v>24292</v>
      </c>
      <c r="B20934" t="s">
        <v>24298</v>
      </c>
      <c r="C20934">
        <f>0</f>
        <v>0</v>
      </c>
      <c r="D20934" t="s">
        <v>106</v>
      </c>
      <c r="E20934">
        <v>2.0269865067466202</v>
      </c>
    </row>
    <row r="20935" spans="1:5">
      <c r="A20935" t="s">
        <v>24292</v>
      </c>
      <c r="B20935" t="s">
        <v>24299</v>
      </c>
      <c r="C20935">
        <f>0</f>
        <v>0</v>
      </c>
      <c r="D20935" t="s">
        <v>106</v>
      </c>
      <c r="E20935">
        <v>2.0269865067466202</v>
      </c>
    </row>
    <row r="20936" spans="1:5">
      <c r="A20936" t="s">
        <v>24292</v>
      </c>
      <c r="B20936" t="s">
        <v>24300</v>
      </c>
      <c r="C20936">
        <v>0</v>
      </c>
      <c r="D20936" t="s">
        <v>106</v>
      </c>
      <c r="E20936">
        <v>2.0269865067466202</v>
      </c>
    </row>
    <row r="20937" spans="1:5">
      <c r="A20937" t="s">
        <v>24292</v>
      </c>
      <c r="B20937" t="s">
        <v>24301</v>
      </c>
      <c r="C20937">
        <f>0</f>
        <v>0</v>
      </c>
      <c r="D20937" t="s">
        <v>106</v>
      </c>
      <c r="E20937">
        <v>2.0269865067466202</v>
      </c>
    </row>
    <row r="20938" spans="1:5">
      <c r="A20938" t="s">
        <v>24292</v>
      </c>
      <c r="B20938" t="s">
        <v>24302</v>
      </c>
      <c r="C20938">
        <f>0</f>
        <v>0</v>
      </c>
      <c r="D20938" t="s">
        <v>106</v>
      </c>
      <c r="E20938">
        <v>2.0269865067466202</v>
      </c>
    </row>
    <row r="20939" spans="1:5">
      <c r="A20939" t="s">
        <v>24303</v>
      </c>
      <c r="B20939" t="s">
        <v>24304</v>
      </c>
      <c r="C20939">
        <v>3.40976725336E-2</v>
      </c>
      <c r="D20939">
        <v>0.86463680273700005</v>
      </c>
      <c r="E20939">
        <v>24</v>
      </c>
    </row>
    <row r="20940" spans="1:5">
      <c r="A20940" t="s">
        <v>24303</v>
      </c>
      <c r="B20940" t="s">
        <v>24305</v>
      </c>
      <c r="C20940">
        <v>1.02676623311E-2</v>
      </c>
      <c r="D20940">
        <v>0.86463680273700005</v>
      </c>
      <c r="E20940">
        <v>24</v>
      </c>
    </row>
    <row r="20941" spans="1:5">
      <c r="A20941" t="s">
        <v>24303</v>
      </c>
      <c r="B20941" t="s">
        <v>24306</v>
      </c>
      <c r="C20941">
        <f>0</f>
        <v>0</v>
      </c>
      <c r="D20941">
        <v>0.86463680273700005</v>
      </c>
      <c r="E20941">
        <v>24</v>
      </c>
    </row>
    <row r="20942" spans="1:5">
      <c r="A20942" t="s">
        <v>24303</v>
      </c>
      <c r="B20942" t="s">
        <v>24307</v>
      </c>
      <c r="C20942">
        <f>0</f>
        <v>0</v>
      </c>
      <c r="D20942">
        <v>0.86463680273700005</v>
      </c>
      <c r="E20942">
        <v>24</v>
      </c>
    </row>
    <row r="20943" spans="1:5">
      <c r="A20943" t="s">
        <v>24303</v>
      </c>
      <c r="B20943" t="s">
        <v>24308</v>
      </c>
      <c r="C20943">
        <f>0</f>
        <v>0</v>
      </c>
      <c r="D20943">
        <v>0.86463680273700005</v>
      </c>
      <c r="E20943">
        <v>24</v>
      </c>
    </row>
    <row r="20944" spans="1:5">
      <c r="A20944" t="s">
        <v>24303</v>
      </c>
      <c r="B20944" t="s">
        <v>24309</v>
      </c>
      <c r="C20944">
        <v>0</v>
      </c>
      <c r="D20944">
        <v>0.86463680273700005</v>
      </c>
      <c r="E20944">
        <v>24</v>
      </c>
    </row>
    <row r="20945" spans="1:5">
      <c r="A20945" t="s">
        <v>24310</v>
      </c>
      <c r="B20945" t="s">
        <v>24311</v>
      </c>
      <c r="C20945">
        <v>0</v>
      </c>
      <c r="D20945">
        <v>0.48489563182200002</v>
      </c>
      <c r="E20945">
        <v>2.3268365817091401</v>
      </c>
    </row>
    <row r="20946" spans="1:5">
      <c r="A20946" t="s">
        <v>24310</v>
      </c>
      <c r="B20946" t="s">
        <v>24312</v>
      </c>
      <c r="C20946">
        <v>0</v>
      </c>
      <c r="D20946">
        <v>0.48489563182200002</v>
      </c>
      <c r="E20946">
        <v>2.3268365817091401</v>
      </c>
    </row>
    <row r="20947" spans="1:5">
      <c r="A20947" t="s">
        <v>24310</v>
      </c>
      <c r="B20947" t="s">
        <v>24313</v>
      </c>
      <c r="C20947">
        <v>0</v>
      </c>
      <c r="D20947">
        <v>0.48489563182200002</v>
      </c>
      <c r="E20947">
        <v>2.3268365817091401</v>
      </c>
    </row>
    <row r="20948" spans="1:5">
      <c r="A20948" t="s">
        <v>24310</v>
      </c>
      <c r="B20948" t="s">
        <v>24314</v>
      </c>
      <c r="C20948">
        <v>0</v>
      </c>
      <c r="D20948">
        <v>0.48489563182200002</v>
      </c>
      <c r="E20948">
        <v>2.3268365817091401</v>
      </c>
    </row>
    <row r="20949" spans="1:5">
      <c r="A20949" t="s">
        <v>24310</v>
      </c>
      <c r="B20949" t="s">
        <v>24315</v>
      </c>
      <c r="C20949">
        <v>0</v>
      </c>
      <c r="D20949">
        <v>0.48489563182200002</v>
      </c>
      <c r="E20949">
        <v>2.3268365817091401</v>
      </c>
    </row>
    <row r="20950" spans="1:5">
      <c r="A20950" t="s">
        <v>24310</v>
      </c>
      <c r="B20950" t="s">
        <v>24316</v>
      </c>
      <c r="C20950">
        <v>0</v>
      </c>
      <c r="D20950">
        <v>0.48489563182200002</v>
      </c>
      <c r="E20950">
        <v>2.3268365817091401</v>
      </c>
    </row>
    <row r="20951" spans="1:5">
      <c r="A20951" t="s">
        <v>24310</v>
      </c>
      <c r="B20951" t="s">
        <v>24317</v>
      </c>
      <c r="C20951">
        <v>0</v>
      </c>
      <c r="D20951">
        <v>0.48489563182200002</v>
      </c>
      <c r="E20951">
        <v>2.3268365817091401</v>
      </c>
    </row>
    <row r="20952" spans="1:5">
      <c r="A20952" t="s">
        <v>24310</v>
      </c>
      <c r="B20952" t="s">
        <v>24318</v>
      </c>
      <c r="C20952">
        <v>0</v>
      </c>
      <c r="D20952">
        <v>0.48489563182200002</v>
      </c>
      <c r="E20952">
        <v>2.3268365817091401</v>
      </c>
    </row>
    <row r="20953" spans="1:5">
      <c r="A20953" t="s">
        <v>24310</v>
      </c>
      <c r="B20953" t="s">
        <v>24319</v>
      </c>
      <c r="C20953">
        <v>7.86184344343E-2</v>
      </c>
      <c r="D20953">
        <v>0.48489563182200002</v>
      </c>
      <c r="E20953">
        <v>2.3268365817091401</v>
      </c>
    </row>
    <row r="20954" spans="1:5">
      <c r="A20954" t="s">
        <v>24310</v>
      </c>
      <c r="B20954" t="s">
        <v>24320</v>
      </c>
      <c r="C20954">
        <v>0</v>
      </c>
      <c r="D20954">
        <v>0.48489563182200002</v>
      </c>
      <c r="E20954">
        <v>2.3268365817091401</v>
      </c>
    </row>
    <row r="20955" spans="1:5">
      <c r="A20955" t="s">
        <v>24310</v>
      </c>
      <c r="B20955" t="s">
        <v>24321</v>
      </c>
      <c r="C20955">
        <v>0</v>
      </c>
      <c r="D20955">
        <v>0.48489563182200002</v>
      </c>
      <c r="E20955">
        <v>2.3268365817091401</v>
      </c>
    </row>
    <row r="20956" spans="1:5">
      <c r="A20956" t="s">
        <v>24310</v>
      </c>
      <c r="B20956" t="s">
        <v>24322</v>
      </c>
      <c r="C20956">
        <v>0.100330407979</v>
      </c>
      <c r="D20956">
        <v>0.48489563182200002</v>
      </c>
      <c r="E20956">
        <v>2.3268365817091401</v>
      </c>
    </row>
    <row r="20957" spans="1:5">
      <c r="A20957" t="s">
        <v>24310</v>
      </c>
      <c r="B20957" t="s">
        <v>24323</v>
      </c>
      <c r="C20957">
        <v>0</v>
      </c>
      <c r="D20957">
        <v>0.48489563182200002</v>
      </c>
      <c r="E20957">
        <v>2.3268365817091401</v>
      </c>
    </row>
    <row r="20958" spans="1:5">
      <c r="A20958" t="s">
        <v>24324</v>
      </c>
      <c r="B20958" t="s">
        <v>24325</v>
      </c>
      <c r="C20958">
        <f>0</f>
        <v>0</v>
      </c>
      <c r="D20958">
        <v>0.83408288389499996</v>
      </c>
      <c r="E20958">
        <v>12.9175412293853</v>
      </c>
    </row>
    <row r="20959" spans="1:5">
      <c r="A20959" t="s">
        <v>24324</v>
      </c>
      <c r="B20959" t="s">
        <v>24326</v>
      </c>
      <c r="C20959">
        <f>0</f>
        <v>0</v>
      </c>
      <c r="D20959">
        <v>0.83408288389499996</v>
      </c>
      <c r="E20959">
        <v>12.9175412293853</v>
      </c>
    </row>
    <row r="20960" spans="1:5">
      <c r="A20960" t="s">
        <v>24324</v>
      </c>
      <c r="B20960" t="s">
        <v>24327</v>
      </c>
      <c r="C20960">
        <v>0.152641575605</v>
      </c>
      <c r="D20960">
        <v>0.83408288389499996</v>
      </c>
      <c r="E20960">
        <v>12.9175412293853</v>
      </c>
    </row>
    <row r="20961" spans="1:5">
      <c r="A20961" t="s">
        <v>24324</v>
      </c>
      <c r="B20961" t="s">
        <v>24328</v>
      </c>
      <c r="C20961">
        <f>0</f>
        <v>0</v>
      </c>
      <c r="D20961">
        <v>0.83408288389499996</v>
      </c>
      <c r="E20961">
        <v>12.9175412293853</v>
      </c>
    </row>
    <row r="20962" spans="1:5">
      <c r="A20962" t="s">
        <v>24329</v>
      </c>
      <c r="B20962" t="s">
        <v>24330</v>
      </c>
      <c r="C20962">
        <v>0.24943550560800001</v>
      </c>
      <c r="D20962">
        <v>0.99429442796699996</v>
      </c>
      <c r="E20962">
        <v>9.7631184407796106</v>
      </c>
    </row>
    <row r="20963" spans="1:5">
      <c r="A20963" t="s">
        <v>24329</v>
      </c>
      <c r="B20963" t="s">
        <v>24331</v>
      </c>
      <c r="C20963">
        <v>0.102140701353</v>
      </c>
      <c r="D20963">
        <v>0.99429442796699996</v>
      </c>
      <c r="E20963">
        <v>9.7631184407796106</v>
      </c>
    </row>
    <row r="20964" spans="1:5">
      <c r="A20964" t="s">
        <v>24329</v>
      </c>
      <c r="B20964" t="s">
        <v>24332</v>
      </c>
      <c r="C20964">
        <v>0</v>
      </c>
      <c r="D20964">
        <v>0.99429442796699996</v>
      </c>
      <c r="E20964">
        <v>9.7631184407796106</v>
      </c>
    </row>
    <row r="20965" spans="1:5">
      <c r="A20965" t="s">
        <v>24329</v>
      </c>
      <c r="B20965" t="s">
        <v>24333</v>
      </c>
      <c r="C20965">
        <v>0</v>
      </c>
      <c r="D20965">
        <v>0.99429442796699996</v>
      </c>
      <c r="E20965">
        <v>9.7631184407796106</v>
      </c>
    </row>
    <row r="20966" spans="1:5">
      <c r="A20966" t="s">
        <v>24329</v>
      </c>
      <c r="B20966" t="s">
        <v>24334</v>
      </c>
      <c r="C20966">
        <v>0</v>
      </c>
      <c r="D20966">
        <v>0.99429442796699996</v>
      </c>
      <c r="E20966">
        <v>9.7631184407796106</v>
      </c>
    </row>
    <row r="20967" spans="1:5">
      <c r="A20967" t="s">
        <v>24329</v>
      </c>
      <c r="B20967" t="s">
        <v>24335</v>
      </c>
      <c r="C20967">
        <v>0</v>
      </c>
      <c r="D20967">
        <v>0.99429442796699996</v>
      </c>
      <c r="E20967">
        <v>9.7631184407796106</v>
      </c>
    </row>
    <row r="20968" spans="1:5">
      <c r="A20968" t="s">
        <v>24336</v>
      </c>
      <c r="B20968" t="s">
        <v>24337</v>
      </c>
      <c r="C20968">
        <v>0</v>
      </c>
      <c r="D20968">
        <v>0.78767378731000004</v>
      </c>
      <c r="E20968">
        <v>5.3493253373313303</v>
      </c>
    </row>
    <row r="20969" spans="1:5">
      <c r="A20969" t="s">
        <v>24336</v>
      </c>
      <c r="B20969" t="s">
        <v>24338</v>
      </c>
      <c r="C20969">
        <v>0</v>
      </c>
      <c r="D20969">
        <v>0.78767378731000004</v>
      </c>
      <c r="E20969">
        <v>5.3493253373313303</v>
      </c>
    </row>
    <row r="20970" spans="1:5">
      <c r="A20970" t="s">
        <v>24336</v>
      </c>
      <c r="B20970" t="s">
        <v>24339</v>
      </c>
      <c r="C20970">
        <f>0</f>
        <v>0</v>
      </c>
      <c r="D20970">
        <v>0.78767378731000004</v>
      </c>
      <c r="E20970">
        <v>5.3493253373313303</v>
      </c>
    </row>
    <row r="20971" spans="1:5">
      <c r="A20971" t="s">
        <v>24336</v>
      </c>
      <c r="B20971" t="s">
        <v>24340</v>
      </c>
      <c r="C20971">
        <v>0</v>
      </c>
      <c r="D20971">
        <v>0.78767378731000004</v>
      </c>
      <c r="E20971">
        <v>5.3493253373313303</v>
      </c>
    </row>
    <row r="20972" spans="1:5">
      <c r="A20972" t="s">
        <v>24336</v>
      </c>
      <c r="B20972" t="s">
        <v>24341</v>
      </c>
      <c r="C20972">
        <f>0</f>
        <v>0</v>
      </c>
      <c r="D20972">
        <v>0.78767378731000004</v>
      </c>
      <c r="E20972">
        <v>5.3493253373313303</v>
      </c>
    </row>
    <row r="20973" spans="1:5">
      <c r="A20973" t="s">
        <v>24342</v>
      </c>
      <c r="B20973" t="s">
        <v>24343</v>
      </c>
      <c r="C20973">
        <v>0</v>
      </c>
      <c r="D20973" t="s">
        <v>106</v>
      </c>
      <c r="E20973">
        <v>20.7376311844077</v>
      </c>
    </row>
    <row r="20974" spans="1:5">
      <c r="A20974" t="s">
        <v>24342</v>
      </c>
      <c r="B20974" t="s">
        <v>24344</v>
      </c>
      <c r="C20974">
        <v>0</v>
      </c>
      <c r="D20974" t="s">
        <v>106</v>
      </c>
      <c r="E20974">
        <v>20.7376311844077</v>
      </c>
    </row>
    <row r="20975" spans="1:5">
      <c r="A20975" t="s">
        <v>24345</v>
      </c>
      <c r="B20975" t="s">
        <v>24346</v>
      </c>
      <c r="C20975">
        <v>0</v>
      </c>
      <c r="D20975" t="s">
        <v>106</v>
      </c>
      <c r="E20975">
        <v>15.5082458770614</v>
      </c>
    </row>
    <row r="20976" spans="1:5">
      <c r="A20976" t="s">
        <v>24345</v>
      </c>
      <c r="B20976" t="s">
        <v>24347</v>
      </c>
      <c r="C20976">
        <v>0</v>
      </c>
      <c r="D20976" t="s">
        <v>106</v>
      </c>
      <c r="E20976">
        <v>15.5082458770614</v>
      </c>
    </row>
    <row r="20977" spans="1:5">
      <c r="A20977" t="s">
        <v>24348</v>
      </c>
      <c r="B20977" t="s">
        <v>24349</v>
      </c>
      <c r="C20977">
        <v>0.195249687847</v>
      </c>
      <c r="D20977">
        <v>0.97036741997499998</v>
      </c>
      <c r="E20977">
        <v>11.5382308845577</v>
      </c>
    </row>
    <row r="20978" spans="1:5">
      <c r="A20978" t="s">
        <v>24348</v>
      </c>
      <c r="B20978" t="s">
        <v>24350</v>
      </c>
      <c r="C20978">
        <f>0</f>
        <v>0</v>
      </c>
      <c r="D20978">
        <v>0.97036741997499998</v>
      </c>
      <c r="E20978">
        <v>11.5382308845577</v>
      </c>
    </row>
    <row r="20979" spans="1:5">
      <c r="A20979" t="s">
        <v>24348</v>
      </c>
      <c r="B20979" t="s">
        <v>24351</v>
      </c>
      <c r="C20979">
        <v>0</v>
      </c>
      <c r="D20979">
        <v>0.97036741997499998</v>
      </c>
      <c r="E20979">
        <v>11.5382308845577</v>
      </c>
    </row>
    <row r="20980" spans="1:5">
      <c r="A20980" t="s">
        <v>24348</v>
      </c>
      <c r="B20980" t="s">
        <v>24352</v>
      </c>
      <c r="C20980">
        <v>0</v>
      </c>
      <c r="D20980">
        <v>0.97036741997499998</v>
      </c>
      <c r="E20980">
        <v>11.5382308845577</v>
      </c>
    </row>
    <row r="20981" spans="1:5">
      <c r="A20981" t="s">
        <v>24348</v>
      </c>
      <c r="B20981" t="s">
        <v>24353</v>
      </c>
      <c r="C20981">
        <f>0</f>
        <v>0</v>
      </c>
      <c r="D20981">
        <v>0.97036741997499998</v>
      </c>
      <c r="E20981">
        <v>11.5382308845577</v>
      </c>
    </row>
    <row r="20982" spans="1:5">
      <c r="A20982" t="s">
        <v>24348</v>
      </c>
      <c r="B20982" t="s">
        <v>24354</v>
      </c>
      <c r="C20982">
        <v>0.11672159619899999</v>
      </c>
      <c r="D20982">
        <v>0.97036741997499998</v>
      </c>
      <c r="E20982">
        <v>11.5382308845577</v>
      </c>
    </row>
    <row r="20983" spans="1:5">
      <c r="A20983" t="s">
        <v>24348</v>
      </c>
      <c r="B20983" t="s">
        <v>24355</v>
      </c>
      <c r="C20983">
        <v>0</v>
      </c>
      <c r="D20983">
        <v>0.97036741997499998</v>
      </c>
      <c r="E20983">
        <v>11.5382308845577</v>
      </c>
    </row>
    <row r="20984" spans="1:5">
      <c r="A20984" t="s">
        <v>24356</v>
      </c>
      <c r="B20984" t="s">
        <v>24357</v>
      </c>
      <c r="C20984">
        <f>0</f>
        <v>0</v>
      </c>
      <c r="D20984" t="s">
        <v>106</v>
      </c>
      <c r="E20984">
        <v>3.97001499250374</v>
      </c>
    </row>
    <row r="20985" spans="1:5">
      <c r="A20985" t="s">
        <v>24356</v>
      </c>
      <c r="B20985" t="s">
        <v>24358</v>
      </c>
      <c r="C20985">
        <v>0</v>
      </c>
      <c r="D20985" t="s">
        <v>106</v>
      </c>
      <c r="E20985">
        <v>3.97001499250374</v>
      </c>
    </row>
    <row r="20986" spans="1:5">
      <c r="A20986" t="s">
        <v>24356</v>
      </c>
      <c r="B20986" t="s">
        <v>24359</v>
      </c>
      <c r="C20986">
        <f>0</f>
        <v>0</v>
      </c>
      <c r="D20986" t="s">
        <v>106</v>
      </c>
      <c r="E20986">
        <v>3.97001499250374</v>
      </c>
    </row>
    <row r="20987" spans="1:5">
      <c r="A20987" t="s">
        <v>24356</v>
      </c>
      <c r="B20987" t="s">
        <v>24360</v>
      </c>
      <c r="C20987">
        <v>0</v>
      </c>
      <c r="D20987" t="s">
        <v>106</v>
      </c>
      <c r="E20987">
        <v>3.97001499250374</v>
      </c>
    </row>
    <row r="20988" spans="1:5">
      <c r="A20988" t="s">
        <v>24356</v>
      </c>
      <c r="B20988" t="s">
        <v>24361</v>
      </c>
      <c r="C20988">
        <f>0</f>
        <v>0</v>
      </c>
      <c r="D20988" t="s">
        <v>106</v>
      </c>
      <c r="E20988">
        <v>3.97001499250374</v>
      </c>
    </row>
    <row r="20989" spans="1:5">
      <c r="A20989" t="s">
        <v>24356</v>
      </c>
      <c r="B20989" t="s">
        <v>24362</v>
      </c>
      <c r="C20989">
        <v>0</v>
      </c>
      <c r="D20989" t="s">
        <v>106</v>
      </c>
      <c r="E20989">
        <v>3.97001499250374</v>
      </c>
    </row>
    <row r="20990" spans="1:5">
      <c r="A20990" t="s">
        <v>24356</v>
      </c>
      <c r="B20990" t="s">
        <v>24363</v>
      </c>
      <c r="C20990">
        <f>0</f>
        <v>0</v>
      </c>
      <c r="D20990" t="s">
        <v>106</v>
      </c>
      <c r="E20990">
        <v>3.97001499250374</v>
      </c>
    </row>
    <row r="20991" spans="1:5">
      <c r="A20991" t="s">
        <v>24356</v>
      </c>
      <c r="B20991" t="s">
        <v>24364</v>
      </c>
      <c r="C20991">
        <v>0.28728192287900001</v>
      </c>
      <c r="D20991" t="s">
        <v>106</v>
      </c>
      <c r="E20991">
        <v>3.97001499250374</v>
      </c>
    </row>
    <row r="20992" spans="1:5">
      <c r="A20992" t="s">
        <v>24365</v>
      </c>
      <c r="B20992" t="s">
        <v>24366</v>
      </c>
      <c r="C20992">
        <f>0</f>
        <v>0</v>
      </c>
      <c r="D20992" t="s">
        <v>106</v>
      </c>
      <c r="E20992">
        <v>17.715142428785601</v>
      </c>
    </row>
    <row r="20993" spans="1:5">
      <c r="A20993" t="s">
        <v>24365</v>
      </c>
      <c r="B20993" t="s">
        <v>24367</v>
      </c>
      <c r="C20993">
        <f>0</f>
        <v>0</v>
      </c>
      <c r="D20993" t="s">
        <v>106</v>
      </c>
      <c r="E20993">
        <v>17.715142428785601</v>
      </c>
    </row>
    <row r="20994" spans="1:5">
      <c r="A20994" t="s">
        <v>24365</v>
      </c>
      <c r="B20994" t="s">
        <v>24368</v>
      </c>
      <c r="C20994">
        <f>0.231371921109</f>
        <v>0.23137192110900001</v>
      </c>
      <c r="D20994" t="s">
        <v>106</v>
      </c>
      <c r="E20994">
        <v>17.715142428785601</v>
      </c>
    </row>
    <row r="20995" spans="1:5">
      <c r="A20995" t="s">
        <v>24369</v>
      </c>
      <c r="B20995" t="s">
        <v>24370</v>
      </c>
      <c r="C20995">
        <v>0</v>
      </c>
      <c r="D20995" t="s">
        <v>106</v>
      </c>
      <c r="E20995">
        <v>1.00749625187406</v>
      </c>
    </row>
    <row r="20996" spans="1:5">
      <c r="A20996" t="s">
        <v>24369</v>
      </c>
      <c r="B20996" t="s">
        <v>24371</v>
      </c>
      <c r="C20996">
        <v>0</v>
      </c>
      <c r="D20996" t="s">
        <v>106</v>
      </c>
      <c r="E20996">
        <v>1.00749625187406</v>
      </c>
    </row>
    <row r="20997" spans="1:5">
      <c r="A20997" t="s">
        <v>24372</v>
      </c>
      <c r="B20997" t="s">
        <v>24373</v>
      </c>
      <c r="C20997">
        <v>0</v>
      </c>
      <c r="D20997">
        <v>0.94503928612900001</v>
      </c>
      <c r="E20997">
        <v>12.9175412293853</v>
      </c>
    </row>
    <row r="20998" spans="1:5">
      <c r="A20998" t="s">
        <v>24372</v>
      </c>
      <c r="B20998" t="s">
        <v>24374</v>
      </c>
      <c r="C20998">
        <f>0</f>
        <v>0</v>
      </c>
      <c r="D20998">
        <v>0.94503928612900001</v>
      </c>
      <c r="E20998">
        <v>12.9175412293853</v>
      </c>
    </row>
    <row r="20999" spans="1:5">
      <c r="A20999" t="s">
        <v>24372</v>
      </c>
      <c r="B20999" t="s">
        <v>24375</v>
      </c>
      <c r="C20999">
        <f>0</f>
        <v>0</v>
      </c>
      <c r="D20999">
        <v>0.94503928612900001</v>
      </c>
      <c r="E20999">
        <v>12.9175412293853</v>
      </c>
    </row>
    <row r="21000" spans="1:5">
      <c r="A21000" t="s">
        <v>24372</v>
      </c>
      <c r="B21000" t="s">
        <v>24376</v>
      </c>
      <c r="C21000">
        <v>0.29853014980699999</v>
      </c>
      <c r="D21000">
        <v>0.94503928612900001</v>
      </c>
      <c r="E21000">
        <v>12.9175412293853</v>
      </c>
    </row>
    <row r="21001" spans="1:5">
      <c r="A21001" t="s">
        <v>24372</v>
      </c>
      <c r="B21001" t="s">
        <v>24377</v>
      </c>
      <c r="C21001">
        <v>0</v>
      </c>
      <c r="D21001">
        <v>0.94503928612900001</v>
      </c>
      <c r="E21001">
        <v>12.9175412293853</v>
      </c>
    </row>
    <row r="21002" spans="1:5">
      <c r="A21002" t="s">
        <v>24372</v>
      </c>
      <c r="B21002" t="s">
        <v>24378</v>
      </c>
      <c r="C21002">
        <f>0</f>
        <v>0</v>
      </c>
      <c r="D21002">
        <v>0.94503928612900001</v>
      </c>
      <c r="E21002">
        <v>12.9175412293853</v>
      </c>
    </row>
    <row r="21003" spans="1:5">
      <c r="A21003" t="s">
        <v>24372</v>
      </c>
      <c r="B21003" t="s">
        <v>24379</v>
      </c>
      <c r="C21003">
        <f>0</f>
        <v>0</v>
      </c>
      <c r="D21003">
        <v>0.94503928612900001</v>
      </c>
      <c r="E21003">
        <v>12.9175412293853</v>
      </c>
    </row>
    <row r="21004" spans="1:5">
      <c r="A21004" t="s">
        <v>24380</v>
      </c>
      <c r="B21004" t="s">
        <v>24381</v>
      </c>
      <c r="C21004">
        <v>0</v>
      </c>
      <c r="D21004" t="s">
        <v>106</v>
      </c>
      <c r="E21004">
        <v>6.0569715142428704</v>
      </c>
    </row>
    <row r="21005" spans="1:5">
      <c r="A21005" t="s">
        <v>24380</v>
      </c>
      <c r="B21005" t="s">
        <v>24382</v>
      </c>
      <c r="C21005">
        <v>0</v>
      </c>
      <c r="D21005" t="s">
        <v>106</v>
      </c>
      <c r="E21005">
        <v>6.0569715142428704</v>
      </c>
    </row>
    <row r="21006" spans="1:5">
      <c r="A21006" t="s">
        <v>24380</v>
      </c>
      <c r="B21006" t="s">
        <v>24383</v>
      </c>
      <c r="C21006">
        <f>0</f>
        <v>0</v>
      </c>
      <c r="D21006" t="s">
        <v>106</v>
      </c>
      <c r="E21006">
        <v>6.0569715142428704</v>
      </c>
    </row>
    <row r="21007" spans="1:5">
      <c r="A21007" t="s">
        <v>24380</v>
      </c>
      <c r="B21007" t="s">
        <v>24384</v>
      </c>
      <c r="C21007">
        <v>0</v>
      </c>
      <c r="D21007" t="s">
        <v>106</v>
      </c>
      <c r="E21007">
        <v>6.0569715142428704</v>
      </c>
    </row>
    <row r="21008" spans="1:5">
      <c r="A21008" t="s">
        <v>24380</v>
      </c>
      <c r="B21008" t="s">
        <v>24385</v>
      </c>
      <c r="C21008">
        <v>0</v>
      </c>
      <c r="D21008" t="s">
        <v>106</v>
      </c>
      <c r="E21008">
        <v>6.0569715142428704</v>
      </c>
    </row>
    <row r="21009" spans="1:5">
      <c r="A21009" t="s">
        <v>24380</v>
      </c>
      <c r="B21009" t="s">
        <v>24386</v>
      </c>
      <c r="C21009">
        <v>0</v>
      </c>
      <c r="D21009" t="s">
        <v>106</v>
      </c>
      <c r="E21009">
        <v>6.0569715142428704</v>
      </c>
    </row>
    <row r="21010" spans="1:5">
      <c r="A21010" t="s">
        <v>24380</v>
      </c>
      <c r="B21010" t="s">
        <v>24387</v>
      </c>
      <c r="C21010">
        <v>0</v>
      </c>
      <c r="D21010" t="s">
        <v>106</v>
      </c>
      <c r="E21010">
        <v>6.0569715142428704</v>
      </c>
    </row>
    <row r="21011" spans="1:5">
      <c r="A21011" t="s">
        <v>24388</v>
      </c>
      <c r="B21011" t="s">
        <v>24389</v>
      </c>
      <c r="C21011">
        <f>0</f>
        <v>0</v>
      </c>
      <c r="D21011" t="s">
        <v>106</v>
      </c>
      <c r="E21011">
        <v>12.7376311844077</v>
      </c>
    </row>
    <row r="21012" spans="1:5">
      <c r="A21012" t="s">
        <v>24388</v>
      </c>
      <c r="B21012" t="s">
        <v>24390</v>
      </c>
      <c r="C21012">
        <v>0</v>
      </c>
      <c r="D21012" t="s">
        <v>106</v>
      </c>
      <c r="E21012">
        <v>12.7376311844077</v>
      </c>
    </row>
    <row r="21013" spans="1:5">
      <c r="A21013" t="s">
        <v>24388</v>
      </c>
      <c r="B21013" t="s">
        <v>24391</v>
      </c>
      <c r="C21013">
        <f>0</f>
        <v>0</v>
      </c>
      <c r="D21013" t="s">
        <v>106</v>
      </c>
      <c r="E21013">
        <v>12.7376311844077</v>
      </c>
    </row>
    <row r="21014" spans="1:5">
      <c r="A21014" t="s">
        <v>24388</v>
      </c>
      <c r="B21014" t="s">
        <v>24392</v>
      </c>
      <c r="C21014">
        <v>0</v>
      </c>
      <c r="D21014" t="s">
        <v>106</v>
      </c>
      <c r="E21014">
        <v>12.7376311844077</v>
      </c>
    </row>
    <row r="21015" spans="1:5">
      <c r="A21015" t="s">
        <v>24388</v>
      </c>
      <c r="B21015" t="s">
        <v>24393</v>
      </c>
      <c r="C21015">
        <v>0</v>
      </c>
      <c r="D21015" t="s">
        <v>106</v>
      </c>
      <c r="E21015">
        <v>12.7376311844077</v>
      </c>
    </row>
    <row r="21016" spans="1:5">
      <c r="A21016" t="s">
        <v>24388</v>
      </c>
      <c r="B21016" t="s">
        <v>24394</v>
      </c>
      <c r="C21016">
        <f>0</f>
        <v>0</v>
      </c>
      <c r="D21016" t="s">
        <v>106</v>
      </c>
      <c r="E21016">
        <v>12.7376311844077</v>
      </c>
    </row>
    <row r="21017" spans="1:5">
      <c r="A21017" t="s">
        <v>24388</v>
      </c>
      <c r="B21017" t="s">
        <v>24395</v>
      </c>
      <c r="C21017">
        <f>0</f>
        <v>0</v>
      </c>
      <c r="D21017" t="s">
        <v>106</v>
      </c>
      <c r="E21017">
        <v>12.7376311844077</v>
      </c>
    </row>
    <row r="21018" spans="1:5">
      <c r="A21018" t="s">
        <v>24396</v>
      </c>
      <c r="B21018" t="s">
        <v>24397</v>
      </c>
      <c r="C21018">
        <v>0</v>
      </c>
      <c r="D21018">
        <v>0.79063808267000002</v>
      </c>
      <c r="E21018">
        <v>2.79460269865067</v>
      </c>
    </row>
    <row r="21019" spans="1:5">
      <c r="A21019" t="s">
        <v>24396</v>
      </c>
      <c r="B21019" t="s">
        <v>24398</v>
      </c>
      <c r="C21019">
        <v>0</v>
      </c>
      <c r="D21019">
        <v>0.79063808267000002</v>
      </c>
      <c r="E21019">
        <v>2.79460269865067</v>
      </c>
    </row>
    <row r="21020" spans="1:5">
      <c r="A21020" t="s">
        <v>24396</v>
      </c>
      <c r="B21020" t="s">
        <v>24399</v>
      </c>
      <c r="C21020">
        <v>0</v>
      </c>
      <c r="D21020">
        <v>0.79063808267000002</v>
      </c>
      <c r="E21020">
        <v>2.79460269865067</v>
      </c>
    </row>
    <row r="21021" spans="1:5">
      <c r="A21021" t="s">
        <v>24400</v>
      </c>
      <c r="B21021" t="s">
        <v>24401</v>
      </c>
      <c r="C21021">
        <v>0</v>
      </c>
      <c r="D21021">
        <v>0.97910600010600002</v>
      </c>
      <c r="E21021">
        <v>10.5547226386806</v>
      </c>
    </row>
    <row r="21022" spans="1:5">
      <c r="A21022" t="s">
        <v>24400</v>
      </c>
      <c r="B21022" t="s">
        <v>24402</v>
      </c>
      <c r="C21022">
        <f>0</f>
        <v>0</v>
      </c>
      <c r="D21022">
        <v>0.97910600010600002</v>
      </c>
      <c r="E21022">
        <v>10.5547226386806</v>
      </c>
    </row>
    <row r="21023" spans="1:5">
      <c r="A21023" t="s">
        <v>24400</v>
      </c>
      <c r="B21023" t="s">
        <v>24403</v>
      </c>
      <c r="C21023">
        <f>0</f>
        <v>0</v>
      </c>
      <c r="D21023">
        <v>0.97910600010600002</v>
      </c>
      <c r="E21023">
        <v>10.5547226386806</v>
      </c>
    </row>
    <row r="21024" spans="1:5">
      <c r="A21024" t="s">
        <v>24400</v>
      </c>
      <c r="B21024" t="s">
        <v>24404</v>
      </c>
      <c r="C21024">
        <v>0.30661350268600002</v>
      </c>
      <c r="D21024">
        <v>0.97910600010600002</v>
      </c>
      <c r="E21024">
        <v>10.5547226386806</v>
      </c>
    </row>
    <row r="21025" spans="1:5">
      <c r="A21025" t="s">
        <v>24400</v>
      </c>
      <c r="B21025" t="s">
        <v>24405</v>
      </c>
      <c r="C21025">
        <v>0.304175035664</v>
      </c>
      <c r="D21025">
        <v>0.97910600010600002</v>
      </c>
      <c r="E21025">
        <v>10.5547226386806</v>
      </c>
    </row>
    <row r="21026" spans="1:5">
      <c r="A21026" t="s">
        <v>24406</v>
      </c>
      <c r="B21026" t="s">
        <v>24407</v>
      </c>
      <c r="C21026">
        <f>0.214255468385</f>
        <v>0.21425546838500001</v>
      </c>
      <c r="D21026">
        <v>0.573145438846</v>
      </c>
      <c r="E21026">
        <v>1.7631184407796101</v>
      </c>
    </row>
    <row r="21027" spans="1:5">
      <c r="A21027" t="s">
        <v>24408</v>
      </c>
      <c r="B21027" t="s">
        <v>24409</v>
      </c>
      <c r="C21027">
        <f>0.156096434812</f>
        <v>0.156096434812</v>
      </c>
      <c r="D21027">
        <v>0.69674536803099996</v>
      </c>
      <c r="E21027">
        <v>8.1439280359820092</v>
      </c>
    </row>
    <row r="21028" spans="1:5">
      <c r="A21028" t="s">
        <v>24410</v>
      </c>
      <c r="B21028" t="s">
        <v>24411</v>
      </c>
      <c r="C21028">
        <f>0</f>
        <v>0</v>
      </c>
      <c r="D21028">
        <v>0.94647417382900001</v>
      </c>
      <c r="E21028">
        <v>19.1904047976012</v>
      </c>
    </row>
    <row r="21029" spans="1:5">
      <c r="A21029" t="s">
        <v>24410</v>
      </c>
      <c r="B21029" t="s">
        <v>24412</v>
      </c>
      <c r="C21029">
        <f>0</f>
        <v>0</v>
      </c>
      <c r="D21029">
        <v>0.94647417382900001</v>
      </c>
      <c r="E21029">
        <v>19.1904047976012</v>
      </c>
    </row>
    <row r="21030" spans="1:5">
      <c r="A21030" t="s">
        <v>24410</v>
      </c>
      <c r="B21030" t="s">
        <v>24413</v>
      </c>
      <c r="C21030">
        <f>0</f>
        <v>0</v>
      </c>
      <c r="D21030">
        <v>0.94647417382900001</v>
      </c>
      <c r="E21030">
        <v>19.1904047976012</v>
      </c>
    </row>
    <row r="21031" spans="1:5">
      <c r="A21031" t="s">
        <v>24410</v>
      </c>
      <c r="B21031" t="s">
        <v>24414</v>
      </c>
      <c r="C21031">
        <f>0</f>
        <v>0</v>
      </c>
      <c r="D21031">
        <v>0.94647417382900001</v>
      </c>
      <c r="E21031">
        <v>19.1904047976012</v>
      </c>
    </row>
    <row r="21032" spans="1:5">
      <c r="A21032" t="s">
        <v>24415</v>
      </c>
      <c r="B21032" t="s">
        <v>24416</v>
      </c>
      <c r="C21032">
        <v>0</v>
      </c>
      <c r="D21032" t="s">
        <v>106</v>
      </c>
      <c r="E21032">
        <v>13.445277361319301</v>
      </c>
    </row>
    <row r="21033" spans="1:5">
      <c r="A21033" t="s">
        <v>24415</v>
      </c>
      <c r="B21033" t="s">
        <v>24417</v>
      </c>
      <c r="C21033">
        <v>0</v>
      </c>
      <c r="D21033" t="s">
        <v>106</v>
      </c>
      <c r="E21033">
        <v>13.445277361319301</v>
      </c>
    </row>
    <row r="21034" spans="1:5">
      <c r="A21034" t="s">
        <v>24415</v>
      </c>
      <c r="B21034" t="s">
        <v>24418</v>
      </c>
      <c r="C21034">
        <f>0</f>
        <v>0</v>
      </c>
      <c r="D21034" t="s">
        <v>106</v>
      </c>
      <c r="E21034">
        <v>13.445277361319301</v>
      </c>
    </row>
    <row r="21035" spans="1:5">
      <c r="A21035" t="s">
        <v>24415</v>
      </c>
      <c r="B21035" t="s">
        <v>24419</v>
      </c>
      <c r="C21035">
        <v>0</v>
      </c>
      <c r="D21035" t="s">
        <v>106</v>
      </c>
      <c r="E21035">
        <v>13.445277361319301</v>
      </c>
    </row>
    <row r="21036" spans="1:5">
      <c r="A21036" t="s">
        <v>24415</v>
      </c>
      <c r="B21036" t="s">
        <v>24420</v>
      </c>
      <c r="C21036">
        <v>0</v>
      </c>
      <c r="D21036" t="s">
        <v>106</v>
      </c>
      <c r="E21036">
        <v>13.445277361319301</v>
      </c>
    </row>
    <row r="21037" spans="1:5">
      <c r="A21037" t="s">
        <v>24415</v>
      </c>
      <c r="B21037" t="s">
        <v>24421</v>
      </c>
      <c r="C21037">
        <v>0</v>
      </c>
      <c r="D21037" t="s">
        <v>106</v>
      </c>
      <c r="E21037">
        <v>13.445277361319301</v>
      </c>
    </row>
    <row r="21038" spans="1:5">
      <c r="A21038" t="s">
        <v>24415</v>
      </c>
      <c r="B21038" t="s">
        <v>24422</v>
      </c>
      <c r="C21038">
        <v>0</v>
      </c>
      <c r="D21038" t="s">
        <v>106</v>
      </c>
      <c r="E21038">
        <v>13.445277361319301</v>
      </c>
    </row>
    <row r="21039" spans="1:5">
      <c r="A21039" t="s">
        <v>24423</v>
      </c>
      <c r="B21039" t="s">
        <v>24424</v>
      </c>
      <c r="C21039">
        <v>0</v>
      </c>
      <c r="D21039" t="s">
        <v>106</v>
      </c>
      <c r="E21039">
        <v>19.1904047976012</v>
      </c>
    </row>
    <row r="21040" spans="1:5">
      <c r="A21040" t="s">
        <v>24423</v>
      </c>
      <c r="B21040" t="s">
        <v>24425</v>
      </c>
      <c r="C21040">
        <f>0</f>
        <v>0</v>
      </c>
      <c r="D21040" t="s">
        <v>106</v>
      </c>
      <c r="E21040">
        <v>19.1904047976012</v>
      </c>
    </row>
    <row r="21041" spans="1:5">
      <c r="A21041" t="s">
        <v>24423</v>
      </c>
      <c r="B21041" t="s">
        <v>24426</v>
      </c>
      <c r="C21041">
        <f>0</f>
        <v>0</v>
      </c>
      <c r="D21041" t="s">
        <v>106</v>
      </c>
      <c r="E21041">
        <v>19.1904047976012</v>
      </c>
    </row>
    <row r="21042" spans="1:5">
      <c r="A21042" t="s">
        <v>24423</v>
      </c>
      <c r="B21042" t="s">
        <v>24427</v>
      </c>
      <c r="C21042">
        <v>0</v>
      </c>
      <c r="D21042" t="s">
        <v>106</v>
      </c>
      <c r="E21042">
        <v>19.1904047976012</v>
      </c>
    </row>
    <row r="21043" spans="1:5">
      <c r="A21043" t="s">
        <v>24428</v>
      </c>
      <c r="B21043" t="s">
        <v>24429</v>
      </c>
      <c r="C21043">
        <v>0.237886030862</v>
      </c>
      <c r="D21043" t="s">
        <v>106</v>
      </c>
      <c r="E21043">
        <v>4.4737631184407798</v>
      </c>
    </row>
    <row r="21044" spans="1:5">
      <c r="A21044" t="s">
        <v>24428</v>
      </c>
      <c r="B21044" t="s">
        <v>24430</v>
      </c>
      <c r="C21044">
        <v>0</v>
      </c>
      <c r="D21044" t="s">
        <v>106</v>
      </c>
      <c r="E21044">
        <v>4.4737631184407798</v>
      </c>
    </row>
    <row r="21045" spans="1:5">
      <c r="A21045" t="s">
        <v>24428</v>
      </c>
      <c r="B21045" t="s">
        <v>24431</v>
      </c>
      <c r="C21045">
        <v>0</v>
      </c>
      <c r="D21045" t="s">
        <v>106</v>
      </c>
      <c r="E21045">
        <v>4.4737631184407798</v>
      </c>
    </row>
    <row r="21046" spans="1:5">
      <c r="A21046" t="s">
        <v>24428</v>
      </c>
      <c r="B21046" t="s">
        <v>24432</v>
      </c>
      <c r="C21046">
        <v>1.6013820771200001E-2</v>
      </c>
      <c r="D21046" t="s">
        <v>106</v>
      </c>
      <c r="E21046">
        <v>4.4737631184407798</v>
      </c>
    </row>
    <row r="21047" spans="1:5">
      <c r="A21047" t="s">
        <v>24433</v>
      </c>
      <c r="B21047" t="s">
        <v>24434</v>
      </c>
      <c r="C21047">
        <v>4.7751289284999998E-2</v>
      </c>
      <c r="D21047">
        <v>0.90512105007499999</v>
      </c>
      <c r="E21047">
        <v>13.2653673163418</v>
      </c>
    </row>
    <row r="21048" spans="1:5">
      <c r="A21048" t="s">
        <v>24433</v>
      </c>
      <c r="B21048" t="s">
        <v>24435</v>
      </c>
      <c r="C21048">
        <v>0</v>
      </c>
      <c r="D21048">
        <v>0.90512105007499999</v>
      </c>
      <c r="E21048">
        <v>13.2653673163418</v>
      </c>
    </row>
    <row r="21049" spans="1:5">
      <c r="A21049" t="s">
        <v>24433</v>
      </c>
      <c r="B21049" t="s">
        <v>24436</v>
      </c>
      <c r="C21049">
        <v>0</v>
      </c>
      <c r="D21049">
        <v>0.90512105007499999</v>
      </c>
      <c r="E21049">
        <v>13.2653673163418</v>
      </c>
    </row>
    <row r="21050" spans="1:5">
      <c r="A21050" t="s">
        <v>24433</v>
      </c>
      <c r="B21050" t="s">
        <v>24437</v>
      </c>
      <c r="C21050">
        <v>0</v>
      </c>
      <c r="D21050">
        <v>0.90512105007499999</v>
      </c>
      <c r="E21050">
        <v>13.2653673163418</v>
      </c>
    </row>
    <row r="21051" spans="1:5">
      <c r="A21051" t="s">
        <v>24433</v>
      </c>
      <c r="B21051" t="s">
        <v>24438</v>
      </c>
      <c r="C21051">
        <v>0</v>
      </c>
      <c r="D21051">
        <v>0.90512105007499999</v>
      </c>
      <c r="E21051">
        <v>13.2653673163418</v>
      </c>
    </row>
    <row r="21052" spans="1:5">
      <c r="A21052" t="s">
        <v>24433</v>
      </c>
      <c r="B21052" t="s">
        <v>24439</v>
      </c>
      <c r="C21052">
        <v>0</v>
      </c>
      <c r="D21052">
        <v>0.90512105007499999</v>
      </c>
      <c r="E21052">
        <v>13.2653673163418</v>
      </c>
    </row>
    <row r="21053" spans="1:5">
      <c r="A21053" t="s">
        <v>24433</v>
      </c>
      <c r="B21053" t="s">
        <v>24440</v>
      </c>
      <c r="C21053">
        <f>0</f>
        <v>0</v>
      </c>
      <c r="D21053">
        <v>0.90512105007499999</v>
      </c>
      <c r="E21053">
        <v>13.2653673163418</v>
      </c>
    </row>
    <row r="21054" spans="1:5">
      <c r="A21054" t="s">
        <v>24433</v>
      </c>
      <c r="B21054" t="s">
        <v>24441</v>
      </c>
      <c r="C21054">
        <v>0</v>
      </c>
      <c r="D21054">
        <v>0.90512105007499999</v>
      </c>
      <c r="E21054">
        <v>13.2653673163418</v>
      </c>
    </row>
    <row r="21055" spans="1:5">
      <c r="A21055" t="s">
        <v>24433</v>
      </c>
      <c r="B21055" t="s">
        <v>24442</v>
      </c>
      <c r="C21055">
        <v>0</v>
      </c>
      <c r="D21055">
        <v>0.90512105007499999</v>
      </c>
      <c r="E21055">
        <v>13.2653673163418</v>
      </c>
    </row>
    <row r="21056" spans="1:5">
      <c r="A21056" t="s">
        <v>24443</v>
      </c>
      <c r="B21056" t="s">
        <v>24444</v>
      </c>
      <c r="C21056">
        <v>0.218133996829</v>
      </c>
      <c r="D21056">
        <v>0.67604844776100004</v>
      </c>
      <c r="E21056">
        <v>24</v>
      </c>
    </row>
    <row r="21057" spans="1:5">
      <c r="A21057" t="s">
        <v>24443</v>
      </c>
      <c r="B21057" t="s">
        <v>24445</v>
      </c>
      <c r="C21057">
        <v>0</v>
      </c>
      <c r="D21057">
        <v>0.67604844776100004</v>
      </c>
      <c r="E21057">
        <v>24</v>
      </c>
    </row>
    <row r="21058" spans="1:5">
      <c r="A21058" t="s">
        <v>24443</v>
      </c>
      <c r="B21058" t="s">
        <v>24446</v>
      </c>
      <c r="C21058">
        <f>0.0658336924476</f>
        <v>6.5833692447599998E-2</v>
      </c>
      <c r="D21058">
        <v>0.67604844776100004</v>
      </c>
      <c r="E21058">
        <v>24</v>
      </c>
    </row>
    <row r="21059" spans="1:5">
      <c r="A21059" t="s">
        <v>24443</v>
      </c>
      <c r="B21059" t="s">
        <v>24447</v>
      </c>
      <c r="C21059">
        <f>0</f>
        <v>0</v>
      </c>
      <c r="D21059">
        <v>0.67604844776100004</v>
      </c>
      <c r="E21059">
        <v>24</v>
      </c>
    </row>
    <row r="21060" spans="1:5">
      <c r="A21060" t="s">
        <v>24443</v>
      </c>
      <c r="B21060" t="s">
        <v>24448</v>
      </c>
      <c r="C21060">
        <f>0</f>
        <v>0</v>
      </c>
      <c r="D21060">
        <v>0.67604844776100004</v>
      </c>
      <c r="E21060">
        <v>24</v>
      </c>
    </row>
    <row r="21061" spans="1:5">
      <c r="A21061" t="s">
        <v>24449</v>
      </c>
      <c r="B21061" t="s">
        <v>24450</v>
      </c>
      <c r="C21061">
        <v>0</v>
      </c>
      <c r="D21061" t="s">
        <v>106</v>
      </c>
      <c r="E21061">
        <v>2.0269865067466202</v>
      </c>
    </row>
    <row r="21062" spans="1:5">
      <c r="A21062" t="s">
        <v>24449</v>
      </c>
      <c r="B21062" t="s">
        <v>24451</v>
      </c>
      <c r="C21062">
        <f>0</f>
        <v>0</v>
      </c>
      <c r="D21062" t="s">
        <v>106</v>
      </c>
      <c r="E21062">
        <v>2.0269865067466202</v>
      </c>
    </row>
    <row r="21063" spans="1:5">
      <c r="A21063" t="s">
        <v>24449</v>
      </c>
      <c r="B21063" t="s">
        <v>24452</v>
      </c>
      <c r="C21063">
        <v>0</v>
      </c>
      <c r="D21063" t="s">
        <v>106</v>
      </c>
      <c r="E21063">
        <v>2.0269865067466202</v>
      </c>
    </row>
    <row r="21064" spans="1:5">
      <c r="A21064" t="s">
        <v>24449</v>
      </c>
      <c r="B21064" t="s">
        <v>24453</v>
      </c>
      <c r="C21064">
        <f>0</f>
        <v>0</v>
      </c>
      <c r="D21064" t="s">
        <v>106</v>
      </c>
      <c r="E21064">
        <v>2.0269865067466202</v>
      </c>
    </row>
    <row r="21065" spans="1:5">
      <c r="A21065" t="s">
        <v>24449</v>
      </c>
      <c r="B21065" t="s">
        <v>24454</v>
      </c>
      <c r="C21065">
        <f>0</f>
        <v>0</v>
      </c>
      <c r="D21065" t="s">
        <v>106</v>
      </c>
      <c r="E21065">
        <v>2.0269865067466202</v>
      </c>
    </row>
    <row r="21066" spans="1:5">
      <c r="A21066" t="s">
        <v>24455</v>
      </c>
      <c r="B21066" t="s">
        <v>24456</v>
      </c>
      <c r="C21066">
        <v>4.33106835606E-2</v>
      </c>
      <c r="D21066">
        <v>0.94739384343400002</v>
      </c>
      <c r="E21066">
        <v>5.9370314842578704</v>
      </c>
    </row>
    <row r="21067" spans="1:5">
      <c r="A21067" t="s">
        <v>24457</v>
      </c>
      <c r="B21067" t="s">
        <v>24458</v>
      </c>
      <c r="C21067">
        <f>0</f>
        <v>0</v>
      </c>
      <c r="D21067" t="s">
        <v>106</v>
      </c>
      <c r="E21067">
        <v>6.0569715142428704</v>
      </c>
    </row>
    <row r="21068" spans="1:5">
      <c r="A21068" t="s">
        <v>24457</v>
      </c>
      <c r="B21068" t="s">
        <v>24459</v>
      </c>
      <c r="C21068">
        <f>0</f>
        <v>0</v>
      </c>
      <c r="D21068" t="s">
        <v>106</v>
      </c>
      <c r="E21068">
        <v>6.0569715142428704</v>
      </c>
    </row>
    <row r="21069" spans="1:5">
      <c r="A21069" t="s">
        <v>24457</v>
      </c>
      <c r="B21069" t="s">
        <v>24460</v>
      </c>
      <c r="C21069">
        <f>0</f>
        <v>0</v>
      </c>
      <c r="D21069" t="s">
        <v>106</v>
      </c>
      <c r="E21069">
        <v>6.0569715142428704</v>
      </c>
    </row>
    <row r="21070" spans="1:5">
      <c r="A21070" t="s">
        <v>24461</v>
      </c>
      <c r="B21070" t="s">
        <v>24462</v>
      </c>
      <c r="C21070">
        <v>0</v>
      </c>
      <c r="D21070" t="s">
        <v>106</v>
      </c>
      <c r="E21070">
        <v>0.19190404797601199</v>
      </c>
    </row>
    <row r="21071" spans="1:5">
      <c r="A21071" t="s">
        <v>24463</v>
      </c>
      <c r="B21071" t="s">
        <v>24464</v>
      </c>
      <c r="C21071">
        <v>0.45444812145899999</v>
      </c>
      <c r="D21071">
        <v>0.99656099117999997</v>
      </c>
      <c r="E21071">
        <v>3.97001499250374</v>
      </c>
    </row>
    <row r="21072" spans="1:5">
      <c r="A21072" t="s">
        <v>24463</v>
      </c>
      <c r="B21072" t="s">
        <v>24465</v>
      </c>
      <c r="C21072">
        <f>0.163556550201</f>
        <v>0.16355655020099999</v>
      </c>
      <c r="D21072">
        <v>0.99656099117999997</v>
      </c>
      <c r="E21072">
        <v>3.97001499250374</v>
      </c>
    </row>
    <row r="21073" spans="1:5">
      <c r="A21073" t="s">
        <v>24466</v>
      </c>
      <c r="B21073" t="s">
        <v>24467</v>
      </c>
      <c r="C21073">
        <v>0</v>
      </c>
      <c r="D21073" t="s">
        <v>106</v>
      </c>
      <c r="E21073">
        <v>7.8680659670164896</v>
      </c>
    </row>
    <row r="21074" spans="1:5">
      <c r="A21074" t="s">
        <v>24466</v>
      </c>
      <c r="B21074" t="s">
        <v>24468</v>
      </c>
      <c r="C21074">
        <f>0</f>
        <v>0</v>
      </c>
      <c r="D21074" t="s">
        <v>106</v>
      </c>
      <c r="E21074">
        <v>7.8680659670164896</v>
      </c>
    </row>
    <row r="21075" spans="1:5">
      <c r="A21075" t="s">
        <v>24469</v>
      </c>
      <c r="B21075" t="s">
        <v>24470</v>
      </c>
      <c r="C21075">
        <v>0</v>
      </c>
      <c r="D21075">
        <v>0.98831297074400004</v>
      </c>
      <c r="E21075">
        <v>10.710644677661101</v>
      </c>
    </row>
    <row r="21076" spans="1:5">
      <c r="A21076" t="s">
        <v>24469</v>
      </c>
      <c r="B21076" t="s">
        <v>24471</v>
      </c>
      <c r="C21076">
        <f>0</f>
        <v>0</v>
      </c>
      <c r="D21076">
        <v>0.98831297074400004</v>
      </c>
      <c r="E21076">
        <v>10.710644677661101</v>
      </c>
    </row>
    <row r="21077" spans="1:5">
      <c r="A21077" t="s">
        <v>24469</v>
      </c>
      <c r="B21077" t="s">
        <v>24472</v>
      </c>
      <c r="C21077">
        <v>0.461633306593</v>
      </c>
      <c r="D21077">
        <v>0.98831297074400004</v>
      </c>
      <c r="E21077">
        <v>10.710644677661101</v>
      </c>
    </row>
    <row r="21078" spans="1:5">
      <c r="A21078" t="s">
        <v>24469</v>
      </c>
      <c r="B21078" t="s">
        <v>24473</v>
      </c>
      <c r="C21078">
        <v>0</v>
      </c>
      <c r="D21078">
        <v>0.98831297074400004</v>
      </c>
      <c r="E21078">
        <v>10.710644677661101</v>
      </c>
    </row>
    <row r="21079" spans="1:5">
      <c r="A21079" t="s">
        <v>24469</v>
      </c>
      <c r="B21079" t="s">
        <v>24474</v>
      </c>
      <c r="C21079">
        <v>0</v>
      </c>
      <c r="D21079">
        <v>0.98831297074400004</v>
      </c>
      <c r="E21079">
        <v>10.710644677661101</v>
      </c>
    </row>
    <row r="21080" spans="1:5">
      <c r="A21080" t="s">
        <v>24469</v>
      </c>
      <c r="B21080" t="s">
        <v>24475</v>
      </c>
      <c r="C21080">
        <f>0</f>
        <v>0</v>
      </c>
      <c r="D21080">
        <v>0.98831297074400004</v>
      </c>
      <c r="E21080">
        <v>10.710644677661101</v>
      </c>
    </row>
    <row r="21081" spans="1:5">
      <c r="A21081" t="s">
        <v>24469</v>
      </c>
      <c r="B21081" t="s">
        <v>24476</v>
      </c>
      <c r="C21081">
        <v>0</v>
      </c>
      <c r="D21081">
        <v>0.98831297074400004</v>
      </c>
      <c r="E21081">
        <v>10.710644677661101</v>
      </c>
    </row>
    <row r="21082" spans="1:5">
      <c r="A21082" t="s">
        <v>24477</v>
      </c>
      <c r="B21082" t="s">
        <v>24478</v>
      </c>
      <c r="C21082">
        <f>0</f>
        <v>0</v>
      </c>
      <c r="D21082" t="s">
        <v>106</v>
      </c>
      <c r="E21082">
        <v>0.86356821589205401</v>
      </c>
    </row>
    <row r="21083" spans="1:5">
      <c r="A21083" t="s">
        <v>24477</v>
      </c>
      <c r="B21083" t="s">
        <v>24479</v>
      </c>
      <c r="C21083">
        <f>0</f>
        <v>0</v>
      </c>
      <c r="D21083" t="s">
        <v>106</v>
      </c>
      <c r="E21083">
        <v>0.86356821589205401</v>
      </c>
    </row>
    <row r="21084" spans="1:5">
      <c r="A21084" t="s">
        <v>24477</v>
      </c>
      <c r="B21084" t="s">
        <v>24480</v>
      </c>
      <c r="C21084">
        <f>0</f>
        <v>0</v>
      </c>
      <c r="D21084" t="s">
        <v>106</v>
      </c>
      <c r="E21084">
        <v>0.86356821589205401</v>
      </c>
    </row>
    <row r="21085" spans="1:5">
      <c r="A21085" t="s">
        <v>24477</v>
      </c>
      <c r="B21085" t="s">
        <v>24481</v>
      </c>
      <c r="C21085">
        <v>0</v>
      </c>
      <c r="D21085" t="s">
        <v>106</v>
      </c>
      <c r="E21085">
        <v>0.86356821589205401</v>
      </c>
    </row>
    <row r="21086" spans="1:5">
      <c r="A21086" t="s">
        <v>24477</v>
      </c>
      <c r="B21086" t="s">
        <v>24482</v>
      </c>
      <c r="C21086">
        <f>0</f>
        <v>0</v>
      </c>
      <c r="D21086" t="s">
        <v>106</v>
      </c>
      <c r="E21086">
        <v>0.86356821589205401</v>
      </c>
    </row>
    <row r="21087" spans="1:5">
      <c r="A21087" t="s">
        <v>24477</v>
      </c>
      <c r="B21087" t="s">
        <v>24483</v>
      </c>
      <c r="C21087">
        <v>0</v>
      </c>
      <c r="D21087" t="s">
        <v>106</v>
      </c>
      <c r="E21087">
        <v>0.86356821589205401</v>
      </c>
    </row>
    <row r="21088" spans="1:5">
      <c r="A21088" t="s">
        <v>24477</v>
      </c>
      <c r="B21088" t="s">
        <v>24484</v>
      </c>
      <c r="C21088">
        <v>0</v>
      </c>
      <c r="D21088" t="s">
        <v>106</v>
      </c>
      <c r="E21088">
        <v>0.86356821589205401</v>
      </c>
    </row>
    <row r="21089" spans="1:5">
      <c r="A21089" t="s">
        <v>24477</v>
      </c>
      <c r="B21089" t="s">
        <v>24485</v>
      </c>
      <c r="C21089">
        <f>0</f>
        <v>0</v>
      </c>
      <c r="D21089" t="s">
        <v>106</v>
      </c>
      <c r="E21089">
        <v>0.86356821589205401</v>
      </c>
    </row>
    <row r="21090" spans="1:5">
      <c r="A21090" t="s">
        <v>24477</v>
      </c>
      <c r="B21090" t="s">
        <v>24486</v>
      </c>
      <c r="C21090">
        <f>0</f>
        <v>0</v>
      </c>
      <c r="D21090" t="s">
        <v>106</v>
      </c>
      <c r="E21090">
        <v>0.86356821589205401</v>
      </c>
    </row>
    <row r="21091" spans="1:5">
      <c r="A21091" t="s">
        <v>24477</v>
      </c>
      <c r="B21091" t="s">
        <v>24487</v>
      </c>
      <c r="C21091">
        <f>0</f>
        <v>0</v>
      </c>
      <c r="D21091" t="s">
        <v>106</v>
      </c>
      <c r="E21091">
        <v>0.86356821589205401</v>
      </c>
    </row>
    <row r="21092" spans="1:5">
      <c r="A21092" t="s">
        <v>24477</v>
      </c>
      <c r="B21092" t="s">
        <v>24488</v>
      </c>
      <c r="C21092">
        <f>0</f>
        <v>0</v>
      </c>
      <c r="D21092" t="s">
        <v>106</v>
      </c>
      <c r="E21092">
        <v>0.86356821589205401</v>
      </c>
    </row>
    <row r="21093" spans="1:5">
      <c r="A21093" t="s">
        <v>24477</v>
      </c>
      <c r="B21093" t="s">
        <v>24489</v>
      </c>
      <c r="C21093">
        <f>0</f>
        <v>0</v>
      </c>
      <c r="D21093" t="s">
        <v>106</v>
      </c>
      <c r="E21093">
        <v>0.86356821589205401</v>
      </c>
    </row>
    <row r="21094" spans="1:5">
      <c r="A21094" t="s">
        <v>24477</v>
      </c>
      <c r="B21094" t="s">
        <v>24490</v>
      </c>
      <c r="C21094">
        <f>0</f>
        <v>0</v>
      </c>
      <c r="D21094" t="s">
        <v>106</v>
      </c>
      <c r="E21094">
        <v>0.86356821589205401</v>
      </c>
    </row>
    <row r="21095" spans="1:5">
      <c r="A21095" t="s">
        <v>24477</v>
      </c>
      <c r="B21095" t="s">
        <v>24491</v>
      </c>
      <c r="C21095">
        <v>0</v>
      </c>
      <c r="D21095" t="s">
        <v>106</v>
      </c>
      <c r="E21095">
        <v>0.86356821589205401</v>
      </c>
    </row>
    <row r="21096" spans="1:5">
      <c r="A21096" t="s">
        <v>24477</v>
      </c>
      <c r="B21096" t="s">
        <v>24492</v>
      </c>
      <c r="C21096">
        <f>0</f>
        <v>0</v>
      </c>
      <c r="D21096" t="s">
        <v>106</v>
      </c>
      <c r="E21096">
        <v>0.86356821589205401</v>
      </c>
    </row>
    <row r="21097" spans="1:5">
      <c r="A21097" t="s">
        <v>24493</v>
      </c>
      <c r="B21097" t="s">
        <v>24494</v>
      </c>
      <c r="C21097">
        <v>0.15943027778400001</v>
      </c>
      <c r="D21097">
        <v>0.95617499282999996</v>
      </c>
      <c r="E21097">
        <v>0.16791604197901</v>
      </c>
    </row>
    <row r="21098" spans="1:5">
      <c r="A21098" t="s">
        <v>24493</v>
      </c>
      <c r="B21098" t="s">
        <v>24495</v>
      </c>
      <c r="C21098">
        <v>0.66580385065699998</v>
      </c>
      <c r="D21098">
        <v>0.95617499282999996</v>
      </c>
      <c r="E21098">
        <v>0.16791604197901</v>
      </c>
    </row>
    <row r="21099" spans="1:5">
      <c r="A21099" t="s">
        <v>24493</v>
      </c>
      <c r="B21099" t="s">
        <v>24496</v>
      </c>
      <c r="C21099">
        <v>0</v>
      </c>
      <c r="D21099">
        <v>0.95617499282999996</v>
      </c>
      <c r="E21099">
        <v>0.16791604197901</v>
      </c>
    </row>
    <row r="21100" spans="1:5">
      <c r="A21100" t="s">
        <v>24497</v>
      </c>
      <c r="B21100" t="s">
        <v>24498</v>
      </c>
      <c r="C21100">
        <v>0</v>
      </c>
      <c r="D21100" t="s">
        <v>106</v>
      </c>
      <c r="E21100">
        <v>0.26386806596701601</v>
      </c>
    </row>
    <row r="21101" spans="1:5">
      <c r="A21101" t="s">
        <v>24499</v>
      </c>
      <c r="B21101" t="s">
        <v>24500</v>
      </c>
      <c r="C21101">
        <f>0</f>
        <v>0</v>
      </c>
      <c r="D21101" t="s">
        <v>106</v>
      </c>
      <c r="E21101">
        <v>0.82758620689655105</v>
      </c>
    </row>
    <row r="21102" spans="1:5">
      <c r="A21102" t="s">
        <v>24499</v>
      </c>
      <c r="B21102" t="s">
        <v>24501</v>
      </c>
      <c r="C21102">
        <f>0</f>
        <v>0</v>
      </c>
      <c r="D21102" t="s">
        <v>106</v>
      </c>
      <c r="E21102">
        <v>0.82758620689655105</v>
      </c>
    </row>
    <row r="21103" spans="1:5">
      <c r="A21103" t="s">
        <v>24499</v>
      </c>
      <c r="B21103" t="s">
        <v>24502</v>
      </c>
      <c r="C21103">
        <f>0</f>
        <v>0</v>
      </c>
      <c r="D21103" t="s">
        <v>106</v>
      </c>
      <c r="E21103">
        <v>0.82758620689655105</v>
      </c>
    </row>
    <row r="21104" spans="1:5">
      <c r="A21104" t="s">
        <v>24499</v>
      </c>
      <c r="B21104" t="s">
        <v>24503</v>
      </c>
      <c r="C21104">
        <f>0</f>
        <v>0</v>
      </c>
      <c r="D21104" t="s">
        <v>106</v>
      </c>
      <c r="E21104">
        <v>0.82758620689655105</v>
      </c>
    </row>
    <row r="21105" spans="1:5">
      <c r="A21105" t="s">
        <v>24499</v>
      </c>
      <c r="B21105" t="s">
        <v>24504</v>
      </c>
      <c r="C21105">
        <v>0</v>
      </c>
      <c r="D21105" t="s">
        <v>106</v>
      </c>
      <c r="E21105">
        <v>0.82758620689655105</v>
      </c>
    </row>
    <row r="21106" spans="1:5">
      <c r="A21106" t="s">
        <v>24499</v>
      </c>
      <c r="B21106" t="s">
        <v>24505</v>
      </c>
      <c r="C21106">
        <v>0</v>
      </c>
      <c r="D21106" t="s">
        <v>106</v>
      </c>
      <c r="E21106">
        <v>0.82758620689655105</v>
      </c>
    </row>
    <row r="21107" spans="1:5">
      <c r="A21107" t="s">
        <v>24499</v>
      </c>
      <c r="B21107" t="s">
        <v>24506</v>
      </c>
      <c r="C21107">
        <f>0</f>
        <v>0</v>
      </c>
      <c r="D21107" t="s">
        <v>106</v>
      </c>
      <c r="E21107">
        <v>0.82758620689655105</v>
      </c>
    </row>
    <row r="21108" spans="1:5">
      <c r="A21108" t="s">
        <v>24499</v>
      </c>
      <c r="B21108" t="s">
        <v>24507</v>
      </c>
      <c r="C21108">
        <v>0</v>
      </c>
      <c r="D21108" t="s">
        <v>106</v>
      </c>
      <c r="E21108">
        <v>0.82758620689655105</v>
      </c>
    </row>
    <row r="21109" spans="1:5">
      <c r="A21109" t="s">
        <v>24499</v>
      </c>
      <c r="B21109" t="s">
        <v>24508</v>
      </c>
      <c r="C21109">
        <f>0</f>
        <v>0</v>
      </c>
      <c r="D21109" t="s">
        <v>106</v>
      </c>
      <c r="E21109">
        <v>0.82758620689655105</v>
      </c>
    </row>
    <row r="21110" spans="1:5">
      <c r="A21110" t="s">
        <v>24499</v>
      </c>
      <c r="B21110" t="s">
        <v>24509</v>
      </c>
      <c r="C21110">
        <f>0</f>
        <v>0</v>
      </c>
      <c r="D21110" t="s">
        <v>106</v>
      </c>
      <c r="E21110">
        <v>0.82758620689655105</v>
      </c>
    </row>
    <row r="21111" spans="1:5">
      <c r="A21111" t="s">
        <v>24499</v>
      </c>
      <c r="B21111" t="s">
        <v>24510</v>
      </c>
      <c r="C21111">
        <f>0</f>
        <v>0</v>
      </c>
      <c r="D21111" t="s">
        <v>106</v>
      </c>
      <c r="E21111">
        <v>0.82758620689655105</v>
      </c>
    </row>
    <row r="21112" spans="1:5">
      <c r="A21112" t="s">
        <v>24499</v>
      </c>
      <c r="B21112" t="s">
        <v>24511</v>
      </c>
      <c r="C21112">
        <v>0</v>
      </c>
      <c r="D21112" t="s">
        <v>106</v>
      </c>
      <c r="E21112">
        <v>0.82758620689655105</v>
      </c>
    </row>
    <row r="21113" spans="1:5">
      <c r="A21113" t="s">
        <v>24499</v>
      </c>
      <c r="B21113" t="s">
        <v>24512</v>
      </c>
      <c r="C21113">
        <v>0</v>
      </c>
      <c r="D21113" t="s">
        <v>106</v>
      </c>
      <c r="E21113">
        <v>0.82758620689655105</v>
      </c>
    </row>
    <row r="21114" spans="1:5">
      <c r="A21114" t="s">
        <v>24499</v>
      </c>
      <c r="B21114" t="s">
        <v>24513</v>
      </c>
      <c r="C21114">
        <v>0</v>
      </c>
      <c r="D21114" t="s">
        <v>106</v>
      </c>
      <c r="E21114">
        <v>0.82758620689655105</v>
      </c>
    </row>
    <row r="21115" spans="1:5">
      <c r="A21115" t="s">
        <v>24499</v>
      </c>
      <c r="B21115" t="s">
        <v>24514</v>
      </c>
      <c r="C21115">
        <v>0</v>
      </c>
      <c r="D21115" t="s">
        <v>106</v>
      </c>
      <c r="E21115">
        <v>0.82758620689655105</v>
      </c>
    </row>
    <row r="21116" spans="1:5">
      <c r="A21116" t="s">
        <v>24499</v>
      </c>
      <c r="B21116" t="s">
        <v>24515</v>
      </c>
      <c r="C21116">
        <f>0</f>
        <v>0</v>
      </c>
      <c r="D21116" t="s">
        <v>106</v>
      </c>
      <c r="E21116">
        <v>0.82758620689655105</v>
      </c>
    </row>
    <row r="21117" spans="1:5">
      <c r="A21117" t="s">
        <v>24516</v>
      </c>
      <c r="B21117" t="s">
        <v>24517</v>
      </c>
      <c r="C21117">
        <f>0</f>
        <v>0</v>
      </c>
      <c r="D21117">
        <v>0.99772658741599995</v>
      </c>
      <c r="E21117">
        <v>9.5952023988005994E-2</v>
      </c>
    </row>
    <row r="21118" spans="1:5">
      <c r="A21118" t="s">
        <v>24516</v>
      </c>
      <c r="B21118" t="s">
        <v>24518</v>
      </c>
      <c r="C21118">
        <f>0</f>
        <v>0</v>
      </c>
      <c r="D21118">
        <v>0.99772658741599995</v>
      </c>
      <c r="E21118">
        <v>9.5952023988005994E-2</v>
      </c>
    </row>
    <row r="21119" spans="1:5">
      <c r="A21119" t="s">
        <v>24516</v>
      </c>
      <c r="B21119" t="s">
        <v>24519</v>
      </c>
      <c r="C21119">
        <f>0</f>
        <v>0</v>
      </c>
      <c r="D21119">
        <v>0.99772658741599995</v>
      </c>
      <c r="E21119">
        <v>9.5952023988005994E-2</v>
      </c>
    </row>
    <row r="21120" spans="1:5">
      <c r="A21120" t="s">
        <v>24516</v>
      </c>
      <c r="B21120" t="s">
        <v>24520</v>
      </c>
      <c r="C21120">
        <v>0.25587291390799999</v>
      </c>
      <c r="D21120">
        <v>0.99772658741599995</v>
      </c>
      <c r="E21120">
        <v>9.5952023988005994E-2</v>
      </c>
    </row>
    <row r="21121" spans="1:5">
      <c r="A21121" t="s">
        <v>24516</v>
      </c>
      <c r="B21121" t="s">
        <v>24521</v>
      </c>
      <c r="C21121">
        <v>0</v>
      </c>
      <c r="D21121">
        <v>0.99772658741599995</v>
      </c>
      <c r="E21121">
        <v>9.5952023988005994E-2</v>
      </c>
    </row>
    <row r="21122" spans="1:5">
      <c r="A21122" t="s">
        <v>24516</v>
      </c>
      <c r="B21122" t="s">
        <v>24522</v>
      </c>
      <c r="C21122">
        <f>0.350800079421</f>
        <v>0.350800079421</v>
      </c>
      <c r="D21122">
        <v>0.99772658741599995</v>
      </c>
      <c r="E21122">
        <v>9.5952023988005994E-2</v>
      </c>
    </row>
    <row r="21123" spans="1:5">
      <c r="A21123" t="s">
        <v>24516</v>
      </c>
      <c r="B21123" t="s">
        <v>24523</v>
      </c>
      <c r="C21123">
        <f>0</f>
        <v>0</v>
      </c>
      <c r="D21123">
        <v>0.99772658741599995</v>
      </c>
      <c r="E21123">
        <v>9.5952023988005994E-2</v>
      </c>
    </row>
    <row r="21124" spans="1:5">
      <c r="A21124" t="s">
        <v>24516</v>
      </c>
      <c r="B21124" t="s">
        <v>24524</v>
      </c>
      <c r="C21124">
        <v>0</v>
      </c>
      <c r="D21124">
        <v>0.99772658741599995</v>
      </c>
      <c r="E21124">
        <v>9.5952023988005994E-2</v>
      </c>
    </row>
    <row r="21125" spans="1:5">
      <c r="A21125" t="s">
        <v>24516</v>
      </c>
      <c r="B21125" t="s">
        <v>24525</v>
      </c>
      <c r="C21125">
        <v>0</v>
      </c>
      <c r="D21125">
        <v>0.99772658741599995</v>
      </c>
      <c r="E21125">
        <v>9.5952023988005994E-2</v>
      </c>
    </row>
    <row r="21126" spans="1:5">
      <c r="A21126" t="s">
        <v>24516</v>
      </c>
      <c r="B21126" t="s">
        <v>24526</v>
      </c>
      <c r="C21126">
        <v>0</v>
      </c>
      <c r="D21126">
        <v>0.99772658741599995</v>
      </c>
      <c r="E21126">
        <v>9.5952023988005994E-2</v>
      </c>
    </row>
    <row r="21127" spans="1:5">
      <c r="A21127" t="s">
        <v>24516</v>
      </c>
      <c r="B21127" t="s">
        <v>24527</v>
      </c>
      <c r="C21127">
        <v>0</v>
      </c>
      <c r="D21127">
        <v>0.99772658741599995</v>
      </c>
      <c r="E21127">
        <v>9.5952023988005994E-2</v>
      </c>
    </row>
    <row r="21128" spans="1:5">
      <c r="A21128" t="s">
        <v>24528</v>
      </c>
      <c r="B21128" t="s">
        <v>24529</v>
      </c>
      <c r="C21128">
        <v>0</v>
      </c>
      <c r="D21128" t="s">
        <v>106</v>
      </c>
      <c r="E21128">
        <v>7.3283358320839502</v>
      </c>
    </row>
    <row r="21129" spans="1:5">
      <c r="A21129" t="s">
        <v>24528</v>
      </c>
      <c r="B21129" t="s">
        <v>24530</v>
      </c>
      <c r="C21129">
        <v>0</v>
      </c>
      <c r="D21129" t="s">
        <v>106</v>
      </c>
      <c r="E21129">
        <v>7.3283358320839502</v>
      </c>
    </row>
    <row r="21130" spans="1:5">
      <c r="A21130" t="s">
        <v>24528</v>
      </c>
      <c r="B21130" t="s">
        <v>24531</v>
      </c>
      <c r="C21130">
        <f>0</f>
        <v>0</v>
      </c>
      <c r="D21130" t="s">
        <v>106</v>
      </c>
      <c r="E21130">
        <v>7.3283358320839502</v>
      </c>
    </row>
    <row r="21131" spans="1:5">
      <c r="A21131" t="s">
        <v>24532</v>
      </c>
      <c r="B21131" t="s">
        <v>24533</v>
      </c>
      <c r="C21131">
        <v>0</v>
      </c>
      <c r="D21131">
        <v>0.99566465387500003</v>
      </c>
      <c r="E21131">
        <v>5.9370314842578704</v>
      </c>
    </row>
    <row r="21132" spans="1:5">
      <c r="A21132" t="s">
        <v>24532</v>
      </c>
      <c r="B21132" t="s">
        <v>24534</v>
      </c>
      <c r="C21132">
        <f>0</f>
        <v>0</v>
      </c>
      <c r="D21132">
        <v>0.99566465387500003</v>
      </c>
      <c r="E21132">
        <v>5.9370314842578704</v>
      </c>
    </row>
    <row r="21133" spans="1:5">
      <c r="A21133" t="s">
        <v>24532</v>
      </c>
      <c r="B21133" t="s">
        <v>24535</v>
      </c>
      <c r="C21133">
        <f>0</f>
        <v>0</v>
      </c>
      <c r="D21133">
        <v>0.99566465387500003</v>
      </c>
      <c r="E21133">
        <v>5.9370314842578704</v>
      </c>
    </row>
    <row r="21134" spans="1:5">
      <c r="A21134" t="s">
        <v>24532</v>
      </c>
      <c r="B21134" t="s">
        <v>24536</v>
      </c>
      <c r="C21134">
        <f>0.0101680034545</f>
        <v>1.01680034545E-2</v>
      </c>
      <c r="D21134">
        <v>0.99566465387500003</v>
      </c>
      <c r="E21134">
        <v>5.9370314842578704</v>
      </c>
    </row>
    <row r="21135" spans="1:5">
      <c r="A21135" t="s">
        <v>24537</v>
      </c>
      <c r="B21135" t="s">
        <v>24538</v>
      </c>
      <c r="C21135">
        <v>4.6354066816000003E-2</v>
      </c>
      <c r="D21135">
        <v>0.74583584595600005</v>
      </c>
      <c r="E21135">
        <v>24</v>
      </c>
    </row>
    <row r="21136" spans="1:5">
      <c r="A21136" t="s">
        <v>24537</v>
      </c>
      <c r="B21136" t="s">
        <v>24539</v>
      </c>
      <c r="C21136">
        <v>0</v>
      </c>
      <c r="D21136">
        <v>0.74583584595600005</v>
      </c>
      <c r="E21136">
        <v>24</v>
      </c>
    </row>
    <row r="21137" spans="1:5">
      <c r="A21137" t="s">
        <v>24537</v>
      </c>
      <c r="B21137" t="s">
        <v>24540</v>
      </c>
      <c r="C21137">
        <v>0</v>
      </c>
      <c r="D21137">
        <v>0.74583584595600005</v>
      </c>
      <c r="E21137">
        <v>24</v>
      </c>
    </row>
    <row r="21138" spans="1:5">
      <c r="A21138" t="s">
        <v>24537</v>
      </c>
      <c r="B21138" t="s">
        <v>24541</v>
      </c>
      <c r="C21138">
        <f>0</f>
        <v>0</v>
      </c>
      <c r="D21138">
        <v>0.74583584595600005</v>
      </c>
      <c r="E21138">
        <v>24</v>
      </c>
    </row>
    <row r="21139" spans="1:5">
      <c r="A21139" t="s">
        <v>24537</v>
      </c>
      <c r="B21139" t="s">
        <v>24542</v>
      </c>
      <c r="C21139">
        <f>0</f>
        <v>0</v>
      </c>
      <c r="D21139">
        <v>0.74583584595600005</v>
      </c>
      <c r="E21139">
        <v>24</v>
      </c>
    </row>
    <row r="21140" spans="1:5">
      <c r="A21140" t="s">
        <v>24537</v>
      </c>
      <c r="B21140" t="s">
        <v>24543</v>
      </c>
      <c r="C21140">
        <f>0</f>
        <v>0</v>
      </c>
      <c r="D21140">
        <v>0.74583584595600005</v>
      </c>
      <c r="E21140">
        <v>24</v>
      </c>
    </row>
    <row r="21141" spans="1:5">
      <c r="A21141" t="s">
        <v>24537</v>
      </c>
      <c r="B21141" t="s">
        <v>24544</v>
      </c>
      <c r="C21141">
        <v>6.0391378484499998E-2</v>
      </c>
      <c r="D21141">
        <v>0.74583584595600005</v>
      </c>
      <c r="E21141">
        <v>24</v>
      </c>
    </row>
    <row r="21142" spans="1:5">
      <c r="A21142" t="s">
        <v>24537</v>
      </c>
      <c r="B21142" t="s">
        <v>24545</v>
      </c>
      <c r="C21142">
        <f>0</f>
        <v>0</v>
      </c>
      <c r="D21142">
        <v>0.74583584595600005</v>
      </c>
      <c r="E21142">
        <v>24</v>
      </c>
    </row>
    <row r="21143" spans="1:5">
      <c r="A21143" t="s">
        <v>24537</v>
      </c>
      <c r="B21143" t="s">
        <v>24546</v>
      </c>
      <c r="C21143">
        <f>0</f>
        <v>0</v>
      </c>
      <c r="D21143">
        <v>0.74583584595600005</v>
      </c>
      <c r="E21143">
        <v>24</v>
      </c>
    </row>
    <row r="21144" spans="1:5">
      <c r="A21144" t="s">
        <v>24537</v>
      </c>
      <c r="B21144" t="s">
        <v>24547</v>
      </c>
      <c r="C21144">
        <v>0</v>
      </c>
      <c r="D21144">
        <v>0.74583584595600005</v>
      </c>
      <c r="E21144">
        <v>24</v>
      </c>
    </row>
    <row r="21145" spans="1:5">
      <c r="A21145" t="s">
        <v>24548</v>
      </c>
      <c r="B21145" t="s">
        <v>24549</v>
      </c>
      <c r="C21145">
        <v>0.46772241939199999</v>
      </c>
      <c r="D21145">
        <v>0.98387413510599997</v>
      </c>
      <c r="E21145">
        <v>0.86356821589205401</v>
      </c>
    </row>
    <row r="21146" spans="1:5">
      <c r="A21146" t="s">
        <v>24548</v>
      </c>
      <c r="B21146" t="s">
        <v>24550</v>
      </c>
      <c r="C21146">
        <v>0</v>
      </c>
      <c r="D21146">
        <v>0.98387413510599997</v>
      </c>
      <c r="E21146">
        <v>0.86356821589205401</v>
      </c>
    </row>
    <row r="21147" spans="1:5">
      <c r="A21147" t="s">
        <v>24548</v>
      </c>
      <c r="B21147" t="s">
        <v>24551</v>
      </c>
      <c r="C21147">
        <v>0</v>
      </c>
      <c r="D21147">
        <v>0.98387413510599997</v>
      </c>
      <c r="E21147">
        <v>0.86356821589205401</v>
      </c>
    </row>
    <row r="21148" spans="1:5">
      <c r="A21148" t="s">
        <v>24548</v>
      </c>
      <c r="B21148" t="s">
        <v>24552</v>
      </c>
      <c r="C21148">
        <f>0</f>
        <v>0</v>
      </c>
      <c r="D21148">
        <v>0.98387413510599997</v>
      </c>
      <c r="E21148">
        <v>0.86356821589205401</v>
      </c>
    </row>
    <row r="21149" spans="1:5">
      <c r="A21149" t="s">
        <v>24548</v>
      </c>
      <c r="B21149" t="s">
        <v>24553</v>
      </c>
      <c r="C21149">
        <f>0</f>
        <v>0</v>
      </c>
      <c r="D21149">
        <v>0.98387413510599997</v>
      </c>
      <c r="E21149">
        <v>0.86356821589205401</v>
      </c>
    </row>
    <row r="21150" spans="1:5">
      <c r="A21150" t="s">
        <v>24548</v>
      </c>
      <c r="B21150" t="s">
        <v>24554</v>
      </c>
      <c r="C21150">
        <v>0</v>
      </c>
      <c r="D21150">
        <v>0.98387413510599997</v>
      </c>
      <c r="E21150">
        <v>0.86356821589205401</v>
      </c>
    </row>
    <row r="21151" spans="1:5">
      <c r="A21151" t="s">
        <v>24548</v>
      </c>
      <c r="B21151" t="s">
        <v>24555</v>
      </c>
      <c r="C21151">
        <v>0.173185857803</v>
      </c>
      <c r="D21151">
        <v>0.98387413510599997</v>
      </c>
      <c r="E21151">
        <v>0.86356821589205401</v>
      </c>
    </row>
    <row r="21152" spans="1:5">
      <c r="A21152" t="s">
        <v>24556</v>
      </c>
      <c r="B21152" t="s">
        <v>24557</v>
      </c>
      <c r="C21152">
        <v>0.355195620243</v>
      </c>
      <c r="D21152">
        <v>0.94636209881</v>
      </c>
      <c r="E21152">
        <v>0.14392803598200801</v>
      </c>
    </row>
    <row r="21153" spans="1:5">
      <c r="A21153" t="s">
        <v>24556</v>
      </c>
      <c r="B21153" t="s">
        <v>24558</v>
      </c>
      <c r="C21153">
        <v>0</v>
      </c>
      <c r="D21153">
        <v>0.94636209881</v>
      </c>
      <c r="E21153">
        <v>0.14392803598200801</v>
      </c>
    </row>
    <row r="21154" spans="1:5">
      <c r="A21154" t="s">
        <v>24556</v>
      </c>
      <c r="B21154" t="s">
        <v>24559</v>
      </c>
      <c r="C21154">
        <v>0</v>
      </c>
      <c r="D21154">
        <v>0.94636209881</v>
      </c>
      <c r="E21154">
        <v>0.14392803598200801</v>
      </c>
    </row>
    <row r="21155" spans="1:5">
      <c r="A21155" t="s">
        <v>24556</v>
      </c>
      <c r="B21155" t="s">
        <v>24560</v>
      </c>
      <c r="C21155">
        <v>0</v>
      </c>
      <c r="D21155">
        <v>0.94636209881</v>
      </c>
      <c r="E21155">
        <v>0.14392803598200801</v>
      </c>
    </row>
    <row r="21156" spans="1:5">
      <c r="A21156" t="s">
        <v>24556</v>
      </c>
      <c r="B21156" t="s">
        <v>24561</v>
      </c>
      <c r="C21156">
        <v>0</v>
      </c>
      <c r="D21156">
        <v>0.94636209881</v>
      </c>
      <c r="E21156">
        <v>0.14392803598200801</v>
      </c>
    </row>
    <row r="21157" spans="1:5">
      <c r="A21157" t="s">
        <v>24556</v>
      </c>
      <c r="B21157" t="s">
        <v>24562</v>
      </c>
      <c r="C21157">
        <f>0</f>
        <v>0</v>
      </c>
      <c r="D21157">
        <v>0.94636209881</v>
      </c>
      <c r="E21157">
        <v>0.14392803598200801</v>
      </c>
    </row>
    <row r="21158" spans="1:5">
      <c r="A21158" t="s">
        <v>24563</v>
      </c>
      <c r="B21158" t="s">
        <v>24564</v>
      </c>
      <c r="C21158">
        <v>0.21742950792599999</v>
      </c>
      <c r="D21158">
        <v>0.99865599559200002</v>
      </c>
      <c r="E21158">
        <v>23.040479760119901</v>
      </c>
    </row>
    <row r="21159" spans="1:5">
      <c r="A21159" t="s">
        <v>24563</v>
      </c>
      <c r="B21159" t="s">
        <v>24565</v>
      </c>
      <c r="C21159">
        <f>0.0253608471944</f>
        <v>2.5360847194399998E-2</v>
      </c>
      <c r="D21159">
        <v>0.99865599559200002</v>
      </c>
      <c r="E21159">
        <v>23.040479760119901</v>
      </c>
    </row>
    <row r="21160" spans="1:5">
      <c r="A21160" t="s">
        <v>24563</v>
      </c>
      <c r="B21160" t="s">
        <v>24566</v>
      </c>
      <c r="C21160">
        <v>0</v>
      </c>
      <c r="D21160">
        <v>0.99865599559200002</v>
      </c>
      <c r="E21160">
        <v>23.040479760119901</v>
      </c>
    </row>
    <row r="21161" spans="1:5">
      <c r="A21161" t="s">
        <v>24567</v>
      </c>
      <c r="B21161" t="s">
        <v>24568</v>
      </c>
      <c r="C21161">
        <f>0.0390569771614</f>
        <v>3.9056977161399997E-2</v>
      </c>
      <c r="D21161" t="s">
        <v>106</v>
      </c>
      <c r="E21161">
        <v>5.9370314842578704</v>
      </c>
    </row>
    <row r="21162" spans="1:5">
      <c r="A21162" t="s">
        <v>24567</v>
      </c>
      <c r="B21162" t="s">
        <v>24569</v>
      </c>
      <c r="C21162">
        <v>3.0190671465099999E-2</v>
      </c>
      <c r="D21162" t="s">
        <v>106</v>
      </c>
      <c r="E21162">
        <v>5.9370314842578704</v>
      </c>
    </row>
    <row r="21163" spans="1:5">
      <c r="A21163" t="s">
        <v>24570</v>
      </c>
      <c r="B21163" t="s">
        <v>24571</v>
      </c>
      <c r="C21163">
        <v>2.7972993374900001E-2</v>
      </c>
      <c r="D21163">
        <v>0.97438066383999999</v>
      </c>
      <c r="E21163">
        <v>15.5082458770614</v>
      </c>
    </row>
    <row r="21164" spans="1:5">
      <c r="A21164" t="s">
        <v>24570</v>
      </c>
      <c r="B21164" t="s">
        <v>24572</v>
      </c>
      <c r="C21164">
        <f>0</f>
        <v>0</v>
      </c>
      <c r="D21164">
        <v>0.97438066383999999</v>
      </c>
      <c r="E21164">
        <v>15.5082458770614</v>
      </c>
    </row>
    <row r="21165" spans="1:5">
      <c r="A21165" t="s">
        <v>24570</v>
      </c>
      <c r="B21165" t="s">
        <v>24573</v>
      </c>
      <c r="C21165">
        <f>0</f>
        <v>0</v>
      </c>
      <c r="D21165">
        <v>0.97438066383999999</v>
      </c>
      <c r="E21165">
        <v>15.5082458770614</v>
      </c>
    </row>
    <row r="21166" spans="1:5">
      <c r="A21166" t="s">
        <v>24570</v>
      </c>
      <c r="B21166" t="s">
        <v>24574</v>
      </c>
      <c r="C21166">
        <f>0</f>
        <v>0</v>
      </c>
      <c r="D21166">
        <v>0.97438066383999999</v>
      </c>
      <c r="E21166">
        <v>15.5082458770614</v>
      </c>
    </row>
    <row r="21167" spans="1:5">
      <c r="A21167" t="s">
        <v>24570</v>
      </c>
      <c r="B21167" t="s">
        <v>24575</v>
      </c>
      <c r="C21167">
        <v>0</v>
      </c>
      <c r="D21167">
        <v>0.97438066383999999</v>
      </c>
      <c r="E21167">
        <v>15.5082458770614</v>
      </c>
    </row>
    <row r="21168" spans="1:5">
      <c r="A21168" t="s">
        <v>24570</v>
      </c>
      <c r="B21168" t="s">
        <v>24576</v>
      </c>
      <c r="C21168">
        <v>0</v>
      </c>
      <c r="D21168">
        <v>0.97438066383999999</v>
      </c>
      <c r="E21168">
        <v>15.5082458770614</v>
      </c>
    </row>
    <row r="21169" spans="1:5">
      <c r="A21169" t="s">
        <v>24570</v>
      </c>
      <c r="B21169" t="s">
        <v>24577</v>
      </c>
      <c r="C21169">
        <v>0</v>
      </c>
      <c r="D21169">
        <v>0.97438066383999999</v>
      </c>
      <c r="E21169">
        <v>15.5082458770614</v>
      </c>
    </row>
    <row r="21170" spans="1:5">
      <c r="A21170" t="s">
        <v>24570</v>
      </c>
      <c r="B21170" t="s">
        <v>24578</v>
      </c>
      <c r="C21170">
        <f>0</f>
        <v>0</v>
      </c>
      <c r="D21170">
        <v>0.97438066383999999</v>
      </c>
      <c r="E21170">
        <v>15.5082458770614</v>
      </c>
    </row>
    <row r="21171" spans="1:5">
      <c r="A21171" t="s">
        <v>24570</v>
      </c>
      <c r="B21171" t="s">
        <v>24579</v>
      </c>
      <c r="C21171">
        <f>0</f>
        <v>0</v>
      </c>
      <c r="D21171">
        <v>0.97438066383999999</v>
      </c>
      <c r="E21171">
        <v>15.5082458770614</v>
      </c>
    </row>
    <row r="21172" spans="1:5">
      <c r="A21172" t="s">
        <v>24570</v>
      </c>
      <c r="B21172" t="s">
        <v>24580</v>
      </c>
      <c r="C21172">
        <v>0.11092932294299999</v>
      </c>
      <c r="D21172">
        <v>0.97438066383999999</v>
      </c>
      <c r="E21172">
        <v>15.5082458770614</v>
      </c>
    </row>
    <row r="21173" spans="1:5">
      <c r="A21173" t="s">
        <v>24570</v>
      </c>
      <c r="B21173" t="s">
        <v>24581</v>
      </c>
      <c r="C21173">
        <f>0</f>
        <v>0</v>
      </c>
      <c r="D21173">
        <v>0.97438066383999999</v>
      </c>
      <c r="E21173">
        <v>15.5082458770614</v>
      </c>
    </row>
    <row r="21174" spans="1:5">
      <c r="A21174" t="s">
        <v>24570</v>
      </c>
      <c r="B21174" t="s">
        <v>24582</v>
      </c>
      <c r="C21174">
        <f>0</f>
        <v>0</v>
      </c>
      <c r="D21174">
        <v>0.97438066383999999</v>
      </c>
      <c r="E21174">
        <v>15.5082458770614</v>
      </c>
    </row>
    <row r="21175" spans="1:5">
      <c r="A21175" t="s">
        <v>24570</v>
      </c>
      <c r="B21175" t="s">
        <v>24583</v>
      </c>
      <c r="C21175">
        <f>0</f>
        <v>0</v>
      </c>
      <c r="D21175">
        <v>0.97438066383999999</v>
      </c>
      <c r="E21175">
        <v>15.5082458770614</v>
      </c>
    </row>
    <row r="21176" spans="1:5">
      <c r="A21176" t="s">
        <v>24584</v>
      </c>
      <c r="B21176" t="s">
        <v>24585</v>
      </c>
      <c r="C21176">
        <v>9.1117579583399999E-2</v>
      </c>
      <c r="D21176">
        <v>0.44793302565499998</v>
      </c>
      <c r="E21176">
        <v>3.0464767616191901</v>
      </c>
    </row>
    <row r="21177" spans="1:5">
      <c r="A21177" t="s">
        <v>24586</v>
      </c>
      <c r="B21177" t="s">
        <v>24587</v>
      </c>
      <c r="C21177">
        <v>0</v>
      </c>
      <c r="D21177">
        <v>0.85767830041699999</v>
      </c>
      <c r="E21177">
        <v>3.97001499250374</v>
      </c>
    </row>
    <row r="21178" spans="1:5">
      <c r="A21178" t="s">
        <v>24586</v>
      </c>
      <c r="B21178" t="s">
        <v>24588</v>
      </c>
      <c r="C21178">
        <v>0.123701422484</v>
      </c>
      <c r="D21178">
        <v>0.85767830041699999</v>
      </c>
      <c r="E21178">
        <v>3.97001499250374</v>
      </c>
    </row>
    <row r="21179" spans="1:5">
      <c r="A21179" t="s">
        <v>24589</v>
      </c>
      <c r="B21179" t="s">
        <v>24590</v>
      </c>
      <c r="C21179">
        <v>0.28988670840300002</v>
      </c>
      <c r="D21179">
        <v>0.749120910508</v>
      </c>
      <c r="E21179">
        <v>5.3493253373313303</v>
      </c>
    </row>
    <row r="21180" spans="1:5">
      <c r="A21180" t="s">
        <v>24589</v>
      </c>
      <c r="B21180" t="s">
        <v>24591</v>
      </c>
      <c r="C21180">
        <f>0</f>
        <v>0</v>
      </c>
      <c r="D21180">
        <v>0.749120910508</v>
      </c>
      <c r="E21180">
        <v>5.3493253373313303</v>
      </c>
    </row>
    <row r="21181" spans="1:5">
      <c r="A21181" t="s">
        <v>24589</v>
      </c>
      <c r="B21181" t="s">
        <v>24592</v>
      </c>
      <c r="C21181">
        <v>0.42047111918399999</v>
      </c>
      <c r="D21181">
        <v>0.749120910508</v>
      </c>
      <c r="E21181">
        <v>5.3493253373313303</v>
      </c>
    </row>
    <row r="21182" spans="1:5">
      <c r="A21182" t="s">
        <v>24589</v>
      </c>
      <c r="B21182" t="s">
        <v>24593</v>
      </c>
      <c r="C21182">
        <v>0</v>
      </c>
      <c r="D21182">
        <v>0.749120910508</v>
      </c>
      <c r="E21182">
        <v>5.3493253373313303</v>
      </c>
    </row>
    <row r="21183" spans="1:5">
      <c r="A21183" t="s">
        <v>24594</v>
      </c>
      <c r="B21183" t="s">
        <v>24595</v>
      </c>
      <c r="C21183">
        <f>0</f>
        <v>0</v>
      </c>
      <c r="D21183" t="s">
        <v>106</v>
      </c>
      <c r="E21183">
        <v>24</v>
      </c>
    </row>
    <row r="21184" spans="1:5">
      <c r="A21184" t="s">
        <v>24594</v>
      </c>
      <c r="B21184" t="s">
        <v>24596</v>
      </c>
      <c r="C21184">
        <f>0.0376311157241</f>
        <v>3.7631115724100002E-2</v>
      </c>
      <c r="D21184" t="s">
        <v>106</v>
      </c>
      <c r="E21184">
        <v>24</v>
      </c>
    </row>
    <row r="21185" spans="1:5">
      <c r="A21185" t="s">
        <v>24594</v>
      </c>
      <c r="B21185" t="s">
        <v>24597</v>
      </c>
      <c r="C21185">
        <f>0</f>
        <v>0</v>
      </c>
      <c r="D21185" t="s">
        <v>106</v>
      </c>
      <c r="E21185">
        <v>24</v>
      </c>
    </row>
    <row r="21186" spans="1:5">
      <c r="A21186" t="s">
        <v>24598</v>
      </c>
      <c r="B21186" t="s">
        <v>24599</v>
      </c>
      <c r="C21186">
        <v>0</v>
      </c>
      <c r="D21186" t="s">
        <v>106</v>
      </c>
      <c r="E21186">
        <v>24</v>
      </c>
    </row>
    <row r="21187" spans="1:5">
      <c r="A21187" t="s">
        <v>24600</v>
      </c>
      <c r="B21187" t="s">
        <v>24601</v>
      </c>
      <c r="C21187">
        <f>0.0642660725812</f>
        <v>6.4266072581199998E-2</v>
      </c>
      <c r="D21187">
        <v>0.82095886920600003</v>
      </c>
      <c r="E21187">
        <v>7.4602698650674597</v>
      </c>
    </row>
    <row r="21188" spans="1:5">
      <c r="A21188" t="s">
        <v>24600</v>
      </c>
      <c r="B21188" t="s">
        <v>24602</v>
      </c>
      <c r="C21188">
        <f>0.0240100736192</f>
        <v>2.40100736192E-2</v>
      </c>
      <c r="D21188">
        <v>0.82095886920600003</v>
      </c>
      <c r="E21188">
        <v>7.4602698650674597</v>
      </c>
    </row>
    <row r="21189" spans="1:5">
      <c r="A21189" t="s">
        <v>24600</v>
      </c>
      <c r="B21189" t="s">
        <v>24603</v>
      </c>
      <c r="C21189">
        <f>0</f>
        <v>0</v>
      </c>
      <c r="D21189">
        <v>0.82095886920600003</v>
      </c>
      <c r="E21189">
        <v>7.4602698650674597</v>
      </c>
    </row>
    <row r="21190" spans="1:5">
      <c r="A21190" t="s">
        <v>24604</v>
      </c>
      <c r="B21190" t="s">
        <v>24605</v>
      </c>
      <c r="C21190">
        <v>0</v>
      </c>
      <c r="D21190">
        <v>0.97445165886899998</v>
      </c>
      <c r="E21190">
        <v>15.316341829085401</v>
      </c>
    </row>
    <row r="21191" spans="1:5">
      <c r="A21191" t="s">
        <v>24604</v>
      </c>
      <c r="B21191" t="s">
        <v>24606</v>
      </c>
      <c r="C21191">
        <f>0.290586154278</f>
        <v>0.290586154278</v>
      </c>
      <c r="D21191">
        <v>0.97445165886899998</v>
      </c>
      <c r="E21191">
        <v>15.316341829085401</v>
      </c>
    </row>
    <row r="21192" spans="1:5">
      <c r="A21192" t="s">
        <v>24604</v>
      </c>
      <c r="B21192" t="s">
        <v>24607</v>
      </c>
      <c r="C21192">
        <v>0.14035429050600001</v>
      </c>
      <c r="D21192">
        <v>0.97445165886899998</v>
      </c>
      <c r="E21192">
        <v>15.316341829085401</v>
      </c>
    </row>
    <row r="21193" spans="1:5">
      <c r="A21193" t="s">
        <v>24604</v>
      </c>
      <c r="B21193" t="s">
        <v>24608</v>
      </c>
      <c r="C21193">
        <f>0</f>
        <v>0</v>
      </c>
      <c r="D21193">
        <v>0.97445165886899998</v>
      </c>
      <c r="E21193">
        <v>15.316341829085401</v>
      </c>
    </row>
    <row r="21194" spans="1:5">
      <c r="A21194" t="s">
        <v>24604</v>
      </c>
      <c r="B21194" t="s">
        <v>24609</v>
      </c>
      <c r="C21194">
        <f>0</f>
        <v>0</v>
      </c>
      <c r="D21194">
        <v>0.97445165886899998</v>
      </c>
      <c r="E21194">
        <v>15.316341829085401</v>
      </c>
    </row>
    <row r="21195" spans="1:5">
      <c r="A21195" t="s">
        <v>24610</v>
      </c>
      <c r="B21195" t="s">
        <v>24611</v>
      </c>
      <c r="C21195">
        <v>0</v>
      </c>
      <c r="D21195">
        <v>0.892629083612</v>
      </c>
      <c r="E21195">
        <v>19.850074962518701</v>
      </c>
    </row>
    <row r="21196" spans="1:5">
      <c r="A21196" t="s">
        <v>24610</v>
      </c>
      <c r="B21196" t="s">
        <v>24612</v>
      </c>
      <c r="C21196">
        <v>0</v>
      </c>
      <c r="D21196">
        <v>0.892629083612</v>
      </c>
      <c r="E21196">
        <v>19.850074962518701</v>
      </c>
    </row>
    <row r="21197" spans="1:5">
      <c r="A21197" t="s">
        <v>24610</v>
      </c>
      <c r="B21197" t="s">
        <v>24613</v>
      </c>
      <c r="C21197">
        <v>3.6755992475999998E-2</v>
      </c>
      <c r="D21197">
        <v>0.892629083612</v>
      </c>
      <c r="E21197">
        <v>19.850074962518701</v>
      </c>
    </row>
    <row r="21198" spans="1:5">
      <c r="A21198" t="s">
        <v>24610</v>
      </c>
      <c r="B21198" t="s">
        <v>24614</v>
      </c>
      <c r="C21198">
        <v>0</v>
      </c>
      <c r="D21198">
        <v>0.892629083612</v>
      </c>
      <c r="E21198">
        <v>19.850074962518701</v>
      </c>
    </row>
    <row r="21199" spans="1:5">
      <c r="A21199" t="s">
        <v>24610</v>
      </c>
      <c r="B21199" t="s">
        <v>24615</v>
      </c>
      <c r="C21199">
        <v>0</v>
      </c>
      <c r="D21199">
        <v>0.892629083612</v>
      </c>
      <c r="E21199">
        <v>19.850074962518701</v>
      </c>
    </row>
    <row r="21200" spans="1:5">
      <c r="A21200" t="s">
        <v>24610</v>
      </c>
      <c r="B21200" t="s">
        <v>24616</v>
      </c>
      <c r="C21200">
        <v>0</v>
      </c>
      <c r="D21200">
        <v>0.892629083612</v>
      </c>
      <c r="E21200">
        <v>19.850074962518701</v>
      </c>
    </row>
    <row r="21201" spans="1:5">
      <c r="A21201" t="s">
        <v>24610</v>
      </c>
      <c r="B21201" t="s">
        <v>24617</v>
      </c>
      <c r="C21201">
        <v>0</v>
      </c>
      <c r="D21201">
        <v>0.892629083612</v>
      </c>
      <c r="E21201">
        <v>19.850074962518701</v>
      </c>
    </row>
    <row r="21202" spans="1:5">
      <c r="A21202" t="s">
        <v>24610</v>
      </c>
      <c r="B21202" t="s">
        <v>24618</v>
      </c>
      <c r="C21202">
        <v>0</v>
      </c>
      <c r="D21202">
        <v>0.892629083612</v>
      </c>
      <c r="E21202">
        <v>19.850074962518701</v>
      </c>
    </row>
    <row r="21203" spans="1:5">
      <c r="A21203" t="s">
        <v>24610</v>
      </c>
      <c r="B21203" t="s">
        <v>24619</v>
      </c>
      <c r="C21203">
        <v>0</v>
      </c>
      <c r="D21203">
        <v>0.892629083612</v>
      </c>
      <c r="E21203">
        <v>19.850074962518701</v>
      </c>
    </row>
    <row r="21204" spans="1:5">
      <c r="A21204" t="s">
        <v>24620</v>
      </c>
      <c r="B21204" t="s">
        <v>24621</v>
      </c>
      <c r="C21204">
        <v>0</v>
      </c>
      <c r="D21204" t="s">
        <v>106</v>
      </c>
      <c r="E21204">
        <v>1.6311844077961</v>
      </c>
    </row>
    <row r="21205" spans="1:5">
      <c r="A21205" t="s">
        <v>24620</v>
      </c>
      <c r="B21205" t="s">
        <v>24622</v>
      </c>
      <c r="C21205">
        <f>0</f>
        <v>0</v>
      </c>
      <c r="D21205" t="s">
        <v>106</v>
      </c>
      <c r="E21205">
        <v>1.6311844077961</v>
      </c>
    </row>
    <row r="21206" spans="1:5">
      <c r="A21206" t="s">
        <v>24620</v>
      </c>
      <c r="B21206" t="s">
        <v>24623</v>
      </c>
      <c r="C21206">
        <f>0</f>
        <v>0</v>
      </c>
      <c r="D21206" t="s">
        <v>106</v>
      </c>
      <c r="E21206">
        <v>1.6311844077961</v>
      </c>
    </row>
    <row r="21207" spans="1:5">
      <c r="A21207" t="s">
        <v>24620</v>
      </c>
      <c r="B21207" t="s">
        <v>24624</v>
      </c>
      <c r="C21207">
        <f>0</f>
        <v>0</v>
      </c>
      <c r="D21207" t="s">
        <v>106</v>
      </c>
      <c r="E21207">
        <v>1.6311844077961</v>
      </c>
    </row>
    <row r="21208" spans="1:5">
      <c r="A21208" t="s">
        <v>24620</v>
      </c>
      <c r="B21208" t="s">
        <v>24625</v>
      </c>
      <c r="C21208">
        <v>0</v>
      </c>
      <c r="D21208" t="s">
        <v>106</v>
      </c>
      <c r="E21208">
        <v>1.6311844077961</v>
      </c>
    </row>
    <row r="21209" spans="1:5">
      <c r="A21209" t="s">
        <v>24620</v>
      </c>
      <c r="B21209" t="s">
        <v>24626</v>
      </c>
      <c r="C21209">
        <f>0</f>
        <v>0</v>
      </c>
      <c r="D21209" t="s">
        <v>106</v>
      </c>
      <c r="E21209">
        <v>1.6311844077961</v>
      </c>
    </row>
    <row r="21210" spans="1:5">
      <c r="A21210" t="s">
        <v>24620</v>
      </c>
      <c r="B21210" t="s">
        <v>24627</v>
      </c>
      <c r="C21210">
        <v>0</v>
      </c>
      <c r="D21210" t="s">
        <v>106</v>
      </c>
      <c r="E21210">
        <v>1.6311844077961</v>
      </c>
    </row>
    <row r="21211" spans="1:5">
      <c r="A21211" t="s">
        <v>24628</v>
      </c>
      <c r="B21211" t="s">
        <v>24629</v>
      </c>
      <c r="C21211">
        <f>0</f>
        <v>0</v>
      </c>
      <c r="D21211" t="s">
        <v>106</v>
      </c>
      <c r="E21211">
        <v>2.0269865067466202</v>
      </c>
    </row>
    <row r="21212" spans="1:5">
      <c r="A21212" t="s">
        <v>24630</v>
      </c>
      <c r="B21212" t="s">
        <v>24631</v>
      </c>
      <c r="C21212">
        <v>2.4609976215099999E-2</v>
      </c>
      <c r="D21212" t="s">
        <v>106</v>
      </c>
      <c r="E21212">
        <v>6.0569715142428704</v>
      </c>
    </row>
    <row r="21213" spans="1:5">
      <c r="A21213" t="s">
        <v>24630</v>
      </c>
      <c r="B21213" t="s">
        <v>24632</v>
      </c>
      <c r="C21213">
        <v>1.92469375645E-3</v>
      </c>
      <c r="D21213" t="s">
        <v>106</v>
      </c>
      <c r="E21213">
        <v>6.0569715142428704</v>
      </c>
    </row>
    <row r="21214" spans="1:5">
      <c r="A21214" t="s">
        <v>24633</v>
      </c>
      <c r="B21214" t="s">
        <v>24634</v>
      </c>
      <c r="C21214">
        <v>0.34328488412899999</v>
      </c>
      <c r="D21214">
        <v>0.97025710440799995</v>
      </c>
      <c r="E21214">
        <v>11.7061469265367</v>
      </c>
    </row>
    <row r="21215" spans="1:5">
      <c r="A21215" t="s">
        <v>24633</v>
      </c>
      <c r="B21215" t="s">
        <v>24635</v>
      </c>
      <c r="C21215">
        <f>0</f>
        <v>0</v>
      </c>
      <c r="D21215">
        <v>0.97025710440799995</v>
      </c>
      <c r="E21215">
        <v>11.7061469265367</v>
      </c>
    </row>
    <row r="21216" spans="1:5">
      <c r="A21216" t="s">
        <v>24633</v>
      </c>
      <c r="B21216" t="s">
        <v>24636</v>
      </c>
      <c r="C21216">
        <v>0.13287422227199999</v>
      </c>
      <c r="D21216">
        <v>0.97025710440799995</v>
      </c>
      <c r="E21216">
        <v>11.7061469265367</v>
      </c>
    </row>
    <row r="21217" spans="1:5">
      <c r="A21217" t="s">
        <v>24637</v>
      </c>
      <c r="B21217" t="s">
        <v>24638</v>
      </c>
      <c r="C21217">
        <f>0</f>
        <v>0</v>
      </c>
      <c r="D21217">
        <v>0.591648882923</v>
      </c>
      <c r="E21217">
        <v>9.0194902548725597</v>
      </c>
    </row>
    <row r="21218" spans="1:5">
      <c r="A21218" t="s">
        <v>24637</v>
      </c>
      <c r="B21218" t="s">
        <v>24639</v>
      </c>
      <c r="C21218">
        <v>3.5544081896000002E-2</v>
      </c>
      <c r="D21218">
        <v>0.591648882923</v>
      </c>
      <c r="E21218">
        <v>9.0194902548725597</v>
      </c>
    </row>
    <row r="21219" spans="1:5">
      <c r="A21219" t="s">
        <v>24640</v>
      </c>
      <c r="B21219" t="s">
        <v>24641</v>
      </c>
      <c r="C21219">
        <v>9.9894886448299997E-2</v>
      </c>
      <c r="D21219">
        <v>0.41445904780100001</v>
      </c>
      <c r="E21219">
        <v>7.8680659670164896</v>
      </c>
    </row>
    <row r="21220" spans="1:5">
      <c r="A21220" t="s">
        <v>24642</v>
      </c>
      <c r="B21220" t="s">
        <v>24643</v>
      </c>
      <c r="C21220">
        <v>0</v>
      </c>
      <c r="D21220">
        <v>0.97533103955699996</v>
      </c>
      <c r="E21220">
        <v>0.95952023988005997</v>
      </c>
    </row>
    <row r="21221" spans="1:5">
      <c r="A21221" t="s">
        <v>24642</v>
      </c>
      <c r="B21221" t="s">
        <v>24644</v>
      </c>
      <c r="C21221">
        <v>0</v>
      </c>
      <c r="D21221">
        <v>0.97533103955699996</v>
      </c>
      <c r="E21221">
        <v>0.95952023988005997</v>
      </c>
    </row>
    <row r="21222" spans="1:5">
      <c r="A21222" t="s">
        <v>24642</v>
      </c>
      <c r="B21222" t="s">
        <v>24645</v>
      </c>
      <c r="C21222">
        <v>0.160097748594</v>
      </c>
      <c r="D21222">
        <v>0.97533103955699996</v>
      </c>
      <c r="E21222">
        <v>0.95952023988005997</v>
      </c>
    </row>
    <row r="21223" spans="1:5">
      <c r="A21223" t="s">
        <v>24642</v>
      </c>
      <c r="B21223" t="s">
        <v>24646</v>
      </c>
      <c r="C21223">
        <f>0</f>
        <v>0</v>
      </c>
      <c r="D21223">
        <v>0.97533103955699996</v>
      </c>
      <c r="E21223">
        <v>0.95952023988005997</v>
      </c>
    </row>
    <row r="21224" spans="1:5">
      <c r="A21224" t="s">
        <v>24642</v>
      </c>
      <c r="B21224" t="s">
        <v>24647</v>
      </c>
      <c r="C21224">
        <v>0</v>
      </c>
      <c r="D21224">
        <v>0.97533103955699996</v>
      </c>
      <c r="E21224">
        <v>0.95952023988005997</v>
      </c>
    </row>
    <row r="21225" spans="1:5">
      <c r="A21225" t="s">
        <v>24648</v>
      </c>
      <c r="B21225" t="s">
        <v>24649</v>
      </c>
      <c r="C21225">
        <v>0</v>
      </c>
      <c r="D21225" t="s">
        <v>106</v>
      </c>
      <c r="E21225">
        <v>11.7061469265367</v>
      </c>
    </row>
    <row r="21226" spans="1:5">
      <c r="A21226" t="s">
        <v>24648</v>
      </c>
      <c r="B21226" t="s">
        <v>24650</v>
      </c>
      <c r="C21226">
        <v>0</v>
      </c>
      <c r="D21226" t="s">
        <v>106</v>
      </c>
      <c r="E21226">
        <v>11.7061469265367</v>
      </c>
    </row>
    <row r="21227" spans="1:5">
      <c r="A21227" t="s">
        <v>24648</v>
      </c>
      <c r="B21227" t="s">
        <v>24651</v>
      </c>
      <c r="C21227">
        <v>0</v>
      </c>
      <c r="D21227" t="s">
        <v>106</v>
      </c>
      <c r="E21227">
        <v>11.7061469265367</v>
      </c>
    </row>
    <row r="21228" spans="1:5">
      <c r="A21228" t="s">
        <v>24648</v>
      </c>
      <c r="B21228" t="s">
        <v>24652</v>
      </c>
      <c r="C21228">
        <v>0</v>
      </c>
      <c r="D21228" t="s">
        <v>106</v>
      </c>
      <c r="E21228">
        <v>11.7061469265367</v>
      </c>
    </row>
    <row r="21229" spans="1:5">
      <c r="A21229" t="s">
        <v>24653</v>
      </c>
      <c r="B21229" t="s">
        <v>24654</v>
      </c>
      <c r="C21229">
        <f>0</f>
        <v>0</v>
      </c>
      <c r="D21229">
        <v>0.97410637054299998</v>
      </c>
      <c r="E21229">
        <v>23.040479760119901</v>
      </c>
    </row>
    <row r="21230" spans="1:5">
      <c r="A21230" t="s">
        <v>24653</v>
      </c>
      <c r="B21230" t="s">
        <v>24655</v>
      </c>
      <c r="C21230">
        <v>0</v>
      </c>
      <c r="D21230">
        <v>0.97410637054299998</v>
      </c>
      <c r="E21230">
        <v>23.040479760119901</v>
      </c>
    </row>
    <row r="21231" spans="1:5">
      <c r="A21231" t="s">
        <v>24653</v>
      </c>
      <c r="B21231" t="s">
        <v>24656</v>
      </c>
      <c r="C21231">
        <f>0</f>
        <v>0</v>
      </c>
      <c r="D21231">
        <v>0.97410637054299998</v>
      </c>
      <c r="E21231">
        <v>23.040479760119901</v>
      </c>
    </row>
    <row r="21232" spans="1:5">
      <c r="A21232" t="s">
        <v>24653</v>
      </c>
      <c r="B21232" t="s">
        <v>24657</v>
      </c>
      <c r="C21232">
        <v>0</v>
      </c>
      <c r="D21232">
        <v>0.97410637054299998</v>
      </c>
      <c r="E21232">
        <v>23.040479760119901</v>
      </c>
    </row>
    <row r="21233" spans="1:5">
      <c r="A21233" t="s">
        <v>24653</v>
      </c>
      <c r="B21233" t="s">
        <v>24658</v>
      </c>
      <c r="C21233">
        <f>0</f>
        <v>0</v>
      </c>
      <c r="D21233">
        <v>0.97410637054299998</v>
      </c>
      <c r="E21233">
        <v>23.040479760119901</v>
      </c>
    </row>
    <row r="21234" spans="1:5">
      <c r="A21234" t="s">
        <v>24653</v>
      </c>
      <c r="B21234" t="s">
        <v>24659</v>
      </c>
      <c r="C21234">
        <f>0</f>
        <v>0</v>
      </c>
      <c r="D21234">
        <v>0.97410637054299998</v>
      </c>
      <c r="E21234">
        <v>23.040479760119901</v>
      </c>
    </row>
    <row r="21235" spans="1:5">
      <c r="A21235" t="s">
        <v>24653</v>
      </c>
      <c r="B21235" t="s">
        <v>24660</v>
      </c>
      <c r="C21235">
        <v>0</v>
      </c>
      <c r="D21235">
        <v>0.97410637054299998</v>
      </c>
      <c r="E21235">
        <v>23.040479760119901</v>
      </c>
    </row>
    <row r="21236" spans="1:5">
      <c r="A21236" t="s">
        <v>24653</v>
      </c>
      <c r="B21236" t="s">
        <v>24661</v>
      </c>
      <c r="C21236">
        <f>0</f>
        <v>0</v>
      </c>
      <c r="D21236">
        <v>0.97410637054299998</v>
      </c>
      <c r="E21236">
        <v>23.040479760119901</v>
      </c>
    </row>
    <row r="21237" spans="1:5">
      <c r="A21237" t="s">
        <v>24653</v>
      </c>
      <c r="B21237" t="s">
        <v>24662</v>
      </c>
      <c r="C21237">
        <v>0</v>
      </c>
      <c r="D21237">
        <v>0.97410637054299998</v>
      </c>
      <c r="E21237">
        <v>23.040479760119901</v>
      </c>
    </row>
    <row r="21238" spans="1:5">
      <c r="A21238" t="s">
        <v>24653</v>
      </c>
      <c r="B21238" t="s">
        <v>24663</v>
      </c>
      <c r="C21238">
        <f>0.0577900018504</f>
        <v>5.7790001850400001E-2</v>
      </c>
      <c r="D21238">
        <v>0.97410637054299998</v>
      </c>
      <c r="E21238">
        <v>23.040479760119901</v>
      </c>
    </row>
    <row r="21239" spans="1:5">
      <c r="A21239" t="s">
        <v>24653</v>
      </c>
      <c r="B21239" t="s">
        <v>24664</v>
      </c>
      <c r="C21239">
        <f>0</f>
        <v>0</v>
      </c>
      <c r="D21239">
        <v>0.97410637054299998</v>
      </c>
      <c r="E21239">
        <v>23.040479760119901</v>
      </c>
    </row>
    <row r="21240" spans="1:5">
      <c r="A21240" t="s">
        <v>24653</v>
      </c>
      <c r="B21240" t="s">
        <v>24665</v>
      </c>
      <c r="C21240">
        <f>0</f>
        <v>0</v>
      </c>
      <c r="D21240">
        <v>0.97410637054299998</v>
      </c>
      <c r="E21240">
        <v>23.040479760119901</v>
      </c>
    </row>
    <row r="21241" spans="1:5">
      <c r="A21241" t="s">
        <v>24653</v>
      </c>
      <c r="B21241" t="s">
        <v>24666</v>
      </c>
      <c r="C21241">
        <f>0</f>
        <v>0</v>
      </c>
      <c r="D21241">
        <v>0.97410637054299998</v>
      </c>
      <c r="E21241">
        <v>23.040479760119901</v>
      </c>
    </row>
    <row r="21242" spans="1:5">
      <c r="A21242" t="s">
        <v>24653</v>
      </c>
      <c r="B21242" t="s">
        <v>24667</v>
      </c>
      <c r="C21242">
        <f>0</f>
        <v>0</v>
      </c>
      <c r="D21242">
        <v>0.97410637054299998</v>
      </c>
      <c r="E21242">
        <v>23.040479760119901</v>
      </c>
    </row>
    <row r="21243" spans="1:5">
      <c r="A21243" t="s">
        <v>24668</v>
      </c>
      <c r="B21243" t="s">
        <v>24669</v>
      </c>
      <c r="C21243">
        <v>0</v>
      </c>
      <c r="D21243">
        <v>0.96156900677400003</v>
      </c>
      <c r="E21243">
        <v>0.73163418290854498</v>
      </c>
    </row>
    <row r="21244" spans="1:5">
      <c r="A21244" t="s">
        <v>24668</v>
      </c>
      <c r="B21244" t="s">
        <v>24670</v>
      </c>
      <c r="C21244">
        <v>0</v>
      </c>
      <c r="D21244">
        <v>0.96156900677400003</v>
      </c>
      <c r="E21244">
        <v>0.73163418290854498</v>
      </c>
    </row>
    <row r="21245" spans="1:5">
      <c r="A21245" t="s">
        <v>24668</v>
      </c>
      <c r="B21245" t="s">
        <v>24671</v>
      </c>
      <c r="C21245">
        <v>0</v>
      </c>
      <c r="D21245">
        <v>0.96156900677400003</v>
      </c>
      <c r="E21245">
        <v>0.73163418290854498</v>
      </c>
    </row>
    <row r="21246" spans="1:5">
      <c r="A21246" t="s">
        <v>24668</v>
      </c>
      <c r="B21246" t="s">
        <v>24672</v>
      </c>
      <c r="C21246">
        <v>0</v>
      </c>
      <c r="D21246">
        <v>0.96156900677400003</v>
      </c>
      <c r="E21246">
        <v>0.73163418290854498</v>
      </c>
    </row>
    <row r="21247" spans="1:5">
      <c r="A21247" t="s">
        <v>24668</v>
      </c>
      <c r="B21247" t="s">
        <v>24673</v>
      </c>
      <c r="C21247">
        <v>0</v>
      </c>
      <c r="D21247">
        <v>0.96156900677400003</v>
      </c>
      <c r="E21247">
        <v>0.73163418290854498</v>
      </c>
    </row>
    <row r="21248" spans="1:5">
      <c r="A21248" t="s">
        <v>24668</v>
      </c>
      <c r="B21248" t="s">
        <v>24674</v>
      </c>
      <c r="C21248">
        <v>0</v>
      </c>
      <c r="D21248">
        <v>0.96156900677400003</v>
      </c>
      <c r="E21248">
        <v>0.73163418290854498</v>
      </c>
    </row>
    <row r="21249" spans="1:5">
      <c r="A21249" t="s">
        <v>24668</v>
      </c>
      <c r="B21249" t="s">
        <v>24675</v>
      </c>
      <c r="C21249">
        <v>0.33388004008299998</v>
      </c>
      <c r="D21249">
        <v>0.96156900677400003</v>
      </c>
      <c r="E21249">
        <v>0.73163418290854498</v>
      </c>
    </row>
    <row r="21250" spans="1:5">
      <c r="A21250" t="s">
        <v>24668</v>
      </c>
      <c r="B21250" t="s">
        <v>24676</v>
      </c>
      <c r="C21250">
        <v>0.141783284185</v>
      </c>
      <c r="D21250">
        <v>0.96156900677400003</v>
      </c>
      <c r="E21250">
        <v>0.73163418290854498</v>
      </c>
    </row>
    <row r="21251" spans="1:5">
      <c r="A21251" t="s">
        <v>24668</v>
      </c>
      <c r="B21251" t="s">
        <v>24677</v>
      </c>
      <c r="C21251">
        <v>0</v>
      </c>
      <c r="D21251">
        <v>0.96156900677400003</v>
      </c>
      <c r="E21251">
        <v>0.73163418290854498</v>
      </c>
    </row>
    <row r="21252" spans="1:5">
      <c r="A21252" t="s">
        <v>24668</v>
      </c>
      <c r="B21252" t="s">
        <v>24678</v>
      </c>
      <c r="C21252">
        <v>0</v>
      </c>
      <c r="D21252">
        <v>0.96156900677400003</v>
      </c>
      <c r="E21252">
        <v>0.73163418290854498</v>
      </c>
    </row>
    <row r="21253" spans="1:5">
      <c r="A21253" t="s">
        <v>24679</v>
      </c>
      <c r="B21253" t="s">
        <v>24680</v>
      </c>
      <c r="C21253">
        <v>7.3192086017500005E-2</v>
      </c>
      <c r="D21253">
        <v>0.64366517058600003</v>
      </c>
      <c r="E21253">
        <v>15.1244377811094</v>
      </c>
    </row>
    <row r="21254" spans="1:5">
      <c r="A21254" t="s">
        <v>24681</v>
      </c>
      <c r="B21254" t="s">
        <v>24682</v>
      </c>
      <c r="C21254">
        <v>0.26025055826100002</v>
      </c>
      <c r="D21254" t="s">
        <v>106</v>
      </c>
      <c r="E21254">
        <v>16.491754122938499</v>
      </c>
    </row>
    <row r="21255" spans="1:5">
      <c r="A21255" t="s">
        <v>24681</v>
      </c>
      <c r="B21255" t="s">
        <v>24683</v>
      </c>
      <c r="C21255">
        <v>0</v>
      </c>
      <c r="D21255" t="s">
        <v>106</v>
      </c>
      <c r="E21255">
        <v>16.491754122938499</v>
      </c>
    </row>
    <row r="21256" spans="1:5">
      <c r="A21256" t="s">
        <v>24681</v>
      </c>
      <c r="B21256" t="s">
        <v>24684</v>
      </c>
      <c r="C21256">
        <v>0</v>
      </c>
      <c r="D21256" t="s">
        <v>106</v>
      </c>
      <c r="E21256">
        <v>16.491754122938499</v>
      </c>
    </row>
    <row r="21257" spans="1:5">
      <c r="A21257" t="s">
        <v>24681</v>
      </c>
      <c r="B21257" t="s">
        <v>24685</v>
      </c>
      <c r="C21257">
        <v>0</v>
      </c>
      <c r="D21257" t="s">
        <v>106</v>
      </c>
      <c r="E21257">
        <v>16.491754122938499</v>
      </c>
    </row>
    <row r="21258" spans="1:5">
      <c r="A21258" t="s">
        <v>24681</v>
      </c>
      <c r="B21258" t="s">
        <v>24686</v>
      </c>
      <c r="C21258">
        <v>0</v>
      </c>
      <c r="D21258" t="s">
        <v>106</v>
      </c>
      <c r="E21258">
        <v>16.491754122938499</v>
      </c>
    </row>
    <row r="21259" spans="1:5">
      <c r="A21259" t="s">
        <v>24681</v>
      </c>
      <c r="B21259" t="s">
        <v>24687</v>
      </c>
      <c r="C21259">
        <v>0</v>
      </c>
      <c r="D21259" t="s">
        <v>106</v>
      </c>
      <c r="E21259">
        <v>16.491754122938499</v>
      </c>
    </row>
    <row r="21260" spans="1:5">
      <c r="A21260" t="s">
        <v>24681</v>
      </c>
      <c r="B21260" t="s">
        <v>24688</v>
      </c>
      <c r="C21260">
        <v>0</v>
      </c>
      <c r="D21260" t="s">
        <v>106</v>
      </c>
      <c r="E21260">
        <v>16.491754122938499</v>
      </c>
    </row>
    <row r="21261" spans="1:5">
      <c r="A21261" t="s">
        <v>24681</v>
      </c>
      <c r="B21261" t="s">
        <v>24689</v>
      </c>
      <c r="C21261">
        <f>0</f>
        <v>0</v>
      </c>
      <c r="D21261" t="s">
        <v>106</v>
      </c>
      <c r="E21261">
        <v>16.491754122938499</v>
      </c>
    </row>
    <row r="21262" spans="1:5">
      <c r="A21262" t="s">
        <v>24690</v>
      </c>
      <c r="B21262" t="s">
        <v>24691</v>
      </c>
      <c r="C21262">
        <v>0</v>
      </c>
      <c r="D21262">
        <v>0.94994116881299995</v>
      </c>
      <c r="E21262">
        <v>24</v>
      </c>
    </row>
    <row r="21263" spans="1:5">
      <c r="A21263" t="s">
        <v>24690</v>
      </c>
      <c r="B21263" t="s">
        <v>24692</v>
      </c>
      <c r="C21263">
        <v>0</v>
      </c>
      <c r="D21263">
        <v>0.94994116881299995</v>
      </c>
      <c r="E21263">
        <v>24</v>
      </c>
    </row>
    <row r="21264" spans="1:5">
      <c r="A21264" t="s">
        <v>24690</v>
      </c>
      <c r="B21264" t="s">
        <v>24693</v>
      </c>
      <c r="C21264">
        <v>0</v>
      </c>
      <c r="D21264">
        <v>0.94994116881299995</v>
      </c>
      <c r="E21264">
        <v>24</v>
      </c>
    </row>
    <row r="21265" spans="1:5">
      <c r="A21265" t="s">
        <v>24690</v>
      </c>
      <c r="B21265" t="s">
        <v>24694</v>
      </c>
      <c r="C21265">
        <v>4.8448382195299998E-3</v>
      </c>
      <c r="D21265">
        <v>0.94994116881299995</v>
      </c>
      <c r="E21265">
        <v>24</v>
      </c>
    </row>
    <row r="21266" spans="1:5">
      <c r="A21266" t="s">
        <v>24690</v>
      </c>
      <c r="B21266" t="s">
        <v>24695</v>
      </c>
      <c r="C21266">
        <v>4.85221315286E-3</v>
      </c>
      <c r="D21266">
        <v>0.94994116881299995</v>
      </c>
      <c r="E21266">
        <v>24</v>
      </c>
    </row>
    <row r="21267" spans="1:5">
      <c r="A21267" t="s">
        <v>24690</v>
      </c>
      <c r="B21267" t="s">
        <v>24696</v>
      </c>
      <c r="C21267">
        <v>0</v>
      </c>
      <c r="D21267">
        <v>0.94994116881299995</v>
      </c>
      <c r="E21267">
        <v>24</v>
      </c>
    </row>
    <row r="21268" spans="1:5">
      <c r="A21268" t="s">
        <v>24697</v>
      </c>
      <c r="B21268" t="s">
        <v>24698</v>
      </c>
      <c r="C21268">
        <v>1.78323622269E-2</v>
      </c>
      <c r="D21268">
        <v>0.98894829158200004</v>
      </c>
      <c r="E21268">
        <v>24</v>
      </c>
    </row>
    <row r="21269" spans="1:5">
      <c r="A21269" t="s">
        <v>24697</v>
      </c>
      <c r="B21269" t="s">
        <v>24699</v>
      </c>
      <c r="C21269">
        <v>0</v>
      </c>
      <c r="D21269">
        <v>0.98894829158200004</v>
      </c>
      <c r="E21269">
        <v>24</v>
      </c>
    </row>
    <row r="21270" spans="1:5">
      <c r="A21270" t="s">
        <v>24697</v>
      </c>
      <c r="B21270" t="s">
        <v>24700</v>
      </c>
      <c r="C21270">
        <v>0</v>
      </c>
      <c r="D21270">
        <v>0.98894829158200004</v>
      </c>
      <c r="E21270">
        <v>24</v>
      </c>
    </row>
    <row r="21271" spans="1:5">
      <c r="A21271" t="s">
        <v>24697</v>
      </c>
      <c r="B21271" t="s">
        <v>24701</v>
      </c>
      <c r="C21271">
        <v>0</v>
      </c>
      <c r="D21271">
        <v>0.98894829158200004</v>
      </c>
      <c r="E21271">
        <v>24</v>
      </c>
    </row>
    <row r="21272" spans="1:5">
      <c r="A21272" t="s">
        <v>24697</v>
      </c>
      <c r="B21272" t="s">
        <v>24702</v>
      </c>
      <c r="C21272">
        <f>0</f>
        <v>0</v>
      </c>
      <c r="D21272">
        <v>0.98894829158200004</v>
      </c>
      <c r="E21272">
        <v>24</v>
      </c>
    </row>
    <row r="21273" spans="1:5">
      <c r="A21273" t="s">
        <v>24697</v>
      </c>
      <c r="B21273" t="s">
        <v>24703</v>
      </c>
      <c r="C21273">
        <v>0</v>
      </c>
      <c r="D21273">
        <v>0.98894829158200004</v>
      </c>
      <c r="E21273">
        <v>24</v>
      </c>
    </row>
    <row r="21274" spans="1:5">
      <c r="A21274" t="s">
        <v>24697</v>
      </c>
      <c r="B21274" t="s">
        <v>24704</v>
      </c>
      <c r="C21274">
        <v>5.4892907303599997E-2</v>
      </c>
      <c r="D21274">
        <v>0.98894829158200004</v>
      </c>
      <c r="E21274">
        <v>24</v>
      </c>
    </row>
    <row r="21275" spans="1:5">
      <c r="A21275" t="s">
        <v>24705</v>
      </c>
      <c r="B21275" t="s">
        <v>24706</v>
      </c>
      <c r="C21275">
        <f>0</f>
        <v>0</v>
      </c>
      <c r="D21275">
        <v>0.67685095001200002</v>
      </c>
      <c r="E21275">
        <v>15.316341829085401</v>
      </c>
    </row>
    <row r="21276" spans="1:5">
      <c r="A21276" t="s">
        <v>24705</v>
      </c>
      <c r="B21276" t="s">
        <v>24707</v>
      </c>
      <c r="C21276">
        <f>0</f>
        <v>0</v>
      </c>
      <c r="D21276">
        <v>0.67685095001200002</v>
      </c>
      <c r="E21276">
        <v>15.316341829085401</v>
      </c>
    </row>
    <row r="21277" spans="1:5">
      <c r="A21277" t="s">
        <v>24705</v>
      </c>
      <c r="B21277" t="s">
        <v>24708</v>
      </c>
      <c r="C21277">
        <f>0.0469314211791</f>
        <v>4.69314211791E-2</v>
      </c>
      <c r="D21277">
        <v>0.67685095001200002</v>
      </c>
      <c r="E21277">
        <v>15.316341829085401</v>
      </c>
    </row>
    <row r="21278" spans="1:5">
      <c r="A21278" t="s">
        <v>24705</v>
      </c>
      <c r="B21278" t="s">
        <v>24709</v>
      </c>
      <c r="C21278">
        <v>0</v>
      </c>
      <c r="D21278">
        <v>0.67685095001200002</v>
      </c>
      <c r="E21278">
        <v>15.316341829085401</v>
      </c>
    </row>
    <row r="21279" spans="1:5">
      <c r="A21279" t="s">
        <v>24705</v>
      </c>
      <c r="B21279" t="s">
        <v>24710</v>
      </c>
      <c r="C21279">
        <v>0</v>
      </c>
      <c r="D21279">
        <v>0.67685095001200002</v>
      </c>
      <c r="E21279">
        <v>15.316341829085401</v>
      </c>
    </row>
    <row r="21280" spans="1:5">
      <c r="A21280" t="s">
        <v>24705</v>
      </c>
      <c r="B21280" t="s">
        <v>24711</v>
      </c>
      <c r="C21280">
        <v>0</v>
      </c>
      <c r="D21280">
        <v>0.67685095001200002</v>
      </c>
      <c r="E21280">
        <v>15.316341829085401</v>
      </c>
    </row>
    <row r="21281" spans="1:5">
      <c r="A21281" t="s">
        <v>24705</v>
      </c>
      <c r="B21281" t="s">
        <v>24712</v>
      </c>
      <c r="C21281">
        <f>0</f>
        <v>0</v>
      </c>
      <c r="D21281">
        <v>0.67685095001200002</v>
      </c>
      <c r="E21281">
        <v>15.316341829085401</v>
      </c>
    </row>
    <row r="21282" spans="1:5">
      <c r="A21282" t="s">
        <v>24713</v>
      </c>
      <c r="B21282" t="s">
        <v>24714</v>
      </c>
      <c r="C21282">
        <v>0</v>
      </c>
      <c r="D21282">
        <v>0.97980816818799998</v>
      </c>
      <c r="E21282">
        <v>22.5727136431784</v>
      </c>
    </row>
    <row r="21283" spans="1:5">
      <c r="A21283" t="s">
        <v>24713</v>
      </c>
      <c r="B21283" t="s">
        <v>24715</v>
      </c>
      <c r="C21283">
        <f>0</f>
        <v>0</v>
      </c>
      <c r="D21283">
        <v>0.97980816818799998</v>
      </c>
      <c r="E21283">
        <v>22.5727136431784</v>
      </c>
    </row>
    <row r="21284" spans="1:5">
      <c r="A21284" t="s">
        <v>24713</v>
      </c>
      <c r="B21284" t="s">
        <v>24716</v>
      </c>
      <c r="C21284">
        <v>0</v>
      </c>
      <c r="D21284">
        <v>0.97980816818799998</v>
      </c>
      <c r="E21284">
        <v>22.5727136431784</v>
      </c>
    </row>
    <row r="21285" spans="1:5">
      <c r="A21285" t="s">
        <v>24713</v>
      </c>
      <c r="B21285" t="s">
        <v>24717</v>
      </c>
      <c r="C21285">
        <v>0</v>
      </c>
      <c r="D21285">
        <v>0.97980816818799998</v>
      </c>
      <c r="E21285">
        <v>22.5727136431784</v>
      </c>
    </row>
    <row r="21286" spans="1:5">
      <c r="A21286" t="s">
        <v>24713</v>
      </c>
      <c r="B21286" t="s">
        <v>24718</v>
      </c>
      <c r="C21286">
        <v>0</v>
      </c>
      <c r="D21286">
        <v>0.97980816818799998</v>
      </c>
      <c r="E21286">
        <v>22.5727136431784</v>
      </c>
    </row>
    <row r="21287" spans="1:5">
      <c r="A21287" t="s">
        <v>24713</v>
      </c>
      <c r="B21287" t="s">
        <v>24719</v>
      </c>
      <c r="C21287">
        <v>0</v>
      </c>
      <c r="D21287">
        <v>0.97980816818799998</v>
      </c>
      <c r="E21287">
        <v>22.5727136431784</v>
      </c>
    </row>
    <row r="21288" spans="1:5">
      <c r="A21288" t="s">
        <v>24713</v>
      </c>
      <c r="B21288" t="s">
        <v>24720</v>
      </c>
      <c r="C21288">
        <v>0</v>
      </c>
      <c r="D21288">
        <v>0.97980816818799998</v>
      </c>
      <c r="E21288">
        <v>22.5727136431784</v>
      </c>
    </row>
    <row r="21289" spans="1:5">
      <c r="A21289" t="s">
        <v>24721</v>
      </c>
      <c r="B21289" t="s">
        <v>24722</v>
      </c>
      <c r="C21289">
        <v>0</v>
      </c>
      <c r="D21289">
        <v>0.91721671173200003</v>
      </c>
      <c r="E21289">
        <v>6.0569715142428704</v>
      </c>
    </row>
    <row r="21290" spans="1:5">
      <c r="A21290" t="s">
        <v>24721</v>
      </c>
      <c r="B21290" t="s">
        <v>24723</v>
      </c>
      <c r="C21290">
        <f>0</f>
        <v>0</v>
      </c>
      <c r="D21290">
        <v>0.91721671173200003</v>
      </c>
      <c r="E21290">
        <v>6.0569715142428704</v>
      </c>
    </row>
    <row r="21291" spans="1:5">
      <c r="A21291" t="s">
        <v>24721</v>
      </c>
      <c r="B21291" t="s">
        <v>24724</v>
      </c>
      <c r="C21291">
        <f>0</f>
        <v>0</v>
      </c>
      <c r="D21291">
        <v>0.91721671173200003</v>
      </c>
      <c r="E21291">
        <v>6.0569715142428704</v>
      </c>
    </row>
    <row r="21292" spans="1:5">
      <c r="A21292" t="s">
        <v>24721</v>
      </c>
      <c r="B21292" t="s">
        <v>24725</v>
      </c>
      <c r="C21292">
        <f>0</f>
        <v>0</v>
      </c>
      <c r="D21292">
        <v>0.91721671173200003</v>
      </c>
      <c r="E21292">
        <v>6.0569715142428704</v>
      </c>
    </row>
    <row r="21293" spans="1:5">
      <c r="A21293" t="s">
        <v>24726</v>
      </c>
      <c r="B21293" t="s">
        <v>24727</v>
      </c>
      <c r="C21293">
        <f>0.0173065250789</f>
        <v>1.7306525078900001E-2</v>
      </c>
      <c r="D21293">
        <v>0.98166037289399999</v>
      </c>
      <c r="E21293">
        <v>18.554722638680602</v>
      </c>
    </row>
    <row r="21294" spans="1:5">
      <c r="A21294" t="s">
        <v>24726</v>
      </c>
      <c r="B21294" t="s">
        <v>24728</v>
      </c>
      <c r="C21294">
        <v>0.21639795945699999</v>
      </c>
      <c r="D21294">
        <v>0.98166037289399999</v>
      </c>
      <c r="E21294">
        <v>18.554722638680602</v>
      </c>
    </row>
    <row r="21295" spans="1:5">
      <c r="A21295" t="s">
        <v>24726</v>
      </c>
      <c r="B21295" t="s">
        <v>24729</v>
      </c>
      <c r="C21295">
        <v>0</v>
      </c>
      <c r="D21295">
        <v>0.98166037289399999</v>
      </c>
      <c r="E21295">
        <v>18.554722638680602</v>
      </c>
    </row>
    <row r="21296" spans="1:5">
      <c r="A21296" t="s">
        <v>24726</v>
      </c>
      <c r="B21296" t="s">
        <v>24730</v>
      </c>
      <c r="C21296">
        <v>0</v>
      </c>
      <c r="D21296">
        <v>0.98166037289399999</v>
      </c>
      <c r="E21296">
        <v>18.554722638680602</v>
      </c>
    </row>
    <row r="21297" spans="1:5">
      <c r="A21297" t="s">
        <v>24726</v>
      </c>
      <c r="B21297" t="s">
        <v>24731</v>
      </c>
      <c r="C21297">
        <v>0</v>
      </c>
      <c r="D21297">
        <v>0.98166037289399999</v>
      </c>
      <c r="E21297">
        <v>18.554722638680602</v>
      </c>
    </row>
    <row r="21298" spans="1:5">
      <c r="A21298" t="s">
        <v>24732</v>
      </c>
      <c r="B21298" t="s">
        <v>24733</v>
      </c>
      <c r="C21298">
        <v>0</v>
      </c>
      <c r="D21298">
        <v>0.98553834434700005</v>
      </c>
      <c r="E21298">
        <v>1.96701649175412</v>
      </c>
    </row>
    <row r="21299" spans="1:5">
      <c r="A21299" t="s">
        <v>24732</v>
      </c>
      <c r="B21299" t="s">
        <v>24734</v>
      </c>
      <c r="C21299">
        <v>0</v>
      </c>
      <c r="D21299">
        <v>0.98553834434700005</v>
      </c>
      <c r="E21299">
        <v>1.96701649175412</v>
      </c>
    </row>
    <row r="21300" spans="1:5">
      <c r="A21300" t="s">
        <v>24732</v>
      </c>
      <c r="B21300" t="s">
        <v>24735</v>
      </c>
      <c r="C21300">
        <v>8.1444401643100003E-2</v>
      </c>
      <c r="D21300">
        <v>0.98553834434700005</v>
      </c>
      <c r="E21300">
        <v>1.96701649175412</v>
      </c>
    </row>
    <row r="21301" spans="1:5">
      <c r="A21301" t="s">
        <v>24732</v>
      </c>
      <c r="B21301" t="s">
        <v>24736</v>
      </c>
      <c r="C21301">
        <v>0.52317359405599995</v>
      </c>
      <c r="D21301">
        <v>0.98553834434700005</v>
      </c>
      <c r="E21301">
        <v>1.96701649175412</v>
      </c>
    </row>
    <row r="21302" spans="1:5">
      <c r="A21302" t="s">
        <v>24732</v>
      </c>
      <c r="B21302" t="s">
        <v>24737</v>
      </c>
      <c r="C21302">
        <v>0</v>
      </c>
      <c r="D21302">
        <v>0.98553834434700005</v>
      </c>
      <c r="E21302">
        <v>1.96701649175412</v>
      </c>
    </row>
    <row r="21303" spans="1:5">
      <c r="A21303" t="s">
        <v>24732</v>
      </c>
      <c r="B21303" t="s">
        <v>24738</v>
      </c>
      <c r="C21303">
        <v>0</v>
      </c>
      <c r="D21303">
        <v>0.98553834434700005</v>
      </c>
      <c r="E21303">
        <v>1.96701649175412</v>
      </c>
    </row>
    <row r="21304" spans="1:5">
      <c r="A21304" t="s">
        <v>24732</v>
      </c>
      <c r="B21304" t="s">
        <v>24739</v>
      </c>
      <c r="C21304">
        <f>0</f>
        <v>0</v>
      </c>
      <c r="D21304">
        <v>0.98553834434700005</v>
      </c>
      <c r="E21304">
        <v>1.96701649175412</v>
      </c>
    </row>
    <row r="21305" spans="1:5">
      <c r="A21305" t="s">
        <v>24732</v>
      </c>
      <c r="B21305" t="s">
        <v>24740</v>
      </c>
      <c r="C21305">
        <v>0</v>
      </c>
      <c r="D21305">
        <v>0.98553834434700005</v>
      </c>
      <c r="E21305">
        <v>1.96701649175412</v>
      </c>
    </row>
    <row r="21306" spans="1:5">
      <c r="A21306" t="s">
        <v>24732</v>
      </c>
      <c r="B21306" t="s">
        <v>24741</v>
      </c>
      <c r="C21306">
        <v>0</v>
      </c>
      <c r="D21306">
        <v>0.98553834434700005</v>
      </c>
      <c r="E21306">
        <v>1.96701649175412</v>
      </c>
    </row>
    <row r="21307" spans="1:5">
      <c r="A21307" t="s">
        <v>24732</v>
      </c>
      <c r="B21307" t="s">
        <v>24742</v>
      </c>
      <c r="C21307">
        <v>0</v>
      </c>
      <c r="D21307">
        <v>0.98553834434700005</v>
      </c>
      <c r="E21307">
        <v>1.96701649175412</v>
      </c>
    </row>
    <row r="21308" spans="1:5">
      <c r="A21308" t="s">
        <v>24732</v>
      </c>
      <c r="B21308" t="s">
        <v>24743</v>
      </c>
      <c r="C21308">
        <v>0</v>
      </c>
      <c r="D21308">
        <v>0.98553834434700005</v>
      </c>
      <c r="E21308">
        <v>1.96701649175412</v>
      </c>
    </row>
    <row r="21309" spans="1:5">
      <c r="A21309" t="s">
        <v>24744</v>
      </c>
      <c r="B21309" t="s">
        <v>24745</v>
      </c>
      <c r="C21309">
        <v>2.0920683001200001E-2</v>
      </c>
      <c r="D21309">
        <v>0.99550705444700005</v>
      </c>
      <c r="E21309">
        <v>10.5547226386806</v>
      </c>
    </row>
    <row r="21310" spans="1:5">
      <c r="A21310" t="s">
        <v>24744</v>
      </c>
      <c r="B21310" t="s">
        <v>24746</v>
      </c>
      <c r="C21310">
        <v>0</v>
      </c>
      <c r="D21310">
        <v>0.99550705444700005</v>
      </c>
      <c r="E21310">
        <v>10.5547226386806</v>
      </c>
    </row>
    <row r="21311" spans="1:5">
      <c r="A21311" t="s">
        <v>24744</v>
      </c>
      <c r="B21311" t="s">
        <v>24747</v>
      </c>
      <c r="C21311">
        <v>0</v>
      </c>
      <c r="D21311">
        <v>0.99550705444700005</v>
      </c>
      <c r="E21311">
        <v>10.5547226386806</v>
      </c>
    </row>
    <row r="21312" spans="1:5">
      <c r="A21312" t="s">
        <v>24744</v>
      </c>
      <c r="B21312" t="s">
        <v>24748</v>
      </c>
      <c r="C21312">
        <v>1.6206923598600001E-2</v>
      </c>
      <c r="D21312">
        <v>0.99550705444700005</v>
      </c>
      <c r="E21312">
        <v>10.5547226386806</v>
      </c>
    </row>
    <row r="21313" spans="1:5">
      <c r="A21313" t="s">
        <v>24744</v>
      </c>
      <c r="B21313" t="s">
        <v>24749</v>
      </c>
      <c r="C21313">
        <v>0</v>
      </c>
      <c r="D21313">
        <v>0.99550705444700005</v>
      </c>
      <c r="E21313">
        <v>10.5547226386806</v>
      </c>
    </row>
    <row r="21314" spans="1:5">
      <c r="A21314" t="s">
        <v>24744</v>
      </c>
      <c r="B21314" t="s">
        <v>24750</v>
      </c>
      <c r="C21314">
        <v>0</v>
      </c>
      <c r="D21314">
        <v>0.99550705444700005</v>
      </c>
      <c r="E21314">
        <v>10.5547226386806</v>
      </c>
    </row>
    <row r="21315" spans="1:5">
      <c r="A21315" t="s">
        <v>24744</v>
      </c>
      <c r="B21315" t="s">
        <v>24751</v>
      </c>
      <c r="C21315">
        <v>0</v>
      </c>
      <c r="D21315">
        <v>0.99550705444700005</v>
      </c>
      <c r="E21315">
        <v>10.5547226386806</v>
      </c>
    </row>
    <row r="21316" spans="1:5">
      <c r="A21316" t="s">
        <v>24744</v>
      </c>
      <c r="B21316" t="s">
        <v>24752</v>
      </c>
      <c r="C21316">
        <v>0</v>
      </c>
      <c r="D21316">
        <v>0.99550705444700005</v>
      </c>
      <c r="E21316">
        <v>10.5547226386806</v>
      </c>
    </row>
    <row r="21317" spans="1:5">
      <c r="A21317" t="s">
        <v>24753</v>
      </c>
      <c r="B21317" t="s">
        <v>24754</v>
      </c>
      <c r="C21317">
        <v>0</v>
      </c>
      <c r="D21317">
        <v>0.99249796846500005</v>
      </c>
      <c r="E21317">
        <v>12.9175412293853</v>
      </c>
    </row>
    <row r="21318" spans="1:5">
      <c r="A21318" t="s">
        <v>24753</v>
      </c>
      <c r="B21318" t="s">
        <v>24755</v>
      </c>
      <c r="C21318">
        <v>0.16474135654200001</v>
      </c>
      <c r="D21318">
        <v>0.99249796846500005</v>
      </c>
      <c r="E21318">
        <v>12.9175412293853</v>
      </c>
    </row>
    <row r="21319" spans="1:5">
      <c r="A21319" t="s">
        <v>24753</v>
      </c>
      <c r="B21319" t="s">
        <v>24756</v>
      </c>
      <c r="C21319">
        <v>0</v>
      </c>
      <c r="D21319">
        <v>0.99249796846500005</v>
      </c>
      <c r="E21319">
        <v>12.9175412293853</v>
      </c>
    </row>
    <row r="21320" spans="1:5">
      <c r="A21320" t="s">
        <v>24753</v>
      </c>
      <c r="B21320" t="s">
        <v>24757</v>
      </c>
      <c r="C21320">
        <v>0</v>
      </c>
      <c r="D21320">
        <v>0.99249796846500005</v>
      </c>
      <c r="E21320">
        <v>12.9175412293853</v>
      </c>
    </row>
    <row r="21321" spans="1:5">
      <c r="A21321" t="s">
        <v>24753</v>
      </c>
      <c r="B21321" t="s">
        <v>24758</v>
      </c>
      <c r="C21321">
        <v>0</v>
      </c>
      <c r="D21321">
        <v>0.99249796846500005</v>
      </c>
      <c r="E21321">
        <v>12.9175412293853</v>
      </c>
    </row>
    <row r="21322" spans="1:5">
      <c r="A21322" t="s">
        <v>24753</v>
      </c>
      <c r="B21322" t="s">
        <v>24759</v>
      </c>
      <c r="C21322">
        <f>0</f>
        <v>0</v>
      </c>
      <c r="D21322">
        <v>0.99249796846500005</v>
      </c>
      <c r="E21322">
        <v>12.9175412293853</v>
      </c>
    </row>
    <row r="21323" spans="1:5">
      <c r="A21323" t="s">
        <v>24753</v>
      </c>
      <c r="B21323" t="s">
        <v>24760</v>
      </c>
      <c r="C21323">
        <f>0</f>
        <v>0</v>
      </c>
      <c r="D21323">
        <v>0.99249796846500005</v>
      </c>
      <c r="E21323">
        <v>12.9175412293853</v>
      </c>
    </row>
    <row r="21324" spans="1:5">
      <c r="A21324" t="s">
        <v>24753</v>
      </c>
      <c r="B21324" t="s">
        <v>24761</v>
      </c>
      <c r="C21324">
        <f>0</f>
        <v>0</v>
      </c>
      <c r="D21324">
        <v>0.99249796846500005</v>
      </c>
      <c r="E21324">
        <v>12.9175412293853</v>
      </c>
    </row>
    <row r="21325" spans="1:5">
      <c r="A21325" t="s">
        <v>24753</v>
      </c>
      <c r="B21325" t="s">
        <v>24762</v>
      </c>
      <c r="C21325">
        <v>0</v>
      </c>
      <c r="D21325">
        <v>0.99249796846500005</v>
      </c>
      <c r="E21325">
        <v>12.9175412293853</v>
      </c>
    </row>
    <row r="21326" spans="1:5">
      <c r="A21326" t="s">
        <v>24753</v>
      </c>
      <c r="B21326" t="s">
        <v>24763</v>
      </c>
      <c r="C21326">
        <v>0</v>
      </c>
      <c r="D21326">
        <v>0.99249796846500005</v>
      </c>
      <c r="E21326">
        <v>12.9175412293853</v>
      </c>
    </row>
    <row r="21327" spans="1:5">
      <c r="A21327" t="s">
        <v>24753</v>
      </c>
      <c r="B21327" t="s">
        <v>24764</v>
      </c>
      <c r="C21327">
        <f>0</f>
        <v>0</v>
      </c>
      <c r="D21327">
        <v>0.99249796846500005</v>
      </c>
      <c r="E21327">
        <v>12.9175412293853</v>
      </c>
    </row>
    <row r="21328" spans="1:5">
      <c r="A21328" t="s">
        <v>24753</v>
      </c>
      <c r="B21328" t="s">
        <v>24765</v>
      </c>
      <c r="C21328">
        <v>0</v>
      </c>
      <c r="D21328">
        <v>0.99249796846500005</v>
      </c>
      <c r="E21328">
        <v>12.9175412293853</v>
      </c>
    </row>
    <row r="21329" spans="1:5">
      <c r="A21329" t="s">
        <v>24753</v>
      </c>
      <c r="B21329" t="s">
        <v>24766</v>
      </c>
      <c r="C21329">
        <v>2.3829153476099998E-2</v>
      </c>
      <c r="D21329">
        <v>0.99249796846500005</v>
      </c>
      <c r="E21329">
        <v>12.9175412293853</v>
      </c>
    </row>
    <row r="21330" spans="1:5">
      <c r="A21330" t="s">
        <v>24753</v>
      </c>
      <c r="B21330" t="s">
        <v>24767</v>
      </c>
      <c r="C21330">
        <v>0</v>
      </c>
      <c r="D21330">
        <v>0.99249796846500005</v>
      </c>
      <c r="E21330">
        <v>12.9175412293853</v>
      </c>
    </row>
    <row r="21331" spans="1:5">
      <c r="A21331" t="s">
        <v>24753</v>
      </c>
      <c r="B21331" t="s">
        <v>24768</v>
      </c>
      <c r="C21331">
        <f>0</f>
        <v>0</v>
      </c>
      <c r="D21331">
        <v>0.99249796846500005</v>
      </c>
      <c r="E21331">
        <v>12.9175412293853</v>
      </c>
    </row>
    <row r="21332" spans="1:5">
      <c r="A21332" t="s">
        <v>24753</v>
      </c>
      <c r="B21332" t="s">
        <v>24769</v>
      </c>
      <c r="C21332">
        <v>0</v>
      </c>
      <c r="D21332">
        <v>0.99249796846500005</v>
      </c>
      <c r="E21332">
        <v>12.9175412293853</v>
      </c>
    </row>
    <row r="21333" spans="1:5">
      <c r="A21333" t="s">
        <v>24753</v>
      </c>
      <c r="B21333" t="s">
        <v>24770</v>
      </c>
      <c r="C21333">
        <f>0</f>
        <v>0</v>
      </c>
      <c r="D21333">
        <v>0.99249796846500005</v>
      </c>
      <c r="E21333">
        <v>12.9175412293853</v>
      </c>
    </row>
    <row r="21334" spans="1:5">
      <c r="A21334" t="s">
        <v>24753</v>
      </c>
      <c r="B21334" t="s">
        <v>24771</v>
      </c>
      <c r="C21334">
        <v>0</v>
      </c>
      <c r="D21334">
        <v>0.99249796846500005</v>
      </c>
      <c r="E21334">
        <v>12.9175412293853</v>
      </c>
    </row>
    <row r="21335" spans="1:5">
      <c r="A21335" t="s">
        <v>24772</v>
      </c>
      <c r="B21335" t="s">
        <v>24773</v>
      </c>
      <c r="C21335">
        <v>0</v>
      </c>
      <c r="D21335">
        <v>0.96827181057800005</v>
      </c>
      <c r="E21335">
        <v>19.4182908545727</v>
      </c>
    </row>
    <row r="21336" spans="1:5">
      <c r="A21336" t="s">
        <v>24772</v>
      </c>
      <c r="B21336" t="s">
        <v>24774</v>
      </c>
      <c r="C21336">
        <f>0</f>
        <v>0</v>
      </c>
      <c r="D21336">
        <v>0.96827181057800005</v>
      </c>
      <c r="E21336">
        <v>19.4182908545727</v>
      </c>
    </row>
    <row r="21337" spans="1:5">
      <c r="A21337" t="s">
        <v>24772</v>
      </c>
      <c r="B21337" t="s">
        <v>24775</v>
      </c>
      <c r="C21337">
        <v>0</v>
      </c>
      <c r="D21337">
        <v>0.96827181057800005</v>
      </c>
      <c r="E21337">
        <v>19.4182908545727</v>
      </c>
    </row>
    <row r="21338" spans="1:5">
      <c r="A21338" t="s">
        <v>24772</v>
      </c>
      <c r="B21338" t="s">
        <v>24776</v>
      </c>
      <c r="C21338">
        <v>4.6580745168000003E-2</v>
      </c>
      <c r="D21338">
        <v>0.96827181057800005</v>
      </c>
      <c r="E21338">
        <v>19.4182908545727</v>
      </c>
    </row>
    <row r="21339" spans="1:5">
      <c r="A21339" t="s">
        <v>24772</v>
      </c>
      <c r="B21339" t="s">
        <v>24777</v>
      </c>
      <c r="C21339">
        <v>0</v>
      </c>
      <c r="D21339">
        <v>0.96827181057800005</v>
      </c>
      <c r="E21339">
        <v>19.4182908545727</v>
      </c>
    </row>
    <row r="21340" spans="1:5">
      <c r="A21340" t="s">
        <v>24772</v>
      </c>
      <c r="B21340" t="s">
        <v>24778</v>
      </c>
      <c r="C21340">
        <v>0</v>
      </c>
      <c r="D21340">
        <v>0.96827181057800005</v>
      </c>
      <c r="E21340">
        <v>19.4182908545727</v>
      </c>
    </row>
    <row r="21341" spans="1:5">
      <c r="A21341" t="s">
        <v>24772</v>
      </c>
      <c r="B21341" t="s">
        <v>24779</v>
      </c>
      <c r="C21341">
        <v>0</v>
      </c>
      <c r="D21341">
        <v>0.96827181057800005</v>
      </c>
      <c r="E21341">
        <v>19.4182908545727</v>
      </c>
    </row>
    <row r="21342" spans="1:5">
      <c r="A21342" t="s">
        <v>24780</v>
      </c>
      <c r="B21342" t="s">
        <v>24781</v>
      </c>
      <c r="C21342">
        <v>0</v>
      </c>
      <c r="D21342">
        <v>0.65542885401700002</v>
      </c>
      <c r="E21342">
        <v>5.5772113943028403</v>
      </c>
    </row>
    <row r="21343" spans="1:5">
      <c r="A21343" t="s">
        <v>24780</v>
      </c>
      <c r="B21343" t="s">
        <v>24782</v>
      </c>
      <c r="C21343">
        <v>1.61049403658E-3</v>
      </c>
      <c r="D21343">
        <v>0.65542885401700002</v>
      </c>
      <c r="E21343">
        <v>5.5772113943028403</v>
      </c>
    </row>
    <row r="21344" spans="1:5">
      <c r="A21344" t="s">
        <v>24780</v>
      </c>
      <c r="B21344" t="s">
        <v>24783</v>
      </c>
      <c r="C21344">
        <v>0</v>
      </c>
      <c r="D21344">
        <v>0.65542885401700002</v>
      </c>
      <c r="E21344">
        <v>5.5772113943028403</v>
      </c>
    </row>
    <row r="21345" spans="1:5">
      <c r="A21345" t="s">
        <v>24784</v>
      </c>
      <c r="B21345" t="s">
        <v>24785</v>
      </c>
      <c r="C21345">
        <f>0</f>
        <v>0</v>
      </c>
      <c r="D21345">
        <v>0.95692499629700001</v>
      </c>
      <c r="E21345">
        <v>5.1214392803598203</v>
      </c>
    </row>
    <row r="21346" spans="1:5">
      <c r="A21346" t="s">
        <v>24786</v>
      </c>
      <c r="B21346" t="s">
        <v>24787</v>
      </c>
      <c r="C21346">
        <f>0</f>
        <v>0</v>
      </c>
      <c r="D21346" t="s">
        <v>106</v>
      </c>
      <c r="E21346">
        <v>3.13043478260869</v>
      </c>
    </row>
    <row r="21347" spans="1:5">
      <c r="A21347" t="s">
        <v>24786</v>
      </c>
      <c r="B21347" t="s">
        <v>24788</v>
      </c>
      <c r="C21347">
        <v>0</v>
      </c>
      <c r="D21347" t="s">
        <v>106</v>
      </c>
      <c r="E21347">
        <v>3.13043478260869</v>
      </c>
    </row>
    <row r="21348" spans="1:5">
      <c r="A21348" t="s">
        <v>24786</v>
      </c>
      <c r="B21348" t="s">
        <v>24789</v>
      </c>
      <c r="C21348">
        <v>0</v>
      </c>
      <c r="D21348" t="s">
        <v>106</v>
      </c>
      <c r="E21348">
        <v>3.13043478260869</v>
      </c>
    </row>
    <row r="21349" spans="1:5">
      <c r="A21349" t="s">
        <v>24790</v>
      </c>
      <c r="B21349" t="s">
        <v>24791</v>
      </c>
      <c r="C21349">
        <v>0.24380291564699999</v>
      </c>
      <c r="D21349">
        <v>0.95518601908800005</v>
      </c>
      <c r="E21349">
        <v>9.7631184407796106</v>
      </c>
    </row>
    <row r="21350" spans="1:5">
      <c r="A21350" t="s">
        <v>24790</v>
      </c>
      <c r="B21350" t="s">
        <v>24792</v>
      </c>
      <c r="C21350">
        <v>0</v>
      </c>
      <c r="D21350">
        <v>0.95518601908800005</v>
      </c>
      <c r="E21350">
        <v>9.7631184407796106</v>
      </c>
    </row>
    <row r="21351" spans="1:5">
      <c r="A21351" t="s">
        <v>24790</v>
      </c>
      <c r="B21351" t="s">
        <v>24793</v>
      </c>
      <c r="C21351">
        <v>0</v>
      </c>
      <c r="D21351">
        <v>0.95518601908800005</v>
      </c>
      <c r="E21351">
        <v>9.7631184407796106</v>
      </c>
    </row>
    <row r="21352" spans="1:5">
      <c r="A21352" t="s">
        <v>24790</v>
      </c>
      <c r="B21352" t="s">
        <v>24794</v>
      </c>
      <c r="C21352">
        <v>7.2401637085600004E-2</v>
      </c>
      <c r="D21352">
        <v>0.95518601908800005</v>
      </c>
      <c r="E21352">
        <v>9.7631184407796106</v>
      </c>
    </row>
    <row r="21353" spans="1:5">
      <c r="A21353" t="s">
        <v>24790</v>
      </c>
      <c r="B21353" t="s">
        <v>24795</v>
      </c>
      <c r="C21353">
        <v>0</v>
      </c>
      <c r="D21353">
        <v>0.95518601908800005</v>
      </c>
      <c r="E21353">
        <v>9.7631184407796106</v>
      </c>
    </row>
    <row r="21354" spans="1:5">
      <c r="A21354" t="s">
        <v>24790</v>
      </c>
      <c r="B21354" t="s">
        <v>24796</v>
      </c>
      <c r="C21354">
        <v>0</v>
      </c>
      <c r="D21354">
        <v>0.95518601908800005</v>
      </c>
      <c r="E21354">
        <v>9.7631184407796106</v>
      </c>
    </row>
    <row r="21355" spans="1:5">
      <c r="A21355" t="s">
        <v>24790</v>
      </c>
      <c r="B21355" t="s">
        <v>24797</v>
      </c>
      <c r="C21355">
        <v>0</v>
      </c>
      <c r="D21355">
        <v>0.95518601908800005</v>
      </c>
      <c r="E21355">
        <v>9.7631184407796106</v>
      </c>
    </row>
    <row r="21356" spans="1:5">
      <c r="A21356" t="s">
        <v>24798</v>
      </c>
      <c r="B21356" t="s">
        <v>24799</v>
      </c>
      <c r="C21356">
        <v>0</v>
      </c>
      <c r="D21356">
        <v>0.96214500859700003</v>
      </c>
      <c r="E21356">
        <v>12.7376311844077</v>
      </c>
    </row>
    <row r="21357" spans="1:5">
      <c r="A21357" t="s">
        <v>24798</v>
      </c>
      <c r="B21357" t="s">
        <v>24800</v>
      </c>
      <c r="C21357">
        <v>0</v>
      </c>
      <c r="D21357">
        <v>0.96214500859700003</v>
      </c>
      <c r="E21357">
        <v>12.7376311844077</v>
      </c>
    </row>
    <row r="21358" spans="1:5">
      <c r="A21358" t="s">
        <v>24798</v>
      </c>
      <c r="B21358" t="s">
        <v>24801</v>
      </c>
      <c r="C21358">
        <v>0.13236378046300001</v>
      </c>
      <c r="D21358">
        <v>0.96214500859700003</v>
      </c>
      <c r="E21358">
        <v>12.7376311844077</v>
      </c>
    </row>
    <row r="21359" spans="1:5">
      <c r="A21359" t="s">
        <v>24798</v>
      </c>
      <c r="B21359" t="s">
        <v>24802</v>
      </c>
      <c r="C21359">
        <v>6.1164393440100003E-2</v>
      </c>
      <c r="D21359">
        <v>0.96214500859700003</v>
      </c>
      <c r="E21359">
        <v>12.7376311844077</v>
      </c>
    </row>
    <row r="21360" spans="1:5">
      <c r="A21360" t="s">
        <v>24803</v>
      </c>
      <c r="B21360" t="s">
        <v>24804</v>
      </c>
      <c r="C21360">
        <f>0</f>
        <v>0</v>
      </c>
      <c r="D21360">
        <v>0.96965531822700002</v>
      </c>
      <c r="E21360">
        <v>20.509745127436201</v>
      </c>
    </row>
    <row r="21361" spans="1:5">
      <c r="A21361" t="s">
        <v>24803</v>
      </c>
      <c r="B21361" t="s">
        <v>24805</v>
      </c>
      <c r="C21361">
        <v>0</v>
      </c>
      <c r="D21361">
        <v>0.96965531822700002</v>
      </c>
      <c r="E21361">
        <v>20.509745127436201</v>
      </c>
    </row>
    <row r="21362" spans="1:5">
      <c r="A21362" t="s">
        <v>24803</v>
      </c>
      <c r="B21362" t="s">
        <v>24806</v>
      </c>
      <c r="C21362">
        <v>0</v>
      </c>
      <c r="D21362">
        <v>0.96965531822700002</v>
      </c>
      <c r="E21362">
        <v>20.509745127436201</v>
      </c>
    </row>
    <row r="21363" spans="1:5">
      <c r="A21363" t="s">
        <v>24803</v>
      </c>
      <c r="B21363" t="s">
        <v>24807</v>
      </c>
      <c r="C21363">
        <v>0.105866077844</v>
      </c>
      <c r="D21363">
        <v>0.96965531822700002</v>
      </c>
      <c r="E21363">
        <v>20.509745127436201</v>
      </c>
    </row>
    <row r="21364" spans="1:5">
      <c r="A21364" t="s">
        <v>24803</v>
      </c>
      <c r="B21364" t="s">
        <v>24808</v>
      </c>
      <c r="C21364">
        <v>0</v>
      </c>
      <c r="D21364">
        <v>0.96965531822700002</v>
      </c>
      <c r="E21364">
        <v>20.509745127436201</v>
      </c>
    </row>
    <row r="21365" spans="1:5">
      <c r="A21365" t="s">
        <v>24803</v>
      </c>
      <c r="B21365" t="s">
        <v>24809</v>
      </c>
      <c r="C21365">
        <v>3.4865663127999998E-2</v>
      </c>
      <c r="D21365">
        <v>0.96965531822700002</v>
      </c>
      <c r="E21365">
        <v>20.509745127436201</v>
      </c>
    </row>
    <row r="21366" spans="1:5">
      <c r="A21366" t="s">
        <v>24803</v>
      </c>
      <c r="B21366" t="s">
        <v>24810</v>
      </c>
      <c r="C21366">
        <v>0</v>
      </c>
      <c r="D21366">
        <v>0.96965531822700002</v>
      </c>
      <c r="E21366">
        <v>20.509745127436201</v>
      </c>
    </row>
    <row r="21367" spans="1:5">
      <c r="A21367" t="s">
        <v>24803</v>
      </c>
      <c r="B21367" t="s">
        <v>24811</v>
      </c>
      <c r="C21367">
        <v>0</v>
      </c>
      <c r="D21367">
        <v>0.96965531822700002</v>
      </c>
      <c r="E21367">
        <v>20.509745127436201</v>
      </c>
    </row>
    <row r="21368" spans="1:5">
      <c r="A21368" t="s">
        <v>24803</v>
      </c>
      <c r="B21368" t="s">
        <v>24812</v>
      </c>
      <c r="C21368">
        <v>0</v>
      </c>
      <c r="D21368">
        <v>0.96965531822700002</v>
      </c>
      <c r="E21368">
        <v>20.509745127436201</v>
      </c>
    </row>
    <row r="21369" spans="1:5">
      <c r="A21369" t="s">
        <v>24803</v>
      </c>
      <c r="B21369" t="s">
        <v>24813</v>
      </c>
      <c r="C21369">
        <v>0</v>
      </c>
      <c r="D21369">
        <v>0.96965531822700002</v>
      </c>
      <c r="E21369">
        <v>20.509745127436201</v>
      </c>
    </row>
    <row r="21370" spans="1:5">
      <c r="A21370" t="s">
        <v>24803</v>
      </c>
      <c r="B21370" t="s">
        <v>24814</v>
      </c>
      <c r="C21370">
        <f>0</f>
        <v>0</v>
      </c>
      <c r="D21370">
        <v>0.96965531822700002</v>
      </c>
      <c r="E21370">
        <v>20.509745127436201</v>
      </c>
    </row>
    <row r="21371" spans="1:5">
      <c r="A21371" t="s">
        <v>24815</v>
      </c>
      <c r="B21371" t="s">
        <v>24816</v>
      </c>
      <c r="C21371">
        <v>0</v>
      </c>
      <c r="D21371">
        <v>0.86846276419799995</v>
      </c>
      <c r="E21371">
        <v>1.51124437781109</v>
      </c>
    </row>
    <row r="21372" spans="1:5">
      <c r="A21372" t="s">
        <v>24815</v>
      </c>
      <c r="B21372" t="s">
        <v>24817</v>
      </c>
      <c r="C21372">
        <v>3.8167901931400001E-3</v>
      </c>
      <c r="D21372">
        <v>0.86846276419799995</v>
      </c>
      <c r="E21372">
        <v>1.51124437781109</v>
      </c>
    </row>
    <row r="21373" spans="1:5">
      <c r="A21373" t="s">
        <v>24815</v>
      </c>
      <c r="B21373" t="s">
        <v>24818</v>
      </c>
      <c r="C21373">
        <f>0</f>
        <v>0</v>
      </c>
      <c r="D21373">
        <v>0.86846276419799995</v>
      </c>
      <c r="E21373">
        <v>1.51124437781109</v>
      </c>
    </row>
    <row r="21374" spans="1:5">
      <c r="A21374" t="s">
        <v>24815</v>
      </c>
      <c r="B21374" t="s">
        <v>24819</v>
      </c>
      <c r="C21374">
        <f>0</f>
        <v>0</v>
      </c>
      <c r="D21374">
        <v>0.86846276419799995</v>
      </c>
      <c r="E21374">
        <v>1.51124437781109</v>
      </c>
    </row>
    <row r="21375" spans="1:5">
      <c r="A21375" t="s">
        <v>24815</v>
      </c>
      <c r="B21375" t="s">
        <v>24820</v>
      </c>
      <c r="C21375">
        <v>7.0880028170299994E-2</v>
      </c>
      <c r="D21375">
        <v>0.86846276419799995</v>
      </c>
      <c r="E21375">
        <v>1.51124437781109</v>
      </c>
    </row>
    <row r="21376" spans="1:5">
      <c r="A21376" t="s">
        <v>24821</v>
      </c>
      <c r="B21376" t="s">
        <v>24822</v>
      </c>
      <c r="C21376">
        <f>0</f>
        <v>0</v>
      </c>
      <c r="D21376" t="s">
        <v>106</v>
      </c>
      <c r="E21376">
        <v>15.700149925037399</v>
      </c>
    </row>
    <row r="21377" spans="1:5">
      <c r="A21377" t="s">
        <v>24823</v>
      </c>
      <c r="B21377" t="s">
        <v>24824</v>
      </c>
      <c r="C21377">
        <v>0</v>
      </c>
      <c r="D21377">
        <v>0.72503896340499996</v>
      </c>
      <c r="E21377">
        <v>5.4692653673163401</v>
      </c>
    </row>
    <row r="21378" spans="1:5">
      <c r="A21378" t="s">
        <v>24825</v>
      </c>
      <c r="B21378" t="s">
        <v>24826</v>
      </c>
      <c r="C21378">
        <f>0</f>
        <v>0</v>
      </c>
      <c r="D21378">
        <v>0.95685738058100001</v>
      </c>
      <c r="E21378">
        <v>14.3688155922038</v>
      </c>
    </row>
    <row r="21379" spans="1:5">
      <c r="A21379" t="s">
        <v>24825</v>
      </c>
      <c r="B21379" t="s">
        <v>24827</v>
      </c>
      <c r="C21379">
        <f>0.279137062522</f>
        <v>0.27913706252199999</v>
      </c>
      <c r="D21379">
        <v>0.95685738058100001</v>
      </c>
      <c r="E21379">
        <v>14.3688155922038</v>
      </c>
    </row>
    <row r="21380" spans="1:5">
      <c r="A21380" t="s">
        <v>24828</v>
      </c>
      <c r="B21380" t="s">
        <v>24829</v>
      </c>
      <c r="C21380">
        <v>0</v>
      </c>
      <c r="D21380">
        <v>0.80416954568599996</v>
      </c>
      <c r="E21380">
        <v>13.445277361319301</v>
      </c>
    </row>
    <row r="21381" spans="1:5">
      <c r="A21381" t="s">
        <v>24828</v>
      </c>
      <c r="B21381" t="s">
        <v>24830</v>
      </c>
      <c r="C21381">
        <v>0</v>
      </c>
      <c r="D21381">
        <v>0.80416954568599996</v>
      </c>
      <c r="E21381">
        <v>13.445277361319301</v>
      </c>
    </row>
    <row r="21382" spans="1:5">
      <c r="A21382" t="s">
        <v>24828</v>
      </c>
      <c r="B21382" t="s">
        <v>24831</v>
      </c>
      <c r="C21382">
        <v>0</v>
      </c>
      <c r="D21382">
        <v>0.80416954568599996</v>
      </c>
      <c r="E21382">
        <v>13.445277361319301</v>
      </c>
    </row>
    <row r="21383" spans="1:5">
      <c r="A21383" t="s">
        <v>24828</v>
      </c>
      <c r="B21383" t="s">
        <v>24832</v>
      </c>
      <c r="C21383">
        <v>0</v>
      </c>
      <c r="D21383">
        <v>0.80416954568599996</v>
      </c>
      <c r="E21383">
        <v>13.445277361319301</v>
      </c>
    </row>
    <row r="21384" spans="1:5">
      <c r="A21384" t="s">
        <v>24828</v>
      </c>
      <c r="B21384" t="s">
        <v>24833</v>
      </c>
      <c r="C21384">
        <v>0</v>
      </c>
      <c r="D21384">
        <v>0.80416954568599996</v>
      </c>
      <c r="E21384">
        <v>13.445277361319301</v>
      </c>
    </row>
    <row r="21385" spans="1:5">
      <c r="A21385" t="s">
        <v>24828</v>
      </c>
      <c r="B21385" t="s">
        <v>24834</v>
      </c>
      <c r="C21385">
        <v>0</v>
      </c>
      <c r="D21385">
        <v>0.80416954568599996</v>
      </c>
      <c r="E21385">
        <v>13.445277361319301</v>
      </c>
    </row>
    <row r="21386" spans="1:5">
      <c r="A21386" t="s">
        <v>24828</v>
      </c>
      <c r="B21386" t="s">
        <v>24835</v>
      </c>
      <c r="C21386">
        <v>3.8694928582000002E-3</v>
      </c>
      <c r="D21386">
        <v>0.80416954568599996</v>
      </c>
      <c r="E21386">
        <v>13.445277361319301</v>
      </c>
    </row>
    <row r="21387" spans="1:5">
      <c r="A21387" t="s">
        <v>24828</v>
      </c>
      <c r="B21387" t="s">
        <v>24836</v>
      </c>
      <c r="C21387">
        <f>0</f>
        <v>0</v>
      </c>
      <c r="D21387">
        <v>0.80416954568599996</v>
      </c>
      <c r="E21387">
        <v>13.445277361319301</v>
      </c>
    </row>
    <row r="21388" spans="1:5">
      <c r="A21388" t="s">
        <v>24828</v>
      </c>
      <c r="B21388" t="s">
        <v>24837</v>
      </c>
      <c r="C21388">
        <v>0</v>
      </c>
      <c r="D21388">
        <v>0.80416954568599996</v>
      </c>
      <c r="E21388">
        <v>13.445277361319301</v>
      </c>
    </row>
    <row r="21389" spans="1:5">
      <c r="A21389" t="s">
        <v>24838</v>
      </c>
      <c r="B21389" t="s">
        <v>24839</v>
      </c>
      <c r="C21389">
        <v>0</v>
      </c>
      <c r="D21389" t="s">
        <v>106</v>
      </c>
      <c r="E21389">
        <v>12.3898050974512</v>
      </c>
    </row>
    <row r="21390" spans="1:5">
      <c r="A21390" t="s">
        <v>24838</v>
      </c>
      <c r="B21390" t="s">
        <v>24840</v>
      </c>
      <c r="C21390">
        <v>0</v>
      </c>
      <c r="D21390" t="s">
        <v>106</v>
      </c>
      <c r="E21390">
        <v>12.3898050974512</v>
      </c>
    </row>
    <row r="21391" spans="1:5">
      <c r="A21391" t="s">
        <v>24838</v>
      </c>
      <c r="B21391" t="s">
        <v>24841</v>
      </c>
      <c r="C21391">
        <f>0</f>
        <v>0</v>
      </c>
      <c r="D21391" t="s">
        <v>106</v>
      </c>
      <c r="E21391">
        <v>12.3898050974512</v>
      </c>
    </row>
    <row r="21392" spans="1:5">
      <c r="A21392" t="s">
        <v>24838</v>
      </c>
      <c r="B21392" t="s">
        <v>24842</v>
      </c>
      <c r="C21392">
        <f>0</f>
        <v>0</v>
      </c>
      <c r="D21392" t="s">
        <v>106</v>
      </c>
      <c r="E21392">
        <v>12.3898050974512</v>
      </c>
    </row>
    <row r="21393" spans="1:5">
      <c r="A21393" t="s">
        <v>24838</v>
      </c>
      <c r="B21393" t="s">
        <v>24843</v>
      </c>
      <c r="C21393">
        <v>0</v>
      </c>
      <c r="D21393" t="s">
        <v>106</v>
      </c>
      <c r="E21393">
        <v>12.3898050974512</v>
      </c>
    </row>
    <row r="21394" spans="1:5">
      <c r="A21394" t="s">
        <v>24838</v>
      </c>
      <c r="B21394" t="s">
        <v>24844</v>
      </c>
      <c r="C21394">
        <v>0</v>
      </c>
      <c r="D21394" t="s">
        <v>106</v>
      </c>
      <c r="E21394">
        <v>12.3898050974512</v>
      </c>
    </row>
    <row r="21395" spans="1:5">
      <c r="A21395" t="s">
        <v>24838</v>
      </c>
      <c r="B21395" t="s">
        <v>24845</v>
      </c>
      <c r="C21395">
        <f>0</f>
        <v>0</v>
      </c>
      <c r="D21395" t="s">
        <v>106</v>
      </c>
      <c r="E21395">
        <v>12.3898050974512</v>
      </c>
    </row>
    <row r="21396" spans="1:5">
      <c r="A21396" t="s">
        <v>24838</v>
      </c>
      <c r="B21396" t="s">
        <v>24846</v>
      </c>
      <c r="C21396">
        <f>0</f>
        <v>0</v>
      </c>
      <c r="D21396" t="s">
        <v>106</v>
      </c>
      <c r="E21396">
        <v>12.3898050974512</v>
      </c>
    </row>
    <row r="21397" spans="1:5">
      <c r="A21397" t="s">
        <v>24838</v>
      </c>
      <c r="B21397" t="s">
        <v>24847</v>
      </c>
      <c r="C21397">
        <v>0</v>
      </c>
      <c r="D21397" t="s">
        <v>106</v>
      </c>
      <c r="E21397">
        <v>12.3898050974512</v>
      </c>
    </row>
    <row r="21398" spans="1:5">
      <c r="A21398" t="s">
        <v>24848</v>
      </c>
      <c r="B21398" t="s">
        <v>24849</v>
      </c>
      <c r="C21398">
        <f>0</f>
        <v>0</v>
      </c>
      <c r="D21398">
        <v>0.98894988942200002</v>
      </c>
      <c r="E21398">
        <v>12.9175412293853</v>
      </c>
    </row>
    <row r="21399" spans="1:5">
      <c r="A21399" t="s">
        <v>24848</v>
      </c>
      <c r="B21399" t="s">
        <v>24850</v>
      </c>
      <c r="C21399">
        <f>0</f>
        <v>0</v>
      </c>
      <c r="D21399">
        <v>0.98894988942200002</v>
      </c>
      <c r="E21399">
        <v>12.9175412293853</v>
      </c>
    </row>
    <row r="21400" spans="1:5">
      <c r="A21400" t="s">
        <v>24848</v>
      </c>
      <c r="B21400" t="s">
        <v>24851</v>
      </c>
      <c r="C21400">
        <v>0</v>
      </c>
      <c r="D21400">
        <v>0.98894988942200002</v>
      </c>
      <c r="E21400">
        <v>12.9175412293853</v>
      </c>
    </row>
    <row r="21401" spans="1:5">
      <c r="A21401" t="s">
        <v>24848</v>
      </c>
      <c r="B21401" t="s">
        <v>24852</v>
      </c>
      <c r="C21401">
        <f>0</f>
        <v>0</v>
      </c>
      <c r="D21401">
        <v>0.98894988942200002</v>
      </c>
      <c r="E21401">
        <v>12.9175412293853</v>
      </c>
    </row>
    <row r="21402" spans="1:5">
      <c r="A21402" t="s">
        <v>24848</v>
      </c>
      <c r="B21402" t="s">
        <v>24853</v>
      </c>
      <c r="C21402">
        <v>0</v>
      </c>
      <c r="D21402">
        <v>0.98894988942200002</v>
      </c>
      <c r="E21402">
        <v>12.9175412293853</v>
      </c>
    </row>
    <row r="21403" spans="1:5">
      <c r="A21403" t="s">
        <v>24848</v>
      </c>
      <c r="B21403" t="s">
        <v>24854</v>
      </c>
      <c r="C21403">
        <v>0.13042562567499999</v>
      </c>
      <c r="D21403">
        <v>0.98894988942200002</v>
      </c>
      <c r="E21403">
        <v>12.9175412293853</v>
      </c>
    </row>
    <row r="21404" spans="1:5">
      <c r="A21404" t="s">
        <v>24848</v>
      </c>
      <c r="B21404" t="s">
        <v>24855</v>
      </c>
      <c r="C21404">
        <v>0</v>
      </c>
      <c r="D21404">
        <v>0.98894988942200002</v>
      </c>
      <c r="E21404">
        <v>12.9175412293853</v>
      </c>
    </row>
    <row r="21405" spans="1:5">
      <c r="A21405" t="s">
        <v>24848</v>
      </c>
      <c r="B21405" t="s">
        <v>24856</v>
      </c>
      <c r="C21405">
        <v>8.2285959658300004E-2</v>
      </c>
      <c r="D21405">
        <v>0.98894988942200002</v>
      </c>
      <c r="E21405">
        <v>12.9175412293853</v>
      </c>
    </row>
    <row r="21406" spans="1:5">
      <c r="A21406" t="s">
        <v>24848</v>
      </c>
      <c r="B21406" t="s">
        <v>24857</v>
      </c>
      <c r="C21406">
        <f>0</f>
        <v>0</v>
      </c>
      <c r="D21406">
        <v>0.98894988942200002</v>
      </c>
      <c r="E21406">
        <v>12.9175412293853</v>
      </c>
    </row>
    <row r="21407" spans="1:5">
      <c r="A21407" t="s">
        <v>24848</v>
      </c>
      <c r="B21407" t="s">
        <v>24858</v>
      </c>
      <c r="C21407">
        <f>0</f>
        <v>0</v>
      </c>
      <c r="D21407">
        <v>0.98894988942200002</v>
      </c>
      <c r="E21407">
        <v>12.9175412293853</v>
      </c>
    </row>
    <row r="21408" spans="1:5">
      <c r="A21408" t="s">
        <v>24848</v>
      </c>
      <c r="B21408" t="s">
        <v>24859</v>
      </c>
      <c r="C21408">
        <f>0</f>
        <v>0</v>
      </c>
      <c r="D21408">
        <v>0.98894988942200002</v>
      </c>
      <c r="E21408">
        <v>12.9175412293853</v>
      </c>
    </row>
    <row r="21409" spans="1:5">
      <c r="A21409" t="s">
        <v>24848</v>
      </c>
      <c r="B21409" t="s">
        <v>24860</v>
      </c>
      <c r="C21409">
        <v>0</v>
      </c>
      <c r="D21409">
        <v>0.98894988942200002</v>
      </c>
      <c r="E21409">
        <v>12.9175412293853</v>
      </c>
    </row>
    <row r="21410" spans="1:5">
      <c r="A21410" t="s">
        <v>24848</v>
      </c>
      <c r="B21410" t="s">
        <v>24861</v>
      </c>
      <c r="C21410">
        <f>0</f>
        <v>0</v>
      </c>
      <c r="D21410">
        <v>0.98894988942200002</v>
      </c>
      <c r="E21410">
        <v>12.9175412293853</v>
      </c>
    </row>
    <row r="21411" spans="1:5">
      <c r="A21411" t="s">
        <v>24848</v>
      </c>
      <c r="B21411" t="s">
        <v>24862</v>
      </c>
      <c r="C21411">
        <v>0</v>
      </c>
      <c r="D21411">
        <v>0.98894988942200002</v>
      </c>
      <c r="E21411">
        <v>12.9175412293853</v>
      </c>
    </row>
    <row r="21412" spans="1:5">
      <c r="A21412" t="s">
        <v>24848</v>
      </c>
      <c r="B21412" t="s">
        <v>24863</v>
      </c>
      <c r="C21412">
        <f>0</f>
        <v>0</v>
      </c>
      <c r="D21412">
        <v>0.98894988942200002</v>
      </c>
      <c r="E21412">
        <v>12.9175412293853</v>
      </c>
    </row>
    <row r="21413" spans="1:5">
      <c r="A21413" t="s">
        <v>24848</v>
      </c>
      <c r="B21413" t="s">
        <v>24864</v>
      </c>
      <c r="C21413">
        <v>0</v>
      </c>
      <c r="D21413">
        <v>0.98894988942200002</v>
      </c>
      <c r="E21413">
        <v>12.9175412293853</v>
      </c>
    </row>
    <row r="21414" spans="1:5">
      <c r="A21414" t="s">
        <v>24848</v>
      </c>
      <c r="B21414" t="s">
        <v>24865</v>
      </c>
      <c r="C21414">
        <f>0</f>
        <v>0</v>
      </c>
      <c r="D21414">
        <v>0.98894988942200002</v>
      </c>
      <c r="E21414">
        <v>12.9175412293853</v>
      </c>
    </row>
    <row r="21415" spans="1:5">
      <c r="A21415" t="s">
        <v>24866</v>
      </c>
      <c r="B21415" t="s">
        <v>24867</v>
      </c>
      <c r="C21415">
        <f>0</f>
        <v>0</v>
      </c>
      <c r="D21415" t="s">
        <v>106</v>
      </c>
      <c r="E21415">
        <v>17.919040479760099</v>
      </c>
    </row>
    <row r="21416" spans="1:5">
      <c r="A21416" t="s">
        <v>24866</v>
      </c>
      <c r="B21416" t="s">
        <v>24868</v>
      </c>
      <c r="C21416">
        <f>0</f>
        <v>0</v>
      </c>
      <c r="D21416" t="s">
        <v>106</v>
      </c>
      <c r="E21416">
        <v>17.919040479760099</v>
      </c>
    </row>
    <row r="21417" spans="1:5">
      <c r="A21417" t="s">
        <v>24866</v>
      </c>
      <c r="B21417" t="s">
        <v>24869</v>
      </c>
      <c r="C21417">
        <f>0</f>
        <v>0</v>
      </c>
      <c r="D21417" t="s">
        <v>106</v>
      </c>
      <c r="E21417">
        <v>17.919040479760099</v>
      </c>
    </row>
    <row r="21418" spans="1:5">
      <c r="A21418" t="s">
        <v>24866</v>
      </c>
      <c r="B21418" t="s">
        <v>24870</v>
      </c>
      <c r="C21418">
        <f>0</f>
        <v>0</v>
      </c>
      <c r="D21418" t="s">
        <v>106</v>
      </c>
      <c r="E21418">
        <v>17.919040479760099</v>
      </c>
    </row>
    <row r="21419" spans="1:5">
      <c r="A21419" t="s">
        <v>24866</v>
      </c>
      <c r="B21419" t="s">
        <v>24871</v>
      </c>
      <c r="C21419">
        <v>0</v>
      </c>
      <c r="D21419" t="s">
        <v>106</v>
      </c>
      <c r="E21419">
        <v>17.919040479760099</v>
      </c>
    </row>
    <row r="21420" spans="1:5">
      <c r="A21420" t="s">
        <v>24866</v>
      </c>
      <c r="B21420" t="s">
        <v>24872</v>
      </c>
      <c r="C21420">
        <f>0.0225094316648</f>
        <v>2.25094316648E-2</v>
      </c>
      <c r="D21420" t="s">
        <v>106</v>
      </c>
      <c r="E21420">
        <v>17.919040479760099</v>
      </c>
    </row>
    <row r="21421" spans="1:5">
      <c r="A21421" t="s">
        <v>24866</v>
      </c>
      <c r="B21421" t="s">
        <v>24873</v>
      </c>
      <c r="C21421">
        <f>0.0229954105721</f>
        <v>2.29954105721E-2</v>
      </c>
      <c r="D21421" t="s">
        <v>106</v>
      </c>
      <c r="E21421">
        <v>17.919040479760099</v>
      </c>
    </row>
    <row r="21422" spans="1:5">
      <c r="A21422" t="s">
        <v>24874</v>
      </c>
      <c r="B21422" t="s">
        <v>24875</v>
      </c>
      <c r="C21422">
        <f>0.0346138335801</f>
        <v>3.4613833580099999E-2</v>
      </c>
      <c r="D21422">
        <v>0.86842457627400005</v>
      </c>
      <c r="E21422">
        <v>10.710644677661101</v>
      </c>
    </row>
    <row r="21423" spans="1:5">
      <c r="A21423" t="s">
        <v>24874</v>
      </c>
      <c r="B21423" t="s">
        <v>24876</v>
      </c>
      <c r="C21423">
        <v>0.42029681959300003</v>
      </c>
      <c r="D21423">
        <v>0.86842457627400005</v>
      </c>
      <c r="E21423">
        <v>10.710644677661101</v>
      </c>
    </row>
    <row r="21424" spans="1:5">
      <c r="A21424" t="s">
        <v>24877</v>
      </c>
      <c r="B21424" t="s">
        <v>24878</v>
      </c>
      <c r="C21424">
        <f>0</f>
        <v>0</v>
      </c>
      <c r="D21424" t="s">
        <v>106</v>
      </c>
      <c r="E21424">
        <v>0.95952023988005997</v>
      </c>
    </row>
    <row r="21425" spans="1:5">
      <c r="A21425" t="s">
        <v>24877</v>
      </c>
      <c r="B21425" t="s">
        <v>24879</v>
      </c>
      <c r="C21425">
        <v>0</v>
      </c>
      <c r="D21425" t="s">
        <v>106</v>
      </c>
      <c r="E21425">
        <v>0.95952023988005997</v>
      </c>
    </row>
    <row r="21426" spans="1:5">
      <c r="A21426" t="s">
        <v>24877</v>
      </c>
      <c r="B21426" t="s">
        <v>24880</v>
      </c>
      <c r="C21426">
        <v>0</v>
      </c>
      <c r="D21426" t="s">
        <v>106</v>
      </c>
      <c r="E21426">
        <v>0.95952023988005997</v>
      </c>
    </row>
    <row r="21427" spans="1:5">
      <c r="A21427" t="s">
        <v>24877</v>
      </c>
      <c r="B21427" t="s">
        <v>24881</v>
      </c>
      <c r="C21427">
        <f>0</f>
        <v>0</v>
      </c>
      <c r="D21427" t="s">
        <v>106</v>
      </c>
      <c r="E21427">
        <v>0.95952023988005997</v>
      </c>
    </row>
    <row r="21428" spans="1:5">
      <c r="A21428" t="s">
        <v>24877</v>
      </c>
      <c r="B21428" t="s">
        <v>24882</v>
      </c>
      <c r="C21428">
        <v>0</v>
      </c>
      <c r="D21428" t="s">
        <v>106</v>
      </c>
      <c r="E21428">
        <v>0.95952023988005997</v>
      </c>
    </row>
    <row r="21429" spans="1:5">
      <c r="A21429" t="s">
        <v>24877</v>
      </c>
      <c r="B21429" t="s">
        <v>24883</v>
      </c>
      <c r="C21429">
        <v>0</v>
      </c>
      <c r="D21429" t="s">
        <v>106</v>
      </c>
      <c r="E21429">
        <v>0.95952023988005997</v>
      </c>
    </row>
    <row r="21430" spans="1:5">
      <c r="A21430" t="s">
        <v>24877</v>
      </c>
      <c r="B21430" t="s">
        <v>24884</v>
      </c>
      <c r="C21430">
        <v>0</v>
      </c>
      <c r="D21430" t="s">
        <v>106</v>
      </c>
      <c r="E21430">
        <v>0.95952023988005997</v>
      </c>
    </row>
    <row r="21431" spans="1:5">
      <c r="A21431" t="s">
        <v>24877</v>
      </c>
      <c r="B21431" t="s">
        <v>24885</v>
      </c>
      <c r="C21431">
        <v>0</v>
      </c>
      <c r="D21431" t="s">
        <v>106</v>
      </c>
      <c r="E21431">
        <v>0.95952023988005997</v>
      </c>
    </row>
    <row r="21432" spans="1:5">
      <c r="A21432" t="s">
        <v>24886</v>
      </c>
      <c r="B21432" t="s">
        <v>24887</v>
      </c>
      <c r="C21432">
        <f>0.183051495855</f>
        <v>0.183051495855</v>
      </c>
      <c r="D21432" t="s">
        <v>106</v>
      </c>
      <c r="E21432">
        <v>24</v>
      </c>
    </row>
    <row r="21433" spans="1:5">
      <c r="A21433" t="s">
        <v>24886</v>
      </c>
      <c r="B21433" t="s">
        <v>24888</v>
      </c>
      <c r="C21433">
        <f>0</f>
        <v>0</v>
      </c>
      <c r="D21433" t="s">
        <v>106</v>
      </c>
      <c r="E21433">
        <v>24</v>
      </c>
    </row>
    <row r="21434" spans="1:5">
      <c r="A21434" t="s">
        <v>24886</v>
      </c>
      <c r="B21434" t="s">
        <v>24889</v>
      </c>
      <c r="C21434">
        <v>0</v>
      </c>
      <c r="D21434" t="s">
        <v>106</v>
      </c>
      <c r="E21434">
        <v>24</v>
      </c>
    </row>
    <row r="21435" spans="1:5">
      <c r="A21435" t="s">
        <v>24890</v>
      </c>
      <c r="B21435" t="s">
        <v>24891</v>
      </c>
      <c r="C21435">
        <f>0.115837788689</f>
        <v>0.11583778868900001</v>
      </c>
      <c r="D21435">
        <v>0.98239313122299998</v>
      </c>
      <c r="E21435">
        <v>5.69715142428785</v>
      </c>
    </row>
    <row r="21436" spans="1:5">
      <c r="A21436" t="s">
        <v>24890</v>
      </c>
      <c r="B21436" t="s">
        <v>24892</v>
      </c>
      <c r="C21436">
        <f>0.0328624770644</f>
        <v>3.28624770644E-2</v>
      </c>
      <c r="D21436">
        <v>0.98239313122299998</v>
      </c>
      <c r="E21436">
        <v>5.69715142428785</v>
      </c>
    </row>
    <row r="21437" spans="1:5">
      <c r="A21437" t="s">
        <v>24893</v>
      </c>
      <c r="B21437" t="s">
        <v>24894</v>
      </c>
      <c r="C21437">
        <v>0</v>
      </c>
      <c r="D21437">
        <v>0.97681950305099996</v>
      </c>
      <c r="E21437">
        <v>0.91154422788605605</v>
      </c>
    </row>
    <row r="21438" spans="1:5">
      <c r="A21438" t="s">
        <v>24893</v>
      </c>
      <c r="B21438" t="s">
        <v>24895</v>
      </c>
      <c r="C21438">
        <v>0.41558365169</v>
      </c>
      <c r="D21438">
        <v>0.97681950305099996</v>
      </c>
      <c r="E21438">
        <v>0.91154422788605605</v>
      </c>
    </row>
    <row r="21439" spans="1:5">
      <c r="A21439" t="s">
        <v>24893</v>
      </c>
      <c r="B21439" t="s">
        <v>24896</v>
      </c>
      <c r="C21439">
        <v>0</v>
      </c>
      <c r="D21439">
        <v>0.97681950305099996</v>
      </c>
      <c r="E21439">
        <v>0.91154422788605605</v>
      </c>
    </row>
    <row r="21440" spans="1:5">
      <c r="A21440" t="s">
        <v>24893</v>
      </c>
      <c r="B21440" t="s">
        <v>24897</v>
      </c>
      <c r="C21440">
        <v>0.321444289361</v>
      </c>
      <c r="D21440">
        <v>0.97681950305099996</v>
      </c>
      <c r="E21440">
        <v>0.91154422788605605</v>
      </c>
    </row>
    <row r="21441" spans="1:5">
      <c r="A21441" t="s">
        <v>24893</v>
      </c>
      <c r="B21441" t="s">
        <v>24898</v>
      </c>
      <c r="C21441">
        <v>0</v>
      </c>
      <c r="D21441">
        <v>0.97681950305099996</v>
      </c>
      <c r="E21441">
        <v>0.91154422788605605</v>
      </c>
    </row>
    <row r="21442" spans="1:5">
      <c r="A21442" t="s">
        <v>24893</v>
      </c>
      <c r="B21442" t="s">
        <v>24899</v>
      </c>
      <c r="C21442">
        <f>0</f>
        <v>0</v>
      </c>
      <c r="D21442">
        <v>0.97681950305099996</v>
      </c>
      <c r="E21442">
        <v>0.91154422788605605</v>
      </c>
    </row>
    <row r="21443" spans="1:5">
      <c r="A21443" t="s">
        <v>24893</v>
      </c>
      <c r="B21443" t="s">
        <v>24900</v>
      </c>
      <c r="C21443">
        <v>0</v>
      </c>
      <c r="D21443">
        <v>0.97681950305099996</v>
      </c>
      <c r="E21443">
        <v>0.91154422788605605</v>
      </c>
    </row>
    <row r="21444" spans="1:5">
      <c r="A21444" t="s">
        <v>24893</v>
      </c>
      <c r="B21444" t="s">
        <v>24901</v>
      </c>
      <c r="C21444">
        <v>0</v>
      </c>
      <c r="D21444">
        <v>0.97681950305099996</v>
      </c>
      <c r="E21444">
        <v>0.91154422788605605</v>
      </c>
    </row>
    <row r="21445" spans="1:5">
      <c r="A21445" t="s">
        <v>24893</v>
      </c>
      <c r="B21445" t="s">
        <v>24902</v>
      </c>
      <c r="C21445">
        <f>0</f>
        <v>0</v>
      </c>
      <c r="D21445">
        <v>0.97681950305099996</v>
      </c>
      <c r="E21445">
        <v>0.91154422788605605</v>
      </c>
    </row>
    <row r="21446" spans="1:5">
      <c r="A21446" t="s">
        <v>24893</v>
      </c>
      <c r="B21446" t="s">
        <v>24903</v>
      </c>
      <c r="C21446">
        <v>0</v>
      </c>
      <c r="D21446">
        <v>0.97681950305099996</v>
      </c>
      <c r="E21446">
        <v>0.91154422788605605</v>
      </c>
    </row>
    <row r="21447" spans="1:5">
      <c r="A21447" t="s">
        <v>24893</v>
      </c>
      <c r="B21447" t="s">
        <v>24904</v>
      </c>
      <c r="C21447">
        <v>0</v>
      </c>
      <c r="D21447">
        <v>0.97681950305099996</v>
      </c>
      <c r="E21447">
        <v>0.91154422788605605</v>
      </c>
    </row>
    <row r="21448" spans="1:5">
      <c r="A21448" t="s">
        <v>24893</v>
      </c>
      <c r="B21448" t="s">
        <v>24905</v>
      </c>
      <c r="C21448">
        <v>0</v>
      </c>
      <c r="D21448">
        <v>0.97681950305099996</v>
      </c>
      <c r="E21448">
        <v>0.91154422788605605</v>
      </c>
    </row>
    <row r="21449" spans="1:5">
      <c r="A21449" t="s">
        <v>24893</v>
      </c>
      <c r="B21449" t="s">
        <v>24906</v>
      </c>
      <c r="C21449">
        <v>0</v>
      </c>
      <c r="D21449">
        <v>0.97681950305099996</v>
      </c>
      <c r="E21449">
        <v>0.91154422788605605</v>
      </c>
    </row>
    <row r="21450" spans="1:5">
      <c r="A21450" t="s">
        <v>24893</v>
      </c>
      <c r="B21450" t="s">
        <v>24907</v>
      </c>
      <c r="C21450">
        <f>0</f>
        <v>0</v>
      </c>
      <c r="D21450">
        <v>0.97681950305099996</v>
      </c>
      <c r="E21450">
        <v>0.91154422788605605</v>
      </c>
    </row>
    <row r="21451" spans="1:5">
      <c r="A21451" t="s">
        <v>24908</v>
      </c>
      <c r="B21451" t="s">
        <v>24909</v>
      </c>
      <c r="C21451">
        <v>0.16891986115499999</v>
      </c>
      <c r="D21451" t="s">
        <v>106</v>
      </c>
      <c r="E21451">
        <v>24</v>
      </c>
    </row>
    <row r="21452" spans="1:5">
      <c r="A21452" t="s">
        <v>24908</v>
      </c>
      <c r="B21452" t="s">
        <v>24910</v>
      </c>
      <c r="C21452">
        <v>0</v>
      </c>
      <c r="D21452" t="s">
        <v>106</v>
      </c>
      <c r="E21452">
        <v>24</v>
      </c>
    </row>
    <row r="21453" spans="1:5">
      <c r="A21453" t="s">
        <v>24908</v>
      </c>
      <c r="B21453" t="s">
        <v>24911</v>
      </c>
      <c r="C21453">
        <v>0</v>
      </c>
      <c r="D21453" t="s">
        <v>106</v>
      </c>
      <c r="E21453">
        <v>24</v>
      </c>
    </row>
    <row r="21454" spans="1:5">
      <c r="A21454" t="s">
        <v>24908</v>
      </c>
      <c r="B21454" t="s">
        <v>24912</v>
      </c>
      <c r="C21454">
        <f>0</f>
        <v>0</v>
      </c>
      <c r="D21454" t="s">
        <v>106</v>
      </c>
      <c r="E21454">
        <v>24</v>
      </c>
    </row>
    <row r="21455" spans="1:5">
      <c r="A21455" t="s">
        <v>24908</v>
      </c>
      <c r="B21455" t="s">
        <v>24913</v>
      </c>
      <c r="C21455">
        <v>0</v>
      </c>
      <c r="D21455" t="s">
        <v>106</v>
      </c>
      <c r="E21455">
        <v>24</v>
      </c>
    </row>
    <row r="21456" spans="1:5">
      <c r="A21456" t="s">
        <v>24908</v>
      </c>
      <c r="B21456" t="s">
        <v>24914</v>
      </c>
      <c r="C21456">
        <v>6.5994360021600001E-2</v>
      </c>
      <c r="D21456" t="s">
        <v>106</v>
      </c>
      <c r="E21456">
        <v>24</v>
      </c>
    </row>
    <row r="21457" spans="1:5">
      <c r="A21457" t="s">
        <v>24908</v>
      </c>
      <c r="B21457" t="s">
        <v>24915</v>
      </c>
      <c r="C21457">
        <f>0</f>
        <v>0</v>
      </c>
      <c r="D21457" t="s">
        <v>106</v>
      </c>
      <c r="E21457">
        <v>24</v>
      </c>
    </row>
    <row r="21458" spans="1:5">
      <c r="A21458" t="s">
        <v>24908</v>
      </c>
      <c r="B21458" t="s">
        <v>24916</v>
      </c>
      <c r="C21458">
        <v>0</v>
      </c>
      <c r="D21458" t="s">
        <v>106</v>
      </c>
      <c r="E21458">
        <v>24</v>
      </c>
    </row>
    <row r="21459" spans="1:5">
      <c r="A21459" t="s">
        <v>24908</v>
      </c>
      <c r="B21459" t="s">
        <v>24917</v>
      </c>
      <c r="C21459">
        <f>0</f>
        <v>0</v>
      </c>
      <c r="D21459" t="s">
        <v>106</v>
      </c>
      <c r="E21459">
        <v>24</v>
      </c>
    </row>
    <row r="21460" spans="1:5">
      <c r="A21460" t="s">
        <v>24908</v>
      </c>
      <c r="B21460" t="s">
        <v>24918</v>
      </c>
      <c r="C21460">
        <v>0</v>
      </c>
      <c r="D21460" t="s">
        <v>106</v>
      </c>
      <c r="E21460">
        <v>24</v>
      </c>
    </row>
    <row r="21461" spans="1:5">
      <c r="A21461" t="s">
        <v>24908</v>
      </c>
      <c r="B21461" t="s">
        <v>24919</v>
      </c>
      <c r="C21461">
        <f>0</f>
        <v>0</v>
      </c>
      <c r="D21461" t="s">
        <v>106</v>
      </c>
      <c r="E21461">
        <v>24</v>
      </c>
    </row>
    <row r="21462" spans="1:5">
      <c r="A21462" t="s">
        <v>24920</v>
      </c>
      <c r="B21462" t="s">
        <v>24921</v>
      </c>
      <c r="C21462">
        <f>0</f>
        <v>0</v>
      </c>
      <c r="D21462">
        <v>0.83582635660600002</v>
      </c>
      <c r="E21462">
        <v>1.89505247376311</v>
      </c>
    </row>
    <row r="21463" spans="1:5">
      <c r="A21463" t="s">
        <v>24920</v>
      </c>
      <c r="B21463" t="s">
        <v>24922</v>
      </c>
      <c r="C21463">
        <f>0</f>
        <v>0</v>
      </c>
      <c r="D21463">
        <v>0.83582635660600002</v>
      </c>
      <c r="E21463">
        <v>1.89505247376311</v>
      </c>
    </row>
    <row r="21464" spans="1:5">
      <c r="A21464" t="s">
        <v>24920</v>
      </c>
      <c r="B21464" t="s">
        <v>24923</v>
      </c>
      <c r="C21464">
        <f>0.07742438323</f>
        <v>7.7424383230000005E-2</v>
      </c>
      <c r="D21464">
        <v>0.83582635660600002</v>
      </c>
      <c r="E21464">
        <v>1.89505247376311</v>
      </c>
    </row>
    <row r="21465" spans="1:5">
      <c r="A21465" t="s">
        <v>24920</v>
      </c>
      <c r="B21465" t="s">
        <v>24924</v>
      </c>
      <c r="C21465">
        <v>0</v>
      </c>
      <c r="D21465">
        <v>0.83582635660600002</v>
      </c>
      <c r="E21465">
        <v>1.89505247376311</v>
      </c>
    </row>
    <row r="21466" spans="1:5">
      <c r="A21466" t="s">
        <v>24920</v>
      </c>
      <c r="B21466" t="s">
        <v>24925</v>
      </c>
      <c r="C21466">
        <f>0.127006573967</f>
        <v>0.12700657396699999</v>
      </c>
      <c r="D21466">
        <v>0.83582635660600002</v>
      </c>
      <c r="E21466">
        <v>1.89505247376311</v>
      </c>
    </row>
    <row r="21467" spans="1:5">
      <c r="A21467" t="s">
        <v>24926</v>
      </c>
      <c r="B21467" t="s">
        <v>24927</v>
      </c>
      <c r="C21467">
        <v>0</v>
      </c>
      <c r="D21467">
        <v>0.93332658316799999</v>
      </c>
      <c r="E21467">
        <v>9.0194902548725597</v>
      </c>
    </row>
    <row r="21468" spans="1:5">
      <c r="A21468" t="s">
        <v>24926</v>
      </c>
      <c r="B21468" t="s">
        <v>24928</v>
      </c>
      <c r="C21468">
        <v>0</v>
      </c>
      <c r="D21468">
        <v>0.93332658316799999</v>
      </c>
      <c r="E21468">
        <v>9.0194902548725597</v>
      </c>
    </row>
    <row r="21469" spans="1:5">
      <c r="A21469" t="s">
        <v>24926</v>
      </c>
      <c r="B21469" t="s">
        <v>24929</v>
      </c>
      <c r="C21469">
        <v>0</v>
      </c>
      <c r="D21469">
        <v>0.93332658316799999</v>
      </c>
      <c r="E21469">
        <v>9.0194902548725597</v>
      </c>
    </row>
    <row r="21470" spans="1:5">
      <c r="A21470" t="s">
        <v>24926</v>
      </c>
      <c r="B21470" t="s">
        <v>24930</v>
      </c>
      <c r="C21470">
        <v>0.34347980731299999</v>
      </c>
      <c r="D21470">
        <v>0.93332658316799999</v>
      </c>
      <c r="E21470">
        <v>9.0194902548725597</v>
      </c>
    </row>
    <row r="21471" spans="1:5">
      <c r="A21471" t="s">
        <v>24926</v>
      </c>
      <c r="B21471" t="s">
        <v>24931</v>
      </c>
      <c r="C21471">
        <v>0</v>
      </c>
      <c r="D21471">
        <v>0.93332658316799999</v>
      </c>
      <c r="E21471">
        <v>9.0194902548725597</v>
      </c>
    </row>
    <row r="21472" spans="1:5">
      <c r="A21472" t="s">
        <v>24926</v>
      </c>
      <c r="B21472" t="s">
        <v>24932</v>
      </c>
      <c r="C21472">
        <f>0</f>
        <v>0</v>
      </c>
      <c r="D21472">
        <v>0.93332658316799999</v>
      </c>
      <c r="E21472">
        <v>9.0194902548725597</v>
      </c>
    </row>
    <row r="21473" spans="1:5">
      <c r="A21473" t="s">
        <v>24926</v>
      </c>
      <c r="B21473" t="s">
        <v>24933</v>
      </c>
      <c r="C21473">
        <f>0</f>
        <v>0</v>
      </c>
      <c r="D21473">
        <v>0.93332658316799999</v>
      </c>
      <c r="E21473">
        <v>9.0194902548725597</v>
      </c>
    </row>
    <row r="21474" spans="1:5">
      <c r="A21474" t="s">
        <v>24926</v>
      </c>
      <c r="B21474" t="s">
        <v>24934</v>
      </c>
      <c r="C21474">
        <f>0.015860178991</f>
        <v>1.5860178991E-2</v>
      </c>
      <c r="D21474">
        <v>0.93332658316799999</v>
      </c>
      <c r="E21474">
        <v>9.0194902548725597</v>
      </c>
    </row>
    <row r="21475" spans="1:5">
      <c r="A21475" t="s">
        <v>24926</v>
      </c>
      <c r="B21475" t="s">
        <v>24935</v>
      </c>
      <c r="C21475">
        <v>0</v>
      </c>
      <c r="D21475">
        <v>0.93332658316799999</v>
      </c>
      <c r="E21475">
        <v>9.0194902548725597</v>
      </c>
    </row>
    <row r="21476" spans="1:5">
      <c r="A21476" t="s">
        <v>24936</v>
      </c>
      <c r="B21476" t="s">
        <v>24937</v>
      </c>
      <c r="C21476">
        <v>0.80500899802699999</v>
      </c>
      <c r="D21476" t="s">
        <v>106</v>
      </c>
      <c r="E21476">
        <v>6.2968515742128899</v>
      </c>
    </row>
    <row r="21477" spans="1:5">
      <c r="A21477" t="s">
        <v>24938</v>
      </c>
      <c r="B21477" t="s">
        <v>24939</v>
      </c>
      <c r="C21477">
        <v>0</v>
      </c>
      <c r="D21477">
        <v>0.98911721004200004</v>
      </c>
      <c r="E21477">
        <v>18.1349325337331</v>
      </c>
    </row>
    <row r="21478" spans="1:5">
      <c r="A21478" t="s">
        <v>24938</v>
      </c>
      <c r="B21478" t="s">
        <v>24940</v>
      </c>
      <c r="C21478">
        <v>0</v>
      </c>
      <c r="D21478">
        <v>0.98911721004200004</v>
      </c>
      <c r="E21478">
        <v>18.1349325337331</v>
      </c>
    </row>
    <row r="21479" spans="1:5">
      <c r="A21479" t="s">
        <v>24938</v>
      </c>
      <c r="B21479" t="s">
        <v>24941</v>
      </c>
      <c r="C21479">
        <v>0</v>
      </c>
      <c r="D21479">
        <v>0.98911721004200004</v>
      </c>
      <c r="E21479">
        <v>18.1349325337331</v>
      </c>
    </row>
    <row r="21480" spans="1:5">
      <c r="A21480" t="s">
        <v>24938</v>
      </c>
      <c r="B21480" t="s">
        <v>24942</v>
      </c>
      <c r="C21480">
        <f>0</f>
        <v>0</v>
      </c>
      <c r="D21480">
        <v>0.98911721004200004</v>
      </c>
      <c r="E21480">
        <v>18.1349325337331</v>
      </c>
    </row>
    <row r="21481" spans="1:5">
      <c r="A21481" t="s">
        <v>24938</v>
      </c>
      <c r="B21481" t="s">
        <v>24943</v>
      </c>
      <c r="C21481">
        <v>0</v>
      </c>
      <c r="D21481">
        <v>0.98911721004200004</v>
      </c>
      <c r="E21481">
        <v>18.1349325337331</v>
      </c>
    </row>
    <row r="21482" spans="1:5">
      <c r="A21482" t="s">
        <v>24938</v>
      </c>
      <c r="B21482" t="s">
        <v>24944</v>
      </c>
      <c r="C21482">
        <v>7.2912722422500006E-2</v>
      </c>
      <c r="D21482">
        <v>0.98911721004200004</v>
      </c>
      <c r="E21482">
        <v>18.1349325337331</v>
      </c>
    </row>
    <row r="21483" spans="1:5">
      <c r="A21483" t="s">
        <v>24938</v>
      </c>
      <c r="B21483" t="s">
        <v>24945</v>
      </c>
      <c r="C21483">
        <v>0</v>
      </c>
      <c r="D21483">
        <v>0.98911721004200004</v>
      </c>
      <c r="E21483">
        <v>18.1349325337331</v>
      </c>
    </row>
    <row r="21484" spans="1:5">
      <c r="A21484" t="s">
        <v>24938</v>
      </c>
      <c r="B21484" t="s">
        <v>24946</v>
      </c>
      <c r="C21484">
        <v>0</v>
      </c>
      <c r="D21484">
        <v>0.98911721004200004</v>
      </c>
      <c r="E21484">
        <v>18.1349325337331</v>
      </c>
    </row>
    <row r="21485" spans="1:5">
      <c r="A21485" t="s">
        <v>24938</v>
      </c>
      <c r="B21485" t="s">
        <v>24947</v>
      </c>
      <c r="C21485">
        <f>0</f>
        <v>0</v>
      </c>
      <c r="D21485">
        <v>0.98911721004200004</v>
      </c>
      <c r="E21485">
        <v>18.1349325337331</v>
      </c>
    </row>
    <row r="21486" spans="1:5">
      <c r="A21486" t="s">
        <v>24938</v>
      </c>
      <c r="B21486" t="s">
        <v>24948</v>
      </c>
      <c r="C21486">
        <f>0</f>
        <v>0</v>
      </c>
      <c r="D21486">
        <v>0.98911721004200004</v>
      </c>
      <c r="E21486">
        <v>18.1349325337331</v>
      </c>
    </row>
    <row r="21487" spans="1:5">
      <c r="A21487" t="s">
        <v>24949</v>
      </c>
      <c r="B21487" t="s">
        <v>24950</v>
      </c>
      <c r="C21487">
        <f>0.034861405925</f>
        <v>3.4861405924999998E-2</v>
      </c>
      <c r="D21487">
        <v>0.95837314373799998</v>
      </c>
      <c r="E21487">
        <v>5.69715142428785</v>
      </c>
    </row>
    <row r="21488" spans="1:5">
      <c r="A21488" t="s">
        <v>24949</v>
      </c>
      <c r="B21488" t="s">
        <v>24951</v>
      </c>
      <c r="C21488">
        <v>0</v>
      </c>
      <c r="D21488">
        <v>0.95837314373799998</v>
      </c>
      <c r="E21488">
        <v>5.69715142428785</v>
      </c>
    </row>
    <row r="21489" spans="1:5">
      <c r="A21489" t="s">
        <v>24952</v>
      </c>
      <c r="B21489" t="s">
        <v>24953</v>
      </c>
      <c r="C21489">
        <v>2.8871160843499999E-2</v>
      </c>
      <c r="D21489">
        <v>0.44308537128800002</v>
      </c>
      <c r="E21489">
        <v>1.6911544227886</v>
      </c>
    </row>
    <row r="21490" spans="1:5">
      <c r="A21490" t="s">
        <v>24954</v>
      </c>
      <c r="B21490" t="s">
        <v>24955</v>
      </c>
      <c r="C21490">
        <v>6.8559250698800006E-2</v>
      </c>
      <c r="D21490">
        <v>0.928270128119</v>
      </c>
      <c r="E21490">
        <v>1.51124437781109</v>
      </c>
    </row>
    <row r="21491" spans="1:5">
      <c r="A21491" t="s">
        <v>24954</v>
      </c>
      <c r="B21491" t="s">
        <v>24956</v>
      </c>
      <c r="C21491">
        <v>0.115417628237</v>
      </c>
      <c r="D21491">
        <v>0.928270128119</v>
      </c>
      <c r="E21491">
        <v>1.51124437781109</v>
      </c>
    </row>
    <row r="21492" spans="1:5">
      <c r="A21492" t="s">
        <v>24957</v>
      </c>
      <c r="B21492" t="s">
        <v>24958</v>
      </c>
      <c r="C21492">
        <f>0</f>
        <v>0</v>
      </c>
      <c r="D21492" t="s">
        <v>106</v>
      </c>
      <c r="E21492">
        <v>24</v>
      </c>
    </row>
    <row r="21493" spans="1:5">
      <c r="A21493" t="s">
        <v>24957</v>
      </c>
      <c r="B21493" t="s">
        <v>24959</v>
      </c>
      <c r="C21493">
        <f>0</f>
        <v>0</v>
      </c>
      <c r="D21493" t="s">
        <v>106</v>
      </c>
      <c r="E21493">
        <v>24</v>
      </c>
    </row>
    <row r="21494" spans="1:5">
      <c r="A21494" t="s">
        <v>24957</v>
      </c>
      <c r="B21494" t="s">
        <v>24960</v>
      </c>
      <c r="C21494">
        <v>0.19120206955499999</v>
      </c>
      <c r="D21494" t="s">
        <v>106</v>
      </c>
      <c r="E21494">
        <v>24</v>
      </c>
    </row>
    <row r="21495" spans="1:5">
      <c r="A21495" t="s">
        <v>24957</v>
      </c>
      <c r="B21495" t="s">
        <v>24961</v>
      </c>
      <c r="C21495">
        <v>7.9227762580000001E-4</v>
      </c>
      <c r="D21495" t="s">
        <v>106</v>
      </c>
      <c r="E21495">
        <v>24</v>
      </c>
    </row>
    <row r="21496" spans="1:5">
      <c r="A21496" t="s">
        <v>24957</v>
      </c>
      <c r="B21496" t="s">
        <v>24962</v>
      </c>
      <c r="C21496">
        <f>0</f>
        <v>0</v>
      </c>
      <c r="D21496" t="s">
        <v>106</v>
      </c>
      <c r="E21496">
        <v>24</v>
      </c>
    </row>
    <row r="21497" spans="1:5">
      <c r="A21497" t="s">
        <v>24963</v>
      </c>
      <c r="B21497" t="s">
        <v>24964</v>
      </c>
      <c r="C21497">
        <f>0</f>
        <v>0</v>
      </c>
      <c r="D21497">
        <v>0.95346859977999998</v>
      </c>
      <c r="E21497">
        <v>13.2653673163418</v>
      </c>
    </row>
    <row r="21498" spans="1:5">
      <c r="A21498" t="s">
        <v>24963</v>
      </c>
      <c r="B21498" t="s">
        <v>24965</v>
      </c>
      <c r="C21498">
        <f>0.0537257239119</f>
        <v>5.3725723911900003E-2</v>
      </c>
      <c r="D21498">
        <v>0.95346859977999998</v>
      </c>
      <c r="E21498">
        <v>13.2653673163418</v>
      </c>
    </row>
    <row r="21499" spans="1:5">
      <c r="A21499" t="s">
        <v>24963</v>
      </c>
      <c r="B21499" t="s">
        <v>24966</v>
      </c>
      <c r="C21499">
        <v>0.20503522721600001</v>
      </c>
      <c r="D21499">
        <v>0.95346859977999998</v>
      </c>
      <c r="E21499">
        <v>13.2653673163418</v>
      </c>
    </row>
    <row r="21500" spans="1:5">
      <c r="A21500" t="s">
        <v>24963</v>
      </c>
      <c r="B21500" t="s">
        <v>24967</v>
      </c>
      <c r="C21500">
        <f>0</f>
        <v>0</v>
      </c>
      <c r="D21500">
        <v>0.95346859977999998</v>
      </c>
      <c r="E21500">
        <v>13.2653673163418</v>
      </c>
    </row>
    <row r="21501" spans="1:5">
      <c r="A21501" t="s">
        <v>24963</v>
      </c>
      <c r="B21501" t="s">
        <v>24968</v>
      </c>
      <c r="C21501">
        <v>0</v>
      </c>
      <c r="D21501">
        <v>0.95346859977999998</v>
      </c>
      <c r="E21501">
        <v>13.2653673163418</v>
      </c>
    </row>
    <row r="21502" spans="1:5">
      <c r="A21502" t="s">
        <v>24969</v>
      </c>
      <c r="B21502" t="s">
        <v>24970</v>
      </c>
      <c r="C21502">
        <f>0</f>
        <v>0</v>
      </c>
      <c r="D21502">
        <v>0.97118213380999996</v>
      </c>
      <c r="E21502">
        <v>1.6911544227886</v>
      </c>
    </row>
    <row r="21503" spans="1:5">
      <c r="A21503" t="s">
        <v>24969</v>
      </c>
      <c r="B21503" t="s">
        <v>24971</v>
      </c>
      <c r="C21503">
        <v>3.2817557232799999E-2</v>
      </c>
      <c r="D21503">
        <v>0.97118213380999996</v>
      </c>
      <c r="E21503">
        <v>1.6911544227886</v>
      </c>
    </row>
    <row r="21504" spans="1:5">
      <c r="A21504" t="s">
        <v>24969</v>
      </c>
      <c r="B21504" t="s">
        <v>24972</v>
      </c>
      <c r="C21504">
        <f>0</f>
        <v>0</v>
      </c>
      <c r="D21504">
        <v>0.97118213380999996</v>
      </c>
      <c r="E21504">
        <v>1.6911544227886</v>
      </c>
    </row>
    <row r="21505" spans="1:5">
      <c r="A21505" t="s">
        <v>24969</v>
      </c>
      <c r="B21505" t="s">
        <v>24973</v>
      </c>
      <c r="C21505">
        <v>0</v>
      </c>
      <c r="D21505">
        <v>0.97118213380999996</v>
      </c>
      <c r="E21505">
        <v>1.6911544227886</v>
      </c>
    </row>
    <row r="21506" spans="1:5">
      <c r="A21506" t="s">
        <v>24969</v>
      </c>
      <c r="B21506" t="s">
        <v>24974</v>
      </c>
      <c r="C21506">
        <v>0</v>
      </c>
      <c r="D21506">
        <v>0.97118213380999996</v>
      </c>
      <c r="E21506">
        <v>1.6911544227886</v>
      </c>
    </row>
    <row r="21507" spans="1:5">
      <c r="A21507" t="s">
        <v>24969</v>
      </c>
      <c r="B21507" t="s">
        <v>24975</v>
      </c>
      <c r="C21507">
        <v>0</v>
      </c>
      <c r="D21507">
        <v>0.97118213380999996</v>
      </c>
      <c r="E21507">
        <v>1.6911544227886</v>
      </c>
    </row>
    <row r="21508" spans="1:5">
      <c r="A21508" t="s">
        <v>24969</v>
      </c>
      <c r="B21508" t="s">
        <v>24976</v>
      </c>
      <c r="C21508">
        <v>0</v>
      </c>
      <c r="D21508">
        <v>0.97118213380999996</v>
      </c>
      <c r="E21508">
        <v>1.6911544227886</v>
      </c>
    </row>
    <row r="21509" spans="1:5">
      <c r="A21509" t="s">
        <v>24969</v>
      </c>
      <c r="B21509" t="s">
        <v>24977</v>
      </c>
      <c r="C21509">
        <v>0.62909444521699998</v>
      </c>
      <c r="D21509">
        <v>0.97118213380999996</v>
      </c>
      <c r="E21509">
        <v>1.6911544227886</v>
      </c>
    </row>
    <row r="21510" spans="1:5">
      <c r="A21510" t="s">
        <v>24969</v>
      </c>
      <c r="B21510" t="s">
        <v>24978</v>
      </c>
      <c r="C21510">
        <f>0</f>
        <v>0</v>
      </c>
      <c r="D21510">
        <v>0.97118213380999996</v>
      </c>
      <c r="E21510">
        <v>1.6911544227886</v>
      </c>
    </row>
    <row r="21511" spans="1:5">
      <c r="A21511" t="s">
        <v>24969</v>
      </c>
      <c r="B21511" t="s">
        <v>24979</v>
      </c>
      <c r="C21511">
        <f>0</f>
        <v>0</v>
      </c>
      <c r="D21511">
        <v>0.97118213380999996</v>
      </c>
      <c r="E21511">
        <v>1.6911544227886</v>
      </c>
    </row>
    <row r="21512" spans="1:5">
      <c r="A21512" t="s">
        <v>24980</v>
      </c>
      <c r="B21512" t="s">
        <v>24981</v>
      </c>
      <c r="C21512">
        <v>2.6040608255299999E-3</v>
      </c>
      <c r="D21512">
        <v>0.83698549239700004</v>
      </c>
      <c r="E21512">
        <v>10.230884557721099</v>
      </c>
    </row>
    <row r="21513" spans="1:5">
      <c r="A21513" t="s">
        <v>24980</v>
      </c>
      <c r="B21513" t="s">
        <v>24982</v>
      </c>
      <c r="C21513">
        <f>0</f>
        <v>0</v>
      </c>
      <c r="D21513">
        <v>0.83698549239700004</v>
      </c>
      <c r="E21513">
        <v>10.230884557721099</v>
      </c>
    </row>
    <row r="21514" spans="1:5">
      <c r="A21514" t="s">
        <v>24980</v>
      </c>
      <c r="B21514" t="s">
        <v>24983</v>
      </c>
      <c r="C21514">
        <f>0.0494064800706</f>
        <v>4.9406480070600001E-2</v>
      </c>
      <c r="D21514">
        <v>0.83698549239700004</v>
      </c>
      <c r="E21514">
        <v>10.230884557721099</v>
      </c>
    </row>
    <row r="21515" spans="1:5">
      <c r="A21515" t="s">
        <v>24980</v>
      </c>
      <c r="B21515" t="s">
        <v>24984</v>
      </c>
      <c r="C21515">
        <f>0</f>
        <v>0</v>
      </c>
      <c r="D21515">
        <v>0.83698549239700004</v>
      </c>
      <c r="E21515">
        <v>10.230884557721099</v>
      </c>
    </row>
    <row r="21516" spans="1:5">
      <c r="A21516" t="s">
        <v>24985</v>
      </c>
      <c r="B21516" t="s">
        <v>24986</v>
      </c>
      <c r="C21516">
        <f>0.626713911098</f>
        <v>0.62671391109800001</v>
      </c>
      <c r="D21516">
        <v>0.88771042244700005</v>
      </c>
      <c r="E21516">
        <v>1.39130434782608</v>
      </c>
    </row>
    <row r="21517" spans="1:5">
      <c r="A21517" t="s">
        <v>24987</v>
      </c>
      <c r="B21517" t="s">
        <v>24988</v>
      </c>
      <c r="C21517">
        <v>0</v>
      </c>
      <c r="D21517">
        <v>0.69821101930100005</v>
      </c>
      <c r="E21517">
        <v>6.6806596701649097</v>
      </c>
    </row>
    <row r="21518" spans="1:5">
      <c r="A21518" t="s">
        <v>24987</v>
      </c>
      <c r="B21518" t="s">
        <v>24989</v>
      </c>
      <c r="C21518">
        <v>0</v>
      </c>
      <c r="D21518">
        <v>0.69821101930100005</v>
      </c>
      <c r="E21518">
        <v>6.6806596701649097</v>
      </c>
    </row>
    <row r="21519" spans="1:5">
      <c r="A21519" t="s">
        <v>24987</v>
      </c>
      <c r="B21519" t="s">
        <v>24990</v>
      </c>
      <c r="C21519">
        <f>0</f>
        <v>0</v>
      </c>
      <c r="D21519">
        <v>0.69821101930100005</v>
      </c>
      <c r="E21519">
        <v>6.6806596701649097</v>
      </c>
    </row>
    <row r="21520" spans="1:5">
      <c r="A21520" t="s">
        <v>24987</v>
      </c>
      <c r="B21520" t="s">
        <v>24991</v>
      </c>
      <c r="C21520">
        <f>0</f>
        <v>0</v>
      </c>
      <c r="D21520">
        <v>0.69821101930100005</v>
      </c>
      <c r="E21520">
        <v>6.6806596701649097</v>
      </c>
    </row>
    <row r="21521" spans="1:5">
      <c r="A21521" t="s">
        <v>24987</v>
      </c>
      <c r="B21521" t="s">
        <v>24992</v>
      </c>
      <c r="C21521">
        <v>0</v>
      </c>
      <c r="D21521">
        <v>0.69821101930100005</v>
      </c>
      <c r="E21521">
        <v>6.6806596701649097</v>
      </c>
    </row>
    <row r="21522" spans="1:5">
      <c r="A21522" t="s">
        <v>24993</v>
      </c>
      <c r="B21522" t="s">
        <v>24994</v>
      </c>
      <c r="C21522">
        <v>0.120048360236</v>
      </c>
      <c r="D21522">
        <v>0.80827121738700003</v>
      </c>
      <c r="E21522">
        <v>14.740629685157399</v>
      </c>
    </row>
    <row r="21523" spans="1:5">
      <c r="A21523" t="s">
        <v>24995</v>
      </c>
      <c r="B21523" t="s">
        <v>24996</v>
      </c>
      <c r="C21523">
        <f>0.897847935143</f>
        <v>0.89784793514299999</v>
      </c>
      <c r="D21523">
        <v>0.88427071230900001</v>
      </c>
      <c r="E21523">
        <v>0.69565217391304301</v>
      </c>
    </row>
    <row r="21524" spans="1:5">
      <c r="A21524" t="s">
        <v>24997</v>
      </c>
      <c r="B21524" t="s">
        <v>24998</v>
      </c>
      <c r="C21524">
        <f>0.00770044836147</f>
        <v>7.7004483614700001E-3</v>
      </c>
      <c r="D21524">
        <v>0.804723657639</v>
      </c>
      <c r="E21524">
        <v>6.0569715142428704</v>
      </c>
    </row>
    <row r="21525" spans="1:5">
      <c r="A21525" t="s">
        <v>24997</v>
      </c>
      <c r="B21525" t="s">
        <v>24999</v>
      </c>
      <c r="C21525">
        <f>0.0436686152771</f>
        <v>4.3668615277099997E-2</v>
      </c>
      <c r="D21525">
        <v>0.804723657639</v>
      </c>
      <c r="E21525">
        <v>6.0569715142428704</v>
      </c>
    </row>
    <row r="21526" spans="1:5">
      <c r="A21526" t="s">
        <v>25000</v>
      </c>
      <c r="B21526" t="s">
        <v>25001</v>
      </c>
      <c r="C21526">
        <v>0</v>
      </c>
      <c r="D21526">
        <v>0.77579183242700001</v>
      </c>
      <c r="E21526">
        <v>6.6806596701649097</v>
      </c>
    </row>
    <row r="21527" spans="1:5">
      <c r="A21527" t="s">
        <v>25000</v>
      </c>
      <c r="B21527" t="s">
        <v>25002</v>
      </c>
      <c r="C21527">
        <v>0</v>
      </c>
      <c r="D21527">
        <v>0.77579183242700001</v>
      </c>
      <c r="E21527">
        <v>6.6806596701649097</v>
      </c>
    </row>
    <row r="21528" spans="1:5">
      <c r="A21528" t="s">
        <v>25000</v>
      </c>
      <c r="B21528" t="s">
        <v>25003</v>
      </c>
      <c r="C21528">
        <f>0</f>
        <v>0</v>
      </c>
      <c r="D21528">
        <v>0.77579183242700001</v>
      </c>
      <c r="E21528">
        <v>6.6806596701649097</v>
      </c>
    </row>
    <row r="21529" spans="1:5">
      <c r="A21529" t="s">
        <v>25004</v>
      </c>
      <c r="B21529" t="s">
        <v>25005</v>
      </c>
      <c r="C21529">
        <v>0</v>
      </c>
      <c r="D21529" t="s">
        <v>106</v>
      </c>
      <c r="E21529">
        <v>24</v>
      </c>
    </row>
    <row r="21530" spans="1:5">
      <c r="A21530" t="s">
        <v>25004</v>
      </c>
      <c r="B21530" t="s">
        <v>25006</v>
      </c>
      <c r="C21530">
        <v>0.209700179973</v>
      </c>
      <c r="D21530" t="s">
        <v>106</v>
      </c>
      <c r="E21530">
        <v>24</v>
      </c>
    </row>
    <row r="21531" spans="1:5">
      <c r="A21531" t="s">
        <v>25004</v>
      </c>
      <c r="B21531" t="s">
        <v>25007</v>
      </c>
      <c r="C21531">
        <v>0</v>
      </c>
      <c r="D21531" t="s">
        <v>106</v>
      </c>
      <c r="E21531">
        <v>24</v>
      </c>
    </row>
    <row r="21532" spans="1:5">
      <c r="A21532" t="s">
        <v>25004</v>
      </c>
      <c r="B21532" t="s">
        <v>25008</v>
      </c>
      <c r="C21532">
        <v>0</v>
      </c>
      <c r="D21532" t="s">
        <v>106</v>
      </c>
      <c r="E21532">
        <v>24</v>
      </c>
    </row>
    <row r="21533" spans="1:5">
      <c r="A21533" t="s">
        <v>25004</v>
      </c>
      <c r="B21533" t="s">
        <v>25009</v>
      </c>
      <c r="C21533">
        <v>0</v>
      </c>
      <c r="D21533" t="s">
        <v>106</v>
      </c>
      <c r="E21533">
        <v>24</v>
      </c>
    </row>
    <row r="21534" spans="1:5">
      <c r="A21534" t="s">
        <v>25010</v>
      </c>
      <c r="B21534" t="s">
        <v>25011</v>
      </c>
      <c r="C21534">
        <v>0</v>
      </c>
      <c r="D21534" t="s">
        <v>106</v>
      </c>
      <c r="E21534">
        <v>0.16791604197901</v>
      </c>
    </row>
    <row r="21535" spans="1:5">
      <c r="A21535" t="s">
        <v>25010</v>
      </c>
      <c r="B21535" t="s">
        <v>25012</v>
      </c>
      <c r="C21535">
        <f>0</f>
        <v>0</v>
      </c>
      <c r="D21535" t="s">
        <v>106</v>
      </c>
      <c r="E21535">
        <v>0.16791604197901</v>
      </c>
    </row>
    <row r="21536" spans="1:5">
      <c r="A21536" t="s">
        <v>25010</v>
      </c>
      <c r="B21536" t="s">
        <v>25013</v>
      </c>
      <c r="C21536">
        <v>0</v>
      </c>
      <c r="D21536" t="s">
        <v>106</v>
      </c>
      <c r="E21536">
        <v>0.16791604197901</v>
      </c>
    </row>
    <row r="21537" spans="1:5">
      <c r="A21537" t="s">
        <v>25010</v>
      </c>
      <c r="B21537" t="s">
        <v>25014</v>
      </c>
      <c r="C21537">
        <v>0</v>
      </c>
      <c r="D21537" t="s">
        <v>106</v>
      </c>
      <c r="E21537">
        <v>0.16791604197901</v>
      </c>
    </row>
    <row r="21538" spans="1:5">
      <c r="A21538" t="s">
        <v>25010</v>
      </c>
      <c r="B21538" t="s">
        <v>25015</v>
      </c>
      <c r="C21538">
        <f>0</f>
        <v>0</v>
      </c>
      <c r="D21538" t="s">
        <v>106</v>
      </c>
      <c r="E21538">
        <v>0.16791604197901</v>
      </c>
    </row>
    <row r="21539" spans="1:5">
      <c r="A21539" t="s">
        <v>25010</v>
      </c>
      <c r="B21539" t="s">
        <v>25016</v>
      </c>
      <c r="C21539">
        <v>0</v>
      </c>
      <c r="D21539" t="s">
        <v>106</v>
      </c>
      <c r="E21539">
        <v>0.16791604197901</v>
      </c>
    </row>
    <row r="21540" spans="1:5">
      <c r="A21540" t="s">
        <v>25010</v>
      </c>
      <c r="B21540" t="s">
        <v>25017</v>
      </c>
      <c r="C21540">
        <v>0</v>
      </c>
      <c r="D21540" t="s">
        <v>106</v>
      </c>
      <c r="E21540">
        <v>0.16791604197901</v>
      </c>
    </row>
    <row r="21541" spans="1:5">
      <c r="A21541" t="s">
        <v>25010</v>
      </c>
      <c r="B21541" t="s">
        <v>25018</v>
      </c>
      <c r="C21541">
        <f>0</f>
        <v>0</v>
      </c>
      <c r="D21541" t="s">
        <v>106</v>
      </c>
      <c r="E21541">
        <v>0.16791604197901</v>
      </c>
    </row>
    <row r="21542" spans="1:5">
      <c r="A21542" t="s">
        <v>25010</v>
      </c>
      <c r="B21542" t="s">
        <v>25019</v>
      </c>
      <c r="C21542">
        <v>0</v>
      </c>
      <c r="D21542" t="s">
        <v>106</v>
      </c>
      <c r="E21542">
        <v>0.16791604197901</v>
      </c>
    </row>
    <row r="21543" spans="1:5">
      <c r="A21543" t="s">
        <v>25020</v>
      </c>
      <c r="B21543" t="s">
        <v>25021</v>
      </c>
      <c r="C21543">
        <f>0</f>
        <v>0</v>
      </c>
      <c r="D21543">
        <v>0.85905232967900003</v>
      </c>
      <c r="E21543">
        <v>3.0464767616191901</v>
      </c>
    </row>
    <row r="21544" spans="1:5">
      <c r="A21544" t="s">
        <v>25020</v>
      </c>
      <c r="B21544" t="s">
        <v>25022</v>
      </c>
      <c r="C21544">
        <v>0.156501095053</v>
      </c>
      <c r="D21544">
        <v>0.85905232967900003</v>
      </c>
      <c r="E21544">
        <v>3.0464767616191901</v>
      </c>
    </row>
    <row r="21545" spans="1:5">
      <c r="A21545" t="s">
        <v>25020</v>
      </c>
      <c r="B21545" t="s">
        <v>25023</v>
      </c>
      <c r="C21545">
        <v>2.2377379184400002E-2</v>
      </c>
      <c r="D21545">
        <v>0.85905232967900003</v>
      </c>
      <c r="E21545">
        <v>3.0464767616191901</v>
      </c>
    </row>
    <row r="21546" spans="1:5">
      <c r="A21546" t="s">
        <v>25020</v>
      </c>
      <c r="B21546" t="s">
        <v>25024</v>
      </c>
      <c r="C21546">
        <v>0</v>
      </c>
      <c r="D21546">
        <v>0.85905232967900003</v>
      </c>
      <c r="E21546">
        <v>3.0464767616191901</v>
      </c>
    </row>
    <row r="21547" spans="1:5">
      <c r="A21547" t="s">
        <v>25020</v>
      </c>
      <c r="B21547" t="s">
        <v>25025</v>
      </c>
      <c r="C21547">
        <v>0</v>
      </c>
      <c r="D21547">
        <v>0.85905232967900003</v>
      </c>
      <c r="E21547">
        <v>3.0464767616191901</v>
      </c>
    </row>
    <row r="21548" spans="1:5">
      <c r="A21548" t="s">
        <v>25020</v>
      </c>
      <c r="B21548" t="s">
        <v>25026</v>
      </c>
      <c r="C21548">
        <v>0</v>
      </c>
      <c r="D21548">
        <v>0.85905232967900003</v>
      </c>
      <c r="E21548">
        <v>3.0464767616191901</v>
      </c>
    </row>
    <row r="21549" spans="1:5">
      <c r="A21549" t="s">
        <v>25020</v>
      </c>
      <c r="B21549" t="s">
        <v>25027</v>
      </c>
      <c r="C21549">
        <f>0</f>
        <v>0</v>
      </c>
      <c r="D21549">
        <v>0.85905232967900003</v>
      </c>
      <c r="E21549">
        <v>3.0464767616191901</v>
      </c>
    </row>
    <row r="21550" spans="1:5">
      <c r="A21550" t="s">
        <v>25020</v>
      </c>
      <c r="B21550" t="s">
        <v>25028</v>
      </c>
      <c r="C21550">
        <f>0</f>
        <v>0</v>
      </c>
      <c r="D21550">
        <v>0.85905232967900003</v>
      </c>
      <c r="E21550">
        <v>3.0464767616191901</v>
      </c>
    </row>
    <row r="21551" spans="1:5">
      <c r="A21551" t="s">
        <v>25020</v>
      </c>
      <c r="B21551" t="s">
        <v>25029</v>
      </c>
      <c r="C21551">
        <f>0</f>
        <v>0</v>
      </c>
      <c r="D21551">
        <v>0.85905232967900003</v>
      </c>
      <c r="E21551">
        <v>3.0464767616191901</v>
      </c>
    </row>
    <row r="21552" spans="1:5">
      <c r="A21552" t="s">
        <v>25020</v>
      </c>
      <c r="B21552" t="s">
        <v>25030</v>
      </c>
      <c r="C21552">
        <f>0</f>
        <v>0</v>
      </c>
      <c r="D21552">
        <v>0.85905232967900003</v>
      </c>
      <c r="E21552">
        <v>3.0464767616191901</v>
      </c>
    </row>
    <row r="21553" spans="1:5">
      <c r="A21553" t="s">
        <v>25020</v>
      </c>
      <c r="B21553" t="s">
        <v>25031</v>
      </c>
      <c r="C21553">
        <v>0</v>
      </c>
      <c r="D21553">
        <v>0.85905232967900003</v>
      </c>
      <c r="E21553">
        <v>3.0464767616191901</v>
      </c>
    </row>
    <row r="21554" spans="1:5">
      <c r="A21554" t="s">
        <v>25032</v>
      </c>
      <c r="B21554" t="s">
        <v>25033</v>
      </c>
      <c r="C21554">
        <v>9.5535669584800004E-2</v>
      </c>
      <c r="D21554">
        <v>0.98983790392500004</v>
      </c>
      <c r="E21554">
        <v>24</v>
      </c>
    </row>
    <row r="21555" spans="1:5">
      <c r="A21555" t="s">
        <v>25032</v>
      </c>
      <c r="B21555" t="s">
        <v>25034</v>
      </c>
      <c r="C21555">
        <v>0</v>
      </c>
      <c r="D21555">
        <v>0.98983790392500004</v>
      </c>
      <c r="E21555">
        <v>24</v>
      </c>
    </row>
    <row r="21556" spans="1:5">
      <c r="A21556" t="s">
        <v>25032</v>
      </c>
      <c r="B21556" t="s">
        <v>25035</v>
      </c>
      <c r="C21556">
        <v>5.1775404907799999E-2</v>
      </c>
      <c r="D21556">
        <v>0.98983790392500004</v>
      </c>
      <c r="E21556">
        <v>24</v>
      </c>
    </row>
    <row r="21557" spans="1:5">
      <c r="A21557" t="s">
        <v>25032</v>
      </c>
      <c r="B21557" t="s">
        <v>25036</v>
      </c>
      <c r="C21557">
        <v>0</v>
      </c>
      <c r="D21557">
        <v>0.98983790392500004</v>
      </c>
      <c r="E21557">
        <v>24</v>
      </c>
    </row>
    <row r="21558" spans="1:5">
      <c r="A21558" t="s">
        <v>25032</v>
      </c>
      <c r="B21558" t="s">
        <v>25037</v>
      </c>
      <c r="C21558">
        <v>0</v>
      </c>
      <c r="D21558">
        <v>0.98983790392500004</v>
      </c>
      <c r="E21558">
        <v>24</v>
      </c>
    </row>
    <row r="21559" spans="1:5">
      <c r="A21559" t="s">
        <v>25032</v>
      </c>
      <c r="B21559" t="s">
        <v>25038</v>
      </c>
      <c r="C21559">
        <v>0</v>
      </c>
      <c r="D21559">
        <v>0.98983790392500004</v>
      </c>
      <c r="E21559">
        <v>24</v>
      </c>
    </row>
    <row r="21560" spans="1:5">
      <c r="A21560" t="s">
        <v>25032</v>
      </c>
      <c r="B21560" t="s">
        <v>25039</v>
      </c>
      <c r="C21560">
        <v>0</v>
      </c>
      <c r="D21560">
        <v>0.98983790392500004</v>
      </c>
      <c r="E21560">
        <v>24</v>
      </c>
    </row>
    <row r="21561" spans="1:5">
      <c r="A21561" t="s">
        <v>25032</v>
      </c>
      <c r="B21561" t="s">
        <v>25040</v>
      </c>
      <c r="C21561">
        <v>0</v>
      </c>
      <c r="D21561">
        <v>0.98983790392500004</v>
      </c>
      <c r="E21561">
        <v>24</v>
      </c>
    </row>
    <row r="21562" spans="1:5">
      <c r="A21562" t="s">
        <v>25041</v>
      </c>
      <c r="B21562" t="s">
        <v>25042</v>
      </c>
      <c r="C21562">
        <f>0</f>
        <v>0</v>
      </c>
      <c r="D21562">
        <v>0.75128765504200001</v>
      </c>
      <c r="E21562">
        <v>6.2968515742128899</v>
      </c>
    </row>
    <row r="21563" spans="1:5">
      <c r="A21563" t="s">
        <v>25041</v>
      </c>
      <c r="B21563" t="s">
        <v>25043</v>
      </c>
      <c r="C21563">
        <f>0</f>
        <v>0</v>
      </c>
      <c r="D21563">
        <v>0.75128765504200001</v>
      </c>
      <c r="E21563">
        <v>6.2968515742128899</v>
      </c>
    </row>
    <row r="21564" spans="1:5">
      <c r="A21564" t="s">
        <v>25041</v>
      </c>
      <c r="B21564" t="s">
        <v>25044</v>
      </c>
      <c r="C21564">
        <f>0</f>
        <v>0</v>
      </c>
      <c r="D21564">
        <v>0.75128765504200001</v>
      </c>
      <c r="E21564">
        <v>6.2968515742128899</v>
      </c>
    </row>
    <row r="21565" spans="1:5">
      <c r="A21565" t="s">
        <v>25041</v>
      </c>
      <c r="B21565" t="s">
        <v>25045</v>
      </c>
      <c r="C21565">
        <f>0</f>
        <v>0</v>
      </c>
      <c r="D21565">
        <v>0.75128765504200001</v>
      </c>
      <c r="E21565">
        <v>6.2968515742128899</v>
      </c>
    </row>
    <row r="21566" spans="1:5">
      <c r="A21566" t="s">
        <v>25041</v>
      </c>
      <c r="B21566" t="s">
        <v>25046</v>
      </c>
      <c r="C21566">
        <v>0</v>
      </c>
      <c r="D21566">
        <v>0.75128765504200001</v>
      </c>
      <c r="E21566">
        <v>6.2968515742128899</v>
      </c>
    </row>
    <row r="21567" spans="1:5">
      <c r="A21567" t="s">
        <v>25041</v>
      </c>
      <c r="B21567" t="s">
        <v>25047</v>
      </c>
      <c r="C21567">
        <f>0.00321029145365</f>
        <v>3.21029145365E-3</v>
      </c>
      <c r="D21567">
        <v>0.75128765504200001</v>
      </c>
      <c r="E21567">
        <v>6.2968515742128899</v>
      </c>
    </row>
    <row r="21568" spans="1:5">
      <c r="A21568" t="s">
        <v>25048</v>
      </c>
      <c r="B21568" t="s">
        <v>25049</v>
      </c>
      <c r="C21568">
        <v>3.4662385583300002E-2</v>
      </c>
      <c r="D21568" t="s">
        <v>106</v>
      </c>
      <c r="E21568">
        <v>3.40629685157421</v>
      </c>
    </row>
    <row r="21569" spans="1:5">
      <c r="A21569" t="s">
        <v>25048</v>
      </c>
      <c r="B21569" t="s">
        <v>25050</v>
      </c>
      <c r="C21569">
        <v>0.57377535672400004</v>
      </c>
      <c r="D21569" t="s">
        <v>106</v>
      </c>
      <c r="E21569">
        <v>3.40629685157421</v>
      </c>
    </row>
    <row r="21570" spans="1:5">
      <c r="A21570" t="s">
        <v>25051</v>
      </c>
      <c r="B21570" t="s">
        <v>25052</v>
      </c>
      <c r="C21570">
        <v>0</v>
      </c>
      <c r="D21570">
        <v>0.46092211928299998</v>
      </c>
      <c r="E21570">
        <v>8.1439280359820092</v>
      </c>
    </row>
    <row r="21571" spans="1:5">
      <c r="A21571" t="s">
        <v>25051</v>
      </c>
      <c r="B21571" t="s">
        <v>25053</v>
      </c>
      <c r="C21571">
        <f>0.0034940590356</f>
        <v>3.4940590355999998E-3</v>
      </c>
      <c r="D21571">
        <v>0.46092211928299998</v>
      </c>
      <c r="E21571">
        <v>8.1439280359820092</v>
      </c>
    </row>
    <row r="21572" spans="1:5">
      <c r="A21572" t="s">
        <v>25051</v>
      </c>
      <c r="B21572" t="s">
        <v>25054</v>
      </c>
      <c r="C21572">
        <f>0</f>
        <v>0</v>
      </c>
      <c r="D21572">
        <v>0.46092211928299998</v>
      </c>
      <c r="E21572">
        <v>8.1439280359820092</v>
      </c>
    </row>
    <row r="21573" spans="1:5">
      <c r="A21573" t="s">
        <v>25051</v>
      </c>
      <c r="B21573" t="s">
        <v>25055</v>
      </c>
      <c r="C21573">
        <f>0</f>
        <v>0</v>
      </c>
      <c r="D21573">
        <v>0.46092211928299998</v>
      </c>
      <c r="E21573">
        <v>8.1439280359820092</v>
      </c>
    </row>
    <row r="21574" spans="1:5">
      <c r="A21574" t="s">
        <v>25056</v>
      </c>
      <c r="B21574" t="s">
        <v>25057</v>
      </c>
      <c r="C21574">
        <f>0</f>
        <v>0</v>
      </c>
      <c r="D21574">
        <v>0.92468280824100002</v>
      </c>
      <c r="E21574">
        <v>11.0344827586206</v>
      </c>
    </row>
    <row r="21575" spans="1:5">
      <c r="A21575" t="s">
        <v>25056</v>
      </c>
      <c r="B21575" t="s">
        <v>25058</v>
      </c>
      <c r="C21575">
        <f>0</f>
        <v>0</v>
      </c>
      <c r="D21575">
        <v>0.92468280824100002</v>
      </c>
      <c r="E21575">
        <v>11.0344827586206</v>
      </c>
    </row>
    <row r="21576" spans="1:5">
      <c r="A21576" t="s">
        <v>25056</v>
      </c>
      <c r="B21576" t="s">
        <v>25059</v>
      </c>
      <c r="C21576">
        <v>0.309983596626</v>
      </c>
      <c r="D21576">
        <v>0.92468280824100002</v>
      </c>
      <c r="E21576">
        <v>11.0344827586206</v>
      </c>
    </row>
    <row r="21577" spans="1:5">
      <c r="A21577" t="s">
        <v>25060</v>
      </c>
      <c r="B21577" t="s">
        <v>25061</v>
      </c>
      <c r="C21577">
        <v>3.3095860030900003E-2</v>
      </c>
      <c r="D21577" t="s">
        <v>106</v>
      </c>
      <c r="E21577">
        <v>24</v>
      </c>
    </row>
    <row r="21578" spans="1:5">
      <c r="A21578" t="s">
        <v>25060</v>
      </c>
      <c r="B21578" t="s">
        <v>25062</v>
      </c>
      <c r="C21578">
        <f>0</f>
        <v>0</v>
      </c>
      <c r="D21578" t="s">
        <v>106</v>
      </c>
      <c r="E21578">
        <v>24</v>
      </c>
    </row>
    <row r="21579" spans="1:5">
      <c r="A21579" t="s">
        <v>25060</v>
      </c>
      <c r="B21579" t="s">
        <v>25063</v>
      </c>
      <c r="C21579">
        <f>0</f>
        <v>0</v>
      </c>
      <c r="D21579" t="s">
        <v>106</v>
      </c>
      <c r="E21579">
        <v>24</v>
      </c>
    </row>
    <row r="21580" spans="1:5">
      <c r="A21580" t="s">
        <v>25060</v>
      </c>
      <c r="B21580" t="s">
        <v>25064</v>
      </c>
      <c r="C21580">
        <f>0</f>
        <v>0</v>
      </c>
      <c r="D21580" t="s">
        <v>106</v>
      </c>
      <c r="E21580">
        <v>24</v>
      </c>
    </row>
    <row r="21581" spans="1:5">
      <c r="A21581" t="s">
        <v>25060</v>
      </c>
      <c r="B21581" t="s">
        <v>25065</v>
      </c>
      <c r="C21581">
        <v>0</v>
      </c>
      <c r="D21581" t="s">
        <v>106</v>
      </c>
      <c r="E21581">
        <v>24</v>
      </c>
    </row>
    <row r="21582" spans="1:5">
      <c r="A21582" t="s">
        <v>25060</v>
      </c>
      <c r="B21582" t="s">
        <v>25066</v>
      </c>
      <c r="C21582">
        <f>0</f>
        <v>0</v>
      </c>
      <c r="D21582" t="s">
        <v>106</v>
      </c>
      <c r="E21582">
        <v>24</v>
      </c>
    </row>
    <row r="21583" spans="1:5">
      <c r="A21583" t="s">
        <v>25067</v>
      </c>
      <c r="B21583" t="s">
        <v>25068</v>
      </c>
      <c r="C21583">
        <f>0</f>
        <v>0</v>
      </c>
      <c r="D21583">
        <v>0.94145478740099997</v>
      </c>
      <c r="E21583">
        <v>0.40779610194902499</v>
      </c>
    </row>
    <row r="21584" spans="1:5">
      <c r="A21584" t="s">
        <v>25067</v>
      </c>
      <c r="B21584" t="s">
        <v>25069</v>
      </c>
      <c r="C21584">
        <f>0</f>
        <v>0</v>
      </c>
      <c r="D21584">
        <v>0.94145478740099997</v>
      </c>
      <c r="E21584">
        <v>0.40779610194902499</v>
      </c>
    </row>
    <row r="21585" spans="1:5">
      <c r="A21585" t="s">
        <v>25067</v>
      </c>
      <c r="B21585" t="s">
        <v>25070</v>
      </c>
      <c r="C21585">
        <v>0</v>
      </c>
      <c r="D21585">
        <v>0.94145478740099997</v>
      </c>
      <c r="E21585">
        <v>0.40779610194902499</v>
      </c>
    </row>
    <row r="21586" spans="1:5">
      <c r="A21586" t="s">
        <v>25067</v>
      </c>
      <c r="B21586" t="s">
        <v>25071</v>
      </c>
      <c r="C21586">
        <f>0.130493427138</f>
        <v>0.130493427138</v>
      </c>
      <c r="D21586">
        <v>0.94145478740099997</v>
      </c>
      <c r="E21586">
        <v>0.40779610194902499</v>
      </c>
    </row>
    <row r="21587" spans="1:5">
      <c r="A21587" t="s">
        <v>25067</v>
      </c>
      <c r="B21587" t="s">
        <v>25072</v>
      </c>
      <c r="C21587">
        <f>0</f>
        <v>0</v>
      </c>
      <c r="D21587">
        <v>0.94145478740099997</v>
      </c>
      <c r="E21587">
        <v>0.40779610194902499</v>
      </c>
    </row>
    <row r="21588" spans="1:5">
      <c r="A21588" t="s">
        <v>25067</v>
      </c>
      <c r="B21588" t="s">
        <v>25073</v>
      </c>
      <c r="C21588">
        <f>0</f>
        <v>0</v>
      </c>
      <c r="D21588">
        <v>0.94145478740099997</v>
      </c>
      <c r="E21588">
        <v>0.40779610194902499</v>
      </c>
    </row>
    <row r="21589" spans="1:5">
      <c r="A21589" t="s">
        <v>25067</v>
      </c>
      <c r="B21589" t="s">
        <v>25074</v>
      </c>
      <c r="C21589">
        <f>0</f>
        <v>0</v>
      </c>
      <c r="D21589">
        <v>0.94145478740099997</v>
      </c>
      <c r="E21589">
        <v>0.40779610194902499</v>
      </c>
    </row>
    <row r="21590" spans="1:5">
      <c r="A21590" t="s">
        <v>25067</v>
      </c>
      <c r="B21590" t="s">
        <v>25075</v>
      </c>
      <c r="C21590">
        <v>0</v>
      </c>
      <c r="D21590">
        <v>0.94145478740099997</v>
      </c>
      <c r="E21590">
        <v>0.40779610194902499</v>
      </c>
    </row>
    <row r="21591" spans="1:5">
      <c r="A21591" t="s">
        <v>25067</v>
      </c>
      <c r="B21591" t="s">
        <v>25076</v>
      </c>
      <c r="C21591">
        <v>0.19780347754399999</v>
      </c>
      <c r="D21591">
        <v>0.94145478740099997</v>
      </c>
      <c r="E21591">
        <v>0.40779610194902499</v>
      </c>
    </row>
    <row r="21592" spans="1:5">
      <c r="A21592" t="s">
        <v>25067</v>
      </c>
      <c r="B21592" t="s">
        <v>25077</v>
      </c>
      <c r="C21592">
        <v>0</v>
      </c>
      <c r="D21592">
        <v>0.94145478740099997</v>
      </c>
      <c r="E21592">
        <v>0.40779610194902499</v>
      </c>
    </row>
    <row r="21593" spans="1:5">
      <c r="A21593" t="s">
        <v>25078</v>
      </c>
      <c r="B21593" t="s">
        <v>25079</v>
      </c>
      <c r="C21593">
        <f>0.0203622120975</f>
        <v>2.0362212097499999E-2</v>
      </c>
      <c r="D21593" t="s">
        <v>106</v>
      </c>
      <c r="E21593">
        <v>24</v>
      </c>
    </row>
    <row r="21594" spans="1:5">
      <c r="A21594" t="s">
        <v>25078</v>
      </c>
      <c r="B21594" t="s">
        <v>25080</v>
      </c>
      <c r="C21594">
        <f>0</f>
        <v>0</v>
      </c>
      <c r="D21594" t="s">
        <v>106</v>
      </c>
      <c r="E21594">
        <v>24</v>
      </c>
    </row>
    <row r="21595" spans="1:5">
      <c r="A21595" t="s">
        <v>25078</v>
      </c>
      <c r="B21595" t="s">
        <v>25081</v>
      </c>
      <c r="C21595">
        <f>0</f>
        <v>0</v>
      </c>
      <c r="D21595" t="s">
        <v>106</v>
      </c>
      <c r="E21595">
        <v>24</v>
      </c>
    </row>
    <row r="21596" spans="1:5">
      <c r="A21596" t="s">
        <v>25078</v>
      </c>
      <c r="B21596" t="s">
        <v>25082</v>
      </c>
      <c r="C21596">
        <v>5.6002264489399996E-3</v>
      </c>
      <c r="D21596" t="s">
        <v>106</v>
      </c>
      <c r="E21596">
        <v>24</v>
      </c>
    </row>
    <row r="21597" spans="1:5">
      <c r="A21597" t="s">
        <v>25083</v>
      </c>
      <c r="B21597" t="s">
        <v>25084</v>
      </c>
      <c r="C21597">
        <f>0</f>
        <v>0</v>
      </c>
      <c r="D21597">
        <v>0.81041367328400005</v>
      </c>
      <c r="E21597">
        <v>1.96701649175412</v>
      </c>
    </row>
    <row r="21598" spans="1:5">
      <c r="A21598" t="s">
        <v>25083</v>
      </c>
      <c r="B21598" t="s">
        <v>25085</v>
      </c>
      <c r="C21598">
        <v>0.13937149556199999</v>
      </c>
      <c r="D21598">
        <v>0.81041367328400005</v>
      </c>
      <c r="E21598">
        <v>1.96701649175412</v>
      </c>
    </row>
    <row r="21599" spans="1:5">
      <c r="A21599" t="s">
        <v>25083</v>
      </c>
      <c r="B21599" t="s">
        <v>25086</v>
      </c>
      <c r="C21599">
        <f>0</f>
        <v>0</v>
      </c>
      <c r="D21599">
        <v>0.81041367328400005</v>
      </c>
      <c r="E21599">
        <v>1.96701649175412</v>
      </c>
    </row>
    <row r="21600" spans="1:5">
      <c r="A21600" t="s">
        <v>25087</v>
      </c>
      <c r="B21600" t="s">
        <v>25088</v>
      </c>
      <c r="C21600">
        <v>0</v>
      </c>
      <c r="D21600">
        <v>0.99637313725700005</v>
      </c>
      <c r="E21600">
        <v>10.398800599700101</v>
      </c>
    </row>
    <row r="21601" spans="1:5">
      <c r="A21601" t="s">
        <v>25087</v>
      </c>
      <c r="B21601" t="s">
        <v>25089</v>
      </c>
      <c r="C21601">
        <f>0</f>
        <v>0</v>
      </c>
      <c r="D21601">
        <v>0.99637313725700005</v>
      </c>
      <c r="E21601">
        <v>10.398800599700101</v>
      </c>
    </row>
    <row r="21602" spans="1:5">
      <c r="A21602" t="s">
        <v>25087</v>
      </c>
      <c r="B21602" t="s">
        <v>25090</v>
      </c>
      <c r="C21602">
        <f>0</f>
        <v>0</v>
      </c>
      <c r="D21602">
        <v>0.99637313725700005</v>
      </c>
      <c r="E21602">
        <v>10.398800599700101</v>
      </c>
    </row>
    <row r="21603" spans="1:5">
      <c r="A21603" t="s">
        <v>25087</v>
      </c>
      <c r="B21603" t="s">
        <v>25091</v>
      </c>
      <c r="C21603">
        <f>0.0788983847594</f>
        <v>7.8898384759400003E-2</v>
      </c>
      <c r="D21603">
        <v>0.99637313725700005</v>
      </c>
      <c r="E21603">
        <v>10.398800599700101</v>
      </c>
    </row>
    <row r="21604" spans="1:5">
      <c r="A21604" t="s">
        <v>25087</v>
      </c>
      <c r="B21604" t="s">
        <v>25092</v>
      </c>
      <c r="C21604">
        <f>0.148643016719</f>
        <v>0.14864301671899999</v>
      </c>
      <c r="D21604">
        <v>0.99637313725700005</v>
      </c>
      <c r="E21604">
        <v>10.398800599700101</v>
      </c>
    </row>
    <row r="21605" spans="1:5">
      <c r="A21605" t="s">
        <v>25087</v>
      </c>
      <c r="B21605" t="s">
        <v>25093</v>
      </c>
      <c r="C21605">
        <f>0</f>
        <v>0</v>
      </c>
      <c r="D21605">
        <v>0.99637313725700005</v>
      </c>
      <c r="E21605">
        <v>10.398800599700101</v>
      </c>
    </row>
    <row r="21606" spans="1:5">
      <c r="A21606" t="s">
        <v>25087</v>
      </c>
      <c r="B21606" t="s">
        <v>25094</v>
      </c>
      <c r="C21606">
        <f>0</f>
        <v>0</v>
      </c>
      <c r="D21606">
        <v>0.99637313725700005</v>
      </c>
      <c r="E21606">
        <v>10.398800599700101</v>
      </c>
    </row>
    <row r="21607" spans="1:5">
      <c r="A21607" t="s">
        <v>25087</v>
      </c>
      <c r="B21607" t="s">
        <v>25095</v>
      </c>
      <c r="C21607">
        <f>0</f>
        <v>0</v>
      </c>
      <c r="D21607">
        <v>0.99637313725700005</v>
      </c>
      <c r="E21607">
        <v>10.398800599700101</v>
      </c>
    </row>
    <row r="21608" spans="1:5">
      <c r="A21608" t="s">
        <v>25087</v>
      </c>
      <c r="B21608" t="s">
        <v>25096</v>
      </c>
      <c r="C21608">
        <f>0</f>
        <v>0</v>
      </c>
      <c r="D21608">
        <v>0.99637313725700005</v>
      </c>
      <c r="E21608">
        <v>10.398800599700101</v>
      </c>
    </row>
    <row r="21609" spans="1:5">
      <c r="A21609" t="s">
        <v>25087</v>
      </c>
      <c r="B21609" t="s">
        <v>25097</v>
      </c>
      <c r="C21609">
        <f>0</f>
        <v>0</v>
      </c>
      <c r="D21609">
        <v>0.99637313725700005</v>
      </c>
      <c r="E21609">
        <v>10.398800599700101</v>
      </c>
    </row>
    <row r="21610" spans="1:5">
      <c r="A21610" t="s">
        <v>25087</v>
      </c>
      <c r="B21610" t="s">
        <v>25098</v>
      </c>
      <c r="C21610">
        <f>0</f>
        <v>0</v>
      </c>
      <c r="D21610">
        <v>0.99637313725700005</v>
      </c>
      <c r="E21610">
        <v>10.398800599700101</v>
      </c>
    </row>
    <row r="21611" spans="1:5">
      <c r="A21611" t="s">
        <v>25087</v>
      </c>
      <c r="B21611" t="s">
        <v>25099</v>
      </c>
      <c r="C21611">
        <f>0</f>
        <v>0</v>
      </c>
      <c r="D21611">
        <v>0.99637313725700005</v>
      </c>
      <c r="E21611">
        <v>10.398800599700101</v>
      </c>
    </row>
    <row r="21612" spans="1:5">
      <c r="A21612" t="s">
        <v>25100</v>
      </c>
      <c r="B21612" t="s">
        <v>25101</v>
      </c>
      <c r="C21612">
        <v>0</v>
      </c>
      <c r="D21612" t="s">
        <v>106</v>
      </c>
      <c r="E21612">
        <v>5.0134932533733103</v>
      </c>
    </row>
    <row r="21613" spans="1:5">
      <c r="A21613" t="s">
        <v>25100</v>
      </c>
      <c r="B21613" t="s">
        <v>25102</v>
      </c>
      <c r="C21613">
        <v>0</v>
      </c>
      <c r="D21613" t="s">
        <v>106</v>
      </c>
      <c r="E21613">
        <v>5.0134932533733103</v>
      </c>
    </row>
    <row r="21614" spans="1:5">
      <c r="A21614" t="s">
        <v>25100</v>
      </c>
      <c r="B21614" t="s">
        <v>25103</v>
      </c>
      <c r="C21614">
        <f>0</f>
        <v>0</v>
      </c>
      <c r="D21614" t="s">
        <v>106</v>
      </c>
      <c r="E21614">
        <v>5.0134932533733103</v>
      </c>
    </row>
    <row r="21615" spans="1:5">
      <c r="A21615" t="s">
        <v>25100</v>
      </c>
      <c r="B21615" t="s">
        <v>25104</v>
      </c>
      <c r="C21615">
        <v>0</v>
      </c>
      <c r="D21615" t="s">
        <v>106</v>
      </c>
      <c r="E21615">
        <v>5.0134932533733103</v>
      </c>
    </row>
    <row r="21616" spans="1:5">
      <c r="A21616" t="s">
        <v>25100</v>
      </c>
      <c r="B21616" t="s">
        <v>25105</v>
      </c>
      <c r="C21616">
        <v>0</v>
      </c>
      <c r="D21616" t="s">
        <v>106</v>
      </c>
      <c r="E21616">
        <v>5.0134932533733103</v>
      </c>
    </row>
    <row r="21617" spans="1:5">
      <c r="A21617" t="s">
        <v>25106</v>
      </c>
      <c r="B21617" t="s">
        <v>25107</v>
      </c>
      <c r="C21617">
        <v>0.130982827616</v>
      </c>
      <c r="D21617">
        <v>0.94184531978899999</v>
      </c>
      <c r="E21617">
        <v>5.8170914542728598</v>
      </c>
    </row>
    <row r="21618" spans="1:5">
      <c r="A21618" t="s">
        <v>25106</v>
      </c>
      <c r="B21618" t="s">
        <v>25108</v>
      </c>
      <c r="C21618">
        <v>0</v>
      </c>
      <c r="D21618">
        <v>0.94184531978899999</v>
      </c>
      <c r="E21618">
        <v>5.8170914542728598</v>
      </c>
    </row>
    <row r="21619" spans="1:5">
      <c r="A21619" t="s">
        <v>25106</v>
      </c>
      <c r="B21619" t="s">
        <v>25109</v>
      </c>
      <c r="C21619">
        <v>0</v>
      </c>
      <c r="D21619">
        <v>0.94184531978899999</v>
      </c>
      <c r="E21619">
        <v>5.8170914542728598</v>
      </c>
    </row>
    <row r="21620" spans="1:5">
      <c r="A21620" t="s">
        <v>25106</v>
      </c>
      <c r="B21620" t="s">
        <v>25110</v>
      </c>
      <c r="C21620">
        <f>0</f>
        <v>0</v>
      </c>
      <c r="D21620">
        <v>0.94184531978899999</v>
      </c>
      <c r="E21620">
        <v>5.8170914542728598</v>
      </c>
    </row>
    <row r="21621" spans="1:5">
      <c r="A21621" t="s">
        <v>25106</v>
      </c>
      <c r="B21621" t="s">
        <v>25111</v>
      </c>
      <c r="C21621">
        <f>0</f>
        <v>0</v>
      </c>
      <c r="D21621">
        <v>0.94184531978899999</v>
      </c>
      <c r="E21621">
        <v>5.8170914542728598</v>
      </c>
    </row>
    <row r="21622" spans="1:5">
      <c r="A21622" t="s">
        <v>25106</v>
      </c>
      <c r="B21622" t="s">
        <v>25112</v>
      </c>
      <c r="C21622">
        <v>0</v>
      </c>
      <c r="D21622">
        <v>0.94184531978899999</v>
      </c>
      <c r="E21622">
        <v>5.8170914542728598</v>
      </c>
    </row>
    <row r="21623" spans="1:5">
      <c r="A21623" t="s">
        <v>25106</v>
      </c>
      <c r="B21623" t="s">
        <v>25113</v>
      </c>
      <c r="C21623">
        <f>0.0786908930626</f>
        <v>7.8690893062600006E-2</v>
      </c>
      <c r="D21623">
        <v>0.94184531978899999</v>
      </c>
      <c r="E21623">
        <v>5.8170914542728598</v>
      </c>
    </row>
    <row r="21624" spans="1:5">
      <c r="A21624" t="s">
        <v>25106</v>
      </c>
      <c r="B21624" t="s">
        <v>25114</v>
      </c>
      <c r="C21624">
        <f>0</f>
        <v>0</v>
      </c>
      <c r="D21624">
        <v>0.94184531978899999</v>
      </c>
      <c r="E21624">
        <v>5.8170914542728598</v>
      </c>
    </row>
    <row r="21625" spans="1:5">
      <c r="A21625" t="s">
        <v>25106</v>
      </c>
      <c r="B21625" t="s">
        <v>25115</v>
      </c>
      <c r="C21625">
        <v>0</v>
      </c>
      <c r="D21625">
        <v>0.94184531978899999</v>
      </c>
      <c r="E21625">
        <v>5.8170914542728598</v>
      </c>
    </row>
    <row r="21626" spans="1:5">
      <c r="A21626" t="s">
        <v>25116</v>
      </c>
      <c r="B21626" t="s">
        <v>25117</v>
      </c>
      <c r="C21626">
        <f>0</f>
        <v>0</v>
      </c>
      <c r="D21626">
        <v>0.96993065884999996</v>
      </c>
      <c r="E21626">
        <v>0.65967016491754105</v>
      </c>
    </row>
    <row r="21627" spans="1:5">
      <c r="A21627" t="s">
        <v>25116</v>
      </c>
      <c r="B21627" t="s">
        <v>25118</v>
      </c>
      <c r="C21627">
        <v>0</v>
      </c>
      <c r="D21627">
        <v>0.96993065884999996</v>
      </c>
      <c r="E21627">
        <v>0.65967016491754105</v>
      </c>
    </row>
    <row r="21628" spans="1:5">
      <c r="A21628" t="s">
        <v>25116</v>
      </c>
      <c r="B21628" t="s">
        <v>25119</v>
      </c>
      <c r="C21628">
        <f>0</f>
        <v>0</v>
      </c>
      <c r="D21628">
        <v>0.96993065884999996</v>
      </c>
      <c r="E21628">
        <v>0.65967016491754105</v>
      </c>
    </row>
    <row r="21629" spans="1:5">
      <c r="A21629" t="s">
        <v>25116</v>
      </c>
      <c r="B21629" t="s">
        <v>25120</v>
      </c>
      <c r="C21629">
        <f>0.340978598652</f>
        <v>0.34097859865199998</v>
      </c>
      <c r="D21629">
        <v>0.96993065884999996</v>
      </c>
      <c r="E21629">
        <v>0.65967016491754105</v>
      </c>
    </row>
    <row r="21630" spans="1:5">
      <c r="A21630" t="s">
        <v>25116</v>
      </c>
      <c r="B21630" t="s">
        <v>25121</v>
      </c>
      <c r="C21630">
        <f>0.159991481902</f>
        <v>0.15999148190199999</v>
      </c>
      <c r="D21630">
        <v>0.96993065884999996</v>
      </c>
      <c r="E21630">
        <v>0.65967016491754105</v>
      </c>
    </row>
    <row r="21631" spans="1:5">
      <c r="A21631" t="s">
        <v>25122</v>
      </c>
      <c r="B21631" t="s">
        <v>25123</v>
      </c>
      <c r="C21631">
        <f>0</f>
        <v>0</v>
      </c>
      <c r="D21631" t="s">
        <v>106</v>
      </c>
      <c r="E21631">
        <v>21.637181409295302</v>
      </c>
    </row>
    <row r="21632" spans="1:5">
      <c r="A21632" t="s">
        <v>25122</v>
      </c>
      <c r="B21632" t="s">
        <v>25124</v>
      </c>
      <c r="C21632">
        <f>0</f>
        <v>0</v>
      </c>
      <c r="D21632" t="s">
        <v>106</v>
      </c>
      <c r="E21632">
        <v>21.637181409295302</v>
      </c>
    </row>
    <row r="21633" spans="1:5">
      <c r="A21633" t="s">
        <v>25125</v>
      </c>
      <c r="B21633" t="s">
        <v>25126</v>
      </c>
      <c r="C21633">
        <f>0</f>
        <v>0</v>
      </c>
      <c r="D21633" t="s">
        <v>106</v>
      </c>
      <c r="E21633">
        <v>3.3103448275862002</v>
      </c>
    </row>
    <row r="21634" spans="1:5">
      <c r="A21634" t="s">
        <v>25125</v>
      </c>
      <c r="B21634" t="s">
        <v>25127</v>
      </c>
      <c r="C21634">
        <v>0</v>
      </c>
      <c r="D21634" t="s">
        <v>106</v>
      </c>
      <c r="E21634">
        <v>3.3103448275862002</v>
      </c>
    </row>
    <row r="21635" spans="1:5">
      <c r="A21635" t="s">
        <v>25125</v>
      </c>
      <c r="B21635" t="s">
        <v>25128</v>
      </c>
      <c r="C21635">
        <f>0</f>
        <v>0</v>
      </c>
      <c r="D21635" t="s">
        <v>106</v>
      </c>
      <c r="E21635">
        <v>3.3103448275862002</v>
      </c>
    </row>
    <row r="21636" spans="1:5">
      <c r="A21636" t="s">
        <v>25125</v>
      </c>
      <c r="B21636" t="s">
        <v>25129</v>
      </c>
      <c r="C21636">
        <f>0</f>
        <v>0</v>
      </c>
      <c r="D21636" t="s">
        <v>106</v>
      </c>
      <c r="E21636">
        <v>3.3103448275862002</v>
      </c>
    </row>
    <row r="21637" spans="1:5">
      <c r="A21637" t="s">
        <v>25130</v>
      </c>
      <c r="B21637" t="s">
        <v>25131</v>
      </c>
      <c r="C21637">
        <f>0</f>
        <v>0</v>
      </c>
      <c r="D21637" t="s">
        <v>106</v>
      </c>
      <c r="E21637">
        <v>10.878560719640101</v>
      </c>
    </row>
    <row r="21638" spans="1:5">
      <c r="A21638" t="s">
        <v>25130</v>
      </c>
      <c r="B21638" t="s">
        <v>25132</v>
      </c>
      <c r="C21638">
        <v>0</v>
      </c>
      <c r="D21638" t="s">
        <v>106</v>
      </c>
      <c r="E21638">
        <v>10.878560719640101</v>
      </c>
    </row>
    <row r="21639" spans="1:5">
      <c r="A21639" t="s">
        <v>25130</v>
      </c>
      <c r="B21639" t="s">
        <v>25133</v>
      </c>
      <c r="C21639">
        <v>0</v>
      </c>
      <c r="D21639" t="s">
        <v>106</v>
      </c>
      <c r="E21639">
        <v>10.878560719640101</v>
      </c>
    </row>
    <row r="21640" spans="1:5">
      <c r="A21640" t="s">
        <v>25130</v>
      </c>
      <c r="B21640" t="s">
        <v>25134</v>
      </c>
      <c r="C21640">
        <v>0</v>
      </c>
      <c r="D21640" t="s">
        <v>106</v>
      </c>
      <c r="E21640">
        <v>10.878560719640101</v>
      </c>
    </row>
    <row r="21641" spans="1:5">
      <c r="A21641" t="s">
        <v>25130</v>
      </c>
      <c r="B21641" t="s">
        <v>25135</v>
      </c>
      <c r="C21641">
        <v>0</v>
      </c>
      <c r="D21641" t="s">
        <v>106</v>
      </c>
      <c r="E21641">
        <v>10.878560719640101</v>
      </c>
    </row>
    <row r="21642" spans="1:5">
      <c r="A21642" t="s">
        <v>25130</v>
      </c>
      <c r="B21642" t="s">
        <v>25136</v>
      </c>
      <c r="C21642">
        <v>0</v>
      </c>
      <c r="D21642" t="s">
        <v>106</v>
      </c>
      <c r="E21642">
        <v>10.878560719640101</v>
      </c>
    </row>
    <row r="21643" spans="1:5">
      <c r="A21643" t="s">
        <v>25130</v>
      </c>
      <c r="B21643" t="s">
        <v>25137</v>
      </c>
      <c r="C21643">
        <f>0</f>
        <v>0</v>
      </c>
      <c r="D21643" t="s">
        <v>106</v>
      </c>
      <c r="E21643">
        <v>10.878560719640101</v>
      </c>
    </row>
    <row r="21644" spans="1:5">
      <c r="A21644" t="s">
        <v>25130</v>
      </c>
      <c r="B21644" t="s">
        <v>25138</v>
      </c>
      <c r="C21644">
        <f>0</f>
        <v>0</v>
      </c>
      <c r="D21644" t="s">
        <v>106</v>
      </c>
      <c r="E21644">
        <v>10.878560719640101</v>
      </c>
    </row>
    <row r="21645" spans="1:5">
      <c r="A21645" t="s">
        <v>25130</v>
      </c>
      <c r="B21645" t="s">
        <v>25139</v>
      </c>
      <c r="C21645">
        <v>0</v>
      </c>
      <c r="D21645" t="s">
        <v>106</v>
      </c>
      <c r="E21645">
        <v>10.878560719640101</v>
      </c>
    </row>
    <row r="21646" spans="1:5">
      <c r="A21646" t="s">
        <v>25130</v>
      </c>
      <c r="B21646" t="s">
        <v>25140</v>
      </c>
      <c r="C21646">
        <f>0</f>
        <v>0</v>
      </c>
      <c r="D21646" t="s">
        <v>106</v>
      </c>
      <c r="E21646">
        <v>10.878560719640101</v>
      </c>
    </row>
    <row r="21647" spans="1:5">
      <c r="A21647" t="s">
        <v>25130</v>
      </c>
      <c r="B21647" t="s">
        <v>25141</v>
      </c>
      <c r="C21647">
        <v>0</v>
      </c>
      <c r="D21647" t="s">
        <v>106</v>
      </c>
      <c r="E21647">
        <v>10.878560719640101</v>
      </c>
    </row>
    <row r="21648" spans="1:5">
      <c r="A21648" t="s">
        <v>25130</v>
      </c>
      <c r="B21648" t="s">
        <v>25142</v>
      </c>
      <c r="C21648">
        <v>0</v>
      </c>
      <c r="D21648" t="s">
        <v>106</v>
      </c>
      <c r="E21648">
        <v>10.878560719640101</v>
      </c>
    </row>
    <row r="21649" spans="1:5">
      <c r="A21649" t="s">
        <v>25130</v>
      </c>
      <c r="B21649" t="s">
        <v>25143</v>
      </c>
      <c r="C21649">
        <f>0</f>
        <v>0</v>
      </c>
      <c r="D21649" t="s">
        <v>106</v>
      </c>
      <c r="E21649">
        <v>10.878560719640101</v>
      </c>
    </row>
    <row r="21650" spans="1:5">
      <c r="A21650" t="s">
        <v>25144</v>
      </c>
      <c r="B21650" t="s">
        <v>25145</v>
      </c>
      <c r="C21650">
        <v>0</v>
      </c>
      <c r="D21650">
        <v>0.73633098787899998</v>
      </c>
      <c r="E21650">
        <v>22.800599700149899</v>
      </c>
    </row>
    <row r="21651" spans="1:5">
      <c r="A21651" t="s">
        <v>25144</v>
      </c>
      <c r="B21651" t="s">
        <v>25146</v>
      </c>
      <c r="C21651">
        <v>1.7281428993699999E-2</v>
      </c>
      <c r="D21651">
        <v>0.73633098787899998</v>
      </c>
      <c r="E21651">
        <v>22.800599700149899</v>
      </c>
    </row>
    <row r="21652" spans="1:5">
      <c r="A21652" t="s">
        <v>25144</v>
      </c>
      <c r="B21652" t="s">
        <v>25147</v>
      </c>
      <c r="C21652">
        <v>0</v>
      </c>
      <c r="D21652">
        <v>0.73633098787899998</v>
      </c>
      <c r="E21652">
        <v>22.800599700149899</v>
      </c>
    </row>
    <row r="21653" spans="1:5">
      <c r="A21653" t="s">
        <v>25144</v>
      </c>
      <c r="B21653" t="s">
        <v>25148</v>
      </c>
      <c r="C21653">
        <v>0.14860384952799999</v>
      </c>
      <c r="D21653">
        <v>0.73633098787899998</v>
      </c>
      <c r="E21653">
        <v>22.800599700149899</v>
      </c>
    </row>
    <row r="21654" spans="1:5">
      <c r="A21654" t="s">
        <v>25144</v>
      </c>
      <c r="B21654" t="s">
        <v>25149</v>
      </c>
      <c r="C21654">
        <v>0</v>
      </c>
      <c r="D21654">
        <v>0.73633098787899998</v>
      </c>
      <c r="E21654">
        <v>22.800599700149899</v>
      </c>
    </row>
    <row r="21655" spans="1:5">
      <c r="A21655" t="s">
        <v>25144</v>
      </c>
      <c r="B21655" t="s">
        <v>25150</v>
      </c>
      <c r="C21655">
        <v>0</v>
      </c>
      <c r="D21655">
        <v>0.73633098787899998</v>
      </c>
      <c r="E21655">
        <v>22.800599700149899</v>
      </c>
    </row>
    <row r="21656" spans="1:5">
      <c r="A21656" t="s">
        <v>25144</v>
      </c>
      <c r="B21656" t="s">
        <v>25151</v>
      </c>
      <c r="C21656">
        <v>0</v>
      </c>
      <c r="D21656">
        <v>0.73633098787899998</v>
      </c>
      <c r="E21656">
        <v>22.800599700149899</v>
      </c>
    </row>
    <row r="21657" spans="1:5">
      <c r="A21657" t="s">
        <v>25144</v>
      </c>
      <c r="B21657" t="s">
        <v>25152</v>
      </c>
      <c r="C21657">
        <v>0</v>
      </c>
      <c r="D21657">
        <v>0.73633098787899998</v>
      </c>
      <c r="E21657">
        <v>22.800599700149899</v>
      </c>
    </row>
    <row r="21658" spans="1:5">
      <c r="A21658" t="s">
        <v>25144</v>
      </c>
      <c r="B21658" t="s">
        <v>25153</v>
      </c>
      <c r="C21658">
        <v>0</v>
      </c>
      <c r="D21658">
        <v>0.73633098787899998</v>
      </c>
      <c r="E21658">
        <v>22.800599700149899</v>
      </c>
    </row>
    <row r="21659" spans="1:5">
      <c r="A21659" t="s">
        <v>25144</v>
      </c>
      <c r="B21659" t="s">
        <v>25154</v>
      </c>
      <c r="C21659">
        <f>0</f>
        <v>0</v>
      </c>
      <c r="D21659">
        <v>0.73633098787899998</v>
      </c>
      <c r="E21659">
        <v>22.800599700149899</v>
      </c>
    </row>
    <row r="21660" spans="1:5">
      <c r="A21660" t="s">
        <v>25155</v>
      </c>
      <c r="B21660" t="s">
        <v>25156</v>
      </c>
      <c r="C21660">
        <v>0</v>
      </c>
      <c r="D21660">
        <v>0.95312553201299999</v>
      </c>
      <c r="E21660">
        <v>3.8740629685157399</v>
      </c>
    </row>
    <row r="21661" spans="1:5">
      <c r="A21661" t="s">
        <v>25155</v>
      </c>
      <c r="B21661" t="s">
        <v>25157</v>
      </c>
      <c r="C21661">
        <v>0</v>
      </c>
      <c r="D21661">
        <v>0.95312553201299999</v>
      </c>
      <c r="E21661">
        <v>3.8740629685157399</v>
      </c>
    </row>
    <row r="21662" spans="1:5">
      <c r="A21662" t="s">
        <v>25155</v>
      </c>
      <c r="B21662" t="s">
        <v>25158</v>
      </c>
      <c r="C21662">
        <v>0</v>
      </c>
      <c r="D21662">
        <v>0.95312553201299999</v>
      </c>
      <c r="E21662">
        <v>3.8740629685157399</v>
      </c>
    </row>
    <row r="21663" spans="1:5">
      <c r="A21663" t="s">
        <v>25155</v>
      </c>
      <c r="B21663" t="s">
        <v>25159</v>
      </c>
      <c r="C21663">
        <v>0.23736657291400001</v>
      </c>
      <c r="D21663">
        <v>0.95312553201299999</v>
      </c>
      <c r="E21663">
        <v>3.8740629685157399</v>
      </c>
    </row>
    <row r="21664" spans="1:5">
      <c r="A21664" t="s">
        <v>25155</v>
      </c>
      <c r="B21664" t="s">
        <v>25160</v>
      </c>
      <c r="C21664">
        <f>0</f>
        <v>0</v>
      </c>
      <c r="D21664">
        <v>0.95312553201299999</v>
      </c>
      <c r="E21664">
        <v>3.8740629685157399</v>
      </c>
    </row>
    <row r="21665" spans="1:5">
      <c r="A21665" t="s">
        <v>25155</v>
      </c>
      <c r="B21665" t="s">
        <v>25161</v>
      </c>
      <c r="C21665">
        <v>0</v>
      </c>
      <c r="D21665">
        <v>0.95312553201299999</v>
      </c>
      <c r="E21665">
        <v>3.8740629685157399</v>
      </c>
    </row>
    <row r="21666" spans="1:5">
      <c r="A21666" t="s">
        <v>25155</v>
      </c>
      <c r="B21666" t="s">
        <v>25162</v>
      </c>
      <c r="C21666">
        <v>0.14086064241900001</v>
      </c>
      <c r="D21666">
        <v>0.95312553201299999</v>
      </c>
      <c r="E21666">
        <v>3.8740629685157399</v>
      </c>
    </row>
    <row r="21667" spans="1:5">
      <c r="A21667" t="s">
        <v>25163</v>
      </c>
      <c r="B21667" t="s">
        <v>25164</v>
      </c>
      <c r="C21667">
        <f>0.358928954499</f>
        <v>0.35892895449899997</v>
      </c>
      <c r="D21667">
        <v>0.99470126854399998</v>
      </c>
      <c r="E21667">
        <v>5.5772113943028403</v>
      </c>
    </row>
    <row r="21668" spans="1:5">
      <c r="A21668" t="s">
        <v>25165</v>
      </c>
      <c r="B21668" t="s">
        <v>25166</v>
      </c>
      <c r="C21668">
        <v>0</v>
      </c>
      <c r="D21668">
        <v>0.85854207742400002</v>
      </c>
      <c r="E21668">
        <v>19.850074962518701</v>
      </c>
    </row>
    <row r="21669" spans="1:5">
      <c r="A21669" t="s">
        <v>25165</v>
      </c>
      <c r="B21669" t="s">
        <v>25167</v>
      </c>
      <c r="C21669">
        <v>0</v>
      </c>
      <c r="D21669">
        <v>0.85854207742400002</v>
      </c>
      <c r="E21669">
        <v>19.850074962518701</v>
      </c>
    </row>
    <row r="21670" spans="1:5">
      <c r="A21670" t="s">
        <v>25165</v>
      </c>
      <c r="B21670" t="s">
        <v>25168</v>
      </c>
      <c r="C21670">
        <v>0</v>
      </c>
      <c r="D21670">
        <v>0.85854207742400002</v>
      </c>
      <c r="E21670">
        <v>19.850074962518701</v>
      </c>
    </row>
    <row r="21671" spans="1:5">
      <c r="A21671" t="s">
        <v>25165</v>
      </c>
      <c r="B21671" t="s">
        <v>25169</v>
      </c>
      <c r="C21671">
        <f>0</f>
        <v>0</v>
      </c>
      <c r="D21671">
        <v>0.85854207742400002</v>
      </c>
      <c r="E21671">
        <v>19.850074962518701</v>
      </c>
    </row>
    <row r="21672" spans="1:5">
      <c r="A21672" t="s">
        <v>25165</v>
      </c>
      <c r="B21672" t="s">
        <v>25170</v>
      </c>
      <c r="C21672">
        <f>0</f>
        <v>0</v>
      </c>
      <c r="D21672">
        <v>0.85854207742400002</v>
      </c>
      <c r="E21672">
        <v>19.850074962518701</v>
      </c>
    </row>
    <row r="21673" spans="1:5">
      <c r="A21673" t="s">
        <v>25165</v>
      </c>
      <c r="B21673" t="s">
        <v>25171</v>
      </c>
      <c r="C21673">
        <f>0.133015510964</f>
        <v>0.13301551096399999</v>
      </c>
      <c r="D21673">
        <v>0.85854207742400002</v>
      </c>
      <c r="E21673">
        <v>19.850074962518701</v>
      </c>
    </row>
    <row r="21674" spans="1:5">
      <c r="A21674" t="s">
        <v>25165</v>
      </c>
      <c r="B21674" t="s">
        <v>25172</v>
      </c>
      <c r="C21674">
        <v>5.6135774875899998E-2</v>
      </c>
      <c r="D21674">
        <v>0.85854207742400002</v>
      </c>
      <c r="E21674">
        <v>19.850074962518701</v>
      </c>
    </row>
    <row r="21675" spans="1:5">
      <c r="A21675" t="s">
        <v>25165</v>
      </c>
      <c r="B21675" t="s">
        <v>25173</v>
      </c>
      <c r="C21675">
        <v>0</v>
      </c>
      <c r="D21675">
        <v>0.85854207742400002</v>
      </c>
      <c r="E21675">
        <v>19.850074962518701</v>
      </c>
    </row>
    <row r="21676" spans="1:5">
      <c r="A21676" t="s">
        <v>25174</v>
      </c>
      <c r="B21676" t="s">
        <v>25175</v>
      </c>
      <c r="C21676">
        <v>3.2032769900499997E-2</v>
      </c>
      <c r="D21676" t="s">
        <v>106</v>
      </c>
      <c r="E21676">
        <v>24</v>
      </c>
    </row>
    <row r="21677" spans="1:5">
      <c r="A21677" t="s">
        <v>25174</v>
      </c>
      <c r="B21677" t="s">
        <v>25176</v>
      </c>
      <c r="C21677">
        <f>0</f>
        <v>0</v>
      </c>
      <c r="D21677" t="s">
        <v>106</v>
      </c>
      <c r="E21677">
        <v>24</v>
      </c>
    </row>
    <row r="21678" spans="1:5">
      <c r="A21678" t="s">
        <v>25174</v>
      </c>
      <c r="B21678" t="s">
        <v>25177</v>
      </c>
      <c r="C21678">
        <v>8.5377974827700001E-2</v>
      </c>
      <c r="D21678" t="s">
        <v>106</v>
      </c>
      <c r="E21678">
        <v>24</v>
      </c>
    </row>
    <row r="21679" spans="1:5">
      <c r="A21679" t="s">
        <v>25174</v>
      </c>
      <c r="B21679" t="s">
        <v>25178</v>
      </c>
      <c r="C21679">
        <v>0</v>
      </c>
      <c r="D21679" t="s">
        <v>106</v>
      </c>
      <c r="E21679">
        <v>24</v>
      </c>
    </row>
    <row r="21680" spans="1:5">
      <c r="A21680" t="s">
        <v>25179</v>
      </c>
      <c r="B21680" t="s">
        <v>25180</v>
      </c>
      <c r="C21680">
        <v>8.5037132729900003E-2</v>
      </c>
      <c r="D21680" t="s">
        <v>106</v>
      </c>
      <c r="E21680">
        <v>24</v>
      </c>
    </row>
    <row r="21681" spans="1:5">
      <c r="A21681" t="s">
        <v>25179</v>
      </c>
      <c r="B21681" t="s">
        <v>25181</v>
      </c>
      <c r="C21681">
        <v>0</v>
      </c>
      <c r="D21681" t="s">
        <v>106</v>
      </c>
      <c r="E21681">
        <v>24</v>
      </c>
    </row>
    <row r="21682" spans="1:5">
      <c r="A21682" t="s">
        <v>25179</v>
      </c>
      <c r="B21682" t="s">
        <v>25182</v>
      </c>
      <c r="C21682">
        <v>4.2994109763500002E-2</v>
      </c>
      <c r="D21682" t="s">
        <v>106</v>
      </c>
      <c r="E21682">
        <v>24</v>
      </c>
    </row>
    <row r="21683" spans="1:5">
      <c r="A21683" t="s">
        <v>25179</v>
      </c>
      <c r="B21683" t="s">
        <v>25183</v>
      </c>
      <c r="C21683">
        <v>0</v>
      </c>
      <c r="D21683" t="s">
        <v>106</v>
      </c>
      <c r="E21683">
        <v>24</v>
      </c>
    </row>
    <row r="21684" spans="1:5">
      <c r="A21684" t="s">
        <v>25184</v>
      </c>
      <c r="B21684" t="s">
        <v>25185</v>
      </c>
      <c r="C21684">
        <f>0.0711077653034</f>
        <v>7.1107765303400003E-2</v>
      </c>
      <c r="D21684">
        <v>0.99205275265299997</v>
      </c>
      <c r="E21684">
        <v>24</v>
      </c>
    </row>
    <row r="21685" spans="1:5">
      <c r="A21685" t="s">
        <v>25184</v>
      </c>
      <c r="B21685" t="s">
        <v>25186</v>
      </c>
      <c r="C21685">
        <f>0.070126130192</f>
        <v>7.0126130191999994E-2</v>
      </c>
      <c r="D21685">
        <v>0.99205275265299997</v>
      </c>
      <c r="E21685">
        <v>24</v>
      </c>
    </row>
    <row r="21686" spans="1:5">
      <c r="A21686" t="s">
        <v>25184</v>
      </c>
      <c r="B21686" t="s">
        <v>25187</v>
      </c>
      <c r="C21686">
        <v>0</v>
      </c>
      <c r="D21686">
        <v>0.99205275265299997</v>
      </c>
      <c r="E21686">
        <v>24</v>
      </c>
    </row>
    <row r="21687" spans="1:5">
      <c r="A21687" t="s">
        <v>25184</v>
      </c>
      <c r="B21687" t="s">
        <v>25188</v>
      </c>
      <c r="C21687">
        <v>0</v>
      </c>
      <c r="D21687">
        <v>0.99205275265299997</v>
      </c>
      <c r="E21687">
        <v>24</v>
      </c>
    </row>
    <row r="21688" spans="1:5">
      <c r="A21688" t="s">
        <v>25184</v>
      </c>
      <c r="B21688" t="s">
        <v>25189</v>
      </c>
      <c r="C21688">
        <v>0</v>
      </c>
      <c r="D21688">
        <v>0.99205275265299997</v>
      </c>
      <c r="E21688">
        <v>24</v>
      </c>
    </row>
    <row r="21689" spans="1:5">
      <c r="A21689" t="s">
        <v>25190</v>
      </c>
      <c r="B21689" t="s">
        <v>25191</v>
      </c>
      <c r="C21689">
        <f>0</f>
        <v>0</v>
      </c>
      <c r="D21689">
        <v>0.98763180976099996</v>
      </c>
      <c r="E21689">
        <v>8.1439280359820092</v>
      </c>
    </row>
    <row r="21690" spans="1:5">
      <c r="A21690" t="s">
        <v>25190</v>
      </c>
      <c r="B21690" t="s">
        <v>25192</v>
      </c>
      <c r="C21690">
        <v>0.514228500305</v>
      </c>
      <c r="D21690">
        <v>0.98763180976099996</v>
      </c>
      <c r="E21690">
        <v>8.1439280359820092</v>
      </c>
    </row>
    <row r="21691" spans="1:5">
      <c r="A21691" t="s">
        <v>25190</v>
      </c>
      <c r="B21691" t="s">
        <v>25193</v>
      </c>
      <c r="C21691">
        <v>0.105352540134</v>
      </c>
      <c r="D21691">
        <v>0.98763180976099996</v>
      </c>
      <c r="E21691">
        <v>8.1439280359820092</v>
      </c>
    </row>
    <row r="21692" spans="1:5">
      <c r="A21692" t="s">
        <v>25194</v>
      </c>
      <c r="B21692" t="s">
        <v>25195</v>
      </c>
      <c r="C21692">
        <v>0</v>
      </c>
      <c r="D21692">
        <v>0.74755218475499996</v>
      </c>
      <c r="E21692">
        <v>2.8785607196401801</v>
      </c>
    </row>
    <row r="21693" spans="1:5">
      <c r="A21693" t="s">
        <v>25194</v>
      </c>
      <c r="B21693" t="s">
        <v>25196</v>
      </c>
      <c r="C21693">
        <f>0</f>
        <v>0</v>
      </c>
      <c r="D21693">
        <v>0.74755218475499996</v>
      </c>
      <c r="E21693">
        <v>2.8785607196401801</v>
      </c>
    </row>
    <row r="21694" spans="1:5">
      <c r="A21694" t="s">
        <v>25194</v>
      </c>
      <c r="B21694" t="s">
        <v>25197</v>
      </c>
      <c r="C21694">
        <v>0.17847825734299999</v>
      </c>
      <c r="D21694">
        <v>0.74755218475499996</v>
      </c>
      <c r="E21694">
        <v>2.8785607196401801</v>
      </c>
    </row>
    <row r="21695" spans="1:5">
      <c r="A21695" t="s">
        <v>25194</v>
      </c>
      <c r="B21695" t="s">
        <v>25198</v>
      </c>
      <c r="C21695">
        <f>0</f>
        <v>0</v>
      </c>
      <c r="D21695">
        <v>0.74755218475499996</v>
      </c>
      <c r="E21695">
        <v>2.8785607196401801</v>
      </c>
    </row>
    <row r="21696" spans="1:5">
      <c r="A21696" t="s">
        <v>25194</v>
      </c>
      <c r="B21696" t="s">
        <v>25199</v>
      </c>
      <c r="C21696">
        <f>0</f>
        <v>0</v>
      </c>
      <c r="D21696">
        <v>0.74755218475499996</v>
      </c>
      <c r="E21696">
        <v>2.8785607196401801</v>
      </c>
    </row>
    <row r="21697" spans="1:5">
      <c r="A21697" t="s">
        <v>25194</v>
      </c>
      <c r="B21697" t="s">
        <v>25200</v>
      </c>
      <c r="C21697">
        <v>0</v>
      </c>
      <c r="D21697">
        <v>0.74755218475499996</v>
      </c>
      <c r="E21697">
        <v>2.8785607196401801</v>
      </c>
    </row>
    <row r="21698" spans="1:5">
      <c r="A21698" t="s">
        <v>25201</v>
      </c>
      <c r="B21698" t="s">
        <v>25202</v>
      </c>
      <c r="C21698">
        <v>0</v>
      </c>
      <c r="D21698" t="s">
        <v>106</v>
      </c>
      <c r="E21698">
        <v>19.1904047976012</v>
      </c>
    </row>
    <row r="21699" spans="1:5">
      <c r="A21699" t="s">
        <v>25201</v>
      </c>
      <c r="B21699" t="s">
        <v>25203</v>
      </c>
      <c r="C21699">
        <f>0.0739778830638</f>
        <v>7.3977883063800001E-2</v>
      </c>
      <c r="D21699" t="s">
        <v>106</v>
      </c>
      <c r="E21699">
        <v>19.1904047976012</v>
      </c>
    </row>
    <row r="21700" spans="1:5">
      <c r="A21700" t="s">
        <v>25201</v>
      </c>
      <c r="B21700" t="s">
        <v>25204</v>
      </c>
      <c r="C21700">
        <f>0.211067663245</f>
        <v>0.21106766324500001</v>
      </c>
      <c r="D21700" t="s">
        <v>106</v>
      </c>
      <c r="E21700">
        <v>19.1904047976012</v>
      </c>
    </row>
    <row r="21701" spans="1:5">
      <c r="A21701" t="s">
        <v>25201</v>
      </c>
      <c r="B21701" t="s">
        <v>25205</v>
      </c>
      <c r="C21701">
        <f>0</f>
        <v>0</v>
      </c>
      <c r="D21701" t="s">
        <v>106</v>
      </c>
      <c r="E21701">
        <v>19.1904047976012</v>
      </c>
    </row>
    <row r="21702" spans="1:5">
      <c r="A21702" t="s">
        <v>25206</v>
      </c>
      <c r="B21702" t="s">
        <v>25207</v>
      </c>
      <c r="C21702">
        <f>0</f>
        <v>0</v>
      </c>
      <c r="D21702">
        <v>0.93847708981900002</v>
      </c>
      <c r="E21702">
        <v>3.5862068965517202</v>
      </c>
    </row>
    <row r="21703" spans="1:5">
      <c r="A21703" t="s">
        <v>25206</v>
      </c>
      <c r="B21703" t="s">
        <v>25208</v>
      </c>
      <c r="C21703">
        <v>0</v>
      </c>
      <c r="D21703">
        <v>0.93847708981900002</v>
      </c>
      <c r="E21703">
        <v>3.5862068965517202</v>
      </c>
    </row>
    <row r="21704" spans="1:5">
      <c r="A21704" t="s">
        <v>25206</v>
      </c>
      <c r="B21704" t="s">
        <v>25209</v>
      </c>
      <c r="C21704">
        <f>0</f>
        <v>0</v>
      </c>
      <c r="D21704">
        <v>0.93847708981900002</v>
      </c>
      <c r="E21704">
        <v>3.5862068965517202</v>
      </c>
    </row>
    <row r="21705" spans="1:5">
      <c r="A21705" t="s">
        <v>25206</v>
      </c>
      <c r="B21705" t="s">
        <v>25210</v>
      </c>
      <c r="C21705">
        <v>0</v>
      </c>
      <c r="D21705">
        <v>0.93847708981900002</v>
      </c>
      <c r="E21705">
        <v>3.5862068965517202</v>
      </c>
    </row>
    <row r="21706" spans="1:5">
      <c r="A21706" t="s">
        <v>25206</v>
      </c>
      <c r="B21706" t="s">
        <v>25211</v>
      </c>
      <c r="C21706">
        <f>0</f>
        <v>0</v>
      </c>
      <c r="D21706">
        <v>0.93847708981900002</v>
      </c>
      <c r="E21706">
        <v>3.5862068965517202</v>
      </c>
    </row>
    <row r="21707" spans="1:5">
      <c r="A21707" t="s">
        <v>25206</v>
      </c>
      <c r="B21707" t="s">
        <v>25212</v>
      </c>
      <c r="C21707">
        <f>0</f>
        <v>0</v>
      </c>
      <c r="D21707">
        <v>0.93847708981900002</v>
      </c>
      <c r="E21707">
        <v>3.5862068965517202</v>
      </c>
    </row>
    <row r="21708" spans="1:5">
      <c r="A21708" t="s">
        <v>25206</v>
      </c>
      <c r="B21708" t="s">
        <v>25213</v>
      </c>
      <c r="C21708">
        <v>0</v>
      </c>
      <c r="D21708">
        <v>0.93847708981900002</v>
      </c>
      <c r="E21708">
        <v>3.5862068965517202</v>
      </c>
    </row>
    <row r="21709" spans="1:5">
      <c r="A21709" t="s">
        <v>25206</v>
      </c>
      <c r="B21709" t="s">
        <v>25214</v>
      </c>
      <c r="C21709">
        <v>0</v>
      </c>
      <c r="D21709">
        <v>0.93847708981900002</v>
      </c>
      <c r="E21709">
        <v>3.5862068965517202</v>
      </c>
    </row>
    <row r="21710" spans="1:5">
      <c r="A21710" t="s">
        <v>25206</v>
      </c>
      <c r="B21710" t="s">
        <v>25215</v>
      </c>
      <c r="C21710">
        <f>0</f>
        <v>0</v>
      </c>
      <c r="D21710">
        <v>0.93847708981900002</v>
      </c>
      <c r="E21710">
        <v>3.5862068965517202</v>
      </c>
    </row>
    <row r="21711" spans="1:5">
      <c r="A21711" t="s">
        <v>25206</v>
      </c>
      <c r="B21711" t="s">
        <v>25216</v>
      </c>
      <c r="C21711">
        <v>0</v>
      </c>
      <c r="D21711">
        <v>0.93847708981900002</v>
      </c>
      <c r="E21711">
        <v>3.5862068965517202</v>
      </c>
    </row>
    <row r="21712" spans="1:5">
      <c r="A21712" t="s">
        <v>25206</v>
      </c>
      <c r="B21712" t="s">
        <v>25217</v>
      </c>
      <c r="C21712">
        <v>0</v>
      </c>
      <c r="D21712">
        <v>0.93847708981900002</v>
      </c>
      <c r="E21712">
        <v>3.5862068965517202</v>
      </c>
    </row>
    <row r="21713" spans="1:5">
      <c r="A21713" t="s">
        <v>25206</v>
      </c>
      <c r="B21713" t="s">
        <v>25218</v>
      </c>
      <c r="C21713">
        <v>0</v>
      </c>
      <c r="D21713">
        <v>0.93847708981900002</v>
      </c>
      <c r="E21713">
        <v>3.5862068965517202</v>
      </c>
    </row>
    <row r="21714" spans="1:5">
      <c r="A21714" t="s">
        <v>25206</v>
      </c>
      <c r="B21714" t="s">
        <v>25219</v>
      </c>
      <c r="C21714">
        <v>0.35755244280199999</v>
      </c>
      <c r="D21714">
        <v>0.93847708981900002</v>
      </c>
      <c r="E21714">
        <v>3.5862068965517202</v>
      </c>
    </row>
    <row r="21715" spans="1:5">
      <c r="A21715" t="s">
        <v>25206</v>
      </c>
      <c r="B21715" t="s">
        <v>25220</v>
      </c>
      <c r="C21715">
        <v>0.222366181498</v>
      </c>
      <c r="D21715">
        <v>0.93847708981900002</v>
      </c>
      <c r="E21715">
        <v>3.5862068965517202</v>
      </c>
    </row>
    <row r="21716" spans="1:5">
      <c r="A21716" t="s">
        <v>25206</v>
      </c>
      <c r="B21716" t="s">
        <v>25221</v>
      </c>
      <c r="C21716">
        <v>0</v>
      </c>
      <c r="D21716">
        <v>0.93847708981900002</v>
      </c>
      <c r="E21716">
        <v>3.5862068965517202</v>
      </c>
    </row>
    <row r="21717" spans="1:5">
      <c r="A21717" t="s">
        <v>25206</v>
      </c>
      <c r="B21717" t="s">
        <v>25222</v>
      </c>
      <c r="C21717">
        <v>0</v>
      </c>
      <c r="D21717">
        <v>0.93847708981900002</v>
      </c>
      <c r="E21717">
        <v>3.5862068965517202</v>
      </c>
    </row>
    <row r="21718" spans="1:5">
      <c r="A21718" t="s">
        <v>25206</v>
      </c>
      <c r="B21718" t="s">
        <v>25223</v>
      </c>
      <c r="C21718">
        <v>0</v>
      </c>
      <c r="D21718">
        <v>0.93847708981900002</v>
      </c>
      <c r="E21718">
        <v>3.5862068965517202</v>
      </c>
    </row>
    <row r="21719" spans="1:5">
      <c r="A21719" t="s">
        <v>25206</v>
      </c>
      <c r="B21719" t="s">
        <v>25224</v>
      </c>
      <c r="C21719">
        <f>0</f>
        <v>0</v>
      </c>
      <c r="D21719">
        <v>0.93847708981900002</v>
      </c>
      <c r="E21719">
        <v>3.5862068965517202</v>
      </c>
    </row>
    <row r="21720" spans="1:5">
      <c r="A21720" t="s">
        <v>25206</v>
      </c>
      <c r="B21720" t="s">
        <v>25225</v>
      </c>
      <c r="C21720">
        <v>0</v>
      </c>
      <c r="D21720">
        <v>0.93847708981900002</v>
      </c>
      <c r="E21720">
        <v>3.5862068965517202</v>
      </c>
    </row>
    <row r="21721" spans="1:5">
      <c r="A21721" t="s">
        <v>25206</v>
      </c>
      <c r="B21721" t="s">
        <v>25226</v>
      </c>
      <c r="C21721">
        <v>0</v>
      </c>
      <c r="D21721">
        <v>0.93847708981900002</v>
      </c>
      <c r="E21721">
        <v>3.5862068965517202</v>
      </c>
    </row>
    <row r="21722" spans="1:5">
      <c r="A21722" t="s">
        <v>25206</v>
      </c>
      <c r="B21722" t="s">
        <v>25227</v>
      </c>
      <c r="C21722">
        <v>0</v>
      </c>
      <c r="D21722">
        <v>0.93847708981900002</v>
      </c>
      <c r="E21722">
        <v>3.5862068965517202</v>
      </c>
    </row>
    <row r="21723" spans="1:5">
      <c r="A21723" t="s">
        <v>25206</v>
      </c>
      <c r="B21723" t="s">
        <v>25228</v>
      </c>
      <c r="C21723">
        <v>0</v>
      </c>
      <c r="D21723">
        <v>0.93847708981900002</v>
      </c>
      <c r="E21723">
        <v>3.5862068965517202</v>
      </c>
    </row>
    <row r="21724" spans="1:5">
      <c r="A21724" t="s">
        <v>25206</v>
      </c>
      <c r="B21724" t="s">
        <v>25229</v>
      </c>
      <c r="C21724">
        <f>0</f>
        <v>0</v>
      </c>
      <c r="D21724">
        <v>0.93847708981900002</v>
      </c>
      <c r="E21724">
        <v>3.5862068965517202</v>
      </c>
    </row>
    <row r="21725" spans="1:5">
      <c r="A21725" t="s">
        <v>25230</v>
      </c>
      <c r="B21725" t="s">
        <v>25231</v>
      </c>
      <c r="C21725">
        <v>0</v>
      </c>
      <c r="D21725">
        <v>0.951771836624</v>
      </c>
      <c r="E21725">
        <v>7.1964017991004395E-2</v>
      </c>
    </row>
    <row r="21726" spans="1:5">
      <c r="A21726" t="s">
        <v>25230</v>
      </c>
      <c r="B21726" t="s">
        <v>25232</v>
      </c>
      <c r="C21726">
        <f>0.0263668156071</f>
        <v>2.6366815607100001E-2</v>
      </c>
      <c r="D21726">
        <v>0.951771836624</v>
      </c>
      <c r="E21726">
        <v>7.1964017991004395E-2</v>
      </c>
    </row>
    <row r="21727" spans="1:5">
      <c r="A21727" t="s">
        <v>25230</v>
      </c>
      <c r="B21727" t="s">
        <v>25233</v>
      </c>
      <c r="C21727">
        <v>0</v>
      </c>
      <c r="D21727">
        <v>0.951771836624</v>
      </c>
      <c r="E21727">
        <v>7.1964017991004395E-2</v>
      </c>
    </row>
    <row r="21728" spans="1:5">
      <c r="A21728" t="s">
        <v>25230</v>
      </c>
      <c r="B21728" t="s">
        <v>25234</v>
      </c>
      <c r="C21728">
        <v>0</v>
      </c>
      <c r="D21728">
        <v>0.951771836624</v>
      </c>
      <c r="E21728">
        <v>7.1964017991004395E-2</v>
      </c>
    </row>
    <row r="21729" spans="1:5">
      <c r="A21729" t="s">
        <v>25230</v>
      </c>
      <c r="B21729" t="s">
        <v>25235</v>
      </c>
      <c r="C21729">
        <f>0</f>
        <v>0</v>
      </c>
      <c r="D21729">
        <v>0.951771836624</v>
      </c>
      <c r="E21729">
        <v>7.1964017991004395E-2</v>
      </c>
    </row>
    <row r="21730" spans="1:5">
      <c r="A21730" t="s">
        <v>25230</v>
      </c>
      <c r="B21730" t="s">
        <v>25236</v>
      </c>
      <c r="C21730">
        <f>0</f>
        <v>0</v>
      </c>
      <c r="D21730">
        <v>0.951771836624</v>
      </c>
      <c r="E21730">
        <v>7.1964017991004395E-2</v>
      </c>
    </row>
    <row r="21731" spans="1:5">
      <c r="A21731" t="s">
        <v>25230</v>
      </c>
      <c r="B21731" t="s">
        <v>25237</v>
      </c>
      <c r="C21731">
        <v>0.52777139249500005</v>
      </c>
      <c r="D21731">
        <v>0.951771836624</v>
      </c>
      <c r="E21731">
        <v>7.1964017991004395E-2</v>
      </c>
    </row>
    <row r="21732" spans="1:5">
      <c r="A21732" t="s">
        <v>25230</v>
      </c>
      <c r="B21732" t="s">
        <v>25238</v>
      </c>
      <c r="C21732">
        <f>0</f>
        <v>0</v>
      </c>
      <c r="D21732">
        <v>0.951771836624</v>
      </c>
      <c r="E21732">
        <v>7.1964017991004395E-2</v>
      </c>
    </row>
    <row r="21733" spans="1:5">
      <c r="A21733" t="s">
        <v>25230</v>
      </c>
      <c r="B21733" t="s">
        <v>25239</v>
      </c>
      <c r="C21733">
        <f>0</f>
        <v>0</v>
      </c>
      <c r="D21733">
        <v>0.951771836624</v>
      </c>
      <c r="E21733">
        <v>7.1964017991004395E-2</v>
      </c>
    </row>
    <row r="21734" spans="1:5">
      <c r="A21734" t="s">
        <v>25230</v>
      </c>
      <c r="B21734" t="s">
        <v>25240</v>
      </c>
      <c r="C21734">
        <v>0</v>
      </c>
      <c r="D21734">
        <v>0.951771836624</v>
      </c>
      <c r="E21734">
        <v>7.1964017991004395E-2</v>
      </c>
    </row>
    <row r="21735" spans="1:5">
      <c r="A21735" t="s">
        <v>25230</v>
      </c>
      <c r="B21735" t="s">
        <v>25241</v>
      </c>
      <c r="C21735">
        <f>0</f>
        <v>0</v>
      </c>
      <c r="D21735">
        <v>0.951771836624</v>
      </c>
      <c r="E21735">
        <v>7.1964017991004395E-2</v>
      </c>
    </row>
    <row r="21736" spans="1:5">
      <c r="A21736" t="s">
        <v>25230</v>
      </c>
      <c r="B21736" t="s">
        <v>25242</v>
      </c>
      <c r="C21736">
        <v>0</v>
      </c>
      <c r="D21736">
        <v>0.951771836624</v>
      </c>
      <c r="E21736">
        <v>7.1964017991004395E-2</v>
      </c>
    </row>
    <row r="21737" spans="1:5">
      <c r="A21737" t="s">
        <v>25230</v>
      </c>
      <c r="B21737" t="s">
        <v>25243</v>
      </c>
      <c r="C21737">
        <f>0</f>
        <v>0</v>
      </c>
      <c r="D21737">
        <v>0.951771836624</v>
      </c>
      <c r="E21737">
        <v>7.1964017991004395E-2</v>
      </c>
    </row>
    <row r="21738" spans="1:5">
      <c r="A21738" t="s">
        <v>25230</v>
      </c>
      <c r="B21738" t="s">
        <v>25244</v>
      </c>
      <c r="C21738">
        <v>0</v>
      </c>
      <c r="D21738">
        <v>0.951771836624</v>
      </c>
      <c r="E21738">
        <v>7.1964017991004395E-2</v>
      </c>
    </row>
    <row r="21739" spans="1:5">
      <c r="A21739" t="s">
        <v>25245</v>
      </c>
      <c r="B21739" t="s">
        <v>25246</v>
      </c>
      <c r="C21739">
        <v>0.312698320009</v>
      </c>
      <c r="D21739">
        <v>0.84593773579099996</v>
      </c>
      <c r="E21739">
        <v>15.316341829085401</v>
      </c>
    </row>
    <row r="21740" spans="1:5">
      <c r="A21740" t="s">
        <v>25247</v>
      </c>
      <c r="B21740" t="s">
        <v>25248</v>
      </c>
      <c r="C21740">
        <v>0</v>
      </c>
      <c r="D21740">
        <v>0.90385879718700002</v>
      </c>
      <c r="E21740">
        <v>0.61169415292353801</v>
      </c>
    </row>
    <row r="21741" spans="1:5">
      <c r="A21741" t="s">
        <v>25247</v>
      </c>
      <c r="B21741" t="s">
        <v>25249</v>
      </c>
      <c r="C21741">
        <f>0.0912425065431</f>
        <v>9.1242506543099997E-2</v>
      </c>
      <c r="D21741">
        <v>0.90385879718700002</v>
      </c>
      <c r="E21741">
        <v>0.61169415292353801</v>
      </c>
    </row>
    <row r="21742" spans="1:5">
      <c r="A21742" t="s">
        <v>25247</v>
      </c>
      <c r="B21742" t="s">
        <v>25250</v>
      </c>
      <c r="C21742">
        <v>0</v>
      </c>
      <c r="D21742">
        <v>0.90385879718700002</v>
      </c>
      <c r="E21742">
        <v>0.61169415292353801</v>
      </c>
    </row>
    <row r="21743" spans="1:5">
      <c r="A21743" t="s">
        <v>25247</v>
      </c>
      <c r="B21743" t="s">
        <v>25251</v>
      </c>
      <c r="C21743">
        <f>0</f>
        <v>0</v>
      </c>
      <c r="D21743">
        <v>0.90385879718700002</v>
      </c>
      <c r="E21743">
        <v>0.61169415292353801</v>
      </c>
    </row>
    <row r="21744" spans="1:5">
      <c r="A21744" t="s">
        <v>25247</v>
      </c>
      <c r="B21744" t="s">
        <v>25252</v>
      </c>
      <c r="C21744">
        <v>0</v>
      </c>
      <c r="D21744">
        <v>0.90385879718700002</v>
      </c>
      <c r="E21744">
        <v>0.61169415292353801</v>
      </c>
    </row>
    <row r="21745" spans="1:5">
      <c r="A21745" t="s">
        <v>25247</v>
      </c>
      <c r="B21745" t="s">
        <v>25253</v>
      </c>
      <c r="C21745">
        <f>0</f>
        <v>0</v>
      </c>
      <c r="D21745">
        <v>0.90385879718700002</v>
      </c>
      <c r="E21745">
        <v>0.61169415292353801</v>
      </c>
    </row>
    <row r="21746" spans="1:5">
      <c r="A21746" t="s">
        <v>25247</v>
      </c>
      <c r="B21746" t="s">
        <v>25254</v>
      </c>
      <c r="C21746">
        <f>0</f>
        <v>0</v>
      </c>
      <c r="D21746">
        <v>0.90385879718700002</v>
      </c>
      <c r="E21746">
        <v>0.61169415292353801</v>
      </c>
    </row>
    <row r="21747" spans="1:5">
      <c r="A21747" t="s">
        <v>25247</v>
      </c>
      <c r="B21747" t="s">
        <v>25255</v>
      </c>
      <c r="C21747">
        <v>0</v>
      </c>
      <c r="D21747">
        <v>0.90385879718700002</v>
      </c>
      <c r="E21747">
        <v>0.61169415292353801</v>
      </c>
    </row>
    <row r="21748" spans="1:5">
      <c r="A21748" t="s">
        <v>25247</v>
      </c>
      <c r="B21748" t="s">
        <v>25256</v>
      </c>
      <c r="C21748">
        <v>0</v>
      </c>
      <c r="D21748">
        <v>0.90385879718700002</v>
      </c>
      <c r="E21748">
        <v>0.61169415292353801</v>
      </c>
    </row>
    <row r="21749" spans="1:5">
      <c r="A21749" t="s">
        <v>25247</v>
      </c>
      <c r="B21749" t="s">
        <v>25257</v>
      </c>
      <c r="C21749">
        <v>0</v>
      </c>
      <c r="D21749">
        <v>0.90385879718700002</v>
      </c>
      <c r="E21749">
        <v>0.61169415292353801</v>
      </c>
    </row>
    <row r="21750" spans="1:5">
      <c r="A21750" t="s">
        <v>25247</v>
      </c>
      <c r="B21750" t="s">
        <v>25258</v>
      </c>
      <c r="C21750">
        <v>0</v>
      </c>
      <c r="D21750">
        <v>0.90385879718700002</v>
      </c>
      <c r="E21750">
        <v>0.61169415292353801</v>
      </c>
    </row>
    <row r="21751" spans="1:5">
      <c r="A21751" t="s">
        <v>25247</v>
      </c>
      <c r="B21751" t="s">
        <v>25259</v>
      </c>
      <c r="C21751">
        <v>0</v>
      </c>
      <c r="D21751">
        <v>0.90385879718700002</v>
      </c>
      <c r="E21751">
        <v>0.61169415292353801</v>
      </c>
    </row>
    <row r="21752" spans="1:5">
      <c r="A21752" t="s">
        <v>25247</v>
      </c>
      <c r="B21752" t="s">
        <v>25260</v>
      </c>
      <c r="C21752">
        <f>0</f>
        <v>0</v>
      </c>
      <c r="D21752">
        <v>0.90385879718700002</v>
      </c>
      <c r="E21752">
        <v>0.61169415292353801</v>
      </c>
    </row>
    <row r="21753" spans="1:5">
      <c r="A21753" t="s">
        <v>25247</v>
      </c>
      <c r="B21753" t="s">
        <v>25261</v>
      </c>
      <c r="C21753">
        <f>0</f>
        <v>0</v>
      </c>
      <c r="D21753">
        <v>0.90385879718700002</v>
      </c>
      <c r="E21753">
        <v>0.61169415292353801</v>
      </c>
    </row>
    <row r="21754" spans="1:5">
      <c r="A21754" t="s">
        <v>25247</v>
      </c>
      <c r="B21754" t="s">
        <v>25262</v>
      </c>
      <c r="C21754">
        <f>0</f>
        <v>0</v>
      </c>
      <c r="D21754">
        <v>0.90385879718700002</v>
      </c>
      <c r="E21754">
        <v>0.61169415292353801</v>
      </c>
    </row>
    <row r="21755" spans="1:5">
      <c r="A21755" t="s">
        <v>25247</v>
      </c>
      <c r="B21755" t="s">
        <v>25263</v>
      </c>
      <c r="C21755">
        <f>0</f>
        <v>0</v>
      </c>
      <c r="D21755">
        <v>0.90385879718700002</v>
      </c>
      <c r="E21755">
        <v>0.61169415292353801</v>
      </c>
    </row>
    <row r="21756" spans="1:5">
      <c r="A21756" t="s">
        <v>25247</v>
      </c>
      <c r="B21756" t="s">
        <v>25264</v>
      </c>
      <c r="C21756">
        <f>0</f>
        <v>0</v>
      </c>
      <c r="D21756">
        <v>0.90385879718700002</v>
      </c>
      <c r="E21756">
        <v>0.61169415292353801</v>
      </c>
    </row>
    <row r="21757" spans="1:5">
      <c r="A21757" t="s">
        <v>25247</v>
      </c>
      <c r="B21757" t="s">
        <v>25265</v>
      </c>
      <c r="C21757">
        <f>0</f>
        <v>0</v>
      </c>
      <c r="D21757">
        <v>0.90385879718700002</v>
      </c>
      <c r="E21757">
        <v>0.61169415292353801</v>
      </c>
    </row>
    <row r="21758" spans="1:5">
      <c r="A21758" t="s">
        <v>25266</v>
      </c>
      <c r="B21758" t="s">
        <v>25267</v>
      </c>
      <c r="C21758">
        <f>0</f>
        <v>0</v>
      </c>
      <c r="D21758">
        <v>0.93298249060399996</v>
      </c>
      <c r="E21758">
        <v>3.0464767616191901</v>
      </c>
    </row>
    <row r="21759" spans="1:5">
      <c r="A21759" t="s">
        <v>25266</v>
      </c>
      <c r="B21759" t="s">
        <v>25268</v>
      </c>
      <c r="C21759">
        <v>0.37854024194800001</v>
      </c>
      <c r="D21759">
        <v>0.93298249060399996</v>
      </c>
      <c r="E21759">
        <v>3.0464767616191901</v>
      </c>
    </row>
    <row r="21760" spans="1:5">
      <c r="A21760" t="s">
        <v>25266</v>
      </c>
      <c r="B21760" t="s">
        <v>25269</v>
      </c>
      <c r="C21760">
        <v>0</v>
      </c>
      <c r="D21760">
        <v>0.93298249060399996</v>
      </c>
      <c r="E21760">
        <v>3.0464767616191901</v>
      </c>
    </row>
    <row r="21761" spans="1:5">
      <c r="A21761" t="s">
        <v>25266</v>
      </c>
      <c r="B21761" t="s">
        <v>25270</v>
      </c>
      <c r="C21761">
        <v>0</v>
      </c>
      <c r="D21761">
        <v>0.93298249060399996</v>
      </c>
      <c r="E21761">
        <v>3.0464767616191901</v>
      </c>
    </row>
    <row r="21762" spans="1:5">
      <c r="A21762" t="s">
        <v>25266</v>
      </c>
      <c r="B21762" t="s">
        <v>25271</v>
      </c>
      <c r="C21762">
        <f>0</f>
        <v>0</v>
      </c>
      <c r="D21762">
        <v>0.93298249060399996</v>
      </c>
      <c r="E21762">
        <v>3.0464767616191901</v>
      </c>
    </row>
    <row r="21763" spans="1:5">
      <c r="A21763" t="s">
        <v>25266</v>
      </c>
      <c r="B21763" t="s">
        <v>25272</v>
      </c>
      <c r="C21763">
        <f>0</f>
        <v>0</v>
      </c>
      <c r="D21763">
        <v>0.93298249060399996</v>
      </c>
      <c r="E21763">
        <v>3.0464767616191901</v>
      </c>
    </row>
    <row r="21764" spans="1:5">
      <c r="A21764" t="s">
        <v>25266</v>
      </c>
      <c r="B21764" t="s">
        <v>25273</v>
      </c>
      <c r="C21764">
        <f>0</f>
        <v>0</v>
      </c>
      <c r="D21764">
        <v>0.93298249060399996</v>
      </c>
      <c r="E21764">
        <v>3.0464767616191901</v>
      </c>
    </row>
    <row r="21765" spans="1:5">
      <c r="A21765" t="s">
        <v>25266</v>
      </c>
      <c r="B21765" t="s">
        <v>25274</v>
      </c>
      <c r="C21765">
        <v>0</v>
      </c>
      <c r="D21765">
        <v>0.93298249060399996</v>
      </c>
      <c r="E21765">
        <v>3.0464767616191901</v>
      </c>
    </row>
    <row r="21766" spans="1:5">
      <c r="A21766" t="s">
        <v>25266</v>
      </c>
      <c r="B21766" t="s">
        <v>25275</v>
      </c>
      <c r="C21766">
        <v>0</v>
      </c>
      <c r="D21766">
        <v>0.93298249060399996</v>
      </c>
      <c r="E21766">
        <v>3.0464767616191901</v>
      </c>
    </row>
    <row r="21767" spans="1:5">
      <c r="A21767" t="s">
        <v>25266</v>
      </c>
      <c r="B21767" t="s">
        <v>25276</v>
      </c>
      <c r="C21767">
        <f>0</f>
        <v>0</v>
      </c>
      <c r="D21767">
        <v>0.93298249060399996</v>
      </c>
      <c r="E21767">
        <v>3.0464767616191901</v>
      </c>
    </row>
    <row r="21768" spans="1:5">
      <c r="A21768" t="s">
        <v>25266</v>
      </c>
      <c r="B21768" t="s">
        <v>25277</v>
      </c>
      <c r="C21768">
        <v>0</v>
      </c>
      <c r="D21768">
        <v>0.93298249060399996</v>
      </c>
      <c r="E21768">
        <v>3.0464767616191901</v>
      </c>
    </row>
    <row r="21769" spans="1:5">
      <c r="A21769" t="s">
        <v>25266</v>
      </c>
      <c r="B21769" t="s">
        <v>25278</v>
      </c>
      <c r="C21769">
        <v>4.0562916630900003E-2</v>
      </c>
      <c r="D21769">
        <v>0.93298249060399996</v>
      </c>
      <c r="E21769">
        <v>3.0464767616191901</v>
      </c>
    </row>
    <row r="21770" spans="1:5">
      <c r="A21770" t="s">
        <v>25266</v>
      </c>
      <c r="B21770" t="s">
        <v>25279</v>
      </c>
      <c r="C21770">
        <f>0</f>
        <v>0</v>
      </c>
      <c r="D21770">
        <v>0.93298249060399996</v>
      </c>
      <c r="E21770">
        <v>3.0464767616191901</v>
      </c>
    </row>
    <row r="21771" spans="1:5">
      <c r="A21771" t="s">
        <v>25266</v>
      </c>
      <c r="B21771" t="s">
        <v>25280</v>
      </c>
      <c r="C21771">
        <f>0</f>
        <v>0</v>
      </c>
      <c r="D21771">
        <v>0.93298249060399996</v>
      </c>
      <c r="E21771">
        <v>3.0464767616191901</v>
      </c>
    </row>
    <row r="21772" spans="1:5">
      <c r="A21772" t="s">
        <v>25281</v>
      </c>
      <c r="B21772" t="s">
        <v>25282</v>
      </c>
      <c r="C21772">
        <v>4.7862192780700002E-2</v>
      </c>
      <c r="D21772">
        <v>0.95243872601299995</v>
      </c>
      <c r="E21772">
        <v>24</v>
      </c>
    </row>
    <row r="21773" spans="1:5">
      <c r="A21773" t="s">
        <v>25281</v>
      </c>
      <c r="B21773" t="s">
        <v>25283</v>
      </c>
      <c r="C21773">
        <v>9.5681611156599997E-2</v>
      </c>
      <c r="D21773">
        <v>0.95243872601299995</v>
      </c>
      <c r="E21773">
        <v>24</v>
      </c>
    </row>
    <row r="21774" spans="1:5">
      <c r="A21774" t="s">
        <v>25281</v>
      </c>
      <c r="B21774" t="s">
        <v>25284</v>
      </c>
      <c r="C21774">
        <f>0</f>
        <v>0</v>
      </c>
      <c r="D21774">
        <v>0.95243872601299995</v>
      </c>
      <c r="E21774">
        <v>24</v>
      </c>
    </row>
    <row r="21775" spans="1:5">
      <c r="A21775" t="s">
        <v>25281</v>
      </c>
      <c r="B21775" t="s">
        <v>25285</v>
      </c>
      <c r="C21775">
        <v>0</v>
      </c>
      <c r="D21775">
        <v>0.95243872601299995</v>
      </c>
      <c r="E21775">
        <v>24</v>
      </c>
    </row>
    <row r="21776" spans="1:5">
      <c r="A21776" t="s">
        <v>25281</v>
      </c>
      <c r="B21776" t="s">
        <v>25286</v>
      </c>
      <c r="C21776">
        <f>0</f>
        <v>0</v>
      </c>
      <c r="D21776">
        <v>0.95243872601299995</v>
      </c>
      <c r="E21776">
        <v>24</v>
      </c>
    </row>
    <row r="21777" spans="1:5">
      <c r="A21777" t="s">
        <v>25281</v>
      </c>
      <c r="B21777" t="s">
        <v>25287</v>
      </c>
      <c r="C21777">
        <f>0</f>
        <v>0</v>
      </c>
      <c r="D21777">
        <v>0.95243872601299995</v>
      </c>
      <c r="E21777">
        <v>24</v>
      </c>
    </row>
    <row r="21778" spans="1:5">
      <c r="A21778" t="s">
        <v>25281</v>
      </c>
      <c r="B21778" t="s">
        <v>25288</v>
      </c>
      <c r="C21778">
        <v>0</v>
      </c>
      <c r="D21778">
        <v>0.95243872601299995</v>
      </c>
      <c r="E21778">
        <v>24</v>
      </c>
    </row>
    <row r="21779" spans="1:5">
      <c r="A21779" t="s">
        <v>25281</v>
      </c>
      <c r="B21779" t="s">
        <v>25289</v>
      </c>
      <c r="C21779">
        <v>0</v>
      </c>
      <c r="D21779">
        <v>0.95243872601299995</v>
      </c>
      <c r="E21779">
        <v>24</v>
      </c>
    </row>
    <row r="21780" spans="1:5">
      <c r="A21780" t="s">
        <v>25281</v>
      </c>
      <c r="B21780" t="s">
        <v>25290</v>
      </c>
      <c r="C21780">
        <v>0</v>
      </c>
      <c r="D21780">
        <v>0.95243872601299995</v>
      </c>
      <c r="E21780">
        <v>24</v>
      </c>
    </row>
    <row r="21781" spans="1:5">
      <c r="A21781" t="s">
        <v>25281</v>
      </c>
      <c r="B21781" t="s">
        <v>25291</v>
      </c>
      <c r="C21781">
        <v>0</v>
      </c>
      <c r="D21781">
        <v>0.95243872601299995</v>
      </c>
      <c r="E21781">
        <v>24</v>
      </c>
    </row>
    <row r="21782" spans="1:5">
      <c r="A21782" t="s">
        <v>25281</v>
      </c>
      <c r="B21782" t="s">
        <v>25292</v>
      </c>
      <c r="C21782">
        <f>0</f>
        <v>0</v>
      </c>
      <c r="D21782">
        <v>0.95243872601299995</v>
      </c>
      <c r="E21782">
        <v>24</v>
      </c>
    </row>
    <row r="21783" spans="1:5">
      <c r="A21783" t="s">
        <v>25293</v>
      </c>
      <c r="B21783" t="s">
        <v>25294</v>
      </c>
      <c r="C21783">
        <v>0</v>
      </c>
      <c r="D21783">
        <v>0.85546099453799995</v>
      </c>
      <c r="E21783">
        <v>3.7781109445277301</v>
      </c>
    </row>
    <row r="21784" spans="1:5">
      <c r="A21784" t="s">
        <v>25293</v>
      </c>
      <c r="B21784" t="s">
        <v>25295</v>
      </c>
      <c r="C21784">
        <f>0</f>
        <v>0</v>
      </c>
      <c r="D21784">
        <v>0.85546099453799995</v>
      </c>
      <c r="E21784">
        <v>3.7781109445277301</v>
      </c>
    </row>
    <row r="21785" spans="1:5">
      <c r="A21785" t="s">
        <v>25293</v>
      </c>
      <c r="B21785" t="s">
        <v>25296</v>
      </c>
      <c r="C21785">
        <v>0</v>
      </c>
      <c r="D21785">
        <v>0.85546099453799995</v>
      </c>
      <c r="E21785">
        <v>3.7781109445277301</v>
      </c>
    </row>
    <row r="21786" spans="1:5">
      <c r="A21786" t="s">
        <v>25297</v>
      </c>
      <c r="B21786" t="s">
        <v>25298</v>
      </c>
      <c r="C21786">
        <v>0</v>
      </c>
      <c r="D21786" t="s">
        <v>106</v>
      </c>
      <c r="E21786">
        <v>0.77961019490254801</v>
      </c>
    </row>
    <row r="21787" spans="1:5">
      <c r="A21787" t="s">
        <v>25297</v>
      </c>
      <c r="B21787" t="s">
        <v>25299</v>
      </c>
      <c r="C21787">
        <v>0</v>
      </c>
      <c r="D21787" t="s">
        <v>106</v>
      </c>
      <c r="E21787">
        <v>0.77961019490254801</v>
      </c>
    </row>
    <row r="21788" spans="1:5">
      <c r="A21788" t="s">
        <v>25297</v>
      </c>
      <c r="B21788" t="s">
        <v>25300</v>
      </c>
      <c r="C21788">
        <v>0</v>
      </c>
      <c r="D21788" t="s">
        <v>106</v>
      </c>
      <c r="E21788">
        <v>0.77961019490254801</v>
      </c>
    </row>
    <row r="21789" spans="1:5">
      <c r="A21789" t="s">
        <v>25297</v>
      </c>
      <c r="B21789" t="s">
        <v>25301</v>
      </c>
      <c r="C21789">
        <v>0</v>
      </c>
      <c r="D21789" t="s">
        <v>106</v>
      </c>
      <c r="E21789">
        <v>0.77961019490254801</v>
      </c>
    </row>
    <row r="21790" spans="1:5">
      <c r="A21790" t="s">
        <v>25297</v>
      </c>
      <c r="B21790" t="s">
        <v>25302</v>
      </c>
      <c r="C21790">
        <v>0</v>
      </c>
      <c r="D21790" t="s">
        <v>106</v>
      </c>
      <c r="E21790">
        <v>0.77961019490254801</v>
      </c>
    </row>
    <row r="21791" spans="1:5">
      <c r="A21791" t="s">
        <v>25297</v>
      </c>
      <c r="B21791" t="s">
        <v>25303</v>
      </c>
      <c r="C21791">
        <v>0</v>
      </c>
      <c r="D21791" t="s">
        <v>106</v>
      </c>
      <c r="E21791">
        <v>0.77961019490254801</v>
      </c>
    </row>
    <row r="21792" spans="1:5">
      <c r="A21792" t="s">
        <v>25297</v>
      </c>
      <c r="B21792" t="s">
        <v>25304</v>
      </c>
      <c r="C21792">
        <f>0</f>
        <v>0</v>
      </c>
      <c r="D21792" t="s">
        <v>106</v>
      </c>
      <c r="E21792">
        <v>0.77961019490254801</v>
      </c>
    </row>
    <row r="21793" spans="1:5">
      <c r="A21793" t="s">
        <v>25305</v>
      </c>
      <c r="B21793" t="s">
        <v>25306</v>
      </c>
      <c r="C21793">
        <v>6.7333082905699998E-3</v>
      </c>
      <c r="D21793">
        <v>0.67719772149299995</v>
      </c>
      <c r="E21793">
        <v>5.8170914542728598</v>
      </c>
    </row>
    <row r="21794" spans="1:5">
      <c r="A21794" t="s">
        <v>25305</v>
      </c>
      <c r="B21794" t="s">
        <v>25307</v>
      </c>
      <c r="C21794">
        <v>0</v>
      </c>
      <c r="D21794">
        <v>0.67719772149299995</v>
      </c>
      <c r="E21794">
        <v>5.8170914542728598</v>
      </c>
    </row>
    <row r="21795" spans="1:5">
      <c r="A21795" t="s">
        <v>25305</v>
      </c>
      <c r="B21795" t="s">
        <v>25308</v>
      </c>
      <c r="C21795">
        <v>0</v>
      </c>
      <c r="D21795">
        <v>0.67719772149299995</v>
      </c>
      <c r="E21795">
        <v>5.8170914542728598</v>
      </c>
    </row>
    <row r="21796" spans="1:5">
      <c r="A21796" t="s">
        <v>25309</v>
      </c>
      <c r="B21796" t="s">
        <v>25310</v>
      </c>
      <c r="C21796">
        <v>0</v>
      </c>
      <c r="D21796" t="s">
        <v>106</v>
      </c>
      <c r="E21796">
        <v>1.51124437781109</v>
      </c>
    </row>
    <row r="21797" spans="1:5">
      <c r="A21797" t="s">
        <v>25309</v>
      </c>
      <c r="B21797" t="s">
        <v>25311</v>
      </c>
      <c r="C21797">
        <v>0</v>
      </c>
      <c r="D21797" t="s">
        <v>106</v>
      </c>
      <c r="E21797">
        <v>1.51124437781109</v>
      </c>
    </row>
    <row r="21798" spans="1:5">
      <c r="A21798" t="s">
        <v>25309</v>
      </c>
      <c r="B21798" t="s">
        <v>25312</v>
      </c>
      <c r="C21798">
        <f>0</f>
        <v>0</v>
      </c>
      <c r="D21798" t="s">
        <v>106</v>
      </c>
      <c r="E21798">
        <v>1.51124437781109</v>
      </c>
    </row>
    <row r="21799" spans="1:5">
      <c r="A21799" t="s">
        <v>25313</v>
      </c>
      <c r="B21799" t="s">
        <v>25314</v>
      </c>
      <c r="C21799">
        <v>0.22775860928399999</v>
      </c>
      <c r="D21799">
        <v>0.95098811942200001</v>
      </c>
      <c r="E21799">
        <v>24</v>
      </c>
    </row>
    <row r="21800" spans="1:5">
      <c r="A21800" t="s">
        <v>25315</v>
      </c>
      <c r="B21800" t="s">
        <v>25316</v>
      </c>
      <c r="C21800">
        <f>0</f>
        <v>0</v>
      </c>
      <c r="D21800">
        <v>0.987457874525</v>
      </c>
      <c r="E21800">
        <v>24</v>
      </c>
    </row>
    <row r="21801" spans="1:5">
      <c r="A21801" t="s">
        <v>25315</v>
      </c>
      <c r="B21801" t="s">
        <v>25317</v>
      </c>
      <c r="C21801">
        <v>0</v>
      </c>
      <c r="D21801">
        <v>0.987457874525</v>
      </c>
      <c r="E21801">
        <v>24</v>
      </c>
    </row>
    <row r="21802" spans="1:5">
      <c r="A21802" t="s">
        <v>25315</v>
      </c>
      <c r="B21802" t="s">
        <v>25318</v>
      </c>
      <c r="C21802">
        <f>0</f>
        <v>0</v>
      </c>
      <c r="D21802">
        <v>0.987457874525</v>
      </c>
      <c r="E21802">
        <v>24</v>
      </c>
    </row>
    <row r="21803" spans="1:5">
      <c r="A21803" t="s">
        <v>25319</v>
      </c>
      <c r="B21803" t="s">
        <v>25320</v>
      </c>
      <c r="C21803">
        <v>0</v>
      </c>
      <c r="D21803" t="s">
        <v>106</v>
      </c>
      <c r="E21803">
        <v>14.176911544227799</v>
      </c>
    </row>
    <row r="21804" spans="1:5">
      <c r="A21804" t="s">
        <v>25319</v>
      </c>
      <c r="B21804" t="s">
        <v>25321</v>
      </c>
      <c r="C21804">
        <v>0</v>
      </c>
      <c r="D21804" t="s">
        <v>106</v>
      </c>
      <c r="E21804">
        <v>14.176911544227799</v>
      </c>
    </row>
    <row r="21805" spans="1:5">
      <c r="A21805" t="s">
        <v>25322</v>
      </c>
      <c r="B21805" t="s">
        <v>25323</v>
      </c>
      <c r="C21805">
        <f>0.244153946961</f>
        <v>0.24415394696100001</v>
      </c>
      <c r="D21805">
        <v>0.93573456379599995</v>
      </c>
      <c r="E21805">
        <v>1.6911544227886</v>
      </c>
    </row>
    <row r="21806" spans="1:5">
      <c r="A21806" t="s">
        <v>25322</v>
      </c>
      <c r="B21806" t="s">
        <v>25324</v>
      </c>
      <c r="C21806">
        <f>0.4375655501</f>
        <v>0.43756555009999998</v>
      </c>
      <c r="D21806">
        <v>0.93573456379599995</v>
      </c>
      <c r="E21806">
        <v>1.6911544227886</v>
      </c>
    </row>
    <row r="21807" spans="1:5">
      <c r="A21807" t="s">
        <v>25325</v>
      </c>
      <c r="B21807" t="s">
        <v>25326</v>
      </c>
      <c r="C21807">
        <f>0</f>
        <v>0</v>
      </c>
      <c r="D21807">
        <v>0.98645397293100001</v>
      </c>
      <c r="E21807">
        <v>23.280359820089899</v>
      </c>
    </row>
    <row r="21808" spans="1:5">
      <c r="A21808" t="s">
        <v>25325</v>
      </c>
      <c r="B21808" t="s">
        <v>25327</v>
      </c>
      <c r="C21808">
        <f>0</f>
        <v>0</v>
      </c>
      <c r="D21808">
        <v>0.98645397293100001</v>
      </c>
      <c r="E21808">
        <v>23.280359820089899</v>
      </c>
    </row>
    <row r="21809" spans="1:5">
      <c r="A21809" t="s">
        <v>25325</v>
      </c>
      <c r="B21809" t="s">
        <v>25328</v>
      </c>
      <c r="C21809">
        <v>0</v>
      </c>
      <c r="D21809">
        <v>0.98645397293100001</v>
      </c>
      <c r="E21809">
        <v>23.280359820089899</v>
      </c>
    </row>
    <row r="21810" spans="1:5">
      <c r="A21810" t="s">
        <v>25325</v>
      </c>
      <c r="B21810" t="s">
        <v>25329</v>
      </c>
      <c r="C21810">
        <f>0</f>
        <v>0</v>
      </c>
      <c r="D21810">
        <v>0.98645397293100001</v>
      </c>
      <c r="E21810">
        <v>23.280359820089899</v>
      </c>
    </row>
    <row r="21811" spans="1:5">
      <c r="A21811" t="s">
        <v>25325</v>
      </c>
      <c r="B21811" t="s">
        <v>25330</v>
      </c>
      <c r="C21811">
        <v>0</v>
      </c>
      <c r="D21811">
        <v>0.98645397293100001</v>
      </c>
      <c r="E21811">
        <v>23.280359820089899</v>
      </c>
    </row>
    <row r="21812" spans="1:5">
      <c r="A21812" t="s">
        <v>25325</v>
      </c>
      <c r="B21812" t="s">
        <v>25331</v>
      </c>
      <c r="C21812">
        <v>0</v>
      </c>
      <c r="D21812">
        <v>0.98645397293100001</v>
      </c>
      <c r="E21812">
        <v>23.280359820089899</v>
      </c>
    </row>
    <row r="21813" spans="1:5">
      <c r="A21813" t="s">
        <v>25325</v>
      </c>
      <c r="B21813" t="s">
        <v>25332</v>
      </c>
      <c r="C21813">
        <v>0</v>
      </c>
      <c r="D21813">
        <v>0.98645397293100001</v>
      </c>
      <c r="E21813">
        <v>23.280359820089899</v>
      </c>
    </row>
    <row r="21814" spans="1:5">
      <c r="A21814" t="s">
        <v>25325</v>
      </c>
      <c r="B21814" t="s">
        <v>25333</v>
      </c>
      <c r="C21814">
        <f>0</f>
        <v>0</v>
      </c>
      <c r="D21814">
        <v>0.98645397293100001</v>
      </c>
      <c r="E21814">
        <v>23.280359820089899</v>
      </c>
    </row>
    <row r="21815" spans="1:5">
      <c r="A21815" t="s">
        <v>25325</v>
      </c>
      <c r="B21815" t="s">
        <v>25334</v>
      </c>
      <c r="C21815">
        <f>0</f>
        <v>0</v>
      </c>
      <c r="D21815">
        <v>0.98645397293100001</v>
      </c>
      <c r="E21815">
        <v>23.280359820089899</v>
      </c>
    </row>
    <row r="21816" spans="1:5">
      <c r="A21816" t="s">
        <v>25325</v>
      </c>
      <c r="B21816" t="s">
        <v>25335</v>
      </c>
      <c r="C21816">
        <f>0</f>
        <v>0</v>
      </c>
      <c r="D21816">
        <v>0.98645397293100001</v>
      </c>
      <c r="E21816">
        <v>23.280359820089899</v>
      </c>
    </row>
    <row r="21817" spans="1:5">
      <c r="A21817" t="s">
        <v>25325</v>
      </c>
      <c r="B21817" t="s">
        <v>25336</v>
      </c>
      <c r="C21817">
        <f>0.0307084803035</f>
        <v>3.0708480303499999E-2</v>
      </c>
      <c r="D21817">
        <v>0.98645397293100001</v>
      </c>
      <c r="E21817">
        <v>23.280359820089899</v>
      </c>
    </row>
    <row r="21818" spans="1:5">
      <c r="A21818" t="s">
        <v>25325</v>
      </c>
      <c r="B21818" t="s">
        <v>25337</v>
      </c>
      <c r="C21818">
        <v>0</v>
      </c>
      <c r="D21818">
        <v>0.98645397293100001</v>
      </c>
      <c r="E21818">
        <v>23.280359820089899</v>
      </c>
    </row>
    <row r="21819" spans="1:5">
      <c r="A21819" t="s">
        <v>25325</v>
      </c>
      <c r="B21819" t="s">
        <v>25338</v>
      </c>
      <c r="C21819">
        <f>0</f>
        <v>0</v>
      </c>
      <c r="D21819">
        <v>0.98645397293100001</v>
      </c>
      <c r="E21819">
        <v>23.280359820089899</v>
      </c>
    </row>
    <row r="21820" spans="1:5">
      <c r="A21820" t="s">
        <v>25325</v>
      </c>
      <c r="B21820" t="s">
        <v>25339</v>
      </c>
      <c r="C21820">
        <f>0</f>
        <v>0</v>
      </c>
      <c r="D21820">
        <v>0.98645397293100001</v>
      </c>
      <c r="E21820">
        <v>23.280359820089899</v>
      </c>
    </row>
    <row r="21821" spans="1:5">
      <c r="A21821" t="s">
        <v>25325</v>
      </c>
      <c r="B21821" t="s">
        <v>25340</v>
      </c>
      <c r="C21821">
        <f>0</f>
        <v>0</v>
      </c>
      <c r="D21821">
        <v>0.98645397293100001</v>
      </c>
      <c r="E21821">
        <v>23.280359820089899</v>
      </c>
    </row>
    <row r="21822" spans="1:5">
      <c r="A21822" t="s">
        <v>25325</v>
      </c>
      <c r="B21822" t="s">
        <v>25341</v>
      </c>
      <c r="C21822">
        <f>0</f>
        <v>0</v>
      </c>
      <c r="D21822">
        <v>0.98645397293100001</v>
      </c>
      <c r="E21822">
        <v>23.280359820089899</v>
      </c>
    </row>
    <row r="21823" spans="1:5">
      <c r="A21823" t="s">
        <v>25325</v>
      </c>
      <c r="B21823" t="s">
        <v>25342</v>
      </c>
      <c r="C21823">
        <v>0</v>
      </c>
      <c r="D21823">
        <v>0.98645397293100001</v>
      </c>
      <c r="E21823">
        <v>23.280359820089899</v>
      </c>
    </row>
    <row r="21824" spans="1:5">
      <c r="A21824" t="s">
        <v>25343</v>
      </c>
      <c r="B21824" t="s">
        <v>25344</v>
      </c>
      <c r="C21824">
        <v>0</v>
      </c>
      <c r="D21824">
        <v>0.94391667964699999</v>
      </c>
      <c r="E21824">
        <v>8.4317841079460205</v>
      </c>
    </row>
    <row r="21825" spans="1:5">
      <c r="A21825" t="s">
        <v>25343</v>
      </c>
      <c r="B21825" t="s">
        <v>25345</v>
      </c>
      <c r="C21825">
        <f>0</f>
        <v>0</v>
      </c>
      <c r="D21825">
        <v>0.94391667964699999</v>
      </c>
      <c r="E21825">
        <v>8.4317841079460205</v>
      </c>
    </row>
    <row r="21826" spans="1:5">
      <c r="A21826" t="s">
        <v>25343</v>
      </c>
      <c r="B21826" t="s">
        <v>25346</v>
      </c>
      <c r="C21826">
        <v>0.35617678226299998</v>
      </c>
      <c r="D21826">
        <v>0.94391667964699999</v>
      </c>
      <c r="E21826">
        <v>8.4317841079460205</v>
      </c>
    </row>
    <row r="21827" spans="1:5">
      <c r="A21827" t="s">
        <v>25343</v>
      </c>
      <c r="B21827" t="s">
        <v>25347</v>
      </c>
      <c r="C21827">
        <f>0</f>
        <v>0</v>
      </c>
      <c r="D21827">
        <v>0.94391667964699999</v>
      </c>
      <c r="E21827">
        <v>8.4317841079460205</v>
      </c>
    </row>
    <row r="21828" spans="1:5">
      <c r="A21828" t="s">
        <v>25343</v>
      </c>
      <c r="B21828" t="s">
        <v>25348</v>
      </c>
      <c r="C21828">
        <f>0.117279326574</f>
        <v>0.117279326574</v>
      </c>
      <c r="D21828">
        <v>0.94391667964699999</v>
      </c>
      <c r="E21828">
        <v>8.4317841079460205</v>
      </c>
    </row>
    <row r="21829" spans="1:5">
      <c r="A21829" t="s">
        <v>25343</v>
      </c>
      <c r="B21829" t="s">
        <v>25349</v>
      </c>
      <c r="C21829">
        <v>0</v>
      </c>
      <c r="D21829">
        <v>0.94391667964699999</v>
      </c>
      <c r="E21829">
        <v>8.4317841079460205</v>
      </c>
    </row>
    <row r="21830" spans="1:5">
      <c r="A21830" t="s">
        <v>25343</v>
      </c>
      <c r="B21830" t="s">
        <v>25350</v>
      </c>
      <c r="C21830">
        <f>0</f>
        <v>0</v>
      </c>
      <c r="D21830">
        <v>0.94391667964699999</v>
      </c>
      <c r="E21830">
        <v>8.4317841079460205</v>
      </c>
    </row>
    <row r="21831" spans="1:5">
      <c r="A21831" t="s">
        <v>25351</v>
      </c>
      <c r="B21831" t="s">
        <v>25352</v>
      </c>
      <c r="C21831">
        <v>0.697308651334</v>
      </c>
      <c r="D21831">
        <v>0.93841053232500005</v>
      </c>
      <c r="E21831">
        <v>1.51124437781109</v>
      </c>
    </row>
    <row r="21832" spans="1:5">
      <c r="A21832" t="s">
        <v>25351</v>
      </c>
      <c r="B21832" t="s">
        <v>25353</v>
      </c>
      <c r="C21832">
        <f>0.251764184899</f>
        <v>0.25176418489899999</v>
      </c>
      <c r="D21832">
        <v>0.93841053232500005</v>
      </c>
      <c r="E21832">
        <v>1.51124437781109</v>
      </c>
    </row>
    <row r="21833" spans="1:5">
      <c r="A21833" t="s">
        <v>25354</v>
      </c>
      <c r="B21833" t="s">
        <v>25355</v>
      </c>
      <c r="C21833">
        <f>0</f>
        <v>0</v>
      </c>
      <c r="D21833" t="s">
        <v>106</v>
      </c>
      <c r="E21833">
        <v>9.3073463268365799</v>
      </c>
    </row>
    <row r="21834" spans="1:5">
      <c r="A21834" t="s">
        <v>25356</v>
      </c>
      <c r="B21834" t="s">
        <v>25357</v>
      </c>
      <c r="C21834">
        <f>0</f>
        <v>0</v>
      </c>
      <c r="D21834" t="s">
        <v>106</v>
      </c>
      <c r="E21834">
        <v>1.89505247376311</v>
      </c>
    </row>
    <row r="21835" spans="1:5">
      <c r="A21835" t="s">
        <v>25356</v>
      </c>
      <c r="B21835" t="s">
        <v>25358</v>
      </c>
      <c r="C21835">
        <v>0</v>
      </c>
      <c r="D21835" t="s">
        <v>106</v>
      </c>
      <c r="E21835">
        <v>1.89505247376311</v>
      </c>
    </row>
    <row r="21836" spans="1:5">
      <c r="A21836" t="s">
        <v>25356</v>
      </c>
      <c r="B21836" t="s">
        <v>25359</v>
      </c>
      <c r="C21836">
        <f>0</f>
        <v>0</v>
      </c>
      <c r="D21836" t="s">
        <v>106</v>
      </c>
      <c r="E21836">
        <v>1.89505247376311</v>
      </c>
    </row>
    <row r="21837" spans="1:5">
      <c r="A21837" t="s">
        <v>25356</v>
      </c>
      <c r="B21837" t="s">
        <v>25360</v>
      </c>
      <c r="C21837">
        <v>0</v>
      </c>
      <c r="D21837" t="s">
        <v>106</v>
      </c>
      <c r="E21837">
        <v>1.89505247376311</v>
      </c>
    </row>
    <row r="21838" spans="1:5">
      <c r="A21838" t="s">
        <v>25361</v>
      </c>
      <c r="B21838" t="s">
        <v>25362</v>
      </c>
      <c r="C21838">
        <v>0</v>
      </c>
      <c r="D21838">
        <v>0.87490283625099996</v>
      </c>
      <c r="E21838">
        <v>9.1634182908545707</v>
      </c>
    </row>
    <row r="21839" spans="1:5">
      <c r="A21839" t="s">
        <v>25361</v>
      </c>
      <c r="B21839" t="s">
        <v>25363</v>
      </c>
      <c r="C21839">
        <v>1.2431365316599999E-2</v>
      </c>
      <c r="D21839">
        <v>0.87490283625099996</v>
      </c>
      <c r="E21839">
        <v>9.1634182908545707</v>
      </c>
    </row>
    <row r="21840" spans="1:5">
      <c r="A21840" t="s">
        <v>25361</v>
      </c>
      <c r="B21840" t="s">
        <v>25364</v>
      </c>
      <c r="C21840">
        <v>0</v>
      </c>
      <c r="D21840">
        <v>0.87490283625099996</v>
      </c>
      <c r="E21840">
        <v>9.1634182908545707</v>
      </c>
    </row>
    <row r="21841" spans="1:5">
      <c r="A21841" t="s">
        <v>25361</v>
      </c>
      <c r="B21841" t="s">
        <v>25365</v>
      </c>
      <c r="C21841">
        <v>0</v>
      </c>
      <c r="D21841">
        <v>0.87490283625099996</v>
      </c>
      <c r="E21841">
        <v>9.1634182908545707</v>
      </c>
    </row>
    <row r="21842" spans="1:5">
      <c r="A21842" t="s">
        <v>25361</v>
      </c>
      <c r="B21842" t="s">
        <v>25366</v>
      </c>
      <c r="C21842">
        <v>0</v>
      </c>
      <c r="D21842">
        <v>0.87490283625099996</v>
      </c>
      <c r="E21842">
        <v>9.1634182908545707</v>
      </c>
    </row>
    <row r="21843" spans="1:5">
      <c r="A21843" t="s">
        <v>25361</v>
      </c>
      <c r="B21843" t="s">
        <v>25367</v>
      </c>
      <c r="C21843">
        <f>0.010958640766</f>
        <v>1.0958640766E-2</v>
      </c>
      <c r="D21843">
        <v>0.87490283625099996</v>
      </c>
      <c r="E21843">
        <v>9.1634182908545707</v>
      </c>
    </row>
    <row r="21844" spans="1:5">
      <c r="A21844" t="s">
        <v>25361</v>
      </c>
      <c r="B21844" t="s">
        <v>25368</v>
      </c>
      <c r="C21844">
        <v>0</v>
      </c>
      <c r="D21844">
        <v>0.87490283625099996</v>
      </c>
      <c r="E21844">
        <v>9.1634182908545707</v>
      </c>
    </row>
    <row r="21845" spans="1:5">
      <c r="A21845" t="s">
        <v>25369</v>
      </c>
      <c r="B21845" t="s">
        <v>25370</v>
      </c>
      <c r="C21845">
        <v>0.431082307251</v>
      </c>
      <c r="D21845">
        <v>0.96344722485300005</v>
      </c>
      <c r="E21845">
        <v>2.3268365817091401</v>
      </c>
    </row>
    <row r="21846" spans="1:5">
      <c r="A21846" t="s">
        <v>25369</v>
      </c>
      <c r="B21846" t="s">
        <v>25371</v>
      </c>
      <c r="C21846">
        <v>0</v>
      </c>
      <c r="D21846">
        <v>0.96344722485300005</v>
      </c>
      <c r="E21846">
        <v>2.3268365817091401</v>
      </c>
    </row>
    <row r="21847" spans="1:5">
      <c r="A21847" t="s">
        <v>25369</v>
      </c>
      <c r="B21847" t="s">
        <v>25372</v>
      </c>
      <c r="C21847">
        <v>5.6301938922900002E-2</v>
      </c>
      <c r="D21847">
        <v>0.96344722485300005</v>
      </c>
      <c r="E21847">
        <v>2.3268365817091401</v>
      </c>
    </row>
    <row r="21848" spans="1:5">
      <c r="A21848" t="s">
        <v>25369</v>
      </c>
      <c r="B21848" t="s">
        <v>25373</v>
      </c>
      <c r="C21848">
        <v>0</v>
      </c>
      <c r="D21848">
        <v>0.96344722485300005</v>
      </c>
      <c r="E21848">
        <v>2.3268365817091401</v>
      </c>
    </row>
    <row r="21849" spans="1:5">
      <c r="A21849" t="s">
        <v>25369</v>
      </c>
      <c r="B21849" t="s">
        <v>25374</v>
      </c>
      <c r="C21849">
        <v>0</v>
      </c>
      <c r="D21849">
        <v>0.96344722485300005</v>
      </c>
      <c r="E21849">
        <v>2.3268365817091401</v>
      </c>
    </row>
    <row r="21850" spans="1:5">
      <c r="A21850" t="s">
        <v>25369</v>
      </c>
      <c r="B21850" t="s">
        <v>25375</v>
      </c>
      <c r="C21850">
        <f>0</f>
        <v>0</v>
      </c>
      <c r="D21850">
        <v>0.96344722485300005</v>
      </c>
      <c r="E21850">
        <v>2.3268365817091401</v>
      </c>
    </row>
    <row r="21851" spans="1:5">
      <c r="A21851" t="s">
        <v>25369</v>
      </c>
      <c r="B21851" t="s">
        <v>25376</v>
      </c>
      <c r="C21851">
        <v>0</v>
      </c>
      <c r="D21851">
        <v>0.96344722485300005</v>
      </c>
      <c r="E21851">
        <v>2.3268365817091401</v>
      </c>
    </row>
    <row r="21852" spans="1:5">
      <c r="A21852" t="s">
        <v>25377</v>
      </c>
      <c r="B21852" t="s">
        <v>25378</v>
      </c>
      <c r="C21852">
        <v>2.1057198897000001E-2</v>
      </c>
      <c r="D21852" t="s">
        <v>106</v>
      </c>
      <c r="E21852">
        <v>5.3493253373313303</v>
      </c>
    </row>
    <row r="21853" spans="1:5">
      <c r="A21853" t="s">
        <v>25379</v>
      </c>
      <c r="B21853" t="s">
        <v>25380</v>
      </c>
      <c r="C21853">
        <f>0.0378976711689</f>
        <v>3.7897671168899999E-2</v>
      </c>
      <c r="D21853">
        <v>0.460770695269</v>
      </c>
      <c r="E21853">
        <v>13.2653673163418</v>
      </c>
    </row>
    <row r="21854" spans="1:5">
      <c r="A21854" t="s">
        <v>25379</v>
      </c>
      <c r="B21854" t="s">
        <v>25381</v>
      </c>
      <c r="C21854">
        <v>0.10891540842899999</v>
      </c>
      <c r="D21854">
        <v>0.460770695269</v>
      </c>
      <c r="E21854">
        <v>13.2653673163418</v>
      </c>
    </row>
    <row r="21855" spans="1:5">
      <c r="A21855" t="s">
        <v>25382</v>
      </c>
      <c r="B21855" t="s">
        <v>25383</v>
      </c>
      <c r="C21855">
        <f>0.75388270498</f>
        <v>0.75388270497999998</v>
      </c>
      <c r="D21855">
        <v>0.86384636920699998</v>
      </c>
      <c r="E21855">
        <v>1.00749625187406</v>
      </c>
    </row>
    <row r="21856" spans="1:5">
      <c r="A21856" t="s">
        <v>25384</v>
      </c>
      <c r="B21856" t="s">
        <v>25385</v>
      </c>
      <c r="C21856">
        <v>0</v>
      </c>
      <c r="D21856">
        <v>0.881166065705</v>
      </c>
      <c r="E21856">
        <v>4.58170914542728</v>
      </c>
    </row>
    <row r="21857" spans="1:5">
      <c r="A21857" t="s">
        <v>25384</v>
      </c>
      <c r="B21857" t="s">
        <v>25386</v>
      </c>
      <c r="C21857">
        <f>0</f>
        <v>0</v>
      </c>
      <c r="D21857">
        <v>0.881166065705</v>
      </c>
      <c r="E21857">
        <v>4.58170914542728</v>
      </c>
    </row>
    <row r="21858" spans="1:5">
      <c r="A21858" t="s">
        <v>25384</v>
      </c>
      <c r="B21858" t="s">
        <v>25387</v>
      </c>
      <c r="C21858">
        <v>0.18979213579699999</v>
      </c>
      <c r="D21858">
        <v>0.881166065705</v>
      </c>
      <c r="E21858">
        <v>4.58170914542728</v>
      </c>
    </row>
    <row r="21859" spans="1:5">
      <c r="A21859" t="s">
        <v>25384</v>
      </c>
      <c r="B21859" t="s">
        <v>25388</v>
      </c>
      <c r="C21859">
        <v>0.10981748796</v>
      </c>
      <c r="D21859">
        <v>0.881166065705</v>
      </c>
      <c r="E21859">
        <v>4.58170914542728</v>
      </c>
    </row>
    <row r="21860" spans="1:5">
      <c r="A21860" t="s">
        <v>25389</v>
      </c>
      <c r="B21860" t="s">
        <v>25390</v>
      </c>
      <c r="C21860">
        <v>8.02172841538E-2</v>
      </c>
      <c r="D21860">
        <v>0.561817150391</v>
      </c>
      <c r="E21860">
        <v>24</v>
      </c>
    </row>
    <row r="21861" spans="1:5">
      <c r="A21861" t="s">
        <v>25391</v>
      </c>
      <c r="B21861" t="s">
        <v>25392</v>
      </c>
      <c r="C21861">
        <f>0.0115081356489</f>
        <v>1.1508135648900001E-2</v>
      </c>
      <c r="D21861">
        <v>0.99624416468900001</v>
      </c>
      <c r="E21861">
        <v>1.89505247376311</v>
      </c>
    </row>
    <row r="21862" spans="1:5">
      <c r="A21862" t="s">
        <v>25391</v>
      </c>
      <c r="B21862" t="s">
        <v>25393</v>
      </c>
      <c r="C21862">
        <f>0.389576245487</f>
        <v>0.38957624548699998</v>
      </c>
      <c r="D21862">
        <v>0.99624416468900001</v>
      </c>
      <c r="E21862">
        <v>1.89505247376311</v>
      </c>
    </row>
    <row r="21863" spans="1:5">
      <c r="A21863" t="s">
        <v>25391</v>
      </c>
      <c r="B21863" t="s">
        <v>25394</v>
      </c>
      <c r="C21863">
        <f>0</f>
        <v>0</v>
      </c>
      <c r="D21863">
        <v>0.99624416468900001</v>
      </c>
      <c r="E21863">
        <v>1.89505247376311</v>
      </c>
    </row>
    <row r="21864" spans="1:5">
      <c r="A21864" t="s">
        <v>25391</v>
      </c>
      <c r="B21864" t="s">
        <v>25395</v>
      </c>
      <c r="C21864">
        <v>0</v>
      </c>
      <c r="D21864">
        <v>0.99624416468900001</v>
      </c>
      <c r="E21864">
        <v>1.89505247376311</v>
      </c>
    </row>
    <row r="21865" spans="1:5">
      <c r="A21865" t="s">
        <v>25396</v>
      </c>
      <c r="B21865" t="s">
        <v>25397</v>
      </c>
      <c r="C21865">
        <v>0</v>
      </c>
      <c r="D21865" t="s">
        <v>106</v>
      </c>
      <c r="E21865">
        <v>7.3283358320839502</v>
      </c>
    </row>
    <row r="21866" spans="1:5">
      <c r="A21866" t="s">
        <v>25396</v>
      </c>
      <c r="B21866" t="s">
        <v>25398</v>
      </c>
      <c r="C21866">
        <v>0</v>
      </c>
      <c r="D21866" t="s">
        <v>106</v>
      </c>
      <c r="E21866">
        <v>7.3283358320839502</v>
      </c>
    </row>
    <row r="21867" spans="1:5">
      <c r="A21867" t="s">
        <v>25396</v>
      </c>
      <c r="B21867" t="s">
        <v>25399</v>
      </c>
      <c r="C21867">
        <v>0</v>
      </c>
      <c r="D21867" t="s">
        <v>106</v>
      </c>
      <c r="E21867">
        <v>7.3283358320839502</v>
      </c>
    </row>
    <row r="21868" spans="1:5">
      <c r="A21868" t="s">
        <v>25396</v>
      </c>
      <c r="B21868" t="s">
        <v>25400</v>
      </c>
      <c r="C21868">
        <v>0</v>
      </c>
      <c r="D21868" t="s">
        <v>106</v>
      </c>
      <c r="E21868">
        <v>7.3283358320839502</v>
      </c>
    </row>
    <row r="21869" spans="1:5">
      <c r="A21869" t="s">
        <v>25396</v>
      </c>
      <c r="B21869" t="s">
        <v>25401</v>
      </c>
      <c r="C21869">
        <f>0</f>
        <v>0</v>
      </c>
      <c r="D21869" t="s">
        <v>106</v>
      </c>
      <c r="E21869">
        <v>7.3283358320839502</v>
      </c>
    </row>
    <row r="21870" spans="1:5">
      <c r="A21870" t="s">
        <v>25396</v>
      </c>
      <c r="B21870" t="s">
        <v>25402</v>
      </c>
      <c r="C21870">
        <v>0</v>
      </c>
      <c r="D21870" t="s">
        <v>106</v>
      </c>
      <c r="E21870">
        <v>7.3283358320839502</v>
      </c>
    </row>
    <row r="21871" spans="1:5">
      <c r="A21871" t="s">
        <v>25396</v>
      </c>
      <c r="B21871" t="s">
        <v>25403</v>
      </c>
      <c r="C21871">
        <f>0</f>
        <v>0</v>
      </c>
      <c r="D21871" t="s">
        <v>106</v>
      </c>
      <c r="E21871">
        <v>7.3283358320839502</v>
      </c>
    </row>
    <row r="21872" spans="1:5">
      <c r="A21872" t="s">
        <v>25396</v>
      </c>
      <c r="B21872" t="s">
        <v>25404</v>
      </c>
      <c r="C21872">
        <v>0</v>
      </c>
      <c r="D21872" t="s">
        <v>106</v>
      </c>
      <c r="E21872">
        <v>7.3283358320839502</v>
      </c>
    </row>
    <row r="21873" spans="1:5">
      <c r="A21873" t="s">
        <v>25396</v>
      </c>
      <c r="B21873" t="s">
        <v>25405</v>
      </c>
      <c r="C21873">
        <f>0</f>
        <v>0</v>
      </c>
      <c r="D21873" t="s">
        <v>106</v>
      </c>
      <c r="E21873">
        <v>7.3283358320839502</v>
      </c>
    </row>
    <row r="21874" spans="1:5">
      <c r="A21874" t="s">
        <v>25396</v>
      </c>
      <c r="B21874" t="s">
        <v>25406</v>
      </c>
      <c r="C21874">
        <v>0</v>
      </c>
      <c r="D21874" t="s">
        <v>106</v>
      </c>
      <c r="E21874">
        <v>7.3283358320839502</v>
      </c>
    </row>
    <row r="21875" spans="1:5">
      <c r="A21875" t="s">
        <v>25396</v>
      </c>
      <c r="B21875" t="s">
        <v>25407</v>
      </c>
      <c r="C21875">
        <v>0</v>
      </c>
      <c r="D21875" t="s">
        <v>106</v>
      </c>
      <c r="E21875">
        <v>7.3283358320839502</v>
      </c>
    </row>
    <row r="21876" spans="1:5">
      <c r="A21876" t="s">
        <v>25408</v>
      </c>
      <c r="B21876" t="s">
        <v>25409</v>
      </c>
      <c r="C21876">
        <f>0.134298313452</f>
        <v>0.134298313452</v>
      </c>
      <c r="D21876">
        <v>0.99602925858299995</v>
      </c>
      <c r="E21876">
        <v>5.4692653673163401</v>
      </c>
    </row>
    <row r="21877" spans="1:5">
      <c r="A21877" t="s">
        <v>25410</v>
      </c>
      <c r="B21877" t="s">
        <v>25411</v>
      </c>
      <c r="C21877">
        <f>0</f>
        <v>0</v>
      </c>
      <c r="D21877" t="s">
        <v>106</v>
      </c>
      <c r="E21877">
        <v>5.0134932533733103</v>
      </c>
    </row>
    <row r="21878" spans="1:5">
      <c r="A21878" t="s">
        <v>25410</v>
      </c>
      <c r="B21878" t="s">
        <v>25412</v>
      </c>
      <c r="C21878">
        <f>0</f>
        <v>0</v>
      </c>
      <c r="D21878" t="s">
        <v>106</v>
      </c>
      <c r="E21878">
        <v>5.0134932533733103</v>
      </c>
    </row>
    <row r="21879" spans="1:5">
      <c r="A21879" t="s">
        <v>25410</v>
      </c>
      <c r="B21879" t="s">
        <v>25413</v>
      </c>
      <c r="C21879">
        <f>0</f>
        <v>0</v>
      </c>
      <c r="D21879" t="s">
        <v>106</v>
      </c>
      <c r="E21879">
        <v>5.0134932533733103</v>
      </c>
    </row>
    <row r="21880" spans="1:5">
      <c r="A21880" t="s">
        <v>25410</v>
      </c>
      <c r="B21880" t="s">
        <v>25414</v>
      </c>
      <c r="C21880">
        <f>0</f>
        <v>0</v>
      </c>
      <c r="D21880" t="s">
        <v>106</v>
      </c>
      <c r="E21880">
        <v>5.0134932533733103</v>
      </c>
    </row>
    <row r="21881" spans="1:5">
      <c r="A21881" t="s">
        <v>25410</v>
      </c>
      <c r="B21881" t="s">
        <v>25415</v>
      </c>
      <c r="C21881">
        <f>0.0241236700913</f>
        <v>2.4123670091299999E-2</v>
      </c>
      <c r="D21881" t="s">
        <v>106</v>
      </c>
      <c r="E21881">
        <v>5.0134932533733103</v>
      </c>
    </row>
    <row r="21882" spans="1:5">
      <c r="A21882" t="s">
        <v>25410</v>
      </c>
      <c r="B21882" t="s">
        <v>25416</v>
      </c>
      <c r="C21882">
        <f>0</f>
        <v>0</v>
      </c>
      <c r="D21882" t="s">
        <v>106</v>
      </c>
      <c r="E21882">
        <v>5.0134932533733103</v>
      </c>
    </row>
    <row r="21883" spans="1:5">
      <c r="A21883" t="s">
        <v>25417</v>
      </c>
      <c r="B21883" t="s">
        <v>25418</v>
      </c>
      <c r="C21883">
        <v>0.22401701873499999</v>
      </c>
      <c r="D21883">
        <v>0.94223399812099995</v>
      </c>
      <c r="E21883">
        <v>0.95952023988005997</v>
      </c>
    </row>
    <row r="21884" spans="1:5">
      <c r="A21884" t="s">
        <v>25417</v>
      </c>
      <c r="B21884" t="s">
        <v>25419</v>
      </c>
      <c r="C21884">
        <f>0</f>
        <v>0</v>
      </c>
      <c r="D21884">
        <v>0.94223399812099995</v>
      </c>
      <c r="E21884">
        <v>0.95952023988005997</v>
      </c>
    </row>
    <row r="21885" spans="1:5">
      <c r="A21885" t="s">
        <v>25417</v>
      </c>
      <c r="B21885" t="s">
        <v>25420</v>
      </c>
      <c r="C21885">
        <f>0</f>
        <v>0</v>
      </c>
      <c r="D21885">
        <v>0.94223399812099995</v>
      </c>
      <c r="E21885">
        <v>0.95952023988005997</v>
      </c>
    </row>
    <row r="21886" spans="1:5">
      <c r="A21886" t="s">
        <v>25417</v>
      </c>
      <c r="B21886" t="s">
        <v>25421</v>
      </c>
      <c r="C21886">
        <f>0</f>
        <v>0</v>
      </c>
      <c r="D21886">
        <v>0.94223399812099995</v>
      </c>
      <c r="E21886">
        <v>0.95952023988005997</v>
      </c>
    </row>
    <row r="21887" spans="1:5">
      <c r="A21887" t="s">
        <v>25417</v>
      </c>
      <c r="B21887" t="s">
        <v>25422</v>
      </c>
      <c r="C21887">
        <v>0.135479925636</v>
      </c>
      <c r="D21887">
        <v>0.94223399812099995</v>
      </c>
      <c r="E21887">
        <v>0.95952023988005997</v>
      </c>
    </row>
    <row r="21888" spans="1:5">
      <c r="A21888" t="s">
        <v>25423</v>
      </c>
      <c r="B21888" t="s">
        <v>25424</v>
      </c>
      <c r="C21888">
        <f>0</f>
        <v>0</v>
      </c>
      <c r="D21888" t="s">
        <v>106</v>
      </c>
      <c r="E21888">
        <v>0.14392803598200801</v>
      </c>
    </row>
    <row r="21889" spans="1:5">
      <c r="A21889" t="s">
        <v>25423</v>
      </c>
      <c r="B21889" t="s">
        <v>25425</v>
      </c>
      <c r="C21889">
        <v>0</v>
      </c>
      <c r="D21889" t="s">
        <v>106</v>
      </c>
      <c r="E21889">
        <v>0.14392803598200801</v>
      </c>
    </row>
    <row r="21890" spans="1:5">
      <c r="A21890" t="s">
        <v>25423</v>
      </c>
      <c r="B21890" t="s">
        <v>25426</v>
      </c>
      <c r="C21890">
        <f>0</f>
        <v>0</v>
      </c>
      <c r="D21890" t="s">
        <v>106</v>
      </c>
      <c r="E21890">
        <v>0.14392803598200801</v>
      </c>
    </row>
    <row r="21891" spans="1:5">
      <c r="A21891" t="s">
        <v>25427</v>
      </c>
      <c r="B21891" t="s">
        <v>25428</v>
      </c>
      <c r="C21891">
        <f>0.273263237059</f>
        <v>0.27326323705900002</v>
      </c>
      <c r="D21891">
        <v>0.96353523474799996</v>
      </c>
      <c r="E21891">
        <v>2.39880059970015</v>
      </c>
    </row>
    <row r="21892" spans="1:5">
      <c r="A21892" t="s">
        <v>25427</v>
      </c>
      <c r="B21892" t="s">
        <v>25429</v>
      </c>
      <c r="C21892">
        <v>6.7033979956300005E-2</v>
      </c>
      <c r="D21892">
        <v>0.96353523474799996</v>
      </c>
      <c r="E21892">
        <v>2.39880059970015</v>
      </c>
    </row>
    <row r="21893" spans="1:5">
      <c r="A21893" t="s">
        <v>25430</v>
      </c>
      <c r="B21893" t="s">
        <v>25431</v>
      </c>
      <c r="C21893">
        <f>0.136132961254</f>
        <v>0.13613296125400001</v>
      </c>
      <c r="D21893">
        <v>0.96621814234100001</v>
      </c>
      <c r="E21893">
        <v>0</v>
      </c>
    </row>
    <row r="21894" spans="1:5">
      <c r="A21894" t="s">
        <v>25430</v>
      </c>
      <c r="B21894" t="s">
        <v>25432</v>
      </c>
      <c r="C21894">
        <v>0</v>
      </c>
      <c r="D21894">
        <v>0.96621814234100001</v>
      </c>
      <c r="E21894">
        <v>0</v>
      </c>
    </row>
    <row r="21895" spans="1:5">
      <c r="A21895" t="s">
        <v>25430</v>
      </c>
      <c r="B21895" t="s">
        <v>25433</v>
      </c>
      <c r="C21895">
        <f>0.113397551031</f>
        <v>0.11339755103099999</v>
      </c>
      <c r="D21895">
        <v>0.96621814234100001</v>
      </c>
      <c r="E21895">
        <v>0</v>
      </c>
    </row>
    <row r="21896" spans="1:5">
      <c r="A21896" t="s">
        <v>25430</v>
      </c>
      <c r="B21896" t="s">
        <v>25434</v>
      </c>
      <c r="C21896">
        <v>0</v>
      </c>
      <c r="D21896">
        <v>0.96621814234100001</v>
      </c>
      <c r="E21896">
        <v>0</v>
      </c>
    </row>
    <row r="21897" spans="1:5">
      <c r="A21897" t="s">
        <v>25430</v>
      </c>
      <c r="B21897" t="s">
        <v>25435</v>
      </c>
      <c r="C21897">
        <f>0</f>
        <v>0</v>
      </c>
      <c r="D21897">
        <v>0.96621814234100001</v>
      </c>
      <c r="E21897">
        <v>0</v>
      </c>
    </row>
    <row r="21898" spans="1:5">
      <c r="A21898" t="s">
        <v>25436</v>
      </c>
      <c r="B21898" t="s">
        <v>25437</v>
      </c>
      <c r="C21898">
        <v>3.3253620961099998E-3</v>
      </c>
      <c r="D21898">
        <v>0.81107357094099997</v>
      </c>
      <c r="E21898">
        <v>0.73163418290854498</v>
      </c>
    </row>
    <row r="21899" spans="1:5">
      <c r="A21899" t="s">
        <v>25436</v>
      </c>
      <c r="B21899" t="s">
        <v>25438</v>
      </c>
      <c r="C21899">
        <f>0.309206106192</f>
        <v>0.30920610619200001</v>
      </c>
      <c r="D21899">
        <v>0.81107357094099997</v>
      </c>
      <c r="E21899">
        <v>0.73163418290854498</v>
      </c>
    </row>
    <row r="21900" spans="1:5">
      <c r="A21900" t="s">
        <v>25436</v>
      </c>
      <c r="B21900" t="s">
        <v>25439</v>
      </c>
      <c r="C21900">
        <f>0</f>
        <v>0</v>
      </c>
      <c r="D21900">
        <v>0.81107357094099997</v>
      </c>
      <c r="E21900">
        <v>0.73163418290854498</v>
      </c>
    </row>
    <row r="21901" spans="1:5">
      <c r="A21901" t="s">
        <v>25436</v>
      </c>
      <c r="B21901" t="s">
        <v>25440</v>
      </c>
      <c r="C21901">
        <v>0</v>
      </c>
      <c r="D21901">
        <v>0.81107357094099997</v>
      </c>
      <c r="E21901">
        <v>0.73163418290854498</v>
      </c>
    </row>
    <row r="21902" spans="1:5">
      <c r="A21902" t="s">
        <v>25436</v>
      </c>
      <c r="B21902" t="s">
        <v>25441</v>
      </c>
      <c r="C21902">
        <v>0</v>
      </c>
      <c r="D21902">
        <v>0.81107357094099997</v>
      </c>
      <c r="E21902">
        <v>0.73163418290854498</v>
      </c>
    </row>
    <row r="21903" spans="1:5">
      <c r="A21903" t="s">
        <v>25436</v>
      </c>
      <c r="B21903" t="s">
        <v>25442</v>
      </c>
      <c r="C21903">
        <f>0</f>
        <v>0</v>
      </c>
      <c r="D21903">
        <v>0.81107357094099997</v>
      </c>
      <c r="E21903">
        <v>0.73163418290854498</v>
      </c>
    </row>
    <row r="21904" spans="1:5">
      <c r="A21904" t="s">
        <v>25436</v>
      </c>
      <c r="B21904" t="s">
        <v>25443</v>
      </c>
      <c r="C21904">
        <v>0</v>
      </c>
      <c r="D21904">
        <v>0.81107357094099997</v>
      </c>
      <c r="E21904">
        <v>0.73163418290854498</v>
      </c>
    </row>
    <row r="21905" spans="1:5">
      <c r="A21905" t="s">
        <v>25436</v>
      </c>
      <c r="B21905" t="s">
        <v>25444</v>
      </c>
      <c r="C21905">
        <v>0</v>
      </c>
      <c r="D21905">
        <v>0.81107357094099997</v>
      </c>
      <c r="E21905">
        <v>0.73163418290854498</v>
      </c>
    </row>
    <row r="21906" spans="1:5">
      <c r="A21906" t="s">
        <v>25445</v>
      </c>
      <c r="B21906" t="s">
        <v>25446</v>
      </c>
      <c r="C21906">
        <f>0</f>
        <v>0</v>
      </c>
      <c r="D21906">
        <v>0.35679289901200001</v>
      </c>
      <c r="E21906">
        <v>17.919040479760099</v>
      </c>
    </row>
    <row r="21907" spans="1:5">
      <c r="A21907" t="s">
        <v>25445</v>
      </c>
      <c r="B21907" t="s">
        <v>25447</v>
      </c>
      <c r="C21907">
        <f>0.013156926995</f>
        <v>1.3156926995E-2</v>
      </c>
      <c r="D21907">
        <v>0.35679289901200001</v>
      </c>
      <c r="E21907">
        <v>17.919040479760099</v>
      </c>
    </row>
    <row r="21908" spans="1:5">
      <c r="A21908" t="s">
        <v>25445</v>
      </c>
      <c r="B21908" t="s">
        <v>25448</v>
      </c>
      <c r="C21908">
        <f>0</f>
        <v>0</v>
      </c>
      <c r="D21908">
        <v>0.35679289901200001</v>
      </c>
      <c r="E21908">
        <v>17.919040479760099</v>
      </c>
    </row>
    <row r="21909" spans="1:5">
      <c r="A21909" t="s">
        <v>25445</v>
      </c>
      <c r="B21909" t="s">
        <v>25449</v>
      </c>
      <c r="C21909">
        <f>0.0301509351574</f>
        <v>3.01509351574E-2</v>
      </c>
      <c r="D21909">
        <v>0.35679289901200001</v>
      </c>
      <c r="E21909">
        <v>17.919040479760099</v>
      </c>
    </row>
    <row r="21910" spans="1:5">
      <c r="A21910" t="s">
        <v>25445</v>
      </c>
      <c r="B21910" t="s">
        <v>25450</v>
      </c>
      <c r="C21910">
        <f>0</f>
        <v>0</v>
      </c>
      <c r="D21910">
        <v>0.35679289901200001</v>
      </c>
      <c r="E21910">
        <v>17.919040479760099</v>
      </c>
    </row>
    <row r="21911" spans="1:5">
      <c r="A21911" t="s">
        <v>25445</v>
      </c>
      <c r="B21911" t="s">
        <v>25451</v>
      </c>
      <c r="C21911">
        <f>0</f>
        <v>0</v>
      </c>
      <c r="D21911">
        <v>0.35679289901200001</v>
      </c>
      <c r="E21911">
        <v>17.919040479760099</v>
      </c>
    </row>
    <row r="21912" spans="1:5">
      <c r="A21912" t="s">
        <v>25452</v>
      </c>
      <c r="B21912" t="s">
        <v>25453</v>
      </c>
      <c r="C21912">
        <f>0.251262673441</f>
        <v>0.25126267344100001</v>
      </c>
      <c r="D21912">
        <v>0.90878778652500003</v>
      </c>
      <c r="E21912">
        <v>0</v>
      </c>
    </row>
    <row r="21913" spans="1:5">
      <c r="A21913" t="s">
        <v>25452</v>
      </c>
      <c r="B21913" t="s">
        <v>25454</v>
      </c>
      <c r="C21913">
        <f>0.161041023713</f>
        <v>0.161041023713</v>
      </c>
      <c r="D21913">
        <v>0.90878778652500003</v>
      </c>
      <c r="E21913">
        <v>0</v>
      </c>
    </row>
    <row r="21914" spans="1:5">
      <c r="A21914" t="s">
        <v>25455</v>
      </c>
      <c r="B21914" t="s">
        <v>25456</v>
      </c>
      <c r="C21914">
        <v>7.2311265003299999E-2</v>
      </c>
      <c r="D21914">
        <v>0.84277310998699995</v>
      </c>
      <c r="E21914">
        <v>0.95952023988005997</v>
      </c>
    </row>
    <row r="21915" spans="1:5">
      <c r="A21915" t="s">
        <v>25455</v>
      </c>
      <c r="B21915" t="s">
        <v>25457</v>
      </c>
      <c r="C21915">
        <f>0</f>
        <v>0</v>
      </c>
      <c r="D21915">
        <v>0.84277310998699995</v>
      </c>
      <c r="E21915">
        <v>0.95952023988005997</v>
      </c>
    </row>
    <row r="21916" spans="1:5">
      <c r="A21916" t="s">
        <v>25455</v>
      </c>
      <c r="B21916" t="s">
        <v>25458</v>
      </c>
      <c r="C21916">
        <f>0.0230722656403</f>
        <v>2.3072265640299999E-2</v>
      </c>
      <c r="D21916">
        <v>0.84277310998699995</v>
      </c>
      <c r="E21916">
        <v>0.95952023988005997</v>
      </c>
    </row>
    <row r="21917" spans="1:5">
      <c r="A21917" t="s">
        <v>25459</v>
      </c>
      <c r="B21917" t="s">
        <v>25460</v>
      </c>
      <c r="C21917">
        <f>0</f>
        <v>0</v>
      </c>
      <c r="D21917">
        <v>0.98653721921399995</v>
      </c>
      <c r="E21917">
        <v>24</v>
      </c>
    </row>
    <row r="21918" spans="1:5">
      <c r="A21918" t="s">
        <v>25459</v>
      </c>
      <c r="B21918" t="s">
        <v>25461</v>
      </c>
      <c r="C21918">
        <v>0.163713321588</v>
      </c>
      <c r="D21918">
        <v>0.98653721921399995</v>
      </c>
      <c r="E21918">
        <v>24</v>
      </c>
    </row>
    <row r="21919" spans="1:5">
      <c r="A21919" t="s">
        <v>25459</v>
      </c>
      <c r="B21919" t="s">
        <v>25462</v>
      </c>
      <c r="C21919">
        <v>0</v>
      </c>
      <c r="D21919">
        <v>0.98653721921399995</v>
      </c>
      <c r="E21919">
        <v>24</v>
      </c>
    </row>
    <row r="21920" spans="1:5">
      <c r="A21920" t="s">
        <v>25459</v>
      </c>
      <c r="B21920" t="s">
        <v>25463</v>
      </c>
      <c r="C21920">
        <v>0</v>
      </c>
      <c r="D21920">
        <v>0.98653721921399995</v>
      </c>
      <c r="E21920">
        <v>24</v>
      </c>
    </row>
    <row r="21921" spans="1:5">
      <c r="A21921" t="s">
        <v>25459</v>
      </c>
      <c r="B21921" t="s">
        <v>25464</v>
      </c>
      <c r="C21921">
        <v>0</v>
      </c>
      <c r="D21921">
        <v>0.98653721921399995</v>
      </c>
      <c r="E21921">
        <v>24</v>
      </c>
    </row>
    <row r="21922" spans="1:5">
      <c r="A21922" t="s">
        <v>25465</v>
      </c>
      <c r="B21922" t="s">
        <v>25466</v>
      </c>
      <c r="C21922">
        <f>0</f>
        <v>0</v>
      </c>
      <c r="D21922" t="s">
        <v>106</v>
      </c>
      <c r="E21922">
        <v>1.57121439280359</v>
      </c>
    </row>
    <row r="21923" spans="1:5">
      <c r="A21923" t="s">
        <v>25465</v>
      </c>
      <c r="B21923" t="s">
        <v>25467</v>
      </c>
      <c r="C21923">
        <v>0</v>
      </c>
      <c r="D21923" t="s">
        <v>106</v>
      </c>
      <c r="E21923">
        <v>1.57121439280359</v>
      </c>
    </row>
    <row r="21924" spans="1:5">
      <c r="A21924" t="s">
        <v>25465</v>
      </c>
      <c r="B21924" t="s">
        <v>25468</v>
      </c>
      <c r="C21924">
        <v>0</v>
      </c>
      <c r="D21924" t="s">
        <v>106</v>
      </c>
      <c r="E21924">
        <v>1.57121439280359</v>
      </c>
    </row>
    <row r="21925" spans="1:5">
      <c r="A21925" t="s">
        <v>25465</v>
      </c>
      <c r="B21925" t="s">
        <v>25469</v>
      </c>
      <c r="C21925">
        <f>0</f>
        <v>0</v>
      </c>
      <c r="D21925" t="s">
        <v>106</v>
      </c>
      <c r="E21925">
        <v>1.57121439280359</v>
      </c>
    </row>
    <row r="21926" spans="1:5">
      <c r="A21926" t="s">
        <v>25465</v>
      </c>
      <c r="B21926" t="s">
        <v>25470</v>
      </c>
      <c r="C21926">
        <f>0</f>
        <v>0</v>
      </c>
      <c r="D21926" t="s">
        <v>106</v>
      </c>
      <c r="E21926">
        <v>1.57121439280359</v>
      </c>
    </row>
    <row r="21927" spans="1:5">
      <c r="A21927" t="s">
        <v>25471</v>
      </c>
      <c r="B21927" t="s">
        <v>25472</v>
      </c>
      <c r="C21927">
        <v>0</v>
      </c>
      <c r="D21927" t="s">
        <v>106</v>
      </c>
      <c r="E21927">
        <v>3.0464767616191901</v>
      </c>
    </row>
    <row r="21928" spans="1:5">
      <c r="A21928" t="s">
        <v>25473</v>
      </c>
      <c r="B21928" t="s">
        <v>25474</v>
      </c>
      <c r="C21928">
        <v>0</v>
      </c>
      <c r="D21928">
        <v>0.90590084776000002</v>
      </c>
      <c r="E21928">
        <v>10.710644677661101</v>
      </c>
    </row>
    <row r="21929" spans="1:5">
      <c r="A21929" t="s">
        <v>25473</v>
      </c>
      <c r="B21929" t="s">
        <v>25475</v>
      </c>
      <c r="C21929">
        <f>0</f>
        <v>0</v>
      </c>
      <c r="D21929">
        <v>0.90590084776000002</v>
      </c>
      <c r="E21929">
        <v>10.710644677661101</v>
      </c>
    </row>
    <row r="21930" spans="1:5">
      <c r="A21930" t="s">
        <v>25473</v>
      </c>
      <c r="B21930" t="s">
        <v>25476</v>
      </c>
      <c r="C21930">
        <f>0.16326110856</f>
        <v>0.16326110856000001</v>
      </c>
      <c r="D21930">
        <v>0.90590084776000002</v>
      </c>
      <c r="E21930">
        <v>10.710644677661101</v>
      </c>
    </row>
    <row r="21931" spans="1:5">
      <c r="A21931" t="s">
        <v>25473</v>
      </c>
      <c r="B21931" t="s">
        <v>25477</v>
      </c>
      <c r="C21931">
        <f>0.273381677093</f>
        <v>0.27338167709299999</v>
      </c>
      <c r="D21931">
        <v>0.90590084776000002</v>
      </c>
      <c r="E21931">
        <v>10.710644677661101</v>
      </c>
    </row>
    <row r="21932" spans="1:5">
      <c r="A21932" t="s">
        <v>25478</v>
      </c>
      <c r="B21932" t="s">
        <v>25479</v>
      </c>
      <c r="C21932">
        <v>0.116617528709</v>
      </c>
      <c r="D21932">
        <v>0.88587551456900004</v>
      </c>
      <c r="E21932">
        <v>5.0134932533733103</v>
      </c>
    </row>
    <row r="21933" spans="1:5">
      <c r="A21933" t="s">
        <v>25478</v>
      </c>
      <c r="B21933" t="s">
        <v>25480</v>
      </c>
      <c r="C21933">
        <v>0</v>
      </c>
      <c r="D21933">
        <v>0.88587551456900004</v>
      </c>
      <c r="E21933">
        <v>5.0134932533733103</v>
      </c>
    </row>
    <row r="21934" spans="1:5">
      <c r="A21934" t="s">
        <v>25478</v>
      </c>
      <c r="B21934" t="s">
        <v>25481</v>
      </c>
      <c r="C21934">
        <v>0</v>
      </c>
      <c r="D21934">
        <v>0.88587551456900004</v>
      </c>
      <c r="E21934">
        <v>5.0134932533733103</v>
      </c>
    </row>
    <row r="21935" spans="1:5">
      <c r="A21935" t="s">
        <v>25478</v>
      </c>
      <c r="B21935" t="s">
        <v>25482</v>
      </c>
      <c r="C21935">
        <f>0</f>
        <v>0</v>
      </c>
      <c r="D21935">
        <v>0.88587551456900004</v>
      </c>
      <c r="E21935">
        <v>5.0134932533733103</v>
      </c>
    </row>
    <row r="21936" spans="1:5">
      <c r="A21936" t="s">
        <v>25478</v>
      </c>
      <c r="B21936" t="s">
        <v>25483</v>
      </c>
      <c r="C21936">
        <v>0</v>
      </c>
      <c r="D21936">
        <v>0.88587551456900004</v>
      </c>
      <c r="E21936">
        <v>5.0134932533733103</v>
      </c>
    </row>
    <row r="21937" spans="1:5">
      <c r="A21937" t="s">
        <v>25484</v>
      </c>
      <c r="B21937" t="s">
        <v>25485</v>
      </c>
      <c r="C21937">
        <v>0</v>
      </c>
      <c r="D21937" t="s">
        <v>106</v>
      </c>
      <c r="E21937">
        <v>24</v>
      </c>
    </row>
    <row r="21938" spans="1:5">
      <c r="A21938" t="s">
        <v>25484</v>
      </c>
      <c r="B21938" t="s">
        <v>25486</v>
      </c>
      <c r="C21938">
        <f>0</f>
        <v>0</v>
      </c>
      <c r="D21938" t="s">
        <v>106</v>
      </c>
      <c r="E21938">
        <v>24</v>
      </c>
    </row>
    <row r="21939" spans="1:5">
      <c r="A21939" t="s">
        <v>25484</v>
      </c>
      <c r="B21939" t="s">
        <v>25487</v>
      </c>
      <c r="C21939">
        <f>0</f>
        <v>0</v>
      </c>
      <c r="D21939" t="s">
        <v>106</v>
      </c>
      <c r="E21939">
        <v>24</v>
      </c>
    </row>
    <row r="21940" spans="1:5">
      <c r="A21940" t="s">
        <v>25484</v>
      </c>
      <c r="B21940" t="s">
        <v>25488</v>
      </c>
      <c r="C21940">
        <f>0</f>
        <v>0</v>
      </c>
      <c r="D21940" t="s">
        <v>106</v>
      </c>
      <c r="E21940">
        <v>24</v>
      </c>
    </row>
    <row r="21941" spans="1:5">
      <c r="A21941" t="s">
        <v>25484</v>
      </c>
      <c r="B21941" t="s">
        <v>25489</v>
      </c>
      <c r="C21941">
        <f>0</f>
        <v>0</v>
      </c>
      <c r="D21941" t="s">
        <v>106</v>
      </c>
      <c r="E21941">
        <v>24</v>
      </c>
    </row>
    <row r="21942" spans="1:5">
      <c r="A21942" t="s">
        <v>25484</v>
      </c>
      <c r="B21942" t="s">
        <v>25490</v>
      </c>
      <c r="C21942">
        <v>0</v>
      </c>
      <c r="D21942" t="s">
        <v>106</v>
      </c>
      <c r="E21942">
        <v>24</v>
      </c>
    </row>
    <row r="21943" spans="1:5">
      <c r="A21943" t="s">
        <v>25484</v>
      </c>
      <c r="B21943" t="s">
        <v>25491</v>
      </c>
      <c r="C21943">
        <f>0.0328293481307</f>
        <v>3.2829348130700001E-2</v>
      </c>
      <c r="D21943" t="s">
        <v>106</v>
      </c>
      <c r="E21943">
        <v>24</v>
      </c>
    </row>
    <row r="21944" spans="1:5">
      <c r="A21944" t="s">
        <v>25484</v>
      </c>
      <c r="B21944" t="s">
        <v>25492</v>
      </c>
      <c r="C21944">
        <v>0</v>
      </c>
      <c r="D21944" t="s">
        <v>106</v>
      </c>
      <c r="E21944">
        <v>24</v>
      </c>
    </row>
    <row r="21945" spans="1:5">
      <c r="A21945" t="s">
        <v>25484</v>
      </c>
      <c r="B21945" t="s">
        <v>25493</v>
      </c>
      <c r="C21945">
        <v>9.22527996969E-4</v>
      </c>
      <c r="D21945" t="s">
        <v>106</v>
      </c>
      <c r="E21945">
        <v>24</v>
      </c>
    </row>
    <row r="21946" spans="1:5">
      <c r="A21946" t="s">
        <v>25494</v>
      </c>
      <c r="B21946" t="s">
        <v>25495</v>
      </c>
      <c r="C21946">
        <f>0</f>
        <v>0</v>
      </c>
      <c r="D21946">
        <v>0.85000428886799995</v>
      </c>
      <c r="E21946">
        <v>4.4737631184407798</v>
      </c>
    </row>
    <row r="21947" spans="1:5">
      <c r="A21947" t="s">
        <v>25494</v>
      </c>
      <c r="B21947" t="s">
        <v>25496</v>
      </c>
      <c r="C21947">
        <v>0</v>
      </c>
      <c r="D21947">
        <v>0.85000428886799995</v>
      </c>
      <c r="E21947">
        <v>4.4737631184407798</v>
      </c>
    </row>
    <row r="21948" spans="1:5">
      <c r="A21948" t="s">
        <v>25494</v>
      </c>
      <c r="B21948" t="s">
        <v>25497</v>
      </c>
      <c r="C21948">
        <v>0</v>
      </c>
      <c r="D21948">
        <v>0.85000428886799995</v>
      </c>
      <c r="E21948">
        <v>4.4737631184407798</v>
      </c>
    </row>
    <row r="21949" spans="1:5">
      <c r="A21949" t="s">
        <v>25494</v>
      </c>
      <c r="B21949" t="s">
        <v>25498</v>
      </c>
      <c r="C21949">
        <v>0</v>
      </c>
      <c r="D21949">
        <v>0.85000428886799995</v>
      </c>
      <c r="E21949">
        <v>4.4737631184407798</v>
      </c>
    </row>
    <row r="21950" spans="1:5">
      <c r="A21950" t="s">
        <v>25494</v>
      </c>
      <c r="B21950" t="s">
        <v>25499</v>
      </c>
      <c r="C21950">
        <v>0</v>
      </c>
      <c r="D21950">
        <v>0.85000428886799995</v>
      </c>
      <c r="E21950">
        <v>4.4737631184407798</v>
      </c>
    </row>
    <row r="21951" spans="1:5">
      <c r="A21951" t="s">
        <v>25494</v>
      </c>
      <c r="B21951" t="s">
        <v>25500</v>
      </c>
      <c r="C21951">
        <v>0</v>
      </c>
      <c r="D21951">
        <v>0.85000428886799995</v>
      </c>
      <c r="E21951">
        <v>4.4737631184407798</v>
      </c>
    </row>
    <row r="21952" spans="1:5">
      <c r="A21952" t="s">
        <v>25494</v>
      </c>
      <c r="B21952" t="s">
        <v>25501</v>
      </c>
      <c r="C21952">
        <v>0</v>
      </c>
      <c r="D21952">
        <v>0.85000428886799995</v>
      </c>
      <c r="E21952">
        <v>4.4737631184407798</v>
      </c>
    </row>
    <row r="21953" spans="1:5">
      <c r="A21953" t="s">
        <v>25494</v>
      </c>
      <c r="B21953" t="s">
        <v>25502</v>
      </c>
      <c r="C21953">
        <v>0</v>
      </c>
      <c r="D21953">
        <v>0.85000428886799995</v>
      </c>
      <c r="E21953">
        <v>4.4737631184407798</v>
      </c>
    </row>
    <row r="21954" spans="1:5">
      <c r="A21954" t="s">
        <v>25494</v>
      </c>
      <c r="B21954" t="s">
        <v>25503</v>
      </c>
      <c r="C21954">
        <v>0</v>
      </c>
      <c r="D21954">
        <v>0.85000428886799995</v>
      </c>
      <c r="E21954">
        <v>4.4737631184407798</v>
      </c>
    </row>
    <row r="21955" spans="1:5">
      <c r="A21955" t="s">
        <v>25494</v>
      </c>
      <c r="B21955" t="s">
        <v>25504</v>
      </c>
      <c r="C21955">
        <f>0</f>
        <v>0</v>
      </c>
      <c r="D21955">
        <v>0.85000428886799995</v>
      </c>
      <c r="E21955">
        <v>4.4737631184407798</v>
      </c>
    </row>
    <row r="21956" spans="1:5">
      <c r="A21956" t="s">
        <v>25494</v>
      </c>
      <c r="B21956" t="s">
        <v>25505</v>
      </c>
      <c r="C21956">
        <v>0</v>
      </c>
      <c r="D21956">
        <v>0.85000428886799995</v>
      </c>
      <c r="E21956">
        <v>4.4737631184407798</v>
      </c>
    </row>
    <row r="21957" spans="1:5">
      <c r="A21957" t="s">
        <v>25494</v>
      </c>
      <c r="B21957" t="s">
        <v>25506</v>
      </c>
      <c r="C21957">
        <v>1.6487121465400001E-3</v>
      </c>
      <c r="D21957">
        <v>0.85000428886799995</v>
      </c>
      <c r="E21957">
        <v>4.4737631184407798</v>
      </c>
    </row>
    <row r="21958" spans="1:5">
      <c r="A21958" t="s">
        <v>25494</v>
      </c>
      <c r="B21958" t="s">
        <v>25507</v>
      </c>
      <c r="C21958">
        <v>0.117941365046</v>
      </c>
      <c r="D21958">
        <v>0.85000428886799995</v>
      </c>
      <c r="E21958">
        <v>4.4737631184407798</v>
      </c>
    </row>
    <row r="21959" spans="1:5">
      <c r="A21959" t="s">
        <v>25494</v>
      </c>
      <c r="B21959" t="s">
        <v>25508</v>
      </c>
      <c r="C21959">
        <f>0</f>
        <v>0</v>
      </c>
      <c r="D21959">
        <v>0.85000428886799995</v>
      </c>
      <c r="E21959">
        <v>4.4737631184407798</v>
      </c>
    </row>
    <row r="21960" spans="1:5">
      <c r="A21960" t="s">
        <v>25494</v>
      </c>
      <c r="B21960" t="s">
        <v>25509</v>
      </c>
      <c r="C21960">
        <f>0</f>
        <v>0</v>
      </c>
      <c r="D21960">
        <v>0.85000428886799995</v>
      </c>
      <c r="E21960">
        <v>4.4737631184407798</v>
      </c>
    </row>
    <row r="21961" spans="1:5">
      <c r="A21961" t="s">
        <v>25494</v>
      </c>
      <c r="B21961" t="s">
        <v>25510</v>
      </c>
      <c r="C21961">
        <f>0</f>
        <v>0</v>
      </c>
      <c r="D21961">
        <v>0.85000428886799995</v>
      </c>
      <c r="E21961">
        <v>4.4737631184407798</v>
      </c>
    </row>
    <row r="21962" spans="1:5">
      <c r="A21962" t="s">
        <v>25494</v>
      </c>
      <c r="B21962" t="s">
        <v>25511</v>
      </c>
      <c r="C21962">
        <f>0</f>
        <v>0</v>
      </c>
      <c r="D21962">
        <v>0.85000428886799995</v>
      </c>
      <c r="E21962">
        <v>4.4737631184407798</v>
      </c>
    </row>
    <row r="21963" spans="1:5">
      <c r="A21963" t="s">
        <v>25494</v>
      </c>
      <c r="B21963" t="s">
        <v>25512</v>
      </c>
      <c r="C21963">
        <v>0</v>
      </c>
      <c r="D21963">
        <v>0.85000428886799995</v>
      </c>
      <c r="E21963">
        <v>4.4737631184407798</v>
      </c>
    </row>
    <row r="21964" spans="1:5">
      <c r="A21964" t="s">
        <v>25494</v>
      </c>
      <c r="B21964" t="s">
        <v>25513</v>
      </c>
      <c r="C21964">
        <f>0</f>
        <v>0</v>
      </c>
      <c r="D21964">
        <v>0.85000428886799995</v>
      </c>
      <c r="E21964">
        <v>4.4737631184407798</v>
      </c>
    </row>
    <row r="21965" spans="1:5">
      <c r="A21965" t="s">
        <v>25494</v>
      </c>
      <c r="B21965" t="s">
        <v>25514</v>
      </c>
      <c r="C21965">
        <v>0</v>
      </c>
      <c r="D21965">
        <v>0.85000428886799995</v>
      </c>
      <c r="E21965">
        <v>4.4737631184407798</v>
      </c>
    </row>
    <row r="21966" spans="1:5">
      <c r="A21966" t="s">
        <v>25494</v>
      </c>
      <c r="B21966" t="s">
        <v>25515</v>
      </c>
      <c r="C21966">
        <v>0</v>
      </c>
      <c r="D21966">
        <v>0.85000428886799995</v>
      </c>
      <c r="E21966">
        <v>4.4737631184407798</v>
      </c>
    </row>
    <row r="21967" spans="1:5">
      <c r="A21967" t="s">
        <v>25516</v>
      </c>
      <c r="B21967" t="s">
        <v>25517</v>
      </c>
      <c r="C21967">
        <f>0.0700828497019</f>
        <v>7.0082849701899999E-2</v>
      </c>
      <c r="D21967">
        <v>0.88982588803600005</v>
      </c>
      <c r="E21967">
        <v>1.2713643178410701</v>
      </c>
    </row>
    <row r="21968" spans="1:5">
      <c r="A21968" t="s">
        <v>25516</v>
      </c>
      <c r="B21968" t="s">
        <v>25518</v>
      </c>
      <c r="C21968">
        <v>0.20183547123500001</v>
      </c>
      <c r="D21968">
        <v>0.88982588803600005</v>
      </c>
      <c r="E21968">
        <v>1.2713643178410701</v>
      </c>
    </row>
    <row r="21969" spans="1:5">
      <c r="A21969" t="s">
        <v>25519</v>
      </c>
      <c r="B21969" t="s">
        <v>25520</v>
      </c>
      <c r="C21969">
        <v>0.192345929547</v>
      </c>
      <c r="D21969">
        <v>0.99511266632299999</v>
      </c>
      <c r="E21969">
        <v>24</v>
      </c>
    </row>
    <row r="21970" spans="1:5">
      <c r="A21970" t="s">
        <v>25519</v>
      </c>
      <c r="B21970" t="s">
        <v>25521</v>
      </c>
      <c r="C21970">
        <v>0</v>
      </c>
      <c r="D21970">
        <v>0.99511266632299999</v>
      </c>
      <c r="E21970">
        <v>24</v>
      </c>
    </row>
    <row r="21971" spans="1:5">
      <c r="A21971" t="s">
        <v>25519</v>
      </c>
      <c r="B21971" t="s">
        <v>25522</v>
      </c>
      <c r="C21971">
        <v>2.2569865508500001E-2</v>
      </c>
      <c r="D21971">
        <v>0.99511266632299999</v>
      </c>
      <c r="E21971">
        <v>24</v>
      </c>
    </row>
    <row r="21972" spans="1:5">
      <c r="A21972" t="s">
        <v>25523</v>
      </c>
      <c r="B21972" t="s">
        <v>25524</v>
      </c>
      <c r="C21972">
        <f>0</f>
        <v>0</v>
      </c>
      <c r="D21972" t="s">
        <v>106</v>
      </c>
      <c r="E21972">
        <v>23.280359820089899</v>
      </c>
    </row>
    <row r="21973" spans="1:5">
      <c r="A21973" t="s">
        <v>25523</v>
      </c>
      <c r="B21973" t="s">
        <v>25525</v>
      </c>
      <c r="C21973">
        <f>0</f>
        <v>0</v>
      </c>
      <c r="D21973" t="s">
        <v>106</v>
      </c>
      <c r="E21973">
        <v>23.280359820089899</v>
      </c>
    </row>
    <row r="21974" spans="1:5">
      <c r="A21974" t="s">
        <v>25523</v>
      </c>
      <c r="B21974" t="s">
        <v>25526</v>
      </c>
      <c r="C21974">
        <f>0</f>
        <v>0</v>
      </c>
      <c r="D21974" t="s">
        <v>106</v>
      </c>
      <c r="E21974">
        <v>23.280359820089899</v>
      </c>
    </row>
    <row r="21975" spans="1:5">
      <c r="A21975" t="s">
        <v>25523</v>
      </c>
      <c r="B21975" t="s">
        <v>25527</v>
      </c>
      <c r="C21975">
        <f>0</f>
        <v>0</v>
      </c>
      <c r="D21975" t="s">
        <v>106</v>
      </c>
      <c r="E21975">
        <v>23.280359820089899</v>
      </c>
    </row>
    <row r="21976" spans="1:5">
      <c r="A21976" t="s">
        <v>25523</v>
      </c>
      <c r="B21976" t="s">
        <v>25528</v>
      </c>
      <c r="C21976">
        <v>0</v>
      </c>
      <c r="D21976" t="s">
        <v>106</v>
      </c>
      <c r="E21976">
        <v>23.280359820089899</v>
      </c>
    </row>
    <row r="21977" spans="1:5">
      <c r="A21977" t="s">
        <v>25529</v>
      </c>
      <c r="B21977" t="s">
        <v>25530</v>
      </c>
      <c r="C21977">
        <v>0.36741177413100001</v>
      </c>
      <c r="D21977">
        <v>0.98178029707799996</v>
      </c>
      <c r="E21977">
        <v>0.40779610194902499</v>
      </c>
    </row>
    <row r="21978" spans="1:5">
      <c r="A21978" t="s">
        <v>25529</v>
      </c>
      <c r="B21978" t="s">
        <v>25531</v>
      </c>
      <c r="C21978">
        <f>0</f>
        <v>0</v>
      </c>
      <c r="D21978">
        <v>0.98178029707799996</v>
      </c>
      <c r="E21978">
        <v>0.40779610194902499</v>
      </c>
    </row>
    <row r="21979" spans="1:5">
      <c r="A21979" t="s">
        <v>25529</v>
      </c>
      <c r="B21979" t="s">
        <v>25532</v>
      </c>
      <c r="C21979">
        <f>0</f>
        <v>0</v>
      </c>
      <c r="D21979">
        <v>0.98178029707799996</v>
      </c>
      <c r="E21979">
        <v>0.40779610194902499</v>
      </c>
    </row>
    <row r="21980" spans="1:5">
      <c r="A21980" t="s">
        <v>25529</v>
      </c>
      <c r="B21980" t="s">
        <v>25533</v>
      </c>
      <c r="C21980">
        <f>0.537560881409</f>
        <v>0.53756088140900005</v>
      </c>
      <c r="D21980">
        <v>0.98178029707799996</v>
      </c>
      <c r="E21980">
        <v>0.40779610194902499</v>
      </c>
    </row>
    <row r="21981" spans="1:5">
      <c r="A21981" t="s">
        <v>25534</v>
      </c>
      <c r="B21981" t="s">
        <v>25535</v>
      </c>
      <c r="C21981">
        <v>0.247865627704</v>
      </c>
      <c r="D21981">
        <v>0.870821904639</v>
      </c>
      <c r="E21981">
        <v>7.7361319340329802</v>
      </c>
    </row>
    <row r="21982" spans="1:5">
      <c r="A21982" t="s">
        <v>25534</v>
      </c>
      <c r="B21982" t="s">
        <v>25536</v>
      </c>
      <c r="C21982">
        <f>0</f>
        <v>0</v>
      </c>
      <c r="D21982">
        <v>0.870821904639</v>
      </c>
      <c r="E21982">
        <v>7.7361319340329802</v>
      </c>
    </row>
    <row r="21983" spans="1:5">
      <c r="A21983" t="s">
        <v>25534</v>
      </c>
      <c r="B21983" t="s">
        <v>25537</v>
      </c>
      <c r="C21983">
        <v>0</v>
      </c>
      <c r="D21983">
        <v>0.870821904639</v>
      </c>
      <c r="E21983">
        <v>7.7361319340329802</v>
      </c>
    </row>
    <row r="21984" spans="1:5">
      <c r="A21984" t="s">
        <v>25534</v>
      </c>
      <c r="B21984" t="s">
        <v>25538</v>
      </c>
      <c r="C21984">
        <f>0</f>
        <v>0</v>
      </c>
      <c r="D21984">
        <v>0.870821904639</v>
      </c>
      <c r="E21984">
        <v>7.7361319340329802</v>
      </c>
    </row>
    <row r="21985" spans="1:5">
      <c r="A21985" t="s">
        <v>25539</v>
      </c>
      <c r="B21985" t="s">
        <v>25540</v>
      </c>
      <c r="C21985">
        <v>0</v>
      </c>
      <c r="D21985">
        <v>0.98553629628999995</v>
      </c>
      <c r="E21985">
        <v>6.2968515742128899</v>
      </c>
    </row>
    <row r="21986" spans="1:5">
      <c r="A21986" t="s">
        <v>25539</v>
      </c>
      <c r="B21986" t="s">
        <v>25541</v>
      </c>
      <c r="C21986">
        <v>9.2177219605600005E-2</v>
      </c>
      <c r="D21986">
        <v>0.98553629628999995</v>
      </c>
      <c r="E21986">
        <v>6.2968515742128899</v>
      </c>
    </row>
    <row r="21987" spans="1:5">
      <c r="A21987" t="s">
        <v>25542</v>
      </c>
      <c r="B21987" t="s">
        <v>25543</v>
      </c>
      <c r="C21987">
        <v>0</v>
      </c>
      <c r="D21987" t="s">
        <v>106</v>
      </c>
      <c r="E21987">
        <v>3.8740629685157399</v>
      </c>
    </row>
    <row r="21988" spans="1:5">
      <c r="A21988" t="s">
        <v>25542</v>
      </c>
      <c r="B21988" t="s">
        <v>25544</v>
      </c>
      <c r="C21988">
        <f>0</f>
        <v>0</v>
      </c>
      <c r="D21988" t="s">
        <v>106</v>
      </c>
      <c r="E21988">
        <v>3.8740629685157399</v>
      </c>
    </row>
    <row r="21989" spans="1:5">
      <c r="A21989" t="s">
        <v>25542</v>
      </c>
      <c r="B21989" t="s">
        <v>25545</v>
      </c>
      <c r="C21989">
        <f>0</f>
        <v>0</v>
      </c>
      <c r="D21989" t="s">
        <v>106</v>
      </c>
      <c r="E21989">
        <v>3.8740629685157399</v>
      </c>
    </row>
    <row r="21990" spans="1:5">
      <c r="A21990" t="s">
        <v>25542</v>
      </c>
      <c r="B21990" t="s">
        <v>25546</v>
      </c>
      <c r="C21990">
        <v>0</v>
      </c>
      <c r="D21990" t="s">
        <v>106</v>
      </c>
      <c r="E21990">
        <v>3.8740629685157399</v>
      </c>
    </row>
    <row r="21991" spans="1:5">
      <c r="A21991" t="s">
        <v>25542</v>
      </c>
      <c r="B21991" t="s">
        <v>25547</v>
      </c>
      <c r="C21991">
        <v>0</v>
      </c>
      <c r="D21991" t="s">
        <v>106</v>
      </c>
      <c r="E21991">
        <v>3.8740629685157399</v>
      </c>
    </row>
    <row r="21992" spans="1:5">
      <c r="A21992" t="s">
        <v>25542</v>
      </c>
      <c r="B21992" t="s">
        <v>25548</v>
      </c>
      <c r="C21992">
        <f>0</f>
        <v>0</v>
      </c>
      <c r="D21992" t="s">
        <v>106</v>
      </c>
      <c r="E21992">
        <v>3.8740629685157399</v>
      </c>
    </row>
    <row r="21993" spans="1:5">
      <c r="A21993" t="s">
        <v>25542</v>
      </c>
      <c r="B21993" t="s">
        <v>25549</v>
      </c>
      <c r="C21993">
        <f>0</f>
        <v>0</v>
      </c>
      <c r="D21993" t="s">
        <v>106</v>
      </c>
      <c r="E21993">
        <v>3.8740629685157399</v>
      </c>
    </row>
    <row r="21994" spans="1:5">
      <c r="A21994" t="s">
        <v>25542</v>
      </c>
      <c r="B21994" t="s">
        <v>25550</v>
      </c>
      <c r="C21994">
        <v>0.17947670847800001</v>
      </c>
      <c r="D21994" t="s">
        <v>106</v>
      </c>
      <c r="E21994">
        <v>3.8740629685157399</v>
      </c>
    </row>
    <row r="21995" spans="1:5">
      <c r="A21995" t="s">
        <v>25542</v>
      </c>
      <c r="B21995" t="s">
        <v>25551</v>
      </c>
      <c r="C21995">
        <f>0</f>
        <v>0</v>
      </c>
      <c r="D21995" t="s">
        <v>106</v>
      </c>
      <c r="E21995">
        <v>3.8740629685157399</v>
      </c>
    </row>
    <row r="21996" spans="1:5">
      <c r="A21996" t="s">
        <v>25552</v>
      </c>
      <c r="B21996" t="s">
        <v>25553</v>
      </c>
      <c r="C21996">
        <v>0.38239387789700002</v>
      </c>
      <c r="D21996">
        <v>0.99895847578300001</v>
      </c>
      <c r="E21996">
        <v>3.7781109445277301</v>
      </c>
    </row>
    <row r="21997" spans="1:5">
      <c r="A21997" t="s">
        <v>25552</v>
      </c>
      <c r="B21997" t="s">
        <v>25554</v>
      </c>
      <c r="C21997">
        <v>0</v>
      </c>
      <c r="D21997">
        <v>0.99895847578300001</v>
      </c>
      <c r="E21997">
        <v>3.7781109445277301</v>
      </c>
    </row>
    <row r="21998" spans="1:5">
      <c r="A21998" t="s">
        <v>25552</v>
      </c>
      <c r="B21998" t="s">
        <v>25555</v>
      </c>
      <c r="C21998">
        <v>0</v>
      </c>
      <c r="D21998">
        <v>0.99895847578300001</v>
      </c>
      <c r="E21998">
        <v>3.7781109445277301</v>
      </c>
    </row>
    <row r="21999" spans="1:5">
      <c r="A21999" t="s">
        <v>25552</v>
      </c>
      <c r="B21999" t="s">
        <v>25556</v>
      </c>
      <c r="C21999">
        <v>8.1623771748700003E-2</v>
      </c>
      <c r="D21999">
        <v>0.99895847578300001</v>
      </c>
      <c r="E21999">
        <v>3.7781109445277301</v>
      </c>
    </row>
    <row r="22000" spans="1:5">
      <c r="A22000" t="s">
        <v>25557</v>
      </c>
      <c r="B22000" t="s">
        <v>25558</v>
      </c>
      <c r="C22000">
        <v>0.45178755502000001</v>
      </c>
      <c r="D22000">
        <v>0.89220452002299999</v>
      </c>
      <c r="E22000">
        <v>7.4602698650674597</v>
      </c>
    </row>
    <row r="22001" spans="1:5">
      <c r="A22001" t="s">
        <v>25557</v>
      </c>
      <c r="B22001" t="s">
        <v>25559</v>
      </c>
      <c r="C22001">
        <v>0</v>
      </c>
      <c r="D22001">
        <v>0.89220452002299999</v>
      </c>
      <c r="E22001">
        <v>7.4602698650674597</v>
      </c>
    </row>
    <row r="22002" spans="1:5">
      <c r="A22002" t="s">
        <v>25557</v>
      </c>
      <c r="B22002" t="s">
        <v>25560</v>
      </c>
      <c r="C22002">
        <v>0</v>
      </c>
      <c r="D22002">
        <v>0.89220452002299999</v>
      </c>
      <c r="E22002">
        <v>7.4602698650674597</v>
      </c>
    </row>
    <row r="22003" spans="1:5">
      <c r="A22003" t="s">
        <v>25557</v>
      </c>
      <c r="B22003" t="s">
        <v>25561</v>
      </c>
      <c r="C22003">
        <v>0</v>
      </c>
      <c r="D22003">
        <v>0.89220452002299999</v>
      </c>
      <c r="E22003">
        <v>7.4602698650674597</v>
      </c>
    </row>
    <row r="22004" spans="1:5">
      <c r="A22004" t="s">
        <v>25562</v>
      </c>
      <c r="B22004" t="s">
        <v>25563</v>
      </c>
      <c r="C22004">
        <f>0</f>
        <v>0</v>
      </c>
      <c r="D22004">
        <v>0.99585843315900002</v>
      </c>
      <c r="E22004">
        <v>7.1964017991004395E-2</v>
      </c>
    </row>
    <row r="22005" spans="1:5">
      <c r="A22005" t="s">
        <v>25562</v>
      </c>
      <c r="B22005" t="s">
        <v>25564</v>
      </c>
      <c r="C22005">
        <f>0.0848898289709</f>
        <v>8.48898289709E-2</v>
      </c>
      <c r="D22005">
        <v>0.99585843315900002</v>
      </c>
      <c r="E22005">
        <v>7.1964017991004395E-2</v>
      </c>
    </row>
    <row r="22006" spans="1:5">
      <c r="A22006" t="s">
        <v>25562</v>
      </c>
      <c r="B22006" t="s">
        <v>25565</v>
      </c>
      <c r="C22006">
        <f>0</f>
        <v>0</v>
      </c>
      <c r="D22006">
        <v>0.99585843315900002</v>
      </c>
      <c r="E22006">
        <v>7.1964017991004395E-2</v>
      </c>
    </row>
    <row r="22007" spans="1:5">
      <c r="A22007" t="s">
        <v>25562</v>
      </c>
      <c r="B22007" t="s">
        <v>25566</v>
      </c>
      <c r="C22007">
        <v>0</v>
      </c>
      <c r="D22007">
        <v>0.99585843315900002</v>
      </c>
      <c r="E22007">
        <v>7.1964017991004395E-2</v>
      </c>
    </row>
    <row r="22008" spans="1:5">
      <c r="A22008" t="s">
        <v>25562</v>
      </c>
      <c r="B22008" t="s">
        <v>25567</v>
      </c>
      <c r="C22008">
        <f>0</f>
        <v>0</v>
      </c>
      <c r="D22008">
        <v>0.99585843315900002</v>
      </c>
      <c r="E22008">
        <v>7.1964017991004395E-2</v>
      </c>
    </row>
    <row r="22009" spans="1:5">
      <c r="A22009" t="s">
        <v>25562</v>
      </c>
      <c r="B22009" t="s">
        <v>25568</v>
      </c>
      <c r="C22009">
        <v>0</v>
      </c>
      <c r="D22009">
        <v>0.99585843315900002</v>
      </c>
      <c r="E22009">
        <v>7.1964017991004395E-2</v>
      </c>
    </row>
    <row r="22010" spans="1:5">
      <c r="A22010" t="s">
        <v>25562</v>
      </c>
      <c r="B22010" t="s">
        <v>25569</v>
      </c>
      <c r="C22010">
        <f>0</f>
        <v>0</v>
      </c>
      <c r="D22010">
        <v>0.99585843315900002</v>
      </c>
      <c r="E22010">
        <v>7.1964017991004395E-2</v>
      </c>
    </row>
    <row r="22011" spans="1:5">
      <c r="A22011" t="s">
        <v>25562</v>
      </c>
      <c r="B22011" t="s">
        <v>25570</v>
      </c>
      <c r="C22011">
        <f>0.708045825007</f>
        <v>0.70804582500699997</v>
      </c>
      <c r="D22011">
        <v>0.99585843315900002</v>
      </c>
      <c r="E22011">
        <v>7.1964017991004395E-2</v>
      </c>
    </row>
    <row r="22012" spans="1:5">
      <c r="A22012" t="s">
        <v>25562</v>
      </c>
      <c r="B22012" t="s">
        <v>25571</v>
      </c>
      <c r="C22012">
        <v>0</v>
      </c>
      <c r="D22012">
        <v>0.99585843315900002</v>
      </c>
      <c r="E22012">
        <v>7.1964017991004395E-2</v>
      </c>
    </row>
    <row r="22013" spans="1:5">
      <c r="A22013" t="s">
        <v>25572</v>
      </c>
      <c r="B22013" t="s">
        <v>25573</v>
      </c>
      <c r="C22013">
        <f>0</f>
        <v>0</v>
      </c>
      <c r="D22013" t="s">
        <v>106</v>
      </c>
      <c r="E22013">
        <v>23.7481259370314</v>
      </c>
    </row>
    <row r="22014" spans="1:5">
      <c r="A22014" t="s">
        <v>25572</v>
      </c>
      <c r="B22014" t="s">
        <v>25574</v>
      </c>
      <c r="C22014">
        <v>0</v>
      </c>
      <c r="D22014" t="s">
        <v>106</v>
      </c>
      <c r="E22014">
        <v>23.7481259370314</v>
      </c>
    </row>
    <row r="22015" spans="1:5">
      <c r="A22015" t="s">
        <v>25572</v>
      </c>
      <c r="B22015" t="s">
        <v>25575</v>
      </c>
      <c r="C22015">
        <v>0</v>
      </c>
      <c r="D22015" t="s">
        <v>106</v>
      </c>
      <c r="E22015">
        <v>23.7481259370314</v>
      </c>
    </row>
    <row r="22016" spans="1:5">
      <c r="A22016" t="s">
        <v>25572</v>
      </c>
      <c r="B22016" t="s">
        <v>25576</v>
      </c>
      <c r="C22016">
        <v>0</v>
      </c>
      <c r="D22016" t="s">
        <v>106</v>
      </c>
      <c r="E22016">
        <v>23.7481259370314</v>
      </c>
    </row>
    <row r="22017" spans="1:5">
      <c r="A22017" t="s">
        <v>25572</v>
      </c>
      <c r="B22017" t="s">
        <v>25577</v>
      </c>
      <c r="C22017">
        <f>0</f>
        <v>0</v>
      </c>
      <c r="D22017" t="s">
        <v>106</v>
      </c>
      <c r="E22017">
        <v>23.7481259370314</v>
      </c>
    </row>
    <row r="22018" spans="1:5">
      <c r="A22018" t="s">
        <v>25572</v>
      </c>
      <c r="B22018" t="s">
        <v>25578</v>
      </c>
      <c r="C22018">
        <v>0</v>
      </c>
      <c r="D22018" t="s">
        <v>106</v>
      </c>
      <c r="E22018">
        <v>23.7481259370314</v>
      </c>
    </row>
    <row r="22019" spans="1:5">
      <c r="A22019" t="s">
        <v>25572</v>
      </c>
      <c r="B22019" t="s">
        <v>25579</v>
      </c>
      <c r="C22019">
        <v>0</v>
      </c>
      <c r="D22019" t="s">
        <v>106</v>
      </c>
      <c r="E22019">
        <v>23.7481259370314</v>
      </c>
    </row>
    <row r="22020" spans="1:5">
      <c r="A22020" t="s">
        <v>25572</v>
      </c>
      <c r="B22020" t="s">
        <v>25580</v>
      </c>
      <c r="C22020">
        <v>0</v>
      </c>
      <c r="D22020" t="s">
        <v>106</v>
      </c>
      <c r="E22020">
        <v>23.7481259370314</v>
      </c>
    </row>
    <row r="22021" spans="1:5">
      <c r="A22021" t="s">
        <v>25572</v>
      </c>
      <c r="B22021" t="s">
        <v>25581</v>
      </c>
      <c r="C22021">
        <v>2.6632678917899999E-2</v>
      </c>
      <c r="D22021" t="s">
        <v>106</v>
      </c>
      <c r="E22021">
        <v>23.7481259370314</v>
      </c>
    </row>
    <row r="22022" spans="1:5">
      <c r="A22022" t="s">
        <v>25572</v>
      </c>
      <c r="B22022" t="s">
        <v>25582</v>
      </c>
      <c r="C22022">
        <f>0</f>
        <v>0</v>
      </c>
      <c r="D22022" t="s">
        <v>106</v>
      </c>
      <c r="E22022">
        <v>23.7481259370314</v>
      </c>
    </row>
    <row r="22023" spans="1:5">
      <c r="A22023" t="s">
        <v>25572</v>
      </c>
      <c r="B22023" t="s">
        <v>25583</v>
      </c>
      <c r="C22023">
        <f>0</f>
        <v>0</v>
      </c>
      <c r="D22023" t="s">
        <v>106</v>
      </c>
      <c r="E22023">
        <v>23.7481259370314</v>
      </c>
    </row>
    <row r="22024" spans="1:5">
      <c r="A22024" t="s">
        <v>25572</v>
      </c>
      <c r="B22024" t="s">
        <v>25584</v>
      </c>
      <c r="C22024">
        <f>0.105744518138</f>
        <v>0.105744518138</v>
      </c>
      <c r="D22024" t="s">
        <v>106</v>
      </c>
      <c r="E22024">
        <v>23.7481259370314</v>
      </c>
    </row>
    <row r="22025" spans="1:5">
      <c r="A22025" t="s">
        <v>25572</v>
      </c>
      <c r="B22025" t="s">
        <v>25585</v>
      </c>
      <c r="C22025">
        <f>0</f>
        <v>0</v>
      </c>
      <c r="D22025" t="s">
        <v>106</v>
      </c>
      <c r="E22025">
        <v>23.7481259370314</v>
      </c>
    </row>
    <row r="22026" spans="1:5">
      <c r="A22026" t="s">
        <v>25572</v>
      </c>
      <c r="B22026" t="s">
        <v>25586</v>
      </c>
      <c r="C22026">
        <f>0</f>
        <v>0</v>
      </c>
      <c r="D22026" t="s">
        <v>106</v>
      </c>
      <c r="E22026">
        <v>23.7481259370314</v>
      </c>
    </row>
    <row r="22027" spans="1:5">
      <c r="A22027" t="s">
        <v>25587</v>
      </c>
      <c r="B22027" t="s">
        <v>25588</v>
      </c>
      <c r="C22027">
        <f>0</f>
        <v>0</v>
      </c>
      <c r="D22027">
        <v>0.82764407601300005</v>
      </c>
      <c r="E22027">
        <v>5.9370314842578704</v>
      </c>
    </row>
    <row r="22028" spans="1:5">
      <c r="A22028" t="s">
        <v>25587</v>
      </c>
      <c r="B22028" t="s">
        <v>25589</v>
      </c>
      <c r="C22028">
        <f>0</f>
        <v>0</v>
      </c>
      <c r="D22028">
        <v>0.82764407601300005</v>
      </c>
      <c r="E22028">
        <v>5.9370314842578704</v>
      </c>
    </row>
    <row r="22029" spans="1:5">
      <c r="A22029" t="s">
        <v>25587</v>
      </c>
      <c r="B22029" t="s">
        <v>25590</v>
      </c>
      <c r="C22029">
        <f>0</f>
        <v>0</v>
      </c>
      <c r="D22029">
        <v>0.82764407601300005</v>
      </c>
      <c r="E22029">
        <v>5.9370314842578704</v>
      </c>
    </row>
    <row r="22030" spans="1:5">
      <c r="A22030" t="s">
        <v>25587</v>
      </c>
      <c r="B22030" t="s">
        <v>25591</v>
      </c>
      <c r="C22030">
        <f>0</f>
        <v>0</v>
      </c>
      <c r="D22030">
        <v>0.82764407601300005</v>
      </c>
      <c r="E22030">
        <v>5.9370314842578704</v>
      </c>
    </row>
    <row r="22031" spans="1:5">
      <c r="A22031" t="s">
        <v>25587</v>
      </c>
      <c r="B22031" t="s">
        <v>25592</v>
      </c>
      <c r="C22031">
        <f>0</f>
        <v>0</v>
      </c>
      <c r="D22031">
        <v>0.82764407601300005</v>
      </c>
      <c r="E22031">
        <v>5.9370314842578704</v>
      </c>
    </row>
    <row r="22032" spans="1:5">
      <c r="A22032" t="s">
        <v>25587</v>
      </c>
      <c r="B22032" t="s">
        <v>25593</v>
      </c>
      <c r="C22032">
        <f>0</f>
        <v>0</v>
      </c>
      <c r="D22032">
        <v>0.82764407601300005</v>
      </c>
      <c r="E22032">
        <v>5.9370314842578704</v>
      </c>
    </row>
    <row r="22033" spans="1:5">
      <c r="A22033" t="s">
        <v>25587</v>
      </c>
      <c r="B22033" t="s">
        <v>25594</v>
      </c>
      <c r="C22033">
        <v>0</v>
      </c>
      <c r="D22033">
        <v>0.82764407601300005</v>
      </c>
      <c r="E22033">
        <v>5.9370314842578704</v>
      </c>
    </row>
    <row r="22034" spans="1:5">
      <c r="A22034" t="s">
        <v>25587</v>
      </c>
      <c r="B22034" t="s">
        <v>25595</v>
      </c>
      <c r="C22034">
        <f>0</f>
        <v>0</v>
      </c>
      <c r="D22034">
        <v>0.82764407601300005</v>
      </c>
      <c r="E22034">
        <v>5.9370314842578704</v>
      </c>
    </row>
    <row r="22035" spans="1:5">
      <c r="A22035" t="s">
        <v>25587</v>
      </c>
      <c r="B22035" t="s">
        <v>25596</v>
      </c>
      <c r="C22035">
        <v>0</v>
      </c>
      <c r="D22035">
        <v>0.82764407601300005</v>
      </c>
      <c r="E22035">
        <v>5.9370314842578704</v>
      </c>
    </row>
    <row r="22036" spans="1:5">
      <c r="A22036" t="s">
        <v>25587</v>
      </c>
      <c r="B22036" t="s">
        <v>25597</v>
      </c>
      <c r="C22036">
        <f>0</f>
        <v>0</v>
      </c>
      <c r="D22036">
        <v>0.82764407601300005</v>
      </c>
      <c r="E22036">
        <v>5.9370314842578704</v>
      </c>
    </row>
    <row r="22037" spans="1:5">
      <c r="A22037" t="s">
        <v>25598</v>
      </c>
      <c r="B22037" t="s">
        <v>25599</v>
      </c>
      <c r="C22037">
        <f>0</f>
        <v>0</v>
      </c>
      <c r="D22037">
        <v>0.98655576651999999</v>
      </c>
      <c r="E22037">
        <v>0.91154422788605605</v>
      </c>
    </row>
    <row r="22038" spans="1:5">
      <c r="A22038" t="s">
        <v>25598</v>
      </c>
      <c r="B22038" t="s">
        <v>25600</v>
      </c>
      <c r="C22038">
        <v>0</v>
      </c>
      <c r="D22038">
        <v>0.98655576651999999</v>
      </c>
      <c r="E22038">
        <v>0.91154422788605605</v>
      </c>
    </row>
    <row r="22039" spans="1:5">
      <c r="A22039" t="s">
        <v>25598</v>
      </c>
      <c r="B22039" t="s">
        <v>25601</v>
      </c>
      <c r="C22039">
        <v>0</v>
      </c>
      <c r="D22039">
        <v>0.98655576651999999</v>
      </c>
      <c r="E22039">
        <v>0.91154422788605605</v>
      </c>
    </row>
    <row r="22040" spans="1:5">
      <c r="A22040" t="s">
        <v>25598</v>
      </c>
      <c r="B22040" t="s">
        <v>25602</v>
      </c>
      <c r="C22040">
        <v>0.52462056866700002</v>
      </c>
      <c r="D22040">
        <v>0.98655576651999999</v>
      </c>
      <c r="E22040">
        <v>0.91154422788605605</v>
      </c>
    </row>
    <row r="22041" spans="1:5">
      <c r="A22041" t="s">
        <v>25598</v>
      </c>
      <c r="B22041" t="s">
        <v>25603</v>
      </c>
      <c r="C22041">
        <f>0.125813042012</f>
        <v>0.125813042012</v>
      </c>
      <c r="D22041">
        <v>0.98655576651999999</v>
      </c>
      <c r="E22041">
        <v>0.91154422788605605</v>
      </c>
    </row>
    <row r="22042" spans="1:5">
      <c r="A22042" t="s">
        <v>25598</v>
      </c>
      <c r="B22042" t="s">
        <v>25604</v>
      </c>
      <c r="C22042">
        <f>0</f>
        <v>0</v>
      </c>
      <c r="D22042">
        <v>0.98655576651999999</v>
      </c>
      <c r="E22042">
        <v>0.91154422788605605</v>
      </c>
    </row>
    <row r="22043" spans="1:5">
      <c r="A22043" t="s">
        <v>25598</v>
      </c>
      <c r="B22043" t="s">
        <v>25605</v>
      </c>
      <c r="C22043">
        <v>0</v>
      </c>
      <c r="D22043">
        <v>0.98655576651999999</v>
      </c>
      <c r="E22043">
        <v>0.91154422788605605</v>
      </c>
    </row>
    <row r="22044" spans="1:5">
      <c r="A22044" t="s">
        <v>25606</v>
      </c>
      <c r="B22044" t="s">
        <v>25607</v>
      </c>
      <c r="C22044">
        <f>0</f>
        <v>0</v>
      </c>
      <c r="D22044">
        <v>0.96424794549299997</v>
      </c>
      <c r="E22044">
        <v>9.7631184407796106</v>
      </c>
    </row>
    <row r="22045" spans="1:5">
      <c r="A22045" t="s">
        <v>25606</v>
      </c>
      <c r="B22045" t="s">
        <v>25608</v>
      </c>
      <c r="C22045">
        <f>0</f>
        <v>0</v>
      </c>
      <c r="D22045">
        <v>0.96424794549299997</v>
      </c>
      <c r="E22045">
        <v>9.7631184407796106</v>
      </c>
    </row>
    <row r="22046" spans="1:5">
      <c r="A22046" t="s">
        <v>25606</v>
      </c>
      <c r="B22046" t="s">
        <v>25609</v>
      </c>
      <c r="C22046">
        <f>0</f>
        <v>0</v>
      </c>
      <c r="D22046">
        <v>0.96424794549299997</v>
      </c>
      <c r="E22046">
        <v>9.7631184407796106</v>
      </c>
    </row>
    <row r="22047" spans="1:5">
      <c r="A22047" t="s">
        <v>25606</v>
      </c>
      <c r="B22047" t="s">
        <v>25610</v>
      </c>
      <c r="C22047">
        <f>0</f>
        <v>0</v>
      </c>
      <c r="D22047">
        <v>0.96424794549299997</v>
      </c>
      <c r="E22047">
        <v>9.7631184407796106</v>
      </c>
    </row>
    <row r="22048" spans="1:5">
      <c r="A22048" t="s">
        <v>25606</v>
      </c>
      <c r="B22048" t="s">
        <v>25611</v>
      </c>
      <c r="C22048">
        <f>0</f>
        <v>0</v>
      </c>
      <c r="D22048">
        <v>0.96424794549299997</v>
      </c>
      <c r="E22048">
        <v>9.7631184407796106</v>
      </c>
    </row>
    <row r="22049" spans="1:5">
      <c r="A22049" t="s">
        <v>25606</v>
      </c>
      <c r="B22049" t="s">
        <v>25612</v>
      </c>
      <c r="C22049">
        <f>0</f>
        <v>0</v>
      </c>
      <c r="D22049">
        <v>0.96424794549299997</v>
      </c>
      <c r="E22049">
        <v>9.7631184407796106</v>
      </c>
    </row>
    <row r="22050" spans="1:5">
      <c r="A22050" t="s">
        <v>25606</v>
      </c>
      <c r="B22050" t="s">
        <v>25613</v>
      </c>
      <c r="C22050">
        <f>0</f>
        <v>0</v>
      </c>
      <c r="D22050">
        <v>0.96424794549299997</v>
      </c>
      <c r="E22050">
        <v>9.7631184407796106</v>
      </c>
    </row>
    <row r="22051" spans="1:5">
      <c r="A22051" t="s">
        <v>25606</v>
      </c>
      <c r="B22051" t="s">
        <v>25614</v>
      </c>
      <c r="C22051">
        <f>0</f>
        <v>0</v>
      </c>
      <c r="D22051">
        <v>0.96424794549299997</v>
      </c>
      <c r="E22051">
        <v>9.7631184407796106</v>
      </c>
    </row>
    <row r="22052" spans="1:5">
      <c r="A22052" t="s">
        <v>25606</v>
      </c>
      <c r="B22052" t="s">
        <v>25615</v>
      </c>
      <c r="C22052">
        <f>0</f>
        <v>0</v>
      </c>
      <c r="D22052">
        <v>0.96424794549299997</v>
      </c>
      <c r="E22052">
        <v>9.7631184407796106</v>
      </c>
    </row>
    <row r="22053" spans="1:5">
      <c r="A22053" t="s">
        <v>25606</v>
      </c>
      <c r="B22053" t="s">
        <v>25616</v>
      </c>
      <c r="C22053">
        <f>0</f>
        <v>0</v>
      </c>
      <c r="D22053">
        <v>0.96424794549299997</v>
      </c>
      <c r="E22053">
        <v>9.7631184407796106</v>
      </c>
    </row>
    <row r="22054" spans="1:5">
      <c r="A22054" t="s">
        <v>25606</v>
      </c>
      <c r="B22054" t="s">
        <v>25617</v>
      </c>
      <c r="C22054">
        <f>0.0547909526543</f>
        <v>5.47909526543E-2</v>
      </c>
      <c r="D22054">
        <v>0.96424794549299997</v>
      </c>
      <c r="E22054">
        <v>9.7631184407796106</v>
      </c>
    </row>
    <row r="22055" spans="1:5">
      <c r="A22055" t="s">
        <v>25606</v>
      </c>
      <c r="B22055" t="s">
        <v>25618</v>
      </c>
      <c r="C22055">
        <f>0.0244087370336</f>
        <v>2.4408737033600001E-2</v>
      </c>
      <c r="D22055">
        <v>0.96424794549299997</v>
      </c>
      <c r="E22055">
        <v>9.7631184407796106</v>
      </c>
    </row>
    <row r="22056" spans="1:5">
      <c r="A22056" t="s">
        <v>25619</v>
      </c>
      <c r="B22056" t="s">
        <v>25620</v>
      </c>
      <c r="C22056">
        <f>0</f>
        <v>0</v>
      </c>
      <c r="D22056">
        <v>0.97542837121699999</v>
      </c>
      <c r="E22056">
        <v>1.39130434782608</v>
      </c>
    </row>
    <row r="22057" spans="1:5">
      <c r="A22057" t="s">
        <v>25619</v>
      </c>
      <c r="B22057" t="s">
        <v>25621</v>
      </c>
      <c r="C22057">
        <f>0</f>
        <v>0</v>
      </c>
      <c r="D22057">
        <v>0.97542837121699999</v>
      </c>
      <c r="E22057">
        <v>1.39130434782608</v>
      </c>
    </row>
    <row r="22058" spans="1:5">
      <c r="A22058" t="s">
        <v>25619</v>
      </c>
      <c r="B22058" t="s">
        <v>25622</v>
      </c>
      <c r="C22058">
        <f>0</f>
        <v>0</v>
      </c>
      <c r="D22058">
        <v>0.97542837121699999</v>
      </c>
      <c r="E22058">
        <v>1.39130434782608</v>
      </c>
    </row>
    <row r="22059" spans="1:5">
      <c r="A22059" t="s">
        <v>25619</v>
      </c>
      <c r="B22059" t="s">
        <v>25623</v>
      </c>
      <c r="C22059">
        <f>0.16022813608</f>
        <v>0.16022813608</v>
      </c>
      <c r="D22059">
        <v>0.97542837121699999</v>
      </c>
      <c r="E22059">
        <v>1.39130434782608</v>
      </c>
    </row>
    <row r="22060" spans="1:5">
      <c r="A22060" t="s">
        <v>25619</v>
      </c>
      <c r="B22060" t="s">
        <v>25624</v>
      </c>
      <c r="C22060">
        <v>0</v>
      </c>
      <c r="D22060">
        <v>0.97542837121699999</v>
      </c>
      <c r="E22060">
        <v>1.39130434782608</v>
      </c>
    </row>
    <row r="22061" spans="1:5">
      <c r="A22061" t="s">
        <v>25619</v>
      </c>
      <c r="B22061" t="s">
        <v>25625</v>
      </c>
      <c r="C22061">
        <v>0</v>
      </c>
      <c r="D22061">
        <v>0.97542837121699999</v>
      </c>
      <c r="E22061">
        <v>1.39130434782608</v>
      </c>
    </row>
    <row r="22062" spans="1:5">
      <c r="A22062" t="s">
        <v>25619</v>
      </c>
      <c r="B22062" t="s">
        <v>25626</v>
      </c>
      <c r="C22062">
        <f>0</f>
        <v>0</v>
      </c>
      <c r="D22062">
        <v>0.97542837121699999</v>
      </c>
      <c r="E22062">
        <v>1.39130434782608</v>
      </c>
    </row>
    <row r="22063" spans="1:5">
      <c r="A22063" t="s">
        <v>25619</v>
      </c>
      <c r="B22063" t="s">
        <v>25627</v>
      </c>
      <c r="C22063">
        <f>0.177823305895</f>
        <v>0.17782330589500001</v>
      </c>
      <c r="D22063">
        <v>0.97542837121699999</v>
      </c>
      <c r="E22063">
        <v>1.39130434782608</v>
      </c>
    </row>
    <row r="22064" spans="1:5">
      <c r="A22064" t="s">
        <v>25619</v>
      </c>
      <c r="B22064" t="s">
        <v>25628</v>
      </c>
      <c r="C22064">
        <f>0</f>
        <v>0</v>
      </c>
      <c r="D22064">
        <v>0.97542837121699999</v>
      </c>
      <c r="E22064">
        <v>1.39130434782608</v>
      </c>
    </row>
    <row r="22065" spans="1:5">
      <c r="A22065" t="s">
        <v>25629</v>
      </c>
      <c r="B22065" t="s">
        <v>25630</v>
      </c>
      <c r="C22065">
        <f>0.0492365233785</f>
        <v>4.9236523378499999E-2</v>
      </c>
      <c r="D22065">
        <v>0.98536002054899996</v>
      </c>
      <c r="E22065">
        <v>1.6911544227886</v>
      </c>
    </row>
    <row r="22066" spans="1:5">
      <c r="A22066" t="s">
        <v>25629</v>
      </c>
      <c r="B22066" t="s">
        <v>25631</v>
      </c>
      <c r="C22066">
        <f>0</f>
        <v>0</v>
      </c>
      <c r="D22066">
        <v>0.98536002054899996</v>
      </c>
      <c r="E22066">
        <v>1.6911544227886</v>
      </c>
    </row>
    <row r="22067" spans="1:5">
      <c r="A22067" t="s">
        <v>25629</v>
      </c>
      <c r="B22067" t="s">
        <v>25632</v>
      </c>
      <c r="C22067">
        <f>0</f>
        <v>0</v>
      </c>
      <c r="D22067">
        <v>0.98536002054899996</v>
      </c>
      <c r="E22067">
        <v>1.6911544227886</v>
      </c>
    </row>
    <row r="22068" spans="1:5">
      <c r="A22068" t="s">
        <v>25629</v>
      </c>
      <c r="B22068" t="s">
        <v>25633</v>
      </c>
      <c r="C22068">
        <v>0</v>
      </c>
      <c r="D22068">
        <v>0.98536002054899996</v>
      </c>
      <c r="E22068">
        <v>1.6911544227886</v>
      </c>
    </row>
    <row r="22069" spans="1:5">
      <c r="A22069" t="s">
        <v>25629</v>
      </c>
      <c r="B22069" t="s">
        <v>25634</v>
      </c>
      <c r="C22069">
        <v>0</v>
      </c>
      <c r="D22069">
        <v>0.98536002054899996</v>
      </c>
      <c r="E22069">
        <v>1.6911544227886</v>
      </c>
    </row>
    <row r="22070" spans="1:5">
      <c r="A22070" t="s">
        <v>25629</v>
      </c>
      <c r="B22070" t="s">
        <v>25635</v>
      </c>
      <c r="C22070">
        <v>0</v>
      </c>
      <c r="D22070">
        <v>0.98536002054899996</v>
      </c>
      <c r="E22070">
        <v>1.6911544227886</v>
      </c>
    </row>
    <row r="22071" spans="1:5">
      <c r="A22071" t="s">
        <v>25629</v>
      </c>
      <c r="B22071" t="s">
        <v>25636</v>
      </c>
      <c r="C22071">
        <f>0</f>
        <v>0</v>
      </c>
      <c r="D22071">
        <v>0.98536002054899996</v>
      </c>
      <c r="E22071">
        <v>1.6911544227886</v>
      </c>
    </row>
    <row r="22072" spans="1:5">
      <c r="A22072" t="s">
        <v>25629</v>
      </c>
      <c r="B22072" t="s">
        <v>25637</v>
      </c>
      <c r="C22072">
        <f>0.162651861064</f>
        <v>0.16265186106400001</v>
      </c>
      <c r="D22072">
        <v>0.98536002054899996</v>
      </c>
      <c r="E22072">
        <v>1.6911544227886</v>
      </c>
    </row>
    <row r="22073" spans="1:5">
      <c r="A22073" t="s">
        <v>25629</v>
      </c>
      <c r="B22073" t="s">
        <v>25638</v>
      </c>
      <c r="C22073">
        <v>0</v>
      </c>
      <c r="D22073">
        <v>0.98536002054899996</v>
      </c>
      <c r="E22073">
        <v>1.6911544227886</v>
      </c>
    </row>
    <row r="22074" spans="1:5">
      <c r="A22074" t="s">
        <v>25639</v>
      </c>
      <c r="B22074" t="s">
        <v>25640</v>
      </c>
      <c r="C22074">
        <v>0.44008089869099998</v>
      </c>
      <c r="D22074" t="s">
        <v>106</v>
      </c>
      <c r="E22074">
        <v>6.1769115442278801</v>
      </c>
    </row>
    <row r="22075" spans="1:5">
      <c r="A22075" t="s">
        <v>25641</v>
      </c>
      <c r="B22075" t="s">
        <v>25642</v>
      </c>
      <c r="C22075">
        <f>0</f>
        <v>0</v>
      </c>
      <c r="D22075">
        <v>0.91245533517699995</v>
      </c>
      <c r="E22075">
        <v>4.1739130434782599</v>
      </c>
    </row>
    <row r="22076" spans="1:5">
      <c r="A22076" t="s">
        <v>25641</v>
      </c>
      <c r="B22076" t="s">
        <v>25643</v>
      </c>
      <c r="C22076">
        <f>0</f>
        <v>0</v>
      </c>
      <c r="D22076">
        <v>0.91245533517699995</v>
      </c>
      <c r="E22076">
        <v>4.1739130434782599</v>
      </c>
    </row>
    <row r="22077" spans="1:5">
      <c r="A22077" t="s">
        <v>25641</v>
      </c>
      <c r="B22077" t="s">
        <v>25644</v>
      </c>
      <c r="C22077">
        <f>0</f>
        <v>0</v>
      </c>
      <c r="D22077">
        <v>0.91245533517699995</v>
      </c>
      <c r="E22077">
        <v>4.1739130434782599</v>
      </c>
    </row>
    <row r="22078" spans="1:5">
      <c r="A22078" t="s">
        <v>25641</v>
      </c>
      <c r="B22078" t="s">
        <v>25645</v>
      </c>
      <c r="C22078">
        <f>0</f>
        <v>0</v>
      </c>
      <c r="D22078">
        <v>0.91245533517699995</v>
      </c>
      <c r="E22078">
        <v>4.1739130434782599</v>
      </c>
    </row>
    <row r="22079" spans="1:5">
      <c r="A22079" t="s">
        <v>25641</v>
      </c>
      <c r="B22079" t="s">
        <v>25646</v>
      </c>
      <c r="C22079">
        <f>0</f>
        <v>0</v>
      </c>
      <c r="D22079">
        <v>0.91245533517699995</v>
      </c>
      <c r="E22079">
        <v>4.1739130434782599</v>
      </c>
    </row>
    <row r="22080" spans="1:5">
      <c r="A22080" t="s">
        <v>25641</v>
      </c>
      <c r="B22080" t="s">
        <v>25647</v>
      </c>
      <c r="C22080">
        <f>0.209662377243</f>
        <v>0.20966237724299999</v>
      </c>
      <c r="D22080">
        <v>0.91245533517699995</v>
      </c>
      <c r="E22080">
        <v>4.1739130434782599</v>
      </c>
    </row>
    <row r="22081" spans="1:5">
      <c r="A22081" t="s">
        <v>25641</v>
      </c>
      <c r="B22081" t="s">
        <v>25648</v>
      </c>
      <c r="C22081">
        <f>0</f>
        <v>0</v>
      </c>
      <c r="D22081">
        <v>0.91245533517699995</v>
      </c>
      <c r="E22081">
        <v>4.1739130434782599</v>
      </c>
    </row>
    <row r="22082" spans="1:5">
      <c r="A22082" t="s">
        <v>25641</v>
      </c>
      <c r="B22082" t="s">
        <v>25649</v>
      </c>
      <c r="C22082">
        <f>0</f>
        <v>0</v>
      </c>
      <c r="D22082">
        <v>0.91245533517699995</v>
      </c>
      <c r="E22082">
        <v>4.1739130434782599</v>
      </c>
    </row>
    <row r="22083" spans="1:5">
      <c r="A22083" t="s">
        <v>25641</v>
      </c>
      <c r="B22083" t="s">
        <v>25650</v>
      </c>
      <c r="C22083">
        <v>0</v>
      </c>
      <c r="D22083">
        <v>0.91245533517699995</v>
      </c>
      <c r="E22083">
        <v>4.1739130434782599</v>
      </c>
    </row>
    <row r="22084" spans="1:5">
      <c r="A22084" t="s">
        <v>25641</v>
      </c>
      <c r="B22084" t="s">
        <v>25651</v>
      </c>
      <c r="C22084">
        <f>0</f>
        <v>0</v>
      </c>
      <c r="D22084">
        <v>0.91245533517699995</v>
      </c>
      <c r="E22084">
        <v>4.1739130434782599</v>
      </c>
    </row>
    <row r="22085" spans="1:5">
      <c r="A22085" t="s">
        <v>25641</v>
      </c>
      <c r="B22085" t="s">
        <v>25652</v>
      </c>
      <c r="C22085">
        <f>0.0906155978065</f>
        <v>9.0615597806499998E-2</v>
      </c>
      <c r="D22085">
        <v>0.91245533517699995</v>
      </c>
      <c r="E22085">
        <v>4.1739130434782599</v>
      </c>
    </row>
    <row r="22086" spans="1:5">
      <c r="A22086" t="s">
        <v>25653</v>
      </c>
      <c r="B22086" t="s">
        <v>25654</v>
      </c>
      <c r="C22086">
        <v>0</v>
      </c>
      <c r="D22086" t="s">
        <v>106</v>
      </c>
      <c r="E22086">
        <v>17.103448275862</v>
      </c>
    </row>
    <row r="22087" spans="1:5">
      <c r="A22087" t="s">
        <v>25653</v>
      </c>
      <c r="B22087" t="s">
        <v>25655</v>
      </c>
      <c r="C22087">
        <v>0.12097376787</v>
      </c>
      <c r="D22087" t="s">
        <v>106</v>
      </c>
      <c r="E22087">
        <v>17.103448275862</v>
      </c>
    </row>
    <row r="22088" spans="1:5">
      <c r="A22088" t="s">
        <v>25653</v>
      </c>
      <c r="B22088" t="s">
        <v>25656</v>
      </c>
      <c r="C22088">
        <f>0</f>
        <v>0</v>
      </c>
      <c r="D22088" t="s">
        <v>106</v>
      </c>
      <c r="E22088">
        <v>17.103448275862</v>
      </c>
    </row>
    <row r="22089" spans="1:5">
      <c r="A22089" t="s">
        <v>25653</v>
      </c>
      <c r="B22089" t="s">
        <v>25657</v>
      </c>
      <c r="C22089">
        <v>0</v>
      </c>
      <c r="D22089" t="s">
        <v>106</v>
      </c>
      <c r="E22089">
        <v>17.103448275862</v>
      </c>
    </row>
    <row r="22090" spans="1:5">
      <c r="A22090" t="s">
        <v>25653</v>
      </c>
      <c r="B22090" t="s">
        <v>25658</v>
      </c>
      <c r="C22090">
        <f>0</f>
        <v>0</v>
      </c>
      <c r="D22090" t="s">
        <v>106</v>
      </c>
      <c r="E22090">
        <v>17.103448275862</v>
      </c>
    </row>
    <row r="22091" spans="1:5">
      <c r="A22091" t="s">
        <v>25653</v>
      </c>
      <c r="B22091" t="s">
        <v>25659</v>
      </c>
      <c r="C22091">
        <f>0</f>
        <v>0</v>
      </c>
      <c r="D22091" t="s">
        <v>106</v>
      </c>
      <c r="E22091">
        <v>17.103448275862</v>
      </c>
    </row>
    <row r="22092" spans="1:5">
      <c r="A22092" t="s">
        <v>25653</v>
      </c>
      <c r="B22092" t="s">
        <v>25660</v>
      </c>
      <c r="C22092">
        <f>0</f>
        <v>0</v>
      </c>
      <c r="D22092" t="s">
        <v>106</v>
      </c>
      <c r="E22092">
        <v>17.103448275862</v>
      </c>
    </row>
    <row r="22093" spans="1:5">
      <c r="A22093" t="s">
        <v>25653</v>
      </c>
      <c r="B22093" t="s">
        <v>25661</v>
      </c>
      <c r="C22093">
        <v>0</v>
      </c>
      <c r="D22093" t="s">
        <v>106</v>
      </c>
      <c r="E22093">
        <v>17.103448275862</v>
      </c>
    </row>
    <row r="22094" spans="1:5">
      <c r="A22094" t="s">
        <v>25653</v>
      </c>
      <c r="B22094" t="s">
        <v>25662</v>
      </c>
      <c r="C22094">
        <v>0</v>
      </c>
      <c r="D22094" t="s">
        <v>106</v>
      </c>
      <c r="E22094">
        <v>17.103448275862</v>
      </c>
    </row>
    <row r="22095" spans="1:5">
      <c r="A22095" t="s">
        <v>25653</v>
      </c>
      <c r="B22095" t="s">
        <v>25663</v>
      </c>
      <c r="C22095">
        <f>0</f>
        <v>0</v>
      </c>
      <c r="D22095" t="s">
        <v>106</v>
      </c>
      <c r="E22095">
        <v>17.103448275862</v>
      </c>
    </row>
    <row r="22096" spans="1:5">
      <c r="A22096" t="s">
        <v>25664</v>
      </c>
      <c r="B22096" t="s">
        <v>25665</v>
      </c>
      <c r="C22096">
        <v>0.212824367741</v>
      </c>
      <c r="D22096">
        <v>0.94632834765499996</v>
      </c>
      <c r="E22096">
        <v>6.0569715142428704</v>
      </c>
    </row>
    <row r="22097" spans="1:5">
      <c r="A22097" t="s">
        <v>25664</v>
      </c>
      <c r="B22097" t="s">
        <v>25666</v>
      </c>
      <c r="C22097">
        <f>0.0277951942278</f>
        <v>2.77951942278E-2</v>
      </c>
      <c r="D22097">
        <v>0.94632834765499996</v>
      </c>
      <c r="E22097">
        <v>6.0569715142428704</v>
      </c>
    </row>
    <row r="22098" spans="1:5">
      <c r="A22098" t="s">
        <v>25667</v>
      </c>
      <c r="B22098" t="s">
        <v>25668</v>
      </c>
      <c r="C22098">
        <v>1.6711954643100001E-2</v>
      </c>
      <c r="D22098">
        <v>0.95608389225699997</v>
      </c>
      <c r="E22098">
        <v>1.00749625187406</v>
      </c>
    </row>
    <row r="22099" spans="1:5">
      <c r="A22099" t="s">
        <v>25667</v>
      </c>
      <c r="B22099" t="s">
        <v>25669</v>
      </c>
      <c r="C22099">
        <v>0</v>
      </c>
      <c r="D22099">
        <v>0.95608389225699997</v>
      </c>
      <c r="E22099">
        <v>1.00749625187406</v>
      </c>
    </row>
    <row r="22100" spans="1:5">
      <c r="A22100" t="s">
        <v>25667</v>
      </c>
      <c r="B22100" t="s">
        <v>25670</v>
      </c>
      <c r="C22100">
        <v>0</v>
      </c>
      <c r="D22100">
        <v>0.95608389225699997</v>
      </c>
      <c r="E22100">
        <v>1.00749625187406</v>
      </c>
    </row>
    <row r="22101" spans="1:5">
      <c r="A22101" t="s">
        <v>25667</v>
      </c>
      <c r="B22101" t="s">
        <v>25671</v>
      </c>
      <c r="C22101">
        <v>0</v>
      </c>
      <c r="D22101">
        <v>0.95608389225699997</v>
      </c>
      <c r="E22101">
        <v>1.00749625187406</v>
      </c>
    </row>
    <row r="22102" spans="1:5">
      <c r="A22102" t="s">
        <v>25667</v>
      </c>
      <c r="B22102" t="s">
        <v>25672</v>
      </c>
      <c r="C22102">
        <v>0</v>
      </c>
      <c r="D22102">
        <v>0.95608389225699997</v>
      </c>
      <c r="E22102">
        <v>1.00749625187406</v>
      </c>
    </row>
    <row r="22103" spans="1:5">
      <c r="A22103" t="s">
        <v>25667</v>
      </c>
      <c r="B22103" t="s">
        <v>25673</v>
      </c>
      <c r="C22103">
        <v>9.0297559883000006E-2</v>
      </c>
      <c r="D22103">
        <v>0.95608389225699997</v>
      </c>
      <c r="E22103">
        <v>1.00749625187406</v>
      </c>
    </row>
    <row r="22104" spans="1:5">
      <c r="A22104" t="s">
        <v>25667</v>
      </c>
      <c r="B22104" t="s">
        <v>25674</v>
      </c>
      <c r="C22104">
        <v>0</v>
      </c>
      <c r="D22104">
        <v>0.95608389225699997</v>
      </c>
      <c r="E22104">
        <v>1.00749625187406</v>
      </c>
    </row>
    <row r="22105" spans="1:5">
      <c r="A22105" t="s">
        <v>25667</v>
      </c>
      <c r="B22105" t="s">
        <v>25675</v>
      </c>
      <c r="C22105">
        <v>0</v>
      </c>
      <c r="D22105">
        <v>0.95608389225699997</v>
      </c>
      <c r="E22105">
        <v>1.00749625187406</v>
      </c>
    </row>
    <row r="22106" spans="1:5">
      <c r="A22106" t="s">
        <v>25667</v>
      </c>
      <c r="B22106" t="s">
        <v>25676</v>
      </c>
      <c r="C22106">
        <v>0</v>
      </c>
      <c r="D22106">
        <v>0.95608389225699997</v>
      </c>
      <c r="E22106">
        <v>1.00749625187406</v>
      </c>
    </row>
    <row r="22107" spans="1:5">
      <c r="A22107" t="s">
        <v>25677</v>
      </c>
      <c r="B22107" t="s">
        <v>25678</v>
      </c>
      <c r="C22107">
        <f>0</f>
        <v>0</v>
      </c>
      <c r="D22107">
        <v>0.74009937428200001</v>
      </c>
      <c r="E22107">
        <v>15.904047976011899</v>
      </c>
    </row>
    <row r="22108" spans="1:5">
      <c r="A22108" t="s">
        <v>25677</v>
      </c>
      <c r="B22108" t="s">
        <v>25679</v>
      </c>
      <c r="C22108">
        <v>1.15566124486E-2</v>
      </c>
      <c r="D22108">
        <v>0.74009937428200001</v>
      </c>
      <c r="E22108">
        <v>15.904047976011899</v>
      </c>
    </row>
    <row r="22109" spans="1:5">
      <c r="A22109" t="s">
        <v>25677</v>
      </c>
      <c r="B22109" t="s">
        <v>25680</v>
      </c>
      <c r="C22109">
        <v>0</v>
      </c>
      <c r="D22109">
        <v>0.74009937428200001</v>
      </c>
      <c r="E22109">
        <v>15.904047976011899</v>
      </c>
    </row>
    <row r="22110" spans="1:5">
      <c r="A22110" t="s">
        <v>25677</v>
      </c>
      <c r="B22110" t="s">
        <v>25681</v>
      </c>
      <c r="C22110">
        <f>0</f>
        <v>0</v>
      </c>
      <c r="D22110">
        <v>0.74009937428200001</v>
      </c>
      <c r="E22110">
        <v>15.904047976011899</v>
      </c>
    </row>
    <row r="22111" spans="1:5">
      <c r="A22111" t="s">
        <v>25677</v>
      </c>
      <c r="B22111" t="s">
        <v>25682</v>
      </c>
      <c r="C22111">
        <v>0</v>
      </c>
      <c r="D22111">
        <v>0.74009937428200001</v>
      </c>
      <c r="E22111">
        <v>15.904047976011899</v>
      </c>
    </row>
    <row r="22112" spans="1:5">
      <c r="A22112" t="s">
        <v>25677</v>
      </c>
      <c r="B22112" t="s">
        <v>25683</v>
      </c>
      <c r="C22112">
        <v>0</v>
      </c>
      <c r="D22112">
        <v>0.74009937428200001</v>
      </c>
      <c r="E22112">
        <v>15.904047976011899</v>
      </c>
    </row>
    <row r="22113" spans="1:5">
      <c r="A22113" t="s">
        <v>25677</v>
      </c>
      <c r="B22113" t="s">
        <v>25684</v>
      </c>
      <c r="C22113">
        <v>0</v>
      </c>
      <c r="D22113">
        <v>0.74009937428200001</v>
      </c>
      <c r="E22113">
        <v>15.904047976011899</v>
      </c>
    </row>
    <row r="22114" spans="1:5">
      <c r="A22114" t="s">
        <v>25685</v>
      </c>
      <c r="B22114" t="s">
        <v>25686</v>
      </c>
      <c r="C22114">
        <v>0</v>
      </c>
      <c r="D22114" t="s">
        <v>106</v>
      </c>
      <c r="E22114">
        <v>0.77961019490254801</v>
      </c>
    </row>
    <row r="22115" spans="1:5">
      <c r="A22115" t="s">
        <v>25685</v>
      </c>
      <c r="B22115" t="s">
        <v>25687</v>
      </c>
      <c r="C22115">
        <v>0</v>
      </c>
      <c r="D22115" t="s">
        <v>106</v>
      </c>
      <c r="E22115">
        <v>0.77961019490254801</v>
      </c>
    </row>
    <row r="22116" spans="1:5">
      <c r="A22116" t="s">
        <v>25685</v>
      </c>
      <c r="B22116" t="s">
        <v>25688</v>
      </c>
      <c r="C22116">
        <v>0</v>
      </c>
      <c r="D22116" t="s">
        <v>106</v>
      </c>
      <c r="E22116">
        <v>0.77961019490254801</v>
      </c>
    </row>
    <row r="22117" spans="1:5">
      <c r="A22117" t="s">
        <v>25685</v>
      </c>
      <c r="B22117" t="s">
        <v>25689</v>
      </c>
      <c r="C22117">
        <v>0</v>
      </c>
      <c r="D22117" t="s">
        <v>106</v>
      </c>
      <c r="E22117">
        <v>0.77961019490254801</v>
      </c>
    </row>
    <row r="22118" spans="1:5">
      <c r="A22118" t="s">
        <v>25685</v>
      </c>
      <c r="B22118" t="s">
        <v>25690</v>
      </c>
      <c r="C22118">
        <f>0</f>
        <v>0</v>
      </c>
      <c r="D22118" t="s">
        <v>106</v>
      </c>
      <c r="E22118">
        <v>0.77961019490254801</v>
      </c>
    </row>
    <row r="22119" spans="1:5">
      <c r="A22119" t="s">
        <v>25685</v>
      </c>
      <c r="B22119" t="s">
        <v>25691</v>
      </c>
      <c r="C22119">
        <v>0</v>
      </c>
      <c r="D22119" t="s">
        <v>106</v>
      </c>
      <c r="E22119">
        <v>0.77961019490254801</v>
      </c>
    </row>
    <row r="22120" spans="1:5">
      <c r="A22120" t="s">
        <v>25692</v>
      </c>
      <c r="B22120" t="s">
        <v>25693</v>
      </c>
      <c r="C22120">
        <v>0</v>
      </c>
      <c r="D22120">
        <v>0.97642811152599995</v>
      </c>
      <c r="E22120">
        <v>5.69715142428785</v>
      </c>
    </row>
    <row r="22121" spans="1:5">
      <c r="A22121" t="s">
        <v>25692</v>
      </c>
      <c r="B22121" t="s">
        <v>25694</v>
      </c>
      <c r="C22121">
        <f>0</f>
        <v>0</v>
      </c>
      <c r="D22121">
        <v>0.97642811152599995</v>
      </c>
      <c r="E22121">
        <v>5.69715142428785</v>
      </c>
    </row>
    <row r="22122" spans="1:5">
      <c r="A22122" t="s">
        <v>25692</v>
      </c>
      <c r="B22122" t="s">
        <v>25695</v>
      </c>
      <c r="C22122">
        <f>0</f>
        <v>0</v>
      </c>
      <c r="D22122">
        <v>0.97642811152599995</v>
      </c>
      <c r="E22122">
        <v>5.69715142428785</v>
      </c>
    </row>
    <row r="22123" spans="1:5">
      <c r="A22123" t="s">
        <v>25692</v>
      </c>
      <c r="B22123" t="s">
        <v>25696</v>
      </c>
      <c r="C22123">
        <v>0</v>
      </c>
      <c r="D22123">
        <v>0.97642811152599995</v>
      </c>
      <c r="E22123">
        <v>5.69715142428785</v>
      </c>
    </row>
    <row r="22124" spans="1:5">
      <c r="A22124" t="s">
        <v>25692</v>
      </c>
      <c r="B22124" t="s">
        <v>25697</v>
      </c>
      <c r="C22124">
        <v>0</v>
      </c>
      <c r="D22124">
        <v>0.97642811152599995</v>
      </c>
      <c r="E22124">
        <v>5.69715142428785</v>
      </c>
    </row>
    <row r="22125" spans="1:5">
      <c r="A22125" t="s">
        <v>25692</v>
      </c>
      <c r="B22125" t="s">
        <v>25698</v>
      </c>
      <c r="C22125">
        <f>0</f>
        <v>0</v>
      </c>
      <c r="D22125">
        <v>0.97642811152599995</v>
      </c>
      <c r="E22125">
        <v>5.69715142428785</v>
      </c>
    </row>
    <row r="22126" spans="1:5">
      <c r="A22126" t="s">
        <v>25692</v>
      </c>
      <c r="B22126" t="s">
        <v>25699</v>
      </c>
      <c r="C22126">
        <v>0.61167114306699999</v>
      </c>
      <c r="D22126">
        <v>0.97642811152599995</v>
      </c>
      <c r="E22126">
        <v>5.69715142428785</v>
      </c>
    </row>
    <row r="22127" spans="1:5">
      <c r="A22127" t="s">
        <v>25692</v>
      </c>
      <c r="B22127" t="s">
        <v>25700</v>
      </c>
      <c r="C22127">
        <v>5.7671210693999997E-3</v>
      </c>
      <c r="D22127">
        <v>0.97642811152599995</v>
      </c>
      <c r="E22127">
        <v>5.69715142428785</v>
      </c>
    </row>
    <row r="22128" spans="1:5">
      <c r="A22128" t="s">
        <v>25692</v>
      </c>
      <c r="B22128" t="s">
        <v>25701</v>
      </c>
      <c r="C22128">
        <f>0</f>
        <v>0</v>
      </c>
      <c r="D22128">
        <v>0.97642811152599995</v>
      </c>
      <c r="E22128">
        <v>5.69715142428785</v>
      </c>
    </row>
    <row r="22129" spans="1:5">
      <c r="A22129" t="s">
        <v>25692</v>
      </c>
      <c r="B22129" t="s">
        <v>25702</v>
      </c>
      <c r="C22129">
        <f>0</f>
        <v>0</v>
      </c>
      <c r="D22129">
        <v>0.97642811152599995</v>
      </c>
      <c r="E22129">
        <v>5.69715142428785</v>
      </c>
    </row>
    <row r="22130" spans="1:5">
      <c r="A22130" t="s">
        <v>25703</v>
      </c>
      <c r="B22130" t="s">
        <v>25704</v>
      </c>
      <c r="C22130">
        <v>0</v>
      </c>
      <c r="D22130">
        <v>0.97893726085099997</v>
      </c>
      <c r="E22130">
        <v>23.280359820089899</v>
      </c>
    </row>
    <row r="22131" spans="1:5">
      <c r="A22131" t="s">
        <v>25703</v>
      </c>
      <c r="B22131" t="s">
        <v>25705</v>
      </c>
      <c r="C22131">
        <f>0</f>
        <v>0</v>
      </c>
      <c r="D22131">
        <v>0.97893726085099997</v>
      </c>
      <c r="E22131">
        <v>23.280359820089899</v>
      </c>
    </row>
    <row r="22132" spans="1:5">
      <c r="A22132" t="s">
        <v>25703</v>
      </c>
      <c r="B22132" t="s">
        <v>25706</v>
      </c>
      <c r="C22132">
        <f>0</f>
        <v>0</v>
      </c>
      <c r="D22132">
        <v>0.97893726085099997</v>
      </c>
      <c r="E22132">
        <v>23.280359820089899</v>
      </c>
    </row>
    <row r="22133" spans="1:5">
      <c r="A22133" t="s">
        <v>25703</v>
      </c>
      <c r="B22133" t="s">
        <v>25707</v>
      </c>
      <c r="C22133">
        <v>3.89294295221E-3</v>
      </c>
      <c r="D22133">
        <v>0.97893726085099997</v>
      </c>
      <c r="E22133">
        <v>23.280359820089899</v>
      </c>
    </row>
    <row r="22134" spans="1:5">
      <c r="A22134" t="s">
        <v>25703</v>
      </c>
      <c r="B22134" t="s">
        <v>25708</v>
      </c>
      <c r="C22134">
        <f>0</f>
        <v>0</v>
      </c>
      <c r="D22134">
        <v>0.97893726085099997</v>
      </c>
      <c r="E22134">
        <v>23.280359820089899</v>
      </c>
    </row>
    <row r="22135" spans="1:5">
      <c r="A22135" t="s">
        <v>25703</v>
      </c>
      <c r="B22135" t="s">
        <v>25709</v>
      </c>
      <c r="C22135">
        <v>2.3198581335199999E-2</v>
      </c>
      <c r="D22135">
        <v>0.97893726085099997</v>
      </c>
      <c r="E22135">
        <v>23.280359820089899</v>
      </c>
    </row>
    <row r="22136" spans="1:5">
      <c r="A22136" t="s">
        <v>25703</v>
      </c>
      <c r="B22136" t="s">
        <v>25710</v>
      </c>
      <c r="C22136">
        <v>0</v>
      </c>
      <c r="D22136">
        <v>0.97893726085099997</v>
      </c>
      <c r="E22136">
        <v>23.280359820089899</v>
      </c>
    </row>
    <row r="22137" spans="1:5">
      <c r="A22137" t="s">
        <v>25711</v>
      </c>
      <c r="B22137" t="s">
        <v>25712</v>
      </c>
      <c r="C22137">
        <f>0</f>
        <v>0</v>
      </c>
      <c r="D22137" t="s">
        <v>106</v>
      </c>
      <c r="E22137">
        <v>14.740629685157399</v>
      </c>
    </row>
    <row r="22138" spans="1:5">
      <c r="A22138" t="s">
        <v>25711</v>
      </c>
      <c r="B22138" t="s">
        <v>25713</v>
      </c>
      <c r="C22138">
        <v>0</v>
      </c>
      <c r="D22138" t="s">
        <v>106</v>
      </c>
      <c r="E22138">
        <v>14.740629685157399</v>
      </c>
    </row>
    <row r="22139" spans="1:5">
      <c r="A22139" t="s">
        <v>25711</v>
      </c>
      <c r="B22139" t="s">
        <v>25714</v>
      </c>
      <c r="C22139">
        <f>0</f>
        <v>0</v>
      </c>
      <c r="D22139" t="s">
        <v>106</v>
      </c>
      <c r="E22139">
        <v>14.740629685157399</v>
      </c>
    </row>
    <row r="22140" spans="1:5">
      <c r="A22140" t="s">
        <v>25711</v>
      </c>
      <c r="B22140" t="s">
        <v>25715</v>
      </c>
      <c r="C22140">
        <v>0</v>
      </c>
      <c r="D22140" t="s">
        <v>106</v>
      </c>
      <c r="E22140">
        <v>14.740629685157399</v>
      </c>
    </row>
    <row r="22141" spans="1:5">
      <c r="A22141" t="s">
        <v>25716</v>
      </c>
      <c r="B22141" t="s">
        <v>25717</v>
      </c>
      <c r="C22141">
        <f>0</f>
        <v>0</v>
      </c>
      <c r="D22141" t="s">
        <v>106</v>
      </c>
      <c r="E22141">
        <v>5.8170914542728598</v>
      </c>
    </row>
    <row r="22142" spans="1:5">
      <c r="A22142" t="s">
        <v>25716</v>
      </c>
      <c r="B22142" t="s">
        <v>25718</v>
      </c>
      <c r="C22142">
        <f>0</f>
        <v>0</v>
      </c>
      <c r="D22142" t="s">
        <v>106</v>
      </c>
      <c r="E22142">
        <v>5.8170914542728598</v>
      </c>
    </row>
    <row r="22143" spans="1:5">
      <c r="A22143" t="s">
        <v>25719</v>
      </c>
      <c r="B22143" t="s">
        <v>25720</v>
      </c>
      <c r="C22143">
        <v>0</v>
      </c>
      <c r="D22143">
        <v>0.93910324283900004</v>
      </c>
      <c r="E22143">
        <v>5.4692653673163401</v>
      </c>
    </row>
    <row r="22144" spans="1:5">
      <c r="A22144" t="s">
        <v>25719</v>
      </c>
      <c r="B22144" t="s">
        <v>25721</v>
      </c>
      <c r="C22144">
        <v>0</v>
      </c>
      <c r="D22144">
        <v>0.93910324283900004</v>
      </c>
      <c r="E22144">
        <v>5.4692653673163401</v>
      </c>
    </row>
    <row r="22145" spans="1:5">
      <c r="A22145" t="s">
        <v>25719</v>
      </c>
      <c r="B22145" t="s">
        <v>25722</v>
      </c>
      <c r="C22145">
        <v>0.23360077539099999</v>
      </c>
      <c r="D22145">
        <v>0.93910324283900004</v>
      </c>
      <c r="E22145">
        <v>5.4692653673163401</v>
      </c>
    </row>
    <row r="22146" spans="1:5">
      <c r="A22146" t="s">
        <v>25723</v>
      </c>
      <c r="B22146" t="s">
        <v>25724</v>
      </c>
      <c r="C22146">
        <v>0.35907429419999998</v>
      </c>
      <c r="D22146">
        <v>0.98261393770200001</v>
      </c>
      <c r="E22146">
        <v>10.5547226386806</v>
      </c>
    </row>
    <row r="22147" spans="1:5">
      <c r="A22147" t="s">
        <v>25725</v>
      </c>
      <c r="B22147" t="s">
        <v>25726</v>
      </c>
      <c r="C22147">
        <v>0</v>
      </c>
      <c r="D22147" t="s">
        <v>106</v>
      </c>
      <c r="E22147">
        <v>10.5547226386806</v>
      </c>
    </row>
    <row r="22148" spans="1:5">
      <c r="A22148" t="s">
        <v>25725</v>
      </c>
      <c r="B22148" t="s">
        <v>25727</v>
      </c>
      <c r="C22148">
        <v>0</v>
      </c>
      <c r="D22148" t="s">
        <v>106</v>
      </c>
      <c r="E22148">
        <v>10.5547226386806</v>
      </c>
    </row>
    <row r="22149" spans="1:5">
      <c r="A22149" t="s">
        <v>25725</v>
      </c>
      <c r="B22149" t="s">
        <v>25728</v>
      </c>
      <c r="C22149">
        <f>0</f>
        <v>0</v>
      </c>
      <c r="D22149" t="s">
        <v>106</v>
      </c>
      <c r="E22149">
        <v>10.5547226386806</v>
      </c>
    </row>
    <row r="22150" spans="1:5">
      <c r="A22150" t="s">
        <v>25725</v>
      </c>
      <c r="B22150" t="s">
        <v>25729</v>
      </c>
      <c r="C22150">
        <f>0</f>
        <v>0</v>
      </c>
      <c r="D22150" t="s">
        <v>106</v>
      </c>
      <c r="E22150">
        <v>10.5547226386806</v>
      </c>
    </row>
    <row r="22151" spans="1:5">
      <c r="A22151" t="s">
        <v>25725</v>
      </c>
      <c r="B22151" t="s">
        <v>25730</v>
      </c>
      <c r="C22151">
        <v>0</v>
      </c>
      <c r="D22151" t="s">
        <v>106</v>
      </c>
      <c r="E22151">
        <v>10.5547226386806</v>
      </c>
    </row>
    <row r="22152" spans="1:5">
      <c r="A22152" t="s">
        <v>25725</v>
      </c>
      <c r="B22152" t="s">
        <v>25731</v>
      </c>
      <c r="C22152">
        <v>0</v>
      </c>
      <c r="D22152" t="s">
        <v>106</v>
      </c>
      <c r="E22152">
        <v>10.5547226386806</v>
      </c>
    </row>
    <row r="22153" spans="1:5">
      <c r="A22153" t="s">
        <v>25732</v>
      </c>
      <c r="B22153" t="s">
        <v>25733</v>
      </c>
      <c r="C22153">
        <f>0.00886350705858</f>
        <v>8.8635070585799999E-3</v>
      </c>
      <c r="D22153">
        <v>0.896900060858</v>
      </c>
      <c r="E22153">
        <v>2.0269865067466202</v>
      </c>
    </row>
    <row r="22154" spans="1:5">
      <c r="A22154" t="s">
        <v>25732</v>
      </c>
      <c r="B22154" t="s">
        <v>25734</v>
      </c>
      <c r="C22154">
        <v>0</v>
      </c>
      <c r="D22154">
        <v>0.896900060858</v>
      </c>
      <c r="E22154">
        <v>2.0269865067466202</v>
      </c>
    </row>
    <row r="22155" spans="1:5">
      <c r="A22155" t="s">
        <v>25732</v>
      </c>
      <c r="B22155" t="s">
        <v>25735</v>
      </c>
      <c r="C22155">
        <v>0</v>
      </c>
      <c r="D22155">
        <v>0.896900060858</v>
      </c>
      <c r="E22155">
        <v>2.0269865067466202</v>
      </c>
    </row>
    <row r="22156" spans="1:5">
      <c r="A22156" t="s">
        <v>25732</v>
      </c>
      <c r="B22156" t="s">
        <v>25736</v>
      </c>
      <c r="C22156">
        <f>0</f>
        <v>0</v>
      </c>
      <c r="D22156">
        <v>0.896900060858</v>
      </c>
      <c r="E22156">
        <v>2.0269865067466202</v>
      </c>
    </row>
    <row r="22157" spans="1:5">
      <c r="A22157" t="s">
        <v>25732</v>
      </c>
      <c r="B22157" t="s">
        <v>25737</v>
      </c>
      <c r="C22157">
        <v>0</v>
      </c>
      <c r="D22157">
        <v>0.896900060858</v>
      </c>
      <c r="E22157">
        <v>2.0269865067466202</v>
      </c>
    </row>
    <row r="22158" spans="1:5">
      <c r="A22158" t="s">
        <v>25732</v>
      </c>
      <c r="B22158" t="s">
        <v>25738</v>
      </c>
      <c r="C22158">
        <f>0</f>
        <v>0</v>
      </c>
      <c r="D22158">
        <v>0.896900060858</v>
      </c>
      <c r="E22158">
        <v>2.0269865067466202</v>
      </c>
    </row>
    <row r="22159" spans="1:5">
      <c r="A22159" t="s">
        <v>25732</v>
      </c>
      <c r="B22159" t="s">
        <v>25739</v>
      </c>
      <c r="C22159">
        <f>0</f>
        <v>0</v>
      </c>
      <c r="D22159">
        <v>0.896900060858</v>
      </c>
      <c r="E22159">
        <v>2.0269865067466202</v>
      </c>
    </row>
    <row r="22160" spans="1:5">
      <c r="A22160" t="s">
        <v>25732</v>
      </c>
      <c r="B22160" t="s">
        <v>25740</v>
      </c>
      <c r="C22160">
        <f>0.192602330582</f>
        <v>0.19260233058199999</v>
      </c>
      <c r="D22160">
        <v>0.896900060858</v>
      </c>
      <c r="E22160">
        <v>2.0269865067466202</v>
      </c>
    </row>
    <row r="22161" spans="1:5">
      <c r="A22161" t="s">
        <v>25741</v>
      </c>
      <c r="B22161" t="s">
        <v>25742</v>
      </c>
      <c r="C22161">
        <f>0</f>
        <v>0</v>
      </c>
      <c r="D22161">
        <v>0.76408639674099998</v>
      </c>
      <c r="E22161">
        <v>3.5862068965517202</v>
      </c>
    </row>
    <row r="22162" spans="1:5">
      <c r="A22162" t="s">
        <v>25741</v>
      </c>
      <c r="B22162" t="s">
        <v>25743</v>
      </c>
      <c r="C22162">
        <f>0</f>
        <v>0</v>
      </c>
      <c r="D22162">
        <v>0.76408639674099998</v>
      </c>
      <c r="E22162">
        <v>3.5862068965517202</v>
      </c>
    </row>
    <row r="22163" spans="1:5">
      <c r="A22163" t="s">
        <v>25741</v>
      </c>
      <c r="B22163" t="s">
        <v>25744</v>
      </c>
      <c r="C22163">
        <f>0</f>
        <v>0</v>
      </c>
      <c r="D22163">
        <v>0.76408639674099998</v>
      </c>
      <c r="E22163">
        <v>3.5862068965517202</v>
      </c>
    </row>
    <row r="22164" spans="1:5">
      <c r="A22164" t="s">
        <v>25741</v>
      </c>
      <c r="B22164" t="s">
        <v>25745</v>
      </c>
      <c r="C22164">
        <f>0.124297834016</f>
        <v>0.124297834016</v>
      </c>
      <c r="D22164">
        <v>0.76408639674099998</v>
      </c>
      <c r="E22164">
        <v>3.5862068965517202</v>
      </c>
    </row>
    <row r="22165" spans="1:5">
      <c r="A22165" t="s">
        <v>25741</v>
      </c>
      <c r="B22165" t="s">
        <v>25746</v>
      </c>
      <c r="C22165">
        <v>0</v>
      </c>
      <c r="D22165">
        <v>0.76408639674099998</v>
      </c>
      <c r="E22165">
        <v>3.5862068965517202</v>
      </c>
    </row>
    <row r="22166" spans="1:5">
      <c r="A22166" t="s">
        <v>25741</v>
      </c>
      <c r="B22166" t="s">
        <v>25747</v>
      </c>
      <c r="C22166">
        <f>0</f>
        <v>0</v>
      </c>
      <c r="D22166">
        <v>0.76408639674099998</v>
      </c>
      <c r="E22166">
        <v>3.5862068965517202</v>
      </c>
    </row>
    <row r="22167" spans="1:5">
      <c r="A22167" t="s">
        <v>25741</v>
      </c>
      <c r="B22167" t="s">
        <v>25748</v>
      </c>
      <c r="C22167">
        <v>8.0867268816600002E-2</v>
      </c>
      <c r="D22167">
        <v>0.76408639674099998</v>
      </c>
      <c r="E22167">
        <v>3.5862068965517202</v>
      </c>
    </row>
    <row r="22168" spans="1:5">
      <c r="A22168" t="s">
        <v>25741</v>
      </c>
      <c r="B22168" t="s">
        <v>25749</v>
      </c>
      <c r="C22168">
        <f>0</f>
        <v>0</v>
      </c>
      <c r="D22168">
        <v>0.76408639674099998</v>
      </c>
      <c r="E22168">
        <v>3.5862068965517202</v>
      </c>
    </row>
    <row r="22169" spans="1:5">
      <c r="A22169" t="s">
        <v>25741</v>
      </c>
      <c r="B22169" t="s">
        <v>25750</v>
      </c>
      <c r="C22169">
        <f>0</f>
        <v>0</v>
      </c>
      <c r="D22169">
        <v>0.76408639674099998</v>
      </c>
      <c r="E22169">
        <v>3.5862068965517202</v>
      </c>
    </row>
    <row r="22170" spans="1:5">
      <c r="A22170" t="s">
        <v>25741</v>
      </c>
      <c r="B22170" t="s">
        <v>25751</v>
      </c>
      <c r="C22170">
        <v>0</v>
      </c>
      <c r="D22170">
        <v>0.76408639674099998</v>
      </c>
      <c r="E22170">
        <v>3.5862068965517202</v>
      </c>
    </row>
    <row r="22171" spans="1:5">
      <c r="A22171" t="s">
        <v>25741</v>
      </c>
      <c r="B22171" t="s">
        <v>25752</v>
      </c>
      <c r="C22171">
        <f>0</f>
        <v>0</v>
      </c>
      <c r="D22171">
        <v>0.76408639674099998</v>
      </c>
      <c r="E22171">
        <v>3.5862068965517202</v>
      </c>
    </row>
    <row r="22172" spans="1:5">
      <c r="A22172" t="s">
        <v>25741</v>
      </c>
      <c r="B22172" t="s">
        <v>25753</v>
      </c>
      <c r="C22172">
        <v>0</v>
      </c>
      <c r="D22172">
        <v>0.76408639674099998</v>
      </c>
      <c r="E22172">
        <v>3.5862068965517202</v>
      </c>
    </row>
    <row r="22173" spans="1:5">
      <c r="A22173" t="s">
        <v>25741</v>
      </c>
      <c r="B22173" t="s">
        <v>25754</v>
      </c>
      <c r="C22173">
        <v>0</v>
      </c>
      <c r="D22173">
        <v>0.76408639674099998</v>
      </c>
      <c r="E22173">
        <v>3.5862068965517202</v>
      </c>
    </row>
    <row r="22174" spans="1:5">
      <c r="A22174" t="s">
        <v>25755</v>
      </c>
      <c r="B22174" t="s">
        <v>25756</v>
      </c>
      <c r="C22174">
        <f>0</f>
        <v>0</v>
      </c>
      <c r="D22174" t="s">
        <v>106</v>
      </c>
      <c r="E22174">
        <v>13.997001499250301</v>
      </c>
    </row>
    <row r="22175" spans="1:5">
      <c r="A22175" t="s">
        <v>25755</v>
      </c>
      <c r="B22175" t="s">
        <v>25757</v>
      </c>
      <c r="C22175">
        <f>0</f>
        <v>0</v>
      </c>
      <c r="D22175" t="s">
        <v>106</v>
      </c>
      <c r="E22175">
        <v>13.997001499250301</v>
      </c>
    </row>
    <row r="22176" spans="1:5">
      <c r="A22176" t="s">
        <v>25758</v>
      </c>
      <c r="B22176" t="s">
        <v>25759</v>
      </c>
      <c r="C22176">
        <v>0</v>
      </c>
      <c r="D22176">
        <v>0.95231867902099998</v>
      </c>
      <c r="E22176">
        <v>3.40629685157421</v>
      </c>
    </row>
    <row r="22177" spans="1:5">
      <c r="A22177" t="s">
        <v>25758</v>
      </c>
      <c r="B22177" t="s">
        <v>25760</v>
      </c>
      <c r="C22177">
        <f>0</f>
        <v>0</v>
      </c>
      <c r="D22177">
        <v>0.95231867902099998</v>
      </c>
      <c r="E22177">
        <v>3.40629685157421</v>
      </c>
    </row>
    <row r="22178" spans="1:5">
      <c r="A22178" t="s">
        <v>25758</v>
      </c>
      <c r="B22178" t="s">
        <v>25761</v>
      </c>
      <c r="C22178">
        <f>0</f>
        <v>0</v>
      </c>
      <c r="D22178">
        <v>0.95231867902099998</v>
      </c>
      <c r="E22178">
        <v>3.40629685157421</v>
      </c>
    </row>
    <row r="22179" spans="1:5">
      <c r="A22179" t="s">
        <v>25758</v>
      </c>
      <c r="B22179" t="s">
        <v>25762</v>
      </c>
      <c r="C22179">
        <v>0</v>
      </c>
      <c r="D22179">
        <v>0.95231867902099998</v>
      </c>
      <c r="E22179">
        <v>3.40629685157421</v>
      </c>
    </row>
    <row r="22180" spans="1:5">
      <c r="A22180" t="s">
        <v>25758</v>
      </c>
      <c r="B22180" t="s">
        <v>25763</v>
      </c>
      <c r="C22180">
        <v>0</v>
      </c>
      <c r="D22180">
        <v>0.95231867902099998</v>
      </c>
      <c r="E22180">
        <v>3.40629685157421</v>
      </c>
    </row>
    <row r="22181" spans="1:5">
      <c r="A22181" t="s">
        <v>25758</v>
      </c>
      <c r="B22181" t="s">
        <v>25764</v>
      </c>
      <c r="C22181">
        <v>3.8880454401700001E-2</v>
      </c>
      <c r="D22181">
        <v>0.95231867902099998</v>
      </c>
      <c r="E22181">
        <v>3.40629685157421</v>
      </c>
    </row>
    <row r="22182" spans="1:5">
      <c r="A22182" t="s">
        <v>25758</v>
      </c>
      <c r="B22182" t="s">
        <v>25765</v>
      </c>
      <c r="C22182">
        <v>0</v>
      </c>
      <c r="D22182">
        <v>0.95231867902099998</v>
      </c>
      <c r="E22182">
        <v>3.40629685157421</v>
      </c>
    </row>
    <row r="22183" spans="1:5">
      <c r="A22183" t="s">
        <v>25758</v>
      </c>
      <c r="B22183" t="s">
        <v>25766</v>
      </c>
      <c r="C22183">
        <v>0</v>
      </c>
      <c r="D22183">
        <v>0.95231867902099998</v>
      </c>
      <c r="E22183">
        <v>3.40629685157421</v>
      </c>
    </row>
    <row r="22184" spans="1:5">
      <c r="A22184" t="s">
        <v>25758</v>
      </c>
      <c r="B22184" t="s">
        <v>25767</v>
      </c>
      <c r="C22184">
        <v>0</v>
      </c>
      <c r="D22184">
        <v>0.95231867902099998</v>
      </c>
      <c r="E22184">
        <v>3.40629685157421</v>
      </c>
    </row>
    <row r="22185" spans="1:5">
      <c r="A22185" t="s">
        <v>25758</v>
      </c>
      <c r="B22185" t="s">
        <v>25768</v>
      </c>
      <c r="C22185">
        <v>6.4256513728699997E-3</v>
      </c>
      <c r="D22185">
        <v>0.95231867902099998</v>
      </c>
      <c r="E22185">
        <v>3.40629685157421</v>
      </c>
    </row>
    <row r="22186" spans="1:5">
      <c r="A22186" t="s">
        <v>25758</v>
      </c>
      <c r="B22186" t="s">
        <v>25769</v>
      </c>
      <c r="C22186">
        <v>0</v>
      </c>
      <c r="D22186">
        <v>0.95231867902099998</v>
      </c>
      <c r="E22186">
        <v>3.40629685157421</v>
      </c>
    </row>
    <row r="22187" spans="1:5">
      <c r="A22187" t="s">
        <v>25770</v>
      </c>
      <c r="B22187" t="s">
        <v>25771</v>
      </c>
      <c r="C22187">
        <v>0.24495678038999999</v>
      </c>
      <c r="D22187">
        <v>0.90031919363500001</v>
      </c>
      <c r="E22187">
        <v>12.7376311844077</v>
      </c>
    </row>
    <row r="22188" spans="1:5">
      <c r="A22188" t="s">
        <v>25770</v>
      </c>
      <c r="B22188" t="s">
        <v>25772</v>
      </c>
      <c r="C22188">
        <f>0.176008160126</f>
        <v>0.17600816012600001</v>
      </c>
      <c r="D22188">
        <v>0.90031919363500001</v>
      </c>
      <c r="E22188">
        <v>12.7376311844077</v>
      </c>
    </row>
    <row r="22189" spans="1:5">
      <c r="A22189" t="s">
        <v>25773</v>
      </c>
      <c r="B22189" t="s">
        <v>25774</v>
      </c>
      <c r="C22189">
        <f>0.120095414641</f>
        <v>0.120095414641</v>
      </c>
      <c r="D22189" t="s">
        <v>106</v>
      </c>
      <c r="E22189">
        <v>24</v>
      </c>
    </row>
    <row r="22190" spans="1:5">
      <c r="A22190" t="s">
        <v>25775</v>
      </c>
      <c r="B22190" t="s">
        <v>25776</v>
      </c>
      <c r="C22190">
        <v>0.26387960724600001</v>
      </c>
      <c r="D22190">
        <v>0.971451541004</v>
      </c>
      <c r="E22190">
        <v>1.89505247376311</v>
      </c>
    </row>
    <row r="22191" spans="1:5">
      <c r="A22191" t="s">
        <v>25775</v>
      </c>
      <c r="B22191" t="s">
        <v>25777</v>
      </c>
      <c r="C22191">
        <v>0</v>
      </c>
      <c r="D22191">
        <v>0.971451541004</v>
      </c>
      <c r="E22191">
        <v>1.89505247376311</v>
      </c>
    </row>
    <row r="22192" spans="1:5">
      <c r="A22192" t="s">
        <v>25775</v>
      </c>
      <c r="B22192" t="s">
        <v>25778</v>
      </c>
      <c r="C22192">
        <v>0</v>
      </c>
      <c r="D22192">
        <v>0.971451541004</v>
      </c>
      <c r="E22192">
        <v>1.89505247376311</v>
      </c>
    </row>
    <row r="22193" spans="1:5">
      <c r="A22193" t="s">
        <v>25775</v>
      </c>
      <c r="B22193" t="s">
        <v>25779</v>
      </c>
      <c r="C22193">
        <f>0</f>
        <v>0</v>
      </c>
      <c r="D22193">
        <v>0.971451541004</v>
      </c>
      <c r="E22193">
        <v>1.89505247376311</v>
      </c>
    </row>
    <row r="22194" spans="1:5">
      <c r="A22194" t="s">
        <v>25775</v>
      </c>
      <c r="B22194" t="s">
        <v>25780</v>
      </c>
      <c r="C22194">
        <f>0.0170714845443</f>
        <v>1.7071484544299999E-2</v>
      </c>
      <c r="D22194">
        <v>0.971451541004</v>
      </c>
      <c r="E22194">
        <v>1.89505247376311</v>
      </c>
    </row>
    <row r="22195" spans="1:5">
      <c r="A22195" t="s">
        <v>25775</v>
      </c>
      <c r="B22195" t="s">
        <v>25781</v>
      </c>
      <c r="C22195">
        <v>0</v>
      </c>
      <c r="D22195">
        <v>0.971451541004</v>
      </c>
      <c r="E22195">
        <v>1.89505247376311</v>
      </c>
    </row>
    <row r="22196" spans="1:5">
      <c r="A22196" t="s">
        <v>25775</v>
      </c>
      <c r="B22196" t="s">
        <v>25782</v>
      </c>
      <c r="C22196">
        <v>0</v>
      </c>
      <c r="D22196">
        <v>0.971451541004</v>
      </c>
      <c r="E22196">
        <v>1.89505247376311</v>
      </c>
    </row>
    <row r="22197" spans="1:5">
      <c r="A22197" t="s">
        <v>25783</v>
      </c>
      <c r="B22197" t="s">
        <v>25784</v>
      </c>
      <c r="C22197">
        <v>0</v>
      </c>
      <c r="D22197">
        <v>0.87633933040900003</v>
      </c>
      <c r="E22197">
        <v>3.68215892053973</v>
      </c>
    </row>
    <row r="22198" spans="1:5">
      <c r="A22198" t="s">
        <v>25783</v>
      </c>
      <c r="B22198" t="s">
        <v>25785</v>
      </c>
      <c r="C22198">
        <f>0</f>
        <v>0</v>
      </c>
      <c r="D22198">
        <v>0.87633933040900003</v>
      </c>
      <c r="E22198">
        <v>3.68215892053973</v>
      </c>
    </row>
    <row r="22199" spans="1:5">
      <c r="A22199" t="s">
        <v>25783</v>
      </c>
      <c r="B22199" t="s">
        <v>25786</v>
      </c>
      <c r="C22199">
        <f>0</f>
        <v>0</v>
      </c>
      <c r="D22199">
        <v>0.87633933040900003</v>
      </c>
      <c r="E22199">
        <v>3.68215892053973</v>
      </c>
    </row>
    <row r="22200" spans="1:5">
      <c r="A22200" t="s">
        <v>25783</v>
      </c>
      <c r="B22200" t="s">
        <v>25787</v>
      </c>
      <c r="C22200">
        <f>0</f>
        <v>0</v>
      </c>
      <c r="D22200">
        <v>0.87633933040900003</v>
      </c>
      <c r="E22200">
        <v>3.68215892053973</v>
      </c>
    </row>
    <row r="22201" spans="1:5">
      <c r="A22201" t="s">
        <v>25783</v>
      </c>
      <c r="B22201" t="s">
        <v>25788</v>
      </c>
      <c r="C22201">
        <f>0</f>
        <v>0</v>
      </c>
      <c r="D22201">
        <v>0.87633933040900003</v>
      </c>
      <c r="E22201">
        <v>3.68215892053973</v>
      </c>
    </row>
    <row r="22202" spans="1:5">
      <c r="A22202" t="s">
        <v>25783</v>
      </c>
      <c r="B22202" t="s">
        <v>25789</v>
      </c>
      <c r="C22202">
        <f>0</f>
        <v>0</v>
      </c>
      <c r="D22202">
        <v>0.87633933040900003</v>
      </c>
      <c r="E22202">
        <v>3.68215892053973</v>
      </c>
    </row>
    <row r="22203" spans="1:5">
      <c r="A22203" t="s">
        <v>25783</v>
      </c>
      <c r="B22203" t="s">
        <v>25790</v>
      </c>
      <c r="C22203">
        <v>0</v>
      </c>
      <c r="D22203">
        <v>0.87633933040900003</v>
      </c>
      <c r="E22203">
        <v>3.68215892053973</v>
      </c>
    </row>
    <row r="22204" spans="1:5">
      <c r="A22204" t="s">
        <v>25783</v>
      </c>
      <c r="B22204" t="s">
        <v>25791</v>
      </c>
      <c r="C22204">
        <f>0</f>
        <v>0</v>
      </c>
      <c r="D22204">
        <v>0.87633933040900003</v>
      </c>
      <c r="E22204">
        <v>3.68215892053973</v>
      </c>
    </row>
    <row r="22205" spans="1:5">
      <c r="A22205" t="s">
        <v>25783</v>
      </c>
      <c r="B22205" t="s">
        <v>25792</v>
      </c>
      <c r="C22205">
        <f>0</f>
        <v>0</v>
      </c>
      <c r="D22205">
        <v>0.87633933040900003</v>
      </c>
      <c r="E22205">
        <v>3.68215892053973</v>
      </c>
    </row>
    <row r="22206" spans="1:5">
      <c r="A22206" t="s">
        <v>25783</v>
      </c>
      <c r="B22206" t="s">
        <v>25793</v>
      </c>
      <c r="C22206">
        <f>0</f>
        <v>0</v>
      </c>
      <c r="D22206">
        <v>0.87633933040900003</v>
      </c>
      <c r="E22206">
        <v>3.68215892053973</v>
      </c>
    </row>
    <row r="22207" spans="1:5">
      <c r="A22207" t="s">
        <v>25783</v>
      </c>
      <c r="B22207" t="s">
        <v>25794</v>
      </c>
      <c r="C22207">
        <f>0</f>
        <v>0</v>
      </c>
      <c r="D22207">
        <v>0.87633933040900003</v>
      </c>
      <c r="E22207">
        <v>3.68215892053973</v>
      </c>
    </row>
    <row r="22208" spans="1:5">
      <c r="A22208" t="s">
        <v>25783</v>
      </c>
      <c r="B22208" t="s">
        <v>25795</v>
      </c>
      <c r="C22208">
        <f>0</f>
        <v>0</v>
      </c>
      <c r="D22208">
        <v>0.87633933040900003</v>
      </c>
      <c r="E22208">
        <v>3.68215892053973</v>
      </c>
    </row>
    <row r="22209" spans="1:5">
      <c r="A22209" t="s">
        <v>25783</v>
      </c>
      <c r="B22209" t="s">
        <v>25796</v>
      </c>
      <c r="C22209">
        <v>0</v>
      </c>
      <c r="D22209">
        <v>0.87633933040900003</v>
      </c>
      <c r="E22209">
        <v>3.68215892053973</v>
      </c>
    </row>
    <row r="22210" spans="1:5">
      <c r="A22210" t="s">
        <v>25783</v>
      </c>
      <c r="B22210" t="s">
        <v>25797</v>
      </c>
      <c r="C22210">
        <f>0</f>
        <v>0</v>
      </c>
      <c r="D22210">
        <v>0.87633933040900003</v>
      </c>
      <c r="E22210">
        <v>3.68215892053973</v>
      </c>
    </row>
    <row r="22211" spans="1:5">
      <c r="A22211" t="s">
        <v>25783</v>
      </c>
      <c r="B22211" t="s">
        <v>25798</v>
      </c>
      <c r="C22211">
        <f>0</f>
        <v>0</v>
      </c>
      <c r="D22211">
        <v>0.87633933040900003</v>
      </c>
      <c r="E22211">
        <v>3.68215892053973</v>
      </c>
    </row>
    <row r="22212" spans="1:5">
      <c r="A22212" t="s">
        <v>25783</v>
      </c>
      <c r="B22212" t="s">
        <v>25799</v>
      </c>
      <c r="C22212">
        <f>0</f>
        <v>0</v>
      </c>
      <c r="D22212">
        <v>0.87633933040900003</v>
      </c>
      <c r="E22212">
        <v>3.68215892053973</v>
      </c>
    </row>
    <row r="22213" spans="1:5">
      <c r="A22213" t="s">
        <v>25783</v>
      </c>
      <c r="B22213" t="s">
        <v>25800</v>
      </c>
      <c r="C22213">
        <f>0</f>
        <v>0</v>
      </c>
      <c r="D22213">
        <v>0.87633933040900003</v>
      </c>
      <c r="E22213">
        <v>3.68215892053973</v>
      </c>
    </row>
    <row r="22214" spans="1:5">
      <c r="A22214" t="s">
        <v>25801</v>
      </c>
      <c r="B22214" t="s">
        <v>25802</v>
      </c>
      <c r="C22214">
        <v>0</v>
      </c>
      <c r="D22214" t="s">
        <v>106</v>
      </c>
      <c r="E22214">
        <v>19.4182908545727</v>
      </c>
    </row>
    <row r="22215" spans="1:5">
      <c r="A22215" t="s">
        <v>25801</v>
      </c>
      <c r="B22215" t="s">
        <v>25803</v>
      </c>
      <c r="C22215">
        <v>0</v>
      </c>
      <c r="D22215" t="s">
        <v>106</v>
      </c>
      <c r="E22215">
        <v>19.4182908545727</v>
      </c>
    </row>
    <row r="22216" spans="1:5">
      <c r="A22216" t="s">
        <v>25801</v>
      </c>
      <c r="B22216" t="s">
        <v>25804</v>
      </c>
      <c r="C22216">
        <v>0</v>
      </c>
      <c r="D22216" t="s">
        <v>106</v>
      </c>
      <c r="E22216">
        <v>19.4182908545727</v>
      </c>
    </row>
    <row r="22217" spans="1:5">
      <c r="A22217" t="s">
        <v>25801</v>
      </c>
      <c r="B22217" t="s">
        <v>25805</v>
      </c>
      <c r="C22217">
        <v>0</v>
      </c>
      <c r="D22217" t="s">
        <v>106</v>
      </c>
      <c r="E22217">
        <v>19.4182908545727</v>
      </c>
    </row>
    <row r="22218" spans="1:5">
      <c r="A22218" t="s">
        <v>25801</v>
      </c>
      <c r="B22218" t="s">
        <v>25806</v>
      </c>
      <c r="C22218">
        <v>0</v>
      </c>
      <c r="D22218" t="s">
        <v>106</v>
      </c>
      <c r="E22218">
        <v>19.4182908545727</v>
      </c>
    </row>
    <row r="22219" spans="1:5">
      <c r="A22219" t="s">
        <v>25801</v>
      </c>
      <c r="B22219" t="s">
        <v>25807</v>
      </c>
      <c r="C22219">
        <v>0</v>
      </c>
      <c r="D22219" t="s">
        <v>106</v>
      </c>
      <c r="E22219">
        <v>19.4182908545727</v>
      </c>
    </row>
    <row r="22220" spans="1:5">
      <c r="A22220" t="s">
        <v>25801</v>
      </c>
      <c r="B22220" t="s">
        <v>25808</v>
      </c>
      <c r="C22220">
        <f>0</f>
        <v>0</v>
      </c>
      <c r="D22220" t="s">
        <v>106</v>
      </c>
      <c r="E22220">
        <v>19.4182908545727</v>
      </c>
    </row>
    <row r="22221" spans="1:5">
      <c r="A22221" t="s">
        <v>25809</v>
      </c>
      <c r="B22221" t="s">
        <v>25810</v>
      </c>
      <c r="C22221">
        <f>0</f>
        <v>0</v>
      </c>
      <c r="D22221">
        <v>0.80948854309499996</v>
      </c>
      <c r="E22221">
        <v>1.96701649175412</v>
      </c>
    </row>
    <row r="22222" spans="1:5">
      <c r="A22222" t="s">
        <v>25809</v>
      </c>
      <c r="B22222" t="s">
        <v>25811</v>
      </c>
      <c r="C22222">
        <f>0.0698835581674</f>
        <v>6.9883558167399995E-2</v>
      </c>
      <c r="D22222">
        <v>0.80948854309499996</v>
      </c>
      <c r="E22222">
        <v>1.96701649175412</v>
      </c>
    </row>
    <row r="22223" spans="1:5">
      <c r="A22223" t="s">
        <v>25809</v>
      </c>
      <c r="B22223" t="s">
        <v>25812</v>
      </c>
      <c r="C22223">
        <v>0</v>
      </c>
      <c r="D22223">
        <v>0.80948854309499996</v>
      </c>
      <c r="E22223">
        <v>1.96701649175412</v>
      </c>
    </row>
    <row r="22224" spans="1:5">
      <c r="A22224" t="s">
        <v>25813</v>
      </c>
      <c r="B22224" t="s">
        <v>25814</v>
      </c>
      <c r="C22224">
        <v>9.7968173283099994E-2</v>
      </c>
      <c r="D22224">
        <v>0.95837268431400002</v>
      </c>
      <c r="E22224">
        <v>24</v>
      </c>
    </row>
    <row r="22225" spans="1:5">
      <c r="A22225" t="s">
        <v>25815</v>
      </c>
      <c r="B22225" t="s">
        <v>25816</v>
      </c>
      <c r="C22225">
        <v>0</v>
      </c>
      <c r="D22225">
        <v>0.99549365235200005</v>
      </c>
      <c r="E22225">
        <v>11.0344827586206</v>
      </c>
    </row>
    <row r="22226" spans="1:5">
      <c r="A22226" t="s">
        <v>25815</v>
      </c>
      <c r="B22226" t="s">
        <v>25817</v>
      </c>
      <c r="C22226">
        <v>0</v>
      </c>
      <c r="D22226">
        <v>0.99549365235200005</v>
      </c>
      <c r="E22226">
        <v>11.0344827586206</v>
      </c>
    </row>
    <row r="22227" spans="1:5">
      <c r="A22227" t="s">
        <v>25815</v>
      </c>
      <c r="B22227" t="s">
        <v>25818</v>
      </c>
      <c r="C22227">
        <v>0</v>
      </c>
      <c r="D22227">
        <v>0.99549365235200005</v>
      </c>
      <c r="E22227">
        <v>11.0344827586206</v>
      </c>
    </row>
    <row r="22228" spans="1:5">
      <c r="A22228" t="s">
        <v>25815</v>
      </c>
      <c r="B22228" t="s">
        <v>25819</v>
      </c>
      <c r="C22228">
        <v>0</v>
      </c>
      <c r="D22228">
        <v>0.99549365235200005</v>
      </c>
      <c r="E22228">
        <v>11.0344827586206</v>
      </c>
    </row>
    <row r="22229" spans="1:5">
      <c r="A22229" t="s">
        <v>25815</v>
      </c>
      <c r="B22229" t="s">
        <v>25820</v>
      </c>
      <c r="C22229">
        <f>0</f>
        <v>0</v>
      </c>
      <c r="D22229">
        <v>0.99549365235200005</v>
      </c>
      <c r="E22229">
        <v>11.0344827586206</v>
      </c>
    </row>
    <row r="22230" spans="1:5">
      <c r="A22230" t="s">
        <v>25815</v>
      </c>
      <c r="B22230" t="s">
        <v>25821</v>
      </c>
      <c r="C22230">
        <v>0</v>
      </c>
      <c r="D22230">
        <v>0.99549365235200005</v>
      </c>
      <c r="E22230">
        <v>11.0344827586206</v>
      </c>
    </row>
    <row r="22231" spans="1:5">
      <c r="A22231" t="s">
        <v>25815</v>
      </c>
      <c r="B22231" t="s">
        <v>25822</v>
      </c>
      <c r="C22231">
        <v>0</v>
      </c>
      <c r="D22231">
        <v>0.99549365235200005</v>
      </c>
      <c r="E22231">
        <v>11.0344827586206</v>
      </c>
    </row>
    <row r="22232" spans="1:5">
      <c r="A22232" t="s">
        <v>25815</v>
      </c>
      <c r="B22232" t="s">
        <v>25823</v>
      </c>
      <c r="C22232">
        <v>0</v>
      </c>
      <c r="D22232">
        <v>0.99549365235200005</v>
      </c>
      <c r="E22232">
        <v>11.0344827586206</v>
      </c>
    </row>
    <row r="22233" spans="1:5">
      <c r="A22233" t="s">
        <v>25815</v>
      </c>
      <c r="B22233" t="s">
        <v>25824</v>
      </c>
      <c r="C22233">
        <v>0</v>
      </c>
      <c r="D22233">
        <v>0.99549365235200005</v>
      </c>
      <c r="E22233">
        <v>11.0344827586206</v>
      </c>
    </row>
    <row r="22234" spans="1:5">
      <c r="A22234" t="s">
        <v>25815</v>
      </c>
      <c r="B22234" t="s">
        <v>25825</v>
      </c>
      <c r="C22234">
        <v>0.33722315285100002</v>
      </c>
      <c r="D22234">
        <v>0.99549365235200005</v>
      </c>
      <c r="E22234">
        <v>11.0344827586206</v>
      </c>
    </row>
    <row r="22235" spans="1:5">
      <c r="A22235" t="s">
        <v>25826</v>
      </c>
      <c r="B22235" t="s">
        <v>25827</v>
      </c>
      <c r="C22235">
        <f>0.150314264102</f>
        <v>0.15031426410199999</v>
      </c>
      <c r="D22235">
        <v>0.96444761002000001</v>
      </c>
      <c r="E22235">
        <v>2.39880059970015</v>
      </c>
    </row>
    <row r="22236" spans="1:5">
      <c r="A22236" t="s">
        <v>25826</v>
      </c>
      <c r="B22236" t="s">
        <v>25828</v>
      </c>
      <c r="C22236">
        <f>0.0685025727738</f>
        <v>6.8502572773799994E-2</v>
      </c>
      <c r="D22236">
        <v>0.96444761002000001</v>
      </c>
      <c r="E22236">
        <v>2.39880059970015</v>
      </c>
    </row>
    <row r="22237" spans="1:5">
      <c r="A22237" t="s">
        <v>25826</v>
      </c>
      <c r="B22237" t="s">
        <v>25829</v>
      </c>
      <c r="C22237">
        <v>0</v>
      </c>
      <c r="D22237">
        <v>0.96444761002000001</v>
      </c>
      <c r="E22237">
        <v>2.39880059970015</v>
      </c>
    </row>
    <row r="22238" spans="1:5">
      <c r="A22238" t="s">
        <v>25826</v>
      </c>
      <c r="B22238" t="s">
        <v>25830</v>
      </c>
      <c r="C22238">
        <v>0</v>
      </c>
      <c r="D22238">
        <v>0.96444761002000001</v>
      </c>
      <c r="E22238">
        <v>2.39880059970015</v>
      </c>
    </row>
    <row r="22239" spans="1:5">
      <c r="A22239" t="s">
        <v>25831</v>
      </c>
      <c r="B22239" t="s">
        <v>25832</v>
      </c>
      <c r="C22239">
        <f>0.0789836544776</f>
        <v>7.8983654477600002E-2</v>
      </c>
      <c r="D22239">
        <v>0.97309010635000004</v>
      </c>
      <c r="E22239">
        <v>1.57121439280359</v>
      </c>
    </row>
    <row r="22240" spans="1:5">
      <c r="A22240" t="s">
        <v>25831</v>
      </c>
      <c r="B22240" t="s">
        <v>25833</v>
      </c>
      <c r="C22240">
        <v>9.4440519962899996E-2</v>
      </c>
      <c r="D22240">
        <v>0.97309010635000004</v>
      </c>
      <c r="E22240">
        <v>1.57121439280359</v>
      </c>
    </row>
    <row r="22241" spans="1:5">
      <c r="A22241" t="s">
        <v>25831</v>
      </c>
      <c r="B22241" t="s">
        <v>25834</v>
      </c>
      <c r="C22241">
        <f>0</f>
        <v>0</v>
      </c>
      <c r="D22241">
        <v>0.97309010635000004</v>
      </c>
      <c r="E22241">
        <v>1.57121439280359</v>
      </c>
    </row>
    <row r="22242" spans="1:5">
      <c r="A22242" t="s">
        <v>25831</v>
      </c>
      <c r="B22242" t="s">
        <v>25835</v>
      </c>
      <c r="C22242">
        <v>0</v>
      </c>
      <c r="D22242">
        <v>0.97309010635000004</v>
      </c>
      <c r="E22242">
        <v>1.57121439280359</v>
      </c>
    </row>
    <row r="22243" spans="1:5">
      <c r="A22243" t="s">
        <v>25831</v>
      </c>
      <c r="B22243" t="s">
        <v>25836</v>
      </c>
      <c r="C22243">
        <f>0</f>
        <v>0</v>
      </c>
      <c r="D22243">
        <v>0.97309010635000004</v>
      </c>
      <c r="E22243">
        <v>1.57121439280359</v>
      </c>
    </row>
    <row r="22244" spans="1:5">
      <c r="A22244" t="s">
        <v>25837</v>
      </c>
      <c r="B22244" t="s">
        <v>25838</v>
      </c>
      <c r="C22244">
        <f>0</f>
        <v>0</v>
      </c>
      <c r="D22244">
        <v>0.98607282541200003</v>
      </c>
      <c r="E22244">
        <v>2.39880059970015</v>
      </c>
    </row>
    <row r="22245" spans="1:5">
      <c r="A22245" t="s">
        <v>25837</v>
      </c>
      <c r="B22245" t="s">
        <v>25839</v>
      </c>
      <c r="C22245">
        <v>0</v>
      </c>
      <c r="D22245">
        <v>0.98607282541200003</v>
      </c>
      <c r="E22245">
        <v>2.39880059970015</v>
      </c>
    </row>
    <row r="22246" spans="1:5">
      <c r="A22246" t="s">
        <v>25837</v>
      </c>
      <c r="B22246" t="s">
        <v>25840</v>
      </c>
      <c r="C22246">
        <v>0</v>
      </c>
      <c r="D22246">
        <v>0.98607282541200003</v>
      </c>
      <c r="E22246">
        <v>2.39880059970015</v>
      </c>
    </row>
    <row r="22247" spans="1:5">
      <c r="A22247" t="s">
        <v>25841</v>
      </c>
      <c r="B22247" t="s">
        <v>25842</v>
      </c>
      <c r="C22247">
        <v>0.18829145781600001</v>
      </c>
      <c r="D22247">
        <v>0.66744601351800004</v>
      </c>
      <c r="E22247">
        <v>24</v>
      </c>
    </row>
    <row r="22248" spans="1:5">
      <c r="A22248" t="s">
        <v>25841</v>
      </c>
      <c r="B22248" t="s">
        <v>25843</v>
      </c>
      <c r="C22248">
        <f>0</f>
        <v>0</v>
      </c>
      <c r="D22248">
        <v>0.66744601351800004</v>
      </c>
      <c r="E22248">
        <v>24</v>
      </c>
    </row>
    <row r="22249" spans="1:5">
      <c r="A22249" t="s">
        <v>25841</v>
      </c>
      <c r="B22249" t="s">
        <v>25844</v>
      </c>
      <c r="C22249">
        <f>0</f>
        <v>0</v>
      </c>
      <c r="D22249">
        <v>0.66744601351800004</v>
      </c>
      <c r="E22249">
        <v>24</v>
      </c>
    </row>
    <row r="22250" spans="1:5">
      <c r="A22250" t="s">
        <v>25841</v>
      </c>
      <c r="B22250" t="s">
        <v>25845</v>
      </c>
      <c r="C22250">
        <f>0.0142303645747</f>
        <v>1.42303645747E-2</v>
      </c>
      <c r="D22250">
        <v>0.66744601351800004</v>
      </c>
      <c r="E22250">
        <v>24</v>
      </c>
    </row>
    <row r="22251" spans="1:5">
      <c r="A22251" t="s">
        <v>25846</v>
      </c>
      <c r="B22251" t="s">
        <v>25847</v>
      </c>
      <c r="C22251">
        <v>0</v>
      </c>
      <c r="D22251">
        <v>0.99604309941199998</v>
      </c>
      <c r="E22251">
        <v>5.9370314842578704</v>
      </c>
    </row>
    <row r="22252" spans="1:5">
      <c r="A22252" t="s">
        <v>25846</v>
      </c>
      <c r="B22252" t="s">
        <v>25848</v>
      </c>
      <c r="C22252">
        <v>0</v>
      </c>
      <c r="D22252">
        <v>0.99604309941199998</v>
      </c>
      <c r="E22252">
        <v>5.9370314842578704</v>
      </c>
    </row>
    <row r="22253" spans="1:5">
      <c r="A22253" t="s">
        <v>25849</v>
      </c>
      <c r="B22253" t="s">
        <v>25850</v>
      </c>
      <c r="C22253">
        <f>0</f>
        <v>0</v>
      </c>
      <c r="D22253">
        <v>0.69668633316600004</v>
      </c>
      <c r="E22253">
        <v>24</v>
      </c>
    </row>
    <row r="22254" spans="1:5">
      <c r="A22254" t="s">
        <v>25849</v>
      </c>
      <c r="B22254" t="s">
        <v>25851</v>
      </c>
      <c r="C22254">
        <v>0</v>
      </c>
      <c r="D22254">
        <v>0.69668633316600004</v>
      </c>
      <c r="E22254">
        <v>24</v>
      </c>
    </row>
    <row r="22255" spans="1:5">
      <c r="A22255" t="s">
        <v>25849</v>
      </c>
      <c r="B22255" t="s">
        <v>25852</v>
      </c>
      <c r="C22255">
        <f>0.0845212777711</f>
        <v>8.4521277771099995E-2</v>
      </c>
      <c r="D22255">
        <v>0.69668633316600004</v>
      </c>
      <c r="E22255">
        <v>24</v>
      </c>
    </row>
    <row r="22256" spans="1:5">
      <c r="A22256" t="s">
        <v>25849</v>
      </c>
      <c r="B22256" t="s">
        <v>25853</v>
      </c>
      <c r="C22256">
        <f>0</f>
        <v>0</v>
      </c>
      <c r="D22256">
        <v>0.69668633316600004</v>
      </c>
      <c r="E22256">
        <v>24</v>
      </c>
    </row>
    <row r="22257" spans="1:5">
      <c r="A22257" t="s">
        <v>25849</v>
      </c>
      <c r="B22257" t="s">
        <v>25854</v>
      </c>
      <c r="C22257">
        <f>0.0247813371422</f>
        <v>2.4781337142199999E-2</v>
      </c>
      <c r="D22257">
        <v>0.69668633316600004</v>
      </c>
      <c r="E22257">
        <v>24</v>
      </c>
    </row>
    <row r="22258" spans="1:5">
      <c r="A22258" t="s">
        <v>25855</v>
      </c>
      <c r="B22258" t="s">
        <v>25856</v>
      </c>
      <c r="C22258">
        <v>0</v>
      </c>
      <c r="D22258">
        <v>0.91923153390699996</v>
      </c>
      <c r="E22258">
        <v>3.13043478260869</v>
      </c>
    </row>
    <row r="22259" spans="1:5">
      <c r="A22259" t="s">
        <v>25855</v>
      </c>
      <c r="B22259" t="s">
        <v>25857</v>
      </c>
      <c r="C22259">
        <v>0</v>
      </c>
      <c r="D22259">
        <v>0.91923153390699996</v>
      </c>
      <c r="E22259">
        <v>3.13043478260869</v>
      </c>
    </row>
    <row r="22260" spans="1:5">
      <c r="A22260" t="s">
        <v>25855</v>
      </c>
      <c r="B22260" t="s">
        <v>25858</v>
      </c>
      <c r="C22260">
        <v>0</v>
      </c>
      <c r="D22260">
        <v>0.91923153390699996</v>
      </c>
      <c r="E22260">
        <v>3.13043478260869</v>
      </c>
    </row>
    <row r="22261" spans="1:5">
      <c r="A22261" t="s">
        <v>25855</v>
      </c>
      <c r="B22261" t="s">
        <v>25859</v>
      </c>
      <c r="C22261">
        <f>0</f>
        <v>0</v>
      </c>
      <c r="D22261">
        <v>0.91923153390699996</v>
      </c>
      <c r="E22261">
        <v>3.13043478260869</v>
      </c>
    </row>
    <row r="22262" spans="1:5">
      <c r="A22262" t="s">
        <v>25855</v>
      </c>
      <c r="B22262" t="s">
        <v>25860</v>
      </c>
      <c r="C22262">
        <f>0</f>
        <v>0</v>
      </c>
      <c r="D22262">
        <v>0.91923153390699996</v>
      </c>
      <c r="E22262">
        <v>3.13043478260869</v>
      </c>
    </row>
    <row r="22263" spans="1:5">
      <c r="A22263" t="s">
        <v>25855</v>
      </c>
      <c r="B22263" t="s">
        <v>25861</v>
      </c>
      <c r="C22263">
        <v>0</v>
      </c>
      <c r="D22263">
        <v>0.91923153390699996</v>
      </c>
      <c r="E22263">
        <v>3.13043478260869</v>
      </c>
    </row>
    <row r="22264" spans="1:5">
      <c r="A22264" t="s">
        <v>25855</v>
      </c>
      <c r="B22264" t="s">
        <v>25862</v>
      </c>
      <c r="C22264">
        <v>0.27240471330900001</v>
      </c>
      <c r="D22264">
        <v>0.91923153390699996</v>
      </c>
      <c r="E22264">
        <v>3.13043478260869</v>
      </c>
    </row>
    <row r="22265" spans="1:5">
      <c r="A22265" t="s">
        <v>25855</v>
      </c>
      <c r="B22265" t="s">
        <v>25863</v>
      </c>
      <c r="C22265">
        <v>8.3202546272200001E-2</v>
      </c>
      <c r="D22265">
        <v>0.91923153390699996</v>
      </c>
      <c r="E22265">
        <v>3.13043478260869</v>
      </c>
    </row>
    <row r="22266" spans="1:5">
      <c r="A22266" t="s">
        <v>25855</v>
      </c>
      <c r="B22266" t="s">
        <v>25864</v>
      </c>
      <c r="C22266">
        <v>0</v>
      </c>
      <c r="D22266">
        <v>0.91923153390699996</v>
      </c>
      <c r="E22266">
        <v>3.13043478260869</v>
      </c>
    </row>
    <row r="22267" spans="1:5">
      <c r="A22267" t="s">
        <v>25855</v>
      </c>
      <c r="B22267" t="s">
        <v>25865</v>
      </c>
      <c r="C22267">
        <v>0</v>
      </c>
      <c r="D22267">
        <v>0.91923153390699996</v>
      </c>
      <c r="E22267">
        <v>3.13043478260869</v>
      </c>
    </row>
    <row r="22268" spans="1:5">
      <c r="A22268" t="s">
        <v>25866</v>
      </c>
      <c r="B22268" t="s">
        <v>25867</v>
      </c>
      <c r="C22268">
        <v>5.8424135862499997E-2</v>
      </c>
      <c r="D22268">
        <v>0.352171854269</v>
      </c>
      <c r="E22268">
        <v>0.86356821589205401</v>
      </c>
    </row>
    <row r="22269" spans="1:5">
      <c r="A22269" t="s">
        <v>25868</v>
      </c>
      <c r="B22269" t="s">
        <v>25869</v>
      </c>
      <c r="C22269">
        <f>0</f>
        <v>0</v>
      </c>
      <c r="D22269">
        <v>0.75364894107199998</v>
      </c>
      <c r="E22269">
        <v>6.0569715142428704</v>
      </c>
    </row>
    <row r="22270" spans="1:5">
      <c r="A22270" t="s">
        <v>25868</v>
      </c>
      <c r="B22270" t="s">
        <v>25870</v>
      </c>
      <c r="C22270">
        <v>0</v>
      </c>
      <c r="D22270">
        <v>0.75364894107199998</v>
      </c>
      <c r="E22270">
        <v>6.0569715142428704</v>
      </c>
    </row>
    <row r="22271" spans="1:5">
      <c r="A22271" t="s">
        <v>25868</v>
      </c>
      <c r="B22271" t="s">
        <v>25871</v>
      </c>
      <c r="C22271">
        <f>0</f>
        <v>0</v>
      </c>
      <c r="D22271">
        <v>0.75364894107199998</v>
      </c>
      <c r="E22271">
        <v>6.0569715142428704</v>
      </c>
    </row>
    <row r="22272" spans="1:5">
      <c r="A22272" t="s">
        <v>25868</v>
      </c>
      <c r="B22272" t="s">
        <v>25872</v>
      </c>
      <c r="C22272">
        <f>0</f>
        <v>0</v>
      </c>
      <c r="D22272">
        <v>0.75364894107199998</v>
      </c>
      <c r="E22272">
        <v>6.0569715142428704</v>
      </c>
    </row>
    <row r="22273" spans="1:5">
      <c r="A22273" t="s">
        <v>25868</v>
      </c>
      <c r="B22273" t="s">
        <v>25873</v>
      </c>
      <c r="C22273">
        <f>0</f>
        <v>0</v>
      </c>
      <c r="D22273">
        <v>0.75364894107199998</v>
      </c>
      <c r="E22273">
        <v>6.0569715142428704</v>
      </c>
    </row>
    <row r="22274" spans="1:5">
      <c r="A22274" t="s">
        <v>25868</v>
      </c>
      <c r="B22274" t="s">
        <v>25874</v>
      </c>
      <c r="C22274">
        <v>0</v>
      </c>
      <c r="D22274">
        <v>0.75364894107199998</v>
      </c>
      <c r="E22274">
        <v>6.0569715142428704</v>
      </c>
    </row>
    <row r="22275" spans="1:5">
      <c r="A22275" t="s">
        <v>25868</v>
      </c>
      <c r="B22275" t="s">
        <v>25875</v>
      </c>
      <c r="C22275">
        <v>0</v>
      </c>
      <c r="D22275">
        <v>0.75364894107199998</v>
      </c>
      <c r="E22275">
        <v>6.0569715142428704</v>
      </c>
    </row>
    <row r="22276" spans="1:5">
      <c r="A22276" t="s">
        <v>25876</v>
      </c>
      <c r="B22276" t="s">
        <v>25877</v>
      </c>
      <c r="C22276">
        <f>0.127704404625</f>
        <v>0.12770440462499999</v>
      </c>
      <c r="D22276">
        <v>0.72469403769399998</v>
      </c>
      <c r="E22276">
        <v>8.7196401799100407</v>
      </c>
    </row>
    <row r="22277" spans="1:5">
      <c r="A22277" t="s">
        <v>25876</v>
      </c>
      <c r="B22277" t="s">
        <v>25878</v>
      </c>
      <c r="C22277">
        <v>0</v>
      </c>
      <c r="D22277">
        <v>0.72469403769399998</v>
      </c>
      <c r="E22277">
        <v>8.7196401799100407</v>
      </c>
    </row>
    <row r="22278" spans="1:5">
      <c r="A22278" t="s">
        <v>25879</v>
      </c>
      <c r="B22278" t="s">
        <v>25880</v>
      </c>
      <c r="C22278">
        <f>0</f>
        <v>0</v>
      </c>
      <c r="D22278">
        <v>0.93994716389800004</v>
      </c>
      <c r="E22278">
        <v>5.8170914542728598</v>
      </c>
    </row>
    <row r="22279" spans="1:5">
      <c r="A22279" t="s">
        <v>25879</v>
      </c>
      <c r="B22279" t="s">
        <v>25881</v>
      </c>
      <c r="C22279">
        <f>0</f>
        <v>0</v>
      </c>
      <c r="D22279">
        <v>0.93994716389800004</v>
      </c>
      <c r="E22279">
        <v>5.8170914542728598</v>
      </c>
    </row>
    <row r="22280" spans="1:5">
      <c r="A22280" t="s">
        <v>25879</v>
      </c>
      <c r="B22280" t="s">
        <v>25882</v>
      </c>
      <c r="C22280">
        <f>0</f>
        <v>0</v>
      </c>
      <c r="D22280">
        <v>0.93994716389800004</v>
      </c>
      <c r="E22280">
        <v>5.8170914542728598</v>
      </c>
    </row>
    <row r="22281" spans="1:5">
      <c r="A22281" t="s">
        <v>25879</v>
      </c>
      <c r="B22281" t="s">
        <v>25883</v>
      </c>
      <c r="C22281">
        <f>0</f>
        <v>0</v>
      </c>
      <c r="D22281">
        <v>0.93994716389800004</v>
      </c>
      <c r="E22281">
        <v>5.8170914542728598</v>
      </c>
    </row>
    <row r="22282" spans="1:5">
      <c r="A22282" t="s">
        <v>25879</v>
      </c>
      <c r="B22282" t="s">
        <v>25884</v>
      </c>
      <c r="C22282">
        <f>0</f>
        <v>0</v>
      </c>
      <c r="D22282">
        <v>0.93994716389800004</v>
      </c>
      <c r="E22282">
        <v>5.8170914542728598</v>
      </c>
    </row>
    <row r="22283" spans="1:5">
      <c r="A22283" t="s">
        <v>25879</v>
      </c>
      <c r="B22283" t="s">
        <v>25885</v>
      </c>
      <c r="C22283">
        <f>0</f>
        <v>0</v>
      </c>
      <c r="D22283">
        <v>0.93994716389800004</v>
      </c>
      <c r="E22283">
        <v>5.8170914542728598</v>
      </c>
    </row>
    <row r="22284" spans="1:5">
      <c r="A22284" t="s">
        <v>25879</v>
      </c>
      <c r="B22284" t="s">
        <v>25886</v>
      </c>
      <c r="C22284">
        <f>0</f>
        <v>0</v>
      </c>
      <c r="D22284">
        <v>0.93994716389800004</v>
      </c>
      <c r="E22284">
        <v>5.8170914542728598</v>
      </c>
    </row>
    <row r="22285" spans="1:5">
      <c r="A22285" t="s">
        <v>25879</v>
      </c>
      <c r="B22285" t="s">
        <v>25887</v>
      </c>
      <c r="C22285">
        <f>0.0198739314774</f>
        <v>1.9873931477399999E-2</v>
      </c>
      <c r="D22285">
        <v>0.93994716389800004</v>
      </c>
      <c r="E22285">
        <v>5.8170914542728598</v>
      </c>
    </row>
    <row r="22286" spans="1:5">
      <c r="A22286" t="s">
        <v>25879</v>
      </c>
      <c r="B22286" t="s">
        <v>25888</v>
      </c>
      <c r="C22286">
        <v>0</v>
      </c>
      <c r="D22286">
        <v>0.93994716389800004</v>
      </c>
      <c r="E22286">
        <v>5.8170914542728598</v>
      </c>
    </row>
    <row r="22287" spans="1:5">
      <c r="A22287" t="s">
        <v>25879</v>
      </c>
      <c r="B22287" t="s">
        <v>25889</v>
      </c>
      <c r="C22287">
        <v>0</v>
      </c>
      <c r="D22287">
        <v>0.93994716389800004</v>
      </c>
      <c r="E22287">
        <v>5.8170914542728598</v>
      </c>
    </row>
    <row r="22288" spans="1:5">
      <c r="A22288" t="s">
        <v>25879</v>
      </c>
      <c r="B22288" t="s">
        <v>25890</v>
      </c>
      <c r="C22288">
        <v>0</v>
      </c>
      <c r="D22288">
        <v>0.93994716389800004</v>
      </c>
      <c r="E22288">
        <v>5.8170914542728598</v>
      </c>
    </row>
    <row r="22289" spans="1:5">
      <c r="A22289" t="s">
        <v>25891</v>
      </c>
      <c r="B22289" t="s">
        <v>25892</v>
      </c>
      <c r="C22289">
        <v>0</v>
      </c>
      <c r="D22289" t="s">
        <v>106</v>
      </c>
      <c r="E22289">
        <v>7.1964017991004496</v>
      </c>
    </row>
    <row r="22290" spans="1:5">
      <c r="A22290" t="s">
        <v>25891</v>
      </c>
      <c r="B22290" t="s">
        <v>25893</v>
      </c>
      <c r="C22290">
        <v>0</v>
      </c>
      <c r="D22290" t="s">
        <v>106</v>
      </c>
      <c r="E22290">
        <v>7.1964017991004496</v>
      </c>
    </row>
    <row r="22291" spans="1:5">
      <c r="A22291" t="s">
        <v>25891</v>
      </c>
      <c r="B22291" t="s">
        <v>25894</v>
      </c>
      <c r="C22291">
        <v>0</v>
      </c>
      <c r="D22291" t="s">
        <v>106</v>
      </c>
      <c r="E22291">
        <v>7.1964017991004496</v>
      </c>
    </row>
    <row r="22292" spans="1:5">
      <c r="A22292" t="s">
        <v>25891</v>
      </c>
      <c r="B22292" t="s">
        <v>25895</v>
      </c>
      <c r="C22292">
        <f>0</f>
        <v>0</v>
      </c>
      <c r="D22292" t="s">
        <v>106</v>
      </c>
      <c r="E22292">
        <v>7.1964017991004496</v>
      </c>
    </row>
    <row r="22293" spans="1:5">
      <c r="A22293" t="s">
        <v>25891</v>
      </c>
      <c r="B22293" t="s">
        <v>25896</v>
      </c>
      <c r="C22293">
        <f>0</f>
        <v>0</v>
      </c>
      <c r="D22293" t="s">
        <v>106</v>
      </c>
      <c r="E22293">
        <v>7.1964017991004496</v>
      </c>
    </row>
    <row r="22294" spans="1:5">
      <c r="A22294" t="s">
        <v>25897</v>
      </c>
      <c r="B22294" t="s">
        <v>25898</v>
      </c>
      <c r="C22294">
        <f>0</f>
        <v>0</v>
      </c>
      <c r="D22294" t="s">
        <v>106</v>
      </c>
      <c r="E22294">
        <v>5.2413793103448203</v>
      </c>
    </row>
    <row r="22295" spans="1:5">
      <c r="A22295" t="s">
        <v>25897</v>
      </c>
      <c r="B22295" t="s">
        <v>25899</v>
      </c>
      <c r="C22295">
        <f>0</f>
        <v>0</v>
      </c>
      <c r="D22295" t="s">
        <v>106</v>
      </c>
      <c r="E22295">
        <v>5.2413793103448203</v>
      </c>
    </row>
    <row r="22296" spans="1:5">
      <c r="A22296" t="s">
        <v>25897</v>
      </c>
      <c r="B22296" t="s">
        <v>25900</v>
      </c>
      <c r="C22296">
        <f>0</f>
        <v>0</v>
      </c>
      <c r="D22296" t="s">
        <v>106</v>
      </c>
      <c r="E22296">
        <v>5.2413793103448203</v>
      </c>
    </row>
    <row r="22297" spans="1:5">
      <c r="A22297" t="s">
        <v>25897</v>
      </c>
      <c r="B22297" t="s">
        <v>25901</v>
      </c>
      <c r="C22297">
        <f>0</f>
        <v>0</v>
      </c>
      <c r="D22297" t="s">
        <v>106</v>
      </c>
      <c r="E22297">
        <v>5.2413793103448203</v>
      </c>
    </row>
    <row r="22298" spans="1:5">
      <c r="A22298" t="s">
        <v>25897</v>
      </c>
      <c r="B22298" t="s">
        <v>25902</v>
      </c>
      <c r="C22298">
        <v>0</v>
      </c>
      <c r="D22298" t="s">
        <v>106</v>
      </c>
      <c r="E22298">
        <v>5.2413793103448203</v>
      </c>
    </row>
    <row r="22299" spans="1:5">
      <c r="A22299" t="s">
        <v>25897</v>
      </c>
      <c r="B22299" t="s">
        <v>25903</v>
      </c>
      <c r="C22299">
        <f>0.0124333186665</f>
        <v>1.24333186665E-2</v>
      </c>
      <c r="D22299" t="s">
        <v>106</v>
      </c>
      <c r="E22299">
        <v>5.2413793103448203</v>
      </c>
    </row>
    <row r="22300" spans="1:5">
      <c r="A22300" t="s">
        <v>25897</v>
      </c>
      <c r="B22300" t="s">
        <v>25904</v>
      </c>
      <c r="C22300">
        <f>0</f>
        <v>0</v>
      </c>
      <c r="D22300" t="s">
        <v>106</v>
      </c>
      <c r="E22300">
        <v>5.2413793103448203</v>
      </c>
    </row>
    <row r="22301" spans="1:5">
      <c r="A22301" t="s">
        <v>25897</v>
      </c>
      <c r="B22301" t="s">
        <v>25905</v>
      </c>
      <c r="C22301">
        <f>0</f>
        <v>0</v>
      </c>
      <c r="D22301" t="s">
        <v>106</v>
      </c>
      <c r="E22301">
        <v>5.2413793103448203</v>
      </c>
    </row>
    <row r="22302" spans="1:5">
      <c r="A22302" t="s">
        <v>25897</v>
      </c>
      <c r="B22302" t="s">
        <v>25906</v>
      </c>
      <c r="C22302">
        <v>0</v>
      </c>
      <c r="D22302" t="s">
        <v>106</v>
      </c>
      <c r="E22302">
        <v>5.2413793103448203</v>
      </c>
    </row>
    <row r="22303" spans="1:5">
      <c r="A22303" t="s">
        <v>25897</v>
      </c>
      <c r="B22303" t="s">
        <v>25907</v>
      </c>
      <c r="C22303">
        <v>0</v>
      </c>
      <c r="D22303" t="s">
        <v>106</v>
      </c>
      <c r="E22303">
        <v>5.2413793103448203</v>
      </c>
    </row>
    <row r="22304" spans="1:5">
      <c r="A22304" t="s">
        <v>25897</v>
      </c>
      <c r="B22304" t="s">
        <v>25908</v>
      </c>
      <c r="C22304">
        <v>0</v>
      </c>
      <c r="D22304" t="s">
        <v>106</v>
      </c>
      <c r="E22304">
        <v>5.2413793103448203</v>
      </c>
    </row>
    <row r="22305" spans="1:5">
      <c r="A22305" t="s">
        <v>25897</v>
      </c>
      <c r="B22305" t="s">
        <v>25909</v>
      </c>
      <c r="C22305">
        <v>0</v>
      </c>
      <c r="D22305" t="s">
        <v>106</v>
      </c>
      <c r="E22305">
        <v>5.2413793103448203</v>
      </c>
    </row>
    <row r="22306" spans="1:5">
      <c r="A22306" t="s">
        <v>25897</v>
      </c>
      <c r="B22306" t="s">
        <v>25910</v>
      </c>
      <c r="C22306">
        <f>0</f>
        <v>0</v>
      </c>
      <c r="D22306" t="s">
        <v>106</v>
      </c>
      <c r="E22306">
        <v>5.2413793103448203</v>
      </c>
    </row>
    <row r="22307" spans="1:5">
      <c r="A22307" t="s">
        <v>25897</v>
      </c>
      <c r="B22307" t="s">
        <v>25911</v>
      </c>
      <c r="C22307">
        <f>0</f>
        <v>0</v>
      </c>
      <c r="D22307" t="s">
        <v>106</v>
      </c>
      <c r="E22307">
        <v>5.2413793103448203</v>
      </c>
    </row>
    <row r="22308" spans="1:5">
      <c r="A22308" t="s">
        <v>25912</v>
      </c>
      <c r="B22308" t="s">
        <v>25913</v>
      </c>
      <c r="C22308">
        <f>0.0153775031431</f>
        <v>1.53775031431E-2</v>
      </c>
      <c r="D22308">
        <v>0.93523462932900003</v>
      </c>
      <c r="E22308">
        <v>24</v>
      </c>
    </row>
    <row r="22309" spans="1:5">
      <c r="A22309" t="s">
        <v>25912</v>
      </c>
      <c r="B22309" t="s">
        <v>25914</v>
      </c>
      <c r="C22309">
        <v>0</v>
      </c>
      <c r="D22309">
        <v>0.93523462932900003</v>
      </c>
      <c r="E22309">
        <v>24</v>
      </c>
    </row>
    <row r="22310" spans="1:5">
      <c r="A22310" t="s">
        <v>25912</v>
      </c>
      <c r="B22310" t="s">
        <v>25915</v>
      </c>
      <c r="C22310">
        <v>0</v>
      </c>
      <c r="D22310">
        <v>0.93523462932900003</v>
      </c>
      <c r="E22310">
        <v>24</v>
      </c>
    </row>
    <row r="22311" spans="1:5">
      <c r="A22311" t="s">
        <v>25912</v>
      </c>
      <c r="B22311" t="s">
        <v>25916</v>
      </c>
      <c r="C22311">
        <v>0.20188537793200001</v>
      </c>
      <c r="D22311">
        <v>0.93523462932900003</v>
      </c>
      <c r="E22311">
        <v>24</v>
      </c>
    </row>
    <row r="22312" spans="1:5">
      <c r="A22312" t="s">
        <v>25912</v>
      </c>
      <c r="B22312" t="s">
        <v>25917</v>
      </c>
      <c r="C22312">
        <v>0</v>
      </c>
      <c r="D22312">
        <v>0.93523462932900003</v>
      </c>
      <c r="E22312">
        <v>24</v>
      </c>
    </row>
    <row r="22313" spans="1:5">
      <c r="A22313" t="s">
        <v>25912</v>
      </c>
      <c r="B22313" t="s">
        <v>25918</v>
      </c>
      <c r="C22313">
        <f>0</f>
        <v>0</v>
      </c>
      <c r="D22313">
        <v>0.93523462932900003</v>
      </c>
      <c r="E22313">
        <v>24</v>
      </c>
    </row>
    <row r="22314" spans="1:5">
      <c r="A22314" t="s">
        <v>25912</v>
      </c>
      <c r="B22314" t="s">
        <v>25919</v>
      </c>
      <c r="C22314">
        <v>0</v>
      </c>
      <c r="D22314">
        <v>0.93523462932900003</v>
      </c>
      <c r="E22314">
        <v>24</v>
      </c>
    </row>
    <row r="22315" spans="1:5">
      <c r="A22315" t="s">
        <v>25912</v>
      </c>
      <c r="B22315" t="s">
        <v>25920</v>
      </c>
      <c r="C22315">
        <f>0</f>
        <v>0</v>
      </c>
      <c r="D22315">
        <v>0.93523462932900003</v>
      </c>
      <c r="E22315">
        <v>24</v>
      </c>
    </row>
    <row r="22316" spans="1:5">
      <c r="A22316" t="s">
        <v>25912</v>
      </c>
      <c r="B22316" t="s">
        <v>25921</v>
      </c>
      <c r="C22316">
        <f>0</f>
        <v>0</v>
      </c>
      <c r="D22316">
        <v>0.93523462932900003</v>
      </c>
      <c r="E22316">
        <v>24</v>
      </c>
    </row>
    <row r="22317" spans="1:5">
      <c r="A22317" t="s">
        <v>25912</v>
      </c>
      <c r="B22317" t="s">
        <v>25922</v>
      </c>
      <c r="C22317">
        <f>0</f>
        <v>0</v>
      </c>
      <c r="D22317">
        <v>0.93523462932900003</v>
      </c>
      <c r="E22317">
        <v>24</v>
      </c>
    </row>
    <row r="22318" spans="1:5">
      <c r="A22318" t="s">
        <v>25912</v>
      </c>
      <c r="B22318" t="s">
        <v>25923</v>
      </c>
      <c r="C22318">
        <f>0</f>
        <v>0</v>
      </c>
      <c r="D22318">
        <v>0.93523462932900003</v>
      </c>
      <c r="E22318">
        <v>24</v>
      </c>
    </row>
    <row r="22319" spans="1:5">
      <c r="A22319" t="s">
        <v>25912</v>
      </c>
      <c r="B22319" t="s">
        <v>25924</v>
      </c>
      <c r="C22319">
        <f>0</f>
        <v>0</v>
      </c>
      <c r="D22319">
        <v>0.93523462932900003</v>
      </c>
      <c r="E22319">
        <v>24</v>
      </c>
    </row>
    <row r="22320" spans="1:5">
      <c r="A22320" t="s">
        <v>25912</v>
      </c>
      <c r="B22320" t="s">
        <v>25925</v>
      </c>
      <c r="C22320">
        <v>0</v>
      </c>
      <c r="D22320">
        <v>0.93523462932900003</v>
      </c>
      <c r="E22320">
        <v>24</v>
      </c>
    </row>
    <row r="22321" spans="1:5">
      <c r="A22321" t="s">
        <v>25912</v>
      </c>
      <c r="B22321" t="s">
        <v>25926</v>
      </c>
      <c r="C22321">
        <f>0</f>
        <v>0</v>
      </c>
      <c r="D22321">
        <v>0.93523462932900003</v>
      </c>
      <c r="E22321">
        <v>24</v>
      </c>
    </row>
    <row r="22322" spans="1:5">
      <c r="A22322" t="s">
        <v>25927</v>
      </c>
      <c r="B22322" t="s">
        <v>25928</v>
      </c>
      <c r="C22322">
        <f>0</f>
        <v>0</v>
      </c>
      <c r="D22322">
        <v>0.97191482783799998</v>
      </c>
      <c r="E22322">
        <v>15.1244377811094</v>
      </c>
    </row>
    <row r="22323" spans="1:5">
      <c r="A22323" t="s">
        <v>25927</v>
      </c>
      <c r="B22323" t="s">
        <v>25929</v>
      </c>
      <c r="C22323">
        <v>0</v>
      </c>
      <c r="D22323">
        <v>0.97191482783799998</v>
      </c>
      <c r="E22323">
        <v>15.1244377811094</v>
      </c>
    </row>
    <row r="22324" spans="1:5">
      <c r="A22324" t="s">
        <v>25927</v>
      </c>
      <c r="B22324" t="s">
        <v>25930</v>
      </c>
      <c r="C22324">
        <v>0</v>
      </c>
      <c r="D22324">
        <v>0.97191482783799998</v>
      </c>
      <c r="E22324">
        <v>15.1244377811094</v>
      </c>
    </row>
    <row r="22325" spans="1:5">
      <c r="A22325" t="s">
        <v>25927</v>
      </c>
      <c r="B22325" t="s">
        <v>25931</v>
      </c>
      <c r="C22325">
        <v>0</v>
      </c>
      <c r="D22325">
        <v>0.97191482783799998</v>
      </c>
      <c r="E22325">
        <v>15.1244377811094</v>
      </c>
    </row>
    <row r="22326" spans="1:5">
      <c r="A22326" t="s">
        <v>25927</v>
      </c>
      <c r="B22326" t="s">
        <v>25932</v>
      </c>
      <c r="C22326">
        <v>0</v>
      </c>
      <c r="D22326">
        <v>0.97191482783799998</v>
      </c>
      <c r="E22326">
        <v>15.1244377811094</v>
      </c>
    </row>
    <row r="22327" spans="1:5">
      <c r="A22327" t="s">
        <v>25927</v>
      </c>
      <c r="B22327" t="s">
        <v>25933</v>
      </c>
      <c r="C22327">
        <f>0</f>
        <v>0</v>
      </c>
      <c r="D22327">
        <v>0.97191482783799998</v>
      </c>
      <c r="E22327">
        <v>15.1244377811094</v>
      </c>
    </row>
    <row r="22328" spans="1:5">
      <c r="A22328" t="s">
        <v>25927</v>
      </c>
      <c r="B22328" t="s">
        <v>25934</v>
      </c>
      <c r="C22328">
        <v>0.14706145123799999</v>
      </c>
      <c r="D22328">
        <v>0.97191482783799998</v>
      </c>
      <c r="E22328">
        <v>15.1244377811094</v>
      </c>
    </row>
    <row r="22329" spans="1:5">
      <c r="A22329" t="s">
        <v>25927</v>
      </c>
      <c r="B22329" t="s">
        <v>25935</v>
      </c>
      <c r="C22329">
        <v>6.0935137679699998E-2</v>
      </c>
      <c r="D22329">
        <v>0.97191482783799998</v>
      </c>
      <c r="E22329">
        <v>15.1244377811094</v>
      </c>
    </row>
    <row r="22330" spans="1:5">
      <c r="A22330" t="s">
        <v>25936</v>
      </c>
      <c r="B22330" t="s">
        <v>25937</v>
      </c>
      <c r="C22330">
        <f>0</f>
        <v>0</v>
      </c>
      <c r="D22330">
        <v>0.99245685520399995</v>
      </c>
      <c r="E22330">
        <v>5.9370314842578704</v>
      </c>
    </row>
    <row r="22331" spans="1:5">
      <c r="A22331" t="s">
        <v>25936</v>
      </c>
      <c r="B22331" t="s">
        <v>25938</v>
      </c>
      <c r="C22331">
        <v>0</v>
      </c>
      <c r="D22331">
        <v>0.99245685520399995</v>
      </c>
      <c r="E22331">
        <v>5.9370314842578704</v>
      </c>
    </row>
    <row r="22332" spans="1:5">
      <c r="A22332" t="s">
        <v>25936</v>
      </c>
      <c r="B22332" t="s">
        <v>25939</v>
      </c>
      <c r="C22332">
        <v>0</v>
      </c>
      <c r="D22332">
        <v>0.99245685520399995</v>
      </c>
      <c r="E22332">
        <v>5.9370314842578704</v>
      </c>
    </row>
    <row r="22333" spans="1:5">
      <c r="A22333" t="s">
        <v>25936</v>
      </c>
      <c r="B22333" t="s">
        <v>25940</v>
      </c>
      <c r="C22333">
        <f>0</f>
        <v>0</v>
      </c>
      <c r="D22333">
        <v>0.99245685520399995</v>
      </c>
      <c r="E22333">
        <v>5.9370314842578704</v>
      </c>
    </row>
    <row r="22334" spans="1:5">
      <c r="A22334" t="s">
        <v>25936</v>
      </c>
      <c r="B22334" t="s">
        <v>25941</v>
      </c>
      <c r="C22334">
        <v>0</v>
      </c>
      <c r="D22334">
        <v>0.99245685520399995</v>
      </c>
      <c r="E22334">
        <v>5.9370314842578704</v>
      </c>
    </row>
    <row r="22335" spans="1:5">
      <c r="A22335" t="s">
        <v>25936</v>
      </c>
      <c r="B22335" t="s">
        <v>25942</v>
      </c>
      <c r="C22335">
        <v>0</v>
      </c>
      <c r="D22335">
        <v>0.99245685520399995</v>
      </c>
      <c r="E22335">
        <v>5.9370314842578704</v>
      </c>
    </row>
    <row r="22336" spans="1:5">
      <c r="A22336" t="s">
        <v>25936</v>
      </c>
      <c r="B22336" t="s">
        <v>25943</v>
      </c>
      <c r="C22336">
        <v>0</v>
      </c>
      <c r="D22336">
        <v>0.99245685520399995</v>
      </c>
      <c r="E22336">
        <v>5.9370314842578704</v>
      </c>
    </row>
    <row r="22337" spans="1:5">
      <c r="A22337" t="s">
        <v>25936</v>
      </c>
      <c r="B22337" t="s">
        <v>25944</v>
      </c>
      <c r="C22337">
        <f>0</f>
        <v>0</v>
      </c>
      <c r="D22337">
        <v>0.99245685520399995</v>
      </c>
      <c r="E22337">
        <v>5.9370314842578704</v>
      </c>
    </row>
    <row r="22338" spans="1:5">
      <c r="A22338" t="s">
        <v>25936</v>
      </c>
      <c r="B22338" t="s">
        <v>25945</v>
      </c>
      <c r="C22338">
        <f>0</f>
        <v>0</v>
      </c>
      <c r="D22338">
        <v>0.99245685520399995</v>
      </c>
      <c r="E22338">
        <v>5.9370314842578704</v>
      </c>
    </row>
    <row r="22339" spans="1:5">
      <c r="A22339" t="s">
        <v>25936</v>
      </c>
      <c r="B22339" t="s">
        <v>25946</v>
      </c>
      <c r="C22339">
        <v>0</v>
      </c>
      <c r="D22339">
        <v>0.99245685520399995</v>
      </c>
      <c r="E22339">
        <v>5.9370314842578704</v>
      </c>
    </row>
    <row r="22340" spans="1:5">
      <c r="A22340" t="s">
        <v>25936</v>
      </c>
      <c r="B22340" t="s">
        <v>25947</v>
      </c>
      <c r="C22340">
        <f>0</f>
        <v>0</v>
      </c>
      <c r="D22340">
        <v>0.99245685520399995</v>
      </c>
      <c r="E22340">
        <v>5.9370314842578704</v>
      </c>
    </row>
    <row r="22341" spans="1:5">
      <c r="A22341" t="s">
        <v>25936</v>
      </c>
      <c r="B22341" t="s">
        <v>25948</v>
      </c>
      <c r="C22341">
        <v>0</v>
      </c>
      <c r="D22341">
        <v>0.99245685520399995</v>
      </c>
      <c r="E22341">
        <v>5.9370314842578704</v>
      </c>
    </row>
    <row r="22342" spans="1:5">
      <c r="A22342" t="s">
        <v>25949</v>
      </c>
      <c r="B22342" t="s">
        <v>25950</v>
      </c>
      <c r="C22342">
        <v>0</v>
      </c>
      <c r="D22342">
        <v>0.83919355118100003</v>
      </c>
      <c r="E22342">
        <v>3.3103448275862002</v>
      </c>
    </row>
    <row r="22343" spans="1:5">
      <c r="A22343" t="s">
        <v>25949</v>
      </c>
      <c r="B22343" t="s">
        <v>25951</v>
      </c>
      <c r="C22343">
        <v>0</v>
      </c>
      <c r="D22343">
        <v>0.83919355118100003</v>
      </c>
      <c r="E22343">
        <v>3.3103448275862002</v>
      </c>
    </row>
    <row r="22344" spans="1:5">
      <c r="A22344" t="s">
        <v>25949</v>
      </c>
      <c r="B22344" t="s">
        <v>25952</v>
      </c>
      <c r="C22344">
        <v>0</v>
      </c>
      <c r="D22344">
        <v>0.83919355118100003</v>
      </c>
      <c r="E22344">
        <v>3.3103448275862002</v>
      </c>
    </row>
    <row r="22345" spans="1:5">
      <c r="A22345" t="s">
        <v>25953</v>
      </c>
      <c r="B22345" t="s">
        <v>25954</v>
      </c>
      <c r="C22345">
        <f>0.135369122506</f>
        <v>0.135369122506</v>
      </c>
      <c r="D22345">
        <v>0.55367677752900002</v>
      </c>
      <c r="E22345">
        <v>24</v>
      </c>
    </row>
    <row r="22346" spans="1:5">
      <c r="A22346" t="s">
        <v>25953</v>
      </c>
      <c r="B22346" t="s">
        <v>25955</v>
      </c>
      <c r="C22346">
        <v>0</v>
      </c>
      <c r="D22346">
        <v>0.55367677752900002</v>
      </c>
      <c r="E22346">
        <v>24</v>
      </c>
    </row>
    <row r="22347" spans="1:5">
      <c r="A22347" t="s">
        <v>25953</v>
      </c>
      <c r="B22347" t="s">
        <v>25956</v>
      </c>
      <c r="C22347">
        <f>0</f>
        <v>0</v>
      </c>
      <c r="D22347">
        <v>0.55367677752900002</v>
      </c>
      <c r="E22347">
        <v>24</v>
      </c>
    </row>
    <row r="22348" spans="1:5">
      <c r="A22348" t="s">
        <v>25953</v>
      </c>
      <c r="B22348" t="s">
        <v>25957</v>
      </c>
      <c r="C22348">
        <f>0</f>
        <v>0</v>
      </c>
      <c r="D22348">
        <v>0.55367677752900002</v>
      </c>
      <c r="E22348">
        <v>24</v>
      </c>
    </row>
    <row r="22349" spans="1:5">
      <c r="A22349" t="s">
        <v>25953</v>
      </c>
      <c r="B22349" t="s">
        <v>25958</v>
      </c>
      <c r="C22349">
        <f>0</f>
        <v>0</v>
      </c>
      <c r="D22349">
        <v>0.55367677752900002</v>
      </c>
      <c r="E22349">
        <v>24</v>
      </c>
    </row>
    <row r="22350" spans="1:5">
      <c r="A22350" t="s">
        <v>25953</v>
      </c>
      <c r="B22350" t="s">
        <v>25959</v>
      </c>
      <c r="C22350">
        <v>0</v>
      </c>
      <c r="D22350">
        <v>0.55367677752900002</v>
      </c>
      <c r="E22350">
        <v>24</v>
      </c>
    </row>
    <row r="22351" spans="1:5">
      <c r="A22351" t="s">
        <v>25953</v>
      </c>
      <c r="B22351" t="s">
        <v>25960</v>
      </c>
      <c r="C22351">
        <f>0</f>
        <v>0</v>
      </c>
      <c r="D22351">
        <v>0.55367677752900002</v>
      </c>
      <c r="E22351">
        <v>24</v>
      </c>
    </row>
    <row r="22352" spans="1:5">
      <c r="A22352" t="s">
        <v>25953</v>
      </c>
      <c r="B22352" t="s">
        <v>25961</v>
      </c>
      <c r="C22352">
        <f>0</f>
        <v>0</v>
      </c>
      <c r="D22352">
        <v>0.55367677752900002</v>
      </c>
      <c r="E22352">
        <v>24</v>
      </c>
    </row>
    <row r="22353" spans="1:5">
      <c r="A22353" t="s">
        <v>25953</v>
      </c>
      <c r="B22353" t="s">
        <v>25962</v>
      </c>
      <c r="C22353">
        <v>0</v>
      </c>
      <c r="D22353">
        <v>0.55367677752900002</v>
      </c>
      <c r="E22353">
        <v>24</v>
      </c>
    </row>
    <row r="22354" spans="1:5">
      <c r="A22354" t="s">
        <v>25953</v>
      </c>
      <c r="B22354" t="s">
        <v>25963</v>
      </c>
      <c r="C22354">
        <f>0</f>
        <v>0</v>
      </c>
      <c r="D22354">
        <v>0.55367677752900002</v>
      </c>
      <c r="E22354">
        <v>24</v>
      </c>
    </row>
    <row r="22355" spans="1:5">
      <c r="A22355" t="s">
        <v>25953</v>
      </c>
      <c r="B22355" t="s">
        <v>25964</v>
      </c>
      <c r="C22355">
        <f>0</f>
        <v>0</v>
      </c>
      <c r="D22355">
        <v>0.55367677752900002</v>
      </c>
      <c r="E22355">
        <v>24</v>
      </c>
    </row>
    <row r="22356" spans="1:5">
      <c r="A22356" t="s">
        <v>25965</v>
      </c>
      <c r="B22356" t="s">
        <v>25966</v>
      </c>
      <c r="C22356">
        <v>0.50605177714399996</v>
      </c>
      <c r="D22356">
        <v>0.994353975783</v>
      </c>
      <c r="E22356">
        <v>9.7631184407796106</v>
      </c>
    </row>
    <row r="22357" spans="1:5">
      <c r="A22357" t="s">
        <v>25965</v>
      </c>
      <c r="B22357" t="s">
        <v>25967</v>
      </c>
      <c r="C22357">
        <v>0</v>
      </c>
      <c r="D22357">
        <v>0.994353975783</v>
      </c>
      <c r="E22357">
        <v>9.7631184407796106</v>
      </c>
    </row>
    <row r="22358" spans="1:5">
      <c r="A22358" t="s">
        <v>25965</v>
      </c>
      <c r="B22358" t="s">
        <v>25968</v>
      </c>
      <c r="C22358">
        <v>0</v>
      </c>
      <c r="D22358">
        <v>0.994353975783</v>
      </c>
      <c r="E22358">
        <v>9.7631184407796106</v>
      </c>
    </row>
    <row r="22359" spans="1:5">
      <c r="A22359" t="s">
        <v>25965</v>
      </c>
      <c r="B22359" t="s">
        <v>25969</v>
      </c>
      <c r="C22359">
        <f>0</f>
        <v>0</v>
      </c>
      <c r="D22359">
        <v>0.994353975783</v>
      </c>
      <c r="E22359">
        <v>9.7631184407796106</v>
      </c>
    </row>
    <row r="22360" spans="1:5">
      <c r="A22360" t="s">
        <v>25965</v>
      </c>
      <c r="B22360" t="s">
        <v>25970</v>
      </c>
      <c r="C22360">
        <v>0</v>
      </c>
      <c r="D22360">
        <v>0.994353975783</v>
      </c>
      <c r="E22360">
        <v>9.7631184407796106</v>
      </c>
    </row>
    <row r="22361" spans="1:5">
      <c r="A22361" t="s">
        <v>25965</v>
      </c>
      <c r="B22361" t="s">
        <v>25971</v>
      </c>
      <c r="C22361">
        <f>0</f>
        <v>0</v>
      </c>
      <c r="D22361">
        <v>0.994353975783</v>
      </c>
      <c r="E22361">
        <v>9.7631184407796106</v>
      </c>
    </row>
    <row r="22362" spans="1:5">
      <c r="A22362" t="s">
        <v>25972</v>
      </c>
      <c r="B22362" t="s">
        <v>25973</v>
      </c>
      <c r="C22362">
        <v>0</v>
      </c>
      <c r="D22362">
        <v>0.93795256831899998</v>
      </c>
      <c r="E22362">
        <v>15.904047976011899</v>
      </c>
    </row>
    <row r="22363" spans="1:5">
      <c r="A22363" t="s">
        <v>25972</v>
      </c>
      <c r="B22363" t="s">
        <v>25974</v>
      </c>
      <c r="C22363">
        <v>0</v>
      </c>
      <c r="D22363">
        <v>0.93795256831899998</v>
      </c>
      <c r="E22363">
        <v>15.904047976011899</v>
      </c>
    </row>
    <row r="22364" spans="1:5">
      <c r="A22364" t="s">
        <v>25972</v>
      </c>
      <c r="B22364" t="s">
        <v>25975</v>
      </c>
      <c r="C22364">
        <v>0</v>
      </c>
      <c r="D22364">
        <v>0.93795256831899998</v>
      </c>
      <c r="E22364">
        <v>15.904047976011899</v>
      </c>
    </row>
    <row r="22365" spans="1:5">
      <c r="A22365" t="s">
        <v>25972</v>
      </c>
      <c r="B22365" t="s">
        <v>25976</v>
      </c>
      <c r="C22365">
        <v>0</v>
      </c>
      <c r="D22365">
        <v>0.93795256831899998</v>
      </c>
      <c r="E22365">
        <v>15.904047976011899</v>
      </c>
    </row>
    <row r="22366" spans="1:5">
      <c r="A22366" t="s">
        <v>25972</v>
      </c>
      <c r="B22366" t="s">
        <v>25977</v>
      </c>
      <c r="C22366">
        <v>0.113177496307</v>
      </c>
      <c r="D22366">
        <v>0.93795256831899998</v>
      </c>
      <c r="E22366">
        <v>15.904047976011899</v>
      </c>
    </row>
    <row r="22367" spans="1:5">
      <c r="A22367" t="s">
        <v>25972</v>
      </c>
      <c r="B22367" t="s">
        <v>25978</v>
      </c>
      <c r="C22367">
        <v>0</v>
      </c>
      <c r="D22367">
        <v>0.93795256831899998</v>
      </c>
      <c r="E22367">
        <v>15.904047976011899</v>
      </c>
    </row>
    <row r="22368" spans="1:5">
      <c r="A22368" t="s">
        <v>25972</v>
      </c>
      <c r="B22368" t="s">
        <v>25979</v>
      </c>
      <c r="C22368">
        <v>0</v>
      </c>
      <c r="D22368">
        <v>0.93795256831899998</v>
      </c>
      <c r="E22368">
        <v>15.904047976011899</v>
      </c>
    </row>
    <row r="22369" spans="1:5">
      <c r="A22369" t="s">
        <v>25972</v>
      </c>
      <c r="B22369" t="s">
        <v>25980</v>
      </c>
      <c r="C22369">
        <v>0</v>
      </c>
      <c r="D22369">
        <v>0.93795256831899998</v>
      </c>
      <c r="E22369">
        <v>15.904047976011899</v>
      </c>
    </row>
    <row r="22370" spans="1:5">
      <c r="A22370" t="s">
        <v>25972</v>
      </c>
      <c r="B22370" t="s">
        <v>25981</v>
      </c>
      <c r="C22370">
        <f>0</f>
        <v>0</v>
      </c>
      <c r="D22370">
        <v>0.93795256831899998</v>
      </c>
      <c r="E22370">
        <v>15.904047976011899</v>
      </c>
    </row>
    <row r="22371" spans="1:5">
      <c r="A22371" t="s">
        <v>25972</v>
      </c>
      <c r="B22371" t="s">
        <v>25982</v>
      </c>
      <c r="C22371">
        <v>5.7241582880699998E-2</v>
      </c>
      <c r="D22371">
        <v>0.93795256831899998</v>
      </c>
      <c r="E22371">
        <v>15.904047976011899</v>
      </c>
    </row>
    <row r="22372" spans="1:5">
      <c r="A22372" t="s">
        <v>25983</v>
      </c>
      <c r="B22372" t="s">
        <v>25984</v>
      </c>
      <c r="C22372">
        <v>0</v>
      </c>
      <c r="D22372">
        <v>0.84539578449300001</v>
      </c>
      <c r="E22372">
        <v>23.280359820089899</v>
      </c>
    </row>
    <row r="22373" spans="1:5">
      <c r="A22373" t="s">
        <v>25983</v>
      </c>
      <c r="B22373" t="s">
        <v>25985</v>
      </c>
      <c r="C22373">
        <v>0</v>
      </c>
      <c r="D22373">
        <v>0.84539578449300001</v>
      </c>
      <c r="E22373">
        <v>23.280359820089899</v>
      </c>
    </row>
    <row r="22374" spans="1:5">
      <c r="A22374" t="s">
        <v>25983</v>
      </c>
      <c r="B22374" t="s">
        <v>25986</v>
      </c>
      <c r="C22374">
        <v>0</v>
      </c>
      <c r="D22374">
        <v>0.84539578449300001</v>
      </c>
      <c r="E22374">
        <v>23.280359820089899</v>
      </c>
    </row>
    <row r="22375" spans="1:5">
      <c r="A22375" t="s">
        <v>25983</v>
      </c>
      <c r="B22375" t="s">
        <v>25987</v>
      </c>
      <c r="C22375">
        <v>0</v>
      </c>
      <c r="D22375">
        <v>0.84539578449300001</v>
      </c>
      <c r="E22375">
        <v>23.280359820089899</v>
      </c>
    </row>
    <row r="22376" spans="1:5">
      <c r="A22376" t="s">
        <v>25983</v>
      </c>
      <c r="B22376" t="s">
        <v>25988</v>
      </c>
      <c r="C22376">
        <v>0</v>
      </c>
      <c r="D22376">
        <v>0.84539578449300001</v>
      </c>
      <c r="E22376">
        <v>23.280359820089899</v>
      </c>
    </row>
    <row r="22377" spans="1:5">
      <c r="A22377" t="s">
        <v>25983</v>
      </c>
      <c r="B22377" t="s">
        <v>25989</v>
      </c>
      <c r="C22377">
        <v>0</v>
      </c>
      <c r="D22377">
        <v>0.84539578449300001</v>
      </c>
      <c r="E22377">
        <v>23.280359820089899</v>
      </c>
    </row>
    <row r="22378" spans="1:5">
      <c r="A22378" t="s">
        <v>25983</v>
      </c>
      <c r="B22378" t="s">
        <v>25990</v>
      </c>
      <c r="C22378">
        <f>0</f>
        <v>0</v>
      </c>
      <c r="D22378">
        <v>0.84539578449300001</v>
      </c>
      <c r="E22378">
        <v>23.280359820089899</v>
      </c>
    </row>
    <row r="22379" spans="1:5">
      <c r="A22379" t="s">
        <v>25983</v>
      </c>
      <c r="B22379" t="s">
        <v>25991</v>
      </c>
      <c r="C22379">
        <v>1.16607575815E-2</v>
      </c>
      <c r="D22379">
        <v>0.84539578449300001</v>
      </c>
      <c r="E22379">
        <v>23.280359820089899</v>
      </c>
    </row>
    <row r="22380" spans="1:5">
      <c r="A22380" t="s">
        <v>25983</v>
      </c>
      <c r="B22380" t="s">
        <v>25992</v>
      </c>
      <c r="C22380">
        <v>0</v>
      </c>
      <c r="D22380">
        <v>0.84539578449300001</v>
      </c>
      <c r="E22380">
        <v>23.280359820089899</v>
      </c>
    </row>
    <row r="22381" spans="1:5">
      <c r="A22381" t="s">
        <v>25983</v>
      </c>
      <c r="B22381" t="s">
        <v>25993</v>
      </c>
      <c r="C22381">
        <v>0</v>
      </c>
      <c r="D22381">
        <v>0.84539578449300001</v>
      </c>
      <c r="E22381">
        <v>23.280359820089899</v>
      </c>
    </row>
    <row r="22382" spans="1:5">
      <c r="A22382" t="s">
        <v>25994</v>
      </c>
      <c r="B22382" t="s">
        <v>25995</v>
      </c>
      <c r="C22382">
        <f>0</f>
        <v>0</v>
      </c>
      <c r="D22382" t="s">
        <v>106</v>
      </c>
      <c r="E22382">
        <v>23.040479760119901</v>
      </c>
    </row>
    <row r="22383" spans="1:5">
      <c r="A22383" t="s">
        <v>25994</v>
      </c>
      <c r="B22383" t="s">
        <v>25996</v>
      </c>
      <c r="C22383">
        <f>0</f>
        <v>0</v>
      </c>
      <c r="D22383" t="s">
        <v>106</v>
      </c>
      <c r="E22383">
        <v>23.040479760119901</v>
      </c>
    </row>
    <row r="22384" spans="1:5">
      <c r="A22384" t="s">
        <v>25994</v>
      </c>
      <c r="B22384" t="s">
        <v>25997</v>
      </c>
      <c r="C22384">
        <f>0</f>
        <v>0</v>
      </c>
      <c r="D22384" t="s">
        <v>106</v>
      </c>
      <c r="E22384">
        <v>23.040479760119901</v>
      </c>
    </row>
    <row r="22385" spans="1:5">
      <c r="A22385" t="s">
        <v>25994</v>
      </c>
      <c r="B22385" t="s">
        <v>25998</v>
      </c>
      <c r="C22385">
        <f>0</f>
        <v>0</v>
      </c>
      <c r="D22385" t="s">
        <v>106</v>
      </c>
      <c r="E22385">
        <v>23.040479760119901</v>
      </c>
    </row>
    <row r="22386" spans="1:5">
      <c r="A22386" t="s">
        <v>25994</v>
      </c>
      <c r="B22386" t="s">
        <v>25999</v>
      </c>
      <c r="C22386">
        <f>0</f>
        <v>0</v>
      </c>
      <c r="D22386" t="s">
        <v>106</v>
      </c>
      <c r="E22386">
        <v>23.040479760119901</v>
      </c>
    </row>
    <row r="22387" spans="1:5">
      <c r="A22387" t="s">
        <v>25994</v>
      </c>
      <c r="B22387" t="s">
        <v>26000</v>
      </c>
      <c r="C22387">
        <v>0</v>
      </c>
      <c r="D22387" t="s">
        <v>106</v>
      </c>
      <c r="E22387">
        <v>23.040479760119901</v>
      </c>
    </row>
    <row r="22388" spans="1:5">
      <c r="A22388" t="s">
        <v>25994</v>
      </c>
      <c r="B22388" t="s">
        <v>26001</v>
      </c>
      <c r="C22388">
        <f>0</f>
        <v>0</v>
      </c>
      <c r="D22388" t="s">
        <v>106</v>
      </c>
      <c r="E22388">
        <v>23.040479760119901</v>
      </c>
    </row>
    <row r="22389" spans="1:5">
      <c r="A22389" t="s">
        <v>25994</v>
      </c>
      <c r="B22389" t="s">
        <v>26002</v>
      </c>
      <c r="C22389">
        <v>0</v>
      </c>
      <c r="D22389" t="s">
        <v>106</v>
      </c>
      <c r="E22389">
        <v>23.040479760119901</v>
      </c>
    </row>
    <row r="22390" spans="1:5">
      <c r="A22390" t="s">
        <v>25994</v>
      </c>
      <c r="B22390" t="s">
        <v>26003</v>
      </c>
      <c r="C22390">
        <v>0</v>
      </c>
      <c r="D22390" t="s">
        <v>106</v>
      </c>
      <c r="E22390">
        <v>23.040479760119901</v>
      </c>
    </row>
    <row r="22391" spans="1:5">
      <c r="A22391" t="s">
        <v>25994</v>
      </c>
      <c r="B22391" t="s">
        <v>26004</v>
      </c>
      <c r="C22391">
        <f>0</f>
        <v>0</v>
      </c>
      <c r="D22391" t="s">
        <v>106</v>
      </c>
      <c r="E22391">
        <v>23.040479760119901</v>
      </c>
    </row>
    <row r="22392" spans="1:5">
      <c r="A22392" t="s">
        <v>26005</v>
      </c>
      <c r="B22392" t="s">
        <v>26006</v>
      </c>
      <c r="C22392">
        <v>0.46739117498100002</v>
      </c>
      <c r="D22392">
        <v>0.80430892544999999</v>
      </c>
      <c r="E22392">
        <v>3.97001499250374</v>
      </c>
    </row>
    <row r="22393" spans="1:5">
      <c r="A22393" t="s">
        <v>26007</v>
      </c>
      <c r="B22393" t="s">
        <v>26008</v>
      </c>
      <c r="C22393">
        <v>0</v>
      </c>
      <c r="D22393">
        <v>0.89422616567900004</v>
      </c>
      <c r="E22393">
        <v>17.715142428785601</v>
      </c>
    </row>
    <row r="22394" spans="1:5">
      <c r="A22394" t="s">
        <v>26007</v>
      </c>
      <c r="B22394" t="s">
        <v>26009</v>
      </c>
      <c r="C22394">
        <v>0</v>
      </c>
      <c r="D22394">
        <v>0.89422616567900004</v>
      </c>
      <c r="E22394">
        <v>17.715142428785601</v>
      </c>
    </row>
    <row r="22395" spans="1:5">
      <c r="A22395" t="s">
        <v>26007</v>
      </c>
      <c r="B22395" t="s">
        <v>26010</v>
      </c>
      <c r="C22395">
        <v>0</v>
      </c>
      <c r="D22395">
        <v>0.89422616567900004</v>
      </c>
      <c r="E22395">
        <v>17.715142428785601</v>
      </c>
    </row>
    <row r="22396" spans="1:5">
      <c r="A22396" t="s">
        <v>26007</v>
      </c>
      <c r="B22396" t="s">
        <v>26011</v>
      </c>
      <c r="C22396">
        <v>0</v>
      </c>
      <c r="D22396">
        <v>0.89422616567900004</v>
      </c>
      <c r="E22396">
        <v>17.715142428785601</v>
      </c>
    </row>
    <row r="22397" spans="1:5">
      <c r="A22397" t="s">
        <v>26007</v>
      </c>
      <c r="B22397" t="s">
        <v>26012</v>
      </c>
      <c r="C22397">
        <v>0</v>
      </c>
      <c r="D22397">
        <v>0.89422616567900004</v>
      </c>
      <c r="E22397">
        <v>17.715142428785601</v>
      </c>
    </row>
    <row r="22398" spans="1:5">
      <c r="A22398" t="s">
        <v>26007</v>
      </c>
      <c r="B22398" t="s">
        <v>26013</v>
      </c>
      <c r="C22398">
        <v>0</v>
      </c>
      <c r="D22398">
        <v>0.89422616567900004</v>
      </c>
      <c r="E22398">
        <v>17.715142428785601</v>
      </c>
    </row>
    <row r="22399" spans="1:5">
      <c r="A22399" t="s">
        <v>26007</v>
      </c>
      <c r="B22399" t="s">
        <v>26014</v>
      </c>
      <c r="C22399">
        <v>9.1678948590900006E-2</v>
      </c>
      <c r="D22399">
        <v>0.89422616567900004</v>
      </c>
      <c r="E22399">
        <v>17.715142428785601</v>
      </c>
    </row>
    <row r="22400" spans="1:5">
      <c r="A22400" t="s">
        <v>26007</v>
      </c>
      <c r="B22400" t="s">
        <v>26015</v>
      </c>
      <c r="C22400">
        <v>0</v>
      </c>
      <c r="D22400">
        <v>0.89422616567900004</v>
      </c>
      <c r="E22400">
        <v>17.715142428785601</v>
      </c>
    </row>
    <row r="22401" spans="1:5">
      <c r="A22401" t="s">
        <v>26007</v>
      </c>
      <c r="B22401" t="s">
        <v>26016</v>
      </c>
      <c r="C22401">
        <v>1.6339827067899999E-2</v>
      </c>
      <c r="D22401">
        <v>0.89422616567900004</v>
      </c>
      <c r="E22401">
        <v>17.715142428785601</v>
      </c>
    </row>
    <row r="22402" spans="1:5">
      <c r="A22402" t="s">
        <v>26017</v>
      </c>
      <c r="B22402" t="s">
        <v>26018</v>
      </c>
      <c r="C22402">
        <f>0.060205105869</f>
        <v>6.0205105868999999E-2</v>
      </c>
      <c r="D22402">
        <v>0.57382017266700003</v>
      </c>
      <c r="E22402">
        <v>13.997001499250301</v>
      </c>
    </row>
    <row r="22403" spans="1:5">
      <c r="A22403" t="s">
        <v>26019</v>
      </c>
      <c r="B22403" t="s">
        <v>26020</v>
      </c>
      <c r="C22403">
        <v>0</v>
      </c>
      <c r="D22403">
        <v>0.75057719305899995</v>
      </c>
      <c r="E22403">
        <v>24</v>
      </c>
    </row>
    <row r="22404" spans="1:5">
      <c r="A22404" t="s">
        <v>26019</v>
      </c>
      <c r="B22404" t="s">
        <v>26021</v>
      </c>
      <c r="C22404">
        <f>0</f>
        <v>0</v>
      </c>
      <c r="D22404">
        <v>0.75057719305899995</v>
      </c>
      <c r="E22404">
        <v>24</v>
      </c>
    </row>
    <row r="22405" spans="1:5">
      <c r="A22405" t="s">
        <v>26019</v>
      </c>
      <c r="B22405" t="s">
        <v>26022</v>
      </c>
      <c r="C22405">
        <f>0</f>
        <v>0</v>
      </c>
      <c r="D22405">
        <v>0.75057719305899995</v>
      </c>
      <c r="E22405">
        <v>24</v>
      </c>
    </row>
    <row r="22406" spans="1:5">
      <c r="A22406" t="s">
        <v>26019</v>
      </c>
      <c r="B22406" t="s">
        <v>26023</v>
      </c>
      <c r="C22406">
        <f>0</f>
        <v>0</v>
      </c>
      <c r="D22406">
        <v>0.75057719305899995</v>
      </c>
      <c r="E22406">
        <v>24</v>
      </c>
    </row>
    <row r="22407" spans="1:5">
      <c r="A22407" t="s">
        <v>26019</v>
      </c>
      <c r="B22407" t="s">
        <v>26024</v>
      </c>
      <c r="C22407">
        <v>0</v>
      </c>
      <c r="D22407">
        <v>0.75057719305899995</v>
      </c>
      <c r="E22407">
        <v>24</v>
      </c>
    </row>
    <row r="22408" spans="1:5">
      <c r="A22408" t="s">
        <v>26019</v>
      </c>
      <c r="B22408" t="s">
        <v>26025</v>
      </c>
      <c r="C22408">
        <v>0</v>
      </c>
      <c r="D22408">
        <v>0.75057719305899995</v>
      </c>
      <c r="E22408">
        <v>24</v>
      </c>
    </row>
    <row r="22409" spans="1:5">
      <c r="A22409" t="s">
        <v>26019</v>
      </c>
      <c r="B22409" t="s">
        <v>26026</v>
      </c>
      <c r="C22409">
        <f>0</f>
        <v>0</v>
      </c>
      <c r="D22409">
        <v>0.75057719305899995</v>
      </c>
      <c r="E22409">
        <v>24</v>
      </c>
    </row>
    <row r="22410" spans="1:5">
      <c r="A22410" t="s">
        <v>26019</v>
      </c>
      <c r="B22410" t="s">
        <v>26027</v>
      </c>
      <c r="C22410">
        <f>0</f>
        <v>0</v>
      </c>
      <c r="D22410">
        <v>0.75057719305899995</v>
      </c>
      <c r="E22410">
        <v>24</v>
      </c>
    </row>
    <row r="22411" spans="1:5">
      <c r="A22411" t="s">
        <v>26019</v>
      </c>
      <c r="B22411" t="s">
        <v>26028</v>
      </c>
      <c r="C22411">
        <v>0</v>
      </c>
      <c r="D22411">
        <v>0.75057719305899995</v>
      </c>
      <c r="E22411">
        <v>24</v>
      </c>
    </row>
    <row r="22412" spans="1:5">
      <c r="A22412" t="s">
        <v>26029</v>
      </c>
      <c r="B22412" t="s">
        <v>26030</v>
      </c>
      <c r="C22412">
        <f>0</f>
        <v>0</v>
      </c>
      <c r="D22412">
        <v>0.96591644605600002</v>
      </c>
      <c r="E22412">
        <v>9.1634182908545707</v>
      </c>
    </row>
    <row r="22413" spans="1:5">
      <c r="A22413" t="s">
        <v>26029</v>
      </c>
      <c r="B22413" t="s">
        <v>26031</v>
      </c>
      <c r="C22413">
        <f>0</f>
        <v>0</v>
      </c>
      <c r="D22413">
        <v>0.96591644605600002</v>
      </c>
      <c r="E22413">
        <v>9.1634182908545707</v>
      </c>
    </row>
    <row r="22414" spans="1:5">
      <c r="A22414" t="s">
        <v>26029</v>
      </c>
      <c r="B22414" t="s">
        <v>26032</v>
      </c>
      <c r="C22414">
        <f>0</f>
        <v>0</v>
      </c>
      <c r="D22414">
        <v>0.96591644605600002</v>
      </c>
      <c r="E22414">
        <v>9.1634182908545707</v>
      </c>
    </row>
    <row r="22415" spans="1:5">
      <c r="A22415" t="s">
        <v>26029</v>
      </c>
      <c r="B22415" t="s">
        <v>26033</v>
      </c>
      <c r="C22415">
        <f>0</f>
        <v>0</v>
      </c>
      <c r="D22415">
        <v>0.96591644605600002</v>
      </c>
      <c r="E22415">
        <v>9.1634182908545707</v>
      </c>
    </row>
    <row r="22416" spans="1:5">
      <c r="A22416" t="s">
        <v>26029</v>
      </c>
      <c r="B22416" t="s">
        <v>26034</v>
      </c>
      <c r="C22416">
        <f>0</f>
        <v>0</v>
      </c>
      <c r="D22416">
        <v>0.96591644605600002</v>
      </c>
      <c r="E22416">
        <v>9.1634182908545707</v>
      </c>
    </row>
    <row r="22417" spans="1:5">
      <c r="A22417" t="s">
        <v>26029</v>
      </c>
      <c r="B22417" t="s">
        <v>26035</v>
      </c>
      <c r="C22417">
        <f>0</f>
        <v>0</v>
      </c>
      <c r="D22417">
        <v>0.96591644605600002</v>
      </c>
      <c r="E22417">
        <v>9.1634182908545707</v>
      </c>
    </row>
    <row r="22418" spans="1:5">
      <c r="A22418" t="s">
        <v>26029</v>
      </c>
      <c r="B22418" t="s">
        <v>26036</v>
      </c>
      <c r="C22418">
        <f>0</f>
        <v>0</v>
      </c>
      <c r="D22418">
        <v>0.96591644605600002</v>
      </c>
      <c r="E22418">
        <v>9.1634182908545707</v>
      </c>
    </row>
    <row r="22419" spans="1:5">
      <c r="A22419" t="s">
        <v>26029</v>
      </c>
      <c r="B22419" t="s">
        <v>26037</v>
      </c>
      <c r="C22419">
        <f>0</f>
        <v>0</v>
      </c>
      <c r="D22419">
        <v>0.96591644605600002</v>
      </c>
      <c r="E22419">
        <v>9.1634182908545707</v>
      </c>
    </row>
    <row r="22420" spans="1:5">
      <c r="A22420" t="s">
        <v>26029</v>
      </c>
      <c r="B22420" t="s">
        <v>26038</v>
      </c>
      <c r="C22420">
        <f>0</f>
        <v>0</v>
      </c>
      <c r="D22420">
        <v>0.96591644605600002</v>
      </c>
      <c r="E22420">
        <v>9.1634182908545707</v>
      </c>
    </row>
    <row r="22421" spans="1:5">
      <c r="A22421" t="s">
        <v>26029</v>
      </c>
      <c r="B22421" t="s">
        <v>26039</v>
      </c>
      <c r="C22421">
        <f>0.0926273171468</f>
        <v>9.2627317146800003E-2</v>
      </c>
      <c r="D22421">
        <v>0.96591644605600002</v>
      </c>
      <c r="E22421">
        <v>9.1634182908545707</v>
      </c>
    </row>
    <row r="22422" spans="1:5">
      <c r="A22422" t="s">
        <v>26029</v>
      </c>
      <c r="B22422" t="s">
        <v>26040</v>
      </c>
      <c r="C22422">
        <f>0.0334452370277</f>
        <v>3.3445237027699998E-2</v>
      </c>
      <c r="D22422">
        <v>0.96591644605600002</v>
      </c>
      <c r="E22422">
        <v>9.1634182908545707</v>
      </c>
    </row>
    <row r="22423" spans="1:5">
      <c r="A22423" t="s">
        <v>26029</v>
      </c>
      <c r="B22423" t="s">
        <v>26041</v>
      </c>
      <c r="C22423">
        <f>0</f>
        <v>0</v>
      </c>
      <c r="D22423">
        <v>0.96591644605600002</v>
      </c>
      <c r="E22423">
        <v>9.1634182908545707</v>
      </c>
    </row>
    <row r="22424" spans="1:5">
      <c r="A22424" t="s">
        <v>26029</v>
      </c>
      <c r="B22424" t="s">
        <v>26042</v>
      </c>
      <c r="C22424">
        <v>0</v>
      </c>
      <c r="D22424">
        <v>0.96591644605600002</v>
      </c>
      <c r="E22424">
        <v>9.1634182908545707</v>
      </c>
    </row>
    <row r="22425" spans="1:5">
      <c r="A22425" t="s">
        <v>26029</v>
      </c>
      <c r="B22425" t="s">
        <v>26043</v>
      </c>
      <c r="C22425">
        <f>0</f>
        <v>0</v>
      </c>
      <c r="D22425">
        <v>0.96591644605600002</v>
      </c>
      <c r="E22425">
        <v>9.1634182908545707</v>
      </c>
    </row>
    <row r="22426" spans="1:5">
      <c r="A22426" t="s">
        <v>26029</v>
      </c>
      <c r="B22426" t="s">
        <v>26044</v>
      </c>
      <c r="C22426">
        <f>0</f>
        <v>0</v>
      </c>
      <c r="D22426">
        <v>0.96591644605600002</v>
      </c>
      <c r="E22426">
        <v>9.1634182908545707</v>
      </c>
    </row>
    <row r="22427" spans="1:5">
      <c r="A22427" t="s">
        <v>26029</v>
      </c>
      <c r="B22427" t="s">
        <v>26045</v>
      </c>
      <c r="C22427">
        <f>0</f>
        <v>0</v>
      </c>
      <c r="D22427">
        <v>0.96591644605600002</v>
      </c>
      <c r="E22427">
        <v>9.1634182908545707</v>
      </c>
    </row>
    <row r="22428" spans="1:5">
      <c r="A22428" t="s">
        <v>26029</v>
      </c>
      <c r="B22428" t="s">
        <v>26046</v>
      </c>
      <c r="C22428">
        <f>0</f>
        <v>0</v>
      </c>
      <c r="D22428">
        <v>0.96591644605600002</v>
      </c>
      <c r="E22428">
        <v>9.1634182908545707</v>
      </c>
    </row>
    <row r="22429" spans="1:5">
      <c r="A22429" t="s">
        <v>26047</v>
      </c>
      <c r="B22429" t="s">
        <v>26048</v>
      </c>
      <c r="C22429">
        <f>0</f>
        <v>0</v>
      </c>
      <c r="D22429" t="s">
        <v>106</v>
      </c>
      <c r="E22429">
        <v>9.0194902548725597</v>
      </c>
    </row>
    <row r="22430" spans="1:5">
      <c r="A22430" t="s">
        <v>26047</v>
      </c>
      <c r="B22430" t="s">
        <v>26049</v>
      </c>
      <c r="C22430">
        <v>0</v>
      </c>
      <c r="D22430" t="s">
        <v>106</v>
      </c>
      <c r="E22430">
        <v>9.0194902548725597</v>
      </c>
    </row>
    <row r="22431" spans="1:5">
      <c r="A22431" t="s">
        <v>26047</v>
      </c>
      <c r="B22431" t="s">
        <v>26050</v>
      </c>
      <c r="C22431">
        <v>0</v>
      </c>
      <c r="D22431" t="s">
        <v>106</v>
      </c>
      <c r="E22431">
        <v>9.0194902548725597</v>
      </c>
    </row>
    <row r="22432" spans="1:5">
      <c r="A22432" t="s">
        <v>26047</v>
      </c>
      <c r="B22432" t="s">
        <v>26051</v>
      </c>
      <c r="C22432">
        <f>0</f>
        <v>0</v>
      </c>
      <c r="D22432" t="s">
        <v>106</v>
      </c>
      <c r="E22432">
        <v>9.0194902548725597</v>
      </c>
    </row>
    <row r="22433" spans="1:5">
      <c r="A22433" t="s">
        <v>26052</v>
      </c>
      <c r="B22433" t="s">
        <v>26053</v>
      </c>
      <c r="C22433">
        <v>0.45528154058600001</v>
      </c>
      <c r="D22433">
        <v>0.95679543234999997</v>
      </c>
      <c r="E22433">
        <v>0.40779610194902499</v>
      </c>
    </row>
    <row r="22434" spans="1:5">
      <c r="A22434" t="s">
        <v>26052</v>
      </c>
      <c r="B22434" t="s">
        <v>26054</v>
      </c>
      <c r="C22434">
        <v>0.59788292258499998</v>
      </c>
      <c r="D22434">
        <v>0.95679543234999997</v>
      </c>
      <c r="E22434">
        <v>0.40779610194902499</v>
      </c>
    </row>
    <row r="22435" spans="1:5">
      <c r="A22435" t="s">
        <v>26052</v>
      </c>
      <c r="B22435" t="s">
        <v>26055</v>
      </c>
      <c r="C22435">
        <f>0</f>
        <v>0</v>
      </c>
      <c r="D22435">
        <v>0.95679543234999997</v>
      </c>
      <c r="E22435">
        <v>0.40779610194902499</v>
      </c>
    </row>
    <row r="22436" spans="1:5">
      <c r="A22436" t="s">
        <v>26056</v>
      </c>
      <c r="B22436" t="s">
        <v>26057</v>
      </c>
      <c r="C22436">
        <v>0</v>
      </c>
      <c r="D22436">
        <v>0.93163322634900003</v>
      </c>
      <c r="E22436">
        <v>0.37181409295352302</v>
      </c>
    </row>
    <row r="22437" spans="1:5">
      <c r="A22437" t="s">
        <v>26056</v>
      </c>
      <c r="B22437" t="s">
        <v>26058</v>
      </c>
      <c r="C22437">
        <v>0.128187531114</v>
      </c>
      <c r="D22437">
        <v>0.93163322634900003</v>
      </c>
      <c r="E22437">
        <v>0.37181409295352302</v>
      </c>
    </row>
    <row r="22438" spans="1:5">
      <c r="A22438" t="s">
        <v>26056</v>
      </c>
      <c r="B22438" t="s">
        <v>26059</v>
      </c>
      <c r="C22438">
        <v>0.78984883930200001</v>
      </c>
      <c r="D22438">
        <v>0.93163322634900003</v>
      </c>
      <c r="E22438">
        <v>0.37181409295352302</v>
      </c>
    </row>
    <row r="22439" spans="1:5">
      <c r="A22439" t="s">
        <v>26056</v>
      </c>
      <c r="B22439" t="s">
        <v>26060</v>
      </c>
      <c r="C22439">
        <v>0</v>
      </c>
      <c r="D22439">
        <v>0.93163322634900003</v>
      </c>
      <c r="E22439">
        <v>0.37181409295352302</v>
      </c>
    </row>
    <row r="22440" spans="1:5">
      <c r="A22440" t="s">
        <v>26056</v>
      </c>
      <c r="B22440" t="s">
        <v>26061</v>
      </c>
      <c r="C22440">
        <v>0</v>
      </c>
      <c r="D22440">
        <v>0.93163322634900003</v>
      </c>
      <c r="E22440">
        <v>0.37181409295352302</v>
      </c>
    </row>
    <row r="22441" spans="1:5">
      <c r="A22441" t="s">
        <v>26056</v>
      </c>
      <c r="B22441" t="s">
        <v>26062</v>
      </c>
      <c r="C22441">
        <v>0</v>
      </c>
      <c r="D22441">
        <v>0.93163322634900003</v>
      </c>
      <c r="E22441">
        <v>0.37181409295352302</v>
      </c>
    </row>
    <row r="22442" spans="1:5">
      <c r="A22442" t="s">
        <v>26056</v>
      </c>
      <c r="B22442" t="s">
        <v>26063</v>
      </c>
      <c r="C22442">
        <v>0</v>
      </c>
      <c r="D22442">
        <v>0.93163322634900003</v>
      </c>
      <c r="E22442">
        <v>0.37181409295352302</v>
      </c>
    </row>
    <row r="22443" spans="1:5">
      <c r="A22443" t="s">
        <v>26056</v>
      </c>
      <c r="B22443" t="s">
        <v>26064</v>
      </c>
      <c r="C22443">
        <v>0</v>
      </c>
      <c r="D22443">
        <v>0.93163322634900003</v>
      </c>
      <c r="E22443">
        <v>0.37181409295352302</v>
      </c>
    </row>
    <row r="22444" spans="1:5">
      <c r="A22444" t="s">
        <v>26065</v>
      </c>
      <c r="B22444" t="s">
        <v>26066</v>
      </c>
      <c r="C22444">
        <v>5.2709457466600003E-2</v>
      </c>
      <c r="D22444">
        <v>0.55726549431600003</v>
      </c>
      <c r="E22444">
        <v>5.69715142428785</v>
      </c>
    </row>
    <row r="22445" spans="1:5">
      <c r="A22445" t="s">
        <v>26065</v>
      </c>
      <c r="B22445" t="s">
        <v>26067</v>
      </c>
      <c r="C22445">
        <f>0</f>
        <v>0</v>
      </c>
      <c r="D22445">
        <v>0.55726549431600003</v>
      </c>
      <c r="E22445">
        <v>5.69715142428785</v>
      </c>
    </row>
    <row r="22446" spans="1:5">
      <c r="A22446" t="s">
        <v>26065</v>
      </c>
      <c r="B22446" t="s">
        <v>26068</v>
      </c>
      <c r="C22446">
        <f>0</f>
        <v>0</v>
      </c>
      <c r="D22446">
        <v>0.55726549431600003</v>
      </c>
      <c r="E22446">
        <v>5.69715142428785</v>
      </c>
    </row>
    <row r="22447" spans="1:5">
      <c r="A22447" t="s">
        <v>26065</v>
      </c>
      <c r="B22447" t="s">
        <v>26069</v>
      </c>
      <c r="C22447">
        <f>0</f>
        <v>0</v>
      </c>
      <c r="D22447">
        <v>0.55726549431600003</v>
      </c>
      <c r="E22447">
        <v>5.69715142428785</v>
      </c>
    </row>
    <row r="22448" spans="1:5">
      <c r="A22448" t="s">
        <v>26070</v>
      </c>
      <c r="B22448" t="s">
        <v>26071</v>
      </c>
      <c r="C22448">
        <v>0.60520582329299999</v>
      </c>
      <c r="D22448" t="s">
        <v>106</v>
      </c>
      <c r="E22448">
        <v>2.3268365817091401</v>
      </c>
    </row>
    <row r="22449" spans="1:5">
      <c r="A22449" t="s">
        <v>26070</v>
      </c>
      <c r="B22449" t="s">
        <v>26072</v>
      </c>
      <c r="C22449">
        <v>0.186442084157</v>
      </c>
      <c r="D22449" t="s">
        <v>106</v>
      </c>
      <c r="E22449">
        <v>2.3268365817091401</v>
      </c>
    </row>
    <row r="22450" spans="1:5">
      <c r="A22450" t="s">
        <v>26073</v>
      </c>
      <c r="B22450" t="s">
        <v>26074</v>
      </c>
      <c r="C22450">
        <f>0.020304370459</f>
        <v>2.0304370459E-2</v>
      </c>
      <c r="D22450" t="s">
        <v>106</v>
      </c>
      <c r="E22450">
        <v>3.4902548725637099</v>
      </c>
    </row>
    <row r="22451" spans="1:5">
      <c r="A22451" t="s">
        <v>26073</v>
      </c>
      <c r="B22451" t="s">
        <v>26075</v>
      </c>
      <c r="C22451">
        <v>0</v>
      </c>
      <c r="D22451" t="s">
        <v>106</v>
      </c>
      <c r="E22451">
        <v>3.4902548725637099</v>
      </c>
    </row>
    <row r="22452" spans="1:5">
      <c r="A22452" t="s">
        <v>26073</v>
      </c>
      <c r="B22452" t="s">
        <v>26076</v>
      </c>
      <c r="C22452">
        <v>0</v>
      </c>
      <c r="D22452" t="s">
        <v>106</v>
      </c>
      <c r="E22452">
        <v>3.4902548725637099</v>
      </c>
    </row>
    <row r="22453" spans="1:5">
      <c r="A22453" t="s">
        <v>26073</v>
      </c>
      <c r="B22453" t="s">
        <v>26077</v>
      </c>
      <c r="C22453">
        <v>0</v>
      </c>
      <c r="D22453" t="s">
        <v>106</v>
      </c>
      <c r="E22453">
        <v>3.4902548725637099</v>
      </c>
    </row>
    <row r="22454" spans="1:5">
      <c r="A22454" t="s">
        <v>26073</v>
      </c>
      <c r="B22454" t="s">
        <v>26078</v>
      </c>
      <c r="C22454">
        <v>0.26796122988299997</v>
      </c>
      <c r="D22454" t="s">
        <v>106</v>
      </c>
      <c r="E22454">
        <v>3.4902548725637099</v>
      </c>
    </row>
    <row r="22455" spans="1:5">
      <c r="A22455" t="s">
        <v>26079</v>
      </c>
      <c r="B22455" t="s">
        <v>26080</v>
      </c>
      <c r="C22455">
        <v>0</v>
      </c>
      <c r="D22455">
        <v>0.94679203003400003</v>
      </c>
      <c r="E22455">
        <v>7.8680659670164896</v>
      </c>
    </row>
    <row r="22456" spans="1:5">
      <c r="A22456" t="s">
        <v>26079</v>
      </c>
      <c r="B22456" t="s">
        <v>26081</v>
      </c>
      <c r="C22456">
        <f>0</f>
        <v>0</v>
      </c>
      <c r="D22456">
        <v>0.94679203003400003</v>
      </c>
      <c r="E22456">
        <v>7.8680659670164896</v>
      </c>
    </row>
    <row r="22457" spans="1:5">
      <c r="A22457" t="s">
        <v>26079</v>
      </c>
      <c r="B22457" t="s">
        <v>26082</v>
      </c>
      <c r="C22457">
        <f>0.211658130524</f>
        <v>0.21165813052400001</v>
      </c>
      <c r="D22457">
        <v>0.94679203003400003</v>
      </c>
      <c r="E22457">
        <v>7.8680659670164896</v>
      </c>
    </row>
    <row r="22458" spans="1:5">
      <c r="A22458" t="s">
        <v>26079</v>
      </c>
      <c r="B22458" t="s">
        <v>26083</v>
      </c>
      <c r="C22458">
        <f>0.465655791838</f>
        <v>0.46565579183799999</v>
      </c>
      <c r="D22458">
        <v>0.94679203003400003</v>
      </c>
      <c r="E22458">
        <v>7.8680659670164896</v>
      </c>
    </row>
    <row r="22459" spans="1:5">
      <c r="A22459" t="s">
        <v>26079</v>
      </c>
      <c r="B22459" t="s">
        <v>26084</v>
      </c>
      <c r="C22459">
        <f>0</f>
        <v>0</v>
      </c>
      <c r="D22459">
        <v>0.94679203003400003</v>
      </c>
      <c r="E22459">
        <v>7.8680659670164896</v>
      </c>
    </row>
    <row r="22460" spans="1:5">
      <c r="A22460" t="s">
        <v>26085</v>
      </c>
      <c r="B22460" t="s">
        <v>26086</v>
      </c>
      <c r="C22460">
        <v>6.6839369803799994E-2</v>
      </c>
      <c r="D22460">
        <v>0.988476402335</v>
      </c>
      <c r="E22460">
        <v>6.8005997001499203</v>
      </c>
    </row>
    <row r="22461" spans="1:5">
      <c r="A22461" t="s">
        <v>26085</v>
      </c>
      <c r="B22461" t="s">
        <v>26087</v>
      </c>
      <c r="C22461">
        <v>0</v>
      </c>
      <c r="D22461">
        <v>0.988476402335</v>
      </c>
      <c r="E22461">
        <v>6.8005997001499203</v>
      </c>
    </row>
    <row r="22462" spans="1:5">
      <c r="A22462" t="s">
        <v>26085</v>
      </c>
      <c r="B22462" t="s">
        <v>26088</v>
      </c>
      <c r="C22462">
        <v>0.48412233885200001</v>
      </c>
      <c r="D22462">
        <v>0.988476402335</v>
      </c>
      <c r="E22462">
        <v>6.8005997001499203</v>
      </c>
    </row>
    <row r="22463" spans="1:5">
      <c r="A22463" t="s">
        <v>26085</v>
      </c>
      <c r="B22463" t="s">
        <v>26089</v>
      </c>
      <c r="C22463">
        <f>0</f>
        <v>0</v>
      </c>
      <c r="D22463">
        <v>0.988476402335</v>
      </c>
      <c r="E22463">
        <v>6.8005997001499203</v>
      </c>
    </row>
    <row r="22464" spans="1:5">
      <c r="A22464" t="s">
        <v>26085</v>
      </c>
      <c r="B22464" t="s">
        <v>26090</v>
      </c>
      <c r="C22464">
        <v>0</v>
      </c>
      <c r="D22464">
        <v>0.988476402335</v>
      </c>
      <c r="E22464">
        <v>6.8005997001499203</v>
      </c>
    </row>
    <row r="22465" spans="1:5">
      <c r="A22465" t="s">
        <v>26085</v>
      </c>
      <c r="B22465" t="s">
        <v>26091</v>
      </c>
      <c r="C22465">
        <v>0</v>
      </c>
      <c r="D22465">
        <v>0.988476402335</v>
      </c>
      <c r="E22465">
        <v>6.8005997001499203</v>
      </c>
    </row>
    <row r="22466" spans="1:5">
      <c r="A22466" t="s">
        <v>26085</v>
      </c>
      <c r="B22466" t="s">
        <v>26092</v>
      </c>
      <c r="C22466">
        <v>0</v>
      </c>
      <c r="D22466">
        <v>0.988476402335</v>
      </c>
      <c r="E22466">
        <v>6.8005997001499203</v>
      </c>
    </row>
    <row r="22467" spans="1:5">
      <c r="A22467" t="s">
        <v>26085</v>
      </c>
      <c r="B22467" t="s">
        <v>26093</v>
      </c>
      <c r="C22467">
        <v>0</v>
      </c>
      <c r="D22467">
        <v>0.988476402335</v>
      </c>
      <c r="E22467">
        <v>6.8005997001499203</v>
      </c>
    </row>
    <row r="22468" spans="1:5">
      <c r="A22468" t="s">
        <v>26085</v>
      </c>
      <c r="B22468" t="s">
        <v>26094</v>
      </c>
      <c r="C22468">
        <v>0</v>
      </c>
      <c r="D22468">
        <v>0.988476402335</v>
      </c>
      <c r="E22468">
        <v>6.8005997001499203</v>
      </c>
    </row>
    <row r="22469" spans="1:5">
      <c r="A22469" t="s">
        <v>26095</v>
      </c>
      <c r="B22469" t="s">
        <v>26096</v>
      </c>
      <c r="C22469">
        <v>0.30254830386199999</v>
      </c>
      <c r="D22469" t="s">
        <v>106</v>
      </c>
      <c r="E22469">
        <v>3.4902548725637099</v>
      </c>
    </row>
    <row r="22470" spans="1:5">
      <c r="A22470" t="s">
        <v>26095</v>
      </c>
      <c r="B22470" t="s">
        <v>26097</v>
      </c>
      <c r="C22470">
        <v>0</v>
      </c>
      <c r="D22470" t="s">
        <v>106</v>
      </c>
      <c r="E22470">
        <v>3.4902548725637099</v>
      </c>
    </row>
    <row r="22471" spans="1:5">
      <c r="A22471" t="s">
        <v>26095</v>
      </c>
      <c r="B22471" t="s">
        <v>26098</v>
      </c>
      <c r="C22471">
        <v>0</v>
      </c>
      <c r="D22471" t="s">
        <v>106</v>
      </c>
      <c r="E22471">
        <v>3.4902548725637099</v>
      </c>
    </row>
    <row r="22472" spans="1:5">
      <c r="A22472" t="s">
        <v>26095</v>
      </c>
      <c r="B22472" t="s">
        <v>26099</v>
      </c>
      <c r="C22472">
        <v>0</v>
      </c>
      <c r="D22472" t="s">
        <v>106</v>
      </c>
      <c r="E22472">
        <v>3.4902548725637099</v>
      </c>
    </row>
    <row r="22473" spans="1:5">
      <c r="A22473" t="s">
        <v>26095</v>
      </c>
      <c r="B22473" t="s">
        <v>26100</v>
      </c>
      <c r="C22473">
        <f>0</f>
        <v>0</v>
      </c>
      <c r="D22473" t="s">
        <v>106</v>
      </c>
      <c r="E22473">
        <v>3.4902548725637099</v>
      </c>
    </row>
    <row r="22474" spans="1:5">
      <c r="A22474" t="s">
        <v>26095</v>
      </c>
      <c r="B22474" t="s">
        <v>26101</v>
      </c>
      <c r="C22474">
        <v>0</v>
      </c>
      <c r="D22474" t="s">
        <v>106</v>
      </c>
      <c r="E22474">
        <v>3.4902548725637099</v>
      </c>
    </row>
    <row r="22475" spans="1:5">
      <c r="A22475" t="s">
        <v>26102</v>
      </c>
      <c r="B22475" t="s">
        <v>26103</v>
      </c>
      <c r="C22475">
        <v>0</v>
      </c>
      <c r="D22475" t="s">
        <v>106</v>
      </c>
      <c r="E22475">
        <v>17.307346326836502</v>
      </c>
    </row>
    <row r="22476" spans="1:5">
      <c r="A22476" t="s">
        <v>26102</v>
      </c>
      <c r="B22476" t="s">
        <v>26104</v>
      </c>
      <c r="C22476">
        <f>0</f>
        <v>0</v>
      </c>
      <c r="D22476" t="s">
        <v>106</v>
      </c>
      <c r="E22476">
        <v>17.307346326836502</v>
      </c>
    </row>
    <row r="22477" spans="1:5">
      <c r="A22477" t="s">
        <v>26102</v>
      </c>
      <c r="B22477" t="s">
        <v>26105</v>
      </c>
      <c r="C22477">
        <v>0.20660462229500001</v>
      </c>
      <c r="D22477" t="s">
        <v>106</v>
      </c>
      <c r="E22477">
        <v>17.307346326836502</v>
      </c>
    </row>
    <row r="22478" spans="1:5">
      <c r="A22478" t="s">
        <v>26102</v>
      </c>
      <c r="B22478" t="s">
        <v>26106</v>
      </c>
      <c r="C22478">
        <v>0</v>
      </c>
      <c r="D22478" t="s">
        <v>106</v>
      </c>
      <c r="E22478">
        <v>17.307346326836502</v>
      </c>
    </row>
    <row r="22479" spans="1:5">
      <c r="A22479" t="s">
        <v>26102</v>
      </c>
      <c r="B22479" t="s">
        <v>26107</v>
      </c>
      <c r="C22479">
        <v>3.1505340543599998E-2</v>
      </c>
      <c r="D22479" t="s">
        <v>106</v>
      </c>
      <c r="E22479">
        <v>17.307346326836502</v>
      </c>
    </row>
    <row r="22480" spans="1:5">
      <c r="A22480" t="s">
        <v>26108</v>
      </c>
      <c r="B22480" t="s">
        <v>26109</v>
      </c>
      <c r="C22480">
        <v>0</v>
      </c>
      <c r="D22480">
        <v>0.99069633991200001</v>
      </c>
      <c r="E22480">
        <v>11.202398800599701</v>
      </c>
    </row>
    <row r="22481" spans="1:5">
      <c r="A22481" t="s">
        <v>26108</v>
      </c>
      <c r="B22481" t="s">
        <v>26110</v>
      </c>
      <c r="C22481">
        <v>0</v>
      </c>
      <c r="D22481">
        <v>0.99069633991200001</v>
      </c>
      <c r="E22481">
        <v>11.202398800599701</v>
      </c>
    </row>
    <row r="22482" spans="1:5">
      <c r="A22482" t="s">
        <v>26108</v>
      </c>
      <c r="B22482" t="s">
        <v>26111</v>
      </c>
      <c r="C22482">
        <f>0</f>
        <v>0</v>
      </c>
      <c r="D22482">
        <v>0.99069633991200001</v>
      </c>
      <c r="E22482">
        <v>11.202398800599701</v>
      </c>
    </row>
    <row r="22483" spans="1:5">
      <c r="A22483" t="s">
        <v>26108</v>
      </c>
      <c r="B22483" t="s">
        <v>26112</v>
      </c>
      <c r="C22483">
        <v>0</v>
      </c>
      <c r="D22483">
        <v>0.99069633991200001</v>
      </c>
      <c r="E22483">
        <v>11.202398800599701</v>
      </c>
    </row>
    <row r="22484" spans="1:5">
      <c r="A22484" t="s">
        <v>26108</v>
      </c>
      <c r="B22484" t="s">
        <v>26113</v>
      </c>
      <c r="C22484">
        <v>0.13459468826599999</v>
      </c>
      <c r="D22484">
        <v>0.99069633991200001</v>
      </c>
      <c r="E22484">
        <v>11.202398800599701</v>
      </c>
    </row>
    <row r="22485" spans="1:5">
      <c r="A22485" t="s">
        <v>26108</v>
      </c>
      <c r="B22485" t="s">
        <v>26114</v>
      </c>
      <c r="C22485">
        <f>0</f>
        <v>0</v>
      </c>
      <c r="D22485">
        <v>0.99069633991200001</v>
      </c>
      <c r="E22485">
        <v>11.202398800599701</v>
      </c>
    </row>
    <row r="22486" spans="1:5">
      <c r="A22486" t="s">
        <v>26108</v>
      </c>
      <c r="B22486" t="s">
        <v>26115</v>
      </c>
      <c r="C22486">
        <v>0</v>
      </c>
      <c r="D22486">
        <v>0.99069633991200001</v>
      </c>
      <c r="E22486">
        <v>11.202398800599701</v>
      </c>
    </row>
    <row r="22487" spans="1:5">
      <c r="A22487" t="s">
        <v>26108</v>
      </c>
      <c r="B22487" t="s">
        <v>26116</v>
      </c>
      <c r="C22487">
        <v>0</v>
      </c>
      <c r="D22487">
        <v>0.99069633991200001</v>
      </c>
      <c r="E22487">
        <v>11.202398800599701</v>
      </c>
    </row>
    <row r="22488" spans="1:5">
      <c r="A22488" t="s">
        <v>26108</v>
      </c>
      <c r="B22488" t="s">
        <v>26117</v>
      </c>
      <c r="C22488">
        <v>0</v>
      </c>
      <c r="D22488">
        <v>0.99069633991200001</v>
      </c>
      <c r="E22488">
        <v>11.202398800599701</v>
      </c>
    </row>
    <row r="22489" spans="1:5">
      <c r="A22489" t="s">
        <v>26108</v>
      </c>
      <c r="B22489" t="s">
        <v>26118</v>
      </c>
      <c r="C22489">
        <v>0</v>
      </c>
      <c r="D22489">
        <v>0.99069633991200001</v>
      </c>
      <c r="E22489">
        <v>11.202398800599701</v>
      </c>
    </row>
    <row r="22490" spans="1:5">
      <c r="A22490" t="s">
        <v>26108</v>
      </c>
      <c r="B22490" t="s">
        <v>26119</v>
      </c>
      <c r="C22490">
        <v>0</v>
      </c>
      <c r="D22490">
        <v>0.99069633991200001</v>
      </c>
      <c r="E22490">
        <v>11.202398800599701</v>
      </c>
    </row>
    <row r="22491" spans="1:5">
      <c r="A22491" t="s">
        <v>26120</v>
      </c>
      <c r="B22491" t="s">
        <v>26121</v>
      </c>
      <c r="C22491">
        <f>0</f>
        <v>0</v>
      </c>
      <c r="D22491">
        <v>0.88984340251600003</v>
      </c>
      <c r="E22491">
        <v>0.46776611694152898</v>
      </c>
    </row>
    <row r="22492" spans="1:5">
      <c r="A22492" t="s">
        <v>26120</v>
      </c>
      <c r="B22492" t="s">
        <v>26122</v>
      </c>
      <c r="C22492">
        <v>0.10234975059199999</v>
      </c>
      <c r="D22492">
        <v>0.88984340251600003</v>
      </c>
      <c r="E22492">
        <v>0.46776611694152898</v>
      </c>
    </row>
    <row r="22493" spans="1:5">
      <c r="A22493" t="s">
        <v>26120</v>
      </c>
      <c r="B22493" t="s">
        <v>26123</v>
      </c>
      <c r="C22493">
        <f>0.281728203747</f>
        <v>0.28172820374700003</v>
      </c>
      <c r="D22493">
        <v>0.88984340251600003</v>
      </c>
      <c r="E22493">
        <v>0.46776611694152898</v>
      </c>
    </row>
    <row r="22494" spans="1:5">
      <c r="A22494" t="s">
        <v>26120</v>
      </c>
      <c r="B22494" t="s">
        <v>26124</v>
      </c>
      <c r="C22494">
        <v>0</v>
      </c>
      <c r="D22494">
        <v>0.88984340251600003</v>
      </c>
      <c r="E22494">
        <v>0.46776611694152898</v>
      </c>
    </row>
    <row r="22495" spans="1:5">
      <c r="A22495" t="s">
        <v>26125</v>
      </c>
      <c r="B22495" t="s">
        <v>26126</v>
      </c>
      <c r="C22495">
        <v>0.47425928049499999</v>
      </c>
      <c r="D22495">
        <v>0.96320613707299996</v>
      </c>
      <c r="E22495">
        <v>10.710644677661101</v>
      </c>
    </row>
    <row r="22496" spans="1:5">
      <c r="A22496" t="s">
        <v>26125</v>
      </c>
      <c r="B22496" t="s">
        <v>26127</v>
      </c>
      <c r="C22496">
        <v>9.9287630629499996E-3</v>
      </c>
      <c r="D22496">
        <v>0.96320613707299996</v>
      </c>
      <c r="E22496">
        <v>10.710644677661101</v>
      </c>
    </row>
    <row r="22497" spans="1:5">
      <c r="A22497" t="s">
        <v>26128</v>
      </c>
      <c r="B22497" t="s">
        <v>26129</v>
      </c>
      <c r="C22497">
        <f>0</f>
        <v>0</v>
      </c>
      <c r="D22497">
        <v>0.63869138843499995</v>
      </c>
      <c r="E22497">
        <v>0.69565217391304301</v>
      </c>
    </row>
    <row r="22498" spans="1:5">
      <c r="A22498" t="s">
        <v>26128</v>
      </c>
      <c r="B22498" t="s">
        <v>26130</v>
      </c>
      <c r="C22498">
        <f>0</f>
        <v>0</v>
      </c>
      <c r="D22498">
        <v>0.63869138843499995</v>
      </c>
      <c r="E22498">
        <v>0.69565217391304301</v>
      </c>
    </row>
    <row r="22499" spans="1:5">
      <c r="A22499" t="s">
        <v>26128</v>
      </c>
      <c r="B22499" t="s">
        <v>26131</v>
      </c>
      <c r="C22499">
        <v>2.8182326366900001E-2</v>
      </c>
      <c r="D22499">
        <v>0.63869138843499995</v>
      </c>
      <c r="E22499">
        <v>0.69565217391304301</v>
      </c>
    </row>
    <row r="22500" spans="1:5">
      <c r="A22500" t="s">
        <v>26128</v>
      </c>
      <c r="B22500" t="s">
        <v>26132</v>
      </c>
      <c r="C22500">
        <f>0.000130741795867</f>
        <v>1.3074179586699999E-4</v>
      </c>
      <c r="D22500">
        <v>0.63869138843499995</v>
      </c>
      <c r="E22500">
        <v>0.69565217391304301</v>
      </c>
    </row>
    <row r="22501" spans="1:5">
      <c r="A22501" t="s">
        <v>26128</v>
      </c>
      <c r="B22501" t="s">
        <v>26133</v>
      </c>
      <c r="C22501">
        <f>0</f>
        <v>0</v>
      </c>
      <c r="D22501">
        <v>0.63869138843499995</v>
      </c>
      <c r="E22501">
        <v>0.69565217391304301</v>
      </c>
    </row>
    <row r="22502" spans="1:5">
      <c r="A22502" t="s">
        <v>26134</v>
      </c>
      <c r="B22502" t="s">
        <v>26135</v>
      </c>
      <c r="C22502">
        <f>0</f>
        <v>0</v>
      </c>
      <c r="D22502">
        <v>0.89056232784900002</v>
      </c>
      <c r="E22502">
        <v>1.89505247376311</v>
      </c>
    </row>
    <row r="22503" spans="1:5">
      <c r="A22503" t="s">
        <v>26134</v>
      </c>
      <c r="B22503" t="s">
        <v>26136</v>
      </c>
      <c r="C22503">
        <f>0.0125732970117</f>
        <v>1.2573297011699999E-2</v>
      </c>
      <c r="D22503">
        <v>0.89056232784900002</v>
      </c>
      <c r="E22503">
        <v>1.89505247376311</v>
      </c>
    </row>
    <row r="22504" spans="1:5">
      <c r="A22504" t="s">
        <v>26134</v>
      </c>
      <c r="B22504" t="s">
        <v>26137</v>
      </c>
      <c r="C22504">
        <v>0</v>
      </c>
      <c r="D22504">
        <v>0.89056232784900002</v>
      </c>
      <c r="E22504">
        <v>1.89505247376311</v>
      </c>
    </row>
    <row r="22505" spans="1:5">
      <c r="A22505" t="s">
        <v>26134</v>
      </c>
      <c r="B22505" t="s">
        <v>26138</v>
      </c>
      <c r="C22505">
        <v>0</v>
      </c>
      <c r="D22505">
        <v>0.89056232784900002</v>
      </c>
      <c r="E22505">
        <v>1.89505247376311</v>
      </c>
    </row>
    <row r="22506" spans="1:5">
      <c r="A22506" t="s">
        <v>26134</v>
      </c>
      <c r="B22506" t="s">
        <v>26139</v>
      </c>
      <c r="C22506">
        <f>0</f>
        <v>0</v>
      </c>
      <c r="D22506">
        <v>0.89056232784900002</v>
      </c>
      <c r="E22506">
        <v>1.89505247376311</v>
      </c>
    </row>
    <row r="22507" spans="1:5">
      <c r="A22507" t="s">
        <v>26134</v>
      </c>
      <c r="B22507" t="s">
        <v>26140</v>
      </c>
      <c r="C22507">
        <f>0</f>
        <v>0</v>
      </c>
      <c r="D22507">
        <v>0.89056232784900002</v>
      </c>
      <c r="E22507">
        <v>1.89505247376311</v>
      </c>
    </row>
    <row r="22508" spans="1:5">
      <c r="A22508" t="s">
        <v>26134</v>
      </c>
      <c r="B22508" t="s">
        <v>26141</v>
      </c>
      <c r="C22508">
        <f>0</f>
        <v>0</v>
      </c>
      <c r="D22508">
        <v>0.89056232784900002</v>
      </c>
      <c r="E22508">
        <v>1.89505247376311</v>
      </c>
    </row>
    <row r="22509" spans="1:5">
      <c r="A22509" t="s">
        <v>26134</v>
      </c>
      <c r="B22509" t="s">
        <v>26142</v>
      </c>
      <c r="C22509">
        <v>0</v>
      </c>
      <c r="D22509">
        <v>0.89056232784900002</v>
      </c>
      <c r="E22509">
        <v>1.89505247376311</v>
      </c>
    </row>
    <row r="22510" spans="1:5">
      <c r="A22510" t="s">
        <v>26134</v>
      </c>
      <c r="B22510" t="s">
        <v>26143</v>
      </c>
      <c r="C22510">
        <v>0</v>
      </c>
      <c r="D22510">
        <v>0.89056232784900002</v>
      </c>
      <c r="E22510">
        <v>1.89505247376311</v>
      </c>
    </row>
    <row r="22511" spans="1:5">
      <c r="A22511" t="s">
        <v>26134</v>
      </c>
      <c r="B22511" t="s">
        <v>26144</v>
      </c>
      <c r="C22511">
        <v>0</v>
      </c>
      <c r="D22511">
        <v>0.89056232784900002</v>
      </c>
      <c r="E22511">
        <v>1.89505247376311</v>
      </c>
    </row>
    <row r="22512" spans="1:5">
      <c r="A22512" t="s">
        <v>26134</v>
      </c>
      <c r="B22512" t="s">
        <v>26145</v>
      </c>
      <c r="C22512">
        <v>0</v>
      </c>
      <c r="D22512">
        <v>0.89056232784900002</v>
      </c>
      <c r="E22512">
        <v>1.89505247376311</v>
      </c>
    </row>
    <row r="22513" spans="1:5">
      <c r="A22513" t="s">
        <v>26134</v>
      </c>
      <c r="B22513" t="s">
        <v>26146</v>
      </c>
      <c r="C22513">
        <f>0.000564023550301</f>
        <v>5.6402355030099995E-4</v>
      </c>
      <c r="D22513">
        <v>0.89056232784900002</v>
      </c>
      <c r="E22513">
        <v>1.89505247376311</v>
      </c>
    </row>
    <row r="22514" spans="1:5">
      <c r="A22514" t="s">
        <v>26134</v>
      </c>
      <c r="B22514" t="s">
        <v>26147</v>
      </c>
      <c r="C22514">
        <f>0</f>
        <v>0</v>
      </c>
      <c r="D22514">
        <v>0.89056232784900002</v>
      </c>
      <c r="E22514">
        <v>1.89505247376311</v>
      </c>
    </row>
    <row r="22515" spans="1:5">
      <c r="A22515" t="s">
        <v>26148</v>
      </c>
      <c r="B22515" t="s">
        <v>26149</v>
      </c>
      <c r="C22515">
        <f>0.023230969998</f>
        <v>2.3230969997999999E-2</v>
      </c>
      <c r="D22515" t="s">
        <v>106</v>
      </c>
      <c r="E22515">
        <v>24</v>
      </c>
    </row>
    <row r="22516" spans="1:5">
      <c r="A22516" t="s">
        <v>26148</v>
      </c>
      <c r="B22516" t="s">
        <v>26150</v>
      </c>
      <c r="C22516">
        <v>0</v>
      </c>
      <c r="D22516" t="s">
        <v>106</v>
      </c>
      <c r="E22516">
        <v>24</v>
      </c>
    </row>
    <row r="22517" spans="1:5">
      <c r="A22517" t="s">
        <v>26148</v>
      </c>
      <c r="B22517" t="s">
        <v>26151</v>
      </c>
      <c r="C22517">
        <v>1.43507307288E-2</v>
      </c>
      <c r="D22517" t="s">
        <v>106</v>
      </c>
      <c r="E22517">
        <v>24</v>
      </c>
    </row>
    <row r="22518" spans="1:5">
      <c r="A22518" t="s">
        <v>26148</v>
      </c>
      <c r="B22518" t="s">
        <v>26152</v>
      </c>
      <c r="C22518">
        <f>0</f>
        <v>0</v>
      </c>
      <c r="D22518" t="s">
        <v>106</v>
      </c>
      <c r="E22518">
        <v>24</v>
      </c>
    </row>
    <row r="22519" spans="1:5">
      <c r="A22519" t="s">
        <v>26153</v>
      </c>
      <c r="B22519" t="s">
        <v>26154</v>
      </c>
      <c r="C22519">
        <f>0.311636410394</f>
        <v>0.31163641039399997</v>
      </c>
      <c r="D22519">
        <v>0.94463478074399998</v>
      </c>
      <c r="E22519">
        <v>12.3898050974512</v>
      </c>
    </row>
    <row r="22520" spans="1:5">
      <c r="A22520" t="s">
        <v>26155</v>
      </c>
      <c r="B22520" t="s">
        <v>26156</v>
      </c>
      <c r="C22520">
        <v>0.65766954782200004</v>
      </c>
      <c r="D22520">
        <v>0.91692949024000003</v>
      </c>
      <c r="E22520">
        <v>3.40629685157421</v>
      </c>
    </row>
    <row r="22521" spans="1:5">
      <c r="A22521" t="s">
        <v>26155</v>
      </c>
      <c r="B22521" t="s">
        <v>26157</v>
      </c>
      <c r="C22521">
        <f>0</f>
        <v>0</v>
      </c>
      <c r="D22521">
        <v>0.91692949024000003</v>
      </c>
      <c r="E22521">
        <v>3.40629685157421</v>
      </c>
    </row>
    <row r="22522" spans="1:5">
      <c r="A22522" t="s">
        <v>26155</v>
      </c>
      <c r="B22522" t="s">
        <v>26158</v>
      </c>
      <c r="C22522">
        <f>0</f>
        <v>0</v>
      </c>
      <c r="D22522">
        <v>0.91692949024000003</v>
      </c>
      <c r="E22522">
        <v>3.40629685157421</v>
      </c>
    </row>
    <row r="22523" spans="1:5">
      <c r="A22523" t="s">
        <v>26159</v>
      </c>
      <c r="B22523" t="s">
        <v>26160</v>
      </c>
      <c r="C22523">
        <v>0</v>
      </c>
      <c r="D22523" t="s">
        <v>106</v>
      </c>
      <c r="E22523">
        <v>13.0854572713643</v>
      </c>
    </row>
    <row r="22524" spans="1:5">
      <c r="A22524" t="s">
        <v>26159</v>
      </c>
      <c r="B22524" t="s">
        <v>26161</v>
      </c>
      <c r="C22524">
        <f>0</f>
        <v>0</v>
      </c>
      <c r="D22524" t="s">
        <v>106</v>
      </c>
      <c r="E22524">
        <v>13.0854572713643</v>
      </c>
    </row>
    <row r="22525" spans="1:5">
      <c r="A22525" t="s">
        <v>26159</v>
      </c>
      <c r="B22525" t="s">
        <v>26162</v>
      </c>
      <c r="C22525">
        <v>0</v>
      </c>
      <c r="D22525" t="s">
        <v>106</v>
      </c>
      <c r="E22525">
        <v>13.0854572713643</v>
      </c>
    </row>
    <row r="22526" spans="1:5">
      <c r="A22526" t="s">
        <v>26159</v>
      </c>
      <c r="B22526" t="s">
        <v>26163</v>
      </c>
      <c r="C22526">
        <f>0</f>
        <v>0</v>
      </c>
      <c r="D22526" t="s">
        <v>106</v>
      </c>
      <c r="E22526">
        <v>13.0854572713643</v>
      </c>
    </row>
    <row r="22527" spans="1:5">
      <c r="A22527" t="s">
        <v>26159</v>
      </c>
      <c r="B22527" t="s">
        <v>26164</v>
      </c>
      <c r="C22527">
        <f>0</f>
        <v>0</v>
      </c>
      <c r="D22527" t="s">
        <v>106</v>
      </c>
      <c r="E22527">
        <v>13.0854572713643</v>
      </c>
    </row>
    <row r="22528" spans="1:5">
      <c r="A22528" t="s">
        <v>26159</v>
      </c>
      <c r="B22528" t="s">
        <v>26165</v>
      </c>
      <c r="C22528">
        <f>0</f>
        <v>0</v>
      </c>
      <c r="D22528" t="s">
        <v>106</v>
      </c>
      <c r="E22528">
        <v>13.0854572713643</v>
      </c>
    </row>
    <row r="22529" spans="1:5">
      <c r="A22529" t="s">
        <v>26159</v>
      </c>
      <c r="B22529" t="s">
        <v>26166</v>
      </c>
      <c r="C22529">
        <f>0</f>
        <v>0</v>
      </c>
      <c r="D22529" t="s">
        <v>106</v>
      </c>
      <c r="E22529">
        <v>13.0854572713643</v>
      </c>
    </row>
    <row r="22530" spans="1:5">
      <c r="A22530" t="s">
        <v>26159</v>
      </c>
      <c r="B22530" t="s">
        <v>26167</v>
      </c>
      <c r="C22530">
        <f>0</f>
        <v>0</v>
      </c>
      <c r="D22530" t="s">
        <v>106</v>
      </c>
      <c r="E22530">
        <v>13.0854572713643</v>
      </c>
    </row>
    <row r="22531" spans="1:5">
      <c r="A22531" t="s">
        <v>26159</v>
      </c>
      <c r="B22531" t="s">
        <v>26168</v>
      </c>
      <c r="C22531">
        <v>0</v>
      </c>
      <c r="D22531" t="s">
        <v>106</v>
      </c>
      <c r="E22531">
        <v>13.0854572713643</v>
      </c>
    </row>
    <row r="22532" spans="1:5">
      <c r="A22532" t="s">
        <v>26159</v>
      </c>
      <c r="B22532" t="s">
        <v>26169</v>
      </c>
      <c r="C22532">
        <v>0</v>
      </c>
      <c r="D22532" t="s">
        <v>106</v>
      </c>
      <c r="E22532">
        <v>13.0854572713643</v>
      </c>
    </row>
    <row r="22533" spans="1:5">
      <c r="A22533" t="s">
        <v>26159</v>
      </c>
      <c r="B22533" t="s">
        <v>26170</v>
      </c>
      <c r="C22533">
        <f>0</f>
        <v>0</v>
      </c>
      <c r="D22533" t="s">
        <v>106</v>
      </c>
      <c r="E22533">
        <v>13.0854572713643</v>
      </c>
    </row>
    <row r="22534" spans="1:5">
      <c r="A22534" t="s">
        <v>26159</v>
      </c>
      <c r="B22534" t="s">
        <v>26171</v>
      </c>
      <c r="C22534">
        <f>0</f>
        <v>0</v>
      </c>
      <c r="D22534" t="s">
        <v>106</v>
      </c>
      <c r="E22534">
        <v>13.0854572713643</v>
      </c>
    </row>
    <row r="22535" spans="1:5">
      <c r="A22535" t="s">
        <v>26159</v>
      </c>
      <c r="B22535" t="s">
        <v>26172</v>
      </c>
      <c r="C22535">
        <f>0</f>
        <v>0</v>
      </c>
      <c r="D22535" t="s">
        <v>106</v>
      </c>
      <c r="E22535">
        <v>13.0854572713643</v>
      </c>
    </row>
    <row r="22536" spans="1:5">
      <c r="A22536" t="s">
        <v>26159</v>
      </c>
      <c r="B22536" t="s">
        <v>26173</v>
      </c>
      <c r="C22536">
        <f>0</f>
        <v>0</v>
      </c>
      <c r="D22536" t="s">
        <v>106</v>
      </c>
      <c r="E22536">
        <v>13.0854572713643</v>
      </c>
    </row>
    <row r="22537" spans="1:5">
      <c r="A22537" t="s">
        <v>26174</v>
      </c>
      <c r="B22537" t="s">
        <v>26175</v>
      </c>
      <c r="C22537">
        <v>0.207936045973</v>
      </c>
      <c r="D22537">
        <v>0.95315690556499999</v>
      </c>
      <c r="E22537">
        <v>24</v>
      </c>
    </row>
    <row r="22538" spans="1:5">
      <c r="A22538" t="s">
        <v>26174</v>
      </c>
      <c r="B22538" t="s">
        <v>26176</v>
      </c>
      <c r="C22538">
        <f>0.072065647046</f>
        <v>7.2065647046000006E-2</v>
      </c>
      <c r="D22538">
        <v>0.95315690556499999</v>
      </c>
      <c r="E22538">
        <v>24</v>
      </c>
    </row>
    <row r="22539" spans="1:5">
      <c r="A22539" t="s">
        <v>26177</v>
      </c>
      <c r="B22539" t="s">
        <v>26178</v>
      </c>
      <c r="C22539">
        <f>0.0617811598855</f>
        <v>6.1781159885500002E-2</v>
      </c>
      <c r="D22539">
        <v>0.90941181652500003</v>
      </c>
      <c r="E22539">
        <v>3.97001499250374</v>
      </c>
    </row>
    <row r="22540" spans="1:5">
      <c r="A22540" t="s">
        <v>26177</v>
      </c>
      <c r="B22540" t="s">
        <v>26179</v>
      </c>
      <c r="C22540">
        <f>0.507845558487</f>
        <v>0.50784555848699997</v>
      </c>
      <c r="D22540">
        <v>0.90941181652500003</v>
      </c>
      <c r="E22540">
        <v>3.97001499250374</v>
      </c>
    </row>
    <row r="22541" spans="1:5">
      <c r="A22541" t="s">
        <v>26177</v>
      </c>
      <c r="B22541" t="s">
        <v>26180</v>
      </c>
      <c r="C22541">
        <f>0</f>
        <v>0</v>
      </c>
      <c r="D22541">
        <v>0.90941181652500003</v>
      </c>
      <c r="E22541">
        <v>3.97001499250374</v>
      </c>
    </row>
    <row r="22542" spans="1:5">
      <c r="A22542" t="s">
        <v>26177</v>
      </c>
      <c r="B22542" t="s">
        <v>26181</v>
      </c>
      <c r="C22542">
        <v>0</v>
      </c>
      <c r="D22542">
        <v>0.90941181652500003</v>
      </c>
      <c r="E22542">
        <v>3.97001499250374</v>
      </c>
    </row>
    <row r="22543" spans="1:5">
      <c r="A22543" t="s">
        <v>26182</v>
      </c>
      <c r="B22543" t="s">
        <v>26183</v>
      </c>
      <c r="C22543">
        <v>0</v>
      </c>
      <c r="D22543">
        <v>0.98406998287000003</v>
      </c>
      <c r="E22543">
        <v>13.2653673163418</v>
      </c>
    </row>
    <row r="22544" spans="1:5">
      <c r="A22544" t="s">
        <v>26182</v>
      </c>
      <c r="B22544" t="s">
        <v>26184</v>
      </c>
      <c r="C22544">
        <v>0</v>
      </c>
      <c r="D22544">
        <v>0.98406998287000003</v>
      </c>
      <c r="E22544">
        <v>13.2653673163418</v>
      </c>
    </row>
    <row r="22545" spans="1:5">
      <c r="A22545" t="s">
        <v>26182</v>
      </c>
      <c r="B22545" t="s">
        <v>26185</v>
      </c>
      <c r="C22545">
        <v>0</v>
      </c>
      <c r="D22545">
        <v>0.98406998287000003</v>
      </c>
      <c r="E22545">
        <v>13.2653673163418</v>
      </c>
    </row>
    <row r="22546" spans="1:5">
      <c r="A22546" t="s">
        <v>26182</v>
      </c>
      <c r="B22546" t="s">
        <v>26186</v>
      </c>
      <c r="C22546">
        <v>0</v>
      </c>
      <c r="D22546">
        <v>0.98406998287000003</v>
      </c>
      <c r="E22546">
        <v>13.2653673163418</v>
      </c>
    </row>
    <row r="22547" spans="1:5">
      <c r="A22547" t="s">
        <v>26182</v>
      </c>
      <c r="B22547" t="s">
        <v>26187</v>
      </c>
      <c r="C22547">
        <v>0.149198431356</v>
      </c>
      <c r="D22547">
        <v>0.98406998287000003</v>
      </c>
      <c r="E22547">
        <v>13.2653673163418</v>
      </c>
    </row>
    <row r="22548" spans="1:5">
      <c r="A22548" t="s">
        <v>26182</v>
      </c>
      <c r="B22548" t="s">
        <v>26188</v>
      </c>
      <c r="C22548">
        <v>0</v>
      </c>
      <c r="D22548">
        <v>0.98406998287000003</v>
      </c>
      <c r="E22548">
        <v>13.2653673163418</v>
      </c>
    </row>
    <row r="22549" spans="1:5">
      <c r="A22549" t="s">
        <v>26182</v>
      </c>
      <c r="B22549" t="s">
        <v>26189</v>
      </c>
      <c r="C22549">
        <v>0.10695951899800001</v>
      </c>
      <c r="D22549">
        <v>0.98406998287000003</v>
      </c>
      <c r="E22549">
        <v>13.2653673163418</v>
      </c>
    </row>
    <row r="22550" spans="1:5">
      <c r="A22550" t="s">
        <v>26182</v>
      </c>
      <c r="B22550" t="s">
        <v>26190</v>
      </c>
      <c r="C22550">
        <v>0</v>
      </c>
      <c r="D22550">
        <v>0.98406998287000003</v>
      </c>
      <c r="E22550">
        <v>13.2653673163418</v>
      </c>
    </row>
    <row r="22551" spans="1:5">
      <c r="A22551" t="s">
        <v>26182</v>
      </c>
      <c r="B22551" t="s">
        <v>26191</v>
      </c>
      <c r="C22551">
        <v>0</v>
      </c>
      <c r="D22551">
        <v>0.98406998287000003</v>
      </c>
      <c r="E22551">
        <v>13.2653673163418</v>
      </c>
    </row>
    <row r="22552" spans="1:5">
      <c r="A22552" t="s">
        <v>26182</v>
      </c>
      <c r="B22552" t="s">
        <v>26192</v>
      </c>
      <c r="C22552">
        <f>0</f>
        <v>0</v>
      </c>
      <c r="D22552">
        <v>0.98406998287000003</v>
      </c>
      <c r="E22552">
        <v>13.2653673163418</v>
      </c>
    </row>
    <row r="22553" spans="1:5">
      <c r="A22553" t="s">
        <v>26182</v>
      </c>
      <c r="B22553" t="s">
        <v>26193</v>
      </c>
      <c r="C22553">
        <v>0</v>
      </c>
      <c r="D22553">
        <v>0.98406998287000003</v>
      </c>
      <c r="E22553">
        <v>13.2653673163418</v>
      </c>
    </row>
    <row r="22554" spans="1:5">
      <c r="A22554" t="s">
        <v>26182</v>
      </c>
      <c r="B22554" t="s">
        <v>26194</v>
      </c>
      <c r="C22554">
        <v>0</v>
      </c>
      <c r="D22554">
        <v>0.98406998287000003</v>
      </c>
      <c r="E22554">
        <v>13.2653673163418</v>
      </c>
    </row>
    <row r="22555" spans="1:5">
      <c r="A22555" t="s">
        <v>26195</v>
      </c>
      <c r="B22555" t="s">
        <v>26196</v>
      </c>
      <c r="C22555">
        <v>5.0142747457200001E-2</v>
      </c>
      <c r="D22555">
        <v>0.55624439827500005</v>
      </c>
      <c r="E22555">
        <v>13.625187406296799</v>
      </c>
    </row>
    <row r="22556" spans="1:5">
      <c r="A22556" t="s">
        <v>26195</v>
      </c>
      <c r="B22556" t="s">
        <v>26197</v>
      </c>
      <c r="C22556">
        <f>0.153299131029</f>
        <v>0.153299131029</v>
      </c>
      <c r="D22556">
        <v>0.55624439827500005</v>
      </c>
      <c r="E22556">
        <v>13.625187406296799</v>
      </c>
    </row>
    <row r="22557" spans="1:5">
      <c r="A22557" t="s">
        <v>26198</v>
      </c>
      <c r="B22557" t="s">
        <v>26199</v>
      </c>
      <c r="C22557">
        <f>0</f>
        <v>0</v>
      </c>
      <c r="D22557" t="s">
        <v>106</v>
      </c>
      <c r="E22557">
        <v>1.7631184407796101</v>
      </c>
    </row>
    <row r="22558" spans="1:5">
      <c r="A22558" t="s">
        <v>26198</v>
      </c>
      <c r="B22558" t="s">
        <v>26200</v>
      </c>
      <c r="C22558">
        <f>0</f>
        <v>0</v>
      </c>
      <c r="D22558" t="s">
        <v>106</v>
      </c>
      <c r="E22558">
        <v>1.7631184407796101</v>
      </c>
    </row>
    <row r="22559" spans="1:5">
      <c r="A22559" t="s">
        <v>26198</v>
      </c>
      <c r="B22559" t="s">
        <v>26201</v>
      </c>
      <c r="C22559">
        <v>0</v>
      </c>
      <c r="D22559" t="s">
        <v>106</v>
      </c>
      <c r="E22559">
        <v>1.7631184407796101</v>
      </c>
    </row>
    <row r="22560" spans="1:5">
      <c r="A22560" t="s">
        <v>26198</v>
      </c>
      <c r="B22560" t="s">
        <v>26202</v>
      </c>
      <c r="C22560">
        <v>0</v>
      </c>
      <c r="D22560" t="s">
        <v>106</v>
      </c>
      <c r="E22560">
        <v>1.7631184407796101</v>
      </c>
    </row>
    <row r="22561" spans="1:5">
      <c r="A22561" t="s">
        <v>26198</v>
      </c>
      <c r="B22561" t="s">
        <v>26203</v>
      </c>
      <c r="C22561">
        <f>0</f>
        <v>0</v>
      </c>
      <c r="D22561" t="s">
        <v>106</v>
      </c>
      <c r="E22561">
        <v>1.7631184407796101</v>
      </c>
    </row>
    <row r="22562" spans="1:5">
      <c r="A22562" t="s">
        <v>26198</v>
      </c>
      <c r="B22562" t="s">
        <v>26204</v>
      </c>
      <c r="C22562">
        <f>0</f>
        <v>0</v>
      </c>
      <c r="D22562" t="s">
        <v>106</v>
      </c>
      <c r="E22562">
        <v>1.7631184407796101</v>
      </c>
    </row>
    <row r="22563" spans="1:5">
      <c r="A22563" t="s">
        <v>26198</v>
      </c>
      <c r="B22563" t="s">
        <v>26205</v>
      </c>
      <c r="C22563">
        <f>0</f>
        <v>0</v>
      </c>
      <c r="D22563" t="s">
        <v>106</v>
      </c>
      <c r="E22563">
        <v>1.7631184407796101</v>
      </c>
    </row>
    <row r="22564" spans="1:5">
      <c r="A22564" t="s">
        <v>26198</v>
      </c>
      <c r="B22564" t="s">
        <v>26206</v>
      </c>
      <c r="C22564">
        <v>0</v>
      </c>
      <c r="D22564" t="s">
        <v>106</v>
      </c>
      <c r="E22564">
        <v>1.7631184407796101</v>
      </c>
    </row>
    <row r="22565" spans="1:5">
      <c r="A22565" t="s">
        <v>26207</v>
      </c>
      <c r="B22565" t="s">
        <v>26208</v>
      </c>
      <c r="C22565">
        <f>0</f>
        <v>0</v>
      </c>
      <c r="D22565" t="s">
        <v>106</v>
      </c>
      <c r="E22565">
        <v>12.0419790104947</v>
      </c>
    </row>
    <row r="22566" spans="1:5">
      <c r="A22566" t="s">
        <v>26207</v>
      </c>
      <c r="B22566" t="s">
        <v>26209</v>
      </c>
      <c r="C22566">
        <v>0</v>
      </c>
      <c r="D22566" t="s">
        <v>106</v>
      </c>
      <c r="E22566">
        <v>12.0419790104947</v>
      </c>
    </row>
    <row r="22567" spans="1:5">
      <c r="A22567" t="s">
        <v>26207</v>
      </c>
      <c r="B22567" t="s">
        <v>26210</v>
      </c>
      <c r="C22567">
        <v>0</v>
      </c>
      <c r="D22567" t="s">
        <v>106</v>
      </c>
      <c r="E22567">
        <v>12.0419790104947</v>
      </c>
    </row>
    <row r="22568" spans="1:5">
      <c r="A22568" t="s">
        <v>26207</v>
      </c>
      <c r="B22568" t="s">
        <v>26211</v>
      </c>
      <c r="C22568">
        <f>0</f>
        <v>0</v>
      </c>
      <c r="D22568" t="s">
        <v>106</v>
      </c>
      <c r="E22568">
        <v>12.0419790104947</v>
      </c>
    </row>
    <row r="22569" spans="1:5">
      <c r="A22569" t="s">
        <v>26212</v>
      </c>
      <c r="B22569" t="s">
        <v>26213</v>
      </c>
      <c r="C22569">
        <f>0.00419314443178</f>
        <v>4.19314443178E-3</v>
      </c>
      <c r="D22569">
        <v>0.88360517170399999</v>
      </c>
      <c r="E22569">
        <v>2.0269865067466202</v>
      </c>
    </row>
    <row r="22570" spans="1:5">
      <c r="A22570" t="s">
        <v>26212</v>
      </c>
      <c r="B22570" t="s">
        <v>26214</v>
      </c>
      <c r="C22570">
        <v>0</v>
      </c>
      <c r="D22570">
        <v>0.88360517170399999</v>
      </c>
      <c r="E22570">
        <v>2.0269865067466202</v>
      </c>
    </row>
    <row r="22571" spans="1:5">
      <c r="A22571" t="s">
        <v>26215</v>
      </c>
      <c r="B22571" t="s">
        <v>26216</v>
      </c>
      <c r="C22571">
        <v>0.34870601870000001</v>
      </c>
      <c r="D22571">
        <v>0.99569132044899999</v>
      </c>
      <c r="E22571">
        <v>3.5862068965517202</v>
      </c>
    </row>
    <row r="22572" spans="1:5">
      <c r="A22572" t="s">
        <v>26217</v>
      </c>
      <c r="B22572" t="s">
        <v>26218</v>
      </c>
      <c r="C22572">
        <v>0.31632708618799998</v>
      </c>
      <c r="D22572" t="s">
        <v>106</v>
      </c>
      <c r="E22572">
        <v>5.1214392803598203</v>
      </c>
    </row>
    <row r="22573" spans="1:5">
      <c r="A22573" t="s">
        <v>26219</v>
      </c>
      <c r="B22573" t="s">
        <v>26220</v>
      </c>
      <c r="C22573">
        <v>4.8666037750699997E-2</v>
      </c>
      <c r="D22573">
        <v>0.560584930446</v>
      </c>
      <c r="E22573">
        <v>7.4602698650674597</v>
      </c>
    </row>
    <row r="22574" spans="1:5">
      <c r="A22574" t="s">
        <v>26219</v>
      </c>
      <c r="B22574" t="s">
        <v>26221</v>
      </c>
      <c r="C22574">
        <v>4.9800613442999998E-2</v>
      </c>
      <c r="D22574">
        <v>0.560584930446</v>
      </c>
      <c r="E22574">
        <v>7.4602698650674597</v>
      </c>
    </row>
    <row r="22575" spans="1:5">
      <c r="A22575" t="s">
        <v>26222</v>
      </c>
      <c r="B22575" t="s">
        <v>26223</v>
      </c>
      <c r="C22575">
        <v>0</v>
      </c>
      <c r="D22575" t="s">
        <v>106</v>
      </c>
      <c r="E22575">
        <v>5.8170914542728598</v>
      </c>
    </row>
    <row r="22576" spans="1:5">
      <c r="A22576" t="s">
        <v>26222</v>
      </c>
      <c r="B22576" t="s">
        <v>26224</v>
      </c>
      <c r="C22576">
        <f>0</f>
        <v>0</v>
      </c>
      <c r="D22576" t="s">
        <v>106</v>
      </c>
      <c r="E22576">
        <v>5.8170914542728598</v>
      </c>
    </row>
    <row r="22577" spans="1:5">
      <c r="A22577" t="s">
        <v>26222</v>
      </c>
      <c r="B22577" t="s">
        <v>26225</v>
      </c>
      <c r="C22577">
        <f>0</f>
        <v>0</v>
      </c>
      <c r="D22577" t="s">
        <v>106</v>
      </c>
      <c r="E22577">
        <v>5.8170914542728598</v>
      </c>
    </row>
    <row r="22578" spans="1:5">
      <c r="A22578" t="s">
        <v>26222</v>
      </c>
      <c r="B22578" t="s">
        <v>26226</v>
      </c>
      <c r="C22578">
        <f>0</f>
        <v>0</v>
      </c>
      <c r="D22578" t="s">
        <v>106</v>
      </c>
      <c r="E22578">
        <v>5.8170914542728598</v>
      </c>
    </row>
    <row r="22579" spans="1:5">
      <c r="A22579" t="s">
        <v>26222</v>
      </c>
      <c r="B22579" t="s">
        <v>26227</v>
      </c>
      <c r="C22579">
        <v>0</v>
      </c>
      <c r="D22579" t="s">
        <v>106</v>
      </c>
      <c r="E22579">
        <v>5.8170914542728598</v>
      </c>
    </row>
    <row r="22580" spans="1:5">
      <c r="A22580" t="s">
        <v>26222</v>
      </c>
      <c r="B22580" t="s">
        <v>26228</v>
      </c>
      <c r="C22580">
        <f>0</f>
        <v>0</v>
      </c>
      <c r="D22580" t="s">
        <v>106</v>
      </c>
      <c r="E22580">
        <v>5.8170914542728598</v>
      </c>
    </row>
    <row r="22581" spans="1:5">
      <c r="A22581" t="s">
        <v>26222</v>
      </c>
      <c r="B22581" t="s">
        <v>26229</v>
      </c>
      <c r="C22581">
        <v>0</v>
      </c>
      <c r="D22581" t="s">
        <v>106</v>
      </c>
      <c r="E22581">
        <v>5.8170914542728598</v>
      </c>
    </row>
    <row r="22582" spans="1:5">
      <c r="A22582" t="s">
        <v>26222</v>
      </c>
      <c r="B22582" t="s">
        <v>26230</v>
      </c>
      <c r="C22582">
        <v>0</v>
      </c>
      <c r="D22582" t="s">
        <v>106</v>
      </c>
      <c r="E22582">
        <v>5.8170914542728598</v>
      </c>
    </row>
    <row r="22583" spans="1:5">
      <c r="A22583" t="s">
        <v>26222</v>
      </c>
      <c r="B22583" t="s">
        <v>26231</v>
      </c>
      <c r="C22583">
        <f>0</f>
        <v>0</v>
      </c>
      <c r="D22583" t="s">
        <v>106</v>
      </c>
      <c r="E22583">
        <v>5.8170914542728598</v>
      </c>
    </row>
    <row r="22584" spans="1:5">
      <c r="A22584" t="s">
        <v>26232</v>
      </c>
      <c r="B22584" t="s">
        <v>26233</v>
      </c>
      <c r="C22584">
        <v>7.2961418036600001E-2</v>
      </c>
      <c r="D22584">
        <v>0.99123960413599999</v>
      </c>
      <c r="E22584">
        <v>1.8230884557721101</v>
      </c>
    </row>
    <row r="22585" spans="1:5">
      <c r="A22585" t="s">
        <v>26232</v>
      </c>
      <c r="B22585" t="s">
        <v>26234</v>
      </c>
      <c r="C22585">
        <v>0</v>
      </c>
      <c r="D22585">
        <v>0.99123960413599999</v>
      </c>
      <c r="E22585">
        <v>1.8230884557721101</v>
      </c>
    </row>
    <row r="22586" spans="1:5">
      <c r="A22586" t="s">
        <v>26232</v>
      </c>
      <c r="B22586" t="s">
        <v>26235</v>
      </c>
      <c r="C22586">
        <v>0</v>
      </c>
      <c r="D22586">
        <v>0.99123960413599999</v>
      </c>
      <c r="E22586">
        <v>1.8230884557721101</v>
      </c>
    </row>
    <row r="22587" spans="1:5">
      <c r="A22587" t="s">
        <v>26232</v>
      </c>
      <c r="B22587" t="s">
        <v>26236</v>
      </c>
      <c r="C22587">
        <f>0.180918089444</f>
        <v>0.18091808944400001</v>
      </c>
      <c r="D22587">
        <v>0.99123960413599999</v>
      </c>
      <c r="E22587">
        <v>1.8230884557721101</v>
      </c>
    </row>
    <row r="22588" spans="1:5">
      <c r="A22588" t="s">
        <v>26232</v>
      </c>
      <c r="B22588" t="s">
        <v>26237</v>
      </c>
      <c r="C22588">
        <v>0</v>
      </c>
      <c r="D22588">
        <v>0.99123960413599999</v>
      </c>
      <c r="E22588">
        <v>1.8230884557721101</v>
      </c>
    </row>
    <row r="22589" spans="1:5">
      <c r="A22589" t="s">
        <v>26232</v>
      </c>
      <c r="B22589" t="s">
        <v>26238</v>
      </c>
      <c r="C22589">
        <f>0</f>
        <v>0</v>
      </c>
      <c r="D22589">
        <v>0.99123960413599999</v>
      </c>
      <c r="E22589">
        <v>1.8230884557721101</v>
      </c>
    </row>
    <row r="22590" spans="1:5">
      <c r="A22590" t="s">
        <v>26239</v>
      </c>
      <c r="B22590" t="s">
        <v>26240</v>
      </c>
      <c r="C22590">
        <v>1.9968691088699999E-2</v>
      </c>
      <c r="D22590" t="s">
        <v>106</v>
      </c>
      <c r="E22590">
        <v>6.0569715142428704</v>
      </c>
    </row>
    <row r="22591" spans="1:5">
      <c r="A22591" t="s">
        <v>26239</v>
      </c>
      <c r="B22591" t="s">
        <v>26241</v>
      </c>
      <c r="C22591">
        <f>0</f>
        <v>0</v>
      </c>
      <c r="D22591" t="s">
        <v>106</v>
      </c>
      <c r="E22591">
        <v>6.0569715142428704</v>
      </c>
    </row>
    <row r="22592" spans="1:5">
      <c r="A22592" t="s">
        <v>26239</v>
      </c>
      <c r="B22592" t="s">
        <v>26242</v>
      </c>
      <c r="C22592">
        <v>0</v>
      </c>
      <c r="D22592" t="s">
        <v>106</v>
      </c>
      <c r="E22592">
        <v>6.0569715142428704</v>
      </c>
    </row>
    <row r="22593" spans="1:5">
      <c r="A22593" t="s">
        <v>26243</v>
      </c>
      <c r="B22593" t="s">
        <v>26244</v>
      </c>
      <c r="C22593">
        <v>0.41719160405099998</v>
      </c>
      <c r="D22593">
        <v>0.99660459245099997</v>
      </c>
      <c r="E22593">
        <v>8.2878560719640095</v>
      </c>
    </row>
    <row r="22594" spans="1:5">
      <c r="A22594" t="s">
        <v>26243</v>
      </c>
      <c r="B22594" t="s">
        <v>26245</v>
      </c>
      <c r="C22594">
        <v>0</v>
      </c>
      <c r="D22594">
        <v>0.99660459245099997</v>
      </c>
      <c r="E22594">
        <v>8.2878560719640095</v>
      </c>
    </row>
    <row r="22595" spans="1:5">
      <c r="A22595" t="s">
        <v>26243</v>
      </c>
      <c r="B22595" t="s">
        <v>26246</v>
      </c>
      <c r="C22595">
        <v>0</v>
      </c>
      <c r="D22595">
        <v>0.99660459245099997</v>
      </c>
      <c r="E22595">
        <v>8.2878560719640095</v>
      </c>
    </row>
    <row r="22596" spans="1:5">
      <c r="A22596" t="s">
        <v>26243</v>
      </c>
      <c r="B22596" t="s">
        <v>26247</v>
      </c>
      <c r="C22596">
        <v>3.80084861022E-2</v>
      </c>
      <c r="D22596">
        <v>0.99660459245099997</v>
      </c>
      <c r="E22596">
        <v>8.2878560719640095</v>
      </c>
    </row>
    <row r="22597" spans="1:5">
      <c r="A22597" t="s">
        <v>26243</v>
      </c>
      <c r="B22597" t="s">
        <v>26248</v>
      </c>
      <c r="C22597">
        <f>0</f>
        <v>0</v>
      </c>
      <c r="D22597">
        <v>0.99660459245099997</v>
      </c>
      <c r="E22597">
        <v>8.2878560719640095</v>
      </c>
    </row>
    <row r="22598" spans="1:5">
      <c r="A22598" t="s">
        <v>26249</v>
      </c>
      <c r="B22598" t="s">
        <v>26250</v>
      </c>
      <c r="C22598">
        <v>0</v>
      </c>
      <c r="D22598">
        <v>0.51484024038700005</v>
      </c>
      <c r="E22598">
        <v>5.8170914542728598</v>
      </c>
    </row>
    <row r="22599" spans="1:5">
      <c r="A22599" t="s">
        <v>26249</v>
      </c>
      <c r="B22599" t="s">
        <v>26251</v>
      </c>
      <c r="C22599">
        <f>0</f>
        <v>0</v>
      </c>
      <c r="D22599">
        <v>0.51484024038700005</v>
      </c>
      <c r="E22599">
        <v>5.8170914542728598</v>
      </c>
    </row>
    <row r="22600" spans="1:5">
      <c r="A22600" t="s">
        <v>26249</v>
      </c>
      <c r="B22600" t="s">
        <v>26252</v>
      </c>
      <c r="C22600">
        <f>0.030478068673</f>
        <v>3.0478068673E-2</v>
      </c>
      <c r="D22600">
        <v>0.51484024038700005</v>
      </c>
      <c r="E22600">
        <v>5.8170914542728598</v>
      </c>
    </row>
    <row r="22601" spans="1:5">
      <c r="A22601" t="s">
        <v>26253</v>
      </c>
      <c r="B22601" t="s">
        <v>26254</v>
      </c>
      <c r="C22601">
        <v>0</v>
      </c>
      <c r="D22601">
        <v>0.989770834356</v>
      </c>
      <c r="E22601">
        <v>1.89505247376311</v>
      </c>
    </row>
    <row r="22602" spans="1:5">
      <c r="A22602" t="s">
        <v>26253</v>
      </c>
      <c r="B22602" t="s">
        <v>26255</v>
      </c>
      <c r="C22602">
        <v>0.54263210618000002</v>
      </c>
      <c r="D22602">
        <v>0.989770834356</v>
      </c>
      <c r="E22602">
        <v>1.89505247376311</v>
      </c>
    </row>
    <row r="22603" spans="1:5">
      <c r="A22603" t="s">
        <v>26253</v>
      </c>
      <c r="B22603" t="s">
        <v>26256</v>
      </c>
      <c r="C22603">
        <v>0</v>
      </c>
      <c r="D22603">
        <v>0.989770834356</v>
      </c>
      <c r="E22603">
        <v>1.89505247376311</v>
      </c>
    </row>
    <row r="22604" spans="1:5">
      <c r="A22604" t="s">
        <v>26253</v>
      </c>
      <c r="B22604" t="s">
        <v>26257</v>
      </c>
      <c r="C22604">
        <f>0</f>
        <v>0</v>
      </c>
      <c r="D22604">
        <v>0.989770834356</v>
      </c>
      <c r="E22604">
        <v>1.89505247376311</v>
      </c>
    </row>
    <row r="22605" spans="1:5">
      <c r="A22605" t="s">
        <v>26253</v>
      </c>
      <c r="B22605" t="s">
        <v>26258</v>
      </c>
      <c r="C22605">
        <f>0</f>
        <v>0</v>
      </c>
      <c r="D22605">
        <v>0.989770834356</v>
      </c>
      <c r="E22605">
        <v>1.89505247376311</v>
      </c>
    </row>
    <row r="22606" spans="1:5">
      <c r="A22606" t="s">
        <v>26253</v>
      </c>
      <c r="B22606" t="s">
        <v>26259</v>
      </c>
      <c r="C22606">
        <f>0.0600055373629</f>
        <v>6.0005537362899999E-2</v>
      </c>
      <c r="D22606">
        <v>0.989770834356</v>
      </c>
      <c r="E22606">
        <v>1.89505247376311</v>
      </c>
    </row>
    <row r="22607" spans="1:5">
      <c r="A22607" t="s">
        <v>26260</v>
      </c>
      <c r="B22607" t="s">
        <v>26261</v>
      </c>
      <c r="C22607">
        <v>6.7628800272499998E-2</v>
      </c>
      <c r="D22607">
        <v>0.84710979961900001</v>
      </c>
      <c r="E22607">
        <v>12.5577211394302</v>
      </c>
    </row>
    <row r="22608" spans="1:5">
      <c r="A22608" t="s">
        <v>26260</v>
      </c>
      <c r="B22608" t="s">
        <v>26262</v>
      </c>
      <c r="C22608">
        <v>0</v>
      </c>
      <c r="D22608">
        <v>0.84710979961900001</v>
      </c>
      <c r="E22608">
        <v>12.5577211394302</v>
      </c>
    </row>
    <row r="22609" spans="1:5">
      <c r="A22609" t="s">
        <v>26260</v>
      </c>
      <c r="B22609" t="s">
        <v>26263</v>
      </c>
      <c r="C22609">
        <v>0</v>
      </c>
      <c r="D22609">
        <v>0.84710979961900001</v>
      </c>
      <c r="E22609">
        <v>12.5577211394302</v>
      </c>
    </row>
    <row r="22610" spans="1:5">
      <c r="A22610" t="s">
        <v>26260</v>
      </c>
      <c r="B22610" t="s">
        <v>26264</v>
      </c>
      <c r="C22610">
        <v>0</v>
      </c>
      <c r="D22610">
        <v>0.84710979961900001</v>
      </c>
      <c r="E22610">
        <v>12.5577211394302</v>
      </c>
    </row>
    <row r="22611" spans="1:5">
      <c r="A22611" t="s">
        <v>26260</v>
      </c>
      <c r="B22611" t="s">
        <v>26265</v>
      </c>
      <c r="C22611">
        <v>0</v>
      </c>
      <c r="D22611">
        <v>0.84710979961900001</v>
      </c>
      <c r="E22611">
        <v>12.5577211394302</v>
      </c>
    </row>
    <row r="22612" spans="1:5">
      <c r="A22612" t="s">
        <v>26260</v>
      </c>
      <c r="B22612" t="s">
        <v>26266</v>
      </c>
      <c r="C22612">
        <v>0</v>
      </c>
      <c r="D22612">
        <v>0.84710979961900001</v>
      </c>
      <c r="E22612">
        <v>12.5577211394302</v>
      </c>
    </row>
    <row r="22613" spans="1:5">
      <c r="A22613" t="s">
        <v>26260</v>
      </c>
      <c r="B22613" t="s">
        <v>26267</v>
      </c>
      <c r="C22613">
        <v>0</v>
      </c>
      <c r="D22613">
        <v>0.84710979961900001</v>
      </c>
      <c r="E22613">
        <v>12.5577211394302</v>
      </c>
    </row>
    <row r="22614" spans="1:5">
      <c r="A22614" t="s">
        <v>26260</v>
      </c>
      <c r="B22614" t="s">
        <v>26268</v>
      </c>
      <c r="C22614">
        <v>0</v>
      </c>
      <c r="D22614">
        <v>0.84710979961900001</v>
      </c>
      <c r="E22614">
        <v>12.5577211394302</v>
      </c>
    </row>
    <row r="22615" spans="1:5">
      <c r="A22615" t="s">
        <v>26260</v>
      </c>
      <c r="B22615" t="s">
        <v>26269</v>
      </c>
      <c r="C22615">
        <v>0</v>
      </c>
      <c r="D22615">
        <v>0.84710979961900001</v>
      </c>
      <c r="E22615">
        <v>12.5577211394302</v>
      </c>
    </row>
    <row r="22616" spans="1:5">
      <c r="A22616" t="s">
        <v>26270</v>
      </c>
      <c r="B22616" t="s">
        <v>26271</v>
      </c>
      <c r="C22616">
        <f>0</f>
        <v>0</v>
      </c>
      <c r="D22616">
        <v>0.86426749437100003</v>
      </c>
      <c r="E22616">
        <v>1.7631184407796101</v>
      </c>
    </row>
    <row r="22617" spans="1:5">
      <c r="A22617" t="s">
        <v>26270</v>
      </c>
      <c r="B22617" t="s">
        <v>26272</v>
      </c>
      <c r="C22617">
        <f>0</f>
        <v>0</v>
      </c>
      <c r="D22617">
        <v>0.86426749437100003</v>
      </c>
      <c r="E22617">
        <v>1.7631184407796101</v>
      </c>
    </row>
    <row r="22618" spans="1:5">
      <c r="A22618" t="s">
        <v>26270</v>
      </c>
      <c r="B22618" t="s">
        <v>26273</v>
      </c>
      <c r="C22618">
        <v>0</v>
      </c>
      <c r="D22618">
        <v>0.86426749437100003</v>
      </c>
      <c r="E22618">
        <v>1.7631184407796101</v>
      </c>
    </row>
    <row r="22619" spans="1:5">
      <c r="A22619" t="s">
        <v>26270</v>
      </c>
      <c r="B22619" t="s">
        <v>26274</v>
      </c>
      <c r="C22619">
        <f>0.0774835981823</f>
        <v>7.7483598182299995E-2</v>
      </c>
      <c r="D22619">
        <v>0.86426749437100003</v>
      </c>
      <c r="E22619">
        <v>1.7631184407796101</v>
      </c>
    </row>
    <row r="22620" spans="1:5">
      <c r="A22620" t="s">
        <v>26270</v>
      </c>
      <c r="B22620" t="s">
        <v>26275</v>
      </c>
      <c r="C22620">
        <v>0</v>
      </c>
      <c r="D22620">
        <v>0.86426749437100003</v>
      </c>
      <c r="E22620">
        <v>1.7631184407796101</v>
      </c>
    </row>
    <row r="22621" spans="1:5">
      <c r="A22621" t="s">
        <v>26270</v>
      </c>
      <c r="B22621" t="s">
        <v>26276</v>
      </c>
      <c r="C22621">
        <f>0</f>
        <v>0</v>
      </c>
      <c r="D22621">
        <v>0.86426749437100003</v>
      </c>
      <c r="E22621">
        <v>1.7631184407796101</v>
      </c>
    </row>
    <row r="22622" spans="1:5">
      <c r="A22622" t="s">
        <v>26270</v>
      </c>
      <c r="B22622" t="s">
        <v>26277</v>
      </c>
      <c r="C22622">
        <v>0</v>
      </c>
      <c r="D22622">
        <v>0.86426749437100003</v>
      </c>
      <c r="E22622">
        <v>1.7631184407796101</v>
      </c>
    </row>
    <row r="22623" spans="1:5">
      <c r="A22623" t="s">
        <v>26270</v>
      </c>
      <c r="B22623" t="s">
        <v>26278</v>
      </c>
      <c r="C22623">
        <v>0</v>
      </c>
      <c r="D22623">
        <v>0.86426749437100003</v>
      </c>
      <c r="E22623">
        <v>1.7631184407796101</v>
      </c>
    </row>
    <row r="22624" spans="1:5">
      <c r="A22624" t="s">
        <v>26279</v>
      </c>
      <c r="B22624" t="s">
        <v>26280</v>
      </c>
      <c r="C22624">
        <v>0.16417884388099999</v>
      </c>
      <c r="D22624">
        <v>0.80702993220800001</v>
      </c>
      <c r="E22624">
        <v>13.625187406296799</v>
      </c>
    </row>
    <row r="22625" spans="1:5">
      <c r="A22625" t="s">
        <v>26281</v>
      </c>
      <c r="B22625" t="s">
        <v>26282</v>
      </c>
      <c r="C22625">
        <v>0.14737832630799999</v>
      </c>
      <c r="D22625">
        <v>0.792780744998</v>
      </c>
      <c r="E22625">
        <v>22.800599700149899</v>
      </c>
    </row>
    <row r="22626" spans="1:5">
      <c r="A22626" t="s">
        <v>26281</v>
      </c>
      <c r="B22626" t="s">
        <v>26283</v>
      </c>
      <c r="C22626">
        <f>0.0265940671723</f>
        <v>2.65940671723E-2</v>
      </c>
      <c r="D22626">
        <v>0.792780744998</v>
      </c>
      <c r="E22626">
        <v>22.800599700149899</v>
      </c>
    </row>
    <row r="22627" spans="1:5">
      <c r="A22627" t="s">
        <v>26281</v>
      </c>
      <c r="B22627" t="s">
        <v>26284</v>
      </c>
      <c r="C22627">
        <f>0</f>
        <v>0</v>
      </c>
      <c r="D22627">
        <v>0.792780744998</v>
      </c>
      <c r="E22627">
        <v>22.800599700149899</v>
      </c>
    </row>
    <row r="22628" spans="1:5">
      <c r="A22628" t="s">
        <v>26285</v>
      </c>
      <c r="B22628" t="s">
        <v>26286</v>
      </c>
      <c r="C22628">
        <f>0.148995534958</f>
        <v>0.148995534958</v>
      </c>
      <c r="D22628">
        <v>0.81641477895400005</v>
      </c>
      <c r="E22628">
        <v>18.986506746626599</v>
      </c>
    </row>
    <row r="22629" spans="1:5">
      <c r="A22629" t="s">
        <v>26285</v>
      </c>
      <c r="B22629" t="s">
        <v>26287</v>
      </c>
      <c r="C22629">
        <v>0</v>
      </c>
      <c r="D22629">
        <v>0.81641477895400005</v>
      </c>
      <c r="E22629">
        <v>18.986506746626599</v>
      </c>
    </row>
    <row r="22630" spans="1:5">
      <c r="A22630" t="s">
        <v>26285</v>
      </c>
      <c r="B22630" t="s">
        <v>26288</v>
      </c>
      <c r="C22630">
        <f>0</f>
        <v>0</v>
      </c>
      <c r="D22630">
        <v>0.81641477895400005</v>
      </c>
      <c r="E22630">
        <v>18.986506746626599</v>
      </c>
    </row>
    <row r="22631" spans="1:5">
      <c r="A22631" t="s">
        <v>26285</v>
      </c>
      <c r="B22631" t="s">
        <v>26289</v>
      </c>
      <c r="C22631">
        <v>0</v>
      </c>
      <c r="D22631">
        <v>0.81641477895400005</v>
      </c>
      <c r="E22631">
        <v>18.986506746626599</v>
      </c>
    </row>
    <row r="22632" spans="1:5">
      <c r="A22632" t="s">
        <v>26285</v>
      </c>
      <c r="B22632" t="s">
        <v>26290</v>
      </c>
      <c r="C22632">
        <f>0</f>
        <v>0</v>
      </c>
      <c r="D22632">
        <v>0.81641477895400005</v>
      </c>
      <c r="E22632">
        <v>18.986506746626599</v>
      </c>
    </row>
    <row r="22633" spans="1:5">
      <c r="A22633" t="s">
        <v>26291</v>
      </c>
      <c r="B22633" t="s">
        <v>26292</v>
      </c>
      <c r="C22633">
        <v>6.5502664338299996E-3</v>
      </c>
      <c r="D22633">
        <v>0.73361176087699997</v>
      </c>
      <c r="E22633">
        <v>21.181409295352299</v>
      </c>
    </row>
    <row r="22634" spans="1:5">
      <c r="A22634" t="s">
        <v>26291</v>
      </c>
      <c r="B22634" t="s">
        <v>26293</v>
      </c>
      <c r="C22634">
        <f>0</f>
        <v>0</v>
      </c>
      <c r="D22634">
        <v>0.73361176087699997</v>
      </c>
      <c r="E22634">
        <v>21.181409295352299</v>
      </c>
    </row>
    <row r="22635" spans="1:5">
      <c r="A22635" t="s">
        <v>26294</v>
      </c>
      <c r="B22635" t="s">
        <v>26295</v>
      </c>
      <c r="C22635">
        <f>0.0165072565196</f>
        <v>1.65072565196E-2</v>
      </c>
      <c r="D22635">
        <v>0.99355521129400004</v>
      </c>
      <c r="E22635">
        <v>23.280359820089899</v>
      </c>
    </row>
    <row r="22636" spans="1:5">
      <c r="A22636" t="s">
        <v>26294</v>
      </c>
      <c r="B22636" t="s">
        <v>26296</v>
      </c>
      <c r="C22636">
        <v>0</v>
      </c>
      <c r="D22636">
        <v>0.99355521129400004</v>
      </c>
      <c r="E22636">
        <v>23.280359820089899</v>
      </c>
    </row>
    <row r="22637" spans="1:5">
      <c r="A22637" t="s">
        <v>26294</v>
      </c>
      <c r="B22637" t="s">
        <v>26297</v>
      </c>
      <c r="C22637">
        <v>0</v>
      </c>
      <c r="D22637">
        <v>0.99355521129400004</v>
      </c>
      <c r="E22637">
        <v>23.280359820089899</v>
      </c>
    </row>
    <row r="22638" spans="1:5">
      <c r="A22638" t="s">
        <v>26294</v>
      </c>
      <c r="B22638" t="s">
        <v>26298</v>
      </c>
      <c r="C22638">
        <v>0</v>
      </c>
      <c r="D22638">
        <v>0.99355521129400004</v>
      </c>
      <c r="E22638">
        <v>23.280359820089899</v>
      </c>
    </row>
    <row r="22639" spans="1:5">
      <c r="A22639" t="s">
        <v>26294</v>
      </c>
      <c r="B22639" t="s">
        <v>26299</v>
      </c>
      <c r="C22639">
        <f>0</f>
        <v>0</v>
      </c>
      <c r="D22639">
        <v>0.99355521129400004</v>
      </c>
      <c r="E22639">
        <v>23.280359820089899</v>
      </c>
    </row>
    <row r="22640" spans="1:5">
      <c r="A22640" t="s">
        <v>26294</v>
      </c>
      <c r="B22640" t="s">
        <v>26300</v>
      </c>
      <c r="C22640">
        <v>0</v>
      </c>
      <c r="D22640">
        <v>0.99355521129400004</v>
      </c>
      <c r="E22640">
        <v>23.280359820089899</v>
      </c>
    </row>
    <row r="22641" spans="1:5">
      <c r="A22641" t="s">
        <v>26294</v>
      </c>
      <c r="B22641" t="s">
        <v>26301</v>
      </c>
      <c r="C22641">
        <f>0.0663215334886</f>
        <v>6.6321533488599996E-2</v>
      </c>
      <c r="D22641">
        <v>0.99355521129400004</v>
      </c>
      <c r="E22641">
        <v>23.280359820089899</v>
      </c>
    </row>
    <row r="22642" spans="1:5">
      <c r="A22642" t="s">
        <v>26294</v>
      </c>
      <c r="B22642" t="s">
        <v>26302</v>
      </c>
      <c r="C22642">
        <v>0</v>
      </c>
      <c r="D22642">
        <v>0.99355521129400004</v>
      </c>
      <c r="E22642">
        <v>23.280359820089899</v>
      </c>
    </row>
    <row r="22643" spans="1:5">
      <c r="A22643" t="s">
        <v>26294</v>
      </c>
      <c r="B22643" t="s">
        <v>26303</v>
      </c>
      <c r="C22643">
        <v>0</v>
      </c>
      <c r="D22643">
        <v>0.99355521129400004</v>
      </c>
      <c r="E22643">
        <v>23.280359820089899</v>
      </c>
    </row>
    <row r="22644" spans="1:5">
      <c r="A22644" t="s">
        <v>26304</v>
      </c>
      <c r="B22644" t="s">
        <v>26305</v>
      </c>
      <c r="C22644">
        <v>0.53912172145100001</v>
      </c>
      <c r="D22644" t="s">
        <v>106</v>
      </c>
      <c r="E22644">
        <v>4.58170914542728</v>
      </c>
    </row>
    <row r="22645" spans="1:5">
      <c r="A22645" t="s">
        <v>26306</v>
      </c>
      <c r="B22645" t="s">
        <v>26307</v>
      </c>
      <c r="C22645">
        <f>0</f>
        <v>0</v>
      </c>
      <c r="D22645" t="s">
        <v>106</v>
      </c>
      <c r="E22645">
        <v>15.1244377811094</v>
      </c>
    </row>
    <row r="22646" spans="1:5">
      <c r="A22646" t="s">
        <v>26306</v>
      </c>
      <c r="B22646" t="s">
        <v>26308</v>
      </c>
      <c r="C22646">
        <v>0</v>
      </c>
      <c r="D22646" t="s">
        <v>106</v>
      </c>
      <c r="E22646">
        <v>15.1244377811094</v>
      </c>
    </row>
    <row r="22647" spans="1:5">
      <c r="A22647" t="s">
        <v>26306</v>
      </c>
      <c r="B22647" t="s">
        <v>26309</v>
      </c>
      <c r="C22647">
        <f>0</f>
        <v>0</v>
      </c>
      <c r="D22647" t="s">
        <v>106</v>
      </c>
      <c r="E22647">
        <v>15.1244377811094</v>
      </c>
    </row>
    <row r="22648" spans="1:5">
      <c r="A22648" t="s">
        <v>26306</v>
      </c>
      <c r="B22648" t="s">
        <v>26310</v>
      </c>
      <c r="C22648">
        <f>0</f>
        <v>0</v>
      </c>
      <c r="D22648" t="s">
        <v>106</v>
      </c>
      <c r="E22648">
        <v>15.1244377811094</v>
      </c>
    </row>
    <row r="22649" spans="1:5">
      <c r="A22649" t="s">
        <v>26306</v>
      </c>
      <c r="B22649" t="s">
        <v>26311</v>
      </c>
      <c r="C22649">
        <f>0</f>
        <v>0</v>
      </c>
      <c r="D22649" t="s">
        <v>106</v>
      </c>
      <c r="E22649">
        <v>15.1244377811094</v>
      </c>
    </row>
    <row r="22650" spans="1:5">
      <c r="A22650" t="s">
        <v>26306</v>
      </c>
      <c r="B22650" t="s">
        <v>26312</v>
      </c>
      <c r="C22650">
        <f>0</f>
        <v>0</v>
      </c>
      <c r="D22650" t="s">
        <v>106</v>
      </c>
      <c r="E22650">
        <v>15.1244377811094</v>
      </c>
    </row>
    <row r="22651" spans="1:5">
      <c r="A22651" t="s">
        <v>26306</v>
      </c>
      <c r="B22651" t="s">
        <v>26313</v>
      </c>
      <c r="C22651">
        <v>0</v>
      </c>
      <c r="D22651" t="s">
        <v>106</v>
      </c>
      <c r="E22651">
        <v>15.1244377811094</v>
      </c>
    </row>
    <row r="22652" spans="1:5">
      <c r="A22652" t="s">
        <v>26306</v>
      </c>
      <c r="B22652" t="s">
        <v>26314</v>
      </c>
      <c r="C22652">
        <v>0</v>
      </c>
      <c r="D22652" t="s">
        <v>106</v>
      </c>
      <c r="E22652">
        <v>15.1244377811094</v>
      </c>
    </row>
    <row r="22653" spans="1:5">
      <c r="A22653" t="s">
        <v>26306</v>
      </c>
      <c r="B22653" t="s">
        <v>26315</v>
      </c>
      <c r="C22653">
        <f>0</f>
        <v>0</v>
      </c>
      <c r="D22653" t="s">
        <v>106</v>
      </c>
      <c r="E22653">
        <v>15.1244377811094</v>
      </c>
    </row>
    <row r="22654" spans="1:5">
      <c r="A22654" t="s">
        <v>26306</v>
      </c>
      <c r="B22654" t="s">
        <v>26316</v>
      </c>
      <c r="C22654">
        <v>0</v>
      </c>
      <c r="D22654" t="s">
        <v>106</v>
      </c>
      <c r="E22654">
        <v>15.1244377811094</v>
      </c>
    </row>
    <row r="22655" spans="1:5">
      <c r="A22655" t="s">
        <v>26317</v>
      </c>
      <c r="B22655" t="s">
        <v>26318</v>
      </c>
      <c r="C22655">
        <f>0</f>
        <v>0</v>
      </c>
      <c r="D22655">
        <v>0.97927919674499997</v>
      </c>
      <c r="E22655">
        <v>24</v>
      </c>
    </row>
    <row r="22656" spans="1:5">
      <c r="A22656" t="s">
        <v>26319</v>
      </c>
      <c r="B22656" t="s">
        <v>26320</v>
      </c>
      <c r="C22656">
        <v>0</v>
      </c>
      <c r="D22656" t="s">
        <v>106</v>
      </c>
      <c r="E22656">
        <v>1.39130434782608</v>
      </c>
    </row>
    <row r="22657" spans="1:5">
      <c r="A22657" t="s">
        <v>26319</v>
      </c>
      <c r="B22657" t="s">
        <v>26321</v>
      </c>
      <c r="C22657">
        <f>0</f>
        <v>0</v>
      </c>
      <c r="D22657" t="s">
        <v>106</v>
      </c>
      <c r="E22657">
        <v>1.39130434782608</v>
      </c>
    </row>
    <row r="22658" spans="1:5">
      <c r="A22658" t="s">
        <v>26319</v>
      </c>
      <c r="B22658" t="s">
        <v>26322</v>
      </c>
      <c r="C22658">
        <v>0</v>
      </c>
      <c r="D22658" t="s">
        <v>106</v>
      </c>
      <c r="E22658">
        <v>1.39130434782608</v>
      </c>
    </row>
    <row r="22659" spans="1:5">
      <c r="A22659" t="s">
        <v>26319</v>
      </c>
      <c r="B22659" t="s">
        <v>26323</v>
      </c>
      <c r="C22659">
        <v>0</v>
      </c>
      <c r="D22659" t="s">
        <v>106</v>
      </c>
      <c r="E22659">
        <v>1.39130434782608</v>
      </c>
    </row>
    <row r="22660" spans="1:5">
      <c r="A22660" t="s">
        <v>26319</v>
      </c>
      <c r="B22660" t="s">
        <v>26324</v>
      </c>
      <c r="C22660">
        <v>0</v>
      </c>
      <c r="D22660" t="s">
        <v>106</v>
      </c>
      <c r="E22660">
        <v>1.39130434782608</v>
      </c>
    </row>
    <row r="22661" spans="1:5">
      <c r="A22661" t="s">
        <v>26319</v>
      </c>
      <c r="B22661" t="s">
        <v>26325</v>
      </c>
      <c r="C22661">
        <v>0</v>
      </c>
      <c r="D22661" t="s">
        <v>106</v>
      </c>
      <c r="E22661">
        <v>1.39130434782608</v>
      </c>
    </row>
    <row r="22662" spans="1:5">
      <c r="A22662" t="s">
        <v>26319</v>
      </c>
      <c r="B22662" t="s">
        <v>26326</v>
      </c>
      <c r="C22662">
        <v>0</v>
      </c>
      <c r="D22662" t="s">
        <v>106</v>
      </c>
      <c r="E22662">
        <v>1.39130434782608</v>
      </c>
    </row>
    <row r="22663" spans="1:5">
      <c r="A22663" t="s">
        <v>26319</v>
      </c>
      <c r="B22663" t="s">
        <v>26327</v>
      </c>
      <c r="C22663">
        <v>0</v>
      </c>
      <c r="D22663" t="s">
        <v>106</v>
      </c>
      <c r="E22663">
        <v>1.39130434782608</v>
      </c>
    </row>
    <row r="22664" spans="1:5">
      <c r="A22664" t="s">
        <v>26319</v>
      </c>
      <c r="B22664" t="s">
        <v>26328</v>
      </c>
      <c r="C22664">
        <f>0</f>
        <v>0</v>
      </c>
      <c r="D22664" t="s">
        <v>106</v>
      </c>
      <c r="E22664">
        <v>1.39130434782608</v>
      </c>
    </row>
    <row r="22665" spans="1:5">
      <c r="A22665" t="s">
        <v>26319</v>
      </c>
      <c r="B22665" t="s">
        <v>26329</v>
      </c>
      <c r="C22665">
        <f>0</f>
        <v>0</v>
      </c>
      <c r="D22665" t="s">
        <v>106</v>
      </c>
      <c r="E22665">
        <v>1.39130434782608</v>
      </c>
    </row>
    <row r="22666" spans="1:5">
      <c r="A22666" t="s">
        <v>26319</v>
      </c>
      <c r="B22666" t="s">
        <v>26330</v>
      </c>
      <c r="C22666">
        <f>0</f>
        <v>0</v>
      </c>
      <c r="D22666" t="s">
        <v>106</v>
      </c>
      <c r="E22666">
        <v>1.39130434782608</v>
      </c>
    </row>
    <row r="22667" spans="1:5">
      <c r="A22667" t="s">
        <v>26319</v>
      </c>
      <c r="B22667" t="s">
        <v>26331</v>
      </c>
      <c r="C22667">
        <v>0</v>
      </c>
      <c r="D22667" t="s">
        <v>106</v>
      </c>
      <c r="E22667">
        <v>1.39130434782608</v>
      </c>
    </row>
    <row r="22668" spans="1:5">
      <c r="A22668" t="s">
        <v>26319</v>
      </c>
      <c r="B22668" t="s">
        <v>26332</v>
      </c>
      <c r="C22668">
        <v>0</v>
      </c>
      <c r="D22668" t="s">
        <v>106</v>
      </c>
      <c r="E22668">
        <v>1.39130434782608</v>
      </c>
    </row>
    <row r="22669" spans="1:5">
      <c r="A22669" t="s">
        <v>26319</v>
      </c>
      <c r="B22669" t="s">
        <v>26333</v>
      </c>
      <c r="C22669">
        <v>0</v>
      </c>
      <c r="D22669" t="s">
        <v>106</v>
      </c>
      <c r="E22669">
        <v>1.39130434782608</v>
      </c>
    </row>
    <row r="22670" spans="1:5">
      <c r="A22670" t="s">
        <v>26319</v>
      </c>
      <c r="B22670" t="s">
        <v>26334</v>
      </c>
      <c r="C22670">
        <v>0</v>
      </c>
      <c r="D22670" t="s">
        <v>106</v>
      </c>
      <c r="E22670">
        <v>1.39130434782608</v>
      </c>
    </row>
    <row r="22671" spans="1:5">
      <c r="A22671" t="s">
        <v>26319</v>
      </c>
      <c r="B22671" t="s">
        <v>26335</v>
      </c>
      <c r="C22671">
        <f>0</f>
        <v>0</v>
      </c>
      <c r="D22671" t="s">
        <v>106</v>
      </c>
      <c r="E22671">
        <v>1.39130434782608</v>
      </c>
    </row>
    <row r="22672" spans="1:5">
      <c r="A22672" t="s">
        <v>26319</v>
      </c>
      <c r="B22672" t="s">
        <v>26336</v>
      </c>
      <c r="C22672">
        <f>0</f>
        <v>0</v>
      </c>
      <c r="D22672" t="s">
        <v>106</v>
      </c>
      <c r="E22672">
        <v>1.39130434782608</v>
      </c>
    </row>
    <row r="22673" spans="1:5">
      <c r="A22673" t="s">
        <v>26319</v>
      </c>
      <c r="B22673" t="s">
        <v>26337</v>
      </c>
      <c r="C22673">
        <v>0</v>
      </c>
      <c r="D22673" t="s">
        <v>106</v>
      </c>
      <c r="E22673">
        <v>1.39130434782608</v>
      </c>
    </row>
    <row r="22674" spans="1:5">
      <c r="A22674" t="s">
        <v>26319</v>
      </c>
      <c r="B22674" t="s">
        <v>26338</v>
      </c>
      <c r="C22674">
        <v>0</v>
      </c>
      <c r="D22674" t="s">
        <v>106</v>
      </c>
      <c r="E22674">
        <v>1.39130434782608</v>
      </c>
    </row>
    <row r="22675" spans="1:5">
      <c r="A22675" t="s">
        <v>26319</v>
      </c>
      <c r="B22675" t="s">
        <v>26339</v>
      </c>
      <c r="C22675">
        <f>0</f>
        <v>0</v>
      </c>
      <c r="D22675" t="s">
        <v>106</v>
      </c>
      <c r="E22675">
        <v>1.39130434782608</v>
      </c>
    </row>
    <row r="22676" spans="1:5">
      <c r="A22676" t="s">
        <v>26340</v>
      </c>
      <c r="B22676" t="s">
        <v>26341</v>
      </c>
      <c r="C22676">
        <v>0.25801209613300002</v>
      </c>
      <c r="D22676">
        <v>0.99776096390000002</v>
      </c>
      <c r="E22676">
        <v>10.230884557721099</v>
      </c>
    </row>
    <row r="22677" spans="1:5">
      <c r="A22677" t="s">
        <v>26340</v>
      </c>
      <c r="B22677" t="s">
        <v>26342</v>
      </c>
      <c r="C22677">
        <v>0</v>
      </c>
      <c r="D22677">
        <v>0.99776096390000002</v>
      </c>
      <c r="E22677">
        <v>10.230884557721099</v>
      </c>
    </row>
    <row r="22678" spans="1:5">
      <c r="A22678" t="s">
        <v>26340</v>
      </c>
      <c r="B22678" t="s">
        <v>26343</v>
      </c>
      <c r="C22678">
        <v>0</v>
      </c>
      <c r="D22678">
        <v>0.99776096390000002</v>
      </c>
      <c r="E22678">
        <v>10.230884557721099</v>
      </c>
    </row>
    <row r="22679" spans="1:5">
      <c r="A22679" t="s">
        <v>26340</v>
      </c>
      <c r="B22679" t="s">
        <v>26344</v>
      </c>
      <c r="C22679">
        <v>0</v>
      </c>
      <c r="D22679">
        <v>0.99776096390000002</v>
      </c>
      <c r="E22679">
        <v>10.230884557721099</v>
      </c>
    </row>
    <row r="22680" spans="1:5">
      <c r="A22680" t="s">
        <v>26340</v>
      </c>
      <c r="B22680" t="s">
        <v>26345</v>
      </c>
      <c r="C22680">
        <v>0</v>
      </c>
      <c r="D22680">
        <v>0.99776096390000002</v>
      </c>
      <c r="E22680">
        <v>10.230884557721099</v>
      </c>
    </row>
    <row r="22681" spans="1:5">
      <c r="A22681" t="s">
        <v>26340</v>
      </c>
      <c r="B22681" t="s">
        <v>26346</v>
      </c>
      <c r="C22681">
        <v>0</v>
      </c>
      <c r="D22681">
        <v>0.99776096390000002</v>
      </c>
      <c r="E22681">
        <v>10.230884557721099</v>
      </c>
    </row>
    <row r="22682" spans="1:5">
      <c r="A22682" t="s">
        <v>26340</v>
      </c>
      <c r="B22682" t="s">
        <v>26347</v>
      </c>
      <c r="C22682">
        <v>0</v>
      </c>
      <c r="D22682">
        <v>0.99776096390000002</v>
      </c>
      <c r="E22682">
        <v>10.230884557721099</v>
      </c>
    </row>
    <row r="22683" spans="1:5">
      <c r="A22683" t="s">
        <v>26340</v>
      </c>
      <c r="B22683" t="s">
        <v>26348</v>
      </c>
      <c r="C22683">
        <v>0</v>
      </c>
      <c r="D22683">
        <v>0.99776096390000002</v>
      </c>
      <c r="E22683">
        <v>10.230884557721099</v>
      </c>
    </row>
    <row r="22684" spans="1:5">
      <c r="A22684" t="s">
        <v>26340</v>
      </c>
      <c r="B22684" t="s">
        <v>26349</v>
      </c>
      <c r="C22684">
        <v>0</v>
      </c>
      <c r="D22684">
        <v>0.99776096390000002</v>
      </c>
      <c r="E22684">
        <v>10.230884557721099</v>
      </c>
    </row>
    <row r="22685" spans="1:5">
      <c r="A22685" t="s">
        <v>26340</v>
      </c>
      <c r="B22685" t="s">
        <v>26350</v>
      </c>
      <c r="C22685">
        <v>0</v>
      </c>
      <c r="D22685">
        <v>0.99776096390000002</v>
      </c>
      <c r="E22685">
        <v>10.230884557721099</v>
      </c>
    </row>
    <row r="22686" spans="1:5">
      <c r="A22686" t="s">
        <v>26340</v>
      </c>
      <c r="B22686" t="s">
        <v>26351</v>
      </c>
      <c r="C22686">
        <v>0.18154690571599999</v>
      </c>
      <c r="D22686">
        <v>0.99776096390000002</v>
      </c>
      <c r="E22686">
        <v>10.230884557721099</v>
      </c>
    </row>
    <row r="22687" spans="1:5">
      <c r="A22687" t="s">
        <v>26340</v>
      </c>
      <c r="B22687" t="s">
        <v>26352</v>
      </c>
      <c r="C22687">
        <v>0</v>
      </c>
      <c r="D22687">
        <v>0.99776096390000002</v>
      </c>
      <c r="E22687">
        <v>10.230884557721099</v>
      </c>
    </row>
    <row r="22688" spans="1:5">
      <c r="A22688" t="s">
        <v>26340</v>
      </c>
      <c r="B22688" t="s">
        <v>26353</v>
      </c>
      <c r="C22688">
        <v>0</v>
      </c>
      <c r="D22688">
        <v>0.99776096390000002</v>
      </c>
      <c r="E22688">
        <v>10.230884557721099</v>
      </c>
    </row>
    <row r="22689" spans="1:5">
      <c r="A22689" t="s">
        <v>26354</v>
      </c>
      <c r="B22689" t="s">
        <v>26355</v>
      </c>
      <c r="C22689">
        <v>0.48984906676200002</v>
      </c>
      <c r="D22689">
        <v>0.98136579078599995</v>
      </c>
      <c r="E22689">
        <v>4.58170914542728</v>
      </c>
    </row>
    <row r="22690" spans="1:5">
      <c r="A22690" t="s">
        <v>26354</v>
      </c>
      <c r="B22690" t="s">
        <v>26356</v>
      </c>
      <c r="C22690">
        <f>0</f>
        <v>0</v>
      </c>
      <c r="D22690">
        <v>0.98136579078599995</v>
      </c>
      <c r="E22690">
        <v>4.58170914542728</v>
      </c>
    </row>
    <row r="22691" spans="1:5">
      <c r="A22691" t="s">
        <v>26354</v>
      </c>
      <c r="B22691" t="s">
        <v>26357</v>
      </c>
      <c r="C22691">
        <v>0</v>
      </c>
      <c r="D22691">
        <v>0.98136579078599995</v>
      </c>
      <c r="E22691">
        <v>4.58170914542728</v>
      </c>
    </row>
    <row r="22692" spans="1:5">
      <c r="A22692" t="s">
        <v>26354</v>
      </c>
      <c r="B22692" t="s">
        <v>26358</v>
      </c>
      <c r="C22692">
        <v>0</v>
      </c>
      <c r="D22692">
        <v>0.98136579078599995</v>
      </c>
      <c r="E22692">
        <v>4.58170914542728</v>
      </c>
    </row>
    <row r="22693" spans="1:5">
      <c r="A22693" t="s">
        <v>26354</v>
      </c>
      <c r="B22693" t="s">
        <v>26359</v>
      </c>
      <c r="C22693">
        <v>0</v>
      </c>
      <c r="D22693">
        <v>0.98136579078599995</v>
      </c>
      <c r="E22693">
        <v>4.58170914542728</v>
      </c>
    </row>
    <row r="22694" spans="1:5">
      <c r="A22694" t="s">
        <v>26360</v>
      </c>
      <c r="B22694" t="s">
        <v>26361</v>
      </c>
      <c r="C22694">
        <f>0</f>
        <v>0</v>
      </c>
      <c r="D22694" t="s">
        <v>106</v>
      </c>
      <c r="E22694">
        <v>0.91154422788605605</v>
      </c>
    </row>
    <row r="22695" spans="1:5">
      <c r="A22695" t="s">
        <v>26360</v>
      </c>
      <c r="B22695" t="s">
        <v>26362</v>
      </c>
      <c r="C22695">
        <f>0</f>
        <v>0</v>
      </c>
      <c r="D22695" t="s">
        <v>106</v>
      </c>
      <c r="E22695">
        <v>0.91154422788605605</v>
      </c>
    </row>
    <row r="22696" spans="1:5">
      <c r="A22696" t="s">
        <v>26360</v>
      </c>
      <c r="B22696" t="s">
        <v>26363</v>
      </c>
      <c r="C22696">
        <v>0</v>
      </c>
      <c r="D22696" t="s">
        <v>106</v>
      </c>
      <c r="E22696">
        <v>0.91154422788605605</v>
      </c>
    </row>
    <row r="22697" spans="1:5">
      <c r="A22697" t="s">
        <v>26364</v>
      </c>
      <c r="B22697" t="s">
        <v>26365</v>
      </c>
      <c r="C22697">
        <v>2.03170965664E-2</v>
      </c>
      <c r="D22697" t="s">
        <v>106</v>
      </c>
      <c r="E22697">
        <v>23.508245877061398</v>
      </c>
    </row>
    <row r="22698" spans="1:5">
      <c r="A22698" t="s">
        <v>26364</v>
      </c>
      <c r="B22698" t="s">
        <v>26366</v>
      </c>
      <c r="C22698">
        <v>0</v>
      </c>
      <c r="D22698" t="s">
        <v>106</v>
      </c>
      <c r="E22698">
        <v>23.508245877061398</v>
      </c>
    </row>
    <row r="22699" spans="1:5">
      <c r="A22699" t="s">
        <v>26367</v>
      </c>
      <c r="B22699" t="s">
        <v>26368</v>
      </c>
      <c r="C22699">
        <v>1.0146666505799999E-2</v>
      </c>
      <c r="D22699" t="s">
        <v>106</v>
      </c>
      <c r="E22699">
        <v>23.7481259370314</v>
      </c>
    </row>
    <row r="22700" spans="1:5">
      <c r="A22700" t="s">
        <v>26367</v>
      </c>
      <c r="B22700" t="s">
        <v>26369</v>
      </c>
      <c r="C22700">
        <v>0</v>
      </c>
      <c r="D22700" t="s">
        <v>106</v>
      </c>
      <c r="E22700">
        <v>23.7481259370314</v>
      </c>
    </row>
    <row r="22701" spans="1:5">
      <c r="A22701" t="s">
        <v>26370</v>
      </c>
      <c r="B22701" t="s">
        <v>26371</v>
      </c>
      <c r="C22701">
        <v>0</v>
      </c>
      <c r="D22701" t="s">
        <v>106</v>
      </c>
      <c r="E22701">
        <v>1.6311844077961</v>
      </c>
    </row>
    <row r="22702" spans="1:5">
      <c r="A22702" t="s">
        <v>26370</v>
      </c>
      <c r="B22702" t="s">
        <v>26372</v>
      </c>
      <c r="C22702">
        <f>0</f>
        <v>0</v>
      </c>
      <c r="D22702" t="s">
        <v>106</v>
      </c>
      <c r="E22702">
        <v>1.6311844077961</v>
      </c>
    </row>
    <row r="22703" spans="1:5">
      <c r="A22703" t="s">
        <v>26370</v>
      </c>
      <c r="B22703" t="s">
        <v>26373</v>
      </c>
      <c r="C22703">
        <f>0</f>
        <v>0</v>
      </c>
      <c r="D22703" t="s">
        <v>106</v>
      </c>
      <c r="E22703">
        <v>1.6311844077961</v>
      </c>
    </row>
    <row r="22704" spans="1:5">
      <c r="A22704" t="s">
        <v>26370</v>
      </c>
      <c r="B22704" t="s">
        <v>26374</v>
      </c>
      <c r="C22704">
        <f>0</f>
        <v>0</v>
      </c>
      <c r="D22704" t="s">
        <v>106</v>
      </c>
      <c r="E22704">
        <v>1.6311844077961</v>
      </c>
    </row>
    <row r="22705" spans="1:5">
      <c r="A22705" t="s">
        <v>26370</v>
      </c>
      <c r="B22705" t="s">
        <v>26375</v>
      </c>
      <c r="C22705">
        <v>0</v>
      </c>
      <c r="D22705" t="s">
        <v>106</v>
      </c>
      <c r="E22705">
        <v>1.6311844077961</v>
      </c>
    </row>
    <row r="22706" spans="1:5">
      <c r="A22706" t="s">
        <v>26376</v>
      </c>
      <c r="B22706" t="s">
        <v>26377</v>
      </c>
      <c r="C22706">
        <v>0.17491807583300001</v>
      </c>
      <c r="D22706">
        <v>0.97501190764699996</v>
      </c>
      <c r="E22706">
        <v>21.8770614692653</v>
      </c>
    </row>
    <row r="22707" spans="1:5">
      <c r="A22707" t="s">
        <v>26376</v>
      </c>
      <c r="B22707" t="s">
        <v>26378</v>
      </c>
      <c r="C22707">
        <v>0</v>
      </c>
      <c r="D22707">
        <v>0.97501190764699996</v>
      </c>
      <c r="E22707">
        <v>21.8770614692653</v>
      </c>
    </row>
    <row r="22708" spans="1:5">
      <c r="A22708" t="s">
        <v>26376</v>
      </c>
      <c r="B22708" t="s">
        <v>26379</v>
      </c>
      <c r="C22708">
        <v>0</v>
      </c>
      <c r="D22708">
        <v>0.97501190764699996</v>
      </c>
      <c r="E22708">
        <v>21.8770614692653</v>
      </c>
    </row>
    <row r="22709" spans="1:5">
      <c r="A22709" t="s">
        <v>26376</v>
      </c>
      <c r="B22709" t="s">
        <v>26380</v>
      </c>
      <c r="C22709">
        <f>0.0120280083745</f>
        <v>1.20280083745E-2</v>
      </c>
      <c r="D22709">
        <v>0.97501190764699996</v>
      </c>
      <c r="E22709">
        <v>21.8770614692653</v>
      </c>
    </row>
    <row r="22710" spans="1:5">
      <c r="A22710" t="s">
        <v>26376</v>
      </c>
      <c r="B22710" t="s">
        <v>26381</v>
      </c>
      <c r="C22710">
        <v>0</v>
      </c>
      <c r="D22710">
        <v>0.97501190764699996</v>
      </c>
      <c r="E22710">
        <v>21.8770614692653</v>
      </c>
    </row>
    <row r="22711" spans="1:5">
      <c r="A22711" t="s">
        <v>26382</v>
      </c>
      <c r="B22711" t="s">
        <v>26383</v>
      </c>
      <c r="C22711">
        <f>0</f>
        <v>0</v>
      </c>
      <c r="D22711">
        <v>0.88081027091999997</v>
      </c>
      <c r="E22711">
        <v>2.79460269865067</v>
      </c>
    </row>
    <row r="22712" spans="1:5">
      <c r="A22712" t="s">
        <v>26382</v>
      </c>
      <c r="B22712" t="s">
        <v>26384</v>
      </c>
      <c r="C22712">
        <v>0</v>
      </c>
      <c r="D22712">
        <v>0.88081027091999997</v>
      </c>
      <c r="E22712">
        <v>2.79460269865067</v>
      </c>
    </row>
    <row r="22713" spans="1:5">
      <c r="A22713" t="s">
        <v>26382</v>
      </c>
      <c r="B22713" t="s">
        <v>26385</v>
      </c>
      <c r="C22713">
        <v>0</v>
      </c>
      <c r="D22713">
        <v>0.88081027091999997</v>
      </c>
      <c r="E22713">
        <v>2.79460269865067</v>
      </c>
    </row>
    <row r="22714" spans="1:5">
      <c r="A22714" t="s">
        <v>26382</v>
      </c>
      <c r="B22714" t="s">
        <v>26386</v>
      </c>
      <c r="C22714">
        <v>0</v>
      </c>
      <c r="D22714">
        <v>0.88081027091999997</v>
      </c>
      <c r="E22714">
        <v>2.79460269865067</v>
      </c>
    </row>
    <row r="22715" spans="1:5">
      <c r="A22715" t="s">
        <v>26382</v>
      </c>
      <c r="B22715" t="s">
        <v>26387</v>
      </c>
      <c r="C22715">
        <v>0</v>
      </c>
      <c r="D22715">
        <v>0.88081027091999997</v>
      </c>
      <c r="E22715">
        <v>2.79460269865067</v>
      </c>
    </row>
    <row r="22716" spans="1:5">
      <c r="A22716" t="s">
        <v>26388</v>
      </c>
      <c r="B22716" t="s">
        <v>26389</v>
      </c>
      <c r="C22716">
        <f>0</f>
        <v>0</v>
      </c>
      <c r="D22716">
        <v>0.77737450804099995</v>
      </c>
      <c r="E22716">
        <v>3.2263868065966999</v>
      </c>
    </row>
    <row r="22717" spans="1:5">
      <c r="A22717" t="s">
        <v>26390</v>
      </c>
      <c r="B22717" t="s">
        <v>26391</v>
      </c>
      <c r="C22717">
        <v>0.636881687122</v>
      </c>
      <c r="D22717">
        <v>0.99949924140099999</v>
      </c>
      <c r="E22717">
        <v>5.5772113943028403</v>
      </c>
    </row>
    <row r="22718" spans="1:5">
      <c r="A22718" t="s">
        <v>26390</v>
      </c>
      <c r="B22718" t="s">
        <v>26392</v>
      </c>
      <c r="C22718">
        <v>0</v>
      </c>
      <c r="D22718">
        <v>0.99949924140099999</v>
      </c>
      <c r="E22718">
        <v>5.5772113943028403</v>
      </c>
    </row>
    <row r="22719" spans="1:5">
      <c r="A22719" t="s">
        <v>26390</v>
      </c>
      <c r="B22719" t="s">
        <v>26393</v>
      </c>
      <c r="C22719">
        <f>0</f>
        <v>0</v>
      </c>
      <c r="D22719">
        <v>0.99949924140099999</v>
      </c>
      <c r="E22719">
        <v>5.5772113943028403</v>
      </c>
    </row>
    <row r="22720" spans="1:5">
      <c r="A22720" t="s">
        <v>26394</v>
      </c>
      <c r="B22720" t="s">
        <v>26395</v>
      </c>
      <c r="C22720">
        <v>0</v>
      </c>
      <c r="D22720">
        <v>0.70654283815800001</v>
      </c>
      <c r="E22720">
        <v>3.2263868065966999</v>
      </c>
    </row>
    <row r="22721" spans="1:5">
      <c r="A22721" t="s">
        <v>26394</v>
      </c>
      <c r="B22721" t="s">
        <v>26396</v>
      </c>
      <c r="C22721">
        <v>0</v>
      </c>
      <c r="D22721">
        <v>0.70654283815800001</v>
      </c>
      <c r="E22721">
        <v>3.2263868065966999</v>
      </c>
    </row>
    <row r="22722" spans="1:5">
      <c r="A22722" t="s">
        <v>26394</v>
      </c>
      <c r="B22722" t="s">
        <v>26397</v>
      </c>
      <c r="C22722">
        <v>0</v>
      </c>
      <c r="D22722">
        <v>0.70654283815800001</v>
      </c>
      <c r="E22722">
        <v>3.2263868065966999</v>
      </c>
    </row>
    <row r="22723" spans="1:5">
      <c r="A22723" t="s">
        <v>26394</v>
      </c>
      <c r="B22723" t="s">
        <v>26398</v>
      </c>
      <c r="C22723">
        <f>0</f>
        <v>0</v>
      </c>
      <c r="D22723">
        <v>0.70654283815800001</v>
      </c>
      <c r="E22723">
        <v>3.2263868065966999</v>
      </c>
    </row>
    <row r="22724" spans="1:5">
      <c r="A22724" t="s">
        <v>26399</v>
      </c>
      <c r="B22724" t="s">
        <v>26400</v>
      </c>
      <c r="C22724">
        <v>0</v>
      </c>
      <c r="D22724">
        <v>0.98699747666500004</v>
      </c>
      <c r="E22724">
        <v>3.4902548725637099</v>
      </c>
    </row>
    <row r="22725" spans="1:5">
      <c r="A22725" t="s">
        <v>26399</v>
      </c>
      <c r="B22725" t="s">
        <v>26401</v>
      </c>
      <c r="C22725">
        <f>0</f>
        <v>0</v>
      </c>
      <c r="D22725">
        <v>0.98699747666500004</v>
      </c>
      <c r="E22725">
        <v>3.4902548725637099</v>
      </c>
    </row>
    <row r="22726" spans="1:5">
      <c r="A22726" t="s">
        <v>26399</v>
      </c>
      <c r="B22726" t="s">
        <v>26402</v>
      </c>
      <c r="C22726">
        <v>5.7582334486899998E-2</v>
      </c>
      <c r="D22726">
        <v>0.98699747666500004</v>
      </c>
      <c r="E22726">
        <v>3.4902548725637099</v>
      </c>
    </row>
    <row r="22727" spans="1:5">
      <c r="A22727" t="s">
        <v>26399</v>
      </c>
      <c r="B22727" t="s">
        <v>26403</v>
      </c>
      <c r="C22727">
        <v>0.34008504296199998</v>
      </c>
      <c r="D22727">
        <v>0.98699747666500004</v>
      </c>
      <c r="E22727">
        <v>3.4902548725637099</v>
      </c>
    </row>
    <row r="22728" spans="1:5">
      <c r="A22728" t="s">
        <v>26404</v>
      </c>
      <c r="B22728" t="s">
        <v>26405</v>
      </c>
      <c r="C22728">
        <f>0</f>
        <v>0</v>
      </c>
      <c r="D22728" t="s">
        <v>106</v>
      </c>
      <c r="E22728">
        <v>24</v>
      </c>
    </row>
    <row r="22729" spans="1:5">
      <c r="A22729" t="s">
        <v>26404</v>
      </c>
      <c r="B22729" t="s">
        <v>26406</v>
      </c>
      <c r="C22729">
        <f>0</f>
        <v>0</v>
      </c>
      <c r="D22729" t="s">
        <v>106</v>
      </c>
      <c r="E22729">
        <v>24</v>
      </c>
    </row>
    <row r="22730" spans="1:5">
      <c r="A22730" t="s">
        <v>26404</v>
      </c>
      <c r="B22730" t="s">
        <v>26407</v>
      </c>
      <c r="C22730">
        <f>0</f>
        <v>0</v>
      </c>
      <c r="D22730" t="s">
        <v>106</v>
      </c>
      <c r="E22730">
        <v>24</v>
      </c>
    </row>
    <row r="22731" spans="1:5">
      <c r="A22731" t="s">
        <v>26404</v>
      </c>
      <c r="B22731" t="s">
        <v>26408</v>
      </c>
      <c r="C22731">
        <f>0.00753290215999</f>
        <v>7.5329021599899997E-3</v>
      </c>
      <c r="D22731" t="s">
        <v>106</v>
      </c>
      <c r="E22731">
        <v>24</v>
      </c>
    </row>
    <row r="22732" spans="1:5">
      <c r="A22732" t="s">
        <v>26404</v>
      </c>
      <c r="B22732" t="s">
        <v>26409</v>
      </c>
      <c r="C22732">
        <v>0</v>
      </c>
      <c r="D22732" t="s">
        <v>106</v>
      </c>
      <c r="E22732">
        <v>24</v>
      </c>
    </row>
    <row r="22733" spans="1:5">
      <c r="A22733" t="s">
        <v>26404</v>
      </c>
      <c r="B22733" t="s">
        <v>26410</v>
      </c>
      <c r="C22733">
        <v>0</v>
      </c>
      <c r="D22733" t="s">
        <v>106</v>
      </c>
      <c r="E22733">
        <v>24</v>
      </c>
    </row>
    <row r="22734" spans="1:5">
      <c r="A22734" t="s">
        <v>26404</v>
      </c>
      <c r="B22734" t="s">
        <v>26411</v>
      </c>
      <c r="C22734">
        <v>0</v>
      </c>
      <c r="D22734" t="s">
        <v>106</v>
      </c>
      <c r="E22734">
        <v>24</v>
      </c>
    </row>
    <row r="22735" spans="1:5">
      <c r="A22735" t="s">
        <v>26404</v>
      </c>
      <c r="B22735" t="s">
        <v>26412</v>
      </c>
      <c r="C22735">
        <f>0</f>
        <v>0</v>
      </c>
      <c r="D22735" t="s">
        <v>106</v>
      </c>
      <c r="E22735">
        <v>24</v>
      </c>
    </row>
    <row r="22736" spans="1:5">
      <c r="A22736" t="s">
        <v>26404</v>
      </c>
      <c r="B22736" t="s">
        <v>26413</v>
      </c>
      <c r="C22736">
        <f>0</f>
        <v>0</v>
      </c>
      <c r="D22736" t="s">
        <v>106</v>
      </c>
      <c r="E22736">
        <v>24</v>
      </c>
    </row>
    <row r="22737" spans="1:5">
      <c r="A22737" t="s">
        <v>26404</v>
      </c>
      <c r="B22737" t="s">
        <v>26414</v>
      </c>
      <c r="C22737">
        <f>0.000365493924307</f>
        <v>3.6549392430700002E-4</v>
      </c>
      <c r="D22737" t="s">
        <v>106</v>
      </c>
      <c r="E22737">
        <v>24</v>
      </c>
    </row>
    <row r="22738" spans="1:5">
      <c r="A22738" t="s">
        <v>26415</v>
      </c>
      <c r="B22738" t="s">
        <v>26416</v>
      </c>
      <c r="C22738">
        <v>0</v>
      </c>
      <c r="D22738">
        <v>0.98187041526700003</v>
      </c>
      <c r="E22738">
        <v>18.770614692653599</v>
      </c>
    </row>
    <row r="22739" spans="1:5">
      <c r="A22739" t="s">
        <v>26415</v>
      </c>
      <c r="B22739" t="s">
        <v>26417</v>
      </c>
      <c r="C22739">
        <f>0</f>
        <v>0</v>
      </c>
      <c r="D22739">
        <v>0.98187041526700003</v>
      </c>
      <c r="E22739">
        <v>18.770614692653599</v>
      </c>
    </row>
    <row r="22740" spans="1:5">
      <c r="A22740" t="s">
        <v>26415</v>
      </c>
      <c r="B22740" t="s">
        <v>26418</v>
      </c>
      <c r="C22740">
        <v>0</v>
      </c>
      <c r="D22740">
        <v>0.98187041526700003</v>
      </c>
      <c r="E22740">
        <v>18.770614692653599</v>
      </c>
    </row>
    <row r="22741" spans="1:5">
      <c r="A22741" t="s">
        <v>26415</v>
      </c>
      <c r="B22741" t="s">
        <v>26419</v>
      </c>
      <c r="C22741">
        <f>0</f>
        <v>0</v>
      </c>
      <c r="D22741">
        <v>0.98187041526700003</v>
      </c>
      <c r="E22741">
        <v>18.770614692653599</v>
      </c>
    </row>
    <row r="22742" spans="1:5">
      <c r="A22742" t="s">
        <v>26415</v>
      </c>
      <c r="B22742" t="s">
        <v>26420</v>
      </c>
      <c r="C22742">
        <f>0</f>
        <v>0</v>
      </c>
      <c r="D22742">
        <v>0.98187041526700003</v>
      </c>
      <c r="E22742">
        <v>18.770614692653599</v>
      </c>
    </row>
    <row r="22743" spans="1:5">
      <c r="A22743" t="s">
        <v>26415</v>
      </c>
      <c r="B22743" t="s">
        <v>26421</v>
      </c>
      <c r="C22743">
        <f>0.041706107952</f>
        <v>4.1706107951999999E-2</v>
      </c>
      <c r="D22743">
        <v>0.98187041526700003</v>
      </c>
      <c r="E22743">
        <v>18.770614692653599</v>
      </c>
    </row>
    <row r="22744" spans="1:5">
      <c r="A22744" t="s">
        <v>26415</v>
      </c>
      <c r="B22744" t="s">
        <v>26422</v>
      </c>
      <c r="C22744">
        <f>0</f>
        <v>0</v>
      </c>
      <c r="D22744">
        <v>0.98187041526700003</v>
      </c>
      <c r="E22744">
        <v>18.770614692653599</v>
      </c>
    </row>
    <row r="22745" spans="1:5">
      <c r="A22745" t="s">
        <v>26415</v>
      </c>
      <c r="B22745" t="s">
        <v>26423</v>
      </c>
      <c r="C22745">
        <v>5.5904781969599998E-2</v>
      </c>
      <c r="D22745">
        <v>0.98187041526700003</v>
      </c>
      <c r="E22745">
        <v>18.770614692653599</v>
      </c>
    </row>
    <row r="22746" spans="1:5">
      <c r="A22746" t="s">
        <v>26424</v>
      </c>
      <c r="B22746" t="s">
        <v>26425</v>
      </c>
      <c r="C22746">
        <v>0</v>
      </c>
      <c r="D22746" t="s">
        <v>106</v>
      </c>
      <c r="E22746">
        <v>5.2413793103448203</v>
      </c>
    </row>
    <row r="22747" spans="1:5">
      <c r="A22747" t="s">
        <v>26424</v>
      </c>
      <c r="B22747" t="s">
        <v>26426</v>
      </c>
      <c r="C22747">
        <v>0</v>
      </c>
      <c r="D22747" t="s">
        <v>106</v>
      </c>
      <c r="E22747">
        <v>5.2413793103448203</v>
      </c>
    </row>
    <row r="22748" spans="1:5">
      <c r="A22748" t="s">
        <v>26424</v>
      </c>
      <c r="B22748" t="s">
        <v>26427</v>
      </c>
      <c r="C22748">
        <v>3.3847355375900001E-2</v>
      </c>
      <c r="D22748" t="s">
        <v>106</v>
      </c>
      <c r="E22748">
        <v>5.2413793103448203</v>
      </c>
    </row>
    <row r="22749" spans="1:5">
      <c r="A22749" t="s">
        <v>26424</v>
      </c>
      <c r="B22749" t="s">
        <v>26428</v>
      </c>
      <c r="C22749">
        <v>0</v>
      </c>
      <c r="D22749" t="s">
        <v>106</v>
      </c>
      <c r="E22749">
        <v>5.2413793103448203</v>
      </c>
    </row>
    <row r="22750" spans="1:5">
      <c r="A22750" t="s">
        <v>26424</v>
      </c>
      <c r="B22750" t="s">
        <v>26429</v>
      </c>
      <c r="C22750">
        <f>0</f>
        <v>0</v>
      </c>
      <c r="D22750" t="s">
        <v>106</v>
      </c>
      <c r="E22750">
        <v>5.2413793103448203</v>
      </c>
    </row>
    <row r="22751" spans="1:5">
      <c r="A22751" t="s">
        <v>26424</v>
      </c>
      <c r="B22751" t="s">
        <v>26430</v>
      </c>
      <c r="C22751">
        <v>0</v>
      </c>
      <c r="D22751" t="s">
        <v>106</v>
      </c>
      <c r="E22751">
        <v>5.2413793103448203</v>
      </c>
    </row>
    <row r="22752" spans="1:5">
      <c r="A22752" t="s">
        <v>26424</v>
      </c>
      <c r="B22752" t="s">
        <v>26431</v>
      </c>
      <c r="C22752">
        <v>0</v>
      </c>
      <c r="D22752" t="s">
        <v>106</v>
      </c>
      <c r="E22752">
        <v>5.2413793103448203</v>
      </c>
    </row>
    <row r="22753" spans="1:5">
      <c r="A22753" t="s">
        <v>26424</v>
      </c>
      <c r="B22753" t="s">
        <v>26432</v>
      </c>
      <c r="C22753">
        <v>0</v>
      </c>
      <c r="D22753" t="s">
        <v>106</v>
      </c>
      <c r="E22753">
        <v>5.2413793103448203</v>
      </c>
    </row>
    <row r="22754" spans="1:5">
      <c r="A22754" t="s">
        <v>26424</v>
      </c>
      <c r="B22754" t="s">
        <v>26433</v>
      </c>
      <c r="C22754">
        <v>0</v>
      </c>
      <c r="D22754" t="s">
        <v>106</v>
      </c>
      <c r="E22754">
        <v>5.2413793103448203</v>
      </c>
    </row>
    <row r="22755" spans="1:5">
      <c r="A22755" t="s">
        <v>26434</v>
      </c>
      <c r="B22755" t="s">
        <v>26435</v>
      </c>
      <c r="C22755">
        <v>0</v>
      </c>
      <c r="D22755" t="s">
        <v>106</v>
      </c>
      <c r="E22755">
        <v>13.8170914542728</v>
      </c>
    </row>
    <row r="22756" spans="1:5">
      <c r="A22756" t="s">
        <v>26434</v>
      </c>
      <c r="B22756" t="s">
        <v>26436</v>
      </c>
      <c r="C22756">
        <f>0</f>
        <v>0</v>
      </c>
      <c r="D22756" t="s">
        <v>106</v>
      </c>
      <c r="E22756">
        <v>13.8170914542728</v>
      </c>
    </row>
    <row r="22757" spans="1:5">
      <c r="A22757" t="s">
        <v>26434</v>
      </c>
      <c r="B22757" t="s">
        <v>26437</v>
      </c>
      <c r="C22757">
        <f>0</f>
        <v>0</v>
      </c>
      <c r="D22757" t="s">
        <v>106</v>
      </c>
      <c r="E22757">
        <v>13.8170914542728</v>
      </c>
    </row>
    <row r="22758" spans="1:5">
      <c r="A22758" t="s">
        <v>26434</v>
      </c>
      <c r="B22758" t="s">
        <v>26438</v>
      </c>
      <c r="C22758">
        <f>0</f>
        <v>0</v>
      </c>
      <c r="D22758" t="s">
        <v>106</v>
      </c>
      <c r="E22758">
        <v>13.8170914542728</v>
      </c>
    </row>
    <row r="22759" spans="1:5">
      <c r="A22759" t="s">
        <v>26439</v>
      </c>
      <c r="B22759" t="s">
        <v>26440</v>
      </c>
      <c r="C22759">
        <f>0</f>
        <v>0</v>
      </c>
      <c r="D22759" t="s">
        <v>106</v>
      </c>
      <c r="E22759">
        <v>12.7376311844077</v>
      </c>
    </row>
    <row r="22760" spans="1:5">
      <c r="A22760" t="s">
        <v>26439</v>
      </c>
      <c r="B22760" t="s">
        <v>26441</v>
      </c>
      <c r="C22760">
        <v>0</v>
      </c>
      <c r="D22760" t="s">
        <v>106</v>
      </c>
      <c r="E22760">
        <v>12.7376311844077</v>
      </c>
    </row>
    <row r="22761" spans="1:5">
      <c r="A22761" t="s">
        <v>26442</v>
      </c>
      <c r="B22761" t="s">
        <v>26443</v>
      </c>
      <c r="C22761">
        <f>0</f>
        <v>0</v>
      </c>
      <c r="D22761" t="s">
        <v>106</v>
      </c>
      <c r="E22761">
        <v>14.9325337331334</v>
      </c>
    </row>
    <row r="22762" spans="1:5">
      <c r="A22762" t="s">
        <v>26442</v>
      </c>
      <c r="B22762" t="s">
        <v>26444</v>
      </c>
      <c r="C22762">
        <f>0</f>
        <v>0</v>
      </c>
      <c r="D22762" t="s">
        <v>106</v>
      </c>
      <c r="E22762">
        <v>14.9325337331334</v>
      </c>
    </row>
    <row r="22763" spans="1:5">
      <c r="A22763" t="s">
        <v>26442</v>
      </c>
      <c r="B22763" t="s">
        <v>26445</v>
      </c>
      <c r="C22763">
        <v>0</v>
      </c>
      <c r="D22763" t="s">
        <v>106</v>
      </c>
      <c r="E22763">
        <v>14.9325337331334</v>
      </c>
    </row>
    <row r="22764" spans="1:5">
      <c r="A22764" t="s">
        <v>26442</v>
      </c>
      <c r="B22764" t="s">
        <v>26446</v>
      </c>
      <c r="C22764">
        <f>0</f>
        <v>0</v>
      </c>
      <c r="D22764" t="s">
        <v>106</v>
      </c>
      <c r="E22764">
        <v>14.9325337331334</v>
      </c>
    </row>
    <row r="22765" spans="1:5">
      <c r="A22765" t="s">
        <v>26442</v>
      </c>
      <c r="B22765" t="s">
        <v>26447</v>
      </c>
      <c r="C22765">
        <v>0</v>
      </c>
      <c r="D22765" t="s">
        <v>106</v>
      </c>
      <c r="E22765">
        <v>14.9325337331334</v>
      </c>
    </row>
    <row r="22766" spans="1:5">
      <c r="A22766" t="s">
        <v>26442</v>
      </c>
      <c r="B22766" t="s">
        <v>26448</v>
      </c>
      <c r="C22766">
        <v>0</v>
      </c>
      <c r="D22766" t="s">
        <v>106</v>
      </c>
      <c r="E22766">
        <v>14.9325337331334</v>
      </c>
    </row>
    <row r="22767" spans="1:5">
      <c r="A22767" t="s">
        <v>26442</v>
      </c>
      <c r="B22767" t="s">
        <v>26449</v>
      </c>
      <c r="C22767">
        <v>0</v>
      </c>
      <c r="D22767" t="s">
        <v>106</v>
      </c>
      <c r="E22767">
        <v>14.9325337331334</v>
      </c>
    </row>
    <row r="22768" spans="1:5">
      <c r="A22768" t="s">
        <v>26442</v>
      </c>
      <c r="B22768" t="s">
        <v>26450</v>
      </c>
      <c r="C22768">
        <v>0</v>
      </c>
      <c r="D22768" t="s">
        <v>106</v>
      </c>
      <c r="E22768">
        <v>14.9325337331334</v>
      </c>
    </row>
    <row r="22769" spans="1:5">
      <c r="A22769" t="s">
        <v>26442</v>
      </c>
      <c r="B22769" t="s">
        <v>26451</v>
      </c>
      <c r="C22769">
        <v>0</v>
      </c>
      <c r="D22769" t="s">
        <v>106</v>
      </c>
      <c r="E22769">
        <v>14.9325337331334</v>
      </c>
    </row>
    <row r="22770" spans="1:5">
      <c r="A22770" t="s">
        <v>26442</v>
      </c>
      <c r="B22770" t="s">
        <v>26452</v>
      </c>
      <c r="C22770">
        <f>0</f>
        <v>0</v>
      </c>
      <c r="D22770" t="s">
        <v>106</v>
      </c>
      <c r="E22770">
        <v>14.9325337331334</v>
      </c>
    </row>
    <row r="22771" spans="1:5">
      <c r="A22771" t="s">
        <v>26442</v>
      </c>
      <c r="B22771" t="s">
        <v>26453</v>
      </c>
      <c r="C22771">
        <f>0</f>
        <v>0</v>
      </c>
      <c r="D22771" t="s">
        <v>106</v>
      </c>
      <c r="E22771">
        <v>14.9325337331334</v>
      </c>
    </row>
    <row r="22772" spans="1:5">
      <c r="A22772" t="s">
        <v>26442</v>
      </c>
      <c r="B22772" t="s">
        <v>26454</v>
      </c>
      <c r="C22772">
        <f>0</f>
        <v>0</v>
      </c>
      <c r="D22772" t="s">
        <v>106</v>
      </c>
      <c r="E22772">
        <v>14.9325337331334</v>
      </c>
    </row>
    <row r="22773" spans="1:5">
      <c r="A22773" t="s">
        <v>26442</v>
      </c>
      <c r="B22773" t="s">
        <v>26455</v>
      </c>
      <c r="C22773">
        <v>0</v>
      </c>
      <c r="D22773" t="s">
        <v>106</v>
      </c>
      <c r="E22773">
        <v>14.9325337331334</v>
      </c>
    </row>
    <row r="22774" spans="1:5">
      <c r="A22774" t="s">
        <v>26442</v>
      </c>
      <c r="B22774" t="s">
        <v>26456</v>
      </c>
      <c r="C22774">
        <v>0</v>
      </c>
      <c r="D22774" t="s">
        <v>106</v>
      </c>
      <c r="E22774">
        <v>14.9325337331334</v>
      </c>
    </row>
    <row r="22775" spans="1:5">
      <c r="A22775" t="s">
        <v>26442</v>
      </c>
      <c r="B22775" t="s">
        <v>26457</v>
      </c>
      <c r="C22775">
        <v>0</v>
      </c>
      <c r="D22775" t="s">
        <v>106</v>
      </c>
      <c r="E22775">
        <v>14.9325337331334</v>
      </c>
    </row>
    <row r="22776" spans="1:5">
      <c r="A22776" t="s">
        <v>26442</v>
      </c>
      <c r="B22776" t="s">
        <v>26458</v>
      </c>
      <c r="C22776">
        <v>0</v>
      </c>
      <c r="D22776" t="s">
        <v>106</v>
      </c>
      <c r="E22776">
        <v>14.9325337331334</v>
      </c>
    </row>
    <row r="22777" spans="1:5">
      <c r="A22777" t="s">
        <v>26442</v>
      </c>
      <c r="B22777" t="s">
        <v>26459</v>
      </c>
      <c r="C22777">
        <v>0</v>
      </c>
      <c r="D22777" t="s">
        <v>106</v>
      </c>
      <c r="E22777">
        <v>14.9325337331334</v>
      </c>
    </row>
    <row r="22778" spans="1:5">
      <c r="A22778" t="s">
        <v>26460</v>
      </c>
      <c r="B22778" t="s">
        <v>26461</v>
      </c>
      <c r="C22778">
        <v>0</v>
      </c>
      <c r="D22778">
        <v>0.98409346599299996</v>
      </c>
      <c r="E22778">
        <v>13.0854572713643</v>
      </c>
    </row>
    <row r="22779" spans="1:5">
      <c r="A22779" t="s">
        <v>26460</v>
      </c>
      <c r="B22779" t="s">
        <v>26462</v>
      </c>
      <c r="C22779">
        <f>0</f>
        <v>0</v>
      </c>
      <c r="D22779">
        <v>0.98409346599299996</v>
      </c>
      <c r="E22779">
        <v>13.0854572713643</v>
      </c>
    </row>
    <row r="22780" spans="1:5">
      <c r="A22780" t="s">
        <v>26460</v>
      </c>
      <c r="B22780" t="s">
        <v>26463</v>
      </c>
      <c r="C22780">
        <v>0.116983152757</v>
      </c>
      <c r="D22780">
        <v>0.98409346599299996</v>
      </c>
      <c r="E22780">
        <v>13.0854572713643</v>
      </c>
    </row>
    <row r="22781" spans="1:5">
      <c r="A22781" t="s">
        <v>26460</v>
      </c>
      <c r="B22781" t="s">
        <v>26464</v>
      </c>
      <c r="C22781">
        <v>0</v>
      </c>
      <c r="D22781">
        <v>0.98409346599299996</v>
      </c>
      <c r="E22781">
        <v>13.0854572713643</v>
      </c>
    </row>
    <row r="22782" spans="1:5">
      <c r="A22782" t="s">
        <v>26460</v>
      </c>
      <c r="B22782" t="s">
        <v>26465</v>
      </c>
      <c r="C22782">
        <v>0</v>
      </c>
      <c r="D22782">
        <v>0.98409346599299996</v>
      </c>
      <c r="E22782">
        <v>13.0854572713643</v>
      </c>
    </row>
    <row r="22783" spans="1:5">
      <c r="A22783" t="s">
        <v>26460</v>
      </c>
      <c r="B22783" t="s">
        <v>26466</v>
      </c>
      <c r="C22783">
        <v>0</v>
      </c>
      <c r="D22783">
        <v>0.98409346599299996</v>
      </c>
      <c r="E22783">
        <v>13.0854572713643</v>
      </c>
    </row>
    <row r="22784" spans="1:5">
      <c r="A22784" t="s">
        <v>26460</v>
      </c>
      <c r="B22784" t="s">
        <v>26467</v>
      </c>
      <c r="C22784">
        <v>0</v>
      </c>
      <c r="D22784">
        <v>0.98409346599299996</v>
      </c>
      <c r="E22784">
        <v>13.0854572713643</v>
      </c>
    </row>
    <row r="22785" spans="1:5">
      <c r="A22785" t="s">
        <v>26460</v>
      </c>
      <c r="B22785" t="s">
        <v>26468</v>
      </c>
      <c r="C22785">
        <v>0</v>
      </c>
      <c r="D22785">
        <v>0.98409346599299996</v>
      </c>
      <c r="E22785">
        <v>13.0854572713643</v>
      </c>
    </row>
    <row r="22786" spans="1:5">
      <c r="A22786" t="s">
        <v>26460</v>
      </c>
      <c r="B22786" t="s">
        <v>26469</v>
      </c>
      <c r="C22786">
        <v>0.150992969078</v>
      </c>
      <c r="D22786">
        <v>0.98409346599299996</v>
      </c>
      <c r="E22786">
        <v>13.0854572713643</v>
      </c>
    </row>
    <row r="22787" spans="1:5">
      <c r="A22787" t="s">
        <v>26460</v>
      </c>
      <c r="B22787" t="s">
        <v>26470</v>
      </c>
      <c r="C22787">
        <f>0</f>
        <v>0</v>
      </c>
      <c r="D22787">
        <v>0.98409346599299996</v>
      </c>
      <c r="E22787">
        <v>13.0854572713643</v>
      </c>
    </row>
    <row r="22788" spans="1:5">
      <c r="A22788" t="s">
        <v>26460</v>
      </c>
      <c r="B22788" t="s">
        <v>26471</v>
      </c>
      <c r="C22788">
        <v>0</v>
      </c>
      <c r="D22788">
        <v>0.98409346599299996</v>
      </c>
      <c r="E22788">
        <v>13.0854572713643</v>
      </c>
    </row>
    <row r="22789" spans="1:5">
      <c r="A22789" t="s">
        <v>26472</v>
      </c>
      <c r="B22789" t="s">
        <v>26473</v>
      </c>
      <c r="C22789">
        <f>0</f>
        <v>0</v>
      </c>
      <c r="D22789">
        <v>0.80515653332500003</v>
      </c>
      <c r="E22789">
        <v>1.7631184407796101</v>
      </c>
    </row>
    <row r="22790" spans="1:5">
      <c r="A22790" t="s">
        <v>26472</v>
      </c>
      <c r="B22790" t="s">
        <v>26474</v>
      </c>
      <c r="C22790">
        <f>0.457315084045</f>
        <v>0.45731508404499999</v>
      </c>
      <c r="D22790">
        <v>0.80515653332500003</v>
      </c>
      <c r="E22790">
        <v>1.7631184407796101</v>
      </c>
    </row>
    <row r="22791" spans="1:5">
      <c r="A22791" t="s">
        <v>26475</v>
      </c>
      <c r="B22791" t="s">
        <v>26476</v>
      </c>
      <c r="C22791">
        <v>0.35579684787799998</v>
      </c>
      <c r="D22791">
        <v>0.97229187912199999</v>
      </c>
      <c r="E22791">
        <v>4.1739130434782599</v>
      </c>
    </row>
    <row r="22792" spans="1:5">
      <c r="A22792" t="s">
        <v>26475</v>
      </c>
      <c r="B22792" t="s">
        <v>26477</v>
      </c>
      <c r="C22792">
        <v>0.51922142287100004</v>
      </c>
      <c r="D22792">
        <v>0.97229187912199999</v>
      </c>
      <c r="E22792">
        <v>4.1739130434782599</v>
      </c>
    </row>
    <row r="22793" spans="1:5">
      <c r="A22793" t="s">
        <v>26478</v>
      </c>
      <c r="B22793" t="s">
        <v>26479</v>
      </c>
      <c r="C22793">
        <f>0</f>
        <v>0</v>
      </c>
      <c r="D22793" t="s">
        <v>106</v>
      </c>
      <c r="E22793">
        <v>1.89505247376311</v>
      </c>
    </row>
    <row r="22794" spans="1:5">
      <c r="A22794" t="s">
        <v>26478</v>
      </c>
      <c r="B22794" t="s">
        <v>26480</v>
      </c>
      <c r="C22794">
        <f>0</f>
        <v>0</v>
      </c>
      <c r="D22794" t="s">
        <v>106</v>
      </c>
      <c r="E22794">
        <v>1.89505247376311</v>
      </c>
    </row>
    <row r="22795" spans="1:5">
      <c r="A22795" t="s">
        <v>26478</v>
      </c>
      <c r="B22795" t="s">
        <v>26481</v>
      </c>
      <c r="C22795">
        <v>0</v>
      </c>
      <c r="D22795" t="s">
        <v>106</v>
      </c>
      <c r="E22795">
        <v>1.89505247376311</v>
      </c>
    </row>
    <row r="22796" spans="1:5">
      <c r="A22796" t="s">
        <v>26478</v>
      </c>
      <c r="B22796" t="s">
        <v>26482</v>
      </c>
      <c r="C22796">
        <f>0</f>
        <v>0</v>
      </c>
      <c r="D22796" t="s">
        <v>106</v>
      </c>
      <c r="E22796">
        <v>1.89505247376311</v>
      </c>
    </row>
    <row r="22797" spans="1:5">
      <c r="A22797" t="s">
        <v>26483</v>
      </c>
      <c r="B22797" t="s">
        <v>26484</v>
      </c>
      <c r="C22797">
        <v>0</v>
      </c>
      <c r="D22797" t="s">
        <v>106</v>
      </c>
      <c r="E22797">
        <v>11.8740629685157</v>
      </c>
    </row>
    <row r="22798" spans="1:5">
      <c r="A22798" t="s">
        <v>26483</v>
      </c>
      <c r="B22798" t="s">
        <v>26485</v>
      </c>
      <c r="C22798">
        <v>0</v>
      </c>
      <c r="D22798" t="s">
        <v>106</v>
      </c>
      <c r="E22798">
        <v>11.8740629685157</v>
      </c>
    </row>
    <row r="22799" spans="1:5">
      <c r="A22799" t="s">
        <v>26483</v>
      </c>
      <c r="B22799" t="s">
        <v>26486</v>
      </c>
      <c r="C22799">
        <f>0</f>
        <v>0</v>
      </c>
      <c r="D22799" t="s">
        <v>106</v>
      </c>
      <c r="E22799">
        <v>11.8740629685157</v>
      </c>
    </row>
    <row r="22800" spans="1:5">
      <c r="A22800" t="s">
        <v>26483</v>
      </c>
      <c r="B22800" t="s">
        <v>26487</v>
      </c>
      <c r="C22800">
        <v>0</v>
      </c>
      <c r="D22800" t="s">
        <v>106</v>
      </c>
      <c r="E22800">
        <v>11.8740629685157</v>
      </c>
    </row>
    <row r="22801" spans="1:5">
      <c r="A22801" t="s">
        <v>26483</v>
      </c>
      <c r="B22801" t="s">
        <v>26488</v>
      </c>
      <c r="C22801">
        <f>0</f>
        <v>0</v>
      </c>
      <c r="D22801" t="s">
        <v>106</v>
      </c>
      <c r="E22801">
        <v>11.8740629685157</v>
      </c>
    </row>
    <row r="22802" spans="1:5">
      <c r="A22802" t="s">
        <v>26483</v>
      </c>
      <c r="B22802" t="s">
        <v>26489</v>
      </c>
      <c r="C22802">
        <v>0</v>
      </c>
      <c r="D22802" t="s">
        <v>106</v>
      </c>
      <c r="E22802">
        <v>11.8740629685157</v>
      </c>
    </row>
    <row r="22803" spans="1:5">
      <c r="A22803" t="s">
        <v>26483</v>
      </c>
      <c r="B22803" t="s">
        <v>26490</v>
      </c>
      <c r="C22803">
        <v>0</v>
      </c>
      <c r="D22803" t="s">
        <v>106</v>
      </c>
      <c r="E22803">
        <v>11.8740629685157</v>
      </c>
    </row>
    <row r="22804" spans="1:5">
      <c r="A22804" t="s">
        <v>26483</v>
      </c>
      <c r="B22804" t="s">
        <v>26491</v>
      </c>
      <c r="C22804">
        <f>0</f>
        <v>0</v>
      </c>
      <c r="D22804" t="s">
        <v>106</v>
      </c>
      <c r="E22804">
        <v>11.8740629685157</v>
      </c>
    </row>
    <row r="22805" spans="1:5">
      <c r="A22805" t="s">
        <v>26483</v>
      </c>
      <c r="B22805" t="s">
        <v>26492</v>
      </c>
      <c r="C22805">
        <v>0</v>
      </c>
      <c r="D22805" t="s">
        <v>106</v>
      </c>
      <c r="E22805">
        <v>11.8740629685157</v>
      </c>
    </row>
    <row r="22806" spans="1:5">
      <c r="A22806" t="s">
        <v>26483</v>
      </c>
      <c r="B22806" t="s">
        <v>26493</v>
      </c>
      <c r="C22806">
        <f>0</f>
        <v>0</v>
      </c>
      <c r="D22806" t="s">
        <v>106</v>
      </c>
      <c r="E22806">
        <v>11.8740629685157</v>
      </c>
    </row>
    <row r="22807" spans="1:5">
      <c r="A22807" t="s">
        <v>26483</v>
      </c>
      <c r="B22807" t="s">
        <v>26494</v>
      </c>
      <c r="C22807">
        <v>0</v>
      </c>
      <c r="D22807" t="s">
        <v>106</v>
      </c>
      <c r="E22807">
        <v>11.8740629685157</v>
      </c>
    </row>
    <row r="22808" spans="1:5">
      <c r="A22808" t="s">
        <v>26483</v>
      </c>
      <c r="B22808" t="s">
        <v>26495</v>
      </c>
      <c r="C22808">
        <v>0</v>
      </c>
      <c r="D22808" t="s">
        <v>106</v>
      </c>
      <c r="E22808">
        <v>11.8740629685157</v>
      </c>
    </row>
    <row r="22809" spans="1:5">
      <c r="A22809" t="s">
        <v>26483</v>
      </c>
      <c r="B22809" t="s">
        <v>26496</v>
      </c>
      <c r="C22809">
        <f>0</f>
        <v>0</v>
      </c>
      <c r="D22809" t="s">
        <v>106</v>
      </c>
      <c r="E22809">
        <v>11.8740629685157</v>
      </c>
    </row>
    <row r="22810" spans="1:5">
      <c r="A22810" t="s">
        <v>26483</v>
      </c>
      <c r="B22810" t="s">
        <v>26497</v>
      </c>
      <c r="C22810">
        <f>0</f>
        <v>0</v>
      </c>
      <c r="D22810" t="s">
        <v>106</v>
      </c>
      <c r="E22810">
        <v>11.8740629685157</v>
      </c>
    </row>
    <row r="22811" spans="1:5">
      <c r="A22811" t="s">
        <v>26483</v>
      </c>
      <c r="B22811" t="s">
        <v>26498</v>
      </c>
      <c r="C22811">
        <v>0</v>
      </c>
      <c r="D22811" t="s">
        <v>106</v>
      </c>
      <c r="E22811">
        <v>11.8740629685157</v>
      </c>
    </row>
    <row r="22812" spans="1:5">
      <c r="A22812" t="s">
        <v>26483</v>
      </c>
      <c r="B22812" t="s">
        <v>26499</v>
      </c>
      <c r="C22812">
        <v>0</v>
      </c>
      <c r="D22812" t="s">
        <v>106</v>
      </c>
      <c r="E22812">
        <v>11.8740629685157</v>
      </c>
    </row>
    <row r="22813" spans="1:5">
      <c r="A22813" t="s">
        <v>26483</v>
      </c>
      <c r="B22813" t="s">
        <v>26500</v>
      </c>
      <c r="C22813">
        <f>0</f>
        <v>0</v>
      </c>
      <c r="D22813" t="s">
        <v>106</v>
      </c>
      <c r="E22813">
        <v>11.8740629685157</v>
      </c>
    </row>
    <row r="22814" spans="1:5">
      <c r="A22814" t="s">
        <v>26483</v>
      </c>
      <c r="B22814" t="s">
        <v>26501</v>
      </c>
      <c r="C22814">
        <v>0</v>
      </c>
      <c r="D22814" t="s">
        <v>106</v>
      </c>
      <c r="E22814">
        <v>11.8740629685157</v>
      </c>
    </row>
    <row r="22815" spans="1:5">
      <c r="A22815" t="s">
        <v>26483</v>
      </c>
      <c r="B22815" t="s">
        <v>26502</v>
      </c>
      <c r="C22815">
        <v>0</v>
      </c>
      <c r="D22815" t="s">
        <v>106</v>
      </c>
      <c r="E22815">
        <v>11.8740629685157</v>
      </c>
    </row>
    <row r="22816" spans="1:5">
      <c r="A22816" t="s">
        <v>26483</v>
      </c>
      <c r="B22816" t="s">
        <v>26503</v>
      </c>
      <c r="C22816">
        <f>0</f>
        <v>0</v>
      </c>
      <c r="D22816" t="s">
        <v>106</v>
      </c>
      <c r="E22816">
        <v>11.8740629685157</v>
      </c>
    </row>
    <row r="22817" spans="1:5">
      <c r="A22817" t="s">
        <v>26504</v>
      </c>
      <c r="B22817" t="s">
        <v>26505</v>
      </c>
      <c r="C22817">
        <f>0</f>
        <v>0</v>
      </c>
      <c r="D22817" t="s">
        <v>106</v>
      </c>
      <c r="E22817">
        <v>2.2548725637181399</v>
      </c>
    </row>
    <row r="22818" spans="1:5">
      <c r="A22818" t="s">
        <v>26504</v>
      </c>
      <c r="B22818" t="s">
        <v>26506</v>
      </c>
      <c r="C22818">
        <v>0</v>
      </c>
      <c r="D22818" t="s">
        <v>106</v>
      </c>
      <c r="E22818">
        <v>2.2548725637181399</v>
      </c>
    </row>
    <row r="22819" spans="1:5">
      <c r="A22819" t="s">
        <v>26504</v>
      </c>
      <c r="B22819" t="s">
        <v>26507</v>
      </c>
      <c r="C22819">
        <v>0</v>
      </c>
      <c r="D22819" t="s">
        <v>106</v>
      </c>
      <c r="E22819">
        <v>2.2548725637181399</v>
      </c>
    </row>
    <row r="22820" spans="1:5">
      <c r="A22820" t="s">
        <v>26504</v>
      </c>
      <c r="B22820" t="s">
        <v>26508</v>
      </c>
      <c r="C22820">
        <f>0</f>
        <v>0</v>
      </c>
      <c r="D22820" t="s">
        <v>106</v>
      </c>
      <c r="E22820">
        <v>2.2548725637181399</v>
      </c>
    </row>
    <row r="22821" spans="1:5">
      <c r="A22821" t="s">
        <v>26504</v>
      </c>
      <c r="B22821" t="s">
        <v>26509</v>
      </c>
      <c r="C22821">
        <v>0</v>
      </c>
      <c r="D22821" t="s">
        <v>106</v>
      </c>
      <c r="E22821">
        <v>2.2548725637181399</v>
      </c>
    </row>
    <row r="22822" spans="1:5">
      <c r="A22822" t="s">
        <v>26504</v>
      </c>
      <c r="B22822" t="s">
        <v>26510</v>
      </c>
      <c r="C22822">
        <v>0</v>
      </c>
      <c r="D22822" t="s">
        <v>106</v>
      </c>
      <c r="E22822">
        <v>2.2548725637181399</v>
      </c>
    </row>
    <row r="22823" spans="1:5">
      <c r="A22823" t="s">
        <v>26504</v>
      </c>
      <c r="B22823" t="s">
        <v>26511</v>
      </c>
      <c r="C22823">
        <v>0</v>
      </c>
      <c r="D22823" t="s">
        <v>106</v>
      </c>
      <c r="E22823">
        <v>2.2548725637181399</v>
      </c>
    </row>
    <row r="22824" spans="1:5">
      <c r="A22824" t="s">
        <v>26504</v>
      </c>
      <c r="B22824" t="s">
        <v>26512</v>
      </c>
      <c r="C22824">
        <v>0</v>
      </c>
      <c r="D22824" t="s">
        <v>106</v>
      </c>
      <c r="E22824">
        <v>2.2548725637181399</v>
      </c>
    </row>
    <row r="22825" spans="1:5">
      <c r="A22825" t="s">
        <v>26504</v>
      </c>
      <c r="B22825" t="s">
        <v>26513</v>
      </c>
      <c r="C22825">
        <v>0</v>
      </c>
      <c r="D22825" t="s">
        <v>106</v>
      </c>
      <c r="E22825">
        <v>2.2548725637181399</v>
      </c>
    </row>
    <row r="22826" spans="1:5">
      <c r="A22826" t="s">
        <v>26504</v>
      </c>
      <c r="B22826" t="s">
        <v>26514</v>
      </c>
      <c r="C22826">
        <v>0</v>
      </c>
      <c r="D22826" t="s">
        <v>106</v>
      </c>
      <c r="E22826">
        <v>2.2548725637181399</v>
      </c>
    </row>
    <row r="22827" spans="1:5">
      <c r="A22827" t="s">
        <v>26504</v>
      </c>
      <c r="B22827" t="s">
        <v>26515</v>
      </c>
      <c r="C22827">
        <v>0</v>
      </c>
      <c r="D22827" t="s">
        <v>106</v>
      </c>
      <c r="E22827">
        <v>2.2548725637181399</v>
      </c>
    </row>
    <row r="22828" spans="1:5">
      <c r="A22828" t="s">
        <v>26516</v>
      </c>
      <c r="B22828" t="s">
        <v>26517</v>
      </c>
      <c r="C22828">
        <v>0</v>
      </c>
      <c r="D22828">
        <v>0.99872110569799999</v>
      </c>
      <c r="E22828">
        <v>1.33133433283358</v>
      </c>
    </row>
    <row r="22829" spans="1:5">
      <c r="A22829" t="s">
        <v>26516</v>
      </c>
      <c r="B22829" t="s">
        <v>26518</v>
      </c>
      <c r="C22829">
        <v>0.597950322034</v>
      </c>
      <c r="D22829">
        <v>0.99872110569799999</v>
      </c>
      <c r="E22829">
        <v>1.33133433283358</v>
      </c>
    </row>
    <row r="22830" spans="1:5">
      <c r="A22830" t="s">
        <v>26516</v>
      </c>
      <c r="B22830" t="s">
        <v>26519</v>
      </c>
      <c r="C22830">
        <v>8.8281743123899997E-2</v>
      </c>
      <c r="D22830">
        <v>0.99872110569799999</v>
      </c>
      <c r="E22830">
        <v>1.33133433283358</v>
      </c>
    </row>
    <row r="22831" spans="1:5">
      <c r="A22831" t="s">
        <v>26516</v>
      </c>
      <c r="B22831" t="s">
        <v>26520</v>
      </c>
      <c r="C22831">
        <v>0</v>
      </c>
      <c r="D22831">
        <v>0.99872110569799999</v>
      </c>
      <c r="E22831">
        <v>1.33133433283358</v>
      </c>
    </row>
    <row r="22832" spans="1:5">
      <c r="A22832" t="s">
        <v>26521</v>
      </c>
      <c r="B22832" t="s">
        <v>26522</v>
      </c>
      <c r="C22832">
        <f>0.131949919567</f>
        <v>0.131949919567</v>
      </c>
      <c r="D22832">
        <v>0.96888874888099996</v>
      </c>
      <c r="E22832">
        <v>1.57121439280359</v>
      </c>
    </row>
    <row r="22833" spans="1:5">
      <c r="A22833" t="s">
        <v>26521</v>
      </c>
      <c r="B22833" t="s">
        <v>26523</v>
      </c>
      <c r="C22833">
        <f>0.428740925845</f>
        <v>0.42874092584500001</v>
      </c>
      <c r="D22833">
        <v>0.96888874888099996</v>
      </c>
      <c r="E22833">
        <v>1.57121439280359</v>
      </c>
    </row>
    <row r="22834" spans="1:5">
      <c r="A22834" t="s">
        <v>26521</v>
      </c>
      <c r="B22834" t="s">
        <v>26524</v>
      </c>
      <c r="C22834">
        <f>0</f>
        <v>0</v>
      </c>
      <c r="D22834">
        <v>0.96888874888099996</v>
      </c>
      <c r="E22834">
        <v>1.57121439280359</v>
      </c>
    </row>
    <row r="22835" spans="1:5">
      <c r="A22835" t="s">
        <v>26521</v>
      </c>
      <c r="B22835" t="s">
        <v>26525</v>
      </c>
      <c r="C22835">
        <f>0</f>
        <v>0</v>
      </c>
      <c r="D22835">
        <v>0.96888874888099996</v>
      </c>
      <c r="E22835">
        <v>1.57121439280359</v>
      </c>
    </row>
    <row r="22836" spans="1:5">
      <c r="A22836" t="s">
        <v>26526</v>
      </c>
      <c r="B22836" t="s">
        <v>26527</v>
      </c>
      <c r="C22836">
        <v>0</v>
      </c>
      <c r="D22836">
        <v>0.96777805796299998</v>
      </c>
      <c r="E22836">
        <v>6.2968515742128899</v>
      </c>
    </row>
    <row r="22837" spans="1:5">
      <c r="A22837" t="s">
        <v>26526</v>
      </c>
      <c r="B22837" t="s">
        <v>26528</v>
      </c>
      <c r="C22837">
        <v>0</v>
      </c>
      <c r="D22837">
        <v>0.96777805796299998</v>
      </c>
      <c r="E22837">
        <v>6.2968515742128899</v>
      </c>
    </row>
    <row r="22838" spans="1:5">
      <c r="A22838" t="s">
        <v>26526</v>
      </c>
      <c r="B22838" t="s">
        <v>26529</v>
      </c>
      <c r="C22838">
        <v>0</v>
      </c>
      <c r="D22838">
        <v>0.96777805796299998</v>
      </c>
      <c r="E22838">
        <v>6.2968515742128899</v>
      </c>
    </row>
    <row r="22839" spans="1:5">
      <c r="A22839" t="s">
        <v>26526</v>
      </c>
      <c r="B22839" t="s">
        <v>26530</v>
      </c>
      <c r="C22839">
        <f>0</f>
        <v>0</v>
      </c>
      <c r="D22839">
        <v>0.96777805796299998</v>
      </c>
      <c r="E22839">
        <v>6.2968515742128899</v>
      </c>
    </row>
    <row r="22840" spans="1:5">
      <c r="A22840" t="s">
        <v>26526</v>
      </c>
      <c r="B22840" t="s">
        <v>26531</v>
      </c>
      <c r="C22840">
        <v>0</v>
      </c>
      <c r="D22840">
        <v>0.96777805796299998</v>
      </c>
      <c r="E22840">
        <v>6.2968515742128899</v>
      </c>
    </row>
    <row r="22841" spans="1:5">
      <c r="A22841" t="s">
        <v>26526</v>
      </c>
      <c r="B22841" t="s">
        <v>26532</v>
      </c>
      <c r="C22841">
        <v>0.23727526111700001</v>
      </c>
      <c r="D22841">
        <v>0.96777805796299998</v>
      </c>
      <c r="E22841">
        <v>6.2968515742128899</v>
      </c>
    </row>
    <row r="22842" spans="1:5">
      <c r="A22842" t="s">
        <v>26526</v>
      </c>
      <c r="B22842" t="s">
        <v>26533</v>
      </c>
      <c r="C22842">
        <v>0</v>
      </c>
      <c r="D22842">
        <v>0.96777805796299998</v>
      </c>
      <c r="E22842">
        <v>6.2968515742128899</v>
      </c>
    </row>
    <row r="22843" spans="1:5">
      <c r="A22843" t="s">
        <v>26526</v>
      </c>
      <c r="B22843" t="s">
        <v>26534</v>
      </c>
      <c r="C22843">
        <f>0</f>
        <v>0</v>
      </c>
      <c r="D22843">
        <v>0.96777805796299998</v>
      </c>
      <c r="E22843">
        <v>6.2968515742128899</v>
      </c>
    </row>
    <row r="22844" spans="1:5">
      <c r="A22844" t="s">
        <v>26526</v>
      </c>
      <c r="B22844" t="s">
        <v>26535</v>
      </c>
      <c r="C22844">
        <v>0</v>
      </c>
      <c r="D22844">
        <v>0.96777805796299998</v>
      </c>
      <c r="E22844">
        <v>6.2968515742128899</v>
      </c>
    </row>
    <row r="22845" spans="1:5">
      <c r="A22845" t="s">
        <v>26526</v>
      </c>
      <c r="B22845" t="s">
        <v>26536</v>
      </c>
      <c r="C22845">
        <v>1.9945623035400002E-2</v>
      </c>
      <c r="D22845">
        <v>0.96777805796299998</v>
      </c>
      <c r="E22845">
        <v>6.2968515742128899</v>
      </c>
    </row>
    <row r="22846" spans="1:5">
      <c r="A22846" t="s">
        <v>26526</v>
      </c>
      <c r="B22846" t="s">
        <v>26537</v>
      </c>
      <c r="C22846">
        <v>0</v>
      </c>
      <c r="D22846">
        <v>0.96777805796299998</v>
      </c>
      <c r="E22846">
        <v>6.2968515742128899</v>
      </c>
    </row>
    <row r="22847" spans="1:5">
      <c r="A22847" t="s">
        <v>26538</v>
      </c>
      <c r="B22847" t="s">
        <v>26539</v>
      </c>
      <c r="C22847">
        <f>0.303795636294</f>
        <v>0.30379563629400003</v>
      </c>
      <c r="D22847">
        <v>0.74192958281900001</v>
      </c>
      <c r="E22847">
        <v>6.8005997001499203</v>
      </c>
    </row>
    <row r="22848" spans="1:5">
      <c r="A22848" t="s">
        <v>26540</v>
      </c>
      <c r="B22848" t="s">
        <v>26541</v>
      </c>
      <c r="C22848">
        <v>0.25617912149599997</v>
      </c>
      <c r="D22848">
        <v>0.97083083716499996</v>
      </c>
      <c r="E22848">
        <v>8.0119940029985006</v>
      </c>
    </row>
    <row r="22849" spans="1:5">
      <c r="A22849" t="s">
        <v>26540</v>
      </c>
      <c r="B22849" t="s">
        <v>26542</v>
      </c>
      <c r="C22849">
        <v>0</v>
      </c>
      <c r="D22849">
        <v>0.97083083716499996</v>
      </c>
      <c r="E22849">
        <v>8.0119940029985006</v>
      </c>
    </row>
    <row r="22850" spans="1:5">
      <c r="A22850" t="s">
        <v>26540</v>
      </c>
      <c r="B22850" t="s">
        <v>26543</v>
      </c>
      <c r="C22850">
        <v>0.15431060108200001</v>
      </c>
      <c r="D22850">
        <v>0.97083083716499996</v>
      </c>
      <c r="E22850">
        <v>8.0119940029985006</v>
      </c>
    </row>
    <row r="22851" spans="1:5">
      <c r="A22851" t="s">
        <v>26540</v>
      </c>
      <c r="B22851" t="s">
        <v>26544</v>
      </c>
      <c r="C22851">
        <v>0</v>
      </c>
      <c r="D22851">
        <v>0.97083083716499996</v>
      </c>
      <c r="E22851">
        <v>8.0119940029985006</v>
      </c>
    </row>
    <row r="22852" spans="1:5">
      <c r="A22852" t="s">
        <v>26540</v>
      </c>
      <c r="B22852" t="s">
        <v>26545</v>
      </c>
      <c r="C22852">
        <f>0</f>
        <v>0</v>
      </c>
      <c r="D22852">
        <v>0.97083083716499996</v>
      </c>
      <c r="E22852">
        <v>8.0119940029985006</v>
      </c>
    </row>
    <row r="22853" spans="1:5">
      <c r="A22853" t="s">
        <v>26546</v>
      </c>
      <c r="B22853" t="s">
        <v>26547</v>
      </c>
      <c r="C22853">
        <f>0</f>
        <v>0</v>
      </c>
      <c r="D22853">
        <v>0.98700683175899995</v>
      </c>
      <c r="E22853">
        <v>3.7781109445277301</v>
      </c>
    </row>
    <row r="22854" spans="1:5">
      <c r="A22854" t="s">
        <v>26546</v>
      </c>
      <c r="B22854" t="s">
        <v>26548</v>
      </c>
      <c r="C22854">
        <v>0</v>
      </c>
      <c r="D22854">
        <v>0.98700683175899995</v>
      </c>
      <c r="E22854">
        <v>3.7781109445277301</v>
      </c>
    </row>
    <row r="22855" spans="1:5">
      <c r="A22855" t="s">
        <v>26546</v>
      </c>
      <c r="B22855" t="s">
        <v>26549</v>
      </c>
      <c r="C22855">
        <v>0</v>
      </c>
      <c r="D22855">
        <v>0.98700683175899995</v>
      </c>
      <c r="E22855">
        <v>3.7781109445277301</v>
      </c>
    </row>
    <row r="22856" spans="1:5">
      <c r="A22856" t="s">
        <v>26546</v>
      </c>
      <c r="B22856" t="s">
        <v>26550</v>
      </c>
      <c r="C22856">
        <f>0</f>
        <v>0</v>
      </c>
      <c r="D22856">
        <v>0.98700683175899995</v>
      </c>
      <c r="E22856">
        <v>3.7781109445277301</v>
      </c>
    </row>
    <row r="22857" spans="1:5">
      <c r="A22857" t="s">
        <v>26546</v>
      </c>
      <c r="B22857" t="s">
        <v>26551</v>
      </c>
      <c r="C22857">
        <v>5.0107333094699998E-3</v>
      </c>
      <c r="D22857">
        <v>0.98700683175899995</v>
      </c>
      <c r="E22857">
        <v>3.7781109445277301</v>
      </c>
    </row>
    <row r="22858" spans="1:5">
      <c r="A22858" t="s">
        <v>26546</v>
      </c>
      <c r="B22858" t="s">
        <v>26552</v>
      </c>
      <c r="C22858">
        <f>0</f>
        <v>0</v>
      </c>
      <c r="D22858">
        <v>0.98700683175899995</v>
      </c>
      <c r="E22858">
        <v>3.7781109445277301</v>
      </c>
    </row>
    <row r="22859" spans="1:5">
      <c r="A22859" t="s">
        <v>26553</v>
      </c>
      <c r="B22859" t="s">
        <v>26554</v>
      </c>
      <c r="C22859">
        <v>0</v>
      </c>
      <c r="D22859" t="s">
        <v>106</v>
      </c>
      <c r="E22859">
        <v>9.7631184407796106</v>
      </c>
    </row>
    <row r="22860" spans="1:5">
      <c r="A22860" t="s">
        <v>26553</v>
      </c>
      <c r="B22860" t="s">
        <v>26555</v>
      </c>
      <c r="C22860">
        <v>0</v>
      </c>
      <c r="D22860" t="s">
        <v>106</v>
      </c>
      <c r="E22860">
        <v>9.7631184407796106</v>
      </c>
    </row>
    <row r="22861" spans="1:5">
      <c r="A22861" t="s">
        <v>26553</v>
      </c>
      <c r="B22861" t="s">
        <v>26556</v>
      </c>
      <c r="C22861">
        <v>0</v>
      </c>
      <c r="D22861" t="s">
        <v>106</v>
      </c>
      <c r="E22861">
        <v>9.7631184407796106</v>
      </c>
    </row>
    <row r="22862" spans="1:5">
      <c r="A22862" t="s">
        <v>26553</v>
      </c>
      <c r="B22862" t="s">
        <v>26557</v>
      </c>
      <c r="C22862">
        <f>0</f>
        <v>0</v>
      </c>
      <c r="D22862" t="s">
        <v>106</v>
      </c>
      <c r="E22862">
        <v>9.7631184407796106</v>
      </c>
    </row>
    <row r="22863" spans="1:5">
      <c r="A22863" t="s">
        <v>26558</v>
      </c>
      <c r="B22863" t="s">
        <v>26559</v>
      </c>
      <c r="C22863">
        <v>0</v>
      </c>
      <c r="D22863">
        <v>0.75039274377700005</v>
      </c>
      <c r="E22863">
        <v>11.370314842578701</v>
      </c>
    </row>
    <row r="22864" spans="1:5">
      <c r="A22864" t="s">
        <v>26558</v>
      </c>
      <c r="B22864" t="s">
        <v>26560</v>
      </c>
      <c r="C22864">
        <v>0.101747280169</v>
      </c>
      <c r="D22864">
        <v>0.75039274377700005</v>
      </c>
      <c r="E22864">
        <v>11.370314842578701</v>
      </c>
    </row>
    <row r="22865" spans="1:5">
      <c r="A22865" t="s">
        <v>26558</v>
      </c>
      <c r="B22865" t="s">
        <v>26561</v>
      </c>
      <c r="C22865">
        <v>0</v>
      </c>
      <c r="D22865">
        <v>0.75039274377700005</v>
      </c>
      <c r="E22865">
        <v>11.370314842578701</v>
      </c>
    </row>
    <row r="22866" spans="1:5">
      <c r="A22866" t="s">
        <v>26558</v>
      </c>
      <c r="B22866" t="s">
        <v>26562</v>
      </c>
      <c r="C22866">
        <v>0</v>
      </c>
      <c r="D22866">
        <v>0.75039274377700005</v>
      </c>
      <c r="E22866">
        <v>11.370314842578701</v>
      </c>
    </row>
    <row r="22867" spans="1:5">
      <c r="A22867" t="s">
        <v>26558</v>
      </c>
      <c r="B22867" t="s">
        <v>26563</v>
      </c>
      <c r="C22867">
        <v>0</v>
      </c>
      <c r="D22867">
        <v>0.75039274377700005</v>
      </c>
      <c r="E22867">
        <v>11.370314842578701</v>
      </c>
    </row>
    <row r="22868" spans="1:5">
      <c r="A22868" t="s">
        <v>26558</v>
      </c>
      <c r="B22868" t="s">
        <v>26564</v>
      </c>
      <c r="C22868">
        <v>0</v>
      </c>
      <c r="D22868">
        <v>0.75039274377700005</v>
      </c>
      <c r="E22868">
        <v>11.370314842578701</v>
      </c>
    </row>
    <row r="22869" spans="1:5">
      <c r="A22869" t="s">
        <v>26558</v>
      </c>
      <c r="B22869" t="s">
        <v>26565</v>
      </c>
      <c r="C22869">
        <v>0</v>
      </c>
      <c r="D22869">
        <v>0.75039274377700005</v>
      </c>
      <c r="E22869">
        <v>11.370314842578701</v>
      </c>
    </row>
    <row r="22870" spans="1:5">
      <c r="A22870" t="s">
        <v>26566</v>
      </c>
      <c r="B22870" t="s">
        <v>26567</v>
      </c>
      <c r="C22870">
        <v>0.10164757494</v>
      </c>
      <c r="D22870">
        <v>0.972461658585</v>
      </c>
      <c r="E22870">
        <v>14.740629685157399</v>
      </c>
    </row>
    <row r="22871" spans="1:5">
      <c r="A22871" t="s">
        <v>26566</v>
      </c>
      <c r="B22871" t="s">
        <v>26568</v>
      </c>
      <c r="C22871">
        <v>0</v>
      </c>
      <c r="D22871">
        <v>0.972461658585</v>
      </c>
      <c r="E22871">
        <v>14.740629685157399</v>
      </c>
    </row>
    <row r="22872" spans="1:5">
      <c r="A22872" t="s">
        <v>26566</v>
      </c>
      <c r="B22872" t="s">
        <v>26569</v>
      </c>
      <c r="C22872">
        <v>0</v>
      </c>
      <c r="D22872">
        <v>0.972461658585</v>
      </c>
      <c r="E22872">
        <v>14.740629685157399</v>
      </c>
    </row>
    <row r="22873" spans="1:5">
      <c r="A22873" t="s">
        <v>26566</v>
      </c>
      <c r="B22873" t="s">
        <v>26570</v>
      </c>
      <c r="C22873">
        <v>0</v>
      </c>
      <c r="D22873">
        <v>0.972461658585</v>
      </c>
      <c r="E22873">
        <v>14.740629685157399</v>
      </c>
    </row>
    <row r="22874" spans="1:5">
      <c r="A22874" t="s">
        <v>26566</v>
      </c>
      <c r="B22874" t="s">
        <v>26571</v>
      </c>
      <c r="C22874">
        <v>0</v>
      </c>
      <c r="D22874">
        <v>0.972461658585</v>
      </c>
      <c r="E22874">
        <v>14.740629685157399</v>
      </c>
    </row>
    <row r="22875" spans="1:5">
      <c r="A22875" t="s">
        <v>26566</v>
      </c>
      <c r="B22875" t="s">
        <v>26572</v>
      </c>
      <c r="C22875">
        <f>0</f>
        <v>0</v>
      </c>
      <c r="D22875">
        <v>0.972461658585</v>
      </c>
      <c r="E22875">
        <v>14.740629685157399</v>
      </c>
    </row>
    <row r="22876" spans="1:5">
      <c r="A22876" t="s">
        <v>26566</v>
      </c>
      <c r="B22876" t="s">
        <v>26573</v>
      </c>
      <c r="C22876">
        <v>0</v>
      </c>
      <c r="D22876">
        <v>0.972461658585</v>
      </c>
      <c r="E22876">
        <v>14.740629685157399</v>
      </c>
    </row>
    <row r="22877" spans="1:5">
      <c r="A22877" t="s">
        <v>26566</v>
      </c>
      <c r="B22877" t="s">
        <v>26574</v>
      </c>
      <c r="C22877">
        <f>0</f>
        <v>0</v>
      </c>
      <c r="D22877">
        <v>0.972461658585</v>
      </c>
      <c r="E22877">
        <v>14.740629685157399</v>
      </c>
    </row>
    <row r="22878" spans="1:5">
      <c r="A22878" t="s">
        <v>26566</v>
      </c>
      <c r="B22878" t="s">
        <v>26575</v>
      </c>
      <c r="C22878">
        <v>0.17139717483299999</v>
      </c>
      <c r="D22878">
        <v>0.972461658585</v>
      </c>
      <c r="E22878">
        <v>14.740629685157399</v>
      </c>
    </row>
    <row r="22879" spans="1:5">
      <c r="A22879" t="s">
        <v>26566</v>
      </c>
      <c r="B22879" t="s">
        <v>26576</v>
      </c>
      <c r="C22879">
        <v>0</v>
      </c>
      <c r="D22879">
        <v>0.972461658585</v>
      </c>
      <c r="E22879">
        <v>14.740629685157399</v>
      </c>
    </row>
    <row r="22880" spans="1:5">
      <c r="A22880" t="s">
        <v>26566</v>
      </c>
      <c r="B22880" t="s">
        <v>26577</v>
      </c>
      <c r="C22880">
        <v>0</v>
      </c>
      <c r="D22880">
        <v>0.972461658585</v>
      </c>
      <c r="E22880">
        <v>14.740629685157399</v>
      </c>
    </row>
    <row r="22881" spans="1:5">
      <c r="A22881" t="s">
        <v>26578</v>
      </c>
      <c r="B22881" t="s">
        <v>26579</v>
      </c>
      <c r="C22881">
        <v>0</v>
      </c>
      <c r="D22881">
        <v>0.97785312852999995</v>
      </c>
      <c r="E22881">
        <v>3.8740629685157399</v>
      </c>
    </row>
    <row r="22882" spans="1:5">
      <c r="A22882" t="s">
        <v>26578</v>
      </c>
      <c r="B22882" t="s">
        <v>26580</v>
      </c>
      <c r="C22882">
        <f>0</f>
        <v>0</v>
      </c>
      <c r="D22882">
        <v>0.97785312852999995</v>
      </c>
      <c r="E22882">
        <v>3.8740629685157399</v>
      </c>
    </row>
    <row r="22883" spans="1:5">
      <c r="A22883" t="s">
        <v>26578</v>
      </c>
      <c r="B22883" t="s">
        <v>26581</v>
      </c>
      <c r="C22883">
        <v>0.62987742801400004</v>
      </c>
      <c r="D22883">
        <v>0.97785312852999995</v>
      </c>
      <c r="E22883">
        <v>3.8740629685157399</v>
      </c>
    </row>
    <row r="22884" spans="1:5">
      <c r="A22884" t="s">
        <v>26582</v>
      </c>
      <c r="B22884" t="s">
        <v>26583</v>
      </c>
      <c r="C22884">
        <f>0.0344693674648</f>
        <v>3.4469367464799998E-2</v>
      </c>
      <c r="D22884">
        <v>0.99353466263300005</v>
      </c>
      <c r="E22884">
        <v>2.0269865067466202</v>
      </c>
    </row>
    <row r="22885" spans="1:5">
      <c r="A22885" t="s">
        <v>26582</v>
      </c>
      <c r="B22885" t="s">
        <v>26584</v>
      </c>
      <c r="C22885">
        <f>0.252921799132</f>
        <v>0.25292179913200002</v>
      </c>
      <c r="D22885">
        <v>0.99353466263300005</v>
      </c>
      <c r="E22885">
        <v>2.0269865067466202</v>
      </c>
    </row>
    <row r="22886" spans="1:5">
      <c r="A22886" t="s">
        <v>26585</v>
      </c>
      <c r="B22886" t="s">
        <v>26586</v>
      </c>
      <c r="C22886">
        <v>0</v>
      </c>
      <c r="D22886" t="s">
        <v>106</v>
      </c>
      <c r="E22886">
        <v>11.0344827586206</v>
      </c>
    </row>
    <row r="22887" spans="1:5">
      <c r="A22887" t="s">
        <v>26585</v>
      </c>
      <c r="B22887" t="s">
        <v>26587</v>
      </c>
      <c r="C22887">
        <v>0</v>
      </c>
      <c r="D22887" t="s">
        <v>106</v>
      </c>
      <c r="E22887">
        <v>11.0344827586206</v>
      </c>
    </row>
    <row r="22888" spans="1:5">
      <c r="A22888" t="s">
        <v>26585</v>
      </c>
      <c r="B22888" t="s">
        <v>26588</v>
      </c>
      <c r="C22888">
        <f>0</f>
        <v>0</v>
      </c>
      <c r="D22888" t="s">
        <v>106</v>
      </c>
      <c r="E22888">
        <v>11.0344827586206</v>
      </c>
    </row>
    <row r="22889" spans="1:5">
      <c r="A22889" t="s">
        <v>26585</v>
      </c>
      <c r="B22889" t="s">
        <v>26589</v>
      </c>
      <c r="C22889">
        <v>0</v>
      </c>
      <c r="D22889" t="s">
        <v>106</v>
      </c>
      <c r="E22889">
        <v>11.0344827586206</v>
      </c>
    </row>
    <row r="22890" spans="1:5">
      <c r="A22890" t="s">
        <v>26590</v>
      </c>
      <c r="B22890" t="s">
        <v>26591</v>
      </c>
      <c r="C22890">
        <v>0.13489883208699999</v>
      </c>
      <c r="D22890">
        <v>0.77250560746300001</v>
      </c>
      <c r="E22890">
        <v>0.95952023988005997</v>
      </c>
    </row>
    <row r="22891" spans="1:5">
      <c r="A22891" t="s">
        <v>26590</v>
      </c>
      <c r="B22891" t="s">
        <v>26592</v>
      </c>
      <c r="C22891">
        <v>0</v>
      </c>
      <c r="D22891">
        <v>0.77250560746300001</v>
      </c>
      <c r="E22891">
        <v>0.95952023988005997</v>
      </c>
    </row>
    <row r="22892" spans="1:5">
      <c r="A22892" t="s">
        <v>26590</v>
      </c>
      <c r="B22892" t="s">
        <v>26593</v>
      </c>
      <c r="C22892">
        <v>0</v>
      </c>
      <c r="D22892">
        <v>0.77250560746300001</v>
      </c>
      <c r="E22892">
        <v>0.95952023988005997</v>
      </c>
    </row>
    <row r="22893" spans="1:5">
      <c r="A22893" t="s">
        <v>26594</v>
      </c>
      <c r="B22893" t="s">
        <v>26595</v>
      </c>
      <c r="C22893">
        <v>0</v>
      </c>
      <c r="D22893">
        <v>0.80327346476200001</v>
      </c>
      <c r="E22893">
        <v>0</v>
      </c>
    </row>
    <row r="22894" spans="1:5">
      <c r="A22894" t="s">
        <v>26594</v>
      </c>
      <c r="B22894" t="s">
        <v>26596</v>
      </c>
      <c r="C22894">
        <f>0.246634362627</f>
        <v>0.246634362627</v>
      </c>
      <c r="D22894">
        <v>0.80327346476200001</v>
      </c>
      <c r="E22894">
        <v>0</v>
      </c>
    </row>
    <row r="22895" spans="1:5">
      <c r="A22895" t="s">
        <v>26594</v>
      </c>
      <c r="B22895" t="s">
        <v>26597</v>
      </c>
      <c r="C22895">
        <v>0</v>
      </c>
      <c r="D22895">
        <v>0.80327346476200001</v>
      </c>
      <c r="E22895">
        <v>0</v>
      </c>
    </row>
    <row r="22896" spans="1:5">
      <c r="A22896" t="s">
        <v>26594</v>
      </c>
      <c r="B22896" t="s">
        <v>26598</v>
      </c>
      <c r="C22896">
        <v>0</v>
      </c>
      <c r="D22896">
        <v>0.80327346476200001</v>
      </c>
      <c r="E22896">
        <v>0</v>
      </c>
    </row>
    <row r="22897" spans="1:5">
      <c r="A22897" t="s">
        <v>26599</v>
      </c>
      <c r="B22897" t="s">
        <v>26600</v>
      </c>
      <c r="C22897">
        <v>0.26703462774199999</v>
      </c>
      <c r="D22897">
        <v>0.99489671941900004</v>
      </c>
      <c r="E22897">
        <v>4.0659670164917499</v>
      </c>
    </row>
    <row r="22898" spans="1:5">
      <c r="A22898" t="s">
        <v>26599</v>
      </c>
      <c r="B22898" t="s">
        <v>26601</v>
      </c>
      <c r="C22898">
        <v>0</v>
      </c>
      <c r="D22898">
        <v>0.99489671941900004</v>
      </c>
      <c r="E22898">
        <v>4.0659670164917499</v>
      </c>
    </row>
    <row r="22899" spans="1:5">
      <c r="A22899" t="s">
        <v>26599</v>
      </c>
      <c r="B22899" t="s">
        <v>26602</v>
      </c>
      <c r="C22899">
        <v>0</v>
      </c>
      <c r="D22899">
        <v>0.99489671941900004</v>
      </c>
      <c r="E22899">
        <v>4.0659670164917499</v>
      </c>
    </row>
    <row r="22900" spans="1:5">
      <c r="A22900" t="s">
        <v>26599</v>
      </c>
      <c r="B22900" t="s">
        <v>26603</v>
      </c>
      <c r="C22900">
        <f>0</f>
        <v>0</v>
      </c>
      <c r="D22900">
        <v>0.99489671941900004</v>
      </c>
      <c r="E22900">
        <v>4.0659670164917499</v>
      </c>
    </row>
    <row r="22901" spans="1:5">
      <c r="A22901" t="s">
        <v>26599</v>
      </c>
      <c r="B22901" t="s">
        <v>26604</v>
      </c>
      <c r="C22901">
        <f>0</f>
        <v>0</v>
      </c>
      <c r="D22901">
        <v>0.99489671941900004</v>
      </c>
      <c r="E22901">
        <v>4.0659670164917499</v>
      </c>
    </row>
    <row r="22902" spans="1:5">
      <c r="A22902" t="s">
        <v>26599</v>
      </c>
      <c r="B22902" t="s">
        <v>26605</v>
      </c>
      <c r="C22902">
        <v>7.7920938902200001E-3</v>
      </c>
      <c r="D22902">
        <v>0.99489671941900004</v>
      </c>
      <c r="E22902">
        <v>4.0659670164917499</v>
      </c>
    </row>
    <row r="22903" spans="1:5">
      <c r="A22903" t="s">
        <v>26599</v>
      </c>
      <c r="B22903" t="s">
        <v>26606</v>
      </c>
      <c r="C22903">
        <v>0</v>
      </c>
      <c r="D22903">
        <v>0.99489671941900004</v>
      </c>
      <c r="E22903">
        <v>4.0659670164917499</v>
      </c>
    </row>
    <row r="22904" spans="1:5">
      <c r="A22904" t="s">
        <v>26607</v>
      </c>
      <c r="B22904" t="s">
        <v>26608</v>
      </c>
      <c r="C22904">
        <f>0</f>
        <v>0</v>
      </c>
      <c r="D22904">
        <v>0.58811562096299996</v>
      </c>
      <c r="E22904">
        <v>18.986506746626599</v>
      </c>
    </row>
    <row r="22905" spans="1:5">
      <c r="A22905" t="s">
        <v>26609</v>
      </c>
      <c r="B22905" t="s">
        <v>26610</v>
      </c>
      <c r="C22905">
        <f>0</f>
        <v>0</v>
      </c>
      <c r="D22905" t="s">
        <v>106</v>
      </c>
      <c r="E22905">
        <v>12.0419790104947</v>
      </c>
    </row>
    <row r="22906" spans="1:5">
      <c r="A22906" t="s">
        <v>26609</v>
      </c>
      <c r="B22906" t="s">
        <v>26611</v>
      </c>
      <c r="C22906">
        <v>0</v>
      </c>
      <c r="D22906" t="s">
        <v>106</v>
      </c>
      <c r="E22906">
        <v>12.0419790104947</v>
      </c>
    </row>
    <row r="22907" spans="1:5">
      <c r="A22907" t="s">
        <v>26612</v>
      </c>
      <c r="B22907" t="s">
        <v>26613</v>
      </c>
      <c r="C22907">
        <v>0.20986410201200001</v>
      </c>
      <c r="D22907" t="s">
        <v>106</v>
      </c>
      <c r="E22907">
        <v>17.919040479760099</v>
      </c>
    </row>
    <row r="22908" spans="1:5">
      <c r="A22908" t="s">
        <v>26612</v>
      </c>
      <c r="B22908" t="s">
        <v>26614</v>
      </c>
      <c r="C22908">
        <v>0</v>
      </c>
      <c r="D22908" t="s">
        <v>106</v>
      </c>
      <c r="E22908">
        <v>17.919040479760099</v>
      </c>
    </row>
    <row r="22909" spans="1:5">
      <c r="A22909" t="s">
        <v>26612</v>
      </c>
      <c r="B22909" t="s">
        <v>26615</v>
      </c>
      <c r="C22909">
        <f>0</f>
        <v>0</v>
      </c>
      <c r="D22909" t="s">
        <v>106</v>
      </c>
      <c r="E22909">
        <v>17.919040479760099</v>
      </c>
    </row>
    <row r="22910" spans="1:5">
      <c r="A22910" t="s">
        <v>26612</v>
      </c>
      <c r="B22910" t="s">
        <v>26616</v>
      </c>
      <c r="C22910">
        <v>2.9455205876799999E-2</v>
      </c>
      <c r="D22910" t="s">
        <v>106</v>
      </c>
      <c r="E22910">
        <v>17.919040479760099</v>
      </c>
    </row>
    <row r="22911" spans="1:5">
      <c r="A22911" t="s">
        <v>26617</v>
      </c>
      <c r="B22911" t="s">
        <v>26618</v>
      </c>
      <c r="C22911">
        <v>0.60871463233300005</v>
      </c>
      <c r="D22911">
        <v>0.95765046291</v>
      </c>
      <c r="E22911">
        <v>5.3493253373313303</v>
      </c>
    </row>
    <row r="22912" spans="1:5">
      <c r="A22912" t="s">
        <v>26617</v>
      </c>
      <c r="B22912" t="s">
        <v>26619</v>
      </c>
      <c r="C22912">
        <v>0.163048325685</v>
      </c>
      <c r="D22912">
        <v>0.95765046291</v>
      </c>
      <c r="E22912">
        <v>5.3493253373313303</v>
      </c>
    </row>
    <row r="22913" spans="1:5">
      <c r="A22913" t="s">
        <v>26617</v>
      </c>
      <c r="B22913" t="s">
        <v>26620</v>
      </c>
      <c r="C22913">
        <v>0</v>
      </c>
      <c r="D22913">
        <v>0.95765046291</v>
      </c>
      <c r="E22913">
        <v>5.3493253373313303</v>
      </c>
    </row>
    <row r="22914" spans="1:5">
      <c r="A22914" t="s">
        <v>26617</v>
      </c>
      <c r="B22914" t="s">
        <v>26621</v>
      </c>
      <c r="C22914">
        <v>0</v>
      </c>
      <c r="D22914">
        <v>0.95765046291</v>
      </c>
      <c r="E22914">
        <v>5.3493253373313303</v>
      </c>
    </row>
    <row r="22915" spans="1:5">
      <c r="A22915" t="s">
        <v>26617</v>
      </c>
      <c r="B22915" t="s">
        <v>26622</v>
      </c>
      <c r="C22915">
        <v>0</v>
      </c>
      <c r="D22915">
        <v>0.95765046291</v>
      </c>
      <c r="E22915">
        <v>5.3493253373313303</v>
      </c>
    </row>
    <row r="22916" spans="1:5">
      <c r="A22916" t="s">
        <v>26623</v>
      </c>
      <c r="B22916" t="s">
        <v>26624</v>
      </c>
      <c r="C22916">
        <f>0</f>
        <v>0</v>
      </c>
      <c r="D22916" t="s">
        <v>106</v>
      </c>
      <c r="E22916">
        <v>24</v>
      </c>
    </row>
    <row r="22917" spans="1:5">
      <c r="A22917" t="s">
        <v>26623</v>
      </c>
      <c r="B22917" t="s">
        <v>26625</v>
      </c>
      <c r="C22917">
        <v>0</v>
      </c>
      <c r="D22917" t="s">
        <v>106</v>
      </c>
      <c r="E22917">
        <v>24</v>
      </c>
    </row>
    <row r="22918" spans="1:5">
      <c r="A22918" t="s">
        <v>26623</v>
      </c>
      <c r="B22918" t="s">
        <v>26626</v>
      </c>
      <c r="C22918">
        <v>0</v>
      </c>
      <c r="D22918" t="s">
        <v>106</v>
      </c>
      <c r="E22918">
        <v>24</v>
      </c>
    </row>
    <row r="22919" spans="1:5">
      <c r="A22919" t="s">
        <v>26627</v>
      </c>
      <c r="B22919" t="s">
        <v>26628</v>
      </c>
      <c r="C22919">
        <v>0.14976105521399999</v>
      </c>
      <c r="D22919">
        <v>0.98443883525599996</v>
      </c>
      <c r="E22919">
        <v>7.3283358320839502</v>
      </c>
    </row>
    <row r="22920" spans="1:5">
      <c r="A22920" t="s">
        <v>26627</v>
      </c>
      <c r="B22920" t="s">
        <v>26629</v>
      </c>
      <c r="C22920">
        <v>0</v>
      </c>
      <c r="D22920">
        <v>0.98443883525599996</v>
      </c>
      <c r="E22920">
        <v>7.3283358320839502</v>
      </c>
    </row>
    <row r="22921" spans="1:5">
      <c r="A22921" t="s">
        <v>26627</v>
      </c>
      <c r="B22921" t="s">
        <v>26630</v>
      </c>
      <c r="C22921">
        <v>0.35671663253199998</v>
      </c>
      <c r="D22921">
        <v>0.98443883525599996</v>
      </c>
      <c r="E22921">
        <v>7.3283358320839502</v>
      </c>
    </row>
    <row r="22922" spans="1:5">
      <c r="A22922" t="s">
        <v>26627</v>
      </c>
      <c r="B22922" t="s">
        <v>26631</v>
      </c>
      <c r="C22922">
        <f>0</f>
        <v>0</v>
      </c>
      <c r="D22922">
        <v>0.98443883525599996</v>
      </c>
      <c r="E22922">
        <v>7.3283358320839502</v>
      </c>
    </row>
    <row r="22923" spans="1:5">
      <c r="A22923" t="s">
        <v>26632</v>
      </c>
      <c r="B22923" t="s">
        <v>26633</v>
      </c>
      <c r="C22923">
        <v>7.0670080697600002E-2</v>
      </c>
      <c r="D22923" t="s">
        <v>106</v>
      </c>
      <c r="E22923">
        <v>24</v>
      </c>
    </row>
    <row r="22924" spans="1:5">
      <c r="A22924" t="s">
        <v>26632</v>
      </c>
      <c r="B22924" t="s">
        <v>26634</v>
      </c>
      <c r="C22924">
        <f>0</f>
        <v>0</v>
      </c>
      <c r="D22924" t="s">
        <v>106</v>
      </c>
      <c r="E22924">
        <v>24</v>
      </c>
    </row>
    <row r="22925" spans="1:5">
      <c r="A22925" t="s">
        <v>26632</v>
      </c>
      <c r="B22925" t="s">
        <v>26635</v>
      </c>
      <c r="C22925">
        <v>9.6978654084200006E-2</v>
      </c>
      <c r="D22925" t="s">
        <v>106</v>
      </c>
      <c r="E22925">
        <v>24</v>
      </c>
    </row>
    <row r="22926" spans="1:5">
      <c r="A22926" t="s">
        <v>26632</v>
      </c>
      <c r="B22926" t="s">
        <v>26636</v>
      </c>
      <c r="C22926">
        <v>0</v>
      </c>
      <c r="D22926" t="s">
        <v>106</v>
      </c>
      <c r="E22926">
        <v>24</v>
      </c>
    </row>
    <row r="22927" spans="1:5">
      <c r="A22927" t="s">
        <v>26632</v>
      </c>
      <c r="B22927" t="s">
        <v>26637</v>
      </c>
      <c r="C22927">
        <v>0</v>
      </c>
      <c r="D22927" t="s">
        <v>106</v>
      </c>
      <c r="E22927">
        <v>24</v>
      </c>
    </row>
    <row r="22928" spans="1:5">
      <c r="A22928" t="s">
        <v>26632</v>
      </c>
      <c r="B22928" t="s">
        <v>26638</v>
      </c>
      <c r="C22928">
        <v>0</v>
      </c>
      <c r="D22928" t="s">
        <v>106</v>
      </c>
      <c r="E22928">
        <v>24</v>
      </c>
    </row>
    <row r="22929" spans="1:5">
      <c r="A22929" t="s">
        <v>26639</v>
      </c>
      <c r="B22929" t="s">
        <v>26640</v>
      </c>
      <c r="C22929">
        <v>0</v>
      </c>
      <c r="D22929">
        <v>0.88472618123199998</v>
      </c>
      <c r="E22929">
        <v>23.508245877061398</v>
      </c>
    </row>
    <row r="22930" spans="1:5">
      <c r="A22930" t="s">
        <v>26641</v>
      </c>
      <c r="B22930" t="s">
        <v>26642</v>
      </c>
      <c r="C22930">
        <f>0</f>
        <v>0</v>
      </c>
      <c r="D22930" t="s">
        <v>106</v>
      </c>
      <c r="E22930">
        <v>3.40629685157421</v>
      </c>
    </row>
    <row r="22931" spans="1:5">
      <c r="A22931" t="s">
        <v>26641</v>
      </c>
      <c r="B22931" t="s">
        <v>26643</v>
      </c>
      <c r="C22931">
        <v>0</v>
      </c>
      <c r="D22931" t="s">
        <v>106</v>
      </c>
      <c r="E22931">
        <v>3.40629685157421</v>
      </c>
    </row>
    <row r="22932" spans="1:5">
      <c r="A22932" t="s">
        <v>26641</v>
      </c>
      <c r="B22932" t="s">
        <v>26644</v>
      </c>
      <c r="C22932">
        <f>0</f>
        <v>0</v>
      </c>
      <c r="D22932" t="s">
        <v>106</v>
      </c>
      <c r="E22932">
        <v>3.40629685157421</v>
      </c>
    </row>
    <row r="22933" spans="1:5">
      <c r="A22933" t="s">
        <v>26641</v>
      </c>
      <c r="B22933" t="s">
        <v>26645</v>
      </c>
      <c r="C22933">
        <v>0.17955982151200001</v>
      </c>
      <c r="D22933" t="s">
        <v>106</v>
      </c>
      <c r="E22933">
        <v>3.40629685157421</v>
      </c>
    </row>
    <row r="22934" spans="1:5">
      <c r="A22934" t="s">
        <v>26641</v>
      </c>
      <c r="B22934" t="s">
        <v>26646</v>
      </c>
      <c r="C22934">
        <f>0</f>
        <v>0</v>
      </c>
      <c r="D22934" t="s">
        <v>106</v>
      </c>
      <c r="E22934">
        <v>3.40629685157421</v>
      </c>
    </row>
    <row r="22935" spans="1:5">
      <c r="A22935" t="s">
        <v>26641</v>
      </c>
      <c r="B22935" t="s">
        <v>26647</v>
      </c>
      <c r="C22935">
        <v>0</v>
      </c>
      <c r="D22935" t="s">
        <v>106</v>
      </c>
      <c r="E22935">
        <v>3.40629685157421</v>
      </c>
    </row>
    <row r="22936" spans="1:5">
      <c r="A22936" t="s">
        <v>26641</v>
      </c>
      <c r="B22936" t="s">
        <v>26648</v>
      </c>
      <c r="C22936">
        <v>0</v>
      </c>
      <c r="D22936" t="s">
        <v>106</v>
      </c>
      <c r="E22936">
        <v>3.40629685157421</v>
      </c>
    </row>
    <row r="22937" spans="1:5">
      <c r="A22937" t="s">
        <v>26649</v>
      </c>
      <c r="B22937" t="s">
        <v>26650</v>
      </c>
      <c r="C22937">
        <v>0</v>
      </c>
      <c r="D22937" t="s">
        <v>106</v>
      </c>
      <c r="E22937">
        <v>11.0344827586206</v>
      </c>
    </row>
    <row r="22938" spans="1:5">
      <c r="A22938" t="s">
        <v>26649</v>
      </c>
      <c r="B22938" t="s">
        <v>26651</v>
      </c>
      <c r="C22938">
        <v>0</v>
      </c>
      <c r="D22938" t="s">
        <v>106</v>
      </c>
      <c r="E22938">
        <v>11.0344827586206</v>
      </c>
    </row>
    <row r="22939" spans="1:5">
      <c r="A22939" t="s">
        <v>26649</v>
      </c>
      <c r="B22939" t="s">
        <v>26652</v>
      </c>
      <c r="C22939">
        <f>0</f>
        <v>0</v>
      </c>
      <c r="D22939" t="s">
        <v>106</v>
      </c>
      <c r="E22939">
        <v>11.0344827586206</v>
      </c>
    </row>
    <row r="22940" spans="1:5">
      <c r="A22940" t="s">
        <v>26649</v>
      </c>
      <c r="B22940" t="s">
        <v>26653</v>
      </c>
      <c r="C22940">
        <f>0</f>
        <v>0</v>
      </c>
      <c r="D22940" t="s">
        <v>106</v>
      </c>
      <c r="E22940">
        <v>11.0344827586206</v>
      </c>
    </row>
    <row r="22941" spans="1:5">
      <c r="A22941" t="s">
        <v>26654</v>
      </c>
      <c r="B22941" t="s">
        <v>26655</v>
      </c>
      <c r="C22941">
        <f>0</f>
        <v>0</v>
      </c>
      <c r="D22941">
        <v>0.77550462642700002</v>
      </c>
      <c r="E22941">
        <v>7.1964017991004496</v>
      </c>
    </row>
    <row r="22942" spans="1:5">
      <c r="A22942" t="s">
        <v>26654</v>
      </c>
      <c r="B22942" t="s">
        <v>26656</v>
      </c>
      <c r="C22942">
        <v>0.158469091103</v>
      </c>
      <c r="D22942">
        <v>0.77550462642700002</v>
      </c>
      <c r="E22942">
        <v>7.1964017991004496</v>
      </c>
    </row>
    <row r="22943" spans="1:5">
      <c r="A22943" t="s">
        <v>26654</v>
      </c>
      <c r="B22943" t="s">
        <v>26657</v>
      </c>
      <c r="C22943">
        <v>0</v>
      </c>
      <c r="D22943">
        <v>0.77550462642700002</v>
      </c>
      <c r="E22943">
        <v>7.1964017991004496</v>
      </c>
    </row>
    <row r="22944" spans="1:5">
      <c r="A22944" t="s">
        <v>26654</v>
      </c>
      <c r="B22944" t="s">
        <v>26658</v>
      </c>
      <c r="C22944">
        <f>0</f>
        <v>0</v>
      </c>
      <c r="D22944">
        <v>0.77550462642700002</v>
      </c>
      <c r="E22944">
        <v>7.1964017991004496</v>
      </c>
    </row>
    <row r="22945" spans="1:5">
      <c r="A22945" t="s">
        <v>26654</v>
      </c>
      <c r="B22945" t="s">
        <v>26659</v>
      </c>
      <c r="C22945">
        <f>0</f>
        <v>0</v>
      </c>
      <c r="D22945">
        <v>0.77550462642700002</v>
      </c>
      <c r="E22945">
        <v>7.1964017991004496</v>
      </c>
    </row>
    <row r="22946" spans="1:5">
      <c r="A22946" t="s">
        <v>26660</v>
      </c>
      <c r="B22946" t="s">
        <v>26661</v>
      </c>
      <c r="C22946">
        <v>0</v>
      </c>
      <c r="D22946">
        <v>0.98879676599099997</v>
      </c>
      <c r="E22946">
        <v>12.9175412293853</v>
      </c>
    </row>
    <row r="22947" spans="1:5">
      <c r="A22947" t="s">
        <v>26660</v>
      </c>
      <c r="B22947" t="s">
        <v>26662</v>
      </c>
      <c r="C22947">
        <v>0.430551572444</v>
      </c>
      <c r="D22947">
        <v>0.98879676599099997</v>
      </c>
      <c r="E22947">
        <v>12.9175412293853</v>
      </c>
    </row>
    <row r="22948" spans="1:5">
      <c r="A22948" t="s">
        <v>26663</v>
      </c>
      <c r="B22948" t="s">
        <v>26664</v>
      </c>
      <c r="C22948">
        <f>0</f>
        <v>0</v>
      </c>
      <c r="D22948">
        <v>0.70759009462099998</v>
      </c>
      <c r="E22948">
        <v>6.2968515742128899</v>
      </c>
    </row>
    <row r="22949" spans="1:5">
      <c r="A22949" t="s">
        <v>26663</v>
      </c>
      <c r="B22949" t="s">
        <v>26665</v>
      </c>
      <c r="C22949">
        <f>0</f>
        <v>0</v>
      </c>
      <c r="D22949">
        <v>0.70759009462099998</v>
      </c>
      <c r="E22949">
        <v>6.2968515742128899</v>
      </c>
    </row>
    <row r="22950" spans="1:5">
      <c r="A22950" t="s">
        <v>26663</v>
      </c>
      <c r="B22950" t="s">
        <v>26666</v>
      </c>
      <c r="C22950">
        <f>0</f>
        <v>0</v>
      </c>
      <c r="D22950">
        <v>0.70759009462099998</v>
      </c>
      <c r="E22950">
        <v>6.2968515742128899</v>
      </c>
    </row>
    <row r="22951" spans="1:5">
      <c r="A22951" t="s">
        <v>26663</v>
      </c>
      <c r="B22951" t="s">
        <v>26667</v>
      </c>
      <c r="C22951">
        <f>0</f>
        <v>0</v>
      </c>
      <c r="D22951">
        <v>0.70759009462099998</v>
      </c>
      <c r="E22951">
        <v>6.2968515742128899</v>
      </c>
    </row>
    <row r="22952" spans="1:5">
      <c r="A22952" t="s">
        <v>26663</v>
      </c>
      <c r="B22952" t="s">
        <v>26668</v>
      </c>
      <c r="C22952">
        <f>0</f>
        <v>0</v>
      </c>
      <c r="D22952">
        <v>0.70759009462099998</v>
      </c>
      <c r="E22952">
        <v>6.2968515742128899</v>
      </c>
    </row>
    <row r="22953" spans="1:5">
      <c r="A22953" t="s">
        <v>26663</v>
      </c>
      <c r="B22953" t="s">
        <v>26669</v>
      </c>
      <c r="C22953">
        <f>0</f>
        <v>0</v>
      </c>
      <c r="D22953">
        <v>0.70759009462099998</v>
      </c>
      <c r="E22953">
        <v>6.2968515742128899</v>
      </c>
    </row>
    <row r="22954" spans="1:5">
      <c r="A22954" t="s">
        <v>26670</v>
      </c>
      <c r="B22954" t="s">
        <v>26671</v>
      </c>
      <c r="C22954">
        <v>0</v>
      </c>
      <c r="D22954">
        <v>0.92559852032000001</v>
      </c>
      <c r="E22954">
        <v>14.3688155922038</v>
      </c>
    </row>
    <row r="22955" spans="1:5">
      <c r="A22955" t="s">
        <v>26670</v>
      </c>
      <c r="B22955" t="s">
        <v>26672</v>
      </c>
      <c r="C22955">
        <v>0</v>
      </c>
      <c r="D22955">
        <v>0.92559852032000001</v>
      </c>
      <c r="E22955">
        <v>14.3688155922038</v>
      </c>
    </row>
    <row r="22956" spans="1:5">
      <c r="A22956" t="s">
        <v>26670</v>
      </c>
      <c r="B22956" t="s">
        <v>26673</v>
      </c>
      <c r="C22956">
        <v>0.12681288738800001</v>
      </c>
      <c r="D22956">
        <v>0.92559852032000001</v>
      </c>
      <c r="E22956">
        <v>14.3688155922038</v>
      </c>
    </row>
    <row r="22957" spans="1:5">
      <c r="A22957" t="s">
        <v>26670</v>
      </c>
      <c r="B22957" t="s">
        <v>26674</v>
      </c>
      <c r="C22957">
        <f>0</f>
        <v>0</v>
      </c>
      <c r="D22957">
        <v>0.92559852032000001</v>
      </c>
      <c r="E22957">
        <v>14.3688155922038</v>
      </c>
    </row>
    <row r="22958" spans="1:5">
      <c r="A22958" t="s">
        <v>26670</v>
      </c>
      <c r="B22958" t="s">
        <v>26675</v>
      </c>
      <c r="C22958">
        <v>0</v>
      </c>
      <c r="D22958">
        <v>0.92559852032000001</v>
      </c>
      <c r="E22958">
        <v>14.3688155922038</v>
      </c>
    </row>
    <row r="22959" spans="1:5">
      <c r="A22959" t="s">
        <v>26670</v>
      </c>
      <c r="B22959" t="s">
        <v>26676</v>
      </c>
      <c r="C22959">
        <v>0</v>
      </c>
      <c r="D22959">
        <v>0.92559852032000001</v>
      </c>
      <c r="E22959">
        <v>14.3688155922038</v>
      </c>
    </row>
    <row r="22960" spans="1:5">
      <c r="A22960" t="s">
        <v>26670</v>
      </c>
      <c r="B22960" t="s">
        <v>26677</v>
      </c>
      <c r="C22960">
        <v>0</v>
      </c>
      <c r="D22960">
        <v>0.92559852032000001</v>
      </c>
      <c r="E22960">
        <v>14.3688155922038</v>
      </c>
    </row>
    <row r="22961" spans="1:5">
      <c r="A22961" t="s">
        <v>26670</v>
      </c>
      <c r="B22961" t="s">
        <v>26678</v>
      </c>
      <c r="C22961">
        <v>0</v>
      </c>
      <c r="D22961">
        <v>0.92559852032000001</v>
      </c>
      <c r="E22961">
        <v>14.3688155922038</v>
      </c>
    </row>
    <row r="22962" spans="1:5">
      <c r="A22962" t="s">
        <v>26679</v>
      </c>
      <c r="B22962" t="s">
        <v>26680</v>
      </c>
      <c r="C22962">
        <v>0</v>
      </c>
      <c r="D22962" t="s">
        <v>106</v>
      </c>
      <c r="E22962">
        <v>0.61169415292353801</v>
      </c>
    </row>
    <row r="22963" spans="1:5">
      <c r="A22963" t="s">
        <v>26679</v>
      </c>
      <c r="B22963" t="s">
        <v>26681</v>
      </c>
      <c r="C22963">
        <f>0</f>
        <v>0</v>
      </c>
      <c r="D22963" t="s">
        <v>106</v>
      </c>
      <c r="E22963">
        <v>0.61169415292353801</v>
      </c>
    </row>
    <row r="22964" spans="1:5">
      <c r="A22964" t="s">
        <v>26679</v>
      </c>
      <c r="B22964" t="s">
        <v>26682</v>
      </c>
      <c r="C22964">
        <f>0</f>
        <v>0</v>
      </c>
      <c r="D22964" t="s">
        <v>106</v>
      </c>
      <c r="E22964">
        <v>0.61169415292353801</v>
      </c>
    </row>
    <row r="22965" spans="1:5">
      <c r="A22965" t="s">
        <v>26679</v>
      </c>
      <c r="B22965" t="s">
        <v>26683</v>
      </c>
      <c r="C22965">
        <f>0</f>
        <v>0</v>
      </c>
      <c r="D22965" t="s">
        <v>106</v>
      </c>
      <c r="E22965">
        <v>0.61169415292353801</v>
      </c>
    </row>
    <row r="22966" spans="1:5">
      <c r="A22966" t="s">
        <v>26679</v>
      </c>
      <c r="B22966" t="s">
        <v>26684</v>
      </c>
      <c r="C22966">
        <v>0</v>
      </c>
      <c r="D22966" t="s">
        <v>106</v>
      </c>
      <c r="E22966">
        <v>0.61169415292353801</v>
      </c>
    </row>
    <row r="22967" spans="1:5">
      <c r="A22967" t="s">
        <v>26685</v>
      </c>
      <c r="B22967" t="s">
        <v>26686</v>
      </c>
      <c r="C22967">
        <v>0.470079320691</v>
      </c>
      <c r="D22967">
        <v>0.99984868780900005</v>
      </c>
      <c r="E22967">
        <v>0.53973013493253297</v>
      </c>
    </row>
    <row r="22968" spans="1:5">
      <c r="A22968" t="s">
        <v>26685</v>
      </c>
      <c r="B22968" t="s">
        <v>26687</v>
      </c>
      <c r="C22968">
        <f>0</f>
        <v>0</v>
      </c>
      <c r="D22968">
        <v>0.99984868780900005</v>
      </c>
      <c r="E22968">
        <v>0.53973013493253297</v>
      </c>
    </row>
    <row r="22969" spans="1:5">
      <c r="A22969" t="s">
        <v>26685</v>
      </c>
      <c r="B22969" t="s">
        <v>26688</v>
      </c>
      <c r="C22969">
        <v>0</v>
      </c>
      <c r="D22969">
        <v>0.99984868780900005</v>
      </c>
      <c r="E22969">
        <v>0.53973013493253297</v>
      </c>
    </row>
    <row r="22970" spans="1:5">
      <c r="A22970" t="s">
        <v>26685</v>
      </c>
      <c r="B22970" t="s">
        <v>26689</v>
      </c>
      <c r="C22970">
        <f>0</f>
        <v>0</v>
      </c>
      <c r="D22970">
        <v>0.99984868780900005</v>
      </c>
      <c r="E22970">
        <v>0.53973013493253297</v>
      </c>
    </row>
    <row r="22971" spans="1:5">
      <c r="A22971" t="s">
        <v>26685</v>
      </c>
      <c r="B22971" t="s">
        <v>26690</v>
      </c>
      <c r="C22971">
        <v>0.58769855319499997</v>
      </c>
      <c r="D22971">
        <v>0.99984868780900005</v>
      </c>
      <c r="E22971">
        <v>0.53973013493253297</v>
      </c>
    </row>
    <row r="22972" spans="1:5">
      <c r="A22972" t="s">
        <v>26685</v>
      </c>
      <c r="B22972" t="s">
        <v>26691</v>
      </c>
      <c r="C22972">
        <f>0</f>
        <v>0</v>
      </c>
      <c r="D22972">
        <v>0.99984868780900005</v>
      </c>
      <c r="E22972">
        <v>0.53973013493253297</v>
      </c>
    </row>
    <row r="22973" spans="1:5">
      <c r="A22973" t="s">
        <v>26685</v>
      </c>
      <c r="B22973" t="s">
        <v>26692</v>
      </c>
      <c r="C22973">
        <v>0</v>
      </c>
      <c r="D22973">
        <v>0.99984868780900005</v>
      </c>
      <c r="E22973">
        <v>0.53973013493253297</v>
      </c>
    </row>
    <row r="22974" spans="1:5">
      <c r="A22974" t="s">
        <v>26685</v>
      </c>
      <c r="B22974" t="s">
        <v>26693</v>
      </c>
      <c r="C22974">
        <v>0</v>
      </c>
      <c r="D22974">
        <v>0.99984868780900005</v>
      </c>
      <c r="E22974">
        <v>0.53973013493253297</v>
      </c>
    </row>
    <row r="22975" spans="1:5">
      <c r="A22975" t="s">
        <v>26685</v>
      </c>
      <c r="B22975" t="s">
        <v>26694</v>
      </c>
      <c r="C22975">
        <f>0</f>
        <v>0</v>
      </c>
      <c r="D22975">
        <v>0.99984868780900005</v>
      </c>
      <c r="E22975">
        <v>0.53973013493253297</v>
      </c>
    </row>
    <row r="22976" spans="1:5">
      <c r="A22976" t="s">
        <v>26685</v>
      </c>
      <c r="B22976" t="s">
        <v>26695</v>
      </c>
      <c r="C22976">
        <v>0</v>
      </c>
      <c r="D22976">
        <v>0.99984868780900005</v>
      </c>
      <c r="E22976">
        <v>0.53973013493253297</v>
      </c>
    </row>
    <row r="22977" spans="1:5">
      <c r="A22977" t="s">
        <v>26696</v>
      </c>
      <c r="B22977" t="s">
        <v>26697</v>
      </c>
      <c r="C22977">
        <v>0.33778705226099998</v>
      </c>
      <c r="D22977">
        <v>0.90837237737700005</v>
      </c>
      <c r="E22977">
        <v>12.9175412293853</v>
      </c>
    </row>
    <row r="22978" spans="1:5">
      <c r="A22978" t="s">
        <v>26698</v>
      </c>
      <c r="B22978" t="s">
        <v>26699</v>
      </c>
      <c r="C22978">
        <v>0.148350855531</v>
      </c>
      <c r="D22978">
        <v>0.99546692063499997</v>
      </c>
      <c r="E22978">
        <v>11.8740629685157</v>
      </c>
    </row>
    <row r="22979" spans="1:5">
      <c r="A22979" t="s">
        <v>26698</v>
      </c>
      <c r="B22979" t="s">
        <v>26700</v>
      </c>
      <c r="C22979">
        <v>0</v>
      </c>
      <c r="D22979">
        <v>0.99546692063499997</v>
      </c>
      <c r="E22979">
        <v>11.8740629685157</v>
      </c>
    </row>
    <row r="22980" spans="1:5">
      <c r="A22980" t="s">
        <v>26698</v>
      </c>
      <c r="B22980" t="s">
        <v>26701</v>
      </c>
      <c r="C22980">
        <v>0</v>
      </c>
      <c r="D22980">
        <v>0.99546692063499997</v>
      </c>
      <c r="E22980">
        <v>11.8740629685157</v>
      </c>
    </row>
    <row r="22981" spans="1:5">
      <c r="A22981" t="s">
        <v>26698</v>
      </c>
      <c r="B22981" t="s">
        <v>26702</v>
      </c>
      <c r="C22981">
        <v>2.6155085598100002E-2</v>
      </c>
      <c r="D22981">
        <v>0.99546692063499997</v>
      </c>
      <c r="E22981">
        <v>11.8740629685157</v>
      </c>
    </row>
    <row r="22982" spans="1:5">
      <c r="A22982" t="s">
        <v>26703</v>
      </c>
      <c r="B22982" t="s">
        <v>26704</v>
      </c>
      <c r="C22982">
        <v>0</v>
      </c>
      <c r="D22982" t="s">
        <v>106</v>
      </c>
      <c r="E22982">
        <v>0.82758620689655105</v>
      </c>
    </row>
    <row r="22983" spans="1:5">
      <c r="A22983" t="s">
        <v>26703</v>
      </c>
      <c r="B22983" t="s">
        <v>26705</v>
      </c>
      <c r="C22983">
        <v>0</v>
      </c>
      <c r="D22983" t="s">
        <v>106</v>
      </c>
      <c r="E22983">
        <v>0.82758620689655105</v>
      </c>
    </row>
    <row r="22984" spans="1:5">
      <c r="A22984" t="s">
        <v>26703</v>
      </c>
      <c r="B22984" t="s">
        <v>26706</v>
      </c>
      <c r="C22984">
        <v>0</v>
      </c>
      <c r="D22984" t="s">
        <v>106</v>
      </c>
      <c r="E22984">
        <v>0.82758620689655105</v>
      </c>
    </row>
    <row r="22985" spans="1:5">
      <c r="A22985" t="s">
        <v>26703</v>
      </c>
      <c r="B22985" t="s">
        <v>26707</v>
      </c>
      <c r="C22985">
        <f>0</f>
        <v>0</v>
      </c>
      <c r="D22985" t="s">
        <v>106</v>
      </c>
      <c r="E22985">
        <v>0.82758620689655105</v>
      </c>
    </row>
    <row r="22986" spans="1:5">
      <c r="A22986" t="s">
        <v>26703</v>
      </c>
      <c r="B22986" t="s">
        <v>26708</v>
      </c>
      <c r="C22986">
        <f>0</f>
        <v>0</v>
      </c>
      <c r="D22986" t="s">
        <v>106</v>
      </c>
      <c r="E22986">
        <v>0.82758620689655105</v>
      </c>
    </row>
    <row r="22987" spans="1:5">
      <c r="A22987" t="s">
        <v>26703</v>
      </c>
      <c r="B22987" t="s">
        <v>26709</v>
      </c>
      <c r="C22987">
        <v>0</v>
      </c>
      <c r="D22987" t="s">
        <v>106</v>
      </c>
      <c r="E22987">
        <v>0.82758620689655105</v>
      </c>
    </row>
    <row r="22988" spans="1:5">
      <c r="A22988" t="s">
        <v>26703</v>
      </c>
      <c r="B22988" t="s">
        <v>26710</v>
      </c>
      <c r="C22988">
        <f>0</f>
        <v>0</v>
      </c>
      <c r="D22988" t="s">
        <v>106</v>
      </c>
      <c r="E22988">
        <v>0.82758620689655105</v>
      </c>
    </row>
    <row r="22989" spans="1:5">
      <c r="A22989" t="s">
        <v>26703</v>
      </c>
      <c r="B22989" t="s">
        <v>26711</v>
      </c>
      <c r="C22989">
        <v>0</v>
      </c>
      <c r="D22989" t="s">
        <v>106</v>
      </c>
      <c r="E22989">
        <v>0.82758620689655105</v>
      </c>
    </row>
    <row r="22990" spans="1:5">
      <c r="A22990" t="s">
        <v>26703</v>
      </c>
      <c r="B22990" t="s">
        <v>26712</v>
      </c>
      <c r="C22990">
        <v>0</v>
      </c>
      <c r="D22990" t="s">
        <v>106</v>
      </c>
      <c r="E22990">
        <v>0.82758620689655105</v>
      </c>
    </row>
    <row r="22991" spans="1:5">
      <c r="A22991" t="s">
        <v>26713</v>
      </c>
      <c r="B22991" t="s">
        <v>26714</v>
      </c>
      <c r="C22991">
        <f>0</f>
        <v>0</v>
      </c>
      <c r="D22991">
        <v>0.93844007020300002</v>
      </c>
      <c r="E22991">
        <v>20.065967016491701</v>
      </c>
    </row>
    <row r="22992" spans="1:5">
      <c r="A22992" t="s">
        <v>26713</v>
      </c>
      <c r="B22992" t="s">
        <v>26715</v>
      </c>
      <c r="C22992">
        <v>0</v>
      </c>
      <c r="D22992">
        <v>0.93844007020300002</v>
      </c>
      <c r="E22992">
        <v>20.065967016491701</v>
      </c>
    </row>
    <row r="22993" spans="1:5">
      <c r="A22993" t="s">
        <v>26713</v>
      </c>
      <c r="B22993" t="s">
        <v>26716</v>
      </c>
      <c r="C22993">
        <f>0</f>
        <v>0</v>
      </c>
      <c r="D22993">
        <v>0.93844007020300002</v>
      </c>
      <c r="E22993">
        <v>20.065967016491701</v>
      </c>
    </row>
    <row r="22994" spans="1:5">
      <c r="A22994" t="s">
        <v>26717</v>
      </c>
      <c r="B22994" t="s">
        <v>26718</v>
      </c>
      <c r="C22994">
        <v>0.478321023422</v>
      </c>
      <c r="D22994">
        <v>0.87244750195499998</v>
      </c>
      <c r="E22994">
        <v>11.5382308845577</v>
      </c>
    </row>
    <row r="22995" spans="1:5">
      <c r="A22995" t="s">
        <v>26719</v>
      </c>
      <c r="B22995" t="s">
        <v>26720</v>
      </c>
      <c r="C22995">
        <f>0.0841985914285</f>
        <v>8.4198591428500003E-2</v>
      </c>
      <c r="D22995">
        <v>0.999454065261</v>
      </c>
      <c r="E22995">
        <v>4.58170914542728</v>
      </c>
    </row>
    <row r="22996" spans="1:5">
      <c r="A22996" t="s">
        <v>26721</v>
      </c>
      <c r="B22996" t="s">
        <v>26722</v>
      </c>
      <c r="C22996">
        <f>0</f>
        <v>0</v>
      </c>
      <c r="D22996">
        <v>0.85273843867200005</v>
      </c>
      <c r="E22996">
        <v>11.0344827586206</v>
      </c>
    </row>
    <row r="22997" spans="1:5">
      <c r="A22997" t="s">
        <v>26721</v>
      </c>
      <c r="B22997" t="s">
        <v>26723</v>
      </c>
      <c r="C22997">
        <v>0</v>
      </c>
      <c r="D22997">
        <v>0.85273843867200005</v>
      </c>
      <c r="E22997">
        <v>11.0344827586206</v>
      </c>
    </row>
    <row r="22998" spans="1:5">
      <c r="A22998" t="s">
        <v>26721</v>
      </c>
      <c r="B22998" t="s">
        <v>26724</v>
      </c>
      <c r="C22998">
        <v>0</v>
      </c>
      <c r="D22998">
        <v>0.85273843867200005</v>
      </c>
      <c r="E22998">
        <v>11.0344827586206</v>
      </c>
    </row>
    <row r="22999" spans="1:5">
      <c r="A22999" t="s">
        <v>26721</v>
      </c>
      <c r="B22999" t="s">
        <v>26725</v>
      </c>
      <c r="C22999">
        <v>0</v>
      </c>
      <c r="D22999">
        <v>0.85273843867200005</v>
      </c>
      <c r="E22999">
        <v>11.0344827586206</v>
      </c>
    </row>
    <row r="23000" spans="1:5">
      <c r="A23000" t="s">
        <v>26721</v>
      </c>
      <c r="B23000" t="s">
        <v>26726</v>
      </c>
      <c r="C23000">
        <v>0</v>
      </c>
      <c r="D23000">
        <v>0.85273843867200005</v>
      </c>
      <c r="E23000">
        <v>11.0344827586206</v>
      </c>
    </row>
    <row r="23001" spans="1:5">
      <c r="A23001" t="s">
        <v>26721</v>
      </c>
      <c r="B23001" t="s">
        <v>26727</v>
      </c>
      <c r="C23001">
        <v>0</v>
      </c>
      <c r="D23001">
        <v>0.85273843867200005</v>
      </c>
      <c r="E23001">
        <v>11.0344827586206</v>
      </c>
    </row>
    <row r="23002" spans="1:5">
      <c r="A23002" t="s">
        <v>26721</v>
      </c>
      <c r="B23002" t="s">
        <v>26728</v>
      </c>
      <c r="C23002">
        <v>0.110612200929</v>
      </c>
      <c r="D23002">
        <v>0.85273843867200005</v>
      </c>
      <c r="E23002">
        <v>11.0344827586206</v>
      </c>
    </row>
    <row r="23003" spans="1:5">
      <c r="A23003" t="s">
        <v>26721</v>
      </c>
      <c r="B23003" t="s">
        <v>26729</v>
      </c>
      <c r="C23003">
        <v>0</v>
      </c>
      <c r="D23003">
        <v>0.85273843867200005</v>
      </c>
      <c r="E23003">
        <v>11.0344827586206</v>
      </c>
    </row>
    <row r="23004" spans="1:5">
      <c r="A23004" t="s">
        <v>26721</v>
      </c>
      <c r="B23004" t="s">
        <v>26730</v>
      </c>
      <c r="C23004">
        <v>5.02893034896E-2</v>
      </c>
      <c r="D23004">
        <v>0.85273843867200005</v>
      </c>
      <c r="E23004">
        <v>11.0344827586206</v>
      </c>
    </row>
    <row r="23005" spans="1:5">
      <c r="A23005" t="s">
        <v>26721</v>
      </c>
      <c r="B23005" t="s">
        <v>26731</v>
      </c>
      <c r="C23005">
        <v>0</v>
      </c>
      <c r="D23005">
        <v>0.85273843867200005</v>
      </c>
      <c r="E23005">
        <v>11.0344827586206</v>
      </c>
    </row>
    <row r="23006" spans="1:5">
      <c r="A23006" t="s">
        <v>26721</v>
      </c>
      <c r="B23006" t="s">
        <v>26732</v>
      </c>
      <c r="C23006">
        <v>0</v>
      </c>
      <c r="D23006">
        <v>0.85273843867200005</v>
      </c>
      <c r="E23006">
        <v>11.0344827586206</v>
      </c>
    </row>
    <row r="23007" spans="1:5">
      <c r="A23007" t="s">
        <v>26721</v>
      </c>
      <c r="B23007" t="s">
        <v>26733</v>
      </c>
      <c r="C23007">
        <v>0</v>
      </c>
      <c r="D23007">
        <v>0.85273843867200005</v>
      </c>
      <c r="E23007">
        <v>11.0344827586206</v>
      </c>
    </row>
    <row r="23008" spans="1:5">
      <c r="A23008" t="s">
        <v>26734</v>
      </c>
      <c r="B23008" t="s">
        <v>26735</v>
      </c>
      <c r="C23008">
        <v>0</v>
      </c>
      <c r="D23008">
        <v>0.98733150706399997</v>
      </c>
      <c r="E23008">
        <v>13.8170914542728</v>
      </c>
    </row>
    <row r="23009" spans="1:5">
      <c r="A23009" t="s">
        <v>26734</v>
      </c>
      <c r="B23009" t="s">
        <v>26736</v>
      </c>
      <c r="C23009">
        <f>0</f>
        <v>0</v>
      </c>
      <c r="D23009">
        <v>0.98733150706399997</v>
      </c>
      <c r="E23009">
        <v>13.8170914542728</v>
      </c>
    </row>
    <row r="23010" spans="1:5">
      <c r="A23010" t="s">
        <v>26734</v>
      </c>
      <c r="B23010" t="s">
        <v>26737</v>
      </c>
      <c r="C23010">
        <v>2.8973522928200001E-2</v>
      </c>
      <c r="D23010">
        <v>0.98733150706399997</v>
      </c>
      <c r="E23010">
        <v>13.8170914542728</v>
      </c>
    </row>
    <row r="23011" spans="1:5">
      <c r="A23011" t="s">
        <v>26734</v>
      </c>
      <c r="B23011" t="s">
        <v>26738</v>
      </c>
      <c r="C23011">
        <v>0</v>
      </c>
      <c r="D23011">
        <v>0.98733150706399997</v>
      </c>
      <c r="E23011">
        <v>13.8170914542728</v>
      </c>
    </row>
    <row r="23012" spans="1:5">
      <c r="A23012" t="s">
        <v>26734</v>
      </c>
      <c r="B23012" t="s">
        <v>26739</v>
      </c>
      <c r="C23012">
        <v>0</v>
      </c>
      <c r="D23012">
        <v>0.98733150706399997</v>
      </c>
      <c r="E23012">
        <v>13.8170914542728</v>
      </c>
    </row>
    <row r="23013" spans="1:5">
      <c r="A23013" t="s">
        <v>26734</v>
      </c>
      <c r="B23013" t="s">
        <v>26740</v>
      </c>
      <c r="C23013">
        <v>0.11529802375500001</v>
      </c>
      <c r="D23013">
        <v>0.98733150706399997</v>
      </c>
      <c r="E23013">
        <v>13.8170914542728</v>
      </c>
    </row>
    <row r="23014" spans="1:5">
      <c r="A23014" t="s">
        <v>26741</v>
      </c>
      <c r="B23014" t="s">
        <v>26742</v>
      </c>
      <c r="C23014">
        <v>0.54930396588200003</v>
      </c>
      <c r="D23014">
        <v>0.95362428398300003</v>
      </c>
      <c r="E23014">
        <v>5.69715142428785</v>
      </c>
    </row>
    <row r="23015" spans="1:5">
      <c r="A23015" t="s">
        <v>26741</v>
      </c>
      <c r="B23015" t="s">
        <v>26743</v>
      </c>
      <c r="C23015">
        <v>0</v>
      </c>
      <c r="D23015">
        <v>0.95362428398300003</v>
      </c>
      <c r="E23015">
        <v>5.69715142428785</v>
      </c>
    </row>
    <row r="23016" spans="1:5">
      <c r="A23016" t="s">
        <v>26741</v>
      </c>
      <c r="B23016" t="s">
        <v>26744</v>
      </c>
      <c r="C23016">
        <v>0</v>
      </c>
      <c r="D23016">
        <v>0.95362428398300003</v>
      </c>
      <c r="E23016">
        <v>5.69715142428785</v>
      </c>
    </row>
    <row r="23017" spans="1:5">
      <c r="A23017" t="s">
        <v>26741</v>
      </c>
      <c r="B23017" t="s">
        <v>26745</v>
      </c>
      <c r="C23017">
        <f>0.0509519401819</f>
        <v>5.0951940181900003E-2</v>
      </c>
      <c r="D23017">
        <v>0.95362428398300003</v>
      </c>
      <c r="E23017">
        <v>5.69715142428785</v>
      </c>
    </row>
    <row r="23018" spans="1:5">
      <c r="A23018" t="s">
        <v>26746</v>
      </c>
      <c r="B23018" t="s">
        <v>26747</v>
      </c>
      <c r="C23018">
        <v>0</v>
      </c>
      <c r="D23018">
        <v>0.98373910646899998</v>
      </c>
      <c r="E23018">
        <v>2.5547226386806599</v>
      </c>
    </row>
    <row r="23019" spans="1:5">
      <c r="A23019" t="s">
        <v>26746</v>
      </c>
      <c r="B23019" t="s">
        <v>26748</v>
      </c>
      <c r="C23019">
        <v>0</v>
      </c>
      <c r="D23019">
        <v>0.98373910646899998</v>
      </c>
      <c r="E23019">
        <v>2.5547226386806599</v>
      </c>
    </row>
    <row r="23020" spans="1:5">
      <c r="A23020" t="s">
        <v>26746</v>
      </c>
      <c r="B23020" t="s">
        <v>26749</v>
      </c>
      <c r="C23020">
        <v>0</v>
      </c>
      <c r="D23020">
        <v>0.98373910646899998</v>
      </c>
      <c r="E23020">
        <v>2.5547226386806599</v>
      </c>
    </row>
    <row r="23021" spans="1:5">
      <c r="A23021" t="s">
        <v>26746</v>
      </c>
      <c r="B23021" t="s">
        <v>26750</v>
      </c>
      <c r="C23021">
        <v>0</v>
      </c>
      <c r="D23021">
        <v>0.98373910646899998</v>
      </c>
      <c r="E23021">
        <v>2.5547226386806599</v>
      </c>
    </row>
    <row r="23022" spans="1:5">
      <c r="A23022" t="s">
        <v>26746</v>
      </c>
      <c r="B23022" t="s">
        <v>26751</v>
      </c>
      <c r="C23022">
        <v>0</v>
      </c>
      <c r="D23022">
        <v>0.98373910646899998</v>
      </c>
      <c r="E23022">
        <v>2.5547226386806599</v>
      </c>
    </row>
    <row r="23023" spans="1:5">
      <c r="A23023" t="s">
        <v>26752</v>
      </c>
      <c r="B23023" t="s">
        <v>26753</v>
      </c>
      <c r="C23023">
        <v>0.19906256635899999</v>
      </c>
      <c r="D23023">
        <v>0.80379048193799996</v>
      </c>
      <c r="E23023">
        <v>5.9370314842578704</v>
      </c>
    </row>
    <row r="23024" spans="1:5">
      <c r="A23024" t="s">
        <v>26754</v>
      </c>
      <c r="B23024" t="s">
        <v>26755</v>
      </c>
      <c r="C23024">
        <v>0</v>
      </c>
      <c r="D23024">
        <v>0.96576995420900003</v>
      </c>
      <c r="E23024">
        <v>3.5862068965517202</v>
      </c>
    </row>
    <row r="23025" spans="1:5">
      <c r="A23025" t="s">
        <v>26754</v>
      </c>
      <c r="B23025" t="s">
        <v>26756</v>
      </c>
      <c r="C23025">
        <f>0</f>
        <v>0</v>
      </c>
      <c r="D23025">
        <v>0.96576995420900003</v>
      </c>
      <c r="E23025">
        <v>3.5862068965517202</v>
      </c>
    </row>
    <row r="23026" spans="1:5">
      <c r="A23026" t="s">
        <v>26754</v>
      </c>
      <c r="B23026" t="s">
        <v>26757</v>
      </c>
      <c r="C23026">
        <v>0</v>
      </c>
      <c r="D23026">
        <v>0.96576995420900003</v>
      </c>
      <c r="E23026">
        <v>3.5862068965517202</v>
      </c>
    </row>
    <row r="23027" spans="1:5">
      <c r="A23027" t="s">
        <v>26758</v>
      </c>
      <c r="B23027" t="s">
        <v>26759</v>
      </c>
      <c r="C23027">
        <v>0.44703734797</v>
      </c>
      <c r="D23027">
        <v>0.967598664389</v>
      </c>
      <c r="E23027">
        <v>2.8785607196401801</v>
      </c>
    </row>
    <row r="23028" spans="1:5">
      <c r="A23028" t="s">
        <v>26758</v>
      </c>
      <c r="B23028" t="s">
        <v>26760</v>
      </c>
      <c r="C23028">
        <v>1.7182616987799999E-2</v>
      </c>
      <c r="D23028">
        <v>0.967598664389</v>
      </c>
      <c r="E23028">
        <v>2.8785607196401801</v>
      </c>
    </row>
    <row r="23029" spans="1:5">
      <c r="A23029" t="s">
        <v>26761</v>
      </c>
      <c r="B23029" t="s">
        <v>26762</v>
      </c>
      <c r="C23029">
        <f>0</f>
        <v>0</v>
      </c>
      <c r="D23029" t="s">
        <v>106</v>
      </c>
      <c r="E23029">
        <v>11.7061469265367</v>
      </c>
    </row>
    <row r="23030" spans="1:5">
      <c r="A23030" t="s">
        <v>26761</v>
      </c>
      <c r="B23030" t="s">
        <v>26763</v>
      </c>
      <c r="C23030">
        <f>0</f>
        <v>0</v>
      </c>
      <c r="D23030" t="s">
        <v>106</v>
      </c>
      <c r="E23030">
        <v>11.7061469265367</v>
      </c>
    </row>
    <row r="23031" spans="1:5">
      <c r="A23031" t="s">
        <v>26761</v>
      </c>
      <c r="B23031" t="s">
        <v>26764</v>
      </c>
      <c r="C23031">
        <v>0</v>
      </c>
      <c r="D23031" t="s">
        <v>106</v>
      </c>
      <c r="E23031">
        <v>11.7061469265367</v>
      </c>
    </row>
    <row r="23032" spans="1:5">
      <c r="A23032" t="s">
        <v>26765</v>
      </c>
      <c r="B23032" t="s">
        <v>26766</v>
      </c>
      <c r="C23032">
        <v>0</v>
      </c>
      <c r="D23032" t="s">
        <v>106</v>
      </c>
      <c r="E23032">
        <v>18.1349325337331</v>
      </c>
    </row>
    <row r="23033" spans="1:5">
      <c r="A23033" t="s">
        <v>26765</v>
      </c>
      <c r="B23033" t="s">
        <v>26767</v>
      </c>
      <c r="C23033">
        <v>2.86686605172E-2</v>
      </c>
      <c r="D23033" t="s">
        <v>106</v>
      </c>
      <c r="E23033">
        <v>18.1349325337331</v>
      </c>
    </row>
    <row r="23034" spans="1:5">
      <c r="A23034" t="s">
        <v>26765</v>
      </c>
      <c r="B23034" t="s">
        <v>26768</v>
      </c>
      <c r="C23034">
        <v>0</v>
      </c>
      <c r="D23034" t="s">
        <v>106</v>
      </c>
      <c r="E23034">
        <v>18.1349325337331</v>
      </c>
    </row>
    <row r="23035" spans="1:5">
      <c r="A23035" t="s">
        <v>26765</v>
      </c>
      <c r="B23035" t="s">
        <v>26769</v>
      </c>
      <c r="C23035">
        <v>0</v>
      </c>
      <c r="D23035" t="s">
        <v>106</v>
      </c>
      <c r="E23035">
        <v>18.1349325337331</v>
      </c>
    </row>
    <row r="23036" spans="1:5">
      <c r="A23036" t="s">
        <v>26765</v>
      </c>
      <c r="B23036" t="s">
        <v>26770</v>
      </c>
      <c r="C23036">
        <f>0</f>
        <v>0</v>
      </c>
      <c r="D23036" t="s">
        <v>106</v>
      </c>
      <c r="E23036">
        <v>18.1349325337331</v>
      </c>
    </row>
    <row r="23037" spans="1:5">
      <c r="A23037" t="s">
        <v>26765</v>
      </c>
      <c r="B23037" t="s">
        <v>26771</v>
      </c>
      <c r="C23037">
        <f>0</f>
        <v>0</v>
      </c>
      <c r="D23037" t="s">
        <v>106</v>
      </c>
      <c r="E23037">
        <v>18.1349325337331</v>
      </c>
    </row>
    <row r="23038" spans="1:5">
      <c r="A23038" t="s">
        <v>26765</v>
      </c>
      <c r="B23038" t="s">
        <v>26772</v>
      </c>
      <c r="C23038">
        <v>0</v>
      </c>
      <c r="D23038" t="s">
        <v>106</v>
      </c>
      <c r="E23038">
        <v>18.1349325337331</v>
      </c>
    </row>
    <row r="23039" spans="1:5">
      <c r="A23039" t="s">
        <v>26765</v>
      </c>
      <c r="B23039" t="s">
        <v>26773</v>
      </c>
      <c r="C23039">
        <f>0</f>
        <v>0</v>
      </c>
      <c r="D23039" t="s">
        <v>106</v>
      </c>
      <c r="E23039">
        <v>18.1349325337331</v>
      </c>
    </row>
    <row r="23040" spans="1:5">
      <c r="A23040" t="s">
        <v>26774</v>
      </c>
      <c r="B23040" t="s">
        <v>26775</v>
      </c>
      <c r="C23040">
        <v>6.13767270921E-2</v>
      </c>
      <c r="D23040">
        <v>0.86918948370000004</v>
      </c>
      <c r="E23040">
        <v>24</v>
      </c>
    </row>
    <row r="23041" spans="1:5">
      <c r="A23041" t="s">
        <v>26774</v>
      </c>
      <c r="B23041" t="s">
        <v>26776</v>
      </c>
      <c r="C23041">
        <f>0</f>
        <v>0</v>
      </c>
      <c r="D23041">
        <v>0.86918948370000004</v>
      </c>
      <c r="E23041">
        <v>24</v>
      </c>
    </row>
    <row r="23042" spans="1:5">
      <c r="A23042" t="s">
        <v>26774</v>
      </c>
      <c r="B23042" t="s">
        <v>26777</v>
      </c>
      <c r="C23042">
        <v>0</v>
      </c>
      <c r="D23042">
        <v>0.86918948370000004</v>
      </c>
      <c r="E23042">
        <v>24</v>
      </c>
    </row>
    <row r="23043" spans="1:5">
      <c r="A23043" t="s">
        <v>26774</v>
      </c>
      <c r="B23043" t="s">
        <v>26778</v>
      </c>
      <c r="C23043">
        <f>0</f>
        <v>0</v>
      </c>
      <c r="D23043">
        <v>0.86918948370000004</v>
      </c>
      <c r="E23043">
        <v>24</v>
      </c>
    </row>
    <row r="23044" spans="1:5">
      <c r="A23044" t="s">
        <v>26774</v>
      </c>
      <c r="B23044" t="s">
        <v>26779</v>
      </c>
      <c r="C23044">
        <v>0</v>
      </c>
      <c r="D23044">
        <v>0.86918948370000004</v>
      </c>
      <c r="E23044">
        <v>24</v>
      </c>
    </row>
    <row r="23045" spans="1:5">
      <c r="A23045" t="s">
        <v>26780</v>
      </c>
      <c r="B23045" t="s">
        <v>26781</v>
      </c>
      <c r="C23045">
        <v>0</v>
      </c>
      <c r="D23045">
        <v>0.99956624862800003</v>
      </c>
      <c r="E23045">
        <v>18.1349325337331</v>
      </c>
    </row>
    <row r="23046" spans="1:5">
      <c r="A23046" t="s">
        <v>26780</v>
      </c>
      <c r="B23046" t="s">
        <v>26782</v>
      </c>
      <c r="C23046">
        <v>0</v>
      </c>
      <c r="D23046">
        <v>0.99956624862800003</v>
      </c>
      <c r="E23046">
        <v>18.1349325337331</v>
      </c>
    </row>
    <row r="23047" spans="1:5">
      <c r="A23047" t="s">
        <v>26780</v>
      </c>
      <c r="B23047" t="s">
        <v>26783</v>
      </c>
      <c r="C23047">
        <v>3.8365573096100003E-2</v>
      </c>
      <c r="D23047">
        <v>0.99956624862800003</v>
      </c>
      <c r="E23047">
        <v>18.1349325337331</v>
      </c>
    </row>
    <row r="23048" spans="1:5">
      <c r="A23048" t="s">
        <v>26780</v>
      </c>
      <c r="B23048" t="s">
        <v>26784</v>
      </c>
      <c r="C23048">
        <v>3.3077994029699999E-2</v>
      </c>
      <c r="D23048">
        <v>0.99956624862800003</v>
      </c>
      <c r="E23048">
        <v>18.1349325337331</v>
      </c>
    </row>
    <row r="23049" spans="1:5">
      <c r="A23049" t="s">
        <v>26780</v>
      </c>
      <c r="B23049" t="s">
        <v>26785</v>
      </c>
      <c r="C23049">
        <v>0</v>
      </c>
      <c r="D23049">
        <v>0.99956624862800003</v>
      </c>
      <c r="E23049">
        <v>18.1349325337331</v>
      </c>
    </row>
    <row r="23050" spans="1:5">
      <c r="A23050" t="s">
        <v>26780</v>
      </c>
      <c r="B23050" t="s">
        <v>26786</v>
      </c>
      <c r="C23050">
        <v>0</v>
      </c>
      <c r="D23050">
        <v>0.99956624862800003</v>
      </c>
      <c r="E23050">
        <v>18.1349325337331</v>
      </c>
    </row>
    <row r="23051" spans="1:5">
      <c r="A23051" t="s">
        <v>26780</v>
      </c>
      <c r="B23051" t="s">
        <v>26787</v>
      </c>
      <c r="C23051">
        <v>0</v>
      </c>
      <c r="D23051">
        <v>0.99956624862800003</v>
      </c>
      <c r="E23051">
        <v>18.1349325337331</v>
      </c>
    </row>
    <row r="23052" spans="1:5">
      <c r="A23052" t="s">
        <v>26780</v>
      </c>
      <c r="B23052" t="s">
        <v>26788</v>
      </c>
      <c r="C23052">
        <v>0</v>
      </c>
      <c r="D23052">
        <v>0.99956624862800003</v>
      </c>
      <c r="E23052">
        <v>18.1349325337331</v>
      </c>
    </row>
    <row r="23053" spans="1:5">
      <c r="A23053" t="s">
        <v>26780</v>
      </c>
      <c r="B23053" t="s">
        <v>26789</v>
      </c>
      <c r="C23053">
        <f>0</f>
        <v>0</v>
      </c>
      <c r="D23053">
        <v>0.99956624862800003</v>
      </c>
      <c r="E23053">
        <v>18.1349325337331</v>
      </c>
    </row>
    <row r="23054" spans="1:5">
      <c r="A23054" t="s">
        <v>26780</v>
      </c>
      <c r="B23054" t="s">
        <v>26790</v>
      </c>
      <c r="C23054">
        <v>0</v>
      </c>
      <c r="D23054">
        <v>0.99956624862800003</v>
      </c>
      <c r="E23054">
        <v>18.1349325337331</v>
      </c>
    </row>
    <row r="23055" spans="1:5">
      <c r="A23055" t="s">
        <v>26780</v>
      </c>
      <c r="B23055" t="s">
        <v>26791</v>
      </c>
      <c r="C23055">
        <v>4.9622276649300004E-3</v>
      </c>
      <c r="D23055">
        <v>0.99956624862800003</v>
      </c>
      <c r="E23055">
        <v>18.1349325337331</v>
      </c>
    </row>
    <row r="23056" spans="1:5">
      <c r="A23056" t="s">
        <v>26780</v>
      </c>
      <c r="B23056" t="s">
        <v>26792</v>
      </c>
      <c r="C23056">
        <v>0</v>
      </c>
      <c r="D23056">
        <v>0.99956624862800003</v>
      </c>
      <c r="E23056">
        <v>18.1349325337331</v>
      </c>
    </row>
    <row r="23057" spans="1:5">
      <c r="A23057" t="s">
        <v>26780</v>
      </c>
      <c r="B23057" t="s">
        <v>26793</v>
      </c>
      <c r="C23057">
        <v>0</v>
      </c>
      <c r="D23057">
        <v>0.99956624862800003</v>
      </c>
      <c r="E23057">
        <v>18.1349325337331</v>
      </c>
    </row>
    <row r="23058" spans="1:5">
      <c r="A23058" t="s">
        <v>26780</v>
      </c>
      <c r="B23058" t="s">
        <v>26794</v>
      </c>
      <c r="C23058">
        <v>0</v>
      </c>
      <c r="D23058">
        <v>0.99956624862800003</v>
      </c>
      <c r="E23058">
        <v>18.1349325337331</v>
      </c>
    </row>
    <row r="23059" spans="1:5">
      <c r="A23059" t="s">
        <v>26780</v>
      </c>
      <c r="B23059" t="s">
        <v>26795</v>
      </c>
      <c r="C23059">
        <v>0</v>
      </c>
      <c r="D23059">
        <v>0.99956624862800003</v>
      </c>
      <c r="E23059">
        <v>18.1349325337331</v>
      </c>
    </row>
    <row r="23060" spans="1:5">
      <c r="A23060" t="s">
        <v>26796</v>
      </c>
      <c r="B23060" t="s">
        <v>26797</v>
      </c>
      <c r="C23060">
        <v>0</v>
      </c>
      <c r="D23060">
        <v>0.97100084822699995</v>
      </c>
      <c r="E23060">
        <v>2.2548725637181399</v>
      </c>
    </row>
    <row r="23061" spans="1:5">
      <c r="A23061" t="s">
        <v>26796</v>
      </c>
      <c r="B23061" t="s">
        <v>26798</v>
      </c>
      <c r="C23061">
        <v>0</v>
      </c>
      <c r="D23061">
        <v>0.97100084822699995</v>
      </c>
      <c r="E23061">
        <v>2.2548725637181399</v>
      </c>
    </row>
    <row r="23062" spans="1:5">
      <c r="A23062" t="s">
        <v>26796</v>
      </c>
      <c r="B23062" t="s">
        <v>26799</v>
      </c>
      <c r="C23062">
        <v>0</v>
      </c>
      <c r="D23062">
        <v>0.97100084822699995</v>
      </c>
      <c r="E23062">
        <v>2.2548725637181399</v>
      </c>
    </row>
    <row r="23063" spans="1:5">
      <c r="A23063" t="s">
        <v>26796</v>
      </c>
      <c r="B23063" t="s">
        <v>26800</v>
      </c>
      <c r="C23063">
        <v>0</v>
      </c>
      <c r="D23063">
        <v>0.97100084822699995</v>
      </c>
      <c r="E23063">
        <v>2.2548725637181399</v>
      </c>
    </row>
    <row r="23064" spans="1:5">
      <c r="A23064" t="s">
        <v>26796</v>
      </c>
      <c r="B23064" t="s">
        <v>26801</v>
      </c>
      <c r="C23064">
        <v>0</v>
      </c>
      <c r="D23064">
        <v>0.97100084822699995</v>
      </c>
      <c r="E23064">
        <v>2.2548725637181399</v>
      </c>
    </row>
    <row r="23065" spans="1:5">
      <c r="A23065" t="s">
        <v>26796</v>
      </c>
      <c r="B23065" t="s">
        <v>26802</v>
      </c>
      <c r="C23065">
        <v>0</v>
      </c>
      <c r="D23065">
        <v>0.97100084822699995</v>
      </c>
      <c r="E23065">
        <v>2.2548725637181399</v>
      </c>
    </row>
    <row r="23066" spans="1:5">
      <c r="A23066" t="s">
        <v>26796</v>
      </c>
      <c r="B23066" t="s">
        <v>26803</v>
      </c>
      <c r="C23066">
        <v>0</v>
      </c>
      <c r="D23066">
        <v>0.97100084822699995</v>
      </c>
      <c r="E23066">
        <v>2.2548725637181399</v>
      </c>
    </row>
    <row r="23067" spans="1:5">
      <c r="A23067" t="s">
        <v>26796</v>
      </c>
      <c r="B23067" t="s">
        <v>26804</v>
      </c>
      <c r="C23067">
        <f>0</f>
        <v>0</v>
      </c>
      <c r="D23067">
        <v>0.97100084822699995</v>
      </c>
      <c r="E23067">
        <v>2.2548725637181399</v>
      </c>
    </row>
    <row r="23068" spans="1:5">
      <c r="A23068" t="s">
        <v>26805</v>
      </c>
      <c r="B23068" t="s">
        <v>26806</v>
      </c>
      <c r="C23068">
        <v>0</v>
      </c>
      <c r="D23068" t="s">
        <v>106</v>
      </c>
      <c r="E23068">
        <v>12.3898050974512</v>
      </c>
    </row>
    <row r="23069" spans="1:5">
      <c r="A23069" t="s">
        <v>26805</v>
      </c>
      <c r="B23069" t="s">
        <v>26807</v>
      </c>
      <c r="C23069">
        <f>0</f>
        <v>0</v>
      </c>
      <c r="D23069" t="s">
        <v>106</v>
      </c>
      <c r="E23069">
        <v>12.3898050974512</v>
      </c>
    </row>
    <row r="23070" spans="1:5">
      <c r="A23070" t="s">
        <v>26805</v>
      </c>
      <c r="B23070" t="s">
        <v>26808</v>
      </c>
      <c r="C23070">
        <f>0</f>
        <v>0</v>
      </c>
      <c r="D23070" t="s">
        <v>106</v>
      </c>
      <c r="E23070">
        <v>12.3898050974512</v>
      </c>
    </row>
    <row r="23071" spans="1:5">
      <c r="A23071" t="s">
        <v>26805</v>
      </c>
      <c r="B23071" t="s">
        <v>26809</v>
      </c>
      <c r="C23071">
        <v>0</v>
      </c>
      <c r="D23071" t="s">
        <v>106</v>
      </c>
      <c r="E23071">
        <v>12.3898050974512</v>
      </c>
    </row>
    <row r="23072" spans="1:5">
      <c r="A23072" t="s">
        <v>26805</v>
      </c>
      <c r="B23072" t="s">
        <v>26810</v>
      </c>
      <c r="C23072">
        <f>0</f>
        <v>0</v>
      </c>
      <c r="D23072" t="s">
        <v>106</v>
      </c>
      <c r="E23072">
        <v>12.3898050974512</v>
      </c>
    </row>
    <row r="23073" spans="1:5">
      <c r="A23073" t="s">
        <v>26805</v>
      </c>
      <c r="B23073" t="s">
        <v>26811</v>
      </c>
      <c r="C23073">
        <v>0</v>
      </c>
      <c r="D23073" t="s">
        <v>106</v>
      </c>
      <c r="E23073">
        <v>12.3898050974512</v>
      </c>
    </row>
    <row r="23074" spans="1:5">
      <c r="A23074" t="s">
        <v>26805</v>
      </c>
      <c r="B23074" t="s">
        <v>26812</v>
      </c>
      <c r="C23074">
        <v>0</v>
      </c>
      <c r="D23074" t="s">
        <v>106</v>
      </c>
      <c r="E23074">
        <v>12.3898050974512</v>
      </c>
    </row>
    <row r="23075" spans="1:5">
      <c r="A23075" t="s">
        <v>26813</v>
      </c>
      <c r="B23075" t="s">
        <v>26814</v>
      </c>
      <c r="C23075">
        <v>0</v>
      </c>
      <c r="D23075" t="s">
        <v>106</v>
      </c>
      <c r="E23075">
        <v>17.919040479760099</v>
      </c>
    </row>
    <row r="23076" spans="1:5">
      <c r="A23076" t="s">
        <v>26813</v>
      </c>
      <c r="B23076" t="s">
        <v>26815</v>
      </c>
      <c r="C23076">
        <v>0</v>
      </c>
      <c r="D23076" t="s">
        <v>106</v>
      </c>
      <c r="E23076">
        <v>17.919040479760099</v>
      </c>
    </row>
    <row r="23077" spans="1:5">
      <c r="A23077" t="s">
        <v>26813</v>
      </c>
      <c r="B23077" t="s">
        <v>26816</v>
      </c>
      <c r="C23077">
        <v>0</v>
      </c>
      <c r="D23077" t="s">
        <v>106</v>
      </c>
      <c r="E23077">
        <v>17.919040479760099</v>
      </c>
    </row>
    <row r="23078" spans="1:5">
      <c r="A23078" t="s">
        <v>26813</v>
      </c>
      <c r="B23078" t="s">
        <v>26817</v>
      </c>
      <c r="C23078">
        <v>0</v>
      </c>
      <c r="D23078" t="s">
        <v>106</v>
      </c>
      <c r="E23078">
        <v>17.919040479760099</v>
      </c>
    </row>
    <row r="23079" spans="1:5">
      <c r="A23079" t="s">
        <v>26818</v>
      </c>
      <c r="B23079" t="s">
        <v>26819</v>
      </c>
      <c r="C23079">
        <v>9.5705591105199994E-2</v>
      </c>
      <c r="D23079">
        <v>0.95994104265699998</v>
      </c>
      <c r="E23079">
        <v>24</v>
      </c>
    </row>
    <row r="23080" spans="1:5">
      <c r="A23080" t="s">
        <v>26818</v>
      </c>
      <c r="B23080" t="s">
        <v>26820</v>
      </c>
      <c r="C23080">
        <f>0.176417700205</f>
        <v>0.176417700205</v>
      </c>
      <c r="D23080">
        <v>0.95994104265699998</v>
      </c>
      <c r="E23080">
        <v>24</v>
      </c>
    </row>
    <row r="23081" spans="1:5">
      <c r="A23081" t="s">
        <v>26821</v>
      </c>
      <c r="B23081" t="s">
        <v>26822</v>
      </c>
      <c r="C23081">
        <f>0</f>
        <v>0</v>
      </c>
      <c r="D23081" t="s">
        <v>106</v>
      </c>
      <c r="E23081">
        <v>24</v>
      </c>
    </row>
    <row r="23082" spans="1:5">
      <c r="A23082" t="s">
        <v>26821</v>
      </c>
      <c r="B23082" t="s">
        <v>26823</v>
      </c>
      <c r="C23082">
        <f>0</f>
        <v>0</v>
      </c>
      <c r="D23082" t="s">
        <v>106</v>
      </c>
      <c r="E23082">
        <v>24</v>
      </c>
    </row>
    <row r="23083" spans="1:5">
      <c r="A23083" t="s">
        <v>26821</v>
      </c>
      <c r="B23083" t="s">
        <v>26824</v>
      </c>
      <c r="C23083">
        <f>0</f>
        <v>0</v>
      </c>
      <c r="D23083" t="s">
        <v>106</v>
      </c>
      <c r="E23083">
        <v>24</v>
      </c>
    </row>
    <row r="23084" spans="1:5">
      <c r="A23084" t="s">
        <v>26821</v>
      </c>
      <c r="B23084" t="s">
        <v>26825</v>
      </c>
      <c r="C23084">
        <f>0.102722750976</f>
        <v>0.102722750976</v>
      </c>
      <c r="D23084" t="s">
        <v>106</v>
      </c>
      <c r="E23084">
        <v>24</v>
      </c>
    </row>
    <row r="23085" spans="1:5">
      <c r="A23085" t="s">
        <v>26821</v>
      </c>
      <c r="B23085" t="s">
        <v>26826</v>
      </c>
      <c r="C23085">
        <f>0</f>
        <v>0</v>
      </c>
      <c r="D23085" t="s">
        <v>106</v>
      </c>
      <c r="E23085">
        <v>24</v>
      </c>
    </row>
    <row r="23086" spans="1:5">
      <c r="A23086" t="s">
        <v>26821</v>
      </c>
      <c r="B23086" t="s">
        <v>26827</v>
      </c>
      <c r="C23086">
        <f>0</f>
        <v>0</v>
      </c>
      <c r="D23086" t="s">
        <v>106</v>
      </c>
      <c r="E23086">
        <v>24</v>
      </c>
    </row>
    <row r="23087" spans="1:5">
      <c r="A23087" t="s">
        <v>26821</v>
      </c>
      <c r="B23087" t="s">
        <v>26828</v>
      </c>
      <c r="C23087">
        <f>0</f>
        <v>0</v>
      </c>
      <c r="D23087" t="s">
        <v>106</v>
      </c>
      <c r="E23087">
        <v>24</v>
      </c>
    </row>
    <row r="23088" spans="1:5">
      <c r="A23088" t="s">
        <v>26821</v>
      </c>
      <c r="B23088" t="s">
        <v>26829</v>
      </c>
      <c r="C23088">
        <v>0</v>
      </c>
      <c r="D23088" t="s">
        <v>106</v>
      </c>
      <c r="E23088">
        <v>24</v>
      </c>
    </row>
    <row r="23089" spans="1:5">
      <c r="A23089" t="s">
        <v>26830</v>
      </c>
      <c r="B23089" t="s">
        <v>26831</v>
      </c>
      <c r="C23089">
        <v>0</v>
      </c>
      <c r="D23089">
        <v>0.93985751567599995</v>
      </c>
      <c r="E23089">
        <v>15.316341829085401</v>
      </c>
    </row>
    <row r="23090" spans="1:5">
      <c r="A23090" t="s">
        <v>26830</v>
      </c>
      <c r="B23090" t="s">
        <v>26832</v>
      </c>
      <c r="C23090">
        <v>0</v>
      </c>
      <c r="D23090">
        <v>0.93985751567599995</v>
      </c>
      <c r="E23090">
        <v>15.316341829085401</v>
      </c>
    </row>
    <row r="23091" spans="1:5">
      <c r="A23091" t="s">
        <v>26830</v>
      </c>
      <c r="B23091" t="s">
        <v>26833</v>
      </c>
      <c r="C23091">
        <v>0</v>
      </c>
      <c r="D23091">
        <v>0.93985751567599995</v>
      </c>
      <c r="E23091">
        <v>15.316341829085401</v>
      </c>
    </row>
    <row r="23092" spans="1:5">
      <c r="A23092" t="s">
        <v>26830</v>
      </c>
      <c r="B23092" t="s">
        <v>26834</v>
      </c>
      <c r="C23092">
        <v>2.3668372192800002E-2</v>
      </c>
      <c r="D23092">
        <v>0.93985751567599995</v>
      </c>
      <c r="E23092">
        <v>15.316341829085401</v>
      </c>
    </row>
    <row r="23093" spans="1:5">
      <c r="A23093" t="s">
        <v>26830</v>
      </c>
      <c r="B23093" t="s">
        <v>26835</v>
      </c>
      <c r="C23093">
        <v>0</v>
      </c>
      <c r="D23093">
        <v>0.93985751567599995</v>
      </c>
      <c r="E23093">
        <v>15.316341829085401</v>
      </c>
    </row>
    <row r="23094" spans="1:5">
      <c r="A23094" t="s">
        <v>26830</v>
      </c>
      <c r="B23094" t="s">
        <v>26836</v>
      </c>
      <c r="C23094">
        <v>0</v>
      </c>
      <c r="D23094">
        <v>0.93985751567599995</v>
      </c>
      <c r="E23094">
        <v>15.316341829085401</v>
      </c>
    </row>
    <row r="23095" spans="1:5">
      <c r="A23095" t="s">
        <v>26830</v>
      </c>
      <c r="B23095" t="s">
        <v>26837</v>
      </c>
      <c r="C23095">
        <v>7.6891337532800003E-2</v>
      </c>
      <c r="D23095">
        <v>0.93985751567599995</v>
      </c>
      <c r="E23095">
        <v>15.316341829085401</v>
      </c>
    </row>
    <row r="23096" spans="1:5">
      <c r="A23096" t="s">
        <v>26830</v>
      </c>
      <c r="B23096" t="s">
        <v>26838</v>
      </c>
      <c r="C23096">
        <v>0</v>
      </c>
      <c r="D23096">
        <v>0.93985751567599995</v>
      </c>
      <c r="E23096">
        <v>15.316341829085401</v>
      </c>
    </row>
    <row r="23097" spans="1:5">
      <c r="A23097" t="s">
        <v>26830</v>
      </c>
      <c r="B23097" t="s">
        <v>26839</v>
      </c>
      <c r="C23097">
        <v>0</v>
      </c>
      <c r="D23097">
        <v>0.93985751567599995</v>
      </c>
      <c r="E23097">
        <v>15.316341829085401</v>
      </c>
    </row>
    <row r="23098" spans="1:5">
      <c r="A23098" t="s">
        <v>26830</v>
      </c>
      <c r="B23098" t="s">
        <v>26840</v>
      </c>
      <c r="C23098">
        <v>0</v>
      </c>
      <c r="D23098">
        <v>0.93985751567599995</v>
      </c>
      <c r="E23098">
        <v>15.316341829085401</v>
      </c>
    </row>
    <row r="23099" spans="1:5">
      <c r="A23099" t="s">
        <v>26830</v>
      </c>
      <c r="B23099" t="s">
        <v>26841</v>
      </c>
      <c r="C23099">
        <v>0</v>
      </c>
      <c r="D23099">
        <v>0.93985751567599995</v>
      </c>
      <c r="E23099">
        <v>15.316341829085401</v>
      </c>
    </row>
    <row r="23100" spans="1:5">
      <c r="A23100" t="s">
        <v>26830</v>
      </c>
      <c r="B23100" t="s">
        <v>26842</v>
      </c>
      <c r="C23100">
        <v>0</v>
      </c>
      <c r="D23100">
        <v>0.93985751567599995</v>
      </c>
      <c r="E23100">
        <v>15.316341829085401</v>
      </c>
    </row>
    <row r="23101" spans="1:5">
      <c r="A23101" t="s">
        <v>26843</v>
      </c>
      <c r="B23101" t="s">
        <v>26844</v>
      </c>
      <c r="C23101">
        <f>0.326108456462</f>
        <v>0.32610845646199998</v>
      </c>
      <c r="D23101" t="s">
        <v>106</v>
      </c>
      <c r="E23101">
        <v>6.9325337331334298</v>
      </c>
    </row>
    <row r="23102" spans="1:5">
      <c r="A23102" t="s">
        <v>26845</v>
      </c>
      <c r="B23102" t="s">
        <v>26846</v>
      </c>
      <c r="C23102">
        <f>0.356294623731</f>
        <v>0.35629462373100002</v>
      </c>
      <c r="D23102">
        <v>0.97666492503299995</v>
      </c>
      <c r="E23102">
        <v>4.68965517241379</v>
      </c>
    </row>
    <row r="23103" spans="1:5">
      <c r="A23103" t="s">
        <v>26845</v>
      </c>
      <c r="B23103" t="s">
        <v>26847</v>
      </c>
      <c r="C23103">
        <f>0.674075823812</f>
        <v>0.67407582381200004</v>
      </c>
      <c r="D23103">
        <v>0.97666492503299995</v>
      </c>
      <c r="E23103">
        <v>4.68965517241379</v>
      </c>
    </row>
    <row r="23104" spans="1:5">
      <c r="A23104" t="s">
        <v>26845</v>
      </c>
      <c r="B23104" t="s">
        <v>26848</v>
      </c>
      <c r="C23104">
        <f>0</f>
        <v>0</v>
      </c>
      <c r="D23104">
        <v>0.97666492503299995</v>
      </c>
      <c r="E23104">
        <v>4.68965517241379</v>
      </c>
    </row>
    <row r="23105" spans="1:5">
      <c r="A23105" t="s">
        <v>26845</v>
      </c>
      <c r="B23105" t="s">
        <v>26849</v>
      </c>
      <c r="C23105">
        <f>0</f>
        <v>0</v>
      </c>
      <c r="D23105">
        <v>0.97666492503299995</v>
      </c>
      <c r="E23105">
        <v>4.68965517241379</v>
      </c>
    </row>
    <row r="23106" spans="1:5">
      <c r="A23106" t="s">
        <v>26850</v>
      </c>
      <c r="B23106" t="s">
        <v>26851</v>
      </c>
      <c r="C23106">
        <v>0</v>
      </c>
      <c r="D23106">
        <v>0.94052510235999998</v>
      </c>
      <c r="E23106">
        <v>2.0269865067466202</v>
      </c>
    </row>
    <row r="23107" spans="1:5">
      <c r="A23107" t="s">
        <v>26850</v>
      </c>
      <c r="B23107" t="s">
        <v>26852</v>
      </c>
      <c r="C23107">
        <v>0</v>
      </c>
      <c r="D23107">
        <v>0.94052510235999998</v>
      </c>
      <c r="E23107">
        <v>2.0269865067466202</v>
      </c>
    </row>
    <row r="23108" spans="1:5">
      <c r="A23108" t="s">
        <v>26850</v>
      </c>
      <c r="B23108" t="s">
        <v>26853</v>
      </c>
      <c r="C23108">
        <f>0</f>
        <v>0</v>
      </c>
      <c r="D23108">
        <v>0.94052510235999998</v>
      </c>
      <c r="E23108">
        <v>2.0269865067466202</v>
      </c>
    </row>
    <row r="23109" spans="1:5">
      <c r="A23109" t="s">
        <v>26850</v>
      </c>
      <c r="B23109" t="s">
        <v>26854</v>
      </c>
      <c r="C23109">
        <v>0</v>
      </c>
      <c r="D23109">
        <v>0.94052510235999998</v>
      </c>
      <c r="E23109">
        <v>2.0269865067466202</v>
      </c>
    </row>
    <row r="23110" spans="1:5">
      <c r="A23110" t="s">
        <v>26850</v>
      </c>
      <c r="B23110" t="s">
        <v>26855</v>
      </c>
      <c r="C23110">
        <v>0.118002997813</v>
      </c>
      <c r="D23110">
        <v>0.94052510235999998</v>
      </c>
      <c r="E23110">
        <v>2.0269865067466202</v>
      </c>
    </row>
    <row r="23111" spans="1:5">
      <c r="A23111" t="s">
        <v>26850</v>
      </c>
      <c r="B23111" t="s">
        <v>26856</v>
      </c>
      <c r="C23111">
        <v>0</v>
      </c>
      <c r="D23111">
        <v>0.94052510235999998</v>
      </c>
      <c r="E23111">
        <v>2.0269865067466202</v>
      </c>
    </row>
    <row r="23112" spans="1:5">
      <c r="A23112" t="s">
        <v>26857</v>
      </c>
      <c r="B23112" t="s">
        <v>26858</v>
      </c>
      <c r="C23112">
        <v>0</v>
      </c>
      <c r="D23112">
        <v>0.97952460988000001</v>
      </c>
      <c r="E23112">
        <v>1.11544227886056</v>
      </c>
    </row>
    <row r="23113" spans="1:5">
      <c r="A23113" t="s">
        <v>26857</v>
      </c>
      <c r="B23113" t="s">
        <v>26859</v>
      </c>
      <c r="C23113">
        <v>0</v>
      </c>
      <c r="D23113">
        <v>0.97952460988000001</v>
      </c>
      <c r="E23113">
        <v>1.11544227886056</v>
      </c>
    </row>
    <row r="23114" spans="1:5">
      <c r="A23114" t="s">
        <v>26857</v>
      </c>
      <c r="B23114" t="s">
        <v>26860</v>
      </c>
      <c r="C23114">
        <v>0</v>
      </c>
      <c r="D23114">
        <v>0.97952460988000001</v>
      </c>
      <c r="E23114">
        <v>1.11544227886056</v>
      </c>
    </row>
    <row r="23115" spans="1:5">
      <c r="A23115" t="s">
        <v>26857</v>
      </c>
      <c r="B23115" t="s">
        <v>26861</v>
      </c>
      <c r="C23115">
        <f>0</f>
        <v>0</v>
      </c>
      <c r="D23115">
        <v>0.97952460988000001</v>
      </c>
      <c r="E23115">
        <v>1.11544227886056</v>
      </c>
    </row>
    <row r="23116" spans="1:5">
      <c r="A23116" t="s">
        <v>26857</v>
      </c>
      <c r="B23116" t="s">
        <v>26862</v>
      </c>
      <c r="C23116">
        <f>0.346743600979</f>
        <v>0.34674360097899998</v>
      </c>
      <c r="D23116">
        <v>0.97952460988000001</v>
      </c>
      <c r="E23116">
        <v>1.11544227886056</v>
      </c>
    </row>
    <row r="23117" spans="1:5">
      <c r="A23117" t="s">
        <v>26857</v>
      </c>
      <c r="B23117" t="s">
        <v>26863</v>
      </c>
      <c r="C23117">
        <v>0</v>
      </c>
      <c r="D23117">
        <v>0.97952460988000001</v>
      </c>
      <c r="E23117">
        <v>1.11544227886056</v>
      </c>
    </row>
    <row r="23118" spans="1:5">
      <c r="A23118" t="s">
        <v>26857</v>
      </c>
      <c r="B23118" t="s">
        <v>26864</v>
      </c>
      <c r="C23118">
        <v>2.1757551365700002E-2</v>
      </c>
      <c r="D23118">
        <v>0.97952460988000001</v>
      </c>
      <c r="E23118">
        <v>1.11544227886056</v>
      </c>
    </row>
    <row r="23119" spans="1:5">
      <c r="A23119" t="s">
        <v>26865</v>
      </c>
      <c r="B23119" t="s">
        <v>26866</v>
      </c>
      <c r="C23119">
        <f>0</f>
        <v>0</v>
      </c>
      <c r="D23119">
        <v>0.96290191488200005</v>
      </c>
      <c r="E23119">
        <v>2.39880059970015</v>
      </c>
    </row>
    <row r="23120" spans="1:5">
      <c r="A23120" t="s">
        <v>26865</v>
      </c>
      <c r="B23120" t="s">
        <v>26867</v>
      </c>
      <c r="C23120">
        <f>0</f>
        <v>0</v>
      </c>
      <c r="D23120">
        <v>0.96290191488200005</v>
      </c>
      <c r="E23120">
        <v>2.39880059970015</v>
      </c>
    </row>
    <row r="23121" spans="1:5">
      <c r="A23121" t="s">
        <v>26865</v>
      </c>
      <c r="B23121" t="s">
        <v>26868</v>
      </c>
      <c r="C23121">
        <f>0</f>
        <v>0</v>
      </c>
      <c r="D23121">
        <v>0.96290191488200005</v>
      </c>
      <c r="E23121">
        <v>2.39880059970015</v>
      </c>
    </row>
    <row r="23122" spans="1:5">
      <c r="A23122" t="s">
        <v>26865</v>
      </c>
      <c r="B23122" t="s">
        <v>26869</v>
      </c>
      <c r="C23122">
        <v>0</v>
      </c>
      <c r="D23122">
        <v>0.96290191488200005</v>
      </c>
      <c r="E23122">
        <v>2.39880059970015</v>
      </c>
    </row>
    <row r="23123" spans="1:5">
      <c r="A23123" t="s">
        <v>26865</v>
      </c>
      <c r="B23123" t="s">
        <v>26870</v>
      </c>
      <c r="C23123">
        <f>0.0862888606212</f>
        <v>8.6288860621200003E-2</v>
      </c>
      <c r="D23123">
        <v>0.96290191488200005</v>
      </c>
      <c r="E23123">
        <v>2.39880059970015</v>
      </c>
    </row>
    <row r="23124" spans="1:5">
      <c r="A23124" t="s">
        <v>26865</v>
      </c>
      <c r="B23124" t="s">
        <v>26871</v>
      </c>
      <c r="C23124">
        <f>0</f>
        <v>0</v>
      </c>
      <c r="D23124">
        <v>0.96290191488200005</v>
      </c>
      <c r="E23124">
        <v>2.39880059970015</v>
      </c>
    </row>
    <row r="23125" spans="1:5">
      <c r="A23125" t="s">
        <v>26865</v>
      </c>
      <c r="B23125" t="s">
        <v>26872</v>
      </c>
      <c r="C23125">
        <v>0</v>
      </c>
      <c r="D23125">
        <v>0.96290191488200005</v>
      </c>
      <c r="E23125">
        <v>2.39880059970015</v>
      </c>
    </row>
    <row r="23126" spans="1:5">
      <c r="A23126" t="s">
        <v>26865</v>
      </c>
      <c r="B23126" t="s">
        <v>26873</v>
      </c>
      <c r="C23126">
        <f>0</f>
        <v>0</v>
      </c>
      <c r="D23126">
        <v>0.96290191488200005</v>
      </c>
      <c r="E23126">
        <v>2.39880059970015</v>
      </c>
    </row>
    <row r="23127" spans="1:5">
      <c r="A23127" t="s">
        <v>26865</v>
      </c>
      <c r="B23127" t="s">
        <v>26874</v>
      </c>
      <c r="C23127">
        <f>0</f>
        <v>0</v>
      </c>
      <c r="D23127">
        <v>0.96290191488200005</v>
      </c>
      <c r="E23127">
        <v>2.39880059970015</v>
      </c>
    </row>
    <row r="23128" spans="1:5">
      <c r="A23128" t="s">
        <v>26865</v>
      </c>
      <c r="B23128" t="s">
        <v>26875</v>
      </c>
      <c r="C23128">
        <f>0</f>
        <v>0</v>
      </c>
      <c r="D23128">
        <v>0.96290191488200005</v>
      </c>
      <c r="E23128">
        <v>2.39880059970015</v>
      </c>
    </row>
    <row r="23129" spans="1:5">
      <c r="A23129" t="s">
        <v>26865</v>
      </c>
      <c r="B23129" t="s">
        <v>26876</v>
      </c>
      <c r="C23129">
        <f>0</f>
        <v>0</v>
      </c>
      <c r="D23129">
        <v>0.96290191488200005</v>
      </c>
      <c r="E23129">
        <v>2.39880059970015</v>
      </c>
    </row>
    <row r="23130" spans="1:5">
      <c r="A23130" t="s">
        <v>26865</v>
      </c>
      <c r="B23130" t="s">
        <v>26877</v>
      </c>
      <c r="C23130">
        <f>0</f>
        <v>0</v>
      </c>
      <c r="D23130">
        <v>0.96290191488200005</v>
      </c>
      <c r="E23130">
        <v>2.39880059970015</v>
      </c>
    </row>
    <row r="23131" spans="1:5">
      <c r="A23131" t="s">
        <v>26865</v>
      </c>
      <c r="B23131" t="s">
        <v>26878</v>
      </c>
      <c r="C23131">
        <f>0.00649974344567</f>
        <v>6.4997434456699997E-3</v>
      </c>
      <c r="D23131">
        <v>0.96290191488200005</v>
      </c>
      <c r="E23131">
        <v>2.39880059970015</v>
      </c>
    </row>
    <row r="23132" spans="1:5">
      <c r="A23132" t="s">
        <v>26865</v>
      </c>
      <c r="B23132" t="s">
        <v>26879</v>
      </c>
      <c r="C23132">
        <f>0</f>
        <v>0</v>
      </c>
      <c r="D23132">
        <v>0.96290191488200005</v>
      </c>
      <c r="E23132">
        <v>2.39880059970015</v>
      </c>
    </row>
    <row r="23133" spans="1:5">
      <c r="A23133" t="s">
        <v>26865</v>
      </c>
      <c r="B23133" t="s">
        <v>26880</v>
      </c>
      <c r="C23133">
        <f>0</f>
        <v>0</v>
      </c>
      <c r="D23133">
        <v>0.96290191488200005</v>
      </c>
      <c r="E23133">
        <v>2.39880059970015</v>
      </c>
    </row>
    <row r="23134" spans="1:5">
      <c r="A23134" t="s">
        <v>26865</v>
      </c>
      <c r="B23134" t="s">
        <v>26881</v>
      </c>
      <c r="C23134">
        <f>0</f>
        <v>0</v>
      </c>
      <c r="D23134">
        <v>0.96290191488200005</v>
      </c>
      <c r="E23134">
        <v>2.39880059970015</v>
      </c>
    </row>
    <row r="23135" spans="1:5">
      <c r="A23135" t="s">
        <v>26865</v>
      </c>
      <c r="B23135" t="s">
        <v>26882</v>
      </c>
      <c r="C23135">
        <f>0</f>
        <v>0</v>
      </c>
      <c r="D23135">
        <v>0.96290191488200005</v>
      </c>
      <c r="E23135">
        <v>2.39880059970015</v>
      </c>
    </row>
    <row r="23136" spans="1:5">
      <c r="A23136" t="s">
        <v>26865</v>
      </c>
      <c r="B23136" t="s">
        <v>26883</v>
      </c>
      <c r="C23136">
        <f>0</f>
        <v>0</v>
      </c>
      <c r="D23136">
        <v>0.96290191488200005</v>
      </c>
      <c r="E23136">
        <v>2.39880059970015</v>
      </c>
    </row>
    <row r="23137" spans="1:5">
      <c r="A23137" t="s">
        <v>26865</v>
      </c>
      <c r="B23137" t="s">
        <v>26884</v>
      </c>
      <c r="C23137">
        <f>0</f>
        <v>0</v>
      </c>
      <c r="D23137">
        <v>0.96290191488200005</v>
      </c>
      <c r="E23137">
        <v>2.39880059970015</v>
      </c>
    </row>
    <row r="23138" spans="1:5">
      <c r="A23138" t="s">
        <v>26865</v>
      </c>
      <c r="B23138" t="s">
        <v>26885</v>
      </c>
      <c r="C23138">
        <f>0</f>
        <v>0</v>
      </c>
      <c r="D23138">
        <v>0.96290191488200005</v>
      </c>
      <c r="E23138">
        <v>2.39880059970015</v>
      </c>
    </row>
    <row r="23139" spans="1:5">
      <c r="A23139" t="s">
        <v>26886</v>
      </c>
      <c r="B23139" t="s">
        <v>26887</v>
      </c>
      <c r="C23139">
        <v>0</v>
      </c>
      <c r="D23139">
        <v>0.97179208249100002</v>
      </c>
      <c r="E23139">
        <v>24</v>
      </c>
    </row>
    <row r="23140" spans="1:5">
      <c r="A23140" t="s">
        <v>26886</v>
      </c>
      <c r="B23140" t="s">
        <v>26888</v>
      </c>
      <c r="C23140">
        <v>0</v>
      </c>
      <c r="D23140">
        <v>0.97179208249100002</v>
      </c>
      <c r="E23140">
        <v>24</v>
      </c>
    </row>
    <row r="23141" spans="1:5">
      <c r="A23141" t="s">
        <v>26886</v>
      </c>
      <c r="B23141" t="s">
        <v>26889</v>
      </c>
      <c r="C23141">
        <v>0</v>
      </c>
      <c r="D23141">
        <v>0.97179208249100002</v>
      </c>
      <c r="E23141">
        <v>24</v>
      </c>
    </row>
    <row r="23142" spans="1:5">
      <c r="A23142" t="s">
        <v>26886</v>
      </c>
      <c r="B23142" t="s">
        <v>26890</v>
      </c>
      <c r="C23142">
        <f>0.132369311101</f>
        <v>0.132369311101</v>
      </c>
      <c r="D23142">
        <v>0.97179208249100002</v>
      </c>
      <c r="E23142">
        <v>24</v>
      </c>
    </row>
    <row r="23143" spans="1:5">
      <c r="A23143" t="s">
        <v>26886</v>
      </c>
      <c r="B23143" t="s">
        <v>26891</v>
      </c>
      <c r="C23143">
        <f>0</f>
        <v>0</v>
      </c>
      <c r="D23143">
        <v>0.97179208249100002</v>
      </c>
      <c r="E23143">
        <v>24</v>
      </c>
    </row>
    <row r="23144" spans="1:5">
      <c r="A23144" t="s">
        <v>26886</v>
      </c>
      <c r="B23144" t="s">
        <v>26892</v>
      </c>
      <c r="C23144">
        <f>0.0127180201075</f>
        <v>1.27180201075E-2</v>
      </c>
      <c r="D23144">
        <v>0.97179208249100002</v>
      </c>
      <c r="E23144">
        <v>24</v>
      </c>
    </row>
    <row r="23145" spans="1:5">
      <c r="A23145" t="s">
        <v>26893</v>
      </c>
      <c r="B23145" t="s">
        <v>26894</v>
      </c>
      <c r="C23145">
        <f>0</f>
        <v>0</v>
      </c>
      <c r="D23145">
        <v>0.98232793075900005</v>
      </c>
      <c r="E23145">
        <v>9.0194902548725597</v>
      </c>
    </row>
    <row r="23146" spans="1:5">
      <c r="A23146" t="s">
        <v>26893</v>
      </c>
      <c r="B23146" t="s">
        <v>26895</v>
      </c>
      <c r="C23146">
        <v>0.17877578831499999</v>
      </c>
      <c r="D23146">
        <v>0.98232793075900005</v>
      </c>
      <c r="E23146">
        <v>9.0194902548725597</v>
      </c>
    </row>
    <row r="23147" spans="1:5">
      <c r="A23147" t="s">
        <v>26893</v>
      </c>
      <c r="B23147" t="s">
        <v>26896</v>
      </c>
      <c r="C23147">
        <v>0</v>
      </c>
      <c r="D23147">
        <v>0.98232793075900005</v>
      </c>
      <c r="E23147">
        <v>9.0194902548725597</v>
      </c>
    </row>
    <row r="23148" spans="1:5">
      <c r="A23148" t="s">
        <v>26893</v>
      </c>
      <c r="B23148" t="s">
        <v>26897</v>
      </c>
      <c r="C23148">
        <v>0</v>
      </c>
      <c r="D23148">
        <v>0.98232793075900005</v>
      </c>
      <c r="E23148">
        <v>9.0194902548725597</v>
      </c>
    </row>
    <row r="23149" spans="1:5">
      <c r="A23149" t="s">
        <v>26893</v>
      </c>
      <c r="B23149" t="s">
        <v>26898</v>
      </c>
      <c r="C23149">
        <v>0</v>
      </c>
      <c r="D23149">
        <v>0.98232793075900005</v>
      </c>
      <c r="E23149">
        <v>9.0194902548725597</v>
      </c>
    </row>
    <row r="23150" spans="1:5">
      <c r="A23150" t="s">
        <v>26893</v>
      </c>
      <c r="B23150" t="s">
        <v>26899</v>
      </c>
      <c r="C23150">
        <f>0</f>
        <v>0</v>
      </c>
      <c r="D23150">
        <v>0.98232793075900005</v>
      </c>
      <c r="E23150">
        <v>9.0194902548725597</v>
      </c>
    </row>
    <row r="23151" spans="1:5">
      <c r="A23151" t="s">
        <v>26893</v>
      </c>
      <c r="B23151" t="s">
        <v>26900</v>
      </c>
      <c r="C23151">
        <v>0</v>
      </c>
      <c r="D23151">
        <v>0.98232793075900005</v>
      </c>
      <c r="E23151">
        <v>9.0194902548725597</v>
      </c>
    </row>
    <row r="23152" spans="1:5">
      <c r="A23152" t="s">
        <v>26893</v>
      </c>
      <c r="B23152" t="s">
        <v>26901</v>
      </c>
      <c r="C23152">
        <v>0</v>
      </c>
      <c r="D23152">
        <v>0.98232793075900005</v>
      </c>
      <c r="E23152">
        <v>9.0194902548725597</v>
      </c>
    </row>
    <row r="23153" spans="1:5">
      <c r="A23153" t="s">
        <v>26893</v>
      </c>
      <c r="B23153" t="s">
        <v>26902</v>
      </c>
      <c r="C23153">
        <v>0.17422854226100001</v>
      </c>
      <c r="D23153">
        <v>0.98232793075900005</v>
      </c>
      <c r="E23153">
        <v>9.0194902548725597</v>
      </c>
    </row>
    <row r="23154" spans="1:5">
      <c r="A23154" t="s">
        <v>26893</v>
      </c>
      <c r="B23154" t="s">
        <v>26903</v>
      </c>
      <c r="C23154">
        <v>0</v>
      </c>
      <c r="D23154">
        <v>0.98232793075900005</v>
      </c>
      <c r="E23154">
        <v>9.0194902548725597</v>
      </c>
    </row>
    <row r="23155" spans="1:5">
      <c r="A23155" t="s">
        <v>26893</v>
      </c>
      <c r="B23155" t="s">
        <v>26904</v>
      </c>
      <c r="C23155">
        <v>0</v>
      </c>
      <c r="D23155">
        <v>0.98232793075900005</v>
      </c>
      <c r="E23155">
        <v>9.0194902548725597</v>
      </c>
    </row>
    <row r="23156" spans="1:5">
      <c r="A23156" t="s">
        <v>26893</v>
      </c>
      <c r="B23156" t="s">
        <v>26905</v>
      </c>
      <c r="C23156">
        <v>0</v>
      </c>
      <c r="D23156">
        <v>0.98232793075900005</v>
      </c>
      <c r="E23156">
        <v>9.0194902548725597</v>
      </c>
    </row>
    <row r="23157" spans="1:5">
      <c r="A23157" t="s">
        <v>26893</v>
      </c>
      <c r="B23157" t="s">
        <v>26906</v>
      </c>
      <c r="C23157">
        <v>0</v>
      </c>
      <c r="D23157">
        <v>0.98232793075900005</v>
      </c>
      <c r="E23157">
        <v>9.0194902548725597</v>
      </c>
    </row>
    <row r="23158" spans="1:5">
      <c r="A23158" t="s">
        <v>26893</v>
      </c>
      <c r="B23158" t="s">
        <v>26907</v>
      </c>
      <c r="C23158">
        <v>0</v>
      </c>
      <c r="D23158">
        <v>0.98232793075900005</v>
      </c>
      <c r="E23158">
        <v>9.0194902548725597</v>
      </c>
    </row>
    <row r="23159" spans="1:5">
      <c r="A23159" t="s">
        <v>26893</v>
      </c>
      <c r="B23159" t="s">
        <v>26908</v>
      </c>
      <c r="C23159">
        <v>0</v>
      </c>
      <c r="D23159">
        <v>0.98232793075900005</v>
      </c>
      <c r="E23159">
        <v>9.0194902548725597</v>
      </c>
    </row>
    <row r="23160" spans="1:5">
      <c r="A23160" t="s">
        <v>26893</v>
      </c>
      <c r="B23160" t="s">
        <v>26909</v>
      </c>
      <c r="C23160">
        <v>0</v>
      </c>
      <c r="D23160">
        <v>0.98232793075900005</v>
      </c>
      <c r="E23160">
        <v>9.0194902548725597</v>
      </c>
    </row>
    <row r="23161" spans="1:5">
      <c r="A23161" t="s">
        <v>26910</v>
      </c>
      <c r="B23161" t="s">
        <v>26911</v>
      </c>
      <c r="C23161">
        <v>0.139859929667</v>
      </c>
      <c r="D23161">
        <v>0.98477999746599998</v>
      </c>
      <c r="E23161">
        <v>13.2653673163418</v>
      </c>
    </row>
    <row r="23162" spans="1:5">
      <c r="A23162" t="s">
        <v>26910</v>
      </c>
      <c r="B23162" t="s">
        <v>26912</v>
      </c>
      <c r="C23162">
        <v>0</v>
      </c>
      <c r="D23162">
        <v>0.98477999746599998</v>
      </c>
      <c r="E23162">
        <v>13.2653673163418</v>
      </c>
    </row>
    <row r="23163" spans="1:5">
      <c r="A23163" t="s">
        <v>26910</v>
      </c>
      <c r="B23163" t="s">
        <v>26913</v>
      </c>
      <c r="C23163">
        <v>0</v>
      </c>
      <c r="D23163">
        <v>0.98477999746599998</v>
      </c>
      <c r="E23163">
        <v>13.2653673163418</v>
      </c>
    </row>
    <row r="23164" spans="1:5">
      <c r="A23164" t="s">
        <v>26910</v>
      </c>
      <c r="B23164" t="s">
        <v>26914</v>
      </c>
      <c r="C23164">
        <v>0</v>
      </c>
      <c r="D23164">
        <v>0.98477999746599998</v>
      </c>
      <c r="E23164">
        <v>13.2653673163418</v>
      </c>
    </row>
    <row r="23165" spans="1:5">
      <c r="A23165" t="s">
        <v>26910</v>
      </c>
      <c r="B23165" t="s">
        <v>26915</v>
      </c>
      <c r="C23165">
        <v>0</v>
      </c>
      <c r="D23165">
        <v>0.98477999746599998</v>
      </c>
      <c r="E23165">
        <v>13.2653673163418</v>
      </c>
    </row>
    <row r="23166" spans="1:5">
      <c r="A23166" t="s">
        <v>26910</v>
      </c>
      <c r="B23166" t="s">
        <v>26916</v>
      </c>
      <c r="C23166">
        <v>0</v>
      </c>
      <c r="D23166">
        <v>0.98477999746599998</v>
      </c>
      <c r="E23166">
        <v>13.2653673163418</v>
      </c>
    </row>
    <row r="23167" spans="1:5">
      <c r="A23167" t="s">
        <v>26910</v>
      </c>
      <c r="B23167" t="s">
        <v>26917</v>
      </c>
      <c r="C23167">
        <v>0.12884000828299999</v>
      </c>
      <c r="D23167">
        <v>0.98477999746599998</v>
      </c>
      <c r="E23167">
        <v>13.2653673163418</v>
      </c>
    </row>
    <row r="23168" spans="1:5">
      <c r="A23168" t="s">
        <v>26910</v>
      </c>
      <c r="B23168" t="s">
        <v>26918</v>
      </c>
      <c r="C23168">
        <f>0</f>
        <v>0</v>
      </c>
      <c r="D23168">
        <v>0.98477999746599998</v>
      </c>
      <c r="E23168">
        <v>13.2653673163418</v>
      </c>
    </row>
    <row r="23169" spans="1:5">
      <c r="A23169" t="s">
        <v>26910</v>
      </c>
      <c r="B23169" t="s">
        <v>26919</v>
      </c>
      <c r="C23169">
        <v>0</v>
      </c>
      <c r="D23169">
        <v>0.98477999746599998</v>
      </c>
      <c r="E23169">
        <v>13.2653673163418</v>
      </c>
    </row>
    <row r="23170" spans="1:5">
      <c r="A23170" t="s">
        <v>26920</v>
      </c>
      <c r="B23170" t="s">
        <v>26921</v>
      </c>
      <c r="C23170">
        <f>0.115627198318</f>
        <v>0.115627198318</v>
      </c>
      <c r="D23170">
        <v>0.56873685613299996</v>
      </c>
      <c r="E23170">
        <v>0.82758620689655105</v>
      </c>
    </row>
    <row r="23171" spans="1:5">
      <c r="A23171" t="s">
        <v>26922</v>
      </c>
      <c r="B23171" t="s">
        <v>26923</v>
      </c>
      <c r="C23171">
        <v>0</v>
      </c>
      <c r="D23171" t="s">
        <v>106</v>
      </c>
      <c r="E23171">
        <v>1.96701649175412</v>
      </c>
    </row>
    <row r="23172" spans="1:5">
      <c r="A23172" t="s">
        <v>26924</v>
      </c>
      <c r="B23172" t="s">
        <v>26925</v>
      </c>
      <c r="C23172">
        <v>0</v>
      </c>
      <c r="D23172">
        <v>0.96355669849600001</v>
      </c>
      <c r="E23172">
        <v>3.8740629685157399</v>
      </c>
    </row>
    <row r="23173" spans="1:5">
      <c r="A23173" t="s">
        <v>26924</v>
      </c>
      <c r="B23173" t="s">
        <v>26926</v>
      </c>
      <c r="C23173">
        <v>0</v>
      </c>
      <c r="D23173">
        <v>0.96355669849600001</v>
      </c>
      <c r="E23173">
        <v>3.8740629685157399</v>
      </c>
    </row>
    <row r="23174" spans="1:5">
      <c r="A23174" t="s">
        <v>26927</v>
      </c>
      <c r="B23174" t="s">
        <v>26928</v>
      </c>
      <c r="C23174">
        <v>2.72889200808E-2</v>
      </c>
      <c r="D23174">
        <v>7.9040694785199997E-2</v>
      </c>
      <c r="E23174">
        <v>1.7631184407796101</v>
      </c>
    </row>
    <row r="23175" spans="1:5">
      <c r="A23175" t="s">
        <v>26929</v>
      </c>
      <c r="B23175" t="s">
        <v>26930</v>
      </c>
      <c r="C23175">
        <f>0</f>
        <v>0</v>
      </c>
      <c r="D23175">
        <v>0.723274287164</v>
      </c>
      <c r="E23175">
        <v>3.0464767616191901</v>
      </c>
    </row>
    <row r="23176" spans="1:5">
      <c r="A23176" t="s">
        <v>26929</v>
      </c>
      <c r="B23176" t="s">
        <v>26931</v>
      </c>
      <c r="C23176">
        <v>0.21175271305599999</v>
      </c>
      <c r="D23176">
        <v>0.723274287164</v>
      </c>
      <c r="E23176">
        <v>3.0464767616191901</v>
      </c>
    </row>
    <row r="23177" spans="1:5">
      <c r="A23177" t="s">
        <v>26932</v>
      </c>
      <c r="B23177" t="s">
        <v>26933</v>
      </c>
      <c r="C23177">
        <f>0.331540333054</f>
        <v>0.33154033305399999</v>
      </c>
      <c r="D23177">
        <v>0.98858815047500004</v>
      </c>
      <c r="E23177">
        <v>1.8230884557721101</v>
      </c>
    </row>
    <row r="23178" spans="1:5">
      <c r="A23178" t="s">
        <v>26932</v>
      </c>
      <c r="B23178" t="s">
        <v>26934</v>
      </c>
      <c r="C23178">
        <f>0</f>
        <v>0</v>
      </c>
      <c r="D23178">
        <v>0.98858815047500004</v>
      </c>
      <c r="E23178">
        <v>1.8230884557721101</v>
      </c>
    </row>
    <row r="23179" spans="1:5">
      <c r="A23179" t="s">
        <v>26935</v>
      </c>
      <c r="B23179" t="s">
        <v>26936</v>
      </c>
      <c r="C23179">
        <v>0.122182868909</v>
      </c>
      <c r="D23179">
        <v>0.86405770603900001</v>
      </c>
      <c r="E23179">
        <v>24</v>
      </c>
    </row>
    <row r="23180" spans="1:5">
      <c r="A23180" t="s">
        <v>26935</v>
      </c>
      <c r="B23180" t="s">
        <v>26937</v>
      </c>
      <c r="C23180">
        <f>0</f>
        <v>0</v>
      </c>
      <c r="D23180">
        <v>0.86405770603900001</v>
      </c>
      <c r="E23180">
        <v>24</v>
      </c>
    </row>
    <row r="23181" spans="1:5">
      <c r="A23181" t="s">
        <v>26935</v>
      </c>
      <c r="B23181" t="s">
        <v>26938</v>
      </c>
      <c r="C23181">
        <f>0</f>
        <v>0</v>
      </c>
      <c r="D23181">
        <v>0.86405770603900001</v>
      </c>
      <c r="E23181">
        <v>24</v>
      </c>
    </row>
    <row r="23182" spans="1:5">
      <c r="A23182" t="s">
        <v>26935</v>
      </c>
      <c r="B23182" t="s">
        <v>26939</v>
      </c>
      <c r="C23182">
        <f>0</f>
        <v>0</v>
      </c>
      <c r="D23182">
        <v>0.86405770603900001</v>
      </c>
      <c r="E23182">
        <v>24</v>
      </c>
    </row>
    <row r="23183" spans="1:5">
      <c r="A23183" t="s">
        <v>26935</v>
      </c>
      <c r="B23183" t="s">
        <v>26940</v>
      </c>
      <c r="C23183">
        <f>0</f>
        <v>0</v>
      </c>
      <c r="D23183">
        <v>0.86405770603900001</v>
      </c>
      <c r="E23183">
        <v>24</v>
      </c>
    </row>
    <row r="23184" spans="1:5">
      <c r="A23184" t="s">
        <v>26935</v>
      </c>
      <c r="B23184" t="s">
        <v>26941</v>
      </c>
      <c r="C23184">
        <f>0</f>
        <v>0</v>
      </c>
      <c r="D23184">
        <v>0.86405770603900001</v>
      </c>
      <c r="E23184">
        <v>24</v>
      </c>
    </row>
    <row r="23185" spans="1:5">
      <c r="A23185" t="s">
        <v>26935</v>
      </c>
      <c r="B23185" t="s">
        <v>26942</v>
      </c>
      <c r="C23185">
        <f>0.0161317801402</f>
        <v>1.6131780140199999E-2</v>
      </c>
      <c r="D23185">
        <v>0.86405770603900001</v>
      </c>
      <c r="E23185">
        <v>24</v>
      </c>
    </row>
    <row r="23186" spans="1:5">
      <c r="A23186" t="s">
        <v>26935</v>
      </c>
      <c r="B23186" t="s">
        <v>26943</v>
      </c>
      <c r="C23186">
        <f>0</f>
        <v>0</v>
      </c>
      <c r="D23186">
        <v>0.86405770603900001</v>
      </c>
      <c r="E23186">
        <v>24</v>
      </c>
    </row>
    <row r="23187" spans="1:5">
      <c r="A23187" t="s">
        <v>26935</v>
      </c>
      <c r="B23187" t="s">
        <v>26944</v>
      </c>
      <c r="C23187">
        <f>0</f>
        <v>0</v>
      </c>
      <c r="D23187">
        <v>0.86405770603900001</v>
      </c>
      <c r="E23187">
        <v>24</v>
      </c>
    </row>
    <row r="23188" spans="1:5">
      <c r="A23188" t="s">
        <v>26935</v>
      </c>
      <c r="B23188" t="s">
        <v>26945</v>
      </c>
      <c r="C23188">
        <v>0</v>
      </c>
      <c r="D23188">
        <v>0.86405770603900001</v>
      </c>
      <c r="E23188">
        <v>24</v>
      </c>
    </row>
    <row r="23189" spans="1:5">
      <c r="A23189" t="s">
        <v>26935</v>
      </c>
      <c r="B23189" t="s">
        <v>26946</v>
      </c>
      <c r="C23189">
        <f>0</f>
        <v>0</v>
      </c>
      <c r="D23189">
        <v>0.86405770603900001</v>
      </c>
      <c r="E23189">
        <v>24</v>
      </c>
    </row>
    <row r="23190" spans="1:5">
      <c r="A23190" t="s">
        <v>26935</v>
      </c>
      <c r="B23190" t="s">
        <v>26947</v>
      </c>
      <c r="C23190">
        <f>0</f>
        <v>0</v>
      </c>
      <c r="D23190">
        <v>0.86405770603900001</v>
      </c>
      <c r="E23190">
        <v>24</v>
      </c>
    </row>
    <row r="23191" spans="1:5">
      <c r="A23191" t="s">
        <v>26935</v>
      </c>
      <c r="B23191" t="s">
        <v>26948</v>
      </c>
      <c r="C23191">
        <f>0</f>
        <v>0</v>
      </c>
      <c r="D23191">
        <v>0.86405770603900001</v>
      </c>
      <c r="E23191">
        <v>24</v>
      </c>
    </row>
    <row r="23192" spans="1:5">
      <c r="A23192" t="s">
        <v>26935</v>
      </c>
      <c r="B23192" t="s">
        <v>26949</v>
      </c>
      <c r="C23192">
        <f>0</f>
        <v>0</v>
      </c>
      <c r="D23192">
        <v>0.86405770603900001</v>
      </c>
      <c r="E23192">
        <v>24</v>
      </c>
    </row>
    <row r="23193" spans="1:5">
      <c r="A23193" t="s">
        <v>26935</v>
      </c>
      <c r="B23193" t="s">
        <v>26950</v>
      </c>
      <c r="C23193">
        <f>0</f>
        <v>0</v>
      </c>
      <c r="D23193">
        <v>0.86405770603900001</v>
      </c>
      <c r="E23193">
        <v>24</v>
      </c>
    </row>
    <row r="23194" spans="1:5">
      <c r="A23194" t="s">
        <v>26935</v>
      </c>
      <c r="B23194" t="s">
        <v>26951</v>
      </c>
      <c r="C23194">
        <f>0</f>
        <v>0</v>
      </c>
      <c r="D23194">
        <v>0.86405770603900001</v>
      </c>
      <c r="E23194">
        <v>24</v>
      </c>
    </row>
    <row r="23195" spans="1:5">
      <c r="A23195" t="s">
        <v>26952</v>
      </c>
      <c r="B23195" t="s">
        <v>26953</v>
      </c>
      <c r="C23195">
        <v>0.26748416888299997</v>
      </c>
      <c r="D23195">
        <v>0.67444292422800001</v>
      </c>
      <c r="E23195">
        <v>3.3103448275862002</v>
      </c>
    </row>
    <row r="23196" spans="1:5">
      <c r="A23196" t="s">
        <v>26952</v>
      </c>
      <c r="B23196" t="s">
        <v>26954</v>
      </c>
      <c r="C23196">
        <v>0</v>
      </c>
      <c r="D23196">
        <v>0.67444292422800001</v>
      </c>
      <c r="E23196">
        <v>3.3103448275862002</v>
      </c>
    </row>
    <row r="23197" spans="1:5">
      <c r="A23197" t="s">
        <v>26952</v>
      </c>
      <c r="B23197" t="s">
        <v>26955</v>
      </c>
      <c r="C23197">
        <v>0</v>
      </c>
      <c r="D23197">
        <v>0.67444292422800001</v>
      </c>
      <c r="E23197">
        <v>3.3103448275862002</v>
      </c>
    </row>
    <row r="23198" spans="1:5">
      <c r="A23198" t="s">
        <v>26952</v>
      </c>
      <c r="B23198" t="s">
        <v>26956</v>
      </c>
      <c r="C23198">
        <v>0</v>
      </c>
      <c r="D23198">
        <v>0.67444292422800001</v>
      </c>
      <c r="E23198">
        <v>3.3103448275862002</v>
      </c>
    </row>
    <row r="23199" spans="1:5">
      <c r="A23199" t="s">
        <v>26952</v>
      </c>
      <c r="B23199" t="s">
        <v>26957</v>
      </c>
      <c r="C23199">
        <f>0</f>
        <v>0</v>
      </c>
      <c r="D23199">
        <v>0.67444292422800001</v>
      </c>
      <c r="E23199">
        <v>3.3103448275862002</v>
      </c>
    </row>
    <row r="23200" spans="1:5">
      <c r="A23200" t="s">
        <v>26958</v>
      </c>
      <c r="B23200" t="s">
        <v>26959</v>
      </c>
      <c r="C23200">
        <f>0</f>
        <v>0</v>
      </c>
      <c r="D23200">
        <v>0.97346938810200001</v>
      </c>
      <c r="E23200">
        <v>4.58170914542728</v>
      </c>
    </row>
    <row r="23201" spans="1:5">
      <c r="A23201" t="s">
        <v>26958</v>
      </c>
      <c r="B23201" t="s">
        <v>26960</v>
      </c>
      <c r="C23201">
        <f>0</f>
        <v>0</v>
      </c>
      <c r="D23201">
        <v>0.97346938810200001</v>
      </c>
      <c r="E23201">
        <v>4.58170914542728</v>
      </c>
    </row>
    <row r="23202" spans="1:5">
      <c r="A23202" t="s">
        <v>26958</v>
      </c>
      <c r="B23202" t="s">
        <v>26961</v>
      </c>
      <c r="C23202">
        <f>0</f>
        <v>0</v>
      </c>
      <c r="D23202">
        <v>0.97346938810200001</v>
      </c>
      <c r="E23202">
        <v>4.58170914542728</v>
      </c>
    </row>
    <row r="23203" spans="1:5">
      <c r="A23203" t="s">
        <v>26958</v>
      </c>
      <c r="B23203" t="s">
        <v>26962</v>
      </c>
      <c r="C23203">
        <f>0.106769895218</f>
        <v>0.106769895218</v>
      </c>
      <c r="D23203">
        <v>0.97346938810200001</v>
      </c>
      <c r="E23203">
        <v>4.58170914542728</v>
      </c>
    </row>
    <row r="23204" spans="1:5">
      <c r="A23204" t="s">
        <v>26958</v>
      </c>
      <c r="B23204" t="s">
        <v>26963</v>
      </c>
      <c r="C23204">
        <v>0.10766925928399999</v>
      </c>
      <c r="D23204">
        <v>0.97346938810200001</v>
      </c>
      <c r="E23204">
        <v>4.58170914542728</v>
      </c>
    </row>
    <row r="23205" spans="1:5">
      <c r="A23205" t="s">
        <v>26958</v>
      </c>
      <c r="B23205" t="s">
        <v>26964</v>
      </c>
      <c r="C23205">
        <v>0</v>
      </c>
      <c r="D23205">
        <v>0.97346938810200001</v>
      </c>
      <c r="E23205">
        <v>4.58170914542728</v>
      </c>
    </row>
    <row r="23206" spans="1:5">
      <c r="A23206" t="s">
        <v>26965</v>
      </c>
      <c r="B23206" t="s">
        <v>26966</v>
      </c>
      <c r="C23206">
        <f>0</f>
        <v>0</v>
      </c>
      <c r="D23206" t="s">
        <v>106</v>
      </c>
      <c r="E23206">
        <v>5.5772113943028403</v>
      </c>
    </row>
    <row r="23207" spans="1:5">
      <c r="A23207" t="s">
        <v>26965</v>
      </c>
      <c r="B23207" t="s">
        <v>26967</v>
      </c>
      <c r="C23207">
        <v>0</v>
      </c>
      <c r="D23207" t="s">
        <v>106</v>
      </c>
      <c r="E23207">
        <v>5.5772113943028403</v>
      </c>
    </row>
    <row r="23208" spans="1:5">
      <c r="A23208" t="s">
        <v>26965</v>
      </c>
      <c r="B23208" t="s">
        <v>26968</v>
      </c>
      <c r="C23208">
        <v>0</v>
      </c>
      <c r="D23208" t="s">
        <v>106</v>
      </c>
      <c r="E23208">
        <v>5.5772113943028403</v>
      </c>
    </row>
    <row r="23209" spans="1:5">
      <c r="A23209" t="s">
        <v>26965</v>
      </c>
      <c r="B23209" t="s">
        <v>26969</v>
      </c>
      <c r="C23209">
        <v>0</v>
      </c>
      <c r="D23209" t="s">
        <v>106</v>
      </c>
      <c r="E23209">
        <v>5.5772113943028403</v>
      </c>
    </row>
    <row r="23210" spans="1:5">
      <c r="A23210" t="s">
        <v>26965</v>
      </c>
      <c r="B23210" t="s">
        <v>26970</v>
      </c>
      <c r="C23210">
        <v>0</v>
      </c>
      <c r="D23210" t="s">
        <v>106</v>
      </c>
      <c r="E23210">
        <v>5.5772113943028403</v>
      </c>
    </row>
    <row r="23211" spans="1:5">
      <c r="A23211" t="s">
        <v>26971</v>
      </c>
      <c r="B23211" t="s">
        <v>26972</v>
      </c>
      <c r="C23211">
        <v>0.72469901173600004</v>
      </c>
      <c r="D23211">
        <v>0.958901925273</v>
      </c>
      <c r="E23211">
        <v>0.69565217391304301</v>
      </c>
    </row>
    <row r="23212" spans="1:5">
      <c r="A23212" t="s">
        <v>26971</v>
      </c>
      <c r="B23212" t="s">
        <v>26973</v>
      </c>
      <c r="C23212">
        <v>0</v>
      </c>
      <c r="D23212">
        <v>0.958901925273</v>
      </c>
      <c r="E23212">
        <v>0.69565217391304301</v>
      </c>
    </row>
    <row r="23213" spans="1:5">
      <c r="A23213" t="s">
        <v>26971</v>
      </c>
      <c r="B23213" t="s">
        <v>26974</v>
      </c>
      <c r="C23213">
        <f>0</f>
        <v>0</v>
      </c>
      <c r="D23213">
        <v>0.958901925273</v>
      </c>
      <c r="E23213">
        <v>0.69565217391304301</v>
      </c>
    </row>
    <row r="23214" spans="1:5">
      <c r="A23214" t="s">
        <v>26971</v>
      </c>
      <c r="B23214" t="s">
        <v>26975</v>
      </c>
      <c r="C23214">
        <v>7.8591158742700007E-2</v>
      </c>
      <c r="D23214">
        <v>0.958901925273</v>
      </c>
      <c r="E23214">
        <v>0.69565217391304301</v>
      </c>
    </row>
    <row r="23215" spans="1:5">
      <c r="A23215" t="s">
        <v>26976</v>
      </c>
      <c r="B23215" t="s">
        <v>26977</v>
      </c>
      <c r="C23215">
        <v>0</v>
      </c>
      <c r="D23215" t="s">
        <v>106</v>
      </c>
      <c r="E23215">
        <v>21.409295352323799</v>
      </c>
    </row>
    <row r="23216" spans="1:5">
      <c r="A23216" t="s">
        <v>26976</v>
      </c>
      <c r="B23216" t="s">
        <v>26978</v>
      </c>
      <c r="C23216">
        <v>0</v>
      </c>
      <c r="D23216" t="s">
        <v>106</v>
      </c>
      <c r="E23216">
        <v>21.409295352323799</v>
      </c>
    </row>
    <row r="23217" spans="1:5">
      <c r="A23217" t="s">
        <v>26976</v>
      </c>
      <c r="B23217" t="s">
        <v>26979</v>
      </c>
      <c r="C23217">
        <f>0</f>
        <v>0</v>
      </c>
      <c r="D23217" t="s">
        <v>106</v>
      </c>
      <c r="E23217">
        <v>21.409295352323799</v>
      </c>
    </row>
    <row r="23218" spans="1:5">
      <c r="A23218" t="s">
        <v>26976</v>
      </c>
      <c r="B23218" t="s">
        <v>26980</v>
      </c>
      <c r="C23218">
        <v>0</v>
      </c>
      <c r="D23218" t="s">
        <v>106</v>
      </c>
      <c r="E23218">
        <v>21.409295352323799</v>
      </c>
    </row>
    <row r="23219" spans="1:5">
      <c r="A23219" t="s">
        <v>26976</v>
      </c>
      <c r="B23219" t="s">
        <v>26981</v>
      </c>
      <c r="C23219">
        <f>0</f>
        <v>0</v>
      </c>
      <c r="D23219" t="s">
        <v>106</v>
      </c>
      <c r="E23219">
        <v>21.409295352323799</v>
      </c>
    </row>
    <row r="23220" spans="1:5">
      <c r="A23220" t="s">
        <v>26976</v>
      </c>
      <c r="B23220" t="s">
        <v>26982</v>
      </c>
      <c r="C23220">
        <f>0</f>
        <v>0</v>
      </c>
      <c r="D23220" t="s">
        <v>106</v>
      </c>
      <c r="E23220">
        <v>21.409295352323799</v>
      </c>
    </row>
    <row r="23221" spans="1:5">
      <c r="A23221" t="s">
        <v>26976</v>
      </c>
      <c r="B23221" t="s">
        <v>26983</v>
      </c>
      <c r="C23221">
        <f>0</f>
        <v>0</v>
      </c>
      <c r="D23221" t="s">
        <v>106</v>
      </c>
      <c r="E23221">
        <v>21.409295352323799</v>
      </c>
    </row>
    <row r="23222" spans="1:5">
      <c r="A23222" t="s">
        <v>26984</v>
      </c>
      <c r="B23222" t="s">
        <v>26985</v>
      </c>
      <c r="C23222">
        <v>0</v>
      </c>
      <c r="D23222">
        <v>0.920686244406</v>
      </c>
      <c r="E23222">
        <v>0.31184407796101898</v>
      </c>
    </row>
    <row r="23223" spans="1:5">
      <c r="A23223" t="s">
        <v>26984</v>
      </c>
      <c r="B23223" t="s">
        <v>26986</v>
      </c>
      <c r="C23223">
        <f>0</f>
        <v>0</v>
      </c>
      <c r="D23223">
        <v>0.920686244406</v>
      </c>
      <c r="E23223">
        <v>0.31184407796101898</v>
      </c>
    </row>
    <row r="23224" spans="1:5">
      <c r="A23224" t="s">
        <v>26984</v>
      </c>
      <c r="B23224" t="s">
        <v>26987</v>
      </c>
      <c r="C23224">
        <v>0</v>
      </c>
      <c r="D23224">
        <v>0.920686244406</v>
      </c>
      <c r="E23224">
        <v>0.31184407796101898</v>
      </c>
    </row>
    <row r="23225" spans="1:5">
      <c r="A23225" t="s">
        <v>26984</v>
      </c>
      <c r="B23225" t="s">
        <v>26988</v>
      </c>
      <c r="C23225">
        <v>0</v>
      </c>
      <c r="D23225">
        <v>0.920686244406</v>
      </c>
      <c r="E23225">
        <v>0.31184407796101898</v>
      </c>
    </row>
    <row r="23226" spans="1:5">
      <c r="A23226" t="s">
        <v>26984</v>
      </c>
      <c r="B23226" t="s">
        <v>26989</v>
      </c>
      <c r="C23226">
        <v>0.32762311172199998</v>
      </c>
      <c r="D23226">
        <v>0.920686244406</v>
      </c>
      <c r="E23226">
        <v>0.31184407796101898</v>
      </c>
    </row>
    <row r="23227" spans="1:5">
      <c r="A23227" t="s">
        <v>26990</v>
      </c>
      <c r="B23227" t="s">
        <v>26991</v>
      </c>
      <c r="C23227">
        <v>0.21912682405</v>
      </c>
      <c r="D23227">
        <v>0.93202633538799995</v>
      </c>
      <c r="E23227">
        <v>14.3688155922038</v>
      </c>
    </row>
    <row r="23228" spans="1:5">
      <c r="A23228" t="s">
        <v>26990</v>
      </c>
      <c r="B23228" t="s">
        <v>26992</v>
      </c>
      <c r="C23228">
        <v>0</v>
      </c>
      <c r="D23228">
        <v>0.93202633538799995</v>
      </c>
      <c r="E23228">
        <v>14.3688155922038</v>
      </c>
    </row>
    <row r="23229" spans="1:5">
      <c r="A23229" t="s">
        <v>26990</v>
      </c>
      <c r="B23229" t="s">
        <v>26993</v>
      </c>
      <c r="C23229">
        <f>0</f>
        <v>0</v>
      </c>
      <c r="D23229">
        <v>0.93202633538799995</v>
      </c>
      <c r="E23229">
        <v>14.3688155922038</v>
      </c>
    </row>
    <row r="23230" spans="1:5">
      <c r="A23230" t="s">
        <v>26990</v>
      </c>
      <c r="B23230" t="s">
        <v>26994</v>
      </c>
      <c r="C23230">
        <f>0.00403933316052</f>
        <v>4.0393331605200001E-3</v>
      </c>
      <c r="D23230">
        <v>0.93202633538799995</v>
      </c>
      <c r="E23230">
        <v>14.3688155922038</v>
      </c>
    </row>
    <row r="23231" spans="1:5">
      <c r="A23231" t="s">
        <v>26990</v>
      </c>
      <c r="B23231" t="s">
        <v>26995</v>
      </c>
      <c r="C23231">
        <v>0</v>
      </c>
      <c r="D23231">
        <v>0.93202633538799995</v>
      </c>
      <c r="E23231">
        <v>14.3688155922038</v>
      </c>
    </row>
    <row r="23232" spans="1:5">
      <c r="A23232" t="s">
        <v>26996</v>
      </c>
      <c r="B23232" t="s">
        <v>26997</v>
      </c>
      <c r="C23232">
        <v>0.11466105745500001</v>
      </c>
      <c r="D23232">
        <v>0.98628240394400002</v>
      </c>
      <c r="E23232">
        <v>21.8770614692653</v>
      </c>
    </row>
    <row r="23233" spans="1:5">
      <c r="A23233" t="s">
        <v>26996</v>
      </c>
      <c r="B23233" t="s">
        <v>26998</v>
      </c>
      <c r="C23233">
        <f>0</f>
        <v>0</v>
      </c>
      <c r="D23233">
        <v>0.98628240394400002</v>
      </c>
      <c r="E23233">
        <v>21.8770614692653</v>
      </c>
    </row>
    <row r="23234" spans="1:5">
      <c r="A23234" t="s">
        <v>26996</v>
      </c>
      <c r="B23234" t="s">
        <v>26999</v>
      </c>
      <c r="C23234">
        <v>0</v>
      </c>
      <c r="D23234">
        <v>0.98628240394400002</v>
      </c>
      <c r="E23234">
        <v>21.8770614692653</v>
      </c>
    </row>
    <row r="23235" spans="1:5">
      <c r="A23235" t="s">
        <v>26996</v>
      </c>
      <c r="B23235" t="s">
        <v>27000</v>
      </c>
      <c r="C23235">
        <v>5.8481438996499997E-2</v>
      </c>
      <c r="D23235">
        <v>0.98628240394400002</v>
      </c>
      <c r="E23235">
        <v>21.8770614692653</v>
      </c>
    </row>
    <row r="23236" spans="1:5">
      <c r="A23236" t="s">
        <v>27001</v>
      </c>
      <c r="B23236" t="s">
        <v>27002</v>
      </c>
      <c r="C23236">
        <f>0.692937239434</f>
        <v>0.69293723943399999</v>
      </c>
      <c r="D23236">
        <v>0.78428593600700003</v>
      </c>
      <c r="E23236">
        <v>7.0644677661169402</v>
      </c>
    </row>
    <row r="23237" spans="1:5">
      <c r="A23237" t="s">
        <v>27003</v>
      </c>
      <c r="B23237" t="s">
        <v>27004</v>
      </c>
      <c r="C23237">
        <v>0</v>
      </c>
      <c r="D23237">
        <v>0.95126919442900004</v>
      </c>
      <c r="E23237">
        <v>6.8005997001499203</v>
      </c>
    </row>
    <row r="23238" spans="1:5">
      <c r="A23238" t="s">
        <v>27003</v>
      </c>
      <c r="B23238" t="s">
        <v>27005</v>
      </c>
      <c r="C23238">
        <f>0</f>
        <v>0</v>
      </c>
      <c r="D23238">
        <v>0.95126919442900004</v>
      </c>
      <c r="E23238">
        <v>6.8005997001499203</v>
      </c>
    </row>
    <row r="23239" spans="1:5">
      <c r="A23239" t="s">
        <v>27003</v>
      </c>
      <c r="B23239" t="s">
        <v>27006</v>
      </c>
      <c r="C23239">
        <f>0</f>
        <v>0</v>
      </c>
      <c r="D23239">
        <v>0.95126919442900004</v>
      </c>
      <c r="E23239">
        <v>6.8005997001499203</v>
      </c>
    </row>
    <row r="23240" spans="1:5">
      <c r="A23240" t="s">
        <v>27003</v>
      </c>
      <c r="B23240" t="s">
        <v>27007</v>
      </c>
      <c r="C23240">
        <f>0</f>
        <v>0</v>
      </c>
      <c r="D23240">
        <v>0.95126919442900004</v>
      </c>
      <c r="E23240">
        <v>6.8005997001499203</v>
      </c>
    </row>
    <row r="23241" spans="1:5">
      <c r="A23241" t="s">
        <v>27008</v>
      </c>
      <c r="B23241" t="s">
        <v>27009</v>
      </c>
      <c r="C23241">
        <f>0</f>
        <v>0</v>
      </c>
      <c r="D23241">
        <v>0.28499415077899998</v>
      </c>
      <c r="E23241">
        <v>24</v>
      </c>
    </row>
    <row r="23242" spans="1:5">
      <c r="A23242" t="s">
        <v>27008</v>
      </c>
      <c r="B23242" t="s">
        <v>27010</v>
      </c>
      <c r="C23242">
        <f>0</f>
        <v>0</v>
      </c>
      <c r="D23242">
        <v>0.28499415077899998</v>
      </c>
      <c r="E23242">
        <v>24</v>
      </c>
    </row>
    <row r="23243" spans="1:5">
      <c r="A23243" t="s">
        <v>27008</v>
      </c>
      <c r="B23243" t="s">
        <v>27011</v>
      </c>
      <c r="C23243">
        <f>0</f>
        <v>0</v>
      </c>
      <c r="D23243">
        <v>0.28499415077899998</v>
      </c>
      <c r="E23243">
        <v>24</v>
      </c>
    </row>
    <row r="23244" spans="1:5">
      <c r="A23244" t="s">
        <v>27008</v>
      </c>
      <c r="B23244" t="s">
        <v>27012</v>
      </c>
      <c r="C23244">
        <f>0.111161959939</f>
        <v>0.11116195993899999</v>
      </c>
      <c r="D23244">
        <v>0.28499415077899998</v>
      </c>
      <c r="E23244">
        <v>24</v>
      </c>
    </row>
    <row r="23245" spans="1:5">
      <c r="A23245" t="s">
        <v>27008</v>
      </c>
      <c r="B23245" t="s">
        <v>27013</v>
      </c>
      <c r="C23245">
        <f>0</f>
        <v>0</v>
      </c>
      <c r="D23245">
        <v>0.28499415077899998</v>
      </c>
      <c r="E23245">
        <v>24</v>
      </c>
    </row>
    <row r="23246" spans="1:5">
      <c r="A23246" t="s">
        <v>27008</v>
      </c>
      <c r="B23246" t="s">
        <v>27014</v>
      </c>
      <c r="C23246">
        <v>0</v>
      </c>
      <c r="D23246">
        <v>0.28499415077899998</v>
      </c>
      <c r="E23246">
        <v>24</v>
      </c>
    </row>
    <row r="23247" spans="1:5">
      <c r="A23247" t="s">
        <v>27015</v>
      </c>
      <c r="B23247" t="s">
        <v>27016</v>
      </c>
      <c r="C23247">
        <f>0</f>
        <v>0</v>
      </c>
      <c r="D23247">
        <v>0.96199495331100005</v>
      </c>
      <c r="E23247">
        <v>10.710644677661101</v>
      </c>
    </row>
    <row r="23248" spans="1:5">
      <c r="A23248" t="s">
        <v>27015</v>
      </c>
      <c r="B23248" t="s">
        <v>27017</v>
      </c>
      <c r="C23248">
        <v>0.26286683786199999</v>
      </c>
      <c r="D23248">
        <v>0.96199495331100005</v>
      </c>
      <c r="E23248">
        <v>10.710644677661101</v>
      </c>
    </row>
    <row r="23249" spans="1:5">
      <c r="A23249" t="s">
        <v>27015</v>
      </c>
      <c r="B23249" t="s">
        <v>27018</v>
      </c>
      <c r="C23249">
        <v>0.29625100939100002</v>
      </c>
      <c r="D23249">
        <v>0.96199495331100005</v>
      </c>
      <c r="E23249">
        <v>10.710644677661101</v>
      </c>
    </row>
    <row r="23250" spans="1:5">
      <c r="A23250" t="s">
        <v>27015</v>
      </c>
      <c r="B23250" t="s">
        <v>27019</v>
      </c>
      <c r="C23250">
        <f>0</f>
        <v>0</v>
      </c>
      <c r="D23250">
        <v>0.96199495331100005</v>
      </c>
      <c r="E23250">
        <v>10.710644677661101</v>
      </c>
    </row>
    <row r="23251" spans="1:5">
      <c r="A23251" t="s">
        <v>27015</v>
      </c>
      <c r="B23251" t="s">
        <v>27020</v>
      </c>
      <c r="C23251">
        <f>0</f>
        <v>0</v>
      </c>
      <c r="D23251">
        <v>0.96199495331100005</v>
      </c>
      <c r="E23251">
        <v>10.710644677661101</v>
      </c>
    </row>
    <row r="23252" spans="1:5">
      <c r="A23252" t="s">
        <v>27021</v>
      </c>
      <c r="B23252" t="s">
        <v>27022</v>
      </c>
      <c r="C23252">
        <v>0</v>
      </c>
      <c r="D23252" t="s">
        <v>106</v>
      </c>
      <c r="E23252">
        <v>23.7481259370314</v>
      </c>
    </row>
    <row r="23253" spans="1:5">
      <c r="A23253" t="s">
        <v>27021</v>
      </c>
      <c r="B23253" t="s">
        <v>27023</v>
      </c>
      <c r="C23253">
        <f>0</f>
        <v>0</v>
      </c>
      <c r="D23253" t="s">
        <v>106</v>
      </c>
      <c r="E23253">
        <v>23.7481259370314</v>
      </c>
    </row>
    <row r="23254" spans="1:5">
      <c r="A23254" t="s">
        <v>27021</v>
      </c>
      <c r="B23254" t="s">
        <v>27024</v>
      </c>
      <c r="C23254">
        <v>0</v>
      </c>
      <c r="D23254" t="s">
        <v>106</v>
      </c>
      <c r="E23254">
        <v>23.7481259370314</v>
      </c>
    </row>
    <row r="23255" spans="1:5">
      <c r="A23255" t="s">
        <v>27021</v>
      </c>
      <c r="B23255" t="s">
        <v>27025</v>
      </c>
      <c r="C23255">
        <v>0</v>
      </c>
      <c r="D23255" t="s">
        <v>106</v>
      </c>
      <c r="E23255">
        <v>23.7481259370314</v>
      </c>
    </row>
    <row r="23256" spans="1:5">
      <c r="A23256" t="s">
        <v>27021</v>
      </c>
      <c r="B23256" t="s">
        <v>27026</v>
      </c>
      <c r="C23256">
        <v>3.14389653797E-2</v>
      </c>
      <c r="D23256" t="s">
        <v>106</v>
      </c>
      <c r="E23256">
        <v>23.7481259370314</v>
      </c>
    </row>
    <row r="23257" spans="1:5">
      <c r="A23257" t="s">
        <v>27021</v>
      </c>
      <c r="B23257" t="s">
        <v>27027</v>
      </c>
      <c r="C23257">
        <f>0</f>
        <v>0</v>
      </c>
      <c r="D23257" t="s">
        <v>106</v>
      </c>
      <c r="E23257">
        <v>23.7481259370314</v>
      </c>
    </row>
    <row r="23258" spans="1:5">
      <c r="A23258" t="s">
        <v>27021</v>
      </c>
      <c r="B23258" t="s">
        <v>27028</v>
      </c>
      <c r="C23258">
        <v>1.2789336456800001E-2</v>
      </c>
      <c r="D23258" t="s">
        <v>106</v>
      </c>
      <c r="E23258">
        <v>23.7481259370314</v>
      </c>
    </row>
    <row r="23259" spans="1:5">
      <c r="A23259" t="s">
        <v>27021</v>
      </c>
      <c r="B23259" t="s">
        <v>27029</v>
      </c>
      <c r="C23259">
        <f>0</f>
        <v>0</v>
      </c>
      <c r="D23259" t="s">
        <v>106</v>
      </c>
      <c r="E23259">
        <v>23.7481259370314</v>
      </c>
    </row>
    <row r="23260" spans="1:5">
      <c r="A23260" t="s">
        <v>27021</v>
      </c>
      <c r="B23260" t="s">
        <v>27030</v>
      </c>
      <c r="C23260">
        <v>0</v>
      </c>
      <c r="D23260" t="s">
        <v>106</v>
      </c>
      <c r="E23260">
        <v>23.7481259370314</v>
      </c>
    </row>
    <row r="23261" spans="1:5">
      <c r="A23261" t="s">
        <v>27021</v>
      </c>
      <c r="B23261" t="s">
        <v>27031</v>
      </c>
      <c r="C23261">
        <f>0</f>
        <v>0</v>
      </c>
      <c r="D23261" t="s">
        <v>106</v>
      </c>
      <c r="E23261">
        <v>23.7481259370314</v>
      </c>
    </row>
    <row r="23262" spans="1:5">
      <c r="A23262" t="s">
        <v>27021</v>
      </c>
      <c r="B23262" t="s">
        <v>27032</v>
      </c>
      <c r="C23262">
        <v>0</v>
      </c>
      <c r="D23262" t="s">
        <v>106</v>
      </c>
      <c r="E23262">
        <v>23.7481259370314</v>
      </c>
    </row>
    <row r="23263" spans="1:5">
      <c r="A23263" t="s">
        <v>27021</v>
      </c>
      <c r="B23263" t="s">
        <v>27033</v>
      </c>
      <c r="C23263">
        <v>0</v>
      </c>
      <c r="D23263" t="s">
        <v>106</v>
      </c>
      <c r="E23263">
        <v>23.7481259370314</v>
      </c>
    </row>
    <row r="23264" spans="1:5">
      <c r="A23264" t="s">
        <v>27034</v>
      </c>
      <c r="B23264" t="s">
        <v>27035</v>
      </c>
      <c r="C23264">
        <v>0.18483051814500001</v>
      </c>
      <c r="D23264">
        <v>0.65375002141299998</v>
      </c>
      <c r="E23264">
        <v>0.26386806596701601</v>
      </c>
    </row>
    <row r="23265" spans="1:5">
      <c r="A23265" t="s">
        <v>27036</v>
      </c>
      <c r="B23265" t="s">
        <v>27037</v>
      </c>
      <c r="C23265">
        <v>0</v>
      </c>
      <c r="D23265">
        <v>0.84779990908900005</v>
      </c>
      <c r="E23265">
        <v>6.0569715142428704</v>
      </c>
    </row>
    <row r="23266" spans="1:5">
      <c r="A23266" t="s">
        <v>27036</v>
      </c>
      <c r="B23266" t="s">
        <v>27038</v>
      </c>
      <c r="C23266">
        <v>0</v>
      </c>
      <c r="D23266">
        <v>0.84779990908900005</v>
      </c>
      <c r="E23266">
        <v>6.0569715142428704</v>
      </c>
    </row>
    <row r="23267" spans="1:5">
      <c r="A23267" t="s">
        <v>27036</v>
      </c>
      <c r="B23267" t="s">
        <v>27039</v>
      </c>
      <c r="C23267">
        <v>0</v>
      </c>
      <c r="D23267">
        <v>0.84779990908900005</v>
      </c>
      <c r="E23267">
        <v>6.0569715142428704</v>
      </c>
    </row>
    <row r="23268" spans="1:5">
      <c r="A23268" t="s">
        <v>27036</v>
      </c>
      <c r="B23268" t="s">
        <v>27040</v>
      </c>
      <c r="C23268">
        <f>0</f>
        <v>0</v>
      </c>
      <c r="D23268">
        <v>0.84779990908900005</v>
      </c>
      <c r="E23268">
        <v>6.0569715142428704</v>
      </c>
    </row>
    <row r="23269" spans="1:5">
      <c r="A23269" t="s">
        <v>27036</v>
      </c>
      <c r="B23269" t="s">
        <v>27041</v>
      </c>
      <c r="C23269">
        <v>0</v>
      </c>
      <c r="D23269">
        <v>0.84779990908900005</v>
      </c>
      <c r="E23269">
        <v>6.0569715142428704</v>
      </c>
    </row>
    <row r="23270" spans="1:5">
      <c r="A23270" t="s">
        <v>27036</v>
      </c>
      <c r="B23270" t="s">
        <v>27042</v>
      </c>
      <c r="C23270">
        <v>0</v>
      </c>
      <c r="D23270">
        <v>0.84779990908900005</v>
      </c>
      <c r="E23270">
        <v>6.0569715142428704</v>
      </c>
    </row>
    <row r="23271" spans="1:5">
      <c r="A23271" t="s">
        <v>27036</v>
      </c>
      <c r="B23271" t="s">
        <v>27043</v>
      </c>
      <c r="C23271">
        <v>0</v>
      </c>
      <c r="D23271">
        <v>0.84779990908900005</v>
      </c>
      <c r="E23271">
        <v>6.0569715142428704</v>
      </c>
    </row>
    <row r="23272" spans="1:5">
      <c r="A23272" t="s">
        <v>27044</v>
      </c>
      <c r="B23272" t="s">
        <v>27045</v>
      </c>
      <c r="C23272">
        <v>0</v>
      </c>
      <c r="D23272" t="s">
        <v>106</v>
      </c>
      <c r="E23272">
        <v>4.3778110944527704</v>
      </c>
    </row>
    <row r="23273" spans="1:5">
      <c r="A23273" t="s">
        <v>27044</v>
      </c>
      <c r="B23273" t="s">
        <v>27046</v>
      </c>
      <c r="C23273">
        <f>0</f>
        <v>0</v>
      </c>
      <c r="D23273" t="s">
        <v>106</v>
      </c>
      <c r="E23273">
        <v>4.3778110944527704</v>
      </c>
    </row>
    <row r="23274" spans="1:5">
      <c r="A23274" t="s">
        <v>27047</v>
      </c>
      <c r="B23274" t="s">
        <v>27048</v>
      </c>
      <c r="C23274">
        <v>9.1302292513899999E-2</v>
      </c>
      <c r="D23274">
        <v>0.71789978604600002</v>
      </c>
      <c r="E23274">
        <v>20.065967016491701</v>
      </c>
    </row>
    <row r="23275" spans="1:5">
      <c r="A23275" t="s">
        <v>27047</v>
      </c>
      <c r="B23275" t="s">
        <v>27049</v>
      </c>
      <c r="C23275">
        <f>0</f>
        <v>0</v>
      </c>
      <c r="D23275">
        <v>0.71789978604600002</v>
      </c>
      <c r="E23275">
        <v>20.065967016491701</v>
      </c>
    </row>
    <row r="23276" spans="1:5">
      <c r="A23276" t="s">
        <v>27047</v>
      </c>
      <c r="B23276" t="s">
        <v>27050</v>
      </c>
      <c r="C23276">
        <f>0</f>
        <v>0</v>
      </c>
      <c r="D23276">
        <v>0.71789978604600002</v>
      </c>
      <c r="E23276">
        <v>20.065967016491701</v>
      </c>
    </row>
    <row r="23277" spans="1:5">
      <c r="A23277" t="s">
        <v>27047</v>
      </c>
      <c r="B23277" t="s">
        <v>27051</v>
      </c>
      <c r="C23277">
        <f>0</f>
        <v>0</v>
      </c>
      <c r="D23277">
        <v>0.71789978604600002</v>
      </c>
      <c r="E23277">
        <v>20.065967016491701</v>
      </c>
    </row>
    <row r="23278" spans="1:5">
      <c r="A23278" t="s">
        <v>27047</v>
      </c>
      <c r="B23278" t="s">
        <v>27052</v>
      </c>
      <c r="C23278">
        <f>0</f>
        <v>0</v>
      </c>
      <c r="D23278">
        <v>0.71789978604600002</v>
      </c>
      <c r="E23278">
        <v>20.065967016491701</v>
      </c>
    </row>
    <row r="23279" spans="1:5">
      <c r="A23279" t="s">
        <v>27047</v>
      </c>
      <c r="B23279" t="s">
        <v>27053</v>
      </c>
      <c r="C23279">
        <v>0</v>
      </c>
      <c r="D23279">
        <v>0.71789978604600002</v>
      </c>
      <c r="E23279">
        <v>20.065967016491701</v>
      </c>
    </row>
    <row r="23280" spans="1:5">
      <c r="A23280" t="s">
        <v>27047</v>
      </c>
      <c r="B23280" t="s">
        <v>27054</v>
      </c>
      <c r="C23280">
        <f>0</f>
        <v>0</v>
      </c>
      <c r="D23280">
        <v>0.71789978604600002</v>
      </c>
      <c r="E23280">
        <v>20.065967016491701</v>
      </c>
    </row>
    <row r="23281" spans="1:5">
      <c r="A23281" t="s">
        <v>27047</v>
      </c>
      <c r="B23281" t="s">
        <v>27055</v>
      </c>
      <c r="C23281">
        <f>0</f>
        <v>0</v>
      </c>
      <c r="D23281">
        <v>0.71789978604600002</v>
      </c>
      <c r="E23281">
        <v>20.065967016491701</v>
      </c>
    </row>
    <row r="23282" spans="1:5">
      <c r="A23282" t="s">
        <v>27047</v>
      </c>
      <c r="B23282" t="s">
        <v>27056</v>
      </c>
      <c r="C23282">
        <f>0.0690962158599</f>
        <v>6.9096215859900001E-2</v>
      </c>
      <c r="D23282">
        <v>0.71789978604600002</v>
      </c>
      <c r="E23282">
        <v>20.065967016491701</v>
      </c>
    </row>
    <row r="23283" spans="1:5">
      <c r="A23283" t="s">
        <v>27047</v>
      </c>
      <c r="B23283" t="s">
        <v>27057</v>
      </c>
      <c r="C23283">
        <f>0</f>
        <v>0</v>
      </c>
      <c r="D23283">
        <v>0.71789978604600002</v>
      </c>
      <c r="E23283">
        <v>20.065967016491701</v>
      </c>
    </row>
    <row r="23284" spans="1:5">
      <c r="A23284" t="s">
        <v>27047</v>
      </c>
      <c r="B23284" t="s">
        <v>27058</v>
      </c>
      <c r="C23284">
        <f>0</f>
        <v>0</v>
      </c>
      <c r="D23284">
        <v>0.71789978604600002</v>
      </c>
      <c r="E23284">
        <v>20.065967016491701</v>
      </c>
    </row>
    <row r="23285" spans="1:5">
      <c r="A23285" t="s">
        <v>27047</v>
      </c>
      <c r="B23285" t="s">
        <v>27059</v>
      </c>
      <c r="C23285">
        <v>0</v>
      </c>
      <c r="D23285">
        <v>0.71789978604600002</v>
      </c>
      <c r="E23285">
        <v>20.065967016491701</v>
      </c>
    </row>
    <row r="23286" spans="1:5">
      <c r="A23286" t="s">
        <v>27060</v>
      </c>
      <c r="B23286" t="s">
        <v>27061</v>
      </c>
      <c r="C23286">
        <v>0</v>
      </c>
      <c r="D23286" t="s">
        <v>106</v>
      </c>
      <c r="E23286">
        <v>4.3778110944527704</v>
      </c>
    </row>
    <row r="23287" spans="1:5">
      <c r="A23287" t="s">
        <v>27060</v>
      </c>
      <c r="B23287" t="s">
        <v>27062</v>
      </c>
      <c r="C23287">
        <v>0</v>
      </c>
      <c r="D23287" t="s">
        <v>106</v>
      </c>
      <c r="E23287">
        <v>4.3778110944527704</v>
      </c>
    </row>
    <row r="23288" spans="1:5">
      <c r="A23288" t="s">
        <v>27060</v>
      </c>
      <c r="B23288" t="s">
        <v>27063</v>
      </c>
      <c r="C23288">
        <v>0</v>
      </c>
      <c r="D23288" t="s">
        <v>106</v>
      </c>
      <c r="E23288">
        <v>4.3778110944527704</v>
      </c>
    </row>
    <row r="23289" spans="1:5">
      <c r="A23289" t="s">
        <v>27060</v>
      </c>
      <c r="B23289" t="s">
        <v>27064</v>
      </c>
      <c r="C23289">
        <v>0</v>
      </c>
      <c r="D23289" t="s">
        <v>106</v>
      </c>
      <c r="E23289">
        <v>4.3778110944527704</v>
      </c>
    </row>
    <row r="23290" spans="1:5">
      <c r="A23290" t="s">
        <v>27060</v>
      </c>
      <c r="B23290" t="s">
        <v>27065</v>
      </c>
      <c r="C23290">
        <v>0</v>
      </c>
      <c r="D23290" t="s">
        <v>106</v>
      </c>
      <c r="E23290">
        <v>4.3778110944527704</v>
      </c>
    </row>
    <row r="23291" spans="1:5">
      <c r="A23291" t="s">
        <v>27060</v>
      </c>
      <c r="B23291" t="s">
        <v>27066</v>
      </c>
      <c r="C23291">
        <v>0</v>
      </c>
      <c r="D23291" t="s">
        <v>106</v>
      </c>
      <c r="E23291">
        <v>4.3778110944527704</v>
      </c>
    </row>
    <row r="23292" spans="1:5">
      <c r="A23292" t="s">
        <v>27067</v>
      </c>
      <c r="B23292" t="s">
        <v>27068</v>
      </c>
      <c r="C23292">
        <v>0</v>
      </c>
      <c r="D23292" t="s">
        <v>106</v>
      </c>
      <c r="E23292">
        <v>15.316341829085401</v>
      </c>
    </row>
    <row r="23293" spans="1:5">
      <c r="A23293" t="s">
        <v>27067</v>
      </c>
      <c r="B23293" t="s">
        <v>27069</v>
      </c>
      <c r="C23293">
        <v>0</v>
      </c>
      <c r="D23293" t="s">
        <v>106</v>
      </c>
      <c r="E23293">
        <v>15.316341829085401</v>
      </c>
    </row>
    <row r="23294" spans="1:5">
      <c r="A23294" t="s">
        <v>27067</v>
      </c>
      <c r="B23294" t="s">
        <v>27070</v>
      </c>
      <c r="C23294">
        <f>0</f>
        <v>0</v>
      </c>
      <c r="D23294" t="s">
        <v>106</v>
      </c>
      <c r="E23294">
        <v>15.316341829085401</v>
      </c>
    </row>
    <row r="23295" spans="1:5">
      <c r="A23295" t="s">
        <v>27071</v>
      </c>
      <c r="B23295" t="s">
        <v>27072</v>
      </c>
      <c r="C23295">
        <f>0</f>
        <v>0</v>
      </c>
      <c r="D23295">
        <v>0.99145638100900002</v>
      </c>
      <c r="E23295">
        <v>18.554722638680602</v>
      </c>
    </row>
    <row r="23296" spans="1:5">
      <c r="A23296" t="s">
        <v>27071</v>
      </c>
      <c r="B23296" t="s">
        <v>27073</v>
      </c>
      <c r="C23296">
        <v>0</v>
      </c>
      <c r="D23296">
        <v>0.99145638100900002</v>
      </c>
      <c r="E23296">
        <v>18.554722638680602</v>
      </c>
    </row>
    <row r="23297" spans="1:5">
      <c r="A23297" t="s">
        <v>27071</v>
      </c>
      <c r="B23297" t="s">
        <v>27074</v>
      </c>
      <c r="C23297">
        <f>0.200046763432</f>
        <v>0.20004676343200001</v>
      </c>
      <c r="D23297">
        <v>0.99145638100900002</v>
      </c>
      <c r="E23297">
        <v>18.554722638680602</v>
      </c>
    </row>
    <row r="23298" spans="1:5">
      <c r="A23298" t="s">
        <v>27071</v>
      </c>
      <c r="B23298" t="s">
        <v>27075</v>
      </c>
      <c r="C23298">
        <f>0</f>
        <v>0</v>
      </c>
      <c r="D23298">
        <v>0.99145638100900002</v>
      </c>
      <c r="E23298">
        <v>18.554722638680602</v>
      </c>
    </row>
    <row r="23299" spans="1:5">
      <c r="A23299" t="s">
        <v>27071</v>
      </c>
      <c r="B23299" t="s">
        <v>27076</v>
      </c>
      <c r="C23299">
        <v>0</v>
      </c>
      <c r="D23299">
        <v>0.99145638100900002</v>
      </c>
      <c r="E23299">
        <v>18.554722638680602</v>
      </c>
    </row>
    <row r="23300" spans="1:5">
      <c r="A23300" t="s">
        <v>27071</v>
      </c>
      <c r="B23300" t="s">
        <v>27077</v>
      </c>
      <c r="C23300">
        <f>0.0243429066669</f>
        <v>2.4342906666900001E-2</v>
      </c>
      <c r="D23300">
        <v>0.99145638100900002</v>
      </c>
      <c r="E23300">
        <v>18.554722638680602</v>
      </c>
    </row>
    <row r="23301" spans="1:5">
      <c r="A23301" t="s">
        <v>27071</v>
      </c>
      <c r="B23301" t="s">
        <v>27078</v>
      </c>
      <c r="C23301">
        <v>0</v>
      </c>
      <c r="D23301">
        <v>0.99145638100900002</v>
      </c>
      <c r="E23301">
        <v>18.554722638680602</v>
      </c>
    </row>
    <row r="23302" spans="1:5">
      <c r="A23302" t="s">
        <v>27079</v>
      </c>
      <c r="B23302" t="s">
        <v>27080</v>
      </c>
      <c r="C23302">
        <v>0</v>
      </c>
      <c r="D23302" t="s">
        <v>106</v>
      </c>
      <c r="E23302">
        <v>4.1739130434782599</v>
      </c>
    </row>
    <row r="23303" spans="1:5">
      <c r="A23303" t="s">
        <v>27079</v>
      </c>
      <c r="B23303" t="s">
        <v>27081</v>
      </c>
      <c r="C23303">
        <v>0</v>
      </c>
      <c r="D23303" t="s">
        <v>106</v>
      </c>
      <c r="E23303">
        <v>4.1739130434782599</v>
      </c>
    </row>
    <row r="23304" spans="1:5">
      <c r="A23304" t="s">
        <v>27079</v>
      </c>
      <c r="B23304" t="s">
        <v>27082</v>
      </c>
      <c r="C23304">
        <v>0</v>
      </c>
      <c r="D23304" t="s">
        <v>106</v>
      </c>
      <c r="E23304">
        <v>4.1739130434782599</v>
      </c>
    </row>
    <row r="23305" spans="1:5">
      <c r="A23305" t="s">
        <v>27083</v>
      </c>
      <c r="B23305" t="s">
        <v>27084</v>
      </c>
      <c r="C23305">
        <v>0</v>
      </c>
      <c r="D23305" t="s">
        <v>106</v>
      </c>
      <c r="E23305">
        <v>3.97001499250374</v>
      </c>
    </row>
    <row r="23306" spans="1:5">
      <c r="A23306" t="s">
        <v>27083</v>
      </c>
      <c r="B23306" t="s">
        <v>27085</v>
      </c>
      <c r="C23306">
        <v>0</v>
      </c>
      <c r="D23306" t="s">
        <v>106</v>
      </c>
      <c r="E23306">
        <v>3.97001499250374</v>
      </c>
    </row>
    <row r="23307" spans="1:5">
      <c r="A23307" t="s">
        <v>27083</v>
      </c>
      <c r="B23307" t="s">
        <v>27086</v>
      </c>
      <c r="C23307">
        <v>0</v>
      </c>
      <c r="D23307" t="s">
        <v>106</v>
      </c>
      <c r="E23307">
        <v>3.97001499250374</v>
      </c>
    </row>
    <row r="23308" spans="1:5">
      <c r="A23308" t="s">
        <v>27083</v>
      </c>
      <c r="B23308" t="s">
        <v>27087</v>
      </c>
      <c r="C23308">
        <v>0.85491033537799999</v>
      </c>
      <c r="D23308" t="s">
        <v>106</v>
      </c>
      <c r="E23308">
        <v>3.97001499250374</v>
      </c>
    </row>
    <row r="23309" spans="1:5">
      <c r="A23309" t="s">
        <v>27083</v>
      </c>
      <c r="B23309" t="s">
        <v>27088</v>
      </c>
      <c r="C23309">
        <f>0</f>
        <v>0</v>
      </c>
      <c r="D23309" t="s">
        <v>106</v>
      </c>
      <c r="E23309">
        <v>3.97001499250374</v>
      </c>
    </row>
    <row r="23310" spans="1:5">
      <c r="A23310" t="s">
        <v>27083</v>
      </c>
      <c r="B23310" t="s">
        <v>27089</v>
      </c>
      <c r="C23310">
        <f>0</f>
        <v>0</v>
      </c>
      <c r="D23310" t="s">
        <v>106</v>
      </c>
      <c r="E23310">
        <v>3.97001499250374</v>
      </c>
    </row>
    <row r="23311" spans="1:5">
      <c r="A23311" t="s">
        <v>27083</v>
      </c>
      <c r="B23311" t="s">
        <v>27090</v>
      </c>
      <c r="C23311">
        <v>0</v>
      </c>
      <c r="D23311" t="s">
        <v>106</v>
      </c>
      <c r="E23311">
        <v>3.97001499250374</v>
      </c>
    </row>
    <row r="23312" spans="1:5">
      <c r="A23312" t="s">
        <v>27083</v>
      </c>
      <c r="B23312" t="s">
        <v>27091</v>
      </c>
      <c r="C23312">
        <f>0.173850514967</f>
        <v>0.17385051496699999</v>
      </c>
      <c r="D23312" t="s">
        <v>106</v>
      </c>
      <c r="E23312">
        <v>3.97001499250374</v>
      </c>
    </row>
    <row r="23313" spans="1:5">
      <c r="A23313" t="s">
        <v>27083</v>
      </c>
      <c r="B23313" t="s">
        <v>27092</v>
      </c>
      <c r="C23313">
        <f>0</f>
        <v>0</v>
      </c>
      <c r="D23313" t="s">
        <v>106</v>
      </c>
      <c r="E23313">
        <v>3.97001499250374</v>
      </c>
    </row>
    <row r="23314" spans="1:5">
      <c r="A23314" t="s">
        <v>27083</v>
      </c>
      <c r="B23314" t="s">
        <v>27093</v>
      </c>
      <c r="C23314">
        <v>0</v>
      </c>
      <c r="D23314" t="s">
        <v>106</v>
      </c>
      <c r="E23314">
        <v>3.97001499250374</v>
      </c>
    </row>
    <row r="23315" spans="1:5">
      <c r="A23315" t="s">
        <v>27083</v>
      </c>
      <c r="B23315" t="s">
        <v>27094</v>
      </c>
      <c r="C23315">
        <f>0</f>
        <v>0</v>
      </c>
      <c r="D23315" t="s">
        <v>106</v>
      </c>
      <c r="E23315">
        <v>3.97001499250374</v>
      </c>
    </row>
    <row r="23316" spans="1:5">
      <c r="A23316" t="s">
        <v>27095</v>
      </c>
      <c r="B23316" t="s">
        <v>27096</v>
      </c>
      <c r="C23316">
        <v>0</v>
      </c>
      <c r="D23316">
        <v>0.85742637763600005</v>
      </c>
      <c r="E23316">
        <v>13.8170914542728</v>
      </c>
    </row>
    <row r="23317" spans="1:5">
      <c r="A23317" t="s">
        <v>27095</v>
      </c>
      <c r="B23317" t="s">
        <v>27097</v>
      </c>
      <c r="C23317">
        <v>1.8200190422299999E-2</v>
      </c>
      <c r="D23317">
        <v>0.85742637763600005</v>
      </c>
      <c r="E23317">
        <v>13.8170914542728</v>
      </c>
    </row>
    <row r="23318" spans="1:5">
      <c r="A23318" t="s">
        <v>27095</v>
      </c>
      <c r="B23318" t="s">
        <v>27098</v>
      </c>
      <c r="C23318">
        <f>0</f>
        <v>0</v>
      </c>
      <c r="D23318">
        <v>0.85742637763600005</v>
      </c>
      <c r="E23318">
        <v>13.8170914542728</v>
      </c>
    </row>
    <row r="23319" spans="1:5">
      <c r="A23319" t="s">
        <v>27095</v>
      </c>
      <c r="B23319" t="s">
        <v>27099</v>
      </c>
      <c r="C23319">
        <f>0.0469396418398</f>
        <v>4.6939641839799998E-2</v>
      </c>
      <c r="D23319">
        <v>0.85742637763600005</v>
      </c>
      <c r="E23319">
        <v>13.8170914542728</v>
      </c>
    </row>
    <row r="23320" spans="1:5">
      <c r="A23320" t="s">
        <v>27100</v>
      </c>
      <c r="B23320" t="s">
        <v>27101</v>
      </c>
      <c r="C23320">
        <v>0</v>
      </c>
      <c r="D23320" t="s">
        <v>106</v>
      </c>
      <c r="E23320">
        <v>1.00749625187406</v>
      </c>
    </row>
    <row r="23321" spans="1:5">
      <c r="A23321" t="s">
        <v>27100</v>
      </c>
      <c r="B23321" t="s">
        <v>27102</v>
      </c>
      <c r="C23321">
        <f>0</f>
        <v>0</v>
      </c>
      <c r="D23321" t="s">
        <v>106</v>
      </c>
      <c r="E23321">
        <v>1.00749625187406</v>
      </c>
    </row>
    <row r="23322" spans="1:5">
      <c r="A23322" t="s">
        <v>27100</v>
      </c>
      <c r="B23322" t="s">
        <v>27103</v>
      </c>
      <c r="C23322">
        <f>0</f>
        <v>0</v>
      </c>
      <c r="D23322" t="s">
        <v>106</v>
      </c>
      <c r="E23322">
        <v>1.00749625187406</v>
      </c>
    </row>
    <row r="23323" spans="1:5">
      <c r="A23323" t="s">
        <v>27100</v>
      </c>
      <c r="B23323" t="s">
        <v>27104</v>
      </c>
      <c r="C23323">
        <f>0</f>
        <v>0</v>
      </c>
      <c r="D23323" t="s">
        <v>106</v>
      </c>
      <c r="E23323">
        <v>1.00749625187406</v>
      </c>
    </row>
    <row r="23324" spans="1:5">
      <c r="A23324" t="s">
        <v>27100</v>
      </c>
      <c r="B23324" t="s">
        <v>27105</v>
      </c>
      <c r="C23324">
        <v>0</v>
      </c>
      <c r="D23324" t="s">
        <v>106</v>
      </c>
      <c r="E23324">
        <v>1.00749625187406</v>
      </c>
    </row>
    <row r="23325" spans="1:5">
      <c r="A23325" t="s">
        <v>27106</v>
      </c>
      <c r="B23325" t="s">
        <v>27107</v>
      </c>
      <c r="C23325">
        <v>0</v>
      </c>
      <c r="D23325">
        <v>0.97084922186199996</v>
      </c>
      <c r="E23325">
        <v>11.202398800599701</v>
      </c>
    </row>
    <row r="23326" spans="1:5">
      <c r="A23326" t="s">
        <v>27106</v>
      </c>
      <c r="B23326" t="s">
        <v>27108</v>
      </c>
      <c r="C23326">
        <v>0</v>
      </c>
      <c r="D23326">
        <v>0.97084922186199996</v>
      </c>
      <c r="E23326">
        <v>11.202398800599701</v>
      </c>
    </row>
    <row r="23327" spans="1:5">
      <c r="A23327" t="s">
        <v>27106</v>
      </c>
      <c r="B23327" t="s">
        <v>27109</v>
      </c>
      <c r="C23327">
        <v>0.317457495782</v>
      </c>
      <c r="D23327">
        <v>0.97084922186199996</v>
      </c>
      <c r="E23327">
        <v>11.202398800599701</v>
      </c>
    </row>
    <row r="23328" spans="1:5">
      <c r="A23328" t="s">
        <v>27106</v>
      </c>
      <c r="B23328" t="s">
        <v>27110</v>
      </c>
      <c r="C23328">
        <v>0</v>
      </c>
      <c r="D23328">
        <v>0.97084922186199996</v>
      </c>
      <c r="E23328">
        <v>11.202398800599701</v>
      </c>
    </row>
    <row r="23329" spans="1:5">
      <c r="A23329" t="s">
        <v>27106</v>
      </c>
      <c r="B23329" t="s">
        <v>27111</v>
      </c>
      <c r="C23329">
        <f>0</f>
        <v>0</v>
      </c>
      <c r="D23329">
        <v>0.97084922186199996</v>
      </c>
      <c r="E23329">
        <v>11.202398800599701</v>
      </c>
    </row>
    <row r="23330" spans="1:5">
      <c r="A23330" t="s">
        <v>27106</v>
      </c>
      <c r="B23330" t="s">
        <v>27112</v>
      </c>
      <c r="C23330">
        <v>9.6960407634099993E-2</v>
      </c>
      <c r="D23330">
        <v>0.97084922186199996</v>
      </c>
      <c r="E23330">
        <v>11.202398800599701</v>
      </c>
    </row>
    <row r="23331" spans="1:5">
      <c r="A23331" t="s">
        <v>27106</v>
      </c>
      <c r="B23331" t="s">
        <v>27113</v>
      </c>
      <c r="C23331">
        <f>0</f>
        <v>0</v>
      </c>
      <c r="D23331">
        <v>0.97084922186199996</v>
      </c>
      <c r="E23331">
        <v>11.202398800599701</v>
      </c>
    </row>
    <row r="23332" spans="1:5">
      <c r="A23332" t="s">
        <v>27114</v>
      </c>
      <c r="B23332" t="s">
        <v>27115</v>
      </c>
      <c r="C23332">
        <f>0</f>
        <v>0</v>
      </c>
      <c r="D23332" t="s">
        <v>106</v>
      </c>
      <c r="E23332">
        <v>7.1964017991004496</v>
      </c>
    </row>
    <row r="23333" spans="1:5">
      <c r="A23333" t="s">
        <v>27114</v>
      </c>
      <c r="B23333" t="s">
        <v>27116</v>
      </c>
      <c r="C23333">
        <v>0</v>
      </c>
      <c r="D23333" t="s">
        <v>106</v>
      </c>
      <c r="E23333">
        <v>7.1964017991004496</v>
      </c>
    </row>
    <row r="23334" spans="1:5">
      <c r="A23334" t="s">
        <v>27114</v>
      </c>
      <c r="B23334" t="s">
        <v>27117</v>
      </c>
      <c r="C23334">
        <v>0</v>
      </c>
      <c r="D23334" t="s">
        <v>106</v>
      </c>
      <c r="E23334">
        <v>7.1964017991004496</v>
      </c>
    </row>
    <row r="23335" spans="1:5">
      <c r="A23335" t="s">
        <v>27118</v>
      </c>
      <c r="B23335" t="s">
        <v>27119</v>
      </c>
      <c r="C23335">
        <v>0.38473603871500001</v>
      </c>
      <c r="D23335">
        <v>0.92944560948499999</v>
      </c>
      <c r="E23335">
        <v>3.40629685157421</v>
      </c>
    </row>
    <row r="23336" spans="1:5">
      <c r="A23336" t="s">
        <v>27118</v>
      </c>
      <c r="B23336" t="s">
        <v>27120</v>
      </c>
      <c r="C23336">
        <f>0</f>
        <v>0</v>
      </c>
      <c r="D23336">
        <v>0.92944560948499999</v>
      </c>
      <c r="E23336">
        <v>3.40629685157421</v>
      </c>
    </row>
    <row r="23337" spans="1:5">
      <c r="A23337" t="s">
        <v>27118</v>
      </c>
      <c r="B23337" t="s">
        <v>27121</v>
      </c>
      <c r="C23337">
        <v>3.5640835029100003E-2</v>
      </c>
      <c r="D23337">
        <v>0.92944560948499999</v>
      </c>
      <c r="E23337">
        <v>3.40629685157421</v>
      </c>
    </row>
    <row r="23338" spans="1:5">
      <c r="A23338" t="s">
        <v>27118</v>
      </c>
      <c r="B23338" t="s">
        <v>27122</v>
      </c>
      <c r="C23338">
        <f>0</f>
        <v>0</v>
      </c>
      <c r="D23338">
        <v>0.92944560948499999</v>
      </c>
      <c r="E23338">
        <v>3.40629685157421</v>
      </c>
    </row>
    <row r="23339" spans="1:5">
      <c r="A23339" t="s">
        <v>27118</v>
      </c>
      <c r="B23339" t="s">
        <v>27123</v>
      </c>
      <c r="C23339">
        <v>0</v>
      </c>
      <c r="D23339">
        <v>0.92944560948499999</v>
      </c>
      <c r="E23339">
        <v>3.40629685157421</v>
      </c>
    </row>
    <row r="23340" spans="1:5">
      <c r="A23340" t="s">
        <v>27118</v>
      </c>
      <c r="B23340" t="s">
        <v>27124</v>
      </c>
      <c r="C23340">
        <v>0</v>
      </c>
      <c r="D23340">
        <v>0.92944560948499999</v>
      </c>
      <c r="E23340">
        <v>3.40629685157421</v>
      </c>
    </row>
    <row r="23341" spans="1:5">
      <c r="A23341" t="s">
        <v>27118</v>
      </c>
      <c r="B23341" t="s">
        <v>27125</v>
      </c>
      <c r="C23341">
        <f>0</f>
        <v>0</v>
      </c>
      <c r="D23341">
        <v>0.92944560948499999</v>
      </c>
      <c r="E23341">
        <v>3.40629685157421</v>
      </c>
    </row>
    <row r="23342" spans="1:5">
      <c r="A23342" t="s">
        <v>27118</v>
      </c>
      <c r="B23342" t="s">
        <v>27126</v>
      </c>
      <c r="C23342">
        <f>0</f>
        <v>0</v>
      </c>
      <c r="D23342">
        <v>0.92944560948499999</v>
      </c>
      <c r="E23342">
        <v>3.40629685157421</v>
      </c>
    </row>
    <row r="23343" spans="1:5">
      <c r="A23343" t="s">
        <v>27118</v>
      </c>
      <c r="B23343" t="s">
        <v>27127</v>
      </c>
      <c r="C23343">
        <v>0</v>
      </c>
      <c r="D23343">
        <v>0.92944560948499999</v>
      </c>
      <c r="E23343">
        <v>3.40629685157421</v>
      </c>
    </row>
    <row r="23344" spans="1:5">
      <c r="A23344" t="s">
        <v>27128</v>
      </c>
      <c r="B23344" t="s">
        <v>27129</v>
      </c>
      <c r="C23344">
        <v>0</v>
      </c>
      <c r="D23344">
        <v>0.73166173187799999</v>
      </c>
      <c r="E23344">
        <v>16.695652173913</v>
      </c>
    </row>
    <row r="23345" spans="1:5">
      <c r="A23345" t="s">
        <v>27128</v>
      </c>
      <c r="B23345" t="s">
        <v>27130</v>
      </c>
      <c r="C23345">
        <f>0</f>
        <v>0</v>
      </c>
      <c r="D23345">
        <v>0.73166173187799999</v>
      </c>
      <c r="E23345">
        <v>16.695652173913</v>
      </c>
    </row>
    <row r="23346" spans="1:5">
      <c r="A23346" t="s">
        <v>27131</v>
      </c>
      <c r="B23346" t="s">
        <v>27132</v>
      </c>
      <c r="C23346">
        <f>0</f>
        <v>0</v>
      </c>
      <c r="D23346">
        <v>0.96451744911199999</v>
      </c>
      <c r="E23346">
        <v>1.39130434782608</v>
      </c>
    </row>
    <row r="23347" spans="1:5">
      <c r="A23347" t="s">
        <v>27131</v>
      </c>
      <c r="B23347" t="s">
        <v>27133</v>
      </c>
      <c r="C23347">
        <f>0</f>
        <v>0</v>
      </c>
      <c r="D23347">
        <v>0.96451744911199999</v>
      </c>
      <c r="E23347">
        <v>1.39130434782608</v>
      </c>
    </row>
    <row r="23348" spans="1:5">
      <c r="A23348" t="s">
        <v>27131</v>
      </c>
      <c r="B23348" t="s">
        <v>27134</v>
      </c>
      <c r="C23348">
        <f>0</f>
        <v>0</v>
      </c>
      <c r="D23348">
        <v>0.96451744911199999</v>
      </c>
      <c r="E23348">
        <v>1.39130434782608</v>
      </c>
    </row>
    <row r="23349" spans="1:5">
      <c r="A23349" t="s">
        <v>27131</v>
      </c>
      <c r="B23349" t="s">
        <v>27135</v>
      </c>
      <c r="C23349">
        <f>0</f>
        <v>0</v>
      </c>
      <c r="D23349">
        <v>0.96451744911199999</v>
      </c>
      <c r="E23349">
        <v>1.39130434782608</v>
      </c>
    </row>
    <row r="23350" spans="1:5">
      <c r="A23350" t="s">
        <v>27131</v>
      </c>
      <c r="B23350" t="s">
        <v>27136</v>
      </c>
      <c r="C23350">
        <f>0.0563698640779</f>
        <v>5.6369864077899998E-2</v>
      </c>
      <c r="D23350">
        <v>0.96451744911199999</v>
      </c>
      <c r="E23350">
        <v>1.39130434782608</v>
      </c>
    </row>
    <row r="23351" spans="1:5">
      <c r="A23351" t="s">
        <v>27131</v>
      </c>
      <c r="B23351" t="s">
        <v>27137</v>
      </c>
      <c r="C23351">
        <f>0</f>
        <v>0</v>
      </c>
      <c r="D23351">
        <v>0.96451744911199999</v>
      </c>
      <c r="E23351">
        <v>1.39130434782608</v>
      </c>
    </row>
    <row r="23352" spans="1:5">
      <c r="A23352" t="s">
        <v>27131</v>
      </c>
      <c r="B23352" t="s">
        <v>27138</v>
      </c>
      <c r="C23352">
        <v>0</v>
      </c>
      <c r="D23352">
        <v>0.96451744911199999</v>
      </c>
      <c r="E23352">
        <v>1.39130434782608</v>
      </c>
    </row>
    <row r="23353" spans="1:5">
      <c r="A23353" t="s">
        <v>27131</v>
      </c>
      <c r="B23353" t="s">
        <v>27139</v>
      </c>
      <c r="C23353">
        <f>0</f>
        <v>0</v>
      </c>
      <c r="D23353">
        <v>0.96451744911199999</v>
      </c>
      <c r="E23353">
        <v>1.39130434782608</v>
      </c>
    </row>
    <row r="23354" spans="1:5">
      <c r="A23354" t="s">
        <v>27131</v>
      </c>
      <c r="B23354" t="s">
        <v>27140</v>
      </c>
      <c r="C23354">
        <f>0</f>
        <v>0</v>
      </c>
      <c r="D23354">
        <v>0.96451744911199999</v>
      </c>
      <c r="E23354">
        <v>1.39130434782608</v>
      </c>
    </row>
    <row r="23355" spans="1:5">
      <c r="A23355" t="s">
        <v>27131</v>
      </c>
      <c r="B23355" t="s">
        <v>27141</v>
      </c>
      <c r="C23355">
        <f>0</f>
        <v>0</v>
      </c>
      <c r="D23355">
        <v>0.96451744911199999</v>
      </c>
      <c r="E23355">
        <v>1.39130434782608</v>
      </c>
    </row>
    <row r="23356" spans="1:5">
      <c r="A23356" t="s">
        <v>27131</v>
      </c>
      <c r="B23356" t="s">
        <v>27142</v>
      </c>
      <c r="C23356">
        <f>0</f>
        <v>0</v>
      </c>
      <c r="D23356">
        <v>0.96451744911199999</v>
      </c>
      <c r="E23356">
        <v>1.39130434782608</v>
      </c>
    </row>
    <row r="23357" spans="1:5">
      <c r="A23357" t="s">
        <v>27131</v>
      </c>
      <c r="B23357" t="s">
        <v>27143</v>
      </c>
      <c r="C23357">
        <f>0</f>
        <v>0</v>
      </c>
      <c r="D23357">
        <v>0.96451744911199999</v>
      </c>
      <c r="E23357">
        <v>1.39130434782608</v>
      </c>
    </row>
    <row r="23358" spans="1:5">
      <c r="A23358" t="s">
        <v>27131</v>
      </c>
      <c r="B23358" t="s">
        <v>27144</v>
      </c>
      <c r="C23358">
        <v>0</v>
      </c>
      <c r="D23358">
        <v>0.96451744911199999</v>
      </c>
      <c r="E23358">
        <v>1.39130434782608</v>
      </c>
    </row>
    <row r="23359" spans="1:5">
      <c r="A23359" t="s">
        <v>27131</v>
      </c>
      <c r="B23359" t="s">
        <v>27145</v>
      </c>
      <c r="C23359">
        <f>0</f>
        <v>0</v>
      </c>
      <c r="D23359">
        <v>0.96451744911199999</v>
      </c>
      <c r="E23359">
        <v>1.39130434782608</v>
      </c>
    </row>
    <row r="23360" spans="1:5">
      <c r="A23360" t="s">
        <v>27131</v>
      </c>
      <c r="B23360" t="s">
        <v>27146</v>
      </c>
      <c r="C23360">
        <v>0</v>
      </c>
      <c r="D23360">
        <v>0.96451744911199999</v>
      </c>
      <c r="E23360">
        <v>1.39130434782608</v>
      </c>
    </row>
    <row r="23361" spans="1:5">
      <c r="A23361" t="s">
        <v>27131</v>
      </c>
      <c r="B23361" t="s">
        <v>27147</v>
      </c>
      <c r="C23361">
        <f>0.0730051989374</f>
        <v>7.3005198937399998E-2</v>
      </c>
      <c r="D23361">
        <v>0.96451744911199999</v>
      </c>
      <c r="E23361">
        <v>1.39130434782608</v>
      </c>
    </row>
    <row r="23362" spans="1:5">
      <c r="A23362" t="s">
        <v>27131</v>
      </c>
      <c r="B23362" t="s">
        <v>27148</v>
      </c>
      <c r="C23362">
        <v>0</v>
      </c>
      <c r="D23362">
        <v>0.96451744911199999</v>
      </c>
      <c r="E23362">
        <v>1.39130434782608</v>
      </c>
    </row>
    <row r="23363" spans="1:5">
      <c r="A23363" t="s">
        <v>27149</v>
      </c>
      <c r="B23363" t="s">
        <v>27150</v>
      </c>
      <c r="C23363">
        <v>0.40208468169200001</v>
      </c>
      <c r="D23363" t="s">
        <v>106</v>
      </c>
      <c r="E23363">
        <v>17.307346326836502</v>
      </c>
    </row>
    <row r="23364" spans="1:5">
      <c r="A23364" t="s">
        <v>27149</v>
      </c>
      <c r="B23364" t="s">
        <v>27151</v>
      </c>
      <c r="C23364">
        <f>0.0970518321547</f>
        <v>9.7051832154699993E-2</v>
      </c>
      <c r="D23364" t="s">
        <v>106</v>
      </c>
      <c r="E23364">
        <v>17.307346326836502</v>
      </c>
    </row>
    <row r="23365" spans="1:5">
      <c r="A23365" t="s">
        <v>27152</v>
      </c>
      <c r="B23365" t="s">
        <v>27153</v>
      </c>
      <c r="C23365">
        <v>0</v>
      </c>
      <c r="D23365">
        <v>0.96502007434299997</v>
      </c>
      <c r="E23365">
        <v>6.2968515742128899</v>
      </c>
    </row>
    <row r="23366" spans="1:5">
      <c r="A23366" t="s">
        <v>27152</v>
      </c>
      <c r="B23366" t="s">
        <v>27154</v>
      </c>
      <c r="C23366">
        <v>0.21525223097000001</v>
      </c>
      <c r="D23366">
        <v>0.96502007434299997</v>
      </c>
      <c r="E23366">
        <v>6.2968515742128899</v>
      </c>
    </row>
    <row r="23367" spans="1:5">
      <c r="A23367" t="s">
        <v>27152</v>
      </c>
      <c r="B23367" t="s">
        <v>27155</v>
      </c>
      <c r="C23367">
        <v>0.100488567749</v>
      </c>
      <c r="D23367">
        <v>0.96502007434299997</v>
      </c>
      <c r="E23367">
        <v>6.2968515742128899</v>
      </c>
    </row>
    <row r="23368" spans="1:5">
      <c r="A23368" t="s">
        <v>27152</v>
      </c>
      <c r="B23368" t="s">
        <v>27156</v>
      </c>
      <c r="C23368">
        <v>0</v>
      </c>
      <c r="D23368">
        <v>0.96502007434299997</v>
      </c>
      <c r="E23368">
        <v>6.2968515742128899</v>
      </c>
    </row>
    <row r="23369" spans="1:5">
      <c r="A23369" t="s">
        <v>27152</v>
      </c>
      <c r="B23369" t="s">
        <v>27157</v>
      </c>
      <c r="C23369">
        <v>0</v>
      </c>
      <c r="D23369">
        <v>0.96502007434299997</v>
      </c>
      <c r="E23369">
        <v>6.2968515742128899</v>
      </c>
    </row>
    <row r="23370" spans="1:5">
      <c r="A23370" t="s">
        <v>27152</v>
      </c>
      <c r="B23370" t="s">
        <v>27158</v>
      </c>
      <c r="C23370">
        <f>0</f>
        <v>0</v>
      </c>
      <c r="D23370">
        <v>0.96502007434299997</v>
      </c>
      <c r="E23370">
        <v>6.2968515742128899</v>
      </c>
    </row>
    <row r="23371" spans="1:5">
      <c r="A23371" t="s">
        <v>27159</v>
      </c>
      <c r="B23371" t="s">
        <v>27160</v>
      </c>
      <c r="C23371">
        <v>0.13799532733200001</v>
      </c>
      <c r="D23371">
        <v>0.97935001401499999</v>
      </c>
      <c r="E23371">
        <v>14.5487256371814</v>
      </c>
    </row>
    <row r="23372" spans="1:5">
      <c r="A23372" t="s">
        <v>27159</v>
      </c>
      <c r="B23372" t="s">
        <v>27161</v>
      </c>
      <c r="C23372">
        <f>0.213917702108</f>
        <v>0.21391770210800001</v>
      </c>
      <c r="D23372">
        <v>0.97935001401499999</v>
      </c>
      <c r="E23372">
        <v>14.5487256371814</v>
      </c>
    </row>
    <row r="23373" spans="1:5">
      <c r="A23373" t="s">
        <v>27159</v>
      </c>
      <c r="B23373" t="s">
        <v>27162</v>
      </c>
      <c r="C23373">
        <f>0</f>
        <v>0</v>
      </c>
      <c r="D23373">
        <v>0.97935001401499999</v>
      </c>
      <c r="E23373">
        <v>14.5487256371814</v>
      </c>
    </row>
    <row r="23374" spans="1:5">
      <c r="A23374" t="s">
        <v>27159</v>
      </c>
      <c r="B23374" t="s">
        <v>27163</v>
      </c>
      <c r="C23374">
        <v>0</v>
      </c>
      <c r="D23374">
        <v>0.97935001401499999</v>
      </c>
      <c r="E23374">
        <v>14.5487256371814</v>
      </c>
    </row>
    <row r="23375" spans="1:5">
      <c r="A23375" t="s">
        <v>27159</v>
      </c>
      <c r="B23375" t="s">
        <v>27164</v>
      </c>
      <c r="C23375">
        <f>0</f>
        <v>0</v>
      </c>
      <c r="D23375">
        <v>0.97935001401499999</v>
      </c>
      <c r="E23375">
        <v>14.5487256371814</v>
      </c>
    </row>
    <row r="23376" spans="1:5">
      <c r="A23376" t="s">
        <v>27159</v>
      </c>
      <c r="B23376" t="s">
        <v>27165</v>
      </c>
      <c r="C23376">
        <f>0</f>
        <v>0</v>
      </c>
      <c r="D23376">
        <v>0.97935001401499999</v>
      </c>
      <c r="E23376">
        <v>14.5487256371814</v>
      </c>
    </row>
    <row r="23377" spans="1:5">
      <c r="A23377" t="s">
        <v>27159</v>
      </c>
      <c r="B23377" t="s">
        <v>27166</v>
      </c>
      <c r="C23377">
        <v>0</v>
      </c>
      <c r="D23377">
        <v>0.97935001401499999</v>
      </c>
      <c r="E23377">
        <v>14.5487256371814</v>
      </c>
    </row>
    <row r="23378" spans="1:5">
      <c r="A23378" t="s">
        <v>27167</v>
      </c>
      <c r="B23378" t="s">
        <v>27168</v>
      </c>
      <c r="C23378">
        <v>0.22545138623399999</v>
      </c>
      <c r="D23378">
        <v>0.93394872951999997</v>
      </c>
      <c r="E23378">
        <v>14.740629685157399</v>
      </c>
    </row>
    <row r="23379" spans="1:5">
      <c r="A23379" t="s">
        <v>27167</v>
      </c>
      <c r="B23379" t="s">
        <v>27169</v>
      </c>
      <c r="C23379">
        <v>0</v>
      </c>
      <c r="D23379">
        <v>0.93394872951999997</v>
      </c>
      <c r="E23379">
        <v>14.740629685157399</v>
      </c>
    </row>
    <row r="23380" spans="1:5">
      <c r="A23380" t="s">
        <v>27170</v>
      </c>
      <c r="B23380" t="s">
        <v>27171</v>
      </c>
      <c r="C23380">
        <v>0</v>
      </c>
      <c r="D23380">
        <v>0.90728029739500005</v>
      </c>
      <c r="E23380">
        <v>16.095952023988001</v>
      </c>
    </row>
    <row r="23381" spans="1:5">
      <c r="A23381" t="s">
        <v>27170</v>
      </c>
      <c r="B23381" t="s">
        <v>27172</v>
      </c>
      <c r="C23381">
        <v>0</v>
      </c>
      <c r="D23381">
        <v>0.90728029739500005</v>
      </c>
      <c r="E23381">
        <v>16.095952023988001</v>
      </c>
    </row>
    <row r="23382" spans="1:5">
      <c r="A23382" t="s">
        <v>27170</v>
      </c>
      <c r="B23382" t="s">
        <v>27173</v>
      </c>
      <c r="C23382">
        <v>0</v>
      </c>
      <c r="D23382">
        <v>0.90728029739500005</v>
      </c>
      <c r="E23382">
        <v>16.095952023988001</v>
      </c>
    </row>
    <row r="23383" spans="1:5">
      <c r="A23383" t="s">
        <v>27170</v>
      </c>
      <c r="B23383" t="s">
        <v>27174</v>
      </c>
      <c r="C23383">
        <v>0</v>
      </c>
      <c r="D23383">
        <v>0.90728029739500005</v>
      </c>
      <c r="E23383">
        <v>16.095952023988001</v>
      </c>
    </row>
    <row r="23384" spans="1:5">
      <c r="A23384" t="s">
        <v>27170</v>
      </c>
      <c r="B23384" t="s">
        <v>27175</v>
      </c>
      <c r="C23384">
        <v>0</v>
      </c>
      <c r="D23384">
        <v>0.90728029739500005</v>
      </c>
      <c r="E23384">
        <v>16.095952023988001</v>
      </c>
    </row>
    <row r="23385" spans="1:5">
      <c r="A23385" t="s">
        <v>27170</v>
      </c>
      <c r="B23385" t="s">
        <v>27176</v>
      </c>
      <c r="C23385">
        <v>0</v>
      </c>
      <c r="D23385">
        <v>0.90728029739500005</v>
      </c>
      <c r="E23385">
        <v>16.095952023988001</v>
      </c>
    </row>
    <row r="23386" spans="1:5">
      <c r="A23386" t="s">
        <v>27170</v>
      </c>
      <c r="B23386" t="s">
        <v>27177</v>
      </c>
      <c r="C23386">
        <v>0</v>
      </c>
      <c r="D23386">
        <v>0.90728029739500005</v>
      </c>
      <c r="E23386">
        <v>16.095952023988001</v>
      </c>
    </row>
    <row r="23387" spans="1:5">
      <c r="A23387" t="s">
        <v>27170</v>
      </c>
      <c r="B23387" t="s">
        <v>27178</v>
      </c>
      <c r="C23387">
        <v>0</v>
      </c>
      <c r="D23387">
        <v>0.90728029739500005</v>
      </c>
      <c r="E23387">
        <v>16.095952023988001</v>
      </c>
    </row>
    <row r="23388" spans="1:5">
      <c r="A23388" t="s">
        <v>27170</v>
      </c>
      <c r="B23388" t="s">
        <v>27179</v>
      </c>
      <c r="C23388">
        <f>0</f>
        <v>0</v>
      </c>
      <c r="D23388">
        <v>0.90728029739500005</v>
      </c>
      <c r="E23388">
        <v>16.095952023988001</v>
      </c>
    </row>
    <row r="23389" spans="1:5">
      <c r="A23389" t="s">
        <v>27170</v>
      </c>
      <c r="B23389" t="s">
        <v>27180</v>
      </c>
      <c r="C23389">
        <f>0</f>
        <v>0</v>
      </c>
      <c r="D23389">
        <v>0.90728029739500005</v>
      </c>
      <c r="E23389">
        <v>16.095952023988001</v>
      </c>
    </row>
    <row r="23390" spans="1:5">
      <c r="A23390" t="s">
        <v>27170</v>
      </c>
      <c r="B23390" t="s">
        <v>27181</v>
      </c>
      <c r="C23390">
        <v>0</v>
      </c>
      <c r="D23390">
        <v>0.90728029739500005</v>
      </c>
      <c r="E23390">
        <v>16.095952023988001</v>
      </c>
    </row>
    <row r="23391" spans="1:5">
      <c r="A23391" t="s">
        <v>27170</v>
      </c>
      <c r="B23391" t="s">
        <v>27182</v>
      </c>
      <c r="C23391">
        <v>0</v>
      </c>
      <c r="D23391">
        <v>0.90728029739500005</v>
      </c>
      <c r="E23391">
        <v>16.095952023988001</v>
      </c>
    </row>
    <row r="23392" spans="1:5">
      <c r="A23392" t="s">
        <v>27170</v>
      </c>
      <c r="B23392" t="s">
        <v>27183</v>
      </c>
      <c r="C23392">
        <v>0</v>
      </c>
      <c r="D23392">
        <v>0.90728029739500005</v>
      </c>
      <c r="E23392">
        <v>16.095952023988001</v>
      </c>
    </row>
    <row r="23393" spans="1:5">
      <c r="A23393" t="s">
        <v>27170</v>
      </c>
      <c r="B23393" t="s">
        <v>27184</v>
      </c>
      <c r="C23393">
        <f>0</f>
        <v>0</v>
      </c>
      <c r="D23393">
        <v>0.90728029739500005</v>
      </c>
      <c r="E23393">
        <v>16.095952023988001</v>
      </c>
    </row>
    <row r="23394" spans="1:5">
      <c r="A23394" t="s">
        <v>27170</v>
      </c>
      <c r="B23394" t="s">
        <v>27185</v>
      </c>
      <c r="C23394">
        <v>0</v>
      </c>
      <c r="D23394">
        <v>0.90728029739500005</v>
      </c>
      <c r="E23394">
        <v>16.095952023988001</v>
      </c>
    </row>
    <row r="23395" spans="1:5">
      <c r="A23395" t="s">
        <v>27170</v>
      </c>
      <c r="B23395" t="s">
        <v>27186</v>
      </c>
      <c r="C23395">
        <f>0</f>
        <v>0</v>
      </c>
      <c r="D23395">
        <v>0.90728029739500005</v>
      </c>
      <c r="E23395">
        <v>16.095952023988001</v>
      </c>
    </row>
    <row r="23396" spans="1:5">
      <c r="A23396" t="s">
        <v>27170</v>
      </c>
      <c r="B23396" t="s">
        <v>27187</v>
      </c>
      <c r="C23396">
        <v>2.1733575978700001E-2</v>
      </c>
      <c r="D23396">
        <v>0.90728029739500005</v>
      </c>
      <c r="E23396">
        <v>16.095952023988001</v>
      </c>
    </row>
    <row r="23397" spans="1:5">
      <c r="A23397" t="s">
        <v>27170</v>
      </c>
      <c r="B23397" t="s">
        <v>27188</v>
      </c>
      <c r="C23397">
        <v>0</v>
      </c>
      <c r="D23397">
        <v>0.90728029739500005</v>
      </c>
      <c r="E23397">
        <v>16.095952023988001</v>
      </c>
    </row>
    <row r="23398" spans="1:5">
      <c r="A23398" t="s">
        <v>27170</v>
      </c>
      <c r="B23398" t="s">
        <v>27189</v>
      </c>
      <c r="C23398">
        <v>0</v>
      </c>
      <c r="D23398">
        <v>0.90728029739500005</v>
      </c>
      <c r="E23398">
        <v>16.095952023988001</v>
      </c>
    </row>
    <row r="23399" spans="1:5">
      <c r="A23399" t="s">
        <v>27170</v>
      </c>
      <c r="B23399" t="s">
        <v>27190</v>
      </c>
      <c r="C23399">
        <f>0</f>
        <v>0</v>
      </c>
      <c r="D23399">
        <v>0.90728029739500005</v>
      </c>
      <c r="E23399">
        <v>16.095952023988001</v>
      </c>
    </row>
    <row r="23400" spans="1:5">
      <c r="A23400" t="s">
        <v>27170</v>
      </c>
      <c r="B23400" t="s">
        <v>27191</v>
      </c>
      <c r="C23400">
        <v>0</v>
      </c>
      <c r="D23400">
        <v>0.90728029739500005</v>
      </c>
      <c r="E23400">
        <v>16.095952023988001</v>
      </c>
    </row>
    <row r="23401" spans="1:5">
      <c r="A23401" t="s">
        <v>27170</v>
      </c>
      <c r="B23401" t="s">
        <v>27192</v>
      </c>
      <c r="C23401">
        <v>0</v>
      </c>
      <c r="D23401">
        <v>0.90728029739500005</v>
      </c>
      <c r="E23401">
        <v>16.095952023988001</v>
      </c>
    </row>
    <row r="23402" spans="1:5">
      <c r="A23402" t="s">
        <v>27170</v>
      </c>
      <c r="B23402" t="s">
        <v>27193</v>
      </c>
      <c r="C23402">
        <v>0</v>
      </c>
      <c r="D23402">
        <v>0.90728029739500005</v>
      </c>
      <c r="E23402">
        <v>16.095952023988001</v>
      </c>
    </row>
    <row r="23403" spans="1:5">
      <c r="A23403" t="s">
        <v>27170</v>
      </c>
      <c r="B23403" t="s">
        <v>27194</v>
      </c>
      <c r="C23403">
        <v>0</v>
      </c>
      <c r="D23403">
        <v>0.90728029739500005</v>
      </c>
      <c r="E23403">
        <v>16.095952023988001</v>
      </c>
    </row>
    <row r="23404" spans="1:5">
      <c r="A23404" t="s">
        <v>27170</v>
      </c>
      <c r="B23404" t="s">
        <v>27195</v>
      </c>
      <c r="C23404">
        <v>0</v>
      </c>
      <c r="D23404">
        <v>0.90728029739500005</v>
      </c>
      <c r="E23404">
        <v>16.095952023988001</v>
      </c>
    </row>
    <row r="23405" spans="1:5">
      <c r="A23405" t="s">
        <v>27170</v>
      </c>
      <c r="B23405" t="s">
        <v>27196</v>
      </c>
      <c r="C23405">
        <v>0</v>
      </c>
      <c r="D23405">
        <v>0.90728029739500005</v>
      </c>
      <c r="E23405">
        <v>16.095952023988001</v>
      </c>
    </row>
    <row r="23406" spans="1:5">
      <c r="A23406" t="s">
        <v>27197</v>
      </c>
      <c r="B23406" t="s">
        <v>27198</v>
      </c>
      <c r="C23406">
        <f>0</f>
        <v>0</v>
      </c>
      <c r="D23406">
        <v>0.73325472203700004</v>
      </c>
      <c r="E23406">
        <v>0.77961019490254801</v>
      </c>
    </row>
    <row r="23407" spans="1:5">
      <c r="A23407" t="s">
        <v>27197</v>
      </c>
      <c r="B23407" t="s">
        <v>27199</v>
      </c>
      <c r="C23407">
        <f>0.514164732287</f>
        <v>0.51416473228699999</v>
      </c>
      <c r="D23407">
        <v>0.73325472203700004</v>
      </c>
      <c r="E23407">
        <v>0.77961019490254801</v>
      </c>
    </row>
    <row r="23408" spans="1:5">
      <c r="A23408" t="s">
        <v>27200</v>
      </c>
      <c r="B23408" t="s">
        <v>27201</v>
      </c>
      <c r="C23408">
        <v>1.6399226587899999E-2</v>
      </c>
      <c r="D23408">
        <v>0.98952739772300002</v>
      </c>
      <c r="E23408">
        <v>0.73163418290854498</v>
      </c>
    </row>
    <row r="23409" spans="1:5">
      <c r="A23409" t="s">
        <v>27200</v>
      </c>
      <c r="B23409" t="s">
        <v>27202</v>
      </c>
      <c r="C23409">
        <v>0.75905912777999995</v>
      </c>
      <c r="D23409">
        <v>0.98952739772300002</v>
      </c>
      <c r="E23409">
        <v>0.73163418290854498</v>
      </c>
    </row>
    <row r="23410" spans="1:5">
      <c r="A23410" t="s">
        <v>27203</v>
      </c>
      <c r="B23410" t="s">
        <v>27204</v>
      </c>
      <c r="C23410">
        <v>2.04708857958E-2</v>
      </c>
      <c r="D23410" t="s">
        <v>106</v>
      </c>
      <c r="E23410">
        <v>23.7481259370314</v>
      </c>
    </row>
    <row r="23411" spans="1:5">
      <c r="A23411" t="s">
        <v>27203</v>
      </c>
      <c r="B23411" t="s">
        <v>27205</v>
      </c>
      <c r="C23411">
        <f>0</f>
        <v>0</v>
      </c>
      <c r="D23411" t="s">
        <v>106</v>
      </c>
      <c r="E23411">
        <v>23.7481259370314</v>
      </c>
    </row>
    <row r="23412" spans="1:5">
      <c r="A23412" t="s">
        <v>27203</v>
      </c>
      <c r="B23412" t="s">
        <v>27206</v>
      </c>
      <c r="C23412">
        <f>0</f>
        <v>0</v>
      </c>
      <c r="D23412" t="s">
        <v>106</v>
      </c>
      <c r="E23412">
        <v>23.7481259370314</v>
      </c>
    </row>
    <row r="23413" spans="1:5">
      <c r="A23413" t="s">
        <v>27203</v>
      </c>
      <c r="B23413" t="s">
        <v>27207</v>
      </c>
      <c r="C23413">
        <v>0</v>
      </c>
      <c r="D23413" t="s">
        <v>106</v>
      </c>
      <c r="E23413">
        <v>23.7481259370314</v>
      </c>
    </row>
    <row r="23414" spans="1:5">
      <c r="A23414" t="s">
        <v>27203</v>
      </c>
      <c r="B23414" t="s">
        <v>27208</v>
      </c>
      <c r="C23414">
        <f>0</f>
        <v>0</v>
      </c>
      <c r="D23414" t="s">
        <v>106</v>
      </c>
      <c r="E23414">
        <v>23.7481259370314</v>
      </c>
    </row>
    <row r="23415" spans="1:5">
      <c r="A23415" t="s">
        <v>27203</v>
      </c>
      <c r="B23415" t="s">
        <v>27209</v>
      </c>
      <c r="C23415">
        <v>0</v>
      </c>
      <c r="D23415" t="s">
        <v>106</v>
      </c>
      <c r="E23415">
        <v>23.7481259370314</v>
      </c>
    </row>
    <row r="23416" spans="1:5">
      <c r="A23416" t="s">
        <v>27203</v>
      </c>
      <c r="B23416" t="s">
        <v>27210</v>
      </c>
      <c r="C23416">
        <v>0</v>
      </c>
      <c r="D23416" t="s">
        <v>106</v>
      </c>
      <c r="E23416">
        <v>23.7481259370314</v>
      </c>
    </row>
    <row r="23417" spans="1:5">
      <c r="A23417" t="s">
        <v>27203</v>
      </c>
      <c r="B23417" t="s">
        <v>27211</v>
      </c>
      <c r="C23417">
        <v>0</v>
      </c>
      <c r="D23417" t="s">
        <v>106</v>
      </c>
      <c r="E23417">
        <v>23.7481259370314</v>
      </c>
    </row>
    <row r="23418" spans="1:5">
      <c r="A23418" t="s">
        <v>27203</v>
      </c>
      <c r="B23418" t="s">
        <v>27212</v>
      </c>
      <c r="C23418">
        <v>1.8521863081300001E-2</v>
      </c>
      <c r="D23418" t="s">
        <v>106</v>
      </c>
      <c r="E23418">
        <v>23.7481259370314</v>
      </c>
    </row>
    <row r="23419" spans="1:5">
      <c r="A23419" t="s">
        <v>27203</v>
      </c>
      <c r="B23419" t="s">
        <v>27213</v>
      </c>
      <c r="C23419">
        <f>0</f>
        <v>0</v>
      </c>
      <c r="D23419" t="s">
        <v>106</v>
      </c>
      <c r="E23419">
        <v>23.7481259370314</v>
      </c>
    </row>
    <row r="23420" spans="1:5">
      <c r="A23420" t="s">
        <v>27214</v>
      </c>
      <c r="B23420" t="s">
        <v>27215</v>
      </c>
      <c r="C23420">
        <v>0</v>
      </c>
      <c r="D23420">
        <v>0.99330786283799999</v>
      </c>
      <c r="E23420">
        <v>11.7061469265367</v>
      </c>
    </row>
    <row r="23421" spans="1:5">
      <c r="A23421" t="s">
        <v>27214</v>
      </c>
      <c r="B23421" t="s">
        <v>27216</v>
      </c>
      <c r="C23421">
        <f>0</f>
        <v>0</v>
      </c>
      <c r="D23421">
        <v>0.99330786283799999</v>
      </c>
      <c r="E23421">
        <v>11.7061469265367</v>
      </c>
    </row>
    <row r="23422" spans="1:5">
      <c r="A23422" t="s">
        <v>27214</v>
      </c>
      <c r="B23422" t="s">
        <v>27217</v>
      </c>
      <c r="C23422">
        <f>0</f>
        <v>0</v>
      </c>
      <c r="D23422">
        <v>0.99330786283799999</v>
      </c>
      <c r="E23422">
        <v>11.7061469265367</v>
      </c>
    </row>
    <row r="23423" spans="1:5">
      <c r="A23423" t="s">
        <v>27214</v>
      </c>
      <c r="B23423" t="s">
        <v>27218</v>
      </c>
      <c r="C23423">
        <f>0</f>
        <v>0</v>
      </c>
      <c r="D23423">
        <v>0.99330786283799999</v>
      </c>
      <c r="E23423">
        <v>11.7061469265367</v>
      </c>
    </row>
    <row r="23424" spans="1:5">
      <c r="A23424" t="s">
        <v>27214</v>
      </c>
      <c r="B23424" t="s">
        <v>27219</v>
      </c>
      <c r="C23424">
        <f>0.033692759808</f>
        <v>3.3692759808000003E-2</v>
      </c>
      <c r="D23424">
        <v>0.99330786283799999</v>
      </c>
      <c r="E23424">
        <v>11.7061469265367</v>
      </c>
    </row>
    <row r="23425" spans="1:5">
      <c r="A23425" t="s">
        <v>27214</v>
      </c>
      <c r="B23425" t="s">
        <v>27220</v>
      </c>
      <c r="C23425">
        <f>0.0571087047836</f>
        <v>5.7108704783600001E-2</v>
      </c>
      <c r="D23425">
        <v>0.99330786283799999</v>
      </c>
      <c r="E23425">
        <v>11.7061469265367</v>
      </c>
    </row>
    <row r="23426" spans="1:5">
      <c r="A23426" t="s">
        <v>27221</v>
      </c>
      <c r="B23426" t="s">
        <v>27222</v>
      </c>
      <c r="C23426">
        <v>0.16510128597500001</v>
      </c>
      <c r="D23426" t="s">
        <v>106</v>
      </c>
      <c r="E23426">
        <v>7.0644677661169402</v>
      </c>
    </row>
    <row r="23427" spans="1:5">
      <c r="A23427" t="s">
        <v>27221</v>
      </c>
      <c r="B23427" t="s">
        <v>27223</v>
      </c>
      <c r="C23427">
        <f>0.0787677227455</f>
        <v>7.8767722745499993E-2</v>
      </c>
      <c r="D23427" t="s">
        <v>106</v>
      </c>
      <c r="E23427">
        <v>7.0644677661169402</v>
      </c>
    </row>
    <row r="23428" spans="1:5">
      <c r="A23428" t="s">
        <v>27221</v>
      </c>
      <c r="B23428" t="s">
        <v>27224</v>
      </c>
      <c r="C23428">
        <v>0</v>
      </c>
      <c r="D23428" t="s">
        <v>106</v>
      </c>
      <c r="E23428">
        <v>7.0644677661169402</v>
      </c>
    </row>
    <row r="23429" spans="1:5">
      <c r="A23429" t="s">
        <v>27225</v>
      </c>
      <c r="B23429" t="s">
        <v>27226</v>
      </c>
      <c r="C23429">
        <v>0.355046443652</v>
      </c>
      <c r="D23429">
        <v>0.94882130574300005</v>
      </c>
      <c r="E23429">
        <v>1.39130434782608</v>
      </c>
    </row>
    <row r="23430" spans="1:5">
      <c r="A23430" t="s">
        <v>27225</v>
      </c>
      <c r="B23430" t="s">
        <v>27227</v>
      </c>
      <c r="C23430">
        <v>0.40282487182600002</v>
      </c>
      <c r="D23430">
        <v>0.94882130574300005</v>
      </c>
      <c r="E23430">
        <v>1.39130434782608</v>
      </c>
    </row>
    <row r="23431" spans="1:5">
      <c r="A23431" t="s">
        <v>27225</v>
      </c>
      <c r="B23431" t="s">
        <v>27228</v>
      </c>
      <c r="C23431">
        <v>0</v>
      </c>
      <c r="D23431">
        <v>0.94882130574300005</v>
      </c>
      <c r="E23431">
        <v>1.39130434782608</v>
      </c>
    </row>
    <row r="23432" spans="1:5">
      <c r="A23432" t="s">
        <v>27229</v>
      </c>
      <c r="B23432" t="s">
        <v>27230</v>
      </c>
      <c r="C23432">
        <v>0</v>
      </c>
      <c r="D23432">
        <v>0.96681725697800003</v>
      </c>
      <c r="E23432">
        <v>16.491754122938499</v>
      </c>
    </row>
    <row r="23433" spans="1:5">
      <c r="A23433" t="s">
        <v>27229</v>
      </c>
      <c r="B23433" t="s">
        <v>27231</v>
      </c>
      <c r="C23433">
        <v>5.1066341811399997E-2</v>
      </c>
      <c r="D23433">
        <v>0.96681725697800003</v>
      </c>
      <c r="E23433">
        <v>16.491754122938499</v>
      </c>
    </row>
    <row r="23434" spans="1:5">
      <c r="A23434" t="s">
        <v>27229</v>
      </c>
      <c r="B23434" t="s">
        <v>27232</v>
      </c>
      <c r="C23434">
        <f>0</f>
        <v>0</v>
      </c>
      <c r="D23434">
        <v>0.96681725697800003</v>
      </c>
      <c r="E23434">
        <v>16.491754122938499</v>
      </c>
    </row>
    <row r="23435" spans="1:5">
      <c r="A23435" t="s">
        <v>27229</v>
      </c>
      <c r="B23435" t="s">
        <v>27233</v>
      </c>
      <c r="C23435">
        <v>0</v>
      </c>
      <c r="D23435">
        <v>0.96681725697800003</v>
      </c>
      <c r="E23435">
        <v>16.491754122938499</v>
      </c>
    </row>
    <row r="23436" spans="1:5">
      <c r="A23436" t="s">
        <v>27229</v>
      </c>
      <c r="B23436" t="s">
        <v>27234</v>
      </c>
      <c r="C23436">
        <v>0.20216574074400001</v>
      </c>
      <c r="D23436">
        <v>0.96681725697800003</v>
      </c>
      <c r="E23436">
        <v>16.491754122938499</v>
      </c>
    </row>
    <row r="23437" spans="1:5">
      <c r="A23437" t="s">
        <v>27229</v>
      </c>
      <c r="B23437" t="s">
        <v>27235</v>
      </c>
      <c r="C23437">
        <v>0</v>
      </c>
      <c r="D23437">
        <v>0.96681725697800003</v>
      </c>
      <c r="E23437">
        <v>16.491754122938499</v>
      </c>
    </row>
    <row r="23438" spans="1:5">
      <c r="A23438" t="s">
        <v>27236</v>
      </c>
      <c r="B23438" t="s">
        <v>27237</v>
      </c>
      <c r="C23438">
        <f>0</f>
        <v>0</v>
      </c>
      <c r="D23438" t="s">
        <v>106</v>
      </c>
      <c r="E23438">
        <v>14.3688155922038</v>
      </c>
    </row>
    <row r="23439" spans="1:5">
      <c r="A23439" t="s">
        <v>27236</v>
      </c>
      <c r="B23439" t="s">
        <v>27238</v>
      </c>
      <c r="C23439">
        <f>0</f>
        <v>0</v>
      </c>
      <c r="D23439" t="s">
        <v>106</v>
      </c>
      <c r="E23439">
        <v>14.3688155922038</v>
      </c>
    </row>
    <row r="23440" spans="1:5">
      <c r="A23440" t="s">
        <v>27239</v>
      </c>
      <c r="B23440" t="s">
        <v>27240</v>
      </c>
      <c r="C23440">
        <f>0</f>
        <v>0</v>
      </c>
      <c r="D23440" t="s">
        <v>106</v>
      </c>
      <c r="E23440">
        <v>9.9190404797601204</v>
      </c>
    </row>
    <row r="23441" spans="1:5">
      <c r="A23441" t="s">
        <v>27241</v>
      </c>
      <c r="B23441" t="s">
        <v>27242</v>
      </c>
      <c r="C23441">
        <v>0.35423239536700002</v>
      </c>
      <c r="D23441" t="s">
        <v>106</v>
      </c>
      <c r="E23441">
        <v>3.2263868065966999</v>
      </c>
    </row>
    <row r="23442" spans="1:5">
      <c r="A23442" t="s">
        <v>27241</v>
      </c>
      <c r="B23442" t="s">
        <v>27243</v>
      </c>
      <c r="C23442">
        <f>0.003988164147</f>
        <v>3.9881641469999996E-3</v>
      </c>
      <c r="D23442" t="s">
        <v>106</v>
      </c>
      <c r="E23442">
        <v>3.2263868065966999</v>
      </c>
    </row>
    <row r="23443" spans="1:5">
      <c r="A23443" t="s">
        <v>27241</v>
      </c>
      <c r="B23443" t="s">
        <v>27244</v>
      </c>
      <c r="C23443">
        <v>5.11604294046E-2</v>
      </c>
      <c r="D23443" t="s">
        <v>106</v>
      </c>
      <c r="E23443">
        <v>3.2263868065966999</v>
      </c>
    </row>
    <row r="23444" spans="1:5">
      <c r="A23444" t="s">
        <v>27241</v>
      </c>
      <c r="B23444" t="s">
        <v>27245</v>
      </c>
      <c r="C23444">
        <f>0</f>
        <v>0</v>
      </c>
      <c r="D23444" t="s">
        <v>106</v>
      </c>
      <c r="E23444">
        <v>3.2263868065966999</v>
      </c>
    </row>
    <row r="23445" spans="1:5">
      <c r="A23445" t="s">
        <v>27241</v>
      </c>
      <c r="B23445" t="s">
        <v>27246</v>
      </c>
      <c r="C23445">
        <v>0</v>
      </c>
      <c r="D23445" t="s">
        <v>106</v>
      </c>
      <c r="E23445">
        <v>3.2263868065966999</v>
      </c>
    </row>
    <row r="23446" spans="1:5">
      <c r="A23446" t="s">
        <v>27247</v>
      </c>
      <c r="B23446" t="s">
        <v>27248</v>
      </c>
      <c r="C23446">
        <v>0.114135209317</v>
      </c>
      <c r="D23446">
        <v>0.74157159446400001</v>
      </c>
      <c r="E23446">
        <v>3.8740629685157399</v>
      </c>
    </row>
    <row r="23447" spans="1:5">
      <c r="A23447" t="s">
        <v>27247</v>
      </c>
      <c r="B23447" t="s">
        <v>27249</v>
      </c>
      <c r="C23447">
        <f>0.0761041734495</f>
        <v>7.6104173449500004E-2</v>
      </c>
      <c r="D23447">
        <v>0.74157159446400001</v>
      </c>
      <c r="E23447">
        <v>3.8740629685157399</v>
      </c>
    </row>
    <row r="23448" spans="1:5">
      <c r="A23448" t="s">
        <v>27247</v>
      </c>
      <c r="B23448" t="s">
        <v>27250</v>
      </c>
      <c r="C23448">
        <v>0</v>
      </c>
      <c r="D23448">
        <v>0.74157159446400001</v>
      </c>
      <c r="E23448">
        <v>3.8740629685157399</v>
      </c>
    </row>
    <row r="23449" spans="1:5">
      <c r="A23449" t="s">
        <v>27247</v>
      </c>
      <c r="B23449" t="s">
        <v>27251</v>
      </c>
      <c r="C23449">
        <v>0</v>
      </c>
      <c r="D23449">
        <v>0.74157159446400001</v>
      </c>
      <c r="E23449">
        <v>3.8740629685157399</v>
      </c>
    </row>
    <row r="23450" spans="1:5">
      <c r="A23450" t="s">
        <v>27247</v>
      </c>
      <c r="B23450" t="s">
        <v>27252</v>
      </c>
      <c r="C23450">
        <f>0</f>
        <v>0</v>
      </c>
      <c r="D23450">
        <v>0.74157159446400001</v>
      </c>
      <c r="E23450">
        <v>3.8740629685157399</v>
      </c>
    </row>
    <row r="23451" spans="1:5">
      <c r="A23451" t="s">
        <v>27247</v>
      </c>
      <c r="B23451" t="s">
        <v>27253</v>
      </c>
      <c r="C23451">
        <v>0</v>
      </c>
      <c r="D23451">
        <v>0.74157159446400001</v>
      </c>
      <c r="E23451">
        <v>3.8740629685157399</v>
      </c>
    </row>
    <row r="23452" spans="1:5">
      <c r="A23452" t="s">
        <v>27247</v>
      </c>
      <c r="B23452" t="s">
        <v>27254</v>
      </c>
      <c r="C23452">
        <v>0</v>
      </c>
      <c r="D23452">
        <v>0.74157159446400001</v>
      </c>
      <c r="E23452">
        <v>3.8740629685157399</v>
      </c>
    </row>
    <row r="23453" spans="1:5">
      <c r="A23453" t="s">
        <v>27255</v>
      </c>
      <c r="B23453" t="s">
        <v>27256</v>
      </c>
      <c r="C23453">
        <v>0</v>
      </c>
      <c r="D23453">
        <v>0.96049938825400005</v>
      </c>
      <c r="E23453">
        <v>5.9370314842578704</v>
      </c>
    </row>
    <row r="23454" spans="1:5">
      <c r="A23454" t="s">
        <v>27255</v>
      </c>
      <c r="B23454" t="s">
        <v>27257</v>
      </c>
      <c r="C23454">
        <v>0</v>
      </c>
      <c r="D23454">
        <v>0.96049938825400005</v>
      </c>
      <c r="E23454">
        <v>5.9370314842578704</v>
      </c>
    </row>
    <row r="23455" spans="1:5">
      <c r="A23455" t="s">
        <v>27255</v>
      </c>
      <c r="B23455" t="s">
        <v>27258</v>
      </c>
      <c r="C23455">
        <v>0</v>
      </c>
      <c r="D23455">
        <v>0.96049938825400005</v>
      </c>
      <c r="E23455">
        <v>5.9370314842578704</v>
      </c>
    </row>
    <row r="23456" spans="1:5">
      <c r="A23456" t="s">
        <v>27255</v>
      </c>
      <c r="B23456" t="s">
        <v>27259</v>
      </c>
      <c r="C23456">
        <v>0</v>
      </c>
      <c r="D23456">
        <v>0.96049938825400005</v>
      </c>
      <c r="E23456">
        <v>5.9370314842578704</v>
      </c>
    </row>
    <row r="23457" spans="1:5">
      <c r="A23457" t="s">
        <v>27255</v>
      </c>
      <c r="B23457" t="s">
        <v>27260</v>
      </c>
      <c r="C23457">
        <f>0</f>
        <v>0</v>
      </c>
      <c r="D23457">
        <v>0.96049938825400005</v>
      </c>
      <c r="E23457">
        <v>5.9370314842578704</v>
      </c>
    </row>
    <row r="23458" spans="1:5">
      <c r="A23458" t="s">
        <v>27261</v>
      </c>
      <c r="B23458" t="s">
        <v>27262</v>
      </c>
      <c r="C23458">
        <f>0</f>
        <v>0</v>
      </c>
      <c r="D23458">
        <v>0.98556097099499995</v>
      </c>
      <c r="E23458">
        <v>24</v>
      </c>
    </row>
    <row r="23459" spans="1:5">
      <c r="A23459" t="s">
        <v>27261</v>
      </c>
      <c r="B23459" t="s">
        <v>27263</v>
      </c>
      <c r="C23459">
        <f>0</f>
        <v>0</v>
      </c>
      <c r="D23459">
        <v>0.98556097099499995</v>
      </c>
      <c r="E23459">
        <v>24</v>
      </c>
    </row>
    <row r="23460" spans="1:5">
      <c r="A23460" t="s">
        <v>27261</v>
      </c>
      <c r="B23460" t="s">
        <v>27264</v>
      </c>
      <c r="C23460">
        <v>0</v>
      </c>
      <c r="D23460">
        <v>0.98556097099499995</v>
      </c>
      <c r="E23460">
        <v>24</v>
      </c>
    </row>
    <row r="23461" spans="1:5">
      <c r="A23461" t="s">
        <v>27261</v>
      </c>
      <c r="B23461" t="s">
        <v>27265</v>
      </c>
      <c r="C23461">
        <v>0.163994588568</v>
      </c>
      <c r="D23461">
        <v>0.98556097099499995</v>
      </c>
      <c r="E23461">
        <v>24</v>
      </c>
    </row>
    <row r="23462" spans="1:5">
      <c r="A23462" t="s">
        <v>27261</v>
      </c>
      <c r="B23462" t="s">
        <v>27266</v>
      </c>
      <c r="C23462">
        <v>2.00869668041E-2</v>
      </c>
      <c r="D23462">
        <v>0.98556097099499995</v>
      </c>
      <c r="E23462">
        <v>24</v>
      </c>
    </row>
    <row r="23463" spans="1:5">
      <c r="A23463" t="s">
        <v>27267</v>
      </c>
      <c r="B23463" t="s">
        <v>27268</v>
      </c>
      <c r="C23463">
        <v>0</v>
      </c>
      <c r="D23463">
        <v>0.99453653708599998</v>
      </c>
      <c r="E23463">
        <v>23.040479760119901</v>
      </c>
    </row>
    <row r="23464" spans="1:5">
      <c r="A23464" t="s">
        <v>27267</v>
      </c>
      <c r="B23464" t="s">
        <v>27269</v>
      </c>
      <c r="C23464">
        <v>1.10857102861E-2</v>
      </c>
      <c r="D23464">
        <v>0.99453653708599998</v>
      </c>
      <c r="E23464">
        <v>23.040479760119901</v>
      </c>
    </row>
    <row r="23465" spans="1:5">
      <c r="A23465" t="s">
        <v>27267</v>
      </c>
      <c r="B23465" t="s">
        <v>27270</v>
      </c>
      <c r="C23465">
        <v>0.116171299746</v>
      </c>
      <c r="D23465">
        <v>0.99453653708599998</v>
      </c>
      <c r="E23465">
        <v>23.040479760119901</v>
      </c>
    </row>
    <row r="23466" spans="1:5">
      <c r="A23466" t="s">
        <v>27267</v>
      </c>
      <c r="B23466" t="s">
        <v>27271</v>
      </c>
      <c r="C23466">
        <v>0</v>
      </c>
      <c r="D23466">
        <v>0.99453653708599998</v>
      </c>
      <c r="E23466">
        <v>23.040479760119901</v>
      </c>
    </row>
    <row r="23467" spans="1:5">
      <c r="A23467" t="s">
        <v>27267</v>
      </c>
      <c r="B23467" t="s">
        <v>27272</v>
      </c>
      <c r="C23467">
        <v>0</v>
      </c>
      <c r="D23467">
        <v>0.99453653708599998</v>
      </c>
      <c r="E23467">
        <v>23.040479760119901</v>
      </c>
    </row>
    <row r="23468" spans="1:5">
      <c r="A23468" t="s">
        <v>27267</v>
      </c>
      <c r="B23468" t="s">
        <v>27273</v>
      </c>
      <c r="C23468">
        <f>0</f>
        <v>0</v>
      </c>
      <c r="D23468">
        <v>0.99453653708599998</v>
      </c>
      <c r="E23468">
        <v>23.040479760119901</v>
      </c>
    </row>
    <row r="23469" spans="1:5">
      <c r="A23469" t="s">
        <v>27274</v>
      </c>
      <c r="B23469" t="s">
        <v>27275</v>
      </c>
      <c r="C23469">
        <v>0.69358228589199999</v>
      </c>
      <c r="D23469">
        <v>0.99627219746600004</v>
      </c>
      <c r="E23469">
        <v>5.69715142428785</v>
      </c>
    </row>
    <row r="23470" spans="1:5">
      <c r="A23470" t="s">
        <v>27274</v>
      </c>
      <c r="B23470" t="s">
        <v>27276</v>
      </c>
      <c r="C23470">
        <v>3.3216925350000003E-2</v>
      </c>
      <c r="D23470">
        <v>0.99627219746600004</v>
      </c>
      <c r="E23470">
        <v>5.69715142428785</v>
      </c>
    </row>
    <row r="23471" spans="1:5">
      <c r="A23471" t="s">
        <v>27277</v>
      </c>
      <c r="B23471" t="s">
        <v>27278</v>
      </c>
      <c r="C23471">
        <f>0.0276166920721</f>
        <v>2.7616692072100001E-2</v>
      </c>
      <c r="D23471">
        <v>0.96201376407100003</v>
      </c>
      <c r="E23471">
        <v>0.215892053973013</v>
      </c>
    </row>
    <row r="23472" spans="1:5">
      <c r="A23472" t="s">
        <v>27277</v>
      </c>
      <c r="B23472" t="s">
        <v>27279</v>
      </c>
      <c r="C23472">
        <v>0.17371903223900001</v>
      </c>
      <c r="D23472">
        <v>0.96201376407100003</v>
      </c>
      <c r="E23472">
        <v>0.215892053973013</v>
      </c>
    </row>
    <row r="23473" spans="1:5">
      <c r="A23473" t="s">
        <v>27280</v>
      </c>
      <c r="B23473" t="s">
        <v>27281</v>
      </c>
      <c r="C23473">
        <f>0</f>
        <v>0</v>
      </c>
      <c r="D23473" t="s">
        <v>106</v>
      </c>
      <c r="E23473">
        <v>4.3778110944527704</v>
      </c>
    </row>
    <row r="23474" spans="1:5">
      <c r="A23474" t="s">
        <v>27280</v>
      </c>
      <c r="B23474" t="s">
        <v>27282</v>
      </c>
      <c r="C23474">
        <v>0</v>
      </c>
      <c r="D23474" t="s">
        <v>106</v>
      </c>
      <c r="E23474">
        <v>4.3778110944527704</v>
      </c>
    </row>
    <row r="23475" spans="1:5">
      <c r="A23475" t="s">
        <v>27280</v>
      </c>
      <c r="B23475" t="s">
        <v>27283</v>
      </c>
      <c r="C23475">
        <v>0</v>
      </c>
      <c r="D23475" t="s">
        <v>106</v>
      </c>
      <c r="E23475">
        <v>4.3778110944527704</v>
      </c>
    </row>
    <row r="23476" spans="1:5">
      <c r="A23476" t="s">
        <v>27280</v>
      </c>
      <c r="B23476" t="s">
        <v>27284</v>
      </c>
      <c r="C23476">
        <v>0</v>
      </c>
      <c r="D23476" t="s">
        <v>106</v>
      </c>
      <c r="E23476">
        <v>4.3778110944527704</v>
      </c>
    </row>
    <row r="23477" spans="1:5">
      <c r="A23477" t="s">
        <v>27280</v>
      </c>
      <c r="B23477" t="s">
        <v>27285</v>
      </c>
      <c r="C23477">
        <v>0</v>
      </c>
      <c r="D23477" t="s">
        <v>106</v>
      </c>
      <c r="E23477">
        <v>4.3778110944527704</v>
      </c>
    </row>
    <row r="23478" spans="1:5">
      <c r="A23478" t="s">
        <v>27280</v>
      </c>
      <c r="B23478" t="s">
        <v>27286</v>
      </c>
      <c r="C23478">
        <v>0</v>
      </c>
      <c r="D23478" t="s">
        <v>106</v>
      </c>
      <c r="E23478">
        <v>4.3778110944527704</v>
      </c>
    </row>
    <row r="23479" spans="1:5">
      <c r="A23479" t="s">
        <v>27280</v>
      </c>
      <c r="B23479" t="s">
        <v>27287</v>
      </c>
      <c r="C23479">
        <v>0</v>
      </c>
      <c r="D23479" t="s">
        <v>106</v>
      </c>
      <c r="E23479">
        <v>4.3778110944527704</v>
      </c>
    </row>
    <row r="23480" spans="1:5">
      <c r="A23480" t="s">
        <v>27280</v>
      </c>
      <c r="B23480" t="s">
        <v>27288</v>
      </c>
      <c r="C23480">
        <f>0</f>
        <v>0</v>
      </c>
      <c r="D23480" t="s">
        <v>106</v>
      </c>
      <c r="E23480">
        <v>4.3778110944527704</v>
      </c>
    </row>
    <row r="23481" spans="1:5">
      <c r="A23481" t="s">
        <v>27280</v>
      </c>
      <c r="B23481" t="s">
        <v>27289</v>
      </c>
      <c r="C23481">
        <f>0</f>
        <v>0</v>
      </c>
      <c r="D23481" t="s">
        <v>106</v>
      </c>
      <c r="E23481">
        <v>4.3778110944527704</v>
      </c>
    </row>
    <row r="23482" spans="1:5">
      <c r="A23482" t="s">
        <v>27280</v>
      </c>
      <c r="B23482" t="s">
        <v>27290</v>
      </c>
      <c r="C23482">
        <v>0</v>
      </c>
      <c r="D23482" t="s">
        <v>106</v>
      </c>
      <c r="E23482">
        <v>4.3778110944527704</v>
      </c>
    </row>
    <row r="23483" spans="1:5">
      <c r="A23483" t="s">
        <v>27280</v>
      </c>
      <c r="B23483" t="s">
        <v>27291</v>
      </c>
      <c r="C23483">
        <f>0</f>
        <v>0</v>
      </c>
      <c r="D23483" t="s">
        <v>106</v>
      </c>
      <c r="E23483">
        <v>4.3778110944527704</v>
      </c>
    </row>
    <row r="23484" spans="1:5">
      <c r="A23484" t="s">
        <v>27292</v>
      </c>
      <c r="B23484" t="s">
        <v>27293</v>
      </c>
      <c r="C23484">
        <f>0.533475039972</f>
        <v>0.53347503997199996</v>
      </c>
      <c r="D23484">
        <v>0.95658355191900002</v>
      </c>
      <c r="E23484">
        <v>0</v>
      </c>
    </row>
    <row r="23485" spans="1:5">
      <c r="A23485" t="s">
        <v>27292</v>
      </c>
      <c r="B23485" t="s">
        <v>27294</v>
      </c>
      <c r="C23485">
        <f>0</f>
        <v>0</v>
      </c>
      <c r="D23485">
        <v>0.95658355191900002</v>
      </c>
      <c r="E23485">
        <v>0</v>
      </c>
    </row>
    <row r="23486" spans="1:5">
      <c r="A23486" t="s">
        <v>27292</v>
      </c>
      <c r="B23486" t="s">
        <v>27295</v>
      </c>
      <c r="C23486">
        <v>9.9432422521500002E-2</v>
      </c>
      <c r="D23486">
        <v>0.95658355191900002</v>
      </c>
      <c r="E23486">
        <v>0</v>
      </c>
    </row>
    <row r="23487" spans="1:5">
      <c r="A23487" t="s">
        <v>27296</v>
      </c>
      <c r="B23487" t="s">
        <v>27297</v>
      </c>
      <c r="C23487">
        <v>0.212901564849</v>
      </c>
      <c r="D23487">
        <v>0.92041757105400002</v>
      </c>
      <c r="E23487">
        <v>5.3493253373313303</v>
      </c>
    </row>
    <row r="23488" spans="1:5">
      <c r="A23488" t="s">
        <v>27296</v>
      </c>
      <c r="B23488" t="s">
        <v>27298</v>
      </c>
      <c r="C23488">
        <v>0</v>
      </c>
      <c r="D23488">
        <v>0.92041757105400002</v>
      </c>
      <c r="E23488">
        <v>5.3493253373313303</v>
      </c>
    </row>
    <row r="23489" spans="1:5">
      <c r="A23489" t="s">
        <v>27296</v>
      </c>
      <c r="B23489" t="s">
        <v>27299</v>
      </c>
      <c r="C23489">
        <f>0</f>
        <v>0</v>
      </c>
      <c r="D23489">
        <v>0.92041757105400002</v>
      </c>
      <c r="E23489">
        <v>5.3493253373313303</v>
      </c>
    </row>
    <row r="23490" spans="1:5">
      <c r="A23490" t="s">
        <v>27296</v>
      </c>
      <c r="B23490" t="s">
        <v>27300</v>
      </c>
      <c r="C23490">
        <v>0.22250421384399999</v>
      </c>
      <c r="D23490">
        <v>0.92041757105400002</v>
      </c>
      <c r="E23490">
        <v>5.3493253373313303</v>
      </c>
    </row>
    <row r="23491" spans="1:5">
      <c r="A23491" t="s">
        <v>27296</v>
      </c>
      <c r="B23491" t="s">
        <v>27301</v>
      </c>
      <c r="C23491">
        <v>0</v>
      </c>
      <c r="D23491">
        <v>0.92041757105400002</v>
      </c>
      <c r="E23491">
        <v>5.3493253373313303</v>
      </c>
    </row>
    <row r="23492" spans="1:5">
      <c r="A23492" t="s">
        <v>27296</v>
      </c>
      <c r="B23492" t="s">
        <v>27302</v>
      </c>
      <c r="C23492">
        <v>0</v>
      </c>
      <c r="D23492">
        <v>0.92041757105400002</v>
      </c>
      <c r="E23492">
        <v>5.3493253373313303</v>
      </c>
    </row>
    <row r="23493" spans="1:5">
      <c r="A23493" t="s">
        <v>27303</v>
      </c>
      <c r="B23493" t="s">
        <v>27304</v>
      </c>
      <c r="C23493">
        <v>0</v>
      </c>
      <c r="D23493">
        <v>0.86978086060600002</v>
      </c>
      <c r="E23493">
        <v>12.0419790104947</v>
      </c>
    </row>
    <row r="23494" spans="1:5">
      <c r="A23494" t="s">
        <v>27303</v>
      </c>
      <c r="B23494" t="s">
        <v>27305</v>
      </c>
      <c r="C23494">
        <f>0</f>
        <v>0</v>
      </c>
      <c r="D23494">
        <v>0.86978086060600002</v>
      </c>
      <c r="E23494">
        <v>12.0419790104947</v>
      </c>
    </row>
    <row r="23495" spans="1:5">
      <c r="A23495" t="s">
        <v>27303</v>
      </c>
      <c r="B23495" t="s">
        <v>27306</v>
      </c>
      <c r="C23495">
        <f>0</f>
        <v>0</v>
      </c>
      <c r="D23495">
        <v>0.86978086060600002</v>
      </c>
      <c r="E23495">
        <v>12.0419790104947</v>
      </c>
    </row>
    <row r="23496" spans="1:5">
      <c r="A23496" t="s">
        <v>27303</v>
      </c>
      <c r="B23496" t="s">
        <v>27307</v>
      </c>
      <c r="C23496">
        <v>0</v>
      </c>
      <c r="D23496">
        <v>0.86978086060600002</v>
      </c>
      <c r="E23496">
        <v>12.0419790104947</v>
      </c>
    </row>
    <row r="23497" spans="1:5">
      <c r="A23497" t="s">
        <v>27303</v>
      </c>
      <c r="B23497" t="s">
        <v>27308</v>
      </c>
      <c r="C23497">
        <v>3.4754819083899997E-2</v>
      </c>
      <c r="D23497">
        <v>0.86978086060600002</v>
      </c>
      <c r="E23497">
        <v>12.0419790104947</v>
      </c>
    </row>
    <row r="23498" spans="1:5">
      <c r="A23498" t="s">
        <v>27303</v>
      </c>
      <c r="B23498" t="s">
        <v>27309</v>
      </c>
      <c r="C23498">
        <f>0.0101390463496</f>
        <v>1.0139046349600001E-2</v>
      </c>
      <c r="D23498">
        <v>0.86978086060600002</v>
      </c>
      <c r="E23498">
        <v>12.0419790104947</v>
      </c>
    </row>
    <row r="23499" spans="1:5">
      <c r="A23499" t="s">
        <v>27310</v>
      </c>
      <c r="B23499" t="s">
        <v>27311</v>
      </c>
      <c r="C23499">
        <v>0.30481728281699999</v>
      </c>
      <c r="D23499">
        <v>0.95539540746499996</v>
      </c>
      <c r="E23499">
        <v>0.69565217391304301</v>
      </c>
    </row>
    <row r="23500" spans="1:5">
      <c r="A23500" t="s">
        <v>27310</v>
      </c>
      <c r="B23500" t="s">
        <v>27312</v>
      </c>
      <c r="C23500">
        <f>0</f>
        <v>0</v>
      </c>
      <c r="D23500">
        <v>0.95539540746499996</v>
      </c>
      <c r="E23500">
        <v>0.69565217391304301</v>
      </c>
    </row>
    <row r="23501" spans="1:5">
      <c r="A23501" t="s">
        <v>27310</v>
      </c>
      <c r="B23501" t="s">
        <v>27313</v>
      </c>
      <c r="C23501">
        <v>0</v>
      </c>
      <c r="D23501">
        <v>0.95539540746499996</v>
      </c>
      <c r="E23501">
        <v>0.69565217391304301</v>
      </c>
    </row>
    <row r="23502" spans="1:5">
      <c r="A23502" t="s">
        <v>27310</v>
      </c>
      <c r="B23502" t="s">
        <v>27314</v>
      </c>
      <c r="C23502">
        <v>0</v>
      </c>
      <c r="D23502">
        <v>0.95539540746499996</v>
      </c>
      <c r="E23502">
        <v>0.69565217391304301</v>
      </c>
    </row>
    <row r="23503" spans="1:5">
      <c r="A23503" t="s">
        <v>27310</v>
      </c>
      <c r="B23503" t="s">
        <v>27315</v>
      </c>
      <c r="C23503">
        <v>0</v>
      </c>
      <c r="D23503">
        <v>0.95539540746499996</v>
      </c>
      <c r="E23503">
        <v>0.69565217391304301</v>
      </c>
    </row>
    <row r="23504" spans="1:5">
      <c r="A23504" t="s">
        <v>27310</v>
      </c>
      <c r="B23504" t="s">
        <v>27316</v>
      </c>
      <c r="C23504">
        <v>0.11542723232</v>
      </c>
      <c r="D23504">
        <v>0.95539540746499996</v>
      </c>
      <c r="E23504">
        <v>0.69565217391304301</v>
      </c>
    </row>
    <row r="23505" spans="1:5">
      <c r="A23505" t="s">
        <v>27317</v>
      </c>
      <c r="B23505" t="s">
        <v>27318</v>
      </c>
      <c r="C23505">
        <v>0</v>
      </c>
      <c r="D23505" t="s">
        <v>106</v>
      </c>
      <c r="E23505">
        <v>4.1739130434782599</v>
      </c>
    </row>
    <row r="23506" spans="1:5">
      <c r="A23506" t="s">
        <v>27319</v>
      </c>
      <c r="B23506" t="s">
        <v>27320</v>
      </c>
      <c r="C23506">
        <v>0</v>
      </c>
      <c r="D23506" t="s">
        <v>106</v>
      </c>
      <c r="E23506">
        <v>2.96251874062968</v>
      </c>
    </row>
    <row r="23507" spans="1:5">
      <c r="A23507" t="s">
        <v>27319</v>
      </c>
      <c r="B23507" t="s">
        <v>27321</v>
      </c>
      <c r="C23507">
        <f>0</f>
        <v>0</v>
      </c>
      <c r="D23507" t="s">
        <v>106</v>
      </c>
      <c r="E23507">
        <v>2.96251874062968</v>
      </c>
    </row>
    <row r="23508" spans="1:5">
      <c r="A23508" t="s">
        <v>27319</v>
      </c>
      <c r="B23508" t="s">
        <v>27322</v>
      </c>
      <c r="C23508">
        <v>0</v>
      </c>
      <c r="D23508" t="s">
        <v>106</v>
      </c>
      <c r="E23508">
        <v>2.96251874062968</v>
      </c>
    </row>
    <row r="23509" spans="1:5">
      <c r="A23509" t="s">
        <v>27319</v>
      </c>
      <c r="B23509" t="s">
        <v>27323</v>
      </c>
      <c r="C23509">
        <f>0</f>
        <v>0</v>
      </c>
      <c r="D23509" t="s">
        <v>106</v>
      </c>
      <c r="E23509">
        <v>2.96251874062968</v>
      </c>
    </row>
    <row r="23510" spans="1:5">
      <c r="A23510" t="s">
        <v>27319</v>
      </c>
      <c r="B23510" t="s">
        <v>27324</v>
      </c>
      <c r="C23510">
        <f>0</f>
        <v>0</v>
      </c>
      <c r="D23510" t="s">
        <v>106</v>
      </c>
      <c r="E23510">
        <v>2.96251874062968</v>
      </c>
    </row>
    <row r="23511" spans="1:5">
      <c r="A23511" t="s">
        <v>27319</v>
      </c>
      <c r="B23511" t="s">
        <v>27325</v>
      </c>
      <c r="C23511">
        <f>0</f>
        <v>0</v>
      </c>
      <c r="D23511" t="s">
        <v>106</v>
      </c>
      <c r="E23511">
        <v>2.96251874062968</v>
      </c>
    </row>
    <row r="23512" spans="1:5">
      <c r="A23512" t="s">
        <v>27319</v>
      </c>
      <c r="B23512" t="s">
        <v>27326</v>
      </c>
      <c r="C23512">
        <f>0</f>
        <v>0</v>
      </c>
      <c r="D23512" t="s">
        <v>106</v>
      </c>
      <c r="E23512">
        <v>2.96251874062968</v>
      </c>
    </row>
    <row r="23513" spans="1:5">
      <c r="A23513" t="s">
        <v>27319</v>
      </c>
      <c r="B23513" t="s">
        <v>27327</v>
      </c>
      <c r="C23513">
        <f>0</f>
        <v>0</v>
      </c>
      <c r="D23513" t="s">
        <v>106</v>
      </c>
      <c r="E23513">
        <v>2.96251874062968</v>
      </c>
    </row>
    <row r="23514" spans="1:5">
      <c r="A23514" t="s">
        <v>27319</v>
      </c>
      <c r="B23514" t="s">
        <v>27328</v>
      </c>
      <c r="C23514">
        <f>0</f>
        <v>0</v>
      </c>
      <c r="D23514" t="s">
        <v>106</v>
      </c>
      <c r="E23514">
        <v>2.96251874062968</v>
      </c>
    </row>
    <row r="23515" spans="1:5">
      <c r="A23515" t="s">
        <v>27319</v>
      </c>
      <c r="B23515" t="s">
        <v>27329</v>
      </c>
      <c r="C23515">
        <v>0</v>
      </c>
      <c r="D23515" t="s">
        <v>106</v>
      </c>
      <c r="E23515">
        <v>2.96251874062968</v>
      </c>
    </row>
    <row r="23516" spans="1:5">
      <c r="A23516" t="s">
        <v>27330</v>
      </c>
      <c r="B23516" t="s">
        <v>27331</v>
      </c>
      <c r="C23516">
        <v>0.19792600170300001</v>
      </c>
      <c r="D23516">
        <v>0.93433035203500003</v>
      </c>
      <c r="E23516">
        <v>21.8770614692653</v>
      </c>
    </row>
    <row r="23517" spans="1:5">
      <c r="A23517" t="s">
        <v>27330</v>
      </c>
      <c r="B23517" t="s">
        <v>27332</v>
      </c>
      <c r="C23517">
        <f>0.0428044663658</f>
        <v>4.2804466365800001E-2</v>
      </c>
      <c r="D23517">
        <v>0.93433035203500003</v>
      </c>
      <c r="E23517">
        <v>21.8770614692653</v>
      </c>
    </row>
    <row r="23518" spans="1:5">
      <c r="A23518" t="s">
        <v>27333</v>
      </c>
      <c r="B23518" t="s">
        <v>27334</v>
      </c>
      <c r="C23518">
        <f>0</f>
        <v>0</v>
      </c>
      <c r="D23518">
        <v>0.21633575026099999</v>
      </c>
      <c r="E23518">
        <v>4.68965517241379</v>
      </c>
    </row>
    <row r="23519" spans="1:5">
      <c r="A23519" t="s">
        <v>27333</v>
      </c>
      <c r="B23519" t="s">
        <v>27335</v>
      </c>
      <c r="C23519">
        <v>0</v>
      </c>
      <c r="D23519">
        <v>0.21633575026099999</v>
      </c>
      <c r="E23519">
        <v>4.68965517241379</v>
      </c>
    </row>
    <row r="23520" spans="1:5">
      <c r="A23520" t="s">
        <v>27333</v>
      </c>
      <c r="B23520" t="s">
        <v>27336</v>
      </c>
      <c r="C23520">
        <f>0</f>
        <v>0</v>
      </c>
      <c r="D23520">
        <v>0.21633575026099999</v>
      </c>
      <c r="E23520">
        <v>4.68965517241379</v>
      </c>
    </row>
    <row r="23521" spans="1:5">
      <c r="A23521" t="s">
        <v>27333</v>
      </c>
      <c r="B23521" t="s">
        <v>27337</v>
      </c>
      <c r="C23521">
        <v>0</v>
      </c>
      <c r="D23521">
        <v>0.21633575026099999</v>
      </c>
      <c r="E23521">
        <v>4.68965517241379</v>
      </c>
    </row>
    <row r="23522" spans="1:5">
      <c r="A23522" t="s">
        <v>27333</v>
      </c>
      <c r="B23522" t="s">
        <v>27338</v>
      </c>
      <c r="C23522">
        <f>0</f>
        <v>0</v>
      </c>
      <c r="D23522">
        <v>0.21633575026099999</v>
      </c>
      <c r="E23522">
        <v>4.68965517241379</v>
      </c>
    </row>
    <row r="23523" spans="1:5">
      <c r="A23523" t="s">
        <v>27333</v>
      </c>
      <c r="B23523" t="s">
        <v>27339</v>
      </c>
      <c r="C23523">
        <f>0</f>
        <v>0</v>
      </c>
      <c r="D23523">
        <v>0.21633575026099999</v>
      </c>
      <c r="E23523">
        <v>4.68965517241379</v>
      </c>
    </row>
    <row r="23524" spans="1:5">
      <c r="A23524" t="s">
        <v>27333</v>
      </c>
      <c r="B23524" t="s">
        <v>27340</v>
      </c>
      <c r="C23524">
        <v>0</v>
      </c>
      <c r="D23524">
        <v>0.21633575026099999</v>
      </c>
      <c r="E23524">
        <v>4.68965517241379</v>
      </c>
    </row>
    <row r="23525" spans="1:5">
      <c r="A23525" t="s">
        <v>27333</v>
      </c>
      <c r="B23525" t="s">
        <v>27341</v>
      </c>
      <c r="C23525">
        <v>0</v>
      </c>
      <c r="D23525">
        <v>0.21633575026099999</v>
      </c>
      <c r="E23525">
        <v>4.68965517241379</v>
      </c>
    </row>
    <row r="23526" spans="1:5">
      <c r="A23526" t="s">
        <v>27333</v>
      </c>
      <c r="B23526" t="s">
        <v>27342</v>
      </c>
      <c r="C23526">
        <f>0</f>
        <v>0</v>
      </c>
      <c r="D23526">
        <v>0.21633575026099999</v>
      </c>
      <c r="E23526">
        <v>4.68965517241379</v>
      </c>
    </row>
    <row r="23527" spans="1:5">
      <c r="A23527" t="s">
        <v>27333</v>
      </c>
      <c r="B23527" t="s">
        <v>27343</v>
      </c>
      <c r="C23527">
        <f>0</f>
        <v>0</v>
      </c>
      <c r="D23527">
        <v>0.21633575026099999</v>
      </c>
      <c r="E23527">
        <v>4.68965517241379</v>
      </c>
    </row>
    <row r="23528" spans="1:5">
      <c r="A23528" t="s">
        <v>27333</v>
      </c>
      <c r="B23528" t="s">
        <v>27344</v>
      </c>
      <c r="C23528">
        <f>0</f>
        <v>0</v>
      </c>
      <c r="D23528">
        <v>0.21633575026099999</v>
      </c>
      <c r="E23528">
        <v>4.68965517241379</v>
      </c>
    </row>
    <row r="23529" spans="1:5">
      <c r="A23529" t="s">
        <v>27333</v>
      </c>
      <c r="B23529" t="s">
        <v>27345</v>
      </c>
      <c r="C23529">
        <v>0</v>
      </c>
      <c r="D23529">
        <v>0.21633575026099999</v>
      </c>
      <c r="E23529">
        <v>4.68965517241379</v>
      </c>
    </row>
    <row r="23530" spans="1:5">
      <c r="A23530" t="s">
        <v>27333</v>
      </c>
      <c r="B23530" t="s">
        <v>27346</v>
      </c>
      <c r="C23530">
        <f>0</f>
        <v>0</v>
      </c>
      <c r="D23530">
        <v>0.21633575026099999</v>
      </c>
      <c r="E23530">
        <v>4.68965517241379</v>
      </c>
    </row>
    <row r="23531" spans="1:5">
      <c r="A23531" t="s">
        <v>27333</v>
      </c>
      <c r="B23531" t="s">
        <v>27347</v>
      </c>
      <c r="C23531">
        <f>0</f>
        <v>0</v>
      </c>
      <c r="D23531">
        <v>0.21633575026099999</v>
      </c>
      <c r="E23531">
        <v>4.68965517241379</v>
      </c>
    </row>
    <row r="23532" spans="1:5">
      <c r="A23532" t="s">
        <v>27348</v>
      </c>
      <c r="B23532" t="s">
        <v>27349</v>
      </c>
      <c r="C23532">
        <v>0.21035747384100001</v>
      </c>
      <c r="D23532">
        <v>0.93182299716500006</v>
      </c>
      <c r="E23532">
        <v>10.0749625187406</v>
      </c>
    </row>
    <row r="23533" spans="1:5">
      <c r="A23533" t="s">
        <v>27348</v>
      </c>
      <c r="B23533" t="s">
        <v>27350</v>
      </c>
      <c r="C23533">
        <v>0</v>
      </c>
      <c r="D23533">
        <v>0.93182299716500006</v>
      </c>
      <c r="E23533">
        <v>10.0749625187406</v>
      </c>
    </row>
    <row r="23534" spans="1:5">
      <c r="A23534" t="s">
        <v>27348</v>
      </c>
      <c r="B23534" t="s">
        <v>27351</v>
      </c>
      <c r="C23534">
        <f>0</f>
        <v>0</v>
      </c>
      <c r="D23534">
        <v>0.93182299716500006</v>
      </c>
      <c r="E23534">
        <v>10.0749625187406</v>
      </c>
    </row>
    <row r="23535" spans="1:5">
      <c r="A23535" t="s">
        <v>27348</v>
      </c>
      <c r="B23535" t="s">
        <v>27352</v>
      </c>
      <c r="C23535">
        <f>0</f>
        <v>0</v>
      </c>
      <c r="D23535">
        <v>0.93182299716500006</v>
      </c>
      <c r="E23535">
        <v>10.0749625187406</v>
      </c>
    </row>
    <row r="23536" spans="1:5">
      <c r="A23536" t="s">
        <v>27348</v>
      </c>
      <c r="B23536" t="s">
        <v>27353</v>
      </c>
      <c r="C23536">
        <f>0</f>
        <v>0</v>
      </c>
      <c r="D23536">
        <v>0.93182299716500006</v>
      </c>
      <c r="E23536">
        <v>10.0749625187406</v>
      </c>
    </row>
    <row r="23537" spans="1:5">
      <c r="A23537" t="s">
        <v>27348</v>
      </c>
      <c r="B23537" t="s">
        <v>27354</v>
      </c>
      <c r="C23537">
        <v>0.12922515352200001</v>
      </c>
      <c r="D23537">
        <v>0.93182299716500006</v>
      </c>
      <c r="E23537">
        <v>10.0749625187406</v>
      </c>
    </row>
    <row r="23538" spans="1:5">
      <c r="A23538" t="s">
        <v>27355</v>
      </c>
      <c r="B23538" t="s">
        <v>27356</v>
      </c>
      <c r="C23538">
        <v>0.65029944663899997</v>
      </c>
      <c r="D23538">
        <v>0.89826547433199999</v>
      </c>
      <c r="E23538">
        <v>7.5922038980509701</v>
      </c>
    </row>
    <row r="23539" spans="1:5">
      <c r="A23539" t="s">
        <v>27357</v>
      </c>
      <c r="B23539" t="s">
        <v>27358</v>
      </c>
      <c r="C23539">
        <f>0</f>
        <v>0</v>
      </c>
      <c r="D23539">
        <v>0.94130705060800002</v>
      </c>
      <c r="E23539">
        <v>15.1244377811094</v>
      </c>
    </row>
    <row r="23540" spans="1:5">
      <c r="A23540" t="s">
        <v>27357</v>
      </c>
      <c r="B23540" t="s">
        <v>27359</v>
      </c>
      <c r="C23540">
        <v>1.57165816856E-3</v>
      </c>
      <c r="D23540">
        <v>0.94130705060800002</v>
      </c>
      <c r="E23540">
        <v>15.1244377811094</v>
      </c>
    </row>
    <row r="23541" spans="1:5">
      <c r="A23541" t="s">
        <v>27357</v>
      </c>
      <c r="B23541" t="s">
        <v>27360</v>
      </c>
      <c r="C23541">
        <v>0</v>
      </c>
      <c r="D23541">
        <v>0.94130705060800002</v>
      </c>
      <c r="E23541">
        <v>15.1244377811094</v>
      </c>
    </row>
    <row r="23542" spans="1:5">
      <c r="A23542" t="s">
        <v>27357</v>
      </c>
      <c r="B23542" t="s">
        <v>27361</v>
      </c>
      <c r="C23542">
        <v>7.9313014206499999E-2</v>
      </c>
      <c r="D23542">
        <v>0.94130705060800002</v>
      </c>
      <c r="E23542">
        <v>15.1244377811094</v>
      </c>
    </row>
    <row r="23543" spans="1:5">
      <c r="A23543" t="s">
        <v>27357</v>
      </c>
      <c r="B23543" t="s">
        <v>27362</v>
      </c>
      <c r="C23543">
        <v>0</v>
      </c>
      <c r="D23543">
        <v>0.94130705060800002</v>
      </c>
      <c r="E23543">
        <v>15.1244377811094</v>
      </c>
    </row>
    <row r="23544" spans="1:5">
      <c r="A23544" t="s">
        <v>27357</v>
      </c>
      <c r="B23544" t="s">
        <v>27363</v>
      </c>
      <c r="C23544">
        <v>0</v>
      </c>
      <c r="D23544">
        <v>0.94130705060800002</v>
      </c>
      <c r="E23544">
        <v>15.1244377811094</v>
      </c>
    </row>
    <row r="23545" spans="1:5">
      <c r="A23545" t="s">
        <v>27364</v>
      </c>
      <c r="B23545" t="s">
        <v>27365</v>
      </c>
      <c r="C23545">
        <f>0.278039037612</f>
        <v>0.278039037612</v>
      </c>
      <c r="D23545">
        <v>0.97177431528900005</v>
      </c>
      <c r="E23545">
        <v>9.0194902548725597</v>
      </c>
    </row>
    <row r="23546" spans="1:5">
      <c r="A23546" t="s">
        <v>27364</v>
      </c>
      <c r="B23546" t="s">
        <v>27366</v>
      </c>
      <c r="C23546">
        <f>0</f>
        <v>0</v>
      </c>
      <c r="D23546">
        <v>0.97177431528900005</v>
      </c>
      <c r="E23546">
        <v>9.0194902548725597</v>
      </c>
    </row>
    <row r="23547" spans="1:5">
      <c r="A23547" t="s">
        <v>27364</v>
      </c>
      <c r="B23547" t="s">
        <v>27367</v>
      </c>
      <c r="C23547">
        <v>0</v>
      </c>
      <c r="D23547">
        <v>0.97177431528900005</v>
      </c>
      <c r="E23547">
        <v>9.0194902548725597</v>
      </c>
    </row>
    <row r="23548" spans="1:5">
      <c r="A23548" t="s">
        <v>27364</v>
      </c>
      <c r="B23548" t="s">
        <v>27368</v>
      </c>
      <c r="C23548">
        <f>0</f>
        <v>0</v>
      </c>
      <c r="D23548">
        <v>0.97177431528900005</v>
      </c>
      <c r="E23548">
        <v>9.0194902548725597</v>
      </c>
    </row>
    <row r="23549" spans="1:5">
      <c r="A23549" t="s">
        <v>27364</v>
      </c>
      <c r="B23549" t="s">
        <v>27369</v>
      </c>
      <c r="C23549">
        <f>0</f>
        <v>0</v>
      </c>
      <c r="D23549">
        <v>0.97177431528900005</v>
      </c>
      <c r="E23549">
        <v>9.0194902548725597</v>
      </c>
    </row>
    <row r="23550" spans="1:5">
      <c r="A23550" t="s">
        <v>27364</v>
      </c>
      <c r="B23550" t="s">
        <v>27370</v>
      </c>
      <c r="C23550">
        <f>0</f>
        <v>0</v>
      </c>
      <c r="D23550">
        <v>0.97177431528900005</v>
      </c>
      <c r="E23550">
        <v>9.0194902548725597</v>
      </c>
    </row>
    <row r="23551" spans="1:5">
      <c r="A23551" t="s">
        <v>27364</v>
      </c>
      <c r="B23551" t="s">
        <v>27371</v>
      </c>
      <c r="C23551">
        <f>0</f>
        <v>0</v>
      </c>
      <c r="D23551">
        <v>0.97177431528900005</v>
      </c>
      <c r="E23551">
        <v>9.0194902548725597</v>
      </c>
    </row>
    <row r="23552" spans="1:5">
      <c r="A23552" t="s">
        <v>27364</v>
      </c>
      <c r="B23552" t="s">
        <v>27372</v>
      </c>
      <c r="C23552">
        <f>0.10577721223</f>
        <v>0.10577721223</v>
      </c>
      <c r="D23552">
        <v>0.97177431528900005</v>
      </c>
      <c r="E23552">
        <v>9.0194902548725597</v>
      </c>
    </row>
    <row r="23553" spans="1:5">
      <c r="A23553" t="s">
        <v>27364</v>
      </c>
      <c r="B23553" t="s">
        <v>27373</v>
      </c>
      <c r="C23553">
        <v>0</v>
      </c>
      <c r="D23553">
        <v>0.97177431528900005</v>
      </c>
      <c r="E23553">
        <v>9.0194902548725597</v>
      </c>
    </row>
    <row r="23554" spans="1:5">
      <c r="A23554" t="s">
        <v>27364</v>
      </c>
      <c r="B23554" t="s">
        <v>27374</v>
      </c>
      <c r="C23554">
        <f>0</f>
        <v>0</v>
      </c>
      <c r="D23554">
        <v>0.97177431528900005</v>
      </c>
      <c r="E23554">
        <v>9.0194902548725597</v>
      </c>
    </row>
    <row r="23555" spans="1:5">
      <c r="A23555" t="s">
        <v>27375</v>
      </c>
      <c r="B23555" t="s">
        <v>27376</v>
      </c>
      <c r="C23555">
        <v>0.49439553656099999</v>
      </c>
      <c r="D23555">
        <v>0.96479425496500004</v>
      </c>
      <c r="E23555">
        <v>1.51124437781109</v>
      </c>
    </row>
    <row r="23556" spans="1:5">
      <c r="A23556" t="s">
        <v>27375</v>
      </c>
      <c r="B23556" t="s">
        <v>27377</v>
      </c>
      <c r="C23556">
        <f>0.0925443449666</f>
        <v>9.2544344966599995E-2</v>
      </c>
      <c r="D23556">
        <v>0.96479425496500004</v>
      </c>
      <c r="E23556">
        <v>1.51124437781109</v>
      </c>
    </row>
    <row r="23557" spans="1:5">
      <c r="A23557" t="s">
        <v>27378</v>
      </c>
      <c r="B23557" t="s">
        <v>27379</v>
      </c>
      <c r="C23557">
        <f>0.0791427601431</f>
        <v>7.9142760143099997E-2</v>
      </c>
      <c r="D23557">
        <v>0.93690257207899996</v>
      </c>
      <c r="E23557">
        <v>1.00749625187406</v>
      </c>
    </row>
    <row r="23558" spans="1:5">
      <c r="A23558" t="s">
        <v>27378</v>
      </c>
      <c r="B23558" t="s">
        <v>27380</v>
      </c>
      <c r="C23558">
        <v>0</v>
      </c>
      <c r="D23558">
        <v>0.93690257207899996</v>
      </c>
      <c r="E23558">
        <v>1.00749625187406</v>
      </c>
    </row>
    <row r="23559" spans="1:5">
      <c r="A23559" t="s">
        <v>27378</v>
      </c>
      <c r="B23559" t="s">
        <v>27381</v>
      </c>
      <c r="C23559">
        <f>0</f>
        <v>0</v>
      </c>
      <c r="D23559">
        <v>0.93690257207899996</v>
      </c>
      <c r="E23559">
        <v>1.00749625187406</v>
      </c>
    </row>
    <row r="23560" spans="1:5">
      <c r="A23560" t="s">
        <v>27378</v>
      </c>
      <c r="B23560" t="s">
        <v>27382</v>
      </c>
      <c r="C23560">
        <v>0.15543341870899999</v>
      </c>
      <c r="D23560">
        <v>0.93690257207899996</v>
      </c>
      <c r="E23560">
        <v>1.00749625187406</v>
      </c>
    </row>
    <row r="23561" spans="1:5">
      <c r="A23561" t="s">
        <v>27383</v>
      </c>
      <c r="B23561" t="s">
        <v>27384</v>
      </c>
      <c r="C23561">
        <f>0</f>
        <v>0</v>
      </c>
      <c r="D23561" t="s">
        <v>106</v>
      </c>
      <c r="E23561">
        <v>1.89505247376311</v>
      </c>
    </row>
    <row r="23562" spans="1:5">
      <c r="A23562" t="s">
        <v>27383</v>
      </c>
      <c r="B23562" t="s">
        <v>27385</v>
      </c>
      <c r="C23562">
        <f>0</f>
        <v>0</v>
      </c>
      <c r="D23562" t="s">
        <v>106</v>
      </c>
      <c r="E23562">
        <v>1.89505247376311</v>
      </c>
    </row>
    <row r="23563" spans="1:5">
      <c r="A23563" t="s">
        <v>27383</v>
      </c>
      <c r="B23563" t="s">
        <v>27386</v>
      </c>
      <c r="C23563">
        <f>0</f>
        <v>0</v>
      </c>
      <c r="D23563" t="s">
        <v>106</v>
      </c>
      <c r="E23563">
        <v>1.89505247376311</v>
      </c>
    </row>
    <row r="23564" spans="1:5">
      <c r="A23564" t="s">
        <v>27383</v>
      </c>
      <c r="B23564" t="s">
        <v>27387</v>
      </c>
      <c r="C23564">
        <v>0</v>
      </c>
      <c r="D23564" t="s">
        <v>106</v>
      </c>
      <c r="E23564">
        <v>1.89505247376311</v>
      </c>
    </row>
    <row r="23565" spans="1:5">
      <c r="A23565" t="s">
        <v>27383</v>
      </c>
      <c r="B23565" t="s">
        <v>27388</v>
      </c>
      <c r="C23565">
        <f>0</f>
        <v>0</v>
      </c>
      <c r="D23565" t="s">
        <v>106</v>
      </c>
      <c r="E23565">
        <v>1.89505247376311</v>
      </c>
    </row>
    <row r="23566" spans="1:5">
      <c r="A23566" t="s">
        <v>27383</v>
      </c>
      <c r="B23566" t="s">
        <v>27389</v>
      </c>
      <c r="C23566">
        <v>0</v>
      </c>
      <c r="D23566" t="s">
        <v>106</v>
      </c>
      <c r="E23566">
        <v>1.89505247376311</v>
      </c>
    </row>
    <row r="23567" spans="1:5">
      <c r="A23567" t="s">
        <v>27390</v>
      </c>
      <c r="B23567" t="s">
        <v>27391</v>
      </c>
      <c r="C23567">
        <f>0</f>
        <v>0</v>
      </c>
      <c r="D23567" t="s">
        <v>106</v>
      </c>
      <c r="E23567">
        <v>13.2653673163418</v>
      </c>
    </row>
    <row r="23568" spans="1:5">
      <c r="A23568" t="s">
        <v>27390</v>
      </c>
      <c r="B23568" t="s">
        <v>27392</v>
      </c>
      <c r="C23568">
        <f>0</f>
        <v>0</v>
      </c>
      <c r="D23568" t="s">
        <v>106</v>
      </c>
      <c r="E23568">
        <v>13.2653673163418</v>
      </c>
    </row>
    <row r="23569" spans="1:5">
      <c r="A23569" t="s">
        <v>27390</v>
      </c>
      <c r="B23569" t="s">
        <v>27393</v>
      </c>
      <c r="C23569">
        <f>0</f>
        <v>0</v>
      </c>
      <c r="D23569" t="s">
        <v>106</v>
      </c>
      <c r="E23569">
        <v>13.2653673163418</v>
      </c>
    </row>
    <row r="23570" spans="1:5">
      <c r="A23570" t="s">
        <v>27390</v>
      </c>
      <c r="B23570" t="s">
        <v>27394</v>
      </c>
      <c r="C23570">
        <f>0</f>
        <v>0</v>
      </c>
      <c r="D23570" t="s">
        <v>106</v>
      </c>
      <c r="E23570">
        <v>13.2653673163418</v>
      </c>
    </row>
    <row r="23571" spans="1:5">
      <c r="A23571" t="s">
        <v>27390</v>
      </c>
      <c r="B23571" t="s">
        <v>27395</v>
      </c>
      <c r="C23571">
        <v>0</v>
      </c>
      <c r="D23571" t="s">
        <v>106</v>
      </c>
      <c r="E23571">
        <v>13.2653673163418</v>
      </c>
    </row>
    <row r="23572" spans="1:5">
      <c r="A23572" t="s">
        <v>27396</v>
      </c>
      <c r="B23572" t="s">
        <v>27397</v>
      </c>
      <c r="C23572">
        <f>0</f>
        <v>0</v>
      </c>
      <c r="D23572" t="s">
        <v>106</v>
      </c>
      <c r="E23572">
        <v>18.770614692653599</v>
      </c>
    </row>
    <row r="23573" spans="1:5">
      <c r="A23573" t="s">
        <v>27396</v>
      </c>
      <c r="B23573" t="s">
        <v>27398</v>
      </c>
      <c r="C23573">
        <v>0</v>
      </c>
      <c r="D23573" t="s">
        <v>106</v>
      </c>
      <c r="E23573">
        <v>18.770614692653599</v>
      </c>
    </row>
    <row r="23574" spans="1:5">
      <c r="A23574" t="s">
        <v>27396</v>
      </c>
      <c r="B23574" t="s">
        <v>27399</v>
      </c>
      <c r="C23574">
        <v>0</v>
      </c>
      <c r="D23574" t="s">
        <v>106</v>
      </c>
      <c r="E23574">
        <v>18.770614692653599</v>
      </c>
    </row>
    <row r="23575" spans="1:5">
      <c r="A23575" t="s">
        <v>27396</v>
      </c>
      <c r="B23575" t="s">
        <v>27400</v>
      </c>
      <c r="C23575">
        <v>0</v>
      </c>
      <c r="D23575" t="s">
        <v>106</v>
      </c>
      <c r="E23575">
        <v>18.770614692653599</v>
      </c>
    </row>
    <row r="23576" spans="1:5">
      <c r="A23576" t="s">
        <v>27396</v>
      </c>
      <c r="B23576" t="s">
        <v>27401</v>
      </c>
      <c r="C23576">
        <v>0</v>
      </c>
      <c r="D23576" t="s">
        <v>106</v>
      </c>
      <c r="E23576">
        <v>18.770614692653599</v>
      </c>
    </row>
    <row r="23577" spans="1:5">
      <c r="A23577" t="s">
        <v>27396</v>
      </c>
      <c r="B23577" t="s">
        <v>27402</v>
      </c>
      <c r="C23577">
        <v>0</v>
      </c>
      <c r="D23577" t="s">
        <v>106</v>
      </c>
      <c r="E23577">
        <v>18.770614692653599</v>
      </c>
    </row>
    <row r="23578" spans="1:5">
      <c r="A23578" t="s">
        <v>27396</v>
      </c>
      <c r="B23578" t="s">
        <v>27403</v>
      </c>
      <c r="C23578">
        <v>0.10152554141</v>
      </c>
      <c r="D23578" t="s">
        <v>106</v>
      </c>
      <c r="E23578">
        <v>18.770614692653599</v>
      </c>
    </row>
    <row r="23579" spans="1:5">
      <c r="A23579" t="s">
        <v>27404</v>
      </c>
      <c r="B23579" t="s">
        <v>27405</v>
      </c>
      <c r="C23579">
        <f>0.0617473590091</f>
        <v>6.17473590091E-2</v>
      </c>
      <c r="D23579" t="s">
        <v>106</v>
      </c>
      <c r="E23579">
        <v>16.695652173913</v>
      </c>
    </row>
    <row r="23580" spans="1:5">
      <c r="A23580" t="s">
        <v>27406</v>
      </c>
      <c r="B23580" t="s">
        <v>27407</v>
      </c>
      <c r="C23580">
        <f>0</f>
        <v>0</v>
      </c>
      <c r="D23580" t="s">
        <v>106</v>
      </c>
      <c r="E23580">
        <v>1.7631184407796101</v>
      </c>
    </row>
    <row r="23581" spans="1:5">
      <c r="A23581" t="s">
        <v>27408</v>
      </c>
      <c r="B23581" t="s">
        <v>27409</v>
      </c>
      <c r="C23581">
        <f>0</f>
        <v>0</v>
      </c>
      <c r="D23581" t="s">
        <v>106</v>
      </c>
      <c r="E23581">
        <v>5.5772113943028403</v>
      </c>
    </row>
    <row r="23582" spans="1:5">
      <c r="A23582" t="s">
        <v>27408</v>
      </c>
      <c r="B23582" t="s">
        <v>27410</v>
      </c>
      <c r="C23582">
        <v>0</v>
      </c>
      <c r="D23582" t="s">
        <v>106</v>
      </c>
      <c r="E23582">
        <v>5.5772113943028403</v>
      </c>
    </row>
    <row r="23583" spans="1:5">
      <c r="A23583" t="s">
        <v>27408</v>
      </c>
      <c r="B23583" t="s">
        <v>27411</v>
      </c>
      <c r="C23583">
        <f>0</f>
        <v>0</v>
      </c>
      <c r="D23583" t="s">
        <v>106</v>
      </c>
      <c r="E23583">
        <v>5.5772113943028403</v>
      </c>
    </row>
    <row r="23584" spans="1:5">
      <c r="A23584" t="s">
        <v>27412</v>
      </c>
      <c r="B23584" t="s">
        <v>27413</v>
      </c>
      <c r="C23584">
        <v>2.8268441286399999E-2</v>
      </c>
      <c r="D23584" t="s">
        <v>106</v>
      </c>
      <c r="E23584">
        <v>24</v>
      </c>
    </row>
    <row r="23585" spans="1:5">
      <c r="A23585" t="s">
        <v>27412</v>
      </c>
      <c r="B23585" t="s">
        <v>27414</v>
      </c>
      <c r="C23585">
        <v>4.71078253292E-2</v>
      </c>
      <c r="D23585" t="s">
        <v>106</v>
      </c>
      <c r="E23585">
        <v>24</v>
      </c>
    </row>
    <row r="23586" spans="1:5">
      <c r="A23586" t="s">
        <v>27412</v>
      </c>
      <c r="B23586" t="s">
        <v>27415</v>
      </c>
      <c r="C23586">
        <f>0</f>
        <v>0</v>
      </c>
      <c r="D23586" t="s">
        <v>106</v>
      </c>
      <c r="E23586">
        <v>24</v>
      </c>
    </row>
    <row r="23587" spans="1:5">
      <c r="A23587" t="s">
        <v>27416</v>
      </c>
      <c r="B23587" t="s">
        <v>27417</v>
      </c>
      <c r="C23587">
        <f>0</f>
        <v>0</v>
      </c>
      <c r="D23587" t="s">
        <v>106</v>
      </c>
      <c r="E23587">
        <v>24</v>
      </c>
    </row>
    <row r="23588" spans="1:5">
      <c r="A23588" t="s">
        <v>27416</v>
      </c>
      <c r="B23588" t="s">
        <v>27418</v>
      </c>
      <c r="C23588">
        <v>0</v>
      </c>
      <c r="D23588" t="s">
        <v>106</v>
      </c>
      <c r="E23588">
        <v>24</v>
      </c>
    </row>
    <row r="23589" spans="1:5">
      <c r="A23589" t="s">
        <v>27416</v>
      </c>
      <c r="B23589" t="s">
        <v>27419</v>
      </c>
      <c r="C23589">
        <v>0</v>
      </c>
      <c r="D23589" t="s">
        <v>106</v>
      </c>
      <c r="E23589">
        <v>24</v>
      </c>
    </row>
    <row r="23590" spans="1:5">
      <c r="A23590" t="s">
        <v>27416</v>
      </c>
      <c r="B23590" t="s">
        <v>27420</v>
      </c>
      <c r="C23590">
        <f>0</f>
        <v>0</v>
      </c>
      <c r="D23590" t="s">
        <v>106</v>
      </c>
      <c r="E23590">
        <v>24</v>
      </c>
    </row>
    <row r="23591" spans="1:5">
      <c r="A23591" t="s">
        <v>27416</v>
      </c>
      <c r="B23591" t="s">
        <v>27421</v>
      </c>
      <c r="C23591">
        <f>0</f>
        <v>0</v>
      </c>
      <c r="D23591" t="s">
        <v>106</v>
      </c>
      <c r="E23591">
        <v>24</v>
      </c>
    </row>
    <row r="23592" spans="1:5">
      <c r="A23592" t="s">
        <v>27416</v>
      </c>
      <c r="B23592" t="s">
        <v>27422</v>
      </c>
      <c r="C23592">
        <f>0</f>
        <v>0</v>
      </c>
      <c r="D23592" t="s">
        <v>106</v>
      </c>
      <c r="E23592">
        <v>24</v>
      </c>
    </row>
    <row r="23593" spans="1:5">
      <c r="A23593" t="s">
        <v>27416</v>
      </c>
      <c r="B23593" t="s">
        <v>27423</v>
      </c>
      <c r="C23593">
        <f>0</f>
        <v>0</v>
      </c>
      <c r="D23593" t="s">
        <v>106</v>
      </c>
      <c r="E23593">
        <v>24</v>
      </c>
    </row>
    <row r="23594" spans="1:5">
      <c r="A23594" t="s">
        <v>27416</v>
      </c>
      <c r="B23594" t="s">
        <v>27424</v>
      </c>
      <c r="C23594">
        <f>0</f>
        <v>0</v>
      </c>
      <c r="D23594" t="s">
        <v>106</v>
      </c>
      <c r="E23594">
        <v>24</v>
      </c>
    </row>
    <row r="23595" spans="1:5">
      <c r="A23595" t="s">
        <v>27416</v>
      </c>
      <c r="B23595" t="s">
        <v>27425</v>
      </c>
      <c r="C23595">
        <f>0</f>
        <v>0</v>
      </c>
      <c r="D23595" t="s">
        <v>106</v>
      </c>
      <c r="E23595">
        <v>24</v>
      </c>
    </row>
    <row r="23596" spans="1:5">
      <c r="A23596" t="s">
        <v>27426</v>
      </c>
      <c r="B23596" t="s">
        <v>27427</v>
      </c>
      <c r="C23596">
        <v>0</v>
      </c>
      <c r="D23596">
        <v>0.96892475526300004</v>
      </c>
      <c r="E23596">
        <v>14.5487256371814</v>
      </c>
    </row>
    <row r="23597" spans="1:5">
      <c r="A23597" t="s">
        <v>27426</v>
      </c>
      <c r="B23597" t="s">
        <v>27428</v>
      </c>
      <c r="C23597">
        <v>0</v>
      </c>
      <c r="D23597">
        <v>0.96892475526300004</v>
      </c>
      <c r="E23597">
        <v>14.5487256371814</v>
      </c>
    </row>
    <row r="23598" spans="1:5">
      <c r="A23598" t="s">
        <v>27426</v>
      </c>
      <c r="B23598" t="s">
        <v>27429</v>
      </c>
      <c r="C23598">
        <f>0</f>
        <v>0</v>
      </c>
      <c r="D23598">
        <v>0.96892475526300004</v>
      </c>
      <c r="E23598">
        <v>14.5487256371814</v>
      </c>
    </row>
    <row r="23599" spans="1:5">
      <c r="A23599" t="s">
        <v>27426</v>
      </c>
      <c r="B23599" t="s">
        <v>27430</v>
      </c>
      <c r="C23599">
        <f>0</f>
        <v>0</v>
      </c>
      <c r="D23599">
        <v>0.96892475526300004</v>
      </c>
      <c r="E23599">
        <v>14.5487256371814</v>
      </c>
    </row>
    <row r="23600" spans="1:5">
      <c r="A23600" t="s">
        <v>27426</v>
      </c>
      <c r="B23600" t="s">
        <v>27431</v>
      </c>
      <c r="C23600">
        <v>2.2446785974700002E-2</v>
      </c>
      <c r="D23600">
        <v>0.96892475526300004</v>
      </c>
      <c r="E23600">
        <v>14.5487256371814</v>
      </c>
    </row>
    <row r="23601" spans="1:5">
      <c r="A23601" t="s">
        <v>27426</v>
      </c>
      <c r="B23601" t="s">
        <v>27432</v>
      </c>
      <c r="C23601">
        <v>0</v>
      </c>
      <c r="D23601">
        <v>0.96892475526300004</v>
      </c>
      <c r="E23601">
        <v>14.5487256371814</v>
      </c>
    </row>
    <row r="23602" spans="1:5">
      <c r="A23602" t="s">
        <v>27426</v>
      </c>
      <c r="B23602" t="s">
        <v>27433</v>
      </c>
      <c r="C23602">
        <v>0</v>
      </c>
      <c r="D23602">
        <v>0.96892475526300004</v>
      </c>
      <c r="E23602">
        <v>14.5487256371814</v>
      </c>
    </row>
    <row r="23603" spans="1:5">
      <c r="A23603" t="s">
        <v>27426</v>
      </c>
      <c r="B23603" t="s">
        <v>27434</v>
      </c>
      <c r="C23603">
        <f>0.0261818201245</f>
        <v>2.6181820124499999E-2</v>
      </c>
      <c r="D23603">
        <v>0.96892475526300004</v>
      </c>
      <c r="E23603">
        <v>14.5487256371814</v>
      </c>
    </row>
    <row r="23604" spans="1:5">
      <c r="A23604" t="s">
        <v>27435</v>
      </c>
      <c r="B23604" t="s">
        <v>27436</v>
      </c>
      <c r="C23604">
        <v>0</v>
      </c>
      <c r="D23604" t="s">
        <v>106</v>
      </c>
      <c r="E23604">
        <v>6.4287856071964002</v>
      </c>
    </row>
    <row r="23605" spans="1:5">
      <c r="A23605" t="s">
        <v>27435</v>
      </c>
      <c r="B23605" t="s">
        <v>27437</v>
      </c>
      <c r="C23605">
        <f>0</f>
        <v>0</v>
      </c>
      <c r="D23605" t="s">
        <v>106</v>
      </c>
      <c r="E23605">
        <v>6.4287856071964002</v>
      </c>
    </row>
    <row r="23606" spans="1:5">
      <c r="A23606" t="s">
        <v>27438</v>
      </c>
      <c r="B23606" t="s">
        <v>27439</v>
      </c>
      <c r="C23606">
        <f>0</f>
        <v>0</v>
      </c>
      <c r="D23606">
        <v>0.97956436108800005</v>
      </c>
      <c r="E23606">
        <v>5.69715142428785</v>
      </c>
    </row>
    <row r="23607" spans="1:5">
      <c r="A23607" t="s">
        <v>27438</v>
      </c>
      <c r="B23607" t="s">
        <v>27440</v>
      </c>
      <c r="C23607">
        <f>0</f>
        <v>0</v>
      </c>
      <c r="D23607">
        <v>0.97956436108800005</v>
      </c>
      <c r="E23607">
        <v>5.69715142428785</v>
      </c>
    </row>
    <row r="23608" spans="1:5">
      <c r="A23608" t="s">
        <v>27438</v>
      </c>
      <c r="B23608" t="s">
        <v>27441</v>
      </c>
      <c r="C23608">
        <f>0</f>
        <v>0</v>
      </c>
      <c r="D23608">
        <v>0.97956436108800005</v>
      </c>
      <c r="E23608">
        <v>5.69715142428785</v>
      </c>
    </row>
    <row r="23609" spans="1:5">
      <c r="A23609" t="s">
        <v>27438</v>
      </c>
      <c r="B23609" t="s">
        <v>27442</v>
      </c>
      <c r="C23609">
        <f>0</f>
        <v>0</v>
      </c>
      <c r="D23609">
        <v>0.97956436108800005</v>
      </c>
      <c r="E23609">
        <v>5.69715142428785</v>
      </c>
    </row>
    <row r="23610" spans="1:5">
      <c r="A23610" t="s">
        <v>27438</v>
      </c>
      <c r="B23610" t="s">
        <v>27443</v>
      </c>
      <c r="C23610">
        <f>0</f>
        <v>0</v>
      </c>
      <c r="D23610">
        <v>0.97956436108800005</v>
      </c>
      <c r="E23610">
        <v>5.69715142428785</v>
      </c>
    </row>
    <row r="23611" spans="1:5">
      <c r="A23611" t="s">
        <v>27438</v>
      </c>
      <c r="B23611" t="s">
        <v>27444</v>
      </c>
      <c r="C23611">
        <f>0</f>
        <v>0</v>
      </c>
      <c r="D23611">
        <v>0.97956436108800005</v>
      </c>
      <c r="E23611">
        <v>5.69715142428785</v>
      </c>
    </row>
    <row r="23612" spans="1:5">
      <c r="A23612" t="s">
        <v>27438</v>
      </c>
      <c r="B23612" t="s">
        <v>27445</v>
      </c>
      <c r="C23612">
        <f>0.0129707015436</f>
        <v>1.2970701543599999E-2</v>
      </c>
      <c r="D23612">
        <v>0.97956436108800005</v>
      </c>
      <c r="E23612">
        <v>5.69715142428785</v>
      </c>
    </row>
    <row r="23613" spans="1:5">
      <c r="A23613" t="s">
        <v>27438</v>
      </c>
      <c r="B23613" t="s">
        <v>27446</v>
      </c>
      <c r="C23613">
        <v>1.7826667067699999E-2</v>
      </c>
      <c r="D23613">
        <v>0.97956436108800005</v>
      </c>
      <c r="E23613">
        <v>5.69715142428785</v>
      </c>
    </row>
    <row r="23614" spans="1:5">
      <c r="A23614" t="s">
        <v>27438</v>
      </c>
      <c r="B23614" t="s">
        <v>27447</v>
      </c>
      <c r="C23614">
        <v>0</v>
      </c>
      <c r="D23614">
        <v>0.97956436108800005</v>
      </c>
      <c r="E23614">
        <v>5.69715142428785</v>
      </c>
    </row>
    <row r="23615" spans="1:5">
      <c r="A23615" t="s">
        <v>27438</v>
      </c>
      <c r="B23615" t="s">
        <v>27448</v>
      </c>
      <c r="C23615">
        <v>0</v>
      </c>
      <c r="D23615">
        <v>0.97956436108800005</v>
      </c>
      <c r="E23615">
        <v>5.69715142428785</v>
      </c>
    </row>
    <row r="23616" spans="1:5">
      <c r="A23616" t="s">
        <v>27438</v>
      </c>
      <c r="B23616" t="s">
        <v>27449</v>
      </c>
      <c r="C23616">
        <f>0</f>
        <v>0</v>
      </c>
      <c r="D23616">
        <v>0.97956436108800005</v>
      </c>
      <c r="E23616">
        <v>5.69715142428785</v>
      </c>
    </row>
    <row r="23617" spans="1:5">
      <c r="A23617" t="s">
        <v>27438</v>
      </c>
      <c r="B23617" t="s">
        <v>27450</v>
      </c>
      <c r="C23617">
        <f>0</f>
        <v>0</v>
      </c>
      <c r="D23617">
        <v>0.97956436108800005</v>
      </c>
      <c r="E23617">
        <v>5.69715142428785</v>
      </c>
    </row>
    <row r="23618" spans="1:5">
      <c r="A23618" t="s">
        <v>27451</v>
      </c>
      <c r="B23618" t="s">
        <v>27452</v>
      </c>
      <c r="C23618">
        <v>9.4083880191100006E-2</v>
      </c>
      <c r="D23618">
        <v>0.60157256190800001</v>
      </c>
      <c r="E23618">
        <v>15.700149925037399</v>
      </c>
    </row>
    <row r="23619" spans="1:5">
      <c r="A23619" t="s">
        <v>27453</v>
      </c>
      <c r="B23619" t="s">
        <v>27454</v>
      </c>
      <c r="C23619">
        <f>0</f>
        <v>0</v>
      </c>
      <c r="D23619" t="s">
        <v>106</v>
      </c>
      <c r="E23619">
        <v>8.4317841079460205</v>
      </c>
    </row>
    <row r="23620" spans="1:5">
      <c r="A23620" t="s">
        <v>27453</v>
      </c>
      <c r="B23620" t="s">
        <v>27455</v>
      </c>
      <c r="C23620">
        <f>0</f>
        <v>0</v>
      </c>
      <c r="D23620" t="s">
        <v>106</v>
      </c>
      <c r="E23620">
        <v>8.4317841079460205</v>
      </c>
    </row>
    <row r="23621" spans="1:5">
      <c r="A23621" t="s">
        <v>27453</v>
      </c>
      <c r="B23621" t="s">
        <v>27456</v>
      </c>
      <c r="C23621">
        <f>0</f>
        <v>0</v>
      </c>
      <c r="D23621" t="s">
        <v>106</v>
      </c>
      <c r="E23621">
        <v>8.4317841079460205</v>
      </c>
    </row>
    <row r="23622" spans="1:5">
      <c r="A23622" t="s">
        <v>27453</v>
      </c>
      <c r="B23622" t="s">
        <v>27457</v>
      </c>
      <c r="C23622">
        <f>0</f>
        <v>0</v>
      </c>
      <c r="D23622" t="s">
        <v>106</v>
      </c>
      <c r="E23622">
        <v>8.4317841079460205</v>
      </c>
    </row>
    <row r="23623" spans="1:5">
      <c r="A23623" t="s">
        <v>27458</v>
      </c>
      <c r="B23623" t="s">
        <v>27459</v>
      </c>
      <c r="C23623">
        <v>0</v>
      </c>
      <c r="D23623" t="s">
        <v>106</v>
      </c>
      <c r="E23623">
        <v>12.0419790104947</v>
      </c>
    </row>
    <row r="23624" spans="1:5">
      <c r="A23624" t="s">
        <v>27458</v>
      </c>
      <c r="B23624" t="s">
        <v>27460</v>
      </c>
      <c r="C23624">
        <v>0</v>
      </c>
      <c r="D23624" t="s">
        <v>106</v>
      </c>
      <c r="E23624">
        <v>12.0419790104947</v>
      </c>
    </row>
    <row r="23625" spans="1:5">
      <c r="A23625" t="s">
        <v>27458</v>
      </c>
      <c r="B23625" t="s">
        <v>27461</v>
      </c>
      <c r="C23625">
        <v>0</v>
      </c>
      <c r="D23625" t="s">
        <v>106</v>
      </c>
      <c r="E23625">
        <v>12.0419790104947</v>
      </c>
    </row>
    <row r="23626" spans="1:5">
      <c r="A23626" t="s">
        <v>27458</v>
      </c>
      <c r="B23626" t="s">
        <v>27462</v>
      </c>
      <c r="C23626">
        <v>0</v>
      </c>
      <c r="D23626" t="s">
        <v>106</v>
      </c>
      <c r="E23626">
        <v>12.0419790104947</v>
      </c>
    </row>
    <row r="23627" spans="1:5">
      <c r="A23627" t="s">
        <v>27458</v>
      </c>
      <c r="B23627" t="s">
        <v>27463</v>
      </c>
      <c r="C23627">
        <v>0</v>
      </c>
      <c r="D23627" t="s">
        <v>106</v>
      </c>
      <c r="E23627">
        <v>12.0419790104947</v>
      </c>
    </row>
    <row r="23628" spans="1:5">
      <c r="A23628" t="s">
        <v>27458</v>
      </c>
      <c r="B23628" t="s">
        <v>27464</v>
      </c>
      <c r="C23628">
        <f>0</f>
        <v>0</v>
      </c>
      <c r="D23628" t="s">
        <v>106</v>
      </c>
      <c r="E23628">
        <v>12.0419790104947</v>
      </c>
    </row>
    <row r="23629" spans="1:5">
      <c r="A23629" t="s">
        <v>27458</v>
      </c>
      <c r="B23629" t="s">
        <v>27465</v>
      </c>
      <c r="C23629">
        <v>0</v>
      </c>
      <c r="D23629" t="s">
        <v>106</v>
      </c>
      <c r="E23629">
        <v>12.0419790104947</v>
      </c>
    </row>
    <row r="23630" spans="1:5">
      <c r="A23630" t="s">
        <v>27458</v>
      </c>
      <c r="B23630" t="s">
        <v>27466</v>
      </c>
      <c r="C23630">
        <f>0</f>
        <v>0</v>
      </c>
      <c r="D23630" t="s">
        <v>106</v>
      </c>
      <c r="E23630">
        <v>12.0419790104947</v>
      </c>
    </row>
    <row r="23631" spans="1:5">
      <c r="A23631" t="s">
        <v>27458</v>
      </c>
      <c r="B23631" t="s">
        <v>27467</v>
      </c>
      <c r="C23631">
        <v>0</v>
      </c>
      <c r="D23631" t="s">
        <v>106</v>
      </c>
      <c r="E23631">
        <v>12.0419790104947</v>
      </c>
    </row>
    <row r="23632" spans="1:5">
      <c r="A23632" t="s">
        <v>27458</v>
      </c>
      <c r="B23632" t="s">
        <v>27468</v>
      </c>
      <c r="C23632">
        <v>0</v>
      </c>
      <c r="D23632" t="s">
        <v>106</v>
      </c>
      <c r="E23632">
        <v>12.0419790104947</v>
      </c>
    </row>
    <row r="23633" spans="1:5">
      <c r="A23633" t="s">
        <v>27458</v>
      </c>
      <c r="B23633" t="s">
        <v>27469</v>
      </c>
      <c r="C23633">
        <v>0</v>
      </c>
      <c r="D23633" t="s">
        <v>106</v>
      </c>
      <c r="E23633">
        <v>12.0419790104947</v>
      </c>
    </row>
    <row r="23634" spans="1:5">
      <c r="A23634" t="s">
        <v>27470</v>
      </c>
      <c r="B23634" t="s">
        <v>27471</v>
      </c>
      <c r="C23634">
        <f>0.231234053206</f>
        <v>0.23123405320599999</v>
      </c>
      <c r="D23634">
        <v>0.95112422964999999</v>
      </c>
      <c r="E23634">
        <v>0.31184407796101898</v>
      </c>
    </row>
    <row r="23635" spans="1:5">
      <c r="A23635" t="s">
        <v>27470</v>
      </c>
      <c r="B23635" t="s">
        <v>27472</v>
      </c>
      <c r="C23635">
        <v>0</v>
      </c>
      <c r="D23635">
        <v>0.95112422964999999</v>
      </c>
      <c r="E23635">
        <v>0.31184407796101898</v>
      </c>
    </row>
    <row r="23636" spans="1:5">
      <c r="A23636" t="s">
        <v>27470</v>
      </c>
      <c r="B23636" t="s">
        <v>27473</v>
      </c>
      <c r="C23636">
        <v>0</v>
      </c>
      <c r="D23636">
        <v>0.95112422964999999</v>
      </c>
      <c r="E23636">
        <v>0.31184407796101898</v>
      </c>
    </row>
    <row r="23637" spans="1:5">
      <c r="A23637" t="s">
        <v>27470</v>
      </c>
      <c r="B23637" t="s">
        <v>27474</v>
      </c>
      <c r="C23637">
        <v>0</v>
      </c>
      <c r="D23637">
        <v>0.95112422964999999</v>
      </c>
      <c r="E23637">
        <v>0.31184407796101898</v>
      </c>
    </row>
    <row r="23638" spans="1:5">
      <c r="A23638" t="s">
        <v>27470</v>
      </c>
      <c r="B23638" t="s">
        <v>27475</v>
      </c>
      <c r="C23638">
        <f>0</f>
        <v>0</v>
      </c>
      <c r="D23638">
        <v>0.95112422964999999</v>
      </c>
      <c r="E23638">
        <v>0.31184407796101898</v>
      </c>
    </row>
    <row r="23639" spans="1:5">
      <c r="A23639" t="s">
        <v>27470</v>
      </c>
      <c r="B23639" t="s">
        <v>27476</v>
      </c>
      <c r="C23639">
        <v>0</v>
      </c>
      <c r="D23639">
        <v>0.95112422964999999</v>
      </c>
      <c r="E23639">
        <v>0.31184407796101898</v>
      </c>
    </row>
    <row r="23640" spans="1:5">
      <c r="A23640" t="s">
        <v>27470</v>
      </c>
      <c r="B23640" t="s">
        <v>27477</v>
      </c>
      <c r="C23640">
        <f>0.141872812135</f>
        <v>0.141872812135</v>
      </c>
      <c r="D23640">
        <v>0.95112422964999999</v>
      </c>
      <c r="E23640">
        <v>0.31184407796101898</v>
      </c>
    </row>
    <row r="23641" spans="1:5">
      <c r="A23641" t="s">
        <v>27470</v>
      </c>
      <c r="B23641" t="s">
        <v>27478</v>
      </c>
      <c r="C23641">
        <f>0</f>
        <v>0</v>
      </c>
      <c r="D23641">
        <v>0.95112422964999999</v>
      </c>
      <c r="E23641">
        <v>0.31184407796101898</v>
      </c>
    </row>
    <row r="23642" spans="1:5">
      <c r="A23642" t="s">
        <v>27470</v>
      </c>
      <c r="B23642" t="s">
        <v>27479</v>
      </c>
      <c r="C23642">
        <v>0</v>
      </c>
      <c r="D23642">
        <v>0.95112422964999999</v>
      </c>
      <c r="E23642">
        <v>0.31184407796101898</v>
      </c>
    </row>
    <row r="23643" spans="1:5">
      <c r="A23643" t="s">
        <v>27470</v>
      </c>
      <c r="B23643" t="s">
        <v>27480</v>
      </c>
      <c r="C23643">
        <f>0</f>
        <v>0</v>
      </c>
      <c r="D23643">
        <v>0.95112422964999999</v>
      </c>
      <c r="E23643">
        <v>0.31184407796101898</v>
      </c>
    </row>
    <row r="23644" spans="1:5">
      <c r="A23644" t="s">
        <v>27470</v>
      </c>
      <c r="B23644" t="s">
        <v>27481</v>
      </c>
      <c r="C23644">
        <v>0</v>
      </c>
      <c r="D23644">
        <v>0.95112422964999999</v>
      </c>
      <c r="E23644">
        <v>0.31184407796101898</v>
      </c>
    </row>
    <row r="23645" spans="1:5">
      <c r="A23645" t="s">
        <v>27470</v>
      </c>
      <c r="B23645" t="s">
        <v>27482</v>
      </c>
      <c r="C23645">
        <v>0</v>
      </c>
      <c r="D23645">
        <v>0.95112422964999999</v>
      </c>
      <c r="E23645">
        <v>0.31184407796101898</v>
      </c>
    </row>
    <row r="23646" spans="1:5">
      <c r="A23646" t="s">
        <v>27483</v>
      </c>
      <c r="B23646" t="s">
        <v>27484</v>
      </c>
      <c r="C23646">
        <f>0.138378956567</f>
        <v>0.138378956567</v>
      </c>
      <c r="D23646">
        <v>0.99615892231600001</v>
      </c>
      <c r="E23646">
        <v>24</v>
      </c>
    </row>
    <row r="23647" spans="1:5">
      <c r="A23647" t="s">
        <v>27485</v>
      </c>
      <c r="B23647" t="s">
        <v>27486</v>
      </c>
      <c r="C23647">
        <v>0.13155972609399999</v>
      </c>
      <c r="D23647">
        <v>0.92838211284500005</v>
      </c>
      <c r="E23647">
        <v>14.176911544227799</v>
      </c>
    </row>
    <row r="23648" spans="1:5">
      <c r="A23648" t="s">
        <v>27485</v>
      </c>
      <c r="B23648" t="s">
        <v>27487</v>
      </c>
      <c r="C23648">
        <v>0</v>
      </c>
      <c r="D23648">
        <v>0.92838211284500005</v>
      </c>
      <c r="E23648">
        <v>14.176911544227799</v>
      </c>
    </row>
    <row r="23649" spans="1:5">
      <c r="A23649" t="s">
        <v>27485</v>
      </c>
      <c r="B23649" t="s">
        <v>27488</v>
      </c>
      <c r="C23649">
        <v>0</v>
      </c>
      <c r="D23649">
        <v>0.92838211284500005</v>
      </c>
      <c r="E23649">
        <v>14.176911544227799</v>
      </c>
    </row>
    <row r="23650" spans="1:5">
      <c r="A23650" t="s">
        <v>27485</v>
      </c>
      <c r="B23650" t="s">
        <v>27489</v>
      </c>
      <c r="C23650">
        <v>0</v>
      </c>
      <c r="D23650">
        <v>0.92838211284500005</v>
      </c>
      <c r="E23650">
        <v>14.176911544227799</v>
      </c>
    </row>
    <row r="23651" spans="1:5">
      <c r="A23651" t="s">
        <v>27485</v>
      </c>
      <c r="B23651" t="s">
        <v>27490</v>
      </c>
      <c r="C23651">
        <v>0</v>
      </c>
      <c r="D23651">
        <v>0.92838211284500005</v>
      </c>
      <c r="E23651">
        <v>14.176911544227799</v>
      </c>
    </row>
    <row r="23652" spans="1:5">
      <c r="A23652" t="s">
        <v>27485</v>
      </c>
      <c r="B23652" t="s">
        <v>27491</v>
      </c>
      <c r="C23652">
        <v>0</v>
      </c>
      <c r="D23652">
        <v>0.92838211284500005</v>
      </c>
      <c r="E23652">
        <v>14.176911544227799</v>
      </c>
    </row>
    <row r="23653" spans="1:5">
      <c r="A23653" t="s">
        <v>27485</v>
      </c>
      <c r="B23653" t="s">
        <v>27492</v>
      </c>
      <c r="C23653">
        <v>0</v>
      </c>
      <c r="D23653">
        <v>0.92838211284500005</v>
      </c>
      <c r="E23653">
        <v>14.176911544227799</v>
      </c>
    </row>
    <row r="23654" spans="1:5">
      <c r="A23654" t="s">
        <v>27485</v>
      </c>
      <c r="B23654" t="s">
        <v>27493</v>
      </c>
      <c r="C23654">
        <v>0</v>
      </c>
      <c r="D23654">
        <v>0.92838211284500005</v>
      </c>
      <c r="E23654">
        <v>14.176911544227799</v>
      </c>
    </row>
    <row r="23655" spans="1:5">
      <c r="A23655" t="s">
        <v>27494</v>
      </c>
      <c r="B23655" t="s">
        <v>27495</v>
      </c>
      <c r="C23655">
        <v>0</v>
      </c>
      <c r="D23655" t="s">
        <v>106</v>
      </c>
      <c r="E23655">
        <v>10.0749625187406</v>
      </c>
    </row>
    <row r="23656" spans="1:5">
      <c r="A23656" t="s">
        <v>27494</v>
      </c>
      <c r="B23656" t="s">
        <v>27496</v>
      </c>
      <c r="C23656">
        <v>0</v>
      </c>
      <c r="D23656" t="s">
        <v>106</v>
      </c>
      <c r="E23656">
        <v>10.0749625187406</v>
      </c>
    </row>
    <row r="23657" spans="1:5">
      <c r="A23657" t="s">
        <v>27494</v>
      </c>
      <c r="B23657" t="s">
        <v>27497</v>
      </c>
      <c r="C23657">
        <v>0</v>
      </c>
      <c r="D23657" t="s">
        <v>106</v>
      </c>
      <c r="E23657">
        <v>10.0749625187406</v>
      </c>
    </row>
    <row r="23658" spans="1:5">
      <c r="A23658" t="s">
        <v>27494</v>
      </c>
      <c r="B23658" t="s">
        <v>27498</v>
      </c>
      <c r="C23658">
        <f>0</f>
        <v>0</v>
      </c>
      <c r="D23658" t="s">
        <v>106</v>
      </c>
      <c r="E23658">
        <v>10.0749625187406</v>
      </c>
    </row>
    <row r="23659" spans="1:5">
      <c r="A23659" t="s">
        <v>27499</v>
      </c>
      <c r="B23659" t="s">
        <v>27500</v>
      </c>
      <c r="C23659">
        <v>0.16484065160799999</v>
      </c>
      <c r="D23659">
        <v>0.94670470130399997</v>
      </c>
      <c r="E23659">
        <v>10.878560719640101</v>
      </c>
    </row>
    <row r="23660" spans="1:5">
      <c r="A23660" t="s">
        <v>27499</v>
      </c>
      <c r="B23660" t="s">
        <v>27501</v>
      </c>
      <c r="C23660">
        <v>0</v>
      </c>
      <c r="D23660">
        <v>0.94670470130399997</v>
      </c>
      <c r="E23660">
        <v>10.878560719640101</v>
      </c>
    </row>
    <row r="23661" spans="1:5">
      <c r="A23661" t="s">
        <v>27499</v>
      </c>
      <c r="B23661" t="s">
        <v>27502</v>
      </c>
      <c r="C23661">
        <f>0</f>
        <v>0</v>
      </c>
      <c r="D23661">
        <v>0.94670470130399997</v>
      </c>
      <c r="E23661">
        <v>10.878560719640101</v>
      </c>
    </row>
    <row r="23662" spans="1:5">
      <c r="A23662" t="s">
        <v>27499</v>
      </c>
      <c r="B23662" t="s">
        <v>27503</v>
      </c>
      <c r="C23662">
        <v>0</v>
      </c>
      <c r="D23662">
        <v>0.94670470130399997</v>
      </c>
      <c r="E23662">
        <v>10.878560719640101</v>
      </c>
    </row>
    <row r="23663" spans="1:5">
      <c r="A23663" t="s">
        <v>27499</v>
      </c>
      <c r="B23663" t="s">
        <v>27504</v>
      </c>
      <c r="C23663">
        <v>2.2603809661599999E-3</v>
      </c>
      <c r="D23663">
        <v>0.94670470130399997</v>
      </c>
      <c r="E23663">
        <v>10.878560719640101</v>
      </c>
    </row>
    <row r="23664" spans="1:5">
      <c r="A23664" t="s">
        <v>27499</v>
      </c>
      <c r="B23664" t="s">
        <v>27505</v>
      </c>
      <c r="C23664">
        <v>0</v>
      </c>
      <c r="D23664">
        <v>0.94670470130399997</v>
      </c>
      <c r="E23664">
        <v>10.878560719640101</v>
      </c>
    </row>
    <row r="23665" spans="1:5">
      <c r="A23665" t="s">
        <v>27499</v>
      </c>
      <c r="B23665" t="s">
        <v>27506</v>
      </c>
      <c r="C23665">
        <v>0</v>
      </c>
      <c r="D23665">
        <v>0.94670470130399997</v>
      </c>
      <c r="E23665">
        <v>10.878560719640101</v>
      </c>
    </row>
    <row r="23666" spans="1:5">
      <c r="A23666" t="s">
        <v>27507</v>
      </c>
      <c r="B23666" t="s">
        <v>27508</v>
      </c>
      <c r="C23666">
        <f>0</f>
        <v>0</v>
      </c>
      <c r="D23666">
        <v>0.86824459267999998</v>
      </c>
      <c r="E23666">
        <v>8.7196401799100407</v>
      </c>
    </row>
    <row r="23667" spans="1:5">
      <c r="A23667" t="s">
        <v>27507</v>
      </c>
      <c r="B23667" t="s">
        <v>27509</v>
      </c>
      <c r="C23667">
        <v>0</v>
      </c>
      <c r="D23667">
        <v>0.86824459267999998</v>
      </c>
      <c r="E23667">
        <v>8.7196401799100407</v>
      </c>
    </row>
    <row r="23668" spans="1:5">
      <c r="A23668" t="s">
        <v>27507</v>
      </c>
      <c r="B23668" t="s">
        <v>27510</v>
      </c>
      <c r="C23668">
        <v>0</v>
      </c>
      <c r="D23668">
        <v>0.86824459267999998</v>
      </c>
      <c r="E23668">
        <v>8.7196401799100407</v>
      </c>
    </row>
    <row r="23669" spans="1:5">
      <c r="A23669" t="s">
        <v>27507</v>
      </c>
      <c r="B23669" t="s">
        <v>27511</v>
      </c>
      <c r="C23669">
        <v>0</v>
      </c>
      <c r="D23669">
        <v>0.86824459267999998</v>
      </c>
      <c r="E23669">
        <v>8.7196401799100407</v>
      </c>
    </row>
    <row r="23670" spans="1:5">
      <c r="A23670" t="s">
        <v>27507</v>
      </c>
      <c r="B23670" t="s">
        <v>27512</v>
      </c>
      <c r="C23670">
        <f>0</f>
        <v>0</v>
      </c>
      <c r="D23670">
        <v>0.86824459267999998</v>
      </c>
      <c r="E23670">
        <v>8.7196401799100407</v>
      </c>
    </row>
    <row r="23671" spans="1:5">
      <c r="A23671" t="s">
        <v>27507</v>
      </c>
      <c r="B23671" t="s">
        <v>27513</v>
      </c>
      <c r="C23671">
        <v>0.162232538482</v>
      </c>
      <c r="D23671">
        <v>0.86824459267999998</v>
      </c>
      <c r="E23671">
        <v>8.7196401799100407</v>
      </c>
    </row>
    <row r="23672" spans="1:5">
      <c r="A23672" t="s">
        <v>27507</v>
      </c>
      <c r="B23672" t="s">
        <v>27514</v>
      </c>
      <c r="C23672">
        <v>0</v>
      </c>
      <c r="D23672">
        <v>0.86824459267999998</v>
      </c>
      <c r="E23672">
        <v>8.7196401799100407</v>
      </c>
    </row>
    <row r="23673" spans="1:5">
      <c r="A23673" t="s">
        <v>27507</v>
      </c>
      <c r="B23673" t="s">
        <v>27515</v>
      </c>
      <c r="C23673">
        <f>0</f>
        <v>0</v>
      </c>
      <c r="D23673">
        <v>0.86824459267999998</v>
      </c>
      <c r="E23673">
        <v>8.7196401799100407</v>
      </c>
    </row>
    <row r="23674" spans="1:5">
      <c r="A23674" t="s">
        <v>27516</v>
      </c>
      <c r="B23674" t="s">
        <v>27517</v>
      </c>
      <c r="C23674">
        <v>0</v>
      </c>
      <c r="D23674">
        <v>0.99276574280399998</v>
      </c>
      <c r="E23674">
        <v>2.0269865067466202</v>
      </c>
    </row>
    <row r="23675" spans="1:5">
      <c r="A23675" t="s">
        <v>27516</v>
      </c>
      <c r="B23675" t="s">
        <v>27518</v>
      </c>
      <c r="C23675">
        <f>0</f>
        <v>0</v>
      </c>
      <c r="D23675">
        <v>0.99276574280399998</v>
      </c>
      <c r="E23675">
        <v>2.0269865067466202</v>
      </c>
    </row>
    <row r="23676" spans="1:5">
      <c r="A23676" t="s">
        <v>27516</v>
      </c>
      <c r="B23676" t="s">
        <v>27519</v>
      </c>
      <c r="C23676">
        <f>0</f>
        <v>0</v>
      </c>
      <c r="D23676">
        <v>0.99276574280399998</v>
      </c>
      <c r="E23676">
        <v>2.0269865067466202</v>
      </c>
    </row>
    <row r="23677" spans="1:5">
      <c r="A23677" t="s">
        <v>27516</v>
      </c>
      <c r="B23677" t="s">
        <v>27520</v>
      </c>
      <c r="C23677">
        <v>0.14028553007799999</v>
      </c>
      <c r="D23677">
        <v>0.99276574280399998</v>
      </c>
      <c r="E23677">
        <v>2.0269865067466202</v>
      </c>
    </row>
    <row r="23678" spans="1:5">
      <c r="A23678" t="s">
        <v>27516</v>
      </c>
      <c r="B23678" t="s">
        <v>27521</v>
      </c>
      <c r="C23678">
        <f>0</f>
        <v>0</v>
      </c>
      <c r="D23678">
        <v>0.99276574280399998</v>
      </c>
      <c r="E23678">
        <v>2.0269865067466202</v>
      </c>
    </row>
    <row r="23679" spans="1:5">
      <c r="A23679" t="s">
        <v>27516</v>
      </c>
      <c r="B23679" t="s">
        <v>27522</v>
      </c>
      <c r="C23679">
        <v>0</v>
      </c>
      <c r="D23679">
        <v>0.99276574280399998</v>
      </c>
      <c r="E23679">
        <v>2.0269865067466202</v>
      </c>
    </row>
    <row r="23680" spans="1:5">
      <c r="A23680" t="s">
        <v>27516</v>
      </c>
      <c r="B23680" t="s">
        <v>27523</v>
      </c>
      <c r="C23680">
        <f>0.0842606565576</f>
        <v>8.4260656557599997E-2</v>
      </c>
      <c r="D23680">
        <v>0.99276574280399998</v>
      </c>
      <c r="E23680">
        <v>2.0269865067466202</v>
      </c>
    </row>
    <row r="23681" spans="1:5">
      <c r="A23681" t="s">
        <v>27516</v>
      </c>
      <c r="B23681" t="s">
        <v>27524</v>
      </c>
      <c r="C23681">
        <v>0</v>
      </c>
      <c r="D23681">
        <v>0.99276574280399998</v>
      </c>
      <c r="E23681">
        <v>2.0269865067466202</v>
      </c>
    </row>
    <row r="23682" spans="1:5">
      <c r="A23682" t="s">
        <v>27525</v>
      </c>
      <c r="B23682" t="s">
        <v>27526</v>
      </c>
      <c r="C23682">
        <v>0</v>
      </c>
      <c r="D23682">
        <v>0.89739391568100002</v>
      </c>
      <c r="E23682">
        <v>10.230884557721099</v>
      </c>
    </row>
    <row r="23683" spans="1:5">
      <c r="A23683" t="s">
        <v>27525</v>
      </c>
      <c r="B23683" t="s">
        <v>27527</v>
      </c>
      <c r="C23683">
        <f>0</f>
        <v>0</v>
      </c>
      <c r="D23683">
        <v>0.89739391568100002</v>
      </c>
      <c r="E23683">
        <v>10.230884557721099</v>
      </c>
    </row>
    <row r="23684" spans="1:5">
      <c r="A23684" t="s">
        <v>27525</v>
      </c>
      <c r="B23684" t="s">
        <v>27528</v>
      </c>
      <c r="C23684">
        <v>0</v>
      </c>
      <c r="D23684">
        <v>0.89739391568100002</v>
      </c>
      <c r="E23684">
        <v>10.230884557721099</v>
      </c>
    </row>
    <row r="23685" spans="1:5">
      <c r="A23685" t="s">
        <v>27525</v>
      </c>
      <c r="B23685" t="s">
        <v>27529</v>
      </c>
      <c r="C23685">
        <v>0</v>
      </c>
      <c r="D23685">
        <v>0.89739391568100002</v>
      </c>
      <c r="E23685">
        <v>10.230884557721099</v>
      </c>
    </row>
    <row r="23686" spans="1:5">
      <c r="A23686" t="s">
        <v>27525</v>
      </c>
      <c r="B23686" t="s">
        <v>27530</v>
      </c>
      <c r="C23686">
        <f>0</f>
        <v>0</v>
      </c>
      <c r="D23686">
        <v>0.89739391568100002</v>
      </c>
      <c r="E23686">
        <v>10.230884557721099</v>
      </c>
    </row>
    <row r="23687" spans="1:5">
      <c r="A23687" t="s">
        <v>27525</v>
      </c>
      <c r="B23687" t="s">
        <v>27531</v>
      </c>
      <c r="C23687">
        <f>0</f>
        <v>0</v>
      </c>
      <c r="D23687">
        <v>0.89739391568100002</v>
      </c>
      <c r="E23687">
        <v>10.230884557721099</v>
      </c>
    </row>
    <row r="23688" spans="1:5">
      <c r="A23688" t="s">
        <v>27525</v>
      </c>
      <c r="B23688" t="s">
        <v>27532</v>
      </c>
      <c r="C23688">
        <v>0</v>
      </c>
      <c r="D23688">
        <v>0.89739391568100002</v>
      </c>
      <c r="E23688">
        <v>10.230884557721099</v>
      </c>
    </row>
    <row r="23689" spans="1:5">
      <c r="A23689" t="s">
        <v>27525</v>
      </c>
      <c r="B23689" t="s">
        <v>27533</v>
      </c>
      <c r="C23689">
        <v>0.12014717640600001</v>
      </c>
      <c r="D23689">
        <v>0.89739391568100002</v>
      </c>
      <c r="E23689">
        <v>10.230884557721099</v>
      </c>
    </row>
    <row r="23690" spans="1:5">
      <c r="A23690" t="s">
        <v>27525</v>
      </c>
      <c r="B23690" t="s">
        <v>27534</v>
      </c>
      <c r="C23690">
        <v>0</v>
      </c>
      <c r="D23690">
        <v>0.89739391568100002</v>
      </c>
      <c r="E23690">
        <v>10.230884557721099</v>
      </c>
    </row>
    <row r="23691" spans="1:5">
      <c r="A23691" t="s">
        <v>27525</v>
      </c>
      <c r="B23691" t="s">
        <v>27535</v>
      </c>
      <c r="C23691">
        <v>0</v>
      </c>
      <c r="D23691">
        <v>0.89739391568100002</v>
      </c>
      <c r="E23691">
        <v>10.230884557721099</v>
      </c>
    </row>
    <row r="23692" spans="1:5">
      <c r="A23692" t="s">
        <v>27525</v>
      </c>
      <c r="B23692" t="s">
        <v>27536</v>
      </c>
      <c r="C23692">
        <v>0</v>
      </c>
      <c r="D23692">
        <v>0.89739391568100002</v>
      </c>
      <c r="E23692">
        <v>10.230884557721099</v>
      </c>
    </row>
    <row r="23693" spans="1:5">
      <c r="A23693" t="s">
        <v>27525</v>
      </c>
      <c r="B23693" t="s">
        <v>27537</v>
      </c>
      <c r="C23693">
        <v>0</v>
      </c>
      <c r="D23693">
        <v>0.89739391568100002</v>
      </c>
      <c r="E23693">
        <v>10.230884557721099</v>
      </c>
    </row>
    <row r="23694" spans="1:5">
      <c r="A23694" t="s">
        <v>27538</v>
      </c>
      <c r="B23694" t="s">
        <v>27539</v>
      </c>
      <c r="C23694">
        <f>0</f>
        <v>0</v>
      </c>
      <c r="D23694" t="s">
        <v>106</v>
      </c>
      <c r="E23694">
        <v>5.3493253373313303</v>
      </c>
    </row>
    <row r="23695" spans="1:5">
      <c r="A23695" t="s">
        <v>27538</v>
      </c>
      <c r="B23695" t="s">
        <v>27540</v>
      </c>
      <c r="C23695">
        <f>0</f>
        <v>0</v>
      </c>
      <c r="D23695" t="s">
        <v>106</v>
      </c>
      <c r="E23695">
        <v>5.3493253373313303</v>
      </c>
    </row>
    <row r="23696" spans="1:5">
      <c r="A23696" t="s">
        <v>27538</v>
      </c>
      <c r="B23696" t="s">
        <v>27541</v>
      </c>
      <c r="C23696">
        <v>0</v>
      </c>
      <c r="D23696" t="s">
        <v>106</v>
      </c>
      <c r="E23696">
        <v>5.3493253373313303</v>
      </c>
    </row>
    <row r="23697" spans="1:5">
      <c r="A23697" t="s">
        <v>27538</v>
      </c>
      <c r="B23697" t="s">
        <v>27542</v>
      </c>
      <c r="C23697">
        <v>0</v>
      </c>
      <c r="D23697" t="s">
        <v>106</v>
      </c>
      <c r="E23697">
        <v>5.3493253373313303</v>
      </c>
    </row>
    <row r="23698" spans="1:5">
      <c r="A23698" t="s">
        <v>27538</v>
      </c>
      <c r="B23698" t="s">
        <v>27543</v>
      </c>
      <c r="C23698">
        <v>0</v>
      </c>
      <c r="D23698" t="s">
        <v>106</v>
      </c>
      <c r="E23698">
        <v>5.3493253373313303</v>
      </c>
    </row>
    <row r="23699" spans="1:5">
      <c r="A23699" t="s">
        <v>27538</v>
      </c>
      <c r="B23699" t="s">
        <v>27544</v>
      </c>
      <c r="C23699">
        <v>0</v>
      </c>
      <c r="D23699" t="s">
        <v>106</v>
      </c>
      <c r="E23699">
        <v>5.3493253373313303</v>
      </c>
    </row>
    <row r="23700" spans="1:5">
      <c r="A23700" t="s">
        <v>27545</v>
      </c>
      <c r="B23700" t="s">
        <v>27546</v>
      </c>
      <c r="C23700">
        <f>0</f>
        <v>0</v>
      </c>
      <c r="D23700" t="s">
        <v>106</v>
      </c>
      <c r="E23700">
        <v>16.899550224887498</v>
      </c>
    </row>
    <row r="23701" spans="1:5">
      <c r="A23701" t="s">
        <v>27545</v>
      </c>
      <c r="B23701" t="s">
        <v>27547</v>
      </c>
      <c r="C23701">
        <v>0</v>
      </c>
      <c r="D23701" t="s">
        <v>106</v>
      </c>
      <c r="E23701">
        <v>16.899550224887498</v>
      </c>
    </row>
    <row r="23702" spans="1:5">
      <c r="A23702" t="s">
        <v>27545</v>
      </c>
      <c r="B23702" t="s">
        <v>27548</v>
      </c>
      <c r="C23702">
        <v>0.29068308711899998</v>
      </c>
      <c r="D23702" t="s">
        <v>106</v>
      </c>
      <c r="E23702">
        <v>16.899550224887498</v>
      </c>
    </row>
    <row r="23703" spans="1:5">
      <c r="A23703" t="s">
        <v>27545</v>
      </c>
      <c r="B23703" t="s">
        <v>27549</v>
      </c>
      <c r="C23703">
        <v>0</v>
      </c>
      <c r="D23703" t="s">
        <v>106</v>
      </c>
      <c r="E23703">
        <v>16.899550224887498</v>
      </c>
    </row>
    <row r="23704" spans="1:5">
      <c r="A23704" t="s">
        <v>27545</v>
      </c>
      <c r="B23704" t="s">
        <v>27550</v>
      </c>
      <c r="C23704">
        <v>0</v>
      </c>
      <c r="D23704" t="s">
        <v>106</v>
      </c>
      <c r="E23704">
        <v>16.899550224887498</v>
      </c>
    </row>
    <row r="23705" spans="1:5">
      <c r="A23705" t="s">
        <v>27545</v>
      </c>
      <c r="B23705" t="s">
        <v>27551</v>
      </c>
      <c r="C23705">
        <v>5.7399110865900001E-2</v>
      </c>
      <c r="D23705" t="s">
        <v>106</v>
      </c>
      <c r="E23705">
        <v>16.899550224887498</v>
      </c>
    </row>
    <row r="23706" spans="1:5">
      <c r="A23706" t="s">
        <v>27545</v>
      </c>
      <c r="B23706" t="s">
        <v>27552</v>
      </c>
      <c r="C23706">
        <v>0</v>
      </c>
      <c r="D23706" t="s">
        <v>106</v>
      </c>
      <c r="E23706">
        <v>16.899550224887498</v>
      </c>
    </row>
    <row r="23707" spans="1:5">
      <c r="A23707" t="s">
        <v>27553</v>
      </c>
      <c r="B23707" t="s">
        <v>27554</v>
      </c>
      <c r="C23707">
        <v>0</v>
      </c>
      <c r="D23707" t="s">
        <v>106</v>
      </c>
      <c r="E23707">
        <v>1.11544227886056</v>
      </c>
    </row>
    <row r="23708" spans="1:5">
      <c r="A23708" t="s">
        <v>27553</v>
      </c>
      <c r="B23708" t="s">
        <v>27555</v>
      </c>
      <c r="C23708">
        <v>0</v>
      </c>
      <c r="D23708" t="s">
        <v>106</v>
      </c>
      <c r="E23708">
        <v>1.11544227886056</v>
      </c>
    </row>
    <row r="23709" spans="1:5">
      <c r="A23709" t="s">
        <v>27553</v>
      </c>
      <c r="B23709" t="s">
        <v>27556</v>
      </c>
      <c r="C23709">
        <v>0</v>
      </c>
      <c r="D23709" t="s">
        <v>106</v>
      </c>
      <c r="E23709">
        <v>1.11544227886056</v>
      </c>
    </row>
    <row r="23710" spans="1:5">
      <c r="A23710" t="s">
        <v>27553</v>
      </c>
      <c r="B23710" t="s">
        <v>27557</v>
      </c>
      <c r="C23710">
        <f>0</f>
        <v>0</v>
      </c>
      <c r="D23710" t="s">
        <v>106</v>
      </c>
      <c r="E23710">
        <v>1.11544227886056</v>
      </c>
    </row>
    <row r="23711" spans="1:5">
      <c r="A23711" t="s">
        <v>27553</v>
      </c>
      <c r="B23711" t="s">
        <v>27558</v>
      </c>
      <c r="C23711">
        <v>0</v>
      </c>
      <c r="D23711" t="s">
        <v>106</v>
      </c>
      <c r="E23711">
        <v>1.11544227886056</v>
      </c>
    </row>
    <row r="23712" spans="1:5">
      <c r="A23712" t="s">
        <v>27553</v>
      </c>
      <c r="B23712" t="s">
        <v>27559</v>
      </c>
      <c r="C23712">
        <f>0</f>
        <v>0</v>
      </c>
      <c r="D23712" t="s">
        <v>106</v>
      </c>
      <c r="E23712">
        <v>1.11544227886056</v>
      </c>
    </row>
    <row r="23713" spans="1:5">
      <c r="A23713" t="s">
        <v>27560</v>
      </c>
      <c r="B23713" t="s">
        <v>27561</v>
      </c>
      <c r="C23713">
        <v>0.47747259600500003</v>
      </c>
      <c r="D23713">
        <v>0.975810530876</v>
      </c>
      <c r="E23713">
        <v>11.202398800599701</v>
      </c>
    </row>
    <row r="23714" spans="1:5">
      <c r="A23714" t="s">
        <v>27560</v>
      </c>
      <c r="B23714" t="s">
        <v>27562</v>
      </c>
      <c r="C23714">
        <f>0</f>
        <v>0</v>
      </c>
      <c r="D23714">
        <v>0.975810530876</v>
      </c>
      <c r="E23714">
        <v>11.202398800599701</v>
      </c>
    </row>
    <row r="23715" spans="1:5">
      <c r="A23715" t="s">
        <v>27560</v>
      </c>
      <c r="B23715" t="s">
        <v>27563</v>
      </c>
      <c r="C23715">
        <f>0.0852789679513</f>
        <v>8.5278967951299994E-2</v>
      </c>
      <c r="D23715">
        <v>0.975810530876</v>
      </c>
      <c r="E23715">
        <v>11.202398800599701</v>
      </c>
    </row>
    <row r="23716" spans="1:5">
      <c r="A23716" t="s">
        <v>27564</v>
      </c>
      <c r="B23716" t="s">
        <v>27565</v>
      </c>
      <c r="C23716">
        <f>0.0154056466574</f>
        <v>1.5405646657399999E-2</v>
      </c>
      <c r="D23716">
        <v>0.65399849782899999</v>
      </c>
      <c r="E23716">
        <v>5.8170914542728598</v>
      </c>
    </row>
    <row r="23717" spans="1:5">
      <c r="A23717" t="s">
        <v>27564</v>
      </c>
      <c r="B23717" t="s">
        <v>27566</v>
      </c>
      <c r="C23717">
        <v>9.3633226098899999E-3</v>
      </c>
      <c r="D23717">
        <v>0.65399849782899999</v>
      </c>
      <c r="E23717">
        <v>5.8170914542728598</v>
      </c>
    </row>
    <row r="23718" spans="1:5">
      <c r="A23718" t="s">
        <v>27564</v>
      </c>
      <c r="B23718" t="s">
        <v>27567</v>
      </c>
      <c r="C23718">
        <f>0</f>
        <v>0</v>
      </c>
      <c r="D23718">
        <v>0.65399849782899999</v>
      </c>
      <c r="E23718">
        <v>5.8170914542728598</v>
      </c>
    </row>
    <row r="23719" spans="1:5">
      <c r="A23719" t="s">
        <v>27568</v>
      </c>
      <c r="B23719" t="s">
        <v>27569</v>
      </c>
      <c r="C23719">
        <v>0.25666394022</v>
      </c>
      <c r="D23719">
        <v>0.99759023039899997</v>
      </c>
      <c r="E23719">
        <v>6.8005997001499203</v>
      </c>
    </row>
    <row r="23720" spans="1:5">
      <c r="A23720" t="s">
        <v>27568</v>
      </c>
      <c r="B23720" t="s">
        <v>27570</v>
      </c>
      <c r="C23720">
        <f>0.0231135430554</f>
        <v>2.3113543055400001E-2</v>
      </c>
      <c r="D23720">
        <v>0.99759023039899997</v>
      </c>
      <c r="E23720">
        <v>6.8005997001499203</v>
      </c>
    </row>
    <row r="23721" spans="1:5">
      <c r="A23721" t="s">
        <v>27568</v>
      </c>
      <c r="B23721" t="s">
        <v>27571</v>
      </c>
      <c r="C23721">
        <v>0</v>
      </c>
      <c r="D23721">
        <v>0.99759023039899997</v>
      </c>
      <c r="E23721">
        <v>6.8005997001499203</v>
      </c>
    </row>
    <row r="23722" spans="1:5">
      <c r="A23722" t="s">
        <v>27572</v>
      </c>
      <c r="B23722" t="s">
        <v>27573</v>
      </c>
      <c r="C23722">
        <v>0.104988140248</v>
      </c>
      <c r="D23722" t="s">
        <v>106</v>
      </c>
      <c r="E23722">
        <v>2.8785607196401801</v>
      </c>
    </row>
    <row r="23723" spans="1:5">
      <c r="A23723" t="s">
        <v>27572</v>
      </c>
      <c r="B23723" t="s">
        <v>27574</v>
      </c>
      <c r="C23723">
        <v>0</v>
      </c>
      <c r="D23723" t="s">
        <v>106</v>
      </c>
      <c r="E23723">
        <v>2.8785607196401801</v>
      </c>
    </row>
    <row r="23724" spans="1:5">
      <c r="A23724" t="s">
        <v>27572</v>
      </c>
      <c r="B23724" t="s">
        <v>27575</v>
      </c>
      <c r="C23724">
        <f>0</f>
        <v>0</v>
      </c>
      <c r="D23724" t="s">
        <v>106</v>
      </c>
      <c r="E23724">
        <v>2.8785607196401801</v>
      </c>
    </row>
    <row r="23725" spans="1:5">
      <c r="A23725" t="s">
        <v>27572</v>
      </c>
      <c r="B23725" t="s">
        <v>27576</v>
      </c>
      <c r="C23725">
        <v>1.9446705421E-3</v>
      </c>
      <c r="D23725" t="s">
        <v>106</v>
      </c>
      <c r="E23725">
        <v>2.8785607196401801</v>
      </c>
    </row>
    <row r="23726" spans="1:5">
      <c r="A23726" t="s">
        <v>27572</v>
      </c>
      <c r="B23726" t="s">
        <v>27577</v>
      </c>
      <c r="C23726">
        <v>0</v>
      </c>
      <c r="D23726" t="s">
        <v>106</v>
      </c>
      <c r="E23726">
        <v>2.8785607196401801</v>
      </c>
    </row>
    <row r="23727" spans="1:5">
      <c r="A23727" t="s">
        <v>27572</v>
      </c>
      <c r="B23727" t="s">
        <v>27578</v>
      </c>
      <c r="C23727">
        <v>0</v>
      </c>
      <c r="D23727" t="s">
        <v>106</v>
      </c>
      <c r="E23727">
        <v>2.8785607196401801</v>
      </c>
    </row>
    <row r="23728" spans="1:5">
      <c r="A23728" t="s">
        <v>27579</v>
      </c>
      <c r="B23728" t="s">
        <v>27580</v>
      </c>
      <c r="C23728">
        <v>0</v>
      </c>
      <c r="D23728" t="s">
        <v>106</v>
      </c>
      <c r="E23728">
        <v>22.332833583208298</v>
      </c>
    </row>
    <row r="23729" spans="1:5">
      <c r="A23729" t="s">
        <v>27579</v>
      </c>
      <c r="B23729" t="s">
        <v>27581</v>
      </c>
      <c r="C23729">
        <v>0</v>
      </c>
      <c r="D23729" t="s">
        <v>106</v>
      </c>
      <c r="E23729">
        <v>22.332833583208298</v>
      </c>
    </row>
    <row r="23730" spans="1:5">
      <c r="A23730" t="s">
        <v>27579</v>
      </c>
      <c r="B23730" t="s">
        <v>27582</v>
      </c>
      <c r="C23730">
        <v>0</v>
      </c>
      <c r="D23730" t="s">
        <v>106</v>
      </c>
      <c r="E23730">
        <v>22.332833583208298</v>
      </c>
    </row>
    <row r="23731" spans="1:5">
      <c r="A23731" t="s">
        <v>27579</v>
      </c>
      <c r="B23731" t="s">
        <v>27583</v>
      </c>
      <c r="C23731">
        <f>0</f>
        <v>0</v>
      </c>
      <c r="D23731" t="s">
        <v>106</v>
      </c>
      <c r="E23731">
        <v>22.332833583208298</v>
      </c>
    </row>
    <row r="23732" spans="1:5">
      <c r="A23732" t="s">
        <v>27579</v>
      </c>
      <c r="B23732" t="s">
        <v>27584</v>
      </c>
      <c r="C23732">
        <v>0</v>
      </c>
      <c r="D23732" t="s">
        <v>106</v>
      </c>
      <c r="E23732">
        <v>22.332833583208298</v>
      </c>
    </row>
    <row r="23733" spans="1:5">
      <c r="A23733" t="s">
        <v>27585</v>
      </c>
      <c r="B23733" t="s">
        <v>27586</v>
      </c>
      <c r="C23733">
        <v>0</v>
      </c>
      <c r="D23733">
        <v>0.99109318094900001</v>
      </c>
      <c r="E23733">
        <v>1.8230884557721101</v>
      </c>
    </row>
    <row r="23734" spans="1:5">
      <c r="A23734" t="s">
        <v>27585</v>
      </c>
      <c r="B23734" t="s">
        <v>27587</v>
      </c>
      <c r="C23734">
        <v>0.12945064713099999</v>
      </c>
      <c r="D23734">
        <v>0.99109318094900001</v>
      </c>
      <c r="E23734">
        <v>1.8230884557721101</v>
      </c>
    </row>
    <row r="23735" spans="1:5">
      <c r="A23735" t="s">
        <v>27585</v>
      </c>
      <c r="B23735" t="s">
        <v>27588</v>
      </c>
      <c r="C23735">
        <v>0</v>
      </c>
      <c r="D23735">
        <v>0.99109318094900001</v>
      </c>
      <c r="E23735">
        <v>1.8230884557721101</v>
      </c>
    </row>
    <row r="23736" spans="1:5">
      <c r="A23736" t="s">
        <v>27585</v>
      </c>
      <c r="B23736" t="s">
        <v>27589</v>
      </c>
      <c r="C23736">
        <f>0</f>
        <v>0</v>
      </c>
      <c r="D23736">
        <v>0.99109318094900001</v>
      </c>
      <c r="E23736">
        <v>1.8230884557721101</v>
      </c>
    </row>
    <row r="23737" spans="1:5">
      <c r="A23737" t="s">
        <v>27585</v>
      </c>
      <c r="B23737" t="s">
        <v>27590</v>
      </c>
      <c r="C23737">
        <v>0.15388072984100001</v>
      </c>
      <c r="D23737">
        <v>0.99109318094900001</v>
      </c>
      <c r="E23737">
        <v>1.8230884557721101</v>
      </c>
    </row>
    <row r="23738" spans="1:5">
      <c r="A23738" t="s">
        <v>27585</v>
      </c>
      <c r="B23738" t="s">
        <v>27591</v>
      </c>
      <c r="C23738">
        <v>0</v>
      </c>
      <c r="D23738">
        <v>0.99109318094900001</v>
      </c>
      <c r="E23738">
        <v>1.8230884557721101</v>
      </c>
    </row>
    <row r="23739" spans="1:5">
      <c r="A23739" t="s">
        <v>27585</v>
      </c>
      <c r="B23739" t="s">
        <v>27592</v>
      </c>
      <c r="C23739">
        <f>0</f>
        <v>0</v>
      </c>
      <c r="D23739">
        <v>0.99109318094900001</v>
      </c>
      <c r="E23739">
        <v>1.8230884557721101</v>
      </c>
    </row>
    <row r="23740" spans="1:5">
      <c r="A23740" t="s">
        <v>27585</v>
      </c>
      <c r="B23740" t="s">
        <v>27593</v>
      </c>
      <c r="C23740">
        <v>0</v>
      </c>
      <c r="D23740">
        <v>0.99109318094900001</v>
      </c>
      <c r="E23740">
        <v>1.8230884557721101</v>
      </c>
    </row>
    <row r="23741" spans="1:5">
      <c r="A23741" t="s">
        <v>27594</v>
      </c>
      <c r="B23741" t="s">
        <v>27595</v>
      </c>
      <c r="C23741">
        <v>0</v>
      </c>
      <c r="D23741" t="s">
        <v>106</v>
      </c>
      <c r="E23741">
        <v>13.2653673163418</v>
      </c>
    </row>
    <row r="23742" spans="1:5">
      <c r="A23742" t="s">
        <v>27594</v>
      </c>
      <c r="B23742" t="s">
        <v>27596</v>
      </c>
      <c r="C23742">
        <v>0</v>
      </c>
      <c r="D23742" t="s">
        <v>106</v>
      </c>
      <c r="E23742">
        <v>13.2653673163418</v>
      </c>
    </row>
    <row r="23743" spans="1:5">
      <c r="A23743" t="s">
        <v>27594</v>
      </c>
      <c r="B23743" t="s">
        <v>27597</v>
      </c>
      <c r="C23743">
        <f>0</f>
        <v>0</v>
      </c>
      <c r="D23743" t="s">
        <v>106</v>
      </c>
      <c r="E23743">
        <v>13.2653673163418</v>
      </c>
    </row>
    <row r="23744" spans="1:5">
      <c r="A23744" t="s">
        <v>27594</v>
      </c>
      <c r="B23744" t="s">
        <v>27598</v>
      </c>
      <c r="C23744">
        <v>0</v>
      </c>
      <c r="D23744" t="s">
        <v>106</v>
      </c>
      <c r="E23744">
        <v>13.2653673163418</v>
      </c>
    </row>
    <row r="23745" spans="1:5">
      <c r="A23745" t="s">
        <v>27599</v>
      </c>
      <c r="B23745" t="s">
        <v>27600</v>
      </c>
      <c r="C23745">
        <v>5.6958632014199997E-2</v>
      </c>
      <c r="D23745">
        <v>0.91507524564700005</v>
      </c>
      <c r="E23745">
        <v>8.1439280359820092</v>
      </c>
    </row>
    <row r="23746" spans="1:5">
      <c r="A23746" t="s">
        <v>27599</v>
      </c>
      <c r="B23746" t="s">
        <v>27601</v>
      </c>
      <c r="C23746">
        <v>0</v>
      </c>
      <c r="D23746">
        <v>0.91507524564700005</v>
      </c>
      <c r="E23746">
        <v>8.1439280359820092</v>
      </c>
    </row>
    <row r="23747" spans="1:5">
      <c r="A23747" t="s">
        <v>27602</v>
      </c>
      <c r="B23747" t="s">
        <v>27603</v>
      </c>
      <c r="C23747">
        <f>0</f>
        <v>0</v>
      </c>
      <c r="D23747">
        <v>0.96265769874200002</v>
      </c>
      <c r="E23747">
        <v>7.8680659670164896</v>
      </c>
    </row>
    <row r="23748" spans="1:5">
      <c r="A23748" t="s">
        <v>27602</v>
      </c>
      <c r="B23748" t="s">
        <v>27604</v>
      </c>
      <c r="C23748">
        <v>0</v>
      </c>
      <c r="D23748">
        <v>0.96265769874200002</v>
      </c>
      <c r="E23748">
        <v>7.8680659670164896</v>
      </c>
    </row>
    <row r="23749" spans="1:5">
      <c r="A23749" t="s">
        <v>27602</v>
      </c>
      <c r="B23749" t="s">
        <v>27605</v>
      </c>
      <c r="C23749">
        <v>0.457799254564</v>
      </c>
      <c r="D23749">
        <v>0.96265769874200002</v>
      </c>
      <c r="E23749">
        <v>7.8680659670164896</v>
      </c>
    </row>
    <row r="23750" spans="1:5">
      <c r="A23750" t="s">
        <v>27602</v>
      </c>
      <c r="B23750" t="s">
        <v>27606</v>
      </c>
      <c r="C23750">
        <v>0.17437611748199999</v>
      </c>
      <c r="D23750">
        <v>0.96265769874200002</v>
      </c>
      <c r="E23750">
        <v>7.8680659670164896</v>
      </c>
    </row>
    <row r="23751" spans="1:5">
      <c r="A23751" t="s">
        <v>27602</v>
      </c>
      <c r="B23751" t="s">
        <v>27607</v>
      </c>
      <c r="C23751">
        <v>0</v>
      </c>
      <c r="D23751">
        <v>0.96265769874200002</v>
      </c>
      <c r="E23751">
        <v>7.8680659670164896</v>
      </c>
    </row>
    <row r="23752" spans="1:5">
      <c r="A23752" t="s">
        <v>27602</v>
      </c>
      <c r="B23752" t="s">
        <v>27608</v>
      </c>
      <c r="C23752">
        <v>0</v>
      </c>
      <c r="D23752">
        <v>0.96265769874200002</v>
      </c>
      <c r="E23752">
        <v>7.8680659670164896</v>
      </c>
    </row>
    <row r="23753" spans="1:5">
      <c r="A23753" t="s">
        <v>27609</v>
      </c>
      <c r="B23753" t="s">
        <v>27610</v>
      </c>
      <c r="C23753">
        <v>8.4849271308400004E-2</v>
      </c>
      <c r="D23753">
        <v>0.945101866979</v>
      </c>
      <c r="E23753">
        <v>6.8005997001499203</v>
      </c>
    </row>
    <row r="23754" spans="1:5">
      <c r="A23754" t="s">
        <v>27611</v>
      </c>
      <c r="B23754" t="s">
        <v>27612</v>
      </c>
      <c r="C23754">
        <v>0.25336943506999998</v>
      </c>
      <c r="D23754">
        <v>0.80711737836499997</v>
      </c>
      <c r="E23754">
        <v>13.0854572713643</v>
      </c>
    </row>
    <row r="23755" spans="1:5">
      <c r="A23755" t="s">
        <v>27611</v>
      </c>
      <c r="B23755" t="s">
        <v>27613</v>
      </c>
      <c r="C23755">
        <f>0.038367309422</f>
        <v>3.8367309422E-2</v>
      </c>
      <c r="D23755">
        <v>0.80711737836499997</v>
      </c>
      <c r="E23755">
        <v>13.0854572713643</v>
      </c>
    </row>
    <row r="23756" spans="1:5">
      <c r="A23756" t="s">
        <v>27614</v>
      </c>
      <c r="B23756" t="s">
        <v>27615</v>
      </c>
      <c r="C23756">
        <v>0</v>
      </c>
      <c r="D23756" t="s">
        <v>106</v>
      </c>
      <c r="E23756">
        <v>7.4602698650674597</v>
      </c>
    </row>
    <row r="23757" spans="1:5">
      <c r="A23757" t="s">
        <v>27614</v>
      </c>
      <c r="B23757" t="s">
        <v>27616</v>
      </c>
      <c r="C23757">
        <f>0</f>
        <v>0</v>
      </c>
      <c r="D23757" t="s">
        <v>106</v>
      </c>
      <c r="E23757">
        <v>7.4602698650674597</v>
      </c>
    </row>
    <row r="23758" spans="1:5">
      <c r="A23758" t="s">
        <v>27614</v>
      </c>
      <c r="B23758" t="s">
        <v>27617</v>
      </c>
      <c r="C23758">
        <f>0</f>
        <v>0</v>
      </c>
      <c r="D23758" t="s">
        <v>106</v>
      </c>
      <c r="E23758">
        <v>7.4602698650674597</v>
      </c>
    </row>
    <row r="23759" spans="1:5">
      <c r="A23759" t="s">
        <v>27614</v>
      </c>
      <c r="B23759" t="s">
        <v>27618</v>
      </c>
      <c r="C23759">
        <f>0</f>
        <v>0</v>
      </c>
      <c r="D23759" t="s">
        <v>106</v>
      </c>
      <c r="E23759">
        <v>7.4602698650674597</v>
      </c>
    </row>
    <row r="23760" spans="1:5">
      <c r="A23760" t="s">
        <v>27614</v>
      </c>
      <c r="B23760" t="s">
        <v>27619</v>
      </c>
      <c r="C23760">
        <f>0</f>
        <v>0</v>
      </c>
      <c r="D23760" t="s">
        <v>106</v>
      </c>
      <c r="E23760">
        <v>7.4602698650674597</v>
      </c>
    </row>
    <row r="23761" spans="1:5">
      <c r="A23761" t="s">
        <v>27614</v>
      </c>
      <c r="B23761" t="s">
        <v>27620</v>
      </c>
      <c r="C23761">
        <f>0</f>
        <v>0</v>
      </c>
      <c r="D23761" t="s">
        <v>106</v>
      </c>
      <c r="E23761">
        <v>7.4602698650674597</v>
      </c>
    </row>
    <row r="23762" spans="1:5">
      <c r="A23762" t="s">
        <v>27621</v>
      </c>
      <c r="B23762" t="s">
        <v>27622</v>
      </c>
      <c r="C23762">
        <f>0</f>
        <v>0</v>
      </c>
      <c r="D23762">
        <v>0.83225911584000001</v>
      </c>
      <c r="E23762">
        <v>14.3688155922038</v>
      </c>
    </row>
    <row r="23763" spans="1:5">
      <c r="A23763" t="s">
        <v>27621</v>
      </c>
      <c r="B23763" t="s">
        <v>27623</v>
      </c>
      <c r="C23763">
        <v>0</v>
      </c>
      <c r="D23763">
        <v>0.83225911584000001</v>
      </c>
      <c r="E23763">
        <v>14.3688155922038</v>
      </c>
    </row>
    <row r="23764" spans="1:5">
      <c r="A23764" t="s">
        <v>27621</v>
      </c>
      <c r="B23764" t="s">
        <v>27624</v>
      </c>
      <c r="C23764">
        <f>0</f>
        <v>0</v>
      </c>
      <c r="D23764">
        <v>0.83225911584000001</v>
      </c>
      <c r="E23764">
        <v>14.3688155922038</v>
      </c>
    </row>
    <row r="23765" spans="1:5">
      <c r="A23765" t="s">
        <v>27621</v>
      </c>
      <c r="B23765" t="s">
        <v>27625</v>
      </c>
      <c r="C23765">
        <f>0</f>
        <v>0</v>
      </c>
      <c r="D23765">
        <v>0.83225911584000001</v>
      </c>
      <c r="E23765">
        <v>14.3688155922038</v>
      </c>
    </row>
    <row r="23766" spans="1:5">
      <c r="A23766" t="s">
        <v>27621</v>
      </c>
      <c r="B23766" t="s">
        <v>27626</v>
      </c>
      <c r="C23766">
        <f>0</f>
        <v>0</v>
      </c>
      <c r="D23766">
        <v>0.83225911584000001</v>
      </c>
      <c r="E23766">
        <v>14.3688155922038</v>
      </c>
    </row>
    <row r="23767" spans="1:5">
      <c r="A23767" t="s">
        <v>27621</v>
      </c>
      <c r="B23767" t="s">
        <v>27627</v>
      </c>
      <c r="C23767">
        <v>0</v>
      </c>
      <c r="D23767">
        <v>0.83225911584000001</v>
      </c>
      <c r="E23767">
        <v>14.3688155922038</v>
      </c>
    </row>
    <row r="23768" spans="1:5">
      <c r="A23768" t="s">
        <v>27621</v>
      </c>
      <c r="B23768" t="s">
        <v>27628</v>
      </c>
      <c r="C23768">
        <f>0</f>
        <v>0</v>
      </c>
      <c r="D23768">
        <v>0.83225911584000001</v>
      </c>
      <c r="E23768">
        <v>14.3688155922038</v>
      </c>
    </row>
    <row r="23769" spans="1:5">
      <c r="A23769" t="s">
        <v>27621</v>
      </c>
      <c r="B23769" t="s">
        <v>27629</v>
      </c>
      <c r="C23769">
        <f>0</f>
        <v>0</v>
      </c>
      <c r="D23769">
        <v>0.83225911584000001</v>
      </c>
      <c r="E23769">
        <v>14.3688155922038</v>
      </c>
    </row>
    <row r="23770" spans="1:5">
      <c r="A23770" t="s">
        <v>27621</v>
      </c>
      <c r="B23770" t="s">
        <v>27630</v>
      </c>
      <c r="C23770">
        <f>0</f>
        <v>0</v>
      </c>
      <c r="D23770">
        <v>0.83225911584000001</v>
      </c>
      <c r="E23770">
        <v>14.3688155922038</v>
      </c>
    </row>
    <row r="23771" spans="1:5">
      <c r="A23771" t="s">
        <v>27621</v>
      </c>
      <c r="B23771" t="s">
        <v>27631</v>
      </c>
      <c r="C23771">
        <f>0.12239190054</f>
        <v>0.12239190054</v>
      </c>
      <c r="D23771">
        <v>0.83225911584000001</v>
      </c>
      <c r="E23771">
        <v>14.3688155922038</v>
      </c>
    </row>
    <row r="23772" spans="1:5">
      <c r="A23772" t="s">
        <v>27632</v>
      </c>
      <c r="B23772" t="s">
        <v>27633</v>
      </c>
      <c r="C23772">
        <v>8.4169025089700006E-2</v>
      </c>
      <c r="D23772">
        <v>0.84150619310300001</v>
      </c>
      <c r="E23772">
        <v>6.2968515742128899</v>
      </c>
    </row>
    <row r="23773" spans="1:5">
      <c r="A23773" t="s">
        <v>27634</v>
      </c>
      <c r="B23773" t="s">
        <v>27635</v>
      </c>
      <c r="C23773">
        <v>0.49453882488899997</v>
      </c>
      <c r="D23773">
        <v>0.93464058180800003</v>
      </c>
      <c r="E23773">
        <v>4.58170914542728</v>
      </c>
    </row>
    <row r="23774" spans="1:5">
      <c r="A23774" t="s">
        <v>27636</v>
      </c>
      <c r="B23774" t="s">
        <v>27637</v>
      </c>
      <c r="C23774">
        <v>0.167686812362</v>
      </c>
      <c r="D23774">
        <v>0.98241220623600001</v>
      </c>
      <c r="E23774">
        <v>12.7376311844077</v>
      </c>
    </row>
    <row r="23775" spans="1:5">
      <c r="A23775" t="s">
        <v>27636</v>
      </c>
      <c r="B23775" t="s">
        <v>27638</v>
      </c>
      <c r="C23775">
        <v>0</v>
      </c>
      <c r="D23775">
        <v>0.98241220623600001</v>
      </c>
      <c r="E23775">
        <v>12.7376311844077</v>
      </c>
    </row>
    <row r="23776" spans="1:5">
      <c r="A23776" t="s">
        <v>27636</v>
      </c>
      <c r="B23776" t="s">
        <v>27639</v>
      </c>
      <c r="C23776">
        <v>0</v>
      </c>
      <c r="D23776">
        <v>0.98241220623600001</v>
      </c>
      <c r="E23776">
        <v>12.7376311844077</v>
      </c>
    </row>
    <row r="23777" spans="1:5">
      <c r="A23777" t="s">
        <v>27636</v>
      </c>
      <c r="B23777" t="s">
        <v>27640</v>
      </c>
      <c r="C23777">
        <v>6.8790278820099998E-2</v>
      </c>
      <c r="D23777">
        <v>0.98241220623600001</v>
      </c>
      <c r="E23777">
        <v>12.7376311844077</v>
      </c>
    </row>
    <row r="23778" spans="1:5">
      <c r="A23778" t="s">
        <v>27641</v>
      </c>
      <c r="B23778" t="s">
        <v>27642</v>
      </c>
      <c r="C23778">
        <v>0</v>
      </c>
      <c r="D23778">
        <v>0.954215427394</v>
      </c>
      <c r="E23778">
        <v>0.53973013493253297</v>
      </c>
    </row>
    <row r="23779" spans="1:5">
      <c r="A23779" t="s">
        <v>27641</v>
      </c>
      <c r="B23779" t="s">
        <v>27643</v>
      </c>
      <c r="C23779">
        <v>0</v>
      </c>
      <c r="D23779">
        <v>0.954215427394</v>
      </c>
      <c r="E23779">
        <v>0.53973013493253297</v>
      </c>
    </row>
    <row r="23780" spans="1:5">
      <c r="A23780" t="s">
        <v>27641</v>
      </c>
      <c r="B23780" t="s">
        <v>27644</v>
      </c>
      <c r="C23780">
        <v>0</v>
      </c>
      <c r="D23780">
        <v>0.954215427394</v>
      </c>
      <c r="E23780">
        <v>0.53973013493253297</v>
      </c>
    </row>
    <row r="23781" spans="1:5">
      <c r="A23781" t="s">
        <v>27641</v>
      </c>
      <c r="B23781" t="s">
        <v>27645</v>
      </c>
      <c r="C23781">
        <v>3.7661340577300001E-2</v>
      </c>
      <c r="D23781">
        <v>0.954215427394</v>
      </c>
      <c r="E23781">
        <v>0.53973013493253297</v>
      </c>
    </row>
    <row r="23782" spans="1:5">
      <c r="A23782" t="s">
        <v>27641</v>
      </c>
      <c r="B23782" t="s">
        <v>27646</v>
      </c>
      <c r="C23782">
        <f>0</f>
        <v>0</v>
      </c>
      <c r="D23782">
        <v>0.954215427394</v>
      </c>
      <c r="E23782">
        <v>0.53973013493253297</v>
      </c>
    </row>
    <row r="23783" spans="1:5">
      <c r="A23783" t="s">
        <v>27641</v>
      </c>
      <c r="B23783" t="s">
        <v>27647</v>
      </c>
      <c r="C23783">
        <f>0.240400396921</f>
        <v>0.24040039692099999</v>
      </c>
      <c r="D23783">
        <v>0.954215427394</v>
      </c>
      <c r="E23783">
        <v>0.53973013493253297</v>
      </c>
    </row>
    <row r="23784" spans="1:5">
      <c r="A23784" t="s">
        <v>27641</v>
      </c>
      <c r="B23784" t="s">
        <v>27648</v>
      </c>
      <c r="C23784">
        <v>0</v>
      </c>
      <c r="D23784">
        <v>0.954215427394</v>
      </c>
      <c r="E23784">
        <v>0.53973013493253297</v>
      </c>
    </row>
    <row r="23785" spans="1:5">
      <c r="A23785" t="s">
        <v>27649</v>
      </c>
      <c r="B23785" t="s">
        <v>27650</v>
      </c>
      <c r="C23785">
        <v>0</v>
      </c>
      <c r="D23785" t="s">
        <v>106</v>
      </c>
      <c r="E23785">
        <v>1.33133433283358</v>
      </c>
    </row>
    <row r="23786" spans="1:5">
      <c r="A23786" t="s">
        <v>27649</v>
      </c>
      <c r="B23786" t="s">
        <v>27651</v>
      </c>
      <c r="C23786">
        <f>0</f>
        <v>0</v>
      </c>
      <c r="D23786" t="s">
        <v>106</v>
      </c>
      <c r="E23786">
        <v>1.33133433283358</v>
      </c>
    </row>
    <row r="23787" spans="1:5">
      <c r="A23787" t="s">
        <v>27649</v>
      </c>
      <c r="B23787" t="s">
        <v>27652</v>
      </c>
      <c r="C23787">
        <f>0</f>
        <v>0</v>
      </c>
      <c r="D23787" t="s">
        <v>106</v>
      </c>
      <c r="E23787">
        <v>1.33133433283358</v>
      </c>
    </row>
    <row r="23788" spans="1:5">
      <c r="A23788" t="s">
        <v>27649</v>
      </c>
      <c r="B23788" t="s">
        <v>27653</v>
      </c>
      <c r="C23788">
        <f>0</f>
        <v>0</v>
      </c>
      <c r="D23788" t="s">
        <v>106</v>
      </c>
      <c r="E23788">
        <v>1.33133433283358</v>
      </c>
    </row>
    <row r="23789" spans="1:5">
      <c r="A23789" t="s">
        <v>27649</v>
      </c>
      <c r="B23789" t="s">
        <v>27654</v>
      </c>
      <c r="C23789">
        <f>0</f>
        <v>0</v>
      </c>
      <c r="D23789" t="s">
        <v>106</v>
      </c>
      <c r="E23789">
        <v>1.33133433283358</v>
      </c>
    </row>
    <row r="23790" spans="1:5">
      <c r="A23790" t="s">
        <v>27649</v>
      </c>
      <c r="B23790" t="s">
        <v>27655</v>
      </c>
      <c r="C23790">
        <f>0</f>
        <v>0</v>
      </c>
      <c r="D23790" t="s">
        <v>106</v>
      </c>
      <c r="E23790">
        <v>1.33133433283358</v>
      </c>
    </row>
    <row r="23791" spans="1:5">
      <c r="A23791" t="s">
        <v>27649</v>
      </c>
      <c r="B23791" t="s">
        <v>27656</v>
      </c>
      <c r="C23791">
        <f>0</f>
        <v>0</v>
      </c>
      <c r="D23791" t="s">
        <v>106</v>
      </c>
      <c r="E23791">
        <v>1.33133433283358</v>
      </c>
    </row>
    <row r="23792" spans="1:5">
      <c r="A23792" t="s">
        <v>27649</v>
      </c>
      <c r="B23792" t="s">
        <v>27657</v>
      </c>
      <c r="C23792">
        <f>0</f>
        <v>0</v>
      </c>
      <c r="D23792" t="s">
        <v>106</v>
      </c>
      <c r="E23792">
        <v>1.33133433283358</v>
      </c>
    </row>
    <row r="23793" spans="1:5">
      <c r="A23793" t="s">
        <v>27649</v>
      </c>
      <c r="B23793" t="s">
        <v>27658</v>
      </c>
      <c r="C23793">
        <f>0</f>
        <v>0</v>
      </c>
      <c r="D23793" t="s">
        <v>106</v>
      </c>
      <c r="E23793">
        <v>1.33133433283358</v>
      </c>
    </row>
    <row r="23794" spans="1:5">
      <c r="A23794" t="s">
        <v>27649</v>
      </c>
      <c r="B23794" t="s">
        <v>27659</v>
      </c>
      <c r="C23794">
        <v>0</v>
      </c>
      <c r="D23794" t="s">
        <v>106</v>
      </c>
      <c r="E23794">
        <v>1.33133433283358</v>
      </c>
    </row>
    <row r="23795" spans="1:5">
      <c r="A23795" t="s">
        <v>27660</v>
      </c>
      <c r="B23795" t="s">
        <v>27661</v>
      </c>
      <c r="C23795">
        <v>0</v>
      </c>
      <c r="D23795">
        <v>0.99402163058600002</v>
      </c>
      <c r="E23795">
        <v>6.0569715142428704</v>
      </c>
    </row>
    <row r="23796" spans="1:5">
      <c r="A23796" t="s">
        <v>27660</v>
      </c>
      <c r="B23796" t="s">
        <v>27662</v>
      </c>
      <c r="C23796">
        <v>0</v>
      </c>
      <c r="D23796">
        <v>0.99402163058600002</v>
      </c>
      <c r="E23796">
        <v>6.0569715142428704</v>
      </c>
    </row>
    <row r="23797" spans="1:5">
      <c r="A23797" t="s">
        <v>27660</v>
      </c>
      <c r="B23797" t="s">
        <v>27663</v>
      </c>
      <c r="C23797">
        <f>0</f>
        <v>0</v>
      </c>
      <c r="D23797">
        <v>0.99402163058600002</v>
      </c>
      <c r="E23797">
        <v>6.0569715142428704</v>
      </c>
    </row>
    <row r="23798" spans="1:5">
      <c r="A23798" t="s">
        <v>27660</v>
      </c>
      <c r="B23798" t="s">
        <v>27664</v>
      </c>
      <c r="C23798">
        <f>0</f>
        <v>0</v>
      </c>
      <c r="D23798">
        <v>0.99402163058600002</v>
      </c>
      <c r="E23798">
        <v>6.0569715142428704</v>
      </c>
    </row>
    <row r="23799" spans="1:5">
      <c r="A23799" t="s">
        <v>27660</v>
      </c>
      <c r="B23799" t="s">
        <v>27665</v>
      </c>
      <c r="C23799">
        <v>0</v>
      </c>
      <c r="D23799">
        <v>0.99402163058600002</v>
      </c>
      <c r="E23799">
        <v>6.0569715142428704</v>
      </c>
    </row>
    <row r="23800" spans="1:5">
      <c r="A23800" t="s">
        <v>27666</v>
      </c>
      <c r="B23800" t="s">
        <v>27667</v>
      </c>
      <c r="C23800">
        <v>0</v>
      </c>
      <c r="D23800" t="s">
        <v>106</v>
      </c>
      <c r="E23800">
        <v>15.1244377811094</v>
      </c>
    </row>
    <row r="23801" spans="1:5">
      <c r="A23801" t="s">
        <v>27666</v>
      </c>
      <c r="B23801" t="s">
        <v>27668</v>
      </c>
      <c r="C23801">
        <v>0</v>
      </c>
      <c r="D23801" t="s">
        <v>106</v>
      </c>
      <c r="E23801">
        <v>15.1244377811094</v>
      </c>
    </row>
    <row r="23802" spans="1:5">
      <c r="A23802" t="s">
        <v>27666</v>
      </c>
      <c r="B23802" t="s">
        <v>27669</v>
      </c>
      <c r="C23802">
        <v>0</v>
      </c>
      <c r="D23802" t="s">
        <v>106</v>
      </c>
      <c r="E23802">
        <v>15.1244377811094</v>
      </c>
    </row>
    <row r="23803" spans="1:5">
      <c r="A23803" t="s">
        <v>27670</v>
      </c>
      <c r="B23803" t="s">
        <v>27671</v>
      </c>
      <c r="C23803">
        <f>0</f>
        <v>0</v>
      </c>
      <c r="D23803" t="s">
        <v>106</v>
      </c>
      <c r="E23803">
        <v>0</v>
      </c>
    </row>
    <row r="23804" spans="1:5">
      <c r="A23804" t="s">
        <v>27670</v>
      </c>
      <c r="B23804" t="s">
        <v>27672</v>
      </c>
      <c r="C23804">
        <f>0</f>
        <v>0</v>
      </c>
      <c r="D23804" t="s">
        <v>106</v>
      </c>
      <c r="E23804">
        <v>0</v>
      </c>
    </row>
    <row r="23805" spans="1:5">
      <c r="A23805" t="s">
        <v>27670</v>
      </c>
      <c r="B23805" t="s">
        <v>27673</v>
      </c>
      <c r="C23805">
        <f>0</f>
        <v>0</v>
      </c>
      <c r="D23805" t="s">
        <v>106</v>
      </c>
      <c r="E23805">
        <v>0</v>
      </c>
    </row>
    <row r="23806" spans="1:5">
      <c r="A23806" t="s">
        <v>27670</v>
      </c>
      <c r="B23806" t="s">
        <v>27674</v>
      </c>
      <c r="C23806">
        <f>0</f>
        <v>0</v>
      </c>
      <c r="D23806" t="s">
        <v>106</v>
      </c>
      <c r="E23806">
        <v>0</v>
      </c>
    </row>
    <row r="23807" spans="1:5">
      <c r="A23807" t="s">
        <v>27675</v>
      </c>
      <c r="B23807" t="s">
        <v>27676</v>
      </c>
      <c r="C23807">
        <v>0.16298674174899999</v>
      </c>
      <c r="D23807">
        <v>0.84365384259499998</v>
      </c>
      <c r="E23807">
        <v>20.065967016491701</v>
      </c>
    </row>
    <row r="23808" spans="1:5">
      <c r="A23808" t="s">
        <v>27675</v>
      </c>
      <c r="B23808" t="s">
        <v>27677</v>
      </c>
      <c r="C23808">
        <v>4.9005021230200001E-2</v>
      </c>
      <c r="D23808">
        <v>0.84365384259499998</v>
      </c>
      <c r="E23808">
        <v>20.065967016491701</v>
      </c>
    </row>
    <row r="23809" spans="1:5">
      <c r="A23809" t="s">
        <v>27675</v>
      </c>
      <c r="B23809" t="s">
        <v>27678</v>
      </c>
      <c r="C23809">
        <v>0</v>
      </c>
      <c r="D23809">
        <v>0.84365384259499998</v>
      </c>
      <c r="E23809">
        <v>20.065967016491701</v>
      </c>
    </row>
    <row r="23810" spans="1:5">
      <c r="A23810" t="s">
        <v>27675</v>
      </c>
      <c r="B23810" t="s">
        <v>27679</v>
      </c>
      <c r="C23810">
        <v>0</v>
      </c>
      <c r="D23810">
        <v>0.84365384259499998</v>
      </c>
      <c r="E23810">
        <v>20.065967016491701</v>
      </c>
    </row>
    <row r="23811" spans="1:5">
      <c r="A23811" t="s">
        <v>27675</v>
      </c>
      <c r="B23811" t="s">
        <v>27680</v>
      </c>
      <c r="C23811">
        <f>0</f>
        <v>0</v>
      </c>
      <c r="D23811">
        <v>0.84365384259499998</v>
      </c>
      <c r="E23811">
        <v>20.065967016491701</v>
      </c>
    </row>
    <row r="23812" spans="1:5">
      <c r="A23812" t="s">
        <v>27681</v>
      </c>
      <c r="B23812" t="s">
        <v>27682</v>
      </c>
      <c r="C23812">
        <v>0</v>
      </c>
      <c r="D23812" t="s">
        <v>106</v>
      </c>
      <c r="E23812">
        <v>12.0419790104947</v>
      </c>
    </row>
    <row r="23813" spans="1:5">
      <c r="A23813" t="s">
        <v>27681</v>
      </c>
      <c r="B23813" t="s">
        <v>27683</v>
      </c>
      <c r="C23813">
        <f>0</f>
        <v>0</v>
      </c>
      <c r="D23813" t="s">
        <v>106</v>
      </c>
      <c r="E23813">
        <v>12.0419790104947</v>
      </c>
    </row>
    <row r="23814" spans="1:5">
      <c r="A23814" t="s">
        <v>27681</v>
      </c>
      <c r="B23814" t="s">
        <v>27684</v>
      </c>
      <c r="C23814">
        <f>0</f>
        <v>0</v>
      </c>
      <c r="D23814" t="s">
        <v>106</v>
      </c>
      <c r="E23814">
        <v>12.0419790104947</v>
      </c>
    </row>
    <row r="23815" spans="1:5">
      <c r="A23815" t="s">
        <v>27685</v>
      </c>
      <c r="B23815" t="s">
        <v>27686</v>
      </c>
      <c r="C23815">
        <v>0</v>
      </c>
      <c r="D23815">
        <v>0.99012161796099996</v>
      </c>
      <c r="E23815">
        <v>5.8170914542728598</v>
      </c>
    </row>
    <row r="23816" spans="1:5">
      <c r="A23816" t="s">
        <v>27685</v>
      </c>
      <c r="B23816" t="s">
        <v>27687</v>
      </c>
      <c r="C23816">
        <f>0</f>
        <v>0</v>
      </c>
      <c r="D23816">
        <v>0.99012161796099996</v>
      </c>
      <c r="E23816">
        <v>5.8170914542728598</v>
      </c>
    </row>
    <row r="23817" spans="1:5">
      <c r="A23817" t="s">
        <v>27685</v>
      </c>
      <c r="B23817" t="s">
        <v>27688</v>
      </c>
      <c r="C23817">
        <v>1.04317145769</v>
      </c>
      <c r="D23817">
        <v>0.99012161796099996</v>
      </c>
      <c r="E23817">
        <v>5.8170914542728598</v>
      </c>
    </row>
    <row r="23818" spans="1:5">
      <c r="A23818" t="s">
        <v>27685</v>
      </c>
      <c r="B23818" t="s">
        <v>27689</v>
      </c>
      <c r="C23818">
        <f>0.357781928127</f>
        <v>0.35778192812699999</v>
      </c>
      <c r="D23818">
        <v>0.99012161796099996</v>
      </c>
      <c r="E23818">
        <v>5.8170914542728598</v>
      </c>
    </row>
    <row r="23819" spans="1:5">
      <c r="A23819" t="s">
        <v>27690</v>
      </c>
      <c r="B23819" t="s">
        <v>27691</v>
      </c>
      <c r="C23819">
        <v>0</v>
      </c>
      <c r="D23819">
        <v>0.98696391104000003</v>
      </c>
      <c r="E23819">
        <v>8.2878560719640095</v>
      </c>
    </row>
    <row r="23820" spans="1:5">
      <c r="A23820" t="s">
        <v>27690</v>
      </c>
      <c r="B23820" t="s">
        <v>27692</v>
      </c>
      <c r="C23820">
        <v>0</v>
      </c>
      <c r="D23820">
        <v>0.98696391104000003</v>
      </c>
      <c r="E23820">
        <v>8.2878560719640095</v>
      </c>
    </row>
    <row r="23821" spans="1:5">
      <c r="A23821" t="s">
        <v>27690</v>
      </c>
      <c r="B23821" t="s">
        <v>27693</v>
      </c>
      <c r="C23821">
        <v>0</v>
      </c>
      <c r="D23821">
        <v>0.98696391104000003</v>
      </c>
      <c r="E23821">
        <v>8.2878560719640095</v>
      </c>
    </row>
    <row r="23822" spans="1:5">
      <c r="A23822" t="s">
        <v>27690</v>
      </c>
      <c r="B23822" t="s">
        <v>27694</v>
      </c>
      <c r="C23822">
        <v>0</v>
      </c>
      <c r="D23822">
        <v>0.98696391104000003</v>
      </c>
      <c r="E23822">
        <v>8.2878560719640095</v>
      </c>
    </row>
    <row r="23823" spans="1:5">
      <c r="A23823" t="s">
        <v>27690</v>
      </c>
      <c r="B23823" t="s">
        <v>27695</v>
      </c>
      <c r="C23823">
        <v>0</v>
      </c>
      <c r="D23823">
        <v>0.98696391104000003</v>
      </c>
      <c r="E23823">
        <v>8.2878560719640095</v>
      </c>
    </row>
    <row r="23824" spans="1:5">
      <c r="A23824" t="s">
        <v>27690</v>
      </c>
      <c r="B23824" t="s">
        <v>27696</v>
      </c>
      <c r="C23824">
        <v>0</v>
      </c>
      <c r="D23824">
        <v>0.98696391104000003</v>
      </c>
      <c r="E23824">
        <v>8.2878560719640095</v>
      </c>
    </row>
    <row r="23825" spans="1:5">
      <c r="A23825" t="s">
        <v>27690</v>
      </c>
      <c r="B23825" t="s">
        <v>27697</v>
      </c>
      <c r="C23825">
        <v>0</v>
      </c>
      <c r="D23825">
        <v>0.98696391104000003</v>
      </c>
      <c r="E23825">
        <v>8.2878560719640095</v>
      </c>
    </row>
    <row r="23826" spans="1:5">
      <c r="A23826" t="s">
        <v>27690</v>
      </c>
      <c r="B23826" t="s">
        <v>27698</v>
      </c>
      <c r="C23826">
        <v>0</v>
      </c>
      <c r="D23826">
        <v>0.98696391104000003</v>
      </c>
      <c r="E23826">
        <v>8.2878560719640095</v>
      </c>
    </row>
    <row r="23827" spans="1:5">
      <c r="A23827" t="s">
        <v>27690</v>
      </c>
      <c r="B23827" t="s">
        <v>27699</v>
      </c>
      <c r="C23827">
        <v>0</v>
      </c>
      <c r="D23827">
        <v>0.98696391104000003</v>
      </c>
      <c r="E23827">
        <v>8.2878560719640095</v>
      </c>
    </row>
    <row r="23828" spans="1:5">
      <c r="A23828" t="s">
        <v>27690</v>
      </c>
      <c r="B23828" t="s">
        <v>27700</v>
      </c>
      <c r="C23828">
        <v>0</v>
      </c>
      <c r="D23828">
        <v>0.98696391104000003</v>
      </c>
      <c r="E23828">
        <v>8.2878560719640095</v>
      </c>
    </row>
    <row r="23829" spans="1:5">
      <c r="A23829" t="s">
        <v>27690</v>
      </c>
      <c r="B23829" t="s">
        <v>27701</v>
      </c>
      <c r="C23829">
        <v>9.60509915814E-3</v>
      </c>
      <c r="D23829">
        <v>0.98696391104000003</v>
      </c>
      <c r="E23829">
        <v>8.2878560719640095</v>
      </c>
    </row>
    <row r="23830" spans="1:5">
      <c r="A23830" t="s">
        <v>27690</v>
      </c>
      <c r="B23830" t="s">
        <v>27702</v>
      </c>
      <c r="C23830">
        <f>0</f>
        <v>0</v>
      </c>
      <c r="D23830">
        <v>0.98696391104000003</v>
      </c>
      <c r="E23830">
        <v>8.2878560719640095</v>
      </c>
    </row>
    <row r="23831" spans="1:5">
      <c r="A23831" t="s">
        <v>27690</v>
      </c>
      <c r="B23831" t="s">
        <v>27703</v>
      </c>
      <c r="C23831">
        <f>0.00543259052583</f>
        <v>5.4325905258300004E-3</v>
      </c>
      <c r="D23831">
        <v>0.98696391104000003</v>
      </c>
      <c r="E23831">
        <v>8.2878560719640095</v>
      </c>
    </row>
    <row r="23832" spans="1:5">
      <c r="A23832" t="s">
        <v>27690</v>
      </c>
      <c r="B23832" t="s">
        <v>27704</v>
      </c>
      <c r="C23832">
        <v>0</v>
      </c>
      <c r="D23832">
        <v>0.98696391104000003</v>
      </c>
      <c r="E23832">
        <v>8.2878560719640095</v>
      </c>
    </row>
    <row r="23833" spans="1:5">
      <c r="A23833" t="s">
        <v>27690</v>
      </c>
      <c r="B23833" t="s">
        <v>27705</v>
      </c>
      <c r="C23833">
        <v>0</v>
      </c>
      <c r="D23833">
        <v>0.98696391104000003</v>
      </c>
      <c r="E23833">
        <v>8.2878560719640095</v>
      </c>
    </row>
    <row r="23834" spans="1:5">
      <c r="A23834" t="s">
        <v>27706</v>
      </c>
      <c r="B23834" t="s">
        <v>27707</v>
      </c>
      <c r="C23834">
        <v>0</v>
      </c>
      <c r="D23834">
        <v>0.98133469833700004</v>
      </c>
      <c r="E23834">
        <v>1.7631184407796101</v>
      </c>
    </row>
    <row r="23835" spans="1:5">
      <c r="A23835" t="s">
        <v>27706</v>
      </c>
      <c r="B23835" t="s">
        <v>27708</v>
      </c>
      <c r="C23835">
        <f>0.409944192186</f>
        <v>0.40994419218599998</v>
      </c>
      <c r="D23835">
        <v>0.98133469833700004</v>
      </c>
      <c r="E23835">
        <v>1.7631184407796101</v>
      </c>
    </row>
    <row r="23836" spans="1:5">
      <c r="A23836" t="s">
        <v>27706</v>
      </c>
      <c r="B23836" t="s">
        <v>27709</v>
      </c>
      <c r="C23836">
        <v>0</v>
      </c>
      <c r="D23836">
        <v>0.98133469833700004</v>
      </c>
      <c r="E23836">
        <v>1.7631184407796101</v>
      </c>
    </row>
    <row r="23837" spans="1:5">
      <c r="A23837" t="s">
        <v>27706</v>
      </c>
      <c r="B23837" t="s">
        <v>27710</v>
      </c>
      <c r="C23837">
        <v>0</v>
      </c>
      <c r="D23837">
        <v>0.98133469833700004</v>
      </c>
      <c r="E23837">
        <v>1.7631184407796101</v>
      </c>
    </row>
    <row r="23838" spans="1:5">
      <c r="A23838" t="s">
        <v>27706</v>
      </c>
      <c r="B23838" t="s">
        <v>27711</v>
      </c>
      <c r="C23838">
        <v>0</v>
      </c>
      <c r="D23838">
        <v>0.98133469833700004</v>
      </c>
      <c r="E23838">
        <v>1.7631184407796101</v>
      </c>
    </row>
    <row r="23839" spans="1:5">
      <c r="A23839" t="s">
        <v>27706</v>
      </c>
      <c r="B23839" t="s">
        <v>27712</v>
      </c>
      <c r="C23839">
        <v>0</v>
      </c>
      <c r="D23839">
        <v>0.98133469833700004</v>
      </c>
      <c r="E23839">
        <v>1.7631184407796101</v>
      </c>
    </row>
    <row r="23840" spans="1:5">
      <c r="A23840" t="s">
        <v>27706</v>
      </c>
      <c r="B23840" t="s">
        <v>27713</v>
      </c>
      <c r="C23840">
        <v>0</v>
      </c>
      <c r="D23840">
        <v>0.98133469833700004</v>
      </c>
      <c r="E23840">
        <v>1.7631184407796101</v>
      </c>
    </row>
    <row r="23841" spans="1:5">
      <c r="A23841" t="s">
        <v>27706</v>
      </c>
      <c r="B23841" t="s">
        <v>27714</v>
      </c>
      <c r="C23841">
        <v>0</v>
      </c>
      <c r="D23841">
        <v>0.98133469833700004</v>
      </c>
      <c r="E23841">
        <v>1.7631184407796101</v>
      </c>
    </row>
    <row r="23842" spans="1:5">
      <c r="A23842" t="s">
        <v>27706</v>
      </c>
      <c r="B23842" t="s">
        <v>27715</v>
      </c>
      <c r="C23842">
        <v>0</v>
      </c>
      <c r="D23842">
        <v>0.98133469833700004</v>
      </c>
      <c r="E23842">
        <v>1.7631184407796101</v>
      </c>
    </row>
    <row r="23843" spans="1:5">
      <c r="A23843" t="s">
        <v>27706</v>
      </c>
      <c r="B23843" t="s">
        <v>27716</v>
      </c>
      <c r="C23843">
        <v>0.26823263592500002</v>
      </c>
      <c r="D23843">
        <v>0.98133469833700004</v>
      </c>
      <c r="E23843">
        <v>1.7631184407796101</v>
      </c>
    </row>
    <row r="23844" spans="1:5">
      <c r="A23844" t="s">
        <v>27706</v>
      </c>
      <c r="B23844" t="s">
        <v>27717</v>
      </c>
      <c r="C23844">
        <v>0</v>
      </c>
      <c r="D23844">
        <v>0.98133469833700004</v>
      </c>
      <c r="E23844">
        <v>1.7631184407796101</v>
      </c>
    </row>
    <row r="23845" spans="1:5">
      <c r="A23845" t="s">
        <v>27706</v>
      </c>
      <c r="B23845" t="s">
        <v>27718</v>
      </c>
      <c r="C23845">
        <v>0</v>
      </c>
      <c r="D23845">
        <v>0.98133469833700004</v>
      </c>
      <c r="E23845">
        <v>1.7631184407796101</v>
      </c>
    </row>
    <row r="23846" spans="1:5">
      <c r="A23846" t="s">
        <v>27706</v>
      </c>
      <c r="B23846" t="s">
        <v>27719</v>
      </c>
      <c r="C23846">
        <f>0</f>
        <v>0</v>
      </c>
      <c r="D23846">
        <v>0.98133469833700004</v>
      </c>
      <c r="E23846">
        <v>1.7631184407796101</v>
      </c>
    </row>
    <row r="23847" spans="1:5">
      <c r="A23847" t="s">
        <v>27720</v>
      </c>
      <c r="B23847" t="s">
        <v>27721</v>
      </c>
      <c r="C23847">
        <v>0</v>
      </c>
      <c r="D23847">
        <v>0.99483205402099995</v>
      </c>
      <c r="E23847">
        <v>23.040479760119901</v>
      </c>
    </row>
    <row r="23848" spans="1:5">
      <c r="A23848" t="s">
        <v>27720</v>
      </c>
      <c r="B23848" t="s">
        <v>27722</v>
      </c>
      <c r="C23848">
        <f>0</f>
        <v>0</v>
      </c>
      <c r="D23848">
        <v>0.99483205402099995</v>
      </c>
      <c r="E23848">
        <v>23.040479760119901</v>
      </c>
    </row>
    <row r="23849" spans="1:5">
      <c r="A23849" t="s">
        <v>27720</v>
      </c>
      <c r="B23849" t="s">
        <v>27723</v>
      </c>
      <c r="C23849">
        <v>0</v>
      </c>
      <c r="D23849">
        <v>0.99483205402099995</v>
      </c>
      <c r="E23849">
        <v>23.040479760119901</v>
      </c>
    </row>
    <row r="23850" spans="1:5">
      <c r="A23850" t="s">
        <v>27720</v>
      </c>
      <c r="B23850" t="s">
        <v>27724</v>
      </c>
      <c r="C23850">
        <v>0</v>
      </c>
      <c r="D23850">
        <v>0.99483205402099995</v>
      </c>
      <c r="E23850">
        <v>23.040479760119901</v>
      </c>
    </row>
    <row r="23851" spans="1:5">
      <c r="A23851" t="s">
        <v>27720</v>
      </c>
      <c r="B23851" t="s">
        <v>27725</v>
      </c>
      <c r="C23851">
        <v>0</v>
      </c>
      <c r="D23851">
        <v>0.99483205402099995</v>
      </c>
      <c r="E23851">
        <v>23.040479760119901</v>
      </c>
    </row>
    <row r="23852" spans="1:5">
      <c r="A23852" t="s">
        <v>27720</v>
      </c>
      <c r="B23852" t="s">
        <v>27726</v>
      </c>
      <c r="C23852">
        <f>0</f>
        <v>0</v>
      </c>
      <c r="D23852">
        <v>0.99483205402099995</v>
      </c>
      <c r="E23852">
        <v>23.040479760119901</v>
      </c>
    </row>
    <row r="23853" spans="1:5">
      <c r="A23853" t="s">
        <v>27720</v>
      </c>
      <c r="B23853" t="s">
        <v>27727</v>
      </c>
      <c r="C23853">
        <f>0.0313772263949</f>
        <v>3.1377226394900003E-2</v>
      </c>
      <c r="D23853">
        <v>0.99483205402099995</v>
      </c>
      <c r="E23853">
        <v>23.040479760119901</v>
      </c>
    </row>
    <row r="23854" spans="1:5">
      <c r="A23854" t="s">
        <v>27720</v>
      </c>
      <c r="B23854" t="s">
        <v>27728</v>
      </c>
      <c r="C23854">
        <v>0</v>
      </c>
      <c r="D23854">
        <v>0.99483205402099995</v>
      </c>
      <c r="E23854">
        <v>23.040479760119901</v>
      </c>
    </row>
    <row r="23855" spans="1:5">
      <c r="A23855" t="s">
        <v>27720</v>
      </c>
      <c r="B23855" t="s">
        <v>27729</v>
      </c>
      <c r="C23855">
        <f>0</f>
        <v>0</v>
      </c>
      <c r="D23855">
        <v>0.99483205402099995</v>
      </c>
      <c r="E23855">
        <v>23.040479760119901</v>
      </c>
    </row>
    <row r="23856" spans="1:5">
      <c r="A23856" t="s">
        <v>27720</v>
      </c>
      <c r="B23856" t="s">
        <v>27730</v>
      </c>
      <c r="C23856">
        <v>0.15200209641500001</v>
      </c>
      <c r="D23856">
        <v>0.99483205402099995</v>
      </c>
      <c r="E23856">
        <v>23.040479760119901</v>
      </c>
    </row>
    <row r="23857" spans="1:5">
      <c r="A23857" t="s">
        <v>27720</v>
      </c>
      <c r="B23857" t="s">
        <v>27731</v>
      </c>
      <c r="C23857">
        <f>0</f>
        <v>0</v>
      </c>
      <c r="D23857">
        <v>0.99483205402099995</v>
      </c>
      <c r="E23857">
        <v>23.040479760119901</v>
      </c>
    </row>
    <row r="23858" spans="1:5">
      <c r="A23858" t="s">
        <v>27720</v>
      </c>
      <c r="B23858" t="s">
        <v>27732</v>
      </c>
      <c r="C23858">
        <f>0</f>
        <v>0</v>
      </c>
      <c r="D23858">
        <v>0.99483205402099995</v>
      </c>
      <c r="E23858">
        <v>23.040479760119901</v>
      </c>
    </row>
    <row r="23859" spans="1:5">
      <c r="A23859" t="s">
        <v>27720</v>
      </c>
      <c r="B23859" t="s">
        <v>27733</v>
      </c>
      <c r="C23859">
        <v>0</v>
      </c>
      <c r="D23859">
        <v>0.99483205402099995</v>
      </c>
      <c r="E23859">
        <v>23.040479760119901</v>
      </c>
    </row>
    <row r="23860" spans="1:5">
      <c r="A23860" t="s">
        <v>27734</v>
      </c>
      <c r="B23860" t="s">
        <v>27735</v>
      </c>
      <c r="C23860">
        <v>0</v>
      </c>
      <c r="D23860">
        <v>0.94470572560400001</v>
      </c>
      <c r="E23860">
        <v>0.91154422788605605</v>
      </c>
    </row>
    <row r="23861" spans="1:5">
      <c r="A23861" t="s">
        <v>27734</v>
      </c>
      <c r="B23861" t="s">
        <v>27736</v>
      </c>
      <c r="C23861">
        <v>0</v>
      </c>
      <c r="D23861">
        <v>0.94470572560400001</v>
      </c>
      <c r="E23861">
        <v>0.91154422788605605</v>
      </c>
    </row>
    <row r="23862" spans="1:5">
      <c r="A23862" t="s">
        <v>27734</v>
      </c>
      <c r="B23862" t="s">
        <v>27737</v>
      </c>
      <c r="C23862">
        <v>0</v>
      </c>
      <c r="D23862">
        <v>0.94470572560400001</v>
      </c>
      <c r="E23862">
        <v>0.91154422788605605</v>
      </c>
    </row>
    <row r="23863" spans="1:5">
      <c r="A23863" t="s">
        <v>27734</v>
      </c>
      <c r="B23863" t="s">
        <v>27738</v>
      </c>
      <c r="C23863">
        <v>0</v>
      </c>
      <c r="D23863">
        <v>0.94470572560400001</v>
      </c>
      <c r="E23863">
        <v>0.91154422788605605</v>
      </c>
    </row>
    <row r="23864" spans="1:5">
      <c r="A23864" t="s">
        <v>27734</v>
      </c>
      <c r="B23864" t="s">
        <v>27739</v>
      </c>
      <c r="C23864">
        <v>0</v>
      </c>
      <c r="D23864">
        <v>0.94470572560400001</v>
      </c>
      <c r="E23864">
        <v>0.91154422788605605</v>
      </c>
    </row>
    <row r="23865" spans="1:5">
      <c r="A23865" t="s">
        <v>27734</v>
      </c>
      <c r="B23865" t="s">
        <v>27740</v>
      </c>
      <c r="C23865">
        <f>0</f>
        <v>0</v>
      </c>
      <c r="D23865">
        <v>0.94470572560400001</v>
      </c>
      <c r="E23865">
        <v>0.91154422788605605</v>
      </c>
    </row>
    <row r="23866" spans="1:5">
      <c r="A23866" t="s">
        <v>27734</v>
      </c>
      <c r="B23866" t="s">
        <v>27741</v>
      </c>
      <c r="C23866">
        <v>0</v>
      </c>
      <c r="D23866">
        <v>0.94470572560400001</v>
      </c>
      <c r="E23866">
        <v>0.91154422788605605</v>
      </c>
    </row>
    <row r="23867" spans="1:5">
      <c r="A23867" t="s">
        <v>27734</v>
      </c>
      <c r="B23867" t="s">
        <v>27742</v>
      </c>
      <c r="C23867">
        <f>0.148236883016</f>
        <v>0.14823688301599999</v>
      </c>
      <c r="D23867">
        <v>0.94470572560400001</v>
      </c>
      <c r="E23867">
        <v>0.91154422788605605</v>
      </c>
    </row>
    <row r="23868" spans="1:5">
      <c r="A23868" t="s">
        <v>27734</v>
      </c>
      <c r="B23868" t="s">
        <v>27743</v>
      </c>
      <c r="C23868">
        <v>7.99902785969E-2</v>
      </c>
      <c r="D23868">
        <v>0.94470572560400001</v>
      </c>
      <c r="E23868">
        <v>0.91154422788605605</v>
      </c>
    </row>
    <row r="23869" spans="1:5">
      <c r="A23869" t="s">
        <v>27734</v>
      </c>
      <c r="B23869" t="s">
        <v>27744</v>
      </c>
      <c r="C23869">
        <f>0</f>
        <v>0</v>
      </c>
      <c r="D23869">
        <v>0.94470572560400001</v>
      </c>
      <c r="E23869">
        <v>0.91154422788605605</v>
      </c>
    </row>
    <row r="23870" spans="1:5">
      <c r="A23870" t="s">
        <v>27734</v>
      </c>
      <c r="B23870" t="s">
        <v>27745</v>
      </c>
      <c r="C23870">
        <v>0</v>
      </c>
      <c r="D23870">
        <v>0.94470572560400001</v>
      </c>
      <c r="E23870">
        <v>0.91154422788605605</v>
      </c>
    </row>
    <row r="23871" spans="1:5">
      <c r="A23871" t="s">
        <v>27746</v>
      </c>
      <c r="B23871" t="s">
        <v>27747</v>
      </c>
      <c r="C23871">
        <v>0</v>
      </c>
      <c r="D23871" t="s">
        <v>106</v>
      </c>
      <c r="E23871">
        <v>0.86356821589205401</v>
      </c>
    </row>
    <row r="23872" spans="1:5">
      <c r="A23872" t="s">
        <v>27746</v>
      </c>
      <c r="B23872" t="s">
        <v>27748</v>
      </c>
      <c r="C23872">
        <v>0</v>
      </c>
      <c r="D23872" t="s">
        <v>106</v>
      </c>
      <c r="E23872">
        <v>0.86356821589205401</v>
      </c>
    </row>
    <row r="23873" spans="1:5">
      <c r="A23873" t="s">
        <v>27746</v>
      </c>
      <c r="B23873" t="s">
        <v>27749</v>
      </c>
      <c r="C23873">
        <f>0</f>
        <v>0</v>
      </c>
      <c r="D23873" t="s">
        <v>106</v>
      </c>
      <c r="E23873">
        <v>0.86356821589205401</v>
      </c>
    </row>
    <row r="23874" spans="1:5">
      <c r="A23874" t="s">
        <v>27746</v>
      </c>
      <c r="B23874" t="s">
        <v>27750</v>
      </c>
      <c r="C23874">
        <v>0</v>
      </c>
      <c r="D23874" t="s">
        <v>106</v>
      </c>
      <c r="E23874">
        <v>0.86356821589205401</v>
      </c>
    </row>
    <row r="23875" spans="1:5">
      <c r="A23875" t="s">
        <v>27746</v>
      </c>
      <c r="B23875" t="s">
        <v>27751</v>
      </c>
      <c r="C23875">
        <v>0</v>
      </c>
      <c r="D23875" t="s">
        <v>106</v>
      </c>
      <c r="E23875">
        <v>0.86356821589205401</v>
      </c>
    </row>
    <row r="23876" spans="1:5">
      <c r="A23876" t="s">
        <v>27746</v>
      </c>
      <c r="B23876" t="s">
        <v>27752</v>
      </c>
      <c r="C23876">
        <v>0</v>
      </c>
      <c r="D23876" t="s">
        <v>106</v>
      </c>
      <c r="E23876">
        <v>0.86356821589205401</v>
      </c>
    </row>
    <row r="23877" spans="1:5">
      <c r="A23877" t="s">
        <v>27746</v>
      </c>
      <c r="B23877" t="s">
        <v>27753</v>
      </c>
      <c r="C23877">
        <f>0</f>
        <v>0</v>
      </c>
      <c r="D23877" t="s">
        <v>106</v>
      </c>
      <c r="E23877">
        <v>0.86356821589205401</v>
      </c>
    </row>
    <row r="23878" spans="1:5">
      <c r="A23878" t="s">
        <v>27754</v>
      </c>
      <c r="B23878" t="s">
        <v>27755</v>
      </c>
      <c r="C23878">
        <f>0</f>
        <v>0</v>
      </c>
      <c r="D23878">
        <v>0.97926252583700002</v>
      </c>
      <c r="E23878">
        <v>1.7631184407796101</v>
      </c>
    </row>
    <row r="23879" spans="1:5">
      <c r="A23879" t="s">
        <v>27754</v>
      </c>
      <c r="B23879" t="s">
        <v>27756</v>
      </c>
      <c r="C23879">
        <f>0</f>
        <v>0</v>
      </c>
      <c r="D23879">
        <v>0.97926252583700002</v>
      </c>
      <c r="E23879">
        <v>1.7631184407796101</v>
      </c>
    </row>
    <row r="23880" spans="1:5">
      <c r="A23880" t="s">
        <v>27754</v>
      </c>
      <c r="B23880" t="s">
        <v>27757</v>
      </c>
      <c r="C23880">
        <f>0.478513586533</f>
        <v>0.47851358653300002</v>
      </c>
      <c r="D23880">
        <v>0.97926252583700002</v>
      </c>
      <c r="E23880">
        <v>1.7631184407796101</v>
      </c>
    </row>
    <row r="23881" spans="1:5">
      <c r="A23881" t="s">
        <v>27754</v>
      </c>
      <c r="B23881" t="s">
        <v>27758</v>
      </c>
      <c r="C23881">
        <f>0</f>
        <v>0</v>
      </c>
      <c r="D23881">
        <v>0.97926252583700002</v>
      </c>
      <c r="E23881">
        <v>1.7631184407796101</v>
      </c>
    </row>
    <row r="23882" spans="1:5">
      <c r="A23882" t="s">
        <v>27754</v>
      </c>
      <c r="B23882" t="s">
        <v>27759</v>
      </c>
      <c r="C23882">
        <f>0</f>
        <v>0</v>
      </c>
      <c r="D23882">
        <v>0.97926252583700002</v>
      </c>
      <c r="E23882">
        <v>1.7631184407796101</v>
      </c>
    </row>
    <row r="23883" spans="1:5">
      <c r="A23883" t="s">
        <v>27754</v>
      </c>
      <c r="B23883" t="s">
        <v>27760</v>
      </c>
      <c r="C23883">
        <f>0</f>
        <v>0</v>
      </c>
      <c r="D23883">
        <v>0.97926252583700002</v>
      </c>
      <c r="E23883">
        <v>1.7631184407796101</v>
      </c>
    </row>
    <row r="23884" spans="1:5">
      <c r="A23884" t="s">
        <v>27754</v>
      </c>
      <c r="B23884" t="s">
        <v>27761</v>
      </c>
      <c r="C23884">
        <v>0</v>
      </c>
      <c r="D23884">
        <v>0.97926252583700002</v>
      </c>
      <c r="E23884">
        <v>1.7631184407796101</v>
      </c>
    </row>
    <row r="23885" spans="1:5">
      <c r="A23885" t="s">
        <v>27754</v>
      </c>
      <c r="B23885" t="s">
        <v>27762</v>
      </c>
      <c r="C23885">
        <v>0</v>
      </c>
      <c r="D23885">
        <v>0.97926252583700002</v>
      </c>
      <c r="E23885">
        <v>1.7631184407796101</v>
      </c>
    </row>
    <row r="23886" spans="1:5">
      <c r="A23886" t="s">
        <v>27754</v>
      </c>
      <c r="B23886" t="s">
        <v>27763</v>
      </c>
      <c r="C23886">
        <f>0</f>
        <v>0</v>
      </c>
      <c r="D23886">
        <v>0.97926252583700002</v>
      </c>
      <c r="E23886">
        <v>1.7631184407796101</v>
      </c>
    </row>
    <row r="23887" spans="1:5">
      <c r="A23887" t="s">
        <v>27754</v>
      </c>
      <c r="B23887" t="s">
        <v>27764</v>
      </c>
      <c r="C23887">
        <f>0</f>
        <v>0</v>
      </c>
      <c r="D23887">
        <v>0.97926252583700002</v>
      </c>
      <c r="E23887">
        <v>1.7631184407796101</v>
      </c>
    </row>
    <row r="23888" spans="1:5">
      <c r="A23888" t="s">
        <v>27754</v>
      </c>
      <c r="B23888" t="s">
        <v>27765</v>
      </c>
      <c r="C23888">
        <f>0</f>
        <v>0</v>
      </c>
      <c r="D23888">
        <v>0.97926252583700002</v>
      </c>
      <c r="E23888">
        <v>1.7631184407796101</v>
      </c>
    </row>
    <row r="23889" spans="1:5">
      <c r="A23889" t="s">
        <v>27754</v>
      </c>
      <c r="B23889" t="s">
        <v>27766</v>
      </c>
      <c r="C23889">
        <v>0.22164945816500001</v>
      </c>
      <c r="D23889">
        <v>0.97926252583700002</v>
      </c>
      <c r="E23889">
        <v>1.7631184407796101</v>
      </c>
    </row>
    <row r="23890" spans="1:5">
      <c r="A23890" t="s">
        <v>27754</v>
      </c>
      <c r="B23890" t="s">
        <v>27767</v>
      </c>
      <c r="C23890">
        <f>0</f>
        <v>0</v>
      </c>
      <c r="D23890">
        <v>0.97926252583700002</v>
      </c>
      <c r="E23890">
        <v>1.7631184407796101</v>
      </c>
    </row>
    <row r="23891" spans="1:5">
      <c r="A23891" t="s">
        <v>27768</v>
      </c>
      <c r="B23891" t="s">
        <v>27769</v>
      </c>
      <c r="C23891">
        <f>0.00677319032573</f>
        <v>6.7731903257300004E-3</v>
      </c>
      <c r="D23891">
        <v>3.4672067030299999E-2</v>
      </c>
      <c r="E23891">
        <v>0</v>
      </c>
    </row>
    <row r="23892" spans="1:5">
      <c r="A23892" t="s">
        <v>27770</v>
      </c>
      <c r="B23892" t="s">
        <v>27771</v>
      </c>
      <c r="C23892">
        <v>0</v>
      </c>
      <c r="D23892" t="s">
        <v>106</v>
      </c>
      <c r="E23892">
        <v>23.7481259370314</v>
      </c>
    </row>
    <row r="23893" spans="1:5">
      <c r="A23893" t="s">
        <v>27770</v>
      </c>
      <c r="B23893" t="s">
        <v>27772</v>
      </c>
      <c r="C23893">
        <v>0</v>
      </c>
      <c r="D23893" t="s">
        <v>106</v>
      </c>
      <c r="E23893">
        <v>23.7481259370314</v>
      </c>
    </row>
    <row r="23894" spans="1:5">
      <c r="A23894" t="s">
        <v>27770</v>
      </c>
      <c r="B23894" t="s">
        <v>27773</v>
      </c>
      <c r="C23894">
        <v>0</v>
      </c>
      <c r="D23894" t="s">
        <v>106</v>
      </c>
      <c r="E23894">
        <v>23.7481259370314</v>
      </c>
    </row>
    <row r="23895" spans="1:5">
      <c r="A23895" t="s">
        <v>27770</v>
      </c>
      <c r="B23895" t="s">
        <v>27774</v>
      </c>
      <c r="C23895">
        <v>0</v>
      </c>
      <c r="D23895" t="s">
        <v>106</v>
      </c>
      <c r="E23895">
        <v>23.7481259370314</v>
      </c>
    </row>
    <row r="23896" spans="1:5">
      <c r="A23896" t="s">
        <v>27770</v>
      </c>
      <c r="B23896" t="s">
        <v>27775</v>
      </c>
      <c r="C23896">
        <f>0</f>
        <v>0</v>
      </c>
      <c r="D23896" t="s">
        <v>106</v>
      </c>
      <c r="E23896">
        <v>23.7481259370314</v>
      </c>
    </row>
    <row r="23897" spans="1:5">
      <c r="A23897" t="s">
        <v>27770</v>
      </c>
      <c r="B23897" t="s">
        <v>27776</v>
      </c>
      <c r="C23897">
        <v>0</v>
      </c>
      <c r="D23897" t="s">
        <v>106</v>
      </c>
      <c r="E23897">
        <v>23.7481259370314</v>
      </c>
    </row>
    <row r="23898" spans="1:5">
      <c r="A23898" t="s">
        <v>27770</v>
      </c>
      <c r="B23898" t="s">
        <v>27777</v>
      </c>
      <c r="C23898">
        <v>0</v>
      </c>
      <c r="D23898" t="s">
        <v>106</v>
      </c>
      <c r="E23898">
        <v>23.7481259370314</v>
      </c>
    </row>
    <row r="23899" spans="1:5">
      <c r="A23899" t="s">
        <v>27778</v>
      </c>
      <c r="B23899" t="s">
        <v>27779</v>
      </c>
      <c r="C23899">
        <v>0.77730743304000005</v>
      </c>
      <c r="D23899" t="s">
        <v>106</v>
      </c>
      <c r="E23899">
        <v>4.7976011994003001</v>
      </c>
    </row>
    <row r="23900" spans="1:5">
      <c r="A23900" t="s">
        <v>27778</v>
      </c>
      <c r="B23900" t="s">
        <v>27780</v>
      </c>
      <c r="C23900">
        <f>0.0481982652303</f>
        <v>4.8198265230299998E-2</v>
      </c>
      <c r="D23900" t="s">
        <v>106</v>
      </c>
      <c r="E23900">
        <v>4.7976011994003001</v>
      </c>
    </row>
    <row r="23901" spans="1:5">
      <c r="A23901" t="s">
        <v>27778</v>
      </c>
      <c r="B23901" t="s">
        <v>27781</v>
      </c>
      <c r="C23901">
        <v>0</v>
      </c>
      <c r="D23901" t="s">
        <v>106</v>
      </c>
      <c r="E23901">
        <v>4.7976011994003001</v>
      </c>
    </row>
    <row r="23902" spans="1:5">
      <c r="A23902" t="s">
        <v>27782</v>
      </c>
      <c r="B23902" t="s">
        <v>27783</v>
      </c>
      <c r="C23902">
        <v>0</v>
      </c>
      <c r="D23902" t="s">
        <v>106</v>
      </c>
      <c r="E23902">
        <v>2.0269865067466202</v>
      </c>
    </row>
    <row r="23903" spans="1:5">
      <c r="A23903" t="s">
        <v>27782</v>
      </c>
      <c r="B23903" t="s">
        <v>27784</v>
      </c>
      <c r="C23903">
        <v>0</v>
      </c>
      <c r="D23903" t="s">
        <v>106</v>
      </c>
      <c r="E23903">
        <v>2.0269865067466202</v>
      </c>
    </row>
    <row r="23904" spans="1:5">
      <c r="A23904" t="s">
        <v>27782</v>
      </c>
      <c r="B23904" t="s">
        <v>27785</v>
      </c>
      <c r="C23904">
        <v>0</v>
      </c>
      <c r="D23904" t="s">
        <v>106</v>
      </c>
      <c r="E23904">
        <v>2.0269865067466202</v>
      </c>
    </row>
    <row r="23905" spans="1:5">
      <c r="A23905" t="s">
        <v>27782</v>
      </c>
      <c r="B23905" t="s">
        <v>27786</v>
      </c>
      <c r="C23905">
        <v>0</v>
      </c>
      <c r="D23905" t="s">
        <v>106</v>
      </c>
      <c r="E23905">
        <v>2.0269865067466202</v>
      </c>
    </row>
    <row r="23906" spans="1:5">
      <c r="A23906" t="s">
        <v>27782</v>
      </c>
      <c r="B23906" t="s">
        <v>27787</v>
      </c>
      <c r="C23906">
        <v>0</v>
      </c>
      <c r="D23906" t="s">
        <v>106</v>
      </c>
      <c r="E23906">
        <v>2.0269865067466202</v>
      </c>
    </row>
    <row r="23907" spans="1:5">
      <c r="A23907" t="s">
        <v>27782</v>
      </c>
      <c r="B23907" t="s">
        <v>27788</v>
      </c>
      <c r="C23907">
        <f>0</f>
        <v>0</v>
      </c>
      <c r="D23907" t="s">
        <v>106</v>
      </c>
      <c r="E23907">
        <v>2.0269865067466202</v>
      </c>
    </row>
    <row r="23908" spans="1:5">
      <c r="A23908" t="s">
        <v>27789</v>
      </c>
      <c r="B23908" t="s">
        <v>27790</v>
      </c>
      <c r="C23908">
        <f>0.0841896100243</f>
        <v>8.4189610024300005E-2</v>
      </c>
      <c r="D23908">
        <v>0.79877463485400002</v>
      </c>
      <c r="E23908">
        <v>5.69715142428785</v>
      </c>
    </row>
    <row r="23909" spans="1:5">
      <c r="A23909" t="s">
        <v>27789</v>
      </c>
      <c r="B23909" t="s">
        <v>27791</v>
      </c>
      <c r="C23909">
        <f>0</f>
        <v>0</v>
      </c>
      <c r="D23909">
        <v>0.79877463485400002</v>
      </c>
      <c r="E23909">
        <v>5.69715142428785</v>
      </c>
    </row>
    <row r="23910" spans="1:5">
      <c r="A23910" t="s">
        <v>27789</v>
      </c>
      <c r="B23910" t="s">
        <v>27792</v>
      </c>
      <c r="C23910">
        <f>0</f>
        <v>0</v>
      </c>
      <c r="D23910">
        <v>0.79877463485400002</v>
      </c>
      <c r="E23910">
        <v>5.69715142428785</v>
      </c>
    </row>
    <row r="23911" spans="1:5">
      <c r="A23911" t="s">
        <v>27789</v>
      </c>
      <c r="B23911" t="s">
        <v>27793</v>
      </c>
      <c r="C23911">
        <f>0</f>
        <v>0</v>
      </c>
      <c r="D23911">
        <v>0.79877463485400002</v>
      </c>
      <c r="E23911">
        <v>5.69715142428785</v>
      </c>
    </row>
    <row r="23912" spans="1:5">
      <c r="A23912" t="s">
        <v>27794</v>
      </c>
      <c r="B23912" t="s">
        <v>27795</v>
      </c>
      <c r="C23912">
        <v>0</v>
      </c>
      <c r="D23912">
        <v>0.83686669762400001</v>
      </c>
      <c r="E23912">
        <v>4.2698650674662604</v>
      </c>
    </row>
    <row r="23913" spans="1:5">
      <c r="A23913" t="s">
        <v>27794</v>
      </c>
      <c r="B23913" t="s">
        <v>27796</v>
      </c>
      <c r="C23913">
        <v>9.9737931649799993E-2</v>
      </c>
      <c r="D23913">
        <v>0.83686669762400001</v>
      </c>
      <c r="E23913">
        <v>4.2698650674662604</v>
      </c>
    </row>
    <row r="23914" spans="1:5">
      <c r="A23914" t="s">
        <v>27794</v>
      </c>
      <c r="B23914" t="s">
        <v>27797</v>
      </c>
      <c r="C23914">
        <v>0</v>
      </c>
      <c r="D23914">
        <v>0.83686669762400001</v>
      </c>
      <c r="E23914">
        <v>4.2698650674662604</v>
      </c>
    </row>
    <row r="23915" spans="1:5">
      <c r="A23915" t="s">
        <v>27794</v>
      </c>
      <c r="B23915" t="s">
        <v>27798</v>
      </c>
      <c r="C23915">
        <v>0</v>
      </c>
      <c r="D23915">
        <v>0.83686669762400001</v>
      </c>
      <c r="E23915">
        <v>4.2698650674662604</v>
      </c>
    </row>
    <row r="23916" spans="1:5">
      <c r="A23916" t="s">
        <v>27794</v>
      </c>
      <c r="B23916" t="s">
        <v>27799</v>
      </c>
      <c r="C23916">
        <v>0</v>
      </c>
      <c r="D23916">
        <v>0.83686669762400001</v>
      </c>
      <c r="E23916">
        <v>4.2698650674662604</v>
      </c>
    </row>
    <row r="23917" spans="1:5">
      <c r="A23917" t="s">
        <v>27800</v>
      </c>
      <c r="B23917" t="s">
        <v>27801</v>
      </c>
      <c r="C23917">
        <f>0</f>
        <v>0</v>
      </c>
      <c r="D23917">
        <v>0.90102966181099997</v>
      </c>
      <c r="E23917">
        <v>21.409295352323799</v>
      </c>
    </row>
    <row r="23918" spans="1:5">
      <c r="A23918" t="s">
        <v>27800</v>
      </c>
      <c r="B23918" t="s">
        <v>27802</v>
      </c>
      <c r="C23918">
        <v>0</v>
      </c>
      <c r="D23918">
        <v>0.90102966181099997</v>
      </c>
      <c r="E23918">
        <v>21.409295352323799</v>
      </c>
    </row>
    <row r="23919" spans="1:5">
      <c r="A23919" t="s">
        <v>27800</v>
      </c>
      <c r="B23919" t="s">
        <v>27803</v>
      </c>
      <c r="C23919">
        <v>0</v>
      </c>
      <c r="D23919">
        <v>0.90102966181099997</v>
      </c>
      <c r="E23919">
        <v>21.409295352323799</v>
      </c>
    </row>
    <row r="23920" spans="1:5">
      <c r="A23920" t="s">
        <v>27800</v>
      </c>
      <c r="B23920" t="s">
        <v>27804</v>
      </c>
      <c r="C23920">
        <v>6.0944492288400001E-2</v>
      </c>
      <c r="D23920">
        <v>0.90102966181099997</v>
      </c>
      <c r="E23920">
        <v>21.409295352323799</v>
      </c>
    </row>
    <row r="23921" spans="1:5">
      <c r="A23921" t="s">
        <v>27800</v>
      </c>
      <c r="B23921" t="s">
        <v>27805</v>
      </c>
      <c r="C23921">
        <v>5.8384934609499999E-2</v>
      </c>
      <c r="D23921">
        <v>0.90102966181099997</v>
      </c>
      <c r="E23921">
        <v>21.409295352323799</v>
      </c>
    </row>
    <row r="23922" spans="1:5">
      <c r="A23922" t="s">
        <v>27800</v>
      </c>
      <c r="B23922" t="s">
        <v>27806</v>
      </c>
      <c r="C23922">
        <f>0</f>
        <v>0</v>
      </c>
      <c r="D23922">
        <v>0.90102966181099997</v>
      </c>
      <c r="E23922">
        <v>21.409295352323799</v>
      </c>
    </row>
    <row r="23923" spans="1:5">
      <c r="A23923" t="s">
        <v>27807</v>
      </c>
      <c r="B23923" t="s">
        <v>27808</v>
      </c>
      <c r="C23923">
        <v>0.45244314578700001</v>
      </c>
      <c r="D23923">
        <v>0.97474326363200003</v>
      </c>
      <c r="E23923">
        <v>11.7061469265367</v>
      </c>
    </row>
    <row r="23924" spans="1:5">
      <c r="A23924" t="s">
        <v>27807</v>
      </c>
      <c r="B23924" t="s">
        <v>27809</v>
      </c>
      <c r="C23924">
        <f>0.398147167983</f>
        <v>0.39814716798299998</v>
      </c>
      <c r="D23924">
        <v>0.97474326363200003</v>
      </c>
      <c r="E23924">
        <v>11.7061469265367</v>
      </c>
    </row>
    <row r="23925" spans="1:5">
      <c r="A23925" t="s">
        <v>27810</v>
      </c>
      <c r="B23925" t="s">
        <v>27811</v>
      </c>
      <c r="C23925">
        <v>0</v>
      </c>
      <c r="D23925" t="s">
        <v>106</v>
      </c>
      <c r="E23925">
        <v>9.9190404797601204</v>
      </c>
    </row>
    <row r="23926" spans="1:5">
      <c r="A23926" t="s">
        <v>27810</v>
      </c>
      <c r="B23926" t="s">
        <v>27812</v>
      </c>
      <c r="C23926">
        <f>0</f>
        <v>0</v>
      </c>
      <c r="D23926" t="s">
        <v>106</v>
      </c>
      <c r="E23926">
        <v>9.9190404797601204</v>
      </c>
    </row>
    <row r="23927" spans="1:5">
      <c r="A23927" t="s">
        <v>27810</v>
      </c>
      <c r="B23927" t="s">
        <v>27813</v>
      </c>
      <c r="C23927">
        <v>0</v>
      </c>
      <c r="D23927" t="s">
        <v>106</v>
      </c>
      <c r="E23927">
        <v>9.9190404797601204</v>
      </c>
    </row>
    <row r="23928" spans="1:5">
      <c r="A23928" t="s">
        <v>27810</v>
      </c>
      <c r="B23928" t="s">
        <v>27814</v>
      </c>
      <c r="C23928">
        <v>0</v>
      </c>
      <c r="D23928" t="s">
        <v>106</v>
      </c>
      <c r="E23928">
        <v>9.9190404797601204</v>
      </c>
    </row>
    <row r="23929" spans="1:5">
      <c r="A23929" t="s">
        <v>27810</v>
      </c>
      <c r="B23929" t="s">
        <v>27815</v>
      </c>
      <c r="C23929">
        <v>0</v>
      </c>
      <c r="D23929" t="s">
        <v>106</v>
      </c>
      <c r="E23929">
        <v>9.9190404797601204</v>
      </c>
    </row>
    <row r="23930" spans="1:5">
      <c r="A23930" t="s">
        <v>27816</v>
      </c>
      <c r="B23930" t="s">
        <v>27817</v>
      </c>
      <c r="C23930">
        <v>0</v>
      </c>
      <c r="D23930" t="s">
        <v>106</v>
      </c>
      <c r="E23930">
        <v>3.8740629685157399</v>
      </c>
    </row>
    <row r="23931" spans="1:5">
      <c r="A23931" t="s">
        <v>27816</v>
      </c>
      <c r="B23931" t="s">
        <v>27818</v>
      </c>
      <c r="C23931">
        <v>0</v>
      </c>
      <c r="D23931" t="s">
        <v>106</v>
      </c>
      <c r="E23931">
        <v>3.8740629685157399</v>
      </c>
    </row>
    <row r="23932" spans="1:5">
      <c r="A23932" t="s">
        <v>27816</v>
      </c>
      <c r="B23932" t="s">
        <v>27819</v>
      </c>
      <c r="C23932">
        <v>7.7281316844699993E-2</v>
      </c>
      <c r="D23932" t="s">
        <v>106</v>
      </c>
      <c r="E23932">
        <v>3.8740629685157399</v>
      </c>
    </row>
    <row r="23933" spans="1:5">
      <c r="A23933" t="s">
        <v>27816</v>
      </c>
      <c r="B23933" t="s">
        <v>27820</v>
      </c>
      <c r="C23933">
        <v>0</v>
      </c>
      <c r="D23933" t="s">
        <v>106</v>
      </c>
      <c r="E23933">
        <v>3.8740629685157399</v>
      </c>
    </row>
    <row r="23934" spans="1:5">
      <c r="A23934" t="s">
        <v>27816</v>
      </c>
      <c r="B23934" t="s">
        <v>27821</v>
      </c>
      <c r="C23934">
        <v>0</v>
      </c>
      <c r="D23934" t="s">
        <v>106</v>
      </c>
      <c r="E23934">
        <v>3.8740629685157399</v>
      </c>
    </row>
    <row r="23935" spans="1:5">
      <c r="A23935" t="s">
        <v>27822</v>
      </c>
      <c r="B23935" t="s">
        <v>27823</v>
      </c>
      <c r="C23935">
        <v>0</v>
      </c>
      <c r="D23935">
        <v>0.73960292859200005</v>
      </c>
      <c r="E23935">
        <v>12.0419790104947</v>
      </c>
    </row>
    <row r="23936" spans="1:5">
      <c r="A23936" t="s">
        <v>27822</v>
      </c>
      <c r="B23936" t="s">
        <v>27824</v>
      </c>
      <c r="C23936">
        <f>0</f>
        <v>0</v>
      </c>
      <c r="D23936">
        <v>0.73960292859200005</v>
      </c>
      <c r="E23936">
        <v>12.0419790104947</v>
      </c>
    </row>
    <row r="23937" spans="1:5">
      <c r="A23937" t="s">
        <v>27822</v>
      </c>
      <c r="B23937" t="s">
        <v>27825</v>
      </c>
      <c r="C23937">
        <v>0</v>
      </c>
      <c r="D23937">
        <v>0.73960292859200005</v>
      </c>
      <c r="E23937">
        <v>12.0419790104947</v>
      </c>
    </row>
    <row r="23938" spans="1:5">
      <c r="A23938" t="s">
        <v>27822</v>
      </c>
      <c r="B23938" t="s">
        <v>27826</v>
      </c>
      <c r="C23938">
        <f>0.10862530492</f>
        <v>0.10862530492</v>
      </c>
      <c r="D23938">
        <v>0.73960292859200005</v>
      </c>
      <c r="E23938">
        <v>12.0419790104947</v>
      </c>
    </row>
    <row r="23939" spans="1:5">
      <c r="A23939" t="s">
        <v>27822</v>
      </c>
      <c r="B23939" t="s">
        <v>27827</v>
      </c>
      <c r="C23939">
        <f>0</f>
        <v>0</v>
      </c>
      <c r="D23939">
        <v>0.73960292859200005</v>
      </c>
      <c r="E23939">
        <v>12.0419790104947</v>
      </c>
    </row>
    <row r="23940" spans="1:5">
      <c r="A23940" t="s">
        <v>27828</v>
      </c>
      <c r="B23940" t="s">
        <v>27829</v>
      </c>
      <c r="C23940">
        <v>0</v>
      </c>
      <c r="D23940">
        <v>0.90351133221900004</v>
      </c>
      <c r="E23940">
        <v>10.230884557721099</v>
      </c>
    </row>
    <row r="23941" spans="1:5">
      <c r="A23941" t="s">
        <v>27828</v>
      </c>
      <c r="B23941" t="s">
        <v>27830</v>
      </c>
      <c r="C23941">
        <f>0</f>
        <v>0</v>
      </c>
      <c r="D23941">
        <v>0.90351133221900004</v>
      </c>
      <c r="E23941">
        <v>10.230884557721099</v>
      </c>
    </row>
    <row r="23942" spans="1:5">
      <c r="A23942" t="s">
        <v>27828</v>
      </c>
      <c r="B23942" t="s">
        <v>27831</v>
      </c>
      <c r="C23942">
        <f>0</f>
        <v>0</v>
      </c>
      <c r="D23942">
        <v>0.90351133221900004</v>
      </c>
      <c r="E23942">
        <v>10.230884557721099</v>
      </c>
    </row>
    <row r="23943" spans="1:5">
      <c r="A23943" t="s">
        <v>27828</v>
      </c>
      <c r="B23943" t="s">
        <v>27832</v>
      </c>
      <c r="C23943">
        <f>0.203016714007</f>
        <v>0.203016714007</v>
      </c>
      <c r="D23943">
        <v>0.90351133221900004</v>
      </c>
      <c r="E23943">
        <v>10.230884557721099</v>
      </c>
    </row>
    <row r="23944" spans="1:5">
      <c r="A23944" t="s">
        <v>27828</v>
      </c>
      <c r="B23944" t="s">
        <v>27833</v>
      </c>
      <c r="C23944">
        <v>0.126113529113</v>
      </c>
      <c r="D23944">
        <v>0.90351133221900004</v>
      </c>
      <c r="E23944">
        <v>10.230884557721099</v>
      </c>
    </row>
    <row r="23945" spans="1:5">
      <c r="A23945" t="s">
        <v>27828</v>
      </c>
      <c r="B23945" t="s">
        <v>27834</v>
      </c>
      <c r="C23945">
        <f>0</f>
        <v>0</v>
      </c>
      <c r="D23945">
        <v>0.90351133221900004</v>
      </c>
      <c r="E23945">
        <v>10.230884557721099</v>
      </c>
    </row>
    <row r="23946" spans="1:5">
      <c r="A23946" t="s">
        <v>27835</v>
      </c>
      <c r="B23946" t="s">
        <v>27836</v>
      </c>
      <c r="C23946">
        <f>0</f>
        <v>0</v>
      </c>
      <c r="D23946" t="s">
        <v>106</v>
      </c>
      <c r="E23946">
        <v>24</v>
      </c>
    </row>
    <row r="23947" spans="1:5">
      <c r="A23947" t="s">
        <v>27837</v>
      </c>
      <c r="B23947" t="s">
        <v>27838</v>
      </c>
      <c r="C23947">
        <f>0.00868617872675</f>
        <v>8.6861787267499997E-3</v>
      </c>
      <c r="D23947">
        <v>0.99939316785099996</v>
      </c>
      <c r="E23947">
        <v>24</v>
      </c>
    </row>
    <row r="23948" spans="1:5">
      <c r="A23948" t="s">
        <v>27837</v>
      </c>
      <c r="B23948" t="s">
        <v>27839</v>
      </c>
      <c r="C23948">
        <v>0.17761316603800001</v>
      </c>
      <c r="D23948">
        <v>0.99939316785099996</v>
      </c>
      <c r="E23948">
        <v>24</v>
      </c>
    </row>
    <row r="23949" spans="1:5">
      <c r="A23949" t="s">
        <v>27840</v>
      </c>
      <c r="B23949" t="s">
        <v>27841</v>
      </c>
      <c r="C23949">
        <v>0</v>
      </c>
      <c r="D23949">
        <v>0.55846646799999999</v>
      </c>
      <c r="E23949">
        <v>15.316341829085401</v>
      </c>
    </row>
    <row r="23950" spans="1:5">
      <c r="A23950" t="s">
        <v>27840</v>
      </c>
      <c r="B23950" t="s">
        <v>27842</v>
      </c>
      <c r="C23950">
        <f>0</f>
        <v>0</v>
      </c>
      <c r="D23950">
        <v>0.55846646799999999</v>
      </c>
      <c r="E23950">
        <v>15.316341829085401</v>
      </c>
    </row>
    <row r="23951" spans="1:5">
      <c r="A23951" t="s">
        <v>27840</v>
      </c>
      <c r="B23951" t="s">
        <v>27843</v>
      </c>
      <c r="C23951">
        <v>1.73243305334E-2</v>
      </c>
      <c r="D23951">
        <v>0.55846646799999999</v>
      </c>
      <c r="E23951">
        <v>15.316341829085401</v>
      </c>
    </row>
    <row r="23952" spans="1:5">
      <c r="A23952" t="s">
        <v>27840</v>
      </c>
      <c r="B23952" t="s">
        <v>27844</v>
      </c>
      <c r="C23952">
        <f>0</f>
        <v>0</v>
      </c>
      <c r="D23952">
        <v>0.55846646799999999</v>
      </c>
      <c r="E23952">
        <v>15.316341829085401</v>
      </c>
    </row>
    <row r="23953" spans="1:5">
      <c r="A23953" t="s">
        <v>27845</v>
      </c>
      <c r="B23953" t="s">
        <v>27846</v>
      </c>
      <c r="C23953">
        <v>0</v>
      </c>
      <c r="D23953">
        <v>0.97634625090000005</v>
      </c>
      <c r="E23953">
        <v>0.131934032983508</v>
      </c>
    </row>
    <row r="23954" spans="1:5">
      <c r="A23954" t="s">
        <v>27845</v>
      </c>
      <c r="B23954" t="s">
        <v>27847</v>
      </c>
      <c r="C23954">
        <f>0</f>
        <v>0</v>
      </c>
      <c r="D23954">
        <v>0.97634625090000005</v>
      </c>
      <c r="E23954">
        <v>0.131934032983508</v>
      </c>
    </row>
    <row r="23955" spans="1:5">
      <c r="A23955" t="s">
        <v>27845</v>
      </c>
      <c r="B23955" t="s">
        <v>27848</v>
      </c>
      <c r="C23955">
        <f>0</f>
        <v>0</v>
      </c>
      <c r="D23955">
        <v>0.97634625090000005</v>
      </c>
      <c r="E23955">
        <v>0.131934032983508</v>
      </c>
    </row>
    <row r="23956" spans="1:5">
      <c r="A23956" t="s">
        <v>27845</v>
      </c>
      <c r="B23956" t="s">
        <v>27849</v>
      </c>
      <c r="C23956">
        <f>0.413743042695</f>
        <v>0.41374304269500001</v>
      </c>
      <c r="D23956">
        <v>0.97634625090000005</v>
      </c>
      <c r="E23956">
        <v>0.131934032983508</v>
      </c>
    </row>
    <row r="23957" spans="1:5">
      <c r="A23957" t="s">
        <v>27845</v>
      </c>
      <c r="B23957" t="s">
        <v>27850</v>
      </c>
      <c r="C23957">
        <f>0.138041495457</f>
        <v>0.13804149545700001</v>
      </c>
      <c r="D23957">
        <v>0.97634625090000005</v>
      </c>
      <c r="E23957">
        <v>0.131934032983508</v>
      </c>
    </row>
    <row r="23958" spans="1:5">
      <c r="A23958" t="s">
        <v>27851</v>
      </c>
      <c r="B23958" t="s">
        <v>27852</v>
      </c>
      <c r="C23958">
        <v>0.19399285542799999</v>
      </c>
      <c r="D23958">
        <v>0.88191495871699999</v>
      </c>
      <c r="E23958">
        <v>5.5772113943028403</v>
      </c>
    </row>
    <row r="23959" spans="1:5">
      <c r="A23959" t="s">
        <v>27851</v>
      </c>
      <c r="B23959" t="s">
        <v>27853</v>
      </c>
      <c r="C23959">
        <v>0</v>
      </c>
      <c r="D23959">
        <v>0.88191495871699999</v>
      </c>
      <c r="E23959">
        <v>5.5772113943028403</v>
      </c>
    </row>
    <row r="23960" spans="1:5">
      <c r="A23960" t="s">
        <v>27851</v>
      </c>
      <c r="B23960" t="s">
        <v>27854</v>
      </c>
      <c r="C23960">
        <v>0</v>
      </c>
      <c r="D23960">
        <v>0.88191495871699999</v>
      </c>
      <c r="E23960">
        <v>5.5772113943028403</v>
      </c>
    </row>
    <row r="23961" spans="1:5">
      <c r="A23961" t="s">
        <v>27851</v>
      </c>
      <c r="B23961" t="s">
        <v>27855</v>
      </c>
      <c r="C23961">
        <v>0</v>
      </c>
      <c r="D23961">
        <v>0.88191495871699999</v>
      </c>
      <c r="E23961">
        <v>5.5772113943028403</v>
      </c>
    </row>
    <row r="23962" spans="1:5">
      <c r="A23962" t="s">
        <v>27851</v>
      </c>
      <c r="B23962" t="s">
        <v>27856</v>
      </c>
      <c r="C23962">
        <v>0</v>
      </c>
      <c r="D23962">
        <v>0.88191495871699999</v>
      </c>
      <c r="E23962">
        <v>5.5772113943028403</v>
      </c>
    </row>
    <row r="23963" spans="1:5">
      <c r="A23963" t="s">
        <v>27851</v>
      </c>
      <c r="B23963" t="s">
        <v>27857</v>
      </c>
      <c r="C23963">
        <v>0</v>
      </c>
      <c r="D23963">
        <v>0.88191495871699999</v>
      </c>
      <c r="E23963">
        <v>5.5772113943028403</v>
      </c>
    </row>
    <row r="23964" spans="1:5">
      <c r="A23964" t="s">
        <v>27851</v>
      </c>
      <c r="B23964" t="s">
        <v>27858</v>
      </c>
      <c r="C23964">
        <v>0</v>
      </c>
      <c r="D23964">
        <v>0.88191495871699999</v>
      </c>
      <c r="E23964">
        <v>5.5772113943028403</v>
      </c>
    </row>
    <row r="23965" spans="1:5">
      <c r="A23965" t="s">
        <v>27859</v>
      </c>
      <c r="B23965" t="s">
        <v>27860</v>
      </c>
      <c r="C23965">
        <v>0</v>
      </c>
      <c r="D23965">
        <v>0.98118107346899996</v>
      </c>
      <c r="E23965">
        <v>20.7376311844077</v>
      </c>
    </row>
    <row r="23966" spans="1:5">
      <c r="A23966" t="s">
        <v>27859</v>
      </c>
      <c r="B23966" t="s">
        <v>27861</v>
      </c>
      <c r="C23966">
        <f>0</f>
        <v>0</v>
      </c>
      <c r="D23966">
        <v>0.98118107346899996</v>
      </c>
      <c r="E23966">
        <v>20.7376311844077</v>
      </c>
    </row>
    <row r="23967" spans="1:5">
      <c r="A23967" t="s">
        <v>27859</v>
      </c>
      <c r="B23967" t="s">
        <v>27862</v>
      </c>
      <c r="C23967">
        <f>0</f>
        <v>0</v>
      </c>
      <c r="D23967">
        <v>0.98118107346899996</v>
      </c>
      <c r="E23967">
        <v>20.7376311844077</v>
      </c>
    </row>
    <row r="23968" spans="1:5">
      <c r="A23968" t="s">
        <v>27859</v>
      </c>
      <c r="B23968" t="s">
        <v>27863</v>
      </c>
      <c r="C23968">
        <v>0</v>
      </c>
      <c r="D23968">
        <v>0.98118107346899996</v>
      </c>
      <c r="E23968">
        <v>20.7376311844077</v>
      </c>
    </row>
    <row r="23969" spans="1:5">
      <c r="A23969" t="s">
        <v>27859</v>
      </c>
      <c r="B23969" t="s">
        <v>27864</v>
      </c>
      <c r="C23969">
        <f>0.183678386721</f>
        <v>0.18367838672100001</v>
      </c>
      <c r="D23969">
        <v>0.98118107346899996</v>
      </c>
      <c r="E23969">
        <v>20.7376311844077</v>
      </c>
    </row>
    <row r="23970" spans="1:5">
      <c r="A23970" t="s">
        <v>27859</v>
      </c>
      <c r="B23970" t="s">
        <v>27865</v>
      </c>
      <c r="C23970">
        <f>0.0488957782779</f>
        <v>4.8895778277900002E-2</v>
      </c>
      <c r="D23970">
        <v>0.98118107346899996</v>
      </c>
      <c r="E23970">
        <v>20.7376311844077</v>
      </c>
    </row>
    <row r="23971" spans="1:5">
      <c r="A23971" t="s">
        <v>27859</v>
      </c>
      <c r="B23971" t="s">
        <v>27866</v>
      </c>
      <c r="C23971">
        <v>0</v>
      </c>
      <c r="D23971">
        <v>0.98118107346899996</v>
      </c>
      <c r="E23971">
        <v>20.7376311844077</v>
      </c>
    </row>
    <row r="23972" spans="1:5">
      <c r="A23972" t="s">
        <v>27859</v>
      </c>
      <c r="B23972" t="s">
        <v>27867</v>
      </c>
      <c r="C23972">
        <f>0</f>
        <v>0</v>
      </c>
      <c r="D23972">
        <v>0.98118107346899996</v>
      </c>
      <c r="E23972">
        <v>20.7376311844077</v>
      </c>
    </row>
    <row r="23973" spans="1:5">
      <c r="A23973" t="s">
        <v>27859</v>
      </c>
      <c r="B23973" t="s">
        <v>27868</v>
      </c>
      <c r="C23973">
        <v>0</v>
      </c>
      <c r="D23973">
        <v>0.98118107346899996</v>
      </c>
      <c r="E23973">
        <v>20.7376311844077</v>
      </c>
    </row>
    <row r="23974" spans="1:5">
      <c r="A23974" t="s">
        <v>27869</v>
      </c>
      <c r="B23974" t="s">
        <v>27870</v>
      </c>
      <c r="C23974">
        <v>0</v>
      </c>
      <c r="D23974" t="s">
        <v>106</v>
      </c>
      <c r="E23974">
        <v>24</v>
      </c>
    </row>
    <row r="23975" spans="1:5">
      <c r="A23975" t="s">
        <v>27869</v>
      </c>
      <c r="B23975" t="s">
        <v>27871</v>
      </c>
      <c r="C23975">
        <v>1.9240371659799999E-2</v>
      </c>
      <c r="D23975" t="s">
        <v>106</v>
      </c>
      <c r="E23975">
        <v>24</v>
      </c>
    </row>
    <row r="23976" spans="1:5">
      <c r="A23976" t="s">
        <v>27869</v>
      </c>
      <c r="B23976" t="s">
        <v>27872</v>
      </c>
      <c r="C23976">
        <v>6.6274078461099996E-4</v>
      </c>
      <c r="D23976" t="s">
        <v>106</v>
      </c>
      <c r="E23976">
        <v>24</v>
      </c>
    </row>
    <row r="23977" spans="1:5">
      <c r="A23977" t="s">
        <v>27869</v>
      </c>
      <c r="B23977" t="s">
        <v>27873</v>
      </c>
      <c r="C23977">
        <v>0</v>
      </c>
      <c r="D23977" t="s">
        <v>106</v>
      </c>
      <c r="E23977">
        <v>24</v>
      </c>
    </row>
    <row r="23978" spans="1:5">
      <c r="A23978" t="s">
        <v>27874</v>
      </c>
      <c r="B23978" t="s">
        <v>27875</v>
      </c>
      <c r="C23978">
        <f>0.0610103683292</f>
        <v>6.1010368329200003E-2</v>
      </c>
      <c r="D23978">
        <v>0.60165047840100006</v>
      </c>
      <c r="E23978">
        <v>24</v>
      </c>
    </row>
    <row r="23979" spans="1:5">
      <c r="A23979" t="s">
        <v>27874</v>
      </c>
      <c r="B23979" t="s">
        <v>27876</v>
      </c>
      <c r="C23979">
        <v>0</v>
      </c>
      <c r="D23979">
        <v>0.60165047840100006</v>
      </c>
      <c r="E23979">
        <v>24</v>
      </c>
    </row>
    <row r="23980" spans="1:5">
      <c r="A23980" t="s">
        <v>27874</v>
      </c>
      <c r="B23980" t="s">
        <v>27877</v>
      </c>
      <c r="C23980">
        <v>0.10038234734900001</v>
      </c>
      <c r="D23980">
        <v>0.60165047840100006</v>
      </c>
      <c r="E23980">
        <v>24</v>
      </c>
    </row>
    <row r="23981" spans="1:5">
      <c r="A23981" t="s">
        <v>27878</v>
      </c>
      <c r="B23981" t="s">
        <v>27879</v>
      </c>
      <c r="C23981">
        <f>0</f>
        <v>0</v>
      </c>
      <c r="D23981" t="s">
        <v>106</v>
      </c>
      <c r="E23981">
        <v>2.96251874062968</v>
      </c>
    </row>
    <row r="23982" spans="1:5">
      <c r="A23982" t="s">
        <v>27878</v>
      </c>
      <c r="B23982" t="s">
        <v>27880</v>
      </c>
      <c r="C23982">
        <v>0</v>
      </c>
      <c r="D23982" t="s">
        <v>106</v>
      </c>
      <c r="E23982">
        <v>2.96251874062968</v>
      </c>
    </row>
    <row r="23983" spans="1:5">
      <c r="A23983" t="s">
        <v>27878</v>
      </c>
      <c r="B23983" t="s">
        <v>27881</v>
      </c>
      <c r="C23983">
        <f>0</f>
        <v>0</v>
      </c>
      <c r="D23983" t="s">
        <v>106</v>
      </c>
      <c r="E23983">
        <v>2.96251874062968</v>
      </c>
    </row>
    <row r="23984" spans="1:5">
      <c r="A23984" t="s">
        <v>27878</v>
      </c>
      <c r="B23984" t="s">
        <v>27882</v>
      </c>
      <c r="C23984">
        <v>0</v>
      </c>
      <c r="D23984" t="s">
        <v>106</v>
      </c>
      <c r="E23984">
        <v>2.96251874062968</v>
      </c>
    </row>
    <row r="23985" spans="1:5">
      <c r="A23985" t="s">
        <v>27878</v>
      </c>
      <c r="B23985" t="s">
        <v>27883</v>
      </c>
      <c r="C23985">
        <v>0</v>
      </c>
      <c r="D23985" t="s">
        <v>106</v>
      </c>
      <c r="E23985">
        <v>2.96251874062968</v>
      </c>
    </row>
    <row r="23986" spans="1:5">
      <c r="A23986" t="s">
        <v>27878</v>
      </c>
      <c r="B23986" t="s">
        <v>27884</v>
      </c>
      <c r="C23986">
        <f>0</f>
        <v>0</v>
      </c>
      <c r="D23986" t="s">
        <v>106</v>
      </c>
      <c r="E23986">
        <v>2.96251874062968</v>
      </c>
    </row>
    <row r="23987" spans="1:5">
      <c r="A23987" t="s">
        <v>27878</v>
      </c>
      <c r="B23987" t="s">
        <v>27885</v>
      </c>
      <c r="C23987">
        <f>0</f>
        <v>0</v>
      </c>
      <c r="D23987" t="s">
        <v>106</v>
      </c>
      <c r="E23987">
        <v>2.96251874062968</v>
      </c>
    </row>
    <row r="23988" spans="1:5">
      <c r="A23988" t="s">
        <v>27878</v>
      </c>
      <c r="B23988" t="s">
        <v>27886</v>
      </c>
      <c r="C23988">
        <f>0</f>
        <v>0</v>
      </c>
      <c r="D23988" t="s">
        <v>106</v>
      </c>
      <c r="E23988">
        <v>2.96251874062968</v>
      </c>
    </row>
    <row r="23989" spans="1:5">
      <c r="A23989" t="s">
        <v>27878</v>
      </c>
      <c r="B23989" t="s">
        <v>27887</v>
      </c>
      <c r="C23989">
        <f>0</f>
        <v>0</v>
      </c>
      <c r="D23989" t="s">
        <v>106</v>
      </c>
      <c r="E23989">
        <v>2.96251874062968</v>
      </c>
    </row>
    <row r="23990" spans="1:5">
      <c r="A23990" t="s">
        <v>27878</v>
      </c>
      <c r="B23990" t="s">
        <v>27888</v>
      </c>
      <c r="C23990">
        <v>0</v>
      </c>
      <c r="D23990" t="s">
        <v>106</v>
      </c>
      <c r="E23990">
        <v>2.96251874062968</v>
      </c>
    </row>
    <row r="23991" spans="1:5">
      <c r="A23991" t="s">
        <v>27889</v>
      </c>
      <c r="B23991" t="s">
        <v>27890</v>
      </c>
      <c r="C23991">
        <f>0.00140566261228</f>
        <v>1.4056626122799999E-3</v>
      </c>
      <c r="D23991">
        <v>0.64622354190700004</v>
      </c>
      <c r="E23991">
        <v>24</v>
      </c>
    </row>
    <row r="23992" spans="1:5">
      <c r="A23992" t="s">
        <v>27889</v>
      </c>
      <c r="B23992" t="s">
        <v>27891</v>
      </c>
      <c r="C23992">
        <v>0</v>
      </c>
      <c r="D23992">
        <v>0.64622354190700004</v>
      </c>
      <c r="E23992">
        <v>24</v>
      </c>
    </row>
    <row r="23993" spans="1:5">
      <c r="A23993" t="s">
        <v>27889</v>
      </c>
      <c r="B23993" t="s">
        <v>27892</v>
      </c>
      <c r="C23993">
        <f>0</f>
        <v>0</v>
      </c>
      <c r="D23993">
        <v>0.64622354190700004</v>
      </c>
      <c r="E23993">
        <v>24</v>
      </c>
    </row>
    <row r="23994" spans="1:5">
      <c r="A23994" t="s">
        <v>27889</v>
      </c>
      <c r="B23994" t="s">
        <v>27893</v>
      </c>
      <c r="C23994">
        <f>0</f>
        <v>0</v>
      </c>
      <c r="D23994">
        <v>0.64622354190700004</v>
      </c>
      <c r="E23994">
        <v>24</v>
      </c>
    </row>
    <row r="23995" spans="1:5">
      <c r="A23995" t="s">
        <v>27889</v>
      </c>
      <c r="B23995" t="s">
        <v>27894</v>
      </c>
      <c r="C23995">
        <v>0</v>
      </c>
      <c r="D23995">
        <v>0.64622354190700004</v>
      </c>
      <c r="E23995">
        <v>24</v>
      </c>
    </row>
    <row r="23996" spans="1:5">
      <c r="A23996" t="s">
        <v>27889</v>
      </c>
      <c r="B23996" t="s">
        <v>27895</v>
      </c>
      <c r="C23996">
        <f>0.00072824239334</f>
        <v>7.2824239334000004E-4</v>
      </c>
      <c r="D23996">
        <v>0.64622354190700004</v>
      </c>
      <c r="E23996">
        <v>24</v>
      </c>
    </row>
    <row r="23997" spans="1:5">
      <c r="A23997" t="s">
        <v>27889</v>
      </c>
      <c r="B23997" t="s">
        <v>27896</v>
      </c>
      <c r="C23997">
        <v>0</v>
      </c>
      <c r="D23997">
        <v>0.64622354190700004</v>
      </c>
      <c r="E23997">
        <v>24</v>
      </c>
    </row>
    <row r="23998" spans="1:5">
      <c r="A23998" t="s">
        <v>27897</v>
      </c>
      <c r="B23998" t="s">
        <v>27898</v>
      </c>
      <c r="C23998">
        <f>0</f>
        <v>0</v>
      </c>
      <c r="D23998" t="s">
        <v>106</v>
      </c>
      <c r="E23998">
        <v>11.8740629685157</v>
      </c>
    </row>
    <row r="23999" spans="1:5">
      <c r="A23999" t="s">
        <v>27897</v>
      </c>
      <c r="B23999" t="s">
        <v>27899</v>
      </c>
      <c r="C23999">
        <f>0</f>
        <v>0</v>
      </c>
      <c r="D23999" t="s">
        <v>106</v>
      </c>
      <c r="E23999">
        <v>11.8740629685157</v>
      </c>
    </row>
    <row r="24000" spans="1:5">
      <c r="A24000" t="s">
        <v>27897</v>
      </c>
      <c r="B24000" t="s">
        <v>27900</v>
      </c>
      <c r="C24000">
        <f>0</f>
        <v>0</v>
      </c>
      <c r="D24000" t="s">
        <v>106</v>
      </c>
      <c r="E24000">
        <v>11.8740629685157</v>
      </c>
    </row>
    <row r="24001" spans="1:5">
      <c r="A24001" t="s">
        <v>27897</v>
      </c>
      <c r="B24001" t="s">
        <v>27901</v>
      </c>
      <c r="C24001">
        <f>0</f>
        <v>0</v>
      </c>
      <c r="D24001" t="s">
        <v>106</v>
      </c>
      <c r="E24001">
        <v>11.8740629685157</v>
      </c>
    </row>
    <row r="24002" spans="1:5">
      <c r="A24002" t="s">
        <v>27897</v>
      </c>
      <c r="B24002" t="s">
        <v>27902</v>
      </c>
      <c r="C24002">
        <v>0</v>
      </c>
      <c r="D24002" t="s">
        <v>106</v>
      </c>
      <c r="E24002">
        <v>11.8740629685157</v>
      </c>
    </row>
    <row r="24003" spans="1:5">
      <c r="A24003" t="s">
        <v>27897</v>
      </c>
      <c r="B24003" t="s">
        <v>27903</v>
      </c>
      <c r="C24003">
        <f>0</f>
        <v>0</v>
      </c>
      <c r="D24003" t="s">
        <v>106</v>
      </c>
      <c r="E24003">
        <v>11.8740629685157</v>
      </c>
    </row>
    <row r="24004" spans="1:5">
      <c r="A24004" t="s">
        <v>27904</v>
      </c>
      <c r="B24004" t="s">
        <v>27905</v>
      </c>
      <c r="C24004">
        <v>0</v>
      </c>
      <c r="D24004">
        <v>0.97529642096699998</v>
      </c>
      <c r="E24004">
        <v>9.6191904047975996</v>
      </c>
    </row>
    <row r="24005" spans="1:5">
      <c r="A24005" t="s">
        <v>27904</v>
      </c>
      <c r="B24005" t="s">
        <v>27906</v>
      </c>
      <c r="C24005">
        <f>0</f>
        <v>0</v>
      </c>
      <c r="D24005">
        <v>0.97529642096699998</v>
      </c>
      <c r="E24005">
        <v>9.6191904047975996</v>
      </c>
    </row>
    <row r="24006" spans="1:5">
      <c r="A24006" t="s">
        <v>27904</v>
      </c>
      <c r="B24006" t="s">
        <v>27907</v>
      </c>
      <c r="C24006">
        <f>0.157730886214</f>
        <v>0.157730886214</v>
      </c>
      <c r="D24006">
        <v>0.97529642096699998</v>
      </c>
      <c r="E24006">
        <v>9.6191904047975996</v>
      </c>
    </row>
    <row r="24007" spans="1:5">
      <c r="A24007" t="s">
        <v>27904</v>
      </c>
      <c r="B24007" t="s">
        <v>27908</v>
      </c>
      <c r="C24007">
        <f>0.388134975173</f>
        <v>0.388134975173</v>
      </c>
      <c r="D24007">
        <v>0.97529642096699998</v>
      </c>
      <c r="E24007">
        <v>9.6191904047975996</v>
      </c>
    </row>
    <row r="24008" spans="1:5">
      <c r="A24008" t="s">
        <v>27904</v>
      </c>
      <c r="B24008" t="s">
        <v>27909</v>
      </c>
      <c r="C24008">
        <v>0</v>
      </c>
      <c r="D24008">
        <v>0.97529642096699998</v>
      </c>
      <c r="E24008">
        <v>9.6191904047975996</v>
      </c>
    </row>
    <row r="24009" spans="1:5">
      <c r="A24009" t="s">
        <v>27904</v>
      </c>
      <c r="B24009" t="s">
        <v>27910</v>
      </c>
      <c r="C24009">
        <f>0</f>
        <v>0</v>
      </c>
      <c r="D24009">
        <v>0.97529642096699998</v>
      </c>
      <c r="E24009">
        <v>9.6191904047975996</v>
      </c>
    </row>
    <row r="24010" spans="1:5">
      <c r="A24010" t="s">
        <v>27904</v>
      </c>
      <c r="B24010" t="s">
        <v>27911</v>
      </c>
      <c r="C24010">
        <f>0</f>
        <v>0</v>
      </c>
      <c r="D24010">
        <v>0.97529642096699998</v>
      </c>
      <c r="E24010">
        <v>9.6191904047975996</v>
      </c>
    </row>
    <row r="24011" spans="1:5">
      <c r="A24011" t="s">
        <v>27904</v>
      </c>
      <c r="B24011" t="s">
        <v>27912</v>
      </c>
      <c r="C24011">
        <f>0</f>
        <v>0</v>
      </c>
      <c r="D24011">
        <v>0.97529642096699998</v>
      </c>
      <c r="E24011">
        <v>9.6191904047975996</v>
      </c>
    </row>
    <row r="24012" spans="1:5">
      <c r="A24012" t="s">
        <v>27904</v>
      </c>
      <c r="B24012" t="s">
        <v>27913</v>
      </c>
      <c r="C24012">
        <f>0</f>
        <v>0</v>
      </c>
      <c r="D24012">
        <v>0.97529642096699998</v>
      </c>
      <c r="E24012">
        <v>9.6191904047975996</v>
      </c>
    </row>
    <row r="24013" spans="1:5">
      <c r="A24013" t="s">
        <v>27904</v>
      </c>
      <c r="B24013" t="s">
        <v>27914</v>
      </c>
      <c r="C24013">
        <f>0</f>
        <v>0</v>
      </c>
      <c r="D24013">
        <v>0.97529642096699998</v>
      </c>
      <c r="E24013">
        <v>9.6191904047975996</v>
      </c>
    </row>
    <row r="24014" spans="1:5">
      <c r="A24014" t="s">
        <v>27904</v>
      </c>
      <c r="B24014" t="s">
        <v>27915</v>
      </c>
      <c r="C24014">
        <f>0</f>
        <v>0</v>
      </c>
      <c r="D24014">
        <v>0.97529642096699998</v>
      </c>
      <c r="E24014">
        <v>9.6191904047975996</v>
      </c>
    </row>
    <row r="24015" spans="1:5">
      <c r="A24015" t="s">
        <v>27916</v>
      </c>
      <c r="B24015" t="s">
        <v>27917</v>
      </c>
      <c r="C24015">
        <f>0</f>
        <v>0</v>
      </c>
      <c r="D24015" t="s">
        <v>106</v>
      </c>
      <c r="E24015">
        <v>6.4287856071964002</v>
      </c>
    </row>
    <row r="24016" spans="1:5">
      <c r="A24016" t="s">
        <v>27916</v>
      </c>
      <c r="B24016" t="s">
        <v>27918</v>
      </c>
      <c r="C24016">
        <v>0.63207401900399995</v>
      </c>
      <c r="D24016" t="s">
        <v>106</v>
      </c>
      <c r="E24016">
        <v>6.4287856071964002</v>
      </c>
    </row>
    <row r="24017" spans="1:5">
      <c r="A24017" t="s">
        <v>27916</v>
      </c>
      <c r="B24017" t="s">
        <v>27919</v>
      </c>
      <c r="C24017">
        <v>0</v>
      </c>
      <c r="D24017" t="s">
        <v>106</v>
      </c>
      <c r="E24017">
        <v>6.4287856071964002</v>
      </c>
    </row>
    <row r="24018" spans="1:5">
      <c r="A24018" t="s">
        <v>27916</v>
      </c>
      <c r="B24018" t="s">
        <v>27920</v>
      </c>
      <c r="C24018">
        <f>0</f>
        <v>0</v>
      </c>
      <c r="D24018" t="s">
        <v>106</v>
      </c>
      <c r="E24018">
        <v>6.4287856071964002</v>
      </c>
    </row>
    <row r="24019" spans="1:5">
      <c r="A24019" t="s">
        <v>27916</v>
      </c>
      <c r="B24019" t="s">
        <v>27921</v>
      </c>
      <c r="C24019">
        <v>1.6921069183200001E-2</v>
      </c>
      <c r="D24019" t="s">
        <v>106</v>
      </c>
      <c r="E24019">
        <v>6.4287856071964002</v>
      </c>
    </row>
    <row r="24020" spans="1:5">
      <c r="A24020" t="s">
        <v>27922</v>
      </c>
      <c r="B24020" t="s">
        <v>27923</v>
      </c>
      <c r="C24020">
        <v>0</v>
      </c>
      <c r="D24020">
        <v>0.99283576586199995</v>
      </c>
      <c r="E24020">
        <v>5.2413793103448203</v>
      </c>
    </row>
    <row r="24021" spans="1:5">
      <c r="A24021" t="s">
        <v>27922</v>
      </c>
      <c r="B24021" t="s">
        <v>27924</v>
      </c>
      <c r="C24021">
        <f>0</f>
        <v>0</v>
      </c>
      <c r="D24021">
        <v>0.99283576586199995</v>
      </c>
      <c r="E24021">
        <v>5.2413793103448203</v>
      </c>
    </row>
    <row r="24022" spans="1:5">
      <c r="A24022" t="s">
        <v>27922</v>
      </c>
      <c r="B24022" t="s">
        <v>27925</v>
      </c>
      <c r="C24022">
        <v>0</v>
      </c>
      <c r="D24022">
        <v>0.99283576586199995</v>
      </c>
      <c r="E24022">
        <v>5.2413793103448203</v>
      </c>
    </row>
    <row r="24023" spans="1:5">
      <c r="A24023" t="s">
        <v>27922</v>
      </c>
      <c r="B24023" t="s">
        <v>27926</v>
      </c>
      <c r="C24023">
        <v>0.229279931928</v>
      </c>
      <c r="D24023">
        <v>0.99283576586199995</v>
      </c>
      <c r="E24023">
        <v>5.2413793103448203</v>
      </c>
    </row>
    <row r="24024" spans="1:5">
      <c r="A24024" t="s">
        <v>27922</v>
      </c>
      <c r="B24024" t="s">
        <v>27927</v>
      </c>
      <c r="C24024">
        <f>0</f>
        <v>0</v>
      </c>
      <c r="D24024">
        <v>0.99283576586199995</v>
      </c>
      <c r="E24024">
        <v>5.2413793103448203</v>
      </c>
    </row>
    <row r="24025" spans="1:5">
      <c r="A24025" t="s">
        <v>27922</v>
      </c>
      <c r="B24025" t="s">
        <v>27928</v>
      </c>
      <c r="C24025">
        <f>0</f>
        <v>0</v>
      </c>
      <c r="D24025">
        <v>0.99283576586199995</v>
      </c>
      <c r="E24025">
        <v>5.2413793103448203</v>
      </c>
    </row>
    <row r="24026" spans="1:5">
      <c r="A24026" t="s">
        <v>27922</v>
      </c>
      <c r="B24026" t="s">
        <v>27929</v>
      </c>
      <c r="C24026">
        <f>0</f>
        <v>0</v>
      </c>
      <c r="D24026">
        <v>0.99283576586199995</v>
      </c>
      <c r="E24026">
        <v>5.2413793103448203</v>
      </c>
    </row>
    <row r="24027" spans="1:5">
      <c r="A24027" t="s">
        <v>27930</v>
      </c>
      <c r="B24027" t="s">
        <v>27931</v>
      </c>
      <c r="C24027">
        <f>0</f>
        <v>0</v>
      </c>
      <c r="D24027" t="s">
        <v>106</v>
      </c>
      <c r="E24027">
        <v>24</v>
      </c>
    </row>
    <row r="24028" spans="1:5">
      <c r="A24028" t="s">
        <v>27930</v>
      </c>
      <c r="B24028" t="s">
        <v>27932</v>
      </c>
      <c r="C24028">
        <f>0</f>
        <v>0</v>
      </c>
      <c r="D24028" t="s">
        <v>106</v>
      </c>
      <c r="E24028">
        <v>24</v>
      </c>
    </row>
    <row r="24029" spans="1:5">
      <c r="A24029" t="s">
        <v>27930</v>
      </c>
      <c r="B24029" t="s">
        <v>27933</v>
      </c>
      <c r="C24029">
        <v>0</v>
      </c>
      <c r="D24029" t="s">
        <v>106</v>
      </c>
      <c r="E24029">
        <v>24</v>
      </c>
    </row>
    <row r="24030" spans="1:5">
      <c r="A24030" t="s">
        <v>27930</v>
      </c>
      <c r="B24030" t="s">
        <v>27934</v>
      </c>
      <c r="C24030">
        <f>0.00284510298825</f>
        <v>2.84510298825E-3</v>
      </c>
      <c r="D24030" t="s">
        <v>106</v>
      </c>
      <c r="E24030">
        <v>24</v>
      </c>
    </row>
    <row r="24031" spans="1:5">
      <c r="A24031" t="s">
        <v>27930</v>
      </c>
      <c r="B24031" t="s">
        <v>27935</v>
      </c>
      <c r="C24031">
        <v>0</v>
      </c>
      <c r="D24031" t="s">
        <v>106</v>
      </c>
      <c r="E24031">
        <v>24</v>
      </c>
    </row>
    <row r="24032" spans="1:5">
      <c r="A24032" t="s">
        <v>27930</v>
      </c>
      <c r="B24032" t="s">
        <v>27936</v>
      </c>
      <c r="C24032">
        <f>0</f>
        <v>0</v>
      </c>
      <c r="D24032" t="s">
        <v>106</v>
      </c>
      <c r="E24032">
        <v>24</v>
      </c>
    </row>
    <row r="24033" spans="1:5">
      <c r="A24033" t="s">
        <v>27930</v>
      </c>
      <c r="B24033" t="s">
        <v>27937</v>
      </c>
      <c r="C24033">
        <f>0</f>
        <v>0</v>
      </c>
      <c r="D24033" t="s">
        <v>106</v>
      </c>
      <c r="E24033">
        <v>24</v>
      </c>
    </row>
    <row r="24034" spans="1:5">
      <c r="A24034" t="s">
        <v>27930</v>
      </c>
      <c r="B24034" t="s">
        <v>27938</v>
      </c>
      <c r="C24034">
        <v>0</v>
      </c>
      <c r="D24034" t="s">
        <v>106</v>
      </c>
      <c r="E24034">
        <v>24</v>
      </c>
    </row>
    <row r="24035" spans="1:5">
      <c r="A24035" t="s">
        <v>27930</v>
      </c>
      <c r="B24035" t="s">
        <v>27939</v>
      </c>
      <c r="C24035">
        <f>0</f>
        <v>0</v>
      </c>
      <c r="D24035" t="s">
        <v>106</v>
      </c>
      <c r="E24035">
        <v>24</v>
      </c>
    </row>
    <row r="24036" spans="1:5">
      <c r="A24036" t="s">
        <v>27930</v>
      </c>
      <c r="B24036" t="s">
        <v>27940</v>
      </c>
      <c r="C24036">
        <f>0</f>
        <v>0</v>
      </c>
      <c r="D24036" t="s">
        <v>106</v>
      </c>
      <c r="E24036">
        <v>24</v>
      </c>
    </row>
    <row r="24037" spans="1:5">
      <c r="A24037" t="s">
        <v>27930</v>
      </c>
      <c r="B24037" t="s">
        <v>27941</v>
      </c>
      <c r="C24037">
        <f>0</f>
        <v>0</v>
      </c>
      <c r="D24037" t="s">
        <v>106</v>
      </c>
      <c r="E24037">
        <v>24</v>
      </c>
    </row>
    <row r="24038" spans="1:5">
      <c r="A24038" t="s">
        <v>27930</v>
      </c>
      <c r="B24038" t="s">
        <v>27942</v>
      </c>
      <c r="C24038">
        <f>0</f>
        <v>0</v>
      </c>
      <c r="D24038" t="s">
        <v>106</v>
      </c>
      <c r="E24038">
        <v>24</v>
      </c>
    </row>
    <row r="24039" spans="1:5">
      <c r="A24039" t="s">
        <v>27930</v>
      </c>
      <c r="B24039" t="s">
        <v>27943</v>
      </c>
      <c r="C24039">
        <v>0</v>
      </c>
      <c r="D24039" t="s">
        <v>106</v>
      </c>
      <c r="E24039">
        <v>24</v>
      </c>
    </row>
    <row r="24040" spans="1:5">
      <c r="A24040" t="s">
        <v>27930</v>
      </c>
      <c r="B24040" t="s">
        <v>27944</v>
      </c>
      <c r="C24040">
        <f>0</f>
        <v>0</v>
      </c>
      <c r="D24040" t="s">
        <v>106</v>
      </c>
      <c r="E24040">
        <v>24</v>
      </c>
    </row>
    <row r="24041" spans="1:5">
      <c r="A24041" t="s">
        <v>27945</v>
      </c>
      <c r="B24041" t="s">
        <v>27946</v>
      </c>
      <c r="C24041">
        <v>0.21385310083</v>
      </c>
      <c r="D24041">
        <v>0.66848369141099995</v>
      </c>
      <c r="E24041">
        <v>1.96701649175412</v>
      </c>
    </row>
    <row r="24042" spans="1:5">
      <c r="A24042" t="s">
        <v>27947</v>
      </c>
      <c r="B24042" t="s">
        <v>27948</v>
      </c>
      <c r="C24042">
        <v>0</v>
      </c>
      <c r="D24042">
        <v>0.93465526005099997</v>
      </c>
      <c r="E24042">
        <v>2.96251874062968</v>
      </c>
    </row>
    <row r="24043" spans="1:5">
      <c r="A24043" t="s">
        <v>27947</v>
      </c>
      <c r="B24043" t="s">
        <v>27949</v>
      </c>
      <c r="C24043">
        <f>0</f>
        <v>0</v>
      </c>
      <c r="D24043">
        <v>0.93465526005099997</v>
      </c>
      <c r="E24043">
        <v>2.96251874062968</v>
      </c>
    </row>
    <row r="24044" spans="1:5">
      <c r="A24044" t="s">
        <v>27947</v>
      </c>
      <c r="B24044" t="s">
        <v>27950</v>
      </c>
      <c r="C24044">
        <v>3.5574340141799998E-2</v>
      </c>
      <c r="D24044">
        <v>0.93465526005099997</v>
      </c>
      <c r="E24044">
        <v>2.96251874062968</v>
      </c>
    </row>
    <row r="24045" spans="1:5">
      <c r="A24045" t="s">
        <v>27947</v>
      </c>
      <c r="B24045" t="s">
        <v>27951</v>
      </c>
      <c r="C24045">
        <f>0</f>
        <v>0</v>
      </c>
      <c r="D24045">
        <v>0.93465526005099997</v>
      </c>
      <c r="E24045">
        <v>2.96251874062968</v>
      </c>
    </row>
    <row r="24046" spans="1:5">
      <c r="A24046" t="s">
        <v>27947</v>
      </c>
      <c r="B24046" t="s">
        <v>27952</v>
      </c>
      <c r="C24046">
        <f>0</f>
        <v>0</v>
      </c>
      <c r="D24046">
        <v>0.93465526005099997</v>
      </c>
      <c r="E24046">
        <v>2.96251874062968</v>
      </c>
    </row>
    <row r="24047" spans="1:5">
      <c r="A24047" t="s">
        <v>27947</v>
      </c>
      <c r="B24047" t="s">
        <v>27953</v>
      </c>
      <c r="C24047">
        <f>0</f>
        <v>0</v>
      </c>
      <c r="D24047">
        <v>0.93465526005099997</v>
      </c>
      <c r="E24047">
        <v>2.96251874062968</v>
      </c>
    </row>
    <row r="24048" spans="1:5">
      <c r="A24048" t="s">
        <v>27947</v>
      </c>
      <c r="B24048" t="s">
        <v>27954</v>
      </c>
      <c r="C24048">
        <f>0</f>
        <v>0</v>
      </c>
      <c r="D24048">
        <v>0.93465526005099997</v>
      </c>
      <c r="E24048">
        <v>2.96251874062968</v>
      </c>
    </row>
    <row r="24049" spans="1:5">
      <c r="A24049" t="s">
        <v>27947</v>
      </c>
      <c r="B24049" t="s">
        <v>27955</v>
      </c>
      <c r="C24049">
        <v>0</v>
      </c>
      <c r="D24049">
        <v>0.93465526005099997</v>
      </c>
      <c r="E24049">
        <v>2.96251874062968</v>
      </c>
    </row>
    <row r="24050" spans="1:5">
      <c r="A24050" t="s">
        <v>27947</v>
      </c>
      <c r="B24050" t="s">
        <v>27956</v>
      </c>
      <c r="C24050">
        <v>0</v>
      </c>
      <c r="D24050">
        <v>0.93465526005099997</v>
      </c>
      <c r="E24050">
        <v>2.96251874062968</v>
      </c>
    </row>
    <row r="24051" spans="1:5">
      <c r="A24051" t="s">
        <v>27947</v>
      </c>
      <c r="B24051" t="s">
        <v>27957</v>
      </c>
      <c r="C24051">
        <f>0</f>
        <v>0</v>
      </c>
      <c r="D24051">
        <v>0.93465526005099997</v>
      </c>
      <c r="E24051">
        <v>2.96251874062968</v>
      </c>
    </row>
    <row r="24052" spans="1:5">
      <c r="A24052" t="s">
        <v>27947</v>
      </c>
      <c r="B24052" t="s">
        <v>27958</v>
      </c>
      <c r="C24052">
        <v>0</v>
      </c>
      <c r="D24052">
        <v>0.93465526005099997</v>
      </c>
      <c r="E24052">
        <v>2.96251874062968</v>
      </c>
    </row>
    <row r="24053" spans="1:5">
      <c r="A24053" t="s">
        <v>27947</v>
      </c>
      <c r="B24053" t="s">
        <v>27959</v>
      </c>
      <c r="C24053">
        <v>0</v>
      </c>
      <c r="D24053">
        <v>0.93465526005099997</v>
      </c>
      <c r="E24053">
        <v>2.96251874062968</v>
      </c>
    </row>
    <row r="24054" spans="1:5">
      <c r="A24054" t="s">
        <v>27960</v>
      </c>
      <c r="B24054" t="s">
        <v>27961</v>
      </c>
      <c r="C24054">
        <v>0</v>
      </c>
      <c r="D24054" t="s">
        <v>106</v>
      </c>
      <c r="E24054">
        <v>11.0344827586206</v>
      </c>
    </row>
    <row r="24055" spans="1:5">
      <c r="A24055" t="s">
        <v>27960</v>
      </c>
      <c r="B24055" t="s">
        <v>27962</v>
      </c>
      <c r="C24055">
        <v>0</v>
      </c>
      <c r="D24055" t="s">
        <v>106</v>
      </c>
      <c r="E24055">
        <v>11.0344827586206</v>
      </c>
    </row>
    <row r="24056" spans="1:5">
      <c r="A24056" t="s">
        <v>27960</v>
      </c>
      <c r="B24056" t="s">
        <v>27963</v>
      </c>
      <c r="C24056">
        <v>0</v>
      </c>
      <c r="D24056" t="s">
        <v>106</v>
      </c>
      <c r="E24056">
        <v>11.0344827586206</v>
      </c>
    </row>
    <row r="24057" spans="1:5">
      <c r="A24057" t="s">
        <v>27964</v>
      </c>
      <c r="B24057" t="s">
        <v>27965</v>
      </c>
      <c r="C24057">
        <f>0</f>
        <v>0</v>
      </c>
      <c r="D24057">
        <v>0.99398233952100001</v>
      </c>
      <c r="E24057">
        <v>1.39130434782608</v>
      </c>
    </row>
    <row r="24058" spans="1:5">
      <c r="A24058" t="s">
        <v>27964</v>
      </c>
      <c r="B24058" t="s">
        <v>27966</v>
      </c>
      <c r="C24058">
        <f>0</f>
        <v>0</v>
      </c>
      <c r="D24058">
        <v>0.99398233952100001</v>
      </c>
      <c r="E24058">
        <v>1.39130434782608</v>
      </c>
    </row>
    <row r="24059" spans="1:5">
      <c r="A24059" t="s">
        <v>27964</v>
      </c>
      <c r="B24059" t="s">
        <v>27967</v>
      </c>
      <c r="C24059">
        <v>0</v>
      </c>
      <c r="D24059">
        <v>0.99398233952100001</v>
      </c>
      <c r="E24059">
        <v>1.39130434782608</v>
      </c>
    </row>
    <row r="24060" spans="1:5">
      <c r="A24060" t="s">
        <v>27964</v>
      </c>
      <c r="B24060" t="s">
        <v>27968</v>
      </c>
      <c r="C24060">
        <f>0</f>
        <v>0</v>
      </c>
      <c r="D24060">
        <v>0.99398233952100001</v>
      </c>
      <c r="E24060">
        <v>1.39130434782608</v>
      </c>
    </row>
    <row r="24061" spans="1:5">
      <c r="A24061" t="s">
        <v>27964</v>
      </c>
      <c r="B24061" t="s">
        <v>27969</v>
      </c>
      <c r="C24061">
        <v>0</v>
      </c>
      <c r="D24061">
        <v>0.99398233952100001</v>
      </c>
      <c r="E24061">
        <v>1.39130434782608</v>
      </c>
    </row>
    <row r="24062" spans="1:5">
      <c r="A24062" t="s">
        <v>27964</v>
      </c>
      <c r="B24062" t="s">
        <v>27970</v>
      </c>
      <c r="C24062">
        <v>0</v>
      </c>
      <c r="D24062">
        <v>0.99398233952100001</v>
      </c>
      <c r="E24062">
        <v>1.39130434782608</v>
      </c>
    </row>
    <row r="24063" spans="1:5">
      <c r="A24063" t="s">
        <v>27964</v>
      </c>
      <c r="B24063" t="s">
        <v>27971</v>
      </c>
      <c r="C24063">
        <f>0</f>
        <v>0</v>
      </c>
      <c r="D24063">
        <v>0.99398233952100001</v>
      </c>
      <c r="E24063">
        <v>1.39130434782608</v>
      </c>
    </row>
    <row r="24064" spans="1:5">
      <c r="A24064" t="s">
        <v>27964</v>
      </c>
      <c r="B24064" t="s">
        <v>27972</v>
      </c>
      <c r="C24064">
        <f>0</f>
        <v>0</v>
      </c>
      <c r="D24064">
        <v>0.99398233952100001</v>
      </c>
      <c r="E24064">
        <v>1.39130434782608</v>
      </c>
    </row>
    <row r="24065" spans="1:5">
      <c r="A24065" t="s">
        <v>27964</v>
      </c>
      <c r="B24065" t="s">
        <v>27973</v>
      </c>
      <c r="C24065">
        <v>0.41143607485299999</v>
      </c>
      <c r="D24065">
        <v>0.99398233952100001</v>
      </c>
      <c r="E24065">
        <v>1.39130434782608</v>
      </c>
    </row>
    <row r="24066" spans="1:5">
      <c r="A24066" t="s">
        <v>27964</v>
      </c>
      <c r="B24066" t="s">
        <v>27974</v>
      </c>
      <c r="C24066">
        <v>0</v>
      </c>
      <c r="D24066">
        <v>0.99398233952100001</v>
      </c>
      <c r="E24066">
        <v>1.39130434782608</v>
      </c>
    </row>
    <row r="24067" spans="1:5">
      <c r="A24067" t="s">
        <v>27964</v>
      </c>
      <c r="B24067" t="s">
        <v>27975</v>
      </c>
      <c r="C24067">
        <f>0</f>
        <v>0</v>
      </c>
      <c r="D24067">
        <v>0.99398233952100001</v>
      </c>
      <c r="E24067">
        <v>1.39130434782608</v>
      </c>
    </row>
    <row r="24068" spans="1:5">
      <c r="A24068" t="s">
        <v>27964</v>
      </c>
      <c r="B24068" t="s">
        <v>27976</v>
      </c>
      <c r="C24068">
        <v>0</v>
      </c>
      <c r="D24068">
        <v>0.99398233952100001</v>
      </c>
      <c r="E24068">
        <v>1.39130434782608</v>
      </c>
    </row>
    <row r="24069" spans="1:5">
      <c r="A24069" t="s">
        <v>27964</v>
      </c>
      <c r="B24069" t="s">
        <v>27977</v>
      </c>
      <c r="C24069">
        <f>0</f>
        <v>0</v>
      </c>
      <c r="D24069">
        <v>0.99398233952100001</v>
      </c>
      <c r="E24069">
        <v>1.39130434782608</v>
      </c>
    </row>
    <row r="24070" spans="1:5">
      <c r="A24070" t="s">
        <v>27964</v>
      </c>
      <c r="B24070" t="s">
        <v>27978</v>
      </c>
      <c r="C24070">
        <v>0</v>
      </c>
      <c r="D24070">
        <v>0.99398233952100001</v>
      </c>
      <c r="E24070">
        <v>1.39130434782608</v>
      </c>
    </row>
    <row r="24071" spans="1:5">
      <c r="A24071" t="s">
        <v>27964</v>
      </c>
      <c r="B24071" t="s">
        <v>27979</v>
      </c>
      <c r="C24071">
        <v>5.23473188696E-2</v>
      </c>
      <c r="D24071">
        <v>0.99398233952100001</v>
      </c>
      <c r="E24071">
        <v>1.39130434782608</v>
      </c>
    </row>
    <row r="24072" spans="1:5">
      <c r="A24072" t="s">
        <v>27980</v>
      </c>
      <c r="B24072" t="s">
        <v>27981</v>
      </c>
      <c r="C24072">
        <v>0.232621195512</v>
      </c>
      <c r="D24072">
        <v>0.90545096053700003</v>
      </c>
      <c r="E24072">
        <v>10.710644677661101</v>
      </c>
    </row>
    <row r="24073" spans="1:5">
      <c r="A24073" t="s">
        <v>27980</v>
      </c>
      <c r="B24073" t="s">
        <v>27982</v>
      </c>
      <c r="C24073">
        <v>0</v>
      </c>
      <c r="D24073">
        <v>0.90545096053700003</v>
      </c>
      <c r="E24073">
        <v>10.710644677661101</v>
      </c>
    </row>
    <row r="24074" spans="1:5">
      <c r="A24074" t="s">
        <v>27980</v>
      </c>
      <c r="B24074" t="s">
        <v>27983</v>
      </c>
      <c r="C24074">
        <v>0</v>
      </c>
      <c r="D24074">
        <v>0.90545096053700003</v>
      </c>
      <c r="E24074">
        <v>10.710644677661101</v>
      </c>
    </row>
    <row r="24075" spans="1:5">
      <c r="A24075" t="s">
        <v>27980</v>
      </c>
      <c r="B24075" t="s">
        <v>27984</v>
      </c>
      <c r="C24075">
        <f>0</f>
        <v>0</v>
      </c>
      <c r="D24075">
        <v>0.90545096053700003</v>
      </c>
      <c r="E24075">
        <v>10.710644677661101</v>
      </c>
    </row>
    <row r="24076" spans="1:5">
      <c r="A24076" t="s">
        <v>27980</v>
      </c>
      <c r="B24076" t="s">
        <v>27985</v>
      </c>
      <c r="C24076">
        <v>0</v>
      </c>
      <c r="D24076">
        <v>0.90545096053700003</v>
      </c>
      <c r="E24076">
        <v>10.710644677661101</v>
      </c>
    </row>
    <row r="24077" spans="1:5">
      <c r="A24077" t="s">
        <v>27980</v>
      </c>
      <c r="B24077" t="s">
        <v>27986</v>
      </c>
      <c r="C24077">
        <f>0</f>
        <v>0</v>
      </c>
      <c r="D24077">
        <v>0.90545096053700003</v>
      </c>
      <c r="E24077">
        <v>10.710644677661101</v>
      </c>
    </row>
    <row r="24078" spans="1:5">
      <c r="A24078" t="s">
        <v>27987</v>
      </c>
      <c r="B24078" t="s">
        <v>27988</v>
      </c>
      <c r="C24078">
        <v>0</v>
      </c>
      <c r="D24078">
        <v>0.97306777058600002</v>
      </c>
      <c r="E24078">
        <v>15.1244377811094</v>
      </c>
    </row>
    <row r="24079" spans="1:5">
      <c r="A24079" t="s">
        <v>27987</v>
      </c>
      <c r="B24079" t="s">
        <v>27989</v>
      </c>
      <c r="C24079">
        <f>0.10413327414</f>
        <v>0.10413327414</v>
      </c>
      <c r="D24079">
        <v>0.97306777058600002</v>
      </c>
      <c r="E24079">
        <v>15.1244377811094</v>
      </c>
    </row>
    <row r="24080" spans="1:5">
      <c r="A24080" t="s">
        <v>27987</v>
      </c>
      <c r="B24080" t="s">
        <v>27990</v>
      </c>
      <c r="C24080">
        <v>6.8012911087100003E-2</v>
      </c>
      <c r="D24080">
        <v>0.97306777058600002</v>
      </c>
      <c r="E24080">
        <v>15.1244377811094</v>
      </c>
    </row>
    <row r="24081" spans="1:5">
      <c r="A24081" t="s">
        <v>27987</v>
      </c>
      <c r="B24081" t="s">
        <v>27991</v>
      </c>
      <c r="C24081">
        <v>0</v>
      </c>
      <c r="D24081">
        <v>0.97306777058600002</v>
      </c>
      <c r="E24081">
        <v>15.1244377811094</v>
      </c>
    </row>
    <row r="24082" spans="1:5">
      <c r="A24082" t="s">
        <v>27987</v>
      </c>
      <c r="B24082" t="s">
        <v>27992</v>
      </c>
      <c r="C24082">
        <f>0</f>
        <v>0</v>
      </c>
      <c r="D24082">
        <v>0.97306777058600002</v>
      </c>
      <c r="E24082">
        <v>15.1244377811094</v>
      </c>
    </row>
    <row r="24083" spans="1:5">
      <c r="A24083" t="s">
        <v>27987</v>
      </c>
      <c r="B24083" t="s">
        <v>27993</v>
      </c>
      <c r="C24083">
        <v>0</v>
      </c>
      <c r="D24083">
        <v>0.97306777058600002</v>
      </c>
      <c r="E24083">
        <v>15.1244377811094</v>
      </c>
    </row>
    <row r="24084" spans="1:5">
      <c r="A24084" t="s">
        <v>27987</v>
      </c>
      <c r="B24084" t="s">
        <v>27994</v>
      </c>
      <c r="C24084">
        <f>0</f>
        <v>0</v>
      </c>
      <c r="D24084">
        <v>0.97306777058600002</v>
      </c>
      <c r="E24084">
        <v>15.1244377811094</v>
      </c>
    </row>
    <row r="24085" spans="1:5">
      <c r="A24085" t="s">
        <v>27995</v>
      </c>
      <c r="B24085" t="s">
        <v>27996</v>
      </c>
      <c r="C24085">
        <v>0</v>
      </c>
      <c r="D24085" t="s">
        <v>106</v>
      </c>
      <c r="E24085">
        <v>3.13043478260869</v>
      </c>
    </row>
    <row r="24086" spans="1:5">
      <c r="A24086" t="s">
        <v>27995</v>
      </c>
      <c r="B24086" t="s">
        <v>27997</v>
      </c>
      <c r="C24086">
        <v>0</v>
      </c>
      <c r="D24086" t="s">
        <v>106</v>
      </c>
      <c r="E24086">
        <v>3.13043478260869</v>
      </c>
    </row>
    <row r="24087" spans="1:5">
      <c r="A24087" t="s">
        <v>27998</v>
      </c>
      <c r="B24087" t="s">
        <v>27999</v>
      </c>
      <c r="C24087">
        <v>0</v>
      </c>
      <c r="D24087" t="s">
        <v>106</v>
      </c>
      <c r="E24087">
        <v>23.040479760119901</v>
      </c>
    </row>
    <row r="24088" spans="1:5">
      <c r="A24088" t="s">
        <v>27998</v>
      </c>
      <c r="B24088" t="s">
        <v>28000</v>
      </c>
      <c r="C24088">
        <v>0</v>
      </c>
      <c r="D24088" t="s">
        <v>106</v>
      </c>
      <c r="E24088">
        <v>23.040479760119901</v>
      </c>
    </row>
    <row r="24089" spans="1:5">
      <c r="A24089" t="s">
        <v>27998</v>
      </c>
      <c r="B24089" t="s">
        <v>28001</v>
      </c>
      <c r="C24089">
        <v>0</v>
      </c>
      <c r="D24089" t="s">
        <v>106</v>
      </c>
      <c r="E24089">
        <v>23.040479760119901</v>
      </c>
    </row>
    <row r="24090" spans="1:5">
      <c r="A24090" t="s">
        <v>27998</v>
      </c>
      <c r="B24090" t="s">
        <v>28002</v>
      </c>
      <c r="C24090">
        <v>0</v>
      </c>
      <c r="D24090" t="s">
        <v>106</v>
      </c>
      <c r="E24090">
        <v>23.040479760119901</v>
      </c>
    </row>
    <row r="24091" spans="1:5">
      <c r="A24091" t="s">
        <v>27998</v>
      </c>
      <c r="B24091" t="s">
        <v>28003</v>
      </c>
      <c r="C24091">
        <v>0</v>
      </c>
      <c r="D24091" t="s">
        <v>106</v>
      </c>
      <c r="E24091">
        <v>23.040479760119901</v>
      </c>
    </row>
    <row r="24092" spans="1:5">
      <c r="A24092" t="s">
        <v>28004</v>
      </c>
      <c r="B24092" t="s">
        <v>28005</v>
      </c>
      <c r="C24092">
        <v>0</v>
      </c>
      <c r="D24092">
        <v>0.99667284112599996</v>
      </c>
      <c r="E24092">
        <v>8.2878560719640095</v>
      </c>
    </row>
    <row r="24093" spans="1:5">
      <c r="A24093" t="s">
        <v>28004</v>
      </c>
      <c r="B24093" t="s">
        <v>28006</v>
      </c>
      <c r="C24093">
        <v>0.14982257437400001</v>
      </c>
      <c r="D24093">
        <v>0.99667284112599996</v>
      </c>
      <c r="E24093">
        <v>8.2878560719640095</v>
      </c>
    </row>
    <row r="24094" spans="1:5">
      <c r="A24094" t="s">
        <v>28004</v>
      </c>
      <c r="B24094" t="s">
        <v>28007</v>
      </c>
      <c r="C24094">
        <v>0</v>
      </c>
      <c r="D24094">
        <v>0.99667284112599996</v>
      </c>
      <c r="E24094">
        <v>8.2878560719640095</v>
      </c>
    </row>
    <row r="24095" spans="1:5">
      <c r="A24095" t="s">
        <v>28004</v>
      </c>
      <c r="B24095" t="s">
        <v>28008</v>
      </c>
      <c r="C24095">
        <v>0</v>
      </c>
      <c r="D24095">
        <v>0.99667284112599996</v>
      </c>
      <c r="E24095">
        <v>8.2878560719640095</v>
      </c>
    </row>
    <row r="24096" spans="1:5">
      <c r="A24096" t="s">
        <v>28004</v>
      </c>
      <c r="B24096" t="s">
        <v>28009</v>
      </c>
      <c r="C24096">
        <v>0.113204796951</v>
      </c>
      <c r="D24096">
        <v>0.99667284112599996</v>
      </c>
      <c r="E24096">
        <v>8.2878560719640095</v>
      </c>
    </row>
    <row r="24097" spans="1:5">
      <c r="A24097" t="s">
        <v>28010</v>
      </c>
      <c r="B24097" t="s">
        <v>28011</v>
      </c>
      <c r="C24097">
        <f>0.0282327103495</f>
        <v>2.82327103495E-2</v>
      </c>
      <c r="D24097">
        <v>0.95617772979399995</v>
      </c>
      <c r="E24097">
        <v>5.2413793103448203</v>
      </c>
    </row>
    <row r="24098" spans="1:5">
      <c r="A24098" t="s">
        <v>28010</v>
      </c>
      <c r="B24098" t="s">
        <v>28012</v>
      </c>
      <c r="C24098">
        <f>0</f>
        <v>0</v>
      </c>
      <c r="D24098">
        <v>0.95617772979399995</v>
      </c>
      <c r="E24098">
        <v>5.2413793103448203</v>
      </c>
    </row>
    <row r="24099" spans="1:5">
      <c r="A24099" t="s">
        <v>28010</v>
      </c>
      <c r="B24099" t="s">
        <v>28013</v>
      </c>
      <c r="C24099">
        <v>0</v>
      </c>
      <c r="D24099">
        <v>0.95617772979399995</v>
      </c>
      <c r="E24099">
        <v>5.2413793103448203</v>
      </c>
    </row>
    <row r="24100" spans="1:5">
      <c r="A24100" t="s">
        <v>28010</v>
      </c>
      <c r="B24100" t="s">
        <v>28014</v>
      </c>
      <c r="C24100">
        <v>0</v>
      </c>
      <c r="D24100">
        <v>0.95617772979399995</v>
      </c>
      <c r="E24100">
        <v>5.2413793103448203</v>
      </c>
    </row>
    <row r="24101" spans="1:5">
      <c r="A24101" t="s">
        <v>28010</v>
      </c>
      <c r="B24101" t="s">
        <v>28015</v>
      </c>
      <c r="C24101">
        <v>0</v>
      </c>
      <c r="D24101">
        <v>0.95617772979399995</v>
      </c>
      <c r="E24101">
        <v>5.2413793103448203</v>
      </c>
    </row>
    <row r="24102" spans="1:5">
      <c r="A24102" t="s">
        <v>28010</v>
      </c>
      <c r="B24102" t="s">
        <v>28016</v>
      </c>
      <c r="C24102">
        <v>8.4344153775699995E-2</v>
      </c>
      <c r="D24102">
        <v>0.95617772979399995</v>
      </c>
      <c r="E24102">
        <v>5.2413793103448203</v>
      </c>
    </row>
    <row r="24103" spans="1:5">
      <c r="A24103" t="s">
        <v>28017</v>
      </c>
      <c r="B24103" t="s">
        <v>28018</v>
      </c>
      <c r="C24103">
        <f>0</f>
        <v>0</v>
      </c>
      <c r="D24103">
        <v>0.99566647610100001</v>
      </c>
      <c r="E24103">
        <v>5.4692653673163401</v>
      </c>
    </row>
    <row r="24104" spans="1:5">
      <c r="A24104" t="s">
        <v>28017</v>
      </c>
      <c r="B24104" t="s">
        <v>28019</v>
      </c>
      <c r="C24104">
        <f>0</f>
        <v>0</v>
      </c>
      <c r="D24104">
        <v>0.99566647610100001</v>
      </c>
      <c r="E24104">
        <v>5.4692653673163401</v>
      </c>
    </row>
    <row r="24105" spans="1:5">
      <c r="A24105" t="s">
        <v>28017</v>
      </c>
      <c r="B24105" t="s">
        <v>28020</v>
      </c>
      <c r="C24105">
        <f>0</f>
        <v>0</v>
      </c>
      <c r="D24105">
        <v>0.99566647610100001</v>
      </c>
      <c r="E24105">
        <v>5.4692653673163401</v>
      </c>
    </row>
    <row r="24106" spans="1:5">
      <c r="A24106" t="s">
        <v>28017</v>
      </c>
      <c r="B24106" t="s">
        <v>28021</v>
      </c>
      <c r="C24106">
        <f>0</f>
        <v>0</v>
      </c>
      <c r="D24106">
        <v>0.99566647610100001</v>
      </c>
      <c r="E24106">
        <v>5.4692653673163401</v>
      </c>
    </row>
    <row r="24107" spans="1:5">
      <c r="A24107" t="s">
        <v>28017</v>
      </c>
      <c r="B24107" t="s">
        <v>28022</v>
      </c>
      <c r="C24107">
        <v>6.7257153889300004E-3</v>
      </c>
      <c r="D24107">
        <v>0.99566647610100001</v>
      </c>
      <c r="E24107">
        <v>5.4692653673163401</v>
      </c>
    </row>
    <row r="24108" spans="1:5">
      <c r="A24108" t="s">
        <v>28023</v>
      </c>
      <c r="B24108" t="s">
        <v>28024</v>
      </c>
      <c r="C24108">
        <v>0.93815683249100001</v>
      </c>
      <c r="D24108">
        <v>0.97239068470800005</v>
      </c>
      <c r="E24108">
        <v>0.215892053973013</v>
      </c>
    </row>
    <row r="24109" spans="1:5">
      <c r="A24109" t="s">
        <v>28023</v>
      </c>
      <c r="B24109" t="s">
        <v>28025</v>
      </c>
      <c r="C24109">
        <v>0</v>
      </c>
      <c r="D24109">
        <v>0.97239068470800005</v>
      </c>
      <c r="E24109">
        <v>0.215892053973013</v>
      </c>
    </row>
    <row r="24110" spans="1:5">
      <c r="A24110" t="s">
        <v>28026</v>
      </c>
      <c r="B24110" t="s">
        <v>28027</v>
      </c>
      <c r="C24110">
        <v>0.177147351254</v>
      </c>
      <c r="D24110">
        <v>0.99613144284400001</v>
      </c>
      <c r="E24110">
        <v>9.1634182908545707</v>
      </c>
    </row>
    <row r="24111" spans="1:5">
      <c r="A24111" t="s">
        <v>28026</v>
      </c>
      <c r="B24111" t="s">
        <v>28028</v>
      </c>
      <c r="C24111">
        <f>0</f>
        <v>0</v>
      </c>
      <c r="D24111">
        <v>0.99613144284400001</v>
      </c>
      <c r="E24111">
        <v>9.1634182908545707</v>
      </c>
    </row>
    <row r="24112" spans="1:5">
      <c r="A24112" t="s">
        <v>28026</v>
      </c>
      <c r="B24112" t="s">
        <v>28029</v>
      </c>
      <c r="C24112">
        <v>0.20692897410399999</v>
      </c>
      <c r="D24112">
        <v>0.99613144284400001</v>
      </c>
      <c r="E24112">
        <v>9.1634182908545707</v>
      </c>
    </row>
    <row r="24113" spans="1:5">
      <c r="A24113" t="s">
        <v>28026</v>
      </c>
      <c r="B24113" t="s">
        <v>28030</v>
      </c>
      <c r="C24113">
        <f>0</f>
        <v>0</v>
      </c>
      <c r="D24113">
        <v>0.99613144284400001</v>
      </c>
      <c r="E24113">
        <v>9.1634182908545707</v>
      </c>
    </row>
    <row r="24114" spans="1:5">
      <c r="A24114" t="s">
        <v>28026</v>
      </c>
      <c r="B24114" t="s">
        <v>28031</v>
      </c>
      <c r="C24114">
        <f>0</f>
        <v>0</v>
      </c>
      <c r="D24114">
        <v>0.99613144284400001</v>
      </c>
      <c r="E24114">
        <v>9.1634182908545707</v>
      </c>
    </row>
    <row r="24115" spans="1:5">
      <c r="A24115" t="s">
        <v>28026</v>
      </c>
      <c r="B24115" t="s">
        <v>28032</v>
      </c>
      <c r="C24115">
        <f>0</f>
        <v>0</v>
      </c>
      <c r="D24115">
        <v>0.99613144284400001</v>
      </c>
      <c r="E24115">
        <v>9.1634182908545707</v>
      </c>
    </row>
    <row r="24116" spans="1:5">
      <c r="A24116" t="s">
        <v>28026</v>
      </c>
      <c r="B24116" t="s">
        <v>28033</v>
      </c>
      <c r="C24116">
        <f>0</f>
        <v>0</v>
      </c>
      <c r="D24116">
        <v>0.99613144284400001</v>
      </c>
      <c r="E24116">
        <v>9.1634182908545707</v>
      </c>
    </row>
    <row r="24117" spans="1:5">
      <c r="A24117" t="s">
        <v>28034</v>
      </c>
      <c r="B24117" t="s">
        <v>28035</v>
      </c>
      <c r="C24117">
        <v>0</v>
      </c>
      <c r="D24117">
        <v>0.99622628297799998</v>
      </c>
      <c r="E24117">
        <v>22.800599700149899</v>
      </c>
    </row>
    <row r="24118" spans="1:5">
      <c r="A24118" t="s">
        <v>28034</v>
      </c>
      <c r="B24118" t="s">
        <v>28036</v>
      </c>
      <c r="C24118">
        <f>0</f>
        <v>0</v>
      </c>
      <c r="D24118">
        <v>0.99622628297799998</v>
      </c>
      <c r="E24118">
        <v>22.800599700149899</v>
      </c>
    </row>
    <row r="24119" spans="1:5">
      <c r="A24119" t="s">
        <v>28034</v>
      </c>
      <c r="B24119" t="s">
        <v>28037</v>
      </c>
      <c r="C24119">
        <f>0</f>
        <v>0</v>
      </c>
      <c r="D24119">
        <v>0.99622628297799998</v>
      </c>
      <c r="E24119">
        <v>22.800599700149899</v>
      </c>
    </row>
    <row r="24120" spans="1:5">
      <c r="A24120" t="s">
        <v>28034</v>
      </c>
      <c r="B24120" t="s">
        <v>28038</v>
      </c>
      <c r="C24120">
        <f>0</f>
        <v>0</v>
      </c>
      <c r="D24120">
        <v>0.99622628297799998</v>
      </c>
      <c r="E24120">
        <v>22.800599700149899</v>
      </c>
    </row>
    <row r="24121" spans="1:5">
      <c r="A24121" t="s">
        <v>28034</v>
      </c>
      <c r="B24121" t="s">
        <v>28039</v>
      </c>
      <c r="C24121">
        <f>0</f>
        <v>0</v>
      </c>
      <c r="D24121">
        <v>0.99622628297799998</v>
      </c>
      <c r="E24121">
        <v>22.800599700149899</v>
      </c>
    </row>
    <row r="24122" spans="1:5">
      <c r="A24122" t="s">
        <v>28034</v>
      </c>
      <c r="B24122" t="s">
        <v>28040</v>
      </c>
      <c r="C24122">
        <f>0</f>
        <v>0</v>
      </c>
      <c r="D24122">
        <v>0.99622628297799998</v>
      </c>
      <c r="E24122">
        <v>22.800599700149899</v>
      </c>
    </row>
    <row r="24123" spans="1:5">
      <c r="A24123" t="s">
        <v>28034</v>
      </c>
      <c r="B24123" t="s">
        <v>28041</v>
      </c>
      <c r="C24123">
        <f>0</f>
        <v>0</v>
      </c>
      <c r="D24123">
        <v>0.99622628297799998</v>
      </c>
      <c r="E24123">
        <v>22.800599700149899</v>
      </c>
    </row>
    <row r="24124" spans="1:5">
      <c r="A24124" t="s">
        <v>28034</v>
      </c>
      <c r="B24124" t="s">
        <v>28042</v>
      </c>
      <c r="C24124">
        <f>0</f>
        <v>0</v>
      </c>
      <c r="D24124">
        <v>0.99622628297799998</v>
      </c>
      <c r="E24124">
        <v>22.800599700149899</v>
      </c>
    </row>
    <row r="24125" spans="1:5">
      <c r="A24125" t="s">
        <v>28034</v>
      </c>
      <c r="B24125" t="s">
        <v>28043</v>
      </c>
      <c r="C24125">
        <v>0</v>
      </c>
      <c r="D24125">
        <v>0.99622628297799998</v>
      </c>
      <c r="E24125">
        <v>22.800599700149899</v>
      </c>
    </row>
    <row r="24126" spans="1:5">
      <c r="A24126" t="s">
        <v>28034</v>
      </c>
      <c r="B24126" t="s">
        <v>28044</v>
      </c>
      <c r="C24126">
        <v>0</v>
      </c>
      <c r="D24126">
        <v>0.99622628297799998</v>
      </c>
      <c r="E24126">
        <v>22.800599700149899</v>
      </c>
    </row>
    <row r="24127" spans="1:5">
      <c r="A24127" t="s">
        <v>28034</v>
      </c>
      <c r="B24127" t="s">
        <v>28045</v>
      </c>
      <c r="C24127">
        <f>0</f>
        <v>0</v>
      </c>
      <c r="D24127">
        <v>0.99622628297799998</v>
      </c>
      <c r="E24127">
        <v>22.800599700149899</v>
      </c>
    </row>
    <row r="24128" spans="1:5">
      <c r="A24128" t="s">
        <v>28034</v>
      </c>
      <c r="B24128" t="s">
        <v>28046</v>
      </c>
      <c r="C24128">
        <f>0</f>
        <v>0</v>
      </c>
      <c r="D24128">
        <v>0.99622628297799998</v>
      </c>
      <c r="E24128">
        <v>22.800599700149899</v>
      </c>
    </row>
    <row r="24129" spans="1:5">
      <c r="A24129" t="s">
        <v>28034</v>
      </c>
      <c r="B24129" t="s">
        <v>28047</v>
      </c>
      <c r="C24129">
        <f>0</f>
        <v>0</v>
      </c>
      <c r="D24129">
        <v>0.99622628297799998</v>
      </c>
      <c r="E24129">
        <v>22.800599700149899</v>
      </c>
    </row>
    <row r="24130" spans="1:5">
      <c r="A24130" t="s">
        <v>28034</v>
      </c>
      <c r="B24130" t="s">
        <v>28048</v>
      </c>
      <c r="C24130">
        <f>0</f>
        <v>0</v>
      </c>
      <c r="D24130">
        <v>0.99622628297799998</v>
      </c>
      <c r="E24130">
        <v>22.800599700149899</v>
      </c>
    </row>
    <row r="24131" spans="1:5">
      <c r="A24131" t="s">
        <v>28034</v>
      </c>
      <c r="B24131" t="s">
        <v>28049</v>
      </c>
      <c r="C24131">
        <f>0</f>
        <v>0</v>
      </c>
      <c r="D24131">
        <v>0.99622628297799998</v>
      </c>
      <c r="E24131">
        <v>22.800599700149899</v>
      </c>
    </row>
    <row r="24132" spans="1:5">
      <c r="A24132" t="s">
        <v>28034</v>
      </c>
      <c r="B24132" t="s">
        <v>28050</v>
      </c>
      <c r="C24132">
        <f>0</f>
        <v>0</v>
      </c>
      <c r="D24132">
        <v>0.99622628297799998</v>
      </c>
      <c r="E24132">
        <v>22.800599700149899</v>
      </c>
    </row>
    <row r="24133" spans="1:5">
      <c r="A24133" t="s">
        <v>28034</v>
      </c>
      <c r="B24133" t="s">
        <v>28051</v>
      </c>
      <c r="C24133">
        <f>0</f>
        <v>0</v>
      </c>
      <c r="D24133">
        <v>0.99622628297799998</v>
      </c>
      <c r="E24133">
        <v>22.800599700149899</v>
      </c>
    </row>
    <row r="24134" spans="1:5">
      <c r="A24134" t="s">
        <v>28034</v>
      </c>
      <c r="B24134" t="s">
        <v>28052</v>
      </c>
      <c r="C24134">
        <v>0</v>
      </c>
      <c r="D24134">
        <v>0.99622628297799998</v>
      </c>
      <c r="E24134">
        <v>22.800599700149899</v>
      </c>
    </row>
    <row r="24135" spans="1:5">
      <c r="A24135" t="s">
        <v>28034</v>
      </c>
      <c r="B24135" t="s">
        <v>28053</v>
      </c>
      <c r="C24135">
        <f>0</f>
        <v>0</v>
      </c>
      <c r="D24135">
        <v>0.99622628297799998</v>
      </c>
      <c r="E24135">
        <v>22.800599700149899</v>
      </c>
    </row>
    <row r="24136" spans="1:5">
      <c r="A24136" t="s">
        <v>28034</v>
      </c>
      <c r="B24136" t="s">
        <v>28054</v>
      </c>
      <c r="C24136">
        <f>0</f>
        <v>0</v>
      </c>
      <c r="D24136">
        <v>0.99622628297799998</v>
      </c>
      <c r="E24136">
        <v>22.800599700149899</v>
      </c>
    </row>
    <row r="24137" spans="1:5">
      <c r="A24137" t="s">
        <v>28034</v>
      </c>
      <c r="B24137" t="s">
        <v>28055</v>
      </c>
      <c r="C24137">
        <f>0</f>
        <v>0</v>
      </c>
      <c r="D24137">
        <v>0.99622628297799998</v>
      </c>
      <c r="E24137">
        <v>22.800599700149899</v>
      </c>
    </row>
    <row r="24138" spans="1:5">
      <c r="A24138" t="s">
        <v>28034</v>
      </c>
      <c r="B24138" t="s">
        <v>28056</v>
      </c>
      <c r="C24138">
        <f>0</f>
        <v>0</v>
      </c>
      <c r="D24138">
        <v>0.99622628297799998</v>
      </c>
      <c r="E24138">
        <v>22.800599700149899</v>
      </c>
    </row>
    <row r="24139" spans="1:5">
      <c r="A24139" t="s">
        <v>28034</v>
      </c>
      <c r="B24139" t="s">
        <v>28057</v>
      </c>
      <c r="C24139">
        <v>0</v>
      </c>
      <c r="D24139">
        <v>0.99622628297799998</v>
      </c>
      <c r="E24139">
        <v>22.800599700149899</v>
      </c>
    </row>
    <row r="24140" spans="1:5">
      <c r="A24140" t="s">
        <v>28034</v>
      </c>
      <c r="B24140" t="s">
        <v>28058</v>
      </c>
      <c r="C24140">
        <f>0</f>
        <v>0</v>
      </c>
      <c r="D24140">
        <v>0.99622628297799998</v>
      </c>
      <c r="E24140">
        <v>22.800599700149899</v>
      </c>
    </row>
    <row r="24141" spans="1:5">
      <c r="A24141" t="s">
        <v>28059</v>
      </c>
      <c r="B24141" t="s">
        <v>28060</v>
      </c>
      <c r="C24141">
        <v>0.25272971675400002</v>
      </c>
      <c r="D24141">
        <v>0.91412827452099998</v>
      </c>
      <c r="E24141">
        <v>9.1634182908545707</v>
      </c>
    </row>
    <row r="24142" spans="1:5">
      <c r="A24142" t="s">
        <v>28059</v>
      </c>
      <c r="B24142" t="s">
        <v>28061</v>
      </c>
      <c r="C24142">
        <v>0</v>
      </c>
      <c r="D24142">
        <v>0.91412827452099998</v>
      </c>
      <c r="E24142">
        <v>9.1634182908545707</v>
      </c>
    </row>
    <row r="24143" spans="1:5">
      <c r="A24143" t="s">
        <v>28059</v>
      </c>
      <c r="B24143" t="s">
        <v>28062</v>
      </c>
      <c r="C24143">
        <v>0</v>
      </c>
      <c r="D24143">
        <v>0.91412827452099998</v>
      </c>
      <c r="E24143">
        <v>9.1634182908545707</v>
      </c>
    </row>
    <row r="24144" spans="1:5">
      <c r="A24144" t="s">
        <v>28059</v>
      </c>
      <c r="B24144" t="s">
        <v>28063</v>
      </c>
      <c r="C24144">
        <v>0</v>
      </c>
      <c r="D24144">
        <v>0.91412827452099998</v>
      </c>
      <c r="E24144">
        <v>9.1634182908545707</v>
      </c>
    </row>
    <row r="24145" spans="1:5">
      <c r="A24145" t="s">
        <v>28059</v>
      </c>
      <c r="B24145" t="s">
        <v>28064</v>
      </c>
      <c r="C24145">
        <v>0</v>
      </c>
      <c r="D24145">
        <v>0.91412827452099998</v>
      </c>
      <c r="E24145">
        <v>9.1634182908545707</v>
      </c>
    </row>
    <row r="24146" spans="1:5">
      <c r="A24146" t="s">
        <v>28059</v>
      </c>
      <c r="B24146" t="s">
        <v>28065</v>
      </c>
      <c r="C24146">
        <v>0</v>
      </c>
      <c r="D24146">
        <v>0.91412827452099998</v>
      </c>
      <c r="E24146">
        <v>9.1634182908545707</v>
      </c>
    </row>
    <row r="24147" spans="1:5">
      <c r="A24147" t="s">
        <v>28066</v>
      </c>
      <c r="B24147" t="s">
        <v>28067</v>
      </c>
      <c r="C24147">
        <v>0.12237202955900001</v>
      </c>
      <c r="D24147">
        <v>0.98322466052299995</v>
      </c>
      <c r="E24147">
        <v>7.5922038980509701</v>
      </c>
    </row>
    <row r="24148" spans="1:5">
      <c r="A24148" t="s">
        <v>28066</v>
      </c>
      <c r="B24148" t="s">
        <v>28068</v>
      </c>
      <c r="C24148">
        <v>0</v>
      </c>
      <c r="D24148">
        <v>0.98322466052299995</v>
      </c>
      <c r="E24148">
        <v>7.5922038980509701</v>
      </c>
    </row>
    <row r="24149" spans="1:5">
      <c r="A24149" t="s">
        <v>28066</v>
      </c>
      <c r="B24149" t="s">
        <v>28069</v>
      </c>
      <c r="C24149">
        <v>7.0856065193299997E-2</v>
      </c>
      <c r="D24149">
        <v>0.98322466052299995</v>
      </c>
      <c r="E24149">
        <v>7.5922038980509701</v>
      </c>
    </row>
    <row r="24150" spans="1:5">
      <c r="A24150" t="s">
        <v>28066</v>
      </c>
      <c r="B24150" t="s">
        <v>28070</v>
      </c>
      <c r="C24150">
        <v>0</v>
      </c>
      <c r="D24150">
        <v>0.98322466052299995</v>
      </c>
      <c r="E24150">
        <v>7.5922038980509701</v>
      </c>
    </row>
    <row r="24151" spans="1:5">
      <c r="A24151" t="s">
        <v>28066</v>
      </c>
      <c r="B24151" t="s">
        <v>28071</v>
      </c>
      <c r="C24151">
        <v>0</v>
      </c>
      <c r="D24151">
        <v>0.98322466052299995</v>
      </c>
      <c r="E24151">
        <v>7.5922038980509701</v>
      </c>
    </row>
    <row r="24152" spans="1:5">
      <c r="A24152" t="s">
        <v>28066</v>
      </c>
      <c r="B24152" t="s">
        <v>28072</v>
      </c>
      <c r="C24152">
        <v>0</v>
      </c>
      <c r="D24152">
        <v>0.98322466052299995</v>
      </c>
      <c r="E24152">
        <v>7.5922038980509701</v>
      </c>
    </row>
    <row r="24153" spans="1:5">
      <c r="A24153" t="s">
        <v>28066</v>
      </c>
      <c r="B24153" t="s">
        <v>28073</v>
      </c>
      <c r="C24153">
        <v>0</v>
      </c>
      <c r="D24153">
        <v>0.98322466052299995</v>
      </c>
      <c r="E24153">
        <v>7.5922038980509701</v>
      </c>
    </row>
    <row r="24154" spans="1:5">
      <c r="A24154" t="s">
        <v>28066</v>
      </c>
      <c r="B24154" t="s">
        <v>28074</v>
      </c>
      <c r="C24154">
        <v>0</v>
      </c>
      <c r="D24154">
        <v>0.98322466052299995</v>
      </c>
      <c r="E24154">
        <v>7.5922038980509701</v>
      </c>
    </row>
    <row r="24155" spans="1:5">
      <c r="A24155" t="s">
        <v>28066</v>
      </c>
      <c r="B24155" t="s">
        <v>28075</v>
      </c>
      <c r="C24155">
        <v>0</v>
      </c>
      <c r="D24155">
        <v>0.98322466052299995</v>
      </c>
      <c r="E24155">
        <v>7.5922038980509701</v>
      </c>
    </row>
    <row r="24156" spans="1:5">
      <c r="A24156" t="s">
        <v>28076</v>
      </c>
      <c r="B24156" t="s">
        <v>28077</v>
      </c>
      <c r="C24156">
        <v>0</v>
      </c>
      <c r="D24156" t="s">
        <v>106</v>
      </c>
      <c r="E24156">
        <v>0.65967016491754105</v>
      </c>
    </row>
    <row r="24157" spans="1:5">
      <c r="A24157" t="s">
        <v>28076</v>
      </c>
      <c r="B24157" t="s">
        <v>28078</v>
      </c>
      <c r="C24157">
        <f>0</f>
        <v>0</v>
      </c>
      <c r="D24157" t="s">
        <v>106</v>
      </c>
      <c r="E24157">
        <v>0.65967016491754105</v>
      </c>
    </row>
    <row r="24158" spans="1:5">
      <c r="A24158" t="s">
        <v>28076</v>
      </c>
      <c r="B24158" t="s">
        <v>28079</v>
      </c>
      <c r="C24158">
        <v>0</v>
      </c>
      <c r="D24158" t="s">
        <v>106</v>
      </c>
      <c r="E24158">
        <v>0.65967016491754105</v>
      </c>
    </row>
    <row r="24159" spans="1:5">
      <c r="A24159" t="s">
        <v>28076</v>
      </c>
      <c r="B24159" t="s">
        <v>28080</v>
      </c>
      <c r="C24159">
        <v>0</v>
      </c>
      <c r="D24159" t="s">
        <v>106</v>
      </c>
      <c r="E24159">
        <v>0.65967016491754105</v>
      </c>
    </row>
    <row r="24160" spans="1:5">
      <c r="A24160" t="s">
        <v>28076</v>
      </c>
      <c r="B24160" t="s">
        <v>28081</v>
      </c>
      <c r="C24160">
        <f>0</f>
        <v>0</v>
      </c>
      <c r="D24160" t="s">
        <v>106</v>
      </c>
      <c r="E24160">
        <v>0.65967016491754105</v>
      </c>
    </row>
    <row r="24161" spans="1:5">
      <c r="A24161" t="s">
        <v>28076</v>
      </c>
      <c r="B24161" t="s">
        <v>28082</v>
      </c>
      <c r="C24161">
        <f>0</f>
        <v>0</v>
      </c>
      <c r="D24161" t="s">
        <v>106</v>
      </c>
      <c r="E24161">
        <v>0.65967016491754105</v>
      </c>
    </row>
    <row r="24162" spans="1:5">
      <c r="A24162" t="s">
        <v>28076</v>
      </c>
      <c r="B24162" t="s">
        <v>28083</v>
      </c>
      <c r="C24162">
        <v>0</v>
      </c>
      <c r="D24162" t="s">
        <v>106</v>
      </c>
      <c r="E24162">
        <v>0.65967016491754105</v>
      </c>
    </row>
    <row r="24163" spans="1:5">
      <c r="A24163" t="s">
        <v>28076</v>
      </c>
      <c r="B24163" t="s">
        <v>28084</v>
      </c>
      <c r="C24163">
        <v>0</v>
      </c>
      <c r="D24163" t="s">
        <v>106</v>
      </c>
      <c r="E24163">
        <v>0.65967016491754105</v>
      </c>
    </row>
    <row r="24164" spans="1:5">
      <c r="A24164" t="s">
        <v>28076</v>
      </c>
      <c r="B24164" t="s">
        <v>28085</v>
      </c>
      <c r="C24164">
        <v>0</v>
      </c>
      <c r="D24164" t="s">
        <v>106</v>
      </c>
      <c r="E24164">
        <v>0.65967016491754105</v>
      </c>
    </row>
    <row r="24165" spans="1:5">
      <c r="A24165" t="s">
        <v>28086</v>
      </c>
      <c r="B24165" t="s">
        <v>28087</v>
      </c>
      <c r="C24165">
        <v>0.27866476018199998</v>
      </c>
      <c r="D24165">
        <v>0.82248724636799997</v>
      </c>
      <c r="E24165">
        <v>14.9325337331334</v>
      </c>
    </row>
    <row r="24166" spans="1:5">
      <c r="A24166" t="s">
        <v>28088</v>
      </c>
      <c r="B24166" t="s">
        <v>28089</v>
      </c>
      <c r="C24166">
        <v>0</v>
      </c>
      <c r="D24166">
        <v>0.82743504552500002</v>
      </c>
      <c r="E24166">
        <v>24</v>
      </c>
    </row>
    <row r="24167" spans="1:5">
      <c r="A24167" t="s">
        <v>28088</v>
      </c>
      <c r="B24167" t="s">
        <v>28090</v>
      </c>
      <c r="C24167">
        <f>0</f>
        <v>0</v>
      </c>
      <c r="D24167">
        <v>0.82743504552500002</v>
      </c>
      <c r="E24167">
        <v>24</v>
      </c>
    </row>
    <row r="24168" spans="1:5">
      <c r="A24168" t="s">
        <v>28088</v>
      </c>
      <c r="B24168" t="s">
        <v>28091</v>
      </c>
      <c r="C24168">
        <v>1.3355909989200001E-3</v>
      </c>
      <c r="D24168">
        <v>0.82743504552500002</v>
      </c>
      <c r="E24168">
        <v>24</v>
      </c>
    </row>
    <row r="24169" spans="1:5">
      <c r="A24169" t="s">
        <v>28088</v>
      </c>
      <c r="B24169" t="s">
        <v>28092</v>
      </c>
      <c r="C24169">
        <v>0</v>
      </c>
      <c r="D24169">
        <v>0.82743504552500002</v>
      </c>
      <c r="E24169">
        <v>24</v>
      </c>
    </row>
    <row r="24170" spans="1:5">
      <c r="A24170" t="s">
        <v>28088</v>
      </c>
      <c r="B24170" t="s">
        <v>28093</v>
      </c>
      <c r="C24170">
        <v>0</v>
      </c>
      <c r="D24170">
        <v>0.82743504552500002</v>
      </c>
      <c r="E24170">
        <v>24</v>
      </c>
    </row>
    <row r="24171" spans="1:5">
      <c r="A24171" t="s">
        <v>28088</v>
      </c>
      <c r="B24171" t="s">
        <v>28094</v>
      </c>
      <c r="C24171">
        <f>0</f>
        <v>0</v>
      </c>
      <c r="D24171">
        <v>0.82743504552500002</v>
      </c>
      <c r="E24171">
        <v>24</v>
      </c>
    </row>
    <row r="24172" spans="1:5">
      <c r="A24172" t="s">
        <v>28088</v>
      </c>
      <c r="B24172" t="s">
        <v>28095</v>
      </c>
      <c r="C24172">
        <v>0</v>
      </c>
      <c r="D24172">
        <v>0.82743504552500002</v>
      </c>
      <c r="E24172">
        <v>24</v>
      </c>
    </row>
    <row r="24173" spans="1:5">
      <c r="A24173" t="s">
        <v>28088</v>
      </c>
      <c r="B24173" t="s">
        <v>28096</v>
      </c>
      <c r="C24173">
        <f>0</f>
        <v>0</v>
      </c>
      <c r="D24173">
        <v>0.82743504552500002</v>
      </c>
      <c r="E24173">
        <v>24</v>
      </c>
    </row>
    <row r="24174" spans="1:5">
      <c r="A24174" t="s">
        <v>28088</v>
      </c>
      <c r="B24174" t="s">
        <v>28097</v>
      </c>
      <c r="C24174">
        <v>0</v>
      </c>
      <c r="D24174">
        <v>0.82743504552500002</v>
      </c>
      <c r="E24174">
        <v>24</v>
      </c>
    </row>
    <row r="24175" spans="1:5">
      <c r="A24175" t="s">
        <v>28088</v>
      </c>
      <c r="B24175" t="s">
        <v>28098</v>
      </c>
      <c r="C24175">
        <v>0</v>
      </c>
      <c r="D24175">
        <v>0.82743504552500002</v>
      </c>
      <c r="E24175">
        <v>24</v>
      </c>
    </row>
    <row r="24176" spans="1:5">
      <c r="A24176" t="s">
        <v>28099</v>
      </c>
      <c r="B24176" t="s">
        <v>28100</v>
      </c>
      <c r="C24176">
        <v>0</v>
      </c>
      <c r="D24176">
        <v>0.73331664193000001</v>
      </c>
      <c r="E24176">
        <v>1.11544227886056</v>
      </c>
    </row>
    <row r="24177" spans="1:5">
      <c r="A24177" t="s">
        <v>28099</v>
      </c>
      <c r="B24177" t="s">
        <v>28101</v>
      </c>
      <c r="C24177">
        <f>0</f>
        <v>0</v>
      </c>
      <c r="D24177">
        <v>0.73331664193000001</v>
      </c>
      <c r="E24177">
        <v>1.11544227886056</v>
      </c>
    </row>
    <row r="24178" spans="1:5">
      <c r="A24178" t="s">
        <v>28099</v>
      </c>
      <c r="B24178" t="s">
        <v>28102</v>
      </c>
      <c r="C24178">
        <v>0</v>
      </c>
      <c r="D24178">
        <v>0.73331664193000001</v>
      </c>
      <c r="E24178">
        <v>1.11544227886056</v>
      </c>
    </row>
    <row r="24179" spans="1:5">
      <c r="A24179" t="s">
        <v>28099</v>
      </c>
      <c r="B24179" t="s">
        <v>28103</v>
      </c>
      <c r="C24179">
        <v>3.3920964449200001E-2</v>
      </c>
      <c r="D24179">
        <v>0.73331664193000001</v>
      </c>
      <c r="E24179">
        <v>1.11544227886056</v>
      </c>
    </row>
    <row r="24180" spans="1:5">
      <c r="A24180" t="s">
        <v>28099</v>
      </c>
      <c r="B24180" t="s">
        <v>28104</v>
      </c>
      <c r="C24180">
        <v>0</v>
      </c>
      <c r="D24180">
        <v>0.73331664193000001</v>
      </c>
      <c r="E24180">
        <v>1.11544227886056</v>
      </c>
    </row>
    <row r="24181" spans="1:5">
      <c r="A24181" t="s">
        <v>28099</v>
      </c>
      <c r="B24181" t="s">
        <v>28105</v>
      </c>
      <c r="C24181">
        <v>0</v>
      </c>
      <c r="D24181">
        <v>0.73331664193000001</v>
      </c>
      <c r="E24181">
        <v>1.11544227886056</v>
      </c>
    </row>
    <row r="24182" spans="1:5">
      <c r="A24182" t="s">
        <v>28099</v>
      </c>
      <c r="B24182" t="s">
        <v>28106</v>
      </c>
      <c r="C24182">
        <v>0</v>
      </c>
      <c r="D24182">
        <v>0.73331664193000001</v>
      </c>
      <c r="E24182">
        <v>1.11544227886056</v>
      </c>
    </row>
    <row r="24183" spans="1:5">
      <c r="A24183" t="s">
        <v>28099</v>
      </c>
      <c r="B24183" t="s">
        <v>28107</v>
      </c>
      <c r="C24183">
        <v>0</v>
      </c>
      <c r="D24183">
        <v>0.73331664193000001</v>
      </c>
      <c r="E24183">
        <v>1.11544227886056</v>
      </c>
    </row>
    <row r="24184" spans="1:5">
      <c r="A24184" t="s">
        <v>28108</v>
      </c>
      <c r="B24184" t="s">
        <v>28109</v>
      </c>
      <c r="C24184">
        <f>0</f>
        <v>0</v>
      </c>
      <c r="D24184" t="s">
        <v>106</v>
      </c>
      <c r="E24184">
        <v>5.2413793103448203</v>
      </c>
    </row>
    <row r="24185" spans="1:5">
      <c r="A24185" t="s">
        <v>28108</v>
      </c>
      <c r="B24185" t="s">
        <v>28110</v>
      </c>
      <c r="C24185">
        <f>0</f>
        <v>0</v>
      </c>
      <c r="D24185" t="s">
        <v>106</v>
      </c>
      <c r="E24185">
        <v>5.2413793103448203</v>
      </c>
    </row>
    <row r="24186" spans="1:5">
      <c r="A24186" t="s">
        <v>28108</v>
      </c>
      <c r="B24186" t="s">
        <v>28111</v>
      </c>
      <c r="C24186">
        <v>0</v>
      </c>
      <c r="D24186" t="s">
        <v>106</v>
      </c>
      <c r="E24186">
        <v>5.2413793103448203</v>
      </c>
    </row>
    <row r="24187" spans="1:5">
      <c r="A24187" t="s">
        <v>28108</v>
      </c>
      <c r="B24187" t="s">
        <v>28112</v>
      </c>
      <c r="C24187">
        <v>0</v>
      </c>
      <c r="D24187" t="s">
        <v>106</v>
      </c>
      <c r="E24187">
        <v>5.2413793103448203</v>
      </c>
    </row>
    <row r="24188" spans="1:5">
      <c r="A24188" t="s">
        <v>28108</v>
      </c>
      <c r="B24188" t="s">
        <v>28113</v>
      </c>
      <c r="C24188">
        <v>0</v>
      </c>
      <c r="D24188" t="s">
        <v>106</v>
      </c>
      <c r="E24188">
        <v>5.2413793103448203</v>
      </c>
    </row>
    <row r="24189" spans="1:5">
      <c r="A24189" t="s">
        <v>28108</v>
      </c>
      <c r="B24189" t="s">
        <v>28114</v>
      </c>
      <c r="C24189">
        <v>0</v>
      </c>
      <c r="D24189" t="s">
        <v>106</v>
      </c>
      <c r="E24189">
        <v>5.2413793103448203</v>
      </c>
    </row>
    <row r="24190" spans="1:5">
      <c r="A24190" t="s">
        <v>28108</v>
      </c>
      <c r="B24190" t="s">
        <v>28115</v>
      </c>
      <c r="C24190">
        <v>0</v>
      </c>
      <c r="D24190" t="s">
        <v>106</v>
      </c>
      <c r="E24190">
        <v>5.2413793103448203</v>
      </c>
    </row>
    <row r="24191" spans="1:5">
      <c r="A24191" t="s">
        <v>28108</v>
      </c>
      <c r="B24191" t="s">
        <v>28116</v>
      </c>
      <c r="C24191">
        <f>0</f>
        <v>0</v>
      </c>
      <c r="D24191" t="s">
        <v>106</v>
      </c>
      <c r="E24191">
        <v>5.2413793103448203</v>
      </c>
    </row>
    <row r="24192" spans="1:5">
      <c r="A24192" t="s">
        <v>28108</v>
      </c>
      <c r="B24192" t="s">
        <v>28117</v>
      </c>
      <c r="C24192">
        <f>0</f>
        <v>0</v>
      </c>
      <c r="D24192" t="s">
        <v>106</v>
      </c>
      <c r="E24192">
        <v>5.2413793103448203</v>
      </c>
    </row>
    <row r="24193" spans="1:5">
      <c r="A24193" t="s">
        <v>28108</v>
      </c>
      <c r="B24193" t="s">
        <v>28118</v>
      </c>
      <c r="C24193">
        <f>0</f>
        <v>0</v>
      </c>
      <c r="D24193" t="s">
        <v>106</v>
      </c>
      <c r="E24193">
        <v>5.2413793103448203</v>
      </c>
    </row>
    <row r="24194" spans="1:5">
      <c r="A24194" t="s">
        <v>28108</v>
      </c>
      <c r="B24194" t="s">
        <v>28119</v>
      </c>
      <c r="C24194">
        <v>0</v>
      </c>
      <c r="D24194" t="s">
        <v>106</v>
      </c>
      <c r="E24194">
        <v>5.2413793103448203</v>
      </c>
    </row>
    <row r="24195" spans="1:5">
      <c r="A24195" t="s">
        <v>28108</v>
      </c>
      <c r="B24195" t="s">
        <v>28120</v>
      </c>
      <c r="C24195">
        <v>0</v>
      </c>
      <c r="D24195" t="s">
        <v>106</v>
      </c>
      <c r="E24195">
        <v>5.2413793103448203</v>
      </c>
    </row>
    <row r="24196" spans="1:5">
      <c r="A24196" t="s">
        <v>28108</v>
      </c>
      <c r="B24196" t="s">
        <v>28121</v>
      </c>
      <c r="C24196">
        <f>0</f>
        <v>0</v>
      </c>
      <c r="D24196" t="s">
        <v>106</v>
      </c>
      <c r="E24196">
        <v>5.2413793103448203</v>
      </c>
    </row>
    <row r="24197" spans="1:5">
      <c r="A24197" t="s">
        <v>28122</v>
      </c>
      <c r="B24197" t="s">
        <v>28123</v>
      </c>
      <c r="C24197">
        <f>0</f>
        <v>0</v>
      </c>
      <c r="D24197">
        <v>0.54611056895800003</v>
      </c>
      <c r="E24197">
        <v>6.6806596701649097</v>
      </c>
    </row>
    <row r="24198" spans="1:5">
      <c r="A24198" t="s">
        <v>28122</v>
      </c>
      <c r="B24198" t="s">
        <v>28124</v>
      </c>
      <c r="C24198">
        <f>0</f>
        <v>0</v>
      </c>
      <c r="D24198">
        <v>0.54611056895800003</v>
      </c>
      <c r="E24198">
        <v>6.6806596701649097</v>
      </c>
    </row>
    <row r="24199" spans="1:5">
      <c r="A24199" t="s">
        <v>28122</v>
      </c>
      <c r="B24199" t="s">
        <v>28125</v>
      </c>
      <c r="C24199">
        <f>0</f>
        <v>0</v>
      </c>
      <c r="D24199">
        <v>0.54611056895800003</v>
      </c>
      <c r="E24199">
        <v>6.6806596701649097</v>
      </c>
    </row>
    <row r="24200" spans="1:5">
      <c r="A24200" t="s">
        <v>28122</v>
      </c>
      <c r="B24200" t="s">
        <v>28126</v>
      </c>
      <c r="C24200">
        <f>0</f>
        <v>0</v>
      </c>
      <c r="D24200">
        <v>0.54611056895800003</v>
      </c>
      <c r="E24200">
        <v>6.6806596701649097</v>
      </c>
    </row>
    <row r="24201" spans="1:5">
      <c r="A24201" t="s">
        <v>28122</v>
      </c>
      <c r="B24201" t="s">
        <v>28127</v>
      </c>
      <c r="C24201">
        <v>0</v>
      </c>
      <c r="D24201">
        <v>0.54611056895800003</v>
      </c>
      <c r="E24201">
        <v>6.6806596701649097</v>
      </c>
    </row>
    <row r="24202" spans="1:5">
      <c r="A24202" t="s">
        <v>28122</v>
      </c>
      <c r="B24202" t="s">
        <v>28128</v>
      </c>
      <c r="C24202">
        <f>0</f>
        <v>0</v>
      </c>
      <c r="D24202">
        <v>0.54611056895800003</v>
      </c>
      <c r="E24202">
        <v>6.6806596701649097</v>
      </c>
    </row>
    <row r="24203" spans="1:5">
      <c r="A24203" t="s">
        <v>28129</v>
      </c>
      <c r="B24203" t="s">
        <v>28130</v>
      </c>
      <c r="C24203">
        <f>0.0134798550133</f>
        <v>1.3479855013300001E-2</v>
      </c>
      <c r="D24203">
        <v>0.48543771729099999</v>
      </c>
      <c r="E24203">
        <v>1.96701649175412</v>
      </c>
    </row>
    <row r="24204" spans="1:5">
      <c r="A24204" t="s">
        <v>28129</v>
      </c>
      <c r="B24204" t="s">
        <v>28131</v>
      </c>
      <c r="C24204">
        <f>0</f>
        <v>0</v>
      </c>
      <c r="D24204">
        <v>0.48543771729099999</v>
      </c>
      <c r="E24204">
        <v>1.96701649175412</v>
      </c>
    </row>
    <row r="24205" spans="1:5">
      <c r="A24205" t="s">
        <v>28129</v>
      </c>
      <c r="B24205" t="s">
        <v>28132</v>
      </c>
      <c r="C24205">
        <f>0</f>
        <v>0</v>
      </c>
      <c r="D24205">
        <v>0.48543771729099999</v>
      </c>
      <c r="E24205">
        <v>1.96701649175412</v>
      </c>
    </row>
    <row r="24206" spans="1:5">
      <c r="A24206" t="s">
        <v>28133</v>
      </c>
      <c r="B24206" t="s">
        <v>28134</v>
      </c>
      <c r="C24206">
        <v>0</v>
      </c>
      <c r="D24206">
        <v>0.95477965629399997</v>
      </c>
      <c r="E24206">
        <v>0.77961019490254801</v>
      </c>
    </row>
    <row r="24207" spans="1:5">
      <c r="A24207" t="s">
        <v>28133</v>
      </c>
      <c r="B24207" t="s">
        <v>28135</v>
      </c>
      <c r="C24207">
        <v>0</v>
      </c>
      <c r="D24207">
        <v>0.95477965629399997</v>
      </c>
      <c r="E24207">
        <v>0.77961019490254801</v>
      </c>
    </row>
    <row r="24208" spans="1:5">
      <c r="A24208" t="s">
        <v>28133</v>
      </c>
      <c r="B24208" t="s">
        <v>28136</v>
      </c>
      <c r="C24208">
        <v>0</v>
      </c>
      <c r="D24208">
        <v>0.95477965629399997</v>
      </c>
      <c r="E24208">
        <v>0.77961019490254801</v>
      </c>
    </row>
    <row r="24209" spans="1:5">
      <c r="A24209" t="s">
        <v>28133</v>
      </c>
      <c r="B24209" t="s">
        <v>28137</v>
      </c>
      <c r="C24209">
        <v>0.12928821529599999</v>
      </c>
      <c r="D24209">
        <v>0.95477965629399997</v>
      </c>
      <c r="E24209">
        <v>0.77961019490254801</v>
      </c>
    </row>
    <row r="24210" spans="1:5">
      <c r="A24210" t="s">
        <v>28133</v>
      </c>
      <c r="B24210" t="s">
        <v>28138</v>
      </c>
      <c r="C24210">
        <f>0</f>
        <v>0</v>
      </c>
      <c r="D24210">
        <v>0.95477965629399997</v>
      </c>
      <c r="E24210">
        <v>0.77961019490254801</v>
      </c>
    </row>
    <row r="24211" spans="1:5">
      <c r="A24211" t="s">
        <v>28133</v>
      </c>
      <c r="B24211" t="s">
        <v>28139</v>
      </c>
      <c r="C24211">
        <v>0</v>
      </c>
      <c r="D24211">
        <v>0.95477965629399997</v>
      </c>
      <c r="E24211">
        <v>0.77961019490254801</v>
      </c>
    </row>
    <row r="24212" spans="1:5">
      <c r="A24212" t="s">
        <v>28133</v>
      </c>
      <c r="B24212" t="s">
        <v>28140</v>
      </c>
      <c r="C24212">
        <v>4.7328294884799997E-2</v>
      </c>
      <c r="D24212">
        <v>0.95477965629399997</v>
      </c>
      <c r="E24212">
        <v>0.77961019490254801</v>
      </c>
    </row>
    <row r="24213" spans="1:5">
      <c r="A24213" t="s">
        <v>28133</v>
      </c>
      <c r="B24213" t="s">
        <v>28141</v>
      </c>
      <c r="C24213">
        <v>0</v>
      </c>
      <c r="D24213">
        <v>0.95477965629399997</v>
      </c>
      <c r="E24213">
        <v>0.77961019490254801</v>
      </c>
    </row>
    <row r="24214" spans="1:5">
      <c r="A24214" t="s">
        <v>28133</v>
      </c>
      <c r="B24214" t="s">
        <v>28142</v>
      </c>
      <c r="C24214">
        <v>0</v>
      </c>
      <c r="D24214">
        <v>0.95477965629399997</v>
      </c>
      <c r="E24214">
        <v>0.77961019490254801</v>
      </c>
    </row>
    <row r="24215" spans="1:5">
      <c r="A24215" t="s">
        <v>28143</v>
      </c>
      <c r="B24215" t="s">
        <v>28144</v>
      </c>
      <c r="C24215">
        <v>0</v>
      </c>
      <c r="D24215" t="s">
        <v>106</v>
      </c>
      <c r="E24215">
        <v>8.0119940029985006</v>
      </c>
    </row>
    <row r="24216" spans="1:5">
      <c r="A24216" t="s">
        <v>28143</v>
      </c>
      <c r="B24216" t="s">
        <v>28145</v>
      </c>
      <c r="C24216">
        <f>0</f>
        <v>0</v>
      </c>
      <c r="D24216" t="s">
        <v>106</v>
      </c>
      <c r="E24216">
        <v>8.0119940029985006</v>
      </c>
    </row>
    <row r="24217" spans="1:5">
      <c r="A24217" t="s">
        <v>28143</v>
      </c>
      <c r="B24217" t="s">
        <v>28146</v>
      </c>
      <c r="C24217">
        <v>0</v>
      </c>
      <c r="D24217" t="s">
        <v>106</v>
      </c>
      <c r="E24217">
        <v>8.0119940029985006</v>
      </c>
    </row>
    <row r="24218" spans="1:5">
      <c r="A24218" t="s">
        <v>28143</v>
      </c>
      <c r="B24218" t="s">
        <v>28147</v>
      </c>
      <c r="C24218">
        <f>0</f>
        <v>0</v>
      </c>
      <c r="D24218" t="s">
        <v>106</v>
      </c>
      <c r="E24218">
        <v>8.0119940029985006</v>
      </c>
    </row>
    <row r="24219" spans="1:5">
      <c r="A24219" t="s">
        <v>28148</v>
      </c>
      <c r="B24219" t="s">
        <v>28149</v>
      </c>
      <c r="C24219">
        <v>0.25613773033999998</v>
      </c>
      <c r="D24219">
        <v>0.50726723516600003</v>
      </c>
      <c r="E24219">
        <v>3.0464767616191901</v>
      </c>
    </row>
    <row r="24220" spans="1:5">
      <c r="A24220" t="s">
        <v>28150</v>
      </c>
      <c r="B24220" t="s">
        <v>28151</v>
      </c>
      <c r="C24220">
        <f>0.0332238475484</f>
        <v>3.32238475484E-2</v>
      </c>
      <c r="D24220">
        <v>0.98590677106900004</v>
      </c>
      <c r="E24220">
        <v>23.7481259370314</v>
      </c>
    </row>
    <row r="24221" spans="1:5">
      <c r="A24221" t="s">
        <v>28150</v>
      </c>
      <c r="B24221" t="s">
        <v>28152</v>
      </c>
      <c r="C24221">
        <v>0</v>
      </c>
      <c r="D24221">
        <v>0.98590677106900004</v>
      </c>
      <c r="E24221">
        <v>23.7481259370314</v>
      </c>
    </row>
    <row r="24222" spans="1:5">
      <c r="A24222" t="s">
        <v>28150</v>
      </c>
      <c r="B24222" t="s">
        <v>28153</v>
      </c>
      <c r="C24222">
        <v>0</v>
      </c>
      <c r="D24222">
        <v>0.98590677106900004</v>
      </c>
      <c r="E24222">
        <v>23.7481259370314</v>
      </c>
    </row>
    <row r="24223" spans="1:5">
      <c r="A24223" t="s">
        <v>28154</v>
      </c>
      <c r="B24223" t="s">
        <v>28155</v>
      </c>
      <c r="C24223">
        <v>0.38775222509500001</v>
      </c>
      <c r="D24223">
        <v>0.90880402714700004</v>
      </c>
      <c r="E24223">
        <v>0.73163418290854498</v>
      </c>
    </row>
    <row r="24224" spans="1:5">
      <c r="A24224" t="s">
        <v>28154</v>
      </c>
      <c r="B24224" t="s">
        <v>28156</v>
      </c>
      <c r="C24224">
        <f>0</f>
        <v>0</v>
      </c>
      <c r="D24224">
        <v>0.90880402714700004</v>
      </c>
      <c r="E24224">
        <v>0.73163418290854498</v>
      </c>
    </row>
    <row r="24225" spans="1:5">
      <c r="A24225" t="s">
        <v>28157</v>
      </c>
      <c r="B24225" t="s">
        <v>28158</v>
      </c>
      <c r="C24225">
        <f>0</f>
        <v>0</v>
      </c>
      <c r="D24225" t="s">
        <v>106</v>
      </c>
      <c r="E24225">
        <v>4.68965517241379</v>
      </c>
    </row>
    <row r="24226" spans="1:5">
      <c r="A24226" t="s">
        <v>28157</v>
      </c>
      <c r="B24226" t="s">
        <v>28159</v>
      </c>
      <c r="C24226">
        <f>0</f>
        <v>0</v>
      </c>
      <c r="D24226" t="s">
        <v>106</v>
      </c>
      <c r="E24226">
        <v>4.68965517241379</v>
      </c>
    </row>
    <row r="24227" spans="1:5">
      <c r="A24227" t="s">
        <v>28157</v>
      </c>
      <c r="B24227" t="s">
        <v>28160</v>
      </c>
      <c r="C24227">
        <f>0</f>
        <v>0</v>
      </c>
      <c r="D24227" t="s">
        <v>106</v>
      </c>
      <c r="E24227">
        <v>4.68965517241379</v>
      </c>
    </row>
    <row r="24228" spans="1:5">
      <c r="A24228" t="s">
        <v>28157</v>
      </c>
      <c r="B24228" t="s">
        <v>28161</v>
      </c>
      <c r="C24228">
        <v>0</v>
      </c>
      <c r="D24228" t="s">
        <v>106</v>
      </c>
      <c r="E24228">
        <v>4.68965517241379</v>
      </c>
    </row>
    <row r="24229" spans="1:5">
      <c r="A24229" t="s">
        <v>28157</v>
      </c>
      <c r="B24229" t="s">
        <v>28162</v>
      </c>
      <c r="C24229">
        <v>0</v>
      </c>
      <c r="D24229" t="s">
        <v>106</v>
      </c>
      <c r="E24229">
        <v>4.68965517241379</v>
      </c>
    </row>
    <row r="24230" spans="1:5">
      <c r="A24230" t="s">
        <v>28157</v>
      </c>
      <c r="B24230" t="s">
        <v>28163</v>
      </c>
      <c r="C24230">
        <v>0</v>
      </c>
      <c r="D24230" t="s">
        <v>106</v>
      </c>
      <c r="E24230">
        <v>4.68965517241379</v>
      </c>
    </row>
    <row r="24231" spans="1:5">
      <c r="A24231" t="s">
        <v>28157</v>
      </c>
      <c r="B24231" t="s">
        <v>28164</v>
      </c>
      <c r="C24231">
        <v>0</v>
      </c>
      <c r="D24231" t="s">
        <v>106</v>
      </c>
      <c r="E24231">
        <v>4.68965517241379</v>
      </c>
    </row>
    <row r="24232" spans="1:5">
      <c r="A24232" t="s">
        <v>28157</v>
      </c>
      <c r="B24232" t="s">
        <v>28165</v>
      </c>
      <c r="C24232">
        <v>0</v>
      </c>
      <c r="D24232" t="s">
        <v>106</v>
      </c>
      <c r="E24232">
        <v>4.68965517241379</v>
      </c>
    </row>
    <row r="24233" spans="1:5">
      <c r="A24233" t="s">
        <v>28166</v>
      </c>
      <c r="B24233" t="s">
        <v>28167</v>
      </c>
      <c r="C24233">
        <f>0</f>
        <v>0</v>
      </c>
      <c r="D24233">
        <v>0.98864154790600001</v>
      </c>
      <c r="E24233">
        <v>6.0569715142428704</v>
      </c>
    </row>
    <row r="24234" spans="1:5">
      <c r="A24234" t="s">
        <v>28166</v>
      </c>
      <c r="B24234" t="s">
        <v>28168</v>
      </c>
      <c r="C24234">
        <v>0</v>
      </c>
      <c r="D24234">
        <v>0.98864154790600001</v>
      </c>
      <c r="E24234">
        <v>6.0569715142428704</v>
      </c>
    </row>
    <row r="24235" spans="1:5">
      <c r="A24235" t="s">
        <v>28166</v>
      </c>
      <c r="B24235" t="s">
        <v>28169</v>
      </c>
      <c r="C24235">
        <f>0</f>
        <v>0</v>
      </c>
      <c r="D24235">
        <v>0.98864154790600001</v>
      </c>
      <c r="E24235">
        <v>6.0569715142428704</v>
      </c>
    </row>
    <row r="24236" spans="1:5">
      <c r="A24236" t="s">
        <v>28166</v>
      </c>
      <c r="B24236" t="s">
        <v>28170</v>
      </c>
      <c r="C24236">
        <f>0</f>
        <v>0</v>
      </c>
      <c r="D24236">
        <v>0.98864154790600001</v>
      </c>
      <c r="E24236">
        <v>6.0569715142428704</v>
      </c>
    </row>
    <row r="24237" spans="1:5">
      <c r="A24237" t="s">
        <v>28166</v>
      </c>
      <c r="B24237" t="s">
        <v>28171</v>
      </c>
      <c r="C24237">
        <f>0</f>
        <v>0</v>
      </c>
      <c r="D24237">
        <v>0.98864154790600001</v>
      </c>
      <c r="E24237">
        <v>6.0569715142428704</v>
      </c>
    </row>
    <row r="24238" spans="1:5">
      <c r="A24238" t="s">
        <v>28166</v>
      </c>
      <c r="B24238" t="s">
        <v>28172</v>
      </c>
      <c r="C24238">
        <f>0.0715407801807</f>
        <v>7.1540780180699995E-2</v>
      </c>
      <c r="D24238">
        <v>0.98864154790600001</v>
      </c>
      <c r="E24238">
        <v>6.0569715142428704</v>
      </c>
    </row>
    <row r="24239" spans="1:5">
      <c r="A24239" t="s">
        <v>28166</v>
      </c>
      <c r="B24239" t="s">
        <v>28173</v>
      </c>
      <c r="C24239">
        <f>0</f>
        <v>0</v>
      </c>
      <c r="D24239">
        <v>0.98864154790600001</v>
      </c>
      <c r="E24239">
        <v>6.0569715142428704</v>
      </c>
    </row>
    <row r="24240" spans="1:5">
      <c r="A24240" t="s">
        <v>28166</v>
      </c>
      <c r="B24240" t="s">
        <v>28174</v>
      </c>
      <c r="C24240">
        <f>0</f>
        <v>0</v>
      </c>
      <c r="D24240">
        <v>0.98864154790600001</v>
      </c>
      <c r="E24240">
        <v>6.0569715142428704</v>
      </c>
    </row>
    <row r="24241" spans="1:5">
      <c r="A24241" t="s">
        <v>28175</v>
      </c>
      <c r="B24241" t="s">
        <v>28176</v>
      </c>
      <c r="C24241">
        <f>0</f>
        <v>0</v>
      </c>
      <c r="D24241">
        <v>0.90573681486400004</v>
      </c>
      <c r="E24241">
        <v>22.104947526236799</v>
      </c>
    </row>
    <row r="24242" spans="1:5">
      <c r="A24242" t="s">
        <v>28175</v>
      </c>
      <c r="B24242" t="s">
        <v>28177</v>
      </c>
      <c r="C24242">
        <v>0</v>
      </c>
      <c r="D24242">
        <v>0.90573681486400004</v>
      </c>
      <c r="E24242">
        <v>22.104947526236799</v>
      </c>
    </row>
    <row r="24243" spans="1:5">
      <c r="A24243" t="s">
        <v>28175</v>
      </c>
      <c r="B24243" t="s">
        <v>28178</v>
      </c>
      <c r="C24243">
        <v>0</v>
      </c>
      <c r="D24243">
        <v>0.90573681486400004</v>
      </c>
      <c r="E24243">
        <v>22.104947526236799</v>
      </c>
    </row>
    <row r="24244" spans="1:5">
      <c r="A24244" t="s">
        <v>28175</v>
      </c>
      <c r="B24244" t="s">
        <v>28179</v>
      </c>
      <c r="C24244">
        <f>0</f>
        <v>0</v>
      </c>
      <c r="D24244">
        <v>0.90573681486400004</v>
      </c>
      <c r="E24244">
        <v>22.104947526236799</v>
      </c>
    </row>
    <row r="24245" spans="1:5">
      <c r="A24245" t="s">
        <v>28175</v>
      </c>
      <c r="B24245" t="s">
        <v>28180</v>
      </c>
      <c r="C24245">
        <f>0</f>
        <v>0</v>
      </c>
      <c r="D24245">
        <v>0.90573681486400004</v>
      </c>
      <c r="E24245">
        <v>22.104947526236799</v>
      </c>
    </row>
    <row r="24246" spans="1:5">
      <c r="A24246" t="s">
        <v>28175</v>
      </c>
      <c r="B24246" t="s">
        <v>28181</v>
      </c>
      <c r="C24246">
        <f>0</f>
        <v>0</v>
      </c>
      <c r="D24246">
        <v>0.90573681486400004</v>
      </c>
      <c r="E24246">
        <v>22.104947526236799</v>
      </c>
    </row>
    <row r="24247" spans="1:5">
      <c r="A24247" t="s">
        <v>28175</v>
      </c>
      <c r="B24247" t="s">
        <v>28182</v>
      </c>
      <c r="C24247">
        <f>0.0845451589435</f>
        <v>8.4545158943499996E-2</v>
      </c>
      <c r="D24247">
        <v>0.90573681486400004</v>
      </c>
      <c r="E24247">
        <v>22.104947526236799</v>
      </c>
    </row>
    <row r="24248" spans="1:5">
      <c r="A24248" t="s">
        <v>28183</v>
      </c>
      <c r="B24248" t="s">
        <v>28184</v>
      </c>
      <c r="C24248">
        <v>0.48644003104299999</v>
      </c>
      <c r="D24248" t="s">
        <v>106</v>
      </c>
      <c r="E24248">
        <v>3.7781109445277301</v>
      </c>
    </row>
    <row r="24249" spans="1:5">
      <c r="A24249" t="s">
        <v>28183</v>
      </c>
      <c r="B24249" t="s">
        <v>28185</v>
      </c>
      <c r="C24249">
        <v>0.18688563667300001</v>
      </c>
      <c r="D24249" t="s">
        <v>106</v>
      </c>
      <c r="E24249">
        <v>3.7781109445277301</v>
      </c>
    </row>
    <row r="24250" spans="1:5">
      <c r="A24250" t="s">
        <v>28186</v>
      </c>
      <c r="B24250" t="s">
        <v>28187</v>
      </c>
      <c r="C24250">
        <f>0</f>
        <v>0</v>
      </c>
      <c r="D24250">
        <v>0.94225661841300001</v>
      </c>
      <c r="E24250">
        <v>11.7061469265367</v>
      </c>
    </row>
    <row r="24251" spans="1:5">
      <c r="A24251" t="s">
        <v>28186</v>
      </c>
      <c r="B24251" t="s">
        <v>28188</v>
      </c>
      <c r="C24251">
        <v>0</v>
      </c>
      <c r="D24251">
        <v>0.94225661841300001</v>
      </c>
      <c r="E24251">
        <v>11.7061469265367</v>
      </c>
    </row>
    <row r="24252" spans="1:5">
      <c r="A24252" t="s">
        <v>28186</v>
      </c>
      <c r="B24252" t="s">
        <v>28189</v>
      </c>
      <c r="C24252">
        <f>0</f>
        <v>0</v>
      </c>
      <c r="D24252">
        <v>0.94225661841300001</v>
      </c>
      <c r="E24252">
        <v>11.7061469265367</v>
      </c>
    </row>
    <row r="24253" spans="1:5">
      <c r="A24253" t="s">
        <v>28186</v>
      </c>
      <c r="B24253" t="s">
        <v>28190</v>
      </c>
      <c r="C24253">
        <v>0</v>
      </c>
      <c r="D24253">
        <v>0.94225661841300001</v>
      </c>
      <c r="E24253">
        <v>11.7061469265367</v>
      </c>
    </row>
    <row r="24254" spans="1:5">
      <c r="A24254" t="s">
        <v>28186</v>
      </c>
      <c r="B24254" t="s">
        <v>28191</v>
      </c>
      <c r="C24254">
        <f>0</f>
        <v>0</v>
      </c>
      <c r="D24254">
        <v>0.94225661841300001</v>
      </c>
      <c r="E24254">
        <v>11.7061469265367</v>
      </c>
    </row>
    <row r="24255" spans="1:5">
      <c r="A24255" t="s">
        <v>28186</v>
      </c>
      <c r="B24255" t="s">
        <v>28192</v>
      </c>
      <c r="C24255">
        <v>0</v>
      </c>
      <c r="D24255">
        <v>0.94225661841300001</v>
      </c>
      <c r="E24255">
        <v>11.7061469265367</v>
      </c>
    </row>
    <row r="24256" spans="1:5">
      <c r="A24256" t="s">
        <v>28186</v>
      </c>
      <c r="B24256" t="s">
        <v>28193</v>
      </c>
      <c r="C24256">
        <f>0.0869092060447</f>
        <v>8.6909206044699996E-2</v>
      </c>
      <c r="D24256">
        <v>0.94225661841300001</v>
      </c>
      <c r="E24256">
        <v>11.7061469265367</v>
      </c>
    </row>
    <row r="24257" spans="1:5">
      <c r="A24257" t="s">
        <v>28186</v>
      </c>
      <c r="B24257" t="s">
        <v>28194</v>
      </c>
      <c r="C24257">
        <v>0.173579559386</v>
      </c>
      <c r="D24257">
        <v>0.94225661841300001</v>
      </c>
      <c r="E24257">
        <v>11.7061469265367</v>
      </c>
    </row>
    <row r="24258" spans="1:5">
      <c r="A24258" t="s">
        <v>28186</v>
      </c>
      <c r="B24258" t="s">
        <v>28195</v>
      </c>
      <c r="C24258">
        <f>0</f>
        <v>0</v>
      </c>
      <c r="D24258">
        <v>0.94225661841300001</v>
      </c>
      <c r="E24258">
        <v>11.7061469265367</v>
      </c>
    </row>
    <row r="24259" spans="1:5">
      <c r="A24259" t="s">
        <v>28196</v>
      </c>
      <c r="B24259" t="s">
        <v>28197</v>
      </c>
      <c r="C24259">
        <v>0</v>
      </c>
      <c r="D24259" t="s">
        <v>106</v>
      </c>
      <c r="E24259">
        <v>0.91154422788605605</v>
      </c>
    </row>
    <row r="24260" spans="1:5">
      <c r="A24260" t="s">
        <v>28196</v>
      </c>
      <c r="B24260" t="s">
        <v>28198</v>
      </c>
      <c r="C24260">
        <f>0</f>
        <v>0</v>
      </c>
      <c r="D24260" t="s">
        <v>106</v>
      </c>
      <c r="E24260">
        <v>0.91154422788605605</v>
      </c>
    </row>
    <row r="24261" spans="1:5">
      <c r="A24261" t="s">
        <v>28196</v>
      </c>
      <c r="B24261" t="s">
        <v>28199</v>
      </c>
      <c r="C24261">
        <v>0</v>
      </c>
      <c r="D24261" t="s">
        <v>106</v>
      </c>
      <c r="E24261">
        <v>0.91154422788605605</v>
      </c>
    </row>
    <row r="24262" spans="1:5">
      <c r="A24262" t="s">
        <v>28200</v>
      </c>
      <c r="B24262" t="s">
        <v>12481</v>
      </c>
      <c r="C24262">
        <f>0.334567565735</f>
        <v>0.33456756573500002</v>
      </c>
      <c r="D24262">
        <v>0.85921606932899997</v>
      </c>
      <c r="E24262">
        <v>1.06746626686656</v>
      </c>
    </row>
    <row r="24263" spans="1:5">
      <c r="A24263" t="s">
        <v>28201</v>
      </c>
      <c r="B24263" t="s">
        <v>28202</v>
      </c>
      <c r="C24263">
        <v>9.0444716861500005E-2</v>
      </c>
      <c r="D24263">
        <v>0.97924599046100003</v>
      </c>
      <c r="E24263">
        <v>1.6911544227886</v>
      </c>
    </row>
    <row r="24264" spans="1:5">
      <c r="A24264" t="s">
        <v>28201</v>
      </c>
      <c r="B24264" t="s">
        <v>28203</v>
      </c>
      <c r="C24264">
        <f>0</f>
        <v>0</v>
      </c>
      <c r="D24264">
        <v>0.97924599046100003</v>
      </c>
      <c r="E24264">
        <v>1.6911544227886</v>
      </c>
    </row>
    <row r="24265" spans="1:5">
      <c r="A24265" t="s">
        <v>28201</v>
      </c>
      <c r="B24265" t="s">
        <v>28204</v>
      </c>
      <c r="C24265">
        <f>0.0154118282403</f>
        <v>1.5411828240299999E-2</v>
      </c>
      <c r="D24265">
        <v>0.97924599046100003</v>
      </c>
      <c r="E24265">
        <v>1.6911544227886</v>
      </c>
    </row>
    <row r="24266" spans="1:5">
      <c r="A24266" t="s">
        <v>28201</v>
      </c>
      <c r="B24266" t="s">
        <v>28205</v>
      </c>
      <c r="C24266">
        <v>0</v>
      </c>
      <c r="D24266">
        <v>0.97924599046100003</v>
      </c>
      <c r="E24266">
        <v>1.6911544227886</v>
      </c>
    </row>
    <row r="24267" spans="1:5">
      <c r="A24267" t="s">
        <v>28206</v>
      </c>
      <c r="B24267" t="s">
        <v>28207</v>
      </c>
      <c r="C24267">
        <f>0.205885979458</f>
        <v>0.205885979458</v>
      </c>
      <c r="D24267">
        <v>0.95452734028700004</v>
      </c>
      <c r="E24267">
        <v>3.4902548725637099</v>
      </c>
    </row>
    <row r="24268" spans="1:5">
      <c r="A24268" t="s">
        <v>28208</v>
      </c>
      <c r="B24268" t="s">
        <v>28209</v>
      </c>
      <c r="C24268">
        <f>0</f>
        <v>0</v>
      </c>
      <c r="D24268">
        <v>0.97920268894700002</v>
      </c>
      <c r="E24268">
        <v>22.332833583208298</v>
      </c>
    </row>
    <row r="24269" spans="1:5">
      <c r="A24269" t="s">
        <v>28208</v>
      </c>
      <c r="B24269" t="s">
        <v>28210</v>
      </c>
      <c r="C24269">
        <f>0.158949663396</f>
        <v>0.158949663396</v>
      </c>
      <c r="D24269">
        <v>0.97920268894700002</v>
      </c>
      <c r="E24269">
        <v>22.332833583208298</v>
      </c>
    </row>
    <row r="24270" spans="1:5">
      <c r="A24270" t="s">
        <v>28208</v>
      </c>
      <c r="B24270" t="s">
        <v>28211</v>
      </c>
      <c r="C24270">
        <f>0</f>
        <v>0</v>
      </c>
      <c r="D24270">
        <v>0.97920268894700002</v>
      </c>
      <c r="E24270">
        <v>22.332833583208298</v>
      </c>
    </row>
    <row r="24271" spans="1:5">
      <c r="A24271" t="s">
        <v>28208</v>
      </c>
      <c r="B24271" t="s">
        <v>28212</v>
      </c>
      <c r="C24271">
        <f>0</f>
        <v>0</v>
      </c>
      <c r="D24271">
        <v>0.97920268894700002</v>
      </c>
      <c r="E24271">
        <v>22.332833583208298</v>
      </c>
    </row>
    <row r="24272" spans="1:5">
      <c r="A24272" t="s">
        <v>28213</v>
      </c>
      <c r="B24272" t="s">
        <v>28214</v>
      </c>
      <c r="C24272">
        <v>0.588076531337</v>
      </c>
      <c r="D24272">
        <v>0.97548020086700005</v>
      </c>
      <c r="E24272">
        <v>1.16341829085457</v>
      </c>
    </row>
    <row r="24273" spans="1:5">
      <c r="A24273" t="s">
        <v>28213</v>
      </c>
      <c r="B24273" t="s">
        <v>28215</v>
      </c>
      <c r="C24273">
        <v>0</v>
      </c>
      <c r="D24273">
        <v>0.97548020086700005</v>
      </c>
      <c r="E24273">
        <v>1.16341829085457</v>
      </c>
    </row>
    <row r="24274" spans="1:5">
      <c r="A24274" t="s">
        <v>28213</v>
      </c>
      <c r="B24274" t="s">
        <v>28216</v>
      </c>
      <c r="C24274">
        <v>0</v>
      </c>
      <c r="D24274">
        <v>0.97548020086700005</v>
      </c>
      <c r="E24274">
        <v>1.16341829085457</v>
      </c>
    </row>
    <row r="24275" spans="1:5">
      <c r="A24275" t="s">
        <v>28213</v>
      </c>
      <c r="B24275" t="s">
        <v>28217</v>
      </c>
      <c r="C24275">
        <f>0</f>
        <v>0</v>
      </c>
      <c r="D24275">
        <v>0.97548020086700005</v>
      </c>
      <c r="E24275">
        <v>1.16341829085457</v>
      </c>
    </row>
    <row r="24276" spans="1:5">
      <c r="A24276" t="s">
        <v>28213</v>
      </c>
      <c r="B24276" t="s">
        <v>28218</v>
      </c>
      <c r="C24276">
        <v>1.52201342934E-2</v>
      </c>
      <c r="D24276">
        <v>0.97548020086700005</v>
      </c>
      <c r="E24276">
        <v>1.16341829085457</v>
      </c>
    </row>
    <row r="24277" spans="1:5">
      <c r="A24277" t="s">
        <v>28213</v>
      </c>
      <c r="B24277" t="s">
        <v>28219</v>
      </c>
      <c r="C24277">
        <v>0</v>
      </c>
      <c r="D24277">
        <v>0.97548020086700005</v>
      </c>
      <c r="E24277">
        <v>1.16341829085457</v>
      </c>
    </row>
    <row r="24278" spans="1:5">
      <c r="A24278" t="s">
        <v>28213</v>
      </c>
      <c r="B24278" t="s">
        <v>28220</v>
      </c>
      <c r="C24278">
        <v>0</v>
      </c>
      <c r="D24278">
        <v>0.97548020086700005</v>
      </c>
      <c r="E24278">
        <v>1.16341829085457</v>
      </c>
    </row>
    <row r="24279" spans="1:5">
      <c r="A24279" t="s">
        <v>28213</v>
      </c>
      <c r="B24279" t="s">
        <v>28221</v>
      </c>
      <c r="C24279">
        <v>0</v>
      </c>
      <c r="D24279">
        <v>0.97548020086700005</v>
      </c>
      <c r="E24279">
        <v>1.16341829085457</v>
      </c>
    </row>
    <row r="24280" spans="1:5">
      <c r="A24280" t="s">
        <v>28222</v>
      </c>
      <c r="B24280" t="s">
        <v>28223</v>
      </c>
      <c r="C24280">
        <v>0</v>
      </c>
      <c r="D24280" t="s">
        <v>106</v>
      </c>
      <c r="E24280">
        <v>17.307346326836502</v>
      </c>
    </row>
    <row r="24281" spans="1:5">
      <c r="A24281" t="s">
        <v>28222</v>
      </c>
      <c r="B24281" t="s">
        <v>28224</v>
      </c>
      <c r="C24281">
        <f>0</f>
        <v>0</v>
      </c>
      <c r="D24281" t="s">
        <v>106</v>
      </c>
      <c r="E24281">
        <v>17.307346326836502</v>
      </c>
    </row>
    <row r="24282" spans="1:5">
      <c r="A24282" t="s">
        <v>28222</v>
      </c>
      <c r="B24282" t="s">
        <v>28225</v>
      </c>
      <c r="C24282">
        <f>0</f>
        <v>0</v>
      </c>
      <c r="D24282" t="s">
        <v>106</v>
      </c>
      <c r="E24282">
        <v>17.307346326836502</v>
      </c>
    </row>
    <row r="24283" spans="1:5">
      <c r="A24283" t="s">
        <v>28222</v>
      </c>
      <c r="B24283" t="s">
        <v>28226</v>
      </c>
      <c r="C24283">
        <f>0</f>
        <v>0</v>
      </c>
      <c r="D24283" t="s">
        <v>106</v>
      </c>
      <c r="E24283">
        <v>17.307346326836502</v>
      </c>
    </row>
    <row r="24284" spans="1:5">
      <c r="A24284" t="s">
        <v>28227</v>
      </c>
      <c r="B24284" t="s">
        <v>28228</v>
      </c>
      <c r="C24284">
        <v>0</v>
      </c>
      <c r="D24284">
        <v>0.48163176393500001</v>
      </c>
      <c r="E24284">
        <v>3.3103448275862002</v>
      </c>
    </row>
    <row r="24285" spans="1:5">
      <c r="A24285" t="s">
        <v>28227</v>
      </c>
      <c r="B24285" t="s">
        <v>28229</v>
      </c>
      <c r="C24285">
        <v>0</v>
      </c>
      <c r="D24285">
        <v>0.48163176393500001</v>
      </c>
      <c r="E24285">
        <v>3.3103448275862002</v>
      </c>
    </row>
    <row r="24286" spans="1:5">
      <c r="A24286" t="s">
        <v>28227</v>
      </c>
      <c r="B24286" t="s">
        <v>28230</v>
      </c>
      <c r="C24286">
        <f>0</f>
        <v>0</v>
      </c>
      <c r="D24286">
        <v>0.48163176393500001</v>
      </c>
      <c r="E24286">
        <v>3.3103448275862002</v>
      </c>
    </row>
    <row r="24287" spans="1:5">
      <c r="A24287" t="s">
        <v>28227</v>
      </c>
      <c r="B24287" t="s">
        <v>28231</v>
      </c>
      <c r="C24287">
        <v>0</v>
      </c>
      <c r="D24287">
        <v>0.48163176393500001</v>
      </c>
      <c r="E24287">
        <v>3.3103448275862002</v>
      </c>
    </row>
    <row r="24288" spans="1:5">
      <c r="A24288" t="s">
        <v>28227</v>
      </c>
      <c r="B24288" t="s">
        <v>28232</v>
      </c>
      <c r="C24288">
        <f>0</f>
        <v>0</v>
      </c>
      <c r="D24288">
        <v>0.48163176393500001</v>
      </c>
      <c r="E24288">
        <v>3.3103448275862002</v>
      </c>
    </row>
    <row r="24289" spans="1:5">
      <c r="A24289" t="s">
        <v>28233</v>
      </c>
      <c r="B24289" t="s">
        <v>28234</v>
      </c>
      <c r="C24289">
        <f>0</f>
        <v>0</v>
      </c>
      <c r="D24289" t="s">
        <v>106</v>
      </c>
      <c r="E24289">
        <v>18.1349325337331</v>
      </c>
    </row>
    <row r="24290" spans="1:5">
      <c r="A24290" t="s">
        <v>28233</v>
      </c>
      <c r="B24290" t="s">
        <v>28235</v>
      </c>
      <c r="C24290">
        <v>0</v>
      </c>
      <c r="D24290" t="s">
        <v>106</v>
      </c>
      <c r="E24290">
        <v>18.1349325337331</v>
      </c>
    </row>
    <row r="24291" spans="1:5">
      <c r="A24291" t="s">
        <v>28233</v>
      </c>
      <c r="B24291" t="s">
        <v>28236</v>
      </c>
      <c r="C24291">
        <v>0</v>
      </c>
      <c r="D24291" t="s">
        <v>106</v>
      </c>
      <c r="E24291">
        <v>18.1349325337331</v>
      </c>
    </row>
    <row r="24292" spans="1:5">
      <c r="A24292" t="s">
        <v>28233</v>
      </c>
      <c r="B24292" t="s">
        <v>28237</v>
      </c>
      <c r="C24292">
        <v>3.0363732528600001E-3</v>
      </c>
      <c r="D24292" t="s">
        <v>106</v>
      </c>
      <c r="E24292">
        <v>18.1349325337331</v>
      </c>
    </row>
    <row r="24293" spans="1:5">
      <c r="A24293" t="s">
        <v>28233</v>
      </c>
      <c r="B24293" t="s">
        <v>28238</v>
      </c>
      <c r="C24293">
        <v>0</v>
      </c>
      <c r="D24293" t="s">
        <v>106</v>
      </c>
      <c r="E24293">
        <v>18.1349325337331</v>
      </c>
    </row>
    <row r="24294" spans="1:5">
      <c r="A24294" t="s">
        <v>28233</v>
      </c>
      <c r="B24294" t="s">
        <v>28239</v>
      </c>
      <c r="C24294">
        <v>0.18938087622399999</v>
      </c>
      <c r="D24294" t="s">
        <v>106</v>
      </c>
      <c r="E24294">
        <v>18.1349325337331</v>
      </c>
    </row>
    <row r="24295" spans="1:5">
      <c r="A24295" t="s">
        <v>28233</v>
      </c>
      <c r="B24295" t="s">
        <v>28240</v>
      </c>
      <c r="C24295">
        <f>0</f>
        <v>0</v>
      </c>
      <c r="D24295" t="s">
        <v>106</v>
      </c>
      <c r="E24295">
        <v>18.1349325337331</v>
      </c>
    </row>
    <row r="24296" spans="1:5">
      <c r="A24296" t="s">
        <v>28233</v>
      </c>
      <c r="B24296" t="s">
        <v>28241</v>
      </c>
      <c r="C24296">
        <v>0</v>
      </c>
      <c r="D24296" t="s">
        <v>106</v>
      </c>
      <c r="E24296">
        <v>18.1349325337331</v>
      </c>
    </row>
    <row r="24297" spans="1:5">
      <c r="A24297" t="s">
        <v>28242</v>
      </c>
      <c r="B24297" t="s">
        <v>28243</v>
      </c>
      <c r="C24297">
        <f>0.611109016544</f>
        <v>0.61110901654399996</v>
      </c>
      <c r="D24297">
        <v>0.940294619798</v>
      </c>
      <c r="E24297">
        <v>0.28785607196401702</v>
      </c>
    </row>
    <row r="24298" spans="1:5">
      <c r="A24298" t="s">
        <v>28244</v>
      </c>
      <c r="B24298" t="s">
        <v>28245</v>
      </c>
      <c r="C24298">
        <v>0</v>
      </c>
      <c r="D24298">
        <v>0.99630397537600002</v>
      </c>
      <c r="E24298">
        <v>10.230884557721099</v>
      </c>
    </row>
    <row r="24299" spans="1:5">
      <c r="A24299" t="s">
        <v>28244</v>
      </c>
      <c r="B24299" t="s">
        <v>28246</v>
      </c>
      <c r="C24299">
        <v>0</v>
      </c>
      <c r="D24299">
        <v>0.99630397537600002</v>
      </c>
      <c r="E24299">
        <v>10.230884557721099</v>
      </c>
    </row>
    <row r="24300" spans="1:5">
      <c r="A24300" t="s">
        <v>28244</v>
      </c>
      <c r="B24300" t="s">
        <v>28247</v>
      </c>
      <c r="C24300">
        <v>0.45217234319499999</v>
      </c>
      <c r="D24300">
        <v>0.99630397537600002</v>
      </c>
      <c r="E24300">
        <v>10.230884557721099</v>
      </c>
    </row>
    <row r="24301" spans="1:5">
      <c r="A24301" t="s">
        <v>28244</v>
      </c>
      <c r="B24301" t="s">
        <v>28248</v>
      </c>
      <c r="C24301">
        <f>0</f>
        <v>0</v>
      </c>
      <c r="D24301">
        <v>0.99630397537600002</v>
      </c>
      <c r="E24301">
        <v>10.230884557721099</v>
      </c>
    </row>
    <row r="24302" spans="1:5">
      <c r="A24302" t="s">
        <v>28244</v>
      </c>
      <c r="B24302" t="s">
        <v>28249</v>
      </c>
      <c r="C24302">
        <v>6.2068463206799998E-2</v>
      </c>
      <c r="D24302">
        <v>0.99630397537600002</v>
      </c>
      <c r="E24302">
        <v>10.230884557721099</v>
      </c>
    </row>
    <row r="24303" spans="1:5">
      <c r="A24303" t="s">
        <v>28250</v>
      </c>
      <c r="B24303" t="s">
        <v>28251</v>
      </c>
      <c r="C24303">
        <v>0</v>
      </c>
      <c r="D24303" t="s">
        <v>106</v>
      </c>
      <c r="E24303">
        <v>24</v>
      </c>
    </row>
    <row r="24304" spans="1:5">
      <c r="A24304" t="s">
        <v>28250</v>
      </c>
      <c r="B24304" t="s">
        <v>28252</v>
      </c>
      <c r="C24304">
        <v>0</v>
      </c>
      <c r="D24304" t="s">
        <v>106</v>
      </c>
      <c r="E24304">
        <v>24</v>
      </c>
    </row>
    <row r="24305" spans="1:5">
      <c r="A24305" t="s">
        <v>28253</v>
      </c>
      <c r="B24305" t="s">
        <v>28254</v>
      </c>
      <c r="C24305">
        <v>0.161718208073</v>
      </c>
      <c r="D24305">
        <v>0.76047744457800004</v>
      </c>
      <c r="E24305">
        <v>3.97001499250374</v>
      </c>
    </row>
    <row r="24306" spans="1:5">
      <c r="A24306" t="s">
        <v>28253</v>
      </c>
      <c r="B24306" t="s">
        <v>28255</v>
      </c>
      <c r="C24306">
        <v>0</v>
      </c>
      <c r="D24306">
        <v>0.76047744457800004</v>
      </c>
      <c r="E24306">
        <v>3.97001499250374</v>
      </c>
    </row>
    <row r="24307" spans="1:5">
      <c r="A24307" t="s">
        <v>28256</v>
      </c>
      <c r="B24307" t="s">
        <v>28257</v>
      </c>
      <c r="C24307">
        <v>8.6048507700999997E-4</v>
      </c>
      <c r="D24307">
        <v>0.95275539388800001</v>
      </c>
      <c r="E24307">
        <v>24</v>
      </c>
    </row>
    <row r="24308" spans="1:5">
      <c r="A24308" t="s">
        <v>28256</v>
      </c>
      <c r="B24308" t="s">
        <v>28258</v>
      </c>
      <c r="C24308">
        <v>6.9961502435500001E-3</v>
      </c>
      <c r="D24308">
        <v>0.95275539388800001</v>
      </c>
      <c r="E24308">
        <v>24</v>
      </c>
    </row>
    <row r="24309" spans="1:5">
      <c r="A24309" t="s">
        <v>28256</v>
      </c>
      <c r="B24309" t="s">
        <v>28259</v>
      </c>
      <c r="C24309">
        <v>0</v>
      </c>
      <c r="D24309">
        <v>0.95275539388800001</v>
      </c>
      <c r="E24309">
        <v>24</v>
      </c>
    </row>
    <row r="24310" spans="1:5">
      <c r="A24310" t="s">
        <v>28256</v>
      </c>
      <c r="B24310" t="s">
        <v>28260</v>
      </c>
      <c r="C24310">
        <v>0</v>
      </c>
      <c r="D24310">
        <v>0.95275539388800001</v>
      </c>
      <c r="E24310">
        <v>24</v>
      </c>
    </row>
    <row r="24311" spans="1:5">
      <c r="A24311" t="s">
        <v>28256</v>
      </c>
      <c r="B24311" t="s">
        <v>28261</v>
      </c>
      <c r="C24311">
        <v>0</v>
      </c>
      <c r="D24311">
        <v>0.95275539388800001</v>
      </c>
      <c r="E24311">
        <v>24</v>
      </c>
    </row>
    <row r="24312" spans="1:5">
      <c r="A24312" t="s">
        <v>28256</v>
      </c>
      <c r="B24312" t="s">
        <v>28262</v>
      </c>
      <c r="C24312">
        <f>0</f>
        <v>0</v>
      </c>
      <c r="D24312">
        <v>0.95275539388800001</v>
      </c>
      <c r="E24312">
        <v>24</v>
      </c>
    </row>
    <row r="24313" spans="1:5">
      <c r="A24313" t="s">
        <v>28256</v>
      </c>
      <c r="B24313" t="s">
        <v>28263</v>
      </c>
      <c r="C24313">
        <v>0</v>
      </c>
      <c r="D24313">
        <v>0.95275539388800001</v>
      </c>
      <c r="E24313">
        <v>24</v>
      </c>
    </row>
    <row r="24314" spans="1:5">
      <c r="A24314" t="s">
        <v>28256</v>
      </c>
      <c r="B24314" t="s">
        <v>28264</v>
      </c>
      <c r="C24314">
        <v>0</v>
      </c>
      <c r="D24314">
        <v>0.95275539388800001</v>
      </c>
      <c r="E24314">
        <v>24</v>
      </c>
    </row>
    <row r="24315" spans="1:5">
      <c r="A24315" t="s">
        <v>28256</v>
      </c>
      <c r="B24315" t="s">
        <v>28265</v>
      </c>
      <c r="C24315">
        <f>0</f>
        <v>0</v>
      </c>
      <c r="D24315">
        <v>0.95275539388800001</v>
      </c>
      <c r="E24315">
        <v>24</v>
      </c>
    </row>
    <row r="24316" spans="1:5">
      <c r="A24316" t="s">
        <v>28256</v>
      </c>
      <c r="B24316" t="s">
        <v>28266</v>
      </c>
      <c r="C24316">
        <v>0</v>
      </c>
      <c r="D24316">
        <v>0.95275539388800001</v>
      </c>
      <c r="E24316">
        <v>24</v>
      </c>
    </row>
    <row r="24317" spans="1:5">
      <c r="A24317" t="s">
        <v>28256</v>
      </c>
      <c r="B24317" t="s">
        <v>28267</v>
      </c>
      <c r="C24317">
        <v>0</v>
      </c>
      <c r="D24317">
        <v>0.95275539388800001</v>
      </c>
      <c r="E24317">
        <v>24</v>
      </c>
    </row>
    <row r="24318" spans="1:5">
      <c r="A24318" t="s">
        <v>28256</v>
      </c>
      <c r="B24318" t="s">
        <v>28268</v>
      </c>
      <c r="C24318">
        <v>0</v>
      </c>
      <c r="D24318">
        <v>0.95275539388800001</v>
      </c>
      <c r="E24318">
        <v>24</v>
      </c>
    </row>
    <row r="24319" spans="1:5">
      <c r="A24319" t="s">
        <v>28256</v>
      </c>
      <c r="B24319" t="s">
        <v>28269</v>
      </c>
      <c r="C24319">
        <f>0</f>
        <v>0</v>
      </c>
      <c r="D24319">
        <v>0.95275539388800001</v>
      </c>
      <c r="E24319">
        <v>24</v>
      </c>
    </row>
    <row r="24320" spans="1:5">
      <c r="A24320" t="s">
        <v>28256</v>
      </c>
      <c r="B24320" t="s">
        <v>28270</v>
      </c>
      <c r="C24320">
        <v>0</v>
      </c>
      <c r="D24320">
        <v>0.95275539388800001</v>
      </c>
      <c r="E24320">
        <v>24</v>
      </c>
    </row>
    <row r="24321" spans="1:5">
      <c r="A24321" t="s">
        <v>28256</v>
      </c>
      <c r="B24321" t="s">
        <v>28271</v>
      </c>
      <c r="C24321">
        <f>0</f>
        <v>0</v>
      </c>
      <c r="D24321">
        <v>0.95275539388800001</v>
      </c>
      <c r="E24321">
        <v>24</v>
      </c>
    </row>
    <row r="24322" spans="1:5">
      <c r="A24322" t="s">
        <v>28256</v>
      </c>
      <c r="B24322" t="s">
        <v>28272</v>
      </c>
      <c r="C24322">
        <v>0</v>
      </c>
      <c r="D24322">
        <v>0.95275539388800001</v>
      </c>
      <c r="E24322">
        <v>24</v>
      </c>
    </row>
    <row r="24323" spans="1:5">
      <c r="A24323" t="s">
        <v>28256</v>
      </c>
      <c r="B24323" t="s">
        <v>28273</v>
      </c>
      <c r="C24323">
        <f>0</f>
        <v>0</v>
      </c>
      <c r="D24323">
        <v>0.95275539388800001</v>
      </c>
      <c r="E24323">
        <v>24</v>
      </c>
    </row>
    <row r="24324" spans="1:5">
      <c r="A24324" t="s">
        <v>28256</v>
      </c>
      <c r="B24324" t="s">
        <v>28274</v>
      </c>
      <c r="C24324">
        <f>0</f>
        <v>0</v>
      </c>
      <c r="D24324">
        <v>0.95275539388800001</v>
      </c>
      <c r="E24324">
        <v>24</v>
      </c>
    </row>
    <row r="24325" spans="1:5">
      <c r="A24325" t="s">
        <v>28275</v>
      </c>
      <c r="B24325" t="s">
        <v>28276</v>
      </c>
      <c r="C24325">
        <v>0</v>
      </c>
      <c r="D24325">
        <v>0.96795978790699999</v>
      </c>
      <c r="E24325">
        <v>13.997001499250301</v>
      </c>
    </row>
    <row r="24326" spans="1:5">
      <c r="A24326" t="s">
        <v>28275</v>
      </c>
      <c r="B24326" t="s">
        <v>28277</v>
      </c>
      <c r="C24326">
        <f>0</f>
        <v>0</v>
      </c>
      <c r="D24326">
        <v>0.96795978790699999</v>
      </c>
      <c r="E24326">
        <v>13.997001499250301</v>
      </c>
    </row>
    <row r="24327" spans="1:5">
      <c r="A24327" t="s">
        <v>28275</v>
      </c>
      <c r="B24327" t="s">
        <v>28278</v>
      </c>
      <c r="C24327">
        <f>0</f>
        <v>0</v>
      </c>
      <c r="D24327">
        <v>0.96795978790699999</v>
      </c>
      <c r="E24327">
        <v>13.997001499250301</v>
      </c>
    </row>
    <row r="24328" spans="1:5">
      <c r="A24328" t="s">
        <v>28275</v>
      </c>
      <c r="B24328" t="s">
        <v>28279</v>
      </c>
      <c r="C24328">
        <f>0</f>
        <v>0</v>
      </c>
      <c r="D24328">
        <v>0.96795978790699999</v>
      </c>
      <c r="E24328">
        <v>13.997001499250301</v>
      </c>
    </row>
    <row r="24329" spans="1:5">
      <c r="A24329" t="s">
        <v>28275</v>
      </c>
      <c r="B24329" t="s">
        <v>28280</v>
      </c>
      <c r="C24329">
        <f>0</f>
        <v>0</v>
      </c>
      <c r="D24329">
        <v>0.96795978790699999</v>
      </c>
      <c r="E24329">
        <v>13.997001499250301</v>
      </c>
    </row>
    <row r="24330" spans="1:5">
      <c r="A24330" t="s">
        <v>28275</v>
      </c>
      <c r="B24330" t="s">
        <v>28281</v>
      </c>
      <c r="C24330">
        <f>0.222073783887</f>
        <v>0.222073783887</v>
      </c>
      <c r="D24330">
        <v>0.96795978790699999</v>
      </c>
      <c r="E24330">
        <v>13.997001499250301</v>
      </c>
    </row>
    <row r="24331" spans="1:5">
      <c r="A24331" t="s">
        <v>28275</v>
      </c>
      <c r="B24331" t="s">
        <v>28282</v>
      </c>
      <c r="C24331">
        <f>0</f>
        <v>0</v>
      </c>
      <c r="D24331">
        <v>0.96795978790699999</v>
      </c>
      <c r="E24331">
        <v>13.997001499250301</v>
      </c>
    </row>
    <row r="24332" spans="1:5">
      <c r="A24332" t="s">
        <v>28275</v>
      </c>
      <c r="B24332" t="s">
        <v>28283</v>
      </c>
      <c r="C24332">
        <v>0</v>
      </c>
      <c r="D24332">
        <v>0.96795978790699999</v>
      </c>
      <c r="E24332">
        <v>13.997001499250301</v>
      </c>
    </row>
    <row r="24333" spans="1:5">
      <c r="A24333" t="s">
        <v>28275</v>
      </c>
      <c r="B24333" t="s">
        <v>28284</v>
      </c>
      <c r="C24333">
        <f>0</f>
        <v>0</v>
      </c>
      <c r="D24333">
        <v>0.96795978790699999</v>
      </c>
      <c r="E24333">
        <v>13.997001499250301</v>
      </c>
    </row>
    <row r="24334" spans="1:5">
      <c r="A24334" t="s">
        <v>28285</v>
      </c>
      <c r="B24334" t="s">
        <v>28286</v>
      </c>
      <c r="C24334">
        <v>0</v>
      </c>
      <c r="D24334">
        <v>0.64105807025600003</v>
      </c>
      <c r="E24334">
        <v>16.095952023988001</v>
      </c>
    </row>
    <row r="24335" spans="1:5">
      <c r="A24335" t="s">
        <v>28285</v>
      </c>
      <c r="B24335" t="s">
        <v>28287</v>
      </c>
      <c r="C24335">
        <f>0</f>
        <v>0</v>
      </c>
      <c r="D24335">
        <v>0.64105807025600003</v>
      </c>
      <c r="E24335">
        <v>16.095952023988001</v>
      </c>
    </row>
    <row r="24336" spans="1:5">
      <c r="A24336" t="s">
        <v>28285</v>
      </c>
      <c r="B24336" t="s">
        <v>28288</v>
      </c>
      <c r="C24336">
        <v>0</v>
      </c>
      <c r="D24336">
        <v>0.64105807025600003</v>
      </c>
      <c r="E24336">
        <v>16.095952023988001</v>
      </c>
    </row>
    <row r="24337" spans="1:5">
      <c r="A24337" t="s">
        <v>28285</v>
      </c>
      <c r="B24337" t="s">
        <v>28289</v>
      </c>
      <c r="C24337">
        <v>0</v>
      </c>
      <c r="D24337">
        <v>0.64105807025600003</v>
      </c>
      <c r="E24337">
        <v>16.095952023988001</v>
      </c>
    </row>
    <row r="24338" spans="1:5">
      <c r="A24338" t="s">
        <v>28285</v>
      </c>
      <c r="B24338" t="s">
        <v>28290</v>
      </c>
      <c r="C24338">
        <f>0</f>
        <v>0</v>
      </c>
      <c r="D24338">
        <v>0.64105807025600003</v>
      </c>
      <c r="E24338">
        <v>16.095952023988001</v>
      </c>
    </row>
    <row r="24339" spans="1:5">
      <c r="A24339" t="s">
        <v>28285</v>
      </c>
      <c r="B24339" t="s">
        <v>28291</v>
      </c>
      <c r="C24339">
        <v>2.3698989896899999E-2</v>
      </c>
      <c r="D24339">
        <v>0.64105807025600003</v>
      </c>
      <c r="E24339">
        <v>16.095952023988001</v>
      </c>
    </row>
    <row r="24340" spans="1:5">
      <c r="A24340" t="s">
        <v>28285</v>
      </c>
      <c r="B24340" t="s">
        <v>28292</v>
      </c>
      <c r="C24340">
        <v>0</v>
      </c>
      <c r="D24340">
        <v>0.64105807025600003</v>
      </c>
      <c r="E24340">
        <v>16.095952023988001</v>
      </c>
    </row>
    <row r="24341" spans="1:5">
      <c r="A24341" t="s">
        <v>28293</v>
      </c>
      <c r="B24341" t="s">
        <v>28294</v>
      </c>
      <c r="C24341">
        <v>0</v>
      </c>
      <c r="D24341">
        <v>0.95520440710200005</v>
      </c>
      <c r="E24341">
        <v>15.5082458770614</v>
      </c>
    </row>
    <row r="24342" spans="1:5">
      <c r="A24342" t="s">
        <v>28293</v>
      </c>
      <c r="B24342" t="s">
        <v>28295</v>
      </c>
      <c r="C24342">
        <f>0</f>
        <v>0</v>
      </c>
      <c r="D24342">
        <v>0.95520440710200005</v>
      </c>
      <c r="E24342">
        <v>15.5082458770614</v>
      </c>
    </row>
    <row r="24343" spans="1:5">
      <c r="A24343" t="s">
        <v>28293</v>
      </c>
      <c r="B24343" t="s">
        <v>28296</v>
      </c>
      <c r="C24343">
        <f>0.136278586084</f>
        <v>0.13627858608400001</v>
      </c>
      <c r="D24343">
        <v>0.95520440710200005</v>
      </c>
      <c r="E24343">
        <v>15.5082458770614</v>
      </c>
    </row>
    <row r="24344" spans="1:5">
      <c r="A24344" t="s">
        <v>28293</v>
      </c>
      <c r="B24344" t="s">
        <v>28297</v>
      </c>
      <c r="C24344">
        <v>0</v>
      </c>
      <c r="D24344">
        <v>0.95520440710200005</v>
      </c>
      <c r="E24344">
        <v>15.5082458770614</v>
      </c>
    </row>
    <row r="24345" spans="1:5">
      <c r="A24345" t="s">
        <v>28293</v>
      </c>
      <c r="B24345" t="s">
        <v>28298</v>
      </c>
      <c r="C24345">
        <v>0</v>
      </c>
      <c r="D24345">
        <v>0.95520440710200005</v>
      </c>
      <c r="E24345">
        <v>15.5082458770614</v>
      </c>
    </row>
    <row r="24346" spans="1:5">
      <c r="A24346" t="s">
        <v>28293</v>
      </c>
      <c r="B24346" t="s">
        <v>28299</v>
      </c>
      <c r="C24346">
        <v>3.51688902244E-2</v>
      </c>
      <c r="D24346">
        <v>0.95520440710200005</v>
      </c>
      <c r="E24346">
        <v>15.5082458770614</v>
      </c>
    </row>
    <row r="24347" spans="1:5">
      <c r="A24347" t="s">
        <v>28293</v>
      </c>
      <c r="B24347" t="s">
        <v>28300</v>
      </c>
      <c r="C24347">
        <v>0</v>
      </c>
      <c r="D24347">
        <v>0.95520440710200005</v>
      </c>
      <c r="E24347">
        <v>15.5082458770614</v>
      </c>
    </row>
    <row r="24348" spans="1:5">
      <c r="A24348" t="s">
        <v>28293</v>
      </c>
      <c r="B24348" t="s">
        <v>28301</v>
      </c>
      <c r="C24348">
        <v>0</v>
      </c>
      <c r="D24348">
        <v>0.95520440710200005</v>
      </c>
      <c r="E24348">
        <v>15.5082458770614</v>
      </c>
    </row>
    <row r="24349" spans="1:5">
      <c r="A24349" t="s">
        <v>28293</v>
      </c>
      <c r="B24349" t="s">
        <v>28302</v>
      </c>
      <c r="C24349">
        <v>0</v>
      </c>
      <c r="D24349">
        <v>0.95520440710200005</v>
      </c>
      <c r="E24349">
        <v>15.5082458770614</v>
      </c>
    </row>
    <row r="24350" spans="1:5">
      <c r="A24350" t="s">
        <v>28293</v>
      </c>
      <c r="B24350" t="s">
        <v>28303</v>
      </c>
      <c r="C24350">
        <f>0</f>
        <v>0</v>
      </c>
      <c r="D24350">
        <v>0.95520440710200005</v>
      </c>
      <c r="E24350">
        <v>15.5082458770614</v>
      </c>
    </row>
    <row r="24351" spans="1:5">
      <c r="A24351" t="s">
        <v>28293</v>
      </c>
      <c r="B24351" t="s">
        <v>28304</v>
      </c>
      <c r="C24351">
        <f>0</f>
        <v>0</v>
      </c>
      <c r="D24351">
        <v>0.95520440710200005</v>
      </c>
      <c r="E24351">
        <v>15.5082458770614</v>
      </c>
    </row>
    <row r="24352" spans="1:5">
      <c r="A24352" t="s">
        <v>28305</v>
      </c>
      <c r="B24352" t="s">
        <v>28306</v>
      </c>
      <c r="C24352">
        <v>0</v>
      </c>
      <c r="D24352" t="s">
        <v>106</v>
      </c>
      <c r="E24352">
        <v>2.0269865067466202</v>
      </c>
    </row>
    <row r="24353" spans="1:5">
      <c r="A24353" t="s">
        <v>28307</v>
      </c>
      <c r="B24353" t="s">
        <v>28308</v>
      </c>
      <c r="C24353">
        <f>0</f>
        <v>0</v>
      </c>
      <c r="D24353" t="s">
        <v>106</v>
      </c>
      <c r="E24353">
        <v>24</v>
      </c>
    </row>
    <row r="24354" spans="1:5">
      <c r="A24354" t="s">
        <v>28307</v>
      </c>
      <c r="B24354" t="s">
        <v>28309</v>
      </c>
      <c r="C24354">
        <f>0</f>
        <v>0</v>
      </c>
      <c r="D24354" t="s">
        <v>106</v>
      </c>
      <c r="E24354">
        <v>24</v>
      </c>
    </row>
    <row r="24355" spans="1:5">
      <c r="A24355" t="s">
        <v>28307</v>
      </c>
      <c r="B24355" t="s">
        <v>28310</v>
      </c>
      <c r="C24355">
        <v>0</v>
      </c>
      <c r="D24355" t="s">
        <v>106</v>
      </c>
      <c r="E24355">
        <v>24</v>
      </c>
    </row>
    <row r="24356" spans="1:5">
      <c r="A24356" t="s">
        <v>28307</v>
      </c>
      <c r="B24356" t="s">
        <v>28311</v>
      </c>
      <c r="C24356">
        <f>0</f>
        <v>0</v>
      </c>
      <c r="D24356" t="s">
        <v>106</v>
      </c>
      <c r="E24356">
        <v>24</v>
      </c>
    </row>
    <row r="24357" spans="1:5">
      <c r="A24357" t="s">
        <v>28312</v>
      </c>
      <c r="B24357" t="s">
        <v>28313</v>
      </c>
      <c r="C24357">
        <v>0</v>
      </c>
      <c r="D24357">
        <v>0.945483718571</v>
      </c>
      <c r="E24357">
        <v>3.7781109445277301</v>
      </c>
    </row>
    <row r="24358" spans="1:5">
      <c r="A24358" t="s">
        <v>28312</v>
      </c>
      <c r="B24358" t="s">
        <v>28314</v>
      </c>
      <c r="C24358">
        <f>0</f>
        <v>0</v>
      </c>
      <c r="D24358">
        <v>0.945483718571</v>
      </c>
      <c r="E24358">
        <v>3.7781109445277301</v>
      </c>
    </row>
    <row r="24359" spans="1:5">
      <c r="A24359" t="s">
        <v>28312</v>
      </c>
      <c r="B24359" t="s">
        <v>28315</v>
      </c>
      <c r="C24359">
        <v>0</v>
      </c>
      <c r="D24359">
        <v>0.945483718571</v>
      </c>
      <c r="E24359">
        <v>3.7781109445277301</v>
      </c>
    </row>
    <row r="24360" spans="1:5">
      <c r="A24360" t="s">
        <v>28316</v>
      </c>
      <c r="B24360" t="s">
        <v>28317</v>
      </c>
      <c r="C24360">
        <v>0.38086830419500001</v>
      </c>
      <c r="D24360">
        <v>0.99574976226</v>
      </c>
      <c r="E24360">
        <v>11.202398800599701</v>
      </c>
    </row>
    <row r="24361" spans="1:5">
      <c r="A24361" t="s">
        <v>28316</v>
      </c>
      <c r="B24361" t="s">
        <v>28318</v>
      </c>
      <c r="C24361">
        <v>4.6834870846999999E-2</v>
      </c>
      <c r="D24361">
        <v>0.99574976226</v>
      </c>
      <c r="E24361">
        <v>11.202398800599701</v>
      </c>
    </row>
    <row r="24362" spans="1:5">
      <c r="A24362" t="s">
        <v>28319</v>
      </c>
      <c r="B24362" t="s">
        <v>28320</v>
      </c>
      <c r="C24362">
        <v>5.2605442303099999E-2</v>
      </c>
      <c r="D24362">
        <v>0.90865751811899997</v>
      </c>
      <c r="E24362">
        <v>2.0269865067466202</v>
      </c>
    </row>
    <row r="24363" spans="1:5">
      <c r="A24363" t="s">
        <v>28319</v>
      </c>
      <c r="B24363" t="s">
        <v>28321</v>
      </c>
      <c r="C24363">
        <v>0.19861408202700001</v>
      </c>
      <c r="D24363">
        <v>0.90865751811899997</v>
      </c>
      <c r="E24363">
        <v>2.0269865067466202</v>
      </c>
    </row>
    <row r="24364" spans="1:5">
      <c r="A24364" t="s">
        <v>28319</v>
      </c>
      <c r="B24364" t="s">
        <v>28322</v>
      </c>
      <c r="C24364">
        <v>0</v>
      </c>
      <c r="D24364">
        <v>0.90865751811899997</v>
      </c>
      <c r="E24364">
        <v>2.0269865067466202</v>
      </c>
    </row>
    <row r="24365" spans="1:5">
      <c r="A24365" t="s">
        <v>28319</v>
      </c>
      <c r="B24365" t="s">
        <v>28323</v>
      </c>
      <c r="C24365">
        <v>0</v>
      </c>
      <c r="D24365">
        <v>0.90865751811899997</v>
      </c>
      <c r="E24365">
        <v>2.0269865067466202</v>
      </c>
    </row>
    <row r="24366" spans="1:5">
      <c r="A24366" t="s">
        <v>28324</v>
      </c>
      <c r="B24366" t="s">
        <v>28325</v>
      </c>
      <c r="C24366">
        <f>0</f>
        <v>0</v>
      </c>
      <c r="D24366" t="s">
        <v>106</v>
      </c>
      <c r="E24366">
        <v>2.96251874062968</v>
      </c>
    </row>
    <row r="24367" spans="1:5">
      <c r="A24367" t="s">
        <v>28324</v>
      </c>
      <c r="B24367" t="s">
        <v>28326</v>
      </c>
      <c r="C24367">
        <f>0</f>
        <v>0</v>
      </c>
      <c r="D24367" t="s">
        <v>106</v>
      </c>
      <c r="E24367">
        <v>2.96251874062968</v>
      </c>
    </row>
    <row r="24368" spans="1:5">
      <c r="A24368" t="s">
        <v>28324</v>
      </c>
      <c r="B24368" t="s">
        <v>28327</v>
      </c>
      <c r="C24368">
        <f>0</f>
        <v>0</v>
      </c>
      <c r="D24368" t="s">
        <v>106</v>
      </c>
      <c r="E24368">
        <v>2.96251874062968</v>
      </c>
    </row>
    <row r="24369" spans="1:5">
      <c r="A24369" t="s">
        <v>28324</v>
      </c>
      <c r="B24369" t="s">
        <v>28328</v>
      </c>
      <c r="C24369">
        <v>0</v>
      </c>
      <c r="D24369" t="s">
        <v>106</v>
      </c>
      <c r="E24369">
        <v>2.96251874062968</v>
      </c>
    </row>
    <row r="24370" spans="1:5">
      <c r="A24370" t="s">
        <v>28324</v>
      </c>
      <c r="B24370" t="s">
        <v>28329</v>
      </c>
      <c r="C24370">
        <v>0</v>
      </c>
      <c r="D24370" t="s">
        <v>106</v>
      </c>
      <c r="E24370">
        <v>2.96251874062968</v>
      </c>
    </row>
    <row r="24371" spans="1:5">
      <c r="A24371" t="s">
        <v>28330</v>
      </c>
      <c r="B24371" t="s">
        <v>28331</v>
      </c>
      <c r="C24371">
        <f>0</f>
        <v>0</v>
      </c>
      <c r="D24371">
        <v>0.92423993777900004</v>
      </c>
      <c r="E24371">
        <v>4.1739130434782599</v>
      </c>
    </row>
    <row r="24372" spans="1:5">
      <c r="A24372" t="s">
        <v>28330</v>
      </c>
      <c r="B24372" t="s">
        <v>28332</v>
      </c>
      <c r="C24372">
        <v>0</v>
      </c>
      <c r="D24372">
        <v>0.92423993777900004</v>
      </c>
      <c r="E24372">
        <v>4.1739130434782599</v>
      </c>
    </row>
    <row r="24373" spans="1:5">
      <c r="A24373" t="s">
        <v>28330</v>
      </c>
      <c r="B24373" t="s">
        <v>28333</v>
      </c>
      <c r="C24373">
        <v>0.28603836110000003</v>
      </c>
      <c r="D24373">
        <v>0.92423993777900004</v>
      </c>
      <c r="E24373">
        <v>4.1739130434782599</v>
      </c>
    </row>
    <row r="24374" spans="1:5">
      <c r="A24374" t="s">
        <v>28330</v>
      </c>
      <c r="B24374" t="s">
        <v>28334</v>
      </c>
      <c r="C24374">
        <v>0</v>
      </c>
      <c r="D24374">
        <v>0.92423993777900004</v>
      </c>
      <c r="E24374">
        <v>4.1739130434782599</v>
      </c>
    </row>
    <row r="24375" spans="1:5">
      <c r="A24375" t="s">
        <v>28330</v>
      </c>
      <c r="B24375" t="s">
        <v>28335</v>
      </c>
      <c r="C24375">
        <v>3.2377402728900002E-2</v>
      </c>
      <c r="D24375">
        <v>0.92423993777900004</v>
      </c>
      <c r="E24375">
        <v>4.1739130434782599</v>
      </c>
    </row>
    <row r="24376" spans="1:5">
      <c r="A24376" t="s">
        <v>28336</v>
      </c>
      <c r="B24376" t="s">
        <v>28337</v>
      </c>
      <c r="C24376">
        <f>0.284744111881</f>
        <v>0.28474411188100002</v>
      </c>
      <c r="D24376">
        <v>0.79652715797499996</v>
      </c>
      <c r="E24376">
        <v>19.850074962518701</v>
      </c>
    </row>
    <row r="24377" spans="1:5">
      <c r="A24377" t="s">
        <v>28336</v>
      </c>
      <c r="B24377" t="s">
        <v>28338</v>
      </c>
      <c r="C24377">
        <v>0.21761017508200001</v>
      </c>
      <c r="D24377">
        <v>0.79652715797499996</v>
      </c>
      <c r="E24377">
        <v>19.850074962518701</v>
      </c>
    </row>
    <row r="24378" spans="1:5">
      <c r="A24378" t="s">
        <v>28339</v>
      </c>
      <c r="B24378" t="s">
        <v>28340</v>
      </c>
      <c r="C24378">
        <v>0.218252626772</v>
      </c>
      <c r="D24378">
        <v>0.66780619824700005</v>
      </c>
      <c r="E24378">
        <v>10.230884557721099</v>
      </c>
    </row>
    <row r="24379" spans="1:5">
      <c r="A24379" t="s">
        <v>28341</v>
      </c>
      <c r="B24379" t="s">
        <v>28342</v>
      </c>
      <c r="C24379">
        <v>8.3390387312300002E-2</v>
      </c>
      <c r="D24379">
        <v>0.93369263299799998</v>
      </c>
      <c r="E24379">
        <v>3.40629685157421</v>
      </c>
    </row>
    <row r="24380" spans="1:5">
      <c r="A24380" t="s">
        <v>28341</v>
      </c>
      <c r="B24380" t="s">
        <v>28343</v>
      </c>
      <c r="C24380">
        <f>0</f>
        <v>0</v>
      </c>
      <c r="D24380">
        <v>0.93369263299799998</v>
      </c>
      <c r="E24380">
        <v>3.40629685157421</v>
      </c>
    </row>
    <row r="24381" spans="1:5">
      <c r="A24381" t="s">
        <v>28341</v>
      </c>
      <c r="B24381" t="s">
        <v>28344</v>
      </c>
      <c r="C24381">
        <v>0</v>
      </c>
      <c r="D24381">
        <v>0.93369263299799998</v>
      </c>
      <c r="E24381">
        <v>3.40629685157421</v>
      </c>
    </row>
    <row r="24382" spans="1:5">
      <c r="A24382" t="s">
        <v>28341</v>
      </c>
      <c r="B24382" t="s">
        <v>28345</v>
      </c>
      <c r="C24382">
        <v>0</v>
      </c>
      <c r="D24382">
        <v>0.93369263299799998</v>
      </c>
      <c r="E24382">
        <v>3.40629685157421</v>
      </c>
    </row>
    <row r="24383" spans="1:5">
      <c r="A24383" t="s">
        <v>28341</v>
      </c>
      <c r="B24383" t="s">
        <v>28346</v>
      </c>
      <c r="C24383">
        <v>0</v>
      </c>
      <c r="D24383">
        <v>0.93369263299799998</v>
      </c>
      <c r="E24383">
        <v>3.40629685157421</v>
      </c>
    </row>
    <row r="24384" spans="1:5">
      <c r="A24384" t="s">
        <v>28347</v>
      </c>
      <c r="B24384" t="s">
        <v>28348</v>
      </c>
      <c r="C24384">
        <v>0.53942259974399998</v>
      </c>
      <c r="D24384">
        <v>0.95492495099399999</v>
      </c>
      <c r="E24384">
        <v>8.5757121439280297</v>
      </c>
    </row>
    <row r="24385" spans="1:5">
      <c r="A24385" t="s">
        <v>28347</v>
      </c>
      <c r="B24385" t="s">
        <v>28349</v>
      </c>
      <c r="C24385">
        <v>0.234082869607</v>
      </c>
      <c r="D24385">
        <v>0.95492495099399999</v>
      </c>
      <c r="E24385">
        <v>8.5757121439280297</v>
      </c>
    </row>
    <row r="24386" spans="1:5">
      <c r="A24386" t="s">
        <v>28347</v>
      </c>
      <c r="B24386" t="s">
        <v>28350</v>
      </c>
      <c r="C24386">
        <v>0</v>
      </c>
      <c r="D24386">
        <v>0.95492495099399999</v>
      </c>
      <c r="E24386">
        <v>8.5757121439280297</v>
      </c>
    </row>
    <row r="24387" spans="1:5">
      <c r="A24387" t="s">
        <v>28351</v>
      </c>
      <c r="B24387" t="s">
        <v>28352</v>
      </c>
      <c r="C24387">
        <v>0</v>
      </c>
      <c r="D24387">
        <v>0.99899542098399996</v>
      </c>
      <c r="E24387">
        <v>3.40629685157421</v>
      </c>
    </row>
    <row r="24388" spans="1:5">
      <c r="A24388" t="s">
        <v>28351</v>
      </c>
      <c r="B24388" t="s">
        <v>28353</v>
      </c>
      <c r="C24388">
        <f>0</f>
        <v>0</v>
      </c>
      <c r="D24388">
        <v>0.99899542098399996</v>
      </c>
      <c r="E24388">
        <v>3.40629685157421</v>
      </c>
    </row>
    <row r="24389" spans="1:5">
      <c r="A24389" t="s">
        <v>28351</v>
      </c>
      <c r="B24389" t="s">
        <v>28354</v>
      </c>
      <c r="C24389">
        <f>0</f>
        <v>0</v>
      </c>
      <c r="D24389">
        <v>0.99899542098399996</v>
      </c>
      <c r="E24389">
        <v>3.40629685157421</v>
      </c>
    </row>
    <row r="24390" spans="1:5">
      <c r="A24390" t="s">
        <v>28351</v>
      </c>
      <c r="B24390" t="s">
        <v>28355</v>
      </c>
      <c r="C24390">
        <f>0</f>
        <v>0</v>
      </c>
      <c r="D24390">
        <v>0.99899542098399996</v>
      </c>
      <c r="E24390">
        <v>3.40629685157421</v>
      </c>
    </row>
    <row r="24391" spans="1:5">
      <c r="A24391" t="s">
        <v>28351</v>
      </c>
      <c r="B24391" t="s">
        <v>28356</v>
      </c>
      <c r="C24391">
        <f>0</f>
        <v>0</v>
      </c>
      <c r="D24391">
        <v>0.99899542098399996</v>
      </c>
      <c r="E24391">
        <v>3.40629685157421</v>
      </c>
    </row>
    <row r="24392" spans="1:5">
      <c r="A24392" t="s">
        <v>28357</v>
      </c>
      <c r="B24392" t="s">
        <v>28358</v>
      </c>
      <c r="C24392">
        <v>0</v>
      </c>
      <c r="D24392" t="s">
        <v>106</v>
      </c>
      <c r="E24392">
        <v>1.33133433283358</v>
      </c>
    </row>
    <row r="24393" spans="1:5">
      <c r="A24393" t="s">
        <v>28357</v>
      </c>
      <c r="B24393" t="s">
        <v>28359</v>
      </c>
      <c r="C24393">
        <f>0</f>
        <v>0</v>
      </c>
      <c r="D24393" t="s">
        <v>106</v>
      </c>
      <c r="E24393">
        <v>1.33133433283358</v>
      </c>
    </row>
    <row r="24394" spans="1:5">
      <c r="A24394" t="s">
        <v>28357</v>
      </c>
      <c r="B24394" t="s">
        <v>28360</v>
      </c>
      <c r="C24394">
        <v>0</v>
      </c>
      <c r="D24394" t="s">
        <v>106</v>
      </c>
      <c r="E24394">
        <v>1.33133433283358</v>
      </c>
    </row>
    <row r="24395" spans="1:5">
      <c r="A24395" t="s">
        <v>28357</v>
      </c>
      <c r="B24395" t="s">
        <v>28361</v>
      </c>
      <c r="C24395">
        <f>0</f>
        <v>0</v>
      </c>
      <c r="D24395" t="s">
        <v>106</v>
      </c>
      <c r="E24395">
        <v>1.33133433283358</v>
      </c>
    </row>
    <row r="24396" spans="1:5">
      <c r="A24396" t="s">
        <v>28357</v>
      </c>
      <c r="B24396" t="s">
        <v>28362</v>
      </c>
      <c r="C24396">
        <f>0</f>
        <v>0</v>
      </c>
      <c r="D24396" t="s">
        <v>106</v>
      </c>
      <c r="E24396">
        <v>1.33133433283358</v>
      </c>
    </row>
    <row r="24397" spans="1:5">
      <c r="A24397" t="s">
        <v>28357</v>
      </c>
      <c r="B24397" t="s">
        <v>28363</v>
      </c>
      <c r="C24397">
        <v>0</v>
      </c>
      <c r="D24397" t="s">
        <v>106</v>
      </c>
      <c r="E24397">
        <v>1.33133433283358</v>
      </c>
    </row>
    <row r="24398" spans="1:5">
      <c r="A24398" t="s">
        <v>28357</v>
      </c>
      <c r="B24398" t="s">
        <v>28364</v>
      </c>
      <c r="C24398">
        <v>0</v>
      </c>
      <c r="D24398" t="s">
        <v>106</v>
      </c>
      <c r="E24398">
        <v>1.33133433283358</v>
      </c>
    </row>
    <row r="24399" spans="1:5">
      <c r="A24399" t="s">
        <v>28357</v>
      </c>
      <c r="B24399" t="s">
        <v>28365</v>
      </c>
      <c r="C24399">
        <v>0</v>
      </c>
      <c r="D24399" t="s">
        <v>106</v>
      </c>
      <c r="E24399">
        <v>1.33133433283358</v>
      </c>
    </row>
    <row r="24400" spans="1:5">
      <c r="A24400" t="s">
        <v>28357</v>
      </c>
      <c r="B24400" t="s">
        <v>28366</v>
      </c>
      <c r="C24400">
        <v>0</v>
      </c>
      <c r="D24400" t="s">
        <v>106</v>
      </c>
      <c r="E24400">
        <v>1.33133433283358</v>
      </c>
    </row>
    <row r="24401" spans="1:5">
      <c r="A24401" t="s">
        <v>28357</v>
      </c>
      <c r="B24401" t="s">
        <v>28367</v>
      </c>
      <c r="C24401">
        <v>0</v>
      </c>
      <c r="D24401" t="s">
        <v>106</v>
      </c>
      <c r="E24401">
        <v>1.33133433283358</v>
      </c>
    </row>
    <row r="24402" spans="1:5">
      <c r="A24402" t="s">
        <v>28357</v>
      </c>
      <c r="B24402" t="s">
        <v>28368</v>
      </c>
      <c r="C24402">
        <f>0</f>
        <v>0</v>
      </c>
      <c r="D24402" t="s">
        <v>106</v>
      </c>
      <c r="E24402">
        <v>1.33133433283358</v>
      </c>
    </row>
    <row r="24403" spans="1:5">
      <c r="A24403" t="s">
        <v>28357</v>
      </c>
      <c r="B24403" t="s">
        <v>28369</v>
      </c>
      <c r="C24403">
        <f>0</f>
        <v>0</v>
      </c>
      <c r="D24403" t="s">
        <v>106</v>
      </c>
      <c r="E24403">
        <v>1.33133433283358</v>
      </c>
    </row>
    <row r="24404" spans="1:5">
      <c r="A24404" t="s">
        <v>28357</v>
      </c>
      <c r="B24404" t="s">
        <v>28370</v>
      </c>
      <c r="C24404">
        <f>0</f>
        <v>0</v>
      </c>
      <c r="D24404" t="s">
        <v>106</v>
      </c>
      <c r="E24404">
        <v>1.33133433283358</v>
      </c>
    </row>
    <row r="24405" spans="1:5">
      <c r="A24405" t="s">
        <v>28371</v>
      </c>
      <c r="B24405" t="s">
        <v>28372</v>
      </c>
      <c r="C24405">
        <v>0</v>
      </c>
      <c r="D24405">
        <v>0.75956558198500002</v>
      </c>
      <c r="E24405">
        <v>13.2653673163418</v>
      </c>
    </row>
    <row r="24406" spans="1:5">
      <c r="A24406" t="s">
        <v>28371</v>
      </c>
      <c r="B24406" t="s">
        <v>28373</v>
      </c>
      <c r="C24406">
        <f>0</f>
        <v>0</v>
      </c>
      <c r="D24406">
        <v>0.75956558198500002</v>
      </c>
      <c r="E24406">
        <v>13.2653673163418</v>
      </c>
    </row>
    <row r="24407" spans="1:5">
      <c r="A24407" t="s">
        <v>28371</v>
      </c>
      <c r="B24407" t="s">
        <v>28374</v>
      </c>
      <c r="C24407">
        <v>0</v>
      </c>
      <c r="D24407">
        <v>0.75956558198500002</v>
      </c>
      <c r="E24407">
        <v>13.2653673163418</v>
      </c>
    </row>
    <row r="24408" spans="1:5">
      <c r="A24408" t="s">
        <v>28371</v>
      </c>
      <c r="B24408" t="s">
        <v>28375</v>
      </c>
      <c r="C24408">
        <f>0</f>
        <v>0</v>
      </c>
      <c r="D24408">
        <v>0.75956558198500002</v>
      </c>
      <c r="E24408">
        <v>13.2653673163418</v>
      </c>
    </row>
    <row r="24409" spans="1:5">
      <c r="A24409" t="s">
        <v>28371</v>
      </c>
      <c r="B24409" t="s">
        <v>28376</v>
      </c>
      <c r="C24409">
        <f>0.0343332887651</f>
        <v>3.4333288765100001E-2</v>
      </c>
      <c r="D24409">
        <v>0.75956558198500002</v>
      </c>
      <c r="E24409">
        <v>13.2653673163418</v>
      </c>
    </row>
    <row r="24410" spans="1:5">
      <c r="A24410" t="s">
        <v>28371</v>
      </c>
      <c r="B24410" t="s">
        <v>28377</v>
      </c>
      <c r="C24410">
        <v>0</v>
      </c>
      <c r="D24410">
        <v>0.75956558198500002</v>
      </c>
      <c r="E24410">
        <v>13.2653673163418</v>
      </c>
    </row>
    <row r="24411" spans="1:5">
      <c r="A24411" t="s">
        <v>28371</v>
      </c>
      <c r="B24411" t="s">
        <v>28378</v>
      </c>
      <c r="C24411">
        <v>0</v>
      </c>
      <c r="D24411">
        <v>0.75956558198500002</v>
      </c>
      <c r="E24411">
        <v>13.2653673163418</v>
      </c>
    </row>
    <row r="24412" spans="1:5">
      <c r="A24412" t="s">
        <v>28379</v>
      </c>
      <c r="B24412" t="s">
        <v>28380</v>
      </c>
      <c r="C24412">
        <v>0.37276406384400002</v>
      </c>
      <c r="D24412" t="s">
        <v>106</v>
      </c>
      <c r="E24412">
        <v>2.8785607196401801</v>
      </c>
    </row>
    <row r="24413" spans="1:5">
      <c r="A24413" t="s">
        <v>28379</v>
      </c>
      <c r="B24413" t="s">
        <v>28381</v>
      </c>
      <c r="C24413">
        <v>0</v>
      </c>
      <c r="D24413" t="s">
        <v>106</v>
      </c>
      <c r="E24413">
        <v>2.8785607196401801</v>
      </c>
    </row>
    <row r="24414" spans="1:5">
      <c r="A24414" t="s">
        <v>28379</v>
      </c>
      <c r="B24414" t="s">
        <v>28382</v>
      </c>
      <c r="C24414">
        <v>0</v>
      </c>
      <c r="D24414" t="s">
        <v>106</v>
      </c>
      <c r="E24414">
        <v>2.8785607196401801</v>
      </c>
    </row>
    <row r="24415" spans="1:5">
      <c r="A24415" t="s">
        <v>28383</v>
      </c>
      <c r="B24415" t="s">
        <v>28384</v>
      </c>
      <c r="C24415">
        <f>0</f>
        <v>0</v>
      </c>
      <c r="D24415" t="s">
        <v>106</v>
      </c>
      <c r="E24415">
        <v>7.8680659670164896</v>
      </c>
    </row>
    <row r="24416" spans="1:5">
      <c r="A24416" t="s">
        <v>28383</v>
      </c>
      <c r="B24416" t="s">
        <v>28385</v>
      </c>
      <c r="C24416">
        <v>0</v>
      </c>
      <c r="D24416" t="s">
        <v>106</v>
      </c>
      <c r="E24416">
        <v>7.8680659670164896</v>
      </c>
    </row>
    <row r="24417" spans="1:5">
      <c r="A24417" t="s">
        <v>28383</v>
      </c>
      <c r="B24417" t="s">
        <v>28386</v>
      </c>
      <c r="C24417">
        <v>0</v>
      </c>
      <c r="D24417" t="s">
        <v>106</v>
      </c>
      <c r="E24417">
        <v>7.8680659670164896</v>
      </c>
    </row>
    <row r="24418" spans="1:5">
      <c r="A24418" t="s">
        <v>28383</v>
      </c>
      <c r="B24418" t="s">
        <v>28387</v>
      </c>
      <c r="C24418">
        <v>0</v>
      </c>
      <c r="D24418" t="s">
        <v>106</v>
      </c>
      <c r="E24418">
        <v>7.8680659670164896</v>
      </c>
    </row>
    <row r="24419" spans="1:5">
      <c r="A24419" t="s">
        <v>28383</v>
      </c>
      <c r="B24419" t="s">
        <v>28388</v>
      </c>
      <c r="C24419">
        <v>0</v>
      </c>
      <c r="D24419" t="s">
        <v>106</v>
      </c>
      <c r="E24419">
        <v>7.8680659670164896</v>
      </c>
    </row>
    <row r="24420" spans="1:5">
      <c r="A24420" t="s">
        <v>28383</v>
      </c>
      <c r="B24420" t="s">
        <v>28389</v>
      </c>
      <c r="C24420">
        <f>0</f>
        <v>0</v>
      </c>
      <c r="D24420" t="s">
        <v>106</v>
      </c>
      <c r="E24420">
        <v>7.8680659670164896</v>
      </c>
    </row>
    <row r="24421" spans="1:5">
      <c r="A24421" t="s">
        <v>28383</v>
      </c>
      <c r="B24421" t="s">
        <v>28390</v>
      </c>
      <c r="C24421">
        <v>0</v>
      </c>
      <c r="D24421" t="s">
        <v>106</v>
      </c>
      <c r="E24421">
        <v>7.8680659670164896</v>
      </c>
    </row>
    <row r="24422" spans="1:5">
      <c r="A24422" t="s">
        <v>28383</v>
      </c>
      <c r="B24422" t="s">
        <v>28391</v>
      </c>
      <c r="C24422">
        <f>0</f>
        <v>0</v>
      </c>
      <c r="D24422" t="s">
        <v>106</v>
      </c>
      <c r="E24422">
        <v>7.8680659670164896</v>
      </c>
    </row>
    <row r="24423" spans="1:5">
      <c r="A24423" t="s">
        <v>28383</v>
      </c>
      <c r="B24423" t="s">
        <v>28392</v>
      </c>
      <c r="C24423">
        <v>0</v>
      </c>
      <c r="D24423" t="s">
        <v>106</v>
      </c>
      <c r="E24423">
        <v>7.8680659670164896</v>
      </c>
    </row>
    <row r="24424" spans="1:5">
      <c r="A24424" t="s">
        <v>28383</v>
      </c>
      <c r="B24424" t="s">
        <v>28393</v>
      </c>
      <c r="C24424">
        <f>0</f>
        <v>0</v>
      </c>
      <c r="D24424" t="s">
        <v>106</v>
      </c>
      <c r="E24424">
        <v>7.8680659670164896</v>
      </c>
    </row>
    <row r="24425" spans="1:5">
      <c r="A24425" t="s">
        <v>28394</v>
      </c>
      <c r="B24425" t="s">
        <v>28395</v>
      </c>
      <c r="C24425">
        <v>3.2310400846899998E-2</v>
      </c>
      <c r="D24425">
        <v>0.69270095156400002</v>
      </c>
      <c r="E24425">
        <v>13.445277361319301</v>
      </c>
    </row>
    <row r="24426" spans="1:5">
      <c r="A24426" t="s">
        <v>28396</v>
      </c>
      <c r="B24426" t="s">
        <v>28397</v>
      </c>
      <c r="C24426">
        <v>0</v>
      </c>
      <c r="D24426">
        <v>0.98783729602199999</v>
      </c>
      <c r="E24426">
        <v>4.58170914542728</v>
      </c>
    </row>
    <row r="24427" spans="1:5">
      <c r="A24427" t="s">
        <v>28396</v>
      </c>
      <c r="B24427" t="s">
        <v>28398</v>
      </c>
      <c r="C24427">
        <v>0</v>
      </c>
      <c r="D24427">
        <v>0.98783729602199999</v>
      </c>
      <c r="E24427">
        <v>4.58170914542728</v>
      </c>
    </row>
    <row r="24428" spans="1:5">
      <c r="A24428" t="s">
        <v>28396</v>
      </c>
      <c r="B24428" t="s">
        <v>28399</v>
      </c>
      <c r="C24428">
        <v>0</v>
      </c>
      <c r="D24428">
        <v>0.98783729602199999</v>
      </c>
      <c r="E24428">
        <v>4.58170914542728</v>
      </c>
    </row>
    <row r="24429" spans="1:5">
      <c r="A24429" t="s">
        <v>28396</v>
      </c>
      <c r="B24429" t="s">
        <v>28400</v>
      </c>
      <c r="C24429">
        <v>0</v>
      </c>
      <c r="D24429">
        <v>0.98783729602199999</v>
      </c>
      <c r="E24429">
        <v>4.58170914542728</v>
      </c>
    </row>
    <row r="24430" spans="1:5">
      <c r="A24430" t="s">
        <v>28396</v>
      </c>
      <c r="B24430" t="s">
        <v>28401</v>
      </c>
      <c r="C24430">
        <v>0</v>
      </c>
      <c r="D24430">
        <v>0.98783729602199999</v>
      </c>
      <c r="E24430">
        <v>4.58170914542728</v>
      </c>
    </row>
    <row r="24431" spans="1:5">
      <c r="A24431" t="s">
        <v>28396</v>
      </c>
      <c r="B24431" t="s">
        <v>28402</v>
      </c>
      <c r="C24431">
        <v>0</v>
      </c>
      <c r="D24431">
        <v>0.98783729602199999</v>
      </c>
      <c r="E24431">
        <v>4.58170914542728</v>
      </c>
    </row>
    <row r="24432" spans="1:5">
      <c r="A24432" t="s">
        <v>28396</v>
      </c>
      <c r="B24432" t="s">
        <v>28403</v>
      </c>
      <c r="C24432">
        <f>0</f>
        <v>0</v>
      </c>
      <c r="D24432">
        <v>0.98783729602199999</v>
      </c>
      <c r="E24432">
        <v>4.58170914542728</v>
      </c>
    </row>
    <row r="24433" spans="1:5">
      <c r="A24433" t="s">
        <v>28396</v>
      </c>
      <c r="B24433" t="s">
        <v>28404</v>
      </c>
      <c r="C24433">
        <f>0</f>
        <v>0</v>
      </c>
      <c r="D24433">
        <v>0.98783729602199999</v>
      </c>
      <c r="E24433">
        <v>4.58170914542728</v>
      </c>
    </row>
    <row r="24434" spans="1:5">
      <c r="A24434" t="s">
        <v>28396</v>
      </c>
      <c r="B24434" t="s">
        <v>28405</v>
      </c>
      <c r="C24434">
        <v>0</v>
      </c>
      <c r="D24434">
        <v>0.98783729602199999</v>
      </c>
      <c r="E24434">
        <v>4.58170914542728</v>
      </c>
    </row>
    <row r="24435" spans="1:5">
      <c r="A24435" t="s">
        <v>28396</v>
      </c>
      <c r="B24435" t="s">
        <v>28406</v>
      </c>
      <c r="C24435">
        <v>0</v>
      </c>
      <c r="D24435">
        <v>0.98783729602199999</v>
      </c>
      <c r="E24435">
        <v>4.58170914542728</v>
      </c>
    </row>
    <row r="24436" spans="1:5">
      <c r="A24436" t="s">
        <v>28407</v>
      </c>
      <c r="B24436" t="s">
        <v>28408</v>
      </c>
      <c r="C24436">
        <v>0</v>
      </c>
      <c r="D24436" t="s">
        <v>106</v>
      </c>
      <c r="E24436">
        <v>1.51124437781109</v>
      </c>
    </row>
    <row r="24437" spans="1:5">
      <c r="A24437" t="s">
        <v>28407</v>
      </c>
      <c r="B24437" t="s">
        <v>28409</v>
      </c>
      <c r="C24437">
        <f>0</f>
        <v>0</v>
      </c>
      <c r="D24437" t="s">
        <v>106</v>
      </c>
      <c r="E24437">
        <v>1.51124437781109</v>
      </c>
    </row>
    <row r="24438" spans="1:5">
      <c r="A24438" t="s">
        <v>28407</v>
      </c>
      <c r="B24438" t="s">
        <v>28410</v>
      </c>
      <c r="C24438">
        <f>0</f>
        <v>0</v>
      </c>
      <c r="D24438" t="s">
        <v>106</v>
      </c>
      <c r="E24438">
        <v>1.51124437781109</v>
      </c>
    </row>
    <row r="24439" spans="1:5">
      <c r="A24439" t="s">
        <v>28407</v>
      </c>
      <c r="B24439" t="s">
        <v>28411</v>
      </c>
      <c r="C24439">
        <f>0</f>
        <v>0</v>
      </c>
      <c r="D24439" t="s">
        <v>106</v>
      </c>
      <c r="E24439">
        <v>1.51124437781109</v>
      </c>
    </row>
    <row r="24440" spans="1:5">
      <c r="A24440" t="s">
        <v>28407</v>
      </c>
      <c r="B24440" t="s">
        <v>28412</v>
      </c>
      <c r="C24440">
        <v>0</v>
      </c>
      <c r="D24440" t="s">
        <v>106</v>
      </c>
      <c r="E24440">
        <v>1.51124437781109</v>
      </c>
    </row>
    <row r="24441" spans="1:5">
      <c r="A24441" t="s">
        <v>28407</v>
      </c>
      <c r="B24441" t="s">
        <v>28413</v>
      </c>
      <c r="C24441">
        <v>0</v>
      </c>
      <c r="D24441" t="s">
        <v>106</v>
      </c>
      <c r="E24441">
        <v>1.51124437781109</v>
      </c>
    </row>
    <row r="24442" spans="1:5">
      <c r="A24442" t="s">
        <v>28407</v>
      </c>
      <c r="B24442" t="s">
        <v>28414</v>
      </c>
      <c r="C24442">
        <v>0</v>
      </c>
      <c r="D24442" t="s">
        <v>106</v>
      </c>
      <c r="E24442">
        <v>1.51124437781109</v>
      </c>
    </row>
    <row r="24443" spans="1:5">
      <c r="A24443" t="s">
        <v>28415</v>
      </c>
      <c r="B24443" t="s">
        <v>28416</v>
      </c>
      <c r="C24443">
        <v>0</v>
      </c>
      <c r="D24443" t="s">
        <v>106</v>
      </c>
      <c r="E24443">
        <v>0.86356821589205401</v>
      </c>
    </row>
    <row r="24444" spans="1:5">
      <c r="A24444" t="s">
        <v>28415</v>
      </c>
      <c r="B24444" t="s">
        <v>28417</v>
      </c>
      <c r="C24444">
        <f>0</f>
        <v>0</v>
      </c>
      <c r="D24444" t="s">
        <v>106</v>
      </c>
      <c r="E24444">
        <v>0.86356821589205401</v>
      </c>
    </row>
    <row r="24445" spans="1:5">
      <c r="A24445" t="s">
        <v>28415</v>
      </c>
      <c r="B24445" t="s">
        <v>28418</v>
      </c>
      <c r="C24445">
        <f>0</f>
        <v>0</v>
      </c>
      <c r="D24445" t="s">
        <v>106</v>
      </c>
      <c r="E24445">
        <v>0.86356821589205401</v>
      </c>
    </row>
    <row r="24446" spans="1:5">
      <c r="A24446" t="s">
        <v>28415</v>
      </c>
      <c r="B24446" t="s">
        <v>28419</v>
      </c>
      <c r="C24446">
        <f>0</f>
        <v>0</v>
      </c>
      <c r="D24446" t="s">
        <v>106</v>
      </c>
      <c r="E24446">
        <v>0.86356821589205401</v>
      </c>
    </row>
    <row r="24447" spans="1:5">
      <c r="A24447" t="s">
        <v>28415</v>
      </c>
      <c r="B24447" t="s">
        <v>28420</v>
      </c>
      <c r="C24447">
        <f>0</f>
        <v>0</v>
      </c>
      <c r="D24447" t="s">
        <v>106</v>
      </c>
      <c r="E24447">
        <v>0.86356821589205401</v>
      </c>
    </row>
    <row r="24448" spans="1:5">
      <c r="A24448" t="s">
        <v>28421</v>
      </c>
      <c r="B24448" t="s">
        <v>28422</v>
      </c>
      <c r="C24448">
        <v>0</v>
      </c>
      <c r="D24448" t="s">
        <v>106</v>
      </c>
      <c r="E24448">
        <v>16.095952023988001</v>
      </c>
    </row>
    <row r="24449" spans="1:5">
      <c r="A24449" t="s">
        <v>28421</v>
      </c>
      <c r="B24449" t="s">
        <v>28423</v>
      </c>
      <c r="C24449">
        <v>0</v>
      </c>
      <c r="D24449" t="s">
        <v>106</v>
      </c>
      <c r="E24449">
        <v>16.095952023988001</v>
      </c>
    </row>
    <row r="24450" spans="1:5">
      <c r="A24450" t="s">
        <v>28421</v>
      </c>
      <c r="B24450" t="s">
        <v>28424</v>
      </c>
      <c r="C24450">
        <v>0</v>
      </c>
      <c r="D24450" t="s">
        <v>106</v>
      </c>
      <c r="E24450">
        <v>16.095952023988001</v>
      </c>
    </row>
    <row r="24451" spans="1:5">
      <c r="A24451" t="s">
        <v>28421</v>
      </c>
      <c r="B24451" t="s">
        <v>28425</v>
      </c>
      <c r="C24451">
        <v>0</v>
      </c>
      <c r="D24451" t="s">
        <v>106</v>
      </c>
      <c r="E24451">
        <v>16.095952023988001</v>
      </c>
    </row>
    <row r="24452" spans="1:5">
      <c r="A24452" t="s">
        <v>28421</v>
      </c>
      <c r="B24452" t="s">
        <v>28426</v>
      </c>
      <c r="C24452">
        <v>0</v>
      </c>
      <c r="D24452" t="s">
        <v>106</v>
      </c>
      <c r="E24452">
        <v>16.095952023988001</v>
      </c>
    </row>
    <row r="24453" spans="1:5">
      <c r="A24453" t="s">
        <v>28421</v>
      </c>
      <c r="B24453" t="s">
        <v>28427</v>
      </c>
      <c r="C24453">
        <v>0</v>
      </c>
      <c r="D24453" t="s">
        <v>106</v>
      </c>
      <c r="E24453">
        <v>16.095952023988001</v>
      </c>
    </row>
    <row r="24454" spans="1:5">
      <c r="A24454" t="s">
        <v>28421</v>
      </c>
      <c r="B24454" t="s">
        <v>28428</v>
      </c>
      <c r="C24454">
        <f>0</f>
        <v>0</v>
      </c>
      <c r="D24454" t="s">
        <v>106</v>
      </c>
      <c r="E24454">
        <v>16.095952023988001</v>
      </c>
    </row>
    <row r="24455" spans="1:5">
      <c r="A24455" t="s">
        <v>28421</v>
      </c>
      <c r="B24455" t="s">
        <v>28429</v>
      </c>
      <c r="C24455">
        <v>0</v>
      </c>
      <c r="D24455" t="s">
        <v>106</v>
      </c>
      <c r="E24455">
        <v>16.095952023988001</v>
      </c>
    </row>
    <row r="24456" spans="1:5">
      <c r="A24456" t="s">
        <v>28421</v>
      </c>
      <c r="B24456" t="s">
        <v>28430</v>
      </c>
      <c r="C24456">
        <v>0</v>
      </c>
      <c r="D24456" t="s">
        <v>106</v>
      </c>
      <c r="E24456">
        <v>16.095952023988001</v>
      </c>
    </row>
    <row r="24457" spans="1:5">
      <c r="A24457" t="s">
        <v>28421</v>
      </c>
      <c r="B24457" t="s">
        <v>28431</v>
      </c>
      <c r="C24457">
        <v>0</v>
      </c>
      <c r="D24457" t="s">
        <v>106</v>
      </c>
      <c r="E24457">
        <v>16.095952023988001</v>
      </c>
    </row>
    <row r="24458" spans="1:5">
      <c r="A24458" t="s">
        <v>28421</v>
      </c>
      <c r="B24458" t="s">
        <v>28432</v>
      </c>
      <c r="C24458">
        <f>0</f>
        <v>0</v>
      </c>
      <c r="D24458" t="s">
        <v>106</v>
      </c>
      <c r="E24458">
        <v>16.095952023988001</v>
      </c>
    </row>
    <row r="24459" spans="1:5">
      <c r="A24459" t="s">
        <v>28421</v>
      </c>
      <c r="B24459" t="s">
        <v>28433</v>
      </c>
      <c r="C24459">
        <f>0</f>
        <v>0</v>
      </c>
      <c r="D24459" t="s">
        <v>106</v>
      </c>
      <c r="E24459">
        <v>16.095952023988001</v>
      </c>
    </row>
    <row r="24460" spans="1:5">
      <c r="A24460" t="s">
        <v>28421</v>
      </c>
      <c r="B24460" t="s">
        <v>28434</v>
      </c>
      <c r="C24460">
        <v>0</v>
      </c>
      <c r="D24460" t="s">
        <v>106</v>
      </c>
      <c r="E24460">
        <v>16.095952023988001</v>
      </c>
    </row>
    <row r="24461" spans="1:5">
      <c r="A24461" t="s">
        <v>28435</v>
      </c>
      <c r="B24461" t="s">
        <v>28436</v>
      </c>
      <c r="C24461">
        <v>0.42762151071100002</v>
      </c>
      <c r="D24461">
        <v>0.99954486566</v>
      </c>
      <c r="E24461">
        <v>8.1439280359820092</v>
      </c>
    </row>
    <row r="24462" spans="1:5">
      <c r="A24462" t="s">
        <v>28435</v>
      </c>
      <c r="B24462" t="s">
        <v>28437</v>
      </c>
      <c r="C24462">
        <f>0</f>
        <v>0</v>
      </c>
      <c r="D24462">
        <v>0.99954486566</v>
      </c>
      <c r="E24462">
        <v>8.1439280359820092</v>
      </c>
    </row>
    <row r="24463" spans="1:5">
      <c r="A24463" t="s">
        <v>28435</v>
      </c>
      <c r="B24463" t="s">
        <v>28438</v>
      </c>
      <c r="C24463">
        <v>0</v>
      </c>
      <c r="D24463">
        <v>0.99954486566</v>
      </c>
      <c r="E24463">
        <v>8.1439280359820092</v>
      </c>
    </row>
    <row r="24464" spans="1:5">
      <c r="A24464" t="s">
        <v>28435</v>
      </c>
      <c r="B24464" t="s">
        <v>28439</v>
      </c>
      <c r="C24464">
        <v>8.6818510684200004E-2</v>
      </c>
      <c r="D24464">
        <v>0.99954486566</v>
      </c>
      <c r="E24464">
        <v>8.1439280359820092</v>
      </c>
    </row>
    <row r="24465" spans="1:5">
      <c r="A24465" t="s">
        <v>28440</v>
      </c>
      <c r="B24465" t="s">
        <v>28441</v>
      </c>
      <c r="C24465">
        <v>0</v>
      </c>
      <c r="D24465" t="s">
        <v>106</v>
      </c>
      <c r="E24465">
        <v>10.878560719640101</v>
      </c>
    </row>
    <row r="24466" spans="1:5">
      <c r="A24466" t="s">
        <v>28440</v>
      </c>
      <c r="B24466" t="s">
        <v>28442</v>
      </c>
      <c r="C24466">
        <v>0</v>
      </c>
      <c r="D24466" t="s">
        <v>106</v>
      </c>
      <c r="E24466">
        <v>10.878560719640101</v>
      </c>
    </row>
    <row r="24467" spans="1:5">
      <c r="A24467" t="s">
        <v>28440</v>
      </c>
      <c r="B24467" t="s">
        <v>28443</v>
      </c>
      <c r="C24467">
        <f>0</f>
        <v>0</v>
      </c>
      <c r="D24467" t="s">
        <v>106</v>
      </c>
      <c r="E24467">
        <v>10.878560719640101</v>
      </c>
    </row>
    <row r="24468" spans="1:5">
      <c r="A24468" t="s">
        <v>28440</v>
      </c>
      <c r="B24468" t="s">
        <v>28444</v>
      </c>
      <c r="C24468">
        <v>0</v>
      </c>
      <c r="D24468" t="s">
        <v>106</v>
      </c>
      <c r="E24468">
        <v>10.878560719640101</v>
      </c>
    </row>
    <row r="24469" spans="1:5">
      <c r="A24469" t="s">
        <v>28440</v>
      </c>
      <c r="B24469" t="s">
        <v>28445</v>
      </c>
      <c r="C24469">
        <v>0</v>
      </c>
      <c r="D24469" t="s">
        <v>106</v>
      </c>
      <c r="E24469">
        <v>10.878560719640101</v>
      </c>
    </row>
    <row r="24470" spans="1:5">
      <c r="A24470" t="s">
        <v>28440</v>
      </c>
      <c r="B24470" t="s">
        <v>28446</v>
      </c>
      <c r="C24470">
        <v>0</v>
      </c>
      <c r="D24470" t="s">
        <v>106</v>
      </c>
      <c r="E24470">
        <v>10.878560719640101</v>
      </c>
    </row>
    <row r="24471" spans="1:5">
      <c r="A24471" t="s">
        <v>28447</v>
      </c>
      <c r="B24471" t="s">
        <v>28448</v>
      </c>
      <c r="C24471">
        <v>0</v>
      </c>
      <c r="D24471" t="s">
        <v>106</v>
      </c>
      <c r="E24471">
        <v>24</v>
      </c>
    </row>
    <row r="24472" spans="1:5">
      <c r="A24472" t="s">
        <v>28447</v>
      </c>
      <c r="B24472" t="s">
        <v>28449</v>
      </c>
      <c r="C24472">
        <v>0</v>
      </c>
      <c r="D24472" t="s">
        <v>106</v>
      </c>
      <c r="E24472">
        <v>24</v>
      </c>
    </row>
    <row r="24473" spans="1:5">
      <c r="A24473" t="s">
        <v>28447</v>
      </c>
      <c r="B24473" t="s">
        <v>28450</v>
      </c>
      <c r="C24473">
        <f>0</f>
        <v>0</v>
      </c>
      <c r="D24473" t="s">
        <v>106</v>
      </c>
      <c r="E24473">
        <v>24</v>
      </c>
    </row>
    <row r="24474" spans="1:5">
      <c r="A24474" t="s">
        <v>28447</v>
      </c>
      <c r="B24474" t="s">
        <v>28451</v>
      </c>
      <c r="C24474">
        <f>0</f>
        <v>0</v>
      </c>
      <c r="D24474" t="s">
        <v>106</v>
      </c>
      <c r="E24474">
        <v>24</v>
      </c>
    </row>
    <row r="24475" spans="1:5">
      <c r="A24475" t="s">
        <v>28447</v>
      </c>
      <c r="B24475" t="s">
        <v>28452</v>
      </c>
      <c r="C24475">
        <v>0</v>
      </c>
      <c r="D24475" t="s">
        <v>106</v>
      </c>
      <c r="E24475">
        <v>24</v>
      </c>
    </row>
    <row r="24476" spans="1:5">
      <c r="A24476" t="s">
        <v>28447</v>
      </c>
      <c r="B24476" t="s">
        <v>28453</v>
      </c>
      <c r="C24476">
        <v>0.109251015238</v>
      </c>
      <c r="D24476" t="s">
        <v>106</v>
      </c>
      <c r="E24476">
        <v>24</v>
      </c>
    </row>
    <row r="24477" spans="1:5">
      <c r="A24477" t="s">
        <v>28447</v>
      </c>
      <c r="B24477" t="s">
        <v>28454</v>
      </c>
      <c r="C24477">
        <v>0</v>
      </c>
      <c r="D24477" t="s">
        <v>106</v>
      </c>
      <c r="E24477">
        <v>24</v>
      </c>
    </row>
    <row r="24478" spans="1:5">
      <c r="A24478" t="s">
        <v>28447</v>
      </c>
      <c r="B24478" t="s">
        <v>28455</v>
      </c>
      <c r="C24478">
        <v>4.6980893869100003E-2</v>
      </c>
      <c r="D24478" t="s">
        <v>106</v>
      </c>
      <c r="E24478">
        <v>24</v>
      </c>
    </row>
    <row r="24479" spans="1:5">
      <c r="A24479" t="s">
        <v>28447</v>
      </c>
      <c r="B24479" t="s">
        <v>28456</v>
      </c>
      <c r="C24479">
        <v>0</v>
      </c>
      <c r="D24479" t="s">
        <v>106</v>
      </c>
      <c r="E24479">
        <v>24</v>
      </c>
    </row>
    <row r="24480" spans="1:5">
      <c r="A24480" t="s">
        <v>28457</v>
      </c>
      <c r="B24480" t="s">
        <v>28458</v>
      </c>
      <c r="C24480">
        <v>2.69556919735E-2</v>
      </c>
      <c r="D24480">
        <v>0.99097729321000005</v>
      </c>
      <c r="E24480">
        <v>3.8740629685157399</v>
      </c>
    </row>
    <row r="24481" spans="1:5">
      <c r="A24481" t="s">
        <v>28457</v>
      </c>
      <c r="B24481" t="s">
        <v>28459</v>
      </c>
      <c r="C24481">
        <v>0</v>
      </c>
      <c r="D24481">
        <v>0.99097729321000005</v>
      </c>
      <c r="E24481">
        <v>3.8740629685157399</v>
      </c>
    </row>
    <row r="24482" spans="1:5">
      <c r="A24482" t="s">
        <v>28457</v>
      </c>
      <c r="B24482" t="s">
        <v>28460</v>
      </c>
      <c r="C24482">
        <v>5.2598904876200003E-2</v>
      </c>
      <c r="D24482">
        <v>0.99097729321000005</v>
      </c>
      <c r="E24482">
        <v>3.8740629685157399</v>
      </c>
    </row>
    <row r="24483" spans="1:5">
      <c r="A24483" t="s">
        <v>28457</v>
      </c>
      <c r="B24483" t="s">
        <v>28461</v>
      </c>
      <c r="C24483">
        <f>0</f>
        <v>0</v>
      </c>
      <c r="D24483">
        <v>0.99097729321000005</v>
      </c>
      <c r="E24483">
        <v>3.8740629685157399</v>
      </c>
    </row>
    <row r="24484" spans="1:5">
      <c r="A24484" t="s">
        <v>28457</v>
      </c>
      <c r="B24484" t="s">
        <v>28462</v>
      </c>
      <c r="C24484">
        <f>0</f>
        <v>0</v>
      </c>
      <c r="D24484">
        <v>0.99097729321000005</v>
      </c>
      <c r="E24484">
        <v>3.8740629685157399</v>
      </c>
    </row>
    <row r="24485" spans="1:5">
      <c r="A24485" t="s">
        <v>28463</v>
      </c>
      <c r="B24485" t="s">
        <v>28464</v>
      </c>
      <c r="C24485">
        <v>0.111704418513</v>
      </c>
      <c r="D24485">
        <v>0.45140280370199998</v>
      </c>
      <c r="E24485">
        <v>10.230884557721099</v>
      </c>
    </row>
    <row r="24486" spans="1:5">
      <c r="A24486" t="s">
        <v>28465</v>
      </c>
      <c r="B24486" t="s">
        <v>28466</v>
      </c>
      <c r="C24486">
        <v>0</v>
      </c>
      <c r="D24486" t="s">
        <v>106</v>
      </c>
      <c r="E24486">
        <v>21.409295352323799</v>
      </c>
    </row>
    <row r="24487" spans="1:5">
      <c r="A24487" t="s">
        <v>28465</v>
      </c>
      <c r="B24487" t="s">
        <v>28467</v>
      </c>
      <c r="C24487">
        <v>0</v>
      </c>
      <c r="D24487" t="s">
        <v>106</v>
      </c>
      <c r="E24487">
        <v>21.409295352323799</v>
      </c>
    </row>
    <row r="24488" spans="1:5">
      <c r="A24488" t="s">
        <v>28465</v>
      </c>
      <c r="B24488" t="s">
        <v>28468</v>
      </c>
      <c r="C24488">
        <v>0</v>
      </c>
      <c r="D24488" t="s">
        <v>106</v>
      </c>
      <c r="E24488">
        <v>21.409295352323799</v>
      </c>
    </row>
    <row r="24489" spans="1:5">
      <c r="A24489" t="s">
        <v>28469</v>
      </c>
      <c r="B24489" t="s">
        <v>28470</v>
      </c>
      <c r="C24489">
        <f>0.175342161073</f>
        <v>0.17534216107299999</v>
      </c>
      <c r="D24489">
        <v>0.75283484255999999</v>
      </c>
      <c r="E24489">
        <v>1.39130434782608</v>
      </c>
    </row>
    <row r="24490" spans="1:5">
      <c r="A24490" t="s">
        <v>28471</v>
      </c>
      <c r="B24490" t="s">
        <v>28472</v>
      </c>
      <c r="C24490">
        <v>0</v>
      </c>
      <c r="D24490" t="s">
        <v>106</v>
      </c>
      <c r="E24490">
        <v>1.33133433283358</v>
      </c>
    </row>
    <row r="24491" spans="1:5">
      <c r="A24491" t="s">
        <v>28471</v>
      </c>
      <c r="B24491" t="s">
        <v>28473</v>
      </c>
      <c r="C24491">
        <v>0</v>
      </c>
      <c r="D24491" t="s">
        <v>106</v>
      </c>
      <c r="E24491">
        <v>1.33133433283358</v>
      </c>
    </row>
    <row r="24492" spans="1:5">
      <c r="A24492" t="s">
        <v>28471</v>
      </c>
      <c r="B24492" t="s">
        <v>28474</v>
      </c>
      <c r="C24492">
        <v>0</v>
      </c>
      <c r="D24492" t="s">
        <v>106</v>
      </c>
      <c r="E24492">
        <v>1.33133433283358</v>
      </c>
    </row>
    <row r="24493" spans="1:5">
      <c r="A24493" t="s">
        <v>28471</v>
      </c>
      <c r="B24493" t="s">
        <v>28475</v>
      </c>
      <c r="C24493">
        <v>0</v>
      </c>
      <c r="D24493" t="s">
        <v>106</v>
      </c>
      <c r="E24493">
        <v>1.33133433283358</v>
      </c>
    </row>
    <row r="24494" spans="1:5">
      <c r="A24494" t="s">
        <v>28476</v>
      </c>
      <c r="B24494" t="s">
        <v>28477</v>
      </c>
      <c r="C24494">
        <v>0</v>
      </c>
      <c r="D24494">
        <v>0.41573391095899997</v>
      </c>
      <c r="E24494">
        <v>5.1214392803598203</v>
      </c>
    </row>
    <row r="24495" spans="1:5">
      <c r="A24495" t="s">
        <v>28476</v>
      </c>
      <c r="B24495" t="s">
        <v>28478</v>
      </c>
      <c r="C24495">
        <f>0</f>
        <v>0</v>
      </c>
      <c r="D24495">
        <v>0.41573391095899997</v>
      </c>
      <c r="E24495">
        <v>5.1214392803598203</v>
      </c>
    </row>
    <row r="24496" spans="1:5">
      <c r="A24496" t="s">
        <v>28476</v>
      </c>
      <c r="B24496" t="s">
        <v>28479</v>
      </c>
      <c r="C24496">
        <v>0</v>
      </c>
      <c r="D24496">
        <v>0.41573391095899997</v>
      </c>
      <c r="E24496">
        <v>5.1214392803598203</v>
      </c>
    </row>
    <row r="24497" spans="1:5">
      <c r="A24497" t="s">
        <v>28476</v>
      </c>
      <c r="B24497" t="s">
        <v>28480</v>
      </c>
      <c r="C24497">
        <v>0</v>
      </c>
      <c r="D24497">
        <v>0.41573391095899997</v>
      </c>
      <c r="E24497">
        <v>5.1214392803598203</v>
      </c>
    </row>
    <row r="24498" spans="1:5">
      <c r="A24498" t="s">
        <v>28481</v>
      </c>
      <c r="B24498" t="s">
        <v>28482</v>
      </c>
      <c r="C24498">
        <v>1.2672124456700001E-2</v>
      </c>
      <c r="D24498">
        <v>0.95506461648999996</v>
      </c>
      <c r="E24498">
        <v>24</v>
      </c>
    </row>
    <row r="24499" spans="1:5">
      <c r="A24499" t="s">
        <v>28481</v>
      </c>
      <c r="B24499" t="s">
        <v>28483</v>
      </c>
      <c r="C24499">
        <v>0</v>
      </c>
      <c r="D24499">
        <v>0.95506461648999996</v>
      </c>
      <c r="E24499">
        <v>24</v>
      </c>
    </row>
    <row r="24500" spans="1:5">
      <c r="A24500" t="s">
        <v>28481</v>
      </c>
      <c r="B24500" t="s">
        <v>28484</v>
      </c>
      <c r="C24500">
        <v>0</v>
      </c>
      <c r="D24500">
        <v>0.95506461648999996</v>
      </c>
      <c r="E24500">
        <v>24</v>
      </c>
    </row>
    <row r="24501" spans="1:5">
      <c r="A24501" t="s">
        <v>28485</v>
      </c>
      <c r="B24501" t="s">
        <v>28486</v>
      </c>
      <c r="C24501">
        <v>0.18416196420399999</v>
      </c>
      <c r="D24501" t="s">
        <v>106</v>
      </c>
      <c r="E24501">
        <v>24</v>
      </c>
    </row>
    <row r="24502" spans="1:5">
      <c r="A24502" t="s">
        <v>28485</v>
      </c>
      <c r="B24502" t="s">
        <v>28487</v>
      </c>
      <c r="C24502">
        <f>0.0143400170599</f>
        <v>1.43400170599E-2</v>
      </c>
      <c r="D24502" t="s">
        <v>106</v>
      </c>
      <c r="E24502">
        <v>24</v>
      </c>
    </row>
    <row r="24503" spans="1:5">
      <c r="A24503" t="s">
        <v>28485</v>
      </c>
      <c r="B24503" t="s">
        <v>28488</v>
      </c>
      <c r="C24503">
        <f>0</f>
        <v>0</v>
      </c>
      <c r="D24503" t="s">
        <v>106</v>
      </c>
      <c r="E24503">
        <v>24</v>
      </c>
    </row>
    <row r="24504" spans="1:5">
      <c r="A24504" t="s">
        <v>28489</v>
      </c>
      <c r="B24504" t="s">
        <v>28490</v>
      </c>
      <c r="C24504">
        <v>0</v>
      </c>
      <c r="D24504">
        <v>0.971077592692</v>
      </c>
      <c r="E24504">
        <v>0.65967016491754105</v>
      </c>
    </row>
    <row r="24505" spans="1:5">
      <c r="A24505" t="s">
        <v>28489</v>
      </c>
      <c r="B24505" t="s">
        <v>28491</v>
      </c>
      <c r="C24505">
        <f>0</f>
        <v>0</v>
      </c>
      <c r="D24505">
        <v>0.971077592692</v>
      </c>
      <c r="E24505">
        <v>0.65967016491754105</v>
      </c>
    </row>
    <row r="24506" spans="1:5">
      <c r="A24506" t="s">
        <v>28489</v>
      </c>
      <c r="B24506" t="s">
        <v>28492</v>
      </c>
      <c r="C24506">
        <f>0</f>
        <v>0</v>
      </c>
      <c r="D24506">
        <v>0.971077592692</v>
      </c>
      <c r="E24506">
        <v>0.65967016491754105</v>
      </c>
    </row>
    <row r="24507" spans="1:5">
      <c r="A24507" t="s">
        <v>28489</v>
      </c>
      <c r="B24507" t="s">
        <v>28493</v>
      </c>
      <c r="C24507">
        <f>0</f>
        <v>0</v>
      </c>
      <c r="D24507">
        <v>0.971077592692</v>
      </c>
      <c r="E24507">
        <v>0.65967016491754105</v>
      </c>
    </row>
    <row r="24508" spans="1:5">
      <c r="A24508" t="s">
        <v>28489</v>
      </c>
      <c r="B24508" t="s">
        <v>28494</v>
      </c>
      <c r="C24508">
        <v>6.8594222454600007E-2</v>
      </c>
      <c r="D24508">
        <v>0.971077592692</v>
      </c>
      <c r="E24508">
        <v>0.65967016491754105</v>
      </c>
    </row>
    <row r="24509" spans="1:5">
      <c r="A24509" t="s">
        <v>28489</v>
      </c>
      <c r="B24509" t="s">
        <v>28495</v>
      </c>
      <c r="C24509">
        <f>0</f>
        <v>0</v>
      </c>
      <c r="D24509">
        <v>0.971077592692</v>
      </c>
      <c r="E24509">
        <v>0.65967016491754105</v>
      </c>
    </row>
    <row r="24510" spans="1:5">
      <c r="A24510" t="s">
        <v>28489</v>
      </c>
      <c r="B24510" t="s">
        <v>28496</v>
      </c>
      <c r="C24510">
        <v>0</v>
      </c>
      <c r="D24510">
        <v>0.971077592692</v>
      </c>
      <c r="E24510">
        <v>0.65967016491754105</v>
      </c>
    </row>
    <row r="24511" spans="1:5">
      <c r="A24511" t="s">
        <v>28489</v>
      </c>
      <c r="B24511" t="s">
        <v>28497</v>
      </c>
      <c r="C24511">
        <f>0</f>
        <v>0</v>
      </c>
      <c r="D24511">
        <v>0.971077592692</v>
      </c>
      <c r="E24511">
        <v>0.65967016491754105</v>
      </c>
    </row>
    <row r="24512" spans="1:5">
      <c r="A24512" t="s">
        <v>28489</v>
      </c>
      <c r="B24512" t="s">
        <v>28498</v>
      </c>
      <c r="C24512">
        <f>0</f>
        <v>0</v>
      </c>
      <c r="D24512">
        <v>0.971077592692</v>
      </c>
      <c r="E24512">
        <v>0.65967016491754105</v>
      </c>
    </row>
    <row r="24513" spans="1:5">
      <c r="A24513" t="s">
        <v>28489</v>
      </c>
      <c r="B24513" t="s">
        <v>28499</v>
      </c>
      <c r="C24513">
        <v>0.20825545103099999</v>
      </c>
      <c r="D24513">
        <v>0.971077592692</v>
      </c>
      <c r="E24513">
        <v>0.65967016491754105</v>
      </c>
    </row>
    <row r="24514" spans="1:5">
      <c r="A24514" t="s">
        <v>28500</v>
      </c>
      <c r="B24514" t="s">
        <v>28501</v>
      </c>
      <c r="C24514">
        <f>0.00739987398182</f>
        <v>7.3998739818199998E-3</v>
      </c>
      <c r="D24514" t="s">
        <v>106</v>
      </c>
      <c r="E24514">
        <v>20.509745127436201</v>
      </c>
    </row>
    <row r="24515" spans="1:5">
      <c r="A24515" t="s">
        <v>28500</v>
      </c>
      <c r="B24515" t="s">
        <v>28502</v>
      </c>
      <c r="C24515">
        <f>0.0495162066787</f>
        <v>4.9516206678699999E-2</v>
      </c>
      <c r="D24515" t="s">
        <v>106</v>
      </c>
      <c r="E24515">
        <v>20.509745127436201</v>
      </c>
    </row>
    <row r="24516" spans="1:5">
      <c r="A24516" t="s">
        <v>28503</v>
      </c>
      <c r="B24516" t="s">
        <v>28504</v>
      </c>
      <c r="C24516">
        <f>0</f>
        <v>0</v>
      </c>
      <c r="D24516">
        <v>0.68117166157200004</v>
      </c>
      <c r="E24516">
        <v>11.0344827586206</v>
      </c>
    </row>
    <row r="24517" spans="1:5">
      <c r="A24517" t="s">
        <v>28503</v>
      </c>
      <c r="B24517" t="s">
        <v>28505</v>
      </c>
      <c r="C24517">
        <v>0</v>
      </c>
      <c r="D24517">
        <v>0.68117166157200004</v>
      </c>
      <c r="E24517">
        <v>11.0344827586206</v>
      </c>
    </row>
    <row r="24518" spans="1:5">
      <c r="A24518" t="s">
        <v>28503</v>
      </c>
      <c r="B24518" t="s">
        <v>28506</v>
      </c>
      <c r="C24518">
        <f>0</f>
        <v>0</v>
      </c>
      <c r="D24518">
        <v>0.68117166157200004</v>
      </c>
      <c r="E24518">
        <v>11.0344827586206</v>
      </c>
    </row>
    <row r="24519" spans="1:5">
      <c r="A24519" t="s">
        <v>28503</v>
      </c>
      <c r="B24519" t="s">
        <v>28507</v>
      </c>
      <c r="C24519">
        <v>5.7368794218900003E-2</v>
      </c>
      <c r="D24519">
        <v>0.68117166157200004</v>
      </c>
      <c r="E24519">
        <v>11.0344827586206</v>
      </c>
    </row>
    <row r="24520" spans="1:5">
      <c r="A24520" t="s">
        <v>28503</v>
      </c>
      <c r="B24520" t="s">
        <v>28508</v>
      </c>
      <c r="C24520">
        <v>0</v>
      </c>
      <c r="D24520">
        <v>0.68117166157200004</v>
      </c>
      <c r="E24520">
        <v>11.0344827586206</v>
      </c>
    </row>
    <row r="24521" spans="1:5">
      <c r="A24521" t="s">
        <v>28503</v>
      </c>
      <c r="B24521" t="s">
        <v>28509</v>
      </c>
      <c r="C24521">
        <v>5.55045170234E-2</v>
      </c>
      <c r="D24521">
        <v>0.68117166157200004</v>
      </c>
      <c r="E24521">
        <v>11.0344827586206</v>
      </c>
    </row>
    <row r="24522" spans="1:5">
      <c r="A24522" t="s">
        <v>28510</v>
      </c>
      <c r="B24522" t="s">
        <v>28511</v>
      </c>
      <c r="C24522">
        <f>0</f>
        <v>0</v>
      </c>
      <c r="D24522">
        <v>0.89461421798399998</v>
      </c>
      <c r="E24522">
        <v>3.2263868065966999</v>
      </c>
    </row>
    <row r="24523" spans="1:5">
      <c r="A24523" t="s">
        <v>28510</v>
      </c>
      <c r="B24523" t="s">
        <v>28512</v>
      </c>
      <c r="C24523">
        <f>0</f>
        <v>0</v>
      </c>
      <c r="D24523">
        <v>0.89461421798399998</v>
      </c>
      <c r="E24523">
        <v>3.2263868065966999</v>
      </c>
    </row>
    <row r="24524" spans="1:5">
      <c r="A24524" t="s">
        <v>28510</v>
      </c>
      <c r="B24524" t="s">
        <v>28513</v>
      </c>
      <c r="C24524">
        <f>0</f>
        <v>0</v>
      </c>
      <c r="D24524">
        <v>0.89461421798399998</v>
      </c>
      <c r="E24524">
        <v>3.2263868065966999</v>
      </c>
    </row>
    <row r="24525" spans="1:5">
      <c r="A24525" t="s">
        <v>28510</v>
      </c>
      <c r="B24525" t="s">
        <v>28514</v>
      </c>
      <c r="C24525">
        <f>0.0264928375756</f>
        <v>2.64928375756E-2</v>
      </c>
      <c r="D24525">
        <v>0.89461421798399998</v>
      </c>
      <c r="E24525">
        <v>3.2263868065966999</v>
      </c>
    </row>
    <row r="24526" spans="1:5">
      <c r="A24526" t="s">
        <v>28510</v>
      </c>
      <c r="B24526" t="s">
        <v>28515</v>
      </c>
      <c r="C24526">
        <v>9.4516495048699994E-3</v>
      </c>
      <c r="D24526">
        <v>0.89461421798399998</v>
      </c>
      <c r="E24526">
        <v>3.2263868065966999</v>
      </c>
    </row>
    <row r="24527" spans="1:5">
      <c r="A24527" t="s">
        <v>28516</v>
      </c>
      <c r="B24527" t="s">
        <v>28517</v>
      </c>
      <c r="C24527">
        <v>0</v>
      </c>
      <c r="D24527">
        <v>0.96031098390699998</v>
      </c>
      <c r="E24527">
        <v>8.7196401799100407</v>
      </c>
    </row>
    <row r="24528" spans="1:5">
      <c r="A24528" t="s">
        <v>28516</v>
      </c>
      <c r="B24528" t="s">
        <v>28518</v>
      </c>
      <c r="C24528">
        <v>0</v>
      </c>
      <c r="D24528">
        <v>0.96031098390699998</v>
      </c>
      <c r="E24528">
        <v>8.7196401799100407</v>
      </c>
    </row>
    <row r="24529" spans="1:5">
      <c r="A24529" t="s">
        <v>28516</v>
      </c>
      <c r="B24529" t="s">
        <v>28519</v>
      </c>
      <c r="C24529">
        <v>9.8121272857499997E-2</v>
      </c>
      <c r="D24529">
        <v>0.96031098390699998</v>
      </c>
      <c r="E24529">
        <v>8.7196401799100407</v>
      </c>
    </row>
    <row r="24530" spans="1:5">
      <c r="A24530" t="s">
        <v>28516</v>
      </c>
      <c r="B24530" t="s">
        <v>28520</v>
      </c>
      <c r="C24530">
        <f>0.220801084133</f>
        <v>0.22080108413300001</v>
      </c>
      <c r="D24530">
        <v>0.96031098390699998</v>
      </c>
      <c r="E24530">
        <v>8.7196401799100407</v>
      </c>
    </row>
    <row r="24531" spans="1:5">
      <c r="A24531" t="s">
        <v>28521</v>
      </c>
      <c r="B24531" t="s">
        <v>28522</v>
      </c>
      <c r="C24531">
        <v>0.73553216833000001</v>
      </c>
      <c r="D24531">
        <v>0.82426501270700003</v>
      </c>
      <c r="E24531">
        <v>0</v>
      </c>
    </row>
    <row r="24532" spans="1:5">
      <c r="A24532" t="s">
        <v>28521</v>
      </c>
      <c r="B24532" t="s">
        <v>28523</v>
      </c>
      <c r="C24532">
        <f>0</f>
        <v>0</v>
      </c>
      <c r="D24532">
        <v>0.82426501270700003</v>
      </c>
      <c r="E24532">
        <v>0</v>
      </c>
    </row>
    <row r="24533" spans="1:5">
      <c r="A24533" t="s">
        <v>28524</v>
      </c>
      <c r="B24533" t="s">
        <v>28525</v>
      </c>
      <c r="C24533">
        <v>0</v>
      </c>
      <c r="D24533">
        <v>0.98201141282100002</v>
      </c>
      <c r="E24533">
        <v>18.1349325337331</v>
      </c>
    </row>
    <row r="24534" spans="1:5">
      <c r="A24534" t="s">
        <v>28524</v>
      </c>
      <c r="B24534" t="s">
        <v>28526</v>
      </c>
      <c r="C24534">
        <v>0.14046900687</v>
      </c>
      <c r="D24534">
        <v>0.98201141282100002</v>
      </c>
      <c r="E24534">
        <v>18.1349325337331</v>
      </c>
    </row>
    <row r="24535" spans="1:5">
      <c r="A24535" t="s">
        <v>28524</v>
      </c>
      <c r="B24535" t="s">
        <v>28527</v>
      </c>
      <c r="C24535">
        <v>0</v>
      </c>
      <c r="D24535">
        <v>0.98201141282100002</v>
      </c>
      <c r="E24535">
        <v>18.1349325337331</v>
      </c>
    </row>
    <row r="24536" spans="1:5">
      <c r="A24536" t="s">
        <v>28524</v>
      </c>
      <c r="B24536" t="s">
        <v>28528</v>
      </c>
      <c r="C24536">
        <v>0</v>
      </c>
      <c r="D24536">
        <v>0.98201141282100002</v>
      </c>
      <c r="E24536">
        <v>18.1349325337331</v>
      </c>
    </row>
    <row r="24537" spans="1:5">
      <c r="A24537" t="s">
        <v>28524</v>
      </c>
      <c r="B24537" t="s">
        <v>28529</v>
      </c>
      <c r="C24537">
        <v>0</v>
      </c>
      <c r="D24537">
        <v>0.98201141282100002</v>
      </c>
      <c r="E24537">
        <v>18.1349325337331</v>
      </c>
    </row>
    <row r="24538" spans="1:5">
      <c r="A24538" t="s">
        <v>28524</v>
      </c>
      <c r="B24538" t="s">
        <v>28530</v>
      </c>
      <c r="C24538">
        <v>2.19230184059E-2</v>
      </c>
      <c r="D24538">
        <v>0.98201141282100002</v>
      </c>
      <c r="E24538">
        <v>18.1349325337331</v>
      </c>
    </row>
    <row r="24539" spans="1:5">
      <c r="A24539" t="s">
        <v>28531</v>
      </c>
      <c r="B24539" t="s">
        <v>28532</v>
      </c>
      <c r="C24539">
        <f>0</f>
        <v>0</v>
      </c>
      <c r="D24539">
        <v>0.97833793826399995</v>
      </c>
      <c r="E24539">
        <v>23.508245877061398</v>
      </c>
    </row>
    <row r="24540" spans="1:5">
      <c r="A24540" t="s">
        <v>28531</v>
      </c>
      <c r="B24540" t="s">
        <v>28533</v>
      </c>
      <c r="C24540">
        <f>0</f>
        <v>0</v>
      </c>
      <c r="D24540">
        <v>0.97833793826399995</v>
      </c>
      <c r="E24540">
        <v>23.508245877061398</v>
      </c>
    </row>
    <row r="24541" spans="1:5">
      <c r="A24541" t="s">
        <v>28531</v>
      </c>
      <c r="B24541" t="s">
        <v>28534</v>
      </c>
      <c r="C24541">
        <f>0</f>
        <v>0</v>
      </c>
      <c r="D24541">
        <v>0.97833793826399995</v>
      </c>
      <c r="E24541">
        <v>23.508245877061398</v>
      </c>
    </row>
    <row r="24542" spans="1:5">
      <c r="A24542" t="s">
        <v>28531</v>
      </c>
      <c r="B24542" t="s">
        <v>28535</v>
      </c>
      <c r="C24542">
        <v>0</v>
      </c>
      <c r="D24542">
        <v>0.97833793826399995</v>
      </c>
      <c r="E24542">
        <v>23.508245877061398</v>
      </c>
    </row>
    <row r="24543" spans="1:5">
      <c r="A24543" t="s">
        <v>28536</v>
      </c>
      <c r="B24543" t="s">
        <v>28537</v>
      </c>
      <c r="C24543">
        <v>0.13621326504100001</v>
      </c>
      <c r="D24543">
        <v>0.997156925049</v>
      </c>
      <c r="E24543">
        <v>2.0269865067466202</v>
      </c>
    </row>
    <row r="24544" spans="1:5">
      <c r="A24544" t="s">
        <v>28536</v>
      </c>
      <c r="B24544" t="s">
        <v>28538</v>
      </c>
      <c r="C24544">
        <v>0.31130717468000002</v>
      </c>
      <c r="D24544">
        <v>0.997156925049</v>
      </c>
      <c r="E24544">
        <v>2.0269865067466202</v>
      </c>
    </row>
    <row r="24545" spans="1:5">
      <c r="A24545" t="s">
        <v>28539</v>
      </c>
      <c r="B24545" t="s">
        <v>28540</v>
      </c>
      <c r="C24545">
        <v>0.28356878597200003</v>
      </c>
      <c r="D24545" t="s">
        <v>106</v>
      </c>
      <c r="E24545">
        <v>2.79460269865067</v>
      </c>
    </row>
    <row r="24546" spans="1:5">
      <c r="A24546" t="s">
        <v>28541</v>
      </c>
      <c r="B24546" t="s">
        <v>28542</v>
      </c>
      <c r="C24546">
        <v>0.42549540934300001</v>
      </c>
      <c r="D24546">
        <v>0.98048635555600006</v>
      </c>
      <c r="E24546">
        <v>1.45127436281859</v>
      </c>
    </row>
    <row r="24547" spans="1:5">
      <c r="A24547" t="s">
        <v>28541</v>
      </c>
      <c r="B24547" t="s">
        <v>28543</v>
      </c>
      <c r="C24547">
        <v>2.9860741992099999E-2</v>
      </c>
      <c r="D24547">
        <v>0.98048635555600006</v>
      </c>
      <c r="E24547">
        <v>1.45127436281859</v>
      </c>
    </row>
    <row r="24548" spans="1:5">
      <c r="A24548" t="s">
        <v>28541</v>
      </c>
      <c r="B24548" t="s">
        <v>28544</v>
      </c>
      <c r="C24548">
        <v>0</v>
      </c>
      <c r="D24548">
        <v>0.98048635555600006</v>
      </c>
      <c r="E24548">
        <v>1.45127436281859</v>
      </c>
    </row>
    <row r="24549" spans="1:5">
      <c r="A24549" t="s">
        <v>28545</v>
      </c>
      <c r="B24549" t="s">
        <v>28546</v>
      </c>
      <c r="C24549">
        <v>0</v>
      </c>
      <c r="D24549">
        <v>0.76736629866600004</v>
      </c>
      <c r="E24549">
        <v>3.7781109445277301</v>
      </c>
    </row>
    <row r="24550" spans="1:5">
      <c r="A24550" t="s">
        <v>28545</v>
      </c>
      <c r="B24550" t="s">
        <v>28547</v>
      </c>
      <c r="C24550">
        <f>0.302084428981</f>
        <v>0.30208442898100002</v>
      </c>
      <c r="D24550">
        <v>0.76736629866600004</v>
      </c>
      <c r="E24550">
        <v>3.7781109445277301</v>
      </c>
    </row>
    <row r="24551" spans="1:5">
      <c r="A24551" t="s">
        <v>28548</v>
      </c>
      <c r="B24551" t="s">
        <v>28549</v>
      </c>
      <c r="C24551">
        <v>0</v>
      </c>
      <c r="D24551">
        <v>0.537307119896</v>
      </c>
      <c r="E24551">
        <v>9.6191904047975996</v>
      </c>
    </row>
    <row r="24552" spans="1:5">
      <c r="A24552" t="s">
        <v>28548</v>
      </c>
      <c r="B24552" t="s">
        <v>28550</v>
      </c>
      <c r="C24552">
        <v>0</v>
      </c>
      <c r="D24552">
        <v>0.537307119896</v>
      </c>
      <c r="E24552">
        <v>9.6191904047975996</v>
      </c>
    </row>
    <row r="24553" spans="1:5">
      <c r="A24553" t="s">
        <v>28548</v>
      </c>
      <c r="B24553" t="s">
        <v>28551</v>
      </c>
      <c r="C24553">
        <v>3.47283383993E-2</v>
      </c>
      <c r="D24553">
        <v>0.537307119896</v>
      </c>
      <c r="E24553">
        <v>9.6191904047975996</v>
      </c>
    </row>
    <row r="24554" spans="1:5">
      <c r="A24554" t="s">
        <v>28548</v>
      </c>
      <c r="B24554" t="s">
        <v>28552</v>
      </c>
      <c r="C24554">
        <v>0</v>
      </c>
      <c r="D24554">
        <v>0.537307119896</v>
      </c>
      <c r="E24554">
        <v>9.6191904047975996</v>
      </c>
    </row>
    <row r="24555" spans="1:5">
      <c r="A24555" t="s">
        <v>28553</v>
      </c>
      <c r="B24555" t="s">
        <v>28554</v>
      </c>
      <c r="C24555">
        <v>3.5761028742800002E-2</v>
      </c>
      <c r="D24555" t="s">
        <v>106</v>
      </c>
      <c r="E24555">
        <v>24</v>
      </c>
    </row>
    <row r="24556" spans="1:5">
      <c r="A24556" t="s">
        <v>28553</v>
      </c>
      <c r="B24556" t="s">
        <v>28555</v>
      </c>
      <c r="C24556">
        <f>0</f>
        <v>0</v>
      </c>
      <c r="D24556" t="s">
        <v>106</v>
      </c>
      <c r="E24556">
        <v>24</v>
      </c>
    </row>
    <row r="24557" spans="1:5">
      <c r="A24557" t="s">
        <v>28553</v>
      </c>
      <c r="B24557" t="s">
        <v>28556</v>
      </c>
      <c r="C24557">
        <v>9.0932290434400001E-2</v>
      </c>
      <c r="D24557" t="s">
        <v>106</v>
      </c>
      <c r="E24557">
        <v>24</v>
      </c>
    </row>
    <row r="24558" spans="1:5">
      <c r="A24558" t="s">
        <v>28553</v>
      </c>
      <c r="B24558" t="s">
        <v>28557</v>
      </c>
      <c r="C24558">
        <v>0</v>
      </c>
      <c r="D24558" t="s">
        <v>106</v>
      </c>
      <c r="E24558">
        <v>24</v>
      </c>
    </row>
    <row r="24559" spans="1:5">
      <c r="A24559" t="s">
        <v>28558</v>
      </c>
      <c r="B24559" t="s">
        <v>28559</v>
      </c>
      <c r="C24559">
        <v>0.130642769815</v>
      </c>
      <c r="D24559" t="s">
        <v>106</v>
      </c>
      <c r="E24559">
        <v>24</v>
      </c>
    </row>
    <row r="24560" spans="1:5">
      <c r="A24560" t="s">
        <v>28558</v>
      </c>
      <c r="B24560" t="s">
        <v>28560</v>
      </c>
      <c r="C24560">
        <f>0</f>
        <v>0</v>
      </c>
      <c r="D24560" t="s">
        <v>106</v>
      </c>
      <c r="E24560">
        <v>24</v>
      </c>
    </row>
    <row r="24561" spans="1:5">
      <c r="A24561" t="s">
        <v>28558</v>
      </c>
      <c r="B24561" t="s">
        <v>28561</v>
      </c>
      <c r="C24561">
        <v>0</v>
      </c>
      <c r="D24561" t="s">
        <v>106</v>
      </c>
      <c r="E24561">
        <v>24</v>
      </c>
    </row>
    <row r="24562" spans="1:5">
      <c r="A24562" t="s">
        <v>28558</v>
      </c>
      <c r="B24562" t="s">
        <v>28562</v>
      </c>
      <c r="C24562">
        <v>9.0319142393799998E-2</v>
      </c>
      <c r="D24562" t="s">
        <v>106</v>
      </c>
      <c r="E24562">
        <v>24</v>
      </c>
    </row>
    <row r="24563" spans="1:5">
      <c r="A24563" t="s">
        <v>28558</v>
      </c>
      <c r="B24563" t="s">
        <v>28563</v>
      </c>
      <c r="C24563">
        <f>0</f>
        <v>0</v>
      </c>
      <c r="D24563" t="s">
        <v>106</v>
      </c>
      <c r="E24563">
        <v>24</v>
      </c>
    </row>
    <row r="24564" spans="1:5">
      <c r="A24564" t="s">
        <v>28564</v>
      </c>
      <c r="B24564" t="s">
        <v>28565</v>
      </c>
      <c r="C24564">
        <f>0</f>
        <v>0</v>
      </c>
      <c r="D24564">
        <v>0.99684746630300003</v>
      </c>
      <c r="E24564">
        <v>2.6386806596701602</v>
      </c>
    </row>
    <row r="24565" spans="1:5">
      <c r="A24565" t="s">
        <v>28564</v>
      </c>
      <c r="B24565" t="s">
        <v>28566</v>
      </c>
      <c r="C24565">
        <v>0</v>
      </c>
      <c r="D24565">
        <v>0.99684746630300003</v>
      </c>
      <c r="E24565">
        <v>2.6386806596701602</v>
      </c>
    </row>
    <row r="24566" spans="1:5">
      <c r="A24566" t="s">
        <v>28564</v>
      </c>
      <c r="B24566" t="s">
        <v>28567</v>
      </c>
      <c r="C24566">
        <v>0.23326410369799999</v>
      </c>
      <c r="D24566">
        <v>0.99684746630300003</v>
      </c>
      <c r="E24566">
        <v>2.6386806596701602</v>
      </c>
    </row>
    <row r="24567" spans="1:5">
      <c r="A24567" t="s">
        <v>28564</v>
      </c>
      <c r="B24567" t="s">
        <v>28568</v>
      </c>
      <c r="C24567">
        <f>0</f>
        <v>0</v>
      </c>
      <c r="D24567">
        <v>0.99684746630300003</v>
      </c>
      <c r="E24567">
        <v>2.6386806596701602</v>
      </c>
    </row>
    <row r="24568" spans="1:5">
      <c r="A24568" t="s">
        <v>28569</v>
      </c>
      <c r="B24568" t="s">
        <v>28570</v>
      </c>
      <c r="C24568">
        <f>0</f>
        <v>0</v>
      </c>
      <c r="D24568">
        <v>0.87346101434800005</v>
      </c>
      <c r="E24568">
        <v>12.2098950524737</v>
      </c>
    </row>
    <row r="24569" spans="1:5">
      <c r="A24569" t="s">
        <v>28569</v>
      </c>
      <c r="B24569" t="s">
        <v>28571</v>
      </c>
      <c r="C24569">
        <v>0.39297073814400002</v>
      </c>
      <c r="D24569">
        <v>0.87346101434800005</v>
      </c>
      <c r="E24569">
        <v>12.2098950524737</v>
      </c>
    </row>
    <row r="24570" spans="1:5">
      <c r="A24570" t="s">
        <v>28569</v>
      </c>
      <c r="B24570" t="s">
        <v>28572</v>
      </c>
      <c r="C24570">
        <f>0</f>
        <v>0</v>
      </c>
      <c r="D24570">
        <v>0.87346101434800005</v>
      </c>
      <c r="E24570">
        <v>12.2098950524737</v>
      </c>
    </row>
    <row r="24571" spans="1:5">
      <c r="A24571" t="s">
        <v>28573</v>
      </c>
      <c r="B24571" t="s">
        <v>28574</v>
      </c>
      <c r="C24571">
        <f>0</f>
        <v>0</v>
      </c>
      <c r="D24571" t="s">
        <v>106</v>
      </c>
      <c r="E24571">
        <v>1.2713643178410701</v>
      </c>
    </row>
    <row r="24572" spans="1:5">
      <c r="A24572" t="s">
        <v>28573</v>
      </c>
      <c r="B24572" t="s">
        <v>28575</v>
      </c>
      <c r="C24572">
        <f>0</f>
        <v>0</v>
      </c>
      <c r="D24572" t="s">
        <v>106</v>
      </c>
      <c r="E24572">
        <v>1.2713643178410701</v>
      </c>
    </row>
    <row r="24573" spans="1:5">
      <c r="A24573" t="s">
        <v>28573</v>
      </c>
      <c r="B24573" t="s">
        <v>28576</v>
      </c>
      <c r="C24573">
        <f>0</f>
        <v>0</v>
      </c>
      <c r="D24573" t="s">
        <v>106</v>
      </c>
      <c r="E24573">
        <v>1.2713643178410701</v>
      </c>
    </row>
    <row r="24574" spans="1:5">
      <c r="A24574" t="s">
        <v>28577</v>
      </c>
      <c r="B24574" t="s">
        <v>28578</v>
      </c>
      <c r="C24574">
        <v>1.94359170645E-2</v>
      </c>
      <c r="D24574">
        <v>0.98231723255100001</v>
      </c>
      <c r="E24574">
        <v>24</v>
      </c>
    </row>
    <row r="24575" spans="1:5">
      <c r="A24575" t="s">
        <v>28577</v>
      </c>
      <c r="B24575" t="s">
        <v>28579</v>
      </c>
      <c r="C24575">
        <f>0</f>
        <v>0</v>
      </c>
      <c r="D24575">
        <v>0.98231723255100001</v>
      </c>
      <c r="E24575">
        <v>24</v>
      </c>
    </row>
    <row r="24576" spans="1:5">
      <c r="A24576" t="s">
        <v>28577</v>
      </c>
      <c r="B24576" t="s">
        <v>28580</v>
      </c>
      <c r="C24576">
        <v>0</v>
      </c>
      <c r="D24576">
        <v>0.98231723255100001</v>
      </c>
      <c r="E24576">
        <v>24</v>
      </c>
    </row>
    <row r="24577" spans="1:5">
      <c r="A24577" t="s">
        <v>28577</v>
      </c>
      <c r="B24577" t="s">
        <v>28581</v>
      </c>
      <c r="C24577">
        <v>0</v>
      </c>
      <c r="D24577">
        <v>0.98231723255100001</v>
      </c>
      <c r="E24577">
        <v>24</v>
      </c>
    </row>
    <row r="24578" spans="1:5">
      <c r="A24578" t="s">
        <v>28577</v>
      </c>
      <c r="B24578" t="s">
        <v>28582</v>
      </c>
      <c r="C24578">
        <v>0</v>
      </c>
      <c r="D24578">
        <v>0.98231723255100001</v>
      </c>
      <c r="E24578">
        <v>24</v>
      </c>
    </row>
    <row r="24579" spans="1:5">
      <c r="A24579" t="s">
        <v>28577</v>
      </c>
      <c r="B24579" t="s">
        <v>28583</v>
      </c>
      <c r="C24579">
        <v>0.14413004394500001</v>
      </c>
      <c r="D24579">
        <v>0.98231723255100001</v>
      </c>
      <c r="E24579">
        <v>24</v>
      </c>
    </row>
    <row r="24580" spans="1:5">
      <c r="A24580" t="s">
        <v>28584</v>
      </c>
      <c r="B24580" t="s">
        <v>28585</v>
      </c>
      <c r="C24580">
        <v>0</v>
      </c>
      <c r="D24580">
        <v>0.99586177925700003</v>
      </c>
      <c r="E24580">
        <v>4.9055472263868003</v>
      </c>
    </row>
    <row r="24581" spans="1:5">
      <c r="A24581" t="s">
        <v>28586</v>
      </c>
      <c r="B24581" t="s">
        <v>28587</v>
      </c>
      <c r="C24581">
        <f>0.137658391697</f>
        <v>0.137658391697</v>
      </c>
      <c r="D24581">
        <v>0.87664531306399995</v>
      </c>
      <c r="E24581">
        <v>13.997001499250301</v>
      </c>
    </row>
    <row r="24582" spans="1:5">
      <c r="A24582" t="s">
        <v>28586</v>
      </c>
      <c r="B24582" t="s">
        <v>28588</v>
      </c>
      <c r="C24582">
        <v>0</v>
      </c>
      <c r="D24582">
        <v>0.87664531306399995</v>
      </c>
      <c r="E24582">
        <v>13.997001499250301</v>
      </c>
    </row>
    <row r="24583" spans="1:5">
      <c r="A24583" t="s">
        <v>28586</v>
      </c>
      <c r="B24583" t="s">
        <v>28589</v>
      </c>
      <c r="C24583">
        <v>7.5230221993000002E-2</v>
      </c>
      <c r="D24583">
        <v>0.87664531306399995</v>
      </c>
      <c r="E24583">
        <v>13.997001499250301</v>
      </c>
    </row>
    <row r="24584" spans="1:5">
      <c r="A24584" t="s">
        <v>28590</v>
      </c>
      <c r="B24584" t="s">
        <v>28591</v>
      </c>
      <c r="C24584">
        <v>8.0044774357799997E-2</v>
      </c>
      <c r="D24584">
        <v>0.94250698076899997</v>
      </c>
      <c r="E24584">
        <v>4.68965517241379</v>
      </c>
    </row>
    <row r="24585" spans="1:5">
      <c r="A24585" t="s">
        <v>28590</v>
      </c>
      <c r="B24585" t="s">
        <v>28592</v>
      </c>
      <c r="C24585">
        <v>9.62403465535E-2</v>
      </c>
      <c r="D24585">
        <v>0.94250698076899997</v>
      </c>
      <c r="E24585">
        <v>4.68965517241379</v>
      </c>
    </row>
    <row r="24586" spans="1:5">
      <c r="A24586" t="s">
        <v>28590</v>
      </c>
      <c r="B24586" t="s">
        <v>28593</v>
      </c>
      <c r="C24586">
        <f>0</f>
        <v>0</v>
      </c>
      <c r="D24586">
        <v>0.94250698076899997</v>
      </c>
      <c r="E24586">
        <v>4.68965517241379</v>
      </c>
    </row>
    <row r="24587" spans="1:5">
      <c r="A24587" t="s">
        <v>28594</v>
      </c>
      <c r="B24587" t="s">
        <v>28595</v>
      </c>
      <c r="C24587">
        <f>0.072920964213</f>
        <v>7.2920964212999997E-2</v>
      </c>
      <c r="D24587">
        <v>0.96873566366700004</v>
      </c>
      <c r="E24587">
        <v>10.878560719640101</v>
      </c>
    </row>
    <row r="24588" spans="1:5">
      <c r="A24588" t="s">
        <v>28594</v>
      </c>
      <c r="B24588" t="s">
        <v>28596</v>
      </c>
      <c r="C24588">
        <v>0.189899572435</v>
      </c>
      <c r="D24588">
        <v>0.96873566366700004</v>
      </c>
      <c r="E24588">
        <v>10.878560719640101</v>
      </c>
    </row>
    <row r="24589" spans="1:5">
      <c r="A24589" t="s">
        <v>28597</v>
      </c>
      <c r="B24589" t="s">
        <v>28598</v>
      </c>
      <c r="C24589">
        <v>0</v>
      </c>
      <c r="D24589" t="s">
        <v>106</v>
      </c>
      <c r="E24589">
        <v>20.509745127436201</v>
      </c>
    </row>
    <row r="24590" spans="1:5">
      <c r="A24590" t="s">
        <v>28597</v>
      </c>
      <c r="B24590" t="s">
        <v>28599</v>
      </c>
      <c r="C24590">
        <f>0</f>
        <v>0</v>
      </c>
      <c r="D24590" t="s">
        <v>106</v>
      </c>
      <c r="E24590">
        <v>20.509745127436201</v>
      </c>
    </row>
    <row r="24591" spans="1:5">
      <c r="A24591" t="s">
        <v>28597</v>
      </c>
      <c r="B24591" t="s">
        <v>28600</v>
      </c>
      <c r="C24591">
        <f>0</f>
        <v>0</v>
      </c>
      <c r="D24591" t="s">
        <v>106</v>
      </c>
      <c r="E24591">
        <v>20.509745127436201</v>
      </c>
    </row>
    <row r="24592" spans="1:5">
      <c r="A24592" t="s">
        <v>28597</v>
      </c>
      <c r="B24592" t="s">
        <v>28601</v>
      </c>
      <c r="C24592">
        <v>0</v>
      </c>
      <c r="D24592" t="s">
        <v>106</v>
      </c>
      <c r="E24592">
        <v>20.509745127436201</v>
      </c>
    </row>
    <row r="24593" spans="1:5">
      <c r="A24593" t="s">
        <v>28597</v>
      </c>
      <c r="B24593" t="s">
        <v>28602</v>
      </c>
      <c r="C24593">
        <v>0</v>
      </c>
      <c r="D24593" t="s">
        <v>106</v>
      </c>
      <c r="E24593">
        <v>20.509745127436201</v>
      </c>
    </row>
    <row r="24594" spans="1:5">
      <c r="A24594" t="s">
        <v>28597</v>
      </c>
      <c r="B24594" t="s">
        <v>28603</v>
      </c>
      <c r="C24594">
        <f>0</f>
        <v>0</v>
      </c>
      <c r="D24594" t="s">
        <v>106</v>
      </c>
      <c r="E24594">
        <v>20.509745127436201</v>
      </c>
    </row>
    <row r="24595" spans="1:5">
      <c r="A24595" t="s">
        <v>28604</v>
      </c>
      <c r="B24595" t="s">
        <v>28605</v>
      </c>
      <c r="C24595">
        <v>0.15712754333199999</v>
      </c>
      <c r="D24595">
        <v>0.97575074292599995</v>
      </c>
      <c r="E24595">
        <v>7.1964017991004496</v>
      </c>
    </row>
    <row r="24596" spans="1:5">
      <c r="A24596" t="s">
        <v>28604</v>
      </c>
      <c r="B24596" t="s">
        <v>28606</v>
      </c>
      <c r="C24596">
        <v>3.9169454381600001E-2</v>
      </c>
      <c r="D24596">
        <v>0.97575074292599995</v>
      </c>
      <c r="E24596">
        <v>7.1964017991004496</v>
      </c>
    </row>
    <row r="24597" spans="1:5">
      <c r="A24597" t="s">
        <v>28604</v>
      </c>
      <c r="B24597" t="s">
        <v>28607</v>
      </c>
      <c r="C24597">
        <v>0</v>
      </c>
      <c r="D24597">
        <v>0.97575074292599995</v>
      </c>
      <c r="E24597">
        <v>7.1964017991004496</v>
      </c>
    </row>
    <row r="24598" spans="1:5">
      <c r="A24598" t="s">
        <v>28604</v>
      </c>
      <c r="B24598" t="s">
        <v>28608</v>
      </c>
      <c r="C24598">
        <f>0</f>
        <v>0</v>
      </c>
      <c r="D24598">
        <v>0.97575074292599995</v>
      </c>
      <c r="E24598">
        <v>7.1964017991004496</v>
      </c>
    </row>
    <row r="24599" spans="1:5">
      <c r="A24599" t="s">
        <v>28604</v>
      </c>
      <c r="B24599" t="s">
        <v>28609</v>
      </c>
      <c r="C24599">
        <v>0</v>
      </c>
      <c r="D24599">
        <v>0.97575074292599995</v>
      </c>
      <c r="E24599">
        <v>7.1964017991004496</v>
      </c>
    </row>
    <row r="24600" spans="1:5">
      <c r="A24600" t="s">
        <v>28604</v>
      </c>
      <c r="B24600" t="s">
        <v>28610</v>
      </c>
      <c r="C24600">
        <f>0</f>
        <v>0</v>
      </c>
      <c r="D24600">
        <v>0.97575074292599995</v>
      </c>
      <c r="E24600">
        <v>7.1964017991004496</v>
      </c>
    </row>
    <row r="24601" spans="1:5">
      <c r="A24601" t="s">
        <v>28611</v>
      </c>
      <c r="B24601" t="s">
        <v>28612</v>
      </c>
      <c r="C24601">
        <f>0</f>
        <v>0</v>
      </c>
      <c r="D24601">
        <v>0.481362072355</v>
      </c>
      <c r="E24601">
        <v>3.4902548725637099</v>
      </c>
    </row>
    <row r="24602" spans="1:5">
      <c r="A24602" t="s">
        <v>28611</v>
      </c>
      <c r="B24602" t="s">
        <v>28613</v>
      </c>
      <c r="C24602">
        <f>0.177203950837</f>
        <v>0.177203950837</v>
      </c>
      <c r="D24602">
        <v>0.481362072355</v>
      </c>
      <c r="E24602">
        <v>3.4902548725637099</v>
      </c>
    </row>
    <row r="24603" spans="1:5">
      <c r="A24603" t="s">
        <v>28611</v>
      </c>
      <c r="B24603" t="s">
        <v>28614</v>
      </c>
      <c r="C24603">
        <v>0.28150820877100002</v>
      </c>
      <c r="D24603">
        <v>0.481362072355</v>
      </c>
      <c r="E24603">
        <v>3.4902548725637099</v>
      </c>
    </row>
    <row r="24604" spans="1:5">
      <c r="A24604" t="s">
        <v>28611</v>
      </c>
      <c r="B24604" t="s">
        <v>28615</v>
      </c>
      <c r="C24604">
        <v>0</v>
      </c>
      <c r="D24604">
        <v>0.481362072355</v>
      </c>
      <c r="E24604">
        <v>3.4902548725637099</v>
      </c>
    </row>
    <row r="24605" spans="1:5">
      <c r="A24605" t="s">
        <v>28611</v>
      </c>
      <c r="B24605" t="s">
        <v>28616</v>
      </c>
      <c r="C24605">
        <v>0</v>
      </c>
      <c r="D24605">
        <v>0.481362072355</v>
      </c>
      <c r="E24605">
        <v>3.4902548725637099</v>
      </c>
    </row>
    <row r="24606" spans="1:5">
      <c r="A24606" t="s">
        <v>28611</v>
      </c>
      <c r="B24606" t="s">
        <v>28617</v>
      </c>
      <c r="C24606">
        <v>0</v>
      </c>
      <c r="D24606">
        <v>0.481362072355</v>
      </c>
      <c r="E24606">
        <v>3.4902548725637099</v>
      </c>
    </row>
    <row r="24607" spans="1:5">
      <c r="A24607" t="s">
        <v>28618</v>
      </c>
      <c r="B24607" t="s">
        <v>28619</v>
      </c>
      <c r="C24607">
        <f>0</f>
        <v>0</v>
      </c>
      <c r="D24607">
        <v>0.93442701494299996</v>
      </c>
      <c r="E24607">
        <v>4.58170914542728</v>
      </c>
    </row>
    <row r="24608" spans="1:5">
      <c r="A24608" t="s">
        <v>28618</v>
      </c>
      <c r="B24608" t="s">
        <v>28620</v>
      </c>
      <c r="C24608">
        <v>0.15390749688800001</v>
      </c>
      <c r="D24608">
        <v>0.93442701494299996</v>
      </c>
      <c r="E24608">
        <v>4.58170914542728</v>
      </c>
    </row>
    <row r="24609" spans="1:5">
      <c r="A24609" t="s">
        <v>28621</v>
      </c>
      <c r="B24609" t="s">
        <v>28622</v>
      </c>
      <c r="C24609">
        <v>0</v>
      </c>
      <c r="D24609">
        <v>0.92889585454800006</v>
      </c>
      <c r="E24609">
        <v>1.8230884557721101</v>
      </c>
    </row>
    <row r="24610" spans="1:5">
      <c r="A24610" t="s">
        <v>28621</v>
      </c>
      <c r="B24610" t="s">
        <v>28623</v>
      </c>
      <c r="C24610">
        <v>2.9380233883300001E-2</v>
      </c>
      <c r="D24610">
        <v>0.92889585454800006</v>
      </c>
      <c r="E24610">
        <v>1.8230884557721101</v>
      </c>
    </row>
    <row r="24611" spans="1:5">
      <c r="A24611" t="s">
        <v>28621</v>
      </c>
      <c r="B24611" t="s">
        <v>28624</v>
      </c>
      <c r="C24611">
        <f>0.491675930634</f>
        <v>0.491675930634</v>
      </c>
      <c r="D24611">
        <v>0.92889585454800006</v>
      </c>
      <c r="E24611">
        <v>1.8230884557721101</v>
      </c>
    </row>
    <row r="24612" spans="1:5">
      <c r="A24612" t="s">
        <v>28625</v>
      </c>
      <c r="B24612" t="s">
        <v>28626</v>
      </c>
      <c r="C24612">
        <v>0</v>
      </c>
      <c r="D24612">
        <v>0.98288037945200002</v>
      </c>
      <c r="E24612">
        <v>13.8170914542728</v>
      </c>
    </row>
    <row r="24613" spans="1:5">
      <c r="A24613" t="s">
        <v>28625</v>
      </c>
      <c r="B24613" t="s">
        <v>28627</v>
      </c>
      <c r="C24613">
        <v>0</v>
      </c>
      <c r="D24613">
        <v>0.98288037945200002</v>
      </c>
      <c r="E24613">
        <v>13.8170914542728</v>
      </c>
    </row>
    <row r="24614" spans="1:5">
      <c r="A24614" t="s">
        <v>28625</v>
      </c>
      <c r="B24614" t="s">
        <v>28628</v>
      </c>
      <c r="C24614">
        <v>0.17972986953</v>
      </c>
      <c r="D24614">
        <v>0.98288037945200002</v>
      </c>
      <c r="E24614">
        <v>13.8170914542728</v>
      </c>
    </row>
    <row r="24615" spans="1:5">
      <c r="A24615" t="s">
        <v>28625</v>
      </c>
      <c r="B24615" t="s">
        <v>28629</v>
      </c>
      <c r="C24615">
        <v>9.1010906524799998E-2</v>
      </c>
      <c r="D24615">
        <v>0.98288037945200002</v>
      </c>
      <c r="E24615">
        <v>13.8170914542728</v>
      </c>
    </row>
    <row r="24616" spans="1:5">
      <c r="A24616" t="s">
        <v>28625</v>
      </c>
      <c r="B24616" t="s">
        <v>28630</v>
      </c>
      <c r="C24616">
        <v>0</v>
      </c>
      <c r="D24616">
        <v>0.98288037945200002</v>
      </c>
      <c r="E24616">
        <v>13.8170914542728</v>
      </c>
    </row>
    <row r="24617" spans="1:5">
      <c r="A24617" t="s">
        <v>28631</v>
      </c>
      <c r="B24617" t="s">
        <v>28632</v>
      </c>
      <c r="C24617">
        <f>0</f>
        <v>0</v>
      </c>
      <c r="D24617">
        <v>0.90555985082900003</v>
      </c>
      <c r="E24617">
        <v>23.280359820089899</v>
      </c>
    </row>
    <row r="24618" spans="1:5">
      <c r="A24618" t="s">
        <v>28631</v>
      </c>
      <c r="B24618" t="s">
        <v>28633</v>
      </c>
      <c r="C24618">
        <v>0</v>
      </c>
      <c r="D24618">
        <v>0.90555985082900003</v>
      </c>
      <c r="E24618">
        <v>23.280359820089899</v>
      </c>
    </row>
    <row r="24619" spans="1:5">
      <c r="A24619" t="s">
        <v>28631</v>
      </c>
      <c r="B24619" t="s">
        <v>28634</v>
      </c>
      <c r="C24619">
        <f>0</f>
        <v>0</v>
      </c>
      <c r="D24619">
        <v>0.90555985082900003</v>
      </c>
      <c r="E24619">
        <v>23.280359820089899</v>
      </c>
    </row>
    <row r="24620" spans="1:5">
      <c r="A24620" t="s">
        <v>28631</v>
      </c>
      <c r="B24620" t="s">
        <v>28635</v>
      </c>
      <c r="C24620">
        <v>0</v>
      </c>
      <c r="D24620">
        <v>0.90555985082900003</v>
      </c>
      <c r="E24620">
        <v>23.280359820089899</v>
      </c>
    </row>
    <row r="24621" spans="1:5">
      <c r="A24621" t="s">
        <v>28631</v>
      </c>
      <c r="B24621" t="s">
        <v>28636</v>
      </c>
      <c r="C24621">
        <f>0</f>
        <v>0</v>
      </c>
      <c r="D24621">
        <v>0.90555985082900003</v>
      </c>
      <c r="E24621">
        <v>23.280359820089899</v>
      </c>
    </row>
    <row r="24622" spans="1:5">
      <c r="A24622" t="s">
        <v>28631</v>
      </c>
      <c r="B24622" t="s">
        <v>28637</v>
      </c>
      <c r="C24622">
        <v>0</v>
      </c>
      <c r="D24622">
        <v>0.90555985082900003</v>
      </c>
      <c r="E24622">
        <v>23.280359820089899</v>
      </c>
    </row>
    <row r="24623" spans="1:5">
      <c r="A24623" t="s">
        <v>28631</v>
      </c>
      <c r="B24623" t="s">
        <v>28638</v>
      </c>
      <c r="C24623">
        <f>0.0559864519032</f>
        <v>5.59864519032E-2</v>
      </c>
      <c r="D24623">
        <v>0.90555985082900003</v>
      </c>
      <c r="E24623">
        <v>23.280359820089899</v>
      </c>
    </row>
    <row r="24624" spans="1:5">
      <c r="A24624" t="s">
        <v>28631</v>
      </c>
      <c r="B24624" t="s">
        <v>28639</v>
      </c>
      <c r="C24624">
        <f>0</f>
        <v>0</v>
      </c>
      <c r="D24624">
        <v>0.90555985082900003</v>
      </c>
      <c r="E24624">
        <v>23.280359820089899</v>
      </c>
    </row>
    <row r="24625" spans="1:5">
      <c r="A24625" t="s">
        <v>28640</v>
      </c>
      <c r="B24625" t="s">
        <v>28641</v>
      </c>
      <c r="C24625">
        <v>0.28541187878800001</v>
      </c>
      <c r="D24625">
        <v>0.55228751727699998</v>
      </c>
      <c r="E24625">
        <v>9.1634182908545707</v>
      </c>
    </row>
    <row r="24626" spans="1:5">
      <c r="A24626" t="s">
        <v>28642</v>
      </c>
      <c r="B24626" t="s">
        <v>28643</v>
      </c>
      <c r="C24626">
        <f>0</f>
        <v>0</v>
      </c>
      <c r="D24626" t="s">
        <v>106</v>
      </c>
      <c r="E24626">
        <v>5.2413793103448203</v>
      </c>
    </row>
    <row r="24627" spans="1:5">
      <c r="A24627" t="s">
        <v>28642</v>
      </c>
      <c r="B24627" t="s">
        <v>28644</v>
      </c>
      <c r="C24627">
        <f>0.131686996582</f>
        <v>0.131686996582</v>
      </c>
      <c r="D24627" t="s">
        <v>106</v>
      </c>
      <c r="E24627">
        <v>5.2413793103448203</v>
      </c>
    </row>
    <row r="24628" spans="1:5">
      <c r="A24628" t="s">
        <v>28645</v>
      </c>
      <c r="B24628" t="s">
        <v>28646</v>
      </c>
      <c r="C24628">
        <f>0</f>
        <v>0</v>
      </c>
      <c r="D24628" t="s">
        <v>106</v>
      </c>
      <c r="E24628">
        <v>1.11544227886056</v>
      </c>
    </row>
    <row r="24629" spans="1:5">
      <c r="A24629" t="s">
        <v>28645</v>
      </c>
      <c r="B24629" t="s">
        <v>28647</v>
      </c>
      <c r="C24629">
        <f>0</f>
        <v>0</v>
      </c>
      <c r="D24629" t="s">
        <v>106</v>
      </c>
      <c r="E24629">
        <v>1.11544227886056</v>
      </c>
    </row>
    <row r="24630" spans="1:5">
      <c r="A24630" t="s">
        <v>28645</v>
      </c>
      <c r="B24630" t="s">
        <v>28648</v>
      </c>
      <c r="C24630">
        <f>0</f>
        <v>0</v>
      </c>
      <c r="D24630" t="s">
        <v>106</v>
      </c>
      <c r="E24630">
        <v>1.11544227886056</v>
      </c>
    </row>
    <row r="24631" spans="1:5">
      <c r="A24631" t="s">
        <v>28645</v>
      </c>
      <c r="B24631" t="s">
        <v>28649</v>
      </c>
      <c r="C24631">
        <f>0</f>
        <v>0</v>
      </c>
      <c r="D24631" t="s">
        <v>106</v>
      </c>
      <c r="E24631">
        <v>1.11544227886056</v>
      </c>
    </row>
    <row r="24632" spans="1:5">
      <c r="A24632" t="s">
        <v>28645</v>
      </c>
      <c r="B24632" t="s">
        <v>28650</v>
      </c>
      <c r="C24632">
        <f>0</f>
        <v>0</v>
      </c>
      <c r="D24632" t="s">
        <v>106</v>
      </c>
      <c r="E24632">
        <v>1.11544227886056</v>
      </c>
    </row>
    <row r="24633" spans="1:5">
      <c r="A24633" t="s">
        <v>28651</v>
      </c>
      <c r="B24633" t="s">
        <v>28652</v>
      </c>
      <c r="C24633">
        <f>0</f>
        <v>0</v>
      </c>
      <c r="D24633">
        <v>0.82680410278200001</v>
      </c>
      <c r="E24633">
        <v>2.3988005997001498E-2</v>
      </c>
    </row>
    <row r="24634" spans="1:5">
      <c r="A24634" t="s">
        <v>28651</v>
      </c>
      <c r="B24634" t="s">
        <v>28653</v>
      </c>
      <c r="C24634">
        <v>0</v>
      </c>
      <c r="D24634">
        <v>0.82680410278200001</v>
      </c>
      <c r="E24634">
        <v>2.3988005997001498E-2</v>
      </c>
    </row>
    <row r="24635" spans="1:5">
      <c r="A24635" t="s">
        <v>28651</v>
      </c>
      <c r="B24635" t="s">
        <v>28654</v>
      </c>
      <c r="C24635">
        <f>0</f>
        <v>0</v>
      </c>
      <c r="D24635">
        <v>0.82680410278200001</v>
      </c>
      <c r="E24635">
        <v>2.3988005997001498E-2</v>
      </c>
    </row>
    <row r="24636" spans="1:5">
      <c r="A24636" t="s">
        <v>28651</v>
      </c>
      <c r="B24636" t="s">
        <v>28655</v>
      </c>
      <c r="C24636">
        <v>0</v>
      </c>
      <c r="D24636">
        <v>0.82680410278200001</v>
      </c>
      <c r="E24636">
        <v>2.3988005997001498E-2</v>
      </c>
    </row>
    <row r="24637" spans="1:5">
      <c r="A24637" t="s">
        <v>28651</v>
      </c>
      <c r="B24637" t="s">
        <v>28656</v>
      </c>
      <c r="C24637">
        <f>0.224791015377</f>
        <v>0.224791015377</v>
      </c>
      <c r="D24637">
        <v>0.82680410278200001</v>
      </c>
      <c r="E24637">
        <v>2.3988005997001498E-2</v>
      </c>
    </row>
    <row r="24638" spans="1:5">
      <c r="A24638" t="s">
        <v>28657</v>
      </c>
      <c r="B24638" t="s">
        <v>28658</v>
      </c>
      <c r="C24638">
        <f>0.127011039088</f>
        <v>0.12701103908799999</v>
      </c>
      <c r="D24638">
        <v>0.98174561142100003</v>
      </c>
      <c r="E24638">
        <v>7.4602698650674597</v>
      </c>
    </row>
    <row r="24639" spans="1:5">
      <c r="A24639" t="s">
        <v>28657</v>
      </c>
      <c r="B24639" t="s">
        <v>28659</v>
      </c>
      <c r="C24639">
        <v>0</v>
      </c>
      <c r="D24639">
        <v>0.98174561142100003</v>
      </c>
      <c r="E24639">
        <v>7.4602698650674597</v>
      </c>
    </row>
    <row r="24640" spans="1:5">
      <c r="A24640" t="s">
        <v>28657</v>
      </c>
      <c r="B24640" t="s">
        <v>28660</v>
      </c>
      <c r="C24640">
        <f>0</f>
        <v>0</v>
      </c>
      <c r="D24640">
        <v>0.98174561142100003</v>
      </c>
      <c r="E24640">
        <v>7.4602698650674597</v>
      </c>
    </row>
    <row r="24641" spans="1:5">
      <c r="A24641" t="s">
        <v>28657</v>
      </c>
      <c r="B24641" t="s">
        <v>28661</v>
      </c>
      <c r="C24641">
        <v>0.123059632827</v>
      </c>
      <c r="D24641">
        <v>0.98174561142100003</v>
      </c>
      <c r="E24641">
        <v>7.4602698650674597</v>
      </c>
    </row>
    <row r="24642" spans="1:5">
      <c r="A24642" t="s">
        <v>28657</v>
      </c>
      <c r="B24642" t="s">
        <v>28662</v>
      </c>
      <c r="C24642">
        <v>0</v>
      </c>
      <c r="D24642">
        <v>0.98174561142100003</v>
      </c>
      <c r="E24642">
        <v>7.4602698650674597</v>
      </c>
    </row>
    <row r="24643" spans="1:5">
      <c r="A24643" t="s">
        <v>28657</v>
      </c>
      <c r="B24643" t="s">
        <v>28663</v>
      </c>
      <c r="C24643">
        <v>0</v>
      </c>
      <c r="D24643">
        <v>0.98174561142100003</v>
      </c>
      <c r="E24643">
        <v>7.4602698650674597</v>
      </c>
    </row>
    <row r="24644" spans="1:5">
      <c r="A24644" t="s">
        <v>28657</v>
      </c>
      <c r="B24644" t="s">
        <v>28664</v>
      </c>
      <c r="C24644">
        <f>0</f>
        <v>0</v>
      </c>
      <c r="D24644">
        <v>0.98174561142100003</v>
      </c>
      <c r="E24644">
        <v>7.4602698650674597</v>
      </c>
    </row>
    <row r="24645" spans="1:5">
      <c r="A24645" t="s">
        <v>28657</v>
      </c>
      <c r="B24645" t="s">
        <v>28665</v>
      </c>
      <c r="C24645">
        <f>0</f>
        <v>0</v>
      </c>
      <c r="D24645">
        <v>0.98174561142100003</v>
      </c>
      <c r="E24645">
        <v>7.4602698650674597</v>
      </c>
    </row>
    <row r="24646" spans="1:5">
      <c r="A24646" t="s">
        <v>28657</v>
      </c>
      <c r="B24646" t="s">
        <v>28666</v>
      </c>
      <c r="C24646">
        <v>0</v>
      </c>
      <c r="D24646">
        <v>0.98174561142100003</v>
      </c>
      <c r="E24646">
        <v>7.4602698650674597</v>
      </c>
    </row>
    <row r="24647" spans="1:5">
      <c r="A24647" t="s">
        <v>28667</v>
      </c>
      <c r="B24647" t="s">
        <v>28668</v>
      </c>
      <c r="C24647">
        <f>0</f>
        <v>0</v>
      </c>
      <c r="D24647" t="s">
        <v>106</v>
      </c>
      <c r="E24647">
        <v>13.445277361319301</v>
      </c>
    </row>
    <row r="24648" spans="1:5">
      <c r="A24648" t="s">
        <v>28667</v>
      </c>
      <c r="B24648" t="s">
        <v>28669</v>
      </c>
      <c r="C24648">
        <v>0</v>
      </c>
      <c r="D24648" t="s">
        <v>106</v>
      </c>
      <c r="E24648">
        <v>13.445277361319301</v>
      </c>
    </row>
    <row r="24649" spans="1:5">
      <c r="A24649" t="s">
        <v>28667</v>
      </c>
      <c r="B24649" t="s">
        <v>28670</v>
      </c>
      <c r="C24649">
        <v>0</v>
      </c>
      <c r="D24649" t="s">
        <v>106</v>
      </c>
      <c r="E24649">
        <v>13.445277361319301</v>
      </c>
    </row>
    <row r="24650" spans="1:5">
      <c r="A24650" t="s">
        <v>28667</v>
      </c>
      <c r="B24650" t="s">
        <v>28671</v>
      </c>
      <c r="C24650">
        <f>0</f>
        <v>0</v>
      </c>
      <c r="D24650" t="s">
        <v>106</v>
      </c>
      <c r="E24650">
        <v>13.445277361319301</v>
      </c>
    </row>
    <row r="24651" spans="1:5">
      <c r="A24651" t="s">
        <v>28672</v>
      </c>
      <c r="B24651" t="s">
        <v>28673</v>
      </c>
      <c r="C24651">
        <v>0</v>
      </c>
      <c r="D24651">
        <v>0.85474976114900003</v>
      </c>
      <c r="E24651">
        <v>20.509745127436201</v>
      </c>
    </row>
    <row r="24652" spans="1:5">
      <c r="A24652" t="s">
        <v>28672</v>
      </c>
      <c r="B24652" t="s">
        <v>28674</v>
      </c>
      <c r="C24652">
        <v>0</v>
      </c>
      <c r="D24652">
        <v>0.85474976114900003</v>
      </c>
      <c r="E24652">
        <v>20.509745127436201</v>
      </c>
    </row>
    <row r="24653" spans="1:5">
      <c r="A24653" t="s">
        <v>28672</v>
      </c>
      <c r="B24653" t="s">
        <v>28675</v>
      </c>
      <c r="C24653">
        <v>0</v>
      </c>
      <c r="D24653">
        <v>0.85474976114900003</v>
      </c>
      <c r="E24653">
        <v>20.509745127436201</v>
      </c>
    </row>
    <row r="24654" spans="1:5">
      <c r="A24654" t="s">
        <v>28672</v>
      </c>
      <c r="B24654" t="s">
        <v>28676</v>
      </c>
      <c r="C24654">
        <v>0</v>
      </c>
      <c r="D24654">
        <v>0.85474976114900003</v>
      </c>
      <c r="E24654">
        <v>20.509745127436201</v>
      </c>
    </row>
    <row r="24655" spans="1:5">
      <c r="A24655" t="s">
        <v>28672</v>
      </c>
      <c r="B24655" t="s">
        <v>28677</v>
      </c>
      <c r="C24655">
        <v>0</v>
      </c>
      <c r="D24655">
        <v>0.85474976114900003</v>
      </c>
      <c r="E24655">
        <v>20.509745127436201</v>
      </c>
    </row>
    <row r="24656" spans="1:5">
      <c r="A24656" t="s">
        <v>28672</v>
      </c>
      <c r="B24656" t="s">
        <v>28678</v>
      </c>
      <c r="C24656">
        <v>0</v>
      </c>
      <c r="D24656">
        <v>0.85474976114900003</v>
      </c>
      <c r="E24656">
        <v>20.509745127436201</v>
      </c>
    </row>
    <row r="24657" spans="1:5">
      <c r="A24657" t="s">
        <v>28672</v>
      </c>
      <c r="B24657" t="s">
        <v>28679</v>
      </c>
      <c r="C24657">
        <f>0</f>
        <v>0</v>
      </c>
      <c r="D24657">
        <v>0.85474976114900003</v>
      </c>
      <c r="E24657">
        <v>20.509745127436201</v>
      </c>
    </row>
    <row r="24658" spans="1:5">
      <c r="A24658" t="s">
        <v>28672</v>
      </c>
      <c r="B24658" t="s">
        <v>28680</v>
      </c>
      <c r="C24658">
        <f>0</f>
        <v>0</v>
      </c>
      <c r="D24658">
        <v>0.85474976114900003</v>
      </c>
      <c r="E24658">
        <v>20.509745127436201</v>
      </c>
    </row>
    <row r="24659" spans="1:5">
      <c r="A24659" t="s">
        <v>28672</v>
      </c>
      <c r="B24659" t="s">
        <v>28681</v>
      </c>
      <c r="C24659">
        <f>0</f>
        <v>0</v>
      </c>
      <c r="D24659">
        <v>0.85474976114900003</v>
      </c>
      <c r="E24659">
        <v>20.509745127436201</v>
      </c>
    </row>
    <row r="24660" spans="1:5">
      <c r="A24660" t="s">
        <v>28672</v>
      </c>
      <c r="B24660" t="s">
        <v>28682</v>
      </c>
      <c r="C24660">
        <f>0</f>
        <v>0</v>
      </c>
      <c r="D24660">
        <v>0.85474976114900003</v>
      </c>
      <c r="E24660">
        <v>20.509745127436201</v>
      </c>
    </row>
    <row r="24661" spans="1:5">
      <c r="A24661" t="s">
        <v>28672</v>
      </c>
      <c r="B24661" t="s">
        <v>28683</v>
      </c>
      <c r="C24661">
        <f>0</f>
        <v>0</v>
      </c>
      <c r="D24661">
        <v>0.85474976114900003</v>
      </c>
      <c r="E24661">
        <v>20.509745127436201</v>
      </c>
    </row>
    <row r="24662" spans="1:5">
      <c r="A24662" t="s">
        <v>28672</v>
      </c>
      <c r="B24662" t="s">
        <v>28684</v>
      </c>
      <c r="C24662">
        <f>0</f>
        <v>0</v>
      </c>
      <c r="D24662">
        <v>0.85474976114900003</v>
      </c>
      <c r="E24662">
        <v>20.509745127436201</v>
      </c>
    </row>
    <row r="24663" spans="1:5">
      <c r="A24663" t="s">
        <v>28672</v>
      </c>
      <c r="B24663" t="s">
        <v>28685</v>
      </c>
      <c r="C24663">
        <v>0</v>
      </c>
      <c r="D24663">
        <v>0.85474976114900003</v>
      </c>
      <c r="E24663">
        <v>20.509745127436201</v>
      </c>
    </row>
    <row r="24664" spans="1:5">
      <c r="A24664" t="s">
        <v>28672</v>
      </c>
      <c r="B24664" t="s">
        <v>28686</v>
      </c>
      <c r="C24664">
        <f>0</f>
        <v>0</v>
      </c>
      <c r="D24664">
        <v>0.85474976114900003</v>
      </c>
      <c r="E24664">
        <v>20.509745127436201</v>
      </c>
    </row>
    <row r="24665" spans="1:5">
      <c r="A24665" t="s">
        <v>28672</v>
      </c>
      <c r="B24665" t="s">
        <v>28687</v>
      </c>
      <c r="C24665">
        <v>0</v>
      </c>
      <c r="D24665">
        <v>0.85474976114900003</v>
      </c>
      <c r="E24665">
        <v>20.509745127436201</v>
      </c>
    </row>
    <row r="24666" spans="1:5">
      <c r="A24666" t="s">
        <v>28688</v>
      </c>
      <c r="B24666" t="s">
        <v>28689</v>
      </c>
      <c r="C24666">
        <v>0</v>
      </c>
      <c r="D24666" t="s">
        <v>106</v>
      </c>
      <c r="E24666">
        <v>10.398800599700101</v>
      </c>
    </row>
    <row r="24667" spans="1:5">
      <c r="A24667" t="s">
        <v>28688</v>
      </c>
      <c r="B24667" t="s">
        <v>28690</v>
      </c>
      <c r="C24667">
        <v>0</v>
      </c>
      <c r="D24667" t="s">
        <v>106</v>
      </c>
      <c r="E24667">
        <v>10.398800599700101</v>
      </c>
    </row>
    <row r="24668" spans="1:5">
      <c r="A24668" t="s">
        <v>28691</v>
      </c>
      <c r="B24668" t="s">
        <v>28692</v>
      </c>
      <c r="C24668">
        <f>0</f>
        <v>0</v>
      </c>
      <c r="D24668" t="s">
        <v>106</v>
      </c>
      <c r="E24668">
        <v>14.9325337331334</v>
      </c>
    </row>
    <row r="24669" spans="1:5">
      <c r="A24669" t="s">
        <v>28691</v>
      </c>
      <c r="B24669" t="s">
        <v>28693</v>
      </c>
      <c r="C24669">
        <f>0</f>
        <v>0</v>
      </c>
      <c r="D24669" t="s">
        <v>106</v>
      </c>
      <c r="E24669">
        <v>14.9325337331334</v>
      </c>
    </row>
    <row r="24670" spans="1:5">
      <c r="A24670" t="s">
        <v>28691</v>
      </c>
      <c r="B24670" t="s">
        <v>28694</v>
      </c>
      <c r="C24670">
        <f>0</f>
        <v>0</v>
      </c>
      <c r="D24670" t="s">
        <v>106</v>
      </c>
      <c r="E24670">
        <v>14.9325337331334</v>
      </c>
    </row>
    <row r="24671" spans="1:5">
      <c r="A24671" t="s">
        <v>28691</v>
      </c>
      <c r="B24671" t="s">
        <v>28695</v>
      </c>
      <c r="C24671">
        <v>0</v>
      </c>
      <c r="D24671" t="s">
        <v>106</v>
      </c>
      <c r="E24671">
        <v>14.9325337331334</v>
      </c>
    </row>
    <row r="24672" spans="1:5">
      <c r="A24672" t="s">
        <v>28691</v>
      </c>
      <c r="B24672" t="s">
        <v>28696</v>
      </c>
      <c r="C24672">
        <v>0</v>
      </c>
      <c r="D24672" t="s">
        <v>106</v>
      </c>
      <c r="E24672">
        <v>14.9325337331334</v>
      </c>
    </row>
    <row r="24673" spans="1:5">
      <c r="A24673" t="s">
        <v>28697</v>
      </c>
      <c r="B24673" t="s">
        <v>28698</v>
      </c>
      <c r="C24673">
        <v>1.2133995486</v>
      </c>
      <c r="D24673" t="s">
        <v>106</v>
      </c>
      <c r="E24673">
        <v>3.97001499250374</v>
      </c>
    </row>
    <row r="24674" spans="1:5">
      <c r="A24674" t="s">
        <v>28697</v>
      </c>
      <c r="B24674" t="s">
        <v>28699</v>
      </c>
      <c r="C24674">
        <f>0.592876118199</f>
        <v>0.59287611819899999</v>
      </c>
      <c r="D24674" t="s">
        <v>106</v>
      </c>
      <c r="E24674">
        <v>3.97001499250374</v>
      </c>
    </row>
    <row r="24675" spans="1:5">
      <c r="A24675" t="s">
        <v>28700</v>
      </c>
      <c r="B24675" t="s">
        <v>28701</v>
      </c>
      <c r="C24675">
        <v>0</v>
      </c>
      <c r="D24675" t="s">
        <v>106</v>
      </c>
      <c r="E24675">
        <v>19.850074962518701</v>
      </c>
    </row>
    <row r="24676" spans="1:5">
      <c r="A24676" t="s">
        <v>28700</v>
      </c>
      <c r="B24676" t="s">
        <v>28702</v>
      </c>
      <c r="C24676">
        <v>0</v>
      </c>
      <c r="D24676" t="s">
        <v>106</v>
      </c>
      <c r="E24676">
        <v>19.850074962518701</v>
      </c>
    </row>
    <row r="24677" spans="1:5">
      <c r="A24677" t="s">
        <v>28700</v>
      </c>
      <c r="B24677" t="s">
        <v>28703</v>
      </c>
      <c r="C24677">
        <v>0</v>
      </c>
      <c r="D24677" t="s">
        <v>106</v>
      </c>
      <c r="E24677">
        <v>19.850074962518701</v>
      </c>
    </row>
    <row r="24678" spans="1:5">
      <c r="A24678" t="s">
        <v>28700</v>
      </c>
      <c r="B24678" t="s">
        <v>28704</v>
      </c>
      <c r="C24678">
        <f>0</f>
        <v>0</v>
      </c>
      <c r="D24678" t="s">
        <v>106</v>
      </c>
      <c r="E24678">
        <v>19.850074962518701</v>
      </c>
    </row>
    <row r="24679" spans="1:5">
      <c r="A24679" t="s">
        <v>28700</v>
      </c>
      <c r="B24679" t="s">
        <v>28705</v>
      </c>
      <c r="C24679">
        <v>0</v>
      </c>
      <c r="D24679" t="s">
        <v>106</v>
      </c>
      <c r="E24679">
        <v>19.850074962518701</v>
      </c>
    </row>
    <row r="24680" spans="1:5">
      <c r="A24680" t="s">
        <v>28700</v>
      </c>
      <c r="B24680" t="s">
        <v>28706</v>
      </c>
      <c r="C24680">
        <f>0</f>
        <v>0</v>
      </c>
      <c r="D24680" t="s">
        <v>106</v>
      </c>
      <c r="E24680">
        <v>19.850074962518701</v>
      </c>
    </row>
    <row r="24681" spans="1:5">
      <c r="A24681" t="s">
        <v>28707</v>
      </c>
      <c r="B24681" t="s">
        <v>28708</v>
      </c>
      <c r="C24681">
        <f>0.149579601873</f>
        <v>0.14957960187300001</v>
      </c>
      <c r="D24681">
        <v>0.80658766410399996</v>
      </c>
      <c r="E24681">
        <v>3.0464767616191901</v>
      </c>
    </row>
    <row r="24682" spans="1:5">
      <c r="A24682" t="s">
        <v>28707</v>
      </c>
      <c r="B24682" t="s">
        <v>28709</v>
      </c>
      <c r="C24682">
        <f>0.114059161164</f>
        <v>0.114059161164</v>
      </c>
      <c r="D24682">
        <v>0.80658766410399996</v>
      </c>
      <c r="E24682">
        <v>3.0464767616191901</v>
      </c>
    </row>
    <row r="24683" spans="1:5">
      <c r="A24683" t="s">
        <v>28710</v>
      </c>
      <c r="B24683" t="s">
        <v>28711</v>
      </c>
      <c r="C24683">
        <v>0.37646627701500002</v>
      </c>
      <c r="D24683">
        <v>0.98703995128599997</v>
      </c>
      <c r="E24683">
        <v>8.8635682158920499</v>
      </c>
    </row>
    <row r="24684" spans="1:5">
      <c r="A24684" t="s">
        <v>28710</v>
      </c>
      <c r="B24684" t="s">
        <v>28712</v>
      </c>
      <c r="C24684">
        <v>0.16142703623099999</v>
      </c>
      <c r="D24684">
        <v>0.98703995128599997</v>
      </c>
      <c r="E24684">
        <v>8.8635682158920499</v>
      </c>
    </row>
    <row r="24685" spans="1:5">
      <c r="A24685" t="s">
        <v>28710</v>
      </c>
      <c r="B24685" t="s">
        <v>28713</v>
      </c>
      <c r="C24685">
        <f>0</f>
        <v>0</v>
      </c>
      <c r="D24685">
        <v>0.98703995128599997</v>
      </c>
      <c r="E24685">
        <v>8.8635682158920499</v>
      </c>
    </row>
    <row r="24686" spans="1:5">
      <c r="A24686" t="s">
        <v>28710</v>
      </c>
      <c r="B24686" t="s">
        <v>28714</v>
      </c>
      <c r="C24686">
        <v>0</v>
      </c>
      <c r="D24686">
        <v>0.98703995128599997</v>
      </c>
      <c r="E24686">
        <v>8.8635682158920499</v>
      </c>
    </row>
    <row r="24687" spans="1:5">
      <c r="A24687" t="s">
        <v>28715</v>
      </c>
      <c r="B24687" t="s">
        <v>28716</v>
      </c>
      <c r="C24687">
        <v>0</v>
      </c>
      <c r="D24687">
        <v>0.80234695262</v>
      </c>
      <c r="E24687">
        <v>15.316341829085401</v>
      </c>
    </row>
    <row r="24688" spans="1:5">
      <c r="A24688" t="s">
        <v>28715</v>
      </c>
      <c r="B24688" t="s">
        <v>28717</v>
      </c>
      <c r="C24688">
        <v>0.19046782679099999</v>
      </c>
      <c r="D24688">
        <v>0.80234695262</v>
      </c>
      <c r="E24688">
        <v>15.316341829085401</v>
      </c>
    </row>
    <row r="24689" spans="1:5">
      <c r="A24689" t="s">
        <v>28718</v>
      </c>
      <c r="B24689" t="s">
        <v>28719</v>
      </c>
      <c r="C24689">
        <f>0</f>
        <v>0</v>
      </c>
      <c r="D24689">
        <v>0.89119178814300004</v>
      </c>
      <c r="E24689">
        <v>24</v>
      </c>
    </row>
    <row r="24690" spans="1:5">
      <c r="A24690" t="s">
        <v>28718</v>
      </c>
      <c r="B24690" t="s">
        <v>28720</v>
      </c>
      <c r="C24690">
        <v>0</v>
      </c>
      <c r="D24690">
        <v>0.89119178814300004</v>
      </c>
      <c r="E24690">
        <v>24</v>
      </c>
    </row>
    <row r="24691" spans="1:5">
      <c r="A24691" t="s">
        <v>28718</v>
      </c>
      <c r="B24691" t="s">
        <v>28721</v>
      </c>
      <c r="C24691">
        <f>0.0372985886445</f>
        <v>3.7298588644500003E-2</v>
      </c>
      <c r="D24691">
        <v>0.89119178814300004</v>
      </c>
      <c r="E24691">
        <v>24</v>
      </c>
    </row>
    <row r="24692" spans="1:5">
      <c r="A24692" t="s">
        <v>28718</v>
      </c>
      <c r="B24692" t="s">
        <v>28722</v>
      </c>
      <c r="C24692">
        <v>0</v>
      </c>
      <c r="D24692">
        <v>0.89119178814300004</v>
      </c>
      <c r="E24692">
        <v>24</v>
      </c>
    </row>
    <row r="24693" spans="1:5">
      <c r="A24693" t="s">
        <v>28718</v>
      </c>
      <c r="B24693" t="s">
        <v>28723</v>
      </c>
      <c r="C24693">
        <f>0.122137350282</f>
        <v>0.122137350282</v>
      </c>
      <c r="D24693">
        <v>0.89119178814300004</v>
      </c>
      <c r="E24693">
        <v>24</v>
      </c>
    </row>
    <row r="24694" spans="1:5">
      <c r="A24694" t="s">
        <v>28718</v>
      </c>
      <c r="B24694" t="s">
        <v>28724</v>
      </c>
      <c r="C24694">
        <f>0</f>
        <v>0</v>
      </c>
      <c r="D24694">
        <v>0.89119178814300004</v>
      </c>
      <c r="E24694">
        <v>24</v>
      </c>
    </row>
    <row r="24695" spans="1:5">
      <c r="A24695" t="s">
        <v>28718</v>
      </c>
      <c r="B24695" t="s">
        <v>28725</v>
      </c>
      <c r="C24695">
        <v>0</v>
      </c>
      <c r="D24695">
        <v>0.89119178814300004</v>
      </c>
      <c r="E24695">
        <v>24</v>
      </c>
    </row>
    <row r="24696" spans="1:5">
      <c r="A24696" t="s">
        <v>28726</v>
      </c>
      <c r="B24696" t="s">
        <v>28727</v>
      </c>
      <c r="C24696">
        <f>0</f>
        <v>0</v>
      </c>
      <c r="D24696">
        <v>0.94435817099200003</v>
      </c>
      <c r="E24696">
        <v>9.3073463268365799</v>
      </c>
    </row>
    <row r="24697" spans="1:5">
      <c r="A24697" t="s">
        <v>28726</v>
      </c>
      <c r="B24697" t="s">
        <v>28728</v>
      </c>
      <c r="C24697">
        <v>0</v>
      </c>
      <c r="D24697">
        <v>0.94435817099200003</v>
      </c>
      <c r="E24697">
        <v>9.3073463268365799</v>
      </c>
    </row>
    <row r="24698" spans="1:5">
      <c r="A24698" t="s">
        <v>28726</v>
      </c>
      <c r="B24698" t="s">
        <v>28729</v>
      </c>
      <c r="C24698">
        <f>0</f>
        <v>0</v>
      </c>
      <c r="D24698">
        <v>0.94435817099200003</v>
      </c>
      <c r="E24698">
        <v>9.3073463268365799</v>
      </c>
    </row>
    <row r="24699" spans="1:5">
      <c r="A24699" t="s">
        <v>28726</v>
      </c>
      <c r="B24699" t="s">
        <v>28730</v>
      </c>
      <c r="C24699">
        <f>0</f>
        <v>0</v>
      </c>
      <c r="D24699">
        <v>0.94435817099200003</v>
      </c>
      <c r="E24699">
        <v>9.3073463268365799</v>
      </c>
    </row>
    <row r="24700" spans="1:5">
      <c r="A24700" t="s">
        <v>28726</v>
      </c>
      <c r="B24700" t="s">
        <v>28731</v>
      </c>
      <c r="C24700">
        <f>0.0345505626893</f>
        <v>3.4550562689299999E-2</v>
      </c>
      <c r="D24700">
        <v>0.94435817099200003</v>
      </c>
      <c r="E24700">
        <v>9.3073463268365799</v>
      </c>
    </row>
    <row r="24701" spans="1:5">
      <c r="A24701" t="s">
        <v>28726</v>
      </c>
      <c r="B24701" t="s">
        <v>28732</v>
      </c>
      <c r="C24701">
        <v>0</v>
      </c>
      <c r="D24701">
        <v>0.94435817099200003</v>
      </c>
      <c r="E24701">
        <v>9.3073463268365799</v>
      </c>
    </row>
    <row r="24702" spans="1:5">
      <c r="A24702" t="s">
        <v>28726</v>
      </c>
      <c r="B24702" t="s">
        <v>28733</v>
      </c>
      <c r="C24702">
        <v>0</v>
      </c>
      <c r="D24702">
        <v>0.94435817099200003</v>
      </c>
      <c r="E24702">
        <v>9.3073463268365799</v>
      </c>
    </row>
    <row r="24703" spans="1:5">
      <c r="A24703" t="s">
        <v>28726</v>
      </c>
      <c r="B24703" t="s">
        <v>28734</v>
      </c>
      <c r="C24703">
        <v>0</v>
      </c>
      <c r="D24703">
        <v>0.94435817099200003</v>
      </c>
      <c r="E24703">
        <v>9.3073463268365799</v>
      </c>
    </row>
    <row r="24704" spans="1:5">
      <c r="A24704" t="s">
        <v>28726</v>
      </c>
      <c r="B24704" t="s">
        <v>28735</v>
      </c>
      <c r="C24704">
        <v>0</v>
      </c>
      <c r="D24704">
        <v>0.94435817099200003</v>
      </c>
      <c r="E24704">
        <v>9.3073463268365799</v>
      </c>
    </row>
    <row r="24705" spans="1:5">
      <c r="A24705" t="s">
        <v>28726</v>
      </c>
      <c r="B24705" t="s">
        <v>28736</v>
      </c>
      <c r="C24705">
        <v>0</v>
      </c>
      <c r="D24705">
        <v>0.94435817099200003</v>
      </c>
      <c r="E24705">
        <v>9.3073463268365799</v>
      </c>
    </row>
    <row r="24706" spans="1:5">
      <c r="A24706" t="s">
        <v>28726</v>
      </c>
      <c r="B24706" t="s">
        <v>28737</v>
      </c>
      <c r="C24706">
        <f>0</f>
        <v>0</v>
      </c>
      <c r="D24706">
        <v>0.94435817099200003</v>
      </c>
      <c r="E24706">
        <v>9.3073463268365799</v>
      </c>
    </row>
    <row r="24707" spans="1:5">
      <c r="A24707" t="s">
        <v>28738</v>
      </c>
      <c r="B24707" t="s">
        <v>28739</v>
      </c>
      <c r="C24707">
        <v>0.20584798358100001</v>
      </c>
      <c r="D24707" t="s">
        <v>106</v>
      </c>
      <c r="E24707">
        <v>4.7976011994003001</v>
      </c>
    </row>
    <row r="24708" spans="1:5">
      <c r="A24708" t="s">
        <v>28738</v>
      </c>
      <c r="B24708" t="s">
        <v>28740</v>
      </c>
      <c r="C24708">
        <v>0.20896532065500001</v>
      </c>
      <c r="D24708" t="s">
        <v>106</v>
      </c>
      <c r="E24708">
        <v>4.7976011994003001</v>
      </c>
    </row>
    <row r="24709" spans="1:5">
      <c r="A24709" t="s">
        <v>28738</v>
      </c>
      <c r="B24709" t="s">
        <v>28741</v>
      </c>
      <c r="C24709">
        <v>0</v>
      </c>
      <c r="D24709" t="s">
        <v>106</v>
      </c>
      <c r="E24709">
        <v>4.7976011994003001</v>
      </c>
    </row>
    <row r="24710" spans="1:5">
      <c r="A24710" t="s">
        <v>28738</v>
      </c>
      <c r="B24710" t="s">
        <v>28742</v>
      </c>
      <c r="C24710">
        <f>0</f>
        <v>0</v>
      </c>
      <c r="D24710" t="s">
        <v>106</v>
      </c>
      <c r="E24710">
        <v>4.7976011994003001</v>
      </c>
    </row>
    <row r="24711" spans="1:5">
      <c r="A24711" t="s">
        <v>28738</v>
      </c>
      <c r="B24711" t="s">
        <v>28743</v>
      </c>
      <c r="C24711">
        <v>0</v>
      </c>
      <c r="D24711" t="s">
        <v>106</v>
      </c>
      <c r="E24711">
        <v>4.7976011994003001</v>
      </c>
    </row>
    <row r="24712" spans="1:5">
      <c r="A24712" t="s">
        <v>28738</v>
      </c>
      <c r="B24712" t="s">
        <v>28744</v>
      </c>
      <c r="C24712">
        <v>0</v>
      </c>
      <c r="D24712" t="s">
        <v>106</v>
      </c>
      <c r="E24712">
        <v>4.7976011994003001</v>
      </c>
    </row>
    <row r="24713" spans="1:5">
      <c r="A24713" t="s">
        <v>28745</v>
      </c>
      <c r="B24713" t="s">
        <v>28746</v>
      </c>
      <c r="C24713">
        <v>0</v>
      </c>
      <c r="D24713">
        <v>0.94762054102500004</v>
      </c>
      <c r="E24713">
        <v>0.43178410794602701</v>
      </c>
    </row>
    <row r="24714" spans="1:5">
      <c r="A24714" t="s">
        <v>28745</v>
      </c>
      <c r="B24714" t="s">
        <v>28747</v>
      </c>
      <c r="C24714">
        <f>0.32629711455</f>
        <v>0.32629711454999999</v>
      </c>
      <c r="D24714">
        <v>0.94762054102500004</v>
      </c>
      <c r="E24714">
        <v>0.43178410794602701</v>
      </c>
    </row>
    <row r="24715" spans="1:5">
      <c r="A24715" t="s">
        <v>28745</v>
      </c>
      <c r="B24715" t="s">
        <v>28748</v>
      </c>
      <c r="C24715">
        <f>0</f>
        <v>0</v>
      </c>
      <c r="D24715">
        <v>0.94762054102500004</v>
      </c>
      <c r="E24715">
        <v>0.43178410794602701</v>
      </c>
    </row>
    <row r="24716" spans="1:5">
      <c r="A24716" t="s">
        <v>28745</v>
      </c>
      <c r="B24716" t="s">
        <v>28749</v>
      </c>
      <c r="C24716">
        <v>0</v>
      </c>
      <c r="D24716">
        <v>0.94762054102500004</v>
      </c>
      <c r="E24716">
        <v>0.43178410794602701</v>
      </c>
    </row>
    <row r="24717" spans="1:5">
      <c r="A24717" t="s">
        <v>28745</v>
      </c>
      <c r="B24717" t="s">
        <v>28750</v>
      </c>
      <c r="C24717">
        <f>0</f>
        <v>0</v>
      </c>
      <c r="D24717">
        <v>0.94762054102500004</v>
      </c>
      <c r="E24717">
        <v>0.43178410794602701</v>
      </c>
    </row>
    <row r="24718" spans="1:5">
      <c r="A24718" t="s">
        <v>28745</v>
      </c>
      <c r="B24718" t="s">
        <v>28751</v>
      </c>
      <c r="C24718">
        <f>0</f>
        <v>0</v>
      </c>
      <c r="D24718">
        <v>0.94762054102500004</v>
      </c>
      <c r="E24718">
        <v>0.43178410794602701</v>
      </c>
    </row>
    <row r="24719" spans="1:5">
      <c r="A24719" t="s">
        <v>28745</v>
      </c>
      <c r="B24719" t="s">
        <v>28752</v>
      </c>
      <c r="C24719">
        <f>0</f>
        <v>0</v>
      </c>
      <c r="D24719">
        <v>0.94762054102500004</v>
      </c>
      <c r="E24719">
        <v>0.43178410794602701</v>
      </c>
    </row>
    <row r="24720" spans="1:5">
      <c r="A24720" t="s">
        <v>28753</v>
      </c>
      <c r="B24720" t="s">
        <v>28754</v>
      </c>
      <c r="C24720">
        <v>0</v>
      </c>
      <c r="D24720">
        <v>0.88404435816600002</v>
      </c>
      <c r="E24720">
        <v>23.7481259370314</v>
      </c>
    </row>
    <row r="24721" spans="1:5">
      <c r="A24721" t="s">
        <v>28753</v>
      </c>
      <c r="B24721" t="s">
        <v>28755</v>
      </c>
      <c r="C24721">
        <v>7.0509634176700003E-2</v>
      </c>
      <c r="D24721">
        <v>0.88404435816600002</v>
      </c>
      <c r="E24721">
        <v>23.7481259370314</v>
      </c>
    </row>
    <row r="24722" spans="1:5">
      <c r="A24722" t="s">
        <v>28753</v>
      </c>
      <c r="B24722" t="s">
        <v>28756</v>
      </c>
      <c r="C24722">
        <f>0.00749709302882</f>
        <v>7.49709302882E-3</v>
      </c>
      <c r="D24722">
        <v>0.88404435816600002</v>
      </c>
      <c r="E24722">
        <v>23.7481259370314</v>
      </c>
    </row>
    <row r="24723" spans="1:5">
      <c r="A24723" t="s">
        <v>28753</v>
      </c>
      <c r="B24723" t="s">
        <v>28757</v>
      </c>
      <c r="C24723">
        <v>0</v>
      </c>
      <c r="D24723">
        <v>0.88404435816600002</v>
      </c>
      <c r="E24723">
        <v>23.7481259370314</v>
      </c>
    </row>
    <row r="24724" spans="1:5">
      <c r="A24724" t="s">
        <v>28753</v>
      </c>
      <c r="B24724" t="s">
        <v>28758</v>
      </c>
      <c r="C24724">
        <v>6.91287090001E-2</v>
      </c>
      <c r="D24724">
        <v>0.88404435816600002</v>
      </c>
      <c r="E24724">
        <v>23.7481259370314</v>
      </c>
    </row>
    <row r="24725" spans="1:5">
      <c r="A24725" t="s">
        <v>28759</v>
      </c>
      <c r="B24725" t="s">
        <v>28760</v>
      </c>
      <c r="C24725">
        <f>0.089921533986</f>
        <v>8.9921533986000002E-2</v>
      </c>
      <c r="D24725">
        <v>0.97539936470300004</v>
      </c>
      <c r="E24725">
        <v>24</v>
      </c>
    </row>
    <row r="24726" spans="1:5">
      <c r="A24726" t="s">
        <v>28761</v>
      </c>
      <c r="B24726" t="s">
        <v>28762</v>
      </c>
      <c r="C24726">
        <v>0</v>
      </c>
      <c r="D24726" t="s">
        <v>106</v>
      </c>
      <c r="E24726">
        <v>10.878560719640101</v>
      </c>
    </row>
    <row r="24727" spans="1:5">
      <c r="A24727" t="s">
        <v>28761</v>
      </c>
      <c r="B24727" t="s">
        <v>28763</v>
      </c>
      <c r="C24727">
        <v>0</v>
      </c>
      <c r="D24727" t="s">
        <v>106</v>
      </c>
      <c r="E24727">
        <v>10.878560719640101</v>
      </c>
    </row>
    <row r="24728" spans="1:5">
      <c r="A24728" t="s">
        <v>28761</v>
      </c>
      <c r="B24728" t="s">
        <v>28764</v>
      </c>
      <c r="C24728">
        <v>0</v>
      </c>
      <c r="D24728" t="s">
        <v>106</v>
      </c>
      <c r="E24728">
        <v>10.878560719640101</v>
      </c>
    </row>
    <row r="24729" spans="1:5">
      <c r="A24729" t="s">
        <v>28761</v>
      </c>
      <c r="B24729" t="s">
        <v>28765</v>
      </c>
      <c r="C24729">
        <f>0</f>
        <v>0</v>
      </c>
      <c r="D24729" t="s">
        <v>106</v>
      </c>
      <c r="E24729">
        <v>10.878560719640101</v>
      </c>
    </row>
    <row r="24730" spans="1:5">
      <c r="A24730" t="s">
        <v>28761</v>
      </c>
      <c r="B24730" t="s">
        <v>28766</v>
      </c>
      <c r="C24730">
        <v>0</v>
      </c>
      <c r="D24730" t="s">
        <v>106</v>
      </c>
      <c r="E24730">
        <v>10.878560719640101</v>
      </c>
    </row>
    <row r="24731" spans="1:5">
      <c r="A24731" t="s">
        <v>28767</v>
      </c>
      <c r="B24731" t="s">
        <v>28768</v>
      </c>
      <c r="C24731">
        <v>0</v>
      </c>
      <c r="D24731">
        <v>0.95890874831799999</v>
      </c>
      <c r="E24731">
        <v>12.9175412293853</v>
      </c>
    </row>
    <row r="24732" spans="1:5">
      <c r="A24732" t="s">
        <v>28767</v>
      </c>
      <c r="B24732" t="s">
        <v>28769</v>
      </c>
      <c r="C24732">
        <v>0</v>
      </c>
      <c r="D24732">
        <v>0.95890874831799999</v>
      </c>
      <c r="E24732">
        <v>12.9175412293853</v>
      </c>
    </row>
    <row r="24733" spans="1:5">
      <c r="A24733" t="s">
        <v>28767</v>
      </c>
      <c r="B24733" t="s">
        <v>28770</v>
      </c>
      <c r="C24733">
        <v>0</v>
      </c>
      <c r="D24733">
        <v>0.95890874831799999</v>
      </c>
      <c r="E24733">
        <v>12.9175412293853</v>
      </c>
    </row>
    <row r="24734" spans="1:5">
      <c r="A24734" t="s">
        <v>28767</v>
      </c>
      <c r="B24734" t="s">
        <v>28771</v>
      </c>
      <c r="C24734">
        <f>0</f>
        <v>0</v>
      </c>
      <c r="D24734">
        <v>0.95890874831799999</v>
      </c>
      <c r="E24734">
        <v>12.9175412293853</v>
      </c>
    </row>
    <row r="24735" spans="1:5">
      <c r="A24735" t="s">
        <v>28767</v>
      </c>
      <c r="B24735" t="s">
        <v>28772</v>
      </c>
      <c r="C24735">
        <v>0.19515308003699999</v>
      </c>
      <c r="D24735">
        <v>0.95890874831799999</v>
      </c>
      <c r="E24735">
        <v>12.9175412293853</v>
      </c>
    </row>
    <row r="24736" spans="1:5">
      <c r="A24736" t="s">
        <v>28767</v>
      </c>
      <c r="B24736" t="s">
        <v>28773</v>
      </c>
      <c r="C24736">
        <v>0</v>
      </c>
      <c r="D24736">
        <v>0.95890874831799999</v>
      </c>
      <c r="E24736">
        <v>12.9175412293853</v>
      </c>
    </row>
    <row r="24737" spans="1:5">
      <c r="A24737" t="s">
        <v>28767</v>
      </c>
      <c r="B24737" t="s">
        <v>28774</v>
      </c>
      <c r="C24737">
        <f>0</f>
        <v>0</v>
      </c>
      <c r="D24737">
        <v>0.95890874831799999</v>
      </c>
      <c r="E24737">
        <v>12.9175412293853</v>
      </c>
    </row>
    <row r="24738" spans="1:5">
      <c r="A24738" t="s">
        <v>28767</v>
      </c>
      <c r="B24738" t="s">
        <v>28775</v>
      </c>
      <c r="C24738">
        <f>0</f>
        <v>0</v>
      </c>
      <c r="D24738">
        <v>0.95890874831799999</v>
      </c>
      <c r="E24738">
        <v>12.9175412293853</v>
      </c>
    </row>
    <row r="24739" spans="1:5">
      <c r="A24739" t="s">
        <v>28767</v>
      </c>
      <c r="B24739" t="s">
        <v>28776</v>
      </c>
      <c r="C24739">
        <v>0</v>
      </c>
      <c r="D24739">
        <v>0.95890874831799999</v>
      </c>
      <c r="E24739">
        <v>12.9175412293853</v>
      </c>
    </row>
    <row r="24740" spans="1:5">
      <c r="A24740" t="s">
        <v>28767</v>
      </c>
      <c r="B24740" t="s">
        <v>28777</v>
      </c>
      <c r="C24740">
        <f>0</f>
        <v>0</v>
      </c>
      <c r="D24740">
        <v>0.95890874831799999</v>
      </c>
      <c r="E24740">
        <v>12.9175412293853</v>
      </c>
    </row>
    <row r="24741" spans="1:5">
      <c r="A24741" t="s">
        <v>28767</v>
      </c>
      <c r="B24741" t="s">
        <v>28778</v>
      </c>
      <c r="C24741">
        <f>0.0965003178314</f>
        <v>9.6500317831400007E-2</v>
      </c>
      <c r="D24741">
        <v>0.95890874831799999</v>
      </c>
      <c r="E24741">
        <v>12.9175412293853</v>
      </c>
    </row>
    <row r="24742" spans="1:5">
      <c r="A24742" t="s">
        <v>28767</v>
      </c>
      <c r="B24742" t="s">
        <v>28779</v>
      </c>
      <c r="C24742">
        <v>0</v>
      </c>
      <c r="D24742">
        <v>0.95890874831799999</v>
      </c>
      <c r="E24742">
        <v>12.9175412293853</v>
      </c>
    </row>
    <row r="24743" spans="1:5">
      <c r="A24743" t="s">
        <v>28767</v>
      </c>
      <c r="B24743" t="s">
        <v>28780</v>
      </c>
      <c r="C24743">
        <v>0</v>
      </c>
      <c r="D24743">
        <v>0.95890874831799999</v>
      </c>
      <c r="E24743">
        <v>12.9175412293853</v>
      </c>
    </row>
    <row r="24744" spans="1:5">
      <c r="A24744" t="s">
        <v>28781</v>
      </c>
      <c r="B24744" t="s">
        <v>28782</v>
      </c>
      <c r="C24744">
        <f>0</f>
        <v>0</v>
      </c>
      <c r="D24744">
        <v>0.87941791089300003</v>
      </c>
      <c r="E24744">
        <v>0.73163418290854498</v>
      </c>
    </row>
    <row r="24745" spans="1:5">
      <c r="A24745" t="s">
        <v>28781</v>
      </c>
      <c r="B24745" t="s">
        <v>28783</v>
      </c>
      <c r="C24745">
        <v>0</v>
      </c>
      <c r="D24745">
        <v>0.87941791089300003</v>
      </c>
      <c r="E24745">
        <v>0.73163418290854498</v>
      </c>
    </row>
    <row r="24746" spans="1:5">
      <c r="A24746" t="s">
        <v>28781</v>
      </c>
      <c r="B24746" t="s">
        <v>28784</v>
      </c>
      <c r="C24746">
        <f>0</f>
        <v>0</v>
      </c>
      <c r="D24746">
        <v>0.87941791089300003</v>
      </c>
      <c r="E24746">
        <v>0.73163418290854498</v>
      </c>
    </row>
    <row r="24747" spans="1:5">
      <c r="A24747" t="s">
        <v>28781</v>
      </c>
      <c r="B24747" t="s">
        <v>28785</v>
      </c>
      <c r="C24747">
        <f>0</f>
        <v>0</v>
      </c>
      <c r="D24747">
        <v>0.87941791089300003</v>
      </c>
      <c r="E24747">
        <v>0.73163418290854498</v>
      </c>
    </row>
    <row r="24748" spans="1:5">
      <c r="A24748" t="s">
        <v>28781</v>
      </c>
      <c r="B24748" t="s">
        <v>28786</v>
      </c>
      <c r="C24748">
        <f>0.086554331454</f>
        <v>8.6554331454000002E-2</v>
      </c>
      <c r="D24748">
        <v>0.87941791089300003</v>
      </c>
      <c r="E24748">
        <v>0.73163418290854498</v>
      </c>
    </row>
    <row r="24749" spans="1:5">
      <c r="A24749" t="s">
        <v>28781</v>
      </c>
      <c r="B24749" t="s">
        <v>28787</v>
      </c>
      <c r="C24749">
        <v>0</v>
      </c>
      <c r="D24749">
        <v>0.87941791089300003</v>
      </c>
      <c r="E24749">
        <v>0.73163418290854498</v>
      </c>
    </row>
    <row r="24750" spans="1:5">
      <c r="A24750" t="s">
        <v>28781</v>
      </c>
      <c r="B24750" t="s">
        <v>28788</v>
      </c>
      <c r="C24750">
        <f>0</f>
        <v>0</v>
      </c>
      <c r="D24750">
        <v>0.87941791089300003</v>
      </c>
      <c r="E24750">
        <v>0.73163418290854498</v>
      </c>
    </row>
    <row r="24751" spans="1:5">
      <c r="A24751" t="s">
        <v>28781</v>
      </c>
      <c r="B24751" t="s">
        <v>28789</v>
      </c>
      <c r="C24751">
        <f>0</f>
        <v>0</v>
      </c>
      <c r="D24751">
        <v>0.87941791089300003</v>
      </c>
      <c r="E24751">
        <v>0.73163418290854498</v>
      </c>
    </row>
    <row r="24752" spans="1:5">
      <c r="A24752" t="s">
        <v>28781</v>
      </c>
      <c r="B24752" t="s">
        <v>28790</v>
      </c>
      <c r="C24752">
        <v>0</v>
      </c>
      <c r="D24752">
        <v>0.87941791089300003</v>
      </c>
      <c r="E24752">
        <v>0.73163418290854498</v>
      </c>
    </row>
    <row r="24753" spans="1:5">
      <c r="A24753" t="s">
        <v>28781</v>
      </c>
      <c r="B24753" t="s">
        <v>28791</v>
      </c>
      <c r="C24753">
        <f>0</f>
        <v>0</v>
      </c>
      <c r="D24753">
        <v>0.87941791089300003</v>
      </c>
      <c r="E24753">
        <v>0.73163418290854498</v>
      </c>
    </row>
    <row r="24754" spans="1:5">
      <c r="A24754" t="s">
        <v>28781</v>
      </c>
      <c r="B24754" t="s">
        <v>28792</v>
      </c>
      <c r="C24754">
        <f>0</f>
        <v>0</v>
      </c>
      <c r="D24754">
        <v>0.87941791089300003</v>
      </c>
      <c r="E24754">
        <v>0.73163418290854498</v>
      </c>
    </row>
    <row r="24755" spans="1:5">
      <c r="A24755" t="s">
        <v>28781</v>
      </c>
      <c r="B24755" t="s">
        <v>28793</v>
      </c>
      <c r="C24755">
        <v>0</v>
      </c>
      <c r="D24755">
        <v>0.87941791089300003</v>
      </c>
      <c r="E24755">
        <v>0.73163418290854498</v>
      </c>
    </row>
    <row r="24756" spans="1:5">
      <c r="A24756" t="s">
        <v>28781</v>
      </c>
      <c r="B24756" t="s">
        <v>28794</v>
      </c>
      <c r="C24756">
        <v>0</v>
      </c>
      <c r="D24756">
        <v>0.87941791089300003</v>
      </c>
      <c r="E24756">
        <v>0.73163418290854498</v>
      </c>
    </row>
    <row r="24757" spans="1:5">
      <c r="A24757" t="s">
        <v>28781</v>
      </c>
      <c r="B24757" t="s">
        <v>28795</v>
      </c>
      <c r="C24757">
        <f>0</f>
        <v>0</v>
      </c>
      <c r="D24757">
        <v>0.87941791089300003</v>
      </c>
      <c r="E24757">
        <v>0.73163418290854498</v>
      </c>
    </row>
    <row r="24758" spans="1:5">
      <c r="A24758" t="s">
        <v>28781</v>
      </c>
      <c r="B24758" t="s">
        <v>28796</v>
      </c>
      <c r="C24758">
        <f>0</f>
        <v>0</v>
      </c>
      <c r="D24758">
        <v>0.87941791089300003</v>
      </c>
      <c r="E24758">
        <v>0.73163418290854498</v>
      </c>
    </row>
    <row r="24759" spans="1:5">
      <c r="A24759" t="s">
        <v>28781</v>
      </c>
      <c r="B24759" t="s">
        <v>28797</v>
      </c>
      <c r="C24759">
        <f>0</f>
        <v>0</v>
      </c>
      <c r="D24759">
        <v>0.87941791089300003</v>
      </c>
      <c r="E24759">
        <v>0.73163418290854498</v>
      </c>
    </row>
    <row r="24760" spans="1:5">
      <c r="A24760" t="s">
        <v>28781</v>
      </c>
      <c r="B24760" t="s">
        <v>28798</v>
      </c>
      <c r="C24760">
        <v>0</v>
      </c>
      <c r="D24760">
        <v>0.87941791089300003</v>
      </c>
      <c r="E24760">
        <v>0.73163418290854498</v>
      </c>
    </row>
    <row r="24761" spans="1:5">
      <c r="A24761" t="s">
        <v>28781</v>
      </c>
      <c r="B24761" t="s">
        <v>28799</v>
      </c>
      <c r="C24761">
        <v>0</v>
      </c>
      <c r="D24761">
        <v>0.87941791089300003</v>
      </c>
      <c r="E24761">
        <v>0.73163418290854498</v>
      </c>
    </row>
    <row r="24762" spans="1:5">
      <c r="A24762" t="s">
        <v>28781</v>
      </c>
      <c r="B24762" t="s">
        <v>28800</v>
      </c>
      <c r="C24762">
        <f>0</f>
        <v>0</v>
      </c>
      <c r="D24762">
        <v>0.87941791089300003</v>
      </c>
      <c r="E24762">
        <v>0.73163418290854498</v>
      </c>
    </row>
    <row r="24763" spans="1:5">
      <c r="A24763" t="s">
        <v>28781</v>
      </c>
      <c r="B24763" t="s">
        <v>28801</v>
      </c>
      <c r="C24763">
        <f>0</f>
        <v>0</v>
      </c>
      <c r="D24763">
        <v>0.87941791089300003</v>
      </c>
      <c r="E24763">
        <v>0.73163418290854498</v>
      </c>
    </row>
    <row r="24764" spans="1:5">
      <c r="A24764" t="s">
        <v>28802</v>
      </c>
      <c r="B24764" t="s">
        <v>28803</v>
      </c>
      <c r="C24764">
        <f>0</f>
        <v>0</v>
      </c>
      <c r="D24764">
        <v>0.91985405651999996</v>
      </c>
      <c r="E24764">
        <v>9.3073463268365799</v>
      </c>
    </row>
    <row r="24765" spans="1:5">
      <c r="A24765" t="s">
        <v>28802</v>
      </c>
      <c r="B24765" t="s">
        <v>28804</v>
      </c>
      <c r="C24765">
        <v>0</v>
      </c>
      <c r="D24765">
        <v>0.91985405651999996</v>
      </c>
      <c r="E24765">
        <v>9.3073463268365799</v>
      </c>
    </row>
    <row r="24766" spans="1:5">
      <c r="A24766" t="s">
        <v>28802</v>
      </c>
      <c r="B24766" t="s">
        <v>28805</v>
      </c>
      <c r="C24766">
        <f>0.145441389374</f>
        <v>0.145441389374</v>
      </c>
      <c r="D24766">
        <v>0.91985405651999996</v>
      </c>
      <c r="E24766">
        <v>9.3073463268365799</v>
      </c>
    </row>
    <row r="24767" spans="1:5">
      <c r="A24767" t="s">
        <v>28802</v>
      </c>
      <c r="B24767" t="s">
        <v>28806</v>
      </c>
      <c r="C24767">
        <v>0</v>
      </c>
      <c r="D24767">
        <v>0.91985405651999996</v>
      </c>
      <c r="E24767">
        <v>9.3073463268365799</v>
      </c>
    </row>
    <row r="24768" spans="1:5">
      <c r="A24768" t="s">
        <v>28807</v>
      </c>
      <c r="B24768" t="s">
        <v>28808</v>
      </c>
      <c r="C24768">
        <v>0</v>
      </c>
      <c r="D24768">
        <v>0.98621318174100003</v>
      </c>
      <c r="E24768">
        <v>10.230884557721099</v>
      </c>
    </row>
    <row r="24769" spans="1:5">
      <c r="A24769" t="s">
        <v>28807</v>
      </c>
      <c r="B24769" t="s">
        <v>28809</v>
      </c>
      <c r="C24769">
        <v>0</v>
      </c>
      <c r="D24769">
        <v>0.98621318174100003</v>
      </c>
      <c r="E24769">
        <v>10.230884557721099</v>
      </c>
    </row>
    <row r="24770" spans="1:5">
      <c r="A24770" t="s">
        <v>28807</v>
      </c>
      <c r="B24770" t="s">
        <v>28810</v>
      </c>
      <c r="C24770">
        <v>4.7722900651099999E-2</v>
      </c>
      <c r="D24770">
        <v>0.98621318174100003</v>
      </c>
      <c r="E24770">
        <v>10.230884557721099</v>
      </c>
    </row>
    <row r="24771" spans="1:5">
      <c r="A24771" t="s">
        <v>28811</v>
      </c>
      <c r="B24771" t="s">
        <v>28812</v>
      </c>
      <c r="C24771">
        <f>0.088996385969</f>
        <v>8.8996385969000003E-2</v>
      </c>
      <c r="D24771">
        <v>0.77466260800599995</v>
      </c>
      <c r="E24771">
        <v>8.8635682158920499</v>
      </c>
    </row>
    <row r="24772" spans="1:5">
      <c r="A24772" t="s">
        <v>28811</v>
      </c>
      <c r="B24772" t="s">
        <v>28813</v>
      </c>
      <c r="C24772">
        <v>0.23151860614</v>
      </c>
      <c r="D24772">
        <v>0.77466260800599995</v>
      </c>
      <c r="E24772">
        <v>8.8635682158920499</v>
      </c>
    </row>
    <row r="24773" spans="1:5">
      <c r="A24773" t="s">
        <v>28811</v>
      </c>
      <c r="B24773" t="s">
        <v>28814</v>
      </c>
      <c r="C24773">
        <v>0</v>
      </c>
      <c r="D24773">
        <v>0.77466260800599995</v>
      </c>
      <c r="E24773">
        <v>8.8635682158920499</v>
      </c>
    </row>
    <row r="24774" spans="1:5">
      <c r="A24774" t="s">
        <v>28811</v>
      </c>
      <c r="B24774" t="s">
        <v>28815</v>
      </c>
      <c r="C24774">
        <v>0</v>
      </c>
      <c r="D24774">
        <v>0.77466260800599995</v>
      </c>
      <c r="E24774">
        <v>8.8635682158920499</v>
      </c>
    </row>
    <row r="24775" spans="1:5">
      <c r="A24775" t="s">
        <v>28816</v>
      </c>
      <c r="B24775" t="s">
        <v>28817</v>
      </c>
      <c r="C24775">
        <v>0.18316149194199999</v>
      </c>
      <c r="D24775">
        <v>0.89100608800400005</v>
      </c>
      <c r="E24775">
        <v>10.878560719640101</v>
      </c>
    </row>
    <row r="24776" spans="1:5">
      <c r="A24776" t="s">
        <v>28816</v>
      </c>
      <c r="B24776" t="s">
        <v>28818</v>
      </c>
      <c r="C24776">
        <v>0.35565700648699999</v>
      </c>
      <c r="D24776">
        <v>0.89100608800400005</v>
      </c>
      <c r="E24776">
        <v>10.878560719640101</v>
      </c>
    </row>
    <row r="24777" spans="1:5">
      <c r="A24777" t="s">
        <v>28819</v>
      </c>
      <c r="B24777" t="s">
        <v>28820</v>
      </c>
      <c r="C24777">
        <f>0</f>
        <v>0</v>
      </c>
      <c r="D24777" t="s">
        <v>106</v>
      </c>
      <c r="E24777">
        <v>12.3898050974512</v>
      </c>
    </row>
    <row r="24778" spans="1:5">
      <c r="A24778" t="s">
        <v>28819</v>
      </c>
      <c r="B24778" t="s">
        <v>28821</v>
      </c>
      <c r="C24778">
        <f>0</f>
        <v>0</v>
      </c>
      <c r="D24778" t="s">
        <v>106</v>
      </c>
      <c r="E24778">
        <v>12.3898050974512</v>
      </c>
    </row>
    <row r="24779" spans="1:5">
      <c r="A24779" t="s">
        <v>28819</v>
      </c>
      <c r="B24779" t="s">
        <v>28822</v>
      </c>
      <c r="C24779">
        <f>0</f>
        <v>0</v>
      </c>
      <c r="D24779" t="s">
        <v>106</v>
      </c>
      <c r="E24779">
        <v>12.3898050974512</v>
      </c>
    </row>
    <row r="24780" spans="1:5">
      <c r="A24780" t="s">
        <v>28819</v>
      </c>
      <c r="B24780" t="s">
        <v>28823</v>
      </c>
      <c r="C24780">
        <v>0</v>
      </c>
      <c r="D24780" t="s">
        <v>106</v>
      </c>
      <c r="E24780">
        <v>12.3898050974512</v>
      </c>
    </row>
    <row r="24781" spans="1:5">
      <c r="A24781" t="s">
        <v>28819</v>
      </c>
      <c r="B24781" t="s">
        <v>28824</v>
      </c>
      <c r="C24781">
        <f>0</f>
        <v>0</v>
      </c>
      <c r="D24781" t="s">
        <v>106</v>
      </c>
      <c r="E24781">
        <v>12.3898050974512</v>
      </c>
    </row>
    <row r="24782" spans="1:5">
      <c r="A24782" t="s">
        <v>28819</v>
      </c>
      <c r="B24782" t="s">
        <v>28825</v>
      </c>
      <c r="C24782">
        <v>0</v>
      </c>
      <c r="D24782" t="s">
        <v>106</v>
      </c>
      <c r="E24782">
        <v>12.3898050974512</v>
      </c>
    </row>
    <row r="24783" spans="1:5">
      <c r="A24783" t="s">
        <v>28819</v>
      </c>
      <c r="B24783" t="s">
        <v>28826</v>
      </c>
      <c r="C24783">
        <f>0</f>
        <v>0</v>
      </c>
      <c r="D24783" t="s">
        <v>106</v>
      </c>
      <c r="E24783">
        <v>12.3898050974512</v>
      </c>
    </row>
    <row r="24784" spans="1:5">
      <c r="A24784" t="s">
        <v>28819</v>
      </c>
      <c r="B24784" t="s">
        <v>28827</v>
      </c>
      <c r="C24784">
        <v>0</v>
      </c>
      <c r="D24784" t="s">
        <v>106</v>
      </c>
      <c r="E24784">
        <v>12.3898050974512</v>
      </c>
    </row>
    <row r="24785" spans="1:5">
      <c r="A24785" t="s">
        <v>28828</v>
      </c>
      <c r="B24785" t="s">
        <v>28829</v>
      </c>
      <c r="C24785">
        <f>0</f>
        <v>0</v>
      </c>
      <c r="D24785">
        <v>0.92536197548800003</v>
      </c>
      <c r="E24785">
        <v>15.316341829085401</v>
      </c>
    </row>
    <row r="24786" spans="1:5">
      <c r="A24786" t="s">
        <v>28828</v>
      </c>
      <c r="B24786" t="s">
        <v>28830</v>
      </c>
      <c r="C24786">
        <v>0</v>
      </c>
      <c r="D24786">
        <v>0.92536197548800003</v>
      </c>
      <c r="E24786">
        <v>15.316341829085401</v>
      </c>
    </row>
    <row r="24787" spans="1:5">
      <c r="A24787" t="s">
        <v>28828</v>
      </c>
      <c r="B24787" t="s">
        <v>28831</v>
      </c>
      <c r="C24787">
        <v>6.9391867340899999E-2</v>
      </c>
      <c r="D24787">
        <v>0.92536197548800003</v>
      </c>
      <c r="E24787">
        <v>15.316341829085401</v>
      </c>
    </row>
    <row r="24788" spans="1:5">
      <c r="A24788" t="s">
        <v>28828</v>
      </c>
      <c r="B24788" t="s">
        <v>28832</v>
      </c>
      <c r="C24788">
        <f>0</f>
        <v>0</v>
      </c>
      <c r="D24788">
        <v>0.92536197548800003</v>
      </c>
      <c r="E24788">
        <v>15.316341829085401</v>
      </c>
    </row>
    <row r="24789" spans="1:5">
      <c r="A24789" t="s">
        <v>28828</v>
      </c>
      <c r="B24789" t="s">
        <v>28833</v>
      </c>
      <c r="C24789">
        <v>8.7738659174599998E-2</v>
      </c>
      <c r="D24789">
        <v>0.92536197548800003</v>
      </c>
      <c r="E24789">
        <v>15.316341829085401</v>
      </c>
    </row>
    <row r="24790" spans="1:5">
      <c r="A24790" t="s">
        <v>28828</v>
      </c>
      <c r="B24790" t="s">
        <v>28834</v>
      </c>
      <c r="C24790">
        <v>0</v>
      </c>
      <c r="D24790">
        <v>0.92536197548800003</v>
      </c>
      <c r="E24790">
        <v>15.316341829085401</v>
      </c>
    </row>
    <row r="24791" spans="1:5">
      <c r="A24791" t="s">
        <v>28835</v>
      </c>
      <c r="B24791" t="s">
        <v>28836</v>
      </c>
      <c r="C24791">
        <v>0.66880501161399997</v>
      </c>
      <c r="D24791">
        <v>0.94604286769799995</v>
      </c>
      <c r="E24791">
        <v>14.176911544227799</v>
      </c>
    </row>
    <row r="24792" spans="1:5">
      <c r="A24792" t="s">
        <v>28835</v>
      </c>
      <c r="B24792" t="s">
        <v>28837</v>
      </c>
      <c r="C24792">
        <f>0.42346683295</f>
        <v>0.42346683294999998</v>
      </c>
      <c r="D24792">
        <v>0.94604286769799995</v>
      </c>
      <c r="E24792">
        <v>14.176911544227799</v>
      </c>
    </row>
    <row r="24793" spans="1:5">
      <c r="A24793" t="s">
        <v>28838</v>
      </c>
      <c r="B24793" t="s">
        <v>28839</v>
      </c>
      <c r="C24793">
        <v>0</v>
      </c>
      <c r="D24793">
        <v>0.97687796063200005</v>
      </c>
      <c r="E24793">
        <v>11.370314842578701</v>
      </c>
    </row>
    <row r="24794" spans="1:5">
      <c r="A24794" t="s">
        <v>28838</v>
      </c>
      <c r="B24794" t="s">
        <v>28840</v>
      </c>
      <c r="C24794">
        <v>0.47041099640099998</v>
      </c>
      <c r="D24794">
        <v>0.97687796063200005</v>
      </c>
      <c r="E24794">
        <v>11.370314842578701</v>
      </c>
    </row>
    <row r="24795" spans="1:5">
      <c r="A24795" t="s">
        <v>28838</v>
      </c>
      <c r="B24795" t="s">
        <v>28841</v>
      </c>
      <c r="C24795">
        <f>0</f>
        <v>0</v>
      </c>
      <c r="D24795">
        <v>0.97687796063200005</v>
      </c>
      <c r="E24795">
        <v>11.370314842578701</v>
      </c>
    </row>
    <row r="24796" spans="1:5">
      <c r="A24796" t="s">
        <v>28838</v>
      </c>
      <c r="B24796" t="s">
        <v>28842</v>
      </c>
      <c r="C24796">
        <v>0.12256693502300001</v>
      </c>
      <c r="D24796">
        <v>0.97687796063200005</v>
      </c>
      <c r="E24796">
        <v>11.370314842578701</v>
      </c>
    </row>
    <row r="24797" spans="1:5">
      <c r="A24797" t="s">
        <v>28838</v>
      </c>
      <c r="B24797" t="s">
        <v>28843</v>
      </c>
      <c r="C24797">
        <f>0</f>
        <v>0</v>
      </c>
      <c r="D24797">
        <v>0.97687796063200005</v>
      </c>
      <c r="E24797">
        <v>11.370314842578701</v>
      </c>
    </row>
    <row r="24798" spans="1:5">
      <c r="A24798" t="s">
        <v>28844</v>
      </c>
      <c r="B24798" t="s">
        <v>28845</v>
      </c>
      <c r="C24798">
        <v>0</v>
      </c>
      <c r="D24798">
        <v>0.94869301118100002</v>
      </c>
      <c r="E24798">
        <v>5.8170914542728598</v>
      </c>
    </row>
    <row r="24799" spans="1:5">
      <c r="A24799" t="s">
        <v>28844</v>
      </c>
      <c r="B24799" t="s">
        <v>28846</v>
      </c>
      <c r="C24799">
        <v>0</v>
      </c>
      <c r="D24799">
        <v>0.94869301118100002</v>
      </c>
      <c r="E24799">
        <v>5.8170914542728598</v>
      </c>
    </row>
    <row r="24800" spans="1:5">
      <c r="A24800" t="s">
        <v>28844</v>
      </c>
      <c r="B24800" t="s">
        <v>28847</v>
      </c>
      <c r="C24800">
        <v>0</v>
      </c>
      <c r="D24800">
        <v>0.94869301118100002</v>
      </c>
      <c r="E24800">
        <v>5.8170914542728598</v>
      </c>
    </row>
    <row r="24801" spans="1:5">
      <c r="A24801" t="s">
        <v>28844</v>
      </c>
      <c r="B24801" t="s">
        <v>28848</v>
      </c>
      <c r="C24801">
        <v>0</v>
      </c>
      <c r="D24801">
        <v>0.94869301118100002</v>
      </c>
      <c r="E24801">
        <v>5.8170914542728598</v>
      </c>
    </row>
    <row r="24802" spans="1:5">
      <c r="A24802" t="s">
        <v>28844</v>
      </c>
      <c r="B24802" t="s">
        <v>28849</v>
      </c>
      <c r="C24802">
        <v>0</v>
      </c>
      <c r="D24802">
        <v>0.94869301118100002</v>
      </c>
      <c r="E24802">
        <v>5.8170914542728598</v>
      </c>
    </row>
    <row r="24803" spans="1:5">
      <c r="A24803" t="s">
        <v>28844</v>
      </c>
      <c r="B24803" t="s">
        <v>28850</v>
      </c>
      <c r="C24803">
        <f>0</f>
        <v>0</v>
      </c>
      <c r="D24803">
        <v>0.94869301118100002</v>
      </c>
      <c r="E24803">
        <v>5.8170914542728598</v>
      </c>
    </row>
    <row r="24804" spans="1:5">
      <c r="A24804" t="s">
        <v>28844</v>
      </c>
      <c r="B24804" t="s">
        <v>28851</v>
      </c>
      <c r="C24804">
        <v>2.48058720207E-2</v>
      </c>
      <c r="D24804">
        <v>0.94869301118100002</v>
      </c>
      <c r="E24804">
        <v>5.8170914542728598</v>
      </c>
    </row>
    <row r="24805" spans="1:5">
      <c r="A24805" t="s">
        <v>28844</v>
      </c>
      <c r="B24805" t="s">
        <v>28852</v>
      </c>
      <c r="C24805">
        <f>0</f>
        <v>0</v>
      </c>
      <c r="D24805">
        <v>0.94869301118100002</v>
      </c>
      <c r="E24805">
        <v>5.8170914542728598</v>
      </c>
    </row>
    <row r="24806" spans="1:5">
      <c r="A24806" t="s">
        <v>28853</v>
      </c>
      <c r="B24806" t="s">
        <v>28854</v>
      </c>
      <c r="C24806">
        <v>3.2808728173400003E-4</v>
      </c>
      <c r="D24806">
        <v>0.88629865638399996</v>
      </c>
      <c r="E24806">
        <v>16.299850074962499</v>
      </c>
    </row>
    <row r="24807" spans="1:5">
      <c r="A24807" t="s">
        <v>28853</v>
      </c>
      <c r="B24807" t="s">
        <v>28855</v>
      </c>
      <c r="C24807">
        <v>0.14810057189</v>
      </c>
      <c r="D24807">
        <v>0.88629865638399996</v>
      </c>
      <c r="E24807">
        <v>16.299850074962499</v>
      </c>
    </row>
    <row r="24808" spans="1:5">
      <c r="A24808" t="s">
        <v>28853</v>
      </c>
      <c r="B24808" t="s">
        <v>28856</v>
      </c>
      <c r="C24808">
        <v>0</v>
      </c>
      <c r="D24808">
        <v>0.88629865638399996</v>
      </c>
      <c r="E24808">
        <v>16.299850074962499</v>
      </c>
    </row>
    <row r="24809" spans="1:5">
      <c r="A24809" t="s">
        <v>28853</v>
      </c>
      <c r="B24809" t="s">
        <v>28857</v>
      </c>
      <c r="C24809">
        <v>0</v>
      </c>
      <c r="D24809">
        <v>0.88629865638399996</v>
      </c>
      <c r="E24809">
        <v>16.299850074962499</v>
      </c>
    </row>
    <row r="24810" spans="1:5">
      <c r="A24810" t="s">
        <v>28853</v>
      </c>
      <c r="B24810" t="s">
        <v>28858</v>
      </c>
      <c r="C24810">
        <v>0</v>
      </c>
      <c r="D24810">
        <v>0.88629865638399996</v>
      </c>
      <c r="E24810">
        <v>16.299850074962499</v>
      </c>
    </row>
    <row r="24811" spans="1:5">
      <c r="A24811" t="s">
        <v>28853</v>
      </c>
      <c r="B24811" t="s">
        <v>28859</v>
      </c>
      <c r="C24811">
        <v>0</v>
      </c>
      <c r="D24811">
        <v>0.88629865638399996</v>
      </c>
      <c r="E24811">
        <v>16.299850074962499</v>
      </c>
    </row>
    <row r="24812" spans="1:5">
      <c r="A24812" t="s">
        <v>28860</v>
      </c>
      <c r="B24812" t="s">
        <v>28861</v>
      </c>
      <c r="C24812">
        <f>0.17597819481</f>
        <v>0.17597819480999999</v>
      </c>
      <c r="D24812">
        <v>0.91156392544599996</v>
      </c>
      <c r="E24812">
        <v>1.6911544227886</v>
      </c>
    </row>
    <row r="24813" spans="1:5">
      <c r="A24813" t="s">
        <v>28860</v>
      </c>
      <c r="B24813" t="s">
        <v>28862</v>
      </c>
      <c r="C24813">
        <f>0</f>
        <v>0</v>
      </c>
      <c r="D24813">
        <v>0.91156392544599996</v>
      </c>
      <c r="E24813">
        <v>1.6911544227886</v>
      </c>
    </row>
    <row r="24814" spans="1:5">
      <c r="A24814" t="s">
        <v>28860</v>
      </c>
      <c r="B24814" t="s">
        <v>28863</v>
      </c>
      <c r="C24814">
        <v>0</v>
      </c>
      <c r="D24814">
        <v>0.91156392544599996</v>
      </c>
      <c r="E24814">
        <v>1.6911544227886</v>
      </c>
    </row>
    <row r="24815" spans="1:5">
      <c r="A24815" t="s">
        <v>28860</v>
      </c>
      <c r="B24815" t="s">
        <v>28864</v>
      </c>
      <c r="C24815">
        <v>2.8801274548300001E-2</v>
      </c>
      <c r="D24815">
        <v>0.91156392544599996</v>
      </c>
      <c r="E24815">
        <v>1.6911544227886</v>
      </c>
    </row>
    <row r="24816" spans="1:5">
      <c r="A24816" t="s">
        <v>28865</v>
      </c>
      <c r="B24816" t="s">
        <v>28866</v>
      </c>
      <c r="C24816">
        <v>0</v>
      </c>
      <c r="D24816">
        <v>0.83317208112999996</v>
      </c>
      <c r="E24816">
        <v>8.5757121439280297</v>
      </c>
    </row>
    <row r="24817" spans="1:5">
      <c r="A24817" t="s">
        <v>28865</v>
      </c>
      <c r="B24817" t="s">
        <v>28867</v>
      </c>
      <c r="C24817">
        <v>0.26027620882399999</v>
      </c>
      <c r="D24817">
        <v>0.83317208112999996</v>
      </c>
      <c r="E24817">
        <v>8.5757121439280297</v>
      </c>
    </row>
    <row r="24818" spans="1:5">
      <c r="A24818" t="s">
        <v>28865</v>
      </c>
      <c r="B24818" t="s">
        <v>28868</v>
      </c>
      <c r="C24818">
        <f>0</f>
        <v>0</v>
      </c>
      <c r="D24818">
        <v>0.83317208112999996</v>
      </c>
      <c r="E24818">
        <v>8.5757121439280297</v>
      </c>
    </row>
    <row r="24819" spans="1:5">
      <c r="A24819" t="s">
        <v>28869</v>
      </c>
      <c r="B24819" t="s">
        <v>28870</v>
      </c>
      <c r="C24819">
        <v>0</v>
      </c>
      <c r="D24819" t="s">
        <v>106</v>
      </c>
      <c r="E24819">
        <v>18.1349325337331</v>
      </c>
    </row>
    <row r="24820" spans="1:5">
      <c r="A24820" t="s">
        <v>28869</v>
      </c>
      <c r="B24820" t="s">
        <v>28871</v>
      </c>
      <c r="C24820">
        <v>0</v>
      </c>
      <c r="D24820" t="s">
        <v>106</v>
      </c>
      <c r="E24820">
        <v>18.1349325337331</v>
      </c>
    </row>
    <row r="24821" spans="1:5">
      <c r="A24821" t="s">
        <v>28869</v>
      </c>
      <c r="B24821" t="s">
        <v>28872</v>
      </c>
      <c r="C24821">
        <f>0</f>
        <v>0</v>
      </c>
      <c r="D24821" t="s">
        <v>106</v>
      </c>
      <c r="E24821">
        <v>18.1349325337331</v>
      </c>
    </row>
    <row r="24822" spans="1:5">
      <c r="A24822" t="s">
        <v>28869</v>
      </c>
      <c r="B24822" t="s">
        <v>28873</v>
      </c>
      <c r="C24822">
        <v>0</v>
      </c>
      <c r="D24822" t="s">
        <v>106</v>
      </c>
      <c r="E24822">
        <v>18.1349325337331</v>
      </c>
    </row>
    <row r="24823" spans="1:5">
      <c r="A24823" t="s">
        <v>28874</v>
      </c>
      <c r="B24823" t="s">
        <v>28875</v>
      </c>
      <c r="C24823">
        <f>0</f>
        <v>0</v>
      </c>
      <c r="D24823" t="s">
        <v>106</v>
      </c>
      <c r="E24823">
        <v>4.4737631184407798</v>
      </c>
    </row>
    <row r="24824" spans="1:5">
      <c r="A24824" t="s">
        <v>28874</v>
      </c>
      <c r="B24824" t="s">
        <v>28876</v>
      </c>
      <c r="C24824">
        <f>0</f>
        <v>0</v>
      </c>
      <c r="D24824" t="s">
        <v>106</v>
      </c>
      <c r="E24824">
        <v>4.4737631184407798</v>
      </c>
    </row>
    <row r="24825" spans="1:5">
      <c r="A24825" t="s">
        <v>28874</v>
      </c>
      <c r="B24825" t="s">
        <v>28877</v>
      </c>
      <c r="C24825">
        <f>0</f>
        <v>0</v>
      </c>
      <c r="D24825" t="s">
        <v>106</v>
      </c>
      <c r="E24825">
        <v>4.4737631184407798</v>
      </c>
    </row>
    <row r="24826" spans="1:5">
      <c r="A24826" t="s">
        <v>28874</v>
      </c>
      <c r="B24826" t="s">
        <v>28878</v>
      </c>
      <c r="C24826">
        <f>0</f>
        <v>0</v>
      </c>
      <c r="D24826" t="s">
        <v>106</v>
      </c>
      <c r="E24826">
        <v>4.4737631184407798</v>
      </c>
    </row>
    <row r="24827" spans="1:5">
      <c r="A24827" t="s">
        <v>28874</v>
      </c>
      <c r="B24827" t="s">
        <v>28879</v>
      </c>
      <c r="C24827">
        <f>0</f>
        <v>0</v>
      </c>
      <c r="D24827" t="s">
        <v>106</v>
      </c>
      <c r="E24827">
        <v>4.4737631184407798</v>
      </c>
    </row>
    <row r="24828" spans="1:5">
      <c r="A24828" t="s">
        <v>28880</v>
      </c>
      <c r="B24828" t="s">
        <v>28881</v>
      </c>
      <c r="C24828">
        <v>0</v>
      </c>
      <c r="D24828">
        <v>0.95912077315599997</v>
      </c>
      <c r="E24828">
        <v>13.2653673163418</v>
      </c>
    </row>
    <row r="24829" spans="1:5">
      <c r="A24829" t="s">
        <v>28880</v>
      </c>
      <c r="B24829" t="s">
        <v>28882</v>
      </c>
      <c r="C24829">
        <v>0</v>
      </c>
      <c r="D24829">
        <v>0.95912077315599997</v>
      </c>
      <c r="E24829">
        <v>13.2653673163418</v>
      </c>
    </row>
    <row r="24830" spans="1:5">
      <c r="A24830" t="s">
        <v>28880</v>
      </c>
      <c r="B24830" t="s">
        <v>28883</v>
      </c>
      <c r="C24830">
        <f>0.0647043196727</f>
        <v>6.4704319672700003E-2</v>
      </c>
      <c r="D24830">
        <v>0.95912077315599997</v>
      </c>
      <c r="E24830">
        <v>13.2653673163418</v>
      </c>
    </row>
    <row r="24831" spans="1:5">
      <c r="A24831" t="s">
        <v>28880</v>
      </c>
      <c r="B24831" t="s">
        <v>28884</v>
      </c>
      <c r="C24831">
        <f>0</f>
        <v>0</v>
      </c>
      <c r="D24831">
        <v>0.95912077315599997</v>
      </c>
      <c r="E24831">
        <v>13.2653673163418</v>
      </c>
    </row>
    <row r="24832" spans="1:5">
      <c r="A24832" t="s">
        <v>28880</v>
      </c>
      <c r="B24832" t="s">
        <v>28885</v>
      </c>
      <c r="C24832">
        <v>6.8487572967499993E-2</v>
      </c>
      <c r="D24832">
        <v>0.95912077315599997</v>
      </c>
      <c r="E24832">
        <v>13.2653673163418</v>
      </c>
    </row>
    <row r="24833" spans="1:5">
      <c r="A24833" t="s">
        <v>28880</v>
      </c>
      <c r="B24833" t="s">
        <v>28886</v>
      </c>
      <c r="C24833">
        <v>0</v>
      </c>
      <c r="D24833">
        <v>0.95912077315599997</v>
      </c>
      <c r="E24833">
        <v>13.2653673163418</v>
      </c>
    </row>
    <row r="24834" spans="1:5">
      <c r="A24834" t="s">
        <v>28887</v>
      </c>
      <c r="B24834" t="s">
        <v>28888</v>
      </c>
      <c r="C24834">
        <v>9.2868460256099999E-3</v>
      </c>
      <c r="D24834">
        <v>0.83721274812400004</v>
      </c>
      <c r="E24834">
        <v>1.2713643178410701</v>
      </c>
    </row>
    <row r="24835" spans="1:5">
      <c r="A24835" t="s">
        <v>28887</v>
      </c>
      <c r="B24835" t="s">
        <v>28889</v>
      </c>
      <c r="C24835">
        <v>0</v>
      </c>
      <c r="D24835">
        <v>0.83721274812400004</v>
      </c>
      <c r="E24835">
        <v>1.2713643178410701</v>
      </c>
    </row>
    <row r="24836" spans="1:5">
      <c r="A24836" t="s">
        <v>28887</v>
      </c>
      <c r="B24836" t="s">
        <v>28890</v>
      </c>
      <c r="C24836">
        <v>0</v>
      </c>
      <c r="D24836">
        <v>0.83721274812400004</v>
      </c>
      <c r="E24836">
        <v>1.2713643178410701</v>
      </c>
    </row>
    <row r="24837" spans="1:5">
      <c r="A24837" t="s">
        <v>28887</v>
      </c>
      <c r="B24837" t="s">
        <v>28891</v>
      </c>
      <c r="C24837">
        <v>0</v>
      </c>
      <c r="D24837">
        <v>0.83721274812400004</v>
      </c>
      <c r="E24837">
        <v>1.2713643178410701</v>
      </c>
    </row>
    <row r="24838" spans="1:5">
      <c r="A24838" t="s">
        <v>28887</v>
      </c>
      <c r="B24838" t="s">
        <v>28892</v>
      </c>
      <c r="C24838">
        <f>0.0313822596562</f>
        <v>3.13822596562E-2</v>
      </c>
      <c r="D24838">
        <v>0.83721274812400004</v>
      </c>
      <c r="E24838">
        <v>1.2713643178410701</v>
      </c>
    </row>
    <row r="24839" spans="1:5">
      <c r="A24839" t="s">
        <v>28887</v>
      </c>
      <c r="B24839" t="s">
        <v>28893</v>
      </c>
      <c r="C24839">
        <f>0</f>
        <v>0</v>
      </c>
      <c r="D24839">
        <v>0.83721274812400004</v>
      </c>
      <c r="E24839">
        <v>1.2713643178410701</v>
      </c>
    </row>
    <row r="24840" spans="1:5">
      <c r="A24840" t="s">
        <v>28887</v>
      </c>
      <c r="B24840" t="s">
        <v>28894</v>
      </c>
      <c r="C24840">
        <f>0</f>
        <v>0</v>
      </c>
      <c r="D24840">
        <v>0.83721274812400004</v>
      </c>
      <c r="E24840">
        <v>1.2713643178410701</v>
      </c>
    </row>
    <row r="24841" spans="1:5">
      <c r="A24841" t="s">
        <v>28895</v>
      </c>
      <c r="B24841" t="s">
        <v>28896</v>
      </c>
      <c r="C24841">
        <v>0</v>
      </c>
      <c r="D24841">
        <v>0.300352954999</v>
      </c>
      <c r="E24841">
        <v>17.715142428785601</v>
      </c>
    </row>
    <row r="24842" spans="1:5">
      <c r="A24842" t="s">
        <v>28895</v>
      </c>
      <c r="B24842" t="s">
        <v>28897</v>
      </c>
      <c r="C24842">
        <v>0</v>
      </c>
      <c r="D24842">
        <v>0.300352954999</v>
      </c>
      <c r="E24842">
        <v>17.715142428785601</v>
      </c>
    </row>
    <row r="24843" spans="1:5">
      <c r="A24843" t="s">
        <v>28895</v>
      </c>
      <c r="B24843" t="s">
        <v>28898</v>
      </c>
      <c r="C24843">
        <v>0</v>
      </c>
      <c r="D24843">
        <v>0.300352954999</v>
      </c>
      <c r="E24843">
        <v>17.715142428785601</v>
      </c>
    </row>
    <row r="24844" spans="1:5">
      <c r="A24844" t="s">
        <v>28895</v>
      </c>
      <c r="B24844" t="s">
        <v>28899</v>
      </c>
      <c r="C24844">
        <f>0</f>
        <v>0</v>
      </c>
      <c r="D24844">
        <v>0.300352954999</v>
      </c>
      <c r="E24844">
        <v>17.715142428785601</v>
      </c>
    </row>
    <row r="24845" spans="1:5">
      <c r="A24845" t="s">
        <v>28895</v>
      </c>
      <c r="B24845" t="s">
        <v>28900</v>
      </c>
      <c r="C24845">
        <v>0</v>
      </c>
      <c r="D24845">
        <v>0.300352954999</v>
      </c>
      <c r="E24845">
        <v>17.715142428785601</v>
      </c>
    </row>
    <row r="24846" spans="1:5">
      <c r="A24846" t="s">
        <v>28895</v>
      </c>
      <c r="B24846" t="s">
        <v>28901</v>
      </c>
      <c r="C24846">
        <v>0</v>
      </c>
      <c r="D24846">
        <v>0.300352954999</v>
      </c>
      <c r="E24846">
        <v>17.715142428785601</v>
      </c>
    </row>
    <row r="24847" spans="1:5">
      <c r="A24847" t="s">
        <v>28895</v>
      </c>
      <c r="B24847" t="s">
        <v>28902</v>
      </c>
      <c r="C24847">
        <v>0</v>
      </c>
      <c r="D24847">
        <v>0.300352954999</v>
      </c>
      <c r="E24847">
        <v>17.715142428785601</v>
      </c>
    </row>
    <row r="24848" spans="1:5">
      <c r="A24848" t="s">
        <v>28895</v>
      </c>
      <c r="B24848" t="s">
        <v>28903</v>
      </c>
      <c r="C24848">
        <v>0</v>
      </c>
      <c r="D24848">
        <v>0.300352954999</v>
      </c>
      <c r="E24848">
        <v>17.715142428785601</v>
      </c>
    </row>
    <row r="24849" spans="1:5">
      <c r="A24849" t="s">
        <v>28904</v>
      </c>
      <c r="B24849" t="s">
        <v>28905</v>
      </c>
      <c r="C24849">
        <v>0.25450938516400001</v>
      </c>
      <c r="D24849">
        <v>0.99314056310300003</v>
      </c>
      <c r="E24849">
        <v>5.0134932533733103</v>
      </c>
    </row>
    <row r="24850" spans="1:5">
      <c r="A24850" t="s">
        <v>28904</v>
      </c>
      <c r="B24850" t="s">
        <v>28906</v>
      </c>
      <c r="C24850">
        <f>0.0966111084492</f>
        <v>9.6611108449199998E-2</v>
      </c>
      <c r="D24850">
        <v>0.99314056310300003</v>
      </c>
      <c r="E24850">
        <v>5.0134932533733103</v>
      </c>
    </row>
    <row r="24851" spans="1:5">
      <c r="A24851" t="s">
        <v>28907</v>
      </c>
      <c r="B24851" t="s">
        <v>28908</v>
      </c>
      <c r="C24851">
        <v>0.224045377371</v>
      </c>
      <c r="D24851">
        <v>0.94846480502899999</v>
      </c>
      <c r="E24851">
        <v>1.00749625187406</v>
      </c>
    </row>
    <row r="24852" spans="1:5">
      <c r="A24852" t="s">
        <v>28907</v>
      </c>
      <c r="B24852" t="s">
        <v>28909</v>
      </c>
      <c r="C24852">
        <v>0</v>
      </c>
      <c r="D24852">
        <v>0.94846480502899999</v>
      </c>
      <c r="E24852">
        <v>1.00749625187406</v>
      </c>
    </row>
    <row r="24853" spans="1:5">
      <c r="A24853" t="s">
        <v>28907</v>
      </c>
      <c r="B24853" t="s">
        <v>28910</v>
      </c>
      <c r="C24853">
        <v>0</v>
      </c>
      <c r="D24853">
        <v>0.94846480502899999</v>
      </c>
      <c r="E24853">
        <v>1.00749625187406</v>
      </c>
    </row>
    <row r="24854" spans="1:5">
      <c r="A24854" t="s">
        <v>28907</v>
      </c>
      <c r="B24854" t="s">
        <v>28911</v>
      </c>
      <c r="C24854">
        <v>0</v>
      </c>
      <c r="D24854">
        <v>0.94846480502899999</v>
      </c>
      <c r="E24854">
        <v>1.00749625187406</v>
      </c>
    </row>
    <row r="24855" spans="1:5">
      <c r="A24855" t="s">
        <v>28912</v>
      </c>
      <c r="B24855" t="s">
        <v>28913</v>
      </c>
      <c r="C24855">
        <f>0</f>
        <v>0</v>
      </c>
      <c r="D24855">
        <v>0.98747158875300001</v>
      </c>
      <c r="E24855">
        <v>0.82758620689655105</v>
      </c>
    </row>
    <row r="24856" spans="1:5">
      <c r="A24856" t="s">
        <v>28912</v>
      </c>
      <c r="B24856" t="s">
        <v>28914</v>
      </c>
      <c r="C24856">
        <f>0</f>
        <v>0</v>
      </c>
      <c r="D24856">
        <v>0.98747158875300001</v>
      </c>
      <c r="E24856">
        <v>0.82758620689655105</v>
      </c>
    </row>
    <row r="24857" spans="1:5">
      <c r="A24857" t="s">
        <v>28912</v>
      </c>
      <c r="B24857" t="s">
        <v>28915</v>
      </c>
      <c r="C24857">
        <v>0</v>
      </c>
      <c r="D24857">
        <v>0.98747158875300001</v>
      </c>
      <c r="E24857">
        <v>0.82758620689655105</v>
      </c>
    </row>
    <row r="24858" spans="1:5">
      <c r="A24858" t="s">
        <v>28912</v>
      </c>
      <c r="B24858" t="s">
        <v>28916</v>
      </c>
      <c r="C24858">
        <v>0</v>
      </c>
      <c r="D24858">
        <v>0.98747158875300001</v>
      </c>
      <c r="E24858">
        <v>0.82758620689655105</v>
      </c>
    </row>
    <row r="24859" spans="1:5">
      <c r="A24859" t="s">
        <v>28912</v>
      </c>
      <c r="B24859" t="s">
        <v>28917</v>
      </c>
      <c r="C24859">
        <v>6.4391478573399996E-2</v>
      </c>
      <c r="D24859">
        <v>0.98747158875300001</v>
      </c>
      <c r="E24859">
        <v>0.82758620689655105</v>
      </c>
    </row>
    <row r="24860" spans="1:5">
      <c r="A24860" t="s">
        <v>28912</v>
      </c>
      <c r="B24860" t="s">
        <v>28918</v>
      </c>
      <c r="C24860">
        <v>0</v>
      </c>
      <c r="D24860">
        <v>0.98747158875300001</v>
      </c>
      <c r="E24860">
        <v>0.82758620689655105</v>
      </c>
    </row>
    <row r="24861" spans="1:5">
      <c r="A24861" t="s">
        <v>28912</v>
      </c>
      <c r="B24861" t="s">
        <v>28919</v>
      </c>
      <c r="C24861">
        <f>0.176348107814</f>
        <v>0.17634810781400001</v>
      </c>
      <c r="D24861">
        <v>0.98747158875300001</v>
      </c>
      <c r="E24861">
        <v>0.82758620689655105</v>
      </c>
    </row>
    <row r="24862" spans="1:5">
      <c r="A24862" t="s">
        <v>28920</v>
      </c>
      <c r="B24862" t="s">
        <v>28921</v>
      </c>
      <c r="C24862">
        <v>0.31692381157100002</v>
      </c>
      <c r="D24862" t="s">
        <v>106</v>
      </c>
      <c r="E24862">
        <v>6.2968515742128899</v>
      </c>
    </row>
    <row r="24863" spans="1:5">
      <c r="A24863" t="s">
        <v>28920</v>
      </c>
      <c r="B24863" t="s">
        <v>28922</v>
      </c>
      <c r="C24863">
        <v>0</v>
      </c>
      <c r="D24863" t="s">
        <v>106</v>
      </c>
      <c r="E24863">
        <v>6.2968515742128899</v>
      </c>
    </row>
    <row r="24864" spans="1:5">
      <c r="A24864" t="s">
        <v>28920</v>
      </c>
      <c r="B24864" t="s">
        <v>28923</v>
      </c>
      <c r="C24864">
        <v>0</v>
      </c>
      <c r="D24864" t="s">
        <v>106</v>
      </c>
      <c r="E24864">
        <v>6.2968515742128899</v>
      </c>
    </row>
    <row r="24865" spans="1:5">
      <c r="A24865" t="s">
        <v>28920</v>
      </c>
      <c r="B24865" t="s">
        <v>28924</v>
      </c>
      <c r="C24865">
        <v>3.3311151747299997E-2</v>
      </c>
      <c r="D24865" t="s">
        <v>106</v>
      </c>
      <c r="E24865">
        <v>6.2968515742128899</v>
      </c>
    </row>
    <row r="24866" spans="1:5">
      <c r="A24866" t="s">
        <v>28920</v>
      </c>
      <c r="B24866" t="s">
        <v>28925</v>
      </c>
      <c r="C24866">
        <v>0</v>
      </c>
      <c r="D24866" t="s">
        <v>106</v>
      </c>
      <c r="E24866">
        <v>6.2968515742128899</v>
      </c>
    </row>
    <row r="24867" spans="1:5">
      <c r="A24867" t="s">
        <v>28926</v>
      </c>
      <c r="B24867" t="s">
        <v>28927</v>
      </c>
      <c r="C24867">
        <v>0</v>
      </c>
      <c r="D24867">
        <v>0.98470364104399999</v>
      </c>
      <c r="E24867">
        <v>24</v>
      </c>
    </row>
    <row r="24868" spans="1:5">
      <c r="A24868" t="s">
        <v>28926</v>
      </c>
      <c r="B24868" t="s">
        <v>28928</v>
      </c>
      <c r="C24868">
        <v>0</v>
      </c>
      <c r="D24868">
        <v>0.98470364104399999</v>
      </c>
      <c r="E24868">
        <v>24</v>
      </c>
    </row>
    <row r="24869" spans="1:5">
      <c r="A24869" t="s">
        <v>28926</v>
      </c>
      <c r="B24869" t="s">
        <v>28929</v>
      </c>
      <c r="C24869">
        <v>0</v>
      </c>
      <c r="D24869">
        <v>0.98470364104399999</v>
      </c>
      <c r="E24869">
        <v>24</v>
      </c>
    </row>
    <row r="24870" spans="1:5">
      <c r="A24870" t="s">
        <v>28926</v>
      </c>
      <c r="B24870" t="s">
        <v>28930</v>
      </c>
      <c r="C24870">
        <v>0</v>
      </c>
      <c r="D24870">
        <v>0.98470364104399999</v>
      </c>
      <c r="E24870">
        <v>24</v>
      </c>
    </row>
    <row r="24871" spans="1:5">
      <c r="A24871" t="s">
        <v>28926</v>
      </c>
      <c r="B24871" t="s">
        <v>28931</v>
      </c>
      <c r="C24871">
        <v>0</v>
      </c>
      <c r="D24871">
        <v>0.98470364104399999</v>
      </c>
      <c r="E24871">
        <v>24</v>
      </c>
    </row>
    <row r="24872" spans="1:5">
      <c r="A24872" t="s">
        <v>28926</v>
      </c>
      <c r="B24872" t="s">
        <v>28932</v>
      </c>
      <c r="C24872">
        <v>0.104435269617</v>
      </c>
      <c r="D24872">
        <v>0.98470364104399999</v>
      </c>
      <c r="E24872">
        <v>24</v>
      </c>
    </row>
    <row r="24873" spans="1:5">
      <c r="A24873" t="s">
        <v>28926</v>
      </c>
      <c r="B24873" t="s">
        <v>28933</v>
      </c>
      <c r="C24873">
        <v>0</v>
      </c>
      <c r="D24873">
        <v>0.98470364104399999</v>
      </c>
      <c r="E24873">
        <v>24</v>
      </c>
    </row>
    <row r="24874" spans="1:5">
      <c r="A24874" t="s">
        <v>28926</v>
      </c>
      <c r="B24874" t="s">
        <v>28934</v>
      </c>
      <c r="C24874">
        <v>5.2799801386600002E-2</v>
      </c>
      <c r="D24874">
        <v>0.98470364104399999</v>
      </c>
      <c r="E24874">
        <v>24</v>
      </c>
    </row>
    <row r="24875" spans="1:5">
      <c r="A24875" t="s">
        <v>28926</v>
      </c>
      <c r="B24875" t="s">
        <v>28935</v>
      </c>
      <c r="C24875">
        <v>0</v>
      </c>
      <c r="D24875">
        <v>0.98470364104399999</v>
      </c>
      <c r="E24875">
        <v>24</v>
      </c>
    </row>
    <row r="24876" spans="1:5">
      <c r="A24876" t="s">
        <v>28936</v>
      </c>
      <c r="B24876" t="s">
        <v>28937</v>
      </c>
      <c r="C24876">
        <f>0.120894514506</f>
        <v>0.120894514506</v>
      </c>
      <c r="D24876">
        <v>0.98466866820200005</v>
      </c>
      <c r="E24876">
        <v>24</v>
      </c>
    </row>
    <row r="24877" spans="1:5">
      <c r="A24877" t="s">
        <v>28936</v>
      </c>
      <c r="B24877" t="s">
        <v>28938</v>
      </c>
      <c r="C24877">
        <v>0</v>
      </c>
      <c r="D24877">
        <v>0.98466866820200005</v>
      </c>
      <c r="E24877">
        <v>24</v>
      </c>
    </row>
    <row r="24878" spans="1:5">
      <c r="A24878" t="s">
        <v>28936</v>
      </c>
      <c r="B24878" t="s">
        <v>28939</v>
      </c>
      <c r="C24878">
        <v>5.5804356732899997E-2</v>
      </c>
      <c r="D24878">
        <v>0.98466866820200005</v>
      </c>
      <c r="E24878">
        <v>24</v>
      </c>
    </row>
    <row r="24879" spans="1:5">
      <c r="A24879" t="s">
        <v>28936</v>
      </c>
      <c r="B24879" t="s">
        <v>28940</v>
      </c>
      <c r="C24879">
        <f>0</f>
        <v>0</v>
      </c>
      <c r="D24879">
        <v>0.98466866820200005</v>
      </c>
      <c r="E24879">
        <v>24</v>
      </c>
    </row>
    <row r="24880" spans="1:5">
      <c r="A24880" t="s">
        <v>28936</v>
      </c>
      <c r="B24880" t="s">
        <v>28941</v>
      </c>
      <c r="C24880">
        <f>0</f>
        <v>0</v>
      </c>
      <c r="D24880">
        <v>0.98466866820200005</v>
      </c>
      <c r="E24880">
        <v>24</v>
      </c>
    </row>
    <row r="24881" spans="1:5">
      <c r="A24881" t="s">
        <v>28936</v>
      </c>
      <c r="B24881" t="s">
        <v>28942</v>
      </c>
      <c r="C24881">
        <f>0</f>
        <v>0</v>
      </c>
      <c r="D24881">
        <v>0.98466866820200005</v>
      </c>
      <c r="E24881">
        <v>24</v>
      </c>
    </row>
    <row r="24882" spans="1:5">
      <c r="A24882" t="s">
        <v>28936</v>
      </c>
      <c r="B24882" t="s">
        <v>28943</v>
      </c>
      <c r="C24882">
        <v>0</v>
      </c>
      <c r="D24882">
        <v>0.98466866820200005</v>
      </c>
      <c r="E24882">
        <v>24</v>
      </c>
    </row>
    <row r="24883" spans="1:5">
      <c r="A24883" t="s">
        <v>28936</v>
      </c>
      <c r="B24883" t="s">
        <v>28944</v>
      </c>
      <c r="C24883">
        <v>0</v>
      </c>
      <c r="D24883">
        <v>0.98466866820200005</v>
      </c>
      <c r="E24883">
        <v>24</v>
      </c>
    </row>
    <row r="24884" spans="1:5">
      <c r="A24884" t="s">
        <v>28945</v>
      </c>
      <c r="B24884" t="s">
        <v>28946</v>
      </c>
      <c r="C24884">
        <f>0</f>
        <v>0</v>
      </c>
      <c r="D24884">
        <v>0.91254778207499998</v>
      </c>
      <c r="E24884">
        <v>4.7976011994003001</v>
      </c>
    </row>
    <row r="24885" spans="1:5">
      <c r="A24885" t="s">
        <v>28945</v>
      </c>
      <c r="B24885" t="s">
        <v>28947</v>
      </c>
      <c r="C24885">
        <v>0.59926101092999995</v>
      </c>
      <c r="D24885">
        <v>0.91254778207499998</v>
      </c>
      <c r="E24885">
        <v>4.7976011994003001</v>
      </c>
    </row>
    <row r="24886" spans="1:5">
      <c r="A24886" t="s">
        <v>28945</v>
      </c>
      <c r="B24886" t="s">
        <v>28948</v>
      </c>
      <c r="C24886">
        <f>0.21806771247</f>
        <v>0.21806771247000001</v>
      </c>
      <c r="D24886">
        <v>0.91254778207499998</v>
      </c>
      <c r="E24886">
        <v>4.7976011994003001</v>
      </c>
    </row>
    <row r="24887" spans="1:5">
      <c r="A24887" t="s">
        <v>28949</v>
      </c>
      <c r="B24887" t="s">
        <v>28950</v>
      </c>
      <c r="C24887">
        <v>0</v>
      </c>
      <c r="D24887">
        <v>0.98376131821400004</v>
      </c>
      <c r="E24887">
        <v>11.5382308845577</v>
      </c>
    </row>
    <row r="24888" spans="1:5">
      <c r="A24888" t="s">
        <v>28949</v>
      </c>
      <c r="B24888" t="s">
        <v>28951</v>
      </c>
      <c r="C24888">
        <v>0.30534969241600002</v>
      </c>
      <c r="D24888">
        <v>0.98376131821400004</v>
      </c>
      <c r="E24888">
        <v>11.5382308845577</v>
      </c>
    </row>
    <row r="24889" spans="1:5">
      <c r="A24889" t="s">
        <v>28949</v>
      </c>
      <c r="B24889" t="s">
        <v>28952</v>
      </c>
      <c r="C24889">
        <v>0</v>
      </c>
      <c r="D24889">
        <v>0.98376131821400004</v>
      </c>
      <c r="E24889">
        <v>11.5382308845577</v>
      </c>
    </row>
    <row r="24890" spans="1:5">
      <c r="A24890" t="s">
        <v>28949</v>
      </c>
      <c r="B24890" t="s">
        <v>28953</v>
      </c>
      <c r="C24890">
        <v>0</v>
      </c>
      <c r="D24890">
        <v>0.98376131821400004</v>
      </c>
      <c r="E24890">
        <v>11.5382308845577</v>
      </c>
    </row>
    <row r="24891" spans="1:5">
      <c r="A24891" t="s">
        <v>28949</v>
      </c>
      <c r="B24891" t="s">
        <v>28954</v>
      </c>
      <c r="C24891">
        <v>0.17665754153499999</v>
      </c>
      <c r="D24891">
        <v>0.98376131821400004</v>
      </c>
      <c r="E24891">
        <v>11.5382308845577</v>
      </c>
    </row>
    <row r="24892" spans="1:5">
      <c r="A24892" t="s">
        <v>28949</v>
      </c>
      <c r="B24892" t="s">
        <v>28955</v>
      </c>
      <c r="C24892">
        <f>0</f>
        <v>0</v>
      </c>
      <c r="D24892">
        <v>0.98376131821400004</v>
      </c>
      <c r="E24892">
        <v>11.5382308845577</v>
      </c>
    </row>
    <row r="24893" spans="1:5">
      <c r="A24893" t="s">
        <v>28949</v>
      </c>
      <c r="B24893" t="s">
        <v>28956</v>
      </c>
      <c r="C24893">
        <v>0</v>
      </c>
      <c r="D24893">
        <v>0.98376131821400004</v>
      </c>
      <c r="E24893">
        <v>11.5382308845577</v>
      </c>
    </row>
    <row r="24894" spans="1:5">
      <c r="A24894" t="s">
        <v>28949</v>
      </c>
      <c r="B24894" t="s">
        <v>28957</v>
      </c>
      <c r="C24894">
        <v>0</v>
      </c>
      <c r="D24894">
        <v>0.98376131821400004</v>
      </c>
      <c r="E24894">
        <v>11.5382308845577</v>
      </c>
    </row>
    <row r="24895" spans="1:5">
      <c r="A24895" t="s">
        <v>28958</v>
      </c>
      <c r="B24895" t="s">
        <v>28959</v>
      </c>
      <c r="C24895">
        <v>0</v>
      </c>
      <c r="D24895">
        <v>0.74595176441</v>
      </c>
      <c r="E24895">
        <v>7.8680659670164896</v>
      </c>
    </row>
    <row r="24896" spans="1:5">
      <c r="A24896" t="s">
        <v>28958</v>
      </c>
      <c r="B24896" t="s">
        <v>28960</v>
      </c>
      <c r="C24896">
        <v>0</v>
      </c>
      <c r="D24896">
        <v>0.74595176441</v>
      </c>
      <c r="E24896">
        <v>7.8680659670164896</v>
      </c>
    </row>
    <row r="24897" spans="1:5">
      <c r="A24897" t="s">
        <v>28958</v>
      </c>
      <c r="B24897" t="s">
        <v>28961</v>
      </c>
      <c r="C24897">
        <v>0.16985982928000001</v>
      </c>
      <c r="D24897">
        <v>0.74595176441</v>
      </c>
      <c r="E24897">
        <v>7.8680659670164896</v>
      </c>
    </row>
    <row r="24898" spans="1:5">
      <c r="A24898" t="s">
        <v>28958</v>
      </c>
      <c r="B24898" t="s">
        <v>28962</v>
      </c>
      <c r="C24898">
        <v>0</v>
      </c>
      <c r="D24898">
        <v>0.74595176441</v>
      </c>
      <c r="E24898">
        <v>7.8680659670164896</v>
      </c>
    </row>
    <row r="24899" spans="1:5">
      <c r="A24899" t="s">
        <v>28958</v>
      </c>
      <c r="B24899" t="s">
        <v>28963</v>
      </c>
      <c r="C24899">
        <v>0</v>
      </c>
      <c r="D24899">
        <v>0.74595176441</v>
      </c>
      <c r="E24899">
        <v>7.8680659670164896</v>
      </c>
    </row>
    <row r="24900" spans="1:5">
      <c r="A24900" t="s">
        <v>28964</v>
      </c>
      <c r="B24900" t="s">
        <v>28965</v>
      </c>
      <c r="C24900">
        <v>0</v>
      </c>
      <c r="D24900">
        <v>0.82767480975100005</v>
      </c>
      <c r="E24900">
        <v>3.7781109445277301</v>
      </c>
    </row>
    <row r="24901" spans="1:5">
      <c r="A24901" t="s">
        <v>28966</v>
      </c>
      <c r="B24901" t="s">
        <v>28967</v>
      </c>
      <c r="C24901">
        <v>0</v>
      </c>
      <c r="D24901">
        <v>0.93964597182300003</v>
      </c>
      <c r="E24901">
        <v>2.79460269865067</v>
      </c>
    </row>
    <row r="24902" spans="1:5">
      <c r="A24902" t="s">
        <v>28966</v>
      </c>
      <c r="B24902" t="s">
        <v>28968</v>
      </c>
      <c r="C24902">
        <f>0</f>
        <v>0</v>
      </c>
      <c r="D24902">
        <v>0.93964597182300003</v>
      </c>
      <c r="E24902">
        <v>2.79460269865067</v>
      </c>
    </row>
    <row r="24903" spans="1:5">
      <c r="A24903" t="s">
        <v>28966</v>
      </c>
      <c r="B24903" t="s">
        <v>28969</v>
      </c>
      <c r="C24903">
        <v>3.6977558636000003E-2</v>
      </c>
      <c r="D24903">
        <v>0.93964597182300003</v>
      </c>
      <c r="E24903">
        <v>2.79460269865067</v>
      </c>
    </row>
    <row r="24904" spans="1:5">
      <c r="A24904" t="s">
        <v>28966</v>
      </c>
      <c r="B24904" t="s">
        <v>28970</v>
      </c>
      <c r="C24904">
        <f>0</f>
        <v>0</v>
      </c>
      <c r="D24904">
        <v>0.93964597182300003</v>
      </c>
      <c r="E24904">
        <v>2.79460269865067</v>
      </c>
    </row>
    <row r="24905" spans="1:5">
      <c r="A24905" t="s">
        <v>28966</v>
      </c>
      <c r="B24905" t="s">
        <v>28971</v>
      </c>
      <c r="C24905">
        <v>0</v>
      </c>
      <c r="D24905">
        <v>0.93964597182300003</v>
      </c>
      <c r="E24905">
        <v>2.79460269865067</v>
      </c>
    </row>
    <row r="24906" spans="1:5">
      <c r="A24906" t="s">
        <v>28966</v>
      </c>
      <c r="B24906" t="s">
        <v>28972</v>
      </c>
      <c r="C24906">
        <v>0</v>
      </c>
      <c r="D24906">
        <v>0.93964597182300003</v>
      </c>
      <c r="E24906">
        <v>2.79460269865067</v>
      </c>
    </row>
    <row r="24907" spans="1:5">
      <c r="A24907" t="s">
        <v>28966</v>
      </c>
      <c r="B24907" t="s">
        <v>28973</v>
      </c>
      <c r="C24907">
        <f>0.194695354787</f>
        <v>0.19469535478700001</v>
      </c>
      <c r="D24907">
        <v>0.93964597182300003</v>
      </c>
      <c r="E24907">
        <v>2.79460269865067</v>
      </c>
    </row>
    <row r="24908" spans="1:5">
      <c r="A24908" t="s">
        <v>28966</v>
      </c>
      <c r="B24908" t="s">
        <v>28974</v>
      </c>
      <c r="C24908">
        <v>0</v>
      </c>
      <c r="D24908">
        <v>0.93964597182300003</v>
      </c>
      <c r="E24908">
        <v>2.79460269865067</v>
      </c>
    </row>
    <row r="24909" spans="1:5">
      <c r="A24909" t="s">
        <v>28966</v>
      </c>
      <c r="B24909" t="s">
        <v>28975</v>
      </c>
      <c r="C24909">
        <v>0</v>
      </c>
      <c r="D24909">
        <v>0.93964597182300003</v>
      </c>
      <c r="E24909">
        <v>2.79460269865067</v>
      </c>
    </row>
    <row r="24910" spans="1:5">
      <c r="A24910" t="s">
        <v>28966</v>
      </c>
      <c r="B24910" t="s">
        <v>28976</v>
      </c>
      <c r="C24910">
        <f>0</f>
        <v>0</v>
      </c>
      <c r="D24910">
        <v>0.93964597182300003</v>
      </c>
      <c r="E24910">
        <v>2.79460269865067</v>
      </c>
    </row>
    <row r="24911" spans="1:5">
      <c r="A24911" t="s">
        <v>28966</v>
      </c>
      <c r="B24911" t="s">
        <v>28977</v>
      </c>
      <c r="C24911">
        <v>0</v>
      </c>
      <c r="D24911">
        <v>0.93964597182300003</v>
      </c>
      <c r="E24911">
        <v>2.79460269865067</v>
      </c>
    </row>
    <row r="24912" spans="1:5">
      <c r="A24912" t="s">
        <v>28966</v>
      </c>
      <c r="B24912" t="s">
        <v>28978</v>
      </c>
      <c r="C24912">
        <v>0</v>
      </c>
      <c r="D24912">
        <v>0.93964597182300003</v>
      </c>
      <c r="E24912">
        <v>2.79460269865067</v>
      </c>
    </row>
    <row r="24913" spans="1:5">
      <c r="A24913" t="s">
        <v>28966</v>
      </c>
      <c r="B24913" t="s">
        <v>28979</v>
      </c>
      <c r="C24913">
        <v>0</v>
      </c>
      <c r="D24913">
        <v>0.93964597182300003</v>
      </c>
      <c r="E24913">
        <v>2.79460269865067</v>
      </c>
    </row>
    <row r="24914" spans="1:5">
      <c r="A24914" t="s">
        <v>28966</v>
      </c>
      <c r="B24914" t="s">
        <v>28980</v>
      </c>
      <c r="C24914">
        <v>0</v>
      </c>
      <c r="D24914">
        <v>0.93964597182300003</v>
      </c>
      <c r="E24914">
        <v>2.79460269865067</v>
      </c>
    </row>
    <row r="24915" spans="1:5">
      <c r="A24915" t="s">
        <v>28981</v>
      </c>
      <c r="B24915" t="s">
        <v>28982</v>
      </c>
      <c r="C24915">
        <v>0</v>
      </c>
      <c r="D24915">
        <v>0.98190340489200001</v>
      </c>
      <c r="E24915">
        <v>5.9370314842578704</v>
      </c>
    </row>
    <row r="24916" spans="1:5">
      <c r="A24916" t="s">
        <v>28981</v>
      </c>
      <c r="B24916" t="s">
        <v>28983</v>
      </c>
      <c r="C24916">
        <f>0.0820674049637</f>
        <v>8.2067404963700005E-2</v>
      </c>
      <c r="D24916">
        <v>0.98190340489200001</v>
      </c>
      <c r="E24916">
        <v>5.9370314842578704</v>
      </c>
    </row>
    <row r="24917" spans="1:5">
      <c r="A24917" t="s">
        <v>28981</v>
      </c>
      <c r="B24917" t="s">
        <v>28984</v>
      </c>
      <c r="C24917">
        <v>0</v>
      </c>
      <c r="D24917">
        <v>0.98190340489200001</v>
      </c>
      <c r="E24917">
        <v>5.9370314842578704</v>
      </c>
    </row>
    <row r="24918" spans="1:5">
      <c r="A24918" t="s">
        <v>28981</v>
      </c>
      <c r="B24918" t="s">
        <v>28985</v>
      </c>
      <c r="C24918">
        <f>0</f>
        <v>0</v>
      </c>
      <c r="D24918">
        <v>0.98190340489200001</v>
      </c>
      <c r="E24918">
        <v>5.9370314842578704</v>
      </c>
    </row>
    <row r="24919" spans="1:5">
      <c r="A24919" t="s">
        <v>28981</v>
      </c>
      <c r="B24919" t="s">
        <v>28986</v>
      </c>
      <c r="C24919">
        <v>1.7752726308799999E-2</v>
      </c>
      <c r="D24919">
        <v>0.98190340489200001</v>
      </c>
      <c r="E24919">
        <v>5.9370314842578704</v>
      </c>
    </row>
    <row r="24920" spans="1:5">
      <c r="A24920" t="s">
        <v>28981</v>
      </c>
      <c r="B24920" t="s">
        <v>28987</v>
      </c>
      <c r="C24920">
        <v>0</v>
      </c>
      <c r="D24920">
        <v>0.98190340489200001</v>
      </c>
      <c r="E24920">
        <v>5.9370314842578704</v>
      </c>
    </row>
    <row r="24921" spans="1:5">
      <c r="A24921" t="s">
        <v>28988</v>
      </c>
      <c r="B24921" t="s">
        <v>28989</v>
      </c>
      <c r="C24921">
        <f>0</f>
        <v>0</v>
      </c>
      <c r="D24921">
        <v>0.98030188682999997</v>
      </c>
      <c r="E24921">
        <v>24</v>
      </c>
    </row>
    <row r="24922" spans="1:5">
      <c r="A24922" t="s">
        <v>28988</v>
      </c>
      <c r="B24922" t="s">
        <v>28990</v>
      </c>
      <c r="C24922">
        <v>0</v>
      </c>
      <c r="D24922">
        <v>0.98030188682999997</v>
      </c>
      <c r="E24922">
        <v>24</v>
      </c>
    </row>
    <row r="24923" spans="1:5">
      <c r="A24923" t="s">
        <v>28988</v>
      </c>
      <c r="B24923" t="s">
        <v>28991</v>
      </c>
      <c r="C24923">
        <v>0</v>
      </c>
      <c r="D24923">
        <v>0.98030188682999997</v>
      </c>
      <c r="E24923">
        <v>24</v>
      </c>
    </row>
    <row r="24924" spans="1:5">
      <c r="A24924" t="s">
        <v>28988</v>
      </c>
      <c r="B24924" t="s">
        <v>28992</v>
      </c>
      <c r="C24924">
        <v>0</v>
      </c>
      <c r="D24924">
        <v>0.98030188682999997</v>
      </c>
      <c r="E24924">
        <v>24</v>
      </c>
    </row>
    <row r="24925" spans="1:5">
      <c r="A24925" t="s">
        <v>28988</v>
      </c>
      <c r="B24925" t="s">
        <v>28993</v>
      </c>
      <c r="C24925">
        <v>0</v>
      </c>
      <c r="D24925">
        <v>0.98030188682999997</v>
      </c>
      <c r="E24925">
        <v>24</v>
      </c>
    </row>
    <row r="24926" spans="1:5">
      <c r="A24926" t="s">
        <v>28988</v>
      </c>
      <c r="B24926" t="s">
        <v>28994</v>
      </c>
      <c r="C24926">
        <v>0</v>
      </c>
      <c r="D24926">
        <v>0.98030188682999997</v>
      </c>
      <c r="E24926">
        <v>24</v>
      </c>
    </row>
    <row r="24927" spans="1:5">
      <c r="A24927" t="s">
        <v>28988</v>
      </c>
      <c r="B24927" t="s">
        <v>28995</v>
      </c>
      <c r="C24927">
        <f>0</f>
        <v>0</v>
      </c>
      <c r="D24927">
        <v>0.98030188682999997</v>
      </c>
      <c r="E24927">
        <v>24</v>
      </c>
    </row>
    <row r="24928" spans="1:5">
      <c r="A24928" t="s">
        <v>28988</v>
      </c>
      <c r="B24928" t="s">
        <v>28996</v>
      </c>
      <c r="C24928">
        <v>0</v>
      </c>
      <c r="D24928">
        <v>0.98030188682999997</v>
      </c>
      <c r="E24928">
        <v>24</v>
      </c>
    </row>
    <row r="24929" spans="1:5">
      <c r="A24929" t="s">
        <v>28988</v>
      </c>
      <c r="B24929" t="s">
        <v>28997</v>
      </c>
      <c r="C24929">
        <v>0</v>
      </c>
      <c r="D24929">
        <v>0.98030188682999997</v>
      </c>
      <c r="E24929">
        <v>24</v>
      </c>
    </row>
    <row r="24930" spans="1:5">
      <c r="A24930" t="s">
        <v>28998</v>
      </c>
      <c r="B24930" t="s">
        <v>28999</v>
      </c>
      <c r="C24930">
        <v>0.121622435808</v>
      </c>
      <c r="D24930">
        <v>0.80499391190400005</v>
      </c>
      <c r="E24930">
        <v>24</v>
      </c>
    </row>
    <row r="24931" spans="1:5">
      <c r="A24931" t="s">
        <v>29000</v>
      </c>
      <c r="B24931" t="s">
        <v>29001</v>
      </c>
      <c r="C24931">
        <v>0</v>
      </c>
      <c r="D24931" t="s">
        <v>106</v>
      </c>
      <c r="E24931">
        <v>24</v>
      </c>
    </row>
    <row r="24932" spans="1:5">
      <c r="A24932" t="s">
        <v>29000</v>
      </c>
      <c r="B24932" t="s">
        <v>29002</v>
      </c>
      <c r="C24932">
        <f>0</f>
        <v>0</v>
      </c>
      <c r="D24932" t="s">
        <v>106</v>
      </c>
      <c r="E24932">
        <v>24</v>
      </c>
    </row>
    <row r="24933" spans="1:5">
      <c r="A24933" t="s">
        <v>29000</v>
      </c>
      <c r="B24933" t="s">
        <v>29003</v>
      </c>
      <c r="C24933">
        <f>0</f>
        <v>0</v>
      </c>
      <c r="D24933" t="s">
        <v>106</v>
      </c>
      <c r="E24933">
        <v>24</v>
      </c>
    </row>
    <row r="24934" spans="1:5">
      <c r="A24934" t="s">
        <v>29000</v>
      </c>
      <c r="B24934" t="s">
        <v>29004</v>
      </c>
      <c r="C24934">
        <f>0</f>
        <v>0</v>
      </c>
      <c r="D24934" t="s">
        <v>106</v>
      </c>
      <c r="E24934">
        <v>24</v>
      </c>
    </row>
    <row r="24935" spans="1:5">
      <c r="A24935" t="s">
        <v>29000</v>
      </c>
      <c r="B24935" t="s">
        <v>29005</v>
      </c>
      <c r="C24935">
        <v>0</v>
      </c>
      <c r="D24935" t="s">
        <v>106</v>
      </c>
      <c r="E24935">
        <v>24</v>
      </c>
    </row>
    <row r="24936" spans="1:5">
      <c r="A24936" t="s">
        <v>29000</v>
      </c>
      <c r="B24936" t="s">
        <v>29006</v>
      </c>
      <c r="C24936">
        <f>0</f>
        <v>0</v>
      </c>
      <c r="D24936" t="s">
        <v>106</v>
      </c>
      <c r="E24936">
        <v>24</v>
      </c>
    </row>
    <row r="24937" spans="1:5">
      <c r="A24937" t="s">
        <v>29000</v>
      </c>
      <c r="B24937" t="s">
        <v>29007</v>
      </c>
      <c r="C24937">
        <f>0</f>
        <v>0</v>
      </c>
      <c r="D24937" t="s">
        <v>106</v>
      </c>
      <c r="E24937">
        <v>24</v>
      </c>
    </row>
    <row r="24938" spans="1:5">
      <c r="A24938" t="s">
        <v>29000</v>
      </c>
      <c r="B24938" t="s">
        <v>29008</v>
      </c>
      <c r="C24938">
        <f>0</f>
        <v>0</v>
      </c>
      <c r="D24938" t="s">
        <v>106</v>
      </c>
      <c r="E24938">
        <v>24</v>
      </c>
    </row>
    <row r="24939" spans="1:5">
      <c r="A24939" t="s">
        <v>29000</v>
      </c>
      <c r="B24939" t="s">
        <v>29009</v>
      </c>
      <c r="C24939">
        <f>0</f>
        <v>0</v>
      </c>
      <c r="D24939" t="s">
        <v>106</v>
      </c>
      <c r="E24939">
        <v>24</v>
      </c>
    </row>
    <row r="24940" spans="1:5">
      <c r="A24940" t="s">
        <v>29000</v>
      </c>
      <c r="B24940" t="s">
        <v>29010</v>
      </c>
      <c r="C24940">
        <v>0.104402394789</v>
      </c>
      <c r="D24940" t="s">
        <v>106</v>
      </c>
      <c r="E24940">
        <v>24</v>
      </c>
    </row>
    <row r="24941" spans="1:5">
      <c r="A24941" t="s">
        <v>29000</v>
      </c>
      <c r="B24941" t="s">
        <v>29011</v>
      </c>
      <c r="C24941">
        <f>0</f>
        <v>0</v>
      </c>
      <c r="D24941" t="s">
        <v>106</v>
      </c>
      <c r="E24941">
        <v>24</v>
      </c>
    </row>
    <row r="24942" spans="1:5">
      <c r="A24942" t="s">
        <v>29000</v>
      </c>
      <c r="B24942" t="s">
        <v>29012</v>
      </c>
      <c r="C24942">
        <f>0</f>
        <v>0</v>
      </c>
      <c r="D24942" t="s">
        <v>106</v>
      </c>
      <c r="E24942">
        <v>24</v>
      </c>
    </row>
    <row r="24943" spans="1:5">
      <c r="A24943" t="s">
        <v>29000</v>
      </c>
      <c r="B24943" t="s">
        <v>29013</v>
      </c>
      <c r="C24943">
        <f>0</f>
        <v>0</v>
      </c>
      <c r="D24943" t="s">
        <v>106</v>
      </c>
      <c r="E24943">
        <v>24</v>
      </c>
    </row>
    <row r="24944" spans="1:5">
      <c r="A24944" t="s">
        <v>29000</v>
      </c>
      <c r="B24944" t="s">
        <v>29014</v>
      </c>
      <c r="C24944">
        <f>0</f>
        <v>0</v>
      </c>
      <c r="D24944" t="s">
        <v>106</v>
      </c>
      <c r="E24944">
        <v>24</v>
      </c>
    </row>
    <row r="24945" spans="1:5">
      <c r="A24945" t="s">
        <v>29000</v>
      </c>
      <c r="B24945" t="s">
        <v>29015</v>
      </c>
      <c r="C24945">
        <v>0</v>
      </c>
      <c r="D24945" t="s">
        <v>106</v>
      </c>
      <c r="E24945">
        <v>24</v>
      </c>
    </row>
    <row r="24946" spans="1:5">
      <c r="A24946" t="s">
        <v>29000</v>
      </c>
      <c r="B24946" t="s">
        <v>29016</v>
      </c>
      <c r="C24946">
        <f>0</f>
        <v>0</v>
      </c>
      <c r="D24946" t="s">
        <v>106</v>
      </c>
      <c r="E24946">
        <v>24</v>
      </c>
    </row>
    <row r="24947" spans="1:5">
      <c r="A24947" t="s">
        <v>29000</v>
      </c>
      <c r="B24947" t="s">
        <v>29017</v>
      </c>
      <c r="C24947">
        <v>0</v>
      </c>
      <c r="D24947" t="s">
        <v>106</v>
      </c>
      <c r="E24947">
        <v>24</v>
      </c>
    </row>
    <row r="24948" spans="1:5">
      <c r="A24948" t="s">
        <v>29000</v>
      </c>
      <c r="B24948" t="s">
        <v>29018</v>
      </c>
      <c r="C24948">
        <f>0</f>
        <v>0</v>
      </c>
      <c r="D24948" t="s">
        <v>106</v>
      </c>
      <c r="E24948">
        <v>24</v>
      </c>
    </row>
    <row r="24949" spans="1:5">
      <c r="A24949" t="s">
        <v>29000</v>
      </c>
      <c r="B24949" t="s">
        <v>29019</v>
      </c>
      <c r="C24949">
        <f>0</f>
        <v>0</v>
      </c>
      <c r="D24949" t="s">
        <v>106</v>
      </c>
      <c r="E24949">
        <v>24</v>
      </c>
    </row>
    <row r="24950" spans="1:5">
      <c r="A24950" t="s">
        <v>29000</v>
      </c>
      <c r="B24950" t="s">
        <v>29020</v>
      </c>
      <c r="C24950">
        <f>0</f>
        <v>0</v>
      </c>
      <c r="D24950" t="s">
        <v>106</v>
      </c>
      <c r="E24950">
        <v>24</v>
      </c>
    </row>
    <row r="24951" spans="1:5">
      <c r="A24951" t="s">
        <v>29000</v>
      </c>
      <c r="B24951" t="s">
        <v>29021</v>
      </c>
      <c r="C24951">
        <f>0</f>
        <v>0</v>
      </c>
      <c r="D24951" t="s">
        <v>106</v>
      </c>
      <c r="E24951">
        <v>24</v>
      </c>
    </row>
    <row r="24952" spans="1:5">
      <c r="A24952" t="s">
        <v>29022</v>
      </c>
      <c r="B24952" t="s">
        <v>29023</v>
      </c>
      <c r="C24952">
        <v>0</v>
      </c>
      <c r="D24952" t="s">
        <v>106</v>
      </c>
      <c r="E24952">
        <v>10.398800599700101</v>
      </c>
    </row>
    <row r="24953" spans="1:5">
      <c r="A24953" t="s">
        <v>29022</v>
      </c>
      <c r="B24953" t="s">
        <v>29024</v>
      </c>
      <c r="C24953">
        <f>0</f>
        <v>0</v>
      </c>
      <c r="D24953" t="s">
        <v>106</v>
      </c>
      <c r="E24953">
        <v>10.398800599700101</v>
      </c>
    </row>
    <row r="24954" spans="1:5">
      <c r="A24954" t="s">
        <v>29022</v>
      </c>
      <c r="B24954" t="s">
        <v>29025</v>
      </c>
      <c r="C24954">
        <v>0</v>
      </c>
      <c r="D24954" t="s">
        <v>106</v>
      </c>
      <c r="E24954">
        <v>10.398800599700101</v>
      </c>
    </row>
    <row r="24955" spans="1:5">
      <c r="A24955" t="s">
        <v>29022</v>
      </c>
      <c r="B24955" t="s">
        <v>29026</v>
      </c>
      <c r="C24955">
        <f>0</f>
        <v>0</v>
      </c>
      <c r="D24955" t="s">
        <v>106</v>
      </c>
      <c r="E24955">
        <v>10.398800599700101</v>
      </c>
    </row>
    <row r="24956" spans="1:5">
      <c r="A24956" t="s">
        <v>29022</v>
      </c>
      <c r="B24956" t="s">
        <v>29027</v>
      </c>
      <c r="C24956">
        <f>0</f>
        <v>0</v>
      </c>
      <c r="D24956" t="s">
        <v>106</v>
      </c>
      <c r="E24956">
        <v>10.398800599700101</v>
      </c>
    </row>
    <row r="24957" spans="1:5">
      <c r="A24957" t="s">
        <v>29022</v>
      </c>
      <c r="B24957" t="s">
        <v>29028</v>
      </c>
      <c r="C24957">
        <v>0</v>
      </c>
      <c r="D24957" t="s">
        <v>106</v>
      </c>
      <c r="E24957">
        <v>10.398800599700101</v>
      </c>
    </row>
    <row r="24958" spans="1:5">
      <c r="A24958" t="s">
        <v>29022</v>
      </c>
      <c r="B24958" t="s">
        <v>29029</v>
      </c>
      <c r="C24958">
        <v>0</v>
      </c>
      <c r="D24958" t="s">
        <v>106</v>
      </c>
      <c r="E24958">
        <v>10.398800599700101</v>
      </c>
    </row>
    <row r="24959" spans="1:5">
      <c r="A24959" t="s">
        <v>29022</v>
      </c>
      <c r="B24959" t="s">
        <v>29030</v>
      </c>
      <c r="C24959">
        <f>0</f>
        <v>0</v>
      </c>
      <c r="D24959" t="s">
        <v>106</v>
      </c>
      <c r="E24959">
        <v>10.398800599700101</v>
      </c>
    </row>
    <row r="24960" spans="1:5">
      <c r="A24960" t="s">
        <v>29031</v>
      </c>
      <c r="B24960" t="s">
        <v>29032</v>
      </c>
      <c r="C24960">
        <f>0</f>
        <v>0</v>
      </c>
      <c r="D24960">
        <v>0.95405905213200004</v>
      </c>
      <c r="E24960">
        <v>18.554722638680602</v>
      </c>
    </row>
    <row r="24961" spans="1:5">
      <c r="A24961" t="s">
        <v>29031</v>
      </c>
      <c r="B24961" t="s">
        <v>29033</v>
      </c>
      <c r="C24961">
        <v>0</v>
      </c>
      <c r="D24961">
        <v>0.95405905213200004</v>
      </c>
      <c r="E24961">
        <v>18.554722638680602</v>
      </c>
    </row>
    <row r="24962" spans="1:5">
      <c r="A24962" t="s">
        <v>29031</v>
      </c>
      <c r="B24962" t="s">
        <v>29034</v>
      </c>
      <c r="C24962">
        <v>5.9712275191999998E-3</v>
      </c>
      <c r="D24962">
        <v>0.95405905213200004</v>
      </c>
      <c r="E24962">
        <v>18.554722638680602</v>
      </c>
    </row>
    <row r="24963" spans="1:5">
      <c r="A24963" t="s">
        <v>29031</v>
      </c>
      <c r="B24963" t="s">
        <v>29035</v>
      </c>
      <c r="C24963">
        <v>0.15787355830300001</v>
      </c>
      <c r="D24963">
        <v>0.95405905213200004</v>
      </c>
      <c r="E24963">
        <v>18.554722638680602</v>
      </c>
    </row>
    <row r="24964" spans="1:5">
      <c r="A24964" t="s">
        <v>29031</v>
      </c>
      <c r="B24964" t="s">
        <v>29036</v>
      </c>
      <c r="C24964">
        <v>0</v>
      </c>
      <c r="D24964">
        <v>0.95405905213200004</v>
      </c>
      <c r="E24964">
        <v>18.554722638680602</v>
      </c>
    </row>
    <row r="24965" spans="1:5">
      <c r="A24965" t="s">
        <v>29037</v>
      </c>
      <c r="B24965" t="s">
        <v>29038</v>
      </c>
      <c r="C24965">
        <v>8.3152495108600004E-3</v>
      </c>
      <c r="D24965">
        <v>0.93258171974799997</v>
      </c>
      <c r="E24965">
        <v>4.0659670164917499</v>
      </c>
    </row>
    <row r="24966" spans="1:5">
      <c r="A24966" t="s">
        <v>29037</v>
      </c>
      <c r="B24966" t="s">
        <v>29039</v>
      </c>
      <c r="C24966">
        <v>0</v>
      </c>
      <c r="D24966">
        <v>0.93258171974799997</v>
      </c>
      <c r="E24966">
        <v>4.0659670164917499</v>
      </c>
    </row>
    <row r="24967" spans="1:5">
      <c r="A24967" t="s">
        <v>29037</v>
      </c>
      <c r="B24967" t="s">
        <v>29040</v>
      </c>
      <c r="C24967">
        <f>0</f>
        <v>0</v>
      </c>
      <c r="D24967">
        <v>0.93258171974799997</v>
      </c>
      <c r="E24967">
        <v>4.0659670164917499</v>
      </c>
    </row>
    <row r="24968" spans="1:5">
      <c r="A24968" t="s">
        <v>29037</v>
      </c>
      <c r="B24968" t="s">
        <v>29041</v>
      </c>
      <c r="C24968">
        <v>0</v>
      </c>
      <c r="D24968">
        <v>0.93258171974799997</v>
      </c>
      <c r="E24968">
        <v>4.0659670164917499</v>
      </c>
    </row>
    <row r="24969" spans="1:5">
      <c r="A24969" t="s">
        <v>29037</v>
      </c>
      <c r="B24969" t="s">
        <v>29042</v>
      </c>
      <c r="C24969">
        <v>0</v>
      </c>
      <c r="D24969">
        <v>0.93258171974799997</v>
      </c>
      <c r="E24969">
        <v>4.0659670164917499</v>
      </c>
    </row>
    <row r="24970" spans="1:5">
      <c r="A24970" t="s">
        <v>29037</v>
      </c>
      <c r="B24970" t="s">
        <v>29043</v>
      </c>
      <c r="C24970">
        <v>0</v>
      </c>
      <c r="D24970">
        <v>0.93258171974799997</v>
      </c>
      <c r="E24970">
        <v>4.0659670164917499</v>
      </c>
    </row>
    <row r="24971" spans="1:5">
      <c r="A24971" t="s">
        <v>29037</v>
      </c>
      <c r="B24971" t="s">
        <v>29044</v>
      </c>
      <c r="C24971">
        <v>0.15637427168099999</v>
      </c>
      <c r="D24971">
        <v>0.93258171974799997</v>
      </c>
      <c r="E24971">
        <v>4.0659670164917499</v>
      </c>
    </row>
    <row r="24972" spans="1:5">
      <c r="A24972" t="s">
        <v>29037</v>
      </c>
      <c r="B24972" t="s">
        <v>29045</v>
      </c>
      <c r="C24972">
        <v>0</v>
      </c>
      <c r="D24972">
        <v>0.93258171974799997</v>
      </c>
      <c r="E24972">
        <v>4.0659670164917499</v>
      </c>
    </row>
    <row r="24973" spans="1:5">
      <c r="A24973" t="s">
        <v>29046</v>
      </c>
      <c r="B24973" t="s">
        <v>29047</v>
      </c>
      <c r="C24973">
        <v>0</v>
      </c>
      <c r="D24973" t="s">
        <v>106</v>
      </c>
      <c r="E24973">
        <v>24</v>
      </c>
    </row>
    <row r="24974" spans="1:5">
      <c r="A24974" t="s">
        <v>29046</v>
      </c>
      <c r="B24974" t="s">
        <v>29048</v>
      </c>
      <c r="C24974">
        <v>0</v>
      </c>
      <c r="D24974" t="s">
        <v>106</v>
      </c>
      <c r="E24974">
        <v>24</v>
      </c>
    </row>
    <row r="24975" spans="1:5">
      <c r="A24975" t="s">
        <v>29046</v>
      </c>
      <c r="B24975" t="s">
        <v>29049</v>
      </c>
      <c r="C24975">
        <f>0</f>
        <v>0</v>
      </c>
      <c r="D24975" t="s">
        <v>106</v>
      </c>
      <c r="E24975">
        <v>24</v>
      </c>
    </row>
    <row r="24976" spans="1:5">
      <c r="A24976" t="s">
        <v>29046</v>
      </c>
      <c r="B24976" t="s">
        <v>29050</v>
      </c>
      <c r="C24976">
        <f>0</f>
        <v>0</v>
      </c>
      <c r="D24976" t="s">
        <v>106</v>
      </c>
      <c r="E24976">
        <v>24</v>
      </c>
    </row>
    <row r="24977" spans="1:5">
      <c r="A24977" t="s">
        <v>29046</v>
      </c>
      <c r="B24977" t="s">
        <v>29051</v>
      </c>
      <c r="C24977">
        <v>0</v>
      </c>
      <c r="D24977" t="s">
        <v>106</v>
      </c>
      <c r="E24977">
        <v>24</v>
      </c>
    </row>
    <row r="24978" spans="1:5">
      <c r="A24978" t="s">
        <v>29046</v>
      </c>
      <c r="B24978" t="s">
        <v>29052</v>
      </c>
      <c r="C24978">
        <v>0</v>
      </c>
      <c r="D24978" t="s">
        <v>106</v>
      </c>
      <c r="E24978">
        <v>24</v>
      </c>
    </row>
    <row r="24979" spans="1:5">
      <c r="A24979" t="s">
        <v>29046</v>
      </c>
      <c r="B24979" t="s">
        <v>29053</v>
      </c>
      <c r="C24979">
        <v>0</v>
      </c>
      <c r="D24979" t="s">
        <v>106</v>
      </c>
      <c r="E24979">
        <v>24</v>
      </c>
    </row>
    <row r="24980" spans="1:5">
      <c r="A24980" t="s">
        <v>29046</v>
      </c>
      <c r="B24980" t="s">
        <v>29054</v>
      </c>
      <c r="C24980">
        <f>0</f>
        <v>0</v>
      </c>
      <c r="D24980" t="s">
        <v>106</v>
      </c>
      <c r="E24980">
        <v>24</v>
      </c>
    </row>
    <row r="24981" spans="1:5">
      <c r="A24981" t="s">
        <v>29046</v>
      </c>
      <c r="B24981" t="s">
        <v>29055</v>
      </c>
      <c r="C24981">
        <v>0</v>
      </c>
      <c r="D24981" t="s">
        <v>106</v>
      </c>
      <c r="E24981">
        <v>24</v>
      </c>
    </row>
    <row r="24982" spans="1:5">
      <c r="A24982" t="s">
        <v>29046</v>
      </c>
      <c r="B24982" t="s">
        <v>29056</v>
      </c>
      <c r="C24982">
        <v>0</v>
      </c>
      <c r="D24982" t="s">
        <v>106</v>
      </c>
      <c r="E24982">
        <v>24</v>
      </c>
    </row>
    <row r="24983" spans="1:5">
      <c r="A24983" t="s">
        <v>29057</v>
      </c>
      <c r="B24983" t="s">
        <v>29058</v>
      </c>
      <c r="C24983">
        <v>0.25374634223600001</v>
      </c>
      <c r="D24983">
        <v>0.99872662300500004</v>
      </c>
      <c r="E24983">
        <v>13.2653673163418</v>
      </c>
    </row>
    <row r="24984" spans="1:5">
      <c r="A24984" t="s">
        <v>29057</v>
      </c>
      <c r="B24984" t="s">
        <v>29059</v>
      </c>
      <c r="C24984">
        <v>0.123057412314</v>
      </c>
      <c r="D24984">
        <v>0.99872662300500004</v>
      </c>
      <c r="E24984">
        <v>13.2653673163418</v>
      </c>
    </row>
    <row r="24985" spans="1:5">
      <c r="A24985" t="s">
        <v>29057</v>
      </c>
      <c r="B24985" t="s">
        <v>29060</v>
      </c>
      <c r="C24985">
        <v>0</v>
      </c>
      <c r="D24985">
        <v>0.99872662300500004</v>
      </c>
      <c r="E24985">
        <v>13.2653673163418</v>
      </c>
    </row>
    <row r="24986" spans="1:5">
      <c r="A24986" t="s">
        <v>29057</v>
      </c>
      <c r="B24986" t="s">
        <v>29061</v>
      </c>
      <c r="C24986">
        <v>0</v>
      </c>
      <c r="D24986">
        <v>0.99872662300500004</v>
      </c>
      <c r="E24986">
        <v>13.2653673163418</v>
      </c>
    </row>
    <row r="24987" spans="1:5">
      <c r="A24987" t="s">
        <v>29057</v>
      </c>
      <c r="B24987" t="s">
        <v>29062</v>
      </c>
      <c r="C24987">
        <v>0</v>
      </c>
      <c r="D24987">
        <v>0.99872662300500004</v>
      </c>
      <c r="E24987">
        <v>13.2653673163418</v>
      </c>
    </row>
    <row r="24988" spans="1:5">
      <c r="A24988" t="s">
        <v>29057</v>
      </c>
      <c r="B24988" t="s">
        <v>29063</v>
      </c>
      <c r="C24988">
        <v>0</v>
      </c>
      <c r="D24988">
        <v>0.99872662300500004</v>
      </c>
      <c r="E24988">
        <v>13.2653673163418</v>
      </c>
    </row>
    <row r="24989" spans="1:5">
      <c r="A24989" t="s">
        <v>29057</v>
      </c>
      <c r="B24989" t="s">
        <v>29064</v>
      </c>
      <c r="C24989">
        <v>0</v>
      </c>
      <c r="D24989">
        <v>0.99872662300500004</v>
      </c>
      <c r="E24989">
        <v>13.2653673163418</v>
      </c>
    </row>
    <row r="24990" spans="1:5">
      <c r="A24990" t="s">
        <v>29057</v>
      </c>
      <c r="B24990" t="s">
        <v>29065</v>
      </c>
      <c r="C24990">
        <v>0</v>
      </c>
      <c r="D24990">
        <v>0.99872662300500004</v>
      </c>
      <c r="E24990">
        <v>13.2653673163418</v>
      </c>
    </row>
    <row r="24991" spans="1:5">
      <c r="A24991" t="s">
        <v>29057</v>
      </c>
      <c r="B24991" t="s">
        <v>29066</v>
      </c>
      <c r="C24991">
        <v>0</v>
      </c>
      <c r="D24991">
        <v>0.99872662300500004</v>
      </c>
      <c r="E24991">
        <v>13.2653673163418</v>
      </c>
    </row>
    <row r="24992" spans="1:5">
      <c r="A24992" t="s">
        <v>29067</v>
      </c>
      <c r="B24992" t="s">
        <v>29068</v>
      </c>
      <c r="C24992">
        <v>0</v>
      </c>
      <c r="D24992">
        <v>0.74852252834699995</v>
      </c>
      <c r="E24992">
        <v>17.307346326836502</v>
      </c>
    </row>
    <row r="24993" spans="1:5">
      <c r="A24993" t="s">
        <v>29067</v>
      </c>
      <c r="B24993" t="s">
        <v>29069</v>
      </c>
      <c r="C24993">
        <f>0.0425246197279</f>
        <v>4.2524619727899997E-2</v>
      </c>
      <c r="D24993">
        <v>0.74852252834699995</v>
      </c>
      <c r="E24993">
        <v>17.307346326836502</v>
      </c>
    </row>
    <row r="24994" spans="1:5">
      <c r="A24994" t="s">
        <v>29067</v>
      </c>
      <c r="B24994" t="s">
        <v>29070</v>
      </c>
      <c r="C24994">
        <v>0.124581741634</v>
      </c>
      <c r="D24994">
        <v>0.74852252834699995</v>
      </c>
      <c r="E24994">
        <v>17.307346326836502</v>
      </c>
    </row>
    <row r="24995" spans="1:5">
      <c r="A24995" t="s">
        <v>29067</v>
      </c>
      <c r="B24995" t="s">
        <v>29071</v>
      </c>
      <c r="C24995">
        <v>0</v>
      </c>
      <c r="D24995">
        <v>0.74852252834699995</v>
      </c>
      <c r="E24995">
        <v>17.307346326836502</v>
      </c>
    </row>
    <row r="24996" spans="1:5">
      <c r="A24996" t="s">
        <v>29072</v>
      </c>
      <c r="B24996" t="s">
        <v>29073</v>
      </c>
      <c r="C24996">
        <v>0</v>
      </c>
      <c r="D24996">
        <v>0.99388922122400003</v>
      </c>
      <c r="E24996">
        <v>24</v>
      </c>
    </row>
    <row r="24997" spans="1:5">
      <c r="A24997" t="s">
        <v>29072</v>
      </c>
      <c r="B24997" t="s">
        <v>29074</v>
      </c>
      <c r="C24997">
        <f>0</f>
        <v>0</v>
      </c>
      <c r="D24997">
        <v>0.99388922122400003</v>
      </c>
      <c r="E24997">
        <v>24</v>
      </c>
    </row>
    <row r="24998" spans="1:5">
      <c r="A24998" t="s">
        <v>29072</v>
      </c>
      <c r="B24998" t="s">
        <v>29075</v>
      </c>
      <c r="C24998">
        <v>0.16109993614099999</v>
      </c>
      <c r="D24998">
        <v>0.99388922122400003</v>
      </c>
      <c r="E24998">
        <v>24</v>
      </c>
    </row>
    <row r="24999" spans="1:5">
      <c r="A24999" t="s">
        <v>29072</v>
      </c>
      <c r="B24999" t="s">
        <v>29076</v>
      </c>
      <c r="C24999">
        <v>0</v>
      </c>
      <c r="D24999">
        <v>0.99388922122400003</v>
      </c>
      <c r="E24999">
        <v>24</v>
      </c>
    </row>
    <row r="25000" spans="1:5">
      <c r="A25000" t="s">
        <v>29077</v>
      </c>
      <c r="B25000" t="s">
        <v>29078</v>
      </c>
      <c r="C25000">
        <v>0.233989684921</v>
      </c>
      <c r="D25000" t="s">
        <v>106</v>
      </c>
      <c r="E25000">
        <v>24</v>
      </c>
    </row>
    <row r="25001" spans="1:5">
      <c r="A25001" t="s">
        <v>29079</v>
      </c>
      <c r="B25001" t="s">
        <v>29080</v>
      </c>
      <c r="C25001">
        <f>0</f>
        <v>0</v>
      </c>
      <c r="D25001" t="s">
        <v>106</v>
      </c>
      <c r="E25001">
        <v>15.1244377811094</v>
      </c>
    </row>
    <row r="25002" spans="1:5">
      <c r="A25002" t="s">
        <v>29079</v>
      </c>
      <c r="B25002" t="s">
        <v>29081</v>
      </c>
      <c r="C25002">
        <v>0</v>
      </c>
      <c r="D25002" t="s">
        <v>106</v>
      </c>
      <c r="E25002">
        <v>15.1244377811094</v>
      </c>
    </row>
    <row r="25003" spans="1:5">
      <c r="A25003" t="s">
        <v>29079</v>
      </c>
      <c r="B25003" t="s">
        <v>29082</v>
      </c>
      <c r="C25003">
        <f>0</f>
        <v>0</v>
      </c>
      <c r="D25003" t="s">
        <v>106</v>
      </c>
      <c r="E25003">
        <v>15.1244377811094</v>
      </c>
    </row>
    <row r="25004" spans="1:5">
      <c r="A25004" t="s">
        <v>29079</v>
      </c>
      <c r="B25004" t="s">
        <v>29083</v>
      </c>
      <c r="C25004">
        <f>0</f>
        <v>0</v>
      </c>
      <c r="D25004" t="s">
        <v>106</v>
      </c>
      <c r="E25004">
        <v>15.1244377811094</v>
      </c>
    </row>
    <row r="25005" spans="1:5">
      <c r="A25005" t="s">
        <v>29079</v>
      </c>
      <c r="B25005" t="s">
        <v>29084</v>
      </c>
      <c r="C25005">
        <f>0</f>
        <v>0</v>
      </c>
      <c r="D25005" t="s">
        <v>106</v>
      </c>
      <c r="E25005">
        <v>15.1244377811094</v>
      </c>
    </row>
    <row r="25006" spans="1:5">
      <c r="A25006" t="s">
        <v>29085</v>
      </c>
      <c r="B25006" t="s">
        <v>29086</v>
      </c>
      <c r="C25006">
        <f>0.0152043951179</f>
        <v>1.52043951179E-2</v>
      </c>
      <c r="D25006">
        <v>0.96654862432099997</v>
      </c>
      <c r="E25006">
        <v>0.82758620689655105</v>
      </c>
    </row>
    <row r="25007" spans="1:5">
      <c r="A25007" t="s">
        <v>29085</v>
      </c>
      <c r="B25007" t="s">
        <v>29087</v>
      </c>
      <c r="C25007">
        <f>0.217608918363</f>
        <v>0.217608918363</v>
      </c>
      <c r="D25007">
        <v>0.96654862432099997</v>
      </c>
      <c r="E25007">
        <v>0.82758620689655105</v>
      </c>
    </row>
    <row r="25008" spans="1:5">
      <c r="A25008" t="s">
        <v>29088</v>
      </c>
      <c r="B25008" t="s">
        <v>29089</v>
      </c>
      <c r="C25008">
        <v>8.1369865926500001E-2</v>
      </c>
      <c r="D25008">
        <v>0.99706054914800002</v>
      </c>
      <c r="E25008">
        <v>4.4737631184407798</v>
      </c>
    </row>
    <row r="25009" spans="1:5">
      <c r="A25009" t="s">
        <v>29088</v>
      </c>
      <c r="B25009" t="s">
        <v>29090</v>
      </c>
      <c r="C25009">
        <f>0.0794746988752</f>
        <v>7.9474698875200006E-2</v>
      </c>
      <c r="D25009">
        <v>0.99706054914800002</v>
      </c>
      <c r="E25009">
        <v>4.4737631184407798</v>
      </c>
    </row>
    <row r="25010" spans="1:5">
      <c r="A25010" t="s">
        <v>29088</v>
      </c>
      <c r="B25010" t="s">
        <v>29091</v>
      </c>
      <c r="C25010">
        <f>0</f>
        <v>0</v>
      </c>
      <c r="D25010">
        <v>0.99706054914800002</v>
      </c>
      <c r="E25010">
        <v>4.4737631184407798</v>
      </c>
    </row>
    <row r="25011" spans="1:5">
      <c r="A25011" t="s">
        <v>29092</v>
      </c>
      <c r="B25011" t="s">
        <v>29093</v>
      </c>
      <c r="C25011">
        <v>0</v>
      </c>
      <c r="D25011" t="s">
        <v>106</v>
      </c>
      <c r="E25011">
        <v>16.095952023988001</v>
      </c>
    </row>
    <row r="25012" spans="1:5">
      <c r="A25012" t="s">
        <v>29094</v>
      </c>
      <c r="B25012" t="s">
        <v>29095</v>
      </c>
      <c r="C25012">
        <v>0</v>
      </c>
      <c r="D25012">
        <v>0.70517655755399999</v>
      </c>
      <c r="E25012">
        <v>5.9370314842578704</v>
      </c>
    </row>
    <row r="25013" spans="1:5">
      <c r="A25013" t="s">
        <v>29094</v>
      </c>
      <c r="B25013" t="s">
        <v>29096</v>
      </c>
      <c r="C25013">
        <v>0</v>
      </c>
      <c r="D25013">
        <v>0.70517655755399999</v>
      </c>
      <c r="E25013">
        <v>5.9370314842578704</v>
      </c>
    </row>
    <row r="25014" spans="1:5">
      <c r="A25014" t="s">
        <v>29094</v>
      </c>
      <c r="B25014" t="s">
        <v>29097</v>
      </c>
      <c r="C25014">
        <f>0</f>
        <v>0</v>
      </c>
      <c r="D25014">
        <v>0.70517655755399999</v>
      </c>
      <c r="E25014">
        <v>5.9370314842578704</v>
      </c>
    </row>
    <row r="25015" spans="1:5">
      <c r="A25015" t="s">
        <v>29094</v>
      </c>
      <c r="B25015" t="s">
        <v>29098</v>
      </c>
      <c r="C25015">
        <v>0</v>
      </c>
      <c r="D25015">
        <v>0.70517655755399999</v>
      </c>
      <c r="E25015">
        <v>5.9370314842578704</v>
      </c>
    </row>
    <row r="25016" spans="1:5">
      <c r="A25016" t="s">
        <v>29094</v>
      </c>
      <c r="B25016" t="s">
        <v>29099</v>
      </c>
      <c r="C25016">
        <v>0.15411246453300001</v>
      </c>
      <c r="D25016">
        <v>0.70517655755399999</v>
      </c>
      <c r="E25016">
        <v>5.9370314842578704</v>
      </c>
    </row>
    <row r="25017" spans="1:5">
      <c r="A25017" t="s">
        <v>29094</v>
      </c>
      <c r="B25017" t="s">
        <v>29100</v>
      </c>
      <c r="C25017">
        <f>0</f>
        <v>0</v>
      </c>
      <c r="D25017">
        <v>0.70517655755399999</v>
      </c>
      <c r="E25017">
        <v>5.9370314842578704</v>
      </c>
    </row>
    <row r="25018" spans="1:5">
      <c r="A25018" t="s">
        <v>29094</v>
      </c>
      <c r="B25018" t="s">
        <v>29101</v>
      </c>
      <c r="C25018">
        <f>0</f>
        <v>0</v>
      </c>
      <c r="D25018">
        <v>0.70517655755399999</v>
      </c>
      <c r="E25018">
        <v>5.9370314842578704</v>
      </c>
    </row>
    <row r="25019" spans="1:5">
      <c r="A25019" t="s">
        <v>29094</v>
      </c>
      <c r="B25019" t="s">
        <v>29102</v>
      </c>
      <c r="C25019">
        <f>0</f>
        <v>0</v>
      </c>
      <c r="D25019">
        <v>0.70517655755399999</v>
      </c>
      <c r="E25019">
        <v>5.9370314842578704</v>
      </c>
    </row>
    <row r="25020" spans="1:5">
      <c r="A25020" t="s">
        <v>29094</v>
      </c>
      <c r="B25020" t="s">
        <v>29103</v>
      </c>
      <c r="C25020">
        <f>0</f>
        <v>0</v>
      </c>
      <c r="D25020">
        <v>0.70517655755399999</v>
      </c>
      <c r="E25020">
        <v>5.9370314842578704</v>
      </c>
    </row>
    <row r="25021" spans="1:5">
      <c r="A25021" t="s">
        <v>29094</v>
      </c>
      <c r="B25021" t="s">
        <v>29104</v>
      </c>
      <c r="C25021">
        <v>7.2411639586799997E-2</v>
      </c>
      <c r="D25021">
        <v>0.70517655755399999</v>
      </c>
      <c r="E25021">
        <v>5.9370314842578704</v>
      </c>
    </row>
    <row r="25022" spans="1:5">
      <c r="A25022" t="s">
        <v>29094</v>
      </c>
      <c r="B25022" t="s">
        <v>29105</v>
      </c>
      <c r="C25022">
        <v>0</v>
      </c>
      <c r="D25022">
        <v>0.70517655755399999</v>
      </c>
      <c r="E25022">
        <v>5.9370314842578704</v>
      </c>
    </row>
    <row r="25023" spans="1:5">
      <c r="A25023" t="s">
        <v>29094</v>
      </c>
      <c r="B25023" t="s">
        <v>29106</v>
      </c>
      <c r="C25023">
        <f>0</f>
        <v>0</v>
      </c>
      <c r="D25023">
        <v>0.70517655755399999</v>
      </c>
      <c r="E25023">
        <v>5.9370314842578704</v>
      </c>
    </row>
    <row r="25024" spans="1:5">
      <c r="A25024" t="s">
        <v>29094</v>
      </c>
      <c r="B25024" t="s">
        <v>29107</v>
      </c>
      <c r="C25024">
        <f>0</f>
        <v>0</v>
      </c>
      <c r="D25024">
        <v>0.70517655755399999</v>
      </c>
      <c r="E25024">
        <v>5.9370314842578704</v>
      </c>
    </row>
    <row r="25025" spans="1:5">
      <c r="A25025" t="s">
        <v>29094</v>
      </c>
      <c r="B25025" t="s">
        <v>29108</v>
      </c>
      <c r="C25025">
        <v>0</v>
      </c>
      <c r="D25025">
        <v>0.70517655755399999</v>
      </c>
      <c r="E25025">
        <v>5.9370314842578704</v>
      </c>
    </row>
    <row r="25026" spans="1:5">
      <c r="A25026" t="s">
        <v>29094</v>
      </c>
      <c r="B25026" t="s">
        <v>29109</v>
      </c>
      <c r="C25026">
        <f>0</f>
        <v>0</v>
      </c>
      <c r="D25026">
        <v>0.70517655755399999</v>
      </c>
      <c r="E25026">
        <v>5.9370314842578704</v>
      </c>
    </row>
    <row r="25027" spans="1:5">
      <c r="A25027" t="s">
        <v>29094</v>
      </c>
      <c r="B25027" t="s">
        <v>29110</v>
      </c>
      <c r="C25027">
        <f>0</f>
        <v>0</v>
      </c>
      <c r="D25027">
        <v>0.70517655755399999</v>
      </c>
      <c r="E25027">
        <v>5.9370314842578704</v>
      </c>
    </row>
    <row r="25028" spans="1:5">
      <c r="A25028" t="s">
        <v>29111</v>
      </c>
      <c r="B25028" t="s">
        <v>29112</v>
      </c>
      <c r="C25028">
        <v>7.0016413258800004E-3</v>
      </c>
      <c r="D25028" t="s">
        <v>106</v>
      </c>
      <c r="E25028">
        <v>24</v>
      </c>
    </row>
    <row r="25029" spans="1:5">
      <c r="A25029" t="s">
        <v>29111</v>
      </c>
      <c r="B25029" t="s">
        <v>29113</v>
      </c>
      <c r="C25029">
        <v>0</v>
      </c>
      <c r="D25029" t="s">
        <v>106</v>
      </c>
      <c r="E25029">
        <v>24</v>
      </c>
    </row>
    <row r="25030" spans="1:5">
      <c r="A25030" t="s">
        <v>29111</v>
      </c>
      <c r="B25030" t="s">
        <v>29114</v>
      </c>
      <c r="C25030">
        <f>0</f>
        <v>0</v>
      </c>
      <c r="D25030" t="s">
        <v>106</v>
      </c>
      <c r="E25030">
        <v>24</v>
      </c>
    </row>
    <row r="25031" spans="1:5">
      <c r="A25031" t="s">
        <v>29111</v>
      </c>
      <c r="B25031" t="s">
        <v>29115</v>
      </c>
      <c r="C25031">
        <f>0</f>
        <v>0</v>
      </c>
      <c r="D25031" t="s">
        <v>106</v>
      </c>
      <c r="E25031">
        <v>24</v>
      </c>
    </row>
    <row r="25032" spans="1:5">
      <c r="A25032" t="s">
        <v>29111</v>
      </c>
      <c r="B25032" t="s">
        <v>29116</v>
      </c>
      <c r="C25032">
        <v>0.11162272657900001</v>
      </c>
      <c r="D25032" t="s">
        <v>106</v>
      </c>
      <c r="E25032">
        <v>24</v>
      </c>
    </row>
    <row r="25033" spans="1:5">
      <c r="A25033" t="s">
        <v>29111</v>
      </c>
      <c r="B25033" t="s">
        <v>29117</v>
      </c>
      <c r="C25033">
        <f>0</f>
        <v>0</v>
      </c>
      <c r="D25033" t="s">
        <v>106</v>
      </c>
      <c r="E25033">
        <v>24</v>
      </c>
    </row>
    <row r="25034" spans="1:5">
      <c r="A25034" t="s">
        <v>29111</v>
      </c>
      <c r="B25034" t="s">
        <v>29118</v>
      </c>
      <c r="C25034">
        <f>0</f>
        <v>0</v>
      </c>
      <c r="D25034" t="s">
        <v>106</v>
      </c>
      <c r="E25034">
        <v>24</v>
      </c>
    </row>
    <row r="25035" spans="1:5">
      <c r="A25035" t="s">
        <v>29111</v>
      </c>
      <c r="B25035" t="s">
        <v>29119</v>
      </c>
      <c r="C25035">
        <f>0</f>
        <v>0</v>
      </c>
      <c r="D25035" t="s">
        <v>106</v>
      </c>
      <c r="E25035">
        <v>24</v>
      </c>
    </row>
    <row r="25036" spans="1:5">
      <c r="A25036" t="s">
        <v>29111</v>
      </c>
      <c r="B25036" t="s">
        <v>29120</v>
      </c>
      <c r="C25036">
        <v>0</v>
      </c>
      <c r="D25036" t="s">
        <v>106</v>
      </c>
      <c r="E25036">
        <v>24</v>
      </c>
    </row>
    <row r="25037" spans="1:5">
      <c r="A25037" t="s">
        <v>29111</v>
      </c>
      <c r="B25037" t="s">
        <v>29121</v>
      </c>
      <c r="C25037">
        <v>0</v>
      </c>
      <c r="D25037" t="s">
        <v>106</v>
      </c>
      <c r="E25037">
        <v>24</v>
      </c>
    </row>
    <row r="25038" spans="1:5">
      <c r="A25038" t="s">
        <v>29122</v>
      </c>
      <c r="B25038" t="s">
        <v>29123</v>
      </c>
      <c r="C25038">
        <v>5.1045422172300001E-2</v>
      </c>
      <c r="D25038">
        <v>0.72285405037999995</v>
      </c>
      <c r="E25038">
        <v>20.2938530734632</v>
      </c>
    </row>
    <row r="25039" spans="1:5">
      <c r="A25039" t="s">
        <v>29122</v>
      </c>
      <c r="B25039" t="s">
        <v>29124</v>
      </c>
      <c r="C25039">
        <f>0.0358695811353</f>
        <v>3.5869581135299998E-2</v>
      </c>
      <c r="D25039">
        <v>0.72285405037999995</v>
      </c>
      <c r="E25039">
        <v>20.2938530734632</v>
      </c>
    </row>
    <row r="25040" spans="1:5">
      <c r="A25040" t="s">
        <v>29122</v>
      </c>
      <c r="B25040" t="s">
        <v>29125</v>
      </c>
      <c r="C25040">
        <f>0</f>
        <v>0</v>
      </c>
      <c r="D25040">
        <v>0.72285405037999995</v>
      </c>
      <c r="E25040">
        <v>20.2938530734632</v>
      </c>
    </row>
    <row r="25041" spans="1:5">
      <c r="A25041" t="s">
        <v>29122</v>
      </c>
      <c r="B25041" t="s">
        <v>29126</v>
      </c>
      <c r="C25041">
        <v>0</v>
      </c>
      <c r="D25041">
        <v>0.72285405037999995</v>
      </c>
      <c r="E25041">
        <v>20.2938530734632</v>
      </c>
    </row>
    <row r="25042" spans="1:5">
      <c r="A25042" t="s">
        <v>29122</v>
      </c>
      <c r="B25042" t="s">
        <v>29127</v>
      </c>
      <c r="C25042">
        <v>0</v>
      </c>
      <c r="D25042">
        <v>0.72285405037999995</v>
      </c>
      <c r="E25042">
        <v>20.2938530734632</v>
      </c>
    </row>
    <row r="25043" spans="1:5">
      <c r="A25043" t="s">
        <v>29122</v>
      </c>
      <c r="B25043" t="s">
        <v>29128</v>
      </c>
      <c r="C25043">
        <v>0</v>
      </c>
      <c r="D25043">
        <v>0.72285405037999995</v>
      </c>
      <c r="E25043">
        <v>20.2938530734632</v>
      </c>
    </row>
    <row r="25044" spans="1:5">
      <c r="A25044" t="s">
        <v>29129</v>
      </c>
      <c r="B25044" t="s">
        <v>29130</v>
      </c>
      <c r="C25044">
        <v>0</v>
      </c>
      <c r="D25044">
        <v>0.92193151134100004</v>
      </c>
      <c r="E25044">
        <v>13.8170914542728</v>
      </c>
    </row>
    <row r="25045" spans="1:5">
      <c r="A25045" t="s">
        <v>29129</v>
      </c>
      <c r="B25045" t="s">
        <v>29131</v>
      </c>
      <c r="C25045">
        <v>0</v>
      </c>
      <c r="D25045">
        <v>0.92193151134100004</v>
      </c>
      <c r="E25045">
        <v>13.8170914542728</v>
      </c>
    </row>
    <row r="25046" spans="1:5">
      <c r="A25046" t="s">
        <v>29129</v>
      </c>
      <c r="B25046" t="s">
        <v>29132</v>
      </c>
      <c r="C25046">
        <f>0.0242752089877</f>
        <v>2.4275208987700001E-2</v>
      </c>
      <c r="D25046">
        <v>0.92193151134100004</v>
      </c>
      <c r="E25046">
        <v>13.8170914542728</v>
      </c>
    </row>
    <row r="25047" spans="1:5">
      <c r="A25047" t="s">
        <v>29129</v>
      </c>
      <c r="B25047" t="s">
        <v>29133</v>
      </c>
      <c r="C25047">
        <f>0</f>
        <v>0</v>
      </c>
      <c r="D25047">
        <v>0.92193151134100004</v>
      </c>
      <c r="E25047">
        <v>13.8170914542728</v>
      </c>
    </row>
    <row r="25048" spans="1:5">
      <c r="A25048" t="s">
        <v>29129</v>
      </c>
      <c r="B25048" t="s">
        <v>29134</v>
      </c>
      <c r="C25048">
        <v>0.104863714765</v>
      </c>
      <c r="D25048">
        <v>0.92193151134100004</v>
      </c>
      <c r="E25048">
        <v>13.8170914542728</v>
      </c>
    </row>
    <row r="25049" spans="1:5">
      <c r="A25049" t="s">
        <v>29135</v>
      </c>
      <c r="B25049" t="s">
        <v>29136</v>
      </c>
      <c r="C25049">
        <v>0</v>
      </c>
      <c r="D25049" t="s">
        <v>106</v>
      </c>
      <c r="E25049">
        <v>24</v>
      </c>
    </row>
    <row r="25050" spans="1:5">
      <c r="A25050" t="s">
        <v>29135</v>
      </c>
      <c r="B25050" t="s">
        <v>29137</v>
      </c>
      <c r="C25050">
        <f>0</f>
        <v>0</v>
      </c>
      <c r="D25050" t="s">
        <v>106</v>
      </c>
      <c r="E25050">
        <v>24</v>
      </c>
    </row>
    <row r="25051" spans="1:5">
      <c r="A25051" t="s">
        <v>29135</v>
      </c>
      <c r="B25051" t="s">
        <v>29138</v>
      </c>
      <c r="C25051">
        <v>0</v>
      </c>
      <c r="D25051" t="s">
        <v>106</v>
      </c>
      <c r="E25051">
        <v>24</v>
      </c>
    </row>
    <row r="25052" spans="1:5">
      <c r="A25052" t="s">
        <v>29135</v>
      </c>
      <c r="B25052" t="s">
        <v>29139</v>
      </c>
      <c r="C25052">
        <v>0.14702347053299999</v>
      </c>
      <c r="D25052" t="s">
        <v>106</v>
      </c>
      <c r="E25052">
        <v>24</v>
      </c>
    </row>
    <row r="25053" spans="1:5">
      <c r="A25053" t="s">
        <v>29135</v>
      </c>
      <c r="B25053" t="s">
        <v>29140</v>
      </c>
      <c r="C25053">
        <f>0.0334803638593</f>
        <v>3.3480363859299998E-2</v>
      </c>
      <c r="D25053" t="s">
        <v>106</v>
      </c>
      <c r="E25053">
        <v>24</v>
      </c>
    </row>
    <row r="25054" spans="1:5">
      <c r="A25054" t="s">
        <v>29135</v>
      </c>
      <c r="B25054" t="s">
        <v>29141</v>
      </c>
      <c r="C25054">
        <f>0</f>
        <v>0</v>
      </c>
      <c r="D25054" t="s">
        <v>106</v>
      </c>
      <c r="E25054">
        <v>24</v>
      </c>
    </row>
    <row r="25055" spans="1:5">
      <c r="A25055" t="s">
        <v>29142</v>
      </c>
      <c r="B25055" t="s">
        <v>29143</v>
      </c>
      <c r="C25055">
        <v>0</v>
      </c>
      <c r="D25055" t="s">
        <v>106</v>
      </c>
      <c r="E25055">
        <v>2.79460269865067</v>
      </c>
    </row>
    <row r="25056" spans="1:5">
      <c r="A25056" t="s">
        <v>29144</v>
      </c>
      <c r="B25056" t="s">
        <v>29145</v>
      </c>
      <c r="C25056">
        <v>0</v>
      </c>
      <c r="D25056">
        <v>0.57697162686600001</v>
      </c>
      <c r="E25056">
        <v>8.7196401799100407</v>
      </c>
    </row>
    <row r="25057" spans="1:5">
      <c r="A25057" t="s">
        <v>29144</v>
      </c>
      <c r="B25057" t="s">
        <v>29146</v>
      </c>
      <c r="C25057">
        <f>0</f>
        <v>0</v>
      </c>
      <c r="D25057">
        <v>0.57697162686600001</v>
      </c>
      <c r="E25057">
        <v>8.7196401799100407</v>
      </c>
    </row>
    <row r="25058" spans="1:5">
      <c r="A25058" t="s">
        <v>29144</v>
      </c>
      <c r="B25058" t="s">
        <v>29147</v>
      </c>
      <c r="C25058">
        <f>0</f>
        <v>0</v>
      </c>
      <c r="D25058">
        <v>0.57697162686600001</v>
      </c>
      <c r="E25058">
        <v>8.7196401799100407</v>
      </c>
    </row>
    <row r="25059" spans="1:5">
      <c r="A25059" t="s">
        <v>29144</v>
      </c>
      <c r="B25059" t="s">
        <v>29148</v>
      </c>
      <c r="C25059">
        <v>0</v>
      </c>
      <c r="D25059">
        <v>0.57697162686600001</v>
      </c>
      <c r="E25059">
        <v>8.7196401799100407</v>
      </c>
    </row>
    <row r="25060" spans="1:5">
      <c r="A25060" t="s">
        <v>29144</v>
      </c>
      <c r="B25060" t="s">
        <v>29149</v>
      </c>
      <c r="C25060">
        <v>7.8529791909199995E-2</v>
      </c>
      <c r="D25060">
        <v>0.57697162686600001</v>
      </c>
      <c r="E25060">
        <v>8.7196401799100407</v>
      </c>
    </row>
    <row r="25061" spans="1:5">
      <c r="A25061" t="s">
        <v>29150</v>
      </c>
      <c r="B25061" t="s">
        <v>29151</v>
      </c>
      <c r="C25061">
        <v>0.13486743220799999</v>
      </c>
      <c r="D25061">
        <v>0.86930040961499999</v>
      </c>
      <c r="E25061">
        <v>15.904047976011899</v>
      </c>
    </row>
    <row r="25062" spans="1:5">
      <c r="A25062" t="s">
        <v>29150</v>
      </c>
      <c r="B25062" t="s">
        <v>29152</v>
      </c>
      <c r="C25062">
        <f>0</f>
        <v>0</v>
      </c>
      <c r="D25062">
        <v>0.86930040961499999</v>
      </c>
      <c r="E25062">
        <v>15.904047976011899</v>
      </c>
    </row>
    <row r="25063" spans="1:5">
      <c r="A25063" t="s">
        <v>29150</v>
      </c>
      <c r="B25063" t="s">
        <v>29153</v>
      </c>
      <c r="C25063">
        <v>8.1366565019100001E-2</v>
      </c>
      <c r="D25063">
        <v>0.86930040961499999</v>
      </c>
      <c r="E25063">
        <v>15.904047976011899</v>
      </c>
    </row>
    <row r="25064" spans="1:5">
      <c r="A25064" t="s">
        <v>29154</v>
      </c>
      <c r="B25064" t="s">
        <v>29155</v>
      </c>
      <c r="C25064">
        <v>0.54925837949599998</v>
      </c>
      <c r="D25064">
        <v>0.90186893420500003</v>
      </c>
      <c r="E25064">
        <v>3.2263868065966999</v>
      </c>
    </row>
    <row r="25065" spans="1:5">
      <c r="A25065" t="s">
        <v>29156</v>
      </c>
      <c r="B25065" t="s">
        <v>29157</v>
      </c>
      <c r="C25065">
        <v>0</v>
      </c>
      <c r="D25065">
        <v>0.82604857418800004</v>
      </c>
      <c r="E25065">
        <v>9.4632683658170897</v>
      </c>
    </row>
    <row r="25066" spans="1:5">
      <c r="A25066" t="s">
        <v>29156</v>
      </c>
      <c r="B25066" t="s">
        <v>29158</v>
      </c>
      <c r="C25066">
        <v>0</v>
      </c>
      <c r="D25066">
        <v>0.82604857418800004</v>
      </c>
      <c r="E25066">
        <v>9.4632683658170897</v>
      </c>
    </row>
    <row r="25067" spans="1:5">
      <c r="A25067" t="s">
        <v>29156</v>
      </c>
      <c r="B25067" t="s">
        <v>29159</v>
      </c>
      <c r="C25067">
        <v>0</v>
      </c>
      <c r="D25067">
        <v>0.82604857418800004</v>
      </c>
      <c r="E25067">
        <v>9.4632683658170897</v>
      </c>
    </row>
    <row r="25068" spans="1:5">
      <c r="A25068" t="s">
        <v>29156</v>
      </c>
      <c r="B25068" t="s">
        <v>29160</v>
      </c>
      <c r="C25068">
        <v>0.13448590607200001</v>
      </c>
      <c r="D25068">
        <v>0.82604857418800004</v>
      </c>
      <c r="E25068">
        <v>9.4632683658170897</v>
      </c>
    </row>
    <row r="25069" spans="1:5">
      <c r="A25069" t="s">
        <v>29156</v>
      </c>
      <c r="B25069" t="s">
        <v>29161</v>
      </c>
      <c r="C25069">
        <f>0</f>
        <v>0</v>
      </c>
      <c r="D25069">
        <v>0.82604857418800004</v>
      </c>
      <c r="E25069">
        <v>9.4632683658170897</v>
      </c>
    </row>
    <row r="25070" spans="1:5">
      <c r="A25070" t="s">
        <v>29156</v>
      </c>
      <c r="B25070" t="s">
        <v>29162</v>
      </c>
      <c r="C25070">
        <f>0</f>
        <v>0</v>
      </c>
      <c r="D25070">
        <v>0.82604857418800004</v>
      </c>
      <c r="E25070">
        <v>9.4632683658170897</v>
      </c>
    </row>
    <row r="25071" spans="1:5">
      <c r="A25071" t="s">
        <v>29163</v>
      </c>
      <c r="B25071" t="s">
        <v>29164</v>
      </c>
      <c r="C25071">
        <f>0</f>
        <v>0</v>
      </c>
      <c r="D25071">
        <v>0.99707753546</v>
      </c>
      <c r="E25071">
        <v>19.850074962518701</v>
      </c>
    </row>
    <row r="25072" spans="1:5">
      <c r="A25072" t="s">
        <v>29163</v>
      </c>
      <c r="B25072" t="s">
        <v>29165</v>
      </c>
      <c r="C25072">
        <f>0.0233380289227</f>
        <v>2.33380289227E-2</v>
      </c>
      <c r="D25072">
        <v>0.99707753546</v>
      </c>
      <c r="E25072">
        <v>19.850074962518701</v>
      </c>
    </row>
    <row r="25073" spans="1:5">
      <c r="A25073" t="s">
        <v>29163</v>
      </c>
      <c r="B25073" t="s">
        <v>29166</v>
      </c>
      <c r="C25073">
        <f>0</f>
        <v>0</v>
      </c>
      <c r="D25073">
        <v>0.99707753546</v>
      </c>
      <c r="E25073">
        <v>19.850074962518701</v>
      </c>
    </row>
    <row r="25074" spans="1:5">
      <c r="A25074" t="s">
        <v>29163</v>
      </c>
      <c r="B25074" t="s">
        <v>29167</v>
      </c>
      <c r="C25074">
        <f>0</f>
        <v>0</v>
      </c>
      <c r="D25074">
        <v>0.99707753546</v>
      </c>
      <c r="E25074">
        <v>19.850074962518701</v>
      </c>
    </row>
    <row r="25075" spans="1:5">
      <c r="A25075" t="s">
        <v>29163</v>
      </c>
      <c r="B25075" t="s">
        <v>29168</v>
      </c>
      <c r="C25075">
        <f>0.0496523129196</f>
        <v>4.9652312919599997E-2</v>
      </c>
      <c r="D25075">
        <v>0.99707753546</v>
      </c>
      <c r="E25075">
        <v>19.850074962518701</v>
      </c>
    </row>
    <row r="25076" spans="1:5">
      <c r="A25076" t="s">
        <v>29163</v>
      </c>
      <c r="B25076" t="s">
        <v>29169</v>
      </c>
      <c r="C25076">
        <f>0</f>
        <v>0</v>
      </c>
      <c r="D25076">
        <v>0.99707753546</v>
      </c>
      <c r="E25076">
        <v>19.850074962518701</v>
      </c>
    </row>
    <row r="25077" spans="1:5">
      <c r="A25077" t="s">
        <v>29163</v>
      </c>
      <c r="B25077" t="s">
        <v>29170</v>
      </c>
      <c r="C25077">
        <f>0</f>
        <v>0</v>
      </c>
      <c r="D25077">
        <v>0.99707753546</v>
      </c>
      <c r="E25077">
        <v>19.850074962518701</v>
      </c>
    </row>
    <row r="25078" spans="1:5">
      <c r="A25078" t="s">
        <v>29163</v>
      </c>
      <c r="B25078" t="s">
        <v>29171</v>
      </c>
      <c r="C25078">
        <f>0</f>
        <v>0</v>
      </c>
      <c r="D25078">
        <v>0.99707753546</v>
      </c>
      <c r="E25078">
        <v>19.850074962518701</v>
      </c>
    </row>
    <row r="25079" spans="1:5">
      <c r="A25079" t="s">
        <v>29163</v>
      </c>
      <c r="B25079" t="s">
        <v>29172</v>
      </c>
      <c r="C25079">
        <v>0</v>
      </c>
      <c r="D25079">
        <v>0.99707753546</v>
      </c>
      <c r="E25079">
        <v>19.850074962518701</v>
      </c>
    </row>
    <row r="25080" spans="1:5">
      <c r="A25080" t="s">
        <v>29163</v>
      </c>
      <c r="B25080" t="s">
        <v>29173</v>
      </c>
      <c r="C25080">
        <f>0</f>
        <v>0</v>
      </c>
      <c r="D25080">
        <v>0.99707753546</v>
      </c>
      <c r="E25080">
        <v>19.850074962518701</v>
      </c>
    </row>
    <row r="25081" spans="1:5">
      <c r="A25081" t="s">
        <v>29163</v>
      </c>
      <c r="B25081" t="s">
        <v>29174</v>
      </c>
      <c r="C25081">
        <v>0</v>
      </c>
      <c r="D25081">
        <v>0.99707753546</v>
      </c>
      <c r="E25081">
        <v>19.850074962518701</v>
      </c>
    </row>
    <row r="25082" spans="1:5">
      <c r="A25082" t="s">
        <v>29163</v>
      </c>
      <c r="B25082" t="s">
        <v>29175</v>
      </c>
      <c r="C25082">
        <f>0</f>
        <v>0</v>
      </c>
      <c r="D25082">
        <v>0.99707753546</v>
      </c>
      <c r="E25082">
        <v>19.850074962518701</v>
      </c>
    </row>
    <row r="25083" spans="1:5">
      <c r="A25083" t="s">
        <v>29163</v>
      </c>
      <c r="B25083" t="s">
        <v>29176</v>
      </c>
      <c r="C25083">
        <v>0</v>
      </c>
      <c r="D25083">
        <v>0.99707753546</v>
      </c>
      <c r="E25083">
        <v>19.850074962518701</v>
      </c>
    </row>
    <row r="25084" spans="1:5">
      <c r="A25084" t="s">
        <v>29177</v>
      </c>
      <c r="B25084" t="s">
        <v>29178</v>
      </c>
      <c r="C25084">
        <v>2.2049459552400001E-2</v>
      </c>
      <c r="D25084">
        <v>0.95000856626499997</v>
      </c>
      <c r="E25084">
        <v>2.1709145427286298</v>
      </c>
    </row>
    <row r="25085" spans="1:5">
      <c r="A25085" t="s">
        <v>29177</v>
      </c>
      <c r="B25085" t="s">
        <v>29179</v>
      </c>
      <c r="C25085">
        <v>0</v>
      </c>
      <c r="D25085">
        <v>0.95000856626499997</v>
      </c>
      <c r="E25085">
        <v>2.1709145427286298</v>
      </c>
    </row>
    <row r="25086" spans="1:5">
      <c r="A25086" t="s">
        <v>29177</v>
      </c>
      <c r="B25086" t="s">
        <v>29180</v>
      </c>
      <c r="C25086">
        <v>0.69073874431899995</v>
      </c>
      <c r="D25086">
        <v>0.95000856626499997</v>
      </c>
      <c r="E25086">
        <v>2.1709145427286298</v>
      </c>
    </row>
    <row r="25087" spans="1:5">
      <c r="A25087" t="s">
        <v>29177</v>
      </c>
      <c r="B25087" t="s">
        <v>29181</v>
      </c>
      <c r="C25087">
        <v>0</v>
      </c>
      <c r="D25087">
        <v>0.95000856626499997</v>
      </c>
      <c r="E25087">
        <v>2.1709145427286298</v>
      </c>
    </row>
    <row r="25088" spans="1:5">
      <c r="A25088" t="s">
        <v>29177</v>
      </c>
      <c r="B25088" t="s">
        <v>29182</v>
      </c>
      <c r="C25088">
        <v>0</v>
      </c>
      <c r="D25088">
        <v>0.95000856626499997</v>
      </c>
      <c r="E25088">
        <v>2.1709145427286298</v>
      </c>
    </row>
    <row r="25089" spans="1:5">
      <c r="A25089" t="s">
        <v>29183</v>
      </c>
      <c r="B25089" t="s">
        <v>29184</v>
      </c>
      <c r="C25089">
        <f>0</f>
        <v>0</v>
      </c>
      <c r="D25089">
        <v>0.89716744360900003</v>
      </c>
      <c r="E25089">
        <v>2.79460269865067</v>
      </c>
    </row>
    <row r="25090" spans="1:5">
      <c r="A25090" t="s">
        <v>29183</v>
      </c>
      <c r="B25090" t="s">
        <v>29185</v>
      </c>
      <c r="C25090">
        <v>0</v>
      </c>
      <c r="D25090">
        <v>0.89716744360900003</v>
      </c>
      <c r="E25090">
        <v>2.79460269865067</v>
      </c>
    </row>
    <row r="25091" spans="1:5">
      <c r="A25091" t="s">
        <v>29183</v>
      </c>
      <c r="B25091" t="s">
        <v>29186</v>
      </c>
      <c r="C25091">
        <v>0</v>
      </c>
      <c r="D25091">
        <v>0.89716744360900003</v>
      </c>
      <c r="E25091">
        <v>2.79460269865067</v>
      </c>
    </row>
    <row r="25092" spans="1:5">
      <c r="A25092" t="s">
        <v>29183</v>
      </c>
      <c r="B25092" t="s">
        <v>29187</v>
      </c>
      <c r="C25092">
        <v>0</v>
      </c>
      <c r="D25092">
        <v>0.89716744360900003</v>
      </c>
      <c r="E25092">
        <v>2.79460269865067</v>
      </c>
    </row>
    <row r="25093" spans="1:5">
      <c r="A25093" t="s">
        <v>29183</v>
      </c>
      <c r="B25093" t="s">
        <v>29188</v>
      </c>
      <c r="C25093">
        <f>0</f>
        <v>0</v>
      </c>
      <c r="D25093">
        <v>0.89716744360900003</v>
      </c>
      <c r="E25093">
        <v>2.79460269865067</v>
      </c>
    </row>
    <row r="25094" spans="1:5">
      <c r="A25094" t="s">
        <v>29183</v>
      </c>
      <c r="B25094" t="s">
        <v>29189</v>
      </c>
      <c r="C25094">
        <v>6.8150830138099999E-2</v>
      </c>
      <c r="D25094">
        <v>0.89716744360900003</v>
      </c>
      <c r="E25094">
        <v>2.79460269865067</v>
      </c>
    </row>
    <row r="25095" spans="1:5">
      <c r="A25095" t="s">
        <v>29183</v>
      </c>
      <c r="B25095" t="s">
        <v>29190</v>
      </c>
      <c r="C25095">
        <f>0</f>
        <v>0</v>
      </c>
      <c r="D25095">
        <v>0.89716744360900003</v>
      </c>
      <c r="E25095">
        <v>2.79460269865067</v>
      </c>
    </row>
    <row r="25096" spans="1:5">
      <c r="A25096" t="s">
        <v>29183</v>
      </c>
      <c r="B25096" t="s">
        <v>29191</v>
      </c>
      <c r="C25096">
        <f>0</f>
        <v>0</v>
      </c>
      <c r="D25096">
        <v>0.89716744360900003</v>
      </c>
      <c r="E25096">
        <v>2.79460269865067</v>
      </c>
    </row>
    <row r="25097" spans="1:5">
      <c r="A25097" t="s">
        <v>29183</v>
      </c>
      <c r="B25097" t="s">
        <v>29192</v>
      </c>
      <c r="C25097">
        <v>0</v>
      </c>
      <c r="D25097">
        <v>0.89716744360900003</v>
      </c>
      <c r="E25097">
        <v>2.79460269865067</v>
      </c>
    </row>
    <row r="25098" spans="1:5">
      <c r="A25098" t="s">
        <v>29183</v>
      </c>
      <c r="B25098" t="s">
        <v>29193</v>
      </c>
      <c r="C25098">
        <f>0</f>
        <v>0</v>
      </c>
      <c r="D25098">
        <v>0.89716744360900003</v>
      </c>
      <c r="E25098">
        <v>2.79460269865067</v>
      </c>
    </row>
    <row r="25099" spans="1:5">
      <c r="A25099" t="s">
        <v>29183</v>
      </c>
      <c r="B25099" t="s">
        <v>29194</v>
      </c>
      <c r="C25099">
        <v>0</v>
      </c>
      <c r="D25099">
        <v>0.89716744360900003</v>
      </c>
      <c r="E25099">
        <v>2.79460269865067</v>
      </c>
    </row>
    <row r="25100" spans="1:5">
      <c r="A25100" t="s">
        <v>29183</v>
      </c>
      <c r="B25100" t="s">
        <v>29195</v>
      </c>
      <c r="C25100">
        <f>0.305891334222</f>
        <v>0.30589133422199999</v>
      </c>
      <c r="D25100">
        <v>0.89716744360900003</v>
      </c>
      <c r="E25100">
        <v>2.79460269865067</v>
      </c>
    </row>
    <row r="25101" spans="1:5">
      <c r="A25101" t="s">
        <v>29183</v>
      </c>
      <c r="B25101" t="s">
        <v>29196</v>
      </c>
      <c r="C25101">
        <f>0</f>
        <v>0</v>
      </c>
      <c r="D25101">
        <v>0.89716744360900003</v>
      </c>
      <c r="E25101">
        <v>2.79460269865067</v>
      </c>
    </row>
    <row r="25102" spans="1:5">
      <c r="A25102" t="s">
        <v>29183</v>
      </c>
      <c r="B25102" t="s">
        <v>29197</v>
      </c>
      <c r="C25102">
        <v>0</v>
      </c>
      <c r="D25102">
        <v>0.89716744360900003</v>
      </c>
      <c r="E25102">
        <v>2.79460269865067</v>
      </c>
    </row>
    <row r="25103" spans="1:5">
      <c r="A25103" t="s">
        <v>29183</v>
      </c>
      <c r="B25103" t="s">
        <v>29198</v>
      </c>
      <c r="C25103">
        <v>0</v>
      </c>
      <c r="D25103">
        <v>0.89716744360900003</v>
      </c>
      <c r="E25103">
        <v>2.79460269865067</v>
      </c>
    </row>
    <row r="25104" spans="1:5">
      <c r="A25104" t="s">
        <v>29199</v>
      </c>
      <c r="B25104" t="s">
        <v>29200</v>
      </c>
      <c r="C25104">
        <v>0.63636405174999999</v>
      </c>
      <c r="D25104" t="s">
        <v>106</v>
      </c>
      <c r="E25104">
        <v>3.40629685157421</v>
      </c>
    </row>
    <row r="25105" spans="1:5">
      <c r="A25105" t="s">
        <v>29199</v>
      </c>
      <c r="B25105" t="s">
        <v>29201</v>
      </c>
      <c r="C25105">
        <f>0.0284667429421</f>
        <v>2.8466742942099998E-2</v>
      </c>
      <c r="D25105" t="s">
        <v>106</v>
      </c>
      <c r="E25105">
        <v>3.40629685157421</v>
      </c>
    </row>
    <row r="25106" spans="1:5">
      <c r="A25106" t="s">
        <v>29202</v>
      </c>
      <c r="B25106" t="s">
        <v>29203</v>
      </c>
      <c r="C25106">
        <v>0</v>
      </c>
      <c r="D25106">
        <v>0.99796317446299998</v>
      </c>
      <c r="E25106">
        <v>9.0194902548725597</v>
      </c>
    </row>
    <row r="25107" spans="1:5">
      <c r="A25107" t="s">
        <v>29202</v>
      </c>
      <c r="B25107" t="s">
        <v>29204</v>
      </c>
      <c r="C25107">
        <v>2.7996563446799998E-2</v>
      </c>
      <c r="D25107">
        <v>0.99796317446299998</v>
      </c>
      <c r="E25107">
        <v>9.0194902548725597</v>
      </c>
    </row>
    <row r="25108" spans="1:5">
      <c r="A25108" t="s">
        <v>29202</v>
      </c>
      <c r="B25108" t="s">
        <v>29205</v>
      </c>
      <c r="C25108">
        <f>0</f>
        <v>0</v>
      </c>
      <c r="D25108">
        <v>0.99796317446299998</v>
      </c>
      <c r="E25108">
        <v>9.0194902548725597</v>
      </c>
    </row>
    <row r="25109" spans="1:5">
      <c r="A25109" t="s">
        <v>29202</v>
      </c>
      <c r="B25109" t="s">
        <v>29206</v>
      </c>
      <c r="C25109">
        <v>0.31706673231499999</v>
      </c>
      <c r="D25109">
        <v>0.99796317446299998</v>
      </c>
      <c r="E25109">
        <v>9.0194902548725597</v>
      </c>
    </row>
    <row r="25110" spans="1:5">
      <c r="A25110" t="s">
        <v>29207</v>
      </c>
      <c r="B25110" t="s">
        <v>29208</v>
      </c>
      <c r="C25110">
        <v>0</v>
      </c>
      <c r="D25110">
        <v>0.98976681938900002</v>
      </c>
      <c r="E25110">
        <v>8.8635682158920499</v>
      </c>
    </row>
    <row r="25111" spans="1:5">
      <c r="A25111" t="s">
        <v>29207</v>
      </c>
      <c r="B25111" t="s">
        <v>29209</v>
      </c>
      <c r="C25111">
        <f>0</f>
        <v>0</v>
      </c>
      <c r="D25111">
        <v>0.98976681938900002</v>
      </c>
      <c r="E25111">
        <v>8.8635682158920499</v>
      </c>
    </row>
    <row r="25112" spans="1:5">
      <c r="A25112" t="s">
        <v>29207</v>
      </c>
      <c r="B25112" t="s">
        <v>29210</v>
      </c>
      <c r="C25112">
        <v>0.26458161882600001</v>
      </c>
      <c r="D25112">
        <v>0.98976681938900002</v>
      </c>
      <c r="E25112">
        <v>8.8635682158920499</v>
      </c>
    </row>
    <row r="25113" spans="1:5">
      <c r="A25113" t="s">
        <v>29207</v>
      </c>
      <c r="B25113" t="s">
        <v>29211</v>
      </c>
      <c r="C25113">
        <v>0</v>
      </c>
      <c r="D25113">
        <v>0.98976681938900002</v>
      </c>
      <c r="E25113">
        <v>8.8635682158920499</v>
      </c>
    </row>
    <row r="25114" spans="1:5">
      <c r="A25114" t="s">
        <v>29207</v>
      </c>
      <c r="B25114" t="s">
        <v>29212</v>
      </c>
      <c r="C25114">
        <v>0</v>
      </c>
      <c r="D25114">
        <v>0.98976681938900002</v>
      </c>
      <c r="E25114">
        <v>8.8635682158920499</v>
      </c>
    </row>
    <row r="25115" spans="1:5">
      <c r="A25115" t="s">
        <v>29207</v>
      </c>
      <c r="B25115" t="s">
        <v>29213</v>
      </c>
      <c r="C25115">
        <v>0</v>
      </c>
      <c r="D25115">
        <v>0.98976681938900002</v>
      </c>
      <c r="E25115">
        <v>8.8635682158920499</v>
      </c>
    </row>
    <row r="25116" spans="1:5">
      <c r="A25116" t="s">
        <v>29207</v>
      </c>
      <c r="B25116" t="s">
        <v>29214</v>
      </c>
      <c r="C25116">
        <f>0</f>
        <v>0</v>
      </c>
      <c r="D25116">
        <v>0.98976681938900002</v>
      </c>
      <c r="E25116">
        <v>8.8635682158920499</v>
      </c>
    </row>
    <row r="25117" spans="1:5">
      <c r="A25117" t="s">
        <v>29207</v>
      </c>
      <c r="B25117" t="s">
        <v>29215</v>
      </c>
      <c r="C25117">
        <v>0</v>
      </c>
      <c r="D25117">
        <v>0.98976681938900002</v>
      </c>
      <c r="E25117">
        <v>8.8635682158920499</v>
      </c>
    </row>
    <row r="25118" spans="1:5">
      <c r="A25118" t="s">
        <v>29216</v>
      </c>
      <c r="B25118" t="s">
        <v>29217</v>
      </c>
      <c r="C25118">
        <f>0</f>
        <v>0</v>
      </c>
      <c r="D25118" t="s">
        <v>106</v>
      </c>
      <c r="E25118">
        <v>11.7061469265367</v>
      </c>
    </row>
    <row r="25119" spans="1:5">
      <c r="A25119" t="s">
        <v>29216</v>
      </c>
      <c r="B25119" t="s">
        <v>29218</v>
      </c>
      <c r="C25119">
        <v>0</v>
      </c>
      <c r="D25119" t="s">
        <v>106</v>
      </c>
      <c r="E25119">
        <v>11.7061469265367</v>
      </c>
    </row>
    <row r="25120" spans="1:5">
      <c r="A25120" t="s">
        <v>29216</v>
      </c>
      <c r="B25120" t="s">
        <v>29219</v>
      </c>
      <c r="C25120">
        <f>0</f>
        <v>0</v>
      </c>
      <c r="D25120" t="s">
        <v>106</v>
      </c>
      <c r="E25120">
        <v>11.7061469265367</v>
      </c>
    </row>
    <row r="25121" spans="1:5">
      <c r="A25121" t="s">
        <v>29216</v>
      </c>
      <c r="B25121" t="s">
        <v>29220</v>
      </c>
      <c r="C25121">
        <f>0</f>
        <v>0</v>
      </c>
      <c r="D25121" t="s">
        <v>106</v>
      </c>
      <c r="E25121">
        <v>11.7061469265367</v>
      </c>
    </row>
    <row r="25122" spans="1:5">
      <c r="A25122" t="s">
        <v>29216</v>
      </c>
      <c r="B25122" t="s">
        <v>29221</v>
      </c>
      <c r="C25122">
        <v>0</v>
      </c>
      <c r="D25122" t="s">
        <v>106</v>
      </c>
      <c r="E25122">
        <v>11.7061469265367</v>
      </c>
    </row>
    <row r="25123" spans="1:5">
      <c r="A25123" t="s">
        <v>29222</v>
      </c>
      <c r="B25123" t="s">
        <v>29223</v>
      </c>
      <c r="C25123">
        <f>0</f>
        <v>0</v>
      </c>
      <c r="D25123" t="s">
        <v>106</v>
      </c>
      <c r="E25123">
        <v>0.16791604197901</v>
      </c>
    </row>
    <row r="25124" spans="1:5">
      <c r="A25124" t="s">
        <v>29222</v>
      </c>
      <c r="B25124" t="s">
        <v>29224</v>
      </c>
      <c r="C25124">
        <f>0</f>
        <v>0</v>
      </c>
      <c r="D25124" t="s">
        <v>106</v>
      </c>
      <c r="E25124">
        <v>0.16791604197901</v>
      </c>
    </row>
    <row r="25125" spans="1:5">
      <c r="A25125" t="s">
        <v>29222</v>
      </c>
      <c r="B25125" t="s">
        <v>29225</v>
      </c>
      <c r="C25125">
        <f>0</f>
        <v>0</v>
      </c>
      <c r="D25125" t="s">
        <v>106</v>
      </c>
      <c r="E25125">
        <v>0.16791604197901</v>
      </c>
    </row>
    <row r="25126" spans="1:5">
      <c r="A25126" t="s">
        <v>29222</v>
      </c>
      <c r="B25126" t="s">
        <v>29226</v>
      </c>
      <c r="C25126">
        <f>0</f>
        <v>0</v>
      </c>
      <c r="D25126" t="s">
        <v>106</v>
      </c>
      <c r="E25126">
        <v>0.16791604197901</v>
      </c>
    </row>
    <row r="25127" spans="1:5">
      <c r="A25127" t="s">
        <v>29222</v>
      </c>
      <c r="B25127" t="s">
        <v>29227</v>
      </c>
      <c r="C25127">
        <v>0</v>
      </c>
      <c r="D25127" t="s">
        <v>106</v>
      </c>
      <c r="E25127">
        <v>0.16791604197901</v>
      </c>
    </row>
    <row r="25128" spans="1:5">
      <c r="A25128" t="s">
        <v>29222</v>
      </c>
      <c r="B25128" t="s">
        <v>29228</v>
      </c>
      <c r="C25128">
        <v>0</v>
      </c>
      <c r="D25128" t="s">
        <v>106</v>
      </c>
      <c r="E25128">
        <v>0.16791604197901</v>
      </c>
    </row>
    <row r="25129" spans="1:5">
      <c r="A25129" t="s">
        <v>29222</v>
      </c>
      <c r="B25129" t="s">
        <v>29229</v>
      </c>
      <c r="C25129">
        <f>0</f>
        <v>0</v>
      </c>
      <c r="D25129" t="s">
        <v>106</v>
      </c>
      <c r="E25129">
        <v>0.16791604197901</v>
      </c>
    </row>
    <row r="25130" spans="1:5">
      <c r="A25130" t="s">
        <v>29222</v>
      </c>
      <c r="B25130" t="s">
        <v>29230</v>
      </c>
      <c r="C25130">
        <f>0</f>
        <v>0</v>
      </c>
      <c r="D25130" t="s">
        <v>106</v>
      </c>
      <c r="E25130">
        <v>0.16791604197901</v>
      </c>
    </row>
    <row r="25131" spans="1:5">
      <c r="A25131" t="s">
        <v>29222</v>
      </c>
      <c r="B25131" t="s">
        <v>29231</v>
      </c>
      <c r="C25131">
        <f>0</f>
        <v>0</v>
      </c>
      <c r="D25131" t="s">
        <v>106</v>
      </c>
      <c r="E25131">
        <v>0.16791604197901</v>
      </c>
    </row>
    <row r="25132" spans="1:5">
      <c r="A25132" t="s">
        <v>29222</v>
      </c>
      <c r="B25132" t="s">
        <v>29232</v>
      </c>
      <c r="C25132">
        <f>0</f>
        <v>0</v>
      </c>
      <c r="D25132" t="s">
        <v>106</v>
      </c>
      <c r="E25132">
        <v>0.16791604197901</v>
      </c>
    </row>
    <row r="25133" spans="1:5">
      <c r="A25133" t="s">
        <v>29222</v>
      </c>
      <c r="B25133" t="s">
        <v>29233</v>
      </c>
      <c r="C25133">
        <v>0</v>
      </c>
      <c r="D25133" t="s">
        <v>106</v>
      </c>
      <c r="E25133">
        <v>0.16791604197901</v>
      </c>
    </row>
    <row r="25134" spans="1:5">
      <c r="A25134" t="s">
        <v>29222</v>
      </c>
      <c r="B25134" t="s">
        <v>29234</v>
      </c>
      <c r="C25134">
        <v>0</v>
      </c>
      <c r="D25134" t="s">
        <v>106</v>
      </c>
      <c r="E25134">
        <v>0.16791604197901</v>
      </c>
    </row>
    <row r="25135" spans="1:5">
      <c r="A25135" t="s">
        <v>29222</v>
      </c>
      <c r="B25135" t="s">
        <v>29235</v>
      </c>
      <c r="C25135">
        <v>0</v>
      </c>
      <c r="D25135" t="s">
        <v>106</v>
      </c>
      <c r="E25135">
        <v>0.16791604197901</v>
      </c>
    </row>
    <row r="25136" spans="1:5">
      <c r="A25136" t="s">
        <v>29222</v>
      </c>
      <c r="B25136" t="s">
        <v>29236</v>
      </c>
      <c r="C25136">
        <v>0</v>
      </c>
      <c r="D25136" t="s">
        <v>106</v>
      </c>
      <c r="E25136">
        <v>0.16791604197901</v>
      </c>
    </row>
    <row r="25137" spans="1:5">
      <c r="A25137" t="s">
        <v>29222</v>
      </c>
      <c r="B25137" t="s">
        <v>29237</v>
      </c>
      <c r="C25137">
        <f>0</f>
        <v>0</v>
      </c>
      <c r="D25137" t="s">
        <v>106</v>
      </c>
      <c r="E25137">
        <v>0.16791604197901</v>
      </c>
    </row>
    <row r="25138" spans="1:5">
      <c r="A25138" t="s">
        <v>29222</v>
      </c>
      <c r="B25138" t="s">
        <v>29238</v>
      </c>
      <c r="C25138">
        <f>0</f>
        <v>0</v>
      </c>
      <c r="D25138" t="s">
        <v>106</v>
      </c>
      <c r="E25138">
        <v>0.16791604197901</v>
      </c>
    </row>
    <row r="25139" spans="1:5">
      <c r="A25139" t="s">
        <v>29222</v>
      </c>
      <c r="B25139" t="s">
        <v>29239</v>
      </c>
      <c r="C25139">
        <v>0</v>
      </c>
      <c r="D25139" t="s">
        <v>106</v>
      </c>
      <c r="E25139">
        <v>0.16791604197901</v>
      </c>
    </row>
    <row r="25140" spans="1:5">
      <c r="A25140" t="s">
        <v>29222</v>
      </c>
      <c r="B25140" t="s">
        <v>29240</v>
      </c>
      <c r="C25140">
        <v>0</v>
      </c>
      <c r="D25140" t="s">
        <v>106</v>
      </c>
      <c r="E25140">
        <v>0.16791604197901</v>
      </c>
    </row>
    <row r="25141" spans="1:5">
      <c r="A25141" t="s">
        <v>29241</v>
      </c>
      <c r="B25141" t="s">
        <v>29242</v>
      </c>
      <c r="C25141">
        <f>0.000511078189327</f>
        <v>5.1107818932700003E-4</v>
      </c>
      <c r="D25141">
        <v>0.98558068060600001</v>
      </c>
      <c r="E25141">
        <v>24</v>
      </c>
    </row>
    <row r="25142" spans="1:5">
      <c r="A25142" t="s">
        <v>29241</v>
      </c>
      <c r="B25142" t="s">
        <v>29243</v>
      </c>
      <c r="C25142">
        <v>7.1013334793700006E-2</v>
      </c>
      <c r="D25142">
        <v>0.98558068060600001</v>
      </c>
      <c r="E25142">
        <v>24</v>
      </c>
    </row>
    <row r="25143" spans="1:5">
      <c r="A25143" t="s">
        <v>29241</v>
      </c>
      <c r="B25143" t="s">
        <v>29244</v>
      </c>
      <c r="C25143">
        <f>0</f>
        <v>0</v>
      </c>
      <c r="D25143">
        <v>0.98558068060600001</v>
      </c>
      <c r="E25143">
        <v>24</v>
      </c>
    </row>
    <row r="25144" spans="1:5">
      <c r="A25144" t="s">
        <v>29241</v>
      </c>
      <c r="B25144" t="s">
        <v>29245</v>
      </c>
      <c r="C25144">
        <f>0</f>
        <v>0</v>
      </c>
      <c r="D25144">
        <v>0.98558068060600001</v>
      </c>
      <c r="E25144">
        <v>24</v>
      </c>
    </row>
    <row r="25145" spans="1:5">
      <c r="A25145" t="s">
        <v>29241</v>
      </c>
      <c r="B25145" t="s">
        <v>29246</v>
      </c>
      <c r="C25145">
        <v>0</v>
      </c>
      <c r="D25145">
        <v>0.98558068060600001</v>
      </c>
      <c r="E25145">
        <v>24</v>
      </c>
    </row>
    <row r="25146" spans="1:5">
      <c r="A25146" t="s">
        <v>29241</v>
      </c>
      <c r="B25146" t="s">
        <v>29247</v>
      </c>
      <c r="C25146">
        <f>0</f>
        <v>0</v>
      </c>
      <c r="D25146">
        <v>0.98558068060600001</v>
      </c>
      <c r="E25146">
        <v>24</v>
      </c>
    </row>
    <row r="25147" spans="1:5">
      <c r="A25147" t="s">
        <v>29241</v>
      </c>
      <c r="B25147" t="s">
        <v>29248</v>
      </c>
      <c r="C25147">
        <f>0</f>
        <v>0</v>
      </c>
      <c r="D25147">
        <v>0.98558068060600001</v>
      </c>
      <c r="E25147">
        <v>24</v>
      </c>
    </row>
    <row r="25148" spans="1:5">
      <c r="A25148" t="s">
        <v>29249</v>
      </c>
      <c r="B25148" t="s">
        <v>29250</v>
      </c>
      <c r="C25148">
        <f>0</f>
        <v>0</v>
      </c>
      <c r="D25148">
        <v>0.91587042538499996</v>
      </c>
      <c r="E25148">
        <v>9.3073463268365799</v>
      </c>
    </row>
    <row r="25149" spans="1:5">
      <c r="A25149" t="s">
        <v>29249</v>
      </c>
      <c r="B25149" t="s">
        <v>29251</v>
      </c>
      <c r="C25149">
        <v>0</v>
      </c>
      <c r="D25149">
        <v>0.91587042538499996</v>
      </c>
      <c r="E25149">
        <v>9.3073463268365799</v>
      </c>
    </row>
    <row r="25150" spans="1:5">
      <c r="A25150" t="s">
        <v>29249</v>
      </c>
      <c r="B25150" t="s">
        <v>29252</v>
      </c>
      <c r="C25150">
        <f>0.0745379934048</f>
        <v>7.4537993404799996E-2</v>
      </c>
      <c r="D25150">
        <v>0.91587042538499996</v>
      </c>
      <c r="E25150">
        <v>9.3073463268365799</v>
      </c>
    </row>
    <row r="25151" spans="1:5">
      <c r="A25151" t="s">
        <v>29249</v>
      </c>
      <c r="B25151" t="s">
        <v>29253</v>
      </c>
      <c r="C25151">
        <v>0</v>
      </c>
      <c r="D25151">
        <v>0.91587042538499996</v>
      </c>
      <c r="E25151">
        <v>9.3073463268365799</v>
      </c>
    </row>
    <row r="25152" spans="1:5">
      <c r="A25152" t="s">
        <v>29249</v>
      </c>
      <c r="B25152" t="s">
        <v>29254</v>
      </c>
      <c r="C25152">
        <v>9.4050005197599998E-2</v>
      </c>
      <c r="D25152">
        <v>0.91587042538499996</v>
      </c>
      <c r="E25152">
        <v>9.3073463268365799</v>
      </c>
    </row>
    <row r="25153" spans="1:5">
      <c r="A25153" t="s">
        <v>29249</v>
      </c>
      <c r="B25153" t="s">
        <v>29255</v>
      </c>
      <c r="C25153">
        <f>0</f>
        <v>0</v>
      </c>
      <c r="D25153">
        <v>0.91587042538499996</v>
      </c>
      <c r="E25153">
        <v>9.3073463268365799</v>
      </c>
    </row>
    <row r="25154" spans="1:5">
      <c r="A25154" t="s">
        <v>29249</v>
      </c>
      <c r="B25154" t="s">
        <v>29256</v>
      </c>
      <c r="C25154">
        <f>0</f>
        <v>0</v>
      </c>
      <c r="D25154">
        <v>0.91587042538499996</v>
      </c>
      <c r="E25154">
        <v>9.3073463268365799</v>
      </c>
    </row>
    <row r="25155" spans="1:5">
      <c r="A25155" t="s">
        <v>29249</v>
      </c>
      <c r="B25155" t="s">
        <v>29257</v>
      </c>
      <c r="C25155">
        <v>0</v>
      </c>
      <c r="D25155">
        <v>0.91587042538499996</v>
      </c>
      <c r="E25155">
        <v>9.3073463268365799</v>
      </c>
    </row>
    <row r="25156" spans="1:5">
      <c r="A25156" t="s">
        <v>29258</v>
      </c>
      <c r="B25156" t="s">
        <v>29259</v>
      </c>
      <c r="C25156">
        <v>0</v>
      </c>
      <c r="D25156">
        <v>0.99170349972100003</v>
      </c>
      <c r="E25156">
        <v>2.0269865067466202</v>
      </c>
    </row>
    <row r="25157" spans="1:5">
      <c r="A25157" t="s">
        <v>29258</v>
      </c>
      <c r="B25157" t="s">
        <v>29260</v>
      </c>
      <c r="C25157">
        <f>0.318194216418</f>
        <v>0.318194216418</v>
      </c>
      <c r="D25157">
        <v>0.99170349972100003</v>
      </c>
      <c r="E25157">
        <v>2.0269865067466202</v>
      </c>
    </row>
    <row r="25158" spans="1:5">
      <c r="A25158" t="s">
        <v>29258</v>
      </c>
      <c r="B25158" t="s">
        <v>29261</v>
      </c>
      <c r="C25158">
        <f>0.375650648358</f>
        <v>0.37565064835799999</v>
      </c>
      <c r="D25158">
        <v>0.99170349972100003</v>
      </c>
      <c r="E25158">
        <v>2.0269865067466202</v>
      </c>
    </row>
    <row r="25159" spans="1:5">
      <c r="A25159" t="s">
        <v>29262</v>
      </c>
      <c r="B25159" t="s">
        <v>29263</v>
      </c>
      <c r="C25159">
        <f>0</f>
        <v>0</v>
      </c>
      <c r="D25159">
        <v>0.97766687007399999</v>
      </c>
      <c r="E25159">
        <v>20.7376311844077</v>
      </c>
    </row>
    <row r="25160" spans="1:5">
      <c r="A25160" t="s">
        <v>29262</v>
      </c>
      <c r="B25160" t="s">
        <v>29264</v>
      </c>
      <c r="C25160">
        <v>0</v>
      </c>
      <c r="D25160">
        <v>0.97766687007399999</v>
      </c>
      <c r="E25160">
        <v>20.7376311844077</v>
      </c>
    </row>
    <row r="25161" spans="1:5">
      <c r="A25161" t="s">
        <v>29262</v>
      </c>
      <c r="B25161" t="s">
        <v>29265</v>
      </c>
      <c r="C25161">
        <v>0</v>
      </c>
      <c r="D25161">
        <v>0.97766687007399999</v>
      </c>
      <c r="E25161">
        <v>20.7376311844077</v>
      </c>
    </row>
    <row r="25162" spans="1:5">
      <c r="A25162" t="s">
        <v>29262</v>
      </c>
      <c r="B25162" t="s">
        <v>29266</v>
      </c>
      <c r="C25162">
        <v>0</v>
      </c>
      <c r="D25162">
        <v>0.97766687007399999</v>
      </c>
      <c r="E25162">
        <v>20.7376311844077</v>
      </c>
    </row>
    <row r="25163" spans="1:5">
      <c r="A25163" t="s">
        <v>29262</v>
      </c>
      <c r="B25163" t="s">
        <v>29267</v>
      </c>
      <c r="C25163">
        <f>0</f>
        <v>0</v>
      </c>
      <c r="D25163">
        <v>0.97766687007399999</v>
      </c>
      <c r="E25163">
        <v>20.7376311844077</v>
      </c>
    </row>
    <row r="25164" spans="1:5">
      <c r="A25164" t="s">
        <v>29262</v>
      </c>
      <c r="B25164" t="s">
        <v>29268</v>
      </c>
      <c r="C25164">
        <v>0.124157718542</v>
      </c>
      <c r="D25164">
        <v>0.97766687007399999</v>
      </c>
      <c r="E25164">
        <v>20.7376311844077</v>
      </c>
    </row>
    <row r="25165" spans="1:5">
      <c r="A25165" t="s">
        <v>29262</v>
      </c>
      <c r="B25165" t="s">
        <v>29269</v>
      </c>
      <c r="C25165">
        <f>0.0505415046046</f>
        <v>5.0541504604600003E-2</v>
      </c>
      <c r="D25165">
        <v>0.97766687007399999</v>
      </c>
      <c r="E25165">
        <v>20.7376311844077</v>
      </c>
    </row>
    <row r="25166" spans="1:5">
      <c r="A25166" t="s">
        <v>29262</v>
      </c>
      <c r="B25166" t="s">
        <v>29270</v>
      </c>
      <c r="C25166">
        <f>0</f>
        <v>0</v>
      </c>
      <c r="D25166">
        <v>0.97766687007399999</v>
      </c>
      <c r="E25166">
        <v>20.7376311844077</v>
      </c>
    </row>
    <row r="25167" spans="1:5">
      <c r="A25167" t="s">
        <v>29271</v>
      </c>
      <c r="B25167" t="s">
        <v>29272</v>
      </c>
      <c r="C25167">
        <v>6.1975022010399999E-4</v>
      </c>
      <c r="D25167">
        <v>0.97802874976599996</v>
      </c>
      <c r="E25167">
        <v>19.850074962518701</v>
      </c>
    </row>
    <row r="25168" spans="1:5">
      <c r="A25168" t="s">
        <v>29271</v>
      </c>
      <c r="B25168" t="s">
        <v>29273</v>
      </c>
      <c r="C25168">
        <v>0.150190326437</v>
      </c>
      <c r="D25168">
        <v>0.97802874976599996</v>
      </c>
      <c r="E25168">
        <v>19.850074962518701</v>
      </c>
    </row>
    <row r="25169" spans="1:5">
      <c r="A25169" t="s">
        <v>29271</v>
      </c>
      <c r="B25169" t="s">
        <v>29274</v>
      </c>
      <c r="C25169">
        <v>0</v>
      </c>
      <c r="D25169">
        <v>0.97802874976599996</v>
      </c>
      <c r="E25169">
        <v>19.850074962518701</v>
      </c>
    </row>
    <row r="25170" spans="1:5">
      <c r="A25170" t="s">
        <v>29271</v>
      </c>
      <c r="B25170" t="s">
        <v>29275</v>
      </c>
      <c r="C25170">
        <v>0</v>
      </c>
      <c r="D25170">
        <v>0.97802874976599996</v>
      </c>
      <c r="E25170">
        <v>19.850074962518701</v>
      </c>
    </row>
    <row r="25171" spans="1:5">
      <c r="A25171" t="s">
        <v>29276</v>
      </c>
      <c r="B25171" t="s">
        <v>29277</v>
      </c>
      <c r="C25171">
        <v>0.16983393184199999</v>
      </c>
      <c r="D25171">
        <v>0.54603378193800001</v>
      </c>
      <c r="E25171">
        <v>2.96251874062968</v>
      </c>
    </row>
    <row r="25172" spans="1:5">
      <c r="A25172" t="s">
        <v>29278</v>
      </c>
      <c r="B25172" t="s">
        <v>29279</v>
      </c>
      <c r="C25172">
        <v>0</v>
      </c>
      <c r="D25172">
        <v>0.99087183158900005</v>
      </c>
      <c r="E25172">
        <v>12.5577211394302</v>
      </c>
    </row>
    <row r="25173" spans="1:5">
      <c r="A25173" t="s">
        <v>29278</v>
      </c>
      <c r="B25173" t="s">
        <v>29280</v>
      </c>
      <c r="C25173">
        <f>0</f>
        <v>0</v>
      </c>
      <c r="D25173">
        <v>0.99087183158900005</v>
      </c>
      <c r="E25173">
        <v>12.5577211394302</v>
      </c>
    </row>
    <row r="25174" spans="1:5">
      <c r="A25174" t="s">
        <v>29278</v>
      </c>
      <c r="B25174" t="s">
        <v>29281</v>
      </c>
      <c r="C25174">
        <v>0.31675403248900003</v>
      </c>
      <c r="D25174">
        <v>0.99087183158900005</v>
      </c>
      <c r="E25174">
        <v>12.5577211394302</v>
      </c>
    </row>
    <row r="25175" spans="1:5">
      <c r="A25175" t="s">
        <v>29278</v>
      </c>
      <c r="B25175" t="s">
        <v>29282</v>
      </c>
      <c r="C25175">
        <v>0</v>
      </c>
      <c r="D25175">
        <v>0.99087183158900005</v>
      </c>
      <c r="E25175">
        <v>12.5577211394302</v>
      </c>
    </row>
    <row r="25176" spans="1:5">
      <c r="A25176" t="s">
        <v>29278</v>
      </c>
      <c r="B25176" t="s">
        <v>29283</v>
      </c>
      <c r="C25176">
        <f>0</f>
        <v>0</v>
      </c>
      <c r="D25176">
        <v>0.99087183158900005</v>
      </c>
      <c r="E25176">
        <v>12.5577211394302</v>
      </c>
    </row>
    <row r="25177" spans="1:5">
      <c r="A25177" t="s">
        <v>29278</v>
      </c>
      <c r="B25177" t="s">
        <v>29284</v>
      </c>
      <c r="C25177">
        <f>0</f>
        <v>0</v>
      </c>
      <c r="D25177">
        <v>0.99087183158900005</v>
      </c>
      <c r="E25177">
        <v>12.5577211394302</v>
      </c>
    </row>
    <row r="25178" spans="1:5">
      <c r="A25178" t="s">
        <v>29285</v>
      </c>
      <c r="B25178" t="s">
        <v>29286</v>
      </c>
      <c r="C25178">
        <v>0</v>
      </c>
      <c r="D25178">
        <v>0.58284143896499996</v>
      </c>
      <c r="E25178">
        <v>7.8680659670164896</v>
      </c>
    </row>
    <row r="25179" spans="1:5">
      <c r="A25179" t="s">
        <v>29285</v>
      </c>
      <c r="B25179" t="s">
        <v>29287</v>
      </c>
      <c r="C25179">
        <v>0</v>
      </c>
      <c r="D25179">
        <v>0.58284143896499996</v>
      </c>
      <c r="E25179">
        <v>7.8680659670164896</v>
      </c>
    </row>
    <row r="25180" spans="1:5">
      <c r="A25180" t="s">
        <v>29285</v>
      </c>
      <c r="B25180" t="s">
        <v>29288</v>
      </c>
      <c r="C25180">
        <v>0.108676772344</v>
      </c>
      <c r="D25180">
        <v>0.58284143896499996</v>
      </c>
      <c r="E25180">
        <v>7.8680659670164896</v>
      </c>
    </row>
    <row r="25181" spans="1:5">
      <c r="A25181" t="s">
        <v>29289</v>
      </c>
      <c r="B25181" t="s">
        <v>29290</v>
      </c>
      <c r="C25181">
        <v>0.10327552655</v>
      </c>
      <c r="D25181">
        <v>0.98729422407199996</v>
      </c>
      <c r="E25181">
        <v>12.3898050974512</v>
      </c>
    </row>
    <row r="25182" spans="1:5">
      <c r="A25182" t="s">
        <v>29289</v>
      </c>
      <c r="B25182" t="s">
        <v>29291</v>
      </c>
      <c r="C25182">
        <v>0</v>
      </c>
      <c r="D25182">
        <v>0.98729422407199996</v>
      </c>
      <c r="E25182">
        <v>12.3898050974512</v>
      </c>
    </row>
    <row r="25183" spans="1:5">
      <c r="A25183" t="s">
        <v>29289</v>
      </c>
      <c r="B25183" t="s">
        <v>29292</v>
      </c>
      <c r="C25183">
        <f>0</f>
        <v>0</v>
      </c>
      <c r="D25183">
        <v>0.98729422407199996</v>
      </c>
      <c r="E25183">
        <v>12.3898050974512</v>
      </c>
    </row>
    <row r="25184" spans="1:5">
      <c r="A25184" t="s">
        <v>29289</v>
      </c>
      <c r="B25184" t="s">
        <v>29293</v>
      </c>
      <c r="C25184">
        <v>0</v>
      </c>
      <c r="D25184">
        <v>0.98729422407199996</v>
      </c>
      <c r="E25184">
        <v>12.3898050974512</v>
      </c>
    </row>
    <row r="25185" spans="1:5">
      <c r="A25185" t="s">
        <v>29289</v>
      </c>
      <c r="B25185" t="s">
        <v>29294</v>
      </c>
      <c r="C25185">
        <v>0</v>
      </c>
      <c r="D25185">
        <v>0.98729422407199996</v>
      </c>
      <c r="E25185">
        <v>12.3898050974512</v>
      </c>
    </row>
    <row r="25186" spans="1:5">
      <c r="A25186" t="s">
        <v>29289</v>
      </c>
      <c r="B25186" t="s">
        <v>29295</v>
      </c>
      <c r="C25186">
        <v>0</v>
      </c>
      <c r="D25186">
        <v>0.98729422407199996</v>
      </c>
      <c r="E25186">
        <v>12.3898050974512</v>
      </c>
    </row>
    <row r="25187" spans="1:5">
      <c r="A25187" t="s">
        <v>29289</v>
      </c>
      <c r="B25187" t="s">
        <v>29296</v>
      </c>
      <c r="C25187">
        <v>0</v>
      </c>
      <c r="D25187">
        <v>0.98729422407199996</v>
      </c>
      <c r="E25187">
        <v>12.3898050974512</v>
      </c>
    </row>
    <row r="25188" spans="1:5">
      <c r="A25188" t="s">
        <v>29289</v>
      </c>
      <c r="B25188" t="s">
        <v>29297</v>
      </c>
      <c r="C25188">
        <v>0</v>
      </c>
      <c r="D25188">
        <v>0.98729422407199996</v>
      </c>
      <c r="E25188">
        <v>12.3898050974512</v>
      </c>
    </row>
    <row r="25189" spans="1:5">
      <c r="A25189" t="s">
        <v>29289</v>
      </c>
      <c r="B25189" t="s">
        <v>29298</v>
      </c>
      <c r="C25189">
        <v>0.36508847324999999</v>
      </c>
      <c r="D25189">
        <v>0.98729422407199996</v>
      </c>
      <c r="E25189">
        <v>12.3898050974512</v>
      </c>
    </row>
    <row r="25190" spans="1:5">
      <c r="A25190" t="s">
        <v>29299</v>
      </c>
      <c r="B25190" t="s">
        <v>29300</v>
      </c>
      <c r="C25190">
        <v>0.48413329879200001</v>
      </c>
      <c r="D25190">
        <v>0.80549039053399996</v>
      </c>
      <c r="E25190">
        <v>7.3283358320839502</v>
      </c>
    </row>
    <row r="25191" spans="1:5">
      <c r="A25191" t="s">
        <v>29299</v>
      </c>
      <c r="B25191" t="s">
        <v>29301</v>
      </c>
      <c r="C25191">
        <f>0.0531999926101</f>
        <v>5.31999926101E-2</v>
      </c>
      <c r="D25191">
        <v>0.80549039053399996</v>
      </c>
      <c r="E25191">
        <v>7.3283358320839502</v>
      </c>
    </row>
    <row r="25192" spans="1:5">
      <c r="A25192" t="s">
        <v>29302</v>
      </c>
      <c r="B25192" t="s">
        <v>29303</v>
      </c>
      <c r="C25192">
        <f>0</f>
        <v>0</v>
      </c>
      <c r="D25192">
        <v>0.87401957195900004</v>
      </c>
      <c r="E25192">
        <v>24</v>
      </c>
    </row>
    <row r="25193" spans="1:5">
      <c r="A25193" t="s">
        <v>29302</v>
      </c>
      <c r="B25193" t="s">
        <v>29304</v>
      </c>
      <c r="C25193">
        <v>0</v>
      </c>
      <c r="D25193">
        <v>0.87401957195900004</v>
      </c>
      <c r="E25193">
        <v>24</v>
      </c>
    </row>
    <row r="25194" spans="1:5">
      <c r="A25194" t="s">
        <v>29302</v>
      </c>
      <c r="B25194" t="s">
        <v>29305</v>
      </c>
      <c r="C25194">
        <v>1.8711287193200001E-2</v>
      </c>
      <c r="D25194">
        <v>0.87401957195900004</v>
      </c>
      <c r="E25194">
        <v>24</v>
      </c>
    </row>
    <row r="25195" spans="1:5">
      <c r="A25195" t="s">
        <v>29302</v>
      </c>
      <c r="B25195" t="s">
        <v>29306</v>
      </c>
      <c r="C25195">
        <v>0</v>
      </c>
      <c r="D25195">
        <v>0.87401957195900004</v>
      </c>
      <c r="E25195">
        <v>24</v>
      </c>
    </row>
    <row r="25196" spans="1:5">
      <c r="A25196" t="s">
        <v>29302</v>
      </c>
      <c r="B25196" t="s">
        <v>29307</v>
      </c>
      <c r="C25196">
        <v>0.14004053553000001</v>
      </c>
      <c r="D25196">
        <v>0.87401957195900004</v>
      </c>
      <c r="E25196">
        <v>24</v>
      </c>
    </row>
    <row r="25197" spans="1:5">
      <c r="A25197" t="s">
        <v>29302</v>
      </c>
      <c r="B25197" t="s">
        <v>29308</v>
      </c>
      <c r="C25197">
        <f>0</f>
        <v>0</v>
      </c>
      <c r="D25197">
        <v>0.87401957195900004</v>
      </c>
      <c r="E25197">
        <v>24</v>
      </c>
    </row>
    <row r="25198" spans="1:5">
      <c r="A25198" t="s">
        <v>29309</v>
      </c>
      <c r="B25198" t="s">
        <v>29310</v>
      </c>
      <c r="C25198">
        <f>0.190941070268</f>
        <v>0.190941070268</v>
      </c>
      <c r="D25198">
        <v>0.99713356404499998</v>
      </c>
      <c r="E25198">
        <v>0.107946026986506</v>
      </c>
    </row>
    <row r="25199" spans="1:5">
      <c r="A25199" t="s">
        <v>29309</v>
      </c>
      <c r="B25199" t="s">
        <v>29311</v>
      </c>
      <c r="C25199">
        <v>0</v>
      </c>
      <c r="D25199">
        <v>0.99713356404499998</v>
      </c>
      <c r="E25199">
        <v>0.107946026986506</v>
      </c>
    </row>
    <row r="25200" spans="1:5">
      <c r="A25200" t="s">
        <v>29309</v>
      </c>
      <c r="B25200" t="s">
        <v>29312</v>
      </c>
      <c r="C25200">
        <f>0</f>
        <v>0</v>
      </c>
      <c r="D25200">
        <v>0.99713356404499998</v>
      </c>
      <c r="E25200">
        <v>0.107946026986506</v>
      </c>
    </row>
    <row r="25201" spans="1:5">
      <c r="A25201" t="s">
        <v>29309</v>
      </c>
      <c r="B25201" t="s">
        <v>29313</v>
      </c>
      <c r="C25201">
        <v>0.90367472224599998</v>
      </c>
      <c r="D25201">
        <v>0.99713356404499998</v>
      </c>
      <c r="E25201">
        <v>0.107946026986506</v>
      </c>
    </row>
    <row r="25202" spans="1:5">
      <c r="A25202" t="s">
        <v>29309</v>
      </c>
      <c r="B25202" t="s">
        <v>29314</v>
      </c>
      <c r="C25202">
        <v>0</v>
      </c>
      <c r="D25202">
        <v>0.99713356404499998</v>
      </c>
      <c r="E25202">
        <v>0.107946026986506</v>
      </c>
    </row>
    <row r="25203" spans="1:5">
      <c r="A25203" t="s">
        <v>29309</v>
      </c>
      <c r="B25203" t="s">
        <v>29315</v>
      </c>
      <c r="C25203">
        <v>0</v>
      </c>
      <c r="D25203">
        <v>0.99713356404499998</v>
      </c>
      <c r="E25203">
        <v>0.107946026986506</v>
      </c>
    </row>
    <row r="25204" spans="1:5">
      <c r="A25204" t="s">
        <v>29309</v>
      </c>
      <c r="B25204" t="s">
        <v>29316</v>
      </c>
      <c r="C25204">
        <f>0</f>
        <v>0</v>
      </c>
      <c r="D25204">
        <v>0.99713356404499998</v>
      </c>
      <c r="E25204">
        <v>0.107946026986506</v>
      </c>
    </row>
    <row r="25205" spans="1:5">
      <c r="A25205" t="s">
        <v>29317</v>
      </c>
      <c r="B25205" t="s">
        <v>29318</v>
      </c>
      <c r="C25205">
        <v>0</v>
      </c>
      <c r="D25205" t="s">
        <v>106</v>
      </c>
      <c r="E25205">
        <v>12.7376311844077</v>
      </c>
    </row>
    <row r="25206" spans="1:5">
      <c r="A25206" t="s">
        <v>29317</v>
      </c>
      <c r="B25206" t="s">
        <v>29319</v>
      </c>
      <c r="C25206">
        <v>0</v>
      </c>
      <c r="D25206" t="s">
        <v>106</v>
      </c>
      <c r="E25206">
        <v>12.7376311844077</v>
      </c>
    </row>
    <row r="25207" spans="1:5">
      <c r="A25207" t="s">
        <v>29317</v>
      </c>
      <c r="B25207" t="s">
        <v>29320</v>
      </c>
      <c r="C25207">
        <v>0</v>
      </c>
      <c r="D25207" t="s">
        <v>106</v>
      </c>
      <c r="E25207">
        <v>12.7376311844077</v>
      </c>
    </row>
    <row r="25208" spans="1:5">
      <c r="A25208" t="s">
        <v>29317</v>
      </c>
      <c r="B25208" t="s">
        <v>29321</v>
      </c>
      <c r="C25208">
        <v>0</v>
      </c>
      <c r="D25208" t="s">
        <v>106</v>
      </c>
      <c r="E25208">
        <v>12.7376311844077</v>
      </c>
    </row>
    <row r="25209" spans="1:5">
      <c r="A25209" t="s">
        <v>29317</v>
      </c>
      <c r="B25209" t="s">
        <v>29322</v>
      </c>
      <c r="C25209">
        <v>0</v>
      </c>
      <c r="D25209" t="s">
        <v>106</v>
      </c>
      <c r="E25209">
        <v>12.7376311844077</v>
      </c>
    </row>
    <row r="25210" spans="1:5">
      <c r="A25210" t="s">
        <v>29317</v>
      </c>
      <c r="B25210" t="s">
        <v>29323</v>
      </c>
      <c r="C25210">
        <v>0</v>
      </c>
      <c r="D25210" t="s">
        <v>106</v>
      </c>
      <c r="E25210">
        <v>12.7376311844077</v>
      </c>
    </row>
    <row r="25211" spans="1:5">
      <c r="A25211" t="s">
        <v>29317</v>
      </c>
      <c r="B25211" t="s">
        <v>29324</v>
      </c>
      <c r="C25211">
        <f>0</f>
        <v>0</v>
      </c>
      <c r="D25211" t="s">
        <v>106</v>
      </c>
      <c r="E25211">
        <v>12.7376311844077</v>
      </c>
    </row>
    <row r="25212" spans="1:5">
      <c r="A25212" t="s">
        <v>29317</v>
      </c>
      <c r="B25212" t="s">
        <v>29325</v>
      </c>
      <c r="C25212">
        <f>0</f>
        <v>0</v>
      </c>
      <c r="D25212" t="s">
        <v>106</v>
      </c>
      <c r="E25212">
        <v>12.7376311844077</v>
      </c>
    </row>
    <row r="25213" spans="1:5">
      <c r="A25213" t="s">
        <v>29317</v>
      </c>
      <c r="B25213" t="s">
        <v>29326</v>
      </c>
      <c r="C25213">
        <v>0</v>
      </c>
      <c r="D25213" t="s">
        <v>106</v>
      </c>
      <c r="E25213">
        <v>12.7376311844077</v>
      </c>
    </row>
    <row r="25214" spans="1:5">
      <c r="A25214" t="s">
        <v>29317</v>
      </c>
      <c r="B25214" t="s">
        <v>29327</v>
      </c>
      <c r="C25214">
        <v>0</v>
      </c>
      <c r="D25214" t="s">
        <v>106</v>
      </c>
      <c r="E25214">
        <v>12.7376311844077</v>
      </c>
    </row>
    <row r="25215" spans="1:5">
      <c r="A25215" t="s">
        <v>29317</v>
      </c>
      <c r="B25215" t="s">
        <v>29328</v>
      </c>
      <c r="C25215">
        <v>0</v>
      </c>
      <c r="D25215" t="s">
        <v>106</v>
      </c>
      <c r="E25215">
        <v>12.7376311844077</v>
      </c>
    </row>
    <row r="25216" spans="1:5">
      <c r="A25216" t="s">
        <v>29317</v>
      </c>
      <c r="B25216" t="s">
        <v>29329</v>
      </c>
      <c r="C25216">
        <v>0</v>
      </c>
      <c r="D25216" t="s">
        <v>106</v>
      </c>
      <c r="E25216">
        <v>12.7376311844077</v>
      </c>
    </row>
    <row r="25217" spans="1:5">
      <c r="A25217" t="s">
        <v>29317</v>
      </c>
      <c r="B25217" t="s">
        <v>29330</v>
      </c>
      <c r="C25217">
        <v>0</v>
      </c>
      <c r="D25217" t="s">
        <v>106</v>
      </c>
      <c r="E25217">
        <v>12.7376311844077</v>
      </c>
    </row>
    <row r="25218" spans="1:5">
      <c r="A25218" t="s">
        <v>29317</v>
      </c>
      <c r="B25218" t="s">
        <v>29331</v>
      </c>
      <c r="C25218">
        <v>0</v>
      </c>
      <c r="D25218" t="s">
        <v>106</v>
      </c>
      <c r="E25218">
        <v>12.7376311844077</v>
      </c>
    </row>
    <row r="25219" spans="1:5">
      <c r="A25219" t="s">
        <v>29332</v>
      </c>
      <c r="B25219" t="s">
        <v>29333</v>
      </c>
      <c r="C25219">
        <v>0</v>
      </c>
      <c r="D25219" t="s">
        <v>106</v>
      </c>
      <c r="E25219">
        <v>11.7061469265367</v>
      </c>
    </row>
    <row r="25220" spans="1:5">
      <c r="A25220" t="s">
        <v>29332</v>
      </c>
      <c r="B25220" t="s">
        <v>29334</v>
      </c>
      <c r="C25220">
        <v>0</v>
      </c>
      <c r="D25220" t="s">
        <v>106</v>
      </c>
      <c r="E25220">
        <v>11.7061469265367</v>
      </c>
    </row>
    <row r="25221" spans="1:5">
      <c r="A25221" t="s">
        <v>29332</v>
      </c>
      <c r="B25221" t="s">
        <v>29335</v>
      </c>
      <c r="C25221">
        <f>0</f>
        <v>0</v>
      </c>
      <c r="D25221" t="s">
        <v>106</v>
      </c>
      <c r="E25221">
        <v>11.7061469265367</v>
      </c>
    </row>
    <row r="25222" spans="1:5">
      <c r="A25222" t="s">
        <v>29332</v>
      </c>
      <c r="B25222" t="s">
        <v>29336</v>
      </c>
      <c r="C25222">
        <f>0</f>
        <v>0</v>
      </c>
      <c r="D25222" t="s">
        <v>106</v>
      </c>
      <c r="E25222">
        <v>11.7061469265367</v>
      </c>
    </row>
    <row r="25223" spans="1:5">
      <c r="A25223" t="s">
        <v>29332</v>
      </c>
      <c r="B25223" t="s">
        <v>29337</v>
      </c>
      <c r="C25223">
        <v>0</v>
      </c>
      <c r="D25223" t="s">
        <v>106</v>
      </c>
      <c r="E25223">
        <v>11.7061469265367</v>
      </c>
    </row>
    <row r="25224" spans="1:5">
      <c r="A25224" t="s">
        <v>29332</v>
      </c>
      <c r="B25224" t="s">
        <v>29338</v>
      </c>
      <c r="C25224">
        <v>0</v>
      </c>
      <c r="D25224" t="s">
        <v>106</v>
      </c>
      <c r="E25224">
        <v>11.7061469265367</v>
      </c>
    </row>
    <row r="25225" spans="1:5">
      <c r="A25225" t="s">
        <v>29332</v>
      </c>
      <c r="B25225" t="s">
        <v>29339</v>
      </c>
      <c r="C25225">
        <v>0</v>
      </c>
      <c r="D25225" t="s">
        <v>106</v>
      </c>
      <c r="E25225">
        <v>11.7061469265367</v>
      </c>
    </row>
    <row r="25226" spans="1:5">
      <c r="A25226" t="s">
        <v>29340</v>
      </c>
      <c r="B25226" t="s">
        <v>29341</v>
      </c>
      <c r="C25226">
        <f>0</f>
        <v>0</v>
      </c>
      <c r="D25226" t="s">
        <v>106</v>
      </c>
      <c r="E25226">
        <v>5.8170914542728598</v>
      </c>
    </row>
    <row r="25227" spans="1:5">
      <c r="A25227" t="s">
        <v>29340</v>
      </c>
      <c r="B25227" t="s">
        <v>29342</v>
      </c>
      <c r="C25227">
        <v>0</v>
      </c>
      <c r="D25227" t="s">
        <v>106</v>
      </c>
      <c r="E25227">
        <v>5.8170914542728598</v>
      </c>
    </row>
    <row r="25228" spans="1:5">
      <c r="A25228" t="s">
        <v>29340</v>
      </c>
      <c r="B25228" t="s">
        <v>29343</v>
      </c>
      <c r="C25228">
        <v>0</v>
      </c>
      <c r="D25228" t="s">
        <v>106</v>
      </c>
      <c r="E25228">
        <v>5.8170914542728598</v>
      </c>
    </row>
    <row r="25229" spans="1:5">
      <c r="A25229" t="s">
        <v>29344</v>
      </c>
      <c r="B25229" t="s">
        <v>29345</v>
      </c>
      <c r="C25229">
        <v>0</v>
      </c>
      <c r="D25229" t="s">
        <v>106</v>
      </c>
      <c r="E25229">
        <v>18.770614692653599</v>
      </c>
    </row>
    <row r="25230" spans="1:5">
      <c r="A25230" t="s">
        <v>29344</v>
      </c>
      <c r="B25230" t="s">
        <v>29346</v>
      </c>
      <c r="C25230">
        <v>0</v>
      </c>
      <c r="D25230" t="s">
        <v>106</v>
      </c>
      <c r="E25230">
        <v>18.770614692653599</v>
      </c>
    </row>
    <row r="25231" spans="1:5">
      <c r="A25231" t="s">
        <v>29344</v>
      </c>
      <c r="B25231" t="s">
        <v>29347</v>
      </c>
      <c r="C25231">
        <f>0</f>
        <v>0</v>
      </c>
      <c r="D25231" t="s">
        <v>106</v>
      </c>
      <c r="E25231">
        <v>18.770614692653599</v>
      </c>
    </row>
    <row r="25232" spans="1:5">
      <c r="A25232" t="s">
        <v>29344</v>
      </c>
      <c r="B25232" t="s">
        <v>29348</v>
      </c>
      <c r="C25232">
        <v>0</v>
      </c>
      <c r="D25232" t="s">
        <v>106</v>
      </c>
      <c r="E25232">
        <v>18.770614692653599</v>
      </c>
    </row>
    <row r="25233" spans="1:5">
      <c r="A25233" t="s">
        <v>29344</v>
      </c>
      <c r="B25233" t="s">
        <v>29349</v>
      </c>
      <c r="C25233">
        <v>0</v>
      </c>
      <c r="D25233" t="s">
        <v>106</v>
      </c>
      <c r="E25233">
        <v>18.770614692653599</v>
      </c>
    </row>
    <row r="25234" spans="1:5">
      <c r="A25234" t="s">
        <v>29344</v>
      </c>
      <c r="B25234" t="s">
        <v>29350</v>
      </c>
      <c r="C25234">
        <v>0</v>
      </c>
      <c r="D25234" t="s">
        <v>106</v>
      </c>
      <c r="E25234">
        <v>18.770614692653599</v>
      </c>
    </row>
    <row r="25235" spans="1:5">
      <c r="A25235" t="s">
        <v>29344</v>
      </c>
      <c r="B25235" t="s">
        <v>29351</v>
      </c>
      <c r="C25235">
        <v>0</v>
      </c>
      <c r="D25235" t="s">
        <v>106</v>
      </c>
      <c r="E25235">
        <v>18.770614692653599</v>
      </c>
    </row>
    <row r="25236" spans="1:5">
      <c r="A25236" t="s">
        <v>29352</v>
      </c>
      <c r="B25236" t="s">
        <v>29353</v>
      </c>
      <c r="C25236">
        <f>0.381336240801</f>
        <v>0.38133624080099998</v>
      </c>
      <c r="D25236">
        <v>0.92112433094299995</v>
      </c>
      <c r="E25236">
        <v>1.51124437781109</v>
      </c>
    </row>
    <row r="25237" spans="1:5">
      <c r="A25237" t="s">
        <v>29354</v>
      </c>
      <c r="B25237" t="s">
        <v>29355</v>
      </c>
      <c r="C25237">
        <f>0.0323921289444</f>
        <v>3.2392128944400002E-2</v>
      </c>
      <c r="D25237">
        <v>0.59023613773899997</v>
      </c>
      <c r="E25237">
        <v>7.1964017991004496</v>
      </c>
    </row>
    <row r="25238" spans="1:5">
      <c r="A25238" t="s">
        <v>29354</v>
      </c>
      <c r="B25238" t="s">
        <v>29356</v>
      </c>
      <c r="C25238">
        <f>0</f>
        <v>0</v>
      </c>
      <c r="D25238">
        <v>0.59023613773899997</v>
      </c>
      <c r="E25238">
        <v>7.1964017991004496</v>
      </c>
    </row>
    <row r="25239" spans="1:5">
      <c r="A25239" t="s">
        <v>29357</v>
      </c>
      <c r="B25239" t="s">
        <v>29358</v>
      </c>
      <c r="C25239">
        <v>0</v>
      </c>
      <c r="D25239">
        <v>0.90432851971600003</v>
      </c>
      <c r="E25239">
        <v>0.77961019490254801</v>
      </c>
    </row>
    <row r="25240" spans="1:5">
      <c r="A25240" t="s">
        <v>29357</v>
      </c>
      <c r="B25240" t="s">
        <v>29359</v>
      </c>
      <c r="C25240">
        <f>0.767174618536</f>
        <v>0.767174618536</v>
      </c>
      <c r="D25240">
        <v>0.90432851971600003</v>
      </c>
      <c r="E25240">
        <v>0.77961019490254801</v>
      </c>
    </row>
    <row r="25241" spans="1:5">
      <c r="A25241" t="s">
        <v>29360</v>
      </c>
      <c r="B25241" t="s">
        <v>29361</v>
      </c>
      <c r="C25241">
        <f>0</f>
        <v>0</v>
      </c>
      <c r="D25241">
        <v>0.65246221303700003</v>
      </c>
      <c r="E25241">
        <v>24</v>
      </c>
    </row>
    <row r="25242" spans="1:5">
      <c r="A25242" t="s">
        <v>29360</v>
      </c>
      <c r="B25242" t="s">
        <v>29362</v>
      </c>
      <c r="C25242">
        <f>0</f>
        <v>0</v>
      </c>
      <c r="D25242">
        <v>0.65246221303700003</v>
      </c>
      <c r="E25242">
        <v>24</v>
      </c>
    </row>
    <row r="25243" spans="1:5">
      <c r="A25243" t="s">
        <v>29360</v>
      </c>
      <c r="B25243" t="s">
        <v>29363</v>
      </c>
      <c r="C25243">
        <f>0</f>
        <v>0</v>
      </c>
      <c r="D25243">
        <v>0.65246221303700003</v>
      </c>
      <c r="E25243">
        <v>24</v>
      </c>
    </row>
    <row r="25244" spans="1:5">
      <c r="A25244" t="s">
        <v>29360</v>
      </c>
      <c r="B25244" t="s">
        <v>29364</v>
      </c>
      <c r="C25244">
        <f>0</f>
        <v>0</v>
      </c>
      <c r="D25244">
        <v>0.65246221303700003</v>
      </c>
      <c r="E25244">
        <v>24</v>
      </c>
    </row>
    <row r="25245" spans="1:5">
      <c r="A25245" t="s">
        <v>29360</v>
      </c>
      <c r="B25245" t="s">
        <v>29365</v>
      </c>
      <c r="C25245">
        <f>0.0109842545824</f>
        <v>1.09842545824E-2</v>
      </c>
      <c r="D25245">
        <v>0.65246221303700003</v>
      </c>
      <c r="E25245">
        <v>24</v>
      </c>
    </row>
    <row r="25246" spans="1:5">
      <c r="A25246" t="s">
        <v>29360</v>
      </c>
      <c r="B25246" t="s">
        <v>29366</v>
      </c>
      <c r="C25246">
        <v>0</v>
      </c>
      <c r="D25246">
        <v>0.65246221303700003</v>
      </c>
      <c r="E25246">
        <v>24</v>
      </c>
    </row>
    <row r="25247" spans="1:5">
      <c r="A25247" t="s">
        <v>29360</v>
      </c>
      <c r="B25247" t="s">
        <v>29367</v>
      </c>
      <c r="C25247">
        <v>0</v>
      </c>
      <c r="D25247">
        <v>0.65246221303700003</v>
      </c>
      <c r="E25247">
        <v>24</v>
      </c>
    </row>
    <row r="25248" spans="1:5">
      <c r="A25248" t="s">
        <v>29360</v>
      </c>
      <c r="B25248" t="s">
        <v>29368</v>
      </c>
      <c r="C25248">
        <f>0</f>
        <v>0</v>
      </c>
      <c r="D25248">
        <v>0.65246221303700003</v>
      </c>
      <c r="E25248">
        <v>24</v>
      </c>
    </row>
    <row r="25249" spans="1:5">
      <c r="A25249" t="s">
        <v>29360</v>
      </c>
      <c r="B25249" t="s">
        <v>29369</v>
      </c>
      <c r="C25249">
        <f>0</f>
        <v>0</v>
      </c>
      <c r="D25249">
        <v>0.65246221303700003</v>
      </c>
      <c r="E25249">
        <v>24</v>
      </c>
    </row>
    <row r="25250" spans="1:5">
      <c r="A25250" t="s">
        <v>29360</v>
      </c>
      <c r="B25250" t="s">
        <v>29370</v>
      </c>
      <c r="C25250">
        <v>0</v>
      </c>
      <c r="D25250">
        <v>0.65246221303700003</v>
      </c>
      <c r="E25250">
        <v>24</v>
      </c>
    </row>
    <row r="25251" spans="1:5">
      <c r="A25251" t="s">
        <v>29360</v>
      </c>
      <c r="B25251" t="s">
        <v>29371</v>
      </c>
      <c r="C25251">
        <f>0</f>
        <v>0</v>
      </c>
      <c r="D25251">
        <v>0.65246221303700003</v>
      </c>
      <c r="E25251">
        <v>24</v>
      </c>
    </row>
    <row r="25252" spans="1:5">
      <c r="A25252" t="s">
        <v>29360</v>
      </c>
      <c r="B25252" t="s">
        <v>29372</v>
      </c>
      <c r="C25252">
        <v>0</v>
      </c>
      <c r="D25252">
        <v>0.65246221303700003</v>
      </c>
      <c r="E25252">
        <v>24</v>
      </c>
    </row>
    <row r="25253" spans="1:5">
      <c r="A25253" t="s">
        <v>29360</v>
      </c>
      <c r="B25253" t="s">
        <v>29373</v>
      </c>
      <c r="C25253">
        <v>0</v>
      </c>
      <c r="D25253">
        <v>0.65246221303700003</v>
      </c>
      <c r="E25253">
        <v>24</v>
      </c>
    </row>
    <row r="25254" spans="1:5">
      <c r="A25254" t="s">
        <v>29360</v>
      </c>
      <c r="B25254" t="s">
        <v>29374</v>
      </c>
      <c r="C25254">
        <f>0</f>
        <v>0</v>
      </c>
      <c r="D25254">
        <v>0.65246221303700003</v>
      </c>
      <c r="E25254">
        <v>24</v>
      </c>
    </row>
    <row r="25255" spans="1:5">
      <c r="A25255" t="s">
        <v>29360</v>
      </c>
      <c r="B25255" t="s">
        <v>29375</v>
      </c>
      <c r="C25255">
        <v>0</v>
      </c>
      <c r="D25255">
        <v>0.65246221303700003</v>
      </c>
      <c r="E25255">
        <v>24</v>
      </c>
    </row>
    <row r="25256" spans="1:5">
      <c r="A25256" t="s">
        <v>29376</v>
      </c>
      <c r="B25256" t="s">
        <v>29377</v>
      </c>
      <c r="C25256">
        <f>0</f>
        <v>0</v>
      </c>
      <c r="D25256" t="s">
        <v>106</v>
      </c>
      <c r="E25256">
        <v>5.5772113943028403</v>
      </c>
    </row>
    <row r="25257" spans="1:5">
      <c r="A25257" t="s">
        <v>29376</v>
      </c>
      <c r="B25257" t="s">
        <v>29378</v>
      </c>
      <c r="C25257">
        <v>0</v>
      </c>
      <c r="D25257" t="s">
        <v>106</v>
      </c>
      <c r="E25257">
        <v>5.5772113943028403</v>
      </c>
    </row>
    <row r="25258" spans="1:5">
      <c r="A25258" t="s">
        <v>29376</v>
      </c>
      <c r="B25258" t="s">
        <v>29379</v>
      </c>
      <c r="C25258">
        <f>0</f>
        <v>0</v>
      </c>
      <c r="D25258" t="s">
        <v>106</v>
      </c>
      <c r="E25258">
        <v>5.5772113943028403</v>
      </c>
    </row>
    <row r="25259" spans="1:5">
      <c r="A25259" t="s">
        <v>29376</v>
      </c>
      <c r="B25259" t="s">
        <v>29380</v>
      </c>
      <c r="C25259">
        <v>0</v>
      </c>
      <c r="D25259" t="s">
        <v>106</v>
      </c>
      <c r="E25259">
        <v>5.5772113943028403</v>
      </c>
    </row>
    <row r="25260" spans="1:5">
      <c r="A25260" t="s">
        <v>29376</v>
      </c>
      <c r="B25260" t="s">
        <v>29381</v>
      </c>
      <c r="C25260">
        <f>0</f>
        <v>0</v>
      </c>
      <c r="D25260" t="s">
        <v>106</v>
      </c>
      <c r="E25260">
        <v>5.5772113943028403</v>
      </c>
    </row>
    <row r="25261" spans="1:5">
      <c r="A25261" t="s">
        <v>29376</v>
      </c>
      <c r="B25261" t="s">
        <v>29382</v>
      </c>
      <c r="C25261">
        <v>0</v>
      </c>
      <c r="D25261" t="s">
        <v>106</v>
      </c>
      <c r="E25261">
        <v>5.5772113943028403</v>
      </c>
    </row>
    <row r="25262" spans="1:5">
      <c r="A25262" t="s">
        <v>29376</v>
      </c>
      <c r="B25262" t="s">
        <v>29383</v>
      </c>
      <c r="C25262">
        <f>0</f>
        <v>0</v>
      </c>
      <c r="D25262" t="s">
        <v>106</v>
      </c>
      <c r="E25262">
        <v>5.5772113943028403</v>
      </c>
    </row>
    <row r="25263" spans="1:5">
      <c r="A25263" t="s">
        <v>29376</v>
      </c>
      <c r="B25263" t="s">
        <v>29384</v>
      </c>
      <c r="C25263">
        <v>0</v>
      </c>
      <c r="D25263" t="s">
        <v>106</v>
      </c>
      <c r="E25263">
        <v>5.5772113943028403</v>
      </c>
    </row>
    <row r="25264" spans="1:5">
      <c r="A25264" t="s">
        <v>29376</v>
      </c>
      <c r="B25264" t="s">
        <v>29385</v>
      </c>
      <c r="C25264">
        <v>0</v>
      </c>
      <c r="D25264" t="s">
        <v>106</v>
      </c>
      <c r="E25264">
        <v>5.5772113943028403</v>
      </c>
    </row>
    <row r="25265" spans="1:5">
      <c r="A25265" t="s">
        <v>29376</v>
      </c>
      <c r="B25265" t="s">
        <v>29386</v>
      </c>
      <c r="C25265">
        <f>0</f>
        <v>0</v>
      </c>
      <c r="D25265" t="s">
        <v>106</v>
      </c>
      <c r="E25265">
        <v>5.5772113943028403</v>
      </c>
    </row>
    <row r="25266" spans="1:5">
      <c r="A25266" t="s">
        <v>29376</v>
      </c>
      <c r="B25266" t="s">
        <v>29387</v>
      </c>
      <c r="C25266">
        <f>0</f>
        <v>0</v>
      </c>
      <c r="D25266" t="s">
        <v>106</v>
      </c>
      <c r="E25266">
        <v>5.5772113943028403</v>
      </c>
    </row>
    <row r="25267" spans="1:5">
      <c r="A25267" t="s">
        <v>29376</v>
      </c>
      <c r="B25267" t="s">
        <v>29388</v>
      </c>
      <c r="C25267">
        <f>0</f>
        <v>0</v>
      </c>
      <c r="D25267" t="s">
        <v>106</v>
      </c>
      <c r="E25267">
        <v>5.5772113943028403</v>
      </c>
    </row>
    <row r="25268" spans="1:5">
      <c r="A25268" t="s">
        <v>29376</v>
      </c>
      <c r="B25268" t="s">
        <v>29389</v>
      </c>
      <c r="C25268">
        <v>0</v>
      </c>
      <c r="D25268" t="s">
        <v>106</v>
      </c>
      <c r="E25268">
        <v>5.5772113943028403</v>
      </c>
    </row>
    <row r="25269" spans="1:5">
      <c r="A25269" t="s">
        <v>29376</v>
      </c>
      <c r="B25269" t="s">
        <v>29390</v>
      </c>
      <c r="C25269">
        <v>0</v>
      </c>
      <c r="D25269" t="s">
        <v>106</v>
      </c>
      <c r="E25269">
        <v>5.5772113943028403</v>
      </c>
    </row>
    <row r="25270" spans="1:5">
      <c r="A25270" t="s">
        <v>29376</v>
      </c>
      <c r="B25270" t="s">
        <v>29391</v>
      </c>
      <c r="C25270">
        <f>0</f>
        <v>0</v>
      </c>
      <c r="D25270" t="s">
        <v>106</v>
      </c>
      <c r="E25270">
        <v>5.5772113943028403</v>
      </c>
    </row>
    <row r="25271" spans="1:5">
      <c r="A25271" t="s">
        <v>29376</v>
      </c>
      <c r="B25271" t="s">
        <v>29392</v>
      </c>
      <c r="C25271">
        <v>0</v>
      </c>
      <c r="D25271" t="s">
        <v>106</v>
      </c>
      <c r="E25271">
        <v>5.5772113943028403</v>
      </c>
    </row>
    <row r="25272" spans="1:5">
      <c r="A25272" t="s">
        <v>29376</v>
      </c>
      <c r="B25272" t="s">
        <v>29393</v>
      </c>
      <c r="C25272">
        <f>0</f>
        <v>0</v>
      </c>
      <c r="D25272" t="s">
        <v>106</v>
      </c>
      <c r="E25272">
        <v>5.5772113943028403</v>
      </c>
    </row>
    <row r="25273" spans="1:5">
      <c r="A25273" t="s">
        <v>29376</v>
      </c>
      <c r="B25273" t="s">
        <v>29394</v>
      </c>
      <c r="C25273">
        <f>0</f>
        <v>0</v>
      </c>
      <c r="D25273" t="s">
        <v>106</v>
      </c>
      <c r="E25273">
        <v>5.5772113943028403</v>
      </c>
    </row>
    <row r="25274" spans="1:5">
      <c r="A25274" t="s">
        <v>29376</v>
      </c>
      <c r="B25274" t="s">
        <v>29395</v>
      </c>
      <c r="C25274">
        <v>0</v>
      </c>
      <c r="D25274" t="s">
        <v>106</v>
      </c>
      <c r="E25274">
        <v>5.5772113943028403</v>
      </c>
    </row>
    <row r="25275" spans="1:5">
      <c r="A25275" t="s">
        <v>29376</v>
      </c>
      <c r="B25275" t="s">
        <v>29396</v>
      </c>
      <c r="C25275">
        <v>0</v>
      </c>
      <c r="D25275" t="s">
        <v>106</v>
      </c>
      <c r="E25275">
        <v>5.5772113943028403</v>
      </c>
    </row>
    <row r="25276" spans="1:5">
      <c r="A25276" t="s">
        <v>29376</v>
      </c>
      <c r="B25276" t="s">
        <v>29397</v>
      </c>
      <c r="C25276">
        <f>0</f>
        <v>0</v>
      </c>
      <c r="D25276" t="s">
        <v>106</v>
      </c>
      <c r="E25276">
        <v>5.5772113943028403</v>
      </c>
    </row>
    <row r="25277" spans="1:5">
      <c r="A25277" t="s">
        <v>29398</v>
      </c>
      <c r="B25277" t="s">
        <v>29399</v>
      </c>
      <c r="C25277">
        <v>0</v>
      </c>
      <c r="D25277">
        <v>0.65362590790599995</v>
      </c>
      <c r="E25277">
        <v>24</v>
      </c>
    </row>
    <row r="25278" spans="1:5">
      <c r="A25278" t="s">
        <v>29400</v>
      </c>
      <c r="B25278" t="s">
        <v>29401</v>
      </c>
      <c r="C25278">
        <v>0</v>
      </c>
      <c r="D25278">
        <v>0.95137605886900001</v>
      </c>
      <c r="E25278">
        <v>21.409295352323799</v>
      </c>
    </row>
    <row r="25279" spans="1:5">
      <c r="A25279" t="s">
        <v>29400</v>
      </c>
      <c r="B25279" t="s">
        <v>29402</v>
      </c>
      <c r="C25279">
        <f>0</f>
        <v>0</v>
      </c>
      <c r="D25279">
        <v>0.95137605886900001</v>
      </c>
      <c r="E25279">
        <v>21.409295352323799</v>
      </c>
    </row>
    <row r="25280" spans="1:5">
      <c r="A25280" t="s">
        <v>29400</v>
      </c>
      <c r="B25280" t="s">
        <v>29403</v>
      </c>
      <c r="C25280">
        <v>1.2880683641499999E-2</v>
      </c>
      <c r="D25280">
        <v>0.95137605886900001</v>
      </c>
      <c r="E25280">
        <v>21.409295352323799</v>
      </c>
    </row>
    <row r="25281" spans="1:5">
      <c r="A25281" t="s">
        <v>29400</v>
      </c>
      <c r="B25281" t="s">
        <v>29404</v>
      </c>
      <c r="C25281">
        <v>0</v>
      </c>
      <c r="D25281">
        <v>0.95137605886900001</v>
      </c>
      <c r="E25281">
        <v>21.409295352323799</v>
      </c>
    </row>
    <row r="25282" spans="1:5">
      <c r="A25282" t="s">
        <v>29400</v>
      </c>
      <c r="B25282" t="s">
        <v>29405</v>
      </c>
      <c r="C25282">
        <v>0</v>
      </c>
      <c r="D25282">
        <v>0.95137605886900001</v>
      </c>
      <c r="E25282">
        <v>21.409295352323799</v>
      </c>
    </row>
    <row r="25283" spans="1:5">
      <c r="A25283" t="s">
        <v>29400</v>
      </c>
      <c r="B25283" t="s">
        <v>29406</v>
      </c>
      <c r="C25283">
        <v>9.5314386446699997E-2</v>
      </c>
      <c r="D25283">
        <v>0.95137605886900001</v>
      </c>
      <c r="E25283">
        <v>21.409295352323799</v>
      </c>
    </row>
    <row r="25284" spans="1:5">
      <c r="A25284" t="s">
        <v>29400</v>
      </c>
      <c r="B25284" t="s">
        <v>29407</v>
      </c>
      <c r="C25284">
        <f>0</f>
        <v>0</v>
      </c>
      <c r="D25284">
        <v>0.95137605886900001</v>
      </c>
      <c r="E25284">
        <v>21.409295352323799</v>
      </c>
    </row>
    <row r="25285" spans="1:5">
      <c r="A25285" t="s">
        <v>29400</v>
      </c>
      <c r="B25285" t="s">
        <v>29408</v>
      </c>
      <c r="C25285">
        <f>0</f>
        <v>0</v>
      </c>
      <c r="D25285">
        <v>0.95137605886900001</v>
      </c>
      <c r="E25285">
        <v>21.409295352323799</v>
      </c>
    </row>
    <row r="25286" spans="1:5">
      <c r="A25286" t="s">
        <v>29409</v>
      </c>
      <c r="B25286" t="s">
        <v>29410</v>
      </c>
      <c r="C25286">
        <v>0</v>
      </c>
      <c r="D25286" t="s">
        <v>106</v>
      </c>
      <c r="E25286">
        <v>7.5922038980509701</v>
      </c>
    </row>
    <row r="25287" spans="1:5">
      <c r="A25287" t="s">
        <v>29409</v>
      </c>
      <c r="B25287" t="s">
        <v>29411</v>
      </c>
      <c r="C25287">
        <v>0</v>
      </c>
      <c r="D25287" t="s">
        <v>106</v>
      </c>
      <c r="E25287">
        <v>7.5922038980509701</v>
      </c>
    </row>
    <row r="25288" spans="1:5">
      <c r="A25288" t="s">
        <v>29409</v>
      </c>
      <c r="B25288" t="s">
        <v>29412</v>
      </c>
      <c r="C25288">
        <v>0</v>
      </c>
      <c r="D25288" t="s">
        <v>106</v>
      </c>
      <c r="E25288">
        <v>7.5922038980509701</v>
      </c>
    </row>
    <row r="25289" spans="1:5">
      <c r="A25289" t="s">
        <v>29409</v>
      </c>
      <c r="B25289" t="s">
        <v>29413</v>
      </c>
      <c r="C25289">
        <f>0</f>
        <v>0</v>
      </c>
      <c r="D25289" t="s">
        <v>106</v>
      </c>
      <c r="E25289">
        <v>7.5922038980509701</v>
      </c>
    </row>
    <row r="25290" spans="1:5">
      <c r="A25290" t="s">
        <v>29409</v>
      </c>
      <c r="B25290" t="s">
        <v>29414</v>
      </c>
      <c r="C25290">
        <f>0</f>
        <v>0</v>
      </c>
      <c r="D25290" t="s">
        <v>106</v>
      </c>
      <c r="E25290">
        <v>7.5922038980509701</v>
      </c>
    </row>
    <row r="25291" spans="1:5">
      <c r="A25291" t="s">
        <v>29415</v>
      </c>
      <c r="B25291" t="s">
        <v>29416</v>
      </c>
      <c r="C25291">
        <v>0</v>
      </c>
      <c r="D25291" t="s">
        <v>106</v>
      </c>
      <c r="E25291">
        <v>9.0194902548725597</v>
      </c>
    </row>
    <row r="25292" spans="1:5">
      <c r="A25292" t="s">
        <v>29415</v>
      </c>
      <c r="B25292" t="s">
        <v>29417</v>
      </c>
      <c r="C25292">
        <f>0</f>
        <v>0</v>
      </c>
      <c r="D25292" t="s">
        <v>106</v>
      </c>
      <c r="E25292">
        <v>9.0194902548725597</v>
      </c>
    </row>
    <row r="25293" spans="1:5">
      <c r="A25293" t="s">
        <v>29415</v>
      </c>
      <c r="B25293" t="s">
        <v>29418</v>
      </c>
      <c r="C25293">
        <f>0</f>
        <v>0</v>
      </c>
      <c r="D25293" t="s">
        <v>106</v>
      </c>
      <c r="E25293">
        <v>9.0194902548725597</v>
      </c>
    </row>
    <row r="25294" spans="1:5">
      <c r="A25294" t="s">
        <v>29415</v>
      </c>
      <c r="B25294" t="s">
        <v>29419</v>
      </c>
      <c r="C25294">
        <f>0</f>
        <v>0</v>
      </c>
      <c r="D25294" t="s">
        <v>106</v>
      </c>
      <c r="E25294">
        <v>9.0194902548725597</v>
      </c>
    </row>
    <row r="25295" spans="1:5">
      <c r="A25295" t="s">
        <v>29415</v>
      </c>
      <c r="B25295" t="s">
        <v>29420</v>
      </c>
      <c r="C25295">
        <f>0</f>
        <v>0</v>
      </c>
      <c r="D25295" t="s">
        <v>106</v>
      </c>
      <c r="E25295">
        <v>9.0194902548725597</v>
      </c>
    </row>
    <row r="25296" spans="1:5">
      <c r="A25296" t="s">
        <v>29415</v>
      </c>
      <c r="B25296" t="s">
        <v>29421</v>
      </c>
      <c r="C25296">
        <f>0</f>
        <v>0</v>
      </c>
      <c r="D25296" t="s">
        <v>106</v>
      </c>
      <c r="E25296">
        <v>9.0194902548725597</v>
      </c>
    </row>
    <row r="25297" spans="1:5">
      <c r="A25297" t="s">
        <v>29422</v>
      </c>
      <c r="B25297" t="s">
        <v>29423</v>
      </c>
      <c r="C25297">
        <f>0</f>
        <v>0</v>
      </c>
      <c r="D25297">
        <v>0.99589754236600003</v>
      </c>
      <c r="E25297">
        <v>2.5547226386806599</v>
      </c>
    </row>
    <row r="25298" spans="1:5">
      <c r="A25298" t="s">
        <v>29422</v>
      </c>
      <c r="B25298" t="s">
        <v>29424</v>
      </c>
      <c r="C25298">
        <v>0</v>
      </c>
      <c r="D25298">
        <v>0.99589754236600003</v>
      </c>
      <c r="E25298">
        <v>2.5547226386806599</v>
      </c>
    </row>
    <row r="25299" spans="1:5">
      <c r="A25299" t="s">
        <v>29422</v>
      </c>
      <c r="B25299" t="s">
        <v>29425</v>
      </c>
      <c r="C25299">
        <f>0</f>
        <v>0</v>
      </c>
      <c r="D25299">
        <v>0.99589754236600003</v>
      </c>
      <c r="E25299">
        <v>2.5547226386806599</v>
      </c>
    </row>
    <row r="25300" spans="1:5">
      <c r="A25300" t="s">
        <v>29422</v>
      </c>
      <c r="B25300" t="s">
        <v>29426</v>
      </c>
      <c r="C25300">
        <f>0</f>
        <v>0</v>
      </c>
      <c r="D25300">
        <v>0.99589754236600003</v>
      </c>
      <c r="E25300">
        <v>2.5547226386806599</v>
      </c>
    </row>
    <row r="25301" spans="1:5">
      <c r="A25301" t="s">
        <v>29422</v>
      </c>
      <c r="B25301" t="s">
        <v>29427</v>
      </c>
      <c r="C25301">
        <v>0.132798108011</v>
      </c>
      <c r="D25301">
        <v>0.99589754236600003</v>
      </c>
      <c r="E25301">
        <v>2.5547226386806599</v>
      </c>
    </row>
    <row r="25302" spans="1:5">
      <c r="A25302" t="s">
        <v>29422</v>
      </c>
      <c r="B25302" t="s">
        <v>29428</v>
      </c>
      <c r="C25302">
        <v>0.172722313844</v>
      </c>
      <c r="D25302">
        <v>0.99589754236600003</v>
      </c>
      <c r="E25302">
        <v>2.5547226386806599</v>
      </c>
    </row>
    <row r="25303" spans="1:5">
      <c r="A25303" t="s">
        <v>29422</v>
      </c>
      <c r="B25303" t="s">
        <v>29429</v>
      </c>
      <c r="C25303">
        <v>0</v>
      </c>
      <c r="D25303">
        <v>0.99589754236600003</v>
      </c>
      <c r="E25303">
        <v>2.5547226386806599</v>
      </c>
    </row>
    <row r="25304" spans="1:5">
      <c r="A25304" t="s">
        <v>29422</v>
      </c>
      <c r="B25304" t="s">
        <v>29430</v>
      </c>
      <c r="C25304">
        <f>0</f>
        <v>0</v>
      </c>
      <c r="D25304">
        <v>0.99589754236600003</v>
      </c>
      <c r="E25304">
        <v>2.5547226386806599</v>
      </c>
    </row>
    <row r="25305" spans="1:5">
      <c r="A25305" t="s">
        <v>29431</v>
      </c>
      <c r="B25305" t="s">
        <v>29432</v>
      </c>
      <c r="C25305">
        <v>0</v>
      </c>
      <c r="D25305" t="s">
        <v>106</v>
      </c>
      <c r="E25305">
        <v>5.1214392803598203</v>
      </c>
    </row>
    <row r="25306" spans="1:5">
      <c r="A25306" t="s">
        <v>29431</v>
      </c>
      <c r="B25306" t="s">
        <v>29433</v>
      </c>
      <c r="C25306">
        <f>0.102953421639</f>
        <v>0.102953421639</v>
      </c>
      <c r="D25306" t="s">
        <v>106</v>
      </c>
      <c r="E25306">
        <v>5.1214392803598203</v>
      </c>
    </row>
    <row r="25307" spans="1:5">
      <c r="A25307" t="s">
        <v>29431</v>
      </c>
      <c r="B25307" t="s">
        <v>29434</v>
      </c>
      <c r="C25307">
        <v>0</v>
      </c>
      <c r="D25307" t="s">
        <v>106</v>
      </c>
      <c r="E25307">
        <v>5.1214392803598203</v>
      </c>
    </row>
    <row r="25308" spans="1:5">
      <c r="A25308" t="s">
        <v>29431</v>
      </c>
      <c r="B25308" t="s">
        <v>29435</v>
      </c>
      <c r="C25308">
        <v>0.76760257987699998</v>
      </c>
      <c r="D25308" t="s">
        <v>106</v>
      </c>
      <c r="E25308">
        <v>5.1214392803598203</v>
      </c>
    </row>
    <row r="25309" spans="1:5">
      <c r="A25309" t="s">
        <v>29436</v>
      </c>
      <c r="B25309" t="s">
        <v>29437</v>
      </c>
      <c r="C25309">
        <v>0</v>
      </c>
      <c r="D25309">
        <v>0.97065167891299997</v>
      </c>
      <c r="E25309">
        <v>6.0569715142428704</v>
      </c>
    </row>
    <row r="25310" spans="1:5">
      <c r="A25310" t="s">
        <v>29438</v>
      </c>
      <c r="B25310" t="s">
        <v>29439</v>
      </c>
      <c r="C25310">
        <v>0</v>
      </c>
      <c r="D25310">
        <v>0.98283009662900001</v>
      </c>
      <c r="E25310">
        <v>21.181409295352299</v>
      </c>
    </row>
    <row r="25311" spans="1:5">
      <c r="A25311" t="s">
        <v>29438</v>
      </c>
      <c r="B25311" t="s">
        <v>29440</v>
      </c>
      <c r="C25311">
        <f>0</f>
        <v>0</v>
      </c>
      <c r="D25311">
        <v>0.98283009662900001</v>
      </c>
      <c r="E25311">
        <v>21.181409295352299</v>
      </c>
    </row>
    <row r="25312" spans="1:5">
      <c r="A25312" t="s">
        <v>29438</v>
      </c>
      <c r="B25312" t="s">
        <v>29441</v>
      </c>
      <c r="C25312">
        <v>3.1330999169700002E-2</v>
      </c>
      <c r="D25312">
        <v>0.98283009662900001</v>
      </c>
      <c r="E25312">
        <v>21.181409295352299</v>
      </c>
    </row>
    <row r="25313" spans="1:5">
      <c r="A25313" t="s">
        <v>29438</v>
      </c>
      <c r="B25313" t="s">
        <v>29442</v>
      </c>
      <c r="C25313">
        <v>0</v>
      </c>
      <c r="D25313">
        <v>0.98283009662900001</v>
      </c>
      <c r="E25313">
        <v>21.181409295352299</v>
      </c>
    </row>
    <row r="25314" spans="1:5">
      <c r="A25314" t="s">
        <v>29438</v>
      </c>
      <c r="B25314" t="s">
        <v>29443</v>
      </c>
      <c r="C25314">
        <v>0</v>
      </c>
      <c r="D25314">
        <v>0.98283009662900001</v>
      </c>
      <c r="E25314">
        <v>21.181409295352299</v>
      </c>
    </row>
    <row r="25315" spans="1:5">
      <c r="A25315" t="s">
        <v>29438</v>
      </c>
      <c r="B25315" t="s">
        <v>29444</v>
      </c>
      <c r="C25315">
        <v>0.118807430258</v>
      </c>
      <c r="D25315">
        <v>0.98283009662900001</v>
      </c>
      <c r="E25315">
        <v>21.181409295352299</v>
      </c>
    </row>
    <row r="25316" spans="1:5">
      <c r="A25316" t="s">
        <v>29445</v>
      </c>
      <c r="B25316" t="s">
        <v>29446</v>
      </c>
      <c r="C25316">
        <v>1.4899567454299999E-2</v>
      </c>
      <c r="D25316">
        <v>0.83143005793299996</v>
      </c>
      <c r="E25316">
        <v>0.503748125937031</v>
      </c>
    </row>
    <row r="25317" spans="1:5">
      <c r="A25317" t="s">
        <v>29445</v>
      </c>
      <c r="B25317" t="s">
        <v>29447</v>
      </c>
      <c r="C25317">
        <f>0.396116482667</f>
        <v>0.396116482667</v>
      </c>
      <c r="D25317">
        <v>0.83143005793299996</v>
      </c>
      <c r="E25317">
        <v>0.503748125937031</v>
      </c>
    </row>
    <row r="25318" spans="1:5">
      <c r="A25318" t="s">
        <v>29448</v>
      </c>
      <c r="B25318" t="s">
        <v>29449</v>
      </c>
      <c r="C25318">
        <v>0</v>
      </c>
      <c r="D25318">
        <v>0.93077858051899998</v>
      </c>
      <c r="E25318">
        <v>1.22338830584707</v>
      </c>
    </row>
    <row r="25319" spans="1:5">
      <c r="A25319" t="s">
        <v>29448</v>
      </c>
      <c r="B25319" t="s">
        <v>29450</v>
      </c>
      <c r="C25319">
        <f>0</f>
        <v>0</v>
      </c>
      <c r="D25319">
        <v>0.93077858051899998</v>
      </c>
      <c r="E25319">
        <v>1.22338830584707</v>
      </c>
    </row>
    <row r="25320" spans="1:5">
      <c r="A25320" t="s">
        <v>29448</v>
      </c>
      <c r="B25320" t="s">
        <v>29451</v>
      </c>
      <c r="C25320">
        <v>1.7811269152199999E-3</v>
      </c>
      <c r="D25320">
        <v>0.93077858051899998</v>
      </c>
      <c r="E25320">
        <v>1.22338830584707</v>
      </c>
    </row>
    <row r="25321" spans="1:5">
      <c r="A25321" t="s">
        <v>29448</v>
      </c>
      <c r="B25321" t="s">
        <v>29452</v>
      </c>
      <c r="C25321">
        <f>0</f>
        <v>0</v>
      </c>
      <c r="D25321">
        <v>0.93077858051899998</v>
      </c>
      <c r="E25321">
        <v>1.22338830584707</v>
      </c>
    </row>
    <row r="25322" spans="1:5">
      <c r="A25322" t="s">
        <v>29448</v>
      </c>
      <c r="B25322" t="s">
        <v>29453</v>
      </c>
      <c r="C25322">
        <f>0</f>
        <v>0</v>
      </c>
      <c r="D25322">
        <v>0.93077858051899998</v>
      </c>
      <c r="E25322">
        <v>1.22338830584707</v>
      </c>
    </row>
    <row r="25323" spans="1:5">
      <c r="A25323" t="s">
        <v>29448</v>
      </c>
      <c r="B25323" t="s">
        <v>29454</v>
      </c>
      <c r="C25323">
        <v>0</v>
      </c>
      <c r="D25323">
        <v>0.93077858051899998</v>
      </c>
      <c r="E25323">
        <v>1.22338830584707</v>
      </c>
    </row>
    <row r="25324" spans="1:5">
      <c r="A25324" t="s">
        <v>29448</v>
      </c>
      <c r="B25324" t="s">
        <v>29455</v>
      </c>
      <c r="C25324">
        <v>0</v>
      </c>
      <c r="D25324">
        <v>0.93077858051899998</v>
      </c>
      <c r="E25324">
        <v>1.22338830584707</v>
      </c>
    </row>
    <row r="25325" spans="1:5">
      <c r="A25325" t="s">
        <v>29448</v>
      </c>
      <c r="B25325" t="s">
        <v>29456</v>
      </c>
      <c r="C25325">
        <v>0</v>
      </c>
      <c r="D25325">
        <v>0.93077858051899998</v>
      </c>
      <c r="E25325">
        <v>1.22338830584707</v>
      </c>
    </row>
    <row r="25326" spans="1:5">
      <c r="A25326" t="s">
        <v>29448</v>
      </c>
      <c r="B25326" t="s">
        <v>29457</v>
      </c>
      <c r="C25326">
        <v>0</v>
      </c>
      <c r="D25326">
        <v>0.93077858051899998</v>
      </c>
      <c r="E25326">
        <v>1.22338830584707</v>
      </c>
    </row>
    <row r="25327" spans="1:5">
      <c r="A25327" t="s">
        <v>29448</v>
      </c>
      <c r="B25327" t="s">
        <v>29458</v>
      </c>
      <c r="C25327">
        <v>0</v>
      </c>
      <c r="D25327">
        <v>0.93077858051899998</v>
      </c>
      <c r="E25327">
        <v>1.22338830584707</v>
      </c>
    </row>
    <row r="25328" spans="1:5">
      <c r="A25328" t="s">
        <v>29448</v>
      </c>
      <c r="B25328" t="s">
        <v>29459</v>
      </c>
      <c r="C25328">
        <v>0</v>
      </c>
      <c r="D25328">
        <v>0.93077858051899998</v>
      </c>
      <c r="E25328">
        <v>1.22338830584707</v>
      </c>
    </row>
    <row r="25329" spans="1:5">
      <c r="A25329" t="s">
        <v>29448</v>
      </c>
      <c r="B25329" t="s">
        <v>29460</v>
      </c>
      <c r="C25329">
        <f>0.0209898689532</f>
        <v>2.09898689532E-2</v>
      </c>
      <c r="D25329">
        <v>0.93077858051899998</v>
      </c>
      <c r="E25329">
        <v>1.22338830584707</v>
      </c>
    </row>
    <row r="25330" spans="1:5">
      <c r="A25330" t="s">
        <v>29448</v>
      </c>
      <c r="B25330" t="s">
        <v>29461</v>
      </c>
      <c r="C25330">
        <v>0</v>
      </c>
      <c r="D25330">
        <v>0.93077858051899998</v>
      </c>
      <c r="E25330">
        <v>1.22338830584707</v>
      </c>
    </row>
    <row r="25331" spans="1:5">
      <c r="A25331" t="s">
        <v>29462</v>
      </c>
      <c r="B25331" t="s">
        <v>29463</v>
      </c>
      <c r="C25331">
        <f>0</f>
        <v>0</v>
      </c>
      <c r="D25331">
        <v>0.71314766396200002</v>
      </c>
      <c r="E25331">
        <v>6.9325337331334298</v>
      </c>
    </row>
    <row r="25332" spans="1:5">
      <c r="A25332" t="s">
        <v>29462</v>
      </c>
      <c r="B25332" t="s">
        <v>29464</v>
      </c>
      <c r="C25332">
        <v>0</v>
      </c>
      <c r="D25332">
        <v>0.71314766396200002</v>
      </c>
      <c r="E25332">
        <v>6.9325337331334298</v>
      </c>
    </row>
    <row r="25333" spans="1:5">
      <c r="A25333" t="s">
        <v>29462</v>
      </c>
      <c r="B25333" t="s">
        <v>29465</v>
      </c>
      <c r="C25333">
        <f>0</f>
        <v>0</v>
      </c>
      <c r="D25333">
        <v>0.71314766396200002</v>
      </c>
      <c r="E25333">
        <v>6.9325337331334298</v>
      </c>
    </row>
    <row r="25334" spans="1:5">
      <c r="A25334" t="s">
        <v>29466</v>
      </c>
      <c r="B25334" t="s">
        <v>29467</v>
      </c>
      <c r="C25334">
        <v>0.24996144657200001</v>
      </c>
      <c r="D25334">
        <v>0.61359761988299999</v>
      </c>
      <c r="E25334">
        <v>9.6191904047975996</v>
      </c>
    </row>
    <row r="25335" spans="1:5">
      <c r="A25335" t="s">
        <v>29468</v>
      </c>
      <c r="B25335" t="s">
        <v>29469</v>
      </c>
      <c r="C25335">
        <f>0.061140054683</f>
        <v>6.1140054683000003E-2</v>
      </c>
      <c r="D25335">
        <v>0.96252367748000001</v>
      </c>
      <c r="E25335">
        <v>17.715142428785601</v>
      </c>
    </row>
    <row r="25336" spans="1:5">
      <c r="A25336" t="s">
        <v>29468</v>
      </c>
      <c r="B25336" t="s">
        <v>29470</v>
      </c>
      <c r="C25336">
        <f>0</f>
        <v>0</v>
      </c>
      <c r="D25336">
        <v>0.96252367748000001</v>
      </c>
      <c r="E25336">
        <v>17.715142428785601</v>
      </c>
    </row>
    <row r="25337" spans="1:5">
      <c r="A25337" t="s">
        <v>29468</v>
      </c>
      <c r="B25337" t="s">
        <v>29471</v>
      </c>
      <c r="C25337">
        <f>0.00750225689026</f>
        <v>7.5022568902599999E-3</v>
      </c>
      <c r="D25337">
        <v>0.96252367748000001</v>
      </c>
      <c r="E25337">
        <v>17.715142428785601</v>
      </c>
    </row>
    <row r="25338" spans="1:5">
      <c r="A25338" t="s">
        <v>29468</v>
      </c>
      <c r="B25338" t="s">
        <v>29472</v>
      </c>
      <c r="C25338">
        <v>0</v>
      </c>
      <c r="D25338">
        <v>0.96252367748000001</v>
      </c>
      <c r="E25338">
        <v>17.715142428785601</v>
      </c>
    </row>
    <row r="25339" spans="1:5">
      <c r="A25339" t="s">
        <v>29473</v>
      </c>
      <c r="B25339" t="s">
        <v>29474</v>
      </c>
      <c r="C25339">
        <v>0</v>
      </c>
      <c r="D25339" t="s">
        <v>106</v>
      </c>
      <c r="E25339">
        <v>8.7196401799100407</v>
      </c>
    </row>
    <row r="25340" spans="1:5">
      <c r="A25340" t="s">
        <v>29473</v>
      </c>
      <c r="B25340" t="s">
        <v>29475</v>
      </c>
      <c r="C25340">
        <v>0</v>
      </c>
      <c r="D25340" t="s">
        <v>106</v>
      </c>
      <c r="E25340">
        <v>8.7196401799100407</v>
      </c>
    </row>
    <row r="25341" spans="1:5">
      <c r="A25341" t="s">
        <v>29473</v>
      </c>
      <c r="B25341" t="s">
        <v>29476</v>
      </c>
      <c r="C25341">
        <v>0</v>
      </c>
      <c r="D25341" t="s">
        <v>106</v>
      </c>
      <c r="E25341">
        <v>8.7196401799100407</v>
      </c>
    </row>
    <row r="25342" spans="1:5">
      <c r="A25342" t="s">
        <v>29473</v>
      </c>
      <c r="B25342" t="s">
        <v>29477</v>
      </c>
      <c r="C25342">
        <v>0</v>
      </c>
      <c r="D25342" t="s">
        <v>106</v>
      </c>
      <c r="E25342">
        <v>8.7196401799100407</v>
      </c>
    </row>
    <row r="25343" spans="1:5">
      <c r="A25343" t="s">
        <v>29473</v>
      </c>
      <c r="B25343" t="s">
        <v>29478</v>
      </c>
      <c r="C25343">
        <v>0</v>
      </c>
      <c r="D25343" t="s">
        <v>106</v>
      </c>
      <c r="E25343">
        <v>8.7196401799100407</v>
      </c>
    </row>
    <row r="25344" spans="1:5">
      <c r="A25344" t="s">
        <v>29473</v>
      </c>
      <c r="B25344" t="s">
        <v>29479</v>
      </c>
      <c r="C25344">
        <v>0</v>
      </c>
      <c r="D25344" t="s">
        <v>106</v>
      </c>
      <c r="E25344">
        <v>8.7196401799100407</v>
      </c>
    </row>
    <row r="25345" spans="1:5">
      <c r="A25345" t="s">
        <v>29473</v>
      </c>
      <c r="B25345" t="s">
        <v>29480</v>
      </c>
      <c r="C25345">
        <v>0</v>
      </c>
      <c r="D25345" t="s">
        <v>106</v>
      </c>
      <c r="E25345">
        <v>8.7196401799100407</v>
      </c>
    </row>
    <row r="25346" spans="1:5">
      <c r="A25346" t="s">
        <v>29481</v>
      </c>
      <c r="B25346" t="s">
        <v>29482</v>
      </c>
      <c r="C25346">
        <f>0</f>
        <v>0</v>
      </c>
      <c r="D25346">
        <v>0.89620440295000003</v>
      </c>
      <c r="E25346">
        <v>16.095952023988001</v>
      </c>
    </row>
    <row r="25347" spans="1:5">
      <c r="A25347" t="s">
        <v>29481</v>
      </c>
      <c r="B25347" t="s">
        <v>29483</v>
      </c>
      <c r="C25347">
        <f>0</f>
        <v>0</v>
      </c>
      <c r="D25347">
        <v>0.89620440295000003</v>
      </c>
      <c r="E25347">
        <v>16.095952023988001</v>
      </c>
    </row>
    <row r="25348" spans="1:5">
      <c r="A25348" t="s">
        <v>29481</v>
      </c>
      <c r="B25348" t="s">
        <v>29484</v>
      </c>
      <c r="C25348">
        <f>0</f>
        <v>0</v>
      </c>
      <c r="D25348">
        <v>0.89620440295000003</v>
      </c>
      <c r="E25348">
        <v>16.095952023988001</v>
      </c>
    </row>
    <row r="25349" spans="1:5">
      <c r="A25349" t="s">
        <v>29481</v>
      </c>
      <c r="B25349" t="s">
        <v>29485</v>
      </c>
      <c r="C25349">
        <f>0</f>
        <v>0</v>
      </c>
      <c r="D25349">
        <v>0.89620440295000003</v>
      </c>
      <c r="E25349">
        <v>16.095952023988001</v>
      </c>
    </row>
    <row r="25350" spans="1:5">
      <c r="A25350" t="s">
        <v>29481</v>
      </c>
      <c r="B25350" t="s">
        <v>29486</v>
      </c>
      <c r="C25350">
        <f>0.0225566277241</f>
        <v>2.2556627724100001E-2</v>
      </c>
      <c r="D25350">
        <v>0.89620440295000003</v>
      </c>
      <c r="E25350">
        <v>16.095952023988001</v>
      </c>
    </row>
    <row r="25351" spans="1:5">
      <c r="A25351" t="s">
        <v>29481</v>
      </c>
      <c r="B25351" t="s">
        <v>29487</v>
      </c>
      <c r="C25351">
        <f>0</f>
        <v>0</v>
      </c>
      <c r="D25351">
        <v>0.89620440295000003</v>
      </c>
      <c r="E25351">
        <v>16.095952023988001</v>
      </c>
    </row>
    <row r="25352" spans="1:5">
      <c r="A25352" t="s">
        <v>29481</v>
      </c>
      <c r="B25352" t="s">
        <v>29488</v>
      </c>
      <c r="C25352">
        <v>0</v>
      </c>
      <c r="D25352">
        <v>0.89620440295000003</v>
      </c>
      <c r="E25352">
        <v>16.095952023988001</v>
      </c>
    </row>
    <row r="25353" spans="1:5">
      <c r="A25353" t="s">
        <v>29481</v>
      </c>
      <c r="B25353" t="s">
        <v>29489</v>
      </c>
      <c r="C25353">
        <v>0</v>
      </c>
      <c r="D25353">
        <v>0.89620440295000003</v>
      </c>
      <c r="E25353">
        <v>16.095952023988001</v>
      </c>
    </row>
    <row r="25354" spans="1:5">
      <c r="A25354" t="s">
        <v>29481</v>
      </c>
      <c r="B25354" t="s">
        <v>29490</v>
      </c>
      <c r="C25354">
        <f>0</f>
        <v>0</v>
      </c>
      <c r="D25354">
        <v>0.89620440295000003</v>
      </c>
      <c r="E25354">
        <v>16.095952023988001</v>
      </c>
    </row>
    <row r="25355" spans="1:5">
      <c r="A25355" t="s">
        <v>29481</v>
      </c>
      <c r="B25355" t="s">
        <v>29491</v>
      </c>
      <c r="C25355">
        <f>0.0721708831613</f>
        <v>7.2170883161300006E-2</v>
      </c>
      <c r="D25355">
        <v>0.89620440295000003</v>
      </c>
      <c r="E25355">
        <v>16.095952023988001</v>
      </c>
    </row>
    <row r="25356" spans="1:5">
      <c r="A25356" t="s">
        <v>29481</v>
      </c>
      <c r="B25356" t="s">
        <v>29492</v>
      </c>
      <c r="C25356">
        <v>0</v>
      </c>
      <c r="D25356">
        <v>0.89620440295000003</v>
      </c>
      <c r="E25356">
        <v>16.095952023988001</v>
      </c>
    </row>
    <row r="25357" spans="1:5">
      <c r="A25357" t="s">
        <v>29481</v>
      </c>
      <c r="B25357" t="s">
        <v>29493</v>
      </c>
      <c r="C25357">
        <f>0</f>
        <v>0</v>
      </c>
      <c r="D25357">
        <v>0.89620440295000003</v>
      </c>
      <c r="E25357">
        <v>16.095952023988001</v>
      </c>
    </row>
    <row r="25358" spans="1:5">
      <c r="A25358" t="s">
        <v>29494</v>
      </c>
      <c r="B25358" t="s">
        <v>29495</v>
      </c>
      <c r="C25358">
        <v>0</v>
      </c>
      <c r="D25358" t="s">
        <v>106</v>
      </c>
      <c r="E25358">
        <v>9.7631184407796106</v>
      </c>
    </row>
    <row r="25359" spans="1:5">
      <c r="A25359" t="s">
        <v>29494</v>
      </c>
      <c r="B25359" t="s">
        <v>29496</v>
      </c>
      <c r="C25359">
        <v>0</v>
      </c>
      <c r="D25359" t="s">
        <v>106</v>
      </c>
      <c r="E25359">
        <v>9.7631184407796106</v>
      </c>
    </row>
    <row r="25360" spans="1:5">
      <c r="A25360" t="s">
        <v>29494</v>
      </c>
      <c r="B25360" t="s">
        <v>29497</v>
      </c>
      <c r="C25360">
        <v>0</v>
      </c>
      <c r="D25360" t="s">
        <v>106</v>
      </c>
      <c r="E25360">
        <v>9.7631184407796106</v>
      </c>
    </row>
    <row r="25361" spans="1:5">
      <c r="A25361" t="s">
        <v>29494</v>
      </c>
      <c r="B25361" t="s">
        <v>29498</v>
      </c>
      <c r="C25361">
        <v>0</v>
      </c>
      <c r="D25361" t="s">
        <v>106</v>
      </c>
      <c r="E25361">
        <v>9.7631184407796106</v>
      </c>
    </row>
    <row r="25362" spans="1:5">
      <c r="A25362" t="s">
        <v>29494</v>
      </c>
      <c r="B25362" t="s">
        <v>29499</v>
      </c>
      <c r="C25362">
        <v>0</v>
      </c>
      <c r="D25362" t="s">
        <v>106</v>
      </c>
      <c r="E25362">
        <v>9.7631184407796106</v>
      </c>
    </row>
    <row r="25363" spans="1:5">
      <c r="A25363" t="s">
        <v>29500</v>
      </c>
      <c r="B25363" t="s">
        <v>29501</v>
      </c>
      <c r="C25363">
        <v>0</v>
      </c>
      <c r="D25363" t="s">
        <v>106</v>
      </c>
      <c r="E25363">
        <v>0.95952023988005997</v>
      </c>
    </row>
    <row r="25364" spans="1:5">
      <c r="A25364" t="s">
        <v>29500</v>
      </c>
      <c r="B25364" t="s">
        <v>29502</v>
      </c>
      <c r="C25364">
        <v>0</v>
      </c>
      <c r="D25364" t="s">
        <v>106</v>
      </c>
      <c r="E25364">
        <v>0.95952023988005997</v>
      </c>
    </row>
    <row r="25365" spans="1:5">
      <c r="A25365" t="s">
        <v>29500</v>
      </c>
      <c r="B25365" t="s">
        <v>29503</v>
      </c>
      <c r="C25365">
        <v>0</v>
      </c>
      <c r="D25365" t="s">
        <v>106</v>
      </c>
      <c r="E25365">
        <v>0.95952023988005997</v>
      </c>
    </row>
    <row r="25366" spans="1:5">
      <c r="A25366" t="s">
        <v>29500</v>
      </c>
      <c r="B25366" t="s">
        <v>29504</v>
      </c>
      <c r="C25366">
        <v>0</v>
      </c>
      <c r="D25366" t="s">
        <v>106</v>
      </c>
      <c r="E25366">
        <v>0.95952023988005997</v>
      </c>
    </row>
    <row r="25367" spans="1:5">
      <c r="A25367" t="s">
        <v>29500</v>
      </c>
      <c r="B25367" t="s">
        <v>29505</v>
      </c>
      <c r="C25367">
        <f>0</f>
        <v>0</v>
      </c>
      <c r="D25367" t="s">
        <v>106</v>
      </c>
      <c r="E25367">
        <v>0.95952023988005997</v>
      </c>
    </row>
    <row r="25368" spans="1:5">
      <c r="A25368" t="s">
        <v>29506</v>
      </c>
      <c r="B25368" t="s">
        <v>29507</v>
      </c>
      <c r="C25368">
        <v>0.83222051893000004</v>
      </c>
      <c r="D25368">
        <v>0.62998608995500005</v>
      </c>
      <c r="E25368">
        <v>7.0644677661169402</v>
      </c>
    </row>
    <row r="25369" spans="1:5">
      <c r="A25369" t="s">
        <v>29506</v>
      </c>
      <c r="B25369" t="s">
        <v>29508</v>
      </c>
      <c r="C25369">
        <f>0</f>
        <v>0</v>
      </c>
      <c r="D25369">
        <v>0.62998608995500005</v>
      </c>
      <c r="E25369">
        <v>7.0644677661169402</v>
      </c>
    </row>
    <row r="25370" spans="1:5">
      <c r="A25370" t="s">
        <v>29509</v>
      </c>
      <c r="B25370" t="s">
        <v>29510</v>
      </c>
      <c r="C25370">
        <f>0</f>
        <v>0</v>
      </c>
      <c r="D25370">
        <v>0.82203887083100002</v>
      </c>
      <c r="E25370">
        <v>17.511244377811</v>
      </c>
    </row>
    <row r="25371" spans="1:5">
      <c r="A25371" t="s">
        <v>29509</v>
      </c>
      <c r="B25371" t="s">
        <v>29511</v>
      </c>
      <c r="C25371">
        <f>0.0883787597077</f>
        <v>8.8378759707699997E-2</v>
      </c>
      <c r="D25371">
        <v>0.82203887083100002</v>
      </c>
      <c r="E25371">
        <v>17.511244377811</v>
      </c>
    </row>
    <row r="25372" spans="1:5">
      <c r="A25372" t="s">
        <v>29509</v>
      </c>
      <c r="B25372" t="s">
        <v>29512</v>
      </c>
      <c r="C25372">
        <f>0</f>
        <v>0</v>
      </c>
      <c r="D25372">
        <v>0.82203887083100002</v>
      </c>
      <c r="E25372">
        <v>17.511244377811</v>
      </c>
    </row>
    <row r="25373" spans="1:5">
      <c r="A25373" t="s">
        <v>29509</v>
      </c>
      <c r="B25373" t="s">
        <v>29513</v>
      </c>
      <c r="C25373">
        <f>0</f>
        <v>0</v>
      </c>
      <c r="D25373">
        <v>0.82203887083100002</v>
      </c>
      <c r="E25373">
        <v>17.511244377811</v>
      </c>
    </row>
    <row r="25374" spans="1:5">
      <c r="A25374" t="s">
        <v>29514</v>
      </c>
      <c r="B25374" t="s">
        <v>29515</v>
      </c>
      <c r="C25374">
        <v>3.60484433001E-2</v>
      </c>
      <c r="D25374" t="s">
        <v>106</v>
      </c>
      <c r="E25374">
        <v>24</v>
      </c>
    </row>
    <row r="25375" spans="1:5">
      <c r="A25375" t="s">
        <v>29514</v>
      </c>
      <c r="B25375" t="s">
        <v>29516</v>
      </c>
      <c r="C25375">
        <v>9.6896719269399995E-2</v>
      </c>
      <c r="D25375" t="s">
        <v>106</v>
      </c>
      <c r="E25375">
        <v>24</v>
      </c>
    </row>
    <row r="25376" spans="1:5">
      <c r="A25376" t="s">
        <v>29514</v>
      </c>
      <c r="B25376" t="s">
        <v>29517</v>
      </c>
      <c r="C25376">
        <f>0</f>
        <v>0</v>
      </c>
      <c r="D25376" t="s">
        <v>106</v>
      </c>
      <c r="E25376">
        <v>24</v>
      </c>
    </row>
    <row r="25377" spans="1:5">
      <c r="A25377" t="s">
        <v>29514</v>
      </c>
      <c r="B25377" t="s">
        <v>29518</v>
      </c>
      <c r="C25377">
        <v>0</v>
      </c>
      <c r="D25377" t="s">
        <v>106</v>
      </c>
      <c r="E25377">
        <v>24</v>
      </c>
    </row>
    <row r="25378" spans="1:5">
      <c r="A25378" t="s">
        <v>29514</v>
      </c>
      <c r="B25378" t="s">
        <v>29519</v>
      </c>
      <c r="C25378">
        <f>0</f>
        <v>0</v>
      </c>
      <c r="D25378" t="s">
        <v>106</v>
      </c>
      <c r="E25378">
        <v>24</v>
      </c>
    </row>
    <row r="25379" spans="1:5">
      <c r="A25379" t="s">
        <v>29514</v>
      </c>
      <c r="B25379" t="s">
        <v>29520</v>
      </c>
      <c r="C25379">
        <v>0</v>
      </c>
      <c r="D25379" t="s">
        <v>106</v>
      </c>
      <c r="E25379">
        <v>24</v>
      </c>
    </row>
    <row r="25380" spans="1:5">
      <c r="A25380" t="s">
        <v>29521</v>
      </c>
      <c r="B25380" t="s">
        <v>29522</v>
      </c>
      <c r="C25380">
        <f>0.149125508071</f>
        <v>0.149125508071</v>
      </c>
      <c r="D25380" t="s">
        <v>106</v>
      </c>
      <c r="E25380">
        <v>17.307346326836502</v>
      </c>
    </row>
    <row r="25381" spans="1:5">
      <c r="A25381" t="s">
        <v>29521</v>
      </c>
      <c r="B25381" t="s">
        <v>29523</v>
      </c>
      <c r="C25381">
        <f>0</f>
        <v>0</v>
      </c>
      <c r="D25381" t="s">
        <v>106</v>
      </c>
      <c r="E25381">
        <v>17.307346326836502</v>
      </c>
    </row>
    <row r="25382" spans="1:5">
      <c r="A25382" t="s">
        <v>29521</v>
      </c>
      <c r="B25382" t="s">
        <v>29524</v>
      </c>
      <c r="C25382">
        <v>0</v>
      </c>
      <c r="D25382" t="s">
        <v>106</v>
      </c>
      <c r="E25382">
        <v>17.307346326836502</v>
      </c>
    </row>
    <row r="25383" spans="1:5">
      <c r="A25383" t="s">
        <v>29521</v>
      </c>
      <c r="B25383" t="s">
        <v>29525</v>
      </c>
      <c r="C25383">
        <v>0</v>
      </c>
      <c r="D25383" t="s">
        <v>106</v>
      </c>
      <c r="E25383">
        <v>17.307346326836502</v>
      </c>
    </row>
    <row r="25384" spans="1:5">
      <c r="A25384" t="s">
        <v>29521</v>
      </c>
      <c r="B25384" t="s">
        <v>29526</v>
      </c>
      <c r="C25384">
        <f>0</f>
        <v>0</v>
      </c>
      <c r="D25384" t="s">
        <v>106</v>
      </c>
      <c r="E25384">
        <v>17.307346326836502</v>
      </c>
    </row>
    <row r="25385" spans="1:5">
      <c r="A25385" t="s">
        <v>29521</v>
      </c>
      <c r="B25385" t="s">
        <v>29527</v>
      </c>
      <c r="C25385">
        <f>0</f>
        <v>0</v>
      </c>
      <c r="D25385" t="s">
        <v>106</v>
      </c>
      <c r="E25385">
        <v>17.307346326836502</v>
      </c>
    </row>
    <row r="25386" spans="1:5">
      <c r="A25386" t="s">
        <v>29521</v>
      </c>
      <c r="B25386" t="s">
        <v>29528</v>
      </c>
      <c r="C25386">
        <v>0</v>
      </c>
      <c r="D25386" t="s">
        <v>106</v>
      </c>
      <c r="E25386">
        <v>17.307346326836502</v>
      </c>
    </row>
    <row r="25387" spans="1:5">
      <c r="A25387" t="s">
        <v>29521</v>
      </c>
      <c r="B25387" t="s">
        <v>29529</v>
      </c>
      <c r="C25387">
        <f>0</f>
        <v>0</v>
      </c>
      <c r="D25387" t="s">
        <v>106</v>
      </c>
      <c r="E25387">
        <v>17.307346326836502</v>
      </c>
    </row>
    <row r="25388" spans="1:5">
      <c r="A25388" t="s">
        <v>29521</v>
      </c>
      <c r="B25388" t="s">
        <v>29530</v>
      </c>
      <c r="C25388">
        <v>0</v>
      </c>
      <c r="D25388" t="s">
        <v>106</v>
      </c>
      <c r="E25388">
        <v>17.307346326836502</v>
      </c>
    </row>
    <row r="25389" spans="1:5">
      <c r="A25389" t="s">
        <v>29531</v>
      </c>
      <c r="B25389" t="s">
        <v>29532</v>
      </c>
      <c r="C25389">
        <v>0.44452424513900002</v>
      </c>
      <c r="D25389" t="s">
        <v>106</v>
      </c>
      <c r="E25389">
        <v>6.9325337331334298</v>
      </c>
    </row>
    <row r="25390" spans="1:5">
      <c r="A25390" t="s">
        <v>29531</v>
      </c>
      <c r="B25390" t="s">
        <v>29533</v>
      </c>
      <c r="C25390">
        <v>7.12330939099E-2</v>
      </c>
      <c r="D25390" t="s">
        <v>106</v>
      </c>
      <c r="E25390">
        <v>6.9325337331334298</v>
      </c>
    </row>
    <row r="25391" spans="1:5">
      <c r="A25391" t="s">
        <v>29531</v>
      </c>
      <c r="B25391" t="s">
        <v>29534</v>
      </c>
      <c r="C25391">
        <f>0</f>
        <v>0</v>
      </c>
      <c r="D25391" t="s">
        <v>106</v>
      </c>
      <c r="E25391">
        <v>6.9325337331334298</v>
      </c>
    </row>
    <row r="25392" spans="1:5">
      <c r="A25392" t="s">
        <v>29531</v>
      </c>
      <c r="B25392" t="s">
        <v>29535</v>
      </c>
      <c r="C25392">
        <v>0</v>
      </c>
      <c r="D25392" t="s">
        <v>106</v>
      </c>
      <c r="E25392">
        <v>6.9325337331334298</v>
      </c>
    </row>
    <row r="25393" spans="1:5">
      <c r="A25393" t="s">
        <v>29531</v>
      </c>
      <c r="B25393" t="s">
        <v>29536</v>
      </c>
      <c r="C25393">
        <v>0</v>
      </c>
      <c r="D25393" t="s">
        <v>106</v>
      </c>
      <c r="E25393">
        <v>6.9325337331334298</v>
      </c>
    </row>
    <row r="25394" spans="1:5">
      <c r="A25394" t="s">
        <v>29537</v>
      </c>
      <c r="B25394" t="s">
        <v>29538</v>
      </c>
      <c r="C25394">
        <v>0</v>
      </c>
      <c r="D25394">
        <v>0.97197589554599995</v>
      </c>
      <c r="E25394">
        <v>0.26386806596701601</v>
      </c>
    </row>
    <row r="25395" spans="1:5">
      <c r="A25395" t="s">
        <v>29537</v>
      </c>
      <c r="B25395" t="s">
        <v>29539</v>
      </c>
      <c r="C25395">
        <f>0.0180452772353</f>
        <v>1.80452772353E-2</v>
      </c>
      <c r="D25395">
        <v>0.97197589554599995</v>
      </c>
      <c r="E25395">
        <v>0.26386806596701601</v>
      </c>
    </row>
    <row r="25396" spans="1:5">
      <c r="A25396" t="s">
        <v>29537</v>
      </c>
      <c r="B25396" t="s">
        <v>29540</v>
      </c>
      <c r="C25396">
        <f>0</f>
        <v>0</v>
      </c>
      <c r="D25396">
        <v>0.97197589554599995</v>
      </c>
      <c r="E25396">
        <v>0.26386806596701601</v>
      </c>
    </row>
    <row r="25397" spans="1:5">
      <c r="A25397" t="s">
        <v>29537</v>
      </c>
      <c r="B25397" t="s">
        <v>29541</v>
      </c>
      <c r="C25397">
        <v>0</v>
      </c>
      <c r="D25397">
        <v>0.97197589554599995</v>
      </c>
      <c r="E25397">
        <v>0.26386806596701601</v>
      </c>
    </row>
    <row r="25398" spans="1:5">
      <c r="A25398" t="s">
        <v>29537</v>
      </c>
      <c r="B25398" t="s">
        <v>29542</v>
      </c>
      <c r="C25398">
        <v>0</v>
      </c>
      <c r="D25398">
        <v>0.97197589554599995</v>
      </c>
      <c r="E25398">
        <v>0.26386806596701601</v>
      </c>
    </row>
    <row r="25399" spans="1:5">
      <c r="A25399" t="s">
        <v>29537</v>
      </c>
      <c r="B25399" t="s">
        <v>29543</v>
      </c>
      <c r="C25399">
        <f>0</f>
        <v>0</v>
      </c>
      <c r="D25399">
        <v>0.97197589554599995</v>
      </c>
      <c r="E25399">
        <v>0.26386806596701601</v>
      </c>
    </row>
    <row r="25400" spans="1:5">
      <c r="A25400" t="s">
        <v>29537</v>
      </c>
      <c r="B25400" t="s">
        <v>29544</v>
      </c>
      <c r="C25400">
        <f>0</f>
        <v>0</v>
      </c>
      <c r="D25400">
        <v>0.97197589554599995</v>
      </c>
      <c r="E25400">
        <v>0.26386806596701601</v>
      </c>
    </row>
    <row r="25401" spans="1:5">
      <c r="A25401" t="s">
        <v>29537</v>
      </c>
      <c r="B25401" t="s">
        <v>29545</v>
      </c>
      <c r="C25401">
        <v>0</v>
      </c>
      <c r="D25401">
        <v>0.97197589554599995</v>
      </c>
      <c r="E25401">
        <v>0.26386806596701601</v>
      </c>
    </row>
    <row r="25402" spans="1:5">
      <c r="A25402" t="s">
        <v>29537</v>
      </c>
      <c r="B25402" t="s">
        <v>29546</v>
      </c>
      <c r="C25402">
        <v>0</v>
      </c>
      <c r="D25402">
        <v>0.97197589554599995</v>
      </c>
      <c r="E25402">
        <v>0.26386806596701601</v>
      </c>
    </row>
    <row r="25403" spans="1:5">
      <c r="A25403" t="s">
        <v>29537</v>
      </c>
      <c r="B25403" t="s">
        <v>29547</v>
      </c>
      <c r="C25403">
        <f>0.426860629819</f>
        <v>0.42686062981900003</v>
      </c>
      <c r="D25403">
        <v>0.97197589554599995</v>
      </c>
      <c r="E25403">
        <v>0.26386806596701601</v>
      </c>
    </row>
    <row r="25404" spans="1:5">
      <c r="A25404" t="s">
        <v>29537</v>
      </c>
      <c r="B25404" t="s">
        <v>29548</v>
      </c>
      <c r="C25404">
        <f>0</f>
        <v>0</v>
      </c>
      <c r="D25404">
        <v>0.97197589554599995</v>
      </c>
      <c r="E25404">
        <v>0.26386806596701601</v>
      </c>
    </row>
    <row r="25405" spans="1:5">
      <c r="A25405" t="s">
        <v>29537</v>
      </c>
      <c r="B25405" t="s">
        <v>29549</v>
      </c>
      <c r="C25405">
        <f>0</f>
        <v>0</v>
      </c>
      <c r="D25405">
        <v>0.97197589554599995</v>
      </c>
      <c r="E25405">
        <v>0.26386806596701601</v>
      </c>
    </row>
    <row r="25406" spans="1:5">
      <c r="A25406" t="s">
        <v>29537</v>
      </c>
      <c r="B25406" t="s">
        <v>29550</v>
      </c>
      <c r="C25406">
        <v>0</v>
      </c>
      <c r="D25406">
        <v>0.97197589554599995</v>
      </c>
      <c r="E25406">
        <v>0.26386806596701601</v>
      </c>
    </row>
    <row r="25407" spans="1:5">
      <c r="A25407" t="s">
        <v>29537</v>
      </c>
      <c r="B25407" t="s">
        <v>29551</v>
      </c>
      <c r="C25407">
        <f>0</f>
        <v>0</v>
      </c>
      <c r="D25407">
        <v>0.97197589554599995</v>
      </c>
      <c r="E25407">
        <v>0.26386806596701601</v>
      </c>
    </row>
    <row r="25408" spans="1:5">
      <c r="A25408" t="s">
        <v>29537</v>
      </c>
      <c r="B25408" t="s">
        <v>29552</v>
      </c>
      <c r="C25408">
        <f>0</f>
        <v>0</v>
      </c>
      <c r="D25408">
        <v>0.97197589554599995</v>
      </c>
      <c r="E25408">
        <v>0.26386806596701601</v>
      </c>
    </row>
    <row r="25409" spans="1:5">
      <c r="A25409" t="s">
        <v>29553</v>
      </c>
      <c r="B25409" t="s">
        <v>29554</v>
      </c>
      <c r="C25409">
        <f>0</f>
        <v>0</v>
      </c>
      <c r="D25409" t="s">
        <v>106</v>
      </c>
      <c r="E25409">
        <v>14.740629685157399</v>
      </c>
    </row>
    <row r="25410" spans="1:5">
      <c r="A25410" t="s">
        <v>29553</v>
      </c>
      <c r="B25410" t="s">
        <v>29555</v>
      </c>
      <c r="C25410">
        <v>0</v>
      </c>
      <c r="D25410" t="s">
        <v>106</v>
      </c>
      <c r="E25410">
        <v>14.740629685157399</v>
      </c>
    </row>
    <row r="25411" spans="1:5">
      <c r="A25411" t="s">
        <v>29553</v>
      </c>
      <c r="B25411" t="s">
        <v>29556</v>
      </c>
      <c r="C25411">
        <v>0</v>
      </c>
      <c r="D25411" t="s">
        <v>106</v>
      </c>
      <c r="E25411">
        <v>14.740629685157399</v>
      </c>
    </row>
    <row r="25412" spans="1:5">
      <c r="A25412" t="s">
        <v>29553</v>
      </c>
      <c r="B25412" t="s">
        <v>29557</v>
      </c>
      <c r="C25412">
        <v>0</v>
      </c>
      <c r="D25412" t="s">
        <v>106</v>
      </c>
      <c r="E25412">
        <v>14.740629685157399</v>
      </c>
    </row>
    <row r="25413" spans="1:5">
      <c r="A25413" t="s">
        <v>29558</v>
      </c>
      <c r="B25413" t="s">
        <v>29559</v>
      </c>
      <c r="C25413">
        <v>0</v>
      </c>
      <c r="D25413" t="s">
        <v>106</v>
      </c>
      <c r="E25413">
        <v>0.91154422788605605</v>
      </c>
    </row>
    <row r="25414" spans="1:5">
      <c r="A25414" t="s">
        <v>29558</v>
      </c>
      <c r="B25414" t="s">
        <v>29560</v>
      </c>
      <c r="C25414">
        <v>0</v>
      </c>
      <c r="D25414" t="s">
        <v>106</v>
      </c>
      <c r="E25414">
        <v>0.91154422788605605</v>
      </c>
    </row>
    <row r="25415" spans="1:5">
      <c r="A25415" t="s">
        <v>29558</v>
      </c>
      <c r="B25415" t="s">
        <v>29561</v>
      </c>
      <c r="C25415">
        <v>0</v>
      </c>
      <c r="D25415" t="s">
        <v>106</v>
      </c>
      <c r="E25415">
        <v>0.91154422788605605</v>
      </c>
    </row>
    <row r="25416" spans="1:5">
      <c r="A25416" t="s">
        <v>29558</v>
      </c>
      <c r="B25416" t="s">
        <v>29562</v>
      </c>
      <c r="C25416">
        <v>0</v>
      </c>
      <c r="D25416" t="s">
        <v>106</v>
      </c>
      <c r="E25416">
        <v>0.91154422788605605</v>
      </c>
    </row>
    <row r="25417" spans="1:5">
      <c r="A25417" t="s">
        <v>29558</v>
      </c>
      <c r="B25417" t="s">
        <v>29563</v>
      </c>
      <c r="C25417">
        <f>0</f>
        <v>0</v>
      </c>
      <c r="D25417" t="s">
        <v>106</v>
      </c>
      <c r="E25417">
        <v>0.91154422788605605</v>
      </c>
    </row>
    <row r="25418" spans="1:5">
      <c r="A25418" t="s">
        <v>29558</v>
      </c>
      <c r="B25418" t="s">
        <v>29564</v>
      </c>
      <c r="C25418">
        <f>0</f>
        <v>0</v>
      </c>
      <c r="D25418" t="s">
        <v>106</v>
      </c>
      <c r="E25418">
        <v>0.91154422788605605</v>
      </c>
    </row>
    <row r="25419" spans="1:5">
      <c r="A25419" t="s">
        <v>29558</v>
      </c>
      <c r="B25419" t="s">
        <v>29565</v>
      </c>
      <c r="C25419">
        <f>0</f>
        <v>0</v>
      </c>
      <c r="D25419" t="s">
        <v>106</v>
      </c>
      <c r="E25419">
        <v>0.91154422788605605</v>
      </c>
    </row>
    <row r="25420" spans="1:5">
      <c r="A25420" t="s">
        <v>29558</v>
      </c>
      <c r="B25420" t="s">
        <v>29566</v>
      </c>
      <c r="C25420">
        <v>0</v>
      </c>
      <c r="D25420" t="s">
        <v>106</v>
      </c>
      <c r="E25420">
        <v>0.91154422788605605</v>
      </c>
    </row>
    <row r="25421" spans="1:5">
      <c r="A25421" t="s">
        <v>29558</v>
      </c>
      <c r="B25421" t="s">
        <v>29567</v>
      </c>
      <c r="C25421">
        <v>0</v>
      </c>
      <c r="D25421" t="s">
        <v>106</v>
      </c>
      <c r="E25421">
        <v>0.91154422788605605</v>
      </c>
    </row>
    <row r="25422" spans="1:5">
      <c r="A25422" t="s">
        <v>29558</v>
      </c>
      <c r="B25422" t="s">
        <v>29568</v>
      </c>
      <c r="C25422">
        <f>0</f>
        <v>0</v>
      </c>
      <c r="D25422" t="s">
        <v>106</v>
      </c>
      <c r="E25422">
        <v>0.91154422788605605</v>
      </c>
    </row>
    <row r="25423" spans="1:5">
      <c r="A25423" t="s">
        <v>29569</v>
      </c>
      <c r="B25423" t="s">
        <v>29570</v>
      </c>
      <c r="C25423">
        <v>0</v>
      </c>
      <c r="D25423">
        <v>0.88112270669799997</v>
      </c>
      <c r="E25423">
        <v>10.878560719640101</v>
      </c>
    </row>
    <row r="25424" spans="1:5">
      <c r="A25424" t="s">
        <v>29569</v>
      </c>
      <c r="B25424" t="s">
        <v>29571</v>
      </c>
      <c r="C25424">
        <v>1.74449578191E-2</v>
      </c>
      <c r="D25424">
        <v>0.88112270669799997</v>
      </c>
      <c r="E25424">
        <v>10.878560719640101</v>
      </c>
    </row>
    <row r="25425" spans="1:5">
      <c r="A25425" t="s">
        <v>29569</v>
      </c>
      <c r="B25425" t="s">
        <v>29572</v>
      </c>
      <c r="C25425">
        <v>7.5763424513899998E-3</v>
      </c>
      <c r="D25425">
        <v>0.88112270669799997</v>
      </c>
      <c r="E25425">
        <v>10.878560719640101</v>
      </c>
    </row>
    <row r="25426" spans="1:5">
      <c r="A25426" t="s">
        <v>29569</v>
      </c>
      <c r="B25426" t="s">
        <v>29573</v>
      </c>
      <c r="C25426">
        <f>0</f>
        <v>0</v>
      </c>
      <c r="D25426">
        <v>0.88112270669799997</v>
      </c>
      <c r="E25426">
        <v>10.878560719640101</v>
      </c>
    </row>
    <row r="25427" spans="1:5">
      <c r="A25427" t="s">
        <v>29569</v>
      </c>
      <c r="B25427" t="s">
        <v>29574</v>
      </c>
      <c r="C25427">
        <f>0</f>
        <v>0</v>
      </c>
      <c r="D25427">
        <v>0.88112270669799997</v>
      </c>
      <c r="E25427">
        <v>10.878560719640101</v>
      </c>
    </row>
    <row r="25428" spans="1:5">
      <c r="A25428" t="s">
        <v>29575</v>
      </c>
      <c r="B25428" t="s">
        <v>29576</v>
      </c>
      <c r="C25428">
        <v>0.25205662714100002</v>
      </c>
      <c r="D25428">
        <v>0.77338724162899997</v>
      </c>
      <c r="E25428">
        <v>9.0194902548725597</v>
      </c>
    </row>
    <row r="25429" spans="1:5">
      <c r="A25429" t="s">
        <v>29577</v>
      </c>
      <c r="B25429" t="s">
        <v>29578</v>
      </c>
      <c r="C25429">
        <f>0.0661882268896</f>
        <v>6.6188226889599994E-2</v>
      </c>
      <c r="D25429">
        <v>0.98301105684199996</v>
      </c>
      <c r="E25429">
        <v>6.8005997001499203</v>
      </c>
    </row>
    <row r="25430" spans="1:5">
      <c r="A25430" t="s">
        <v>29577</v>
      </c>
      <c r="B25430" t="s">
        <v>29579</v>
      </c>
      <c r="C25430">
        <v>1.01369598144E-3</v>
      </c>
      <c r="D25430">
        <v>0.98301105684199996</v>
      </c>
      <c r="E25430">
        <v>6.8005997001499203</v>
      </c>
    </row>
    <row r="25431" spans="1:5">
      <c r="A25431" t="s">
        <v>29580</v>
      </c>
      <c r="B25431" t="s">
        <v>29581</v>
      </c>
      <c r="C25431">
        <v>0</v>
      </c>
      <c r="D25431" t="s">
        <v>106</v>
      </c>
      <c r="E25431">
        <v>13.445277361319301</v>
      </c>
    </row>
    <row r="25432" spans="1:5">
      <c r="A25432" t="s">
        <v>29580</v>
      </c>
      <c r="B25432" t="s">
        <v>29582</v>
      </c>
      <c r="C25432">
        <v>0</v>
      </c>
      <c r="D25432" t="s">
        <v>106</v>
      </c>
      <c r="E25432">
        <v>13.445277361319301</v>
      </c>
    </row>
    <row r="25433" spans="1:5">
      <c r="A25433" t="s">
        <v>29580</v>
      </c>
      <c r="B25433" t="s">
        <v>29583</v>
      </c>
      <c r="C25433">
        <f>0</f>
        <v>0</v>
      </c>
      <c r="D25433" t="s">
        <v>106</v>
      </c>
      <c r="E25433">
        <v>13.445277361319301</v>
      </c>
    </row>
    <row r="25434" spans="1:5">
      <c r="A25434" t="s">
        <v>29580</v>
      </c>
      <c r="B25434" t="s">
        <v>29584</v>
      </c>
      <c r="C25434">
        <f>0</f>
        <v>0</v>
      </c>
      <c r="D25434" t="s">
        <v>106</v>
      </c>
      <c r="E25434">
        <v>13.445277361319301</v>
      </c>
    </row>
    <row r="25435" spans="1:5">
      <c r="A25435" t="s">
        <v>29580</v>
      </c>
      <c r="B25435" t="s">
        <v>29585</v>
      </c>
      <c r="C25435">
        <v>0</v>
      </c>
      <c r="D25435" t="s">
        <v>106</v>
      </c>
      <c r="E25435">
        <v>13.445277361319301</v>
      </c>
    </row>
    <row r="25436" spans="1:5">
      <c r="A25436" t="s">
        <v>29580</v>
      </c>
      <c r="B25436" t="s">
        <v>29586</v>
      </c>
      <c r="C25436">
        <v>0</v>
      </c>
      <c r="D25436" t="s">
        <v>106</v>
      </c>
      <c r="E25436">
        <v>13.445277361319301</v>
      </c>
    </row>
    <row r="25437" spans="1:5">
      <c r="A25437" t="s">
        <v>29580</v>
      </c>
      <c r="B25437" t="s">
        <v>29587</v>
      </c>
      <c r="C25437">
        <f>0</f>
        <v>0</v>
      </c>
      <c r="D25437" t="s">
        <v>106</v>
      </c>
      <c r="E25437">
        <v>13.445277361319301</v>
      </c>
    </row>
    <row r="25438" spans="1:5">
      <c r="A25438" t="s">
        <v>29580</v>
      </c>
      <c r="B25438" t="s">
        <v>29588</v>
      </c>
      <c r="C25438">
        <v>0</v>
      </c>
      <c r="D25438" t="s">
        <v>106</v>
      </c>
      <c r="E25438">
        <v>13.445277361319301</v>
      </c>
    </row>
    <row r="25439" spans="1:5">
      <c r="A25439" t="s">
        <v>29580</v>
      </c>
      <c r="B25439" t="s">
        <v>29589</v>
      </c>
      <c r="C25439">
        <f>0</f>
        <v>0</v>
      </c>
      <c r="D25439" t="s">
        <v>106</v>
      </c>
      <c r="E25439">
        <v>13.445277361319301</v>
      </c>
    </row>
    <row r="25440" spans="1:5">
      <c r="A25440" t="s">
        <v>29590</v>
      </c>
      <c r="B25440" t="s">
        <v>29591</v>
      </c>
      <c r="C25440">
        <v>8.54913797309E-2</v>
      </c>
      <c r="D25440" t="s">
        <v>106</v>
      </c>
      <c r="E25440">
        <v>7.0644677661169402</v>
      </c>
    </row>
    <row r="25441" spans="1:5">
      <c r="A25441" t="s">
        <v>29590</v>
      </c>
      <c r="B25441" t="s">
        <v>29592</v>
      </c>
      <c r="C25441">
        <f>0</f>
        <v>0</v>
      </c>
      <c r="D25441" t="s">
        <v>106</v>
      </c>
      <c r="E25441">
        <v>7.0644677661169402</v>
      </c>
    </row>
    <row r="25442" spans="1:5">
      <c r="A25442" t="s">
        <v>29590</v>
      </c>
      <c r="B25442" t="s">
        <v>29593</v>
      </c>
      <c r="C25442">
        <f>0</f>
        <v>0</v>
      </c>
      <c r="D25442" t="s">
        <v>106</v>
      </c>
      <c r="E25442">
        <v>7.0644677661169402</v>
      </c>
    </row>
    <row r="25443" spans="1:5">
      <c r="A25443" t="s">
        <v>29590</v>
      </c>
      <c r="B25443" t="s">
        <v>29594</v>
      </c>
      <c r="C25443">
        <f>0</f>
        <v>0</v>
      </c>
      <c r="D25443" t="s">
        <v>106</v>
      </c>
      <c r="E25443">
        <v>7.0644677661169402</v>
      </c>
    </row>
    <row r="25444" spans="1:5">
      <c r="A25444" t="s">
        <v>29590</v>
      </c>
      <c r="B25444" t="s">
        <v>29595</v>
      </c>
      <c r="C25444">
        <v>0</v>
      </c>
      <c r="D25444" t="s">
        <v>106</v>
      </c>
      <c r="E25444">
        <v>7.0644677661169402</v>
      </c>
    </row>
    <row r="25445" spans="1:5">
      <c r="A25445" t="s">
        <v>29590</v>
      </c>
      <c r="B25445" t="s">
        <v>29596</v>
      </c>
      <c r="C25445">
        <f>0</f>
        <v>0</v>
      </c>
      <c r="D25445" t="s">
        <v>106</v>
      </c>
      <c r="E25445">
        <v>7.0644677661169402</v>
      </c>
    </row>
    <row r="25446" spans="1:5">
      <c r="A25446" t="s">
        <v>29597</v>
      </c>
      <c r="B25446" t="s">
        <v>29598</v>
      </c>
      <c r="C25446">
        <f>0</f>
        <v>0</v>
      </c>
      <c r="D25446" t="s">
        <v>106</v>
      </c>
      <c r="E25446">
        <v>1.11544227886056</v>
      </c>
    </row>
    <row r="25447" spans="1:5">
      <c r="A25447" t="s">
        <v>29597</v>
      </c>
      <c r="B25447" t="s">
        <v>29599</v>
      </c>
      <c r="C25447">
        <v>0</v>
      </c>
      <c r="D25447" t="s">
        <v>106</v>
      </c>
      <c r="E25447">
        <v>1.11544227886056</v>
      </c>
    </row>
    <row r="25448" spans="1:5">
      <c r="A25448" t="s">
        <v>29597</v>
      </c>
      <c r="B25448" t="s">
        <v>29600</v>
      </c>
      <c r="C25448">
        <v>0</v>
      </c>
      <c r="D25448" t="s">
        <v>106</v>
      </c>
      <c r="E25448">
        <v>1.11544227886056</v>
      </c>
    </row>
    <row r="25449" spans="1:5">
      <c r="A25449" t="s">
        <v>29597</v>
      </c>
      <c r="B25449" t="s">
        <v>29601</v>
      </c>
      <c r="C25449">
        <v>0</v>
      </c>
      <c r="D25449" t="s">
        <v>106</v>
      </c>
      <c r="E25449">
        <v>1.11544227886056</v>
      </c>
    </row>
    <row r="25450" spans="1:5">
      <c r="A25450" t="s">
        <v>29602</v>
      </c>
      <c r="B25450" t="s">
        <v>29603</v>
      </c>
      <c r="C25450">
        <v>0</v>
      </c>
      <c r="D25450">
        <v>0.84786114741999996</v>
      </c>
      <c r="E25450">
        <v>24</v>
      </c>
    </row>
    <row r="25451" spans="1:5">
      <c r="A25451" t="s">
        <v>29602</v>
      </c>
      <c r="B25451" t="s">
        <v>29604</v>
      </c>
      <c r="C25451">
        <v>0</v>
      </c>
      <c r="D25451">
        <v>0.84786114741999996</v>
      </c>
      <c r="E25451">
        <v>24</v>
      </c>
    </row>
    <row r="25452" spans="1:5">
      <c r="A25452" t="s">
        <v>29602</v>
      </c>
      <c r="B25452" t="s">
        <v>29605</v>
      </c>
      <c r="C25452">
        <v>0</v>
      </c>
      <c r="D25452">
        <v>0.84786114741999996</v>
      </c>
      <c r="E25452">
        <v>24</v>
      </c>
    </row>
    <row r="25453" spans="1:5">
      <c r="A25453" t="s">
        <v>29602</v>
      </c>
      <c r="B25453" t="s">
        <v>29606</v>
      </c>
      <c r="C25453">
        <v>0</v>
      </c>
      <c r="D25453">
        <v>0.84786114741999996</v>
      </c>
      <c r="E25453">
        <v>24</v>
      </c>
    </row>
    <row r="25454" spans="1:5">
      <c r="A25454" t="s">
        <v>29602</v>
      </c>
      <c r="B25454" t="s">
        <v>29607</v>
      </c>
      <c r="C25454">
        <f>0</f>
        <v>0</v>
      </c>
      <c r="D25454">
        <v>0.84786114741999996</v>
      </c>
      <c r="E25454">
        <v>24</v>
      </c>
    </row>
    <row r="25455" spans="1:5">
      <c r="A25455" t="s">
        <v>29602</v>
      </c>
      <c r="B25455" t="s">
        <v>29608</v>
      </c>
      <c r="C25455">
        <f>0</f>
        <v>0</v>
      </c>
      <c r="D25455">
        <v>0.84786114741999996</v>
      </c>
      <c r="E25455">
        <v>24</v>
      </c>
    </row>
    <row r="25456" spans="1:5">
      <c r="A25456" t="s">
        <v>29602</v>
      </c>
      <c r="B25456" t="s">
        <v>29609</v>
      </c>
      <c r="C25456">
        <f>0</f>
        <v>0</v>
      </c>
      <c r="D25456">
        <v>0.84786114741999996</v>
      </c>
      <c r="E25456">
        <v>24</v>
      </c>
    </row>
    <row r="25457" spans="1:5">
      <c r="A25457" t="s">
        <v>29610</v>
      </c>
      <c r="B25457" t="s">
        <v>29611</v>
      </c>
      <c r="C25457">
        <v>0</v>
      </c>
      <c r="D25457">
        <v>0.94215624162699996</v>
      </c>
      <c r="E25457">
        <v>19.4182908545727</v>
      </c>
    </row>
    <row r="25458" spans="1:5">
      <c r="A25458" t="s">
        <v>29610</v>
      </c>
      <c r="B25458" t="s">
        <v>29612</v>
      </c>
      <c r="C25458">
        <f>0</f>
        <v>0</v>
      </c>
      <c r="D25458">
        <v>0.94215624162699996</v>
      </c>
      <c r="E25458">
        <v>19.4182908545727</v>
      </c>
    </row>
    <row r="25459" spans="1:5">
      <c r="A25459" t="s">
        <v>29610</v>
      </c>
      <c r="B25459" t="s">
        <v>29613</v>
      </c>
      <c r="C25459">
        <f>0</f>
        <v>0</v>
      </c>
      <c r="D25459">
        <v>0.94215624162699996</v>
      </c>
      <c r="E25459">
        <v>19.4182908545727</v>
      </c>
    </row>
    <row r="25460" spans="1:5">
      <c r="A25460" t="s">
        <v>29610</v>
      </c>
      <c r="B25460" t="s">
        <v>29614</v>
      </c>
      <c r="C25460">
        <v>0</v>
      </c>
      <c r="D25460">
        <v>0.94215624162699996</v>
      </c>
      <c r="E25460">
        <v>19.4182908545727</v>
      </c>
    </row>
    <row r="25461" spans="1:5">
      <c r="A25461" t="s">
        <v>29615</v>
      </c>
      <c r="B25461" t="s">
        <v>29616</v>
      </c>
      <c r="C25461">
        <v>0</v>
      </c>
      <c r="D25461" t="s">
        <v>106</v>
      </c>
      <c r="E25461">
        <v>11.8740629685157</v>
      </c>
    </row>
    <row r="25462" spans="1:5">
      <c r="A25462" t="s">
        <v>29615</v>
      </c>
      <c r="B25462" t="s">
        <v>29617</v>
      </c>
      <c r="C25462">
        <f>0</f>
        <v>0</v>
      </c>
      <c r="D25462" t="s">
        <v>106</v>
      </c>
      <c r="E25462">
        <v>11.8740629685157</v>
      </c>
    </row>
    <row r="25463" spans="1:5">
      <c r="A25463" t="s">
        <v>29615</v>
      </c>
      <c r="B25463" t="s">
        <v>29618</v>
      </c>
      <c r="C25463">
        <f>0</f>
        <v>0</v>
      </c>
      <c r="D25463" t="s">
        <v>106</v>
      </c>
      <c r="E25463">
        <v>11.8740629685157</v>
      </c>
    </row>
    <row r="25464" spans="1:5">
      <c r="A25464" t="s">
        <v>29615</v>
      </c>
      <c r="B25464" t="s">
        <v>29619</v>
      </c>
      <c r="C25464">
        <f>0</f>
        <v>0</v>
      </c>
      <c r="D25464" t="s">
        <v>106</v>
      </c>
      <c r="E25464">
        <v>11.8740629685157</v>
      </c>
    </row>
    <row r="25465" spans="1:5">
      <c r="A25465" t="s">
        <v>29620</v>
      </c>
      <c r="B25465" t="s">
        <v>29621</v>
      </c>
      <c r="C25465">
        <v>5.6454274132300003E-2</v>
      </c>
      <c r="D25465">
        <v>0.936148123735</v>
      </c>
      <c r="E25465">
        <v>1.11544227886056</v>
      </c>
    </row>
    <row r="25466" spans="1:5">
      <c r="A25466" t="s">
        <v>29620</v>
      </c>
      <c r="B25466" t="s">
        <v>29622</v>
      </c>
      <c r="C25466">
        <v>0</v>
      </c>
      <c r="D25466">
        <v>0.936148123735</v>
      </c>
      <c r="E25466">
        <v>1.11544227886056</v>
      </c>
    </row>
    <row r="25467" spans="1:5">
      <c r="A25467" t="s">
        <v>29623</v>
      </c>
      <c r="B25467" t="s">
        <v>29624</v>
      </c>
      <c r="C25467">
        <v>0</v>
      </c>
      <c r="D25467" t="s">
        <v>106</v>
      </c>
      <c r="E25467">
        <v>0.91154422788605605</v>
      </c>
    </row>
    <row r="25468" spans="1:5">
      <c r="A25468" t="s">
        <v>29623</v>
      </c>
      <c r="B25468" t="s">
        <v>29625</v>
      </c>
      <c r="C25468">
        <v>0</v>
      </c>
      <c r="D25468" t="s">
        <v>106</v>
      </c>
      <c r="E25468">
        <v>0.91154422788605605</v>
      </c>
    </row>
    <row r="25469" spans="1:5">
      <c r="A25469" t="s">
        <v>29623</v>
      </c>
      <c r="B25469" t="s">
        <v>29626</v>
      </c>
      <c r="C25469">
        <v>0</v>
      </c>
      <c r="D25469" t="s">
        <v>106</v>
      </c>
      <c r="E25469">
        <v>0.91154422788605605</v>
      </c>
    </row>
    <row r="25470" spans="1:5">
      <c r="A25470" t="s">
        <v>29623</v>
      </c>
      <c r="B25470" t="s">
        <v>29627</v>
      </c>
      <c r="C25470">
        <v>0</v>
      </c>
      <c r="D25470" t="s">
        <v>106</v>
      </c>
      <c r="E25470">
        <v>0.91154422788605605</v>
      </c>
    </row>
    <row r="25471" spans="1:5">
      <c r="A25471" t="s">
        <v>29623</v>
      </c>
      <c r="B25471" t="s">
        <v>29628</v>
      </c>
      <c r="C25471">
        <v>0</v>
      </c>
      <c r="D25471" t="s">
        <v>106</v>
      </c>
      <c r="E25471">
        <v>0.91154422788605605</v>
      </c>
    </row>
    <row r="25472" spans="1:5">
      <c r="A25472" t="s">
        <v>29623</v>
      </c>
      <c r="B25472" t="s">
        <v>29629</v>
      </c>
      <c r="C25472">
        <v>0</v>
      </c>
      <c r="D25472" t="s">
        <v>106</v>
      </c>
      <c r="E25472">
        <v>0.91154422788605605</v>
      </c>
    </row>
    <row r="25473" spans="1:5">
      <c r="A25473" t="s">
        <v>29623</v>
      </c>
      <c r="B25473" t="s">
        <v>29630</v>
      </c>
      <c r="C25473">
        <v>0</v>
      </c>
      <c r="D25473" t="s">
        <v>106</v>
      </c>
      <c r="E25473">
        <v>0.91154422788605605</v>
      </c>
    </row>
    <row r="25474" spans="1:5">
      <c r="A25474" t="s">
        <v>29623</v>
      </c>
      <c r="B25474" t="s">
        <v>29631</v>
      </c>
      <c r="C25474">
        <v>0</v>
      </c>
      <c r="D25474" t="s">
        <v>106</v>
      </c>
      <c r="E25474">
        <v>0.91154422788605605</v>
      </c>
    </row>
    <row r="25475" spans="1:5">
      <c r="A25475" t="s">
        <v>29623</v>
      </c>
      <c r="B25475" t="s">
        <v>29632</v>
      </c>
      <c r="C25475">
        <v>0</v>
      </c>
      <c r="D25475" t="s">
        <v>106</v>
      </c>
      <c r="E25475">
        <v>0.91154422788605605</v>
      </c>
    </row>
    <row r="25476" spans="1:5">
      <c r="A25476" t="s">
        <v>29633</v>
      </c>
      <c r="B25476" t="s">
        <v>29634</v>
      </c>
      <c r="C25476">
        <v>0</v>
      </c>
      <c r="D25476">
        <v>0.84807177138699996</v>
      </c>
      <c r="E25476">
        <v>24</v>
      </c>
    </row>
    <row r="25477" spans="1:5">
      <c r="A25477" t="s">
        <v>29633</v>
      </c>
      <c r="B25477" t="s">
        <v>29635</v>
      </c>
      <c r="C25477">
        <f>0</f>
        <v>0</v>
      </c>
      <c r="D25477">
        <v>0.84807177138699996</v>
      </c>
      <c r="E25477">
        <v>24</v>
      </c>
    </row>
    <row r="25478" spans="1:5">
      <c r="A25478" t="s">
        <v>29633</v>
      </c>
      <c r="B25478" t="s">
        <v>29636</v>
      </c>
      <c r="C25478">
        <v>0</v>
      </c>
      <c r="D25478">
        <v>0.84807177138699996</v>
      </c>
      <c r="E25478">
        <v>24</v>
      </c>
    </row>
    <row r="25479" spans="1:5">
      <c r="A25479" t="s">
        <v>29633</v>
      </c>
      <c r="B25479" t="s">
        <v>29637</v>
      </c>
      <c r="C25479">
        <v>0</v>
      </c>
      <c r="D25479">
        <v>0.84807177138699996</v>
      </c>
      <c r="E25479">
        <v>24</v>
      </c>
    </row>
    <row r="25480" spans="1:5">
      <c r="A25480" t="s">
        <v>29633</v>
      </c>
      <c r="B25480" t="s">
        <v>29638</v>
      </c>
      <c r="C25480">
        <f>0</f>
        <v>0</v>
      </c>
      <c r="D25480">
        <v>0.84807177138699996</v>
      </c>
      <c r="E25480">
        <v>24</v>
      </c>
    </row>
    <row r="25481" spans="1:5">
      <c r="A25481" t="s">
        <v>29633</v>
      </c>
      <c r="B25481" t="s">
        <v>29639</v>
      </c>
      <c r="C25481">
        <f>0</f>
        <v>0</v>
      </c>
      <c r="D25481">
        <v>0.84807177138699996</v>
      </c>
      <c r="E25481">
        <v>24</v>
      </c>
    </row>
    <row r="25482" spans="1:5">
      <c r="A25482" t="s">
        <v>29633</v>
      </c>
      <c r="B25482" t="s">
        <v>29640</v>
      </c>
      <c r="C25482">
        <f>0</f>
        <v>0</v>
      </c>
      <c r="D25482">
        <v>0.84807177138699996</v>
      </c>
      <c r="E25482">
        <v>24</v>
      </c>
    </row>
    <row r="25483" spans="1:5">
      <c r="A25483" t="s">
        <v>29633</v>
      </c>
      <c r="B25483" t="s">
        <v>29641</v>
      </c>
      <c r="C25483">
        <f>0</f>
        <v>0</v>
      </c>
      <c r="D25483">
        <v>0.84807177138699996</v>
      </c>
      <c r="E25483">
        <v>24</v>
      </c>
    </row>
    <row r="25484" spans="1:5">
      <c r="A25484" t="s">
        <v>29633</v>
      </c>
      <c r="B25484" t="s">
        <v>29642</v>
      </c>
      <c r="C25484">
        <v>0</v>
      </c>
      <c r="D25484">
        <v>0.84807177138699996</v>
      </c>
      <c r="E25484">
        <v>24</v>
      </c>
    </row>
    <row r="25485" spans="1:5">
      <c r="A25485" t="s">
        <v>29633</v>
      </c>
      <c r="B25485" t="s">
        <v>29643</v>
      </c>
      <c r="C25485">
        <f>0</f>
        <v>0</v>
      </c>
      <c r="D25485">
        <v>0.84807177138699996</v>
      </c>
      <c r="E25485">
        <v>24</v>
      </c>
    </row>
    <row r="25486" spans="1:5">
      <c r="A25486" t="s">
        <v>29633</v>
      </c>
      <c r="B25486" t="s">
        <v>29644</v>
      </c>
      <c r="C25486">
        <f>0</f>
        <v>0</v>
      </c>
      <c r="D25486">
        <v>0.84807177138699996</v>
      </c>
      <c r="E25486">
        <v>24</v>
      </c>
    </row>
    <row r="25487" spans="1:5">
      <c r="A25487" t="s">
        <v>29633</v>
      </c>
      <c r="B25487" t="s">
        <v>29645</v>
      </c>
      <c r="C25487">
        <v>0</v>
      </c>
      <c r="D25487">
        <v>0.84807177138699996</v>
      </c>
      <c r="E25487">
        <v>24</v>
      </c>
    </row>
    <row r="25488" spans="1:5">
      <c r="A25488" t="s">
        <v>29633</v>
      </c>
      <c r="B25488" t="s">
        <v>29646</v>
      </c>
      <c r="C25488">
        <f>0</f>
        <v>0</v>
      </c>
      <c r="D25488">
        <v>0.84807177138699996</v>
      </c>
      <c r="E25488">
        <v>24</v>
      </c>
    </row>
    <row r="25489" spans="1:5">
      <c r="A25489" t="s">
        <v>29647</v>
      </c>
      <c r="B25489" t="s">
        <v>29648</v>
      </c>
      <c r="C25489">
        <v>0</v>
      </c>
      <c r="D25489">
        <v>0.91380348282699997</v>
      </c>
      <c r="E25489">
        <v>18.554722638680602</v>
      </c>
    </row>
    <row r="25490" spans="1:5">
      <c r="A25490" t="s">
        <v>29647</v>
      </c>
      <c r="B25490" t="s">
        <v>29649</v>
      </c>
      <c r="C25490">
        <v>9.0603711594199998E-2</v>
      </c>
      <c r="D25490">
        <v>0.91380348282699997</v>
      </c>
      <c r="E25490">
        <v>18.554722638680602</v>
      </c>
    </row>
    <row r="25491" spans="1:5">
      <c r="A25491" t="s">
        <v>29647</v>
      </c>
      <c r="B25491" t="s">
        <v>29650</v>
      </c>
      <c r="C25491">
        <v>0</v>
      </c>
      <c r="D25491">
        <v>0.91380348282699997</v>
      </c>
      <c r="E25491">
        <v>18.554722638680602</v>
      </c>
    </row>
    <row r="25492" spans="1:5">
      <c r="A25492" t="s">
        <v>29647</v>
      </c>
      <c r="B25492" t="s">
        <v>29651</v>
      </c>
      <c r="C25492">
        <f>0.0135984237543</f>
        <v>1.3598423754299999E-2</v>
      </c>
      <c r="D25492">
        <v>0.91380348282699997</v>
      </c>
      <c r="E25492">
        <v>18.554722638680602</v>
      </c>
    </row>
    <row r="25493" spans="1:5">
      <c r="A25493" t="s">
        <v>29652</v>
      </c>
      <c r="B25493" t="s">
        <v>29653</v>
      </c>
      <c r="C25493">
        <f>0.0698530287151</f>
        <v>6.9853028715100005E-2</v>
      </c>
      <c r="D25493" t="s">
        <v>106</v>
      </c>
      <c r="E25493">
        <v>5.3493253373313303</v>
      </c>
    </row>
    <row r="25494" spans="1:5">
      <c r="A25494" t="s">
        <v>29652</v>
      </c>
      <c r="B25494" t="s">
        <v>29654</v>
      </c>
      <c r="C25494">
        <v>0.48794776711900001</v>
      </c>
      <c r="D25494" t="s">
        <v>106</v>
      </c>
      <c r="E25494">
        <v>5.3493253373313303</v>
      </c>
    </row>
    <row r="25495" spans="1:5">
      <c r="A25495" t="s">
        <v>29652</v>
      </c>
      <c r="B25495" t="s">
        <v>29655</v>
      </c>
      <c r="C25495">
        <v>0</v>
      </c>
      <c r="D25495" t="s">
        <v>106</v>
      </c>
      <c r="E25495">
        <v>5.3493253373313303</v>
      </c>
    </row>
    <row r="25496" spans="1:5">
      <c r="A25496" t="s">
        <v>29652</v>
      </c>
      <c r="B25496" t="s">
        <v>29656</v>
      </c>
      <c r="C25496">
        <v>0</v>
      </c>
      <c r="D25496" t="s">
        <v>106</v>
      </c>
      <c r="E25496">
        <v>5.3493253373313303</v>
      </c>
    </row>
    <row r="25497" spans="1:5">
      <c r="A25497" t="s">
        <v>29657</v>
      </c>
      <c r="B25497" t="s">
        <v>29658</v>
      </c>
      <c r="C25497">
        <v>0.43003119511100002</v>
      </c>
      <c r="D25497">
        <v>0.98135232247699999</v>
      </c>
      <c r="E25497">
        <v>10.5547226386806</v>
      </c>
    </row>
    <row r="25498" spans="1:5">
      <c r="A25498" t="s">
        <v>29657</v>
      </c>
      <c r="B25498" t="s">
        <v>29659</v>
      </c>
      <c r="C25498">
        <f>0</f>
        <v>0</v>
      </c>
      <c r="D25498">
        <v>0.98135232247699999</v>
      </c>
      <c r="E25498">
        <v>10.5547226386806</v>
      </c>
    </row>
    <row r="25499" spans="1:5">
      <c r="A25499" t="s">
        <v>29657</v>
      </c>
      <c r="B25499" t="s">
        <v>29660</v>
      </c>
      <c r="C25499">
        <f>0.11368017228</f>
        <v>0.11368017228000001</v>
      </c>
      <c r="D25499">
        <v>0.98135232247699999</v>
      </c>
      <c r="E25499">
        <v>10.5547226386806</v>
      </c>
    </row>
    <row r="25500" spans="1:5">
      <c r="A25500" t="s">
        <v>29661</v>
      </c>
      <c r="B25500" t="s">
        <v>29662</v>
      </c>
      <c r="C25500">
        <f>0</f>
        <v>0</v>
      </c>
      <c r="D25500">
        <v>0.87925723408300005</v>
      </c>
      <c r="E25500">
        <v>16.095952023988001</v>
      </c>
    </row>
    <row r="25501" spans="1:5">
      <c r="A25501" t="s">
        <v>29661</v>
      </c>
      <c r="B25501" t="s">
        <v>29663</v>
      </c>
      <c r="C25501">
        <f>0</f>
        <v>0</v>
      </c>
      <c r="D25501">
        <v>0.87925723408300005</v>
      </c>
      <c r="E25501">
        <v>16.095952023988001</v>
      </c>
    </row>
    <row r="25502" spans="1:5">
      <c r="A25502" t="s">
        <v>29661</v>
      </c>
      <c r="B25502" t="s">
        <v>29664</v>
      </c>
      <c r="C25502">
        <f>0</f>
        <v>0</v>
      </c>
      <c r="D25502">
        <v>0.87925723408300005</v>
      </c>
      <c r="E25502">
        <v>16.095952023988001</v>
      </c>
    </row>
    <row r="25503" spans="1:5">
      <c r="A25503" t="s">
        <v>29661</v>
      </c>
      <c r="B25503" t="s">
        <v>29665</v>
      </c>
      <c r="C25503">
        <f>0</f>
        <v>0</v>
      </c>
      <c r="D25503">
        <v>0.87925723408300005</v>
      </c>
      <c r="E25503">
        <v>16.095952023988001</v>
      </c>
    </row>
    <row r="25504" spans="1:5">
      <c r="A25504" t="s">
        <v>29661</v>
      </c>
      <c r="B25504" t="s">
        <v>29666</v>
      </c>
      <c r="C25504">
        <f>0.176991220249</f>
        <v>0.17699122024899999</v>
      </c>
      <c r="D25504">
        <v>0.87925723408300005</v>
      </c>
      <c r="E25504">
        <v>16.095952023988001</v>
      </c>
    </row>
    <row r="25505" spans="1:5">
      <c r="A25505" t="s">
        <v>29661</v>
      </c>
      <c r="B25505" t="s">
        <v>29667</v>
      </c>
      <c r="C25505">
        <f>0.0152221866328</f>
        <v>1.52221866328E-2</v>
      </c>
      <c r="D25505">
        <v>0.87925723408300005</v>
      </c>
      <c r="E25505">
        <v>16.095952023988001</v>
      </c>
    </row>
    <row r="25506" spans="1:5">
      <c r="A25506" t="s">
        <v>29668</v>
      </c>
      <c r="B25506" t="s">
        <v>29669</v>
      </c>
      <c r="C25506">
        <v>5.4566344021600002E-2</v>
      </c>
      <c r="D25506">
        <v>0.83768023361099997</v>
      </c>
      <c r="E25506">
        <v>0.86356821589205401</v>
      </c>
    </row>
    <row r="25507" spans="1:5">
      <c r="A25507" t="s">
        <v>29668</v>
      </c>
      <c r="B25507" t="s">
        <v>29670</v>
      </c>
      <c r="C25507">
        <v>0.16932030695899999</v>
      </c>
      <c r="D25507">
        <v>0.83768023361099997</v>
      </c>
      <c r="E25507">
        <v>0.86356821589205401</v>
      </c>
    </row>
    <row r="25508" spans="1:5">
      <c r="A25508" t="s">
        <v>29671</v>
      </c>
      <c r="B25508" t="s">
        <v>29672</v>
      </c>
      <c r="C25508">
        <v>0</v>
      </c>
      <c r="D25508">
        <v>0.99668336006799996</v>
      </c>
      <c r="E25508">
        <v>1.00749625187406</v>
      </c>
    </row>
    <row r="25509" spans="1:5">
      <c r="A25509" t="s">
        <v>29671</v>
      </c>
      <c r="B25509" t="s">
        <v>29673</v>
      </c>
      <c r="C25509">
        <v>0.76059753110600004</v>
      </c>
      <c r="D25509">
        <v>0.99668336006799996</v>
      </c>
      <c r="E25509">
        <v>1.00749625187406</v>
      </c>
    </row>
    <row r="25510" spans="1:5">
      <c r="A25510" t="s">
        <v>29674</v>
      </c>
      <c r="B25510" t="s">
        <v>29675</v>
      </c>
      <c r="C25510">
        <f>0</f>
        <v>0</v>
      </c>
      <c r="D25510">
        <v>0.94195317438600001</v>
      </c>
      <c r="E25510">
        <v>3.7781109445277301</v>
      </c>
    </row>
    <row r="25511" spans="1:5">
      <c r="A25511" t="s">
        <v>29674</v>
      </c>
      <c r="B25511" t="s">
        <v>29676</v>
      </c>
      <c r="C25511">
        <v>0</v>
      </c>
      <c r="D25511">
        <v>0.94195317438600001</v>
      </c>
      <c r="E25511">
        <v>3.7781109445277301</v>
      </c>
    </row>
    <row r="25512" spans="1:5">
      <c r="A25512" t="s">
        <v>29674</v>
      </c>
      <c r="B25512" t="s">
        <v>29677</v>
      </c>
      <c r="C25512">
        <f>0</f>
        <v>0</v>
      </c>
      <c r="D25512">
        <v>0.94195317438600001</v>
      </c>
      <c r="E25512">
        <v>3.7781109445277301</v>
      </c>
    </row>
    <row r="25513" spans="1:5">
      <c r="A25513" t="s">
        <v>29678</v>
      </c>
      <c r="B25513" t="s">
        <v>29679</v>
      </c>
      <c r="C25513">
        <v>0.51235933761499997</v>
      </c>
      <c r="D25513">
        <v>0.886618375194</v>
      </c>
      <c r="E25513">
        <v>9.7631184407796106</v>
      </c>
    </row>
    <row r="25514" spans="1:5">
      <c r="A25514" t="s">
        <v>29680</v>
      </c>
      <c r="B25514" t="s">
        <v>29681</v>
      </c>
      <c r="C25514">
        <v>0</v>
      </c>
      <c r="D25514">
        <v>0.513534577464</v>
      </c>
      <c r="E25514">
        <v>4.68965517241379</v>
      </c>
    </row>
    <row r="25515" spans="1:5">
      <c r="A25515" t="s">
        <v>29680</v>
      </c>
      <c r="B25515" t="s">
        <v>29682</v>
      </c>
      <c r="C25515">
        <v>0.224001938451</v>
      </c>
      <c r="D25515">
        <v>0.513534577464</v>
      </c>
      <c r="E25515">
        <v>4.68965517241379</v>
      </c>
    </row>
    <row r="25516" spans="1:5">
      <c r="A25516" t="s">
        <v>29680</v>
      </c>
      <c r="B25516" t="s">
        <v>29683</v>
      </c>
      <c r="C25516">
        <v>0</v>
      </c>
      <c r="D25516">
        <v>0.513534577464</v>
      </c>
      <c r="E25516">
        <v>4.68965517241379</v>
      </c>
    </row>
    <row r="25517" spans="1:5">
      <c r="A25517" t="s">
        <v>29680</v>
      </c>
      <c r="B25517" t="s">
        <v>29684</v>
      </c>
      <c r="C25517">
        <v>0.49530349098999998</v>
      </c>
      <c r="D25517">
        <v>0.513534577464</v>
      </c>
      <c r="E25517">
        <v>4.68965517241379</v>
      </c>
    </row>
    <row r="25518" spans="1:5">
      <c r="A25518" t="s">
        <v>29680</v>
      </c>
      <c r="B25518" t="s">
        <v>29685</v>
      </c>
      <c r="C25518">
        <v>0</v>
      </c>
      <c r="D25518">
        <v>0.513534577464</v>
      </c>
      <c r="E25518">
        <v>4.68965517241379</v>
      </c>
    </row>
    <row r="25519" spans="1:5">
      <c r="A25519" t="s">
        <v>29686</v>
      </c>
      <c r="B25519" t="s">
        <v>29687</v>
      </c>
      <c r="C25519">
        <v>0</v>
      </c>
      <c r="D25519">
        <v>0.911349769059</v>
      </c>
      <c r="E25519">
        <v>0.73163418290854498</v>
      </c>
    </row>
    <row r="25520" spans="1:5">
      <c r="A25520" t="s">
        <v>29686</v>
      </c>
      <c r="B25520" t="s">
        <v>29688</v>
      </c>
      <c r="C25520">
        <v>0</v>
      </c>
      <c r="D25520">
        <v>0.911349769059</v>
      </c>
      <c r="E25520">
        <v>0.73163418290854498</v>
      </c>
    </row>
    <row r="25521" spans="1:5">
      <c r="A25521" t="s">
        <v>29686</v>
      </c>
      <c r="B25521" t="s">
        <v>29689</v>
      </c>
      <c r="C25521">
        <v>2.0807926800799998E-3</v>
      </c>
      <c r="D25521">
        <v>0.911349769059</v>
      </c>
      <c r="E25521">
        <v>0.73163418290854498</v>
      </c>
    </row>
    <row r="25522" spans="1:5">
      <c r="A25522" t="s">
        <v>29686</v>
      </c>
      <c r="B25522" t="s">
        <v>29690</v>
      </c>
      <c r="C25522">
        <f>0</f>
        <v>0</v>
      </c>
      <c r="D25522">
        <v>0.911349769059</v>
      </c>
      <c r="E25522">
        <v>0.73163418290854498</v>
      </c>
    </row>
    <row r="25523" spans="1:5">
      <c r="A25523" t="s">
        <v>29686</v>
      </c>
      <c r="B25523" t="s">
        <v>29691</v>
      </c>
      <c r="C25523">
        <f>0</f>
        <v>0</v>
      </c>
      <c r="D25523">
        <v>0.911349769059</v>
      </c>
      <c r="E25523">
        <v>0.73163418290854498</v>
      </c>
    </row>
    <row r="25524" spans="1:5">
      <c r="A25524" t="s">
        <v>29686</v>
      </c>
      <c r="B25524" t="s">
        <v>29692</v>
      </c>
      <c r="C25524">
        <v>0</v>
      </c>
      <c r="D25524">
        <v>0.911349769059</v>
      </c>
      <c r="E25524">
        <v>0.73163418290854498</v>
      </c>
    </row>
    <row r="25525" spans="1:5">
      <c r="A25525" t="s">
        <v>29686</v>
      </c>
      <c r="B25525" t="s">
        <v>29693</v>
      </c>
      <c r="C25525">
        <v>0</v>
      </c>
      <c r="D25525">
        <v>0.911349769059</v>
      </c>
      <c r="E25525">
        <v>0.73163418290854498</v>
      </c>
    </row>
    <row r="25526" spans="1:5">
      <c r="A25526" t="s">
        <v>29686</v>
      </c>
      <c r="B25526" t="s">
        <v>29694</v>
      </c>
      <c r="C25526">
        <f>0.427318759282</f>
        <v>0.42731875928200003</v>
      </c>
      <c r="D25526">
        <v>0.911349769059</v>
      </c>
      <c r="E25526">
        <v>0.73163418290854498</v>
      </c>
    </row>
    <row r="25527" spans="1:5">
      <c r="A25527" t="s">
        <v>29686</v>
      </c>
      <c r="B25527" t="s">
        <v>29695</v>
      </c>
      <c r="C25527">
        <v>0</v>
      </c>
      <c r="D25527">
        <v>0.911349769059</v>
      </c>
      <c r="E25527">
        <v>0.73163418290854498</v>
      </c>
    </row>
    <row r="25528" spans="1:5">
      <c r="A25528" t="s">
        <v>29686</v>
      </c>
      <c r="B25528" t="s">
        <v>29696</v>
      </c>
      <c r="C25528">
        <f>0</f>
        <v>0</v>
      </c>
      <c r="D25528">
        <v>0.911349769059</v>
      </c>
      <c r="E25528">
        <v>0.73163418290854498</v>
      </c>
    </row>
    <row r="25529" spans="1:5">
      <c r="A25529" t="s">
        <v>29686</v>
      </c>
      <c r="B25529" t="s">
        <v>29697</v>
      </c>
      <c r="C25529">
        <v>0</v>
      </c>
      <c r="D25529">
        <v>0.911349769059</v>
      </c>
      <c r="E25529">
        <v>0.73163418290854498</v>
      </c>
    </row>
    <row r="25530" spans="1:5">
      <c r="A25530" t="s">
        <v>29686</v>
      </c>
      <c r="B25530" t="s">
        <v>29698</v>
      </c>
      <c r="C25530">
        <v>0</v>
      </c>
      <c r="D25530">
        <v>0.911349769059</v>
      </c>
      <c r="E25530">
        <v>0.73163418290854498</v>
      </c>
    </row>
    <row r="25531" spans="1:5">
      <c r="A25531" t="s">
        <v>29699</v>
      </c>
      <c r="B25531" t="s">
        <v>29700</v>
      </c>
      <c r="C25531">
        <v>0</v>
      </c>
      <c r="D25531">
        <v>0.86847083406100001</v>
      </c>
      <c r="E25531">
        <v>14.5487256371814</v>
      </c>
    </row>
    <row r="25532" spans="1:5">
      <c r="A25532" t="s">
        <v>29699</v>
      </c>
      <c r="B25532" t="s">
        <v>29701</v>
      </c>
      <c r="C25532">
        <v>0</v>
      </c>
      <c r="D25532">
        <v>0.86847083406100001</v>
      </c>
      <c r="E25532">
        <v>14.5487256371814</v>
      </c>
    </row>
    <row r="25533" spans="1:5">
      <c r="A25533" t="s">
        <v>29699</v>
      </c>
      <c r="B25533" t="s">
        <v>29702</v>
      </c>
      <c r="C25533">
        <v>0</v>
      </c>
      <c r="D25533">
        <v>0.86847083406100001</v>
      </c>
      <c r="E25533">
        <v>14.5487256371814</v>
      </c>
    </row>
    <row r="25534" spans="1:5">
      <c r="A25534" t="s">
        <v>29699</v>
      </c>
      <c r="B25534" t="s">
        <v>29703</v>
      </c>
      <c r="C25534">
        <v>0</v>
      </c>
      <c r="D25534">
        <v>0.86847083406100001</v>
      </c>
      <c r="E25534">
        <v>14.5487256371814</v>
      </c>
    </row>
    <row r="25535" spans="1:5">
      <c r="A25535" t="s">
        <v>29699</v>
      </c>
      <c r="B25535" t="s">
        <v>29704</v>
      </c>
      <c r="C25535">
        <v>0</v>
      </c>
      <c r="D25535">
        <v>0.86847083406100001</v>
      </c>
      <c r="E25535">
        <v>14.5487256371814</v>
      </c>
    </row>
    <row r="25536" spans="1:5">
      <c r="A25536" t="s">
        <v>29699</v>
      </c>
      <c r="B25536" t="s">
        <v>29705</v>
      </c>
      <c r="C25536">
        <v>3.17410060334E-2</v>
      </c>
      <c r="D25536">
        <v>0.86847083406100001</v>
      </c>
      <c r="E25536">
        <v>14.5487256371814</v>
      </c>
    </row>
    <row r="25537" spans="1:5">
      <c r="A25537" t="s">
        <v>29699</v>
      </c>
      <c r="B25537" t="s">
        <v>29706</v>
      </c>
      <c r="C25537">
        <f>0</f>
        <v>0</v>
      </c>
      <c r="D25537">
        <v>0.86847083406100001</v>
      </c>
      <c r="E25537">
        <v>14.5487256371814</v>
      </c>
    </row>
    <row r="25538" spans="1:5">
      <c r="A25538" t="s">
        <v>29699</v>
      </c>
      <c r="B25538" t="s">
        <v>29707</v>
      </c>
      <c r="C25538">
        <f>0</f>
        <v>0</v>
      </c>
      <c r="D25538">
        <v>0.86847083406100001</v>
      </c>
      <c r="E25538">
        <v>14.5487256371814</v>
      </c>
    </row>
    <row r="25539" spans="1:5">
      <c r="A25539" t="s">
        <v>29699</v>
      </c>
      <c r="B25539" t="s">
        <v>29708</v>
      </c>
      <c r="C25539">
        <v>0</v>
      </c>
      <c r="D25539">
        <v>0.86847083406100001</v>
      </c>
      <c r="E25539">
        <v>14.5487256371814</v>
      </c>
    </row>
    <row r="25540" spans="1:5">
      <c r="A25540" t="s">
        <v>29709</v>
      </c>
      <c r="B25540" t="s">
        <v>29710</v>
      </c>
      <c r="C25540">
        <f>0</f>
        <v>0</v>
      </c>
      <c r="D25540" t="s">
        <v>106</v>
      </c>
      <c r="E25540">
        <v>5.8170914542728598</v>
      </c>
    </row>
    <row r="25541" spans="1:5">
      <c r="A25541" t="s">
        <v>29709</v>
      </c>
      <c r="B25541" t="s">
        <v>29711</v>
      </c>
      <c r="C25541">
        <f>0</f>
        <v>0</v>
      </c>
      <c r="D25541" t="s">
        <v>106</v>
      </c>
      <c r="E25541">
        <v>5.8170914542728598</v>
      </c>
    </row>
    <row r="25542" spans="1:5">
      <c r="A25542" t="s">
        <v>29709</v>
      </c>
      <c r="B25542" t="s">
        <v>29712</v>
      </c>
      <c r="C25542">
        <v>0</v>
      </c>
      <c r="D25542" t="s">
        <v>106</v>
      </c>
      <c r="E25542">
        <v>5.8170914542728598</v>
      </c>
    </row>
    <row r="25543" spans="1:5">
      <c r="A25543" t="s">
        <v>29709</v>
      </c>
      <c r="B25543" t="s">
        <v>29713</v>
      </c>
      <c r="C25543">
        <f>0</f>
        <v>0</v>
      </c>
      <c r="D25543" t="s">
        <v>106</v>
      </c>
      <c r="E25543">
        <v>5.8170914542728598</v>
      </c>
    </row>
    <row r="25544" spans="1:5">
      <c r="A25544" t="s">
        <v>29714</v>
      </c>
      <c r="B25544" t="s">
        <v>29715</v>
      </c>
      <c r="C25544">
        <v>2.2145195673199999E-2</v>
      </c>
      <c r="D25544">
        <v>0.93019836906499997</v>
      </c>
      <c r="E25544">
        <v>23.040479760119901</v>
      </c>
    </row>
    <row r="25545" spans="1:5">
      <c r="A25545" t="s">
        <v>29714</v>
      </c>
      <c r="B25545" t="s">
        <v>29716</v>
      </c>
      <c r="C25545">
        <v>1.6694809394699999E-3</v>
      </c>
      <c r="D25545">
        <v>0.93019836906499997</v>
      </c>
      <c r="E25545">
        <v>23.040479760119901</v>
      </c>
    </row>
    <row r="25546" spans="1:5">
      <c r="A25546" t="s">
        <v>29717</v>
      </c>
      <c r="B25546" t="s">
        <v>29718</v>
      </c>
      <c r="C25546">
        <f>0</f>
        <v>0</v>
      </c>
      <c r="D25546" t="s">
        <v>106</v>
      </c>
      <c r="E25546">
        <v>14.5487256371814</v>
      </c>
    </row>
    <row r="25547" spans="1:5">
      <c r="A25547" t="s">
        <v>29717</v>
      </c>
      <c r="B25547" t="s">
        <v>29719</v>
      </c>
      <c r="C25547">
        <f>0</f>
        <v>0</v>
      </c>
      <c r="D25547" t="s">
        <v>106</v>
      </c>
      <c r="E25547">
        <v>14.5487256371814</v>
      </c>
    </row>
    <row r="25548" spans="1:5">
      <c r="A25548" t="s">
        <v>29717</v>
      </c>
      <c r="B25548" t="s">
        <v>29720</v>
      </c>
      <c r="C25548">
        <f>0</f>
        <v>0</v>
      </c>
      <c r="D25548" t="s">
        <v>106</v>
      </c>
      <c r="E25548">
        <v>14.5487256371814</v>
      </c>
    </row>
    <row r="25549" spans="1:5">
      <c r="A25549" t="s">
        <v>29717</v>
      </c>
      <c r="B25549" t="s">
        <v>29721</v>
      </c>
      <c r="C25549">
        <f>0</f>
        <v>0</v>
      </c>
      <c r="D25549" t="s">
        <v>106</v>
      </c>
      <c r="E25549">
        <v>14.5487256371814</v>
      </c>
    </row>
    <row r="25550" spans="1:5">
      <c r="A25550" t="s">
        <v>29722</v>
      </c>
      <c r="B25550" t="s">
        <v>29723</v>
      </c>
      <c r="C25550">
        <v>0</v>
      </c>
      <c r="D25550">
        <v>0.99852766209300003</v>
      </c>
      <c r="E25550">
        <v>12.2098950524737</v>
      </c>
    </row>
    <row r="25551" spans="1:5">
      <c r="A25551" t="s">
        <v>29722</v>
      </c>
      <c r="B25551" t="s">
        <v>29724</v>
      </c>
      <c r="C25551">
        <v>0</v>
      </c>
      <c r="D25551">
        <v>0.99852766209300003</v>
      </c>
      <c r="E25551">
        <v>12.2098950524737</v>
      </c>
    </row>
    <row r="25552" spans="1:5">
      <c r="A25552" t="s">
        <v>29722</v>
      </c>
      <c r="B25552" t="s">
        <v>29725</v>
      </c>
      <c r="C25552">
        <v>0</v>
      </c>
      <c r="D25552">
        <v>0.99852766209300003</v>
      </c>
      <c r="E25552">
        <v>12.2098950524737</v>
      </c>
    </row>
    <row r="25553" spans="1:5">
      <c r="A25553" t="s">
        <v>29722</v>
      </c>
      <c r="B25553" t="s">
        <v>29726</v>
      </c>
      <c r="C25553">
        <f>0</f>
        <v>0</v>
      </c>
      <c r="D25553">
        <v>0.99852766209300003</v>
      </c>
      <c r="E25553">
        <v>12.2098950524737</v>
      </c>
    </row>
    <row r="25554" spans="1:5">
      <c r="A25554" t="s">
        <v>29722</v>
      </c>
      <c r="B25554" t="s">
        <v>29727</v>
      </c>
      <c r="C25554">
        <v>0</v>
      </c>
      <c r="D25554">
        <v>0.99852766209300003</v>
      </c>
      <c r="E25554">
        <v>12.2098950524737</v>
      </c>
    </row>
    <row r="25555" spans="1:5">
      <c r="A25555" t="s">
        <v>29722</v>
      </c>
      <c r="B25555" t="s">
        <v>29728</v>
      </c>
      <c r="C25555">
        <v>0.16138018302000001</v>
      </c>
      <c r="D25555">
        <v>0.99852766209300003</v>
      </c>
      <c r="E25555">
        <v>12.2098950524737</v>
      </c>
    </row>
    <row r="25556" spans="1:5">
      <c r="A25556" t="s">
        <v>29729</v>
      </c>
      <c r="B25556" t="s">
        <v>29730</v>
      </c>
      <c r="C25556">
        <f>0</f>
        <v>0</v>
      </c>
      <c r="D25556" t="s">
        <v>106</v>
      </c>
      <c r="E25556">
        <v>13.445277361319301</v>
      </c>
    </row>
    <row r="25557" spans="1:5">
      <c r="A25557" t="s">
        <v>29731</v>
      </c>
      <c r="B25557" t="s">
        <v>29732</v>
      </c>
      <c r="C25557">
        <f>0</f>
        <v>0</v>
      </c>
      <c r="D25557">
        <v>0.93354852917999998</v>
      </c>
      <c r="E25557">
        <v>14.9325337331334</v>
      </c>
    </row>
    <row r="25558" spans="1:5">
      <c r="A25558" t="s">
        <v>29731</v>
      </c>
      <c r="B25558" t="s">
        <v>29733</v>
      </c>
      <c r="C25558">
        <f>0</f>
        <v>0</v>
      </c>
      <c r="D25558">
        <v>0.93354852917999998</v>
      </c>
      <c r="E25558">
        <v>14.9325337331334</v>
      </c>
    </row>
    <row r="25559" spans="1:5">
      <c r="A25559" t="s">
        <v>29731</v>
      </c>
      <c r="B25559" t="s">
        <v>29734</v>
      </c>
      <c r="C25559">
        <v>0</v>
      </c>
      <c r="D25559">
        <v>0.93354852917999998</v>
      </c>
      <c r="E25559">
        <v>14.9325337331334</v>
      </c>
    </row>
    <row r="25560" spans="1:5">
      <c r="A25560" t="s">
        <v>29731</v>
      </c>
      <c r="B25560" t="s">
        <v>29735</v>
      </c>
      <c r="C25560">
        <f>0</f>
        <v>0</v>
      </c>
      <c r="D25560">
        <v>0.93354852917999998</v>
      </c>
      <c r="E25560">
        <v>14.9325337331334</v>
      </c>
    </row>
    <row r="25561" spans="1:5">
      <c r="A25561" t="s">
        <v>29731</v>
      </c>
      <c r="B25561" t="s">
        <v>29736</v>
      </c>
      <c r="C25561">
        <f>0.180681390608</f>
        <v>0.18068139060800001</v>
      </c>
      <c r="D25561">
        <v>0.93354852917999998</v>
      </c>
      <c r="E25561">
        <v>14.9325337331334</v>
      </c>
    </row>
    <row r="25562" spans="1:5">
      <c r="A25562" t="s">
        <v>29731</v>
      </c>
      <c r="B25562" t="s">
        <v>29737</v>
      </c>
      <c r="C25562">
        <f>0</f>
        <v>0</v>
      </c>
      <c r="D25562">
        <v>0.93354852917999998</v>
      </c>
      <c r="E25562">
        <v>14.9325337331334</v>
      </c>
    </row>
    <row r="25563" spans="1:5">
      <c r="A25563" t="s">
        <v>29731</v>
      </c>
      <c r="B25563" t="s">
        <v>29738</v>
      </c>
      <c r="C25563">
        <f>0</f>
        <v>0</v>
      </c>
      <c r="D25563">
        <v>0.93354852917999998</v>
      </c>
      <c r="E25563">
        <v>14.9325337331334</v>
      </c>
    </row>
    <row r="25564" spans="1:5">
      <c r="A25564" t="s">
        <v>29731</v>
      </c>
      <c r="B25564" t="s">
        <v>29739</v>
      </c>
      <c r="C25564">
        <f>0</f>
        <v>0</v>
      </c>
      <c r="D25564">
        <v>0.93354852917999998</v>
      </c>
      <c r="E25564">
        <v>14.9325337331334</v>
      </c>
    </row>
    <row r="25565" spans="1:5">
      <c r="A25565" t="s">
        <v>29731</v>
      </c>
      <c r="B25565" t="s">
        <v>29740</v>
      </c>
      <c r="C25565">
        <v>0</v>
      </c>
      <c r="D25565">
        <v>0.93354852917999998</v>
      </c>
      <c r="E25565">
        <v>14.9325337331334</v>
      </c>
    </row>
    <row r="25566" spans="1:5">
      <c r="A25566" t="s">
        <v>29731</v>
      </c>
      <c r="B25566" t="s">
        <v>29741</v>
      </c>
      <c r="C25566">
        <f>0.0253195519198</f>
        <v>2.5319551919799999E-2</v>
      </c>
      <c r="D25566">
        <v>0.93354852917999998</v>
      </c>
      <c r="E25566">
        <v>14.9325337331334</v>
      </c>
    </row>
    <row r="25567" spans="1:5">
      <c r="A25567" t="s">
        <v>29742</v>
      </c>
      <c r="B25567" t="s">
        <v>29743</v>
      </c>
      <c r="C25567">
        <v>0</v>
      </c>
      <c r="D25567" t="s">
        <v>106</v>
      </c>
      <c r="E25567">
        <v>4.68965517241379</v>
      </c>
    </row>
    <row r="25568" spans="1:5">
      <c r="A25568" t="s">
        <v>29744</v>
      </c>
      <c r="B25568" t="s">
        <v>29745</v>
      </c>
      <c r="C25568">
        <v>0.49180903866100001</v>
      </c>
      <c r="D25568">
        <v>0.98617186358499997</v>
      </c>
      <c r="E25568">
        <v>7.3283358320839502</v>
      </c>
    </row>
    <row r="25569" spans="1:5">
      <c r="A25569" t="s">
        <v>29744</v>
      </c>
      <c r="B25569" t="s">
        <v>29746</v>
      </c>
      <c r="C25569">
        <f>0</f>
        <v>0</v>
      </c>
      <c r="D25569">
        <v>0.98617186358499997</v>
      </c>
      <c r="E25569">
        <v>7.3283358320839502</v>
      </c>
    </row>
    <row r="25570" spans="1:5">
      <c r="A25570" t="s">
        <v>29744</v>
      </c>
      <c r="B25570" t="s">
        <v>29747</v>
      </c>
      <c r="C25570">
        <v>0</v>
      </c>
      <c r="D25570">
        <v>0.98617186358499997</v>
      </c>
      <c r="E25570">
        <v>7.3283358320839502</v>
      </c>
    </row>
    <row r="25571" spans="1:5">
      <c r="A25571" t="s">
        <v>29744</v>
      </c>
      <c r="B25571" t="s">
        <v>29748</v>
      </c>
      <c r="C25571">
        <f>0</f>
        <v>0</v>
      </c>
      <c r="D25571">
        <v>0.98617186358499997</v>
      </c>
      <c r="E25571">
        <v>7.3283358320839502</v>
      </c>
    </row>
    <row r="25572" spans="1:5">
      <c r="A25572" t="s">
        <v>29744</v>
      </c>
      <c r="B25572" t="s">
        <v>29749</v>
      </c>
      <c r="C25572">
        <f>0</f>
        <v>0</v>
      </c>
      <c r="D25572">
        <v>0.98617186358499997</v>
      </c>
      <c r="E25572">
        <v>7.3283358320839502</v>
      </c>
    </row>
    <row r="25573" spans="1:5">
      <c r="A25573" t="s">
        <v>29744</v>
      </c>
      <c r="B25573" t="s">
        <v>29750</v>
      </c>
      <c r="C25573">
        <f>0</f>
        <v>0</v>
      </c>
      <c r="D25573">
        <v>0.98617186358499997</v>
      </c>
      <c r="E25573">
        <v>7.3283358320839502</v>
      </c>
    </row>
    <row r="25574" spans="1:5">
      <c r="A25574" t="s">
        <v>29744</v>
      </c>
      <c r="B25574" t="s">
        <v>29751</v>
      </c>
      <c r="C25574">
        <v>0</v>
      </c>
      <c r="D25574">
        <v>0.98617186358499997</v>
      </c>
      <c r="E25574">
        <v>7.3283358320839502</v>
      </c>
    </row>
    <row r="25575" spans="1:5">
      <c r="A25575" t="s">
        <v>29744</v>
      </c>
      <c r="B25575" t="s">
        <v>29752</v>
      </c>
      <c r="C25575">
        <f>0</f>
        <v>0</v>
      </c>
      <c r="D25575">
        <v>0.98617186358499997</v>
      </c>
      <c r="E25575">
        <v>7.3283358320839502</v>
      </c>
    </row>
    <row r="25576" spans="1:5">
      <c r="A25576" t="s">
        <v>29744</v>
      </c>
      <c r="B25576" t="s">
        <v>29753</v>
      </c>
      <c r="C25576">
        <f>0</f>
        <v>0</v>
      </c>
      <c r="D25576">
        <v>0.98617186358499997</v>
      </c>
      <c r="E25576">
        <v>7.3283358320839502</v>
      </c>
    </row>
    <row r="25577" spans="1:5">
      <c r="A25577" t="s">
        <v>29744</v>
      </c>
      <c r="B25577" t="s">
        <v>29754</v>
      </c>
      <c r="C25577">
        <f>0</f>
        <v>0</v>
      </c>
      <c r="D25577">
        <v>0.98617186358499997</v>
      </c>
      <c r="E25577">
        <v>7.3283358320839502</v>
      </c>
    </row>
    <row r="25578" spans="1:5">
      <c r="A25578" t="s">
        <v>29744</v>
      </c>
      <c r="B25578" t="s">
        <v>29755</v>
      </c>
      <c r="C25578">
        <v>0</v>
      </c>
      <c r="D25578">
        <v>0.98617186358499997</v>
      </c>
      <c r="E25578">
        <v>7.3283358320839502</v>
      </c>
    </row>
    <row r="25579" spans="1:5">
      <c r="A25579" t="s">
        <v>29744</v>
      </c>
      <c r="B25579" t="s">
        <v>29756</v>
      </c>
      <c r="C25579">
        <f>0.074442301284</f>
        <v>7.4442301284000006E-2</v>
      </c>
      <c r="D25579">
        <v>0.98617186358499997</v>
      </c>
      <c r="E25579">
        <v>7.3283358320839502</v>
      </c>
    </row>
    <row r="25580" spans="1:5">
      <c r="A25580" t="s">
        <v>29744</v>
      </c>
      <c r="B25580" t="s">
        <v>29757</v>
      </c>
      <c r="C25580">
        <f>0</f>
        <v>0</v>
      </c>
      <c r="D25580">
        <v>0.98617186358499997</v>
      </c>
      <c r="E25580">
        <v>7.3283358320839502</v>
      </c>
    </row>
    <row r="25581" spans="1:5">
      <c r="A25581" t="s">
        <v>29744</v>
      </c>
      <c r="B25581" t="s">
        <v>29758</v>
      </c>
      <c r="C25581">
        <f>0</f>
        <v>0</v>
      </c>
      <c r="D25581">
        <v>0.98617186358499997</v>
      </c>
      <c r="E25581">
        <v>7.3283358320839502</v>
      </c>
    </row>
    <row r="25582" spans="1:5">
      <c r="A25582" t="s">
        <v>29759</v>
      </c>
      <c r="B25582" t="s">
        <v>29760</v>
      </c>
      <c r="C25582">
        <v>0</v>
      </c>
      <c r="D25582" t="s">
        <v>106</v>
      </c>
      <c r="E25582">
        <v>4.2698650674662604</v>
      </c>
    </row>
    <row r="25583" spans="1:5">
      <c r="A25583" t="s">
        <v>29759</v>
      </c>
      <c r="B25583" t="s">
        <v>29761</v>
      </c>
      <c r="C25583">
        <v>0</v>
      </c>
      <c r="D25583" t="s">
        <v>106</v>
      </c>
      <c r="E25583">
        <v>4.2698650674662604</v>
      </c>
    </row>
    <row r="25584" spans="1:5">
      <c r="A25584" t="s">
        <v>29759</v>
      </c>
      <c r="B25584" t="s">
        <v>29762</v>
      </c>
      <c r="C25584">
        <v>0</v>
      </c>
      <c r="D25584" t="s">
        <v>106</v>
      </c>
      <c r="E25584">
        <v>4.2698650674662604</v>
      </c>
    </row>
    <row r="25585" spans="1:5">
      <c r="A25585" t="s">
        <v>29763</v>
      </c>
      <c r="B25585" t="s">
        <v>29764</v>
      </c>
      <c r="C25585">
        <v>0.40952491717700001</v>
      </c>
      <c r="D25585">
        <v>0.89214775324899998</v>
      </c>
      <c r="E25585">
        <v>12.0419790104947</v>
      </c>
    </row>
    <row r="25586" spans="1:5">
      <c r="A25586" t="s">
        <v>29763</v>
      </c>
      <c r="B25586" t="s">
        <v>29765</v>
      </c>
      <c r="C25586">
        <f>0.108660732847</f>
        <v>0.10866073284699999</v>
      </c>
      <c r="D25586">
        <v>0.89214775324899998</v>
      </c>
      <c r="E25586">
        <v>12.0419790104947</v>
      </c>
    </row>
    <row r="25587" spans="1:5">
      <c r="A25587" t="s">
        <v>29766</v>
      </c>
      <c r="B25587" t="s">
        <v>29767</v>
      </c>
      <c r="C25587">
        <v>0.708564994043</v>
      </c>
      <c r="D25587">
        <v>0.97415930777899995</v>
      </c>
      <c r="E25587">
        <v>6.0569715142428704</v>
      </c>
    </row>
    <row r="25588" spans="1:5">
      <c r="A25588" t="s">
        <v>29766</v>
      </c>
      <c r="B25588" t="s">
        <v>29768</v>
      </c>
      <c r="C25588">
        <f>0.180275475574</f>
        <v>0.180275475574</v>
      </c>
      <c r="D25588">
        <v>0.97415930777899995</v>
      </c>
      <c r="E25588">
        <v>6.0569715142428704</v>
      </c>
    </row>
    <row r="25589" spans="1:5">
      <c r="A25589" t="s">
        <v>29769</v>
      </c>
      <c r="B25589" t="s">
        <v>29770</v>
      </c>
      <c r="C25589">
        <v>0</v>
      </c>
      <c r="D25589">
        <v>0.96028276282500002</v>
      </c>
      <c r="E25589">
        <v>2.1709145427286298</v>
      </c>
    </row>
    <row r="25590" spans="1:5">
      <c r="A25590" t="s">
        <v>29771</v>
      </c>
      <c r="B25590" t="s">
        <v>29772</v>
      </c>
      <c r="C25590">
        <f>0</f>
        <v>0</v>
      </c>
      <c r="D25590" t="s">
        <v>106</v>
      </c>
      <c r="E25590">
        <v>24</v>
      </c>
    </row>
    <row r="25591" spans="1:5">
      <c r="A25591" t="s">
        <v>29771</v>
      </c>
      <c r="B25591" t="s">
        <v>29773</v>
      </c>
      <c r="C25591">
        <f>0</f>
        <v>0</v>
      </c>
      <c r="D25591" t="s">
        <v>106</v>
      </c>
      <c r="E25591">
        <v>24</v>
      </c>
    </row>
    <row r="25592" spans="1:5">
      <c r="A25592" t="s">
        <v>29771</v>
      </c>
      <c r="B25592" t="s">
        <v>29774</v>
      </c>
      <c r="C25592">
        <v>2.8513413316600001E-2</v>
      </c>
      <c r="D25592" t="s">
        <v>106</v>
      </c>
      <c r="E25592">
        <v>24</v>
      </c>
    </row>
    <row r="25593" spans="1:5">
      <c r="A25593" t="s">
        <v>29771</v>
      </c>
      <c r="B25593" t="s">
        <v>29775</v>
      </c>
      <c r="C25593">
        <v>0</v>
      </c>
      <c r="D25593" t="s">
        <v>106</v>
      </c>
      <c r="E25593">
        <v>24</v>
      </c>
    </row>
    <row r="25594" spans="1:5">
      <c r="A25594" t="s">
        <v>29776</v>
      </c>
      <c r="B25594" t="s">
        <v>29777</v>
      </c>
      <c r="C25594">
        <v>0.23213731258799999</v>
      </c>
      <c r="D25594">
        <v>0.96850287404099999</v>
      </c>
      <c r="E25594">
        <v>13.997001499250301</v>
      </c>
    </row>
    <row r="25595" spans="1:5">
      <c r="A25595" t="s">
        <v>29776</v>
      </c>
      <c r="B25595" t="s">
        <v>29778</v>
      </c>
      <c r="C25595">
        <v>3.91837414048E-2</v>
      </c>
      <c r="D25595">
        <v>0.96850287404099999</v>
      </c>
      <c r="E25595">
        <v>13.997001499250301</v>
      </c>
    </row>
    <row r="25596" spans="1:5">
      <c r="A25596" t="s">
        <v>29776</v>
      </c>
      <c r="B25596" t="s">
        <v>29779</v>
      </c>
      <c r="C25596">
        <v>0</v>
      </c>
      <c r="D25596">
        <v>0.96850287404099999</v>
      </c>
      <c r="E25596">
        <v>13.997001499250301</v>
      </c>
    </row>
    <row r="25597" spans="1:5">
      <c r="A25597" t="s">
        <v>29776</v>
      </c>
      <c r="B25597" t="s">
        <v>29780</v>
      </c>
      <c r="C25597">
        <v>0</v>
      </c>
      <c r="D25597">
        <v>0.96850287404099999</v>
      </c>
      <c r="E25597">
        <v>13.997001499250301</v>
      </c>
    </row>
    <row r="25598" spans="1:5">
      <c r="A25598" t="s">
        <v>29776</v>
      </c>
      <c r="B25598" t="s">
        <v>29781</v>
      </c>
      <c r="C25598">
        <f>0</f>
        <v>0</v>
      </c>
      <c r="D25598">
        <v>0.96850287404099999</v>
      </c>
      <c r="E25598">
        <v>13.997001499250301</v>
      </c>
    </row>
    <row r="25599" spans="1:5">
      <c r="A25599" t="s">
        <v>29776</v>
      </c>
      <c r="B25599" t="s">
        <v>29782</v>
      </c>
      <c r="C25599">
        <v>0</v>
      </c>
      <c r="D25599">
        <v>0.96850287404099999</v>
      </c>
      <c r="E25599">
        <v>13.997001499250301</v>
      </c>
    </row>
    <row r="25600" spans="1:5">
      <c r="A25600" t="s">
        <v>29776</v>
      </c>
      <c r="B25600" t="s">
        <v>29783</v>
      </c>
      <c r="C25600">
        <f>0</f>
        <v>0</v>
      </c>
      <c r="D25600">
        <v>0.96850287404099999</v>
      </c>
      <c r="E25600">
        <v>13.997001499250301</v>
      </c>
    </row>
    <row r="25601" spans="1:5">
      <c r="A25601" t="s">
        <v>29784</v>
      </c>
      <c r="B25601" t="s">
        <v>29785</v>
      </c>
      <c r="C25601">
        <v>0</v>
      </c>
      <c r="D25601" t="s">
        <v>106</v>
      </c>
      <c r="E25601">
        <v>0.91154422788605605</v>
      </c>
    </row>
    <row r="25602" spans="1:5">
      <c r="A25602" t="s">
        <v>29784</v>
      </c>
      <c r="B25602" t="s">
        <v>29786</v>
      </c>
      <c r="C25602">
        <v>0</v>
      </c>
      <c r="D25602" t="s">
        <v>106</v>
      </c>
      <c r="E25602">
        <v>0.91154422788605605</v>
      </c>
    </row>
    <row r="25603" spans="1:5">
      <c r="A25603" t="s">
        <v>29787</v>
      </c>
      <c r="B25603" t="s">
        <v>29788</v>
      </c>
      <c r="C25603">
        <v>0</v>
      </c>
      <c r="D25603" t="s">
        <v>106</v>
      </c>
      <c r="E25603">
        <v>17.715142428785601</v>
      </c>
    </row>
    <row r="25604" spans="1:5">
      <c r="A25604" t="s">
        <v>29787</v>
      </c>
      <c r="B25604" t="s">
        <v>29789</v>
      </c>
      <c r="C25604">
        <v>0</v>
      </c>
      <c r="D25604" t="s">
        <v>106</v>
      </c>
      <c r="E25604">
        <v>17.715142428785601</v>
      </c>
    </row>
    <row r="25605" spans="1:5">
      <c r="A25605" t="s">
        <v>29787</v>
      </c>
      <c r="B25605" t="s">
        <v>29790</v>
      </c>
      <c r="C25605">
        <v>0.14055203782199999</v>
      </c>
      <c r="D25605" t="s">
        <v>106</v>
      </c>
      <c r="E25605">
        <v>17.715142428785601</v>
      </c>
    </row>
    <row r="25606" spans="1:5">
      <c r="A25606" t="s">
        <v>29787</v>
      </c>
      <c r="B25606" t="s">
        <v>29791</v>
      </c>
      <c r="C25606">
        <v>0</v>
      </c>
      <c r="D25606" t="s">
        <v>106</v>
      </c>
      <c r="E25606">
        <v>17.715142428785601</v>
      </c>
    </row>
    <row r="25607" spans="1:5">
      <c r="A25607" t="s">
        <v>29787</v>
      </c>
      <c r="B25607" t="s">
        <v>29792</v>
      </c>
      <c r="C25607">
        <v>0.159987320174</v>
      </c>
      <c r="D25607" t="s">
        <v>106</v>
      </c>
      <c r="E25607">
        <v>17.715142428785601</v>
      </c>
    </row>
    <row r="25608" spans="1:5">
      <c r="A25608" t="s">
        <v>29787</v>
      </c>
      <c r="B25608" t="s">
        <v>29793</v>
      </c>
      <c r="C25608">
        <v>0</v>
      </c>
      <c r="D25608" t="s">
        <v>106</v>
      </c>
      <c r="E25608">
        <v>17.715142428785601</v>
      </c>
    </row>
    <row r="25609" spans="1:5">
      <c r="A25609" t="s">
        <v>29794</v>
      </c>
      <c r="B25609" t="s">
        <v>29795</v>
      </c>
      <c r="C25609">
        <v>0.26988077850199998</v>
      </c>
      <c r="D25609">
        <v>0.86670734825899998</v>
      </c>
      <c r="E25609">
        <v>1.33133433283358</v>
      </c>
    </row>
    <row r="25610" spans="1:5">
      <c r="A25610" t="s">
        <v>29796</v>
      </c>
      <c r="B25610" t="s">
        <v>29797</v>
      </c>
      <c r="C25610">
        <v>0.326129028067</v>
      </c>
      <c r="D25610">
        <v>0.96434052476900001</v>
      </c>
      <c r="E25610">
        <v>15.700149925037399</v>
      </c>
    </row>
    <row r="25611" spans="1:5">
      <c r="A25611" t="s">
        <v>29796</v>
      </c>
      <c r="B25611" t="s">
        <v>29798</v>
      </c>
      <c r="C25611">
        <v>0</v>
      </c>
      <c r="D25611">
        <v>0.96434052476900001</v>
      </c>
      <c r="E25611">
        <v>15.700149925037399</v>
      </c>
    </row>
    <row r="25612" spans="1:5">
      <c r="A25612" t="s">
        <v>29796</v>
      </c>
      <c r="B25612" t="s">
        <v>29799</v>
      </c>
      <c r="C25612">
        <f>0.0001683022521</f>
        <v>1.683022521E-4</v>
      </c>
      <c r="D25612">
        <v>0.96434052476900001</v>
      </c>
      <c r="E25612">
        <v>15.700149925037399</v>
      </c>
    </row>
    <row r="25613" spans="1:5">
      <c r="A25613" t="s">
        <v>29796</v>
      </c>
      <c r="B25613" t="s">
        <v>29800</v>
      </c>
      <c r="C25613">
        <v>0</v>
      </c>
      <c r="D25613">
        <v>0.96434052476900001</v>
      </c>
      <c r="E25613">
        <v>15.700149925037399</v>
      </c>
    </row>
    <row r="25614" spans="1:5">
      <c r="A25614" t="s">
        <v>29801</v>
      </c>
      <c r="B25614" t="s">
        <v>29802</v>
      </c>
      <c r="C25614">
        <f>0</f>
        <v>0</v>
      </c>
      <c r="D25614" t="s">
        <v>106</v>
      </c>
      <c r="E25614">
        <v>0.14392803598200801</v>
      </c>
    </row>
    <row r="25615" spans="1:5">
      <c r="A25615" t="s">
        <v>29801</v>
      </c>
      <c r="B25615" t="s">
        <v>29803</v>
      </c>
      <c r="C25615">
        <f>0</f>
        <v>0</v>
      </c>
      <c r="D25615" t="s">
        <v>106</v>
      </c>
      <c r="E25615">
        <v>0.14392803598200801</v>
      </c>
    </row>
    <row r="25616" spans="1:5">
      <c r="A25616" t="s">
        <v>29801</v>
      </c>
      <c r="B25616" t="s">
        <v>29804</v>
      </c>
      <c r="C25616">
        <v>0</v>
      </c>
      <c r="D25616" t="s">
        <v>106</v>
      </c>
      <c r="E25616">
        <v>0.14392803598200801</v>
      </c>
    </row>
    <row r="25617" spans="1:5">
      <c r="A25617" t="s">
        <v>29805</v>
      </c>
      <c r="B25617" t="s">
        <v>29806</v>
      </c>
      <c r="C25617">
        <v>0</v>
      </c>
      <c r="D25617" t="s">
        <v>106</v>
      </c>
      <c r="E25617">
        <v>11.8740629685157</v>
      </c>
    </row>
    <row r="25618" spans="1:5">
      <c r="A25618" t="s">
        <v>29805</v>
      </c>
      <c r="B25618" t="s">
        <v>29807</v>
      </c>
      <c r="C25618">
        <v>0</v>
      </c>
      <c r="D25618" t="s">
        <v>106</v>
      </c>
      <c r="E25618">
        <v>11.8740629685157</v>
      </c>
    </row>
    <row r="25619" spans="1:5">
      <c r="A25619" t="s">
        <v>29805</v>
      </c>
      <c r="B25619" t="s">
        <v>29808</v>
      </c>
      <c r="C25619">
        <v>0</v>
      </c>
      <c r="D25619" t="s">
        <v>106</v>
      </c>
      <c r="E25619">
        <v>11.8740629685157</v>
      </c>
    </row>
    <row r="25620" spans="1:5">
      <c r="A25620" t="s">
        <v>29805</v>
      </c>
      <c r="B25620" t="s">
        <v>29809</v>
      </c>
      <c r="C25620">
        <v>0</v>
      </c>
      <c r="D25620" t="s">
        <v>106</v>
      </c>
      <c r="E25620">
        <v>11.8740629685157</v>
      </c>
    </row>
    <row r="25621" spans="1:5">
      <c r="A25621" t="s">
        <v>29805</v>
      </c>
      <c r="B25621" t="s">
        <v>29810</v>
      </c>
      <c r="C25621">
        <v>0</v>
      </c>
      <c r="D25621" t="s">
        <v>106</v>
      </c>
      <c r="E25621">
        <v>11.8740629685157</v>
      </c>
    </row>
    <row r="25622" spans="1:5">
      <c r="A25622" t="s">
        <v>29811</v>
      </c>
      <c r="B25622" t="s">
        <v>29812</v>
      </c>
      <c r="C25622">
        <v>0.115003041327</v>
      </c>
      <c r="D25622">
        <v>0.99264537953200005</v>
      </c>
      <c r="E25622">
        <v>7.0644677661169402</v>
      </c>
    </row>
    <row r="25623" spans="1:5">
      <c r="A25623" t="s">
        <v>29813</v>
      </c>
      <c r="B25623" t="s">
        <v>29814</v>
      </c>
      <c r="C25623">
        <v>0.30629559155300001</v>
      </c>
      <c r="D25623">
        <v>0.82498833376199998</v>
      </c>
      <c r="E25623">
        <v>5.0134932533733103</v>
      </c>
    </row>
    <row r="25624" spans="1:5">
      <c r="A25624" t="s">
        <v>29813</v>
      </c>
      <c r="B25624" t="s">
        <v>29815</v>
      </c>
      <c r="C25624">
        <v>0.503228182094</v>
      </c>
      <c r="D25624">
        <v>0.82498833376199998</v>
      </c>
      <c r="E25624">
        <v>5.0134932533733103</v>
      </c>
    </row>
    <row r="25625" spans="1:5">
      <c r="A25625" t="s">
        <v>29813</v>
      </c>
      <c r="B25625" t="s">
        <v>29816</v>
      </c>
      <c r="C25625">
        <v>0</v>
      </c>
      <c r="D25625">
        <v>0.82498833376199998</v>
      </c>
      <c r="E25625">
        <v>5.0134932533733103</v>
      </c>
    </row>
    <row r="25626" spans="1:5">
      <c r="A25626" t="s">
        <v>29813</v>
      </c>
      <c r="B25626" t="s">
        <v>29817</v>
      </c>
      <c r="C25626">
        <f>0</f>
        <v>0</v>
      </c>
      <c r="D25626">
        <v>0.82498833376199998</v>
      </c>
      <c r="E25626">
        <v>5.0134932533733103</v>
      </c>
    </row>
    <row r="25627" spans="1:5">
      <c r="A25627" t="s">
        <v>29813</v>
      </c>
      <c r="B25627" t="s">
        <v>29818</v>
      </c>
      <c r="C25627">
        <v>0</v>
      </c>
      <c r="D25627">
        <v>0.82498833376199998</v>
      </c>
      <c r="E25627">
        <v>5.0134932533733103</v>
      </c>
    </row>
    <row r="25628" spans="1:5">
      <c r="A25628" t="s">
        <v>29819</v>
      </c>
      <c r="B25628" t="s">
        <v>29820</v>
      </c>
      <c r="C25628">
        <f>0</f>
        <v>0</v>
      </c>
      <c r="D25628" t="s">
        <v>106</v>
      </c>
      <c r="E25628">
        <v>1.51124437781109</v>
      </c>
    </row>
    <row r="25629" spans="1:5">
      <c r="A25629" t="s">
        <v>29819</v>
      </c>
      <c r="B25629" t="s">
        <v>29821</v>
      </c>
      <c r="C25629">
        <f>0</f>
        <v>0</v>
      </c>
      <c r="D25629" t="s">
        <v>106</v>
      </c>
      <c r="E25629">
        <v>1.51124437781109</v>
      </c>
    </row>
    <row r="25630" spans="1:5">
      <c r="A25630" t="s">
        <v>29819</v>
      </c>
      <c r="B25630" t="s">
        <v>29822</v>
      </c>
      <c r="C25630">
        <v>0</v>
      </c>
      <c r="D25630" t="s">
        <v>106</v>
      </c>
      <c r="E25630">
        <v>1.51124437781109</v>
      </c>
    </row>
    <row r="25631" spans="1:5">
      <c r="A25631" t="s">
        <v>29819</v>
      </c>
      <c r="B25631" t="s">
        <v>29823</v>
      </c>
      <c r="C25631">
        <v>0</v>
      </c>
      <c r="D25631" t="s">
        <v>106</v>
      </c>
      <c r="E25631">
        <v>1.51124437781109</v>
      </c>
    </row>
    <row r="25632" spans="1:5">
      <c r="A25632" t="s">
        <v>29819</v>
      </c>
      <c r="B25632" t="s">
        <v>29824</v>
      </c>
      <c r="C25632">
        <v>0</v>
      </c>
      <c r="D25632" t="s">
        <v>106</v>
      </c>
      <c r="E25632">
        <v>1.51124437781109</v>
      </c>
    </row>
    <row r="25633" spans="1:5">
      <c r="A25633" t="s">
        <v>29819</v>
      </c>
      <c r="B25633" t="s">
        <v>29825</v>
      </c>
      <c r="C25633">
        <v>0</v>
      </c>
      <c r="D25633" t="s">
        <v>106</v>
      </c>
      <c r="E25633">
        <v>1.51124437781109</v>
      </c>
    </row>
    <row r="25634" spans="1:5">
      <c r="A25634" t="s">
        <v>29819</v>
      </c>
      <c r="B25634" t="s">
        <v>29826</v>
      </c>
      <c r="C25634">
        <v>0</v>
      </c>
      <c r="D25634" t="s">
        <v>106</v>
      </c>
      <c r="E25634">
        <v>1.51124437781109</v>
      </c>
    </row>
    <row r="25635" spans="1:5">
      <c r="A25635" t="s">
        <v>29819</v>
      </c>
      <c r="B25635" t="s">
        <v>29827</v>
      </c>
      <c r="C25635">
        <f>0</f>
        <v>0</v>
      </c>
      <c r="D25635" t="s">
        <v>106</v>
      </c>
      <c r="E25635">
        <v>1.51124437781109</v>
      </c>
    </row>
    <row r="25636" spans="1:5">
      <c r="A25636" t="s">
        <v>29819</v>
      </c>
      <c r="B25636" t="s">
        <v>29828</v>
      </c>
      <c r="C25636">
        <v>0</v>
      </c>
      <c r="D25636" t="s">
        <v>106</v>
      </c>
      <c r="E25636">
        <v>1.51124437781109</v>
      </c>
    </row>
    <row r="25637" spans="1:5">
      <c r="A25637" t="s">
        <v>29819</v>
      </c>
      <c r="B25637" t="s">
        <v>29829</v>
      </c>
      <c r="C25637">
        <v>0</v>
      </c>
      <c r="D25637" t="s">
        <v>106</v>
      </c>
      <c r="E25637">
        <v>1.51124437781109</v>
      </c>
    </row>
    <row r="25638" spans="1:5">
      <c r="A25638" t="s">
        <v>29819</v>
      </c>
      <c r="B25638" t="s">
        <v>29830</v>
      </c>
      <c r="C25638">
        <f>0</f>
        <v>0</v>
      </c>
      <c r="D25638" t="s">
        <v>106</v>
      </c>
      <c r="E25638">
        <v>1.51124437781109</v>
      </c>
    </row>
    <row r="25639" spans="1:5">
      <c r="A25639" t="s">
        <v>29831</v>
      </c>
      <c r="B25639" t="s">
        <v>29832</v>
      </c>
      <c r="C25639">
        <v>0</v>
      </c>
      <c r="D25639">
        <v>0.93696166716499996</v>
      </c>
      <c r="E25639">
        <v>0.95952023988005997</v>
      </c>
    </row>
    <row r="25640" spans="1:5">
      <c r="A25640" t="s">
        <v>29831</v>
      </c>
      <c r="B25640" t="s">
        <v>29833</v>
      </c>
      <c r="C25640">
        <f>0</f>
        <v>0</v>
      </c>
      <c r="D25640">
        <v>0.93696166716499996</v>
      </c>
      <c r="E25640">
        <v>0.95952023988005997</v>
      </c>
    </row>
    <row r="25641" spans="1:5">
      <c r="A25641" t="s">
        <v>29831</v>
      </c>
      <c r="B25641" t="s">
        <v>29834</v>
      </c>
      <c r="C25641">
        <v>0</v>
      </c>
      <c r="D25641">
        <v>0.93696166716499996</v>
      </c>
      <c r="E25641">
        <v>0.95952023988005997</v>
      </c>
    </row>
    <row r="25642" spans="1:5">
      <c r="A25642" t="s">
        <v>29831</v>
      </c>
      <c r="B25642" t="s">
        <v>29835</v>
      </c>
      <c r="C25642">
        <f>0</f>
        <v>0</v>
      </c>
      <c r="D25642">
        <v>0.93696166716499996</v>
      </c>
      <c r="E25642">
        <v>0.95952023988005997</v>
      </c>
    </row>
    <row r="25643" spans="1:5">
      <c r="A25643" t="s">
        <v>29831</v>
      </c>
      <c r="B25643" t="s">
        <v>29836</v>
      </c>
      <c r="C25643">
        <f>0</f>
        <v>0</v>
      </c>
      <c r="D25643">
        <v>0.93696166716499996</v>
      </c>
      <c r="E25643">
        <v>0.95952023988005997</v>
      </c>
    </row>
    <row r="25644" spans="1:5">
      <c r="A25644" t="s">
        <v>29831</v>
      </c>
      <c r="B25644" t="s">
        <v>29837</v>
      </c>
      <c r="C25644">
        <v>0</v>
      </c>
      <c r="D25644">
        <v>0.93696166716499996</v>
      </c>
      <c r="E25644">
        <v>0.95952023988005997</v>
      </c>
    </row>
    <row r="25645" spans="1:5">
      <c r="A25645" t="s">
        <v>29831</v>
      </c>
      <c r="B25645" t="s">
        <v>29838</v>
      </c>
      <c r="C25645">
        <v>0</v>
      </c>
      <c r="D25645">
        <v>0.93696166716499996</v>
      </c>
      <c r="E25645">
        <v>0.95952023988005997</v>
      </c>
    </row>
    <row r="25646" spans="1:5">
      <c r="A25646" t="s">
        <v>29831</v>
      </c>
      <c r="B25646" t="s">
        <v>29839</v>
      </c>
      <c r="C25646">
        <f>0.143478410653</f>
        <v>0.14347841065299999</v>
      </c>
      <c r="D25646">
        <v>0.93696166716499996</v>
      </c>
      <c r="E25646">
        <v>0.95952023988005997</v>
      </c>
    </row>
    <row r="25647" spans="1:5">
      <c r="A25647" t="s">
        <v>29831</v>
      </c>
      <c r="B25647" t="s">
        <v>29840</v>
      </c>
      <c r="C25647">
        <v>0</v>
      </c>
      <c r="D25647">
        <v>0.93696166716499996</v>
      </c>
      <c r="E25647">
        <v>0.95952023988005997</v>
      </c>
    </row>
    <row r="25648" spans="1:5">
      <c r="A25648" t="s">
        <v>29831</v>
      </c>
      <c r="B25648" t="s">
        <v>29841</v>
      </c>
      <c r="C25648">
        <f>0</f>
        <v>0</v>
      </c>
      <c r="D25648">
        <v>0.93696166716499996</v>
      </c>
      <c r="E25648">
        <v>0.95952023988005997</v>
      </c>
    </row>
    <row r="25649" spans="1:5">
      <c r="A25649" t="s">
        <v>29842</v>
      </c>
      <c r="B25649" t="s">
        <v>29843</v>
      </c>
      <c r="C25649">
        <v>0</v>
      </c>
      <c r="D25649">
        <v>0.913197652518</v>
      </c>
      <c r="E25649">
        <v>5.4692653673163401</v>
      </c>
    </row>
    <row r="25650" spans="1:5">
      <c r="A25650" t="s">
        <v>29842</v>
      </c>
      <c r="B25650" t="s">
        <v>29844</v>
      </c>
      <c r="C25650">
        <v>0</v>
      </c>
      <c r="D25650">
        <v>0.913197652518</v>
      </c>
      <c r="E25650">
        <v>5.4692653673163401</v>
      </c>
    </row>
    <row r="25651" spans="1:5">
      <c r="A25651" t="s">
        <v>29842</v>
      </c>
      <c r="B25651" t="s">
        <v>29845</v>
      </c>
      <c r="C25651">
        <f>0</f>
        <v>0</v>
      </c>
      <c r="D25651">
        <v>0.913197652518</v>
      </c>
      <c r="E25651">
        <v>5.4692653673163401</v>
      </c>
    </row>
    <row r="25652" spans="1:5">
      <c r="A25652" t="s">
        <v>29842</v>
      </c>
      <c r="B25652" t="s">
        <v>29846</v>
      </c>
      <c r="C25652">
        <v>0</v>
      </c>
      <c r="D25652">
        <v>0.913197652518</v>
      </c>
      <c r="E25652">
        <v>5.4692653673163401</v>
      </c>
    </row>
    <row r="25653" spans="1:5">
      <c r="A25653" t="s">
        <v>29842</v>
      </c>
      <c r="B25653" t="s">
        <v>29847</v>
      </c>
      <c r="C25653">
        <v>0</v>
      </c>
      <c r="D25653">
        <v>0.913197652518</v>
      </c>
      <c r="E25653">
        <v>5.4692653673163401</v>
      </c>
    </row>
    <row r="25654" spans="1:5">
      <c r="A25654" t="s">
        <v>29842</v>
      </c>
      <c r="B25654" t="s">
        <v>29848</v>
      </c>
      <c r="C25654">
        <f>0</f>
        <v>0</v>
      </c>
      <c r="D25654">
        <v>0.913197652518</v>
      </c>
      <c r="E25654">
        <v>5.4692653673163401</v>
      </c>
    </row>
    <row r="25655" spans="1:5">
      <c r="A25655" t="s">
        <v>29842</v>
      </c>
      <c r="B25655" t="s">
        <v>29849</v>
      </c>
      <c r="C25655">
        <f>0</f>
        <v>0</v>
      </c>
      <c r="D25655">
        <v>0.913197652518</v>
      </c>
      <c r="E25655">
        <v>5.4692653673163401</v>
      </c>
    </row>
    <row r="25656" spans="1:5">
      <c r="A25656" t="s">
        <v>29842</v>
      </c>
      <c r="B25656" t="s">
        <v>29850</v>
      </c>
      <c r="C25656">
        <v>0</v>
      </c>
      <c r="D25656">
        <v>0.913197652518</v>
      </c>
      <c r="E25656">
        <v>5.4692653673163401</v>
      </c>
    </row>
    <row r="25657" spans="1:5">
      <c r="A25657" t="s">
        <v>29842</v>
      </c>
      <c r="B25657" t="s">
        <v>29851</v>
      </c>
      <c r="C25657">
        <v>0</v>
      </c>
      <c r="D25657">
        <v>0.913197652518</v>
      </c>
      <c r="E25657">
        <v>5.4692653673163401</v>
      </c>
    </row>
    <row r="25658" spans="1:5">
      <c r="A25658" t="s">
        <v>29842</v>
      </c>
      <c r="B25658" t="s">
        <v>29852</v>
      </c>
      <c r="C25658">
        <f>0</f>
        <v>0</v>
      </c>
      <c r="D25658">
        <v>0.913197652518</v>
      </c>
      <c r="E25658">
        <v>5.4692653673163401</v>
      </c>
    </row>
    <row r="25659" spans="1:5">
      <c r="A25659" t="s">
        <v>29842</v>
      </c>
      <c r="B25659" t="s">
        <v>29853</v>
      </c>
      <c r="C25659">
        <v>0</v>
      </c>
      <c r="D25659">
        <v>0.913197652518</v>
      </c>
      <c r="E25659">
        <v>5.4692653673163401</v>
      </c>
    </row>
    <row r="25660" spans="1:5">
      <c r="A25660" t="s">
        <v>29842</v>
      </c>
      <c r="B25660" t="s">
        <v>29854</v>
      </c>
      <c r="C25660">
        <v>0</v>
      </c>
      <c r="D25660">
        <v>0.913197652518</v>
      </c>
      <c r="E25660">
        <v>5.4692653673163401</v>
      </c>
    </row>
    <row r="25661" spans="1:5">
      <c r="A25661" t="s">
        <v>29855</v>
      </c>
      <c r="B25661" t="s">
        <v>29856</v>
      </c>
      <c r="C25661">
        <v>0.113195377337</v>
      </c>
      <c r="D25661">
        <v>0.67632717556699995</v>
      </c>
      <c r="E25661">
        <v>8.1439280359820092</v>
      </c>
    </row>
    <row r="25662" spans="1:5">
      <c r="A25662" t="s">
        <v>29857</v>
      </c>
      <c r="B25662" t="s">
        <v>29858</v>
      </c>
      <c r="C25662">
        <v>0</v>
      </c>
      <c r="D25662" t="s">
        <v>106</v>
      </c>
      <c r="E25662">
        <v>5.1214392803598203</v>
      </c>
    </row>
    <row r="25663" spans="1:5">
      <c r="A25663" t="s">
        <v>29857</v>
      </c>
      <c r="B25663" t="s">
        <v>29859</v>
      </c>
      <c r="C25663">
        <f>0</f>
        <v>0</v>
      </c>
      <c r="D25663" t="s">
        <v>106</v>
      </c>
      <c r="E25663">
        <v>5.1214392803598203</v>
      </c>
    </row>
    <row r="25664" spans="1:5">
      <c r="A25664" t="s">
        <v>29857</v>
      </c>
      <c r="B25664" t="s">
        <v>29860</v>
      </c>
      <c r="C25664">
        <v>0</v>
      </c>
      <c r="D25664" t="s">
        <v>106</v>
      </c>
      <c r="E25664">
        <v>5.1214392803598203</v>
      </c>
    </row>
    <row r="25665" spans="1:5">
      <c r="A25665" t="s">
        <v>29857</v>
      </c>
      <c r="B25665" t="s">
        <v>29861</v>
      </c>
      <c r="C25665">
        <f>0</f>
        <v>0</v>
      </c>
      <c r="D25665" t="s">
        <v>106</v>
      </c>
      <c r="E25665">
        <v>5.1214392803598203</v>
      </c>
    </row>
    <row r="25666" spans="1:5">
      <c r="A25666" t="s">
        <v>29857</v>
      </c>
      <c r="B25666" t="s">
        <v>29862</v>
      </c>
      <c r="C25666">
        <f>0</f>
        <v>0</v>
      </c>
      <c r="D25666" t="s">
        <v>106</v>
      </c>
      <c r="E25666">
        <v>5.1214392803598203</v>
      </c>
    </row>
    <row r="25667" spans="1:5">
      <c r="A25667" t="s">
        <v>29857</v>
      </c>
      <c r="B25667" t="s">
        <v>29863</v>
      </c>
      <c r="C25667">
        <v>0</v>
      </c>
      <c r="D25667" t="s">
        <v>106</v>
      </c>
      <c r="E25667">
        <v>5.1214392803598203</v>
      </c>
    </row>
    <row r="25668" spans="1:5">
      <c r="A25668" t="s">
        <v>29864</v>
      </c>
      <c r="B25668" t="s">
        <v>29865</v>
      </c>
      <c r="C25668">
        <f>0</f>
        <v>0</v>
      </c>
      <c r="D25668">
        <v>0.964679893658</v>
      </c>
      <c r="E25668">
        <v>7.5922038980509701</v>
      </c>
    </row>
    <row r="25669" spans="1:5">
      <c r="A25669" t="s">
        <v>29864</v>
      </c>
      <c r="B25669" t="s">
        <v>29866</v>
      </c>
      <c r="C25669">
        <v>0</v>
      </c>
      <c r="D25669">
        <v>0.964679893658</v>
      </c>
      <c r="E25669">
        <v>7.5922038980509701</v>
      </c>
    </row>
    <row r="25670" spans="1:5">
      <c r="A25670" t="s">
        <v>29864</v>
      </c>
      <c r="B25670" t="s">
        <v>29867</v>
      </c>
      <c r="C25670">
        <v>0</v>
      </c>
      <c r="D25670">
        <v>0.964679893658</v>
      </c>
      <c r="E25670">
        <v>7.5922038980509701</v>
      </c>
    </row>
    <row r="25671" spans="1:5">
      <c r="A25671" t="s">
        <v>29864</v>
      </c>
      <c r="B25671" t="s">
        <v>29868</v>
      </c>
      <c r="C25671">
        <f>0</f>
        <v>0</v>
      </c>
      <c r="D25671">
        <v>0.964679893658</v>
      </c>
      <c r="E25671">
        <v>7.5922038980509701</v>
      </c>
    </row>
    <row r="25672" spans="1:5">
      <c r="A25672" t="s">
        <v>29864</v>
      </c>
      <c r="B25672" t="s">
        <v>29869</v>
      </c>
      <c r="C25672">
        <f>0</f>
        <v>0</v>
      </c>
      <c r="D25672">
        <v>0.964679893658</v>
      </c>
      <c r="E25672">
        <v>7.5922038980509701</v>
      </c>
    </row>
    <row r="25673" spans="1:5">
      <c r="A25673" t="s">
        <v>29864</v>
      </c>
      <c r="B25673" t="s">
        <v>29870</v>
      </c>
      <c r="C25673">
        <v>0.346584955837</v>
      </c>
      <c r="D25673">
        <v>0.964679893658</v>
      </c>
      <c r="E25673">
        <v>7.5922038980509701</v>
      </c>
    </row>
    <row r="25674" spans="1:5">
      <c r="A25674" t="s">
        <v>29871</v>
      </c>
      <c r="B25674" t="s">
        <v>29872</v>
      </c>
      <c r="C25674">
        <v>0</v>
      </c>
      <c r="D25674">
        <v>0.99898526130700005</v>
      </c>
      <c r="E25674">
        <v>5.0134932533733103</v>
      </c>
    </row>
    <row r="25675" spans="1:5">
      <c r="A25675" t="s">
        <v>29871</v>
      </c>
      <c r="B25675" t="s">
        <v>29873</v>
      </c>
      <c r="C25675">
        <f>0</f>
        <v>0</v>
      </c>
      <c r="D25675">
        <v>0.99898526130700005</v>
      </c>
      <c r="E25675">
        <v>5.0134932533733103</v>
      </c>
    </row>
    <row r="25676" spans="1:5">
      <c r="A25676" t="s">
        <v>29871</v>
      </c>
      <c r="B25676" t="s">
        <v>29874</v>
      </c>
      <c r="C25676">
        <v>6.0207108957899998E-2</v>
      </c>
      <c r="D25676">
        <v>0.99898526130700005</v>
      </c>
      <c r="E25676">
        <v>5.0134932533733103</v>
      </c>
    </row>
    <row r="25677" spans="1:5">
      <c r="A25677" t="s">
        <v>29871</v>
      </c>
      <c r="B25677" t="s">
        <v>29875</v>
      </c>
      <c r="C25677">
        <v>0</v>
      </c>
      <c r="D25677">
        <v>0.99898526130700005</v>
      </c>
      <c r="E25677">
        <v>5.0134932533733103</v>
      </c>
    </row>
    <row r="25678" spans="1:5">
      <c r="A25678" t="s">
        <v>29871</v>
      </c>
      <c r="B25678" t="s">
        <v>29876</v>
      </c>
      <c r="C25678">
        <v>0</v>
      </c>
      <c r="D25678">
        <v>0.99898526130700005</v>
      </c>
      <c r="E25678">
        <v>5.0134932533733103</v>
      </c>
    </row>
    <row r="25679" spans="1:5">
      <c r="A25679" t="s">
        <v>29871</v>
      </c>
      <c r="B25679" t="s">
        <v>29877</v>
      </c>
      <c r="C25679">
        <v>0.124325300451</v>
      </c>
      <c r="D25679">
        <v>0.99898526130700005</v>
      </c>
      <c r="E25679">
        <v>5.0134932533733103</v>
      </c>
    </row>
    <row r="25680" spans="1:5">
      <c r="A25680" t="s">
        <v>29878</v>
      </c>
      <c r="B25680" t="s">
        <v>29879</v>
      </c>
      <c r="C25680">
        <v>5.8339124844200001E-2</v>
      </c>
      <c r="D25680">
        <v>0.918752553699</v>
      </c>
      <c r="E25680">
        <v>13.8170914542728</v>
      </c>
    </row>
    <row r="25681" spans="1:5">
      <c r="A25681" t="s">
        <v>29878</v>
      </c>
      <c r="B25681" t="s">
        <v>29880</v>
      </c>
      <c r="C25681">
        <v>0</v>
      </c>
      <c r="D25681">
        <v>0.918752553699</v>
      </c>
      <c r="E25681">
        <v>13.8170914542728</v>
      </c>
    </row>
    <row r="25682" spans="1:5">
      <c r="A25682" t="s">
        <v>29878</v>
      </c>
      <c r="B25682" t="s">
        <v>29881</v>
      </c>
      <c r="C25682">
        <f>0</f>
        <v>0</v>
      </c>
      <c r="D25682">
        <v>0.918752553699</v>
      </c>
      <c r="E25682">
        <v>13.8170914542728</v>
      </c>
    </row>
    <row r="25683" spans="1:5">
      <c r="A25683" t="s">
        <v>29878</v>
      </c>
      <c r="B25683" t="s">
        <v>29882</v>
      </c>
      <c r="C25683">
        <f>0</f>
        <v>0</v>
      </c>
      <c r="D25683">
        <v>0.918752553699</v>
      </c>
      <c r="E25683">
        <v>13.8170914542728</v>
      </c>
    </row>
    <row r="25684" spans="1:5">
      <c r="A25684" t="s">
        <v>29878</v>
      </c>
      <c r="B25684" t="s">
        <v>29883</v>
      </c>
      <c r="C25684">
        <v>0</v>
      </c>
      <c r="D25684">
        <v>0.918752553699</v>
      </c>
      <c r="E25684">
        <v>13.8170914542728</v>
      </c>
    </row>
    <row r="25685" spans="1:5">
      <c r="A25685" t="s">
        <v>29878</v>
      </c>
      <c r="B25685" t="s">
        <v>29884</v>
      </c>
      <c r="C25685">
        <f>0</f>
        <v>0</v>
      </c>
      <c r="D25685">
        <v>0.918752553699</v>
      </c>
      <c r="E25685">
        <v>13.8170914542728</v>
      </c>
    </row>
    <row r="25686" spans="1:5">
      <c r="A25686" t="s">
        <v>29885</v>
      </c>
      <c r="B25686" t="s">
        <v>29886</v>
      </c>
      <c r="C25686">
        <f>0</f>
        <v>0</v>
      </c>
      <c r="D25686">
        <v>0.879102822974</v>
      </c>
      <c r="E25686">
        <v>1.45127436281859</v>
      </c>
    </row>
    <row r="25687" spans="1:5">
      <c r="A25687" t="s">
        <v>29885</v>
      </c>
      <c r="B25687" t="s">
        <v>29887</v>
      </c>
      <c r="C25687">
        <f>0</f>
        <v>0</v>
      </c>
      <c r="D25687">
        <v>0.879102822974</v>
      </c>
      <c r="E25687">
        <v>1.45127436281859</v>
      </c>
    </row>
    <row r="25688" spans="1:5">
      <c r="A25688" t="s">
        <v>29885</v>
      </c>
      <c r="B25688" t="s">
        <v>29888</v>
      </c>
      <c r="C25688">
        <f>0.0044876445882</f>
        <v>4.4876445881999998E-3</v>
      </c>
      <c r="D25688">
        <v>0.879102822974</v>
      </c>
      <c r="E25688">
        <v>1.45127436281859</v>
      </c>
    </row>
    <row r="25689" spans="1:5">
      <c r="A25689" t="s">
        <v>29885</v>
      </c>
      <c r="B25689" t="s">
        <v>29889</v>
      </c>
      <c r="C25689">
        <f>0</f>
        <v>0</v>
      </c>
      <c r="D25689">
        <v>0.879102822974</v>
      </c>
      <c r="E25689">
        <v>1.45127436281859</v>
      </c>
    </row>
    <row r="25690" spans="1:5">
      <c r="A25690" t="s">
        <v>29885</v>
      </c>
      <c r="B25690" t="s">
        <v>29890</v>
      </c>
      <c r="C25690">
        <f>0.00398165959156</f>
        <v>3.98165959156E-3</v>
      </c>
      <c r="D25690">
        <v>0.879102822974</v>
      </c>
      <c r="E25690">
        <v>1.45127436281859</v>
      </c>
    </row>
    <row r="25691" spans="1:5">
      <c r="A25691" t="s">
        <v>29885</v>
      </c>
      <c r="B25691" t="s">
        <v>29891</v>
      </c>
      <c r="C25691">
        <v>0</v>
      </c>
      <c r="D25691">
        <v>0.879102822974</v>
      </c>
      <c r="E25691">
        <v>1.45127436281859</v>
      </c>
    </row>
    <row r="25692" spans="1:5">
      <c r="A25692" t="s">
        <v>29885</v>
      </c>
      <c r="B25692" t="s">
        <v>29892</v>
      </c>
      <c r="C25692">
        <v>0</v>
      </c>
      <c r="D25692">
        <v>0.879102822974</v>
      </c>
      <c r="E25692">
        <v>1.45127436281859</v>
      </c>
    </row>
    <row r="25693" spans="1:5">
      <c r="A25693" t="s">
        <v>29885</v>
      </c>
      <c r="B25693" t="s">
        <v>29893</v>
      </c>
      <c r="C25693">
        <f>0</f>
        <v>0</v>
      </c>
      <c r="D25693">
        <v>0.879102822974</v>
      </c>
      <c r="E25693">
        <v>1.45127436281859</v>
      </c>
    </row>
    <row r="25694" spans="1:5">
      <c r="A25694" t="s">
        <v>29885</v>
      </c>
      <c r="B25694" t="s">
        <v>29894</v>
      </c>
      <c r="C25694">
        <f>0</f>
        <v>0</v>
      </c>
      <c r="D25694">
        <v>0.879102822974</v>
      </c>
      <c r="E25694">
        <v>1.45127436281859</v>
      </c>
    </row>
    <row r="25695" spans="1:5">
      <c r="A25695" t="s">
        <v>29895</v>
      </c>
      <c r="B25695" t="s">
        <v>29896</v>
      </c>
      <c r="C25695">
        <v>5.1777656034699998E-2</v>
      </c>
      <c r="D25695">
        <v>0.96727162902099995</v>
      </c>
      <c r="E25695">
        <v>14.5487256371814</v>
      </c>
    </row>
    <row r="25696" spans="1:5">
      <c r="A25696" t="s">
        <v>29895</v>
      </c>
      <c r="B25696" t="s">
        <v>29897</v>
      </c>
      <c r="C25696">
        <v>0</v>
      </c>
      <c r="D25696">
        <v>0.96727162902099995</v>
      </c>
      <c r="E25696">
        <v>14.5487256371814</v>
      </c>
    </row>
    <row r="25697" spans="1:5">
      <c r="A25697" t="s">
        <v>29895</v>
      </c>
      <c r="B25697" t="s">
        <v>29898</v>
      </c>
      <c r="C25697">
        <v>0</v>
      </c>
      <c r="D25697">
        <v>0.96727162902099995</v>
      </c>
      <c r="E25697">
        <v>14.5487256371814</v>
      </c>
    </row>
    <row r="25698" spans="1:5">
      <c r="A25698" t="s">
        <v>29895</v>
      </c>
      <c r="B25698" t="s">
        <v>29899</v>
      </c>
      <c r="C25698">
        <v>0</v>
      </c>
      <c r="D25698">
        <v>0.96727162902099995</v>
      </c>
      <c r="E25698">
        <v>14.5487256371814</v>
      </c>
    </row>
    <row r="25699" spans="1:5">
      <c r="A25699" t="s">
        <v>29895</v>
      </c>
      <c r="B25699" t="s">
        <v>29900</v>
      </c>
      <c r="C25699">
        <v>0</v>
      </c>
      <c r="D25699">
        <v>0.96727162902099995</v>
      </c>
      <c r="E25699">
        <v>14.5487256371814</v>
      </c>
    </row>
    <row r="25700" spans="1:5">
      <c r="A25700" t="s">
        <v>29895</v>
      </c>
      <c r="B25700" t="s">
        <v>29901</v>
      </c>
      <c r="C25700">
        <v>0</v>
      </c>
      <c r="D25700">
        <v>0.96727162902099995</v>
      </c>
      <c r="E25700">
        <v>14.5487256371814</v>
      </c>
    </row>
    <row r="25701" spans="1:5">
      <c r="A25701" t="s">
        <v>29902</v>
      </c>
      <c r="B25701" t="s">
        <v>29903</v>
      </c>
      <c r="C25701">
        <v>0.22160801377700001</v>
      </c>
      <c r="D25701">
        <v>0.85709654111599998</v>
      </c>
      <c r="E25701">
        <v>4.3778110944527704</v>
      </c>
    </row>
    <row r="25702" spans="1:5">
      <c r="A25702" t="s">
        <v>29902</v>
      </c>
      <c r="B25702" t="s">
        <v>29904</v>
      </c>
      <c r="C25702">
        <v>8.5194181620699999E-2</v>
      </c>
      <c r="D25702">
        <v>0.85709654111599998</v>
      </c>
      <c r="E25702">
        <v>4.3778110944527704</v>
      </c>
    </row>
    <row r="25703" spans="1:5">
      <c r="A25703" t="s">
        <v>29902</v>
      </c>
      <c r="B25703" t="s">
        <v>29905</v>
      </c>
      <c r="C25703">
        <v>0</v>
      </c>
      <c r="D25703">
        <v>0.85709654111599998</v>
      </c>
      <c r="E25703">
        <v>4.3778110944527704</v>
      </c>
    </row>
    <row r="25704" spans="1:5">
      <c r="A25704" t="s">
        <v>29906</v>
      </c>
      <c r="B25704" t="s">
        <v>29907</v>
      </c>
      <c r="C25704">
        <f>0</f>
        <v>0</v>
      </c>
      <c r="D25704">
        <v>0.90130150354500005</v>
      </c>
      <c r="E25704">
        <v>24</v>
      </c>
    </row>
    <row r="25705" spans="1:5">
      <c r="A25705" t="s">
        <v>29906</v>
      </c>
      <c r="B25705" t="s">
        <v>29908</v>
      </c>
      <c r="C25705">
        <f>0</f>
        <v>0</v>
      </c>
      <c r="D25705">
        <v>0.90130150354500005</v>
      </c>
      <c r="E25705">
        <v>24</v>
      </c>
    </row>
    <row r="25706" spans="1:5">
      <c r="A25706" t="s">
        <v>29906</v>
      </c>
      <c r="B25706" t="s">
        <v>29909</v>
      </c>
      <c r="C25706">
        <v>0</v>
      </c>
      <c r="D25706">
        <v>0.90130150354500005</v>
      </c>
      <c r="E25706">
        <v>24</v>
      </c>
    </row>
    <row r="25707" spans="1:5">
      <c r="A25707" t="s">
        <v>29906</v>
      </c>
      <c r="B25707" t="s">
        <v>29910</v>
      </c>
      <c r="C25707">
        <v>0</v>
      </c>
      <c r="D25707">
        <v>0.90130150354500005</v>
      </c>
      <c r="E25707">
        <v>24</v>
      </c>
    </row>
    <row r="25708" spans="1:5">
      <c r="A25708" t="s">
        <v>29906</v>
      </c>
      <c r="B25708" t="s">
        <v>29911</v>
      </c>
      <c r="C25708">
        <f>0</f>
        <v>0</v>
      </c>
      <c r="D25708">
        <v>0.90130150354500005</v>
      </c>
      <c r="E25708">
        <v>24</v>
      </c>
    </row>
    <row r="25709" spans="1:5">
      <c r="A25709" t="s">
        <v>29906</v>
      </c>
      <c r="B25709" t="s">
        <v>29912</v>
      </c>
      <c r="C25709">
        <f>0</f>
        <v>0</v>
      </c>
      <c r="D25709">
        <v>0.90130150354500005</v>
      </c>
      <c r="E25709">
        <v>24</v>
      </c>
    </row>
    <row r="25710" spans="1:5">
      <c r="A25710" t="s">
        <v>29906</v>
      </c>
      <c r="B25710" t="s">
        <v>29913</v>
      </c>
      <c r="C25710">
        <f>0</f>
        <v>0</v>
      </c>
      <c r="D25710">
        <v>0.90130150354500005</v>
      </c>
      <c r="E25710">
        <v>24</v>
      </c>
    </row>
    <row r="25711" spans="1:5">
      <c r="A25711" t="s">
        <v>29906</v>
      </c>
      <c r="B25711" t="s">
        <v>29914</v>
      </c>
      <c r="C25711">
        <v>0</v>
      </c>
      <c r="D25711">
        <v>0.90130150354500005</v>
      </c>
      <c r="E25711">
        <v>24</v>
      </c>
    </row>
    <row r="25712" spans="1:5">
      <c r="A25712" t="s">
        <v>29906</v>
      </c>
      <c r="B25712" t="s">
        <v>29915</v>
      </c>
      <c r="C25712">
        <v>0</v>
      </c>
      <c r="D25712">
        <v>0.90130150354500005</v>
      </c>
      <c r="E25712">
        <v>24</v>
      </c>
    </row>
    <row r="25713" spans="1:5">
      <c r="A25713" t="s">
        <v>29906</v>
      </c>
      <c r="B25713" t="s">
        <v>29916</v>
      </c>
      <c r="C25713">
        <f>0</f>
        <v>0</v>
      </c>
      <c r="D25713">
        <v>0.90130150354500005</v>
      </c>
      <c r="E25713">
        <v>24</v>
      </c>
    </row>
    <row r="25714" spans="1:5">
      <c r="A25714" t="s">
        <v>29906</v>
      </c>
      <c r="B25714" t="s">
        <v>29917</v>
      </c>
      <c r="C25714">
        <f>0</f>
        <v>0</v>
      </c>
      <c r="D25714">
        <v>0.90130150354500005</v>
      </c>
      <c r="E25714">
        <v>24</v>
      </c>
    </row>
    <row r="25715" spans="1:5">
      <c r="A25715" t="s">
        <v>29906</v>
      </c>
      <c r="B25715" t="s">
        <v>29918</v>
      </c>
      <c r="C25715">
        <v>0</v>
      </c>
      <c r="D25715">
        <v>0.90130150354500005</v>
      </c>
      <c r="E25715">
        <v>24</v>
      </c>
    </row>
    <row r="25716" spans="1:5">
      <c r="A25716" t="s">
        <v>29906</v>
      </c>
      <c r="B25716" t="s">
        <v>29919</v>
      </c>
      <c r="C25716">
        <v>0</v>
      </c>
      <c r="D25716">
        <v>0.90130150354500005</v>
      </c>
      <c r="E25716">
        <v>24</v>
      </c>
    </row>
    <row r="25717" spans="1:5">
      <c r="A25717" t="s">
        <v>29906</v>
      </c>
      <c r="B25717" t="s">
        <v>29920</v>
      </c>
      <c r="C25717">
        <f>0.0246857359191</f>
        <v>2.4685735919100001E-2</v>
      </c>
      <c r="D25717">
        <v>0.90130150354500005</v>
      </c>
      <c r="E25717">
        <v>24</v>
      </c>
    </row>
    <row r="25718" spans="1:5">
      <c r="A25718" t="s">
        <v>29906</v>
      </c>
      <c r="B25718" t="s">
        <v>29921</v>
      </c>
      <c r="C25718">
        <v>0</v>
      </c>
      <c r="D25718">
        <v>0.90130150354500005</v>
      </c>
      <c r="E25718">
        <v>24</v>
      </c>
    </row>
    <row r="25719" spans="1:5">
      <c r="A25719" t="s">
        <v>29906</v>
      </c>
      <c r="B25719" t="s">
        <v>29922</v>
      </c>
      <c r="C25719">
        <f>0</f>
        <v>0</v>
      </c>
      <c r="D25719">
        <v>0.90130150354500005</v>
      </c>
      <c r="E25719">
        <v>24</v>
      </c>
    </row>
    <row r="25720" spans="1:5">
      <c r="A25720" t="s">
        <v>29906</v>
      </c>
      <c r="B25720" t="s">
        <v>29923</v>
      </c>
      <c r="C25720">
        <v>0</v>
      </c>
      <c r="D25720">
        <v>0.90130150354500005</v>
      </c>
      <c r="E25720">
        <v>24</v>
      </c>
    </row>
    <row r="25721" spans="1:5">
      <c r="A25721" t="s">
        <v>29924</v>
      </c>
      <c r="B25721" t="s">
        <v>29925</v>
      </c>
      <c r="C25721">
        <v>0.16790378145400001</v>
      </c>
      <c r="D25721">
        <v>0.94473666378800003</v>
      </c>
      <c r="E25721">
        <v>5.3493253373313303</v>
      </c>
    </row>
    <row r="25722" spans="1:5">
      <c r="A25722" t="s">
        <v>29926</v>
      </c>
      <c r="B25722" t="s">
        <v>29927</v>
      </c>
      <c r="C25722">
        <v>0</v>
      </c>
      <c r="D25722">
        <v>0.81572414622900002</v>
      </c>
      <c r="E25722">
        <v>1.57121439280359</v>
      </c>
    </row>
    <row r="25723" spans="1:5">
      <c r="A25723" t="s">
        <v>29926</v>
      </c>
      <c r="B25723" t="s">
        <v>29928</v>
      </c>
      <c r="C25723">
        <v>0.43457102161099997</v>
      </c>
      <c r="D25723">
        <v>0.81572414622900002</v>
      </c>
      <c r="E25723">
        <v>1.57121439280359</v>
      </c>
    </row>
    <row r="25724" spans="1:5">
      <c r="A25724" t="s">
        <v>29929</v>
      </c>
      <c r="B25724" t="s">
        <v>29930</v>
      </c>
      <c r="C25724">
        <f>0</f>
        <v>0</v>
      </c>
      <c r="D25724">
        <v>0.96591757909300002</v>
      </c>
      <c r="E25724">
        <v>4.3778110944527704</v>
      </c>
    </row>
    <row r="25725" spans="1:5">
      <c r="A25725" t="s">
        <v>29929</v>
      </c>
      <c r="B25725" t="s">
        <v>29931</v>
      </c>
      <c r="C25725">
        <f>0</f>
        <v>0</v>
      </c>
      <c r="D25725">
        <v>0.96591757909300002</v>
      </c>
      <c r="E25725">
        <v>4.3778110944527704</v>
      </c>
    </row>
    <row r="25726" spans="1:5">
      <c r="A25726" t="s">
        <v>29929</v>
      </c>
      <c r="B25726" t="s">
        <v>29932</v>
      </c>
      <c r="C25726">
        <v>0</v>
      </c>
      <c r="D25726">
        <v>0.96591757909300002</v>
      </c>
      <c r="E25726">
        <v>4.3778110944527704</v>
      </c>
    </row>
    <row r="25727" spans="1:5">
      <c r="A25727" t="s">
        <v>29929</v>
      </c>
      <c r="B25727" t="s">
        <v>29933</v>
      </c>
      <c r="C25727">
        <f>0</f>
        <v>0</v>
      </c>
      <c r="D25727">
        <v>0.96591757909300002</v>
      </c>
      <c r="E25727">
        <v>4.3778110944527704</v>
      </c>
    </row>
    <row r="25728" spans="1:5">
      <c r="A25728" t="s">
        <v>29929</v>
      </c>
      <c r="B25728" t="s">
        <v>29934</v>
      </c>
      <c r="C25728">
        <v>0</v>
      </c>
      <c r="D25728">
        <v>0.96591757909300002</v>
      </c>
      <c r="E25728">
        <v>4.3778110944527704</v>
      </c>
    </row>
    <row r="25729" spans="1:5">
      <c r="A25729" t="s">
        <v>29929</v>
      </c>
      <c r="B25729" t="s">
        <v>29935</v>
      </c>
      <c r="C25729">
        <v>4.5158798633100003E-2</v>
      </c>
      <c r="D25729">
        <v>0.96591757909300002</v>
      </c>
      <c r="E25729">
        <v>4.3778110944527704</v>
      </c>
    </row>
    <row r="25730" spans="1:5">
      <c r="A25730" t="s">
        <v>29929</v>
      </c>
      <c r="B25730" t="s">
        <v>29936</v>
      </c>
      <c r="C25730">
        <v>0</v>
      </c>
      <c r="D25730">
        <v>0.96591757909300002</v>
      </c>
      <c r="E25730">
        <v>4.3778110944527704</v>
      </c>
    </row>
    <row r="25731" spans="1:5">
      <c r="A25731" t="s">
        <v>29929</v>
      </c>
      <c r="B25731" t="s">
        <v>29937</v>
      </c>
      <c r="C25731">
        <v>0</v>
      </c>
      <c r="D25731">
        <v>0.96591757909300002</v>
      </c>
      <c r="E25731">
        <v>4.3778110944527704</v>
      </c>
    </row>
    <row r="25732" spans="1:5">
      <c r="A25732" t="s">
        <v>29929</v>
      </c>
      <c r="B25732" t="s">
        <v>29938</v>
      </c>
      <c r="C25732">
        <v>0.177708152516</v>
      </c>
      <c r="D25732">
        <v>0.96591757909300002</v>
      </c>
      <c r="E25732">
        <v>4.3778110944527704</v>
      </c>
    </row>
    <row r="25733" spans="1:5">
      <c r="A25733" t="s">
        <v>29939</v>
      </c>
      <c r="B25733" t="s">
        <v>29940</v>
      </c>
      <c r="C25733">
        <v>0.21197429903500001</v>
      </c>
      <c r="D25733">
        <v>0.99272031181200004</v>
      </c>
      <c r="E25733">
        <v>20.965517241379299</v>
      </c>
    </row>
    <row r="25734" spans="1:5">
      <c r="A25734" t="s">
        <v>29939</v>
      </c>
      <c r="B25734" t="s">
        <v>29941</v>
      </c>
      <c r="C25734">
        <v>0</v>
      </c>
      <c r="D25734">
        <v>0.99272031181200004</v>
      </c>
      <c r="E25734">
        <v>20.965517241379299</v>
      </c>
    </row>
    <row r="25735" spans="1:5">
      <c r="A25735" t="s">
        <v>29942</v>
      </c>
      <c r="B25735" t="s">
        <v>29943</v>
      </c>
      <c r="C25735">
        <f>0</f>
        <v>0</v>
      </c>
      <c r="D25735" t="s">
        <v>106</v>
      </c>
      <c r="E25735">
        <v>13.8170914542728</v>
      </c>
    </row>
    <row r="25736" spans="1:5">
      <c r="A25736" t="s">
        <v>29942</v>
      </c>
      <c r="B25736" t="s">
        <v>29944</v>
      </c>
      <c r="C25736">
        <v>0</v>
      </c>
      <c r="D25736" t="s">
        <v>106</v>
      </c>
      <c r="E25736">
        <v>13.8170914542728</v>
      </c>
    </row>
    <row r="25737" spans="1:5">
      <c r="A25737" t="s">
        <v>29942</v>
      </c>
      <c r="B25737" t="s">
        <v>29945</v>
      </c>
      <c r="C25737">
        <v>0</v>
      </c>
      <c r="D25737" t="s">
        <v>106</v>
      </c>
      <c r="E25737">
        <v>13.8170914542728</v>
      </c>
    </row>
    <row r="25738" spans="1:5">
      <c r="A25738" t="s">
        <v>29946</v>
      </c>
      <c r="B25738" t="s">
        <v>29947</v>
      </c>
      <c r="C25738">
        <v>0</v>
      </c>
      <c r="D25738" t="s">
        <v>106</v>
      </c>
      <c r="E25738">
        <v>2.0989505247376301</v>
      </c>
    </row>
    <row r="25739" spans="1:5">
      <c r="A25739" t="s">
        <v>29946</v>
      </c>
      <c r="B25739" t="s">
        <v>29948</v>
      </c>
      <c r="C25739">
        <v>0</v>
      </c>
      <c r="D25739" t="s">
        <v>106</v>
      </c>
      <c r="E25739">
        <v>2.0989505247376301</v>
      </c>
    </row>
    <row r="25740" spans="1:5">
      <c r="A25740" t="s">
        <v>29946</v>
      </c>
      <c r="B25740" t="s">
        <v>29949</v>
      </c>
      <c r="C25740">
        <v>0</v>
      </c>
      <c r="D25740" t="s">
        <v>106</v>
      </c>
      <c r="E25740">
        <v>2.0989505247376301</v>
      </c>
    </row>
    <row r="25741" spans="1:5">
      <c r="A25741" t="s">
        <v>29946</v>
      </c>
      <c r="B25741" t="s">
        <v>29950</v>
      </c>
      <c r="C25741">
        <v>0</v>
      </c>
      <c r="D25741" t="s">
        <v>106</v>
      </c>
      <c r="E25741">
        <v>2.0989505247376301</v>
      </c>
    </row>
    <row r="25742" spans="1:5">
      <c r="A25742" t="s">
        <v>29951</v>
      </c>
      <c r="B25742" t="s">
        <v>29952</v>
      </c>
      <c r="C25742">
        <v>0</v>
      </c>
      <c r="D25742">
        <v>0.78403914914899997</v>
      </c>
      <c r="E25742">
        <v>4.58170914542728</v>
      </c>
    </row>
    <row r="25743" spans="1:5">
      <c r="A25743" t="s">
        <v>29951</v>
      </c>
      <c r="B25743" t="s">
        <v>29953</v>
      </c>
      <c r="C25743">
        <f>0</f>
        <v>0</v>
      </c>
      <c r="D25743">
        <v>0.78403914914899997</v>
      </c>
      <c r="E25743">
        <v>4.58170914542728</v>
      </c>
    </row>
    <row r="25744" spans="1:5">
      <c r="A25744" t="s">
        <v>29951</v>
      </c>
      <c r="B25744" t="s">
        <v>29954</v>
      </c>
      <c r="C25744">
        <v>0</v>
      </c>
      <c r="D25744">
        <v>0.78403914914899997</v>
      </c>
      <c r="E25744">
        <v>4.58170914542728</v>
      </c>
    </row>
    <row r="25745" spans="1:5">
      <c r="A25745" t="s">
        <v>29951</v>
      </c>
      <c r="B25745" t="s">
        <v>29955</v>
      </c>
      <c r="C25745">
        <v>0</v>
      </c>
      <c r="D25745">
        <v>0.78403914914899997</v>
      </c>
      <c r="E25745">
        <v>4.58170914542728</v>
      </c>
    </row>
    <row r="25746" spans="1:5">
      <c r="A25746" t="s">
        <v>29951</v>
      </c>
      <c r="B25746" t="s">
        <v>29956</v>
      </c>
      <c r="C25746">
        <v>0</v>
      </c>
      <c r="D25746">
        <v>0.78403914914899997</v>
      </c>
      <c r="E25746">
        <v>4.58170914542728</v>
      </c>
    </row>
    <row r="25747" spans="1:5">
      <c r="A25747" t="s">
        <v>29957</v>
      </c>
      <c r="B25747" t="s">
        <v>29958</v>
      </c>
      <c r="C25747">
        <v>0</v>
      </c>
      <c r="D25747" t="s">
        <v>106</v>
      </c>
      <c r="E25747">
        <v>7.1964017991004496</v>
      </c>
    </row>
    <row r="25748" spans="1:5">
      <c r="A25748" t="s">
        <v>29957</v>
      </c>
      <c r="B25748" t="s">
        <v>29959</v>
      </c>
      <c r="C25748">
        <v>0</v>
      </c>
      <c r="D25748" t="s">
        <v>106</v>
      </c>
      <c r="E25748">
        <v>7.1964017991004496</v>
      </c>
    </row>
    <row r="25749" spans="1:5">
      <c r="A25749" t="s">
        <v>29957</v>
      </c>
      <c r="B25749" t="s">
        <v>29960</v>
      </c>
      <c r="C25749">
        <v>0</v>
      </c>
      <c r="D25749" t="s">
        <v>106</v>
      </c>
      <c r="E25749">
        <v>7.1964017991004496</v>
      </c>
    </row>
    <row r="25750" spans="1:5">
      <c r="A25750" t="s">
        <v>29957</v>
      </c>
      <c r="B25750" t="s">
        <v>29961</v>
      </c>
      <c r="C25750">
        <f>0</f>
        <v>0</v>
      </c>
      <c r="D25750" t="s">
        <v>106</v>
      </c>
      <c r="E25750">
        <v>7.1964017991004496</v>
      </c>
    </row>
    <row r="25751" spans="1:5">
      <c r="A25751" t="s">
        <v>29957</v>
      </c>
      <c r="B25751" t="s">
        <v>29962</v>
      </c>
      <c r="C25751">
        <f>0</f>
        <v>0</v>
      </c>
      <c r="D25751" t="s">
        <v>106</v>
      </c>
      <c r="E25751">
        <v>7.1964017991004496</v>
      </c>
    </row>
    <row r="25752" spans="1:5">
      <c r="A25752" t="s">
        <v>29963</v>
      </c>
      <c r="B25752" t="s">
        <v>29964</v>
      </c>
      <c r="C25752">
        <v>0</v>
      </c>
      <c r="D25752" t="s">
        <v>106</v>
      </c>
      <c r="E25752">
        <v>3.5862068965517202</v>
      </c>
    </row>
    <row r="25753" spans="1:5">
      <c r="A25753" t="s">
        <v>29963</v>
      </c>
      <c r="B25753" t="s">
        <v>29965</v>
      </c>
      <c r="C25753">
        <v>4.3065157703599997E-2</v>
      </c>
      <c r="D25753" t="s">
        <v>106</v>
      </c>
      <c r="E25753">
        <v>3.5862068965517202</v>
      </c>
    </row>
    <row r="25754" spans="1:5">
      <c r="A25754" t="s">
        <v>29963</v>
      </c>
      <c r="B25754" t="s">
        <v>29966</v>
      </c>
      <c r="C25754">
        <v>0</v>
      </c>
      <c r="D25754" t="s">
        <v>106</v>
      </c>
      <c r="E25754">
        <v>3.5862068965517202</v>
      </c>
    </row>
    <row r="25755" spans="1:5">
      <c r="A25755" t="s">
        <v>29963</v>
      </c>
      <c r="B25755" t="s">
        <v>29967</v>
      </c>
      <c r="C25755">
        <v>0</v>
      </c>
      <c r="D25755" t="s">
        <v>106</v>
      </c>
      <c r="E25755">
        <v>3.5862068965517202</v>
      </c>
    </row>
    <row r="25756" spans="1:5">
      <c r="A25756" t="s">
        <v>29963</v>
      </c>
      <c r="B25756" t="s">
        <v>29968</v>
      </c>
      <c r="C25756">
        <v>0</v>
      </c>
      <c r="D25756" t="s">
        <v>106</v>
      </c>
      <c r="E25756">
        <v>3.5862068965517202</v>
      </c>
    </row>
    <row r="25757" spans="1:5">
      <c r="A25757" t="s">
        <v>29963</v>
      </c>
      <c r="B25757" t="s">
        <v>29969</v>
      </c>
      <c r="C25757">
        <v>0</v>
      </c>
      <c r="D25757" t="s">
        <v>106</v>
      </c>
      <c r="E25757">
        <v>3.5862068965517202</v>
      </c>
    </row>
    <row r="25758" spans="1:5">
      <c r="A25758" t="s">
        <v>29963</v>
      </c>
      <c r="B25758" t="s">
        <v>29970</v>
      </c>
      <c r="C25758">
        <v>0</v>
      </c>
      <c r="D25758" t="s">
        <v>106</v>
      </c>
      <c r="E25758">
        <v>3.5862068965517202</v>
      </c>
    </row>
    <row r="25759" spans="1:5">
      <c r="A25759" t="s">
        <v>29963</v>
      </c>
      <c r="B25759" t="s">
        <v>29971</v>
      </c>
      <c r="C25759">
        <v>5.8817014794100002E-2</v>
      </c>
      <c r="D25759" t="s">
        <v>106</v>
      </c>
      <c r="E25759">
        <v>3.5862068965517202</v>
      </c>
    </row>
    <row r="25760" spans="1:5">
      <c r="A25760" t="s">
        <v>29963</v>
      </c>
      <c r="B25760" t="s">
        <v>29972</v>
      </c>
      <c r="C25760">
        <f>0</f>
        <v>0</v>
      </c>
      <c r="D25760" t="s">
        <v>106</v>
      </c>
      <c r="E25760">
        <v>3.5862068965517202</v>
      </c>
    </row>
    <row r="25761" spans="1:5">
      <c r="A25761" t="s">
        <v>29963</v>
      </c>
      <c r="B25761" t="s">
        <v>29973</v>
      </c>
      <c r="C25761">
        <v>0</v>
      </c>
      <c r="D25761" t="s">
        <v>106</v>
      </c>
      <c r="E25761">
        <v>3.5862068965517202</v>
      </c>
    </row>
    <row r="25762" spans="1:5">
      <c r="A25762" t="s">
        <v>29963</v>
      </c>
      <c r="B25762" t="s">
        <v>29974</v>
      </c>
      <c r="C25762">
        <v>0</v>
      </c>
      <c r="D25762" t="s">
        <v>106</v>
      </c>
      <c r="E25762">
        <v>3.5862068965517202</v>
      </c>
    </row>
    <row r="25763" spans="1:5">
      <c r="A25763" t="s">
        <v>29963</v>
      </c>
      <c r="B25763" t="s">
        <v>29975</v>
      </c>
      <c r="C25763">
        <f>0</f>
        <v>0</v>
      </c>
      <c r="D25763" t="s">
        <v>106</v>
      </c>
      <c r="E25763">
        <v>3.5862068965517202</v>
      </c>
    </row>
    <row r="25764" spans="1:5">
      <c r="A25764" t="s">
        <v>29963</v>
      </c>
      <c r="B25764" t="s">
        <v>29976</v>
      </c>
      <c r="C25764">
        <f>0</f>
        <v>0</v>
      </c>
      <c r="D25764" t="s">
        <v>106</v>
      </c>
      <c r="E25764">
        <v>3.5862068965517202</v>
      </c>
    </row>
    <row r="25765" spans="1:5">
      <c r="A25765" t="s">
        <v>29963</v>
      </c>
      <c r="B25765" t="s">
        <v>29977</v>
      </c>
      <c r="C25765">
        <v>0</v>
      </c>
      <c r="D25765" t="s">
        <v>106</v>
      </c>
      <c r="E25765">
        <v>3.5862068965517202</v>
      </c>
    </row>
    <row r="25766" spans="1:5">
      <c r="A25766" t="s">
        <v>29963</v>
      </c>
      <c r="B25766" t="s">
        <v>29978</v>
      </c>
      <c r="C25766">
        <v>0</v>
      </c>
      <c r="D25766" t="s">
        <v>106</v>
      </c>
      <c r="E25766">
        <v>3.5862068965517202</v>
      </c>
    </row>
    <row r="25767" spans="1:5">
      <c r="A25767" t="s">
        <v>29979</v>
      </c>
      <c r="B25767" t="s">
        <v>29980</v>
      </c>
      <c r="C25767">
        <f>0</f>
        <v>0</v>
      </c>
      <c r="D25767">
        <v>0.89927912975099999</v>
      </c>
      <c r="E25767">
        <v>3.5862068965517202</v>
      </c>
    </row>
    <row r="25768" spans="1:5">
      <c r="A25768" t="s">
        <v>29979</v>
      </c>
      <c r="B25768" t="s">
        <v>29981</v>
      </c>
      <c r="C25768">
        <v>0</v>
      </c>
      <c r="D25768">
        <v>0.89927912975099999</v>
      </c>
      <c r="E25768">
        <v>3.5862068965517202</v>
      </c>
    </row>
    <row r="25769" spans="1:5">
      <c r="A25769" t="s">
        <v>29979</v>
      </c>
      <c r="B25769" t="s">
        <v>29982</v>
      </c>
      <c r="C25769">
        <v>0.24844173042600001</v>
      </c>
      <c r="D25769">
        <v>0.89927912975099999</v>
      </c>
      <c r="E25769">
        <v>3.5862068965517202</v>
      </c>
    </row>
    <row r="25770" spans="1:5">
      <c r="A25770" t="s">
        <v>29979</v>
      </c>
      <c r="B25770" t="s">
        <v>29983</v>
      </c>
      <c r="C25770">
        <f>0</f>
        <v>0</v>
      </c>
      <c r="D25770">
        <v>0.89927912975099999</v>
      </c>
      <c r="E25770">
        <v>3.5862068965517202</v>
      </c>
    </row>
    <row r="25771" spans="1:5">
      <c r="A25771" t="s">
        <v>29979</v>
      </c>
      <c r="B25771" t="s">
        <v>29984</v>
      </c>
      <c r="C25771">
        <v>0</v>
      </c>
      <c r="D25771">
        <v>0.89927912975099999</v>
      </c>
      <c r="E25771">
        <v>3.5862068965517202</v>
      </c>
    </row>
    <row r="25772" spans="1:5">
      <c r="A25772" t="s">
        <v>29979</v>
      </c>
      <c r="B25772" t="s">
        <v>29985</v>
      </c>
      <c r="C25772">
        <v>0</v>
      </c>
      <c r="D25772">
        <v>0.89927912975099999</v>
      </c>
      <c r="E25772">
        <v>3.5862068965517202</v>
      </c>
    </row>
    <row r="25773" spans="1:5">
      <c r="A25773" t="s">
        <v>29986</v>
      </c>
      <c r="B25773" t="s">
        <v>29987</v>
      </c>
      <c r="C25773">
        <f>0</f>
        <v>0</v>
      </c>
      <c r="D25773">
        <v>0.99157578080300002</v>
      </c>
      <c r="E25773">
        <v>5.1214392803598203</v>
      </c>
    </row>
    <row r="25774" spans="1:5">
      <c r="A25774" t="s">
        <v>29986</v>
      </c>
      <c r="B25774" t="s">
        <v>29988</v>
      </c>
      <c r="C25774">
        <f>0</f>
        <v>0</v>
      </c>
      <c r="D25774">
        <v>0.99157578080300002</v>
      </c>
      <c r="E25774">
        <v>5.1214392803598203</v>
      </c>
    </row>
    <row r="25775" spans="1:5">
      <c r="A25775" t="s">
        <v>29986</v>
      </c>
      <c r="B25775" t="s">
        <v>29989</v>
      </c>
      <c r="C25775">
        <f>0</f>
        <v>0</v>
      </c>
      <c r="D25775">
        <v>0.99157578080300002</v>
      </c>
      <c r="E25775">
        <v>5.1214392803598203</v>
      </c>
    </row>
    <row r="25776" spans="1:5">
      <c r="A25776" t="s">
        <v>29990</v>
      </c>
      <c r="B25776" t="s">
        <v>29991</v>
      </c>
      <c r="C25776">
        <v>0.25205695161199998</v>
      </c>
      <c r="D25776">
        <v>0.97481434107300002</v>
      </c>
      <c r="E25776">
        <v>8.8635682158920499</v>
      </c>
    </row>
    <row r="25777" spans="1:5">
      <c r="A25777" t="s">
        <v>29990</v>
      </c>
      <c r="B25777" t="s">
        <v>29992</v>
      </c>
      <c r="C25777">
        <v>0</v>
      </c>
      <c r="D25777">
        <v>0.97481434107300002</v>
      </c>
      <c r="E25777">
        <v>8.8635682158920499</v>
      </c>
    </row>
    <row r="25778" spans="1:5">
      <c r="A25778" t="s">
        <v>29990</v>
      </c>
      <c r="B25778" t="s">
        <v>29993</v>
      </c>
      <c r="C25778">
        <v>0</v>
      </c>
      <c r="D25778">
        <v>0.97481434107300002</v>
      </c>
      <c r="E25778">
        <v>8.8635682158920499</v>
      </c>
    </row>
    <row r="25779" spans="1:5">
      <c r="A25779" t="s">
        <v>29990</v>
      </c>
      <c r="B25779" t="s">
        <v>29994</v>
      </c>
      <c r="C25779">
        <f>0.21285571976</f>
        <v>0.21285571976000001</v>
      </c>
      <c r="D25779">
        <v>0.97481434107300002</v>
      </c>
      <c r="E25779">
        <v>8.8635682158920499</v>
      </c>
    </row>
    <row r="25780" spans="1:5">
      <c r="A25780" t="s">
        <v>29990</v>
      </c>
      <c r="B25780" t="s">
        <v>29995</v>
      </c>
      <c r="C25780">
        <f>0</f>
        <v>0</v>
      </c>
      <c r="D25780">
        <v>0.97481434107300002</v>
      </c>
      <c r="E25780">
        <v>8.8635682158920499</v>
      </c>
    </row>
    <row r="25781" spans="1:5">
      <c r="A25781" t="s">
        <v>29990</v>
      </c>
      <c r="B25781" t="s">
        <v>29996</v>
      </c>
      <c r="C25781">
        <v>0</v>
      </c>
      <c r="D25781">
        <v>0.97481434107300002</v>
      </c>
      <c r="E25781">
        <v>8.8635682158920499</v>
      </c>
    </row>
    <row r="25782" spans="1:5">
      <c r="A25782" t="s">
        <v>29990</v>
      </c>
      <c r="B25782" t="s">
        <v>29997</v>
      </c>
      <c r="C25782">
        <v>0</v>
      </c>
      <c r="D25782">
        <v>0.97481434107300002</v>
      </c>
      <c r="E25782">
        <v>8.8635682158920499</v>
      </c>
    </row>
    <row r="25783" spans="1:5">
      <c r="A25783" t="s">
        <v>29990</v>
      </c>
      <c r="B25783" t="s">
        <v>29998</v>
      </c>
      <c r="C25783">
        <f>0</f>
        <v>0</v>
      </c>
      <c r="D25783">
        <v>0.97481434107300002</v>
      </c>
      <c r="E25783">
        <v>8.8635682158920499</v>
      </c>
    </row>
    <row r="25784" spans="1:5">
      <c r="A25784" t="s">
        <v>29990</v>
      </c>
      <c r="B25784" t="s">
        <v>29999</v>
      </c>
      <c r="C25784">
        <v>0</v>
      </c>
      <c r="D25784">
        <v>0.97481434107300002</v>
      </c>
      <c r="E25784">
        <v>8.8635682158920499</v>
      </c>
    </row>
    <row r="25785" spans="1:5">
      <c r="A25785" t="s">
        <v>29990</v>
      </c>
      <c r="B25785" t="s">
        <v>30000</v>
      </c>
      <c r="C25785">
        <f>0</f>
        <v>0</v>
      </c>
      <c r="D25785">
        <v>0.97481434107300002</v>
      </c>
      <c r="E25785">
        <v>8.8635682158920499</v>
      </c>
    </row>
    <row r="25786" spans="1:5">
      <c r="A25786" t="s">
        <v>29990</v>
      </c>
      <c r="B25786" t="s">
        <v>30001</v>
      </c>
      <c r="C25786">
        <v>0</v>
      </c>
      <c r="D25786">
        <v>0.97481434107300002</v>
      </c>
      <c r="E25786">
        <v>8.8635682158920499</v>
      </c>
    </row>
    <row r="25787" spans="1:5">
      <c r="A25787" t="s">
        <v>30002</v>
      </c>
      <c r="B25787" t="s">
        <v>30003</v>
      </c>
      <c r="C25787">
        <f>0</f>
        <v>0</v>
      </c>
      <c r="D25787">
        <v>0.96765976962300004</v>
      </c>
      <c r="E25787">
        <v>5.69715142428785</v>
      </c>
    </row>
    <row r="25788" spans="1:5">
      <c r="A25788" t="s">
        <v>30002</v>
      </c>
      <c r="B25788" t="s">
        <v>30004</v>
      </c>
      <c r="C25788">
        <v>0</v>
      </c>
      <c r="D25788">
        <v>0.96765976962300004</v>
      </c>
      <c r="E25788">
        <v>5.69715142428785</v>
      </c>
    </row>
    <row r="25789" spans="1:5">
      <c r="A25789" t="s">
        <v>30002</v>
      </c>
      <c r="B25789" t="s">
        <v>30005</v>
      </c>
      <c r="C25789">
        <v>0</v>
      </c>
      <c r="D25789">
        <v>0.96765976962300004</v>
      </c>
      <c r="E25789">
        <v>5.69715142428785</v>
      </c>
    </row>
    <row r="25790" spans="1:5">
      <c r="A25790" t="s">
        <v>30002</v>
      </c>
      <c r="B25790" t="s">
        <v>30006</v>
      </c>
      <c r="C25790">
        <v>0</v>
      </c>
      <c r="D25790">
        <v>0.96765976962300004</v>
      </c>
      <c r="E25790">
        <v>5.69715142428785</v>
      </c>
    </row>
    <row r="25791" spans="1:5">
      <c r="A25791" t="s">
        <v>30002</v>
      </c>
      <c r="B25791" t="s">
        <v>30007</v>
      </c>
      <c r="C25791">
        <v>0</v>
      </c>
      <c r="D25791">
        <v>0.96765976962300004</v>
      </c>
      <c r="E25791">
        <v>5.69715142428785</v>
      </c>
    </row>
    <row r="25792" spans="1:5">
      <c r="A25792" t="s">
        <v>30002</v>
      </c>
      <c r="B25792" t="s">
        <v>30008</v>
      </c>
      <c r="C25792">
        <f>0</f>
        <v>0</v>
      </c>
      <c r="D25792">
        <v>0.96765976962300004</v>
      </c>
      <c r="E25792">
        <v>5.69715142428785</v>
      </c>
    </row>
    <row r="25793" spans="1:5">
      <c r="A25793" t="s">
        <v>30002</v>
      </c>
      <c r="B25793" t="s">
        <v>30009</v>
      </c>
      <c r="C25793">
        <v>0</v>
      </c>
      <c r="D25793">
        <v>0.96765976962300004</v>
      </c>
      <c r="E25793">
        <v>5.69715142428785</v>
      </c>
    </row>
    <row r="25794" spans="1:5">
      <c r="A25794" t="s">
        <v>30002</v>
      </c>
      <c r="B25794" t="s">
        <v>30010</v>
      </c>
      <c r="C25794">
        <f>0</f>
        <v>0</v>
      </c>
      <c r="D25794">
        <v>0.96765976962300004</v>
      </c>
      <c r="E25794">
        <v>5.69715142428785</v>
      </c>
    </row>
    <row r="25795" spans="1:5">
      <c r="A25795" t="s">
        <v>30002</v>
      </c>
      <c r="B25795" t="s">
        <v>30011</v>
      </c>
      <c r="C25795">
        <f>0</f>
        <v>0</v>
      </c>
      <c r="D25795">
        <v>0.96765976962300004</v>
      </c>
      <c r="E25795">
        <v>5.69715142428785</v>
      </c>
    </row>
    <row r="25796" spans="1:5">
      <c r="A25796" t="s">
        <v>30002</v>
      </c>
      <c r="B25796" t="s">
        <v>30012</v>
      </c>
      <c r="C25796">
        <v>0</v>
      </c>
      <c r="D25796">
        <v>0.96765976962300004</v>
      </c>
      <c r="E25796">
        <v>5.69715142428785</v>
      </c>
    </row>
    <row r="25797" spans="1:5">
      <c r="A25797" t="s">
        <v>30002</v>
      </c>
      <c r="B25797" t="s">
        <v>30013</v>
      </c>
      <c r="C25797">
        <v>0.238719835947</v>
      </c>
      <c r="D25797">
        <v>0.96765976962300004</v>
      </c>
      <c r="E25797">
        <v>5.69715142428785</v>
      </c>
    </row>
    <row r="25798" spans="1:5">
      <c r="A25798" t="s">
        <v>30002</v>
      </c>
      <c r="B25798" t="s">
        <v>30014</v>
      </c>
      <c r="C25798">
        <v>5.2800358319100002E-2</v>
      </c>
      <c r="D25798">
        <v>0.96765976962300004</v>
      </c>
      <c r="E25798">
        <v>5.69715142428785</v>
      </c>
    </row>
    <row r="25799" spans="1:5">
      <c r="A25799" t="s">
        <v>30002</v>
      </c>
      <c r="B25799" t="s">
        <v>30015</v>
      </c>
      <c r="C25799">
        <f>0</f>
        <v>0</v>
      </c>
      <c r="D25799">
        <v>0.96765976962300004</v>
      </c>
      <c r="E25799">
        <v>5.69715142428785</v>
      </c>
    </row>
    <row r="25800" spans="1:5">
      <c r="A25800" t="s">
        <v>30002</v>
      </c>
      <c r="B25800" t="s">
        <v>30016</v>
      </c>
      <c r="C25800">
        <v>0</v>
      </c>
      <c r="D25800">
        <v>0.96765976962300004</v>
      </c>
      <c r="E25800">
        <v>5.69715142428785</v>
      </c>
    </row>
    <row r="25801" spans="1:5">
      <c r="A25801" t="s">
        <v>30002</v>
      </c>
      <c r="B25801" t="s">
        <v>30017</v>
      </c>
      <c r="C25801">
        <f>0</f>
        <v>0</v>
      </c>
      <c r="D25801">
        <v>0.96765976962300004</v>
      </c>
      <c r="E25801">
        <v>5.69715142428785</v>
      </c>
    </row>
    <row r="25802" spans="1:5">
      <c r="A25802" t="s">
        <v>30018</v>
      </c>
      <c r="B25802" t="s">
        <v>30019</v>
      </c>
      <c r="C25802">
        <v>0</v>
      </c>
      <c r="D25802" t="s">
        <v>106</v>
      </c>
      <c r="E25802">
        <v>14.176911544227799</v>
      </c>
    </row>
    <row r="25803" spans="1:5">
      <c r="A25803" t="s">
        <v>30018</v>
      </c>
      <c r="B25803" t="s">
        <v>30020</v>
      </c>
      <c r="C25803">
        <f>0</f>
        <v>0</v>
      </c>
      <c r="D25803" t="s">
        <v>106</v>
      </c>
      <c r="E25803">
        <v>14.176911544227799</v>
      </c>
    </row>
    <row r="25804" spans="1:5">
      <c r="A25804" t="s">
        <v>30018</v>
      </c>
      <c r="B25804" t="s">
        <v>30021</v>
      </c>
      <c r="C25804">
        <v>0</v>
      </c>
      <c r="D25804" t="s">
        <v>106</v>
      </c>
      <c r="E25804">
        <v>14.176911544227799</v>
      </c>
    </row>
    <row r="25805" spans="1:5">
      <c r="A25805" t="s">
        <v>30022</v>
      </c>
      <c r="B25805" t="s">
        <v>30023</v>
      </c>
      <c r="C25805">
        <v>0</v>
      </c>
      <c r="D25805">
        <v>0.96699095403299995</v>
      </c>
      <c r="E25805">
        <v>0.91154422788605605</v>
      </c>
    </row>
    <row r="25806" spans="1:5">
      <c r="A25806" t="s">
        <v>30022</v>
      </c>
      <c r="B25806" t="s">
        <v>30024</v>
      </c>
      <c r="C25806">
        <v>0</v>
      </c>
      <c r="D25806">
        <v>0.96699095403299995</v>
      </c>
      <c r="E25806">
        <v>0.91154422788605605</v>
      </c>
    </row>
    <row r="25807" spans="1:5">
      <c r="A25807" t="s">
        <v>30022</v>
      </c>
      <c r="B25807" t="s">
        <v>30025</v>
      </c>
      <c r="C25807">
        <v>0</v>
      </c>
      <c r="D25807">
        <v>0.96699095403299995</v>
      </c>
      <c r="E25807">
        <v>0.91154422788605605</v>
      </c>
    </row>
    <row r="25808" spans="1:5">
      <c r="A25808" t="s">
        <v>30022</v>
      </c>
      <c r="B25808" t="s">
        <v>30026</v>
      </c>
      <c r="C25808">
        <f>0</f>
        <v>0</v>
      </c>
      <c r="D25808">
        <v>0.96699095403299995</v>
      </c>
      <c r="E25808">
        <v>0.91154422788605605</v>
      </c>
    </row>
    <row r="25809" spans="1:5">
      <c r="A25809" t="s">
        <v>30022</v>
      </c>
      <c r="B25809" t="s">
        <v>30027</v>
      </c>
      <c r="C25809">
        <f>0</f>
        <v>0</v>
      </c>
      <c r="D25809">
        <v>0.96699095403299995</v>
      </c>
      <c r="E25809">
        <v>0.91154422788605605</v>
      </c>
    </row>
    <row r="25810" spans="1:5">
      <c r="A25810" t="s">
        <v>30022</v>
      </c>
      <c r="B25810" t="s">
        <v>30028</v>
      </c>
      <c r="C25810">
        <f>0</f>
        <v>0</v>
      </c>
      <c r="D25810">
        <v>0.96699095403299995</v>
      </c>
      <c r="E25810">
        <v>0.91154422788605605</v>
      </c>
    </row>
    <row r="25811" spans="1:5">
      <c r="A25811" t="s">
        <v>30022</v>
      </c>
      <c r="B25811" t="s">
        <v>30029</v>
      </c>
      <c r="C25811">
        <v>0</v>
      </c>
      <c r="D25811">
        <v>0.96699095403299995</v>
      </c>
      <c r="E25811">
        <v>0.91154422788605605</v>
      </c>
    </row>
    <row r="25812" spans="1:5">
      <c r="A25812" t="s">
        <v>30022</v>
      </c>
      <c r="B25812" t="s">
        <v>30030</v>
      </c>
      <c r="C25812">
        <f>0</f>
        <v>0</v>
      </c>
      <c r="D25812">
        <v>0.96699095403299995</v>
      </c>
      <c r="E25812">
        <v>0.91154422788605605</v>
      </c>
    </row>
    <row r="25813" spans="1:5">
      <c r="A25813" t="s">
        <v>30022</v>
      </c>
      <c r="B25813" t="s">
        <v>30031</v>
      </c>
      <c r="C25813">
        <v>1.56694303758E-2</v>
      </c>
      <c r="D25813">
        <v>0.96699095403299995</v>
      </c>
      <c r="E25813">
        <v>0.91154422788605605</v>
      </c>
    </row>
    <row r="25814" spans="1:5">
      <c r="A25814" t="s">
        <v>30022</v>
      </c>
      <c r="B25814" t="s">
        <v>30032</v>
      </c>
      <c r="C25814">
        <v>0</v>
      </c>
      <c r="D25814">
        <v>0.96699095403299995</v>
      </c>
      <c r="E25814">
        <v>0.91154422788605605</v>
      </c>
    </row>
    <row r="25815" spans="1:5">
      <c r="A25815" t="s">
        <v>30022</v>
      </c>
      <c r="B25815" t="s">
        <v>30033</v>
      </c>
      <c r="C25815">
        <f>0</f>
        <v>0</v>
      </c>
      <c r="D25815">
        <v>0.96699095403299995</v>
      </c>
      <c r="E25815">
        <v>0.91154422788605605</v>
      </c>
    </row>
    <row r="25816" spans="1:5">
      <c r="A25816" t="s">
        <v>30022</v>
      </c>
      <c r="B25816" t="s">
        <v>30034</v>
      </c>
      <c r="C25816">
        <v>0</v>
      </c>
      <c r="D25816">
        <v>0.96699095403299995</v>
      </c>
      <c r="E25816">
        <v>0.91154422788605605</v>
      </c>
    </row>
    <row r="25817" spans="1:5">
      <c r="A25817" t="s">
        <v>30022</v>
      </c>
      <c r="B25817" t="s">
        <v>30035</v>
      </c>
      <c r="C25817">
        <f>0</f>
        <v>0</v>
      </c>
      <c r="D25817">
        <v>0.96699095403299995</v>
      </c>
      <c r="E25817">
        <v>0.91154422788605605</v>
      </c>
    </row>
    <row r="25818" spans="1:5">
      <c r="A25818" t="s">
        <v>30022</v>
      </c>
      <c r="B25818" t="s">
        <v>30036</v>
      </c>
      <c r="C25818">
        <v>0</v>
      </c>
      <c r="D25818">
        <v>0.96699095403299995</v>
      </c>
      <c r="E25818">
        <v>0.91154422788605605</v>
      </c>
    </row>
    <row r="25819" spans="1:5">
      <c r="A25819" t="s">
        <v>30022</v>
      </c>
      <c r="B25819" t="s">
        <v>30037</v>
      </c>
      <c r="C25819">
        <v>0</v>
      </c>
      <c r="D25819">
        <v>0.96699095403299995</v>
      </c>
      <c r="E25819">
        <v>0.91154422788605605</v>
      </c>
    </row>
    <row r="25820" spans="1:5">
      <c r="A25820" t="s">
        <v>30022</v>
      </c>
      <c r="B25820" t="s">
        <v>30038</v>
      </c>
      <c r="C25820">
        <f>0</f>
        <v>0</v>
      </c>
      <c r="D25820">
        <v>0.96699095403299995</v>
      </c>
      <c r="E25820">
        <v>0.91154422788605605</v>
      </c>
    </row>
    <row r="25821" spans="1:5">
      <c r="A25821" t="s">
        <v>30022</v>
      </c>
      <c r="B25821" t="s">
        <v>30039</v>
      </c>
      <c r="C25821">
        <v>0</v>
      </c>
      <c r="D25821">
        <v>0.96699095403299995</v>
      </c>
      <c r="E25821">
        <v>0.91154422788605605</v>
      </c>
    </row>
    <row r="25822" spans="1:5">
      <c r="A25822" t="s">
        <v>30022</v>
      </c>
      <c r="B25822" t="s">
        <v>30040</v>
      </c>
      <c r="C25822">
        <v>0.32061206473699999</v>
      </c>
      <c r="D25822">
        <v>0.96699095403299995</v>
      </c>
      <c r="E25822">
        <v>0.91154422788605605</v>
      </c>
    </row>
    <row r="25823" spans="1:5">
      <c r="A25823" t="s">
        <v>30041</v>
      </c>
      <c r="B25823" t="s">
        <v>30042</v>
      </c>
      <c r="C25823">
        <v>0.113885165764</v>
      </c>
      <c r="D25823">
        <v>0.91898698401900003</v>
      </c>
      <c r="E25823">
        <v>24</v>
      </c>
    </row>
    <row r="25824" spans="1:5">
      <c r="A25824" t="s">
        <v>30041</v>
      </c>
      <c r="B25824" t="s">
        <v>30043</v>
      </c>
      <c r="C25824">
        <v>0</v>
      </c>
      <c r="D25824">
        <v>0.91898698401900003</v>
      </c>
      <c r="E25824">
        <v>24</v>
      </c>
    </row>
    <row r="25825" spans="1:5">
      <c r="A25825" t="s">
        <v>30041</v>
      </c>
      <c r="B25825" t="s">
        <v>30044</v>
      </c>
      <c r="C25825">
        <v>0</v>
      </c>
      <c r="D25825">
        <v>0.91898698401900003</v>
      </c>
      <c r="E25825">
        <v>24</v>
      </c>
    </row>
    <row r="25826" spans="1:5">
      <c r="A25826" t="s">
        <v>30041</v>
      </c>
      <c r="B25826" t="s">
        <v>30045</v>
      </c>
      <c r="C25826">
        <v>7.7635947787999997E-3</v>
      </c>
      <c r="D25826">
        <v>0.91898698401900003</v>
      </c>
      <c r="E25826">
        <v>24</v>
      </c>
    </row>
    <row r="25827" spans="1:5">
      <c r="A25827" t="s">
        <v>30046</v>
      </c>
      <c r="B25827" t="s">
        <v>30047</v>
      </c>
      <c r="C25827">
        <v>0</v>
      </c>
      <c r="D25827" t="s">
        <v>106</v>
      </c>
      <c r="E25827">
        <v>2.0269865067466202</v>
      </c>
    </row>
    <row r="25828" spans="1:5">
      <c r="A25828" t="s">
        <v>30046</v>
      </c>
      <c r="B25828" t="s">
        <v>30048</v>
      </c>
      <c r="C25828">
        <f>0</f>
        <v>0</v>
      </c>
      <c r="D25828" t="s">
        <v>106</v>
      </c>
      <c r="E25828">
        <v>2.0269865067466202</v>
      </c>
    </row>
    <row r="25829" spans="1:5">
      <c r="A25829" t="s">
        <v>30049</v>
      </c>
      <c r="B25829" t="s">
        <v>30050</v>
      </c>
      <c r="C25829">
        <f>0</f>
        <v>0</v>
      </c>
      <c r="D25829" t="s">
        <v>106</v>
      </c>
      <c r="E25829">
        <v>15.904047976011899</v>
      </c>
    </row>
    <row r="25830" spans="1:5">
      <c r="A25830" t="s">
        <v>30049</v>
      </c>
      <c r="B25830" t="s">
        <v>30051</v>
      </c>
      <c r="C25830">
        <f>0</f>
        <v>0</v>
      </c>
      <c r="D25830" t="s">
        <v>106</v>
      </c>
      <c r="E25830">
        <v>15.904047976011899</v>
      </c>
    </row>
    <row r="25831" spans="1:5">
      <c r="A25831" t="s">
        <v>30052</v>
      </c>
      <c r="B25831" t="s">
        <v>30053</v>
      </c>
      <c r="C25831">
        <f>0.122268139881</f>
        <v>0.12226813988099999</v>
      </c>
      <c r="D25831">
        <v>0.893712056915</v>
      </c>
      <c r="E25831">
        <v>3.5862068965517202</v>
      </c>
    </row>
    <row r="25832" spans="1:5">
      <c r="A25832" t="s">
        <v>30052</v>
      </c>
      <c r="B25832" t="s">
        <v>30054</v>
      </c>
      <c r="C25832">
        <f>0.0162034172106</f>
        <v>1.62034172106E-2</v>
      </c>
      <c r="D25832">
        <v>0.893712056915</v>
      </c>
      <c r="E25832">
        <v>3.5862068965517202</v>
      </c>
    </row>
    <row r="25833" spans="1:5">
      <c r="A25833" t="s">
        <v>30055</v>
      </c>
      <c r="B25833" t="s">
        <v>30056</v>
      </c>
      <c r="C25833">
        <f>0</f>
        <v>0</v>
      </c>
      <c r="D25833">
        <v>0.70723728072500003</v>
      </c>
      <c r="E25833">
        <v>0.65967016491754105</v>
      </c>
    </row>
    <row r="25834" spans="1:5">
      <c r="A25834" t="s">
        <v>30055</v>
      </c>
      <c r="B25834" t="s">
        <v>30057</v>
      </c>
      <c r="C25834">
        <f>0.0424250323839</f>
        <v>4.2425032383899997E-2</v>
      </c>
      <c r="D25834">
        <v>0.70723728072500003</v>
      </c>
      <c r="E25834">
        <v>0.65967016491754105</v>
      </c>
    </row>
    <row r="25835" spans="1:5">
      <c r="A25835" t="s">
        <v>30055</v>
      </c>
      <c r="B25835" t="s">
        <v>30058</v>
      </c>
      <c r="C25835">
        <f>0.130115120914</f>
        <v>0.13011512091399999</v>
      </c>
      <c r="D25835">
        <v>0.70723728072500003</v>
      </c>
      <c r="E25835">
        <v>0.65967016491754105</v>
      </c>
    </row>
    <row r="25836" spans="1:5">
      <c r="A25836" t="s">
        <v>30055</v>
      </c>
      <c r="B25836" t="s">
        <v>30059</v>
      </c>
      <c r="C25836">
        <f>0</f>
        <v>0</v>
      </c>
      <c r="D25836">
        <v>0.70723728072500003</v>
      </c>
      <c r="E25836">
        <v>0.65967016491754105</v>
      </c>
    </row>
    <row r="25837" spans="1:5">
      <c r="A25837" t="s">
        <v>30055</v>
      </c>
      <c r="B25837" t="s">
        <v>30060</v>
      </c>
      <c r="C25837">
        <f>0</f>
        <v>0</v>
      </c>
      <c r="D25837">
        <v>0.70723728072500003</v>
      </c>
      <c r="E25837">
        <v>0.65967016491754105</v>
      </c>
    </row>
    <row r="25838" spans="1:5">
      <c r="A25838" t="s">
        <v>30055</v>
      </c>
      <c r="B25838" t="s">
        <v>30061</v>
      </c>
      <c r="C25838">
        <f>0</f>
        <v>0</v>
      </c>
      <c r="D25838">
        <v>0.70723728072500003</v>
      </c>
      <c r="E25838">
        <v>0.65967016491754105</v>
      </c>
    </row>
    <row r="25839" spans="1:5">
      <c r="A25839" t="s">
        <v>30062</v>
      </c>
      <c r="B25839" t="s">
        <v>30063</v>
      </c>
      <c r="C25839">
        <v>0.17721777792599999</v>
      </c>
      <c r="D25839">
        <v>0.71699758070200004</v>
      </c>
      <c r="E25839">
        <v>8.8635682158920499</v>
      </c>
    </row>
    <row r="25840" spans="1:5">
      <c r="A25840" t="s">
        <v>30062</v>
      </c>
      <c r="B25840" t="s">
        <v>30064</v>
      </c>
      <c r="C25840">
        <v>0</v>
      </c>
      <c r="D25840">
        <v>0.71699758070200004</v>
      </c>
      <c r="E25840">
        <v>8.8635682158920499</v>
      </c>
    </row>
    <row r="25841" spans="1:5">
      <c r="A25841" t="s">
        <v>30062</v>
      </c>
      <c r="B25841" t="s">
        <v>30065</v>
      </c>
      <c r="C25841">
        <f>0</f>
        <v>0</v>
      </c>
      <c r="D25841">
        <v>0.71699758070200004</v>
      </c>
      <c r="E25841">
        <v>8.8635682158920499</v>
      </c>
    </row>
    <row r="25842" spans="1:5">
      <c r="A25842" t="s">
        <v>30066</v>
      </c>
      <c r="B25842" t="s">
        <v>30067</v>
      </c>
      <c r="C25842">
        <v>0.21048376398099999</v>
      </c>
      <c r="D25842">
        <v>0.67788083118300002</v>
      </c>
      <c r="E25842">
        <v>18.1349325337331</v>
      </c>
    </row>
    <row r="25843" spans="1:5">
      <c r="A25843" t="s">
        <v>30066</v>
      </c>
      <c r="B25843" t="s">
        <v>30068</v>
      </c>
      <c r="C25843">
        <v>7.6845627008699999E-3</v>
      </c>
      <c r="D25843">
        <v>0.67788083118300002</v>
      </c>
      <c r="E25843">
        <v>18.1349325337331</v>
      </c>
    </row>
    <row r="25844" spans="1:5">
      <c r="A25844" t="s">
        <v>30066</v>
      </c>
      <c r="B25844" t="s">
        <v>30069</v>
      </c>
      <c r="C25844">
        <v>0</v>
      </c>
      <c r="D25844">
        <v>0.67788083118300002</v>
      </c>
      <c r="E25844">
        <v>18.1349325337331</v>
      </c>
    </row>
    <row r="25845" spans="1:5">
      <c r="A25845" t="s">
        <v>30070</v>
      </c>
      <c r="B25845" t="s">
        <v>30071</v>
      </c>
      <c r="C25845">
        <f>0</f>
        <v>0</v>
      </c>
      <c r="D25845">
        <v>0.99887294687600003</v>
      </c>
      <c r="E25845">
        <v>17.103448275862</v>
      </c>
    </row>
    <row r="25846" spans="1:5">
      <c r="A25846" t="s">
        <v>30070</v>
      </c>
      <c r="B25846" t="s">
        <v>30072</v>
      </c>
      <c r="C25846">
        <f>0</f>
        <v>0</v>
      </c>
      <c r="D25846">
        <v>0.99887294687600003</v>
      </c>
      <c r="E25846">
        <v>17.103448275862</v>
      </c>
    </row>
    <row r="25847" spans="1:5">
      <c r="A25847" t="s">
        <v>30070</v>
      </c>
      <c r="B25847" t="s">
        <v>30073</v>
      </c>
      <c r="C25847">
        <f>0.0648759052269</f>
        <v>6.4875905226899996E-2</v>
      </c>
      <c r="D25847">
        <v>0.99887294687600003</v>
      </c>
      <c r="E25847">
        <v>17.103448275862</v>
      </c>
    </row>
    <row r="25848" spans="1:5">
      <c r="A25848" t="s">
        <v>30070</v>
      </c>
      <c r="B25848" t="s">
        <v>30074</v>
      </c>
      <c r="C25848">
        <f>0</f>
        <v>0</v>
      </c>
      <c r="D25848">
        <v>0.99887294687600003</v>
      </c>
      <c r="E25848">
        <v>17.103448275862</v>
      </c>
    </row>
    <row r="25849" spans="1:5">
      <c r="A25849" t="s">
        <v>30070</v>
      </c>
      <c r="B25849" t="s">
        <v>30075</v>
      </c>
      <c r="C25849">
        <f>0</f>
        <v>0</v>
      </c>
      <c r="D25849">
        <v>0.99887294687600003</v>
      </c>
      <c r="E25849">
        <v>17.103448275862</v>
      </c>
    </row>
    <row r="25850" spans="1:5">
      <c r="A25850" t="s">
        <v>30076</v>
      </c>
      <c r="B25850" t="s">
        <v>30077</v>
      </c>
      <c r="C25850">
        <f>0.0168545677225</f>
        <v>1.6854567722500002E-2</v>
      </c>
      <c r="D25850">
        <v>0.788467381528</v>
      </c>
      <c r="E25850">
        <v>5.1214392803598203</v>
      </c>
    </row>
    <row r="25851" spans="1:5">
      <c r="A25851" t="s">
        <v>30078</v>
      </c>
      <c r="B25851" t="s">
        <v>30079</v>
      </c>
      <c r="C25851">
        <v>0</v>
      </c>
      <c r="D25851" t="s">
        <v>106</v>
      </c>
      <c r="E25851">
        <v>2.1709145427286298</v>
      </c>
    </row>
    <row r="25852" spans="1:5">
      <c r="A25852" t="s">
        <v>30078</v>
      </c>
      <c r="B25852" t="s">
        <v>30080</v>
      </c>
      <c r="C25852">
        <v>0.62443060748699997</v>
      </c>
      <c r="D25852" t="s">
        <v>106</v>
      </c>
      <c r="E25852">
        <v>2.1709145427286298</v>
      </c>
    </row>
    <row r="25853" spans="1:5">
      <c r="A25853" t="s">
        <v>30078</v>
      </c>
      <c r="B25853" t="s">
        <v>30081</v>
      </c>
      <c r="C25853">
        <f>0</f>
        <v>0</v>
      </c>
      <c r="D25853" t="s">
        <v>106</v>
      </c>
      <c r="E25853">
        <v>2.1709145427286298</v>
      </c>
    </row>
    <row r="25854" spans="1:5">
      <c r="A25854" t="s">
        <v>30078</v>
      </c>
      <c r="B25854" t="s">
        <v>30082</v>
      </c>
      <c r="C25854">
        <v>0</v>
      </c>
      <c r="D25854" t="s">
        <v>106</v>
      </c>
      <c r="E25854">
        <v>2.1709145427286298</v>
      </c>
    </row>
    <row r="25855" spans="1:5">
      <c r="A25855" t="s">
        <v>30078</v>
      </c>
      <c r="B25855" t="s">
        <v>30083</v>
      </c>
      <c r="C25855">
        <v>0</v>
      </c>
      <c r="D25855" t="s">
        <v>106</v>
      </c>
      <c r="E25855">
        <v>2.1709145427286298</v>
      </c>
    </row>
    <row r="25856" spans="1:5">
      <c r="A25856" t="s">
        <v>30078</v>
      </c>
      <c r="B25856" t="s">
        <v>30084</v>
      </c>
      <c r="C25856">
        <v>0</v>
      </c>
      <c r="D25856" t="s">
        <v>106</v>
      </c>
      <c r="E25856">
        <v>2.1709145427286298</v>
      </c>
    </row>
    <row r="25857" spans="1:5">
      <c r="A25857" t="s">
        <v>30085</v>
      </c>
      <c r="B25857" t="s">
        <v>30086</v>
      </c>
      <c r="C25857">
        <v>0</v>
      </c>
      <c r="D25857" t="s">
        <v>106</v>
      </c>
      <c r="E25857">
        <v>18.770614692653599</v>
      </c>
    </row>
    <row r="25858" spans="1:5">
      <c r="A25858" t="s">
        <v>30085</v>
      </c>
      <c r="B25858" t="s">
        <v>30087</v>
      </c>
      <c r="C25858">
        <f>0.0631934078884</f>
        <v>6.3193407888399999E-2</v>
      </c>
      <c r="D25858" t="s">
        <v>106</v>
      </c>
      <c r="E25858">
        <v>18.770614692653599</v>
      </c>
    </row>
    <row r="25859" spans="1:5">
      <c r="A25859" t="s">
        <v>30085</v>
      </c>
      <c r="B25859" t="s">
        <v>30088</v>
      </c>
      <c r="C25859">
        <v>9.4951404522000002E-2</v>
      </c>
      <c r="D25859" t="s">
        <v>106</v>
      </c>
      <c r="E25859">
        <v>18.770614692653599</v>
      </c>
    </row>
    <row r="25860" spans="1:5">
      <c r="A25860" t="s">
        <v>30089</v>
      </c>
      <c r="B25860" t="s">
        <v>30090</v>
      </c>
      <c r="C25860">
        <v>0</v>
      </c>
      <c r="D25860" t="s">
        <v>106</v>
      </c>
      <c r="E25860">
        <v>0.86356821589205401</v>
      </c>
    </row>
    <row r="25861" spans="1:5">
      <c r="A25861" t="s">
        <v>30089</v>
      </c>
      <c r="B25861" t="s">
        <v>30091</v>
      </c>
      <c r="C25861">
        <f>0</f>
        <v>0</v>
      </c>
      <c r="D25861" t="s">
        <v>106</v>
      </c>
      <c r="E25861">
        <v>0.86356821589205401</v>
      </c>
    </row>
    <row r="25862" spans="1:5">
      <c r="A25862" t="s">
        <v>30089</v>
      </c>
      <c r="B25862" t="s">
        <v>30092</v>
      </c>
      <c r="C25862">
        <f>0</f>
        <v>0</v>
      </c>
      <c r="D25862" t="s">
        <v>106</v>
      </c>
      <c r="E25862">
        <v>0.86356821589205401</v>
      </c>
    </row>
    <row r="25863" spans="1:5">
      <c r="A25863" t="s">
        <v>30089</v>
      </c>
      <c r="B25863" t="s">
        <v>30093</v>
      </c>
      <c r="C25863">
        <v>0</v>
      </c>
      <c r="D25863" t="s">
        <v>106</v>
      </c>
      <c r="E25863">
        <v>0.86356821589205401</v>
      </c>
    </row>
    <row r="25864" spans="1:5">
      <c r="A25864" t="s">
        <v>30089</v>
      </c>
      <c r="B25864" t="s">
        <v>30094</v>
      </c>
      <c r="C25864">
        <v>0</v>
      </c>
      <c r="D25864" t="s">
        <v>106</v>
      </c>
      <c r="E25864">
        <v>0.86356821589205401</v>
      </c>
    </row>
    <row r="25865" spans="1:5">
      <c r="A25865" t="s">
        <v>30089</v>
      </c>
      <c r="B25865" t="s">
        <v>30095</v>
      </c>
      <c r="C25865">
        <v>0</v>
      </c>
      <c r="D25865" t="s">
        <v>106</v>
      </c>
      <c r="E25865">
        <v>0.86356821589205401</v>
      </c>
    </row>
    <row r="25866" spans="1:5">
      <c r="A25866" t="s">
        <v>30089</v>
      </c>
      <c r="B25866" t="s">
        <v>30096</v>
      </c>
      <c r="C25866">
        <f>0</f>
        <v>0</v>
      </c>
      <c r="D25866" t="s">
        <v>106</v>
      </c>
      <c r="E25866">
        <v>0.86356821589205401</v>
      </c>
    </row>
    <row r="25867" spans="1:5">
      <c r="A25867" t="s">
        <v>30089</v>
      </c>
      <c r="B25867" t="s">
        <v>30097</v>
      </c>
      <c r="C25867">
        <v>0</v>
      </c>
      <c r="D25867" t="s">
        <v>106</v>
      </c>
      <c r="E25867">
        <v>0.86356821589205401</v>
      </c>
    </row>
    <row r="25868" spans="1:5">
      <c r="A25868" t="s">
        <v>30089</v>
      </c>
      <c r="B25868" t="s">
        <v>30098</v>
      </c>
      <c r="C25868">
        <f>0</f>
        <v>0</v>
      </c>
      <c r="D25868" t="s">
        <v>106</v>
      </c>
      <c r="E25868">
        <v>0.86356821589205401</v>
      </c>
    </row>
    <row r="25869" spans="1:5">
      <c r="A25869" t="s">
        <v>30089</v>
      </c>
      <c r="B25869" t="s">
        <v>30099</v>
      </c>
      <c r="C25869">
        <v>0</v>
      </c>
      <c r="D25869" t="s">
        <v>106</v>
      </c>
      <c r="E25869">
        <v>0.86356821589205401</v>
      </c>
    </row>
    <row r="25870" spans="1:5">
      <c r="A25870" t="s">
        <v>30100</v>
      </c>
      <c r="B25870" t="s">
        <v>30101</v>
      </c>
      <c r="C25870">
        <f>0</f>
        <v>0</v>
      </c>
      <c r="D25870">
        <v>0.93211366788600003</v>
      </c>
      <c r="E25870">
        <v>16.695652173913</v>
      </c>
    </row>
    <row r="25871" spans="1:5">
      <c r="A25871" t="s">
        <v>30100</v>
      </c>
      <c r="B25871" t="s">
        <v>30102</v>
      </c>
      <c r="C25871">
        <v>0</v>
      </c>
      <c r="D25871">
        <v>0.93211366788600003</v>
      </c>
      <c r="E25871">
        <v>16.695652173913</v>
      </c>
    </row>
    <row r="25872" spans="1:5">
      <c r="A25872" t="s">
        <v>30100</v>
      </c>
      <c r="B25872" t="s">
        <v>30103</v>
      </c>
      <c r="C25872">
        <v>0</v>
      </c>
      <c r="D25872">
        <v>0.93211366788600003</v>
      </c>
      <c r="E25872">
        <v>16.695652173913</v>
      </c>
    </row>
    <row r="25873" spans="1:5">
      <c r="A25873" t="s">
        <v>30100</v>
      </c>
      <c r="B25873" t="s">
        <v>30104</v>
      </c>
      <c r="C25873">
        <v>0</v>
      </c>
      <c r="D25873">
        <v>0.93211366788600003</v>
      </c>
      <c r="E25873">
        <v>16.695652173913</v>
      </c>
    </row>
    <row r="25874" spans="1:5">
      <c r="A25874" t="s">
        <v>30100</v>
      </c>
      <c r="B25874" t="s">
        <v>30105</v>
      </c>
      <c r="C25874">
        <f>0</f>
        <v>0</v>
      </c>
      <c r="D25874">
        <v>0.93211366788600003</v>
      </c>
      <c r="E25874">
        <v>16.695652173913</v>
      </c>
    </row>
    <row r="25875" spans="1:5">
      <c r="A25875" t="s">
        <v>30100</v>
      </c>
      <c r="B25875" t="s">
        <v>30106</v>
      </c>
      <c r="C25875">
        <f>0</f>
        <v>0</v>
      </c>
      <c r="D25875">
        <v>0.93211366788600003</v>
      </c>
      <c r="E25875">
        <v>16.695652173913</v>
      </c>
    </row>
    <row r="25876" spans="1:5">
      <c r="A25876" t="s">
        <v>30100</v>
      </c>
      <c r="B25876" t="s">
        <v>30107</v>
      </c>
      <c r="C25876">
        <v>0</v>
      </c>
      <c r="D25876">
        <v>0.93211366788600003</v>
      </c>
      <c r="E25876">
        <v>16.695652173913</v>
      </c>
    </row>
    <row r="25877" spans="1:5">
      <c r="A25877" t="s">
        <v>30100</v>
      </c>
      <c r="B25877" t="s">
        <v>30108</v>
      </c>
      <c r="C25877">
        <f>0</f>
        <v>0</v>
      </c>
      <c r="D25877">
        <v>0.93211366788600003</v>
      </c>
      <c r="E25877">
        <v>16.695652173913</v>
      </c>
    </row>
    <row r="25878" spans="1:5">
      <c r="A25878" t="s">
        <v>30100</v>
      </c>
      <c r="B25878" t="s">
        <v>30109</v>
      </c>
      <c r="C25878">
        <f>0</f>
        <v>0</v>
      </c>
      <c r="D25878">
        <v>0.93211366788600003</v>
      </c>
      <c r="E25878">
        <v>16.695652173913</v>
      </c>
    </row>
    <row r="25879" spans="1:5">
      <c r="A25879" t="s">
        <v>30100</v>
      </c>
      <c r="B25879" t="s">
        <v>30110</v>
      </c>
      <c r="C25879">
        <f>0</f>
        <v>0</v>
      </c>
      <c r="D25879">
        <v>0.93211366788600003</v>
      </c>
      <c r="E25879">
        <v>16.695652173913</v>
      </c>
    </row>
    <row r="25880" spans="1:5">
      <c r="A25880" t="s">
        <v>30100</v>
      </c>
      <c r="B25880" t="s">
        <v>30111</v>
      </c>
      <c r="C25880">
        <v>0</v>
      </c>
      <c r="D25880">
        <v>0.93211366788600003</v>
      </c>
      <c r="E25880">
        <v>16.695652173913</v>
      </c>
    </row>
    <row r="25881" spans="1:5">
      <c r="A25881" t="s">
        <v>30112</v>
      </c>
      <c r="B25881" t="s">
        <v>30113</v>
      </c>
      <c r="C25881">
        <f>0</f>
        <v>0</v>
      </c>
      <c r="D25881">
        <v>0.64557424348799997</v>
      </c>
      <c r="E25881">
        <v>24</v>
      </c>
    </row>
    <row r="25882" spans="1:5">
      <c r="A25882" t="s">
        <v>30112</v>
      </c>
      <c r="B25882" t="s">
        <v>30114</v>
      </c>
      <c r="C25882">
        <v>0</v>
      </c>
      <c r="D25882">
        <v>0.64557424348799997</v>
      </c>
      <c r="E25882">
        <v>24</v>
      </c>
    </row>
    <row r="25883" spans="1:5">
      <c r="A25883" t="s">
        <v>30112</v>
      </c>
      <c r="B25883" t="s">
        <v>30115</v>
      </c>
      <c r="C25883">
        <f>0</f>
        <v>0</v>
      </c>
      <c r="D25883">
        <v>0.64557424348799997</v>
      </c>
      <c r="E25883">
        <v>24</v>
      </c>
    </row>
    <row r="25884" spans="1:5">
      <c r="A25884" t="s">
        <v>30112</v>
      </c>
      <c r="B25884" t="s">
        <v>30116</v>
      </c>
      <c r="C25884">
        <v>0</v>
      </c>
      <c r="D25884">
        <v>0.64557424348799997</v>
      </c>
      <c r="E25884">
        <v>24</v>
      </c>
    </row>
    <row r="25885" spans="1:5">
      <c r="A25885" t="s">
        <v>30112</v>
      </c>
      <c r="B25885" t="s">
        <v>30117</v>
      </c>
      <c r="C25885">
        <f>0</f>
        <v>0</v>
      </c>
      <c r="D25885">
        <v>0.64557424348799997</v>
      </c>
      <c r="E25885">
        <v>24</v>
      </c>
    </row>
    <row r="25886" spans="1:5">
      <c r="A25886" t="s">
        <v>30112</v>
      </c>
      <c r="B25886" t="s">
        <v>30118</v>
      </c>
      <c r="C25886">
        <v>0</v>
      </c>
      <c r="D25886">
        <v>0.64557424348799997</v>
      </c>
      <c r="E25886">
        <v>24</v>
      </c>
    </row>
    <row r="25887" spans="1:5">
      <c r="A25887" t="s">
        <v>30119</v>
      </c>
      <c r="B25887" t="s">
        <v>30120</v>
      </c>
      <c r="C25887">
        <v>0.319503553514</v>
      </c>
      <c r="D25887" t="s">
        <v>106</v>
      </c>
      <c r="E25887">
        <v>5.4692653673163401</v>
      </c>
    </row>
    <row r="25888" spans="1:5">
      <c r="A25888" t="s">
        <v>30119</v>
      </c>
      <c r="B25888" t="s">
        <v>30121</v>
      </c>
      <c r="C25888">
        <v>0.12626695184</v>
      </c>
      <c r="D25888" t="s">
        <v>106</v>
      </c>
      <c r="E25888">
        <v>5.4692653673163401</v>
      </c>
    </row>
    <row r="25889" spans="1:5">
      <c r="A25889" t="s">
        <v>30122</v>
      </c>
      <c r="B25889" t="s">
        <v>30123</v>
      </c>
      <c r="C25889">
        <v>0</v>
      </c>
      <c r="D25889" t="s">
        <v>106</v>
      </c>
      <c r="E25889">
        <v>10.230884557721099</v>
      </c>
    </row>
    <row r="25890" spans="1:5">
      <c r="A25890" t="s">
        <v>30122</v>
      </c>
      <c r="B25890" t="s">
        <v>30124</v>
      </c>
      <c r="C25890">
        <f>0</f>
        <v>0</v>
      </c>
      <c r="D25890" t="s">
        <v>106</v>
      </c>
      <c r="E25890">
        <v>10.230884557721099</v>
      </c>
    </row>
    <row r="25891" spans="1:5">
      <c r="A25891" t="s">
        <v>30122</v>
      </c>
      <c r="B25891" t="s">
        <v>30125</v>
      </c>
      <c r="C25891">
        <f>0</f>
        <v>0</v>
      </c>
      <c r="D25891" t="s">
        <v>106</v>
      </c>
      <c r="E25891">
        <v>10.230884557721099</v>
      </c>
    </row>
    <row r="25892" spans="1:5">
      <c r="A25892" t="s">
        <v>30126</v>
      </c>
      <c r="B25892" t="s">
        <v>30127</v>
      </c>
      <c r="C25892">
        <v>0.239263148423</v>
      </c>
      <c r="D25892" t="s">
        <v>106</v>
      </c>
      <c r="E25892">
        <v>24</v>
      </c>
    </row>
    <row r="25893" spans="1:5">
      <c r="A25893" t="s">
        <v>30128</v>
      </c>
      <c r="B25893" t="s">
        <v>30129</v>
      </c>
      <c r="C25893">
        <v>0.106921715606</v>
      </c>
      <c r="D25893" t="s">
        <v>106</v>
      </c>
      <c r="E25893">
        <v>7.0644677661169402</v>
      </c>
    </row>
    <row r="25894" spans="1:5">
      <c r="A25894" t="s">
        <v>30128</v>
      </c>
      <c r="B25894" t="s">
        <v>30130</v>
      </c>
      <c r="C25894">
        <v>0.26586454270400001</v>
      </c>
      <c r="D25894" t="s">
        <v>106</v>
      </c>
      <c r="E25894">
        <v>7.0644677661169402</v>
      </c>
    </row>
    <row r="25895" spans="1:5">
      <c r="A25895" t="s">
        <v>30128</v>
      </c>
      <c r="B25895" t="s">
        <v>30131</v>
      </c>
      <c r="C25895">
        <v>0</v>
      </c>
      <c r="D25895" t="s">
        <v>106</v>
      </c>
      <c r="E25895">
        <v>7.0644677661169402</v>
      </c>
    </row>
    <row r="25896" spans="1:5">
      <c r="A25896" t="s">
        <v>30128</v>
      </c>
      <c r="B25896" t="s">
        <v>30132</v>
      </c>
      <c r="C25896">
        <v>0</v>
      </c>
      <c r="D25896" t="s">
        <v>106</v>
      </c>
      <c r="E25896">
        <v>7.0644677661169402</v>
      </c>
    </row>
    <row r="25897" spans="1:5">
      <c r="A25897" t="s">
        <v>30133</v>
      </c>
      <c r="B25897" t="s">
        <v>30134</v>
      </c>
      <c r="C25897">
        <v>0.52806873713900004</v>
      </c>
      <c r="D25897">
        <v>0.98428938814</v>
      </c>
      <c r="E25897">
        <v>10.398800599700101</v>
      </c>
    </row>
    <row r="25898" spans="1:5">
      <c r="A25898" t="s">
        <v>30135</v>
      </c>
      <c r="B25898" t="s">
        <v>30136</v>
      </c>
      <c r="C25898">
        <v>0.61190650840500005</v>
      </c>
      <c r="D25898">
        <v>0.91878353106900001</v>
      </c>
      <c r="E25898">
        <v>12.2098950524737</v>
      </c>
    </row>
    <row r="25899" spans="1:5">
      <c r="A25899" t="s">
        <v>30135</v>
      </c>
      <c r="B25899" t="s">
        <v>30137</v>
      </c>
      <c r="C25899">
        <f>0.268216691724</f>
        <v>0.26821669172399998</v>
      </c>
      <c r="D25899">
        <v>0.91878353106900001</v>
      </c>
      <c r="E25899">
        <v>12.2098950524737</v>
      </c>
    </row>
    <row r="25900" spans="1:5">
      <c r="A25900" t="s">
        <v>30138</v>
      </c>
      <c r="B25900" t="s">
        <v>30139</v>
      </c>
      <c r="C25900">
        <v>5.3445359660400003E-2</v>
      </c>
      <c r="D25900">
        <v>0.34438491167700003</v>
      </c>
      <c r="E25900">
        <v>5.5772113943028403</v>
      </c>
    </row>
    <row r="25901" spans="1:5">
      <c r="A25901" t="s">
        <v>30138</v>
      </c>
      <c r="B25901" t="s">
        <v>30140</v>
      </c>
      <c r="C25901">
        <f>0</f>
        <v>0</v>
      </c>
      <c r="D25901">
        <v>0.34438491167700003</v>
      </c>
      <c r="E25901">
        <v>5.5772113943028403</v>
      </c>
    </row>
    <row r="25902" spans="1:5">
      <c r="A25902" t="s">
        <v>30138</v>
      </c>
      <c r="B25902" t="s">
        <v>30141</v>
      </c>
      <c r="C25902">
        <v>0</v>
      </c>
      <c r="D25902">
        <v>0.34438491167700003</v>
      </c>
      <c r="E25902">
        <v>5.5772113943028403</v>
      </c>
    </row>
    <row r="25903" spans="1:5">
      <c r="A25903" t="s">
        <v>30138</v>
      </c>
      <c r="B25903" t="s">
        <v>30142</v>
      </c>
      <c r="C25903">
        <f>0</f>
        <v>0</v>
      </c>
      <c r="D25903">
        <v>0.34438491167700003</v>
      </c>
      <c r="E25903">
        <v>5.5772113943028403</v>
      </c>
    </row>
    <row r="25904" spans="1:5">
      <c r="A25904" t="s">
        <v>30143</v>
      </c>
      <c r="B25904" t="s">
        <v>30144</v>
      </c>
      <c r="C25904">
        <v>0</v>
      </c>
      <c r="D25904" t="s">
        <v>106</v>
      </c>
      <c r="E25904">
        <v>4.3778110944527704</v>
      </c>
    </row>
    <row r="25905" spans="1:5">
      <c r="A25905" t="s">
        <v>30143</v>
      </c>
      <c r="B25905" t="s">
        <v>30145</v>
      </c>
      <c r="C25905">
        <v>0</v>
      </c>
      <c r="D25905" t="s">
        <v>106</v>
      </c>
      <c r="E25905">
        <v>4.3778110944527704</v>
      </c>
    </row>
    <row r="25906" spans="1:5">
      <c r="A25906" t="s">
        <v>30143</v>
      </c>
      <c r="B25906" t="s">
        <v>30146</v>
      </c>
      <c r="C25906">
        <f>0</f>
        <v>0</v>
      </c>
      <c r="D25906" t="s">
        <v>106</v>
      </c>
      <c r="E25906">
        <v>4.3778110944527704</v>
      </c>
    </row>
    <row r="25907" spans="1:5">
      <c r="A25907" t="s">
        <v>30143</v>
      </c>
      <c r="B25907" t="s">
        <v>30147</v>
      </c>
      <c r="C25907">
        <f>0</f>
        <v>0</v>
      </c>
      <c r="D25907" t="s">
        <v>106</v>
      </c>
      <c r="E25907">
        <v>4.3778110944527704</v>
      </c>
    </row>
    <row r="25908" spans="1:5">
      <c r="A25908" t="s">
        <v>30148</v>
      </c>
      <c r="B25908" t="s">
        <v>30149</v>
      </c>
      <c r="C25908">
        <v>0</v>
      </c>
      <c r="D25908" t="s">
        <v>106</v>
      </c>
      <c r="E25908">
        <v>16.695652173913</v>
      </c>
    </row>
    <row r="25909" spans="1:5">
      <c r="A25909" t="s">
        <v>30148</v>
      </c>
      <c r="B25909" t="s">
        <v>30150</v>
      </c>
      <c r="C25909">
        <v>0</v>
      </c>
      <c r="D25909" t="s">
        <v>106</v>
      </c>
      <c r="E25909">
        <v>16.695652173913</v>
      </c>
    </row>
    <row r="25910" spans="1:5">
      <c r="A25910" t="s">
        <v>30148</v>
      </c>
      <c r="B25910" t="s">
        <v>30151</v>
      </c>
      <c r="C25910">
        <v>0</v>
      </c>
      <c r="D25910" t="s">
        <v>106</v>
      </c>
      <c r="E25910">
        <v>16.695652173913</v>
      </c>
    </row>
    <row r="25911" spans="1:5">
      <c r="A25911" t="s">
        <v>30148</v>
      </c>
      <c r="B25911" t="s">
        <v>30152</v>
      </c>
      <c r="C25911">
        <v>0</v>
      </c>
      <c r="D25911" t="s">
        <v>106</v>
      </c>
      <c r="E25911">
        <v>16.695652173913</v>
      </c>
    </row>
    <row r="25912" spans="1:5">
      <c r="A25912" t="s">
        <v>30148</v>
      </c>
      <c r="B25912" t="s">
        <v>30153</v>
      </c>
      <c r="C25912">
        <f>0</f>
        <v>0</v>
      </c>
      <c r="D25912" t="s">
        <v>106</v>
      </c>
      <c r="E25912">
        <v>16.695652173913</v>
      </c>
    </row>
    <row r="25913" spans="1:5">
      <c r="A25913" t="s">
        <v>30148</v>
      </c>
      <c r="B25913" t="s">
        <v>30154</v>
      </c>
      <c r="C25913">
        <v>0.11196127722300001</v>
      </c>
      <c r="D25913" t="s">
        <v>106</v>
      </c>
      <c r="E25913">
        <v>16.695652173913</v>
      </c>
    </row>
    <row r="25914" spans="1:5">
      <c r="A25914" t="s">
        <v>30148</v>
      </c>
      <c r="B25914" t="s">
        <v>30155</v>
      </c>
      <c r="C25914">
        <v>0</v>
      </c>
      <c r="D25914" t="s">
        <v>106</v>
      </c>
      <c r="E25914">
        <v>16.695652173913</v>
      </c>
    </row>
    <row r="25915" spans="1:5">
      <c r="A25915" t="s">
        <v>30148</v>
      </c>
      <c r="B25915" t="s">
        <v>30156</v>
      </c>
      <c r="C25915">
        <v>4.6281377064799997E-2</v>
      </c>
      <c r="D25915" t="s">
        <v>106</v>
      </c>
      <c r="E25915">
        <v>16.695652173913</v>
      </c>
    </row>
    <row r="25916" spans="1:5">
      <c r="A25916" t="s">
        <v>30148</v>
      </c>
      <c r="B25916" t="s">
        <v>30157</v>
      </c>
      <c r="C25916">
        <v>0</v>
      </c>
      <c r="D25916" t="s">
        <v>106</v>
      </c>
      <c r="E25916">
        <v>16.695652173913</v>
      </c>
    </row>
    <row r="25917" spans="1:5">
      <c r="A25917" t="s">
        <v>30148</v>
      </c>
      <c r="B25917" t="s">
        <v>30158</v>
      </c>
      <c r="C25917">
        <v>0</v>
      </c>
      <c r="D25917" t="s">
        <v>106</v>
      </c>
      <c r="E25917">
        <v>16.695652173913</v>
      </c>
    </row>
    <row r="25918" spans="1:5">
      <c r="A25918" t="s">
        <v>30148</v>
      </c>
      <c r="B25918" t="s">
        <v>30159</v>
      </c>
      <c r="C25918">
        <v>0</v>
      </c>
      <c r="D25918" t="s">
        <v>106</v>
      </c>
      <c r="E25918">
        <v>16.695652173913</v>
      </c>
    </row>
    <row r="25919" spans="1:5">
      <c r="A25919" t="s">
        <v>30160</v>
      </c>
      <c r="B25919" t="s">
        <v>30161</v>
      </c>
      <c r="C25919">
        <v>0</v>
      </c>
      <c r="D25919" t="s">
        <v>106</v>
      </c>
      <c r="E25919">
        <v>6.1769115442278801</v>
      </c>
    </row>
    <row r="25920" spans="1:5">
      <c r="A25920" t="s">
        <v>30160</v>
      </c>
      <c r="B25920" t="s">
        <v>30162</v>
      </c>
      <c r="C25920">
        <v>0</v>
      </c>
      <c r="D25920" t="s">
        <v>106</v>
      </c>
      <c r="E25920">
        <v>6.1769115442278801</v>
      </c>
    </row>
    <row r="25921" spans="1:5">
      <c r="A25921" t="s">
        <v>30160</v>
      </c>
      <c r="B25921" t="s">
        <v>30163</v>
      </c>
      <c r="C25921">
        <v>0</v>
      </c>
      <c r="D25921" t="s">
        <v>106</v>
      </c>
      <c r="E25921">
        <v>6.1769115442278801</v>
      </c>
    </row>
    <row r="25922" spans="1:5">
      <c r="A25922" t="s">
        <v>30160</v>
      </c>
      <c r="B25922" t="s">
        <v>30164</v>
      </c>
      <c r="C25922">
        <v>0</v>
      </c>
      <c r="D25922" t="s">
        <v>106</v>
      </c>
      <c r="E25922">
        <v>6.1769115442278801</v>
      </c>
    </row>
    <row r="25923" spans="1:5">
      <c r="A25923" t="s">
        <v>30160</v>
      </c>
      <c r="B25923" t="s">
        <v>30165</v>
      </c>
      <c r="C25923">
        <f>0</f>
        <v>0</v>
      </c>
      <c r="D25923" t="s">
        <v>106</v>
      </c>
      <c r="E25923">
        <v>6.1769115442278801</v>
      </c>
    </row>
    <row r="25924" spans="1:5">
      <c r="A25924" t="s">
        <v>30160</v>
      </c>
      <c r="B25924" t="s">
        <v>30166</v>
      </c>
      <c r="C25924">
        <f>0</f>
        <v>0</v>
      </c>
      <c r="D25924" t="s">
        <v>106</v>
      </c>
      <c r="E25924">
        <v>6.1769115442278801</v>
      </c>
    </row>
    <row r="25925" spans="1:5">
      <c r="A25925" t="s">
        <v>30160</v>
      </c>
      <c r="B25925" t="s">
        <v>30167</v>
      </c>
      <c r="C25925">
        <f>0</f>
        <v>0</v>
      </c>
      <c r="D25925" t="s">
        <v>106</v>
      </c>
      <c r="E25925">
        <v>6.1769115442278801</v>
      </c>
    </row>
    <row r="25926" spans="1:5">
      <c r="A25926" t="s">
        <v>30168</v>
      </c>
      <c r="B25926" t="s">
        <v>30169</v>
      </c>
      <c r="C25926">
        <f>0</f>
        <v>0</v>
      </c>
      <c r="D25926">
        <v>0.96545797493100005</v>
      </c>
      <c r="E25926">
        <v>23.280359820089899</v>
      </c>
    </row>
    <row r="25927" spans="1:5">
      <c r="A25927" t="s">
        <v>30168</v>
      </c>
      <c r="B25927" t="s">
        <v>30170</v>
      </c>
      <c r="C25927">
        <f>0</f>
        <v>0</v>
      </c>
      <c r="D25927">
        <v>0.96545797493100005</v>
      </c>
      <c r="E25927">
        <v>23.280359820089899</v>
      </c>
    </row>
    <row r="25928" spans="1:5">
      <c r="A25928" t="s">
        <v>30168</v>
      </c>
      <c r="B25928" t="s">
        <v>30171</v>
      </c>
      <c r="C25928">
        <f>0</f>
        <v>0</v>
      </c>
      <c r="D25928">
        <v>0.96545797493100005</v>
      </c>
      <c r="E25928">
        <v>23.280359820089899</v>
      </c>
    </row>
    <row r="25929" spans="1:5">
      <c r="A25929" t="s">
        <v>30168</v>
      </c>
      <c r="B25929" t="s">
        <v>30172</v>
      </c>
      <c r="C25929">
        <v>0</v>
      </c>
      <c r="D25929">
        <v>0.96545797493100005</v>
      </c>
      <c r="E25929">
        <v>23.280359820089899</v>
      </c>
    </row>
    <row r="25930" spans="1:5">
      <c r="A25930" t="s">
        <v>30168</v>
      </c>
      <c r="B25930" t="s">
        <v>30173</v>
      </c>
      <c r="C25930">
        <v>0</v>
      </c>
      <c r="D25930">
        <v>0.96545797493100005</v>
      </c>
      <c r="E25930">
        <v>23.280359820089899</v>
      </c>
    </row>
    <row r="25931" spans="1:5">
      <c r="A25931" t="s">
        <v>30168</v>
      </c>
      <c r="B25931" t="s">
        <v>30174</v>
      </c>
      <c r="C25931">
        <f>0.0542087604964</f>
        <v>5.4208760496399999E-2</v>
      </c>
      <c r="D25931">
        <v>0.96545797493100005</v>
      </c>
      <c r="E25931">
        <v>23.280359820089899</v>
      </c>
    </row>
    <row r="25932" spans="1:5">
      <c r="A25932" t="s">
        <v>30168</v>
      </c>
      <c r="B25932" t="s">
        <v>30175</v>
      </c>
      <c r="C25932">
        <v>0.116678808111</v>
      </c>
      <c r="D25932">
        <v>0.96545797493100005</v>
      </c>
      <c r="E25932">
        <v>23.280359820089899</v>
      </c>
    </row>
    <row r="25933" spans="1:5">
      <c r="A25933" t="s">
        <v>30168</v>
      </c>
      <c r="B25933" t="s">
        <v>30176</v>
      </c>
      <c r="C25933">
        <f>0</f>
        <v>0</v>
      </c>
      <c r="D25933">
        <v>0.96545797493100005</v>
      </c>
      <c r="E25933">
        <v>23.280359820089899</v>
      </c>
    </row>
    <row r="25934" spans="1:5">
      <c r="A25934" t="s">
        <v>30168</v>
      </c>
      <c r="B25934" t="s">
        <v>30177</v>
      </c>
      <c r="C25934">
        <f>0</f>
        <v>0</v>
      </c>
      <c r="D25934">
        <v>0.96545797493100005</v>
      </c>
      <c r="E25934">
        <v>23.280359820089899</v>
      </c>
    </row>
    <row r="25935" spans="1:5">
      <c r="A25935" t="s">
        <v>30168</v>
      </c>
      <c r="B25935" t="s">
        <v>30178</v>
      </c>
      <c r="C25935">
        <v>0</v>
      </c>
      <c r="D25935">
        <v>0.96545797493100005</v>
      </c>
      <c r="E25935">
        <v>23.280359820089899</v>
      </c>
    </row>
    <row r="25936" spans="1:5">
      <c r="A25936" t="s">
        <v>30168</v>
      </c>
      <c r="B25936" t="s">
        <v>30179</v>
      </c>
      <c r="C25936">
        <f>0</f>
        <v>0</v>
      </c>
      <c r="D25936">
        <v>0.96545797493100005</v>
      </c>
      <c r="E25936">
        <v>23.280359820089899</v>
      </c>
    </row>
    <row r="25937" spans="1:5">
      <c r="A25937" t="s">
        <v>30168</v>
      </c>
      <c r="B25937" t="s">
        <v>30180</v>
      </c>
      <c r="C25937">
        <f>0</f>
        <v>0</v>
      </c>
      <c r="D25937">
        <v>0.96545797493100005</v>
      </c>
      <c r="E25937">
        <v>23.280359820089899</v>
      </c>
    </row>
    <row r="25938" spans="1:5">
      <c r="A25938" t="s">
        <v>30168</v>
      </c>
      <c r="B25938" t="s">
        <v>30181</v>
      </c>
      <c r="C25938">
        <f>0</f>
        <v>0</v>
      </c>
      <c r="D25938">
        <v>0.96545797493100005</v>
      </c>
      <c r="E25938">
        <v>23.280359820089899</v>
      </c>
    </row>
    <row r="25939" spans="1:5">
      <c r="A25939" t="s">
        <v>30182</v>
      </c>
      <c r="B25939" t="s">
        <v>30183</v>
      </c>
      <c r="C25939">
        <v>0</v>
      </c>
      <c r="D25939">
        <v>0.97085664790299997</v>
      </c>
      <c r="E25939">
        <v>3.13043478260869</v>
      </c>
    </row>
    <row r="25940" spans="1:5">
      <c r="A25940" t="s">
        <v>30182</v>
      </c>
      <c r="B25940" t="s">
        <v>30184</v>
      </c>
      <c r="C25940">
        <f>0</f>
        <v>0</v>
      </c>
      <c r="D25940">
        <v>0.97085664790299997</v>
      </c>
      <c r="E25940">
        <v>3.13043478260869</v>
      </c>
    </row>
    <row r="25941" spans="1:5">
      <c r="A25941" t="s">
        <v>30182</v>
      </c>
      <c r="B25941" t="s">
        <v>30185</v>
      </c>
      <c r="C25941">
        <v>0</v>
      </c>
      <c r="D25941">
        <v>0.97085664790299997</v>
      </c>
      <c r="E25941">
        <v>3.13043478260869</v>
      </c>
    </row>
    <row r="25942" spans="1:5">
      <c r="A25942" t="s">
        <v>30182</v>
      </c>
      <c r="B25942" t="s">
        <v>30186</v>
      </c>
      <c r="C25942">
        <v>0.12667156361199999</v>
      </c>
      <c r="D25942">
        <v>0.97085664790299997</v>
      </c>
      <c r="E25942">
        <v>3.13043478260869</v>
      </c>
    </row>
    <row r="25943" spans="1:5">
      <c r="A25943" t="s">
        <v>30182</v>
      </c>
      <c r="B25943" t="s">
        <v>30187</v>
      </c>
      <c r="C25943">
        <v>0</v>
      </c>
      <c r="D25943">
        <v>0.97085664790299997</v>
      </c>
      <c r="E25943">
        <v>3.13043478260869</v>
      </c>
    </row>
    <row r="25944" spans="1:5">
      <c r="A25944" t="s">
        <v>30182</v>
      </c>
      <c r="B25944" t="s">
        <v>30188</v>
      </c>
      <c r="C25944">
        <v>0</v>
      </c>
      <c r="D25944">
        <v>0.97085664790299997</v>
      </c>
      <c r="E25944">
        <v>3.13043478260869</v>
      </c>
    </row>
    <row r="25945" spans="1:5">
      <c r="A25945" t="s">
        <v>30182</v>
      </c>
      <c r="B25945" t="s">
        <v>30189</v>
      </c>
      <c r="C25945">
        <v>0</v>
      </c>
      <c r="D25945">
        <v>0.97085664790299997</v>
      </c>
      <c r="E25945">
        <v>3.13043478260869</v>
      </c>
    </row>
    <row r="25946" spans="1:5">
      <c r="A25946" t="s">
        <v>30182</v>
      </c>
      <c r="B25946" t="s">
        <v>30190</v>
      </c>
      <c r="C25946">
        <v>0</v>
      </c>
      <c r="D25946">
        <v>0.97085664790299997</v>
      </c>
      <c r="E25946">
        <v>3.13043478260869</v>
      </c>
    </row>
    <row r="25947" spans="1:5">
      <c r="A25947" t="s">
        <v>30182</v>
      </c>
      <c r="B25947" t="s">
        <v>30191</v>
      </c>
      <c r="C25947">
        <v>0</v>
      </c>
      <c r="D25947">
        <v>0.97085664790299997</v>
      </c>
      <c r="E25947">
        <v>3.13043478260869</v>
      </c>
    </row>
    <row r="25948" spans="1:5">
      <c r="A25948" t="s">
        <v>30182</v>
      </c>
      <c r="B25948" t="s">
        <v>30192</v>
      </c>
      <c r="C25948">
        <v>0.197338029217</v>
      </c>
      <c r="D25948">
        <v>0.97085664790299997</v>
      </c>
      <c r="E25948">
        <v>3.13043478260869</v>
      </c>
    </row>
    <row r="25949" spans="1:5">
      <c r="A25949" t="s">
        <v>30182</v>
      </c>
      <c r="B25949" t="s">
        <v>30193</v>
      </c>
      <c r="C25949">
        <f>0</f>
        <v>0</v>
      </c>
      <c r="D25949">
        <v>0.97085664790299997</v>
      </c>
      <c r="E25949">
        <v>3.13043478260869</v>
      </c>
    </row>
    <row r="25950" spans="1:5">
      <c r="A25950" t="s">
        <v>30182</v>
      </c>
      <c r="B25950" t="s">
        <v>30194</v>
      </c>
      <c r="C25950">
        <f>0</f>
        <v>0</v>
      </c>
      <c r="D25950">
        <v>0.97085664790299997</v>
      </c>
      <c r="E25950">
        <v>3.13043478260869</v>
      </c>
    </row>
    <row r="25951" spans="1:5">
      <c r="A25951" t="s">
        <v>30182</v>
      </c>
      <c r="B25951" t="s">
        <v>30195</v>
      </c>
      <c r="C25951">
        <v>0</v>
      </c>
      <c r="D25951">
        <v>0.97085664790299997</v>
      </c>
      <c r="E25951">
        <v>3.13043478260869</v>
      </c>
    </row>
    <row r="25952" spans="1:5">
      <c r="A25952" t="s">
        <v>30182</v>
      </c>
      <c r="B25952" t="s">
        <v>30196</v>
      </c>
      <c r="C25952">
        <v>0</v>
      </c>
      <c r="D25952">
        <v>0.97085664790299997</v>
      </c>
      <c r="E25952">
        <v>3.13043478260869</v>
      </c>
    </row>
    <row r="25953" spans="1:5">
      <c r="A25953" t="s">
        <v>30197</v>
      </c>
      <c r="B25953" t="s">
        <v>30198</v>
      </c>
      <c r="C25953">
        <v>0</v>
      </c>
      <c r="D25953" t="s">
        <v>106</v>
      </c>
      <c r="E25953">
        <v>15.316341829085401</v>
      </c>
    </row>
    <row r="25954" spans="1:5">
      <c r="A25954" t="s">
        <v>30197</v>
      </c>
      <c r="B25954" t="s">
        <v>30199</v>
      </c>
      <c r="C25954">
        <f>0</f>
        <v>0</v>
      </c>
      <c r="D25954" t="s">
        <v>106</v>
      </c>
      <c r="E25954">
        <v>15.316341829085401</v>
      </c>
    </row>
    <row r="25955" spans="1:5">
      <c r="A25955" t="s">
        <v>30197</v>
      </c>
      <c r="B25955" t="s">
        <v>30200</v>
      </c>
      <c r="C25955">
        <v>0</v>
      </c>
      <c r="D25955" t="s">
        <v>106</v>
      </c>
      <c r="E25955">
        <v>15.316341829085401</v>
      </c>
    </row>
    <row r="25956" spans="1:5">
      <c r="A25956" t="s">
        <v>30197</v>
      </c>
      <c r="B25956" t="s">
        <v>30201</v>
      </c>
      <c r="C25956">
        <v>0</v>
      </c>
      <c r="D25956" t="s">
        <v>106</v>
      </c>
      <c r="E25956">
        <v>15.316341829085401</v>
      </c>
    </row>
    <row r="25957" spans="1:5">
      <c r="A25957" t="s">
        <v>30202</v>
      </c>
      <c r="B25957" t="s">
        <v>30203</v>
      </c>
      <c r="C25957">
        <v>0</v>
      </c>
      <c r="D25957" t="s">
        <v>106</v>
      </c>
      <c r="E25957">
        <v>20.509745127436201</v>
      </c>
    </row>
    <row r="25958" spans="1:5">
      <c r="A25958" t="s">
        <v>30202</v>
      </c>
      <c r="B25958" t="s">
        <v>30204</v>
      </c>
      <c r="C25958">
        <f>0</f>
        <v>0</v>
      </c>
      <c r="D25958" t="s">
        <v>106</v>
      </c>
      <c r="E25958">
        <v>20.509745127436201</v>
      </c>
    </row>
    <row r="25959" spans="1:5">
      <c r="A25959" t="s">
        <v>30202</v>
      </c>
      <c r="B25959" t="s">
        <v>30205</v>
      </c>
      <c r="C25959">
        <f>0</f>
        <v>0</v>
      </c>
      <c r="D25959" t="s">
        <v>106</v>
      </c>
      <c r="E25959">
        <v>20.509745127436201</v>
      </c>
    </row>
    <row r="25960" spans="1:5">
      <c r="A25960" t="s">
        <v>30206</v>
      </c>
      <c r="B25960" t="s">
        <v>30207</v>
      </c>
      <c r="C25960">
        <v>0.14271446227500001</v>
      </c>
      <c r="D25960">
        <v>0.94987046979099998</v>
      </c>
      <c r="E25960">
        <v>24</v>
      </c>
    </row>
    <row r="25961" spans="1:5">
      <c r="A25961" t="s">
        <v>30208</v>
      </c>
      <c r="B25961" t="s">
        <v>30209</v>
      </c>
      <c r="C25961">
        <f>0</f>
        <v>0</v>
      </c>
      <c r="D25961" t="s">
        <v>106</v>
      </c>
      <c r="E25961">
        <v>1.89505247376311</v>
      </c>
    </row>
    <row r="25962" spans="1:5">
      <c r="A25962" t="s">
        <v>30208</v>
      </c>
      <c r="B25962" t="s">
        <v>30210</v>
      </c>
      <c r="C25962">
        <f>0</f>
        <v>0</v>
      </c>
      <c r="D25962" t="s">
        <v>106</v>
      </c>
      <c r="E25962">
        <v>1.89505247376311</v>
      </c>
    </row>
    <row r="25963" spans="1:5">
      <c r="A25963" t="s">
        <v>30208</v>
      </c>
      <c r="B25963" t="s">
        <v>30211</v>
      </c>
      <c r="C25963">
        <v>0</v>
      </c>
      <c r="D25963" t="s">
        <v>106</v>
      </c>
      <c r="E25963">
        <v>1.89505247376311</v>
      </c>
    </row>
    <row r="25964" spans="1:5">
      <c r="A25964" t="s">
        <v>30208</v>
      </c>
      <c r="B25964" t="s">
        <v>30212</v>
      </c>
      <c r="C25964">
        <v>0</v>
      </c>
      <c r="D25964" t="s">
        <v>106</v>
      </c>
      <c r="E25964">
        <v>1.89505247376311</v>
      </c>
    </row>
    <row r="25965" spans="1:5">
      <c r="A25965" t="s">
        <v>30208</v>
      </c>
      <c r="B25965" t="s">
        <v>30213</v>
      </c>
      <c r="C25965">
        <f>0</f>
        <v>0</v>
      </c>
      <c r="D25965" t="s">
        <v>106</v>
      </c>
      <c r="E25965">
        <v>1.89505247376311</v>
      </c>
    </row>
    <row r="25966" spans="1:5">
      <c r="A25966" t="s">
        <v>30214</v>
      </c>
      <c r="B25966" t="s">
        <v>30215</v>
      </c>
      <c r="C25966">
        <v>2.3010849405599998E-3</v>
      </c>
      <c r="D25966">
        <v>0.98805083728599996</v>
      </c>
      <c r="E25966">
        <v>5.9370314842578704</v>
      </c>
    </row>
    <row r="25967" spans="1:5">
      <c r="A25967" t="s">
        <v>30216</v>
      </c>
      <c r="B25967" t="s">
        <v>30217</v>
      </c>
      <c r="C25967">
        <v>0.34328858574900001</v>
      </c>
      <c r="D25967">
        <v>0.97831422303899995</v>
      </c>
      <c r="E25967">
        <v>13.8170914542728</v>
      </c>
    </row>
    <row r="25968" spans="1:5">
      <c r="A25968" t="s">
        <v>30216</v>
      </c>
      <c r="B25968" t="s">
        <v>30218</v>
      </c>
      <c r="C25968">
        <v>1.2005150261299999E-3</v>
      </c>
      <c r="D25968">
        <v>0.97831422303899995</v>
      </c>
      <c r="E25968">
        <v>13.8170914542728</v>
      </c>
    </row>
    <row r="25969" spans="1:5">
      <c r="A25969" t="s">
        <v>30219</v>
      </c>
      <c r="B25969" t="s">
        <v>30220</v>
      </c>
      <c r="C25969">
        <f>0</f>
        <v>0</v>
      </c>
      <c r="D25969">
        <v>0.94770192444099999</v>
      </c>
      <c r="E25969">
        <v>4.7976011994003001</v>
      </c>
    </row>
    <row r="25970" spans="1:5">
      <c r="A25970" t="s">
        <v>30219</v>
      </c>
      <c r="B25970" t="s">
        <v>30221</v>
      </c>
      <c r="C25970">
        <v>0</v>
      </c>
      <c r="D25970">
        <v>0.94770192444099999</v>
      </c>
      <c r="E25970">
        <v>4.7976011994003001</v>
      </c>
    </row>
    <row r="25971" spans="1:5">
      <c r="A25971" t="s">
        <v>30219</v>
      </c>
      <c r="B25971" t="s">
        <v>30222</v>
      </c>
      <c r="C25971">
        <v>0</v>
      </c>
      <c r="D25971">
        <v>0.94770192444099999</v>
      </c>
      <c r="E25971">
        <v>4.7976011994003001</v>
      </c>
    </row>
    <row r="25972" spans="1:5">
      <c r="A25972" t="s">
        <v>30219</v>
      </c>
      <c r="B25972" t="s">
        <v>30223</v>
      </c>
      <c r="C25972">
        <f>0</f>
        <v>0</v>
      </c>
      <c r="D25972">
        <v>0.94770192444099999</v>
      </c>
      <c r="E25972">
        <v>4.7976011994003001</v>
      </c>
    </row>
    <row r="25973" spans="1:5">
      <c r="A25973" t="s">
        <v>30219</v>
      </c>
      <c r="B25973" t="s">
        <v>30224</v>
      </c>
      <c r="C25973">
        <v>0</v>
      </c>
      <c r="D25973">
        <v>0.94770192444099999</v>
      </c>
      <c r="E25973">
        <v>4.7976011994003001</v>
      </c>
    </row>
    <row r="25974" spans="1:5">
      <c r="A25974" t="s">
        <v>30219</v>
      </c>
      <c r="B25974" t="s">
        <v>30225</v>
      </c>
      <c r="C25974">
        <v>0</v>
      </c>
      <c r="D25974">
        <v>0.94770192444099999</v>
      </c>
      <c r="E25974">
        <v>4.7976011994003001</v>
      </c>
    </row>
    <row r="25975" spans="1:5">
      <c r="A25975" t="s">
        <v>30219</v>
      </c>
      <c r="B25975" t="s">
        <v>30226</v>
      </c>
      <c r="C25975">
        <f>0</f>
        <v>0</v>
      </c>
      <c r="D25975">
        <v>0.94770192444099999</v>
      </c>
      <c r="E25975">
        <v>4.7976011994003001</v>
      </c>
    </row>
    <row r="25976" spans="1:5">
      <c r="A25976" t="s">
        <v>30219</v>
      </c>
      <c r="B25976" t="s">
        <v>30227</v>
      </c>
      <c r="C25976">
        <v>0</v>
      </c>
      <c r="D25976">
        <v>0.94770192444099999</v>
      </c>
      <c r="E25976">
        <v>4.7976011994003001</v>
      </c>
    </row>
    <row r="25977" spans="1:5">
      <c r="A25977" t="s">
        <v>30228</v>
      </c>
      <c r="B25977" t="s">
        <v>30229</v>
      </c>
      <c r="C25977">
        <f>0</f>
        <v>0</v>
      </c>
      <c r="D25977" t="s">
        <v>106</v>
      </c>
      <c r="E25977">
        <v>8.4317841079460205</v>
      </c>
    </row>
    <row r="25978" spans="1:5">
      <c r="A25978" t="s">
        <v>30228</v>
      </c>
      <c r="B25978" t="s">
        <v>30230</v>
      </c>
      <c r="C25978">
        <f>0</f>
        <v>0</v>
      </c>
      <c r="D25978" t="s">
        <v>106</v>
      </c>
      <c r="E25978">
        <v>8.4317841079460205</v>
      </c>
    </row>
    <row r="25979" spans="1:5">
      <c r="A25979" t="s">
        <v>30231</v>
      </c>
      <c r="B25979" t="s">
        <v>30232</v>
      </c>
      <c r="C25979">
        <v>5.5524062654199999E-2</v>
      </c>
      <c r="D25979" t="s">
        <v>106</v>
      </c>
      <c r="E25979">
        <v>18.1349325337331</v>
      </c>
    </row>
    <row r="25980" spans="1:5">
      <c r="A25980" t="s">
        <v>30231</v>
      </c>
      <c r="B25980" t="s">
        <v>30233</v>
      </c>
      <c r="C25980">
        <f>0</f>
        <v>0</v>
      </c>
      <c r="D25980" t="s">
        <v>106</v>
      </c>
      <c r="E25980">
        <v>18.1349325337331</v>
      </c>
    </row>
    <row r="25981" spans="1:5">
      <c r="A25981" t="s">
        <v>30234</v>
      </c>
      <c r="B25981" t="s">
        <v>30235</v>
      </c>
      <c r="C25981">
        <v>0.10848708172099999</v>
      </c>
      <c r="D25981">
        <v>0.96997149107799996</v>
      </c>
      <c r="E25981">
        <v>3.97001499250374</v>
      </c>
    </row>
    <row r="25982" spans="1:5">
      <c r="A25982" t="s">
        <v>30236</v>
      </c>
      <c r="B25982" t="s">
        <v>30237</v>
      </c>
      <c r="C25982">
        <v>8.1170791720499999E-2</v>
      </c>
      <c r="D25982">
        <v>0.97792843262499995</v>
      </c>
      <c r="E25982">
        <v>24</v>
      </c>
    </row>
    <row r="25983" spans="1:5">
      <c r="A25983" t="s">
        <v>30236</v>
      </c>
      <c r="B25983" t="s">
        <v>30238</v>
      </c>
      <c r="C25983">
        <f>0</f>
        <v>0</v>
      </c>
      <c r="D25983">
        <v>0.97792843262499995</v>
      </c>
      <c r="E25983">
        <v>24</v>
      </c>
    </row>
    <row r="25984" spans="1:5">
      <c r="A25984" t="s">
        <v>30236</v>
      </c>
      <c r="B25984" t="s">
        <v>30239</v>
      </c>
      <c r="C25984">
        <v>7.5902049292899997E-3</v>
      </c>
      <c r="D25984">
        <v>0.97792843262499995</v>
      </c>
      <c r="E25984">
        <v>24</v>
      </c>
    </row>
    <row r="25985" spans="1:5">
      <c r="A25985" t="s">
        <v>30236</v>
      </c>
      <c r="B25985" t="s">
        <v>30240</v>
      </c>
      <c r="C25985">
        <f>0</f>
        <v>0</v>
      </c>
      <c r="D25985">
        <v>0.97792843262499995</v>
      </c>
      <c r="E25985">
        <v>24</v>
      </c>
    </row>
    <row r="25986" spans="1:5">
      <c r="A25986" t="s">
        <v>30241</v>
      </c>
      <c r="B25986" t="s">
        <v>30242</v>
      </c>
      <c r="C25986">
        <v>0</v>
      </c>
      <c r="D25986" t="s">
        <v>106</v>
      </c>
      <c r="E25986">
        <v>6.9325337331334298</v>
      </c>
    </row>
    <row r="25987" spans="1:5">
      <c r="A25987" t="s">
        <v>30241</v>
      </c>
      <c r="B25987" t="s">
        <v>30243</v>
      </c>
      <c r="C25987">
        <f>0</f>
        <v>0</v>
      </c>
      <c r="D25987" t="s">
        <v>106</v>
      </c>
      <c r="E25987">
        <v>6.9325337331334298</v>
      </c>
    </row>
    <row r="25988" spans="1:5">
      <c r="A25988" t="s">
        <v>30241</v>
      </c>
      <c r="B25988" t="s">
        <v>30244</v>
      </c>
      <c r="C25988">
        <f>0.212994966045</f>
        <v>0.21299496604500001</v>
      </c>
      <c r="D25988" t="s">
        <v>106</v>
      </c>
      <c r="E25988">
        <v>6.9325337331334298</v>
      </c>
    </row>
    <row r="25989" spans="1:5">
      <c r="A25989" t="s">
        <v>30241</v>
      </c>
      <c r="B25989" t="s">
        <v>30245</v>
      </c>
      <c r="C25989">
        <f>0.185891450025</f>
        <v>0.18589145002499999</v>
      </c>
      <c r="D25989" t="s">
        <v>106</v>
      </c>
      <c r="E25989">
        <v>6.9325337331334298</v>
      </c>
    </row>
    <row r="25990" spans="1:5">
      <c r="A25990" t="s">
        <v>30246</v>
      </c>
      <c r="B25990" t="s">
        <v>30247</v>
      </c>
      <c r="C25990">
        <v>0</v>
      </c>
      <c r="D25990" t="s">
        <v>106</v>
      </c>
      <c r="E25990">
        <v>14.9325337331334</v>
      </c>
    </row>
    <row r="25991" spans="1:5">
      <c r="A25991" t="s">
        <v>30246</v>
      </c>
      <c r="B25991" t="s">
        <v>30248</v>
      </c>
      <c r="C25991">
        <f>0</f>
        <v>0</v>
      </c>
      <c r="D25991" t="s">
        <v>106</v>
      </c>
      <c r="E25991">
        <v>14.9325337331334</v>
      </c>
    </row>
    <row r="25992" spans="1:5">
      <c r="A25992" t="s">
        <v>30246</v>
      </c>
      <c r="B25992" t="s">
        <v>30249</v>
      </c>
      <c r="C25992">
        <f>0</f>
        <v>0</v>
      </c>
      <c r="D25992" t="s">
        <v>106</v>
      </c>
      <c r="E25992">
        <v>14.9325337331334</v>
      </c>
    </row>
    <row r="25993" spans="1:5">
      <c r="A25993" t="s">
        <v>30246</v>
      </c>
      <c r="B25993" t="s">
        <v>30250</v>
      </c>
      <c r="C25993">
        <v>0</v>
      </c>
      <c r="D25993" t="s">
        <v>106</v>
      </c>
      <c r="E25993">
        <v>14.9325337331334</v>
      </c>
    </row>
    <row r="25994" spans="1:5">
      <c r="A25994" t="s">
        <v>30246</v>
      </c>
      <c r="B25994" t="s">
        <v>30251</v>
      </c>
      <c r="C25994">
        <v>0</v>
      </c>
      <c r="D25994" t="s">
        <v>106</v>
      </c>
      <c r="E25994">
        <v>14.9325337331334</v>
      </c>
    </row>
    <row r="25995" spans="1:5">
      <c r="A25995" t="s">
        <v>30246</v>
      </c>
      <c r="B25995" t="s">
        <v>30252</v>
      </c>
      <c r="C25995">
        <f>0</f>
        <v>0</v>
      </c>
      <c r="D25995" t="s">
        <v>106</v>
      </c>
      <c r="E25995">
        <v>14.9325337331334</v>
      </c>
    </row>
    <row r="25996" spans="1:5">
      <c r="A25996" t="s">
        <v>30246</v>
      </c>
      <c r="B25996" t="s">
        <v>30253</v>
      </c>
      <c r="C25996">
        <f>0</f>
        <v>0</v>
      </c>
      <c r="D25996" t="s">
        <v>106</v>
      </c>
      <c r="E25996">
        <v>14.9325337331334</v>
      </c>
    </row>
    <row r="25997" spans="1:5">
      <c r="A25997" t="s">
        <v>30246</v>
      </c>
      <c r="B25997" t="s">
        <v>30254</v>
      </c>
      <c r="C25997">
        <f>0</f>
        <v>0</v>
      </c>
      <c r="D25997" t="s">
        <v>106</v>
      </c>
      <c r="E25997">
        <v>14.9325337331334</v>
      </c>
    </row>
    <row r="25998" spans="1:5">
      <c r="A25998" t="s">
        <v>30246</v>
      </c>
      <c r="B25998" t="s">
        <v>30255</v>
      </c>
      <c r="C25998">
        <v>0</v>
      </c>
      <c r="D25998" t="s">
        <v>106</v>
      </c>
      <c r="E25998">
        <v>14.9325337331334</v>
      </c>
    </row>
    <row r="25999" spans="1:5">
      <c r="A25999" t="s">
        <v>30246</v>
      </c>
      <c r="B25999" t="s">
        <v>30256</v>
      </c>
      <c r="C25999">
        <f>0</f>
        <v>0</v>
      </c>
      <c r="D25999" t="s">
        <v>106</v>
      </c>
      <c r="E25999">
        <v>14.9325337331334</v>
      </c>
    </row>
    <row r="26000" spans="1:5">
      <c r="A26000" t="s">
        <v>30246</v>
      </c>
      <c r="B26000" t="s">
        <v>30257</v>
      </c>
      <c r="C26000">
        <f>0</f>
        <v>0</v>
      </c>
      <c r="D26000" t="s">
        <v>106</v>
      </c>
      <c r="E26000">
        <v>14.9325337331334</v>
      </c>
    </row>
    <row r="26001" spans="1:5">
      <c r="A26001" t="s">
        <v>30258</v>
      </c>
      <c r="B26001" t="s">
        <v>30259</v>
      </c>
      <c r="C26001">
        <v>0.525548774542</v>
      </c>
      <c r="D26001">
        <v>0.79575758456300005</v>
      </c>
      <c r="E26001">
        <v>4.2698650674662604</v>
      </c>
    </row>
    <row r="26002" spans="1:5">
      <c r="A26002" t="s">
        <v>30260</v>
      </c>
      <c r="B26002" t="s">
        <v>30261</v>
      </c>
      <c r="C26002">
        <v>0</v>
      </c>
      <c r="D26002" t="s">
        <v>106</v>
      </c>
      <c r="E26002">
        <v>4.58170914542728</v>
      </c>
    </row>
    <row r="26003" spans="1:5">
      <c r="A26003" t="s">
        <v>30260</v>
      </c>
      <c r="B26003" t="s">
        <v>30262</v>
      </c>
      <c r="C26003">
        <f>0</f>
        <v>0</v>
      </c>
      <c r="D26003" t="s">
        <v>106</v>
      </c>
      <c r="E26003">
        <v>4.58170914542728</v>
      </c>
    </row>
    <row r="26004" spans="1:5">
      <c r="A26004" t="s">
        <v>30260</v>
      </c>
      <c r="B26004" t="s">
        <v>30263</v>
      </c>
      <c r="C26004">
        <f>0</f>
        <v>0</v>
      </c>
      <c r="D26004" t="s">
        <v>106</v>
      </c>
      <c r="E26004">
        <v>4.58170914542728</v>
      </c>
    </row>
    <row r="26005" spans="1:5">
      <c r="A26005" t="s">
        <v>30260</v>
      </c>
      <c r="B26005" t="s">
        <v>30264</v>
      </c>
      <c r="C26005">
        <v>0</v>
      </c>
      <c r="D26005" t="s">
        <v>106</v>
      </c>
      <c r="E26005">
        <v>4.58170914542728</v>
      </c>
    </row>
    <row r="26006" spans="1:5">
      <c r="A26006" t="s">
        <v>30260</v>
      </c>
      <c r="B26006" t="s">
        <v>30265</v>
      </c>
      <c r="C26006">
        <v>0</v>
      </c>
      <c r="D26006" t="s">
        <v>106</v>
      </c>
      <c r="E26006">
        <v>4.58170914542728</v>
      </c>
    </row>
    <row r="26007" spans="1:5">
      <c r="A26007" t="s">
        <v>30260</v>
      </c>
      <c r="B26007" t="s">
        <v>30266</v>
      </c>
      <c r="C26007">
        <f>0</f>
        <v>0</v>
      </c>
      <c r="D26007" t="s">
        <v>106</v>
      </c>
      <c r="E26007">
        <v>4.58170914542728</v>
      </c>
    </row>
    <row r="26008" spans="1:5">
      <c r="A26008" t="s">
        <v>30267</v>
      </c>
      <c r="B26008" t="s">
        <v>30268</v>
      </c>
      <c r="C26008">
        <v>0</v>
      </c>
      <c r="D26008" t="s">
        <v>106</v>
      </c>
      <c r="E26008">
        <v>5.69715142428785</v>
      </c>
    </row>
    <row r="26009" spans="1:5">
      <c r="A26009" t="s">
        <v>30269</v>
      </c>
      <c r="B26009" t="s">
        <v>30270</v>
      </c>
      <c r="C26009">
        <f>0</f>
        <v>0</v>
      </c>
      <c r="D26009" t="s">
        <v>106</v>
      </c>
      <c r="E26009">
        <v>12.7376311844077</v>
      </c>
    </row>
    <row r="26010" spans="1:5">
      <c r="A26010" t="s">
        <v>30269</v>
      </c>
      <c r="B26010" t="s">
        <v>30271</v>
      </c>
      <c r="C26010">
        <f>0</f>
        <v>0</v>
      </c>
      <c r="D26010" t="s">
        <v>106</v>
      </c>
      <c r="E26010">
        <v>12.7376311844077</v>
      </c>
    </row>
    <row r="26011" spans="1:5">
      <c r="A26011" t="s">
        <v>30269</v>
      </c>
      <c r="B26011" t="s">
        <v>30272</v>
      </c>
      <c r="C26011">
        <v>0</v>
      </c>
      <c r="D26011" t="s">
        <v>106</v>
      </c>
      <c r="E26011">
        <v>12.7376311844077</v>
      </c>
    </row>
    <row r="26012" spans="1:5">
      <c r="A26012" t="s">
        <v>30269</v>
      </c>
      <c r="B26012" t="s">
        <v>30273</v>
      </c>
      <c r="C26012">
        <v>0</v>
      </c>
      <c r="D26012" t="s">
        <v>106</v>
      </c>
      <c r="E26012">
        <v>12.7376311844077</v>
      </c>
    </row>
    <row r="26013" spans="1:5">
      <c r="A26013" t="s">
        <v>30269</v>
      </c>
      <c r="B26013" t="s">
        <v>30274</v>
      </c>
      <c r="C26013">
        <f>0</f>
        <v>0</v>
      </c>
      <c r="D26013" t="s">
        <v>106</v>
      </c>
      <c r="E26013">
        <v>12.7376311844077</v>
      </c>
    </row>
    <row r="26014" spans="1:5">
      <c r="A26014" t="s">
        <v>30275</v>
      </c>
      <c r="B26014" t="s">
        <v>30276</v>
      </c>
      <c r="C26014">
        <v>0.29612783075100002</v>
      </c>
      <c r="D26014">
        <v>0.48902676997700001</v>
      </c>
      <c r="E26014">
        <v>1.89505247376311</v>
      </c>
    </row>
    <row r="26015" spans="1:5">
      <c r="A26015" t="s">
        <v>30277</v>
      </c>
      <c r="B26015" t="s">
        <v>30278</v>
      </c>
      <c r="C26015">
        <v>0</v>
      </c>
      <c r="D26015" t="s">
        <v>106</v>
      </c>
      <c r="E26015">
        <v>24</v>
      </c>
    </row>
    <row r="26016" spans="1:5">
      <c r="A26016" t="s">
        <v>30277</v>
      </c>
      <c r="B26016" t="s">
        <v>30279</v>
      </c>
      <c r="C26016">
        <f>0</f>
        <v>0</v>
      </c>
      <c r="D26016" t="s">
        <v>106</v>
      </c>
      <c r="E26016">
        <v>24</v>
      </c>
    </row>
    <row r="26017" spans="1:5">
      <c r="A26017" t="s">
        <v>30277</v>
      </c>
      <c r="B26017" t="s">
        <v>30280</v>
      </c>
      <c r="C26017">
        <f>0</f>
        <v>0</v>
      </c>
      <c r="D26017" t="s">
        <v>106</v>
      </c>
      <c r="E26017">
        <v>24</v>
      </c>
    </row>
    <row r="26018" spans="1:5">
      <c r="A26018" t="s">
        <v>30281</v>
      </c>
      <c r="B26018" t="s">
        <v>30282</v>
      </c>
      <c r="C26018">
        <v>0</v>
      </c>
      <c r="D26018">
        <v>0.97519609467299995</v>
      </c>
      <c r="E26018">
        <v>6.2968515742128899</v>
      </c>
    </row>
    <row r="26019" spans="1:5">
      <c r="A26019" t="s">
        <v>30281</v>
      </c>
      <c r="B26019" t="s">
        <v>30283</v>
      </c>
      <c r="C26019">
        <f>0</f>
        <v>0</v>
      </c>
      <c r="D26019">
        <v>0.97519609467299995</v>
      </c>
      <c r="E26019">
        <v>6.2968515742128899</v>
      </c>
    </row>
    <row r="26020" spans="1:5">
      <c r="A26020" t="s">
        <v>30284</v>
      </c>
      <c r="B26020" t="s">
        <v>30285</v>
      </c>
      <c r="C26020">
        <f>0</f>
        <v>0</v>
      </c>
      <c r="D26020" t="s">
        <v>106</v>
      </c>
      <c r="E26020">
        <v>0</v>
      </c>
    </row>
    <row r="26021" spans="1:5">
      <c r="A26021" t="s">
        <v>30284</v>
      </c>
      <c r="B26021" t="s">
        <v>30286</v>
      </c>
      <c r="C26021">
        <f>0</f>
        <v>0</v>
      </c>
      <c r="D26021" t="s">
        <v>106</v>
      </c>
      <c r="E26021">
        <v>0</v>
      </c>
    </row>
    <row r="26022" spans="1:5">
      <c r="A26022" t="s">
        <v>30284</v>
      </c>
      <c r="B26022" t="s">
        <v>30287</v>
      </c>
      <c r="C26022">
        <v>0</v>
      </c>
      <c r="D26022" t="s">
        <v>106</v>
      </c>
      <c r="E26022">
        <v>0</v>
      </c>
    </row>
    <row r="26023" spans="1:5">
      <c r="A26023" t="s">
        <v>30284</v>
      </c>
      <c r="B26023" t="s">
        <v>30288</v>
      </c>
      <c r="C26023">
        <f>0</f>
        <v>0</v>
      </c>
      <c r="D26023" t="s">
        <v>106</v>
      </c>
      <c r="E26023">
        <v>0</v>
      </c>
    </row>
    <row r="26024" spans="1:5">
      <c r="A26024" t="s">
        <v>30284</v>
      </c>
      <c r="B26024" t="s">
        <v>30289</v>
      </c>
      <c r="C26024">
        <v>0</v>
      </c>
      <c r="D26024" t="s">
        <v>106</v>
      </c>
      <c r="E26024">
        <v>0</v>
      </c>
    </row>
    <row r="26025" spans="1:5">
      <c r="A26025" t="s">
        <v>30284</v>
      </c>
      <c r="B26025" t="s">
        <v>30290</v>
      </c>
      <c r="C26025">
        <v>0</v>
      </c>
      <c r="D26025" t="s">
        <v>106</v>
      </c>
      <c r="E26025">
        <v>0</v>
      </c>
    </row>
    <row r="26026" spans="1:5">
      <c r="A26026" t="s">
        <v>30291</v>
      </c>
      <c r="B26026" t="s">
        <v>30292</v>
      </c>
      <c r="C26026">
        <f>0</f>
        <v>0</v>
      </c>
      <c r="D26026" t="s">
        <v>106</v>
      </c>
      <c r="E26026">
        <v>5.1214392803598203</v>
      </c>
    </row>
    <row r="26027" spans="1:5">
      <c r="A26027" t="s">
        <v>30291</v>
      </c>
      <c r="B26027" t="s">
        <v>30293</v>
      </c>
      <c r="C26027">
        <f>0</f>
        <v>0</v>
      </c>
      <c r="D26027" t="s">
        <v>106</v>
      </c>
      <c r="E26027">
        <v>5.1214392803598203</v>
      </c>
    </row>
    <row r="26028" spans="1:5">
      <c r="A26028" t="s">
        <v>30291</v>
      </c>
      <c r="B26028" t="s">
        <v>30294</v>
      </c>
      <c r="C26028">
        <f>0</f>
        <v>0</v>
      </c>
      <c r="D26028" t="s">
        <v>106</v>
      </c>
      <c r="E26028">
        <v>5.1214392803598203</v>
      </c>
    </row>
    <row r="26029" spans="1:5">
      <c r="A26029" t="s">
        <v>30291</v>
      </c>
      <c r="B26029" t="s">
        <v>30295</v>
      </c>
      <c r="C26029">
        <v>0</v>
      </c>
      <c r="D26029" t="s">
        <v>106</v>
      </c>
      <c r="E26029">
        <v>5.1214392803598203</v>
      </c>
    </row>
    <row r="26030" spans="1:5">
      <c r="A26030" t="s">
        <v>30291</v>
      </c>
      <c r="B26030" t="s">
        <v>30296</v>
      </c>
      <c r="C26030">
        <v>0</v>
      </c>
      <c r="D26030" t="s">
        <v>106</v>
      </c>
      <c r="E26030">
        <v>5.1214392803598203</v>
      </c>
    </row>
    <row r="26031" spans="1:5">
      <c r="A26031" t="s">
        <v>30291</v>
      </c>
      <c r="B26031" t="s">
        <v>30297</v>
      </c>
      <c r="C26031">
        <v>0</v>
      </c>
      <c r="D26031" t="s">
        <v>106</v>
      </c>
      <c r="E26031">
        <v>5.1214392803598203</v>
      </c>
    </row>
    <row r="26032" spans="1:5">
      <c r="A26032" t="s">
        <v>30291</v>
      </c>
      <c r="B26032" t="s">
        <v>30298</v>
      </c>
      <c r="C26032">
        <f>0</f>
        <v>0</v>
      </c>
      <c r="D26032" t="s">
        <v>106</v>
      </c>
      <c r="E26032">
        <v>5.1214392803598203</v>
      </c>
    </row>
    <row r="26033" spans="1:5">
      <c r="A26033" t="s">
        <v>30291</v>
      </c>
      <c r="B26033" t="s">
        <v>30299</v>
      </c>
      <c r="C26033">
        <f>0</f>
        <v>0</v>
      </c>
      <c r="D26033" t="s">
        <v>106</v>
      </c>
      <c r="E26033">
        <v>5.1214392803598203</v>
      </c>
    </row>
    <row r="26034" spans="1:5">
      <c r="A26034" t="s">
        <v>30291</v>
      </c>
      <c r="B26034" t="s">
        <v>30300</v>
      </c>
      <c r="C26034">
        <v>0</v>
      </c>
      <c r="D26034" t="s">
        <v>106</v>
      </c>
      <c r="E26034">
        <v>5.1214392803598203</v>
      </c>
    </row>
    <row r="26035" spans="1:5">
      <c r="A26035" t="s">
        <v>30291</v>
      </c>
      <c r="B26035" t="s">
        <v>30301</v>
      </c>
      <c r="C26035">
        <f>0</f>
        <v>0</v>
      </c>
      <c r="D26035" t="s">
        <v>106</v>
      </c>
      <c r="E26035">
        <v>5.1214392803598203</v>
      </c>
    </row>
    <row r="26036" spans="1:5">
      <c r="A26036" t="s">
        <v>30291</v>
      </c>
      <c r="B26036" t="s">
        <v>30302</v>
      </c>
      <c r="C26036">
        <v>0</v>
      </c>
      <c r="D26036" t="s">
        <v>106</v>
      </c>
      <c r="E26036">
        <v>5.1214392803598203</v>
      </c>
    </row>
    <row r="26037" spans="1:5">
      <c r="A26037" t="s">
        <v>30291</v>
      </c>
      <c r="B26037" t="s">
        <v>30303</v>
      </c>
      <c r="C26037">
        <f>0</f>
        <v>0</v>
      </c>
      <c r="D26037" t="s">
        <v>106</v>
      </c>
      <c r="E26037">
        <v>5.1214392803598203</v>
      </c>
    </row>
    <row r="26038" spans="1:5">
      <c r="A26038" t="s">
        <v>30291</v>
      </c>
      <c r="B26038" t="s">
        <v>30304</v>
      </c>
      <c r="C26038">
        <f>0</f>
        <v>0</v>
      </c>
      <c r="D26038" t="s">
        <v>106</v>
      </c>
      <c r="E26038">
        <v>5.1214392803598203</v>
      </c>
    </row>
    <row r="26039" spans="1:5">
      <c r="A26039" t="s">
        <v>30291</v>
      </c>
      <c r="B26039" t="s">
        <v>30305</v>
      </c>
      <c r="C26039">
        <f>0</f>
        <v>0</v>
      </c>
      <c r="D26039" t="s">
        <v>106</v>
      </c>
      <c r="E26039">
        <v>5.1214392803598203</v>
      </c>
    </row>
    <row r="26040" spans="1:5">
      <c r="A26040" t="s">
        <v>30291</v>
      </c>
      <c r="B26040" t="s">
        <v>30306</v>
      </c>
      <c r="C26040">
        <f>0</f>
        <v>0</v>
      </c>
      <c r="D26040" t="s">
        <v>106</v>
      </c>
      <c r="E26040">
        <v>5.1214392803598203</v>
      </c>
    </row>
    <row r="26041" spans="1:5">
      <c r="A26041" t="s">
        <v>30291</v>
      </c>
      <c r="B26041" t="s">
        <v>30307</v>
      </c>
      <c r="C26041">
        <f>0</f>
        <v>0</v>
      </c>
      <c r="D26041" t="s">
        <v>106</v>
      </c>
      <c r="E26041">
        <v>5.1214392803598203</v>
      </c>
    </row>
    <row r="26042" spans="1:5">
      <c r="A26042" t="s">
        <v>30291</v>
      </c>
      <c r="B26042" t="s">
        <v>30308</v>
      </c>
      <c r="C26042">
        <f>0</f>
        <v>0</v>
      </c>
      <c r="D26042" t="s">
        <v>106</v>
      </c>
      <c r="E26042">
        <v>5.1214392803598203</v>
      </c>
    </row>
    <row r="26043" spans="1:5">
      <c r="A26043" t="s">
        <v>30291</v>
      </c>
      <c r="B26043" t="s">
        <v>30309</v>
      </c>
      <c r="C26043">
        <f>0</f>
        <v>0</v>
      </c>
      <c r="D26043" t="s">
        <v>106</v>
      </c>
      <c r="E26043">
        <v>5.1214392803598203</v>
      </c>
    </row>
    <row r="26044" spans="1:5">
      <c r="A26044" t="s">
        <v>30291</v>
      </c>
      <c r="B26044" t="s">
        <v>30310</v>
      </c>
      <c r="C26044">
        <f>0</f>
        <v>0</v>
      </c>
      <c r="D26044" t="s">
        <v>106</v>
      </c>
      <c r="E26044">
        <v>5.1214392803598203</v>
      </c>
    </row>
    <row r="26045" spans="1:5">
      <c r="A26045" t="s">
        <v>30291</v>
      </c>
      <c r="B26045" t="s">
        <v>30311</v>
      </c>
      <c r="C26045">
        <f>0</f>
        <v>0</v>
      </c>
      <c r="D26045" t="s">
        <v>106</v>
      </c>
      <c r="E26045">
        <v>5.1214392803598203</v>
      </c>
    </row>
    <row r="26046" spans="1:5">
      <c r="A26046" t="s">
        <v>30291</v>
      </c>
      <c r="B26046" t="s">
        <v>30312</v>
      </c>
      <c r="C26046">
        <v>0</v>
      </c>
      <c r="D26046" t="s">
        <v>106</v>
      </c>
      <c r="E26046">
        <v>5.1214392803598203</v>
      </c>
    </row>
    <row r="26047" spans="1:5">
      <c r="A26047" t="s">
        <v>30291</v>
      </c>
      <c r="B26047" t="s">
        <v>30313</v>
      </c>
      <c r="C26047">
        <f>0</f>
        <v>0</v>
      </c>
      <c r="D26047" t="s">
        <v>106</v>
      </c>
      <c r="E26047">
        <v>5.1214392803598203</v>
      </c>
    </row>
    <row r="26048" spans="1:5">
      <c r="A26048" t="s">
        <v>30291</v>
      </c>
      <c r="B26048" t="s">
        <v>30314</v>
      </c>
      <c r="C26048">
        <v>0</v>
      </c>
      <c r="D26048" t="s">
        <v>106</v>
      </c>
      <c r="E26048">
        <v>5.1214392803598203</v>
      </c>
    </row>
    <row r="26049" spans="1:5">
      <c r="A26049" t="s">
        <v>30291</v>
      </c>
      <c r="B26049" t="s">
        <v>30315</v>
      </c>
      <c r="C26049">
        <f>0</f>
        <v>0</v>
      </c>
      <c r="D26049" t="s">
        <v>106</v>
      </c>
      <c r="E26049">
        <v>5.1214392803598203</v>
      </c>
    </row>
    <row r="26050" spans="1:5">
      <c r="A26050" t="s">
        <v>30291</v>
      </c>
      <c r="B26050" t="s">
        <v>30316</v>
      </c>
      <c r="C26050">
        <v>1.6754124811600001E-2</v>
      </c>
      <c r="D26050" t="s">
        <v>106</v>
      </c>
      <c r="E26050">
        <v>5.1214392803598203</v>
      </c>
    </row>
    <row r="26051" spans="1:5">
      <c r="A26051" t="s">
        <v>30291</v>
      </c>
      <c r="B26051" t="s">
        <v>30317</v>
      </c>
      <c r="C26051">
        <f>0</f>
        <v>0</v>
      </c>
      <c r="D26051" t="s">
        <v>106</v>
      </c>
      <c r="E26051">
        <v>5.1214392803598203</v>
      </c>
    </row>
    <row r="26052" spans="1:5">
      <c r="A26052" t="s">
        <v>30318</v>
      </c>
      <c r="B26052" t="s">
        <v>30319</v>
      </c>
      <c r="C26052">
        <v>0</v>
      </c>
      <c r="D26052">
        <v>0.86794247956799997</v>
      </c>
      <c r="E26052">
        <v>17.511244377811</v>
      </c>
    </row>
    <row r="26053" spans="1:5">
      <c r="A26053" t="s">
        <v>30318</v>
      </c>
      <c r="B26053" t="s">
        <v>30320</v>
      </c>
      <c r="C26053">
        <v>0</v>
      </c>
      <c r="D26053">
        <v>0.86794247956799997</v>
      </c>
      <c r="E26053">
        <v>17.511244377811</v>
      </c>
    </row>
    <row r="26054" spans="1:5">
      <c r="A26054" t="s">
        <v>30318</v>
      </c>
      <c r="B26054" t="s">
        <v>30321</v>
      </c>
      <c r="C26054">
        <v>0</v>
      </c>
      <c r="D26054">
        <v>0.86794247956799997</v>
      </c>
      <c r="E26054">
        <v>17.511244377811</v>
      </c>
    </row>
    <row r="26055" spans="1:5">
      <c r="A26055" t="s">
        <v>30318</v>
      </c>
      <c r="B26055" t="s">
        <v>30322</v>
      </c>
      <c r="C26055">
        <f>0.114341250912</f>
        <v>0.11434125091199999</v>
      </c>
      <c r="D26055">
        <v>0.86794247956799997</v>
      </c>
      <c r="E26055">
        <v>17.511244377811</v>
      </c>
    </row>
    <row r="26056" spans="1:5">
      <c r="A26056" t="s">
        <v>30323</v>
      </c>
      <c r="B26056" t="s">
        <v>30324</v>
      </c>
      <c r="C26056">
        <v>4.95809418079E-2</v>
      </c>
      <c r="D26056" t="s">
        <v>106</v>
      </c>
      <c r="E26056">
        <v>24</v>
      </c>
    </row>
    <row r="26057" spans="1:5">
      <c r="A26057" t="s">
        <v>30323</v>
      </c>
      <c r="B26057" t="s">
        <v>30325</v>
      </c>
      <c r="C26057">
        <v>0</v>
      </c>
      <c r="D26057" t="s">
        <v>106</v>
      </c>
      <c r="E26057">
        <v>24</v>
      </c>
    </row>
    <row r="26058" spans="1:5">
      <c r="A26058" t="s">
        <v>30323</v>
      </c>
      <c r="B26058" t="s">
        <v>30326</v>
      </c>
      <c r="C26058">
        <v>0</v>
      </c>
      <c r="D26058" t="s">
        <v>106</v>
      </c>
      <c r="E26058">
        <v>24</v>
      </c>
    </row>
    <row r="26059" spans="1:5">
      <c r="A26059" t="s">
        <v>30327</v>
      </c>
      <c r="B26059" t="s">
        <v>30328</v>
      </c>
      <c r="C26059">
        <v>0</v>
      </c>
      <c r="D26059">
        <v>0.944807245829</v>
      </c>
      <c r="E26059">
        <v>13.445277361319301</v>
      </c>
    </row>
    <row r="26060" spans="1:5">
      <c r="A26060" t="s">
        <v>30327</v>
      </c>
      <c r="B26060" t="s">
        <v>30329</v>
      </c>
      <c r="C26060">
        <v>0</v>
      </c>
      <c r="D26060">
        <v>0.944807245829</v>
      </c>
      <c r="E26060">
        <v>13.445277361319301</v>
      </c>
    </row>
    <row r="26061" spans="1:5">
      <c r="A26061" t="s">
        <v>30327</v>
      </c>
      <c r="B26061" t="s">
        <v>30330</v>
      </c>
      <c r="C26061">
        <v>0.20100227674000001</v>
      </c>
      <c r="D26061">
        <v>0.944807245829</v>
      </c>
      <c r="E26061">
        <v>13.445277361319301</v>
      </c>
    </row>
    <row r="26062" spans="1:5">
      <c r="A26062" t="s">
        <v>30327</v>
      </c>
      <c r="B26062" t="s">
        <v>30331</v>
      </c>
      <c r="C26062">
        <v>0</v>
      </c>
      <c r="D26062">
        <v>0.944807245829</v>
      </c>
      <c r="E26062">
        <v>13.445277361319301</v>
      </c>
    </row>
    <row r="26063" spans="1:5">
      <c r="A26063" t="s">
        <v>30327</v>
      </c>
      <c r="B26063" t="s">
        <v>30332</v>
      </c>
      <c r="C26063">
        <v>0</v>
      </c>
      <c r="D26063">
        <v>0.944807245829</v>
      </c>
      <c r="E26063">
        <v>13.445277361319301</v>
      </c>
    </row>
    <row r="26064" spans="1:5">
      <c r="A26064" t="s">
        <v>30327</v>
      </c>
      <c r="B26064" t="s">
        <v>30333</v>
      </c>
      <c r="C26064">
        <f>0</f>
        <v>0</v>
      </c>
      <c r="D26064">
        <v>0.944807245829</v>
      </c>
      <c r="E26064">
        <v>13.445277361319301</v>
      </c>
    </row>
    <row r="26065" spans="1:5">
      <c r="A26065" t="s">
        <v>30327</v>
      </c>
      <c r="B26065" t="s">
        <v>30334</v>
      </c>
      <c r="C26065">
        <v>0</v>
      </c>
      <c r="D26065">
        <v>0.944807245829</v>
      </c>
      <c r="E26065">
        <v>13.445277361319301</v>
      </c>
    </row>
    <row r="26066" spans="1:5">
      <c r="A26066" t="s">
        <v>30327</v>
      </c>
      <c r="B26066" t="s">
        <v>30335</v>
      </c>
      <c r="C26066">
        <f>0</f>
        <v>0</v>
      </c>
      <c r="D26066">
        <v>0.944807245829</v>
      </c>
      <c r="E26066">
        <v>13.445277361319301</v>
      </c>
    </row>
    <row r="26067" spans="1:5">
      <c r="A26067" t="s">
        <v>30327</v>
      </c>
      <c r="B26067" t="s">
        <v>30336</v>
      </c>
      <c r="C26067">
        <f>0</f>
        <v>0</v>
      </c>
      <c r="D26067">
        <v>0.944807245829</v>
      </c>
      <c r="E26067">
        <v>13.445277361319301</v>
      </c>
    </row>
    <row r="26068" spans="1:5">
      <c r="A26068" t="s">
        <v>30327</v>
      </c>
      <c r="B26068" t="s">
        <v>30337</v>
      </c>
      <c r="C26068">
        <f>0</f>
        <v>0</v>
      </c>
      <c r="D26068">
        <v>0.944807245829</v>
      </c>
      <c r="E26068">
        <v>13.445277361319301</v>
      </c>
    </row>
    <row r="26069" spans="1:5">
      <c r="A26069" t="s">
        <v>30327</v>
      </c>
      <c r="B26069" t="s">
        <v>30338</v>
      </c>
      <c r="C26069">
        <v>0</v>
      </c>
      <c r="D26069">
        <v>0.944807245829</v>
      </c>
      <c r="E26069">
        <v>13.445277361319301</v>
      </c>
    </row>
    <row r="26070" spans="1:5">
      <c r="A26070" t="s">
        <v>30339</v>
      </c>
      <c r="B26070" t="s">
        <v>30340</v>
      </c>
      <c r="C26070">
        <v>0.57762954554000001</v>
      </c>
      <c r="D26070">
        <v>0.909280489814</v>
      </c>
      <c r="E26070">
        <v>0.503748125937031</v>
      </c>
    </row>
    <row r="26071" spans="1:5">
      <c r="A26071" t="s">
        <v>30339</v>
      </c>
      <c r="B26071" t="s">
        <v>30341</v>
      </c>
      <c r="C26071">
        <f>0</f>
        <v>0</v>
      </c>
      <c r="D26071">
        <v>0.909280489814</v>
      </c>
      <c r="E26071">
        <v>0.503748125937031</v>
      </c>
    </row>
    <row r="26072" spans="1:5">
      <c r="A26072" t="s">
        <v>30342</v>
      </c>
      <c r="B26072" t="s">
        <v>30343</v>
      </c>
      <c r="C26072">
        <v>0</v>
      </c>
      <c r="D26072" t="s">
        <v>106</v>
      </c>
      <c r="E26072">
        <v>24</v>
      </c>
    </row>
    <row r="26073" spans="1:5">
      <c r="A26073" t="s">
        <v>30342</v>
      </c>
      <c r="B26073" t="s">
        <v>30344</v>
      </c>
      <c r="C26073">
        <v>3.7283058355399999E-3</v>
      </c>
      <c r="D26073" t="s">
        <v>106</v>
      </c>
      <c r="E26073">
        <v>24</v>
      </c>
    </row>
    <row r="26074" spans="1:5">
      <c r="A26074" t="s">
        <v>30342</v>
      </c>
      <c r="B26074" t="s">
        <v>30345</v>
      </c>
      <c r="C26074">
        <v>0</v>
      </c>
      <c r="D26074" t="s">
        <v>106</v>
      </c>
      <c r="E26074">
        <v>24</v>
      </c>
    </row>
    <row r="26075" spans="1:5">
      <c r="A26075" t="s">
        <v>30342</v>
      </c>
      <c r="B26075" t="s">
        <v>30346</v>
      </c>
      <c r="C26075">
        <f>0</f>
        <v>0</v>
      </c>
      <c r="D26075" t="s">
        <v>106</v>
      </c>
      <c r="E26075">
        <v>24</v>
      </c>
    </row>
    <row r="26076" spans="1:5">
      <c r="A26076" t="s">
        <v>30342</v>
      </c>
      <c r="B26076" t="s">
        <v>30347</v>
      </c>
      <c r="C26076">
        <v>0</v>
      </c>
      <c r="D26076" t="s">
        <v>106</v>
      </c>
      <c r="E26076">
        <v>24</v>
      </c>
    </row>
    <row r="26077" spans="1:5">
      <c r="A26077" t="s">
        <v>30342</v>
      </c>
      <c r="B26077" t="s">
        <v>30348</v>
      </c>
      <c r="C26077">
        <f>0</f>
        <v>0</v>
      </c>
      <c r="D26077" t="s">
        <v>106</v>
      </c>
      <c r="E26077">
        <v>24</v>
      </c>
    </row>
    <row r="26078" spans="1:5">
      <c r="A26078" t="s">
        <v>30342</v>
      </c>
      <c r="B26078" t="s">
        <v>30349</v>
      </c>
      <c r="C26078">
        <f>0</f>
        <v>0</v>
      </c>
      <c r="D26078" t="s">
        <v>106</v>
      </c>
      <c r="E26078">
        <v>24</v>
      </c>
    </row>
    <row r="26079" spans="1:5">
      <c r="A26079" t="s">
        <v>30342</v>
      </c>
      <c r="B26079" t="s">
        <v>30350</v>
      </c>
      <c r="C26079">
        <v>0</v>
      </c>
      <c r="D26079" t="s">
        <v>106</v>
      </c>
      <c r="E26079">
        <v>24</v>
      </c>
    </row>
    <row r="26080" spans="1:5">
      <c r="A26080" t="s">
        <v>30342</v>
      </c>
      <c r="B26080" t="s">
        <v>30351</v>
      </c>
      <c r="C26080">
        <f>0</f>
        <v>0</v>
      </c>
      <c r="D26080" t="s">
        <v>106</v>
      </c>
      <c r="E26080">
        <v>24</v>
      </c>
    </row>
    <row r="26081" spans="1:5">
      <c r="A26081" t="s">
        <v>30342</v>
      </c>
      <c r="B26081" t="s">
        <v>30352</v>
      </c>
      <c r="C26081">
        <v>0.18881612332700001</v>
      </c>
      <c r="D26081" t="s">
        <v>106</v>
      </c>
      <c r="E26081">
        <v>24</v>
      </c>
    </row>
    <row r="26082" spans="1:5">
      <c r="A26082" t="s">
        <v>30342</v>
      </c>
      <c r="B26082" t="s">
        <v>30353</v>
      </c>
      <c r="C26082">
        <f>0</f>
        <v>0</v>
      </c>
      <c r="D26082" t="s">
        <v>106</v>
      </c>
      <c r="E26082">
        <v>24</v>
      </c>
    </row>
    <row r="26083" spans="1:5">
      <c r="A26083" t="s">
        <v>30342</v>
      </c>
      <c r="B26083" t="s">
        <v>30354</v>
      </c>
      <c r="C26083">
        <f>0</f>
        <v>0</v>
      </c>
      <c r="D26083" t="s">
        <v>106</v>
      </c>
      <c r="E26083">
        <v>24</v>
      </c>
    </row>
    <row r="26084" spans="1:5">
      <c r="A26084" t="s">
        <v>30342</v>
      </c>
      <c r="B26084" t="s">
        <v>30355</v>
      </c>
      <c r="C26084">
        <v>0</v>
      </c>
      <c r="D26084" t="s">
        <v>106</v>
      </c>
      <c r="E26084">
        <v>24</v>
      </c>
    </row>
    <row r="26085" spans="1:5">
      <c r="A26085" t="s">
        <v>30342</v>
      </c>
      <c r="B26085" t="s">
        <v>30356</v>
      </c>
      <c r="C26085">
        <f>0</f>
        <v>0</v>
      </c>
      <c r="D26085" t="s">
        <v>106</v>
      </c>
      <c r="E26085">
        <v>24</v>
      </c>
    </row>
    <row r="26086" spans="1:5">
      <c r="A26086" t="s">
        <v>30357</v>
      </c>
      <c r="B26086" t="s">
        <v>30358</v>
      </c>
      <c r="C26086">
        <v>0</v>
      </c>
      <c r="D26086">
        <v>0.99555961802899995</v>
      </c>
      <c r="E26086">
        <v>10.710644677661101</v>
      </c>
    </row>
    <row r="26087" spans="1:5">
      <c r="A26087" t="s">
        <v>30357</v>
      </c>
      <c r="B26087" t="s">
        <v>30359</v>
      </c>
      <c r="C26087">
        <v>0</v>
      </c>
      <c r="D26087">
        <v>0.99555961802899995</v>
      </c>
      <c r="E26087">
        <v>10.710644677661101</v>
      </c>
    </row>
    <row r="26088" spans="1:5">
      <c r="A26088" t="s">
        <v>30357</v>
      </c>
      <c r="B26088" t="s">
        <v>30360</v>
      </c>
      <c r="C26088">
        <f>0</f>
        <v>0</v>
      </c>
      <c r="D26088">
        <v>0.99555961802899995</v>
      </c>
      <c r="E26088">
        <v>10.710644677661101</v>
      </c>
    </row>
    <row r="26089" spans="1:5">
      <c r="A26089" t="s">
        <v>30357</v>
      </c>
      <c r="B26089" t="s">
        <v>30361</v>
      </c>
      <c r="C26089">
        <v>0.235542574383</v>
      </c>
      <c r="D26089">
        <v>0.99555961802899995</v>
      </c>
      <c r="E26089">
        <v>10.710644677661101</v>
      </c>
    </row>
    <row r="26090" spans="1:5">
      <c r="A26090" t="s">
        <v>30357</v>
      </c>
      <c r="B26090" t="s">
        <v>30362</v>
      </c>
      <c r="C26090">
        <f>0</f>
        <v>0</v>
      </c>
      <c r="D26090">
        <v>0.99555961802899995</v>
      </c>
      <c r="E26090">
        <v>10.710644677661101</v>
      </c>
    </row>
    <row r="26091" spans="1:5">
      <c r="A26091" t="s">
        <v>30357</v>
      </c>
      <c r="B26091" t="s">
        <v>30363</v>
      </c>
      <c r="C26091">
        <v>6.66785476919E-2</v>
      </c>
      <c r="D26091">
        <v>0.99555961802899995</v>
      </c>
      <c r="E26091">
        <v>10.710644677661101</v>
      </c>
    </row>
    <row r="26092" spans="1:5">
      <c r="A26092" t="s">
        <v>30364</v>
      </c>
      <c r="B26092" t="s">
        <v>30365</v>
      </c>
      <c r="C26092">
        <v>0.136179011943</v>
      </c>
      <c r="D26092">
        <v>0.88305797938399999</v>
      </c>
      <c r="E26092">
        <v>11.370314842578701</v>
      </c>
    </row>
    <row r="26093" spans="1:5">
      <c r="A26093" t="s">
        <v>30364</v>
      </c>
      <c r="B26093" t="s">
        <v>30366</v>
      </c>
      <c r="C26093">
        <f>0.257829011677</f>
        <v>0.25782901167700001</v>
      </c>
      <c r="D26093">
        <v>0.88305797938399999</v>
      </c>
      <c r="E26093">
        <v>11.370314842578701</v>
      </c>
    </row>
    <row r="26094" spans="1:5">
      <c r="A26094" t="s">
        <v>30367</v>
      </c>
      <c r="B26094" t="s">
        <v>30368</v>
      </c>
      <c r="C26094">
        <v>6.6333429075300002E-2</v>
      </c>
      <c r="D26094">
        <v>0.995511987115</v>
      </c>
      <c r="E26094">
        <v>24</v>
      </c>
    </row>
    <row r="26095" spans="1:5">
      <c r="A26095" t="s">
        <v>30369</v>
      </c>
      <c r="B26095" t="s">
        <v>30370</v>
      </c>
      <c r="C26095">
        <f>0.0335716608418</f>
        <v>3.3571660841800001E-2</v>
      </c>
      <c r="D26095">
        <v>0.80446266733899996</v>
      </c>
      <c r="E26095">
        <v>24</v>
      </c>
    </row>
    <row r="26096" spans="1:5">
      <c r="A26096" t="s">
        <v>30371</v>
      </c>
      <c r="B26096" t="s">
        <v>30372</v>
      </c>
      <c r="C26096">
        <v>0</v>
      </c>
      <c r="D26096" t="s">
        <v>106</v>
      </c>
      <c r="E26096">
        <v>21.181409295352299</v>
      </c>
    </row>
    <row r="26097" spans="1:5">
      <c r="A26097" t="s">
        <v>30371</v>
      </c>
      <c r="B26097" t="s">
        <v>30373</v>
      </c>
      <c r="C26097">
        <v>0</v>
      </c>
      <c r="D26097" t="s">
        <v>106</v>
      </c>
      <c r="E26097">
        <v>21.181409295352299</v>
      </c>
    </row>
    <row r="26098" spans="1:5">
      <c r="A26098" t="s">
        <v>30371</v>
      </c>
      <c r="B26098" t="s">
        <v>30374</v>
      </c>
      <c r="C26098">
        <v>0</v>
      </c>
      <c r="D26098" t="s">
        <v>106</v>
      </c>
      <c r="E26098">
        <v>21.181409295352299</v>
      </c>
    </row>
    <row r="26099" spans="1:5">
      <c r="A26099" t="s">
        <v>30371</v>
      </c>
      <c r="B26099" t="s">
        <v>30375</v>
      </c>
      <c r="C26099">
        <f>0</f>
        <v>0</v>
      </c>
      <c r="D26099" t="s">
        <v>106</v>
      </c>
      <c r="E26099">
        <v>21.181409295352299</v>
      </c>
    </row>
    <row r="26100" spans="1:5">
      <c r="A26100" t="s">
        <v>30371</v>
      </c>
      <c r="B26100" t="s">
        <v>30376</v>
      </c>
      <c r="C26100">
        <v>0</v>
      </c>
      <c r="D26100" t="s">
        <v>106</v>
      </c>
      <c r="E26100">
        <v>21.181409295352299</v>
      </c>
    </row>
    <row r="26101" spans="1:5">
      <c r="A26101" t="s">
        <v>30371</v>
      </c>
      <c r="B26101" t="s">
        <v>30377</v>
      </c>
      <c r="C26101">
        <v>0</v>
      </c>
      <c r="D26101" t="s">
        <v>106</v>
      </c>
      <c r="E26101">
        <v>21.181409295352299</v>
      </c>
    </row>
    <row r="26102" spans="1:5">
      <c r="A26102" t="s">
        <v>30371</v>
      </c>
      <c r="B26102" t="s">
        <v>30378</v>
      </c>
      <c r="C26102">
        <v>0</v>
      </c>
      <c r="D26102" t="s">
        <v>106</v>
      </c>
      <c r="E26102">
        <v>21.181409295352299</v>
      </c>
    </row>
    <row r="26103" spans="1:5">
      <c r="A26103" t="s">
        <v>30371</v>
      </c>
      <c r="B26103" t="s">
        <v>30379</v>
      </c>
      <c r="C26103">
        <v>0</v>
      </c>
      <c r="D26103" t="s">
        <v>106</v>
      </c>
      <c r="E26103">
        <v>21.181409295352299</v>
      </c>
    </row>
    <row r="26104" spans="1:5">
      <c r="A26104" t="s">
        <v>30371</v>
      </c>
      <c r="B26104" t="s">
        <v>30380</v>
      </c>
      <c r="C26104">
        <v>0</v>
      </c>
      <c r="D26104" t="s">
        <v>106</v>
      </c>
      <c r="E26104">
        <v>21.181409295352299</v>
      </c>
    </row>
    <row r="26105" spans="1:5">
      <c r="A26105" t="s">
        <v>30371</v>
      </c>
      <c r="B26105" t="s">
        <v>30381</v>
      </c>
      <c r="C26105">
        <v>0</v>
      </c>
      <c r="D26105" t="s">
        <v>106</v>
      </c>
      <c r="E26105">
        <v>21.181409295352299</v>
      </c>
    </row>
    <row r="26106" spans="1:5">
      <c r="A26106" t="s">
        <v>30371</v>
      </c>
      <c r="B26106" t="s">
        <v>30382</v>
      </c>
      <c r="C26106">
        <v>0</v>
      </c>
      <c r="D26106" t="s">
        <v>106</v>
      </c>
      <c r="E26106">
        <v>21.181409295352299</v>
      </c>
    </row>
    <row r="26107" spans="1:5">
      <c r="A26107" t="s">
        <v>30371</v>
      </c>
      <c r="B26107" t="s">
        <v>30383</v>
      </c>
      <c r="C26107">
        <v>0</v>
      </c>
      <c r="D26107" t="s">
        <v>106</v>
      </c>
      <c r="E26107">
        <v>21.181409295352299</v>
      </c>
    </row>
    <row r="26108" spans="1:5">
      <c r="A26108" t="s">
        <v>30371</v>
      </c>
      <c r="B26108" t="s">
        <v>30384</v>
      </c>
      <c r="C26108">
        <v>0</v>
      </c>
      <c r="D26108" t="s">
        <v>106</v>
      </c>
      <c r="E26108">
        <v>21.181409295352299</v>
      </c>
    </row>
    <row r="26109" spans="1:5">
      <c r="A26109" t="s">
        <v>30385</v>
      </c>
      <c r="B26109" t="s">
        <v>30386</v>
      </c>
      <c r="C26109">
        <f>0</f>
        <v>0</v>
      </c>
      <c r="D26109" t="s">
        <v>106</v>
      </c>
      <c r="E26109">
        <v>24</v>
      </c>
    </row>
    <row r="26110" spans="1:5">
      <c r="A26110" t="s">
        <v>30385</v>
      </c>
      <c r="B26110" t="s">
        <v>30387</v>
      </c>
      <c r="C26110">
        <v>0</v>
      </c>
      <c r="D26110" t="s">
        <v>106</v>
      </c>
      <c r="E26110">
        <v>24</v>
      </c>
    </row>
    <row r="26111" spans="1:5">
      <c r="A26111" t="s">
        <v>30385</v>
      </c>
      <c r="B26111" t="s">
        <v>30388</v>
      </c>
      <c r="C26111">
        <v>0.124108748491</v>
      </c>
      <c r="D26111" t="s">
        <v>106</v>
      </c>
      <c r="E26111">
        <v>24</v>
      </c>
    </row>
    <row r="26112" spans="1:5">
      <c r="A26112" t="s">
        <v>30389</v>
      </c>
      <c r="B26112" t="s">
        <v>30390</v>
      </c>
      <c r="C26112">
        <v>0</v>
      </c>
      <c r="D26112">
        <v>0.99298371485400005</v>
      </c>
      <c r="E26112">
        <v>6.0569715142428704</v>
      </c>
    </row>
    <row r="26113" spans="1:5">
      <c r="A26113" t="s">
        <v>30389</v>
      </c>
      <c r="B26113" t="s">
        <v>30391</v>
      </c>
      <c r="C26113">
        <v>0</v>
      </c>
      <c r="D26113">
        <v>0.99298371485400005</v>
      </c>
      <c r="E26113">
        <v>6.0569715142428704</v>
      </c>
    </row>
    <row r="26114" spans="1:5">
      <c r="A26114" t="s">
        <v>30389</v>
      </c>
      <c r="B26114" t="s">
        <v>30392</v>
      </c>
      <c r="C26114">
        <f>0</f>
        <v>0</v>
      </c>
      <c r="D26114">
        <v>0.99298371485400005</v>
      </c>
      <c r="E26114">
        <v>6.0569715142428704</v>
      </c>
    </row>
    <row r="26115" spans="1:5">
      <c r="A26115" t="s">
        <v>30389</v>
      </c>
      <c r="B26115" t="s">
        <v>30393</v>
      </c>
      <c r="C26115">
        <f>0</f>
        <v>0</v>
      </c>
      <c r="D26115">
        <v>0.99298371485400005</v>
      </c>
      <c r="E26115">
        <v>6.0569715142428704</v>
      </c>
    </row>
    <row r="26116" spans="1:5">
      <c r="A26116" t="s">
        <v>30389</v>
      </c>
      <c r="B26116" t="s">
        <v>30394</v>
      </c>
      <c r="C26116">
        <v>0</v>
      </c>
      <c r="D26116">
        <v>0.99298371485400005</v>
      </c>
      <c r="E26116">
        <v>6.0569715142428704</v>
      </c>
    </row>
    <row r="26117" spans="1:5">
      <c r="A26117" t="s">
        <v>30389</v>
      </c>
      <c r="B26117" t="s">
        <v>30395</v>
      </c>
      <c r="C26117">
        <v>0</v>
      </c>
      <c r="D26117">
        <v>0.99298371485400005</v>
      </c>
      <c r="E26117">
        <v>6.0569715142428704</v>
      </c>
    </row>
    <row r="26118" spans="1:5">
      <c r="A26118" t="s">
        <v>30389</v>
      </c>
      <c r="B26118" t="s">
        <v>30396</v>
      </c>
      <c r="C26118">
        <f>0</f>
        <v>0</v>
      </c>
      <c r="D26118">
        <v>0.99298371485400005</v>
      </c>
      <c r="E26118">
        <v>6.0569715142428704</v>
      </c>
    </row>
    <row r="26119" spans="1:5">
      <c r="A26119" t="s">
        <v>30397</v>
      </c>
      <c r="B26119" t="s">
        <v>30398</v>
      </c>
      <c r="C26119">
        <f>0</f>
        <v>0</v>
      </c>
      <c r="D26119">
        <v>0.80481378749700005</v>
      </c>
      <c r="E26119">
        <v>16.695652173913</v>
      </c>
    </row>
    <row r="26120" spans="1:5">
      <c r="A26120" t="s">
        <v>30397</v>
      </c>
      <c r="B26120" t="s">
        <v>30399</v>
      </c>
      <c r="C26120">
        <v>0</v>
      </c>
      <c r="D26120">
        <v>0.80481378749700005</v>
      </c>
      <c r="E26120">
        <v>16.695652173913</v>
      </c>
    </row>
    <row r="26121" spans="1:5">
      <c r="A26121" t="s">
        <v>30397</v>
      </c>
      <c r="B26121" t="s">
        <v>30400</v>
      </c>
      <c r="C26121">
        <f>0</f>
        <v>0</v>
      </c>
      <c r="D26121">
        <v>0.80481378749700005</v>
      </c>
      <c r="E26121">
        <v>16.695652173913</v>
      </c>
    </row>
    <row r="26122" spans="1:5">
      <c r="A26122" t="s">
        <v>30401</v>
      </c>
      <c r="B26122" t="s">
        <v>30402</v>
      </c>
      <c r="C26122">
        <v>0</v>
      </c>
      <c r="D26122">
        <v>0.90802428004000002</v>
      </c>
      <c r="E26122">
        <v>12.7376311844077</v>
      </c>
    </row>
    <row r="26123" spans="1:5">
      <c r="A26123" t="s">
        <v>30401</v>
      </c>
      <c r="B26123" t="s">
        <v>30403</v>
      </c>
      <c r="C26123">
        <f>0</f>
        <v>0</v>
      </c>
      <c r="D26123">
        <v>0.90802428004000002</v>
      </c>
      <c r="E26123">
        <v>12.7376311844077</v>
      </c>
    </row>
    <row r="26124" spans="1:5">
      <c r="A26124" t="s">
        <v>30401</v>
      </c>
      <c r="B26124" t="s">
        <v>30404</v>
      </c>
      <c r="C26124">
        <v>0</v>
      </c>
      <c r="D26124">
        <v>0.90802428004000002</v>
      </c>
      <c r="E26124">
        <v>12.7376311844077</v>
      </c>
    </row>
    <row r="26125" spans="1:5">
      <c r="A26125" t="s">
        <v>30401</v>
      </c>
      <c r="B26125" t="s">
        <v>30405</v>
      </c>
      <c r="C26125">
        <f>0</f>
        <v>0</v>
      </c>
      <c r="D26125">
        <v>0.90802428004000002</v>
      </c>
      <c r="E26125">
        <v>12.7376311844077</v>
      </c>
    </row>
    <row r="26126" spans="1:5">
      <c r="A26126" t="s">
        <v>30401</v>
      </c>
      <c r="B26126" t="s">
        <v>30406</v>
      </c>
      <c r="C26126">
        <f>0</f>
        <v>0</v>
      </c>
      <c r="D26126">
        <v>0.90802428004000002</v>
      </c>
      <c r="E26126">
        <v>12.7376311844077</v>
      </c>
    </row>
    <row r="26127" spans="1:5">
      <c r="A26127" t="s">
        <v>30401</v>
      </c>
      <c r="B26127" t="s">
        <v>30407</v>
      </c>
      <c r="C26127">
        <f>0</f>
        <v>0</v>
      </c>
      <c r="D26127">
        <v>0.90802428004000002</v>
      </c>
      <c r="E26127">
        <v>12.7376311844077</v>
      </c>
    </row>
    <row r="26128" spans="1:5">
      <c r="A26128" t="s">
        <v>30401</v>
      </c>
      <c r="B26128" t="s">
        <v>30408</v>
      </c>
      <c r="C26128">
        <v>0.24790646703800001</v>
      </c>
      <c r="D26128">
        <v>0.90802428004000002</v>
      </c>
      <c r="E26128">
        <v>12.7376311844077</v>
      </c>
    </row>
    <row r="26129" spans="1:5">
      <c r="A26129" t="s">
        <v>30401</v>
      </c>
      <c r="B26129" t="s">
        <v>30409</v>
      </c>
      <c r="C26129">
        <v>3.7420569675900003E-2</v>
      </c>
      <c r="D26129">
        <v>0.90802428004000002</v>
      </c>
      <c r="E26129">
        <v>12.7376311844077</v>
      </c>
    </row>
    <row r="26130" spans="1:5">
      <c r="A26130" t="s">
        <v>30410</v>
      </c>
      <c r="B26130" t="s">
        <v>30411</v>
      </c>
      <c r="C26130">
        <f>0.0794962732207</f>
        <v>7.9496273220700006E-2</v>
      </c>
      <c r="D26130">
        <v>0.97498905573000005</v>
      </c>
      <c r="E26130">
        <v>1.16341829085457</v>
      </c>
    </row>
    <row r="26131" spans="1:5">
      <c r="A26131" t="s">
        <v>30410</v>
      </c>
      <c r="B26131" t="s">
        <v>30412</v>
      </c>
      <c r="C26131">
        <v>0</v>
      </c>
      <c r="D26131">
        <v>0.97498905573000005</v>
      </c>
      <c r="E26131">
        <v>1.16341829085457</v>
      </c>
    </row>
    <row r="26132" spans="1:5">
      <c r="A26132" t="s">
        <v>30410</v>
      </c>
      <c r="B26132" t="s">
        <v>30413</v>
      </c>
      <c r="C26132">
        <v>0</v>
      </c>
      <c r="D26132">
        <v>0.97498905573000005</v>
      </c>
      <c r="E26132">
        <v>1.16341829085457</v>
      </c>
    </row>
    <row r="26133" spans="1:5">
      <c r="A26133" t="s">
        <v>30410</v>
      </c>
      <c r="B26133" t="s">
        <v>30414</v>
      </c>
      <c r="C26133">
        <v>0</v>
      </c>
      <c r="D26133">
        <v>0.97498905573000005</v>
      </c>
      <c r="E26133">
        <v>1.16341829085457</v>
      </c>
    </row>
    <row r="26134" spans="1:5">
      <c r="A26134" t="s">
        <v>30410</v>
      </c>
      <c r="B26134" t="s">
        <v>30415</v>
      </c>
      <c r="C26134">
        <f>0</f>
        <v>0</v>
      </c>
      <c r="D26134">
        <v>0.97498905573000005</v>
      </c>
      <c r="E26134">
        <v>1.16341829085457</v>
      </c>
    </row>
    <row r="26135" spans="1:5">
      <c r="A26135" t="s">
        <v>30410</v>
      </c>
      <c r="B26135" t="s">
        <v>30416</v>
      </c>
      <c r="C26135">
        <f>0</f>
        <v>0</v>
      </c>
      <c r="D26135">
        <v>0.97498905573000005</v>
      </c>
      <c r="E26135">
        <v>1.16341829085457</v>
      </c>
    </row>
    <row r="26136" spans="1:5">
      <c r="A26136" t="s">
        <v>30410</v>
      </c>
      <c r="B26136" t="s">
        <v>30417</v>
      </c>
      <c r="C26136">
        <f>0</f>
        <v>0</v>
      </c>
      <c r="D26136">
        <v>0.97498905573000005</v>
      </c>
      <c r="E26136">
        <v>1.16341829085457</v>
      </c>
    </row>
    <row r="26137" spans="1:5">
      <c r="A26137" t="s">
        <v>30410</v>
      </c>
      <c r="B26137" t="s">
        <v>30418</v>
      </c>
      <c r="C26137">
        <v>0.18503234469099999</v>
      </c>
      <c r="D26137">
        <v>0.97498905573000005</v>
      </c>
      <c r="E26137">
        <v>1.16341829085457</v>
      </c>
    </row>
    <row r="26138" spans="1:5">
      <c r="A26138" t="s">
        <v>30410</v>
      </c>
      <c r="B26138" t="s">
        <v>30419</v>
      </c>
      <c r="C26138">
        <f>0</f>
        <v>0</v>
      </c>
      <c r="D26138">
        <v>0.97498905573000005</v>
      </c>
      <c r="E26138">
        <v>1.16341829085457</v>
      </c>
    </row>
    <row r="26139" spans="1:5">
      <c r="A26139" t="s">
        <v>30410</v>
      </c>
      <c r="B26139" t="s">
        <v>30420</v>
      </c>
      <c r="C26139">
        <v>0</v>
      </c>
      <c r="D26139">
        <v>0.97498905573000005</v>
      </c>
      <c r="E26139">
        <v>1.16341829085457</v>
      </c>
    </row>
    <row r="26140" spans="1:5">
      <c r="A26140" t="s">
        <v>30410</v>
      </c>
      <c r="B26140" t="s">
        <v>30421</v>
      </c>
      <c r="C26140">
        <v>0</v>
      </c>
      <c r="D26140">
        <v>0.97498905573000005</v>
      </c>
      <c r="E26140">
        <v>1.16341829085457</v>
      </c>
    </row>
    <row r="26141" spans="1:5">
      <c r="A26141" t="s">
        <v>30422</v>
      </c>
      <c r="B26141" t="s">
        <v>30423</v>
      </c>
      <c r="C26141">
        <v>0</v>
      </c>
      <c r="D26141">
        <v>0.98935694758299997</v>
      </c>
      <c r="E26141">
        <v>9.0194902548725597</v>
      </c>
    </row>
    <row r="26142" spans="1:5">
      <c r="A26142" t="s">
        <v>30422</v>
      </c>
      <c r="B26142" t="s">
        <v>30424</v>
      </c>
      <c r="C26142">
        <v>0.50695860561499995</v>
      </c>
      <c r="D26142">
        <v>0.98935694758299997</v>
      </c>
      <c r="E26142">
        <v>9.0194902548725597</v>
      </c>
    </row>
    <row r="26143" spans="1:5">
      <c r="A26143" t="s">
        <v>30422</v>
      </c>
      <c r="B26143" t="s">
        <v>30425</v>
      </c>
      <c r="C26143">
        <f>0.232226608574</f>
        <v>0.23222660857399999</v>
      </c>
      <c r="D26143">
        <v>0.98935694758299997</v>
      </c>
      <c r="E26143">
        <v>9.0194902548725597</v>
      </c>
    </row>
    <row r="26144" spans="1:5">
      <c r="A26144" t="s">
        <v>30422</v>
      </c>
      <c r="B26144" t="s">
        <v>30426</v>
      </c>
      <c r="C26144">
        <v>0</v>
      </c>
      <c r="D26144">
        <v>0.98935694758299997</v>
      </c>
      <c r="E26144">
        <v>9.0194902548725597</v>
      </c>
    </row>
    <row r="26145" spans="1:5">
      <c r="A26145" t="s">
        <v>30427</v>
      </c>
      <c r="B26145" t="s">
        <v>30428</v>
      </c>
      <c r="C26145">
        <v>0</v>
      </c>
      <c r="D26145" t="s">
        <v>106</v>
      </c>
      <c r="E26145">
        <v>5.5772113943028403</v>
      </c>
    </row>
    <row r="26146" spans="1:5">
      <c r="A26146" t="s">
        <v>30427</v>
      </c>
      <c r="B26146" t="s">
        <v>30429</v>
      </c>
      <c r="C26146">
        <f>0</f>
        <v>0</v>
      </c>
      <c r="D26146" t="s">
        <v>106</v>
      </c>
      <c r="E26146">
        <v>5.5772113943028403</v>
      </c>
    </row>
    <row r="26147" spans="1:5">
      <c r="A26147" t="s">
        <v>30430</v>
      </c>
      <c r="B26147" t="s">
        <v>30431</v>
      </c>
      <c r="C26147">
        <f>0</f>
        <v>0</v>
      </c>
      <c r="D26147">
        <v>0.63764457987199996</v>
      </c>
      <c r="E26147">
        <v>20.965517241379299</v>
      </c>
    </row>
    <row r="26148" spans="1:5">
      <c r="A26148" t="s">
        <v>30430</v>
      </c>
      <c r="B26148" t="s">
        <v>30432</v>
      </c>
      <c r="C26148">
        <f>0</f>
        <v>0</v>
      </c>
      <c r="D26148">
        <v>0.63764457987199996</v>
      </c>
      <c r="E26148">
        <v>20.965517241379299</v>
      </c>
    </row>
    <row r="26149" spans="1:5">
      <c r="A26149" t="s">
        <v>30430</v>
      </c>
      <c r="B26149" t="s">
        <v>30433</v>
      </c>
      <c r="C26149">
        <v>0</v>
      </c>
      <c r="D26149">
        <v>0.63764457987199996</v>
      </c>
      <c r="E26149">
        <v>20.965517241379299</v>
      </c>
    </row>
    <row r="26150" spans="1:5">
      <c r="A26150" t="s">
        <v>30430</v>
      </c>
      <c r="B26150" t="s">
        <v>30434</v>
      </c>
      <c r="C26150">
        <f>0.0283917481063</f>
        <v>2.8391748106300001E-2</v>
      </c>
      <c r="D26150">
        <v>0.63764457987199996</v>
      </c>
      <c r="E26150">
        <v>20.965517241379299</v>
      </c>
    </row>
    <row r="26151" spans="1:5">
      <c r="A26151" t="s">
        <v>30435</v>
      </c>
      <c r="B26151" t="s">
        <v>30436</v>
      </c>
      <c r="C26151">
        <v>0.14386247866099999</v>
      </c>
      <c r="D26151">
        <v>0.97735999456</v>
      </c>
      <c r="E26151">
        <v>21.8770614692653</v>
      </c>
    </row>
    <row r="26152" spans="1:5">
      <c r="A26152" t="s">
        <v>30435</v>
      </c>
      <c r="B26152" t="s">
        <v>30437</v>
      </c>
      <c r="C26152">
        <f>0.0253950401391</f>
        <v>2.53950401391E-2</v>
      </c>
      <c r="D26152">
        <v>0.97735999456</v>
      </c>
      <c r="E26152">
        <v>21.8770614692653</v>
      </c>
    </row>
    <row r="26153" spans="1:5">
      <c r="A26153" t="s">
        <v>30435</v>
      </c>
      <c r="B26153" t="s">
        <v>30438</v>
      </c>
      <c r="C26153">
        <f>0</f>
        <v>0</v>
      </c>
      <c r="D26153">
        <v>0.97735999456</v>
      </c>
      <c r="E26153">
        <v>21.8770614692653</v>
      </c>
    </row>
    <row r="26154" spans="1:5">
      <c r="A26154" t="s">
        <v>30435</v>
      </c>
      <c r="B26154" t="s">
        <v>30439</v>
      </c>
      <c r="C26154">
        <v>0</v>
      </c>
      <c r="D26154">
        <v>0.97735999456</v>
      </c>
      <c r="E26154">
        <v>21.8770614692653</v>
      </c>
    </row>
    <row r="26155" spans="1:5">
      <c r="A26155" t="s">
        <v>30435</v>
      </c>
      <c r="B26155" t="s">
        <v>30440</v>
      </c>
      <c r="C26155">
        <v>0</v>
      </c>
      <c r="D26155">
        <v>0.97735999456</v>
      </c>
      <c r="E26155">
        <v>21.8770614692653</v>
      </c>
    </row>
    <row r="26156" spans="1:5">
      <c r="A26156" t="s">
        <v>30435</v>
      </c>
      <c r="B26156" t="s">
        <v>30441</v>
      </c>
      <c r="C26156">
        <f>0</f>
        <v>0</v>
      </c>
      <c r="D26156">
        <v>0.97735999456</v>
      </c>
      <c r="E26156">
        <v>21.8770614692653</v>
      </c>
    </row>
    <row r="26157" spans="1:5">
      <c r="A26157" t="s">
        <v>30442</v>
      </c>
      <c r="B26157" t="s">
        <v>30443</v>
      </c>
      <c r="C26157">
        <f>0</f>
        <v>0</v>
      </c>
      <c r="D26157">
        <v>0.84309531683500005</v>
      </c>
      <c r="E26157">
        <v>1.96701649175412</v>
      </c>
    </row>
    <row r="26158" spans="1:5">
      <c r="A26158" t="s">
        <v>30442</v>
      </c>
      <c r="B26158" t="s">
        <v>30444</v>
      </c>
      <c r="C26158">
        <f>0.0790049218298</f>
        <v>7.9004921829799998E-2</v>
      </c>
      <c r="D26158">
        <v>0.84309531683500005</v>
      </c>
      <c r="E26158">
        <v>1.96701649175412</v>
      </c>
    </row>
    <row r="26159" spans="1:5">
      <c r="A26159" t="s">
        <v>30442</v>
      </c>
      <c r="B26159" t="s">
        <v>30445</v>
      </c>
      <c r="C26159">
        <v>0</v>
      </c>
      <c r="D26159">
        <v>0.84309531683500005</v>
      </c>
      <c r="E26159">
        <v>1.96701649175412</v>
      </c>
    </row>
    <row r="26160" spans="1:5">
      <c r="A26160" t="s">
        <v>30442</v>
      </c>
      <c r="B26160" t="s">
        <v>30446</v>
      </c>
      <c r="C26160">
        <f>0</f>
        <v>0</v>
      </c>
      <c r="D26160">
        <v>0.84309531683500005</v>
      </c>
      <c r="E26160">
        <v>1.96701649175412</v>
      </c>
    </row>
    <row r="26161" spans="1:5">
      <c r="A26161" t="s">
        <v>30447</v>
      </c>
      <c r="B26161" t="s">
        <v>30448</v>
      </c>
      <c r="C26161">
        <v>0</v>
      </c>
      <c r="D26161">
        <v>0.64437022587199999</v>
      </c>
      <c r="E26161">
        <v>24</v>
      </c>
    </row>
    <row r="26162" spans="1:5">
      <c r="A26162" t="s">
        <v>30447</v>
      </c>
      <c r="B26162" t="s">
        <v>30449</v>
      </c>
      <c r="C26162">
        <v>0</v>
      </c>
      <c r="D26162">
        <v>0.64437022587199999</v>
      </c>
      <c r="E26162">
        <v>24</v>
      </c>
    </row>
    <row r="26163" spans="1:5">
      <c r="A26163" t="s">
        <v>30447</v>
      </c>
      <c r="B26163" t="s">
        <v>30450</v>
      </c>
      <c r="C26163">
        <v>0.17118151917800001</v>
      </c>
      <c r="D26163">
        <v>0.64437022587199999</v>
      </c>
      <c r="E26163">
        <v>24</v>
      </c>
    </row>
    <row r="26164" spans="1:5">
      <c r="A26164" t="s">
        <v>30447</v>
      </c>
      <c r="B26164" t="s">
        <v>30451</v>
      </c>
      <c r="C26164">
        <v>0</v>
      </c>
      <c r="D26164">
        <v>0.64437022587199999</v>
      </c>
      <c r="E26164">
        <v>24</v>
      </c>
    </row>
    <row r="26165" spans="1:5">
      <c r="A26165" t="s">
        <v>30447</v>
      </c>
      <c r="B26165" t="s">
        <v>30452</v>
      </c>
      <c r="C26165">
        <f>0</f>
        <v>0</v>
      </c>
      <c r="D26165">
        <v>0.64437022587199999</v>
      </c>
      <c r="E26165">
        <v>24</v>
      </c>
    </row>
    <row r="26166" spans="1:5">
      <c r="A26166" t="s">
        <v>30447</v>
      </c>
      <c r="B26166" t="s">
        <v>30453</v>
      </c>
      <c r="C26166">
        <v>0</v>
      </c>
      <c r="D26166">
        <v>0.64437022587199999</v>
      </c>
      <c r="E26166">
        <v>24</v>
      </c>
    </row>
    <row r="26167" spans="1:5">
      <c r="A26167" t="s">
        <v>30447</v>
      </c>
      <c r="B26167" t="s">
        <v>30454</v>
      </c>
      <c r="C26167">
        <v>0</v>
      </c>
      <c r="D26167">
        <v>0.64437022587199999</v>
      </c>
      <c r="E26167">
        <v>24</v>
      </c>
    </row>
    <row r="26168" spans="1:5">
      <c r="A26168" t="s">
        <v>30447</v>
      </c>
      <c r="B26168" t="s">
        <v>30455</v>
      </c>
      <c r="C26168">
        <v>0</v>
      </c>
      <c r="D26168">
        <v>0.64437022587199999</v>
      </c>
      <c r="E26168">
        <v>24</v>
      </c>
    </row>
    <row r="26169" spans="1:5">
      <c r="A26169" t="s">
        <v>30447</v>
      </c>
      <c r="B26169" t="s">
        <v>30456</v>
      </c>
      <c r="C26169">
        <v>0</v>
      </c>
      <c r="D26169">
        <v>0.64437022587199999</v>
      </c>
      <c r="E26169">
        <v>24</v>
      </c>
    </row>
    <row r="26170" spans="1:5">
      <c r="A26170" t="s">
        <v>30447</v>
      </c>
      <c r="B26170" t="s">
        <v>30457</v>
      </c>
      <c r="C26170">
        <v>0</v>
      </c>
      <c r="D26170">
        <v>0.64437022587199999</v>
      </c>
      <c r="E26170">
        <v>24</v>
      </c>
    </row>
    <row r="26171" spans="1:5">
      <c r="A26171" t="s">
        <v>30447</v>
      </c>
      <c r="B26171" t="s">
        <v>30458</v>
      </c>
      <c r="C26171">
        <v>0</v>
      </c>
      <c r="D26171">
        <v>0.64437022587199999</v>
      </c>
      <c r="E26171">
        <v>24</v>
      </c>
    </row>
    <row r="26172" spans="1:5">
      <c r="A26172" t="s">
        <v>30447</v>
      </c>
      <c r="B26172" t="s">
        <v>30459</v>
      </c>
      <c r="C26172">
        <v>2.2708802974900001E-2</v>
      </c>
      <c r="D26172">
        <v>0.64437022587199999</v>
      </c>
      <c r="E26172">
        <v>24</v>
      </c>
    </row>
    <row r="26173" spans="1:5">
      <c r="A26173" t="s">
        <v>30447</v>
      </c>
      <c r="B26173" t="s">
        <v>30460</v>
      </c>
      <c r="C26173">
        <v>0</v>
      </c>
      <c r="D26173">
        <v>0.64437022587199999</v>
      </c>
      <c r="E26173">
        <v>24</v>
      </c>
    </row>
    <row r="26174" spans="1:5">
      <c r="A26174" t="s">
        <v>30461</v>
      </c>
      <c r="B26174" t="s">
        <v>30462</v>
      </c>
      <c r="C26174">
        <v>4.0822710515200002E-3</v>
      </c>
      <c r="D26174">
        <v>0.99869003621399999</v>
      </c>
      <c r="E26174">
        <v>23.7481259370314</v>
      </c>
    </row>
    <row r="26175" spans="1:5">
      <c r="A26175" t="s">
        <v>30461</v>
      </c>
      <c r="B26175" t="s">
        <v>30463</v>
      </c>
      <c r="C26175">
        <f>0.0101240716701</f>
        <v>1.01240716701E-2</v>
      </c>
      <c r="D26175">
        <v>0.99869003621399999</v>
      </c>
      <c r="E26175">
        <v>23.7481259370314</v>
      </c>
    </row>
    <row r="26176" spans="1:5">
      <c r="A26176" t="s">
        <v>30461</v>
      </c>
      <c r="B26176" t="s">
        <v>30464</v>
      </c>
      <c r="C26176">
        <v>0</v>
      </c>
      <c r="D26176">
        <v>0.99869003621399999</v>
      </c>
      <c r="E26176">
        <v>23.7481259370314</v>
      </c>
    </row>
    <row r="26177" spans="1:5">
      <c r="A26177" t="s">
        <v>30461</v>
      </c>
      <c r="B26177" t="s">
        <v>30465</v>
      </c>
      <c r="C26177">
        <v>0</v>
      </c>
      <c r="D26177">
        <v>0.99869003621399999</v>
      </c>
      <c r="E26177">
        <v>23.7481259370314</v>
      </c>
    </row>
    <row r="26178" spans="1:5">
      <c r="A26178" t="s">
        <v>30461</v>
      </c>
      <c r="B26178" t="s">
        <v>30466</v>
      </c>
      <c r="C26178">
        <f>0</f>
        <v>0</v>
      </c>
      <c r="D26178">
        <v>0.99869003621399999</v>
      </c>
      <c r="E26178">
        <v>23.7481259370314</v>
      </c>
    </row>
    <row r="26179" spans="1:5">
      <c r="A26179" t="s">
        <v>30467</v>
      </c>
      <c r="B26179" t="s">
        <v>30468</v>
      </c>
      <c r="C26179">
        <v>0</v>
      </c>
      <c r="D26179" t="s">
        <v>106</v>
      </c>
      <c r="E26179">
        <v>16.491754122938499</v>
      </c>
    </row>
    <row r="26180" spans="1:5">
      <c r="A26180" t="s">
        <v>30467</v>
      </c>
      <c r="B26180" t="s">
        <v>30469</v>
      </c>
      <c r="C26180">
        <f>0</f>
        <v>0</v>
      </c>
      <c r="D26180" t="s">
        <v>106</v>
      </c>
      <c r="E26180">
        <v>16.491754122938499</v>
      </c>
    </row>
    <row r="26181" spans="1:5">
      <c r="A26181" t="s">
        <v>30467</v>
      </c>
      <c r="B26181" t="s">
        <v>30470</v>
      </c>
      <c r="C26181">
        <f>0</f>
        <v>0</v>
      </c>
      <c r="D26181" t="s">
        <v>106</v>
      </c>
      <c r="E26181">
        <v>16.491754122938499</v>
      </c>
    </row>
    <row r="26182" spans="1:5">
      <c r="A26182" t="s">
        <v>30467</v>
      </c>
      <c r="B26182" t="s">
        <v>30471</v>
      </c>
      <c r="C26182">
        <v>1.7866232984199999E-2</v>
      </c>
      <c r="D26182" t="s">
        <v>106</v>
      </c>
      <c r="E26182">
        <v>16.491754122938499</v>
      </c>
    </row>
    <row r="26183" spans="1:5">
      <c r="A26183" t="s">
        <v>30467</v>
      </c>
      <c r="B26183" t="s">
        <v>30472</v>
      </c>
      <c r="C26183">
        <v>0</v>
      </c>
      <c r="D26183" t="s">
        <v>106</v>
      </c>
      <c r="E26183">
        <v>16.491754122938499</v>
      </c>
    </row>
    <row r="26184" spans="1:5">
      <c r="A26184" t="s">
        <v>30467</v>
      </c>
      <c r="B26184" t="s">
        <v>30473</v>
      </c>
      <c r="C26184">
        <v>0</v>
      </c>
      <c r="D26184" t="s">
        <v>106</v>
      </c>
      <c r="E26184">
        <v>16.491754122938499</v>
      </c>
    </row>
    <row r="26185" spans="1:5">
      <c r="A26185" t="s">
        <v>30467</v>
      </c>
      <c r="B26185" t="s">
        <v>30474</v>
      </c>
      <c r="C26185">
        <v>0</v>
      </c>
      <c r="D26185" t="s">
        <v>106</v>
      </c>
      <c r="E26185">
        <v>16.491754122938499</v>
      </c>
    </row>
    <row r="26186" spans="1:5">
      <c r="A26186" t="s">
        <v>30467</v>
      </c>
      <c r="B26186" t="s">
        <v>30475</v>
      </c>
      <c r="C26186">
        <v>0</v>
      </c>
      <c r="D26186" t="s">
        <v>106</v>
      </c>
      <c r="E26186">
        <v>16.491754122938499</v>
      </c>
    </row>
    <row r="26187" spans="1:5">
      <c r="A26187" t="s">
        <v>30467</v>
      </c>
      <c r="B26187" t="s">
        <v>30476</v>
      </c>
      <c r="C26187">
        <f>0</f>
        <v>0</v>
      </c>
      <c r="D26187" t="s">
        <v>106</v>
      </c>
      <c r="E26187">
        <v>16.491754122938499</v>
      </c>
    </row>
    <row r="26188" spans="1:5">
      <c r="A26188" t="s">
        <v>30467</v>
      </c>
      <c r="B26188" t="s">
        <v>30477</v>
      </c>
      <c r="C26188">
        <v>0.16593408188</v>
      </c>
      <c r="D26188" t="s">
        <v>106</v>
      </c>
      <c r="E26188">
        <v>16.491754122938499</v>
      </c>
    </row>
    <row r="26189" spans="1:5">
      <c r="A26189" t="s">
        <v>30478</v>
      </c>
      <c r="B26189" t="s">
        <v>30479</v>
      </c>
      <c r="C26189">
        <v>0.241145724157</v>
      </c>
      <c r="D26189">
        <v>0.99504912305500004</v>
      </c>
      <c r="E26189">
        <v>7.5922038980509701</v>
      </c>
    </row>
    <row r="26190" spans="1:5">
      <c r="A26190" t="s">
        <v>30478</v>
      </c>
      <c r="B26190" t="s">
        <v>30480</v>
      </c>
      <c r="C26190">
        <v>0</v>
      </c>
      <c r="D26190">
        <v>0.99504912305500004</v>
      </c>
      <c r="E26190">
        <v>7.5922038980509701</v>
      </c>
    </row>
    <row r="26191" spans="1:5">
      <c r="A26191" t="s">
        <v>30478</v>
      </c>
      <c r="B26191" t="s">
        <v>30481</v>
      </c>
      <c r="C26191">
        <v>0</v>
      </c>
      <c r="D26191">
        <v>0.99504912305500004</v>
      </c>
      <c r="E26191">
        <v>7.5922038980509701</v>
      </c>
    </row>
    <row r="26192" spans="1:5">
      <c r="A26192" t="s">
        <v>30478</v>
      </c>
      <c r="B26192" t="s">
        <v>30482</v>
      </c>
      <c r="C26192">
        <v>0.19248864244800001</v>
      </c>
      <c r="D26192">
        <v>0.99504912305500004</v>
      </c>
      <c r="E26192">
        <v>7.5922038980509701</v>
      </c>
    </row>
    <row r="26193" spans="1:5">
      <c r="A26193" t="s">
        <v>30478</v>
      </c>
      <c r="B26193" t="s">
        <v>30483</v>
      </c>
      <c r="C26193">
        <v>0</v>
      </c>
      <c r="D26193">
        <v>0.99504912305500004</v>
      </c>
      <c r="E26193">
        <v>7.5922038980509701</v>
      </c>
    </row>
    <row r="26194" spans="1:5">
      <c r="A26194" t="s">
        <v>30478</v>
      </c>
      <c r="B26194" t="s">
        <v>30484</v>
      </c>
      <c r="C26194">
        <v>0</v>
      </c>
      <c r="D26194">
        <v>0.99504912305500004</v>
      </c>
      <c r="E26194">
        <v>7.5922038980509701</v>
      </c>
    </row>
    <row r="26195" spans="1:5">
      <c r="A26195" t="s">
        <v>30485</v>
      </c>
      <c r="B26195" t="s">
        <v>30486</v>
      </c>
      <c r="C26195">
        <f>0.370226199589</f>
        <v>0.37022619958899999</v>
      </c>
      <c r="D26195">
        <v>0.93045610923599997</v>
      </c>
      <c r="E26195">
        <v>3.97001499250374</v>
      </c>
    </row>
    <row r="26196" spans="1:5">
      <c r="A26196" t="s">
        <v>30485</v>
      </c>
      <c r="B26196" t="s">
        <v>30487</v>
      </c>
      <c r="C26196">
        <v>1.3460982584700001</v>
      </c>
      <c r="D26196">
        <v>0.93045610923599997</v>
      </c>
      <c r="E26196">
        <v>3.97001499250374</v>
      </c>
    </row>
    <row r="26197" spans="1:5">
      <c r="A26197" t="s">
        <v>30488</v>
      </c>
      <c r="B26197" t="s">
        <v>30489</v>
      </c>
      <c r="C26197">
        <v>0</v>
      </c>
      <c r="D26197" t="s">
        <v>106</v>
      </c>
      <c r="E26197">
        <v>12.9175412293853</v>
      </c>
    </row>
    <row r="26198" spans="1:5">
      <c r="A26198" t="s">
        <v>30488</v>
      </c>
      <c r="B26198" t="s">
        <v>30490</v>
      </c>
      <c r="C26198">
        <v>0</v>
      </c>
      <c r="D26198" t="s">
        <v>106</v>
      </c>
      <c r="E26198">
        <v>12.9175412293853</v>
      </c>
    </row>
    <row r="26199" spans="1:5">
      <c r="A26199" t="s">
        <v>30488</v>
      </c>
      <c r="B26199" t="s">
        <v>30491</v>
      </c>
      <c r="C26199">
        <v>0</v>
      </c>
      <c r="D26199" t="s">
        <v>106</v>
      </c>
      <c r="E26199">
        <v>12.9175412293853</v>
      </c>
    </row>
    <row r="26200" spans="1:5">
      <c r="A26200" t="s">
        <v>30488</v>
      </c>
      <c r="B26200" t="s">
        <v>30492</v>
      </c>
      <c r="C26200">
        <f>0</f>
        <v>0</v>
      </c>
      <c r="D26200" t="s">
        <v>106</v>
      </c>
      <c r="E26200">
        <v>12.9175412293853</v>
      </c>
    </row>
    <row r="26201" spans="1:5">
      <c r="A26201" t="s">
        <v>30488</v>
      </c>
      <c r="B26201" t="s">
        <v>30493</v>
      </c>
      <c r="C26201">
        <f>0</f>
        <v>0</v>
      </c>
      <c r="D26201" t="s">
        <v>106</v>
      </c>
      <c r="E26201">
        <v>12.9175412293853</v>
      </c>
    </row>
    <row r="26202" spans="1:5">
      <c r="A26202" t="s">
        <v>30488</v>
      </c>
      <c r="B26202" t="s">
        <v>30494</v>
      </c>
      <c r="C26202">
        <f>0</f>
        <v>0</v>
      </c>
      <c r="D26202" t="s">
        <v>106</v>
      </c>
      <c r="E26202">
        <v>12.9175412293853</v>
      </c>
    </row>
    <row r="26203" spans="1:5">
      <c r="A26203" t="s">
        <v>30495</v>
      </c>
      <c r="B26203" t="s">
        <v>30496</v>
      </c>
      <c r="C26203">
        <v>0</v>
      </c>
      <c r="D26203">
        <v>0.99086907441799998</v>
      </c>
      <c r="E26203">
        <v>5.2413793103448203</v>
      </c>
    </row>
    <row r="26204" spans="1:5">
      <c r="A26204" t="s">
        <v>30495</v>
      </c>
      <c r="B26204" t="s">
        <v>30497</v>
      </c>
      <c r="C26204">
        <f>0</f>
        <v>0</v>
      </c>
      <c r="D26204">
        <v>0.99086907441799998</v>
      </c>
      <c r="E26204">
        <v>5.2413793103448203</v>
      </c>
    </row>
    <row r="26205" spans="1:5">
      <c r="A26205" t="s">
        <v>30495</v>
      </c>
      <c r="B26205" t="s">
        <v>30498</v>
      </c>
      <c r="C26205">
        <f>0</f>
        <v>0</v>
      </c>
      <c r="D26205">
        <v>0.99086907441799998</v>
      </c>
      <c r="E26205">
        <v>5.2413793103448203</v>
      </c>
    </row>
    <row r="26206" spans="1:5">
      <c r="A26206" t="s">
        <v>30495</v>
      </c>
      <c r="B26206" t="s">
        <v>30499</v>
      </c>
      <c r="C26206">
        <f>0</f>
        <v>0</v>
      </c>
      <c r="D26206">
        <v>0.99086907441799998</v>
      </c>
      <c r="E26206">
        <v>5.2413793103448203</v>
      </c>
    </row>
    <row r="26207" spans="1:5">
      <c r="A26207" t="s">
        <v>30495</v>
      </c>
      <c r="B26207" t="s">
        <v>30500</v>
      </c>
      <c r="C26207">
        <f>0</f>
        <v>0</v>
      </c>
      <c r="D26207">
        <v>0.99086907441799998</v>
      </c>
      <c r="E26207">
        <v>5.2413793103448203</v>
      </c>
    </row>
    <row r="26208" spans="1:5">
      <c r="A26208" t="s">
        <v>30495</v>
      </c>
      <c r="B26208" t="s">
        <v>30501</v>
      </c>
      <c r="C26208">
        <f>0</f>
        <v>0</v>
      </c>
      <c r="D26208">
        <v>0.99086907441799998</v>
      </c>
      <c r="E26208">
        <v>5.2413793103448203</v>
      </c>
    </row>
    <row r="26209" spans="1:5">
      <c r="A26209" t="s">
        <v>30502</v>
      </c>
      <c r="B26209" t="s">
        <v>30503</v>
      </c>
      <c r="C26209">
        <v>0</v>
      </c>
      <c r="D26209">
        <v>0.83295892746300004</v>
      </c>
      <c r="E26209">
        <v>6.9325337331334298</v>
      </c>
    </row>
    <row r="26210" spans="1:5">
      <c r="A26210" t="s">
        <v>30504</v>
      </c>
      <c r="B26210" t="s">
        <v>30505</v>
      </c>
      <c r="C26210">
        <f>0.165131224462</f>
        <v>0.16513122446199999</v>
      </c>
      <c r="D26210">
        <v>0.97988504558400003</v>
      </c>
      <c r="E26210">
        <v>13.0854572713643</v>
      </c>
    </row>
    <row r="26211" spans="1:5">
      <c r="A26211" t="s">
        <v>30504</v>
      </c>
      <c r="B26211" t="s">
        <v>30506</v>
      </c>
      <c r="C26211">
        <f>0</f>
        <v>0</v>
      </c>
      <c r="D26211">
        <v>0.97988504558400003</v>
      </c>
      <c r="E26211">
        <v>13.0854572713643</v>
      </c>
    </row>
    <row r="26212" spans="1:5">
      <c r="A26212" t="s">
        <v>30504</v>
      </c>
      <c r="B26212" t="s">
        <v>30507</v>
      </c>
      <c r="C26212">
        <v>0</v>
      </c>
      <c r="D26212">
        <v>0.97988504558400003</v>
      </c>
      <c r="E26212">
        <v>13.0854572713643</v>
      </c>
    </row>
    <row r="26213" spans="1:5">
      <c r="A26213" t="s">
        <v>30504</v>
      </c>
      <c r="B26213" t="s">
        <v>30508</v>
      </c>
      <c r="C26213">
        <f>0</f>
        <v>0</v>
      </c>
      <c r="D26213">
        <v>0.97988504558400003</v>
      </c>
      <c r="E26213">
        <v>13.0854572713643</v>
      </c>
    </row>
    <row r="26214" spans="1:5">
      <c r="A26214" t="s">
        <v>30504</v>
      </c>
      <c r="B26214" t="s">
        <v>30509</v>
      </c>
      <c r="C26214">
        <v>0</v>
      </c>
      <c r="D26214">
        <v>0.97988504558400003</v>
      </c>
      <c r="E26214">
        <v>13.0854572713643</v>
      </c>
    </row>
    <row r="26215" spans="1:5">
      <c r="A26215" t="s">
        <v>30504</v>
      </c>
      <c r="B26215" t="s">
        <v>30510</v>
      </c>
      <c r="C26215">
        <f>0</f>
        <v>0</v>
      </c>
      <c r="D26215">
        <v>0.97988504558400003</v>
      </c>
      <c r="E26215">
        <v>13.0854572713643</v>
      </c>
    </row>
    <row r="26216" spans="1:5">
      <c r="A26216" t="s">
        <v>30504</v>
      </c>
      <c r="B26216" t="s">
        <v>30511</v>
      </c>
      <c r="C26216">
        <f>0</f>
        <v>0</v>
      </c>
      <c r="D26216">
        <v>0.97988504558400003</v>
      </c>
      <c r="E26216">
        <v>13.0854572713643</v>
      </c>
    </row>
    <row r="26217" spans="1:5">
      <c r="A26217" t="s">
        <v>30504</v>
      </c>
      <c r="B26217" t="s">
        <v>30512</v>
      </c>
      <c r="C26217">
        <v>0</v>
      </c>
      <c r="D26217">
        <v>0.97988504558400003</v>
      </c>
      <c r="E26217">
        <v>13.0854572713643</v>
      </c>
    </row>
    <row r="26218" spans="1:5">
      <c r="A26218" t="s">
        <v>30504</v>
      </c>
      <c r="B26218" t="s">
        <v>30513</v>
      </c>
      <c r="C26218">
        <v>0</v>
      </c>
      <c r="D26218">
        <v>0.97988504558400003</v>
      </c>
      <c r="E26218">
        <v>13.0854572713643</v>
      </c>
    </row>
    <row r="26219" spans="1:5">
      <c r="A26219" t="s">
        <v>30504</v>
      </c>
      <c r="B26219" t="s">
        <v>30514</v>
      </c>
      <c r="C26219">
        <v>0</v>
      </c>
      <c r="D26219">
        <v>0.97988504558400003</v>
      </c>
      <c r="E26219">
        <v>13.0854572713643</v>
      </c>
    </row>
    <row r="26220" spans="1:5">
      <c r="A26220" t="s">
        <v>30504</v>
      </c>
      <c r="B26220" t="s">
        <v>30515</v>
      </c>
      <c r="C26220">
        <v>9.7664592072799997E-2</v>
      </c>
      <c r="D26220">
        <v>0.97988504558400003</v>
      </c>
      <c r="E26220">
        <v>13.0854572713643</v>
      </c>
    </row>
    <row r="26221" spans="1:5">
      <c r="A26221" t="s">
        <v>30504</v>
      </c>
      <c r="B26221" t="s">
        <v>30516</v>
      </c>
      <c r="C26221">
        <v>0</v>
      </c>
      <c r="D26221">
        <v>0.97988504558400003</v>
      </c>
      <c r="E26221">
        <v>13.0854572713643</v>
      </c>
    </row>
    <row r="26222" spans="1:5">
      <c r="A26222" t="s">
        <v>30504</v>
      </c>
      <c r="B26222" t="s">
        <v>30517</v>
      </c>
      <c r="C26222">
        <f>0</f>
        <v>0</v>
      </c>
      <c r="D26222">
        <v>0.97988504558400003</v>
      </c>
      <c r="E26222">
        <v>13.0854572713643</v>
      </c>
    </row>
    <row r="26223" spans="1:5">
      <c r="A26223" t="s">
        <v>30504</v>
      </c>
      <c r="B26223" t="s">
        <v>30518</v>
      </c>
      <c r="C26223">
        <f>0</f>
        <v>0</v>
      </c>
      <c r="D26223">
        <v>0.97988504558400003</v>
      </c>
      <c r="E26223">
        <v>13.0854572713643</v>
      </c>
    </row>
    <row r="26224" spans="1:5">
      <c r="A26224" t="s">
        <v>30519</v>
      </c>
      <c r="B26224" t="s">
        <v>30520</v>
      </c>
      <c r="C26224">
        <v>0.54973607544500003</v>
      </c>
      <c r="D26224">
        <v>0.99709189546499999</v>
      </c>
      <c r="E26224">
        <v>5.5772113943028403</v>
      </c>
    </row>
    <row r="26225" spans="1:5">
      <c r="A26225" t="s">
        <v>30519</v>
      </c>
      <c r="B26225" t="s">
        <v>30521</v>
      </c>
      <c r="C26225">
        <v>0.24134600010900001</v>
      </c>
      <c r="D26225">
        <v>0.99709189546499999</v>
      </c>
      <c r="E26225">
        <v>5.5772113943028403</v>
      </c>
    </row>
    <row r="26226" spans="1:5">
      <c r="A26226" t="s">
        <v>30522</v>
      </c>
      <c r="B26226" t="s">
        <v>30523</v>
      </c>
      <c r="C26226">
        <v>0</v>
      </c>
      <c r="D26226">
        <v>0.98908895480799996</v>
      </c>
      <c r="E26226">
        <v>7.3283358320839502</v>
      </c>
    </row>
    <row r="26227" spans="1:5">
      <c r="A26227" t="s">
        <v>30522</v>
      </c>
      <c r="B26227" t="s">
        <v>30524</v>
      </c>
      <c r="C26227">
        <v>0.45045741746700002</v>
      </c>
      <c r="D26227">
        <v>0.98908895480799996</v>
      </c>
      <c r="E26227">
        <v>7.3283358320839502</v>
      </c>
    </row>
    <row r="26228" spans="1:5">
      <c r="A26228" t="s">
        <v>30522</v>
      </c>
      <c r="B26228" t="s">
        <v>30525</v>
      </c>
      <c r="C26228">
        <v>2.3208036175200002E-2</v>
      </c>
      <c r="D26228">
        <v>0.98908895480799996</v>
      </c>
      <c r="E26228">
        <v>7.3283358320839502</v>
      </c>
    </row>
    <row r="26229" spans="1:5">
      <c r="A26229" t="s">
        <v>30526</v>
      </c>
      <c r="B26229" t="s">
        <v>30527</v>
      </c>
      <c r="C26229">
        <v>0.43150243481099998</v>
      </c>
      <c r="D26229">
        <v>0.87014267902200004</v>
      </c>
      <c r="E26229">
        <v>8.5757121439280297</v>
      </c>
    </row>
    <row r="26230" spans="1:5">
      <c r="A26230" t="s">
        <v>30526</v>
      </c>
      <c r="B26230" t="s">
        <v>30528</v>
      </c>
      <c r="C26230">
        <f>0.159848265864</f>
        <v>0.159848265864</v>
      </c>
      <c r="D26230">
        <v>0.87014267902200004</v>
      </c>
      <c r="E26230">
        <v>8.5757121439280297</v>
      </c>
    </row>
    <row r="26231" spans="1:5">
      <c r="A26231" t="s">
        <v>30529</v>
      </c>
      <c r="B26231" t="s">
        <v>30530</v>
      </c>
      <c r="C26231">
        <v>0</v>
      </c>
      <c r="D26231">
        <v>0.84994409689299999</v>
      </c>
      <c r="E26231">
        <v>1.57121439280359</v>
      </c>
    </row>
    <row r="26232" spans="1:5">
      <c r="A26232" t="s">
        <v>30529</v>
      </c>
      <c r="B26232" t="s">
        <v>30531</v>
      </c>
      <c r="C26232">
        <f>0</f>
        <v>0</v>
      </c>
      <c r="D26232">
        <v>0.84994409689299999</v>
      </c>
      <c r="E26232">
        <v>1.57121439280359</v>
      </c>
    </row>
    <row r="26233" spans="1:5">
      <c r="A26233" t="s">
        <v>30529</v>
      </c>
      <c r="B26233" t="s">
        <v>30532</v>
      </c>
      <c r="C26233">
        <f>0</f>
        <v>0</v>
      </c>
      <c r="D26233">
        <v>0.84994409689299999</v>
      </c>
      <c r="E26233">
        <v>1.57121439280359</v>
      </c>
    </row>
    <row r="26234" spans="1:5">
      <c r="A26234" t="s">
        <v>30529</v>
      </c>
      <c r="B26234" t="s">
        <v>30533</v>
      </c>
      <c r="C26234">
        <f>0</f>
        <v>0</v>
      </c>
      <c r="D26234">
        <v>0.84994409689299999</v>
      </c>
      <c r="E26234">
        <v>1.57121439280359</v>
      </c>
    </row>
    <row r="26235" spans="1:5">
      <c r="A26235" t="s">
        <v>30529</v>
      </c>
      <c r="B26235" t="s">
        <v>30534</v>
      </c>
      <c r="C26235">
        <v>0</v>
      </c>
      <c r="D26235">
        <v>0.84994409689299999</v>
      </c>
      <c r="E26235">
        <v>1.57121439280359</v>
      </c>
    </row>
    <row r="26236" spans="1:5">
      <c r="A26236" t="s">
        <v>30529</v>
      </c>
      <c r="B26236" t="s">
        <v>30535</v>
      </c>
      <c r="C26236">
        <v>0.30352922538299998</v>
      </c>
      <c r="D26236">
        <v>0.84994409689299999</v>
      </c>
      <c r="E26236">
        <v>1.57121439280359</v>
      </c>
    </row>
    <row r="26237" spans="1:5">
      <c r="A26237" t="s">
        <v>30529</v>
      </c>
      <c r="B26237" t="s">
        <v>30536</v>
      </c>
      <c r="C26237">
        <f>0</f>
        <v>0</v>
      </c>
      <c r="D26237">
        <v>0.84994409689299999</v>
      </c>
      <c r="E26237">
        <v>1.57121439280359</v>
      </c>
    </row>
    <row r="26238" spans="1:5">
      <c r="A26238" t="s">
        <v>30537</v>
      </c>
      <c r="B26238" t="s">
        <v>30538</v>
      </c>
      <c r="C26238">
        <f>0</f>
        <v>0</v>
      </c>
      <c r="D26238" t="s">
        <v>106</v>
      </c>
      <c r="E26238">
        <v>24</v>
      </c>
    </row>
    <row r="26239" spans="1:5">
      <c r="A26239" t="s">
        <v>30537</v>
      </c>
      <c r="B26239" t="s">
        <v>30539</v>
      </c>
      <c r="C26239">
        <f>0.00626805767327</f>
        <v>6.2680576732700001E-3</v>
      </c>
      <c r="D26239" t="s">
        <v>106</v>
      </c>
      <c r="E26239">
        <v>24</v>
      </c>
    </row>
    <row r="26240" spans="1:5">
      <c r="A26240" t="s">
        <v>30537</v>
      </c>
      <c r="B26240" t="s">
        <v>30540</v>
      </c>
      <c r="C26240">
        <f>0</f>
        <v>0</v>
      </c>
      <c r="D26240" t="s">
        <v>106</v>
      </c>
      <c r="E26240">
        <v>24</v>
      </c>
    </row>
    <row r="26241" spans="1:5">
      <c r="A26241" t="s">
        <v>30537</v>
      </c>
      <c r="B26241" t="s">
        <v>30541</v>
      </c>
      <c r="C26241">
        <f>0.0011235955244</f>
        <v>1.1235955244E-3</v>
      </c>
      <c r="D26241" t="s">
        <v>106</v>
      </c>
      <c r="E26241">
        <v>24</v>
      </c>
    </row>
    <row r="26242" spans="1:5">
      <c r="A26242" t="s">
        <v>30542</v>
      </c>
      <c r="B26242" t="s">
        <v>30543</v>
      </c>
      <c r="C26242">
        <v>0.18760658542200001</v>
      </c>
      <c r="D26242">
        <v>0.90959805040899999</v>
      </c>
      <c r="E26242">
        <v>13.625187406296799</v>
      </c>
    </row>
    <row r="26243" spans="1:5">
      <c r="A26243" t="s">
        <v>30542</v>
      </c>
      <c r="B26243" t="s">
        <v>30544</v>
      </c>
      <c r="C26243">
        <v>0</v>
      </c>
      <c r="D26243">
        <v>0.90959805040899999</v>
      </c>
      <c r="E26243">
        <v>13.625187406296799</v>
      </c>
    </row>
    <row r="26244" spans="1:5">
      <c r="A26244" t="s">
        <v>30542</v>
      </c>
      <c r="B26244" t="s">
        <v>30545</v>
      </c>
      <c r="C26244">
        <f>0.030943265287</f>
        <v>3.0943265287000001E-2</v>
      </c>
      <c r="D26244">
        <v>0.90959805040899999</v>
      </c>
      <c r="E26244">
        <v>13.625187406296799</v>
      </c>
    </row>
    <row r="26245" spans="1:5">
      <c r="A26245" t="s">
        <v>30546</v>
      </c>
      <c r="B26245" t="s">
        <v>30547</v>
      </c>
      <c r="C26245">
        <v>0</v>
      </c>
      <c r="D26245" t="s">
        <v>106</v>
      </c>
      <c r="E26245">
        <v>0.77961019490254801</v>
      </c>
    </row>
    <row r="26246" spans="1:5">
      <c r="A26246" t="s">
        <v>30546</v>
      </c>
      <c r="B26246" t="s">
        <v>30548</v>
      </c>
      <c r="C26246">
        <v>0</v>
      </c>
      <c r="D26246" t="s">
        <v>106</v>
      </c>
      <c r="E26246">
        <v>0.77961019490254801</v>
      </c>
    </row>
    <row r="26247" spans="1:5">
      <c r="A26247" t="s">
        <v>30546</v>
      </c>
      <c r="B26247" t="s">
        <v>30549</v>
      </c>
      <c r="C26247">
        <v>0</v>
      </c>
      <c r="D26247" t="s">
        <v>106</v>
      </c>
      <c r="E26247">
        <v>0.77961019490254801</v>
      </c>
    </row>
    <row r="26248" spans="1:5">
      <c r="A26248" t="s">
        <v>30550</v>
      </c>
      <c r="B26248" t="s">
        <v>30551</v>
      </c>
      <c r="C26248">
        <f>0.650240938824</f>
        <v>0.65024093882400003</v>
      </c>
      <c r="D26248">
        <v>0.98874857971300001</v>
      </c>
      <c r="E26248">
        <v>3.40629685157421</v>
      </c>
    </row>
    <row r="26249" spans="1:5">
      <c r="A26249" t="s">
        <v>30550</v>
      </c>
      <c r="B26249" t="s">
        <v>30552</v>
      </c>
      <c r="C26249">
        <v>0.34588095697299998</v>
      </c>
      <c r="D26249">
        <v>0.98874857971300001</v>
      </c>
      <c r="E26249">
        <v>3.40629685157421</v>
      </c>
    </row>
    <row r="26250" spans="1:5">
      <c r="A26250" t="s">
        <v>30553</v>
      </c>
      <c r="B26250" t="s">
        <v>30554</v>
      </c>
      <c r="C26250">
        <v>0.48883114531799998</v>
      </c>
      <c r="D26250">
        <v>0.95396137878099996</v>
      </c>
      <c r="E26250">
        <v>8.8635682158920499</v>
      </c>
    </row>
    <row r="26251" spans="1:5">
      <c r="A26251" t="s">
        <v>30553</v>
      </c>
      <c r="B26251" t="s">
        <v>30555</v>
      </c>
      <c r="C26251">
        <f>0.0226486843476</f>
        <v>2.26486843476E-2</v>
      </c>
      <c r="D26251">
        <v>0.95396137878099996</v>
      </c>
      <c r="E26251">
        <v>8.8635682158920499</v>
      </c>
    </row>
    <row r="26252" spans="1:5">
      <c r="A26252" t="s">
        <v>30553</v>
      </c>
      <c r="B26252" t="s">
        <v>30556</v>
      </c>
      <c r="C26252">
        <v>0</v>
      </c>
      <c r="D26252">
        <v>0.95396137878099996</v>
      </c>
      <c r="E26252">
        <v>8.8635682158920499</v>
      </c>
    </row>
    <row r="26253" spans="1:5">
      <c r="A26253" t="s">
        <v>30553</v>
      </c>
      <c r="B26253" t="s">
        <v>30557</v>
      </c>
      <c r="C26253">
        <v>0</v>
      </c>
      <c r="D26253">
        <v>0.95396137878099996</v>
      </c>
      <c r="E26253">
        <v>8.8635682158920499</v>
      </c>
    </row>
    <row r="26254" spans="1:5">
      <c r="A26254" t="s">
        <v>30553</v>
      </c>
      <c r="B26254" t="s">
        <v>30558</v>
      </c>
      <c r="C26254">
        <f>0.0155194188792</f>
        <v>1.5519418879199999E-2</v>
      </c>
      <c r="D26254">
        <v>0.95396137878099996</v>
      </c>
      <c r="E26254">
        <v>8.8635682158920499</v>
      </c>
    </row>
    <row r="26255" spans="1:5">
      <c r="A26255" t="s">
        <v>30553</v>
      </c>
      <c r="B26255" t="s">
        <v>30559</v>
      </c>
      <c r="C26255">
        <v>0</v>
      </c>
      <c r="D26255">
        <v>0.95396137878099996</v>
      </c>
      <c r="E26255">
        <v>8.8635682158920499</v>
      </c>
    </row>
    <row r="26256" spans="1:5">
      <c r="A26256" t="s">
        <v>30560</v>
      </c>
      <c r="B26256" t="s">
        <v>30561</v>
      </c>
      <c r="C26256">
        <f>0</f>
        <v>0</v>
      </c>
      <c r="D26256">
        <v>0.82916883099500005</v>
      </c>
      <c r="E26256">
        <v>13.0854572713643</v>
      </c>
    </row>
    <row r="26257" spans="1:5">
      <c r="A26257" t="s">
        <v>30560</v>
      </c>
      <c r="B26257" t="s">
        <v>30562</v>
      </c>
      <c r="C26257">
        <f>0.0218813115909</f>
        <v>2.18813115909E-2</v>
      </c>
      <c r="D26257">
        <v>0.82916883099500005</v>
      </c>
      <c r="E26257">
        <v>13.0854572713643</v>
      </c>
    </row>
    <row r="26258" spans="1:5">
      <c r="A26258" t="s">
        <v>30560</v>
      </c>
      <c r="B26258" t="s">
        <v>30563</v>
      </c>
      <c r="C26258">
        <v>0</v>
      </c>
      <c r="D26258">
        <v>0.82916883099500005</v>
      </c>
      <c r="E26258">
        <v>13.0854572713643</v>
      </c>
    </row>
    <row r="26259" spans="1:5">
      <c r="A26259" t="s">
        <v>30560</v>
      </c>
      <c r="B26259" t="s">
        <v>30564</v>
      </c>
      <c r="C26259">
        <v>0</v>
      </c>
      <c r="D26259">
        <v>0.82916883099500005</v>
      </c>
      <c r="E26259">
        <v>13.0854572713643</v>
      </c>
    </row>
    <row r="26260" spans="1:5">
      <c r="A26260" t="s">
        <v>30560</v>
      </c>
      <c r="B26260" t="s">
        <v>30565</v>
      </c>
      <c r="C26260">
        <f>0</f>
        <v>0</v>
      </c>
      <c r="D26260">
        <v>0.82916883099500005</v>
      </c>
      <c r="E26260">
        <v>13.0854572713643</v>
      </c>
    </row>
    <row r="26261" spans="1:5">
      <c r="A26261" t="s">
        <v>30560</v>
      </c>
      <c r="B26261" t="s">
        <v>30566</v>
      </c>
      <c r="C26261">
        <f>0</f>
        <v>0</v>
      </c>
      <c r="D26261">
        <v>0.82916883099500005</v>
      </c>
      <c r="E26261">
        <v>13.0854572713643</v>
      </c>
    </row>
    <row r="26262" spans="1:5">
      <c r="A26262" t="s">
        <v>30560</v>
      </c>
      <c r="B26262" t="s">
        <v>30567</v>
      </c>
      <c r="C26262">
        <f>0</f>
        <v>0</v>
      </c>
      <c r="D26262">
        <v>0.82916883099500005</v>
      </c>
      <c r="E26262">
        <v>13.0854572713643</v>
      </c>
    </row>
    <row r="26263" spans="1:5">
      <c r="A26263" t="s">
        <v>30568</v>
      </c>
      <c r="B26263" t="s">
        <v>30569</v>
      </c>
      <c r="C26263">
        <f>0.133121748693</f>
        <v>0.133121748693</v>
      </c>
      <c r="D26263">
        <v>0.94018419307699996</v>
      </c>
      <c r="E26263">
        <v>15.904047976011899</v>
      </c>
    </row>
    <row r="26264" spans="1:5">
      <c r="A26264" t="s">
        <v>30568</v>
      </c>
      <c r="B26264" t="s">
        <v>30570</v>
      </c>
      <c r="C26264">
        <v>0</v>
      </c>
      <c r="D26264">
        <v>0.94018419307699996</v>
      </c>
      <c r="E26264">
        <v>15.904047976011899</v>
      </c>
    </row>
    <row r="26265" spans="1:5">
      <c r="A26265" t="s">
        <v>30568</v>
      </c>
      <c r="B26265" t="s">
        <v>30571</v>
      </c>
      <c r="C26265">
        <v>1.94653274419E-2</v>
      </c>
      <c r="D26265">
        <v>0.94018419307699996</v>
      </c>
      <c r="E26265">
        <v>15.904047976011899</v>
      </c>
    </row>
    <row r="26266" spans="1:5">
      <c r="A26266" t="s">
        <v>30568</v>
      </c>
      <c r="B26266" t="s">
        <v>30572</v>
      </c>
      <c r="C26266">
        <v>0</v>
      </c>
      <c r="D26266">
        <v>0.94018419307699996</v>
      </c>
      <c r="E26266">
        <v>15.904047976011899</v>
      </c>
    </row>
    <row r="26267" spans="1:5">
      <c r="A26267" t="s">
        <v>30568</v>
      </c>
      <c r="B26267" t="s">
        <v>30573</v>
      </c>
      <c r="C26267">
        <v>0</v>
      </c>
      <c r="D26267">
        <v>0.94018419307699996</v>
      </c>
      <c r="E26267">
        <v>15.904047976011899</v>
      </c>
    </row>
    <row r="26268" spans="1:5">
      <c r="A26268" t="s">
        <v>30568</v>
      </c>
      <c r="B26268" t="s">
        <v>30574</v>
      </c>
      <c r="C26268">
        <v>0</v>
      </c>
      <c r="D26268">
        <v>0.94018419307699996</v>
      </c>
      <c r="E26268">
        <v>15.904047976011899</v>
      </c>
    </row>
    <row r="26269" spans="1:5">
      <c r="A26269" t="s">
        <v>30568</v>
      </c>
      <c r="B26269" t="s">
        <v>30575</v>
      </c>
      <c r="C26269">
        <f>0</f>
        <v>0</v>
      </c>
      <c r="D26269">
        <v>0.94018419307699996</v>
      </c>
      <c r="E26269">
        <v>15.904047976011899</v>
      </c>
    </row>
    <row r="26270" spans="1:5">
      <c r="A26270" t="s">
        <v>30568</v>
      </c>
      <c r="B26270" t="s">
        <v>30576</v>
      </c>
      <c r="C26270">
        <v>0</v>
      </c>
      <c r="D26270">
        <v>0.94018419307699996</v>
      </c>
      <c r="E26270">
        <v>15.904047976011899</v>
      </c>
    </row>
    <row r="26271" spans="1:5">
      <c r="A26271" t="s">
        <v>30577</v>
      </c>
      <c r="B26271" t="s">
        <v>30578</v>
      </c>
      <c r="C26271">
        <v>0</v>
      </c>
      <c r="D26271" t="s">
        <v>106</v>
      </c>
      <c r="E26271">
        <v>7.0644677661169402</v>
      </c>
    </row>
    <row r="26272" spans="1:5">
      <c r="A26272" t="s">
        <v>30577</v>
      </c>
      <c r="B26272" t="s">
        <v>30579</v>
      </c>
      <c r="C26272">
        <v>0.51983546669699998</v>
      </c>
      <c r="D26272" t="s">
        <v>106</v>
      </c>
      <c r="E26272">
        <v>7.0644677661169402</v>
      </c>
    </row>
    <row r="26273" spans="1:5">
      <c r="A26273" t="s">
        <v>30577</v>
      </c>
      <c r="B26273" t="s">
        <v>30580</v>
      </c>
      <c r="C26273">
        <v>0</v>
      </c>
      <c r="D26273" t="s">
        <v>106</v>
      </c>
      <c r="E26273">
        <v>7.0644677661169402</v>
      </c>
    </row>
    <row r="26274" spans="1:5">
      <c r="A26274" t="s">
        <v>30577</v>
      </c>
      <c r="B26274" t="s">
        <v>30581</v>
      </c>
      <c r="C26274">
        <f>0.10898448798</f>
        <v>0.10898448798</v>
      </c>
      <c r="D26274" t="s">
        <v>106</v>
      </c>
      <c r="E26274">
        <v>7.0644677661169402</v>
      </c>
    </row>
    <row r="26275" spans="1:5">
      <c r="A26275" t="s">
        <v>30577</v>
      </c>
      <c r="B26275" t="s">
        <v>30582</v>
      </c>
      <c r="C26275">
        <v>0</v>
      </c>
      <c r="D26275" t="s">
        <v>106</v>
      </c>
      <c r="E26275">
        <v>7.0644677661169402</v>
      </c>
    </row>
    <row r="26276" spans="1:5">
      <c r="A26276" t="s">
        <v>30577</v>
      </c>
      <c r="B26276" t="s">
        <v>30583</v>
      </c>
      <c r="C26276">
        <v>0</v>
      </c>
      <c r="D26276" t="s">
        <v>106</v>
      </c>
      <c r="E26276">
        <v>7.0644677661169402</v>
      </c>
    </row>
    <row r="26277" spans="1:5">
      <c r="A26277" t="s">
        <v>30584</v>
      </c>
      <c r="B26277" t="s">
        <v>30585</v>
      </c>
      <c r="C26277">
        <f>0</f>
        <v>0</v>
      </c>
      <c r="D26277" t="s">
        <v>106</v>
      </c>
      <c r="E26277">
        <v>1.6911544227886</v>
      </c>
    </row>
    <row r="26278" spans="1:5">
      <c r="A26278" t="s">
        <v>30584</v>
      </c>
      <c r="B26278" t="s">
        <v>30586</v>
      </c>
      <c r="C26278">
        <v>0</v>
      </c>
      <c r="D26278" t="s">
        <v>106</v>
      </c>
      <c r="E26278">
        <v>1.6911544227886</v>
      </c>
    </row>
    <row r="26279" spans="1:5">
      <c r="A26279" t="s">
        <v>30584</v>
      </c>
      <c r="B26279" t="s">
        <v>30587</v>
      </c>
      <c r="C26279">
        <v>0</v>
      </c>
      <c r="D26279" t="s">
        <v>106</v>
      </c>
      <c r="E26279">
        <v>1.6911544227886</v>
      </c>
    </row>
    <row r="26280" spans="1:5">
      <c r="A26280" t="s">
        <v>30584</v>
      </c>
      <c r="B26280" t="s">
        <v>30588</v>
      </c>
      <c r="C26280">
        <v>0</v>
      </c>
      <c r="D26280" t="s">
        <v>106</v>
      </c>
      <c r="E26280">
        <v>1.6911544227886</v>
      </c>
    </row>
    <row r="26281" spans="1:5">
      <c r="A26281" t="s">
        <v>30584</v>
      </c>
      <c r="B26281" t="s">
        <v>30589</v>
      </c>
      <c r="C26281">
        <f>0</f>
        <v>0</v>
      </c>
      <c r="D26281" t="s">
        <v>106</v>
      </c>
      <c r="E26281">
        <v>1.6911544227886</v>
      </c>
    </row>
    <row r="26282" spans="1:5">
      <c r="A26282" t="s">
        <v>30584</v>
      </c>
      <c r="B26282" t="s">
        <v>30590</v>
      </c>
      <c r="C26282">
        <f>0</f>
        <v>0</v>
      </c>
      <c r="D26282" t="s">
        <v>106</v>
      </c>
      <c r="E26282">
        <v>1.6911544227886</v>
      </c>
    </row>
    <row r="26283" spans="1:5">
      <c r="A26283" t="s">
        <v>30591</v>
      </c>
      <c r="B26283" t="s">
        <v>30592</v>
      </c>
      <c r="C26283">
        <f>0</f>
        <v>0</v>
      </c>
      <c r="D26283" t="s">
        <v>106</v>
      </c>
      <c r="E26283">
        <v>1.7631184407796101</v>
      </c>
    </row>
    <row r="26284" spans="1:5">
      <c r="A26284" t="s">
        <v>30591</v>
      </c>
      <c r="B26284" t="s">
        <v>30593</v>
      </c>
      <c r="C26284">
        <f>0</f>
        <v>0</v>
      </c>
      <c r="D26284" t="s">
        <v>106</v>
      </c>
      <c r="E26284">
        <v>1.7631184407796101</v>
      </c>
    </row>
    <row r="26285" spans="1:5">
      <c r="A26285" t="s">
        <v>30591</v>
      </c>
      <c r="B26285" t="s">
        <v>30594</v>
      </c>
      <c r="C26285">
        <v>0</v>
      </c>
      <c r="D26285" t="s">
        <v>106</v>
      </c>
      <c r="E26285">
        <v>1.7631184407796101</v>
      </c>
    </row>
    <row r="26286" spans="1:5">
      <c r="A26286" t="s">
        <v>30591</v>
      </c>
      <c r="B26286" t="s">
        <v>30595</v>
      </c>
      <c r="C26286">
        <v>0</v>
      </c>
      <c r="D26286" t="s">
        <v>106</v>
      </c>
      <c r="E26286">
        <v>1.7631184407796101</v>
      </c>
    </row>
    <row r="26287" spans="1:5">
      <c r="A26287" t="s">
        <v>30591</v>
      </c>
      <c r="B26287" t="s">
        <v>30596</v>
      </c>
      <c r="C26287">
        <f>0</f>
        <v>0</v>
      </c>
      <c r="D26287" t="s">
        <v>106</v>
      </c>
      <c r="E26287">
        <v>1.7631184407796101</v>
      </c>
    </row>
    <row r="26288" spans="1:5">
      <c r="A26288" t="s">
        <v>30591</v>
      </c>
      <c r="B26288" t="s">
        <v>30597</v>
      </c>
      <c r="C26288">
        <f>0</f>
        <v>0</v>
      </c>
      <c r="D26288" t="s">
        <v>106</v>
      </c>
      <c r="E26288">
        <v>1.7631184407796101</v>
      </c>
    </row>
    <row r="26289" spans="1:5">
      <c r="A26289" t="s">
        <v>30591</v>
      </c>
      <c r="B26289" t="s">
        <v>30598</v>
      </c>
      <c r="C26289">
        <v>0</v>
      </c>
      <c r="D26289" t="s">
        <v>106</v>
      </c>
      <c r="E26289">
        <v>1.7631184407796101</v>
      </c>
    </row>
    <row r="26290" spans="1:5">
      <c r="A26290" t="s">
        <v>30599</v>
      </c>
      <c r="B26290" t="s">
        <v>30600</v>
      </c>
      <c r="C26290">
        <v>0</v>
      </c>
      <c r="D26290" t="s">
        <v>106</v>
      </c>
      <c r="E26290">
        <v>9.0194902548725597</v>
      </c>
    </row>
    <row r="26291" spans="1:5">
      <c r="A26291" t="s">
        <v>30599</v>
      </c>
      <c r="B26291" t="s">
        <v>30601</v>
      </c>
      <c r="C26291">
        <v>0</v>
      </c>
      <c r="D26291" t="s">
        <v>106</v>
      </c>
      <c r="E26291">
        <v>9.0194902548725597</v>
      </c>
    </row>
    <row r="26292" spans="1:5">
      <c r="A26292" t="s">
        <v>30599</v>
      </c>
      <c r="B26292" t="s">
        <v>30602</v>
      </c>
      <c r="C26292">
        <f>0</f>
        <v>0</v>
      </c>
      <c r="D26292" t="s">
        <v>106</v>
      </c>
      <c r="E26292">
        <v>9.0194902548725597</v>
      </c>
    </row>
    <row r="26293" spans="1:5">
      <c r="A26293" t="s">
        <v>30599</v>
      </c>
      <c r="B26293" t="s">
        <v>30603</v>
      </c>
      <c r="C26293">
        <f>0</f>
        <v>0</v>
      </c>
      <c r="D26293" t="s">
        <v>106</v>
      </c>
      <c r="E26293">
        <v>9.0194902548725597</v>
      </c>
    </row>
    <row r="26294" spans="1:5">
      <c r="A26294" t="s">
        <v>30599</v>
      </c>
      <c r="B26294" t="s">
        <v>30604</v>
      </c>
      <c r="C26294">
        <v>0</v>
      </c>
      <c r="D26294" t="s">
        <v>106</v>
      </c>
      <c r="E26294">
        <v>9.0194902548725597</v>
      </c>
    </row>
    <row r="26295" spans="1:5">
      <c r="A26295" t="s">
        <v>30605</v>
      </c>
      <c r="B26295" t="s">
        <v>30606</v>
      </c>
      <c r="C26295">
        <f>0.00619163929189</f>
        <v>6.1916392918899997E-3</v>
      </c>
      <c r="D26295" t="s">
        <v>106</v>
      </c>
      <c r="E26295">
        <v>24</v>
      </c>
    </row>
    <row r="26296" spans="1:5">
      <c r="A26296" t="s">
        <v>30605</v>
      </c>
      <c r="B26296" t="s">
        <v>30607</v>
      </c>
      <c r="C26296">
        <v>0</v>
      </c>
      <c r="D26296" t="s">
        <v>106</v>
      </c>
      <c r="E26296">
        <v>24</v>
      </c>
    </row>
    <row r="26297" spans="1:5">
      <c r="A26297" t="s">
        <v>30608</v>
      </c>
      <c r="B26297" t="s">
        <v>30609</v>
      </c>
      <c r="C26297">
        <v>0</v>
      </c>
      <c r="D26297">
        <v>0.86005059964800001</v>
      </c>
      <c r="E26297">
        <v>24</v>
      </c>
    </row>
    <row r="26298" spans="1:5">
      <c r="A26298" t="s">
        <v>30608</v>
      </c>
      <c r="B26298" t="s">
        <v>30610</v>
      </c>
      <c r="C26298">
        <f>0</f>
        <v>0</v>
      </c>
      <c r="D26298">
        <v>0.86005059964800001</v>
      </c>
      <c r="E26298">
        <v>24</v>
      </c>
    </row>
    <row r="26299" spans="1:5">
      <c r="A26299" t="s">
        <v>30608</v>
      </c>
      <c r="B26299" t="s">
        <v>30611</v>
      </c>
      <c r="C26299">
        <v>0</v>
      </c>
      <c r="D26299">
        <v>0.86005059964800001</v>
      </c>
      <c r="E26299">
        <v>24</v>
      </c>
    </row>
    <row r="26300" spans="1:5">
      <c r="A26300" t="s">
        <v>30608</v>
      </c>
      <c r="B26300" t="s">
        <v>30612</v>
      </c>
      <c r="C26300">
        <v>0</v>
      </c>
      <c r="D26300">
        <v>0.86005059964800001</v>
      </c>
      <c r="E26300">
        <v>24</v>
      </c>
    </row>
    <row r="26301" spans="1:5">
      <c r="A26301" t="s">
        <v>30608</v>
      </c>
      <c r="B26301" t="s">
        <v>30613</v>
      </c>
      <c r="C26301">
        <v>0</v>
      </c>
      <c r="D26301">
        <v>0.86005059964800001</v>
      </c>
      <c r="E26301">
        <v>24</v>
      </c>
    </row>
    <row r="26302" spans="1:5">
      <c r="A26302" t="s">
        <v>30608</v>
      </c>
      <c r="B26302" t="s">
        <v>30614</v>
      </c>
      <c r="C26302">
        <v>0</v>
      </c>
      <c r="D26302">
        <v>0.86005059964800001</v>
      </c>
      <c r="E26302">
        <v>24</v>
      </c>
    </row>
    <row r="26303" spans="1:5">
      <c r="A26303" t="s">
        <v>30608</v>
      </c>
      <c r="B26303" t="s">
        <v>30615</v>
      </c>
      <c r="C26303">
        <f>0</f>
        <v>0</v>
      </c>
      <c r="D26303">
        <v>0.86005059964800001</v>
      </c>
      <c r="E26303">
        <v>24</v>
      </c>
    </row>
    <row r="26304" spans="1:5">
      <c r="A26304" t="s">
        <v>30608</v>
      </c>
      <c r="B26304" t="s">
        <v>30616</v>
      </c>
      <c r="C26304">
        <f>0</f>
        <v>0</v>
      </c>
      <c r="D26304">
        <v>0.86005059964800001</v>
      </c>
      <c r="E26304">
        <v>24</v>
      </c>
    </row>
    <row r="26305" spans="1:5">
      <c r="A26305" t="s">
        <v>30608</v>
      </c>
      <c r="B26305" t="s">
        <v>30617</v>
      </c>
      <c r="C26305">
        <v>0</v>
      </c>
      <c r="D26305">
        <v>0.86005059964800001</v>
      </c>
      <c r="E26305">
        <v>24</v>
      </c>
    </row>
    <row r="26306" spans="1:5">
      <c r="A26306" t="s">
        <v>30608</v>
      </c>
      <c r="B26306" t="s">
        <v>30618</v>
      </c>
      <c r="C26306">
        <v>0</v>
      </c>
      <c r="D26306">
        <v>0.86005059964800001</v>
      </c>
      <c r="E26306">
        <v>24</v>
      </c>
    </row>
    <row r="26307" spans="1:5">
      <c r="A26307" t="s">
        <v>30608</v>
      </c>
      <c r="B26307" t="s">
        <v>30619</v>
      </c>
      <c r="C26307">
        <v>0</v>
      </c>
      <c r="D26307">
        <v>0.86005059964800001</v>
      </c>
      <c r="E26307">
        <v>24</v>
      </c>
    </row>
    <row r="26308" spans="1:5">
      <c r="A26308" t="s">
        <v>30608</v>
      </c>
      <c r="B26308" t="s">
        <v>30620</v>
      </c>
      <c r="C26308">
        <f>0.110839158089</f>
        <v>0.11083915808899999</v>
      </c>
      <c r="D26308">
        <v>0.86005059964800001</v>
      </c>
      <c r="E26308">
        <v>24</v>
      </c>
    </row>
    <row r="26309" spans="1:5">
      <c r="A26309" t="s">
        <v>30608</v>
      </c>
      <c r="B26309" t="s">
        <v>30621</v>
      </c>
      <c r="C26309">
        <v>0</v>
      </c>
      <c r="D26309">
        <v>0.86005059964800001</v>
      </c>
      <c r="E26309">
        <v>24</v>
      </c>
    </row>
    <row r="26310" spans="1:5">
      <c r="A26310" t="s">
        <v>30608</v>
      </c>
      <c r="B26310" t="s">
        <v>30622</v>
      </c>
      <c r="C26310">
        <f>0</f>
        <v>0</v>
      </c>
      <c r="D26310">
        <v>0.86005059964800001</v>
      </c>
      <c r="E26310">
        <v>24</v>
      </c>
    </row>
    <row r="26311" spans="1:5">
      <c r="A26311" t="s">
        <v>30608</v>
      </c>
      <c r="B26311" t="s">
        <v>30623</v>
      </c>
      <c r="C26311">
        <v>0</v>
      </c>
      <c r="D26311">
        <v>0.86005059964800001</v>
      </c>
      <c r="E26311">
        <v>24</v>
      </c>
    </row>
    <row r="26312" spans="1:5">
      <c r="A26312" t="s">
        <v>30608</v>
      </c>
      <c r="B26312" t="s">
        <v>30624</v>
      </c>
      <c r="C26312">
        <f>0</f>
        <v>0</v>
      </c>
      <c r="D26312">
        <v>0.86005059964800001</v>
      </c>
      <c r="E26312">
        <v>24</v>
      </c>
    </row>
    <row r="26313" spans="1:5">
      <c r="A26313" t="s">
        <v>30608</v>
      </c>
      <c r="B26313" t="s">
        <v>30625</v>
      </c>
      <c r="C26313">
        <f>0</f>
        <v>0</v>
      </c>
      <c r="D26313">
        <v>0.86005059964800001</v>
      </c>
      <c r="E26313">
        <v>24</v>
      </c>
    </row>
    <row r="26314" spans="1:5">
      <c r="A26314" t="s">
        <v>30608</v>
      </c>
      <c r="B26314" t="s">
        <v>30626</v>
      </c>
      <c r="C26314">
        <v>0</v>
      </c>
      <c r="D26314">
        <v>0.86005059964800001</v>
      </c>
      <c r="E26314">
        <v>24</v>
      </c>
    </row>
    <row r="26315" spans="1:5">
      <c r="A26315" t="s">
        <v>30608</v>
      </c>
      <c r="B26315" t="s">
        <v>30627</v>
      </c>
      <c r="C26315">
        <v>0</v>
      </c>
      <c r="D26315">
        <v>0.86005059964800001</v>
      </c>
      <c r="E26315">
        <v>24</v>
      </c>
    </row>
    <row r="26316" spans="1:5">
      <c r="A26316" t="s">
        <v>30608</v>
      </c>
      <c r="B26316" t="s">
        <v>30628</v>
      </c>
      <c r="C26316">
        <v>5.6706671142999999E-3</v>
      </c>
      <c r="D26316">
        <v>0.86005059964800001</v>
      </c>
      <c r="E26316">
        <v>24</v>
      </c>
    </row>
    <row r="26317" spans="1:5">
      <c r="A26317" t="s">
        <v>30608</v>
      </c>
      <c r="B26317" t="s">
        <v>30629</v>
      </c>
      <c r="C26317">
        <v>0</v>
      </c>
      <c r="D26317">
        <v>0.86005059964800001</v>
      </c>
      <c r="E26317">
        <v>24</v>
      </c>
    </row>
    <row r="26318" spans="1:5">
      <c r="A26318" t="s">
        <v>30630</v>
      </c>
      <c r="B26318" t="s">
        <v>30631</v>
      </c>
      <c r="C26318">
        <v>0</v>
      </c>
      <c r="D26318" t="s">
        <v>106</v>
      </c>
      <c r="E26318">
        <v>24</v>
      </c>
    </row>
    <row r="26319" spans="1:5">
      <c r="A26319" t="s">
        <v>30630</v>
      </c>
      <c r="B26319" t="s">
        <v>30632</v>
      </c>
      <c r="C26319">
        <v>0</v>
      </c>
      <c r="D26319" t="s">
        <v>106</v>
      </c>
      <c r="E26319">
        <v>24</v>
      </c>
    </row>
    <row r="26320" spans="1:5">
      <c r="A26320" t="s">
        <v>30630</v>
      </c>
      <c r="B26320" t="s">
        <v>30633</v>
      </c>
      <c r="C26320">
        <v>0</v>
      </c>
      <c r="D26320" t="s">
        <v>106</v>
      </c>
      <c r="E26320">
        <v>24</v>
      </c>
    </row>
    <row r="26321" spans="1:5">
      <c r="A26321" t="s">
        <v>30630</v>
      </c>
      <c r="B26321" t="s">
        <v>30634</v>
      </c>
      <c r="C26321">
        <v>0</v>
      </c>
      <c r="D26321" t="s">
        <v>106</v>
      </c>
      <c r="E26321">
        <v>24</v>
      </c>
    </row>
    <row r="26322" spans="1:5">
      <c r="A26322" t="s">
        <v>30635</v>
      </c>
      <c r="B26322" t="s">
        <v>30636</v>
      </c>
      <c r="C26322">
        <v>0</v>
      </c>
      <c r="D26322">
        <v>0.73237940631700005</v>
      </c>
      <c r="E26322">
        <v>1.8230884557721101</v>
      </c>
    </row>
    <row r="26323" spans="1:5">
      <c r="A26323" t="s">
        <v>30635</v>
      </c>
      <c r="B26323" t="s">
        <v>30637</v>
      </c>
      <c r="C26323">
        <v>0</v>
      </c>
      <c r="D26323">
        <v>0.73237940631700005</v>
      </c>
      <c r="E26323">
        <v>1.8230884557721101</v>
      </c>
    </row>
    <row r="26324" spans="1:5">
      <c r="A26324" t="s">
        <v>30635</v>
      </c>
      <c r="B26324" t="s">
        <v>30638</v>
      </c>
      <c r="C26324">
        <v>6.3003089719200003E-2</v>
      </c>
      <c r="D26324">
        <v>0.73237940631700005</v>
      </c>
      <c r="E26324">
        <v>1.8230884557721101</v>
      </c>
    </row>
    <row r="26325" spans="1:5">
      <c r="A26325" t="s">
        <v>30635</v>
      </c>
      <c r="B26325" t="s">
        <v>30639</v>
      </c>
      <c r="C26325">
        <v>0</v>
      </c>
      <c r="D26325">
        <v>0.73237940631700005</v>
      </c>
      <c r="E26325">
        <v>1.8230884557721101</v>
      </c>
    </row>
    <row r="26326" spans="1:5">
      <c r="A26326" t="s">
        <v>30635</v>
      </c>
      <c r="B26326" t="s">
        <v>30640</v>
      </c>
      <c r="C26326">
        <v>0</v>
      </c>
      <c r="D26326">
        <v>0.73237940631700005</v>
      </c>
      <c r="E26326">
        <v>1.8230884557721101</v>
      </c>
    </row>
    <row r="26327" spans="1:5">
      <c r="A26327" t="s">
        <v>30641</v>
      </c>
      <c r="B26327" t="s">
        <v>30642</v>
      </c>
      <c r="C26327">
        <v>0</v>
      </c>
      <c r="D26327" t="s">
        <v>106</v>
      </c>
      <c r="E26327">
        <v>1.96701649175412</v>
      </c>
    </row>
    <row r="26328" spans="1:5">
      <c r="A26328" t="s">
        <v>30641</v>
      </c>
      <c r="B26328" t="s">
        <v>30643</v>
      </c>
      <c r="C26328">
        <f>0</f>
        <v>0</v>
      </c>
      <c r="D26328" t="s">
        <v>106</v>
      </c>
      <c r="E26328">
        <v>1.96701649175412</v>
      </c>
    </row>
    <row r="26329" spans="1:5">
      <c r="A26329" t="s">
        <v>30641</v>
      </c>
      <c r="B26329" t="s">
        <v>30644</v>
      </c>
      <c r="C26329">
        <f>0</f>
        <v>0</v>
      </c>
      <c r="D26329" t="s">
        <v>106</v>
      </c>
      <c r="E26329">
        <v>1.96701649175412</v>
      </c>
    </row>
    <row r="26330" spans="1:5">
      <c r="A26330" t="s">
        <v>30641</v>
      </c>
      <c r="B26330" t="s">
        <v>30645</v>
      </c>
      <c r="C26330">
        <v>0</v>
      </c>
      <c r="D26330" t="s">
        <v>106</v>
      </c>
      <c r="E26330">
        <v>1.96701649175412</v>
      </c>
    </row>
    <row r="26331" spans="1:5">
      <c r="A26331" t="s">
        <v>30641</v>
      </c>
      <c r="B26331" t="s">
        <v>30646</v>
      </c>
      <c r="C26331">
        <v>0</v>
      </c>
      <c r="D26331" t="s">
        <v>106</v>
      </c>
      <c r="E26331">
        <v>1.96701649175412</v>
      </c>
    </row>
    <row r="26332" spans="1:5">
      <c r="A26332" t="s">
        <v>30641</v>
      </c>
      <c r="B26332" t="s">
        <v>30647</v>
      </c>
      <c r="C26332">
        <f>0</f>
        <v>0</v>
      </c>
      <c r="D26332" t="s">
        <v>106</v>
      </c>
      <c r="E26332">
        <v>1.96701649175412</v>
      </c>
    </row>
    <row r="26333" spans="1:5">
      <c r="A26333" t="s">
        <v>30641</v>
      </c>
      <c r="B26333" t="s">
        <v>30648</v>
      </c>
      <c r="C26333">
        <f>0</f>
        <v>0</v>
      </c>
      <c r="D26333" t="s">
        <v>106</v>
      </c>
      <c r="E26333">
        <v>1.96701649175412</v>
      </c>
    </row>
    <row r="26334" spans="1:5">
      <c r="A26334" t="s">
        <v>30641</v>
      </c>
      <c r="B26334" t="s">
        <v>30649</v>
      </c>
      <c r="C26334">
        <v>0</v>
      </c>
      <c r="D26334" t="s">
        <v>106</v>
      </c>
      <c r="E26334">
        <v>1.96701649175412</v>
      </c>
    </row>
    <row r="26335" spans="1:5">
      <c r="A26335" t="s">
        <v>30641</v>
      </c>
      <c r="B26335" t="s">
        <v>30650</v>
      </c>
      <c r="C26335">
        <f>0</f>
        <v>0</v>
      </c>
      <c r="D26335" t="s">
        <v>106</v>
      </c>
      <c r="E26335">
        <v>1.96701649175412</v>
      </c>
    </row>
    <row r="26336" spans="1:5">
      <c r="A26336" t="s">
        <v>30641</v>
      </c>
      <c r="B26336" t="s">
        <v>30651</v>
      </c>
      <c r="C26336">
        <v>0</v>
      </c>
      <c r="D26336" t="s">
        <v>106</v>
      </c>
      <c r="E26336">
        <v>1.96701649175412</v>
      </c>
    </row>
    <row r="26337" spans="1:5">
      <c r="A26337" t="s">
        <v>30641</v>
      </c>
      <c r="B26337" t="s">
        <v>30652</v>
      </c>
      <c r="C26337">
        <v>0</v>
      </c>
      <c r="D26337" t="s">
        <v>106</v>
      </c>
      <c r="E26337">
        <v>1.96701649175412</v>
      </c>
    </row>
    <row r="26338" spans="1:5">
      <c r="A26338" t="s">
        <v>30641</v>
      </c>
      <c r="B26338" t="s">
        <v>30653</v>
      </c>
      <c r="C26338">
        <v>0</v>
      </c>
      <c r="D26338" t="s">
        <v>106</v>
      </c>
      <c r="E26338">
        <v>1.96701649175412</v>
      </c>
    </row>
    <row r="26339" spans="1:5">
      <c r="A26339" t="s">
        <v>30641</v>
      </c>
      <c r="B26339" t="s">
        <v>30654</v>
      </c>
      <c r="C26339">
        <f>0</f>
        <v>0</v>
      </c>
      <c r="D26339" t="s">
        <v>106</v>
      </c>
      <c r="E26339">
        <v>1.96701649175412</v>
      </c>
    </row>
    <row r="26340" spans="1:5">
      <c r="A26340" t="s">
        <v>30641</v>
      </c>
      <c r="B26340" t="s">
        <v>30655</v>
      </c>
      <c r="C26340">
        <f>0</f>
        <v>0</v>
      </c>
      <c r="D26340" t="s">
        <v>106</v>
      </c>
      <c r="E26340">
        <v>1.96701649175412</v>
      </c>
    </row>
    <row r="26341" spans="1:5">
      <c r="A26341" t="s">
        <v>30641</v>
      </c>
      <c r="B26341" t="s">
        <v>30656</v>
      </c>
      <c r="C26341">
        <f>0</f>
        <v>0</v>
      </c>
      <c r="D26341" t="s">
        <v>106</v>
      </c>
      <c r="E26341">
        <v>1.96701649175412</v>
      </c>
    </row>
    <row r="26342" spans="1:5">
      <c r="A26342" t="s">
        <v>30641</v>
      </c>
      <c r="B26342" t="s">
        <v>30657</v>
      </c>
      <c r="C26342">
        <v>0</v>
      </c>
      <c r="D26342" t="s">
        <v>106</v>
      </c>
      <c r="E26342">
        <v>1.96701649175412</v>
      </c>
    </row>
    <row r="26343" spans="1:5">
      <c r="A26343" t="s">
        <v>30641</v>
      </c>
      <c r="B26343" t="s">
        <v>30658</v>
      </c>
      <c r="C26343">
        <f>0</f>
        <v>0</v>
      </c>
      <c r="D26343" t="s">
        <v>106</v>
      </c>
      <c r="E26343">
        <v>1.96701649175412</v>
      </c>
    </row>
    <row r="26344" spans="1:5">
      <c r="A26344" t="s">
        <v>30641</v>
      </c>
      <c r="B26344" t="s">
        <v>30659</v>
      </c>
      <c r="C26344">
        <f>0</f>
        <v>0</v>
      </c>
      <c r="D26344" t="s">
        <v>106</v>
      </c>
      <c r="E26344">
        <v>1.96701649175412</v>
      </c>
    </row>
    <row r="26345" spans="1:5">
      <c r="A26345" t="s">
        <v>30660</v>
      </c>
      <c r="B26345" t="s">
        <v>30661</v>
      </c>
      <c r="C26345">
        <v>0</v>
      </c>
      <c r="D26345">
        <v>0.83961902459500004</v>
      </c>
      <c r="E26345">
        <v>3.5862068965517202</v>
      </c>
    </row>
    <row r="26346" spans="1:5">
      <c r="A26346" t="s">
        <v>30660</v>
      </c>
      <c r="B26346" t="s">
        <v>30662</v>
      </c>
      <c r="C26346">
        <v>0</v>
      </c>
      <c r="D26346">
        <v>0.83961902459500004</v>
      </c>
      <c r="E26346">
        <v>3.5862068965517202</v>
      </c>
    </row>
    <row r="26347" spans="1:5">
      <c r="A26347" t="s">
        <v>30663</v>
      </c>
      <c r="B26347" t="s">
        <v>30664</v>
      </c>
      <c r="C26347">
        <v>0.43975463878100002</v>
      </c>
      <c r="D26347">
        <v>0.79101679626099997</v>
      </c>
      <c r="E26347">
        <v>8.7196401799100407</v>
      </c>
    </row>
    <row r="26348" spans="1:5">
      <c r="A26348" t="s">
        <v>30665</v>
      </c>
      <c r="B26348" t="s">
        <v>30666</v>
      </c>
      <c r="C26348">
        <v>0</v>
      </c>
      <c r="D26348">
        <v>0.968394830278</v>
      </c>
      <c r="E26348">
        <v>0.503748125937031</v>
      </c>
    </row>
    <row r="26349" spans="1:5">
      <c r="A26349" t="s">
        <v>30665</v>
      </c>
      <c r="B26349" t="s">
        <v>30667</v>
      </c>
      <c r="C26349">
        <f>0</f>
        <v>0</v>
      </c>
      <c r="D26349">
        <v>0.968394830278</v>
      </c>
      <c r="E26349">
        <v>0.503748125937031</v>
      </c>
    </row>
    <row r="26350" spans="1:5">
      <c r="A26350" t="s">
        <v>30665</v>
      </c>
      <c r="B26350" t="s">
        <v>30668</v>
      </c>
      <c r="C26350">
        <f>0.769785671365</f>
        <v>0.76978567136499998</v>
      </c>
      <c r="D26350">
        <v>0.968394830278</v>
      </c>
      <c r="E26350">
        <v>0.503748125937031</v>
      </c>
    </row>
    <row r="26351" spans="1:5">
      <c r="A26351" t="s">
        <v>30669</v>
      </c>
      <c r="B26351" t="s">
        <v>30670</v>
      </c>
      <c r="C26351">
        <v>0.13578813717499999</v>
      </c>
      <c r="D26351">
        <v>0.735026351488</v>
      </c>
      <c r="E26351">
        <v>3.8740629685157399</v>
      </c>
    </row>
    <row r="26352" spans="1:5">
      <c r="A26352" t="s">
        <v>30669</v>
      </c>
      <c r="B26352" t="s">
        <v>30671</v>
      </c>
      <c r="C26352">
        <f>0</f>
        <v>0</v>
      </c>
      <c r="D26352">
        <v>0.735026351488</v>
      </c>
      <c r="E26352">
        <v>3.8740629685157399</v>
      </c>
    </row>
    <row r="26353" spans="1:5">
      <c r="A26353" t="s">
        <v>30669</v>
      </c>
      <c r="B26353" t="s">
        <v>30672</v>
      </c>
      <c r="C26353">
        <v>0.377999610067</v>
      </c>
      <c r="D26353">
        <v>0.735026351488</v>
      </c>
      <c r="E26353">
        <v>3.8740629685157399</v>
      </c>
    </row>
    <row r="26354" spans="1:5">
      <c r="A26354" t="s">
        <v>30673</v>
      </c>
      <c r="B26354" t="s">
        <v>30674</v>
      </c>
      <c r="C26354">
        <v>0</v>
      </c>
      <c r="D26354" t="s">
        <v>106</v>
      </c>
      <c r="E26354">
        <v>6.5487256371814002</v>
      </c>
    </row>
    <row r="26355" spans="1:5">
      <c r="A26355" t="s">
        <v>30675</v>
      </c>
      <c r="B26355" t="s">
        <v>30676</v>
      </c>
      <c r="C26355">
        <v>0</v>
      </c>
      <c r="D26355">
        <v>0.99383368970099994</v>
      </c>
      <c r="E26355">
        <v>1.2713643178410701</v>
      </c>
    </row>
    <row r="26356" spans="1:5">
      <c r="A26356" t="s">
        <v>30675</v>
      </c>
      <c r="B26356" t="s">
        <v>30677</v>
      </c>
      <c r="C26356">
        <v>0</v>
      </c>
      <c r="D26356">
        <v>0.99383368970099994</v>
      </c>
      <c r="E26356">
        <v>1.2713643178410701</v>
      </c>
    </row>
    <row r="26357" spans="1:5">
      <c r="A26357" t="s">
        <v>30675</v>
      </c>
      <c r="B26357" t="s">
        <v>30678</v>
      </c>
      <c r="C26357">
        <f>0.0200497247403</f>
        <v>2.00497247403E-2</v>
      </c>
      <c r="D26357">
        <v>0.99383368970099994</v>
      </c>
      <c r="E26357">
        <v>1.2713643178410701</v>
      </c>
    </row>
    <row r="26358" spans="1:5">
      <c r="A26358" t="s">
        <v>30675</v>
      </c>
      <c r="B26358" t="s">
        <v>30679</v>
      </c>
      <c r="C26358">
        <v>0</v>
      </c>
      <c r="D26358">
        <v>0.99383368970099994</v>
      </c>
      <c r="E26358">
        <v>1.2713643178410701</v>
      </c>
    </row>
    <row r="26359" spans="1:5">
      <c r="A26359" t="s">
        <v>30675</v>
      </c>
      <c r="B26359" t="s">
        <v>30680</v>
      </c>
      <c r="C26359">
        <f>0</f>
        <v>0</v>
      </c>
      <c r="D26359">
        <v>0.99383368970099994</v>
      </c>
      <c r="E26359">
        <v>1.2713643178410701</v>
      </c>
    </row>
    <row r="26360" spans="1:5">
      <c r="A26360" t="s">
        <v>30675</v>
      </c>
      <c r="B26360" t="s">
        <v>30681</v>
      </c>
      <c r="C26360">
        <v>0.59795635550100001</v>
      </c>
      <c r="D26360">
        <v>0.99383368970099994</v>
      </c>
      <c r="E26360">
        <v>1.2713643178410701</v>
      </c>
    </row>
    <row r="26361" spans="1:5">
      <c r="A26361" t="s">
        <v>30675</v>
      </c>
      <c r="B26361" t="s">
        <v>30682</v>
      </c>
      <c r="C26361">
        <v>0</v>
      </c>
      <c r="D26361">
        <v>0.99383368970099994</v>
      </c>
      <c r="E26361">
        <v>1.2713643178410701</v>
      </c>
    </row>
    <row r="26362" spans="1:5">
      <c r="A26362" t="s">
        <v>30683</v>
      </c>
      <c r="B26362" t="s">
        <v>30684</v>
      </c>
      <c r="C26362">
        <f>0.103447842436</f>
        <v>0.103447842436</v>
      </c>
      <c r="D26362">
        <v>0.76950781852100003</v>
      </c>
      <c r="E26362">
        <v>24</v>
      </c>
    </row>
    <row r="26363" spans="1:5">
      <c r="A26363" t="s">
        <v>30683</v>
      </c>
      <c r="B26363" t="s">
        <v>30685</v>
      </c>
      <c r="C26363">
        <f>0</f>
        <v>0</v>
      </c>
      <c r="D26363">
        <v>0.76950781852100003</v>
      </c>
      <c r="E26363">
        <v>24</v>
      </c>
    </row>
    <row r="26364" spans="1:5">
      <c r="A26364" t="s">
        <v>30683</v>
      </c>
      <c r="B26364" t="s">
        <v>30686</v>
      </c>
      <c r="C26364">
        <v>0</v>
      </c>
      <c r="D26364">
        <v>0.76950781852100003</v>
      </c>
      <c r="E26364">
        <v>24</v>
      </c>
    </row>
    <row r="26365" spans="1:5">
      <c r="A26365" t="s">
        <v>30683</v>
      </c>
      <c r="B26365" t="s">
        <v>30687</v>
      </c>
      <c r="C26365">
        <f>0.0606691442457</f>
        <v>6.0669144245700003E-2</v>
      </c>
      <c r="D26365">
        <v>0.76950781852100003</v>
      </c>
      <c r="E26365">
        <v>24</v>
      </c>
    </row>
    <row r="26366" spans="1:5">
      <c r="A26366" t="s">
        <v>30683</v>
      </c>
      <c r="B26366" t="s">
        <v>30688</v>
      </c>
      <c r="C26366">
        <f>0</f>
        <v>0</v>
      </c>
      <c r="D26366">
        <v>0.76950781852100003</v>
      </c>
      <c r="E26366">
        <v>24</v>
      </c>
    </row>
    <row r="26367" spans="1:5">
      <c r="A26367" t="s">
        <v>30683</v>
      </c>
      <c r="B26367" t="s">
        <v>30689</v>
      </c>
      <c r="C26367">
        <v>0</v>
      </c>
      <c r="D26367">
        <v>0.76950781852100003</v>
      </c>
      <c r="E26367">
        <v>24</v>
      </c>
    </row>
    <row r="26368" spans="1:5">
      <c r="A26368" t="s">
        <v>30683</v>
      </c>
      <c r="B26368" t="s">
        <v>30690</v>
      </c>
      <c r="C26368">
        <v>0</v>
      </c>
      <c r="D26368">
        <v>0.76950781852100003</v>
      </c>
      <c r="E26368">
        <v>24</v>
      </c>
    </row>
    <row r="26369" spans="1:5">
      <c r="A26369" t="s">
        <v>30691</v>
      </c>
      <c r="B26369" t="s">
        <v>30692</v>
      </c>
      <c r="C26369">
        <f>0</f>
        <v>0</v>
      </c>
      <c r="D26369" t="s">
        <v>106</v>
      </c>
      <c r="E26369">
        <v>17.307346326836502</v>
      </c>
    </row>
    <row r="26370" spans="1:5">
      <c r="A26370" t="s">
        <v>30691</v>
      </c>
      <c r="B26370" t="s">
        <v>30693</v>
      </c>
      <c r="C26370">
        <f>0.0798008205238</f>
        <v>7.9800820523799998E-2</v>
      </c>
      <c r="D26370" t="s">
        <v>106</v>
      </c>
      <c r="E26370">
        <v>17.307346326836502</v>
      </c>
    </row>
    <row r="26371" spans="1:5">
      <c r="A26371" t="s">
        <v>30691</v>
      </c>
      <c r="B26371" t="s">
        <v>30694</v>
      </c>
      <c r="C26371">
        <f>0</f>
        <v>0</v>
      </c>
      <c r="D26371" t="s">
        <v>106</v>
      </c>
      <c r="E26371">
        <v>17.307346326836502</v>
      </c>
    </row>
    <row r="26372" spans="1:5">
      <c r="A26372" t="s">
        <v>30691</v>
      </c>
      <c r="B26372" t="s">
        <v>30695</v>
      </c>
      <c r="C26372">
        <v>0</v>
      </c>
      <c r="D26372" t="s">
        <v>106</v>
      </c>
      <c r="E26372">
        <v>17.307346326836502</v>
      </c>
    </row>
    <row r="26373" spans="1:5">
      <c r="A26373" t="s">
        <v>30691</v>
      </c>
      <c r="B26373" t="s">
        <v>30696</v>
      </c>
      <c r="C26373">
        <f>0</f>
        <v>0</v>
      </c>
      <c r="D26373" t="s">
        <v>106</v>
      </c>
      <c r="E26373">
        <v>17.307346326836502</v>
      </c>
    </row>
    <row r="26374" spans="1:5">
      <c r="A26374" t="s">
        <v>30691</v>
      </c>
      <c r="B26374" t="s">
        <v>30697</v>
      </c>
      <c r="C26374">
        <f>0.0818919299971</f>
        <v>8.1891929997100002E-2</v>
      </c>
      <c r="D26374" t="s">
        <v>106</v>
      </c>
      <c r="E26374">
        <v>17.307346326836502</v>
      </c>
    </row>
    <row r="26375" spans="1:5">
      <c r="A26375" t="s">
        <v>30691</v>
      </c>
      <c r="B26375" t="s">
        <v>30698</v>
      </c>
      <c r="C26375">
        <f>0</f>
        <v>0</v>
      </c>
      <c r="D26375" t="s">
        <v>106</v>
      </c>
      <c r="E26375">
        <v>17.307346326836502</v>
      </c>
    </row>
    <row r="26376" spans="1:5">
      <c r="A26376" t="s">
        <v>30691</v>
      </c>
      <c r="B26376" t="s">
        <v>30699</v>
      </c>
      <c r="C26376">
        <v>0</v>
      </c>
      <c r="D26376" t="s">
        <v>106</v>
      </c>
      <c r="E26376">
        <v>17.307346326836502</v>
      </c>
    </row>
    <row r="26377" spans="1:5">
      <c r="A26377" t="s">
        <v>30691</v>
      </c>
      <c r="B26377" t="s">
        <v>30700</v>
      </c>
      <c r="C26377">
        <f>0</f>
        <v>0</v>
      </c>
      <c r="D26377" t="s">
        <v>106</v>
      </c>
      <c r="E26377">
        <v>17.307346326836502</v>
      </c>
    </row>
    <row r="26378" spans="1:5">
      <c r="A26378" t="s">
        <v>30691</v>
      </c>
      <c r="B26378" t="s">
        <v>30701</v>
      </c>
      <c r="C26378">
        <f>0</f>
        <v>0</v>
      </c>
      <c r="D26378" t="s">
        <v>106</v>
      </c>
      <c r="E26378">
        <v>17.307346326836502</v>
      </c>
    </row>
    <row r="26379" spans="1:5">
      <c r="A26379" t="s">
        <v>30691</v>
      </c>
      <c r="B26379" t="s">
        <v>30702</v>
      </c>
      <c r="C26379">
        <f>0</f>
        <v>0</v>
      </c>
      <c r="D26379" t="s">
        <v>106</v>
      </c>
      <c r="E26379">
        <v>17.307346326836502</v>
      </c>
    </row>
    <row r="26380" spans="1:5">
      <c r="A26380" t="s">
        <v>30691</v>
      </c>
      <c r="B26380" t="s">
        <v>30703</v>
      </c>
      <c r="C26380">
        <f>0</f>
        <v>0</v>
      </c>
      <c r="D26380" t="s">
        <v>106</v>
      </c>
      <c r="E26380">
        <v>17.307346326836502</v>
      </c>
    </row>
    <row r="26381" spans="1:5">
      <c r="A26381" t="s">
        <v>30691</v>
      </c>
      <c r="B26381" t="s">
        <v>30704</v>
      </c>
      <c r="C26381">
        <v>0</v>
      </c>
      <c r="D26381" t="s">
        <v>106</v>
      </c>
      <c r="E26381">
        <v>17.307346326836502</v>
      </c>
    </row>
    <row r="26382" spans="1:5">
      <c r="A26382" t="s">
        <v>30691</v>
      </c>
      <c r="B26382" t="s">
        <v>30705</v>
      </c>
      <c r="C26382">
        <f>0</f>
        <v>0</v>
      </c>
      <c r="D26382" t="s">
        <v>106</v>
      </c>
      <c r="E26382">
        <v>17.307346326836502</v>
      </c>
    </row>
    <row r="26383" spans="1:5">
      <c r="A26383" t="s">
        <v>30706</v>
      </c>
      <c r="B26383" t="s">
        <v>30707</v>
      </c>
      <c r="C26383">
        <f>0.00387168018912</f>
        <v>3.8716801891200002E-3</v>
      </c>
      <c r="D26383">
        <v>0.95942922912799999</v>
      </c>
      <c r="E26383">
        <v>1.33133433283358</v>
      </c>
    </row>
    <row r="26384" spans="1:5">
      <c r="A26384" t="s">
        <v>30706</v>
      </c>
      <c r="B26384" t="s">
        <v>30708</v>
      </c>
      <c r="C26384">
        <f>0.452083076201</f>
        <v>0.45208307620100002</v>
      </c>
      <c r="D26384">
        <v>0.95942922912799999</v>
      </c>
      <c r="E26384">
        <v>1.33133433283358</v>
      </c>
    </row>
    <row r="26385" spans="1:5">
      <c r="A26385" t="s">
        <v>30709</v>
      </c>
      <c r="B26385" t="s">
        <v>30710</v>
      </c>
      <c r="C26385">
        <v>7.9559322271199995E-2</v>
      </c>
      <c r="D26385">
        <v>0.973952604439</v>
      </c>
      <c r="E26385">
        <v>9.6191904047975996</v>
      </c>
    </row>
    <row r="26386" spans="1:5">
      <c r="A26386" t="s">
        <v>30709</v>
      </c>
      <c r="B26386" t="s">
        <v>30711</v>
      </c>
      <c r="C26386">
        <v>0.26120751608199999</v>
      </c>
      <c r="D26386">
        <v>0.973952604439</v>
      </c>
      <c r="E26386">
        <v>9.6191904047975996</v>
      </c>
    </row>
    <row r="26387" spans="1:5">
      <c r="A26387" t="s">
        <v>30709</v>
      </c>
      <c r="B26387" t="s">
        <v>30712</v>
      </c>
      <c r="C26387">
        <v>0</v>
      </c>
      <c r="D26387">
        <v>0.973952604439</v>
      </c>
      <c r="E26387">
        <v>9.6191904047975996</v>
      </c>
    </row>
    <row r="26388" spans="1:5">
      <c r="A26388" t="s">
        <v>30713</v>
      </c>
      <c r="B26388" t="s">
        <v>30714</v>
      </c>
      <c r="C26388">
        <f>0</f>
        <v>0</v>
      </c>
      <c r="D26388">
        <v>0.77057691527500005</v>
      </c>
      <c r="E26388">
        <v>23.7481259370314</v>
      </c>
    </row>
    <row r="26389" spans="1:5">
      <c r="A26389" t="s">
        <v>30713</v>
      </c>
      <c r="B26389" t="s">
        <v>30715</v>
      </c>
      <c r="C26389">
        <f>0</f>
        <v>0</v>
      </c>
      <c r="D26389">
        <v>0.77057691527500005</v>
      </c>
      <c r="E26389">
        <v>23.7481259370314</v>
      </c>
    </row>
    <row r="26390" spans="1:5">
      <c r="A26390" t="s">
        <v>30713</v>
      </c>
      <c r="B26390" t="s">
        <v>30716</v>
      </c>
      <c r="C26390">
        <f>0.000415725447571</f>
        <v>4.1572544757099999E-4</v>
      </c>
      <c r="D26390">
        <v>0.77057691527500005</v>
      </c>
      <c r="E26390">
        <v>23.7481259370314</v>
      </c>
    </row>
    <row r="26391" spans="1:5">
      <c r="A26391" t="s">
        <v>30717</v>
      </c>
      <c r="B26391" t="s">
        <v>30718</v>
      </c>
      <c r="C26391">
        <v>0</v>
      </c>
      <c r="D26391" t="s">
        <v>106</v>
      </c>
      <c r="E26391">
        <v>24</v>
      </c>
    </row>
    <row r="26392" spans="1:5">
      <c r="A26392" t="s">
        <v>30717</v>
      </c>
      <c r="B26392" t="s">
        <v>30719</v>
      </c>
      <c r="C26392">
        <v>0</v>
      </c>
      <c r="D26392" t="s">
        <v>106</v>
      </c>
      <c r="E26392">
        <v>24</v>
      </c>
    </row>
    <row r="26393" spans="1:5">
      <c r="A26393" t="s">
        <v>30717</v>
      </c>
      <c r="B26393" t="s">
        <v>30720</v>
      </c>
      <c r="C26393">
        <v>0</v>
      </c>
      <c r="D26393" t="s">
        <v>106</v>
      </c>
      <c r="E26393">
        <v>24</v>
      </c>
    </row>
    <row r="26394" spans="1:5">
      <c r="A26394" t="s">
        <v>30717</v>
      </c>
      <c r="B26394" t="s">
        <v>30721</v>
      </c>
      <c r="C26394">
        <f>0.092764961235</f>
        <v>9.2764961234999999E-2</v>
      </c>
      <c r="D26394" t="s">
        <v>106</v>
      </c>
      <c r="E26394">
        <v>24</v>
      </c>
    </row>
    <row r="26395" spans="1:5">
      <c r="A26395" t="s">
        <v>30717</v>
      </c>
      <c r="B26395" t="s">
        <v>30722</v>
      </c>
      <c r="C26395">
        <f>0</f>
        <v>0</v>
      </c>
      <c r="D26395" t="s">
        <v>106</v>
      </c>
      <c r="E26395">
        <v>24</v>
      </c>
    </row>
    <row r="26396" spans="1:5">
      <c r="A26396" t="s">
        <v>30717</v>
      </c>
      <c r="B26396" t="s">
        <v>30723</v>
      </c>
      <c r="C26396">
        <v>0</v>
      </c>
      <c r="D26396" t="s">
        <v>106</v>
      </c>
      <c r="E26396">
        <v>24</v>
      </c>
    </row>
    <row r="26397" spans="1:5">
      <c r="A26397" t="s">
        <v>30717</v>
      </c>
      <c r="B26397" t="s">
        <v>30724</v>
      </c>
      <c r="C26397">
        <v>0</v>
      </c>
      <c r="D26397" t="s">
        <v>106</v>
      </c>
      <c r="E26397">
        <v>24</v>
      </c>
    </row>
    <row r="26398" spans="1:5">
      <c r="A26398" t="s">
        <v>30717</v>
      </c>
      <c r="B26398" t="s">
        <v>30725</v>
      </c>
      <c r="C26398">
        <v>0</v>
      </c>
      <c r="D26398" t="s">
        <v>106</v>
      </c>
      <c r="E26398">
        <v>24</v>
      </c>
    </row>
    <row r="26399" spans="1:5">
      <c r="A26399" t="s">
        <v>30717</v>
      </c>
      <c r="B26399" t="s">
        <v>30726</v>
      </c>
      <c r="C26399">
        <v>0</v>
      </c>
      <c r="D26399" t="s">
        <v>106</v>
      </c>
      <c r="E26399">
        <v>24</v>
      </c>
    </row>
    <row r="26400" spans="1:5">
      <c r="A26400" t="s">
        <v>30717</v>
      </c>
      <c r="B26400" t="s">
        <v>30727</v>
      </c>
      <c r="C26400">
        <v>5.21976237644E-2</v>
      </c>
      <c r="D26400" t="s">
        <v>106</v>
      </c>
      <c r="E26400">
        <v>24</v>
      </c>
    </row>
    <row r="26401" spans="1:5">
      <c r="A26401" t="s">
        <v>30728</v>
      </c>
      <c r="B26401" t="s">
        <v>30729</v>
      </c>
      <c r="C26401">
        <f>0</f>
        <v>0</v>
      </c>
      <c r="D26401" t="s">
        <v>106</v>
      </c>
      <c r="E26401">
        <v>2.2548725637181399</v>
      </c>
    </row>
    <row r="26402" spans="1:5">
      <c r="A26402" t="s">
        <v>30728</v>
      </c>
      <c r="B26402" t="s">
        <v>30730</v>
      </c>
      <c r="C26402">
        <v>0</v>
      </c>
      <c r="D26402" t="s">
        <v>106</v>
      </c>
      <c r="E26402">
        <v>2.2548725637181399</v>
      </c>
    </row>
    <row r="26403" spans="1:5">
      <c r="A26403" t="s">
        <v>30728</v>
      </c>
      <c r="B26403" t="s">
        <v>30731</v>
      </c>
      <c r="C26403">
        <v>6.9920443417400002E-2</v>
      </c>
      <c r="D26403" t="s">
        <v>106</v>
      </c>
      <c r="E26403">
        <v>2.2548725637181399</v>
      </c>
    </row>
    <row r="26404" spans="1:5">
      <c r="A26404" t="s">
        <v>30728</v>
      </c>
      <c r="B26404" t="s">
        <v>30732</v>
      </c>
      <c r="C26404">
        <v>0</v>
      </c>
      <c r="D26404" t="s">
        <v>106</v>
      </c>
      <c r="E26404">
        <v>2.2548725637181399</v>
      </c>
    </row>
    <row r="26405" spans="1:5">
      <c r="A26405" t="s">
        <v>30728</v>
      </c>
      <c r="B26405" t="s">
        <v>30733</v>
      </c>
      <c r="C26405">
        <f>0</f>
        <v>0</v>
      </c>
      <c r="D26405" t="s">
        <v>106</v>
      </c>
      <c r="E26405">
        <v>2.2548725637181399</v>
      </c>
    </row>
    <row r="26406" spans="1:5">
      <c r="A26406" t="s">
        <v>30734</v>
      </c>
      <c r="B26406" t="s">
        <v>30735</v>
      </c>
      <c r="C26406">
        <f>0</f>
        <v>0</v>
      </c>
      <c r="D26406" t="s">
        <v>106</v>
      </c>
      <c r="E26406">
        <v>14.740629685157399</v>
      </c>
    </row>
    <row r="26407" spans="1:5">
      <c r="A26407" t="s">
        <v>30736</v>
      </c>
      <c r="B26407" t="s">
        <v>30737</v>
      </c>
      <c r="C26407">
        <v>0</v>
      </c>
      <c r="D26407">
        <v>0.69087221914800001</v>
      </c>
      <c r="E26407">
        <v>8.8635682158920499</v>
      </c>
    </row>
    <row r="26408" spans="1:5">
      <c r="A26408" t="s">
        <v>30736</v>
      </c>
      <c r="B26408" t="s">
        <v>30738</v>
      </c>
      <c r="C26408">
        <v>0.250020051671</v>
      </c>
      <c r="D26408">
        <v>0.69087221914800001</v>
      </c>
      <c r="E26408">
        <v>8.8635682158920499</v>
      </c>
    </row>
    <row r="26409" spans="1:5">
      <c r="A26409" t="s">
        <v>30739</v>
      </c>
      <c r="B26409" t="s">
        <v>30740</v>
      </c>
      <c r="C26409">
        <f>0</f>
        <v>0</v>
      </c>
      <c r="D26409">
        <v>0.96778187887800005</v>
      </c>
      <c r="E26409">
        <v>24</v>
      </c>
    </row>
    <row r="26410" spans="1:5">
      <c r="A26410" t="s">
        <v>30739</v>
      </c>
      <c r="B26410" t="s">
        <v>30741</v>
      </c>
      <c r="C26410">
        <f>0.0839766360169</f>
        <v>8.3976636016900003E-2</v>
      </c>
      <c r="D26410">
        <v>0.96778187887800005</v>
      </c>
      <c r="E26410">
        <v>24</v>
      </c>
    </row>
    <row r="26411" spans="1:5">
      <c r="A26411" t="s">
        <v>30739</v>
      </c>
      <c r="B26411" t="s">
        <v>30742</v>
      </c>
      <c r="C26411">
        <v>9.9693198721000006E-2</v>
      </c>
      <c r="D26411">
        <v>0.96778187887800005</v>
      </c>
      <c r="E26411">
        <v>24</v>
      </c>
    </row>
    <row r="26412" spans="1:5">
      <c r="A26412" t="s">
        <v>30743</v>
      </c>
      <c r="B26412" t="s">
        <v>30744</v>
      </c>
      <c r="C26412">
        <f>0.567675167283</f>
        <v>0.56767516728300005</v>
      </c>
      <c r="D26412">
        <v>0.97605972375700001</v>
      </c>
      <c r="E26412">
        <v>6.0569715142428704</v>
      </c>
    </row>
    <row r="26413" spans="1:5">
      <c r="A26413" t="s">
        <v>30743</v>
      </c>
      <c r="B26413" t="s">
        <v>30745</v>
      </c>
      <c r="C26413">
        <v>0.23466107585400001</v>
      </c>
      <c r="D26413">
        <v>0.97605972375700001</v>
      </c>
      <c r="E26413">
        <v>6.0569715142428704</v>
      </c>
    </row>
    <row r="26414" spans="1:5">
      <c r="A26414" t="s">
        <v>30746</v>
      </c>
      <c r="B26414" t="s">
        <v>30747</v>
      </c>
      <c r="C26414">
        <v>0.12466152686</v>
      </c>
      <c r="D26414">
        <v>0.81617323912399997</v>
      </c>
      <c r="E26414">
        <v>0.65967016491754105</v>
      </c>
    </row>
    <row r="26415" spans="1:5">
      <c r="A26415" t="s">
        <v>30746</v>
      </c>
      <c r="B26415" t="s">
        <v>30748</v>
      </c>
      <c r="C26415">
        <v>0</v>
      </c>
      <c r="D26415">
        <v>0.81617323912399997</v>
      </c>
      <c r="E26415">
        <v>0.65967016491754105</v>
      </c>
    </row>
    <row r="26416" spans="1:5">
      <c r="A26416" t="s">
        <v>30746</v>
      </c>
      <c r="B26416" t="s">
        <v>30749</v>
      </c>
      <c r="C26416">
        <v>0.25913287126700002</v>
      </c>
      <c r="D26416">
        <v>0.81617323912399997</v>
      </c>
      <c r="E26416">
        <v>0.65967016491754105</v>
      </c>
    </row>
    <row r="26417" spans="1:5">
      <c r="A26417" t="s">
        <v>30750</v>
      </c>
      <c r="B26417" t="s">
        <v>30751</v>
      </c>
      <c r="C26417">
        <f>-1.15281193911</f>
        <v>-1.15281193911</v>
      </c>
      <c r="D26417">
        <v>0.99986508219400005</v>
      </c>
      <c r="E26417">
        <v>1.8230884557721101</v>
      </c>
    </row>
    <row r="26418" spans="1:5">
      <c r="A26418" t="s">
        <v>30750</v>
      </c>
      <c r="B26418" t="s">
        <v>30752</v>
      </c>
      <c r="C26418">
        <v>1.45005224861</v>
      </c>
      <c r="D26418">
        <v>0.99986508219400005</v>
      </c>
      <c r="E26418">
        <v>1.8230884557721101</v>
      </c>
    </row>
    <row r="26419" spans="1:5">
      <c r="A26419" t="s">
        <v>30753</v>
      </c>
      <c r="B26419" t="s">
        <v>30754</v>
      </c>
      <c r="C26419">
        <v>0</v>
      </c>
      <c r="D26419" t="s">
        <v>106</v>
      </c>
      <c r="E26419">
        <v>5.5772113943028403</v>
      </c>
    </row>
    <row r="26420" spans="1:5">
      <c r="A26420" t="s">
        <v>30753</v>
      </c>
      <c r="B26420" t="s">
        <v>30755</v>
      </c>
      <c r="C26420">
        <f>0</f>
        <v>0</v>
      </c>
      <c r="D26420" t="s">
        <v>106</v>
      </c>
      <c r="E26420">
        <v>5.5772113943028403</v>
      </c>
    </row>
    <row r="26421" spans="1:5">
      <c r="A26421" t="s">
        <v>30753</v>
      </c>
      <c r="B26421" t="s">
        <v>30756</v>
      </c>
      <c r="C26421">
        <f>0</f>
        <v>0</v>
      </c>
      <c r="D26421" t="s">
        <v>106</v>
      </c>
      <c r="E26421">
        <v>5.5772113943028403</v>
      </c>
    </row>
    <row r="26422" spans="1:5">
      <c r="A26422" t="s">
        <v>30753</v>
      </c>
      <c r="B26422" t="s">
        <v>30757</v>
      </c>
      <c r="C26422">
        <v>0</v>
      </c>
      <c r="D26422" t="s">
        <v>106</v>
      </c>
      <c r="E26422">
        <v>5.5772113943028403</v>
      </c>
    </row>
    <row r="26423" spans="1:5">
      <c r="A26423" t="s">
        <v>30753</v>
      </c>
      <c r="B26423" t="s">
        <v>30758</v>
      </c>
      <c r="C26423">
        <f>0</f>
        <v>0</v>
      </c>
      <c r="D26423" t="s">
        <v>106</v>
      </c>
      <c r="E26423">
        <v>5.5772113943028403</v>
      </c>
    </row>
    <row r="26424" spans="1:5">
      <c r="A26424" t="s">
        <v>30753</v>
      </c>
      <c r="B26424" t="s">
        <v>30759</v>
      </c>
      <c r="C26424">
        <v>0</v>
      </c>
      <c r="D26424" t="s">
        <v>106</v>
      </c>
      <c r="E26424">
        <v>5.5772113943028403</v>
      </c>
    </row>
    <row r="26425" spans="1:5">
      <c r="A26425" t="s">
        <v>30753</v>
      </c>
      <c r="B26425" t="s">
        <v>30760</v>
      </c>
      <c r="C26425">
        <v>0</v>
      </c>
      <c r="D26425" t="s">
        <v>106</v>
      </c>
      <c r="E26425">
        <v>5.5772113943028403</v>
      </c>
    </row>
    <row r="26426" spans="1:5">
      <c r="A26426" t="s">
        <v>30753</v>
      </c>
      <c r="B26426" t="s">
        <v>30761</v>
      </c>
      <c r="C26426">
        <f>0</f>
        <v>0</v>
      </c>
      <c r="D26426" t="s">
        <v>106</v>
      </c>
      <c r="E26426">
        <v>5.5772113943028403</v>
      </c>
    </row>
    <row r="26427" spans="1:5">
      <c r="A26427" t="s">
        <v>30762</v>
      </c>
      <c r="B26427" t="s">
        <v>30763</v>
      </c>
      <c r="C26427">
        <v>0</v>
      </c>
      <c r="D26427">
        <v>0.97214249056900004</v>
      </c>
      <c r="E26427">
        <v>5.3493253373313303</v>
      </c>
    </row>
    <row r="26428" spans="1:5">
      <c r="A26428" t="s">
        <v>30762</v>
      </c>
      <c r="B26428" t="s">
        <v>30764</v>
      </c>
      <c r="C26428">
        <v>0</v>
      </c>
      <c r="D26428">
        <v>0.97214249056900004</v>
      </c>
      <c r="E26428">
        <v>5.3493253373313303</v>
      </c>
    </row>
    <row r="26429" spans="1:5">
      <c r="A26429" t="s">
        <v>30762</v>
      </c>
      <c r="B26429" t="s">
        <v>30765</v>
      </c>
      <c r="C26429">
        <v>0</v>
      </c>
      <c r="D26429">
        <v>0.97214249056900004</v>
      </c>
      <c r="E26429">
        <v>5.3493253373313303</v>
      </c>
    </row>
    <row r="26430" spans="1:5">
      <c r="A26430" t="s">
        <v>30762</v>
      </c>
      <c r="B26430" t="s">
        <v>30766</v>
      </c>
      <c r="C26430">
        <f>0</f>
        <v>0</v>
      </c>
      <c r="D26430">
        <v>0.97214249056900004</v>
      </c>
      <c r="E26430">
        <v>5.3493253373313303</v>
      </c>
    </row>
    <row r="26431" spans="1:5">
      <c r="A26431" t="s">
        <v>30767</v>
      </c>
      <c r="B26431" t="s">
        <v>30768</v>
      </c>
      <c r="C26431">
        <v>0.51723451450299995</v>
      </c>
      <c r="D26431">
        <v>0.96485997847799998</v>
      </c>
      <c r="E26431">
        <v>5.3493253373313303</v>
      </c>
    </row>
    <row r="26432" spans="1:5">
      <c r="A26432" t="s">
        <v>30767</v>
      </c>
      <c r="B26432" t="s">
        <v>30769</v>
      </c>
      <c r="C26432">
        <v>0</v>
      </c>
      <c r="D26432">
        <v>0.96485997847799998</v>
      </c>
      <c r="E26432">
        <v>5.3493253373313303</v>
      </c>
    </row>
    <row r="26433" spans="1:5">
      <c r="A26433" t="s">
        <v>30767</v>
      </c>
      <c r="B26433" t="s">
        <v>30770</v>
      </c>
      <c r="C26433">
        <f>0.106854265616</f>
        <v>0.106854265616</v>
      </c>
      <c r="D26433">
        <v>0.96485997847799998</v>
      </c>
      <c r="E26433">
        <v>5.3493253373313303</v>
      </c>
    </row>
    <row r="26434" spans="1:5">
      <c r="A26434" t="s">
        <v>30767</v>
      </c>
      <c r="B26434" t="s">
        <v>30771</v>
      </c>
      <c r="C26434">
        <v>0</v>
      </c>
      <c r="D26434">
        <v>0.96485997847799998</v>
      </c>
      <c r="E26434">
        <v>5.3493253373313303</v>
      </c>
    </row>
    <row r="26435" spans="1:5">
      <c r="A26435" t="s">
        <v>30767</v>
      </c>
      <c r="B26435" t="s">
        <v>30772</v>
      </c>
      <c r="C26435">
        <v>0</v>
      </c>
      <c r="D26435">
        <v>0.96485997847799998</v>
      </c>
      <c r="E26435">
        <v>5.3493253373313303</v>
      </c>
    </row>
    <row r="26436" spans="1:5">
      <c r="A26436" t="s">
        <v>30773</v>
      </c>
      <c r="B26436" t="s">
        <v>30774</v>
      </c>
      <c r="C26436">
        <v>0</v>
      </c>
      <c r="D26436" t="s">
        <v>106</v>
      </c>
      <c r="E26436">
        <v>16.095952023988001</v>
      </c>
    </row>
    <row r="26437" spans="1:5">
      <c r="A26437" t="s">
        <v>30773</v>
      </c>
      <c r="B26437" t="s">
        <v>30775</v>
      </c>
      <c r="C26437">
        <v>0</v>
      </c>
      <c r="D26437" t="s">
        <v>106</v>
      </c>
      <c r="E26437">
        <v>16.095952023988001</v>
      </c>
    </row>
    <row r="26438" spans="1:5">
      <c r="A26438" t="s">
        <v>30773</v>
      </c>
      <c r="B26438" t="s">
        <v>30776</v>
      </c>
      <c r="C26438">
        <f>0</f>
        <v>0</v>
      </c>
      <c r="D26438" t="s">
        <v>106</v>
      </c>
      <c r="E26438">
        <v>16.095952023988001</v>
      </c>
    </row>
    <row r="26439" spans="1:5">
      <c r="A26439" t="s">
        <v>30773</v>
      </c>
      <c r="B26439" t="s">
        <v>30777</v>
      </c>
      <c r="C26439">
        <f>0</f>
        <v>0</v>
      </c>
      <c r="D26439" t="s">
        <v>106</v>
      </c>
      <c r="E26439">
        <v>16.095952023988001</v>
      </c>
    </row>
    <row r="26440" spans="1:5">
      <c r="A26440" t="s">
        <v>30773</v>
      </c>
      <c r="B26440" t="s">
        <v>30778</v>
      </c>
      <c r="C26440">
        <f>0</f>
        <v>0</v>
      </c>
      <c r="D26440" t="s">
        <v>106</v>
      </c>
      <c r="E26440">
        <v>16.095952023988001</v>
      </c>
    </row>
    <row r="26441" spans="1:5">
      <c r="A26441" t="s">
        <v>30773</v>
      </c>
      <c r="B26441" t="s">
        <v>30779</v>
      </c>
      <c r="C26441">
        <v>0</v>
      </c>
      <c r="D26441" t="s">
        <v>106</v>
      </c>
      <c r="E26441">
        <v>16.095952023988001</v>
      </c>
    </row>
    <row r="26442" spans="1:5">
      <c r="A26442" t="s">
        <v>30773</v>
      </c>
      <c r="B26442" t="s">
        <v>30780</v>
      </c>
      <c r="C26442">
        <f>0</f>
        <v>0</v>
      </c>
      <c r="D26442" t="s">
        <v>106</v>
      </c>
      <c r="E26442">
        <v>16.095952023988001</v>
      </c>
    </row>
    <row r="26443" spans="1:5">
      <c r="A26443" t="s">
        <v>30773</v>
      </c>
      <c r="B26443" t="s">
        <v>30781</v>
      </c>
      <c r="C26443">
        <f>0</f>
        <v>0</v>
      </c>
      <c r="D26443" t="s">
        <v>106</v>
      </c>
      <c r="E26443">
        <v>16.095952023988001</v>
      </c>
    </row>
    <row r="26444" spans="1:5">
      <c r="A26444" t="s">
        <v>30773</v>
      </c>
      <c r="B26444" t="s">
        <v>30782</v>
      </c>
      <c r="C26444">
        <v>0</v>
      </c>
      <c r="D26444" t="s">
        <v>106</v>
      </c>
      <c r="E26444">
        <v>16.095952023988001</v>
      </c>
    </row>
    <row r="26445" spans="1:5">
      <c r="A26445" t="s">
        <v>30773</v>
      </c>
      <c r="B26445" t="s">
        <v>30783</v>
      </c>
      <c r="C26445">
        <v>0</v>
      </c>
      <c r="D26445" t="s">
        <v>106</v>
      </c>
      <c r="E26445">
        <v>16.095952023988001</v>
      </c>
    </row>
    <row r="26446" spans="1:5">
      <c r="A26446" t="s">
        <v>30773</v>
      </c>
      <c r="B26446" t="s">
        <v>30784</v>
      </c>
      <c r="C26446">
        <f>0</f>
        <v>0</v>
      </c>
      <c r="D26446" t="s">
        <v>106</v>
      </c>
      <c r="E26446">
        <v>16.095952023988001</v>
      </c>
    </row>
    <row r="26447" spans="1:5">
      <c r="A26447" t="s">
        <v>30773</v>
      </c>
      <c r="B26447" t="s">
        <v>30785</v>
      </c>
      <c r="C26447">
        <f>0</f>
        <v>0</v>
      </c>
      <c r="D26447" t="s">
        <v>106</v>
      </c>
      <c r="E26447">
        <v>16.095952023988001</v>
      </c>
    </row>
    <row r="26448" spans="1:5">
      <c r="A26448" t="s">
        <v>30773</v>
      </c>
      <c r="B26448" t="s">
        <v>30786</v>
      </c>
      <c r="C26448">
        <v>0</v>
      </c>
      <c r="D26448" t="s">
        <v>106</v>
      </c>
      <c r="E26448">
        <v>16.095952023988001</v>
      </c>
    </row>
    <row r="26449" spans="1:5">
      <c r="A26449" t="s">
        <v>30773</v>
      </c>
      <c r="B26449" t="s">
        <v>30787</v>
      </c>
      <c r="C26449">
        <f>0</f>
        <v>0</v>
      </c>
      <c r="D26449" t="s">
        <v>106</v>
      </c>
      <c r="E26449">
        <v>16.095952023988001</v>
      </c>
    </row>
    <row r="26450" spans="1:5">
      <c r="A26450" t="s">
        <v>30773</v>
      </c>
      <c r="B26450" t="s">
        <v>30788</v>
      </c>
      <c r="C26450">
        <v>0</v>
      </c>
      <c r="D26450" t="s">
        <v>106</v>
      </c>
      <c r="E26450">
        <v>16.095952023988001</v>
      </c>
    </row>
    <row r="26451" spans="1:5">
      <c r="A26451" t="s">
        <v>30773</v>
      </c>
      <c r="B26451" t="s">
        <v>30789</v>
      </c>
      <c r="C26451">
        <f>0</f>
        <v>0</v>
      </c>
      <c r="D26451" t="s">
        <v>106</v>
      </c>
      <c r="E26451">
        <v>16.095952023988001</v>
      </c>
    </row>
    <row r="26452" spans="1:5">
      <c r="A26452" t="s">
        <v>30773</v>
      </c>
      <c r="B26452" t="s">
        <v>30790</v>
      </c>
      <c r="C26452">
        <v>0</v>
      </c>
      <c r="D26452" t="s">
        <v>106</v>
      </c>
      <c r="E26452">
        <v>16.095952023988001</v>
      </c>
    </row>
    <row r="26453" spans="1:5">
      <c r="A26453" t="s">
        <v>30773</v>
      </c>
      <c r="B26453" t="s">
        <v>30791</v>
      </c>
      <c r="C26453">
        <f>0</f>
        <v>0</v>
      </c>
      <c r="D26453" t="s">
        <v>106</v>
      </c>
      <c r="E26453">
        <v>16.095952023988001</v>
      </c>
    </row>
    <row r="26454" spans="1:5">
      <c r="A26454" t="s">
        <v>30773</v>
      </c>
      <c r="B26454" t="s">
        <v>30792</v>
      </c>
      <c r="C26454">
        <f>0</f>
        <v>0</v>
      </c>
      <c r="D26454" t="s">
        <v>106</v>
      </c>
      <c r="E26454">
        <v>16.095952023988001</v>
      </c>
    </row>
    <row r="26455" spans="1:5">
      <c r="A26455" t="s">
        <v>30773</v>
      </c>
      <c r="B26455" t="s">
        <v>30793</v>
      </c>
      <c r="C26455">
        <f>0</f>
        <v>0</v>
      </c>
      <c r="D26455" t="s">
        <v>106</v>
      </c>
      <c r="E26455">
        <v>16.095952023988001</v>
      </c>
    </row>
    <row r="26456" spans="1:5">
      <c r="A26456" t="s">
        <v>30794</v>
      </c>
      <c r="B26456" t="s">
        <v>30795</v>
      </c>
      <c r="C26456">
        <f>0.144081813808</f>
        <v>0.144081813808</v>
      </c>
      <c r="D26456">
        <v>0.56338341738499997</v>
      </c>
      <c r="E26456">
        <v>24</v>
      </c>
    </row>
    <row r="26457" spans="1:5">
      <c r="A26457" t="s">
        <v>30796</v>
      </c>
      <c r="B26457" t="s">
        <v>30797</v>
      </c>
      <c r="C26457">
        <v>0</v>
      </c>
      <c r="D26457">
        <v>0.99763448607000005</v>
      </c>
      <c r="E26457">
        <v>4.1739130434782599</v>
      </c>
    </row>
    <row r="26458" spans="1:5">
      <c r="A26458" t="s">
        <v>30796</v>
      </c>
      <c r="B26458" t="s">
        <v>30798</v>
      </c>
      <c r="C26458">
        <v>0</v>
      </c>
      <c r="D26458">
        <v>0.99763448607000005</v>
      </c>
      <c r="E26458">
        <v>4.1739130434782599</v>
      </c>
    </row>
    <row r="26459" spans="1:5">
      <c r="A26459" t="s">
        <v>30796</v>
      </c>
      <c r="B26459" t="s">
        <v>30799</v>
      </c>
      <c r="C26459">
        <f>0</f>
        <v>0</v>
      </c>
      <c r="D26459">
        <v>0.99763448607000005</v>
      </c>
      <c r="E26459">
        <v>4.1739130434782599</v>
      </c>
    </row>
    <row r="26460" spans="1:5">
      <c r="A26460" t="s">
        <v>30796</v>
      </c>
      <c r="B26460" t="s">
        <v>30800</v>
      </c>
      <c r="C26460">
        <v>0</v>
      </c>
      <c r="D26460">
        <v>0.99763448607000005</v>
      </c>
      <c r="E26460">
        <v>4.1739130434782599</v>
      </c>
    </row>
    <row r="26461" spans="1:5">
      <c r="A26461" t="s">
        <v>30796</v>
      </c>
      <c r="B26461" t="s">
        <v>30801</v>
      </c>
      <c r="C26461">
        <v>0</v>
      </c>
      <c r="D26461">
        <v>0.99763448607000005</v>
      </c>
      <c r="E26461">
        <v>4.1739130434782599</v>
      </c>
    </row>
    <row r="26462" spans="1:5">
      <c r="A26462" t="s">
        <v>30796</v>
      </c>
      <c r="B26462" t="s">
        <v>30802</v>
      </c>
      <c r="C26462">
        <v>0</v>
      </c>
      <c r="D26462">
        <v>0.99763448607000005</v>
      </c>
      <c r="E26462">
        <v>4.1739130434782599</v>
      </c>
    </row>
    <row r="26463" spans="1:5">
      <c r="A26463" t="s">
        <v>30796</v>
      </c>
      <c r="B26463" t="s">
        <v>30803</v>
      </c>
      <c r="C26463">
        <f>0</f>
        <v>0</v>
      </c>
      <c r="D26463">
        <v>0.99763448607000005</v>
      </c>
      <c r="E26463">
        <v>4.1739130434782599</v>
      </c>
    </row>
    <row r="26464" spans="1:5">
      <c r="A26464" t="s">
        <v>30796</v>
      </c>
      <c r="B26464" t="s">
        <v>30804</v>
      </c>
      <c r="C26464">
        <f>0</f>
        <v>0</v>
      </c>
      <c r="D26464">
        <v>0.99763448607000005</v>
      </c>
      <c r="E26464">
        <v>4.1739130434782599</v>
      </c>
    </row>
    <row r="26465" spans="1:5">
      <c r="A26465" t="s">
        <v>30796</v>
      </c>
      <c r="B26465" t="s">
        <v>30805</v>
      </c>
      <c r="C26465">
        <v>0.51013433607600001</v>
      </c>
      <c r="D26465">
        <v>0.99763448607000005</v>
      </c>
      <c r="E26465">
        <v>4.1739130434782599</v>
      </c>
    </row>
    <row r="26466" spans="1:5">
      <c r="A26466" t="s">
        <v>30796</v>
      </c>
      <c r="B26466" t="s">
        <v>30806</v>
      </c>
      <c r="C26466">
        <v>0</v>
      </c>
      <c r="D26466">
        <v>0.99763448607000005</v>
      </c>
      <c r="E26466">
        <v>4.1739130434782599</v>
      </c>
    </row>
    <row r="26467" spans="1:5">
      <c r="A26467" t="s">
        <v>30796</v>
      </c>
      <c r="B26467" t="s">
        <v>30807</v>
      </c>
      <c r="C26467">
        <v>0</v>
      </c>
      <c r="D26467">
        <v>0.99763448607000005</v>
      </c>
      <c r="E26467">
        <v>4.1739130434782599</v>
      </c>
    </row>
    <row r="26468" spans="1:5">
      <c r="A26468" t="s">
        <v>30796</v>
      </c>
      <c r="B26468" t="s">
        <v>30808</v>
      </c>
      <c r="C26468">
        <v>0</v>
      </c>
      <c r="D26468">
        <v>0.99763448607000005</v>
      </c>
      <c r="E26468">
        <v>4.1739130434782599</v>
      </c>
    </row>
    <row r="26469" spans="1:5">
      <c r="A26469" t="s">
        <v>30796</v>
      </c>
      <c r="B26469" t="s">
        <v>30809</v>
      </c>
      <c r="C26469">
        <f>0</f>
        <v>0</v>
      </c>
      <c r="D26469">
        <v>0.99763448607000005</v>
      </c>
      <c r="E26469">
        <v>4.1739130434782599</v>
      </c>
    </row>
    <row r="26470" spans="1:5">
      <c r="A26470" t="s">
        <v>30796</v>
      </c>
      <c r="B26470" t="s">
        <v>30810</v>
      </c>
      <c r="C26470">
        <v>0</v>
      </c>
      <c r="D26470">
        <v>0.99763448607000005</v>
      </c>
      <c r="E26470">
        <v>4.1739130434782599</v>
      </c>
    </row>
    <row r="26471" spans="1:5">
      <c r="A26471" t="s">
        <v>30796</v>
      </c>
      <c r="B26471" t="s">
        <v>30811</v>
      </c>
      <c r="C26471">
        <f>0</f>
        <v>0</v>
      </c>
      <c r="D26471">
        <v>0.99763448607000005</v>
      </c>
      <c r="E26471">
        <v>4.1739130434782599</v>
      </c>
    </row>
    <row r="26472" spans="1:5">
      <c r="A26472" t="s">
        <v>30796</v>
      </c>
      <c r="B26472" t="s">
        <v>30812</v>
      </c>
      <c r="C26472">
        <v>0</v>
      </c>
      <c r="D26472">
        <v>0.99763448607000005</v>
      </c>
      <c r="E26472">
        <v>4.1739130434782599</v>
      </c>
    </row>
    <row r="26473" spans="1:5">
      <c r="A26473" t="s">
        <v>30796</v>
      </c>
      <c r="B26473" t="s">
        <v>30813</v>
      </c>
      <c r="C26473">
        <v>0</v>
      </c>
      <c r="D26473">
        <v>0.99763448607000005</v>
      </c>
      <c r="E26473">
        <v>4.1739130434782599</v>
      </c>
    </row>
    <row r="26474" spans="1:5">
      <c r="A26474" t="s">
        <v>30814</v>
      </c>
      <c r="B26474" t="s">
        <v>30815</v>
      </c>
      <c r="C26474">
        <v>0.29860728793000002</v>
      </c>
      <c r="D26474">
        <v>0.96098544450300005</v>
      </c>
      <c r="E26474">
        <v>11.0344827586206</v>
      </c>
    </row>
    <row r="26475" spans="1:5">
      <c r="A26475" t="s">
        <v>30814</v>
      </c>
      <c r="B26475" t="s">
        <v>30816</v>
      </c>
      <c r="C26475">
        <f>0</f>
        <v>0</v>
      </c>
      <c r="D26475">
        <v>0.96098544450300005</v>
      </c>
      <c r="E26475">
        <v>11.0344827586206</v>
      </c>
    </row>
    <row r="26476" spans="1:5">
      <c r="A26476" t="s">
        <v>30814</v>
      </c>
      <c r="B26476" t="s">
        <v>30817</v>
      </c>
      <c r="C26476">
        <v>0.30255208421200003</v>
      </c>
      <c r="D26476">
        <v>0.96098544450300005</v>
      </c>
      <c r="E26476">
        <v>11.0344827586206</v>
      </c>
    </row>
    <row r="26477" spans="1:5">
      <c r="A26477" t="s">
        <v>30818</v>
      </c>
      <c r="B26477" t="s">
        <v>30819</v>
      </c>
      <c r="C26477">
        <v>8.9290948413199997E-2</v>
      </c>
      <c r="D26477">
        <v>0.83013010461000003</v>
      </c>
      <c r="E26477">
        <v>6.2968515742128899</v>
      </c>
    </row>
    <row r="26478" spans="1:5">
      <c r="A26478" t="s">
        <v>30818</v>
      </c>
      <c r="B26478" t="s">
        <v>30820</v>
      </c>
      <c r="C26478">
        <v>0</v>
      </c>
      <c r="D26478">
        <v>0.83013010461000003</v>
      </c>
      <c r="E26478">
        <v>6.2968515742128899</v>
      </c>
    </row>
    <row r="26479" spans="1:5">
      <c r="A26479" t="s">
        <v>30821</v>
      </c>
      <c r="B26479" t="s">
        <v>30822</v>
      </c>
      <c r="C26479">
        <v>0</v>
      </c>
      <c r="D26479" t="s">
        <v>106</v>
      </c>
      <c r="E26479">
        <v>17.307346326836502</v>
      </c>
    </row>
    <row r="26480" spans="1:5">
      <c r="A26480" t="s">
        <v>30821</v>
      </c>
      <c r="B26480" t="s">
        <v>30823</v>
      </c>
      <c r="C26480">
        <v>6.6716215145200004E-3</v>
      </c>
      <c r="D26480" t="s">
        <v>106</v>
      </c>
      <c r="E26480">
        <v>17.307346326836502</v>
      </c>
    </row>
    <row r="26481" spans="1:5">
      <c r="A26481" t="s">
        <v>30821</v>
      </c>
      <c r="B26481" t="s">
        <v>30824</v>
      </c>
      <c r="C26481">
        <v>0.22884706001999999</v>
      </c>
      <c r="D26481" t="s">
        <v>106</v>
      </c>
      <c r="E26481">
        <v>17.307346326836502</v>
      </c>
    </row>
    <row r="26482" spans="1:5">
      <c r="A26482" t="s">
        <v>30821</v>
      </c>
      <c r="B26482" t="s">
        <v>30825</v>
      </c>
      <c r="C26482">
        <f>0</f>
        <v>0</v>
      </c>
      <c r="D26482" t="s">
        <v>106</v>
      </c>
      <c r="E26482">
        <v>17.307346326836502</v>
      </c>
    </row>
    <row r="26483" spans="1:5">
      <c r="A26483" t="s">
        <v>30821</v>
      </c>
      <c r="B26483" t="s">
        <v>30826</v>
      </c>
      <c r="C26483">
        <v>0</v>
      </c>
      <c r="D26483" t="s">
        <v>106</v>
      </c>
      <c r="E26483">
        <v>17.307346326836502</v>
      </c>
    </row>
    <row r="26484" spans="1:5">
      <c r="A26484" t="s">
        <v>30821</v>
      </c>
      <c r="B26484" t="s">
        <v>30827</v>
      </c>
      <c r="C26484">
        <f>0</f>
        <v>0</v>
      </c>
      <c r="D26484" t="s">
        <v>106</v>
      </c>
      <c r="E26484">
        <v>17.307346326836502</v>
      </c>
    </row>
    <row r="26485" spans="1:5">
      <c r="A26485" t="s">
        <v>30828</v>
      </c>
      <c r="B26485" t="s">
        <v>30829</v>
      </c>
      <c r="C26485">
        <v>0</v>
      </c>
      <c r="D26485" t="s">
        <v>106</v>
      </c>
      <c r="E26485">
        <v>13.8170914542728</v>
      </c>
    </row>
    <row r="26486" spans="1:5">
      <c r="A26486" t="s">
        <v>30828</v>
      </c>
      <c r="B26486" t="s">
        <v>30830</v>
      </c>
      <c r="C26486">
        <f>0</f>
        <v>0</v>
      </c>
      <c r="D26486" t="s">
        <v>106</v>
      </c>
      <c r="E26486">
        <v>13.8170914542728</v>
      </c>
    </row>
    <row r="26487" spans="1:5">
      <c r="A26487" t="s">
        <v>30828</v>
      </c>
      <c r="B26487" t="s">
        <v>30831</v>
      </c>
      <c r="C26487">
        <f>0</f>
        <v>0</v>
      </c>
      <c r="D26487" t="s">
        <v>106</v>
      </c>
      <c r="E26487">
        <v>13.8170914542728</v>
      </c>
    </row>
    <row r="26488" spans="1:5">
      <c r="A26488" t="s">
        <v>30828</v>
      </c>
      <c r="B26488" t="s">
        <v>30832</v>
      </c>
      <c r="C26488">
        <v>0</v>
      </c>
      <c r="D26488" t="s">
        <v>106</v>
      </c>
      <c r="E26488">
        <v>13.8170914542728</v>
      </c>
    </row>
    <row r="26489" spans="1:5">
      <c r="A26489" t="s">
        <v>30828</v>
      </c>
      <c r="B26489" t="s">
        <v>30833</v>
      </c>
      <c r="C26489">
        <f>0</f>
        <v>0</v>
      </c>
      <c r="D26489" t="s">
        <v>106</v>
      </c>
      <c r="E26489">
        <v>13.8170914542728</v>
      </c>
    </row>
    <row r="26490" spans="1:5">
      <c r="A26490" t="s">
        <v>30834</v>
      </c>
      <c r="B26490" t="s">
        <v>30835</v>
      </c>
      <c r="C26490">
        <f>0</f>
        <v>0</v>
      </c>
      <c r="D26490">
        <v>0.93735557177999995</v>
      </c>
      <c r="E26490">
        <v>9.0194902548725597</v>
      </c>
    </row>
    <row r="26491" spans="1:5">
      <c r="A26491" t="s">
        <v>30834</v>
      </c>
      <c r="B26491" t="s">
        <v>30836</v>
      </c>
      <c r="C26491">
        <v>0.116074644541</v>
      </c>
      <c r="D26491">
        <v>0.93735557177999995</v>
      </c>
      <c r="E26491">
        <v>9.0194902548725597</v>
      </c>
    </row>
    <row r="26492" spans="1:5">
      <c r="A26492" t="s">
        <v>30834</v>
      </c>
      <c r="B26492" t="s">
        <v>30837</v>
      </c>
      <c r="C26492">
        <v>0</v>
      </c>
      <c r="D26492">
        <v>0.93735557177999995</v>
      </c>
      <c r="E26492">
        <v>9.0194902548725597</v>
      </c>
    </row>
    <row r="26493" spans="1:5">
      <c r="A26493" t="s">
        <v>30834</v>
      </c>
      <c r="B26493" t="s">
        <v>30838</v>
      </c>
      <c r="C26493">
        <v>0.10653912954</v>
      </c>
      <c r="D26493">
        <v>0.93735557177999995</v>
      </c>
      <c r="E26493">
        <v>9.0194902548725597</v>
      </c>
    </row>
    <row r="26494" spans="1:5">
      <c r="A26494" t="s">
        <v>30834</v>
      </c>
      <c r="B26494" t="s">
        <v>30839</v>
      </c>
      <c r="C26494">
        <f>0</f>
        <v>0</v>
      </c>
      <c r="D26494">
        <v>0.93735557177999995</v>
      </c>
      <c r="E26494">
        <v>9.0194902548725597</v>
      </c>
    </row>
    <row r="26495" spans="1:5">
      <c r="A26495" t="s">
        <v>30834</v>
      </c>
      <c r="B26495" t="s">
        <v>30840</v>
      </c>
      <c r="C26495">
        <v>0</v>
      </c>
      <c r="D26495">
        <v>0.93735557177999995</v>
      </c>
      <c r="E26495">
        <v>9.0194902548725597</v>
      </c>
    </row>
    <row r="26496" spans="1:5">
      <c r="A26496" t="s">
        <v>30834</v>
      </c>
      <c r="B26496" t="s">
        <v>30841</v>
      </c>
      <c r="C26496">
        <v>0</v>
      </c>
      <c r="D26496">
        <v>0.93735557177999995</v>
      </c>
      <c r="E26496">
        <v>9.0194902548725597</v>
      </c>
    </row>
    <row r="26497" spans="1:5">
      <c r="A26497" t="s">
        <v>30842</v>
      </c>
      <c r="B26497" t="s">
        <v>30843</v>
      </c>
      <c r="C26497">
        <f>0</f>
        <v>0</v>
      </c>
      <c r="D26497" t="s">
        <v>106</v>
      </c>
      <c r="E26497">
        <v>4.1739130434782599</v>
      </c>
    </row>
    <row r="26498" spans="1:5">
      <c r="A26498" t="s">
        <v>30842</v>
      </c>
      <c r="B26498" t="s">
        <v>30844</v>
      </c>
      <c r="C26498">
        <v>0</v>
      </c>
      <c r="D26498" t="s">
        <v>106</v>
      </c>
      <c r="E26498">
        <v>4.1739130434782599</v>
      </c>
    </row>
    <row r="26499" spans="1:5">
      <c r="A26499" t="s">
        <v>30842</v>
      </c>
      <c r="B26499" t="s">
        <v>30845</v>
      </c>
      <c r="C26499">
        <f>0</f>
        <v>0</v>
      </c>
      <c r="D26499" t="s">
        <v>106</v>
      </c>
      <c r="E26499">
        <v>4.1739130434782599</v>
      </c>
    </row>
    <row r="26500" spans="1:5">
      <c r="A26500" t="s">
        <v>30846</v>
      </c>
      <c r="B26500" t="s">
        <v>30847</v>
      </c>
      <c r="C26500">
        <v>0</v>
      </c>
      <c r="D26500" t="s">
        <v>106</v>
      </c>
      <c r="E26500">
        <v>23.7481259370314</v>
      </c>
    </row>
    <row r="26501" spans="1:5">
      <c r="A26501" t="s">
        <v>30846</v>
      </c>
      <c r="B26501" t="s">
        <v>30848</v>
      </c>
      <c r="C26501">
        <v>8.7215317371300005E-3</v>
      </c>
      <c r="D26501" t="s">
        <v>106</v>
      </c>
      <c r="E26501">
        <v>23.7481259370314</v>
      </c>
    </row>
    <row r="26502" spans="1:5">
      <c r="A26502" t="s">
        <v>30846</v>
      </c>
      <c r="B26502" t="s">
        <v>30849</v>
      </c>
      <c r="C26502">
        <v>0</v>
      </c>
      <c r="D26502" t="s">
        <v>106</v>
      </c>
      <c r="E26502">
        <v>23.7481259370314</v>
      </c>
    </row>
    <row r="26503" spans="1:5">
      <c r="A26503" t="s">
        <v>30846</v>
      </c>
      <c r="B26503" t="s">
        <v>30850</v>
      </c>
      <c r="C26503">
        <v>5.1466553654900001E-2</v>
      </c>
      <c r="D26503" t="s">
        <v>106</v>
      </c>
      <c r="E26503">
        <v>23.7481259370314</v>
      </c>
    </row>
    <row r="26504" spans="1:5">
      <c r="A26504" t="s">
        <v>30846</v>
      </c>
      <c r="B26504" t="s">
        <v>30851</v>
      </c>
      <c r="C26504">
        <f>0</f>
        <v>0</v>
      </c>
      <c r="D26504" t="s">
        <v>106</v>
      </c>
      <c r="E26504">
        <v>23.7481259370314</v>
      </c>
    </row>
    <row r="26505" spans="1:5">
      <c r="A26505" t="s">
        <v>30852</v>
      </c>
      <c r="B26505" t="s">
        <v>30853</v>
      </c>
      <c r="C26505">
        <v>0</v>
      </c>
      <c r="D26505">
        <v>0.926993097963</v>
      </c>
      <c r="E26505">
        <v>12.9175412293853</v>
      </c>
    </row>
    <row r="26506" spans="1:5">
      <c r="A26506" t="s">
        <v>30852</v>
      </c>
      <c r="B26506" t="s">
        <v>30854</v>
      </c>
      <c r="C26506">
        <f>0.133310956992</f>
        <v>0.13331095699199999</v>
      </c>
      <c r="D26506">
        <v>0.926993097963</v>
      </c>
      <c r="E26506">
        <v>12.9175412293853</v>
      </c>
    </row>
    <row r="26507" spans="1:5">
      <c r="A26507" t="s">
        <v>30852</v>
      </c>
      <c r="B26507" t="s">
        <v>30855</v>
      </c>
      <c r="C26507">
        <v>0</v>
      </c>
      <c r="D26507">
        <v>0.926993097963</v>
      </c>
      <c r="E26507">
        <v>12.9175412293853</v>
      </c>
    </row>
    <row r="26508" spans="1:5">
      <c r="A26508" t="s">
        <v>30852</v>
      </c>
      <c r="B26508" t="s">
        <v>30856</v>
      </c>
      <c r="C26508">
        <f>0</f>
        <v>0</v>
      </c>
      <c r="D26508">
        <v>0.926993097963</v>
      </c>
      <c r="E26508">
        <v>12.9175412293853</v>
      </c>
    </row>
    <row r="26509" spans="1:5">
      <c r="A26509" t="s">
        <v>30852</v>
      </c>
      <c r="B26509" t="s">
        <v>30857</v>
      </c>
      <c r="C26509">
        <f>0</f>
        <v>0</v>
      </c>
      <c r="D26509">
        <v>0.926993097963</v>
      </c>
      <c r="E26509">
        <v>12.9175412293853</v>
      </c>
    </row>
    <row r="26510" spans="1:5">
      <c r="A26510" t="s">
        <v>30852</v>
      </c>
      <c r="B26510" t="s">
        <v>30858</v>
      </c>
      <c r="C26510">
        <f>0</f>
        <v>0</v>
      </c>
      <c r="D26510">
        <v>0.926993097963</v>
      </c>
      <c r="E26510">
        <v>12.9175412293853</v>
      </c>
    </row>
    <row r="26511" spans="1:5">
      <c r="A26511" t="s">
        <v>30852</v>
      </c>
      <c r="B26511" t="s">
        <v>30859</v>
      </c>
      <c r="C26511">
        <v>0</v>
      </c>
      <c r="D26511">
        <v>0.926993097963</v>
      </c>
      <c r="E26511">
        <v>12.9175412293853</v>
      </c>
    </row>
    <row r="26512" spans="1:5">
      <c r="A26512" t="s">
        <v>30852</v>
      </c>
      <c r="B26512" t="s">
        <v>30860</v>
      </c>
      <c r="C26512">
        <f>0</f>
        <v>0</v>
      </c>
      <c r="D26512">
        <v>0.926993097963</v>
      </c>
      <c r="E26512">
        <v>12.9175412293853</v>
      </c>
    </row>
    <row r="26513" spans="1:5">
      <c r="A26513" t="s">
        <v>30852</v>
      </c>
      <c r="B26513" t="s">
        <v>30861</v>
      </c>
      <c r="C26513">
        <f>0</f>
        <v>0</v>
      </c>
      <c r="D26513">
        <v>0.926993097963</v>
      </c>
      <c r="E26513">
        <v>12.9175412293853</v>
      </c>
    </row>
    <row r="26514" spans="1:5">
      <c r="A26514" t="s">
        <v>30862</v>
      </c>
      <c r="B26514" t="s">
        <v>30863</v>
      </c>
      <c r="C26514">
        <f>0</f>
        <v>0</v>
      </c>
      <c r="D26514">
        <v>0.84884379017199996</v>
      </c>
      <c r="E26514">
        <v>7.0644677661169402</v>
      </c>
    </row>
    <row r="26515" spans="1:5">
      <c r="A26515" t="s">
        <v>30862</v>
      </c>
      <c r="B26515" t="s">
        <v>30864</v>
      </c>
      <c r="C26515">
        <f>0</f>
        <v>0</v>
      </c>
      <c r="D26515">
        <v>0.84884379017199996</v>
      </c>
      <c r="E26515">
        <v>7.0644677661169402</v>
      </c>
    </row>
    <row r="26516" spans="1:5">
      <c r="A26516" t="s">
        <v>30862</v>
      </c>
      <c r="B26516" t="s">
        <v>30865</v>
      </c>
      <c r="C26516">
        <f>0</f>
        <v>0</v>
      </c>
      <c r="D26516">
        <v>0.84884379017199996</v>
      </c>
      <c r="E26516">
        <v>7.0644677661169402</v>
      </c>
    </row>
    <row r="26517" spans="1:5">
      <c r="A26517" t="s">
        <v>30862</v>
      </c>
      <c r="B26517" t="s">
        <v>30866</v>
      </c>
      <c r="C26517">
        <f>0</f>
        <v>0</v>
      </c>
      <c r="D26517">
        <v>0.84884379017199996</v>
      </c>
      <c r="E26517">
        <v>7.0644677661169402</v>
      </c>
    </row>
    <row r="26518" spans="1:5">
      <c r="A26518" t="s">
        <v>30862</v>
      </c>
      <c r="B26518" t="s">
        <v>30867</v>
      </c>
      <c r="C26518">
        <v>0</v>
      </c>
      <c r="D26518">
        <v>0.84884379017199996</v>
      </c>
      <c r="E26518">
        <v>7.0644677661169402</v>
      </c>
    </row>
    <row r="26519" spans="1:5">
      <c r="A26519" t="s">
        <v>30862</v>
      </c>
      <c r="B26519" t="s">
        <v>30868</v>
      </c>
      <c r="C26519">
        <f>0</f>
        <v>0</v>
      </c>
      <c r="D26519">
        <v>0.84884379017199996</v>
      </c>
      <c r="E26519">
        <v>7.0644677661169402</v>
      </c>
    </row>
    <row r="26520" spans="1:5">
      <c r="A26520" t="s">
        <v>30862</v>
      </c>
      <c r="B26520" t="s">
        <v>30869</v>
      </c>
      <c r="C26520">
        <f>0</f>
        <v>0</v>
      </c>
      <c r="D26520">
        <v>0.84884379017199996</v>
      </c>
      <c r="E26520">
        <v>7.0644677661169402</v>
      </c>
    </row>
    <row r="26521" spans="1:5">
      <c r="A26521" t="s">
        <v>30870</v>
      </c>
      <c r="B26521" t="s">
        <v>30871</v>
      </c>
      <c r="C26521">
        <f>0.123565511793</f>
        <v>0.123565511793</v>
      </c>
      <c r="D26521">
        <v>0.80690829652700002</v>
      </c>
      <c r="E26521">
        <v>24</v>
      </c>
    </row>
    <row r="26522" spans="1:5">
      <c r="A26522" t="s">
        <v>30870</v>
      </c>
      <c r="B26522" t="s">
        <v>30872</v>
      </c>
      <c r="C26522">
        <f>0</f>
        <v>0</v>
      </c>
      <c r="D26522">
        <v>0.80690829652700002</v>
      </c>
      <c r="E26522">
        <v>24</v>
      </c>
    </row>
    <row r="26523" spans="1:5">
      <c r="A26523" t="s">
        <v>30870</v>
      </c>
      <c r="B26523" t="s">
        <v>30873</v>
      </c>
      <c r="C26523">
        <f>0.0683119404885</f>
        <v>6.8311940488500006E-2</v>
      </c>
      <c r="D26523">
        <v>0.80690829652700002</v>
      </c>
      <c r="E26523">
        <v>24</v>
      </c>
    </row>
    <row r="26524" spans="1:5">
      <c r="A26524" t="s">
        <v>30870</v>
      </c>
      <c r="B26524" t="s">
        <v>30874</v>
      </c>
      <c r="C26524">
        <f>0</f>
        <v>0</v>
      </c>
      <c r="D26524">
        <v>0.80690829652700002</v>
      </c>
      <c r="E26524">
        <v>24</v>
      </c>
    </row>
    <row r="26525" spans="1:5">
      <c r="A26525" t="s">
        <v>30875</v>
      </c>
      <c r="B26525" t="s">
        <v>30876</v>
      </c>
      <c r="C26525">
        <v>0</v>
      </c>
      <c r="D26525" t="s">
        <v>106</v>
      </c>
      <c r="E26525">
        <v>2.96251874062968</v>
      </c>
    </row>
    <row r="26526" spans="1:5">
      <c r="A26526" t="s">
        <v>30877</v>
      </c>
      <c r="B26526" t="s">
        <v>30878</v>
      </c>
      <c r="C26526">
        <v>0</v>
      </c>
      <c r="D26526">
        <v>0.82038515347100005</v>
      </c>
      <c r="E26526">
        <v>13.997001499250301</v>
      </c>
    </row>
    <row r="26527" spans="1:5">
      <c r="A26527" t="s">
        <v>30877</v>
      </c>
      <c r="B26527" t="s">
        <v>30879</v>
      </c>
      <c r="C26527">
        <v>0</v>
      </c>
      <c r="D26527">
        <v>0.82038515347100005</v>
      </c>
      <c r="E26527">
        <v>13.997001499250301</v>
      </c>
    </row>
    <row r="26528" spans="1:5">
      <c r="A26528" t="s">
        <v>30877</v>
      </c>
      <c r="B26528" t="s">
        <v>30880</v>
      </c>
      <c r="C26528">
        <v>0</v>
      </c>
      <c r="D26528">
        <v>0.82038515347100005</v>
      </c>
      <c r="E26528">
        <v>13.997001499250301</v>
      </c>
    </row>
    <row r="26529" spans="1:5">
      <c r="A26529" t="s">
        <v>30877</v>
      </c>
      <c r="B26529" t="s">
        <v>30881</v>
      </c>
      <c r="C26529">
        <f>0</f>
        <v>0</v>
      </c>
      <c r="D26529">
        <v>0.82038515347100005</v>
      </c>
      <c r="E26529">
        <v>13.997001499250301</v>
      </c>
    </row>
    <row r="26530" spans="1:5">
      <c r="A26530" t="s">
        <v>30877</v>
      </c>
      <c r="B26530" t="s">
        <v>30882</v>
      </c>
      <c r="C26530">
        <f>0.216726314289</f>
        <v>0.21672631428899999</v>
      </c>
      <c r="D26530">
        <v>0.82038515347100005</v>
      </c>
      <c r="E26530">
        <v>13.997001499250301</v>
      </c>
    </row>
    <row r="26531" spans="1:5">
      <c r="A26531" t="s">
        <v>30877</v>
      </c>
      <c r="B26531" t="s">
        <v>30883</v>
      </c>
      <c r="C26531">
        <f>0</f>
        <v>0</v>
      </c>
      <c r="D26531">
        <v>0.82038515347100005</v>
      </c>
      <c r="E26531">
        <v>13.997001499250301</v>
      </c>
    </row>
    <row r="26532" spans="1:5">
      <c r="A26532" t="s">
        <v>30877</v>
      </c>
      <c r="B26532" t="s">
        <v>30884</v>
      </c>
      <c r="C26532">
        <f>0</f>
        <v>0</v>
      </c>
      <c r="D26532">
        <v>0.82038515347100005</v>
      </c>
      <c r="E26532">
        <v>13.997001499250301</v>
      </c>
    </row>
    <row r="26533" spans="1:5">
      <c r="A26533" t="s">
        <v>30877</v>
      </c>
      <c r="B26533" t="s">
        <v>30885</v>
      </c>
      <c r="C26533">
        <f>0</f>
        <v>0</v>
      </c>
      <c r="D26533">
        <v>0.82038515347100005</v>
      </c>
      <c r="E26533">
        <v>13.997001499250301</v>
      </c>
    </row>
    <row r="26534" spans="1:5">
      <c r="A26534" t="s">
        <v>30886</v>
      </c>
      <c r="B26534" t="s">
        <v>30887</v>
      </c>
      <c r="C26534">
        <f>0.00210588398367</f>
        <v>2.1058839836699999E-3</v>
      </c>
      <c r="D26534">
        <v>0.99223124360100001</v>
      </c>
      <c r="E26534">
        <v>2.4707646176911502</v>
      </c>
    </row>
    <row r="26535" spans="1:5">
      <c r="A26535" t="s">
        <v>30886</v>
      </c>
      <c r="B26535" t="s">
        <v>30888</v>
      </c>
      <c r="C26535">
        <f>0</f>
        <v>0</v>
      </c>
      <c r="D26535">
        <v>0.99223124360100001</v>
      </c>
      <c r="E26535">
        <v>2.4707646176911502</v>
      </c>
    </row>
    <row r="26536" spans="1:5">
      <c r="A26536" t="s">
        <v>30886</v>
      </c>
      <c r="B26536" t="s">
        <v>30889</v>
      </c>
      <c r="C26536">
        <f>0</f>
        <v>0</v>
      </c>
      <c r="D26536">
        <v>0.99223124360100001</v>
      </c>
      <c r="E26536">
        <v>2.4707646176911502</v>
      </c>
    </row>
    <row r="26537" spans="1:5">
      <c r="A26537" t="s">
        <v>30886</v>
      </c>
      <c r="B26537" t="s">
        <v>30890</v>
      </c>
      <c r="C26537">
        <v>0</v>
      </c>
      <c r="D26537">
        <v>0.99223124360100001</v>
      </c>
      <c r="E26537">
        <v>2.4707646176911502</v>
      </c>
    </row>
    <row r="26538" spans="1:5">
      <c r="A26538" t="s">
        <v>30886</v>
      </c>
      <c r="B26538" t="s">
        <v>30891</v>
      </c>
      <c r="C26538">
        <f>0.266085482511</f>
        <v>0.266085482511</v>
      </c>
      <c r="D26538">
        <v>0.99223124360100001</v>
      </c>
      <c r="E26538">
        <v>2.4707646176911502</v>
      </c>
    </row>
    <row r="26539" spans="1:5">
      <c r="A26539" t="s">
        <v>30886</v>
      </c>
      <c r="B26539" t="s">
        <v>30892</v>
      </c>
      <c r="C26539">
        <f>0</f>
        <v>0</v>
      </c>
      <c r="D26539">
        <v>0.99223124360100001</v>
      </c>
      <c r="E26539">
        <v>2.4707646176911502</v>
      </c>
    </row>
    <row r="26540" spans="1:5">
      <c r="A26540" t="s">
        <v>30893</v>
      </c>
      <c r="B26540" t="s">
        <v>30894</v>
      </c>
      <c r="C26540">
        <v>0</v>
      </c>
      <c r="D26540">
        <v>0.87428798869400004</v>
      </c>
      <c r="E26540">
        <v>4.7976011994003001</v>
      </c>
    </row>
    <row r="26541" spans="1:5">
      <c r="A26541" t="s">
        <v>30893</v>
      </c>
      <c r="B26541" t="s">
        <v>30895</v>
      </c>
      <c r="C26541">
        <v>0</v>
      </c>
      <c r="D26541">
        <v>0.87428798869400004</v>
      </c>
      <c r="E26541">
        <v>4.7976011994003001</v>
      </c>
    </row>
    <row r="26542" spans="1:5">
      <c r="A26542" t="s">
        <v>30893</v>
      </c>
      <c r="B26542" t="s">
        <v>30896</v>
      </c>
      <c r="C26542">
        <f>0.185031792596</f>
        <v>0.185031792596</v>
      </c>
      <c r="D26542">
        <v>0.87428798869400004</v>
      </c>
      <c r="E26542">
        <v>4.7976011994003001</v>
      </c>
    </row>
    <row r="26543" spans="1:5">
      <c r="A26543" t="s">
        <v>30893</v>
      </c>
      <c r="B26543" t="s">
        <v>30897</v>
      </c>
      <c r="C26543">
        <f>0.0277717419691</f>
        <v>2.7771741969100001E-2</v>
      </c>
      <c r="D26543">
        <v>0.87428798869400004</v>
      </c>
      <c r="E26543">
        <v>4.7976011994003001</v>
      </c>
    </row>
    <row r="26544" spans="1:5">
      <c r="A26544" t="s">
        <v>30898</v>
      </c>
      <c r="B26544" t="s">
        <v>30899</v>
      </c>
      <c r="C26544">
        <v>0.71408792529099996</v>
      </c>
      <c r="D26544">
        <v>0.98928935414100005</v>
      </c>
      <c r="E26544">
        <v>9.3073463268365799</v>
      </c>
    </row>
    <row r="26545" spans="1:5">
      <c r="A26545" t="s">
        <v>30898</v>
      </c>
      <c r="B26545" t="s">
        <v>30900</v>
      </c>
      <c r="C26545">
        <v>0.11528832235100001</v>
      </c>
      <c r="D26545">
        <v>0.98928935414100005</v>
      </c>
      <c r="E26545">
        <v>9.3073463268365799</v>
      </c>
    </row>
    <row r="26546" spans="1:5">
      <c r="A26546" t="s">
        <v>30901</v>
      </c>
      <c r="B26546" t="s">
        <v>30902</v>
      </c>
      <c r="C26546">
        <f>0</f>
        <v>0</v>
      </c>
      <c r="D26546">
        <v>0.94629673133799996</v>
      </c>
      <c r="E26546">
        <v>9.1634182908545707</v>
      </c>
    </row>
    <row r="26547" spans="1:5">
      <c r="A26547" t="s">
        <v>30901</v>
      </c>
      <c r="B26547" t="s">
        <v>30903</v>
      </c>
      <c r="C26547">
        <f>0</f>
        <v>0</v>
      </c>
      <c r="D26547">
        <v>0.94629673133799996</v>
      </c>
      <c r="E26547">
        <v>9.1634182908545707</v>
      </c>
    </row>
    <row r="26548" spans="1:5">
      <c r="A26548" t="s">
        <v>30901</v>
      </c>
      <c r="B26548" t="s">
        <v>30904</v>
      </c>
      <c r="C26548">
        <f>0.313532906358</f>
        <v>0.31353290635800002</v>
      </c>
      <c r="D26548">
        <v>0.94629673133799996</v>
      </c>
      <c r="E26548">
        <v>9.1634182908545707</v>
      </c>
    </row>
    <row r="26549" spans="1:5">
      <c r="A26549" t="s">
        <v>30901</v>
      </c>
      <c r="B26549" t="s">
        <v>30905</v>
      </c>
      <c r="C26549">
        <v>0.38851512615299999</v>
      </c>
      <c r="D26549">
        <v>0.94629673133799996</v>
      </c>
      <c r="E26549">
        <v>9.1634182908545707</v>
      </c>
    </row>
    <row r="26550" spans="1:5">
      <c r="A26550" t="s">
        <v>30906</v>
      </c>
      <c r="B26550" t="s">
        <v>30907</v>
      </c>
      <c r="C26550">
        <f>0</f>
        <v>0</v>
      </c>
      <c r="D26550" t="s">
        <v>106</v>
      </c>
      <c r="E26550">
        <v>12.9175412293853</v>
      </c>
    </row>
    <row r="26551" spans="1:5">
      <c r="A26551" t="s">
        <v>30906</v>
      </c>
      <c r="B26551" t="s">
        <v>30908</v>
      </c>
      <c r="C26551">
        <v>0</v>
      </c>
      <c r="D26551" t="s">
        <v>106</v>
      </c>
      <c r="E26551">
        <v>12.9175412293853</v>
      </c>
    </row>
    <row r="26552" spans="1:5">
      <c r="A26552" t="s">
        <v>30906</v>
      </c>
      <c r="B26552" t="s">
        <v>30909</v>
      </c>
      <c r="C26552">
        <v>0</v>
      </c>
      <c r="D26552" t="s">
        <v>106</v>
      </c>
      <c r="E26552">
        <v>12.9175412293853</v>
      </c>
    </row>
    <row r="26553" spans="1:5">
      <c r="A26553" t="s">
        <v>30906</v>
      </c>
      <c r="B26553" t="s">
        <v>30910</v>
      </c>
      <c r="C26553">
        <f>0</f>
        <v>0</v>
      </c>
      <c r="D26553" t="s">
        <v>106</v>
      </c>
      <c r="E26553">
        <v>12.9175412293853</v>
      </c>
    </row>
    <row r="26554" spans="1:5">
      <c r="A26554" t="s">
        <v>30906</v>
      </c>
      <c r="B26554" t="s">
        <v>30911</v>
      </c>
      <c r="C26554">
        <v>0</v>
      </c>
      <c r="D26554" t="s">
        <v>106</v>
      </c>
      <c r="E26554">
        <v>12.9175412293853</v>
      </c>
    </row>
    <row r="26555" spans="1:5">
      <c r="A26555" t="s">
        <v>30906</v>
      </c>
      <c r="B26555" t="s">
        <v>30912</v>
      </c>
      <c r="C26555">
        <f>0</f>
        <v>0</v>
      </c>
      <c r="D26555" t="s">
        <v>106</v>
      </c>
      <c r="E26555">
        <v>12.9175412293853</v>
      </c>
    </row>
    <row r="26556" spans="1:5">
      <c r="A26556" t="s">
        <v>30913</v>
      </c>
      <c r="B26556" t="s">
        <v>30914</v>
      </c>
      <c r="C26556">
        <v>0</v>
      </c>
      <c r="D26556" t="s">
        <v>106</v>
      </c>
      <c r="E26556">
        <v>1.89505247376311</v>
      </c>
    </row>
    <row r="26557" spans="1:5">
      <c r="A26557" t="s">
        <v>30913</v>
      </c>
      <c r="B26557" t="s">
        <v>30915</v>
      </c>
      <c r="C26557">
        <v>0</v>
      </c>
      <c r="D26557" t="s">
        <v>106</v>
      </c>
      <c r="E26557">
        <v>1.89505247376311</v>
      </c>
    </row>
    <row r="26558" spans="1:5">
      <c r="A26558" t="s">
        <v>30913</v>
      </c>
      <c r="B26558" t="s">
        <v>30916</v>
      </c>
      <c r="C26558">
        <f>0</f>
        <v>0</v>
      </c>
      <c r="D26558" t="s">
        <v>106</v>
      </c>
      <c r="E26558">
        <v>1.89505247376311</v>
      </c>
    </row>
    <row r="26559" spans="1:5">
      <c r="A26559" t="s">
        <v>30917</v>
      </c>
      <c r="B26559" t="s">
        <v>30918</v>
      </c>
      <c r="C26559">
        <f>0</f>
        <v>0</v>
      </c>
      <c r="D26559">
        <v>0.989481812199</v>
      </c>
      <c r="E26559">
        <v>5.69715142428785</v>
      </c>
    </row>
    <row r="26560" spans="1:5">
      <c r="A26560" t="s">
        <v>30917</v>
      </c>
      <c r="B26560" t="s">
        <v>30919</v>
      </c>
      <c r="C26560">
        <f>0</f>
        <v>0</v>
      </c>
      <c r="D26560">
        <v>0.989481812199</v>
      </c>
      <c r="E26560">
        <v>5.69715142428785</v>
      </c>
    </row>
    <row r="26561" spans="1:5">
      <c r="A26561" t="s">
        <v>30917</v>
      </c>
      <c r="B26561" t="s">
        <v>30920</v>
      </c>
      <c r="C26561">
        <v>0.437070942889</v>
      </c>
      <c r="D26561">
        <v>0.989481812199</v>
      </c>
      <c r="E26561">
        <v>5.69715142428785</v>
      </c>
    </row>
    <row r="26562" spans="1:5">
      <c r="A26562" t="s">
        <v>30917</v>
      </c>
      <c r="B26562" t="s">
        <v>30921</v>
      </c>
      <c r="C26562">
        <v>0</v>
      </c>
      <c r="D26562">
        <v>0.989481812199</v>
      </c>
      <c r="E26562">
        <v>5.69715142428785</v>
      </c>
    </row>
    <row r="26563" spans="1:5">
      <c r="A26563" t="s">
        <v>30917</v>
      </c>
      <c r="B26563" t="s">
        <v>30922</v>
      </c>
      <c r="C26563">
        <f>0</f>
        <v>0</v>
      </c>
      <c r="D26563">
        <v>0.989481812199</v>
      </c>
      <c r="E26563">
        <v>5.69715142428785</v>
      </c>
    </row>
    <row r="26564" spans="1:5">
      <c r="A26564" t="s">
        <v>30917</v>
      </c>
      <c r="B26564" t="s">
        <v>30923</v>
      </c>
      <c r="C26564">
        <f>0</f>
        <v>0</v>
      </c>
      <c r="D26564">
        <v>0.989481812199</v>
      </c>
      <c r="E26564">
        <v>5.69715142428785</v>
      </c>
    </row>
    <row r="26565" spans="1:5">
      <c r="A26565" t="s">
        <v>30917</v>
      </c>
      <c r="B26565" t="s">
        <v>30924</v>
      </c>
      <c r="C26565">
        <f>0</f>
        <v>0</v>
      </c>
      <c r="D26565">
        <v>0.989481812199</v>
      </c>
      <c r="E26565">
        <v>5.69715142428785</v>
      </c>
    </row>
    <row r="26566" spans="1:5">
      <c r="A26566" t="s">
        <v>30917</v>
      </c>
      <c r="B26566" t="s">
        <v>30925</v>
      </c>
      <c r="C26566">
        <v>8.6639724188000006E-2</v>
      </c>
      <c r="D26566">
        <v>0.989481812199</v>
      </c>
      <c r="E26566">
        <v>5.69715142428785</v>
      </c>
    </row>
    <row r="26567" spans="1:5">
      <c r="A26567" t="s">
        <v>30917</v>
      </c>
      <c r="B26567" t="s">
        <v>30926</v>
      </c>
      <c r="C26567">
        <v>0</v>
      </c>
      <c r="D26567">
        <v>0.989481812199</v>
      </c>
      <c r="E26567">
        <v>5.69715142428785</v>
      </c>
    </row>
    <row r="26568" spans="1:5">
      <c r="A26568" t="s">
        <v>30927</v>
      </c>
      <c r="B26568" t="s">
        <v>30928</v>
      </c>
      <c r="C26568">
        <v>0</v>
      </c>
      <c r="D26568">
        <v>0.965978943541</v>
      </c>
      <c r="E26568">
        <v>0.215892053973013</v>
      </c>
    </row>
    <row r="26569" spans="1:5">
      <c r="A26569" t="s">
        <v>30927</v>
      </c>
      <c r="B26569" t="s">
        <v>30929</v>
      </c>
      <c r="C26569">
        <v>0.84201737656499998</v>
      </c>
      <c r="D26569">
        <v>0.965978943541</v>
      </c>
      <c r="E26569">
        <v>0.215892053973013</v>
      </c>
    </row>
    <row r="26570" spans="1:5">
      <c r="A26570" t="s">
        <v>30927</v>
      </c>
      <c r="B26570" t="s">
        <v>30930</v>
      </c>
      <c r="C26570">
        <v>0</v>
      </c>
      <c r="D26570">
        <v>0.965978943541</v>
      </c>
      <c r="E26570">
        <v>0.215892053973013</v>
      </c>
    </row>
    <row r="26571" spans="1:5">
      <c r="A26571" t="s">
        <v>30927</v>
      </c>
      <c r="B26571" t="s">
        <v>30931</v>
      </c>
      <c r="C26571">
        <v>0</v>
      </c>
      <c r="D26571">
        <v>0.965978943541</v>
      </c>
      <c r="E26571">
        <v>0.215892053973013</v>
      </c>
    </row>
    <row r="26572" spans="1:5">
      <c r="A26572" t="s">
        <v>30932</v>
      </c>
      <c r="B26572" t="s">
        <v>30933</v>
      </c>
      <c r="C26572">
        <v>0</v>
      </c>
      <c r="D26572">
        <v>0.66820941250800003</v>
      </c>
      <c r="E26572">
        <v>1.7631184407796101</v>
      </c>
    </row>
    <row r="26573" spans="1:5">
      <c r="A26573" t="s">
        <v>30932</v>
      </c>
      <c r="B26573" t="s">
        <v>30934</v>
      </c>
      <c r="C26573">
        <f>0.0728143141751</f>
        <v>7.2814314175099995E-2</v>
      </c>
      <c r="D26573">
        <v>0.66820941250800003</v>
      </c>
      <c r="E26573">
        <v>1.7631184407796101</v>
      </c>
    </row>
    <row r="26574" spans="1:5">
      <c r="A26574" t="s">
        <v>30932</v>
      </c>
      <c r="B26574" t="s">
        <v>30935</v>
      </c>
      <c r="C26574">
        <f>0</f>
        <v>0</v>
      </c>
      <c r="D26574">
        <v>0.66820941250800003</v>
      </c>
      <c r="E26574">
        <v>1.7631184407796101</v>
      </c>
    </row>
    <row r="26575" spans="1:5">
      <c r="A26575" t="s">
        <v>30932</v>
      </c>
      <c r="B26575" t="s">
        <v>30936</v>
      </c>
      <c r="C26575">
        <f>0</f>
        <v>0</v>
      </c>
      <c r="D26575">
        <v>0.66820941250800003</v>
      </c>
      <c r="E26575">
        <v>1.7631184407796101</v>
      </c>
    </row>
    <row r="26576" spans="1:5">
      <c r="A26576" t="s">
        <v>30932</v>
      </c>
      <c r="B26576" t="s">
        <v>30937</v>
      </c>
      <c r="C26576">
        <f>0</f>
        <v>0</v>
      </c>
      <c r="D26576">
        <v>0.66820941250800003</v>
      </c>
      <c r="E26576">
        <v>1.7631184407796101</v>
      </c>
    </row>
    <row r="26577" spans="1:5">
      <c r="A26577" t="s">
        <v>30938</v>
      </c>
      <c r="B26577" t="s">
        <v>30939</v>
      </c>
      <c r="C26577">
        <v>0</v>
      </c>
      <c r="D26577">
        <v>0.99459802328199998</v>
      </c>
      <c r="E26577">
        <v>7.1964017991004496</v>
      </c>
    </row>
    <row r="26578" spans="1:5">
      <c r="A26578" t="s">
        <v>30938</v>
      </c>
      <c r="B26578" t="s">
        <v>30940</v>
      </c>
      <c r="C26578">
        <f>0</f>
        <v>0</v>
      </c>
      <c r="D26578">
        <v>0.99459802328199998</v>
      </c>
      <c r="E26578">
        <v>7.1964017991004496</v>
      </c>
    </row>
    <row r="26579" spans="1:5">
      <c r="A26579" t="s">
        <v>30938</v>
      </c>
      <c r="B26579" t="s">
        <v>30941</v>
      </c>
      <c r="C26579">
        <v>0</v>
      </c>
      <c r="D26579">
        <v>0.99459802328199998</v>
      </c>
      <c r="E26579">
        <v>7.1964017991004496</v>
      </c>
    </row>
    <row r="26580" spans="1:5">
      <c r="A26580" t="s">
        <v>30938</v>
      </c>
      <c r="B26580" t="s">
        <v>30942</v>
      </c>
      <c r="C26580">
        <v>5.3028472227000002E-2</v>
      </c>
      <c r="D26580">
        <v>0.99459802328199998</v>
      </c>
      <c r="E26580">
        <v>7.1964017991004496</v>
      </c>
    </row>
    <row r="26581" spans="1:5">
      <c r="A26581" t="s">
        <v>30938</v>
      </c>
      <c r="B26581" t="s">
        <v>30943</v>
      </c>
      <c r="C26581">
        <v>0.41379669524500001</v>
      </c>
      <c r="D26581">
        <v>0.99459802328199998</v>
      </c>
      <c r="E26581">
        <v>7.1964017991004496</v>
      </c>
    </row>
    <row r="26582" spans="1:5">
      <c r="A26582" t="s">
        <v>30938</v>
      </c>
      <c r="B26582" t="s">
        <v>30944</v>
      </c>
      <c r="C26582">
        <v>0</v>
      </c>
      <c r="D26582">
        <v>0.99459802328199998</v>
      </c>
      <c r="E26582">
        <v>7.1964017991004496</v>
      </c>
    </row>
    <row r="26583" spans="1:5">
      <c r="A26583" t="s">
        <v>30938</v>
      </c>
      <c r="B26583" t="s">
        <v>30945</v>
      </c>
      <c r="C26583">
        <f>0</f>
        <v>0</v>
      </c>
      <c r="D26583">
        <v>0.99459802328199998</v>
      </c>
      <c r="E26583">
        <v>7.1964017991004496</v>
      </c>
    </row>
    <row r="26584" spans="1:5">
      <c r="A26584" t="s">
        <v>30938</v>
      </c>
      <c r="B26584" t="s">
        <v>30946</v>
      </c>
      <c r="C26584">
        <f>0</f>
        <v>0</v>
      </c>
      <c r="D26584">
        <v>0.99459802328199998</v>
      </c>
      <c r="E26584">
        <v>7.1964017991004496</v>
      </c>
    </row>
    <row r="26585" spans="1:5">
      <c r="A26585" t="s">
        <v>30938</v>
      </c>
      <c r="B26585" t="s">
        <v>30947</v>
      </c>
      <c r="C26585">
        <v>0</v>
      </c>
      <c r="D26585">
        <v>0.99459802328199998</v>
      </c>
      <c r="E26585">
        <v>7.1964017991004496</v>
      </c>
    </row>
    <row r="26586" spans="1:5">
      <c r="A26586" t="s">
        <v>30938</v>
      </c>
      <c r="B26586" t="s">
        <v>30948</v>
      </c>
      <c r="C26586">
        <v>0</v>
      </c>
      <c r="D26586">
        <v>0.99459802328199998</v>
      </c>
      <c r="E26586">
        <v>7.1964017991004496</v>
      </c>
    </row>
    <row r="26587" spans="1:5">
      <c r="A26587" t="s">
        <v>30949</v>
      </c>
      <c r="B26587" t="s">
        <v>30950</v>
      </c>
      <c r="C26587">
        <v>0.37968527283699999</v>
      </c>
      <c r="D26587">
        <v>0.837076877005</v>
      </c>
      <c r="E26587">
        <v>0.53973013493253297</v>
      </c>
    </row>
    <row r="26588" spans="1:5">
      <c r="A26588" t="s">
        <v>30949</v>
      </c>
      <c r="B26588" t="s">
        <v>30951</v>
      </c>
      <c r="C26588">
        <f>0.610650867625</f>
        <v>0.61065086762499998</v>
      </c>
      <c r="D26588">
        <v>0.837076877005</v>
      </c>
      <c r="E26588">
        <v>0.53973013493253297</v>
      </c>
    </row>
    <row r="26589" spans="1:5">
      <c r="A26589" t="s">
        <v>30949</v>
      </c>
      <c r="B26589" t="s">
        <v>30952</v>
      </c>
      <c r="C26589">
        <f>0</f>
        <v>0</v>
      </c>
      <c r="D26589">
        <v>0.837076877005</v>
      </c>
      <c r="E26589">
        <v>0.53973013493253297</v>
      </c>
    </row>
    <row r="26590" spans="1:5">
      <c r="A26590" t="s">
        <v>30953</v>
      </c>
      <c r="B26590" t="s">
        <v>30954</v>
      </c>
      <c r="C26590">
        <v>0</v>
      </c>
      <c r="D26590">
        <v>0.98402121047199997</v>
      </c>
      <c r="E26590">
        <v>13.445277361319301</v>
      </c>
    </row>
    <row r="26591" spans="1:5">
      <c r="A26591" t="s">
        <v>30953</v>
      </c>
      <c r="B26591" t="s">
        <v>30955</v>
      </c>
      <c r="C26591">
        <f>0</f>
        <v>0</v>
      </c>
      <c r="D26591">
        <v>0.98402121047199997</v>
      </c>
      <c r="E26591">
        <v>13.445277361319301</v>
      </c>
    </row>
    <row r="26592" spans="1:5">
      <c r="A26592" t="s">
        <v>30953</v>
      </c>
      <c r="B26592" t="s">
        <v>30956</v>
      </c>
      <c r="C26592">
        <v>0</v>
      </c>
      <c r="D26592">
        <v>0.98402121047199997</v>
      </c>
      <c r="E26592">
        <v>13.445277361319301</v>
      </c>
    </row>
    <row r="26593" spans="1:5">
      <c r="A26593" t="s">
        <v>30953</v>
      </c>
      <c r="B26593" t="s">
        <v>30957</v>
      </c>
      <c r="C26593">
        <f>0</f>
        <v>0</v>
      </c>
      <c r="D26593">
        <v>0.98402121047199997</v>
      </c>
      <c r="E26593">
        <v>13.445277361319301</v>
      </c>
    </row>
    <row r="26594" spans="1:5">
      <c r="A26594" t="s">
        <v>30953</v>
      </c>
      <c r="B26594" t="s">
        <v>30958</v>
      </c>
      <c r="C26594">
        <v>0</v>
      </c>
      <c r="D26594">
        <v>0.98402121047199997</v>
      </c>
      <c r="E26594">
        <v>13.445277361319301</v>
      </c>
    </row>
    <row r="26595" spans="1:5">
      <c r="A26595" t="s">
        <v>30953</v>
      </c>
      <c r="B26595" t="s">
        <v>30959</v>
      </c>
      <c r="C26595">
        <v>9.4114500712599997E-2</v>
      </c>
      <c r="D26595">
        <v>0.98402121047199997</v>
      </c>
      <c r="E26595">
        <v>13.445277361319301</v>
      </c>
    </row>
    <row r="26596" spans="1:5">
      <c r="A26596" t="s">
        <v>30953</v>
      </c>
      <c r="B26596" t="s">
        <v>30960</v>
      </c>
      <c r="C26596">
        <v>0</v>
      </c>
      <c r="D26596">
        <v>0.98402121047199997</v>
      </c>
      <c r="E26596">
        <v>13.445277361319301</v>
      </c>
    </row>
    <row r="26597" spans="1:5">
      <c r="A26597" t="s">
        <v>30953</v>
      </c>
      <c r="B26597" t="s">
        <v>30961</v>
      </c>
      <c r="C26597">
        <v>0</v>
      </c>
      <c r="D26597">
        <v>0.98402121047199997</v>
      </c>
      <c r="E26597">
        <v>13.445277361319301</v>
      </c>
    </row>
    <row r="26598" spans="1:5">
      <c r="A26598" t="s">
        <v>30953</v>
      </c>
      <c r="B26598" t="s">
        <v>30962</v>
      </c>
      <c r="C26598">
        <v>0.36512124505499999</v>
      </c>
      <c r="D26598">
        <v>0.98402121047199997</v>
      </c>
      <c r="E26598">
        <v>13.445277361319301</v>
      </c>
    </row>
    <row r="26599" spans="1:5">
      <c r="A26599" t="s">
        <v>30963</v>
      </c>
      <c r="B26599" t="s">
        <v>30964</v>
      </c>
      <c r="C26599">
        <v>0</v>
      </c>
      <c r="D26599">
        <v>0.70620579283399998</v>
      </c>
      <c r="E26599">
        <v>3.2263868065966999</v>
      </c>
    </row>
    <row r="26600" spans="1:5">
      <c r="A26600" t="s">
        <v>30963</v>
      </c>
      <c r="B26600" t="s">
        <v>30965</v>
      </c>
      <c r="C26600">
        <v>0.27196530526000001</v>
      </c>
      <c r="D26600">
        <v>0.70620579283399998</v>
      </c>
      <c r="E26600">
        <v>3.2263868065966999</v>
      </c>
    </row>
    <row r="26601" spans="1:5">
      <c r="A26601" t="s">
        <v>30963</v>
      </c>
      <c r="B26601" t="s">
        <v>30966</v>
      </c>
      <c r="C26601">
        <v>0</v>
      </c>
      <c r="D26601">
        <v>0.70620579283399998</v>
      </c>
      <c r="E26601">
        <v>3.2263868065966999</v>
      </c>
    </row>
    <row r="26602" spans="1:5">
      <c r="A26602" t="s">
        <v>30963</v>
      </c>
      <c r="B26602" t="s">
        <v>30967</v>
      </c>
      <c r="C26602">
        <f>0</f>
        <v>0</v>
      </c>
      <c r="D26602">
        <v>0.70620579283399998</v>
      </c>
      <c r="E26602">
        <v>3.2263868065966999</v>
      </c>
    </row>
    <row r="26603" spans="1:5">
      <c r="A26603" t="s">
        <v>30963</v>
      </c>
      <c r="B26603" t="s">
        <v>30968</v>
      </c>
      <c r="C26603">
        <v>0</v>
      </c>
      <c r="D26603">
        <v>0.70620579283399998</v>
      </c>
      <c r="E26603">
        <v>3.2263868065966999</v>
      </c>
    </row>
    <row r="26604" spans="1:5">
      <c r="A26604" t="s">
        <v>30963</v>
      </c>
      <c r="B26604" t="s">
        <v>30969</v>
      </c>
      <c r="C26604">
        <v>0</v>
      </c>
      <c r="D26604">
        <v>0.70620579283399998</v>
      </c>
      <c r="E26604">
        <v>3.2263868065966999</v>
      </c>
    </row>
    <row r="26605" spans="1:5">
      <c r="A26605" t="s">
        <v>30970</v>
      </c>
      <c r="B26605" t="s">
        <v>30971</v>
      </c>
      <c r="C26605">
        <f>0</f>
        <v>0</v>
      </c>
      <c r="D26605" t="s">
        <v>106</v>
      </c>
      <c r="E26605">
        <v>3.40629685157421</v>
      </c>
    </row>
    <row r="26606" spans="1:5">
      <c r="A26606" t="s">
        <v>30970</v>
      </c>
      <c r="B26606" t="s">
        <v>30972</v>
      </c>
      <c r="C26606">
        <v>0</v>
      </c>
      <c r="D26606" t="s">
        <v>106</v>
      </c>
      <c r="E26606">
        <v>3.40629685157421</v>
      </c>
    </row>
    <row r="26607" spans="1:5">
      <c r="A26607" t="s">
        <v>30970</v>
      </c>
      <c r="B26607" t="s">
        <v>30973</v>
      </c>
      <c r="C26607">
        <f>0</f>
        <v>0</v>
      </c>
      <c r="D26607" t="s">
        <v>106</v>
      </c>
      <c r="E26607">
        <v>3.40629685157421</v>
      </c>
    </row>
    <row r="26608" spans="1:5">
      <c r="A26608" t="s">
        <v>30970</v>
      </c>
      <c r="B26608" t="s">
        <v>30974</v>
      </c>
      <c r="C26608">
        <v>3.5611204112E-2</v>
      </c>
      <c r="D26608" t="s">
        <v>106</v>
      </c>
      <c r="E26608">
        <v>3.40629685157421</v>
      </c>
    </row>
    <row r="26609" spans="1:5">
      <c r="A26609" t="s">
        <v>30970</v>
      </c>
      <c r="B26609" t="s">
        <v>30975</v>
      </c>
      <c r="C26609">
        <f>0</f>
        <v>0</v>
      </c>
      <c r="D26609" t="s">
        <v>106</v>
      </c>
      <c r="E26609">
        <v>3.40629685157421</v>
      </c>
    </row>
    <row r="26610" spans="1:5">
      <c r="A26610" t="s">
        <v>30976</v>
      </c>
      <c r="B26610" t="s">
        <v>30977</v>
      </c>
      <c r="C26610">
        <f>0</f>
        <v>0</v>
      </c>
      <c r="D26610" t="s">
        <v>106</v>
      </c>
      <c r="E26610">
        <v>11.0344827586206</v>
      </c>
    </row>
    <row r="26611" spans="1:5">
      <c r="A26611" t="s">
        <v>30976</v>
      </c>
      <c r="B26611" t="s">
        <v>30978</v>
      </c>
      <c r="C26611">
        <f>0</f>
        <v>0</v>
      </c>
      <c r="D26611" t="s">
        <v>106</v>
      </c>
      <c r="E26611">
        <v>11.0344827586206</v>
      </c>
    </row>
    <row r="26612" spans="1:5">
      <c r="A26612" t="s">
        <v>30979</v>
      </c>
      <c r="B26612" t="s">
        <v>30980</v>
      </c>
      <c r="C26612">
        <v>0.10053234833999999</v>
      </c>
      <c r="D26612">
        <v>0.98557448114799995</v>
      </c>
      <c r="E26612">
        <v>8.7196401799100407</v>
      </c>
    </row>
    <row r="26613" spans="1:5">
      <c r="A26613" t="s">
        <v>30979</v>
      </c>
      <c r="B26613" t="s">
        <v>30981</v>
      </c>
      <c r="C26613">
        <v>0.149974463059</v>
      </c>
      <c r="D26613">
        <v>0.98557448114799995</v>
      </c>
      <c r="E26613">
        <v>8.7196401799100407</v>
      </c>
    </row>
    <row r="26614" spans="1:5">
      <c r="A26614" t="s">
        <v>30979</v>
      </c>
      <c r="B26614" t="s">
        <v>30982</v>
      </c>
      <c r="C26614">
        <v>0</v>
      </c>
      <c r="D26614">
        <v>0.98557448114799995</v>
      </c>
      <c r="E26614">
        <v>8.7196401799100407</v>
      </c>
    </row>
    <row r="26615" spans="1:5">
      <c r="A26615" t="s">
        <v>30983</v>
      </c>
      <c r="B26615" t="s">
        <v>30984</v>
      </c>
      <c r="C26615">
        <f>0.101153169847</f>
        <v>0.101153169847</v>
      </c>
      <c r="D26615">
        <v>0.98431431286500004</v>
      </c>
      <c r="E26615">
        <v>1.00749625187406</v>
      </c>
    </row>
    <row r="26616" spans="1:5">
      <c r="A26616" t="s">
        <v>30983</v>
      </c>
      <c r="B26616" t="s">
        <v>30985</v>
      </c>
      <c r="C26616">
        <f>0</f>
        <v>0</v>
      </c>
      <c r="D26616">
        <v>0.98431431286500004</v>
      </c>
      <c r="E26616">
        <v>1.00749625187406</v>
      </c>
    </row>
    <row r="26617" spans="1:5">
      <c r="A26617" t="s">
        <v>30983</v>
      </c>
      <c r="B26617" t="s">
        <v>30986</v>
      </c>
      <c r="C26617">
        <v>0</v>
      </c>
      <c r="D26617">
        <v>0.98431431286500004</v>
      </c>
      <c r="E26617">
        <v>1.00749625187406</v>
      </c>
    </row>
    <row r="26618" spans="1:5">
      <c r="A26618" t="s">
        <v>30983</v>
      </c>
      <c r="B26618" t="s">
        <v>30987</v>
      </c>
      <c r="C26618">
        <f>0</f>
        <v>0</v>
      </c>
      <c r="D26618">
        <v>0.98431431286500004</v>
      </c>
      <c r="E26618">
        <v>1.00749625187406</v>
      </c>
    </row>
    <row r="26619" spans="1:5">
      <c r="A26619" t="s">
        <v>30983</v>
      </c>
      <c r="B26619" t="s">
        <v>30988</v>
      </c>
      <c r="C26619">
        <v>0</v>
      </c>
      <c r="D26619">
        <v>0.98431431286500004</v>
      </c>
      <c r="E26619">
        <v>1.00749625187406</v>
      </c>
    </row>
    <row r="26620" spans="1:5">
      <c r="A26620" t="s">
        <v>30983</v>
      </c>
      <c r="B26620" t="s">
        <v>30989</v>
      </c>
      <c r="C26620">
        <v>0.47592967681600001</v>
      </c>
      <c r="D26620">
        <v>0.98431431286500004</v>
      </c>
      <c r="E26620">
        <v>1.00749625187406</v>
      </c>
    </row>
    <row r="26621" spans="1:5">
      <c r="A26621" t="s">
        <v>30983</v>
      </c>
      <c r="B26621" t="s">
        <v>30990</v>
      </c>
      <c r="C26621">
        <v>0</v>
      </c>
      <c r="D26621">
        <v>0.98431431286500004</v>
      </c>
      <c r="E26621">
        <v>1.00749625187406</v>
      </c>
    </row>
    <row r="26622" spans="1:5">
      <c r="A26622" t="s">
        <v>30983</v>
      </c>
      <c r="B26622" t="s">
        <v>30991</v>
      </c>
      <c r="C26622">
        <v>0</v>
      </c>
      <c r="D26622">
        <v>0.98431431286500004</v>
      </c>
      <c r="E26622">
        <v>1.00749625187406</v>
      </c>
    </row>
    <row r="26623" spans="1:5">
      <c r="A26623" t="s">
        <v>30983</v>
      </c>
      <c r="B26623" t="s">
        <v>30992</v>
      </c>
      <c r="C26623">
        <v>0</v>
      </c>
      <c r="D26623">
        <v>0.98431431286500004</v>
      </c>
      <c r="E26623">
        <v>1.00749625187406</v>
      </c>
    </row>
    <row r="26624" spans="1:5">
      <c r="A26624" t="s">
        <v>30993</v>
      </c>
      <c r="B26624" t="s">
        <v>30994</v>
      </c>
      <c r="C26624">
        <f>0</f>
        <v>0</v>
      </c>
      <c r="D26624">
        <v>0.86990494446599997</v>
      </c>
      <c r="E26624">
        <v>2.5547226386806599</v>
      </c>
    </row>
    <row r="26625" spans="1:5">
      <c r="A26625" t="s">
        <v>30993</v>
      </c>
      <c r="B26625" t="s">
        <v>30995</v>
      </c>
      <c r="C26625">
        <f>0</f>
        <v>0</v>
      </c>
      <c r="D26625">
        <v>0.86990494446599997</v>
      </c>
      <c r="E26625">
        <v>2.5547226386806599</v>
      </c>
    </row>
    <row r="26626" spans="1:5">
      <c r="A26626" t="s">
        <v>30993</v>
      </c>
      <c r="B26626" t="s">
        <v>30996</v>
      </c>
      <c r="C26626">
        <f>0.0661141625309</f>
        <v>6.6114162530899995E-2</v>
      </c>
      <c r="D26626">
        <v>0.86990494446599997</v>
      </c>
      <c r="E26626">
        <v>2.5547226386806599</v>
      </c>
    </row>
    <row r="26627" spans="1:5">
      <c r="A26627" t="s">
        <v>30993</v>
      </c>
      <c r="B26627" t="s">
        <v>30997</v>
      </c>
      <c r="C26627">
        <f>0</f>
        <v>0</v>
      </c>
      <c r="D26627">
        <v>0.86990494446599997</v>
      </c>
      <c r="E26627">
        <v>2.5547226386806599</v>
      </c>
    </row>
    <row r="26628" spans="1:5">
      <c r="A26628" t="s">
        <v>30993</v>
      </c>
      <c r="B26628" t="s">
        <v>30998</v>
      </c>
      <c r="C26628">
        <f>0.0733581766116</f>
        <v>7.3358176611600004E-2</v>
      </c>
      <c r="D26628">
        <v>0.86990494446599997</v>
      </c>
      <c r="E26628">
        <v>2.5547226386806599</v>
      </c>
    </row>
    <row r="26629" spans="1:5">
      <c r="A26629" t="s">
        <v>30999</v>
      </c>
      <c r="B26629" t="s">
        <v>31000</v>
      </c>
      <c r="C26629">
        <v>3.6350146903299997E-2</v>
      </c>
      <c r="D26629">
        <v>0.97695387789699994</v>
      </c>
      <c r="E26629">
        <v>10.230884557721099</v>
      </c>
    </row>
    <row r="26630" spans="1:5">
      <c r="A26630" t="s">
        <v>30999</v>
      </c>
      <c r="B26630" t="s">
        <v>31001</v>
      </c>
      <c r="C26630">
        <v>0.43548651072599998</v>
      </c>
      <c r="D26630">
        <v>0.97695387789699994</v>
      </c>
      <c r="E26630">
        <v>10.230884557721099</v>
      </c>
    </row>
    <row r="26631" spans="1:5">
      <c r="A26631" t="s">
        <v>31002</v>
      </c>
      <c r="B26631" t="s">
        <v>31003</v>
      </c>
      <c r="C26631">
        <f>0</f>
        <v>0</v>
      </c>
      <c r="D26631">
        <v>0.99941308390200001</v>
      </c>
      <c r="E26631">
        <v>0.23988005997001499</v>
      </c>
    </row>
    <row r="26632" spans="1:5">
      <c r="A26632" t="s">
        <v>31002</v>
      </c>
      <c r="B26632" t="s">
        <v>31004</v>
      </c>
      <c r="C26632">
        <f>0</f>
        <v>0</v>
      </c>
      <c r="D26632">
        <v>0.99941308390200001</v>
      </c>
      <c r="E26632">
        <v>0.23988005997001499</v>
      </c>
    </row>
    <row r="26633" spans="1:5">
      <c r="A26633" t="s">
        <v>31002</v>
      </c>
      <c r="B26633" t="s">
        <v>31005</v>
      </c>
      <c r="C26633">
        <v>0.43812814276000001</v>
      </c>
      <c r="D26633">
        <v>0.99941308390200001</v>
      </c>
      <c r="E26633">
        <v>0.23988005997001499</v>
      </c>
    </row>
    <row r="26634" spans="1:5">
      <c r="A26634" t="s">
        <v>31002</v>
      </c>
      <c r="B26634" t="s">
        <v>31006</v>
      </c>
      <c r="C26634">
        <v>0.585944732154</v>
      </c>
      <c r="D26634">
        <v>0.99941308390200001</v>
      </c>
      <c r="E26634">
        <v>0.23988005997001499</v>
      </c>
    </row>
    <row r="26635" spans="1:5">
      <c r="A26635" t="s">
        <v>31002</v>
      </c>
      <c r="B26635" t="s">
        <v>31007</v>
      </c>
      <c r="C26635">
        <v>0</v>
      </c>
      <c r="D26635">
        <v>0.99941308390200001</v>
      </c>
      <c r="E26635">
        <v>0.23988005997001499</v>
      </c>
    </row>
    <row r="26636" spans="1:5">
      <c r="A26636" t="s">
        <v>31008</v>
      </c>
      <c r="B26636" t="s">
        <v>31009</v>
      </c>
      <c r="C26636">
        <v>0</v>
      </c>
      <c r="D26636">
        <v>0.51851066370499999</v>
      </c>
      <c r="E26636">
        <v>21.8770614692653</v>
      </c>
    </row>
    <row r="26637" spans="1:5">
      <c r="A26637" t="s">
        <v>31008</v>
      </c>
      <c r="B26637" t="s">
        <v>31010</v>
      </c>
      <c r="C26637">
        <v>0</v>
      </c>
      <c r="D26637">
        <v>0.51851066370499999</v>
      </c>
      <c r="E26637">
        <v>21.8770614692653</v>
      </c>
    </row>
    <row r="26638" spans="1:5">
      <c r="A26638" t="s">
        <v>31008</v>
      </c>
      <c r="B26638" t="s">
        <v>31011</v>
      </c>
      <c r="C26638">
        <v>8.5830765541700001E-3</v>
      </c>
      <c r="D26638">
        <v>0.51851066370499999</v>
      </c>
      <c r="E26638">
        <v>21.8770614692653</v>
      </c>
    </row>
    <row r="26639" spans="1:5">
      <c r="A26639" t="s">
        <v>31012</v>
      </c>
      <c r="B26639" t="s">
        <v>31013</v>
      </c>
      <c r="C26639">
        <v>0.20964516667399999</v>
      </c>
      <c r="D26639">
        <v>0.99084887735600002</v>
      </c>
      <c r="E26639">
        <v>24</v>
      </c>
    </row>
    <row r="26640" spans="1:5">
      <c r="A26640" t="s">
        <v>31014</v>
      </c>
      <c r="B26640" t="s">
        <v>31015</v>
      </c>
      <c r="C26640">
        <f>0</f>
        <v>0</v>
      </c>
      <c r="D26640">
        <v>0.78806078369200006</v>
      </c>
      <c r="E26640">
        <v>2.2548725637181399</v>
      </c>
    </row>
    <row r="26641" spans="1:5">
      <c r="A26641" t="s">
        <v>31014</v>
      </c>
      <c r="B26641" t="s">
        <v>31016</v>
      </c>
      <c r="C26641">
        <v>0</v>
      </c>
      <c r="D26641">
        <v>0.78806078369200006</v>
      </c>
      <c r="E26641">
        <v>2.2548725637181399</v>
      </c>
    </row>
    <row r="26642" spans="1:5">
      <c r="A26642" t="s">
        <v>31014</v>
      </c>
      <c r="B26642" t="s">
        <v>31017</v>
      </c>
      <c r="C26642">
        <v>0</v>
      </c>
      <c r="D26642">
        <v>0.78806078369200006</v>
      </c>
      <c r="E26642">
        <v>2.2548725637181399</v>
      </c>
    </row>
    <row r="26643" spans="1:5">
      <c r="A26643" t="s">
        <v>31014</v>
      </c>
      <c r="B26643" t="s">
        <v>31018</v>
      </c>
      <c r="C26643">
        <v>0</v>
      </c>
      <c r="D26643">
        <v>0.78806078369200006</v>
      </c>
      <c r="E26643">
        <v>2.2548725637181399</v>
      </c>
    </row>
    <row r="26644" spans="1:5">
      <c r="A26644" t="s">
        <v>31014</v>
      </c>
      <c r="B26644" t="s">
        <v>31019</v>
      </c>
      <c r="C26644">
        <v>0</v>
      </c>
      <c r="D26644">
        <v>0.78806078369200006</v>
      </c>
      <c r="E26644">
        <v>2.2548725637181399</v>
      </c>
    </row>
    <row r="26645" spans="1:5">
      <c r="A26645" t="s">
        <v>31014</v>
      </c>
      <c r="B26645" t="s">
        <v>31020</v>
      </c>
      <c r="C26645">
        <v>0</v>
      </c>
      <c r="D26645">
        <v>0.78806078369200006</v>
      </c>
      <c r="E26645">
        <v>2.2548725637181399</v>
      </c>
    </row>
    <row r="26646" spans="1:5">
      <c r="A26646" t="s">
        <v>31014</v>
      </c>
      <c r="B26646" t="s">
        <v>31021</v>
      </c>
      <c r="C26646">
        <v>0</v>
      </c>
      <c r="D26646">
        <v>0.78806078369200006</v>
      </c>
      <c r="E26646">
        <v>2.2548725637181399</v>
      </c>
    </row>
    <row r="26647" spans="1:5">
      <c r="A26647" t="s">
        <v>31014</v>
      </c>
      <c r="B26647" t="s">
        <v>31022</v>
      </c>
      <c r="C26647">
        <v>0</v>
      </c>
      <c r="D26647">
        <v>0.78806078369200006</v>
      </c>
      <c r="E26647">
        <v>2.2548725637181399</v>
      </c>
    </row>
    <row r="26648" spans="1:5">
      <c r="A26648" t="s">
        <v>31014</v>
      </c>
      <c r="B26648" t="s">
        <v>31023</v>
      </c>
      <c r="C26648">
        <v>0</v>
      </c>
      <c r="D26648">
        <v>0.78806078369200006</v>
      </c>
      <c r="E26648">
        <v>2.2548725637181399</v>
      </c>
    </row>
    <row r="26649" spans="1:5">
      <c r="A26649" t="s">
        <v>31014</v>
      </c>
      <c r="B26649" t="s">
        <v>31024</v>
      </c>
      <c r="C26649">
        <v>0</v>
      </c>
      <c r="D26649">
        <v>0.78806078369200006</v>
      </c>
      <c r="E26649">
        <v>2.2548725637181399</v>
      </c>
    </row>
    <row r="26650" spans="1:5">
      <c r="A26650" t="s">
        <v>31014</v>
      </c>
      <c r="B26650" t="s">
        <v>31025</v>
      </c>
      <c r="C26650">
        <v>0.38795654849400002</v>
      </c>
      <c r="D26650">
        <v>0.78806078369200006</v>
      </c>
      <c r="E26650">
        <v>2.2548725637181399</v>
      </c>
    </row>
    <row r="26651" spans="1:5">
      <c r="A26651" t="s">
        <v>31014</v>
      </c>
      <c r="B26651" t="s">
        <v>31026</v>
      </c>
      <c r="C26651">
        <v>0</v>
      </c>
      <c r="D26651">
        <v>0.78806078369200006</v>
      </c>
      <c r="E26651">
        <v>2.2548725637181399</v>
      </c>
    </row>
    <row r="26652" spans="1:5">
      <c r="A26652" t="s">
        <v>31014</v>
      </c>
      <c r="B26652" t="s">
        <v>31027</v>
      </c>
      <c r="C26652">
        <v>0</v>
      </c>
      <c r="D26652">
        <v>0.78806078369200006</v>
      </c>
      <c r="E26652">
        <v>2.2548725637181399</v>
      </c>
    </row>
    <row r="26653" spans="1:5">
      <c r="A26653" t="s">
        <v>31014</v>
      </c>
      <c r="B26653" t="s">
        <v>31028</v>
      </c>
      <c r="C26653">
        <v>0</v>
      </c>
      <c r="D26653">
        <v>0.78806078369200006</v>
      </c>
      <c r="E26653">
        <v>2.2548725637181399</v>
      </c>
    </row>
    <row r="26654" spans="1:5">
      <c r="A26654" t="s">
        <v>31014</v>
      </c>
      <c r="B26654" t="s">
        <v>31029</v>
      </c>
      <c r="C26654">
        <v>0</v>
      </c>
      <c r="D26654">
        <v>0.78806078369200006</v>
      </c>
      <c r="E26654">
        <v>2.2548725637181399</v>
      </c>
    </row>
    <row r="26655" spans="1:5">
      <c r="A26655" t="s">
        <v>31014</v>
      </c>
      <c r="B26655" t="s">
        <v>31030</v>
      </c>
      <c r="C26655">
        <v>0.30609333508800002</v>
      </c>
      <c r="D26655">
        <v>0.78806078369200006</v>
      </c>
      <c r="E26655">
        <v>2.2548725637181399</v>
      </c>
    </row>
    <row r="26656" spans="1:5">
      <c r="A26656" t="s">
        <v>31014</v>
      </c>
      <c r="B26656" t="s">
        <v>31031</v>
      </c>
      <c r="C26656">
        <v>0</v>
      </c>
      <c r="D26656">
        <v>0.78806078369200006</v>
      </c>
      <c r="E26656">
        <v>2.2548725637181399</v>
      </c>
    </row>
    <row r="26657" spans="1:5">
      <c r="A26657" t="s">
        <v>31014</v>
      </c>
      <c r="B26657" t="s">
        <v>31032</v>
      </c>
      <c r="C26657">
        <f>0</f>
        <v>0</v>
      </c>
      <c r="D26657">
        <v>0.78806078369200006</v>
      </c>
      <c r="E26657">
        <v>2.2548725637181399</v>
      </c>
    </row>
    <row r="26658" spans="1:5">
      <c r="A26658" t="s">
        <v>31014</v>
      </c>
      <c r="B26658" t="s">
        <v>31033</v>
      </c>
      <c r="C26658">
        <v>0</v>
      </c>
      <c r="D26658">
        <v>0.78806078369200006</v>
      </c>
      <c r="E26658">
        <v>2.2548725637181399</v>
      </c>
    </row>
    <row r="26659" spans="1:5">
      <c r="A26659" t="s">
        <v>31014</v>
      </c>
      <c r="B26659" t="s">
        <v>31034</v>
      </c>
      <c r="C26659">
        <v>0</v>
      </c>
      <c r="D26659">
        <v>0.78806078369200006</v>
      </c>
      <c r="E26659">
        <v>2.2548725637181399</v>
      </c>
    </row>
    <row r="26660" spans="1:5">
      <c r="A26660" t="s">
        <v>31014</v>
      </c>
      <c r="B26660" t="s">
        <v>31035</v>
      </c>
      <c r="C26660">
        <v>0</v>
      </c>
      <c r="D26660">
        <v>0.78806078369200006</v>
      </c>
      <c r="E26660">
        <v>2.2548725637181399</v>
      </c>
    </row>
    <row r="26661" spans="1:5">
      <c r="A26661" t="s">
        <v>31014</v>
      </c>
      <c r="B26661" t="s">
        <v>31036</v>
      </c>
      <c r="C26661">
        <v>0</v>
      </c>
      <c r="D26661">
        <v>0.78806078369200006</v>
      </c>
      <c r="E26661">
        <v>2.2548725637181399</v>
      </c>
    </row>
    <row r="26662" spans="1:5">
      <c r="A26662" t="s">
        <v>31037</v>
      </c>
      <c r="B26662" t="s">
        <v>31038</v>
      </c>
      <c r="C26662">
        <v>0</v>
      </c>
      <c r="D26662">
        <v>0.74499553328199997</v>
      </c>
      <c r="E26662">
        <v>24</v>
      </c>
    </row>
    <row r="26663" spans="1:5">
      <c r="A26663" t="s">
        <v>31037</v>
      </c>
      <c r="B26663" t="s">
        <v>31039</v>
      </c>
      <c r="C26663">
        <f>0</f>
        <v>0</v>
      </c>
      <c r="D26663">
        <v>0.74499553328199997</v>
      </c>
      <c r="E26663">
        <v>24</v>
      </c>
    </row>
    <row r="26664" spans="1:5">
      <c r="A26664" t="s">
        <v>31037</v>
      </c>
      <c r="B26664" t="s">
        <v>31040</v>
      </c>
      <c r="C26664">
        <v>0</v>
      </c>
      <c r="D26664">
        <v>0.74499553328199997</v>
      </c>
      <c r="E26664">
        <v>24</v>
      </c>
    </row>
    <row r="26665" spans="1:5">
      <c r="A26665" t="s">
        <v>31037</v>
      </c>
      <c r="B26665" t="s">
        <v>31041</v>
      </c>
      <c r="C26665">
        <v>0</v>
      </c>
      <c r="D26665">
        <v>0.74499553328199997</v>
      </c>
      <c r="E26665">
        <v>24</v>
      </c>
    </row>
    <row r="26666" spans="1:5">
      <c r="A26666" t="s">
        <v>31037</v>
      </c>
      <c r="B26666" t="s">
        <v>31042</v>
      </c>
      <c r="C26666">
        <v>0</v>
      </c>
      <c r="D26666">
        <v>0.74499553328199997</v>
      </c>
      <c r="E26666">
        <v>24</v>
      </c>
    </row>
    <row r="26667" spans="1:5">
      <c r="A26667" t="s">
        <v>31037</v>
      </c>
      <c r="B26667" t="s">
        <v>31043</v>
      </c>
      <c r="C26667">
        <f>0</f>
        <v>0</v>
      </c>
      <c r="D26667">
        <v>0.74499553328199997</v>
      </c>
      <c r="E26667">
        <v>24</v>
      </c>
    </row>
    <row r="26668" spans="1:5">
      <c r="A26668" t="s">
        <v>31037</v>
      </c>
      <c r="B26668" t="s">
        <v>31044</v>
      </c>
      <c r="C26668">
        <v>0</v>
      </c>
      <c r="D26668">
        <v>0.74499553328199997</v>
      </c>
      <c r="E26668">
        <v>24</v>
      </c>
    </row>
    <row r="26669" spans="1:5">
      <c r="A26669" t="s">
        <v>31037</v>
      </c>
      <c r="B26669" t="s">
        <v>31045</v>
      </c>
      <c r="C26669">
        <v>0</v>
      </c>
      <c r="D26669">
        <v>0.74499553328199997</v>
      </c>
      <c r="E26669">
        <v>24</v>
      </c>
    </row>
    <row r="26670" spans="1:5">
      <c r="A26670" t="s">
        <v>31037</v>
      </c>
      <c r="B26670" t="s">
        <v>31046</v>
      </c>
      <c r="C26670">
        <v>0</v>
      </c>
      <c r="D26670">
        <v>0.74499553328199997</v>
      </c>
      <c r="E26670">
        <v>24</v>
      </c>
    </row>
    <row r="26671" spans="1:5">
      <c r="A26671" t="s">
        <v>31037</v>
      </c>
      <c r="B26671" t="s">
        <v>31047</v>
      </c>
      <c r="C26671">
        <v>0</v>
      </c>
      <c r="D26671">
        <v>0.74499553328199997</v>
      </c>
      <c r="E26671">
        <v>24</v>
      </c>
    </row>
    <row r="26672" spans="1:5">
      <c r="A26672" t="s">
        <v>31048</v>
      </c>
      <c r="B26672" t="s">
        <v>31049</v>
      </c>
      <c r="C26672">
        <v>0</v>
      </c>
      <c r="D26672">
        <v>0.92023398411000001</v>
      </c>
      <c r="E26672">
        <v>16.095952023988001</v>
      </c>
    </row>
    <row r="26673" spans="1:5">
      <c r="A26673" t="s">
        <v>31048</v>
      </c>
      <c r="B26673" t="s">
        <v>31050</v>
      </c>
      <c r="C26673">
        <v>4.3884289861299997E-2</v>
      </c>
      <c r="D26673">
        <v>0.92023398411000001</v>
      </c>
      <c r="E26673">
        <v>16.095952023988001</v>
      </c>
    </row>
    <row r="26674" spans="1:5">
      <c r="A26674" t="s">
        <v>31048</v>
      </c>
      <c r="B26674" t="s">
        <v>31051</v>
      </c>
      <c r="C26674">
        <v>0</v>
      </c>
      <c r="D26674">
        <v>0.92023398411000001</v>
      </c>
      <c r="E26674">
        <v>16.095952023988001</v>
      </c>
    </row>
    <row r="26675" spans="1:5">
      <c r="A26675" t="s">
        <v>31048</v>
      </c>
      <c r="B26675" t="s">
        <v>31052</v>
      </c>
      <c r="C26675">
        <f>0</f>
        <v>0</v>
      </c>
      <c r="D26675">
        <v>0.92023398411000001</v>
      </c>
      <c r="E26675">
        <v>16.095952023988001</v>
      </c>
    </row>
    <row r="26676" spans="1:5">
      <c r="A26676" t="s">
        <v>31048</v>
      </c>
      <c r="B26676" t="s">
        <v>31053</v>
      </c>
      <c r="C26676">
        <v>0</v>
      </c>
      <c r="D26676">
        <v>0.92023398411000001</v>
      </c>
      <c r="E26676">
        <v>16.095952023988001</v>
      </c>
    </row>
    <row r="26677" spans="1:5">
      <c r="A26677" t="s">
        <v>31048</v>
      </c>
      <c r="B26677" t="s">
        <v>31054</v>
      </c>
      <c r="C26677">
        <v>0</v>
      </c>
      <c r="D26677">
        <v>0.92023398411000001</v>
      </c>
      <c r="E26677">
        <v>16.095952023988001</v>
      </c>
    </row>
    <row r="26678" spans="1:5">
      <c r="A26678" t="s">
        <v>31048</v>
      </c>
      <c r="B26678" t="s">
        <v>31055</v>
      </c>
      <c r="C26678">
        <v>3.3043211413799997E-2</v>
      </c>
      <c r="D26678">
        <v>0.92023398411000001</v>
      </c>
      <c r="E26678">
        <v>16.095952023988001</v>
      </c>
    </row>
    <row r="26679" spans="1:5">
      <c r="A26679" t="s">
        <v>31048</v>
      </c>
      <c r="B26679" t="s">
        <v>31056</v>
      </c>
      <c r="C26679">
        <v>0</v>
      </c>
      <c r="D26679">
        <v>0.92023398411000001</v>
      </c>
      <c r="E26679">
        <v>16.095952023988001</v>
      </c>
    </row>
    <row r="26680" spans="1:5">
      <c r="A26680" t="s">
        <v>31048</v>
      </c>
      <c r="B26680" t="s">
        <v>31057</v>
      </c>
      <c r="C26680">
        <f>0</f>
        <v>0</v>
      </c>
      <c r="D26680">
        <v>0.92023398411000001</v>
      </c>
      <c r="E26680">
        <v>16.095952023988001</v>
      </c>
    </row>
    <row r="26681" spans="1:5">
      <c r="A26681" t="s">
        <v>31058</v>
      </c>
      <c r="B26681" t="s">
        <v>31059</v>
      </c>
      <c r="C26681">
        <v>0.41131829684600002</v>
      </c>
      <c r="D26681">
        <v>0.98091771760000002</v>
      </c>
      <c r="E26681">
        <v>5.1214392803598203</v>
      </c>
    </row>
    <row r="26682" spans="1:5">
      <c r="A26682" t="s">
        <v>31058</v>
      </c>
      <c r="B26682" t="s">
        <v>31060</v>
      </c>
      <c r="C26682">
        <v>2.8942182418E-2</v>
      </c>
      <c r="D26682">
        <v>0.98091771760000002</v>
      </c>
      <c r="E26682">
        <v>5.1214392803598203</v>
      </c>
    </row>
    <row r="26683" spans="1:5">
      <c r="A26683" t="s">
        <v>31058</v>
      </c>
      <c r="B26683" t="s">
        <v>31061</v>
      </c>
      <c r="C26683">
        <f>0</f>
        <v>0</v>
      </c>
      <c r="D26683">
        <v>0.98091771760000002</v>
      </c>
      <c r="E26683">
        <v>5.1214392803598203</v>
      </c>
    </row>
    <row r="26684" spans="1:5">
      <c r="A26684" t="s">
        <v>31062</v>
      </c>
      <c r="B26684" t="s">
        <v>31063</v>
      </c>
      <c r="C26684">
        <f>0.344432748454</f>
        <v>0.34443274845400002</v>
      </c>
      <c r="D26684">
        <v>0.91024857449800001</v>
      </c>
      <c r="E26684">
        <v>0.91154422788605605</v>
      </c>
    </row>
    <row r="26685" spans="1:5">
      <c r="A26685" t="s">
        <v>31062</v>
      </c>
      <c r="B26685" t="s">
        <v>31064</v>
      </c>
      <c r="C26685">
        <v>0</v>
      </c>
      <c r="D26685">
        <v>0.91024857449800001</v>
      </c>
      <c r="E26685">
        <v>0.91154422788605605</v>
      </c>
    </row>
    <row r="26686" spans="1:5">
      <c r="A26686" t="s">
        <v>31062</v>
      </c>
      <c r="B26686" t="s">
        <v>31065</v>
      </c>
      <c r="C26686">
        <f>0</f>
        <v>0</v>
      </c>
      <c r="D26686">
        <v>0.91024857449800001</v>
      </c>
      <c r="E26686">
        <v>0.91154422788605605</v>
      </c>
    </row>
    <row r="26687" spans="1:5">
      <c r="A26687" t="s">
        <v>31062</v>
      </c>
      <c r="B26687" t="s">
        <v>31066</v>
      </c>
      <c r="C26687">
        <f>0.117527822988</f>
        <v>0.11752782298800001</v>
      </c>
      <c r="D26687">
        <v>0.91024857449800001</v>
      </c>
      <c r="E26687">
        <v>0.91154422788605605</v>
      </c>
    </row>
    <row r="26688" spans="1:5">
      <c r="A26688" t="s">
        <v>31062</v>
      </c>
      <c r="B26688" t="s">
        <v>31067</v>
      </c>
      <c r="C26688">
        <v>0</v>
      </c>
      <c r="D26688">
        <v>0.91024857449800001</v>
      </c>
      <c r="E26688">
        <v>0.91154422788605605</v>
      </c>
    </row>
    <row r="26689" spans="1:5">
      <c r="A26689" t="s">
        <v>31068</v>
      </c>
      <c r="B26689" t="s">
        <v>31069</v>
      </c>
      <c r="C26689">
        <v>0</v>
      </c>
      <c r="D26689" t="s">
        <v>106</v>
      </c>
      <c r="E26689">
        <v>1.89505247376311</v>
      </c>
    </row>
    <row r="26690" spans="1:5">
      <c r="A26690" t="s">
        <v>31068</v>
      </c>
      <c r="B26690" t="s">
        <v>31070</v>
      </c>
      <c r="C26690">
        <f>0</f>
        <v>0</v>
      </c>
      <c r="D26690" t="s">
        <v>106</v>
      </c>
      <c r="E26690">
        <v>1.89505247376311</v>
      </c>
    </row>
    <row r="26691" spans="1:5">
      <c r="A26691" t="s">
        <v>31068</v>
      </c>
      <c r="B26691" t="s">
        <v>31071</v>
      </c>
      <c r="C26691">
        <v>0</v>
      </c>
      <c r="D26691" t="s">
        <v>106</v>
      </c>
      <c r="E26691">
        <v>1.89505247376311</v>
      </c>
    </row>
    <row r="26692" spans="1:5">
      <c r="A26692" t="s">
        <v>31068</v>
      </c>
      <c r="B26692" t="s">
        <v>31072</v>
      </c>
      <c r="C26692">
        <v>0</v>
      </c>
      <c r="D26692" t="s">
        <v>106</v>
      </c>
      <c r="E26692">
        <v>1.89505247376311</v>
      </c>
    </row>
    <row r="26693" spans="1:5">
      <c r="A26693" t="s">
        <v>31068</v>
      </c>
      <c r="B26693" t="s">
        <v>31073</v>
      </c>
      <c r="C26693">
        <f>0</f>
        <v>0</v>
      </c>
      <c r="D26693" t="s">
        <v>106</v>
      </c>
      <c r="E26693">
        <v>1.89505247376311</v>
      </c>
    </row>
    <row r="26694" spans="1:5">
      <c r="A26694" t="s">
        <v>31074</v>
      </c>
      <c r="B26694" t="s">
        <v>31075</v>
      </c>
      <c r="C26694">
        <v>9.7217599076500003E-2</v>
      </c>
      <c r="D26694">
        <v>0.94816211821100005</v>
      </c>
      <c r="E26694">
        <v>1.8230884557721101</v>
      </c>
    </row>
    <row r="26695" spans="1:5">
      <c r="A26695" t="s">
        <v>31074</v>
      </c>
      <c r="B26695" t="s">
        <v>31076</v>
      </c>
      <c r="C26695">
        <f>0.197454533348</f>
        <v>0.19745453334800001</v>
      </c>
      <c r="D26695">
        <v>0.94816211821100005</v>
      </c>
      <c r="E26695">
        <v>1.8230884557721101</v>
      </c>
    </row>
    <row r="26696" spans="1:5">
      <c r="A26696" t="s">
        <v>31074</v>
      </c>
      <c r="B26696" t="s">
        <v>31077</v>
      </c>
      <c r="C26696">
        <v>0</v>
      </c>
      <c r="D26696">
        <v>0.94816211821100005</v>
      </c>
      <c r="E26696">
        <v>1.8230884557721101</v>
      </c>
    </row>
    <row r="26697" spans="1:5">
      <c r="A26697" t="s">
        <v>31074</v>
      </c>
      <c r="B26697" t="s">
        <v>31078</v>
      </c>
      <c r="C26697">
        <f>0</f>
        <v>0</v>
      </c>
      <c r="D26697">
        <v>0.94816211821100005</v>
      </c>
      <c r="E26697">
        <v>1.8230884557721101</v>
      </c>
    </row>
    <row r="26698" spans="1:5">
      <c r="A26698" t="s">
        <v>31079</v>
      </c>
      <c r="B26698" t="s">
        <v>31080</v>
      </c>
      <c r="C26698">
        <f>0</f>
        <v>0</v>
      </c>
      <c r="D26698" t="s">
        <v>106</v>
      </c>
      <c r="E26698">
        <v>0.77961019490254801</v>
      </c>
    </row>
    <row r="26699" spans="1:5">
      <c r="A26699" t="s">
        <v>31079</v>
      </c>
      <c r="B26699" t="s">
        <v>31081</v>
      </c>
      <c r="C26699">
        <f>0</f>
        <v>0</v>
      </c>
      <c r="D26699" t="s">
        <v>106</v>
      </c>
      <c r="E26699">
        <v>0.77961019490254801</v>
      </c>
    </row>
    <row r="26700" spans="1:5">
      <c r="A26700" t="s">
        <v>31079</v>
      </c>
      <c r="B26700" t="s">
        <v>31082</v>
      </c>
      <c r="C26700">
        <v>0</v>
      </c>
      <c r="D26700" t="s">
        <v>106</v>
      </c>
      <c r="E26700">
        <v>0.77961019490254801</v>
      </c>
    </row>
    <row r="26701" spans="1:5">
      <c r="A26701" t="s">
        <v>31079</v>
      </c>
      <c r="B26701" t="s">
        <v>31083</v>
      </c>
      <c r="C26701">
        <f>0</f>
        <v>0</v>
      </c>
      <c r="D26701" t="s">
        <v>106</v>
      </c>
      <c r="E26701">
        <v>0.77961019490254801</v>
      </c>
    </row>
    <row r="26702" spans="1:5">
      <c r="A26702" t="s">
        <v>31079</v>
      </c>
      <c r="B26702" t="s">
        <v>31084</v>
      </c>
      <c r="C26702">
        <f>0</f>
        <v>0</v>
      </c>
      <c r="D26702" t="s">
        <v>106</v>
      </c>
      <c r="E26702">
        <v>0.77961019490254801</v>
      </c>
    </row>
    <row r="26703" spans="1:5">
      <c r="A26703" t="s">
        <v>31079</v>
      </c>
      <c r="B26703" t="s">
        <v>31085</v>
      </c>
      <c r="C26703">
        <v>0</v>
      </c>
      <c r="D26703" t="s">
        <v>106</v>
      </c>
      <c r="E26703">
        <v>0.77961019490254801</v>
      </c>
    </row>
    <row r="26704" spans="1:5">
      <c r="A26704" t="s">
        <v>31086</v>
      </c>
      <c r="B26704" t="s">
        <v>31087</v>
      </c>
      <c r="C26704">
        <f>0</f>
        <v>0</v>
      </c>
      <c r="D26704">
        <v>0.98438306812099996</v>
      </c>
      <c r="E26704">
        <v>2.39880059970015</v>
      </c>
    </row>
    <row r="26705" spans="1:5">
      <c r="A26705" t="s">
        <v>31086</v>
      </c>
      <c r="B26705" t="s">
        <v>31088</v>
      </c>
      <c r="C26705">
        <v>0.24412813458999999</v>
      </c>
      <c r="D26705">
        <v>0.98438306812099996</v>
      </c>
      <c r="E26705">
        <v>2.39880059970015</v>
      </c>
    </row>
    <row r="26706" spans="1:5">
      <c r="A26706" t="s">
        <v>31086</v>
      </c>
      <c r="B26706" t="s">
        <v>31089</v>
      </c>
      <c r="C26706">
        <f>0.0159947225529</f>
        <v>1.59947225529E-2</v>
      </c>
      <c r="D26706">
        <v>0.98438306812099996</v>
      </c>
      <c r="E26706">
        <v>2.39880059970015</v>
      </c>
    </row>
    <row r="26707" spans="1:5">
      <c r="A26707" t="s">
        <v>31090</v>
      </c>
      <c r="B26707" t="s">
        <v>31091</v>
      </c>
      <c r="C26707">
        <v>0</v>
      </c>
      <c r="D26707">
        <v>0.99654223342799997</v>
      </c>
      <c r="E26707">
        <v>0.77961019490254801</v>
      </c>
    </row>
    <row r="26708" spans="1:5">
      <c r="A26708" t="s">
        <v>31090</v>
      </c>
      <c r="B26708" t="s">
        <v>31092</v>
      </c>
      <c r="C26708">
        <v>0</v>
      </c>
      <c r="D26708">
        <v>0.99654223342799997</v>
      </c>
      <c r="E26708">
        <v>0.77961019490254801</v>
      </c>
    </row>
    <row r="26709" spans="1:5">
      <c r="A26709" t="s">
        <v>31090</v>
      </c>
      <c r="B26709" t="s">
        <v>31093</v>
      </c>
      <c r="C26709">
        <v>0.68461635029400003</v>
      </c>
      <c r="D26709">
        <v>0.99654223342799997</v>
      </c>
      <c r="E26709">
        <v>0.77961019490254801</v>
      </c>
    </row>
    <row r="26710" spans="1:5">
      <c r="A26710" t="s">
        <v>31090</v>
      </c>
      <c r="B26710" t="s">
        <v>31094</v>
      </c>
      <c r="C26710">
        <v>0</v>
      </c>
      <c r="D26710">
        <v>0.99654223342799997</v>
      </c>
      <c r="E26710">
        <v>0.77961019490254801</v>
      </c>
    </row>
    <row r="26711" spans="1:5">
      <c r="A26711" t="s">
        <v>31090</v>
      </c>
      <c r="B26711" t="s">
        <v>31095</v>
      </c>
      <c r="C26711">
        <f>0</f>
        <v>0</v>
      </c>
      <c r="D26711">
        <v>0.99654223342799997</v>
      </c>
      <c r="E26711">
        <v>0.77961019490254801</v>
      </c>
    </row>
    <row r="26712" spans="1:5">
      <c r="A26712" t="s">
        <v>31090</v>
      </c>
      <c r="B26712" t="s">
        <v>31096</v>
      </c>
      <c r="C26712">
        <f>0</f>
        <v>0</v>
      </c>
      <c r="D26712">
        <v>0.99654223342799997</v>
      </c>
      <c r="E26712">
        <v>0.77961019490254801</v>
      </c>
    </row>
    <row r="26713" spans="1:5">
      <c r="A26713" t="s">
        <v>31090</v>
      </c>
      <c r="B26713" t="s">
        <v>31097</v>
      </c>
      <c r="C26713">
        <v>0</v>
      </c>
      <c r="D26713">
        <v>0.99654223342799997</v>
      </c>
      <c r="E26713">
        <v>0.77961019490254801</v>
      </c>
    </row>
    <row r="26714" spans="1:5">
      <c r="A26714" t="s">
        <v>31090</v>
      </c>
      <c r="B26714" t="s">
        <v>31098</v>
      </c>
      <c r="C26714">
        <v>0</v>
      </c>
      <c r="D26714">
        <v>0.99654223342799997</v>
      </c>
      <c r="E26714">
        <v>0.77961019490254801</v>
      </c>
    </row>
    <row r="26715" spans="1:5">
      <c r="A26715" t="s">
        <v>31090</v>
      </c>
      <c r="B26715" t="s">
        <v>31099</v>
      </c>
      <c r="C26715">
        <v>0</v>
      </c>
      <c r="D26715">
        <v>0.99654223342799997</v>
      </c>
      <c r="E26715">
        <v>0.77961019490254801</v>
      </c>
    </row>
    <row r="26716" spans="1:5">
      <c r="A26716" t="s">
        <v>31090</v>
      </c>
      <c r="B26716" t="s">
        <v>31100</v>
      </c>
      <c r="C26716">
        <f>0.162631201066</f>
        <v>0.16263120106599999</v>
      </c>
      <c r="D26716">
        <v>0.99654223342799997</v>
      </c>
      <c r="E26716">
        <v>0.77961019490254801</v>
      </c>
    </row>
    <row r="26717" spans="1:5">
      <c r="A26717" t="s">
        <v>31090</v>
      </c>
      <c r="B26717" t="s">
        <v>31101</v>
      </c>
      <c r="C26717">
        <v>0</v>
      </c>
      <c r="D26717">
        <v>0.99654223342799997</v>
      </c>
      <c r="E26717">
        <v>0.77961019490254801</v>
      </c>
    </row>
    <row r="26718" spans="1:5">
      <c r="A26718" t="s">
        <v>31102</v>
      </c>
      <c r="B26718" t="s">
        <v>31103</v>
      </c>
      <c r="C26718">
        <v>0.50358524946399996</v>
      </c>
      <c r="D26718">
        <v>0.93700376064900004</v>
      </c>
      <c r="E26718">
        <v>7.7361319340329802</v>
      </c>
    </row>
    <row r="26719" spans="1:5">
      <c r="A26719" t="s">
        <v>31104</v>
      </c>
      <c r="B26719" t="s">
        <v>31105</v>
      </c>
      <c r="C26719">
        <v>0.25928039099700001</v>
      </c>
      <c r="D26719">
        <v>0.75645340801500005</v>
      </c>
      <c r="E26719">
        <v>6.5487256371814002</v>
      </c>
    </row>
    <row r="26720" spans="1:5">
      <c r="A26720" t="s">
        <v>31106</v>
      </c>
      <c r="B26720" t="s">
        <v>31107</v>
      </c>
      <c r="C26720">
        <f>0.0748022564369</f>
        <v>7.48022564369E-2</v>
      </c>
      <c r="D26720">
        <v>0.91465619687599997</v>
      </c>
      <c r="E26720">
        <v>24</v>
      </c>
    </row>
    <row r="26721" spans="1:5">
      <c r="A26721" t="s">
        <v>31106</v>
      </c>
      <c r="B26721" t="s">
        <v>31108</v>
      </c>
      <c r="C26721">
        <v>0</v>
      </c>
      <c r="D26721">
        <v>0.91465619687599997</v>
      </c>
      <c r="E26721">
        <v>24</v>
      </c>
    </row>
    <row r="26722" spans="1:5">
      <c r="A26722" t="s">
        <v>31106</v>
      </c>
      <c r="B26722" t="s">
        <v>31109</v>
      </c>
      <c r="C26722">
        <f>0.00967342483487</f>
        <v>9.6734248348699994E-3</v>
      </c>
      <c r="D26722">
        <v>0.91465619687599997</v>
      </c>
      <c r="E26722">
        <v>24</v>
      </c>
    </row>
    <row r="26723" spans="1:5">
      <c r="A26723" t="s">
        <v>31106</v>
      </c>
      <c r="B26723" t="s">
        <v>31110</v>
      </c>
      <c r="C26723">
        <f>0</f>
        <v>0</v>
      </c>
      <c r="D26723">
        <v>0.91465619687599997</v>
      </c>
      <c r="E26723">
        <v>24</v>
      </c>
    </row>
    <row r="26724" spans="1:5">
      <c r="A26724" t="s">
        <v>31111</v>
      </c>
      <c r="B26724" t="s">
        <v>31112</v>
      </c>
      <c r="C26724">
        <v>0</v>
      </c>
      <c r="D26724" t="s">
        <v>106</v>
      </c>
      <c r="E26724">
        <v>1.89505247376311</v>
      </c>
    </row>
    <row r="26725" spans="1:5">
      <c r="A26725" t="s">
        <v>31111</v>
      </c>
      <c r="B26725" t="s">
        <v>31113</v>
      </c>
      <c r="C26725">
        <v>0</v>
      </c>
      <c r="D26725" t="s">
        <v>106</v>
      </c>
      <c r="E26725">
        <v>1.89505247376311</v>
      </c>
    </row>
    <row r="26726" spans="1:5">
      <c r="A26726" t="s">
        <v>31111</v>
      </c>
      <c r="B26726" t="s">
        <v>31114</v>
      </c>
      <c r="C26726">
        <v>0</v>
      </c>
      <c r="D26726" t="s">
        <v>106</v>
      </c>
      <c r="E26726">
        <v>1.89505247376311</v>
      </c>
    </row>
    <row r="26727" spans="1:5">
      <c r="A26727" t="s">
        <v>31111</v>
      </c>
      <c r="B26727" t="s">
        <v>31115</v>
      </c>
      <c r="C26727">
        <f>0</f>
        <v>0</v>
      </c>
      <c r="D26727" t="s">
        <v>106</v>
      </c>
      <c r="E26727">
        <v>1.89505247376311</v>
      </c>
    </row>
    <row r="26728" spans="1:5">
      <c r="A26728" t="s">
        <v>31111</v>
      </c>
      <c r="B26728" t="s">
        <v>31116</v>
      </c>
      <c r="C26728">
        <f>0</f>
        <v>0</v>
      </c>
      <c r="D26728" t="s">
        <v>106</v>
      </c>
      <c r="E26728">
        <v>1.89505247376311</v>
      </c>
    </row>
    <row r="26729" spans="1:5">
      <c r="A26729" t="s">
        <v>31111</v>
      </c>
      <c r="B26729" t="s">
        <v>31117</v>
      </c>
      <c r="C26729">
        <f>0</f>
        <v>0</v>
      </c>
      <c r="D26729" t="s">
        <v>106</v>
      </c>
      <c r="E26729">
        <v>1.89505247376311</v>
      </c>
    </row>
    <row r="26730" spans="1:5">
      <c r="A26730" t="s">
        <v>31118</v>
      </c>
      <c r="B26730" t="s">
        <v>31119</v>
      </c>
      <c r="C26730">
        <v>0</v>
      </c>
      <c r="D26730">
        <v>0.86726810796800002</v>
      </c>
      <c r="E26730">
        <v>1.8230884557721101</v>
      </c>
    </row>
    <row r="26731" spans="1:5">
      <c r="A26731" t="s">
        <v>31118</v>
      </c>
      <c r="B26731" t="s">
        <v>31120</v>
      </c>
      <c r="C26731">
        <v>0.36637533290699997</v>
      </c>
      <c r="D26731">
        <v>0.86726810796800002</v>
      </c>
      <c r="E26731">
        <v>1.8230884557721101</v>
      </c>
    </row>
    <row r="26732" spans="1:5">
      <c r="A26732" t="s">
        <v>31118</v>
      </c>
      <c r="B26732" t="s">
        <v>31121</v>
      </c>
      <c r="C26732">
        <v>9.4751257124400003E-3</v>
      </c>
      <c r="D26732">
        <v>0.86726810796800002</v>
      </c>
      <c r="E26732">
        <v>1.8230884557721101</v>
      </c>
    </row>
    <row r="26733" spans="1:5">
      <c r="A26733" t="s">
        <v>31118</v>
      </c>
      <c r="B26733" t="s">
        <v>31122</v>
      </c>
      <c r="C26733">
        <v>0</v>
      </c>
      <c r="D26733">
        <v>0.86726810796800002</v>
      </c>
      <c r="E26733">
        <v>1.8230884557721101</v>
      </c>
    </row>
    <row r="26734" spans="1:5">
      <c r="A26734" t="s">
        <v>31123</v>
      </c>
      <c r="B26734" t="s">
        <v>31124</v>
      </c>
      <c r="C26734">
        <v>0</v>
      </c>
      <c r="D26734">
        <v>0.99123710634899997</v>
      </c>
      <c r="E26734">
        <v>9.6191904047975996</v>
      </c>
    </row>
    <row r="26735" spans="1:5">
      <c r="A26735" t="s">
        <v>31123</v>
      </c>
      <c r="B26735" t="s">
        <v>31125</v>
      </c>
      <c r="C26735">
        <v>0.56003075819199999</v>
      </c>
      <c r="D26735">
        <v>0.99123710634899997</v>
      </c>
      <c r="E26735">
        <v>9.6191904047975996</v>
      </c>
    </row>
    <row r="26736" spans="1:5">
      <c r="A26736" t="s">
        <v>31123</v>
      </c>
      <c r="B26736" t="s">
        <v>31126</v>
      </c>
      <c r="C26736">
        <f>0.103557966695</f>
        <v>0.103557966695</v>
      </c>
      <c r="D26736">
        <v>0.99123710634899997</v>
      </c>
      <c r="E26736">
        <v>9.6191904047975996</v>
      </c>
    </row>
    <row r="26737" spans="1:5">
      <c r="A26737" t="s">
        <v>31123</v>
      </c>
      <c r="B26737" t="s">
        <v>31127</v>
      </c>
      <c r="C26737">
        <v>0</v>
      </c>
      <c r="D26737">
        <v>0.99123710634899997</v>
      </c>
      <c r="E26737">
        <v>9.6191904047975996</v>
      </c>
    </row>
    <row r="26738" spans="1:5">
      <c r="A26738" t="s">
        <v>31123</v>
      </c>
      <c r="B26738" t="s">
        <v>31128</v>
      </c>
      <c r="C26738">
        <f>0</f>
        <v>0</v>
      </c>
      <c r="D26738">
        <v>0.99123710634899997</v>
      </c>
      <c r="E26738">
        <v>9.6191904047975996</v>
      </c>
    </row>
    <row r="26739" spans="1:5">
      <c r="A26739" t="s">
        <v>31129</v>
      </c>
      <c r="B26739" t="s">
        <v>31130</v>
      </c>
      <c r="C26739">
        <v>0</v>
      </c>
      <c r="D26739">
        <v>0.824395617932</v>
      </c>
      <c r="E26739">
        <v>8.1439280359820092</v>
      </c>
    </row>
    <row r="26740" spans="1:5">
      <c r="A26740" t="s">
        <v>31129</v>
      </c>
      <c r="B26740" t="s">
        <v>31131</v>
      </c>
      <c r="C26740">
        <v>0</v>
      </c>
      <c r="D26740">
        <v>0.824395617932</v>
      </c>
      <c r="E26740">
        <v>8.1439280359820092</v>
      </c>
    </row>
    <row r="26741" spans="1:5">
      <c r="A26741" t="s">
        <v>31129</v>
      </c>
      <c r="B26741" t="s">
        <v>31132</v>
      </c>
      <c r="C26741">
        <f>0</f>
        <v>0</v>
      </c>
      <c r="D26741">
        <v>0.824395617932</v>
      </c>
      <c r="E26741">
        <v>8.1439280359820092</v>
      </c>
    </row>
    <row r="26742" spans="1:5">
      <c r="A26742" t="s">
        <v>31129</v>
      </c>
      <c r="B26742" t="s">
        <v>31133</v>
      </c>
      <c r="C26742">
        <f>0</f>
        <v>0</v>
      </c>
      <c r="D26742">
        <v>0.824395617932</v>
      </c>
      <c r="E26742">
        <v>8.1439280359820092</v>
      </c>
    </row>
    <row r="26743" spans="1:5">
      <c r="A26743" t="s">
        <v>31129</v>
      </c>
      <c r="B26743" t="s">
        <v>31134</v>
      </c>
      <c r="C26743">
        <f>0.0260904772387</f>
        <v>2.6090477238700002E-2</v>
      </c>
      <c r="D26743">
        <v>0.824395617932</v>
      </c>
      <c r="E26743">
        <v>8.1439280359820092</v>
      </c>
    </row>
    <row r="26744" spans="1:5">
      <c r="A26744" t="s">
        <v>31129</v>
      </c>
      <c r="B26744" t="s">
        <v>31135</v>
      </c>
      <c r="C26744">
        <f>0</f>
        <v>0</v>
      </c>
      <c r="D26744">
        <v>0.824395617932</v>
      </c>
      <c r="E26744">
        <v>8.1439280359820092</v>
      </c>
    </row>
    <row r="26745" spans="1:5">
      <c r="A26745" t="s">
        <v>31129</v>
      </c>
      <c r="B26745" t="s">
        <v>31136</v>
      </c>
      <c r="C26745">
        <f>0.0960001169189</f>
        <v>9.6000116918899994E-2</v>
      </c>
      <c r="D26745">
        <v>0.824395617932</v>
      </c>
      <c r="E26745">
        <v>8.1439280359820092</v>
      </c>
    </row>
    <row r="26746" spans="1:5">
      <c r="A26746" t="s">
        <v>31137</v>
      </c>
      <c r="B26746" t="s">
        <v>31138</v>
      </c>
      <c r="C26746">
        <f>0.103148909772</f>
        <v>0.103148909772</v>
      </c>
      <c r="D26746">
        <v>0.98671722981999999</v>
      </c>
      <c r="E26746">
        <v>3.2263868065966999</v>
      </c>
    </row>
    <row r="26747" spans="1:5">
      <c r="A26747" t="s">
        <v>31137</v>
      </c>
      <c r="B26747" t="s">
        <v>31139</v>
      </c>
      <c r="C26747">
        <f>0.0485033964274</f>
        <v>4.8503396427400002E-2</v>
      </c>
      <c r="D26747">
        <v>0.98671722981999999</v>
      </c>
      <c r="E26747">
        <v>3.2263868065966999</v>
      </c>
    </row>
    <row r="26748" spans="1:5">
      <c r="A26748" t="s">
        <v>31137</v>
      </c>
      <c r="B26748" t="s">
        <v>31140</v>
      </c>
      <c r="C26748">
        <f>0</f>
        <v>0</v>
      </c>
      <c r="D26748">
        <v>0.98671722981999999</v>
      </c>
      <c r="E26748">
        <v>3.2263868065966999</v>
      </c>
    </row>
    <row r="26749" spans="1:5">
      <c r="A26749" t="s">
        <v>31137</v>
      </c>
      <c r="B26749" t="s">
        <v>31141</v>
      </c>
      <c r="C26749">
        <f>0</f>
        <v>0</v>
      </c>
      <c r="D26749">
        <v>0.98671722981999999</v>
      </c>
      <c r="E26749">
        <v>3.2263868065966999</v>
      </c>
    </row>
    <row r="26750" spans="1:5">
      <c r="A26750" t="s">
        <v>31137</v>
      </c>
      <c r="B26750" t="s">
        <v>31142</v>
      </c>
      <c r="C26750">
        <f>0</f>
        <v>0</v>
      </c>
      <c r="D26750">
        <v>0.98671722981999999</v>
      </c>
      <c r="E26750">
        <v>3.2263868065966999</v>
      </c>
    </row>
    <row r="26751" spans="1:5">
      <c r="A26751" t="s">
        <v>31137</v>
      </c>
      <c r="B26751" t="s">
        <v>31143</v>
      </c>
      <c r="C26751">
        <f>0</f>
        <v>0</v>
      </c>
      <c r="D26751">
        <v>0.98671722981999999</v>
      </c>
      <c r="E26751">
        <v>3.2263868065966999</v>
      </c>
    </row>
    <row r="26752" spans="1:5">
      <c r="A26752" t="s">
        <v>31137</v>
      </c>
      <c r="B26752" t="s">
        <v>31144</v>
      </c>
      <c r="C26752">
        <f>0</f>
        <v>0</v>
      </c>
      <c r="D26752">
        <v>0.98671722981999999</v>
      </c>
      <c r="E26752">
        <v>3.2263868065966999</v>
      </c>
    </row>
    <row r="26753" spans="1:5">
      <c r="A26753" t="s">
        <v>31145</v>
      </c>
      <c r="B26753" t="s">
        <v>31146</v>
      </c>
      <c r="C26753">
        <v>0</v>
      </c>
      <c r="D26753" t="s">
        <v>106</v>
      </c>
      <c r="E26753">
        <v>4.58170914542728</v>
      </c>
    </row>
    <row r="26754" spans="1:5">
      <c r="A26754" t="s">
        <v>31145</v>
      </c>
      <c r="B26754" t="s">
        <v>31147</v>
      </c>
      <c r="C26754">
        <v>0</v>
      </c>
      <c r="D26754" t="s">
        <v>106</v>
      </c>
      <c r="E26754">
        <v>4.58170914542728</v>
      </c>
    </row>
    <row r="26755" spans="1:5">
      <c r="A26755" t="s">
        <v>31148</v>
      </c>
      <c r="B26755" t="s">
        <v>31149</v>
      </c>
      <c r="C26755">
        <v>0</v>
      </c>
      <c r="D26755">
        <v>0.90099248376200003</v>
      </c>
      <c r="E26755">
        <v>7.1964017991004496</v>
      </c>
    </row>
    <row r="26756" spans="1:5">
      <c r="A26756" t="s">
        <v>31148</v>
      </c>
      <c r="B26756" t="s">
        <v>31150</v>
      </c>
      <c r="C26756">
        <f>0</f>
        <v>0</v>
      </c>
      <c r="D26756">
        <v>0.90099248376200003</v>
      </c>
      <c r="E26756">
        <v>7.1964017991004496</v>
      </c>
    </row>
    <row r="26757" spans="1:5">
      <c r="A26757" t="s">
        <v>31148</v>
      </c>
      <c r="B26757" t="s">
        <v>31151</v>
      </c>
      <c r="C26757">
        <v>0</v>
      </c>
      <c r="D26757">
        <v>0.90099248376200003</v>
      </c>
      <c r="E26757">
        <v>7.1964017991004496</v>
      </c>
    </row>
    <row r="26758" spans="1:5">
      <c r="A26758" t="s">
        <v>31148</v>
      </c>
      <c r="B26758" t="s">
        <v>31152</v>
      </c>
      <c r="C26758">
        <f>0</f>
        <v>0</v>
      </c>
      <c r="D26758">
        <v>0.90099248376200003</v>
      </c>
      <c r="E26758">
        <v>7.1964017991004496</v>
      </c>
    </row>
    <row r="26759" spans="1:5">
      <c r="A26759" t="s">
        <v>31148</v>
      </c>
      <c r="B26759" t="s">
        <v>31153</v>
      </c>
      <c r="C26759">
        <v>0.292412202397</v>
      </c>
      <c r="D26759">
        <v>0.90099248376200003</v>
      </c>
      <c r="E26759">
        <v>7.1964017991004496</v>
      </c>
    </row>
    <row r="26760" spans="1:5">
      <c r="A26760" t="s">
        <v>31154</v>
      </c>
      <c r="B26760" t="s">
        <v>31155</v>
      </c>
      <c r="C26760">
        <f>0</f>
        <v>0</v>
      </c>
      <c r="D26760" t="s">
        <v>106</v>
      </c>
      <c r="E26760">
        <v>23.7481259370314</v>
      </c>
    </row>
    <row r="26761" spans="1:5">
      <c r="A26761" t="s">
        <v>31154</v>
      </c>
      <c r="B26761" t="s">
        <v>31156</v>
      </c>
      <c r="C26761">
        <v>0</v>
      </c>
      <c r="D26761" t="s">
        <v>106</v>
      </c>
      <c r="E26761">
        <v>23.7481259370314</v>
      </c>
    </row>
    <row r="26762" spans="1:5">
      <c r="A26762" t="s">
        <v>31154</v>
      </c>
      <c r="B26762" t="s">
        <v>31157</v>
      </c>
      <c r="C26762">
        <v>0</v>
      </c>
      <c r="D26762" t="s">
        <v>106</v>
      </c>
      <c r="E26762">
        <v>23.7481259370314</v>
      </c>
    </row>
    <row r="26763" spans="1:5">
      <c r="A26763" t="s">
        <v>31158</v>
      </c>
      <c r="B26763" t="s">
        <v>31159</v>
      </c>
      <c r="C26763">
        <v>0</v>
      </c>
      <c r="D26763">
        <v>0.99012531802199999</v>
      </c>
      <c r="E26763">
        <v>0.77961019490254801</v>
      </c>
    </row>
    <row r="26764" spans="1:5">
      <c r="A26764" t="s">
        <v>31158</v>
      </c>
      <c r="B26764" t="s">
        <v>31160</v>
      </c>
      <c r="C26764">
        <v>0.68737485945499999</v>
      </c>
      <c r="D26764">
        <v>0.99012531802199999</v>
      </c>
      <c r="E26764">
        <v>0.77961019490254801</v>
      </c>
    </row>
    <row r="26765" spans="1:5">
      <c r="A26765" t="s">
        <v>31158</v>
      </c>
      <c r="B26765" t="s">
        <v>31161</v>
      </c>
      <c r="C26765">
        <f>0.0699805902167</f>
        <v>6.99805902167E-2</v>
      </c>
      <c r="D26765">
        <v>0.99012531802199999</v>
      </c>
      <c r="E26765">
        <v>0.77961019490254801</v>
      </c>
    </row>
    <row r="26766" spans="1:5">
      <c r="A26766" t="s">
        <v>31162</v>
      </c>
      <c r="B26766" t="s">
        <v>31163</v>
      </c>
      <c r="C26766">
        <v>2.6632620081100001E-2</v>
      </c>
      <c r="D26766">
        <v>0.88006437608999999</v>
      </c>
      <c r="E26766">
        <v>1.22338830584707</v>
      </c>
    </row>
    <row r="26767" spans="1:5">
      <c r="A26767" t="s">
        <v>31162</v>
      </c>
      <c r="B26767" t="s">
        <v>31164</v>
      </c>
      <c r="C26767">
        <f>0.214055099954</f>
        <v>0.21405509995399999</v>
      </c>
      <c r="D26767">
        <v>0.88006437608999999</v>
      </c>
      <c r="E26767">
        <v>1.22338830584707</v>
      </c>
    </row>
    <row r="26768" spans="1:5">
      <c r="A26768" t="s">
        <v>31162</v>
      </c>
      <c r="B26768" t="s">
        <v>31165</v>
      </c>
      <c r="C26768">
        <f>0</f>
        <v>0</v>
      </c>
      <c r="D26768">
        <v>0.88006437608999999</v>
      </c>
      <c r="E26768">
        <v>1.22338830584707</v>
      </c>
    </row>
    <row r="26769" spans="1:5">
      <c r="A26769" t="s">
        <v>31162</v>
      </c>
      <c r="B26769" t="s">
        <v>31166</v>
      </c>
      <c r="C26769">
        <f>0</f>
        <v>0</v>
      </c>
      <c r="D26769">
        <v>0.88006437608999999</v>
      </c>
      <c r="E26769">
        <v>1.22338830584707</v>
      </c>
    </row>
    <row r="26770" spans="1:5">
      <c r="A26770" t="s">
        <v>31167</v>
      </c>
      <c r="B26770" t="s">
        <v>31168</v>
      </c>
      <c r="C26770">
        <v>0.260689097491</v>
      </c>
      <c r="D26770">
        <v>0.99659554415700002</v>
      </c>
      <c r="E26770">
        <v>14.176911544227799</v>
      </c>
    </row>
    <row r="26771" spans="1:5">
      <c r="A26771" t="s">
        <v>31167</v>
      </c>
      <c r="B26771" t="s">
        <v>31169</v>
      </c>
      <c r="C26771">
        <f>0</f>
        <v>0</v>
      </c>
      <c r="D26771">
        <v>0.99659554415700002</v>
      </c>
      <c r="E26771">
        <v>14.176911544227799</v>
      </c>
    </row>
    <row r="26772" spans="1:5">
      <c r="A26772" t="s">
        <v>31167</v>
      </c>
      <c r="B26772" t="s">
        <v>31170</v>
      </c>
      <c r="C26772">
        <v>6.6602079525899999E-2</v>
      </c>
      <c r="D26772">
        <v>0.99659554415700002</v>
      </c>
      <c r="E26772">
        <v>14.176911544227799</v>
      </c>
    </row>
    <row r="26773" spans="1:5">
      <c r="A26773" t="s">
        <v>31171</v>
      </c>
      <c r="B26773" t="s">
        <v>31172</v>
      </c>
      <c r="C26773">
        <f>0</f>
        <v>0</v>
      </c>
      <c r="D26773">
        <v>0.96952771314800001</v>
      </c>
      <c r="E26773">
        <v>15.316341829085401</v>
      </c>
    </row>
    <row r="26774" spans="1:5">
      <c r="A26774" t="s">
        <v>31171</v>
      </c>
      <c r="B26774" t="s">
        <v>31173</v>
      </c>
      <c r="C26774">
        <f>0</f>
        <v>0</v>
      </c>
      <c r="D26774">
        <v>0.96952771314800001</v>
      </c>
      <c r="E26774">
        <v>15.316341829085401</v>
      </c>
    </row>
    <row r="26775" spans="1:5">
      <c r="A26775" t="s">
        <v>31171</v>
      </c>
      <c r="B26775" t="s">
        <v>31174</v>
      </c>
      <c r="C26775">
        <f>0.0882452562518</f>
        <v>8.8245256251800006E-2</v>
      </c>
      <c r="D26775">
        <v>0.96952771314800001</v>
      </c>
      <c r="E26775">
        <v>15.316341829085401</v>
      </c>
    </row>
    <row r="26776" spans="1:5">
      <c r="A26776" t="s">
        <v>31171</v>
      </c>
      <c r="B26776" t="s">
        <v>31175</v>
      </c>
      <c r="C26776">
        <v>0</v>
      </c>
      <c r="D26776">
        <v>0.96952771314800001</v>
      </c>
      <c r="E26776">
        <v>15.316341829085401</v>
      </c>
    </row>
    <row r="26777" spans="1:5">
      <c r="A26777" t="s">
        <v>31171</v>
      </c>
      <c r="B26777" t="s">
        <v>31176</v>
      </c>
      <c r="C26777">
        <v>0</v>
      </c>
      <c r="D26777">
        <v>0.96952771314800001</v>
      </c>
      <c r="E26777">
        <v>15.316341829085401</v>
      </c>
    </row>
    <row r="26778" spans="1:5">
      <c r="A26778" t="s">
        <v>31171</v>
      </c>
      <c r="B26778" t="s">
        <v>31177</v>
      </c>
      <c r="C26778">
        <v>0</v>
      </c>
      <c r="D26778">
        <v>0.96952771314800001</v>
      </c>
      <c r="E26778">
        <v>15.316341829085401</v>
      </c>
    </row>
    <row r="26779" spans="1:5">
      <c r="A26779" t="s">
        <v>31171</v>
      </c>
      <c r="B26779" t="s">
        <v>31178</v>
      </c>
      <c r="C26779">
        <v>4.2667183203200003E-2</v>
      </c>
      <c r="D26779">
        <v>0.96952771314800001</v>
      </c>
      <c r="E26779">
        <v>15.316341829085401</v>
      </c>
    </row>
    <row r="26780" spans="1:5">
      <c r="A26780" t="s">
        <v>31171</v>
      </c>
      <c r="B26780" t="s">
        <v>31179</v>
      </c>
      <c r="C26780">
        <f>0</f>
        <v>0</v>
      </c>
      <c r="D26780">
        <v>0.96952771314800001</v>
      </c>
      <c r="E26780">
        <v>15.316341829085401</v>
      </c>
    </row>
    <row r="26781" spans="1:5">
      <c r="A26781" t="s">
        <v>31180</v>
      </c>
      <c r="B26781" t="s">
        <v>31181</v>
      </c>
      <c r="C26781">
        <v>0.49039866761200002</v>
      </c>
      <c r="D26781">
        <v>0.72575864799099998</v>
      </c>
      <c r="E26781">
        <v>0.23988005997001499</v>
      </c>
    </row>
    <row r="26782" spans="1:5">
      <c r="A26782" t="s">
        <v>31182</v>
      </c>
      <c r="B26782" t="s">
        <v>31183</v>
      </c>
      <c r="C26782">
        <v>8.0263958216899994E-2</v>
      </c>
      <c r="D26782">
        <v>0.94726594970099998</v>
      </c>
      <c r="E26782">
        <v>1.16341829085457</v>
      </c>
    </row>
    <row r="26783" spans="1:5">
      <c r="A26783" t="s">
        <v>31182</v>
      </c>
      <c r="B26783" t="s">
        <v>31184</v>
      </c>
      <c r="C26783">
        <f>0</f>
        <v>0</v>
      </c>
      <c r="D26783">
        <v>0.94726594970099998</v>
      </c>
      <c r="E26783">
        <v>1.16341829085457</v>
      </c>
    </row>
    <row r="26784" spans="1:5">
      <c r="A26784" t="s">
        <v>31182</v>
      </c>
      <c r="B26784" t="s">
        <v>31185</v>
      </c>
      <c r="C26784">
        <f>0</f>
        <v>0</v>
      </c>
      <c r="D26784">
        <v>0.94726594970099998</v>
      </c>
      <c r="E26784">
        <v>1.16341829085457</v>
      </c>
    </row>
    <row r="26785" spans="1:5">
      <c r="A26785" t="s">
        <v>31182</v>
      </c>
      <c r="B26785" t="s">
        <v>31186</v>
      </c>
      <c r="C26785">
        <f>0</f>
        <v>0</v>
      </c>
      <c r="D26785">
        <v>0.94726594970099998</v>
      </c>
      <c r="E26785">
        <v>1.16341829085457</v>
      </c>
    </row>
    <row r="26786" spans="1:5">
      <c r="A26786" t="s">
        <v>31182</v>
      </c>
      <c r="B26786" t="s">
        <v>31187</v>
      </c>
      <c r="C26786">
        <v>0</v>
      </c>
      <c r="D26786">
        <v>0.94726594970099998</v>
      </c>
      <c r="E26786">
        <v>1.16341829085457</v>
      </c>
    </row>
    <row r="26787" spans="1:5">
      <c r="A26787" t="s">
        <v>31182</v>
      </c>
      <c r="B26787" t="s">
        <v>31188</v>
      </c>
      <c r="C26787">
        <f>0</f>
        <v>0</v>
      </c>
      <c r="D26787">
        <v>0.94726594970099998</v>
      </c>
      <c r="E26787">
        <v>1.16341829085457</v>
      </c>
    </row>
    <row r="26788" spans="1:5">
      <c r="A26788" t="s">
        <v>31189</v>
      </c>
      <c r="B26788" t="s">
        <v>31190</v>
      </c>
      <c r="C26788">
        <v>0.10029638441200001</v>
      </c>
      <c r="D26788">
        <v>0.78548386293500005</v>
      </c>
      <c r="E26788">
        <v>11.0344827586206</v>
      </c>
    </row>
    <row r="26789" spans="1:5">
      <c r="A26789" t="s">
        <v>31189</v>
      </c>
      <c r="B26789" t="s">
        <v>31191</v>
      </c>
      <c r="C26789">
        <f>0</f>
        <v>0</v>
      </c>
      <c r="D26789">
        <v>0.78548386293500005</v>
      </c>
      <c r="E26789">
        <v>11.0344827586206</v>
      </c>
    </row>
    <row r="26790" spans="1:5">
      <c r="A26790" t="s">
        <v>31189</v>
      </c>
      <c r="B26790" t="s">
        <v>31192</v>
      </c>
      <c r="C26790">
        <v>0.188883075708</v>
      </c>
      <c r="D26790">
        <v>0.78548386293500005</v>
      </c>
      <c r="E26790">
        <v>11.0344827586206</v>
      </c>
    </row>
    <row r="26791" spans="1:5">
      <c r="A26791" t="s">
        <v>31193</v>
      </c>
      <c r="B26791" t="s">
        <v>31194</v>
      </c>
      <c r="C26791">
        <f>0.252164317852</f>
        <v>0.252164317852</v>
      </c>
      <c r="D26791">
        <v>0.78930755573400002</v>
      </c>
      <c r="E26791">
        <v>1.16341829085457</v>
      </c>
    </row>
    <row r="26792" spans="1:5">
      <c r="A26792" t="s">
        <v>31193</v>
      </c>
      <c r="B26792" t="s">
        <v>31195</v>
      </c>
      <c r="C26792">
        <v>0</v>
      </c>
      <c r="D26792">
        <v>0.78930755573400002</v>
      </c>
      <c r="E26792">
        <v>1.16341829085457</v>
      </c>
    </row>
    <row r="26793" spans="1:5">
      <c r="A26793" t="s">
        <v>31193</v>
      </c>
      <c r="B26793" t="s">
        <v>31196</v>
      </c>
      <c r="C26793">
        <v>8.1087355318099994E-3</v>
      </c>
      <c r="D26793">
        <v>0.78930755573400002</v>
      </c>
      <c r="E26793">
        <v>1.16341829085457</v>
      </c>
    </row>
    <row r="26794" spans="1:5">
      <c r="A26794" t="s">
        <v>31193</v>
      </c>
      <c r="B26794" t="s">
        <v>31197</v>
      </c>
      <c r="C26794">
        <f>0</f>
        <v>0</v>
      </c>
      <c r="D26794">
        <v>0.78930755573400002</v>
      </c>
      <c r="E26794">
        <v>1.16341829085457</v>
      </c>
    </row>
    <row r="26795" spans="1:5">
      <c r="A26795" t="s">
        <v>31193</v>
      </c>
      <c r="B26795" t="s">
        <v>31198</v>
      </c>
      <c r="C26795">
        <f>0</f>
        <v>0</v>
      </c>
      <c r="D26795">
        <v>0.78930755573400002</v>
      </c>
      <c r="E26795">
        <v>1.16341829085457</v>
      </c>
    </row>
    <row r="26796" spans="1:5">
      <c r="A26796" t="s">
        <v>31193</v>
      </c>
      <c r="B26796" t="s">
        <v>31199</v>
      </c>
      <c r="C26796">
        <v>0</v>
      </c>
      <c r="D26796">
        <v>0.78930755573400002</v>
      </c>
      <c r="E26796">
        <v>1.16341829085457</v>
      </c>
    </row>
    <row r="26797" spans="1:5">
      <c r="A26797" t="s">
        <v>31193</v>
      </c>
      <c r="B26797" t="s">
        <v>31200</v>
      </c>
      <c r="C26797">
        <f>0</f>
        <v>0</v>
      </c>
      <c r="D26797">
        <v>0.78930755573400002</v>
      </c>
      <c r="E26797">
        <v>1.16341829085457</v>
      </c>
    </row>
    <row r="26798" spans="1:5">
      <c r="A26798" t="s">
        <v>31201</v>
      </c>
      <c r="B26798" t="s">
        <v>31202</v>
      </c>
      <c r="C26798">
        <v>0.20617537561900001</v>
      </c>
      <c r="D26798">
        <v>0.79457816308100004</v>
      </c>
      <c r="E26798">
        <v>0.61169415292353801</v>
      </c>
    </row>
    <row r="26799" spans="1:5">
      <c r="A26799" t="s">
        <v>31201</v>
      </c>
      <c r="B26799" t="s">
        <v>31203</v>
      </c>
      <c r="C26799">
        <f>0.196382366216</f>
        <v>0.196382366216</v>
      </c>
      <c r="D26799">
        <v>0.79457816308100004</v>
      </c>
      <c r="E26799">
        <v>0.61169415292353801</v>
      </c>
    </row>
    <row r="26800" spans="1:5">
      <c r="A26800" t="s">
        <v>31201</v>
      </c>
      <c r="B26800" t="s">
        <v>31204</v>
      </c>
      <c r="C26800">
        <v>0</v>
      </c>
      <c r="D26800">
        <v>0.79457816308100004</v>
      </c>
      <c r="E26800">
        <v>0.61169415292353801</v>
      </c>
    </row>
    <row r="26801" spans="1:5">
      <c r="A26801" t="s">
        <v>31205</v>
      </c>
      <c r="B26801" t="s">
        <v>31206</v>
      </c>
      <c r="C26801">
        <f>0.0224971886681</f>
        <v>2.24971886681E-2</v>
      </c>
      <c r="D26801">
        <v>0.63847735409899997</v>
      </c>
      <c r="E26801">
        <v>5.2413793103448203</v>
      </c>
    </row>
    <row r="26802" spans="1:5">
      <c r="A26802" t="s">
        <v>31205</v>
      </c>
      <c r="B26802" t="s">
        <v>31207</v>
      </c>
      <c r="C26802">
        <v>0</v>
      </c>
      <c r="D26802">
        <v>0.63847735409899997</v>
      </c>
      <c r="E26802">
        <v>5.2413793103448203</v>
      </c>
    </row>
    <row r="26803" spans="1:5">
      <c r="A26803" t="s">
        <v>31205</v>
      </c>
      <c r="B26803" t="s">
        <v>31208</v>
      </c>
      <c r="C26803">
        <v>0</v>
      </c>
      <c r="D26803">
        <v>0.63847735409899997</v>
      </c>
      <c r="E26803">
        <v>5.2413793103448203</v>
      </c>
    </row>
    <row r="26804" spans="1:5">
      <c r="A26804" t="s">
        <v>31205</v>
      </c>
      <c r="B26804" t="s">
        <v>31209</v>
      </c>
      <c r="C26804">
        <f>0</f>
        <v>0</v>
      </c>
      <c r="D26804">
        <v>0.63847735409899997</v>
      </c>
      <c r="E26804">
        <v>5.2413793103448203</v>
      </c>
    </row>
    <row r="26805" spans="1:5">
      <c r="A26805" t="s">
        <v>31210</v>
      </c>
      <c r="B26805" t="s">
        <v>31211</v>
      </c>
      <c r="C26805">
        <f>0</f>
        <v>0</v>
      </c>
      <c r="D26805">
        <v>0.81767052229199999</v>
      </c>
      <c r="E26805">
        <v>2.2548725637181399</v>
      </c>
    </row>
    <row r="26806" spans="1:5">
      <c r="A26806" t="s">
        <v>31210</v>
      </c>
      <c r="B26806" t="s">
        <v>31212</v>
      </c>
      <c r="C26806">
        <f>0.638209566638</f>
        <v>0.63820956663799999</v>
      </c>
      <c r="D26806">
        <v>0.81767052229199999</v>
      </c>
      <c r="E26806">
        <v>2.2548725637181399</v>
      </c>
    </row>
    <row r="26807" spans="1:5">
      <c r="A26807" t="s">
        <v>31210</v>
      </c>
      <c r="B26807" t="s">
        <v>31213</v>
      </c>
      <c r="C26807">
        <v>0</v>
      </c>
      <c r="D26807">
        <v>0.81767052229199999</v>
      </c>
      <c r="E26807">
        <v>2.2548725637181399</v>
      </c>
    </row>
    <row r="26808" spans="1:5">
      <c r="A26808" t="s">
        <v>31210</v>
      </c>
      <c r="B26808" t="s">
        <v>31214</v>
      </c>
      <c r="C26808">
        <f>0.115052804161</f>
        <v>0.115052804161</v>
      </c>
      <c r="D26808">
        <v>0.81767052229199999</v>
      </c>
      <c r="E26808">
        <v>2.2548725637181399</v>
      </c>
    </row>
    <row r="26809" spans="1:5">
      <c r="A26809" t="s">
        <v>31210</v>
      </c>
      <c r="B26809" t="s">
        <v>31215</v>
      </c>
      <c r="C26809">
        <f>0</f>
        <v>0</v>
      </c>
      <c r="D26809">
        <v>0.81767052229199999</v>
      </c>
      <c r="E26809">
        <v>2.2548725637181399</v>
      </c>
    </row>
    <row r="26810" spans="1:5">
      <c r="A26810" t="s">
        <v>31210</v>
      </c>
      <c r="B26810" t="s">
        <v>31216</v>
      </c>
      <c r="C26810">
        <f>0</f>
        <v>0</v>
      </c>
      <c r="D26810">
        <v>0.81767052229199999</v>
      </c>
      <c r="E26810">
        <v>2.2548725637181399</v>
      </c>
    </row>
    <row r="26811" spans="1:5">
      <c r="A26811" t="s">
        <v>31217</v>
      </c>
      <c r="B26811" t="s">
        <v>31218</v>
      </c>
      <c r="C26811">
        <v>4.5715448000599998E-2</v>
      </c>
      <c r="D26811" t="s">
        <v>106</v>
      </c>
      <c r="E26811">
        <v>20.065967016491701</v>
      </c>
    </row>
    <row r="26812" spans="1:5">
      <c r="A26812" t="s">
        <v>31217</v>
      </c>
      <c r="B26812" t="s">
        <v>31219</v>
      </c>
      <c r="C26812">
        <v>0</v>
      </c>
      <c r="D26812" t="s">
        <v>106</v>
      </c>
      <c r="E26812">
        <v>20.065967016491701</v>
      </c>
    </row>
    <row r="26813" spans="1:5">
      <c r="A26813" t="s">
        <v>31217</v>
      </c>
      <c r="B26813" t="s">
        <v>31220</v>
      </c>
      <c r="C26813">
        <v>0</v>
      </c>
      <c r="D26813" t="s">
        <v>106</v>
      </c>
      <c r="E26813">
        <v>20.065967016491701</v>
      </c>
    </row>
    <row r="26814" spans="1:5">
      <c r="A26814" t="s">
        <v>31217</v>
      </c>
      <c r="B26814" t="s">
        <v>31221</v>
      </c>
      <c r="C26814">
        <v>0</v>
      </c>
      <c r="D26814" t="s">
        <v>106</v>
      </c>
      <c r="E26814">
        <v>20.065967016491701</v>
      </c>
    </row>
    <row r="26815" spans="1:5">
      <c r="A26815" t="s">
        <v>31217</v>
      </c>
      <c r="B26815" t="s">
        <v>31222</v>
      </c>
      <c r="C26815">
        <v>0</v>
      </c>
      <c r="D26815" t="s">
        <v>106</v>
      </c>
      <c r="E26815">
        <v>20.065967016491701</v>
      </c>
    </row>
    <row r="26816" spans="1:5">
      <c r="A26816" t="s">
        <v>31217</v>
      </c>
      <c r="B26816" t="s">
        <v>31223</v>
      </c>
      <c r="C26816">
        <v>0</v>
      </c>
      <c r="D26816" t="s">
        <v>106</v>
      </c>
      <c r="E26816">
        <v>20.065967016491701</v>
      </c>
    </row>
    <row r="26817" spans="1:5">
      <c r="A26817" t="s">
        <v>31224</v>
      </c>
      <c r="B26817" t="s">
        <v>31225</v>
      </c>
      <c r="C26817">
        <v>0</v>
      </c>
      <c r="D26817">
        <v>0.69637818427099996</v>
      </c>
      <c r="E26817">
        <v>20.509745127436201</v>
      </c>
    </row>
    <row r="26818" spans="1:5">
      <c r="A26818" t="s">
        <v>31224</v>
      </c>
      <c r="B26818" t="s">
        <v>31226</v>
      </c>
      <c r="C26818">
        <v>0.185236899929</v>
      </c>
      <c r="D26818">
        <v>0.69637818427099996</v>
      </c>
      <c r="E26818">
        <v>20.509745127436201</v>
      </c>
    </row>
    <row r="26819" spans="1:5">
      <c r="A26819" t="s">
        <v>31224</v>
      </c>
      <c r="B26819" t="s">
        <v>31227</v>
      </c>
      <c r="C26819">
        <f>0</f>
        <v>0</v>
      </c>
      <c r="D26819">
        <v>0.69637818427099996</v>
      </c>
      <c r="E26819">
        <v>20.509745127436201</v>
      </c>
    </row>
    <row r="26820" spans="1:5">
      <c r="A26820" t="s">
        <v>31224</v>
      </c>
      <c r="B26820" t="s">
        <v>31228</v>
      </c>
      <c r="C26820">
        <f>0.0191192248624</f>
        <v>1.9119224862399999E-2</v>
      </c>
      <c r="D26820">
        <v>0.69637818427099996</v>
      </c>
      <c r="E26820">
        <v>20.509745127436201</v>
      </c>
    </row>
    <row r="26821" spans="1:5">
      <c r="A26821" t="s">
        <v>31224</v>
      </c>
      <c r="B26821" t="s">
        <v>31229</v>
      </c>
      <c r="C26821">
        <f>0</f>
        <v>0</v>
      </c>
      <c r="D26821">
        <v>0.69637818427099996</v>
      </c>
      <c r="E26821">
        <v>20.509745127436201</v>
      </c>
    </row>
    <row r="26822" spans="1:5">
      <c r="A26822" t="s">
        <v>31224</v>
      </c>
      <c r="B26822" t="s">
        <v>31230</v>
      </c>
      <c r="C26822">
        <v>0</v>
      </c>
      <c r="D26822">
        <v>0.69637818427099996</v>
      </c>
      <c r="E26822">
        <v>20.509745127436201</v>
      </c>
    </row>
    <row r="26823" spans="1:5">
      <c r="A26823" t="s">
        <v>31231</v>
      </c>
      <c r="B26823" t="s">
        <v>31232</v>
      </c>
      <c r="C26823">
        <f>0</f>
        <v>0</v>
      </c>
      <c r="D26823">
        <v>0.97580010085500002</v>
      </c>
      <c r="E26823">
        <v>24</v>
      </c>
    </row>
    <row r="26824" spans="1:5">
      <c r="A26824" t="s">
        <v>31231</v>
      </c>
      <c r="B26824" t="s">
        <v>31233</v>
      </c>
      <c r="C26824">
        <v>0</v>
      </c>
      <c r="D26824">
        <v>0.97580010085500002</v>
      </c>
      <c r="E26824">
        <v>24</v>
      </c>
    </row>
    <row r="26825" spans="1:5">
      <c r="A26825" t="s">
        <v>31231</v>
      </c>
      <c r="B26825" t="s">
        <v>31234</v>
      </c>
      <c r="C26825">
        <f>0</f>
        <v>0</v>
      </c>
      <c r="D26825">
        <v>0.97580010085500002</v>
      </c>
      <c r="E26825">
        <v>24</v>
      </c>
    </row>
    <row r="26826" spans="1:5">
      <c r="A26826" t="s">
        <v>31235</v>
      </c>
      <c r="B26826" t="s">
        <v>31236</v>
      </c>
      <c r="C26826">
        <v>4.3207115718199997E-2</v>
      </c>
      <c r="D26826">
        <v>0.86367200178000003</v>
      </c>
      <c r="E26826">
        <v>24</v>
      </c>
    </row>
    <row r="26827" spans="1:5">
      <c r="A26827" t="s">
        <v>31235</v>
      </c>
      <c r="B26827" t="s">
        <v>31237</v>
      </c>
      <c r="C26827">
        <f>0</f>
        <v>0</v>
      </c>
      <c r="D26827">
        <v>0.86367200178000003</v>
      </c>
      <c r="E26827">
        <v>24</v>
      </c>
    </row>
    <row r="26828" spans="1:5">
      <c r="A26828" t="s">
        <v>31235</v>
      </c>
      <c r="B26828" t="s">
        <v>31238</v>
      </c>
      <c r="C26828">
        <v>6.1020936157200001E-2</v>
      </c>
      <c r="D26828">
        <v>0.86367200178000003</v>
      </c>
      <c r="E26828">
        <v>24</v>
      </c>
    </row>
    <row r="26829" spans="1:5">
      <c r="A26829" t="s">
        <v>31235</v>
      </c>
      <c r="B26829" t="s">
        <v>31239</v>
      </c>
      <c r="C26829">
        <v>0</v>
      </c>
      <c r="D26829">
        <v>0.86367200178000003</v>
      </c>
      <c r="E26829">
        <v>24</v>
      </c>
    </row>
    <row r="26830" spans="1:5">
      <c r="A26830" t="s">
        <v>31235</v>
      </c>
      <c r="B26830" t="s">
        <v>31240</v>
      </c>
      <c r="C26830">
        <v>0</v>
      </c>
      <c r="D26830">
        <v>0.86367200178000003</v>
      </c>
      <c r="E26830">
        <v>24</v>
      </c>
    </row>
    <row r="26831" spans="1:5">
      <c r="A26831" t="s">
        <v>31235</v>
      </c>
      <c r="B26831" t="s">
        <v>31241</v>
      </c>
      <c r="C26831">
        <v>0</v>
      </c>
      <c r="D26831">
        <v>0.86367200178000003</v>
      </c>
      <c r="E26831">
        <v>24</v>
      </c>
    </row>
    <row r="26832" spans="1:5">
      <c r="A26832" t="s">
        <v>31242</v>
      </c>
      <c r="B26832" t="s">
        <v>31243</v>
      </c>
      <c r="C26832">
        <v>0.50446687727999995</v>
      </c>
      <c r="D26832">
        <v>0.99334969416499996</v>
      </c>
      <c r="E26832">
        <v>9.6191904047975996</v>
      </c>
    </row>
    <row r="26833" spans="1:5">
      <c r="A26833" t="s">
        <v>31242</v>
      </c>
      <c r="B26833" t="s">
        <v>31244</v>
      </c>
      <c r="C26833">
        <v>0</v>
      </c>
      <c r="D26833">
        <v>0.99334969416499996</v>
      </c>
      <c r="E26833">
        <v>9.6191904047975996</v>
      </c>
    </row>
    <row r="26834" spans="1:5">
      <c r="A26834" t="s">
        <v>31242</v>
      </c>
      <c r="B26834" t="s">
        <v>31245</v>
      </c>
      <c r="C26834">
        <f>0</f>
        <v>0</v>
      </c>
      <c r="D26834">
        <v>0.99334969416499996</v>
      </c>
      <c r="E26834">
        <v>9.6191904047975996</v>
      </c>
    </row>
    <row r="26835" spans="1:5">
      <c r="A26835" t="s">
        <v>31242</v>
      </c>
      <c r="B26835" t="s">
        <v>31246</v>
      </c>
      <c r="C26835">
        <f>0</f>
        <v>0</v>
      </c>
      <c r="D26835">
        <v>0.99334969416499996</v>
      </c>
      <c r="E26835">
        <v>9.6191904047975996</v>
      </c>
    </row>
    <row r="26836" spans="1:5">
      <c r="A26836" t="s">
        <v>31242</v>
      </c>
      <c r="B26836" t="s">
        <v>31247</v>
      </c>
      <c r="C26836">
        <f>0</f>
        <v>0</v>
      </c>
      <c r="D26836">
        <v>0.99334969416499996</v>
      </c>
      <c r="E26836">
        <v>9.6191904047975996</v>
      </c>
    </row>
    <row r="26837" spans="1:5">
      <c r="A26837" t="s">
        <v>31242</v>
      </c>
      <c r="B26837" t="s">
        <v>31248</v>
      </c>
      <c r="C26837">
        <f>0.168559028493</f>
        <v>0.168559028493</v>
      </c>
      <c r="D26837">
        <v>0.99334969416499996</v>
      </c>
      <c r="E26837">
        <v>9.6191904047975996</v>
      </c>
    </row>
    <row r="26838" spans="1:5">
      <c r="A26838" t="s">
        <v>31249</v>
      </c>
      <c r="B26838" t="s">
        <v>31250</v>
      </c>
      <c r="C26838">
        <v>0</v>
      </c>
      <c r="D26838" t="s">
        <v>106</v>
      </c>
      <c r="E26838">
        <v>24</v>
      </c>
    </row>
    <row r="26839" spans="1:5">
      <c r="A26839" t="s">
        <v>31249</v>
      </c>
      <c r="B26839" t="s">
        <v>31251</v>
      </c>
      <c r="C26839">
        <v>6.0226309782700001E-2</v>
      </c>
      <c r="D26839" t="s">
        <v>106</v>
      </c>
      <c r="E26839">
        <v>24</v>
      </c>
    </row>
    <row r="26840" spans="1:5">
      <c r="A26840" t="s">
        <v>31252</v>
      </c>
      <c r="B26840" t="s">
        <v>31253</v>
      </c>
      <c r="C26840">
        <v>0</v>
      </c>
      <c r="D26840" t="s">
        <v>106</v>
      </c>
      <c r="E26840">
        <v>1.45127436281859</v>
      </c>
    </row>
    <row r="26841" spans="1:5">
      <c r="A26841" t="s">
        <v>31252</v>
      </c>
      <c r="B26841" t="s">
        <v>31254</v>
      </c>
      <c r="C26841">
        <v>0</v>
      </c>
      <c r="D26841" t="s">
        <v>106</v>
      </c>
      <c r="E26841">
        <v>1.45127436281859</v>
      </c>
    </row>
    <row r="26842" spans="1:5">
      <c r="A26842" t="s">
        <v>31252</v>
      </c>
      <c r="B26842" t="s">
        <v>31255</v>
      </c>
      <c r="C26842">
        <v>0</v>
      </c>
      <c r="D26842" t="s">
        <v>106</v>
      </c>
      <c r="E26842">
        <v>1.45127436281859</v>
      </c>
    </row>
    <row r="26843" spans="1:5">
      <c r="A26843" t="s">
        <v>31252</v>
      </c>
      <c r="B26843" t="s">
        <v>31256</v>
      </c>
      <c r="C26843">
        <f>0</f>
        <v>0</v>
      </c>
      <c r="D26843" t="s">
        <v>106</v>
      </c>
      <c r="E26843">
        <v>1.45127436281859</v>
      </c>
    </row>
    <row r="26844" spans="1:5">
      <c r="A26844" t="s">
        <v>31252</v>
      </c>
      <c r="B26844" t="s">
        <v>31257</v>
      </c>
      <c r="C26844">
        <v>0</v>
      </c>
      <c r="D26844" t="s">
        <v>106</v>
      </c>
      <c r="E26844">
        <v>1.45127436281859</v>
      </c>
    </row>
    <row r="26845" spans="1:5">
      <c r="A26845" t="s">
        <v>31252</v>
      </c>
      <c r="B26845" t="s">
        <v>31258</v>
      </c>
      <c r="C26845">
        <f>0</f>
        <v>0</v>
      </c>
      <c r="D26845" t="s">
        <v>106</v>
      </c>
      <c r="E26845">
        <v>1.45127436281859</v>
      </c>
    </row>
    <row r="26846" spans="1:5">
      <c r="A26846" t="s">
        <v>31259</v>
      </c>
      <c r="B26846" t="s">
        <v>31260</v>
      </c>
      <c r="C26846">
        <v>0.33488009952300002</v>
      </c>
      <c r="D26846">
        <v>0.98529943476600002</v>
      </c>
      <c r="E26846">
        <v>7.1964017991004496</v>
      </c>
    </row>
    <row r="26847" spans="1:5">
      <c r="A26847" t="s">
        <v>31259</v>
      </c>
      <c r="B26847" t="s">
        <v>31261</v>
      </c>
      <c r="C26847">
        <v>2.16675802011E-2</v>
      </c>
      <c r="D26847">
        <v>0.98529943476600002</v>
      </c>
      <c r="E26847">
        <v>7.1964017991004496</v>
      </c>
    </row>
    <row r="26848" spans="1:5">
      <c r="A26848" t="s">
        <v>31259</v>
      </c>
      <c r="B26848" t="s">
        <v>31262</v>
      </c>
      <c r="C26848">
        <v>0</v>
      </c>
      <c r="D26848">
        <v>0.98529943476600002</v>
      </c>
      <c r="E26848">
        <v>7.1964017991004496</v>
      </c>
    </row>
    <row r="26849" spans="1:5">
      <c r="A26849" t="s">
        <v>31263</v>
      </c>
      <c r="B26849" t="s">
        <v>31264</v>
      </c>
      <c r="C26849">
        <v>0</v>
      </c>
      <c r="D26849">
        <v>0.94089597744300002</v>
      </c>
      <c r="E26849">
        <v>6.0569715142428704</v>
      </c>
    </row>
    <row r="26850" spans="1:5">
      <c r="A26850" t="s">
        <v>31263</v>
      </c>
      <c r="B26850" t="s">
        <v>31265</v>
      </c>
      <c r="C26850">
        <f>0</f>
        <v>0</v>
      </c>
      <c r="D26850">
        <v>0.94089597744300002</v>
      </c>
      <c r="E26850">
        <v>6.0569715142428704</v>
      </c>
    </row>
    <row r="26851" spans="1:5">
      <c r="A26851" t="s">
        <v>31263</v>
      </c>
      <c r="B26851" t="s">
        <v>31266</v>
      </c>
      <c r="C26851">
        <f>0</f>
        <v>0</v>
      </c>
      <c r="D26851">
        <v>0.94089597744300002</v>
      </c>
      <c r="E26851">
        <v>6.0569715142428704</v>
      </c>
    </row>
    <row r="26852" spans="1:5">
      <c r="A26852" t="s">
        <v>31263</v>
      </c>
      <c r="B26852" t="s">
        <v>31267</v>
      </c>
      <c r="C26852">
        <v>0</v>
      </c>
      <c r="D26852">
        <v>0.94089597744300002</v>
      </c>
      <c r="E26852">
        <v>6.0569715142428704</v>
      </c>
    </row>
    <row r="26853" spans="1:5">
      <c r="A26853" t="s">
        <v>31263</v>
      </c>
      <c r="B26853" t="s">
        <v>31268</v>
      </c>
      <c r="C26853">
        <v>0</v>
      </c>
      <c r="D26853">
        <v>0.94089597744300002</v>
      </c>
      <c r="E26853">
        <v>6.0569715142428704</v>
      </c>
    </row>
    <row r="26854" spans="1:5">
      <c r="A26854" t="s">
        <v>31263</v>
      </c>
      <c r="B26854" t="s">
        <v>31269</v>
      </c>
      <c r="C26854">
        <f>0</f>
        <v>0</v>
      </c>
      <c r="D26854">
        <v>0.94089597744300002</v>
      </c>
      <c r="E26854">
        <v>6.0569715142428704</v>
      </c>
    </row>
    <row r="26855" spans="1:5">
      <c r="A26855" t="s">
        <v>31263</v>
      </c>
      <c r="B26855" t="s">
        <v>31270</v>
      </c>
      <c r="C26855">
        <v>0</v>
      </c>
      <c r="D26855">
        <v>0.94089597744300002</v>
      </c>
      <c r="E26855">
        <v>6.0569715142428704</v>
      </c>
    </row>
    <row r="26856" spans="1:5">
      <c r="A26856" t="s">
        <v>31263</v>
      </c>
      <c r="B26856" t="s">
        <v>31271</v>
      </c>
      <c r="C26856">
        <v>0</v>
      </c>
      <c r="D26856">
        <v>0.94089597744300002</v>
      </c>
      <c r="E26856">
        <v>6.0569715142428704</v>
      </c>
    </row>
    <row r="26857" spans="1:5">
      <c r="A26857" t="s">
        <v>31263</v>
      </c>
      <c r="B26857" t="s">
        <v>31272</v>
      </c>
      <c r="C26857">
        <f>0</f>
        <v>0</v>
      </c>
      <c r="D26857">
        <v>0.94089597744300002</v>
      </c>
      <c r="E26857">
        <v>6.0569715142428704</v>
      </c>
    </row>
    <row r="26858" spans="1:5">
      <c r="A26858" t="s">
        <v>31263</v>
      </c>
      <c r="B26858" t="s">
        <v>31273</v>
      </c>
      <c r="C26858">
        <v>0</v>
      </c>
      <c r="D26858">
        <v>0.94089597744300002</v>
      </c>
      <c r="E26858">
        <v>6.0569715142428704</v>
      </c>
    </row>
    <row r="26859" spans="1:5">
      <c r="A26859" t="s">
        <v>31263</v>
      </c>
      <c r="B26859" t="s">
        <v>31274</v>
      </c>
      <c r="C26859">
        <f>0</f>
        <v>0</v>
      </c>
      <c r="D26859">
        <v>0.94089597744300002</v>
      </c>
      <c r="E26859">
        <v>6.0569715142428704</v>
      </c>
    </row>
    <row r="26860" spans="1:5">
      <c r="A26860" t="s">
        <v>31263</v>
      </c>
      <c r="B26860" t="s">
        <v>31275</v>
      </c>
      <c r="C26860">
        <f>0</f>
        <v>0</v>
      </c>
      <c r="D26860">
        <v>0.94089597744300002</v>
      </c>
      <c r="E26860">
        <v>6.0569715142428704</v>
      </c>
    </row>
    <row r="26861" spans="1:5">
      <c r="A26861" t="s">
        <v>31263</v>
      </c>
      <c r="B26861" t="s">
        <v>31276</v>
      </c>
      <c r="C26861">
        <v>0</v>
      </c>
      <c r="D26861">
        <v>0.94089597744300002</v>
      </c>
      <c r="E26861">
        <v>6.0569715142428704</v>
      </c>
    </row>
    <row r="26862" spans="1:5">
      <c r="A26862" t="s">
        <v>31263</v>
      </c>
      <c r="B26862" t="s">
        <v>31277</v>
      </c>
      <c r="C26862">
        <v>1.0352038169100001E-3</v>
      </c>
      <c r="D26862">
        <v>0.94089597744300002</v>
      </c>
      <c r="E26862">
        <v>6.0569715142428704</v>
      </c>
    </row>
    <row r="26863" spans="1:5">
      <c r="A26863" t="s">
        <v>31263</v>
      </c>
      <c r="B26863" t="s">
        <v>31278</v>
      </c>
      <c r="C26863">
        <v>0</v>
      </c>
      <c r="D26863">
        <v>0.94089597744300002</v>
      </c>
      <c r="E26863">
        <v>6.0569715142428704</v>
      </c>
    </row>
    <row r="26864" spans="1:5">
      <c r="A26864" t="s">
        <v>31263</v>
      </c>
      <c r="B26864" t="s">
        <v>31279</v>
      </c>
      <c r="C26864">
        <f>0</f>
        <v>0</v>
      </c>
      <c r="D26864">
        <v>0.94089597744300002</v>
      </c>
      <c r="E26864">
        <v>6.0569715142428704</v>
      </c>
    </row>
    <row r="26865" spans="1:5">
      <c r="A26865" t="s">
        <v>31280</v>
      </c>
      <c r="B26865" t="s">
        <v>31281</v>
      </c>
      <c r="C26865">
        <f>0</f>
        <v>0</v>
      </c>
      <c r="D26865" t="s">
        <v>106</v>
      </c>
      <c r="E26865">
        <v>2.1709145427286298</v>
      </c>
    </row>
    <row r="26866" spans="1:5">
      <c r="A26866" t="s">
        <v>31280</v>
      </c>
      <c r="B26866" t="s">
        <v>31282</v>
      </c>
      <c r="C26866">
        <v>0</v>
      </c>
      <c r="D26866" t="s">
        <v>106</v>
      </c>
      <c r="E26866">
        <v>2.1709145427286298</v>
      </c>
    </row>
    <row r="26867" spans="1:5">
      <c r="A26867" t="s">
        <v>31280</v>
      </c>
      <c r="B26867" t="s">
        <v>31283</v>
      </c>
      <c r="C26867">
        <v>0</v>
      </c>
      <c r="D26867" t="s">
        <v>106</v>
      </c>
      <c r="E26867">
        <v>2.1709145427286298</v>
      </c>
    </row>
    <row r="26868" spans="1:5">
      <c r="A26868" t="s">
        <v>31280</v>
      </c>
      <c r="B26868" t="s">
        <v>31284</v>
      </c>
      <c r="C26868">
        <v>0.31253341240799998</v>
      </c>
      <c r="D26868" t="s">
        <v>106</v>
      </c>
      <c r="E26868">
        <v>2.1709145427286298</v>
      </c>
    </row>
    <row r="26869" spans="1:5">
      <c r="A26869" t="s">
        <v>31280</v>
      </c>
      <c r="B26869" t="s">
        <v>31285</v>
      </c>
      <c r="C26869">
        <f>0</f>
        <v>0</v>
      </c>
      <c r="D26869" t="s">
        <v>106</v>
      </c>
      <c r="E26869">
        <v>2.1709145427286298</v>
      </c>
    </row>
    <row r="26870" spans="1:5">
      <c r="A26870" t="s">
        <v>31280</v>
      </c>
      <c r="B26870" t="s">
        <v>31286</v>
      </c>
      <c r="C26870">
        <v>0</v>
      </c>
      <c r="D26870" t="s">
        <v>106</v>
      </c>
      <c r="E26870">
        <v>2.1709145427286298</v>
      </c>
    </row>
    <row r="26871" spans="1:5">
      <c r="A26871" t="s">
        <v>31280</v>
      </c>
      <c r="B26871" t="s">
        <v>31287</v>
      </c>
      <c r="C26871">
        <f>0</f>
        <v>0</v>
      </c>
      <c r="D26871" t="s">
        <v>106</v>
      </c>
      <c r="E26871">
        <v>2.1709145427286298</v>
      </c>
    </row>
    <row r="26872" spans="1:5">
      <c r="A26872" t="s">
        <v>31280</v>
      </c>
      <c r="B26872" t="s">
        <v>31288</v>
      </c>
      <c r="C26872">
        <f>0.218945688043</f>
        <v>0.21894568804299999</v>
      </c>
      <c r="D26872" t="s">
        <v>106</v>
      </c>
      <c r="E26872">
        <v>2.1709145427286298</v>
      </c>
    </row>
    <row r="26873" spans="1:5">
      <c r="A26873" t="s">
        <v>31289</v>
      </c>
      <c r="B26873" t="s">
        <v>31290</v>
      </c>
      <c r="C26873">
        <v>0.227067482185</v>
      </c>
      <c r="D26873" t="s">
        <v>106</v>
      </c>
      <c r="E26873">
        <v>2.79460269865067</v>
      </c>
    </row>
    <row r="26874" spans="1:5">
      <c r="A26874" t="s">
        <v>31289</v>
      </c>
      <c r="B26874" t="s">
        <v>31291</v>
      </c>
      <c r="C26874">
        <f>0.0299953420467</f>
        <v>2.9995342046699999E-2</v>
      </c>
      <c r="D26874" t="s">
        <v>106</v>
      </c>
      <c r="E26874">
        <v>2.79460269865067</v>
      </c>
    </row>
    <row r="26875" spans="1:5">
      <c r="A26875" t="s">
        <v>31292</v>
      </c>
      <c r="B26875" t="s">
        <v>31293</v>
      </c>
      <c r="C26875">
        <v>0</v>
      </c>
      <c r="D26875">
        <v>0.99336512509899999</v>
      </c>
      <c r="E26875">
        <v>3.2263868065966999</v>
      </c>
    </row>
    <row r="26876" spans="1:5">
      <c r="A26876" t="s">
        <v>31292</v>
      </c>
      <c r="B26876" t="s">
        <v>31294</v>
      </c>
      <c r="C26876">
        <v>0</v>
      </c>
      <c r="D26876">
        <v>0.99336512509899999</v>
      </c>
      <c r="E26876">
        <v>3.2263868065966999</v>
      </c>
    </row>
    <row r="26877" spans="1:5">
      <c r="A26877" t="s">
        <v>31292</v>
      </c>
      <c r="B26877" t="s">
        <v>31295</v>
      </c>
      <c r="C26877">
        <v>0</v>
      </c>
      <c r="D26877">
        <v>0.99336512509899999</v>
      </c>
      <c r="E26877">
        <v>3.2263868065966999</v>
      </c>
    </row>
    <row r="26878" spans="1:5">
      <c r="A26878" t="s">
        <v>31292</v>
      </c>
      <c r="B26878" t="s">
        <v>31296</v>
      </c>
      <c r="C26878">
        <v>0</v>
      </c>
      <c r="D26878">
        <v>0.99336512509899999</v>
      </c>
      <c r="E26878">
        <v>3.2263868065966999</v>
      </c>
    </row>
    <row r="26879" spans="1:5">
      <c r="A26879" t="s">
        <v>31292</v>
      </c>
      <c r="B26879" t="s">
        <v>31297</v>
      </c>
      <c r="C26879">
        <v>0.357547591123</v>
      </c>
      <c r="D26879">
        <v>0.99336512509899999</v>
      </c>
      <c r="E26879">
        <v>3.2263868065966999</v>
      </c>
    </row>
    <row r="26880" spans="1:5">
      <c r="A26880" t="s">
        <v>31298</v>
      </c>
      <c r="B26880" t="s">
        <v>31299</v>
      </c>
      <c r="C26880">
        <v>8.1273499494199999E-2</v>
      </c>
      <c r="D26880">
        <v>0.98529853827400005</v>
      </c>
      <c r="E26880">
        <v>1.7631184407796101</v>
      </c>
    </row>
    <row r="26881" spans="1:5">
      <c r="A26881" t="s">
        <v>31298</v>
      </c>
      <c r="B26881" t="s">
        <v>31300</v>
      </c>
      <c r="C26881">
        <v>0</v>
      </c>
      <c r="D26881">
        <v>0.98529853827400005</v>
      </c>
      <c r="E26881">
        <v>1.7631184407796101</v>
      </c>
    </row>
    <row r="26882" spans="1:5">
      <c r="A26882" t="s">
        <v>31298</v>
      </c>
      <c r="B26882" t="s">
        <v>31301</v>
      </c>
      <c r="C26882">
        <v>0.82720225423000004</v>
      </c>
      <c r="D26882">
        <v>0.98529853827400005</v>
      </c>
      <c r="E26882">
        <v>1.7631184407796101</v>
      </c>
    </row>
    <row r="26883" spans="1:5">
      <c r="A26883" t="s">
        <v>31298</v>
      </c>
      <c r="B26883" t="s">
        <v>31302</v>
      </c>
      <c r="C26883">
        <v>0</v>
      </c>
      <c r="D26883">
        <v>0.98529853827400005</v>
      </c>
      <c r="E26883">
        <v>1.7631184407796101</v>
      </c>
    </row>
    <row r="26884" spans="1:5">
      <c r="A26884" t="s">
        <v>31298</v>
      </c>
      <c r="B26884" t="s">
        <v>31303</v>
      </c>
      <c r="C26884">
        <f>0</f>
        <v>0</v>
      </c>
      <c r="D26884">
        <v>0.98529853827400005</v>
      </c>
      <c r="E26884">
        <v>1.7631184407796101</v>
      </c>
    </row>
    <row r="26885" spans="1:5">
      <c r="A26885" t="s">
        <v>31304</v>
      </c>
      <c r="B26885" t="s">
        <v>31305</v>
      </c>
      <c r="C26885">
        <v>0</v>
      </c>
      <c r="D26885">
        <v>0.82455929434399999</v>
      </c>
      <c r="E26885">
        <v>14.5487256371814</v>
      </c>
    </row>
    <row r="26886" spans="1:5">
      <c r="A26886" t="s">
        <v>31304</v>
      </c>
      <c r="B26886" t="s">
        <v>31306</v>
      </c>
      <c r="C26886">
        <v>0.19655286225900001</v>
      </c>
      <c r="D26886">
        <v>0.82455929434399999</v>
      </c>
      <c r="E26886">
        <v>14.5487256371814</v>
      </c>
    </row>
    <row r="26887" spans="1:5">
      <c r="A26887" t="s">
        <v>31307</v>
      </c>
      <c r="B26887" t="s">
        <v>31308</v>
      </c>
      <c r="C26887">
        <v>0</v>
      </c>
      <c r="D26887">
        <v>0.93135334896599997</v>
      </c>
      <c r="E26887">
        <v>10.878560719640101</v>
      </c>
    </row>
    <row r="26888" spans="1:5">
      <c r="A26888" t="s">
        <v>31307</v>
      </c>
      <c r="B26888" t="s">
        <v>31309</v>
      </c>
      <c r="C26888">
        <v>0</v>
      </c>
      <c r="D26888">
        <v>0.93135334896599997</v>
      </c>
      <c r="E26888">
        <v>10.878560719640101</v>
      </c>
    </row>
    <row r="26889" spans="1:5">
      <c r="A26889" t="s">
        <v>31307</v>
      </c>
      <c r="B26889" t="s">
        <v>31310</v>
      </c>
      <c r="C26889">
        <v>0</v>
      </c>
      <c r="D26889">
        <v>0.93135334896599997</v>
      </c>
      <c r="E26889">
        <v>10.878560719640101</v>
      </c>
    </row>
    <row r="26890" spans="1:5">
      <c r="A26890" t="s">
        <v>31307</v>
      </c>
      <c r="B26890" t="s">
        <v>31311</v>
      </c>
      <c r="C26890">
        <v>0</v>
      </c>
      <c r="D26890">
        <v>0.93135334896599997</v>
      </c>
      <c r="E26890">
        <v>10.878560719640101</v>
      </c>
    </row>
    <row r="26891" spans="1:5">
      <c r="A26891" t="s">
        <v>31307</v>
      </c>
      <c r="B26891" t="s">
        <v>31312</v>
      </c>
      <c r="C26891">
        <f>0</f>
        <v>0</v>
      </c>
      <c r="D26891">
        <v>0.93135334896599997</v>
      </c>
      <c r="E26891">
        <v>10.878560719640101</v>
      </c>
    </row>
    <row r="26892" spans="1:5">
      <c r="A26892" t="s">
        <v>31307</v>
      </c>
      <c r="B26892" t="s">
        <v>31313</v>
      </c>
      <c r="C26892">
        <v>0</v>
      </c>
      <c r="D26892">
        <v>0.93135334896599997</v>
      </c>
      <c r="E26892">
        <v>10.878560719640101</v>
      </c>
    </row>
    <row r="26893" spans="1:5">
      <c r="A26893" t="s">
        <v>31307</v>
      </c>
      <c r="B26893" t="s">
        <v>31314</v>
      </c>
      <c r="C26893">
        <v>0</v>
      </c>
      <c r="D26893">
        <v>0.93135334896599997</v>
      </c>
      <c r="E26893">
        <v>10.878560719640101</v>
      </c>
    </row>
    <row r="26894" spans="1:5">
      <c r="A26894" t="s">
        <v>31307</v>
      </c>
      <c r="B26894" t="s">
        <v>31315</v>
      </c>
      <c r="C26894">
        <v>0</v>
      </c>
      <c r="D26894">
        <v>0.93135334896599997</v>
      </c>
      <c r="E26894">
        <v>10.878560719640101</v>
      </c>
    </row>
    <row r="26895" spans="1:5">
      <c r="A26895" t="s">
        <v>31307</v>
      </c>
      <c r="B26895" t="s">
        <v>31316</v>
      </c>
      <c r="C26895">
        <v>0</v>
      </c>
      <c r="D26895">
        <v>0.93135334896599997</v>
      </c>
      <c r="E26895">
        <v>10.878560719640101</v>
      </c>
    </row>
    <row r="26896" spans="1:5">
      <c r="A26896" t="s">
        <v>31307</v>
      </c>
      <c r="B26896" t="s">
        <v>31317</v>
      </c>
      <c r="C26896">
        <v>0</v>
      </c>
      <c r="D26896">
        <v>0.93135334896599997</v>
      </c>
      <c r="E26896">
        <v>10.878560719640101</v>
      </c>
    </row>
    <row r="26897" spans="1:5">
      <c r="A26897" t="s">
        <v>31307</v>
      </c>
      <c r="B26897" t="s">
        <v>31318</v>
      </c>
      <c r="C26897">
        <v>0</v>
      </c>
      <c r="D26897">
        <v>0.93135334896599997</v>
      </c>
      <c r="E26897">
        <v>10.878560719640101</v>
      </c>
    </row>
    <row r="26898" spans="1:5">
      <c r="A26898" t="s">
        <v>31307</v>
      </c>
      <c r="B26898" t="s">
        <v>31319</v>
      </c>
      <c r="C26898">
        <v>7.6762669621599999E-2</v>
      </c>
      <c r="D26898">
        <v>0.93135334896599997</v>
      </c>
      <c r="E26898">
        <v>10.878560719640101</v>
      </c>
    </row>
    <row r="26899" spans="1:5">
      <c r="A26899" t="s">
        <v>31307</v>
      </c>
      <c r="B26899" t="s">
        <v>31320</v>
      </c>
      <c r="C26899">
        <v>0</v>
      </c>
      <c r="D26899">
        <v>0.93135334896599997</v>
      </c>
      <c r="E26899">
        <v>10.878560719640101</v>
      </c>
    </row>
    <row r="26900" spans="1:5">
      <c r="A26900" t="s">
        <v>31307</v>
      </c>
      <c r="B26900" t="s">
        <v>31321</v>
      </c>
      <c r="C26900">
        <v>0</v>
      </c>
      <c r="D26900">
        <v>0.93135334896599997</v>
      </c>
      <c r="E26900">
        <v>10.878560719640101</v>
      </c>
    </row>
    <row r="26901" spans="1:5">
      <c r="A26901" t="s">
        <v>31322</v>
      </c>
      <c r="B26901" t="s">
        <v>31323</v>
      </c>
      <c r="C26901">
        <f>0</f>
        <v>0</v>
      </c>
      <c r="D26901">
        <v>0.96747952515500002</v>
      </c>
      <c r="E26901">
        <v>3.4902548725637099</v>
      </c>
    </row>
    <row r="26902" spans="1:5">
      <c r="A26902" t="s">
        <v>31322</v>
      </c>
      <c r="B26902" t="s">
        <v>31324</v>
      </c>
      <c r="C26902">
        <f>0</f>
        <v>0</v>
      </c>
      <c r="D26902">
        <v>0.96747952515500002</v>
      </c>
      <c r="E26902">
        <v>3.4902548725637099</v>
      </c>
    </row>
    <row r="26903" spans="1:5">
      <c r="A26903" t="s">
        <v>31322</v>
      </c>
      <c r="B26903" t="s">
        <v>31325</v>
      </c>
      <c r="C26903">
        <v>0</v>
      </c>
      <c r="D26903">
        <v>0.96747952515500002</v>
      </c>
      <c r="E26903">
        <v>3.4902548725637099</v>
      </c>
    </row>
    <row r="26904" spans="1:5">
      <c r="A26904" t="s">
        <v>31326</v>
      </c>
      <c r="B26904" t="s">
        <v>31327</v>
      </c>
      <c r="C26904">
        <v>0.198686288741</v>
      </c>
      <c r="D26904">
        <v>0.99772281597599999</v>
      </c>
      <c r="E26904">
        <v>24</v>
      </c>
    </row>
    <row r="26905" spans="1:5">
      <c r="A26905" t="s">
        <v>31326</v>
      </c>
      <c r="B26905" t="s">
        <v>31328</v>
      </c>
      <c r="C26905">
        <f>0</f>
        <v>0</v>
      </c>
      <c r="D26905">
        <v>0.99772281597599999</v>
      </c>
      <c r="E26905">
        <v>24</v>
      </c>
    </row>
    <row r="26906" spans="1:5">
      <c r="A26906" t="s">
        <v>31329</v>
      </c>
      <c r="B26906" t="s">
        <v>31330</v>
      </c>
      <c r="C26906">
        <v>0</v>
      </c>
      <c r="D26906">
        <v>0.17871200381999999</v>
      </c>
      <c r="E26906">
        <v>19.1904047976012</v>
      </c>
    </row>
    <row r="26907" spans="1:5">
      <c r="A26907" t="s">
        <v>31329</v>
      </c>
      <c r="B26907" t="s">
        <v>31331</v>
      </c>
      <c r="C26907">
        <f>0</f>
        <v>0</v>
      </c>
      <c r="D26907">
        <v>0.17871200381999999</v>
      </c>
      <c r="E26907">
        <v>19.1904047976012</v>
      </c>
    </row>
    <row r="26908" spans="1:5">
      <c r="A26908" t="s">
        <v>31329</v>
      </c>
      <c r="B26908" t="s">
        <v>31332</v>
      </c>
      <c r="C26908">
        <f>0</f>
        <v>0</v>
      </c>
      <c r="D26908">
        <v>0.17871200381999999</v>
      </c>
      <c r="E26908">
        <v>19.1904047976012</v>
      </c>
    </row>
    <row r="26909" spans="1:5">
      <c r="A26909" t="s">
        <v>31329</v>
      </c>
      <c r="B26909" t="s">
        <v>31333</v>
      </c>
      <c r="C26909">
        <f>0</f>
        <v>0</v>
      </c>
      <c r="D26909">
        <v>0.17871200381999999</v>
      </c>
      <c r="E26909">
        <v>19.1904047976012</v>
      </c>
    </row>
    <row r="26910" spans="1:5">
      <c r="A26910" t="s">
        <v>31329</v>
      </c>
      <c r="B26910" t="s">
        <v>31334</v>
      </c>
      <c r="C26910">
        <f>0</f>
        <v>0</v>
      </c>
      <c r="D26910">
        <v>0.17871200381999999</v>
      </c>
      <c r="E26910">
        <v>19.1904047976012</v>
      </c>
    </row>
    <row r="26911" spans="1:5">
      <c r="A26911" t="s">
        <v>31329</v>
      </c>
      <c r="B26911" t="s">
        <v>31335</v>
      </c>
      <c r="C26911">
        <f>0</f>
        <v>0</v>
      </c>
      <c r="D26911">
        <v>0.17871200381999999</v>
      </c>
      <c r="E26911">
        <v>19.1904047976012</v>
      </c>
    </row>
    <row r="26912" spans="1:5">
      <c r="A26912" t="s">
        <v>31329</v>
      </c>
      <c r="B26912" t="s">
        <v>31336</v>
      </c>
      <c r="C26912">
        <v>0</v>
      </c>
      <c r="D26912">
        <v>0.17871200381999999</v>
      </c>
      <c r="E26912">
        <v>19.1904047976012</v>
      </c>
    </row>
    <row r="26913" spans="1:5">
      <c r="A26913" t="s">
        <v>31329</v>
      </c>
      <c r="B26913" t="s">
        <v>31337</v>
      </c>
      <c r="C26913">
        <v>0</v>
      </c>
      <c r="D26913">
        <v>0.17871200381999999</v>
      </c>
      <c r="E26913">
        <v>19.1904047976012</v>
      </c>
    </row>
    <row r="26914" spans="1:5">
      <c r="A26914" t="s">
        <v>31329</v>
      </c>
      <c r="B26914" t="s">
        <v>31338</v>
      </c>
      <c r="C26914">
        <f>0</f>
        <v>0</v>
      </c>
      <c r="D26914">
        <v>0.17871200381999999</v>
      </c>
      <c r="E26914">
        <v>19.1904047976012</v>
      </c>
    </row>
    <row r="26915" spans="1:5">
      <c r="A26915" t="s">
        <v>31329</v>
      </c>
      <c r="B26915" t="s">
        <v>31339</v>
      </c>
      <c r="C26915">
        <v>0</v>
      </c>
      <c r="D26915">
        <v>0.17871200381999999</v>
      </c>
      <c r="E26915">
        <v>19.1904047976012</v>
      </c>
    </row>
    <row r="26916" spans="1:5">
      <c r="A26916" t="s">
        <v>31329</v>
      </c>
      <c r="B26916" t="s">
        <v>31340</v>
      </c>
      <c r="C26916">
        <v>0</v>
      </c>
      <c r="D26916">
        <v>0.17871200381999999</v>
      </c>
      <c r="E26916">
        <v>19.1904047976012</v>
      </c>
    </row>
    <row r="26917" spans="1:5">
      <c r="A26917" t="s">
        <v>31341</v>
      </c>
      <c r="B26917" t="s">
        <v>31342</v>
      </c>
      <c r="C26917">
        <v>0.12693064909900001</v>
      </c>
      <c r="D26917">
        <v>0.88647073339600002</v>
      </c>
      <c r="E26917">
        <v>13.997001499250301</v>
      </c>
    </row>
    <row r="26918" spans="1:5">
      <c r="A26918" t="s">
        <v>31341</v>
      </c>
      <c r="B26918" t="s">
        <v>31343</v>
      </c>
      <c r="C26918">
        <f>0</f>
        <v>0</v>
      </c>
      <c r="D26918">
        <v>0.88647073339600002</v>
      </c>
      <c r="E26918">
        <v>13.997001499250301</v>
      </c>
    </row>
    <row r="26919" spans="1:5">
      <c r="A26919" t="s">
        <v>31341</v>
      </c>
      <c r="B26919" t="s">
        <v>31344</v>
      </c>
      <c r="C26919">
        <f>0</f>
        <v>0</v>
      </c>
      <c r="D26919">
        <v>0.88647073339600002</v>
      </c>
      <c r="E26919">
        <v>13.997001499250301</v>
      </c>
    </row>
    <row r="26920" spans="1:5">
      <c r="A26920" t="s">
        <v>31345</v>
      </c>
      <c r="B26920" t="s">
        <v>31346</v>
      </c>
      <c r="C26920">
        <v>0</v>
      </c>
      <c r="D26920" t="s">
        <v>106</v>
      </c>
      <c r="E26920">
        <v>1.6911544227886</v>
      </c>
    </row>
    <row r="26921" spans="1:5">
      <c r="A26921" t="s">
        <v>31345</v>
      </c>
      <c r="B26921" t="s">
        <v>31347</v>
      </c>
      <c r="C26921">
        <f>0</f>
        <v>0</v>
      </c>
      <c r="D26921" t="s">
        <v>106</v>
      </c>
      <c r="E26921">
        <v>1.6911544227886</v>
      </c>
    </row>
    <row r="26922" spans="1:5">
      <c r="A26922" t="s">
        <v>31345</v>
      </c>
      <c r="B26922" t="s">
        <v>31348</v>
      </c>
      <c r="C26922">
        <v>0</v>
      </c>
      <c r="D26922" t="s">
        <v>106</v>
      </c>
      <c r="E26922">
        <v>1.6911544227886</v>
      </c>
    </row>
    <row r="26923" spans="1:5">
      <c r="A26923" t="s">
        <v>31345</v>
      </c>
      <c r="B26923" t="s">
        <v>31349</v>
      </c>
      <c r="C26923">
        <v>0</v>
      </c>
      <c r="D26923" t="s">
        <v>106</v>
      </c>
      <c r="E26923">
        <v>1.6911544227886</v>
      </c>
    </row>
    <row r="26924" spans="1:5">
      <c r="A26924" t="s">
        <v>31345</v>
      </c>
      <c r="B26924" t="s">
        <v>31350</v>
      </c>
      <c r="C26924">
        <v>0</v>
      </c>
      <c r="D26924" t="s">
        <v>106</v>
      </c>
      <c r="E26924">
        <v>1.6911544227886</v>
      </c>
    </row>
    <row r="26925" spans="1:5">
      <c r="A26925" t="s">
        <v>31351</v>
      </c>
      <c r="B26925" t="s">
        <v>31352</v>
      </c>
      <c r="C26925">
        <f>0</f>
        <v>0</v>
      </c>
      <c r="D26925" t="s">
        <v>106</v>
      </c>
      <c r="E26925">
        <v>2.0269865067466202</v>
      </c>
    </row>
    <row r="26926" spans="1:5">
      <c r="A26926" t="s">
        <v>31351</v>
      </c>
      <c r="B26926" t="s">
        <v>31353</v>
      </c>
      <c r="C26926">
        <f>0</f>
        <v>0</v>
      </c>
      <c r="D26926" t="s">
        <v>106</v>
      </c>
      <c r="E26926">
        <v>2.0269865067466202</v>
      </c>
    </row>
    <row r="26927" spans="1:5">
      <c r="A26927" t="s">
        <v>31351</v>
      </c>
      <c r="B26927" t="s">
        <v>31354</v>
      </c>
      <c r="C26927">
        <f>0</f>
        <v>0</v>
      </c>
      <c r="D26927" t="s">
        <v>106</v>
      </c>
      <c r="E26927">
        <v>2.0269865067466202</v>
      </c>
    </row>
    <row r="26928" spans="1:5">
      <c r="A26928" t="s">
        <v>31351</v>
      </c>
      <c r="B26928" t="s">
        <v>31355</v>
      </c>
      <c r="C26928">
        <f>0</f>
        <v>0</v>
      </c>
      <c r="D26928" t="s">
        <v>106</v>
      </c>
      <c r="E26928">
        <v>2.0269865067466202</v>
      </c>
    </row>
    <row r="26929" spans="1:5">
      <c r="A26929" t="s">
        <v>31351</v>
      </c>
      <c r="B26929" t="s">
        <v>31356</v>
      </c>
      <c r="C26929">
        <f>0</f>
        <v>0</v>
      </c>
      <c r="D26929" t="s">
        <v>106</v>
      </c>
      <c r="E26929">
        <v>2.0269865067466202</v>
      </c>
    </row>
    <row r="26930" spans="1:5">
      <c r="A26930" t="s">
        <v>31351</v>
      </c>
      <c r="B26930" t="s">
        <v>31357</v>
      </c>
      <c r="C26930">
        <f>0</f>
        <v>0</v>
      </c>
      <c r="D26930" t="s">
        <v>106</v>
      </c>
      <c r="E26930">
        <v>2.0269865067466202</v>
      </c>
    </row>
    <row r="26931" spans="1:5">
      <c r="A26931" t="s">
        <v>31351</v>
      </c>
      <c r="B26931" t="s">
        <v>31358</v>
      </c>
      <c r="C26931">
        <f>0</f>
        <v>0</v>
      </c>
      <c r="D26931" t="s">
        <v>106</v>
      </c>
      <c r="E26931">
        <v>2.0269865067466202</v>
      </c>
    </row>
    <row r="26932" spans="1:5">
      <c r="A26932" t="s">
        <v>31351</v>
      </c>
      <c r="B26932" t="s">
        <v>31359</v>
      </c>
      <c r="C26932">
        <f>0</f>
        <v>0</v>
      </c>
      <c r="D26932" t="s">
        <v>106</v>
      </c>
      <c r="E26932">
        <v>2.0269865067466202</v>
      </c>
    </row>
    <row r="26933" spans="1:5">
      <c r="A26933" t="s">
        <v>31351</v>
      </c>
      <c r="B26933" t="s">
        <v>31360</v>
      </c>
      <c r="C26933">
        <f>0</f>
        <v>0</v>
      </c>
      <c r="D26933" t="s">
        <v>106</v>
      </c>
      <c r="E26933">
        <v>2.0269865067466202</v>
      </c>
    </row>
    <row r="26934" spans="1:5">
      <c r="A26934" t="s">
        <v>31351</v>
      </c>
      <c r="B26934" t="s">
        <v>31361</v>
      </c>
      <c r="C26934">
        <f>0</f>
        <v>0</v>
      </c>
      <c r="D26934" t="s">
        <v>106</v>
      </c>
      <c r="E26934">
        <v>2.0269865067466202</v>
      </c>
    </row>
    <row r="26935" spans="1:5">
      <c r="A26935" t="s">
        <v>31351</v>
      </c>
      <c r="B26935" t="s">
        <v>31362</v>
      </c>
      <c r="C26935">
        <f>0</f>
        <v>0</v>
      </c>
      <c r="D26935" t="s">
        <v>106</v>
      </c>
      <c r="E26935">
        <v>2.0269865067466202</v>
      </c>
    </row>
    <row r="26936" spans="1:5">
      <c r="A26936" t="s">
        <v>31351</v>
      </c>
      <c r="B26936" t="s">
        <v>31363</v>
      </c>
      <c r="C26936">
        <f>0</f>
        <v>0</v>
      </c>
      <c r="D26936" t="s">
        <v>106</v>
      </c>
      <c r="E26936">
        <v>2.0269865067466202</v>
      </c>
    </row>
    <row r="26937" spans="1:5">
      <c r="A26937" t="s">
        <v>31351</v>
      </c>
      <c r="B26937" t="s">
        <v>31364</v>
      </c>
      <c r="C26937">
        <f>0</f>
        <v>0</v>
      </c>
      <c r="D26937" t="s">
        <v>106</v>
      </c>
      <c r="E26937">
        <v>2.0269865067466202</v>
      </c>
    </row>
    <row r="26938" spans="1:5">
      <c r="A26938" t="s">
        <v>31351</v>
      </c>
      <c r="B26938" t="s">
        <v>31365</v>
      </c>
      <c r="C26938">
        <f>0</f>
        <v>0</v>
      </c>
      <c r="D26938" t="s">
        <v>106</v>
      </c>
      <c r="E26938">
        <v>2.0269865067466202</v>
      </c>
    </row>
    <row r="26939" spans="1:5">
      <c r="A26939" t="s">
        <v>31351</v>
      </c>
      <c r="B26939" t="s">
        <v>31366</v>
      </c>
      <c r="C26939">
        <f>0</f>
        <v>0</v>
      </c>
      <c r="D26939" t="s">
        <v>106</v>
      </c>
      <c r="E26939">
        <v>2.0269865067466202</v>
      </c>
    </row>
    <row r="26940" spans="1:5">
      <c r="A26940" t="s">
        <v>31351</v>
      </c>
      <c r="B26940" t="s">
        <v>31367</v>
      </c>
      <c r="C26940">
        <v>0</v>
      </c>
      <c r="D26940" t="s">
        <v>106</v>
      </c>
      <c r="E26940">
        <v>2.0269865067466202</v>
      </c>
    </row>
    <row r="26941" spans="1:5">
      <c r="A26941" t="s">
        <v>31351</v>
      </c>
      <c r="B26941" t="s">
        <v>31368</v>
      </c>
      <c r="C26941">
        <f>0</f>
        <v>0</v>
      </c>
      <c r="D26941" t="s">
        <v>106</v>
      </c>
      <c r="E26941">
        <v>2.0269865067466202</v>
      </c>
    </row>
    <row r="26942" spans="1:5">
      <c r="A26942" t="s">
        <v>31369</v>
      </c>
      <c r="B26942" t="s">
        <v>31370</v>
      </c>
      <c r="C26942">
        <v>0</v>
      </c>
      <c r="D26942">
        <v>0.99905048125700002</v>
      </c>
      <c r="E26942">
        <v>10.0749625187406</v>
      </c>
    </row>
    <row r="26943" spans="1:5">
      <c r="A26943" t="s">
        <v>31369</v>
      </c>
      <c r="B26943" t="s">
        <v>31371</v>
      </c>
      <c r="C26943">
        <v>0</v>
      </c>
      <c r="D26943">
        <v>0.99905048125700002</v>
      </c>
      <c r="E26943">
        <v>10.0749625187406</v>
      </c>
    </row>
    <row r="26944" spans="1:5">
      <c r="A26944" t="s">
        <v>31369</v>
      </c>
      <c r="B26944" t="s">
        <v>31372</v>
      </c>
      <c r="C26944">
        <v>0.35420272846500001</v>
      </c>
      <c r="D26944">
        <v>0.99905048125700002</v>
      </c>
      <c r="E26944">
        <v>10.0749625187406</v>
      </c>
    </row>
    <row r="26945" spans="1:5">
      <c r="A26945" t="s">
        <v>31369</v>
      </c>
      <c r="B26945" t="s">
        <v>31373</v>
      </c>
      <c r="C26945">
        <v>0.13334854988600001</v>
      </c>
      <c r="D26945">
        <v>0.99905048125700002</v>
      </c>
      <c r="E26945">
        <v>10.0749625187406</v>
      </c>
    </row>
    <row r="26946" spans="1:5">
      <c r="A26946" t="s">
        <v>31369</v>
      </c>
      <c r="B26946" t="s">
        <v>31374</v>
      </c>
      <c r="C26946">
        <v>0</v>
      </c>
      <c r="D26946">
        <v>0.99905048125700002</v>
      </c>
      <c r="E26946">
        <v>10.0749625187406</v>
      </c>
    </row>
    <row r="26947" spans="1:5">
      <c r="A26947" t="s">
        <v>31375</v>
      </c>
      <c r="B26947" t="s">
        <v>31376</v>
      </c>
      <c r="C26947">
        <v>0</v>
      </c>
      <c r="D26947" t="s">
        <v>106</v>
      </c>
      <c r="E26947">
        <v>3.97001499250374</v>
      </c>
    </row>
    <row r="26948" spans="1:5">
      <c r="A26948" t="s">
        <v>31375</v>
      </c>
      <c r="B26948" t="s">
        <v>31377</v>
      </c>
      <c r="C26948">
        <f>0</f>
        <v>0</v>
      </c>
      <c r="D26948" t="s">
        <v>106</v>
      </c>
      <c r="E26948">
        <v>3.97001499250374</v>
      </c>
    </row>
    <row r="26949" spans="1:5">
      <c r="A26949" t="s">
        <v>31375</v>
      </c>
      <c r="B26949" t="s">
        <v>31378</v>
      </c>
      <c r="C26949">
        <v>0</v>
      </c>
      <c r="D26949" t="s">
        <v>106</v>
      </c>
      <c r="E26949">
        <v>3.97001499250374</v>
      </c>
    </row>
    <row r="26950" spans="1:5">
      <c r="A26950" t="s">
        <v>31375</v>
      </c>
      <c r="B26950" t="s">
        <v>31379</v>
      </c>
      <c r="C26950">
        <v>0</v>
      </c>
      <c r="D26950" t="s">
        <v>106</v>
      </c>
      <c r="E26950">
        <v>3.97001499250374</v>
      </c>
    </row>
    <row r="26951" spans="1:5">
      <c r="A26951" t="s">
        <v>31375</v>
      </c>
      <c r="B26951" t="s">
        <v>31380</v>
      </c>
      <c r="C26951">
        <v>7.8619489641500007E-2</v>
      </c>
      <c r="D26951" t="s">
        <v>106</v>
      </c>
      <c r="E26951">
        <v>3.97001499250374</v>
      </c>
    </row>
    <row r="26952" spans="1:5">
      <c r="A26952" t="s">
        <v>31381</v>
      </c>
      <c r="B26952" t="s">
        <v>31382</v>
      </c>
      <c r="C26952">
        <v>0.50149862494200004</v>
      </c>
      <c r="D26952">
        <v>0.97817185560099995</v>
      </c>
      <c r="E26952">
        <v>3.97001499250374</v>
      </c>
    </row>
    <row r="26953" spans="1:5">
      <c r="A26953" t="s">
        <v>31383</v>
      </c>
      <c r="B26953" t="s">
        <v>31384</v>
      </c>
      <c r="C26953">
        <v>0.81193035291000004</v>
      </c>
      <c r="D26953">
        <v>0.992048619114</v>
      </c>
      <c r="E26953">
        <v>4.2698650674662604</v>
      </c>
    </row>
    <row r="26954" spans="1:5">
      <c r="A26954" t="s">
        <v>31383</v>
      </c>
      <c r="B26954" t="s">
        <v>31385</v>
      </c>
      <c r="C26954">
        <v>0.157706489463</v>
      </c>
      <c r="D26954">
        <v>0.992048619114</v>
      </c>
      <c r="E26954">
        <v>4.2698650674662604</v>
      </c>
    </row>
    <row r="26955" spans="1:5">
      <c r="A26955" t="s">
        <v>31383</v>
      </c>
      <c r="B26955" t="s">
        <v>31386</v>
      </c>
      <c r="C26955">
        <f>0</f>
        <v>0</v>
      </c>
      <c r="D26955">
        <v>0.992048619114</v>
      </c>
      <c r="E26955">
        <v>4.2698650674662604</v>
      </c>
    </row>
    <row r="26956" spans="1:5">
      <c r="A26956" t="s">
        <v>31387</v>
      </c>
      <c r="B26956" t="s">
        <v>31388</v>
      </c>
      <c r="C26956">
        <v>0</v>
      </c>
      <c r="D26956">
        <v>0.84461207151200002</v>
      </c>
      <c r="E26956">
        <v>22.5727136431784</v>
      </c>
    </row>
    <row r="26957" spans="1:5">
      <c r="A26957" t="s">
        <v>31387</v>
      </c>
      <c r="B26957" t="s">
        <v>31389</v>
      </c>
      <c r="C26957">
        <v>3.04762355192E-2</v>
      </c>
      <c r="D26957">
        <v>0.84461207151200002</v>
      </c>
      <c r="E26957">
        <v>22.5727136431784</v>
      </c>
    </row>
    <row r="26958" spans="1:5">
      <c r="A26958" t="s">
        <v>31387</v>
      </c>
      <c r="B26958" t="s">
        <v>31390</v>
      </c>
      <c r="C26958">
        <v>0</v>
      </c>
      <c r="D26958">
        <v>0.84461207151200002</v>
      </c>
      <c r="E26958">
        <v>22.5727136431784</v>
      </c>
    </row>
    <row r="26959" spans="1:5">
      <c r="A26959" t="s">
        <v>31387</v>
      </c>
      <c r="B26959" t="s">
        <v>31391</v>
      </c>
      <c r="C26959">
        <f>0</f>
        <v>0</v>
      </c>
      <c r="D26959">
        <v>0.84461207151200002</v>
      </c>
      <c r="E26959">
        <v>22.5727136431784</v>
      </c>
    </row>
    <row r="26960" spans="1:5">
      <c r="A26960" t="s">
        <v>31387</v>
      </c>
      <c r="B26960" t="s">
        <v>31392</v>
      </c>
      <c r="C26960">
        <v>0</v>
      </c>
      <c r="D26960">
        <v>0.84461207151200002</v>
      </c>
      <c r="E26960">
        <v>22.5727136431784</v>
      </c>
    </row>
    <row r="26961" spans="1:5">
      <c r="A26961" t="s">
        <v>31387</v>
      </c>
      <c r="B26961" t="s">
        <v>31393</v>
      </c>
      <c r="C26961">
        <v>0</v>
      </c>
      <c r="D26961">
        <v>0.84461207151200002</v>
      </c>
      <c r="E26961">
        <v>22.5727136431784</v>
      </c>
    </row>
    <row r="26962" spans="1:5">
      <c r="A26962" t="s">
        <v>31387</v>
      </c>
      <c r="B26962" t="s">
        <v>31394</v>
      </c>
      <c r="C26962">
        <v>0</v>
      </c>
      <c r="D26962">
        <v>0.84461207151200002</v>
      </c>
      <c r="E26962">
        <v>22.5727136431784</v>
      </c>
    </row>
    <row r="26963" spans="1:5">
      <c r="A26963" t="s">
        <v>31395</v>
      </c>
      <c r="B26963" t="s">
        <v>31396</v>
      </c>
      <c r="C26963">
        <v>0</v>
      </c>
      <c r="D26963" t="s">
        <v>106</v>
      </c>
      <c r="E26963">
        <v>13.2653673163418</v>
      </c>
    </row>
    <row r="26964" spans="1:5">
      <c r="A26964" t="s">
        <v>31395</v>
      </c>
      <c r="B26964" t="s">
        <v>31397</v>
      </c>
      <c r="C26964">
        <v>0</v>
      </c>
      <c r="D26964" t="s">
        <v>106</v>
      </c>
      <c r="E26964">
        <v>13.2653673163418</v>
      </c>
    </row>
    <row r="26965" spans="1:5">
      <c r="A26965" t="s">
        <v>31395</v>
      </c>
      <c r="B26965" t="s">
        <v>31398</v>
      </c>
      <c r="C26965">
        <f>0</f>
        <v>0</v>
      </c>
      <c r="D26965" t="s">
        <v>106</v>
      </c>
      <c r="E26965">
        <v>13.2653673163418</v>
      </c>
    </row>
    <row r="26966" spans="1:5">
      <c r="A26966" t="s">
        <v>31395</v>
      </c>
      <c r="B26966" t="s">
        <v>31399</v>
      </c>
      <c r="C26966">
        <f>0</f>
        <v>0</v>
      </c>
      <c r="D26966" t="s">
        <v>106</v>
      </c>
      <c r="E26966">
        <v>13.2653673163418</v>
      </c>
    </row>
    <row r="26967" spans="1:5">
      <c r="A26967" t="s">
        <v>31395</v>
      </c>
      <c r="B26967" t="s">
        <v>31400</v>
      </c>
      <c r="C26967">
        <f>0</f>
        <v>0</v>
      </c>
      <c r="D26967" t="s">
        <v>106</v>
      </c>
      <c r="E26967">
        <v>13.2653673163418</v>
      </c>
    </row>
    <row r="26968" spans="1:5">
      <c r="A26968" t="s">
        <v>31395</v>
      </c>
      <c r="B26968" t="s">
        <v>31401</v>
      </c>
      <c r="C26968">
        <f>0</f>
        <v>0</v>
      </c>
      <c r="D26968" t="s">
        <v>106</v>
      </c>
      <c r="E26968">
        <v>13.2653673163418</v>
      </c>
    </row>
    <row r="26969" spans="1:5">
      <c r="A26969" t="s">
        <v>31395</v>
      </c>
      <c r="B26969" t="s">
        <v>31402</v>
      </c>
      <c r="C26969">
        <f>0</f>
        <v>0</v>
      </c>
      <c r="D26969" t="s">
        <v>106</v>
      </c>
      <c r="E26969">
        <v>13.2653673163418</v>
      </c>
    </row>
    <row r="26970" spans="1:5">
      <c r="A26970" t="s">
        <v>31403</v>
      </c>
      <c r="B26970" t="s">
        <v>31404</v>
      </c>
      <c r="C26970">
        <v>4.7190187672300002E-2</v>
      </c>
      <c r="D26970">
        <v>0.88649531018700001</v>
      </c>
      <c r="E26970">
        <v>1.96701649175412</v>
      </c>
    </row>
    <row r="26971" spans="1:5">
      <c r="A26971" t="s">
        <v>31403</v>
      </c>
      <c r="B26971" t="s">
        <v>31405</v>
      </c>
      <c r="C26971">
        <v>0</v>
      </c>
      <c r="D26971">
        <v>0.88649531018700001</v>
      </c>
      <c r="E26971">
        <v>1.96701649175412</v>
      </c>
    </row>
    <row r="26972" spans="1:5">
      <c r="A26972" t="s">
        <v>31403</v>
      </c>
      <c r="B26972" t="s">
        <v>31406</v>
      </c>
      <c r="C26972">
        <v>0.145445468829</v>
      </c>
      <c r="D26972">
        <v>0.88649531018700001</v>
      </c>
      <c r="E26972">
        <v>1.96701649175412</v>
      </c>
    </row>
    <row r="26973" spans="1:5">
      <c r="A26973" t="s">
        <v>31403</v>
      </c>
      <c r="B26973" t="s">
        <v>31407</v>
      </c>
      <c r="C26973">
        <v>0</v>
      </c>
      <c r="D26973">
        <v>0.88649531018700001</v>
      </c>
      <c r="E26973">
        <v>1.96701649175412</v>
      </c>
    </row>
    <row r="26974" spans="1:5">
      <c r="A26974" t="s">
        <v>31408</v>
      </c>
      <c r="B26974" t="s">
        <v>31409</v>
      </c>
      <c r="C26974">
        <v>0</v>
      </c>
      <c r="D26974">
        <v>0.86644638260999995</v>
      </c>
      <c r="E26974">
        <v>9.0194902548725597</v>
      </c>
    </row>
    <row r="26975" spans="1:5">
      <c r="A26975" t="s">
        <v>31408</v>
      </c>
      <c r="B26975" t="s">
        <v>31410</v>
      </c>
      <c r="C26975">
        <v>0</v>
      </c>
      <c r="D26975">
        <v>0.86644638260999995</v>
      </c>
      <c r="E26975">
        <v>9.0194902548725597</v>
      </c>
    </row>
    <row r="26976" spans="1:5">
      <c r="A26976" t="s">
        <v>31408</v>
      </c>
      <c r="B26976" t="s">
        <v>31411</v>
      </c>
      <c r="C26976">
        <f>0</f>
        <v>0</v>
      </c>
      <c r="D26976">
        <v>0.86644638260999995</v>
      </c>
      <c r="E26976">
        <v>9.0194902548725597</v>
      </c>
    </row>
    <row r="26977" spans="1:5">
      <c r="A26977" t="s">
        <v>31408</v>
      </c>
      <c r="B26977" t="s">
        <v>31412</v>
      </c>
      <c r="C26977">
        <f>0</f>
        <v>0</v>
      </c>
      <c r="D26977">
        <v>0.86644638260999995</v>
      </c>
      <c r="E26977">
        <v>9.0194902548725597</v>
      </c>
    </row>
    <row r="26978" spans="1:5">
      <c r="A26978" t="s">
        <v>31408</v>
      </c>
      <c r="B26978" t="s">
        <v>31413</v>
      </c>
      <c r="C26978">
        <f>0.198991268505</f>
        <v>0.19899126850500001</v>
      </c>
      <c r="D26978">
        <v>0.86644638260999995</v>
      </c>
      <c r="E26978">
        <v>9.0194902548725597</v>
      </c>
    </row>
    <row r="26979" spans="1:5">
      <c r="A26979" t="s">
        <v>31414</v>
      </c>
      <c r="B26979" t="s">
        <v>31415</v>
      </c>
      <c r="C26979">
        <v>0.14978656927799999</v>
      </c>
      <c r="D26979">
        <v>0.93996962606699996</v>
      </c>
      <c r="E26979">
        <v>10.230884557721099</v>
      </c>
    </row>
    <row r="26980" spans="1:5">
      <c r="A26980" t="s">
        <v>31414</v>
      </c>
      <c r="B26980" t="s">
        <v>31416</v>
      </c>
      <c r="C26980">
        <v>0</v>
      </c>
      <c r="D26980">
        <v>0.93996962606699996</v>
      </c>
      <c r="E26980">
        <v>10.230884557721099</v>
      </c>
    </row>
    <row r="26981" spans="1:5">
      <c r="A26981" t="s">
        <v>31414</v>
      </c>
      <c r="B26981" t="s">
        <v>31417</v>
      </c>
      <c r="C26981">
        <v>0.514973473264</v>
      </c>
      <c r="D26981">
        <v>0.93996962606699996</v>
      </c>
      <c r="E26981">
        <v>10.230884557721099</v>
      </c>
    </row>
    <row r="26982" spans="1:5">
      <c r="A26982" t="s">
        <v>31418</v>
      </c>
      <c r="B26982" t="s">
        <v>31419</v>
      </c>
      <c r="C26982">
        <v>0</v>
      </c>
      <c r="D26982">
        <v>0.99801439896199995</v>
      </c>
      <c r="E26982">
        <v>16.299850074962499</v>
      </c>
    </row>
    <row r="26983" spans="1:5">
      <c r="A26983" t="s">
        <v>31418</v>
      </c>
      <c r="B26983" t="s">
        <v>31420</v>
      </c>
      <c r="C26983">
        <v>0</v>
      </c>
      <c r="D26983">
        <v>0.99801439896199995</v>
      </c>
      <c r="E26983">
        <v>16.299850074962499</v>
      </c>
    </row>
    <row r="26984" spans="1:5">
      <c r="A26984" t="s">
        <v>31418</v>
      </c>
      <c r="B26984" t="s">
        <v>31421</v>
      </c>
      <c r="C26984">
        <v>0.15907041887699999</v>
      </c>
      <c r="D26984">
        <v>0.99801439896199995</v>
      </c>
      <c r="E26984">
        <v>16.299850074962499</v>
      </c>
    </row>
    <row r="26985" spans="1:5">
      <c r="A26985" t="s">
        <v>31418</v>
      </c>
      <c r="B26985" t="s">
        <v>31422</v>
      </c>
      <c r="C26985">
        <f>0.226905676327</f>
        <v>0.22690567632700001</v>
      </c>
      <c r="D26985">
        <v>0.99801439896199995</v>
      </c>
      <c r="E26985">
        <v>16.299850074962499</v>
      </c>
    </row>
    <row r="26986" spans="1:5">
      <c r="A26986" t="s">
        <v>31418</v>
      </c>
      <c r="B26986" t="s">
        <v>31423</v>
      </c>
      <c r="C26986">
        <f>0</f>
        <v>0</v>
      </c>
      <c r="D26986">
        <v>0.99801439896199995</v>
      </c>
      <c r="E26986">
        <v>16.299850074962499</v>
      </c>
    </row>
    <row r="26987" spans="1:5">
      <c r="A26987" t="s">
        <v>31424</v>
      </c>
      <c r="B26987" t="s">
        <v>31425</v>
      </c>
      <c r="C26987">
        <v>0</v>
      </c>
      <c r="D26987" t="s">
        <v>106</v>
      </c>
      <c r="E26987">
        <v>3.97001499250374</v>
      </c>
    </row>
    <row r="26988" spans="1:5">
      <c r="A26988" t="s">
        <v>31426</v>
      </c>
      <c r="B26988" t="s">
        <v>31427</v>
      </c>
      <c r="C26988">
        <v>0.53697860850900003</v>
      </c>
      <c r="D26988">
        <v>0.98605093910499997</v>
      </c>
      <c r="E26988">
        <v>9.3073463268365799</v>
      </c>
    </row>
    <row r="26989" spans="1:5">
      <c r="A26989" t="s">
        <v>31426</v>
      </c>
      <c r="B26989" t="s">
        <v>31428</v>
      </c>
      <c r="C26989">
        <f>0</f>
        <v>0</v>
      </c>
      <c r="D26989">
        <v>0.98605093910499997</v>
      </c>
      <c r="E26989">
        <v>9.3073463268365799</v>
      </c>
    </row>
    <row r="26990" spans="1:5">
      <c r="A26990" t="s">
        <v>31426</v>
      </c>
      <c r="B26990" t="s">
        <v>31429</v>
      </c>
      <c r="C26990">
        <f>0.0940170378944</f>
        <v>9.4017037894399996E-2</v>
      </c>
      <c r="D26990">
        <v>0.98605093910499997</v>
      </c>
      <c r="E26990">
        <v>9.3073463268365799</v>
      </c>
    </row>
    <row r="26991" spans="1:5">
      <c r="A26991" t="s">
        <v>31426</v>
      </c>
      <c r="B26991" t="s">
        <v>31430</v>
      </c>
      <c r="C26991">
        <v>0</v>
      </c>
      <c r="D26991">
        <v>0.98605093910499997</v>
      </c>
      <c r="E26991">
        <v>9.3073463268365799</v>
      </c>
    </row>
    <row r="26992" spans="1:5">
      <c r="A26992" t="s">
        <v>31431</v>
      </c>
      <c r="B26992" t="s">
        <v>31432</v>
      </c>
      <c r="C26992">
        <v>0</v>
      </c>
      <c r="D26992" t="s">
        <v>106</v>
      </c>
      <c r="E26992">
        <v>1.00749625187406</v>
      </c>
    </row>
    <row r="26993" spans="1:5">
      <c r="A26993" t="s">
        <v>31431</v>
      </c>
      <c r="B26993" t="s">
        <v>31433</v>
      </c>
      <c r="C26993">
        <v>0</v>
      </c>
      <c r="D26993" t="s">
        <v>106</v>
      </c>
      <c r="E26993">
        <v>1.00749625187406</v>
      </c>
    </row>
    <row r="26994" spans="1:5">
      <c r="A26994" t="s">
        <v>31431</v>
      </c>
      <c r="B26994" t="s">
        <v>31434</v>
      </c>
      <c r="C26994">
        <f>0</f>
        <v>0</v>
      </c>
      <c r="D26994" t="s">
        <v>106</v>
      </c>
      <c r="E26994">
        <v>1.00749625187406</v>
      </c>
    </row>
    <row r="26995" spans="1:5">
      <c r="A26995" t="s">
        <v>31431</v>
      </c>
      <c r="B26995" t="s">
        <v>31435</v>
      </c>
      <c r="C26995">
        <v>0</v>
      </c>
      <c r="D26995" t="s">
        <v>106</v>
      </c>
      <c r="E26995">
        <v>1.00749625187406</v>
      </c>
    </row>
    <row r="26996" spans="1:5">
      <c r="A26996" t="s">
        <v>31436</v>
      </c>
      <c r="B26996" t="s">
        <v>31437</v>
      </c>
      <c r="C26996">
        <v>7.8755120473100002E-2</v>
      </c>
      <c r="D26996">
        <v>0.77642265708000002</v>
      </c>
      <c r="E26996">
        <v>13.445277361319301</v>
      </c>
    </row>
    <row r="26997" spans="1:5">
      <c r="A26997" t="s">
        <v>31436</v>
      </c>
      <c r="B26997" t="s">
        <v>31438</v>
      </c>
      <c r="C26997">
        <v>0</v>
      </c>
      <c r="D26997">
        <v>0.77642265708000002</v>
      </c>
      <c r="E26997">
        <v>13.445277361319301</v>
      </c>
    </row>
    <row r="26998" spans="1:5">
      <c r="A26998" t="s">
        <v>31436</v>
      </c>
      <c r="B26998" t="s">
        <v>31439</v>
      </c>
      <c r="C26998">
        <f>0</f>
        <v>0</v>
      </c>
      <c r="D26998">
        <v>0.77642265708000002</v>
      </c>
      <c r="E26998">
        <v>13.445277361319301</v>
      </c>
    </row>
    <row r="26999" spans="1:5">
      <c r="A26999" t="s">
        <v>31436</v>
      </c>
      <c r="B26999" t="s">
        <v>31440</v>
      </c>
      <c r="C26999">
        <v>0</v>
      </c>
      <c r="D26999">
        <v>0.77642265708000002</v>
      </c>
      <c r="E26999">
        <v>13.445277361319301</v>
      </c>
    </row>
    <row r="27000" spans="1:5">
      <c r="A27000" t="s">
        <v>31436</v>
      </c>
      <c r="B27000" t="s">
        <v>31441</v>
      </c>
      <c r="C27000">
        <v>0</v>
      </c>
      <c r="D27000">
        <v>0.77642265708000002</v>
      </c>
      <c r="E27000">
        <v>13.445277361319301</v>
      </c>
    </row>
    <row r="27001" spans="1:5">
      <c r="A27001" t="s">
        <v>31436</v>
      </c>
      <c r="B27001" t="s">
        <v>31442</v>
      </c>
      <c r="C27001">
        <v>0</v>
      </c>
      <c r="D27001">
        <v>0.77642265708000002</v>
      </c>
      <c r="E27001">
        <v>13.445277361319301</v>
      </c>
    </row>
    <row r="27002" spans="1:5">
      <c r="A27002" t="s">
        <v>31436</v>
      </c>
      <c r="B27002" t="s">
        <v>31443</v>
      </c>
      <c r="C27002">
        <v>0</v>
      </c>
      <c r="D27002">
        <v>0.77642265708000002</v>
      </c>
      <c r="E27002">
        <v>13.445277361319301</v>
      </c>
    </row>
    <row r="27003" spans="1:5">
      <c r="A27003" t="s">
        <v>31436</v>
      </c>
      <c r="B27003" t="s">
        <v>31444</v>
      </c>
      <c r="C27003">
        <v>0</v>
      </c>
      <c r="D27003">
        <v>0.77642265708000002</v>
      </c>
      <c r="E27003">
        <v>13.445277361319301</v>
      </c>
    </row>
    <row r="27004" spans="1:5">
      <c r="A27004" t="s">
        <v>31436</v>
      </c>
      <c r="B27004" t="s">
        <v>31445</v>
      </c>
      <c r="C27004">
        <v>0</v>
      </c>
      <c r="D27004">
        <v>0.77642265708000002</v>
      </c>
      <c r="E27004">
        <v>13.445277361319301</v>
      </c>
    </row>
    <row r="27005" spans="1:5">
      <c r="A27005" t="s">
        <v>31446</v>
      </c>
      <c r="B27005" t="s">
        <v>31447</v>
      </c>
      <c r="C27005">
        <v>0</v>
      </c>
      <c r="D27005">
        <v>0.83888857290200003</v>
      </c>
      <c r="E27005">
        <v>24</v>
      </c>
    </row>
    <row r="27006" spans="1:5">
      <c r="A27006" t="s">
        <v>31446</v>
      </c>
      <c r="B27006" t="s">
        <v>31448</v>
      </c>
      <c r="C27006">
        <v>0</v>
      </c>
      <c r="D27006">
        <v>0.83888857290200003</v>
      </c>
      <c r="E27006">
        <v>24</v>
      </c>
    </row>
    <row r="27007" spans="1:5">
      <c r="A27007" t="s">
        <v>31446</v>
      </c>
      <c r="B27007" t="s">
        <v>31449</v>
      </c>
      <c r="C27007">
        <f>0.0426045652217</f>
        <v>4.2604565221700003E-2</v>
      </c>
      <c r="D27007">
        <v>0.83888857290200003</v>
      </c>
      <c r="E27007">
        <v>24</v>
      </c>
    </row>
    <row r="27008" spans="1:5">
      <c r="A27008" t="s">
        <v>31446</v>
      </c>
      <c r="B27008" t="s">
        <v>31450</v>
      </c>
      <c r="C27008">
        <f>0</f>
        <v>0</v>
      </c>
      <c r="D27008">
        <v>0.83888857290200003</v>
      </c>
      <c r="E27008">
        <v>24</v>
      </c>
    </row>
    <row r="27009" spans="1:5">
      <c r="A27009" t="s">
        <v>31446</v>
      </c>
      <c r="B27009" t="s">
        <v>31451</v>
      </c>
      <c r="C27009">
        <v>0</v>
      </c>
      <c r="D27009">
        <v>0.83888857290200003</v>
      </c>
      <c r="E27009">
        <v>24</v>
      </c>
    </row>
    <row r="27010" spans="1:5">
      <c r="A27010" t="s">
        <v>31446</v>
      </c>
      <c r="B27010" t="s">
        <v>31452</v>
      </c>
      <c r="C27010">
        <v>0</v>
      </c>
      <c r="D27010">
        <v>0.83888857290200003</v>
      </c>
      <c r="E27010">
        <v>24</v>
      </c>
    </row>
    <row r="27011" spans="1:5">
      <c r="A27011" t="s">
        <v>31446</v>
      </c>
      <c r="B27011" t="s">
        <v>31453</v>
      </c>
      <c r="C27011">
        <v>0</v>
      </c>
      <c r="D27011">
        <v>0.83888857290200003</v>
      </c>
      <c r="E27011">
        <v>24</v>
      </c>
    </row>
    <row r="27012" spans="1:5">
      <c r="A27012" t="s">
        <v>31446</v>
      </c>
      <c r="B27012" t="s">
        <v>31454</v>
      </c>
      <c r="C27012">
        <v>0</v>
      </c>
      <c r="D27012">
        <v>0.83888857290200003</v>
      </c>
      <c r="E27012">
        <v>24</v>
      </c>
    </row>
    <row r="27013" spans="1:5">
      <c r="A27013" t="s">
        <v>31446</v>
      </c>
      <c r="B27013" t="s">
        <v>31455</v>
      </c>
      <c r="C27013">
        <v>0.10504456389400001</v>
      </c>
      <c r="D27013">
        <v>0.83888857290200003</v>
      </c>
      <c r="E27013">
        <v>24</v>
      </c>
    </row>
    <row r="27014" spans="1:5">
      <c r="A27014" t="s">
        <v>31446</v>
      </c>
      <c r="B27014" t="s">
        <v>31456</v>
      </c>
      <c r="C27014">
        <v>0</v>
      </c>
      <c r="D27014">
        <v>0.83888857290200003</v>
      </c>
      <c r="E27014">
        <v>24</v>
      </c>
    </row>
    <row r="27015" spans="1:5">
      <c r="A27015" t="s">
        <v>31446</v>
      </c>
      <c r="B27015" t="s">
        <v>31457</v>
      </c>
      <c r="C27015">
        <v>0</v>
      </c>
      <c r="D27015">
        <v>0.83888857290200003</v>
      </c>
      <c r="E27015">
        <v>24</v>
      </c>
    </row>
    <row r="27016" spans="1:5">
      <c r="A27016" t="s">
        <v>31446</v>
      </c>
      <c r="B27016" t="s">
        <v>31458</v>
      </c>
      <c r="C27016">
        <v>0</v>
      </c>
      <c r="D27016">
        <v>0.83888857290200003</v>
      </c>
      <c r="E27016">
        <v>24</v>
      </c>
    </row>
    <row r="27017" spans="1:5">
      <c r="A27017" t="s">
        <v>31446</v>
      </c>
      <c r="B27017" t="s">
        <v>31459</v>
      </c>
      <c r="C27017">
        <f>0</f>
        <v>0</v>
      </c>
      <c r="D27017">
        <v>0.83888857290200003</v>
      </c>
      <c r="E27017">
        <v>24</v>
      </c>
    </row>
    <row r="27018" spans="1:5">
      <c r="A27018" t="s">
        <v>31460</v>
      </c>
      <c r="B27018" t="s">
        <v>31461</v>
      </c>
      <c r="C27018">
        <v>0</v>
      </c>
      <c r="D27018" t="s">
        <v>106</v>
      </c>
      <c r="E27018">
        <v>2.0269865067466202</v>
      </c>
    </row>
    <row r="27019" spans="1:5">
      <c r="A27019" t="s">
        <v>31460</v>
      </c>
      <c r="B27019" t="s">
        <v>31462</v>
      </c>
      <c r="C27019">
        <v>0</v>
      </c>
      <c r="D27019" t="s">
        <v>106</v>
      </c>
      <c r="E27019">
        <v>2.0269865067466202</v>
      </c>
    </row>
    <row r="27020" spans="1:5">
      <c r="A27020" t="s">
        <v>31460</v>
      </c>
      <c r="B27020" t="s">
        <v>31463</v>
      </c>
      <c r="C27020">
        <f>0</f>
        <v>0</v>
      </c>
      <c r="D27020" t="s">
        <v>106</v>
      </c>
      <c r="E27020">
        <v>2.0269865067466202</v>
      </c>
    </row>
    <row r="27021" spans="1:5">
      <c r="A27021" t="s">
        <v>31464</v>
      </c>
      <c r="B27021" t="s">
        <v>31465</v>
      </c>
      <c r="C27021">
        <v>0</v>
      </c>
      <c r="D27021">
        <v>0.99312063877400003</v>
      </c>
      <c r="E27021">
        <v>0.61169415292353801</v>
      </c>
    </row>
    <row r="27022" spans="1:5">
      <c r="A27022" t="s">
        <v>31464</v>
      </c>
      <c r="B27022" t="s">
        <v>31466</v>
      </c>
      <c r="C27022">
        <f>0.650929648258</f>
        <v>0.65092964825800004</v>
      </c>
      <c r="D27022">
        <v>0.99312063877400003</v>
      </c>
      <c r="E27022">
        <v>0.61169415292353801</v>
      </c>
    </row>
    <row r="27023" spans="1:5">
      <c r="A27023" t="s">
        <v>31464</v>
      </c>
      <c r="B27023" t="s">
        <v>31467</v>
      </c>
      <c r="C27023">
        <f>0</f>
        <v>0</v>
      </c>
      <c r="D27023">
        <v>0.99312063877400003</v>
      </c>
      <c r="E27023">
        <v>0.61169415292353801</v>
      </c>
    </row>
    <row r="27024" spans="1:5">
      <c r="A27024" t="s">
        <v>31464</v>
      </c>
      <c r="B27024" t="s">
        <v>31468</v>
      </c>
      <c r="C27024">
        <f>0</f>
        <v>0</v>
      </c>
      <c r="D27024">
        <v>0.99312063877400003</v>
      </c>
      <c r="E27024">
        <v>0.61169415292353801</v>
      </c>
    </row>
    <row r="27025" spans="1:5">
      <c r="A27025" t="s">
        <v>31464</v>
      </c>
      <c r="B27025" t="s">
        <v>31469</v>
      </c>
      <c r="C27025">
        <f>0</f>
        <v>0</v>
      </c>
      <c r="D27025">
        <v>0.99312063877400003</v>
      </c>
      <c r="E27025">
        <v>0.61169415292353801</v>
      </c>
    </row>
    <row r="27026" spans="1:5">
      <c r="A27026" t="s">
        <v>31464</v>
      </c>
      <c r="B27026" t="s">
        <v>31470</v>
      </c>
      <c r="C27026">
        <f>0.0998227829968</f>
        <v>9.9822782996800002E-2</v>
      </c>
      <c r="D27026">
        <v>0.99312063877400003</v>
      </c>
      <c r="E27026">
        <v>0.61169415292353801</v>
      </c>
    </row>
    <row r="27027" spans="1:5">
      <c r="A27027" t="s">
        <v>31464</v>
      </c>
      <c r="B27027" t="s">
        <v>31471</v>
      </c>
      <c r="C27027">
        <f>0</f>
        <v>0</v>
      </c>
      <c r="D27027">
        <v>0.99312063877400003</v>
      </c>
      <c r="E27027">
        <v>0.61169415292353801</v>
      </c>
    </row>
    <row r="27028" spans="1:5">
      <c r="A27028" t="s">
        <v>31464</v>
      </c>
      <c r="B27028" t="s">
        <v>31472</v>
      </c>
      <c r="C27028">
        <v>0</v>
      </c>
      <c r="D27028">
        <v>0.99312063877400003</v>
      </c>
      <c r="E27028">
        <v>0.61169415292353801</v>
      </c>
    </row>
    <row r="27029" spans="1:5">
      <c r="A27029" t="s">
        <v>31473</v>
      </c>
      <c r="B27029" t="s">
        <v>31474</v>
      </c>
      <c r="C27029">
        <v>0</v>
      </c>
      <c r="D27029" t="s">
        <v>106</v>
      </c>
      <c r="E27029">
        <v>19.1904047976012</v>
      </c>
    </row>
    <row r="27030" spans="1:5">
      <c r="A27030" t="s">
        <v>31473</v>
      </c>
      <c r="B27030" t="s">
        <v>31475</v>
      </c>
      <c r="C27030">
        <v>0.13264766087800001</v>
      </c>
      <c r="D27030" t="s">
        <v>106</v>
      </c>
      <c r="E27030">
        <v>19.1904047976012</v>
      </c>
    </row>
    <row r="27031" spans="1:5">
      <c r="A27031" t="s">
        <v>31473</v>
      </c>
      <c r="B27031" t="s">
        <v>31476</v>
      </c>
      <c r="C27031">
        <v>0</v>
      </c>
      <c r="D27031" t="s">
        <v>106</v>
      </c>
      <c r="E27031">
        <v>19.1904047976012</v>
      </c>
    </row>
    <row r="27032" spans="1:5">
      <c r="A27032" t="s">
        <v>31473</v>
      </c>
      <c r="B27032" t="s">
        <v>31477</v>
      </c>
      <c r="C27032">
        <v>0</v>
      </c>
      <c r="D27032" t="s">
        <v>106</v>
      </c>
      <c r="E27032">
        <v>19.1904047976012</v>
      </c>
    </row>
    <row r="27033" spans="1:5">
      <c r="A27033" t="s">
        <v>31473</v>
      </c>
      <c r="B27033" t="s">
        <v>31478</v>
      </c>
      <c r="C27033">
        <v>0</v>
      </c>
      <c r="D27033" t="s">
        <v>106</v>
      </c>
      <c r="E27033">
        <v>19.1904047976012</v>
      </c>
    </row>
    <row r="27034" spans="1:5">
      <c r="A27034" t="s">
        <v>31473</v>
      </c>
      <c r="B27034" t="s">
        <v>31479</v>
      </c>
      <c r="C27034">
        <v>0</v>
      </c>
      <c r="D27034" t="s">
        <v>106</v>
      </c>
      <c r="E27034">
        <v>19.1904047976012</v>
      </c>
    </row>
    <row r="27035" spans="1:5">
      <c r="A27035" t="s">
        <v>31473</v>
      </c>
      <c r="B27035" t="s">
        <v>31480</v>
      </c>
      <c r="C27035">
        <f>0</f>
        <v>0</v>
      </c>
      <c r="D27035" t="s">
        <v>106</v>
      </c>
      <c r="E27035">
        <v>19.1904047976012</v>
      </c>
    </row>
    <row r="27036" spans="1:5">
      <c r="A27036" t="s">
        <v>31473</v>
      </c>
      <c r="B27036" t="s">
        <v>31481</v>
      </c>
      <c r="C27036">
        <v>0</v>
      </c>
      <c r="D27036" t="s">
        <v>106</v>
      </c>
      <c r="E27036">
        <v>19.1904047976012</v>
      </c>
    </row>
    <row r="27037" spans="1:5">
      <c r="A27037" t="s">
        <v>31473</v>
      </c>
      <c r="B27037" t="s">
        <v>31482</v>
      </c>
      <c r="C27037">
        <f>0</f>
        <v>0</v>
      </c>
      <c r="D27037" t="s">
        <v>106</v>
      </c>
      <c r="E27037">
        <v>19.1904047976012</v>
      </c>
    </row>
    <row r="27038" spans="1:5">
      <c r="A27038" t="s">
        <v>31473</v>
      </c>
      <c r="B27038" t="s">
        <v>31483</v>
      </c>
      <c r="C27038">
        <v>4.9927806042900001E-2</v>
      </c>
      <c r="D27038" t="s">
        <v>106</v>
      </c>
      <c r="E27038">
        <v>19.1904047976012</v>
      </c>
    </row>
    <row r="27039" spans="1:5">
      <c r="A27039" t="s">
        <v>31473</v>
      </c>
      <c r="B27039" t="s">
        <v>31484</v>
      </c>
      <c r="C27039">
        <v>0</v>
      </c>
      <c r="D27039" t="s">
        <v>106</v>
      </c>
      <c r="E27039">
        <v>19.1904047976012</v>
      </c>
    </row>
    <row r="27040" spans="1:5">
      <c r="A27040" t="s">
        <v>31485</v>
      </c>
      <c r="B27040" t="s">
        <v>31486</v>
      </c>
      <c r="C27040">
        <v>0</v>
      </c>
      <c r="D27040">
        <v>0.98531863076500004</v>
      </c>
      <c r="E27040">
        <v>0.86356821589205401</v>
      </c>
    </row>
    <row r="27041" spans="1:5">
      <c r="A27041" t="s">
        <v>31485</v>
      </c>
      <c r="B27041" t="s">
        <v>31487</v>
      </c>
      <c r="C27041">
        <v>0</v>
      </c>
      <c r="D27041">
        <v>0.98531863076500004</v>
      </c>
      <c r="E27041">
        <v>0.86356821589205401</v>
      </c>
    </row>
    <row r="27042" spans="1:5">
      <c r="A27042" t="s">
        <v>31485</v>
      </c>
      <c r="B27042" t="s">
        <v>31488</v>
      </c>
      <c r="C27042">
        <v>0.95145989872400005</v>
      </c>
      <c r="D27042">
        <v>0.98531863076500004</v>
      </c>
      <c r="E27042">
        <v>0.86356821589205401</v>
      </c>
    </row>
    <row r="27043" spans="1:5">
      <c r="A27043" t="s">
        <v>31485</v>
      </c>
      <c r="B27043" t="s">
        <v>31489</v>
      </c>
      <c r="C27043">
        <v>0</v>
      </c>
      <c r="D27043">
        <v>0.98531863076500004</v>
      </c>
      <c r="E27043">
        <v>0.86356821589205401</v>
      </c>
    </row>
    <row r="27044" spans="1:5">
      <c r="A27044" t="s">
        <v>31485</v>
      </c>
      <c r="B27044" t="s">
        <v>31490</v>
      </c>
      <c r="C27044">
        <v>5.4905461396399999E-2</v>
      </c>
      <c r="D27044">
        <v>0.98531863076500004</v>
      </c>
      <c r="E27044">
        <v>0.86356821589205401</v>
      </c>
    </row>
    <row r="27045" spans="1:5">
      <c r="A27045" t="s">
        <v>31485</v>
      </c>
      <c r="B27045" t="s">
        <v>31491</v>
      </c>
      <c r="C27045">
        <v>0</v>
      </c>
      <c r="D27045">
        <v>0.98531863076500004</v>
      </c>
      <c r="E27045">
        <v>0.86356821589205401</v>
      </c>
    </row>
    <row r="27046" spans="1:5">
      <c r="A27046" t="s">
        <v>31485</v>
      </c>
      <c r="B27046" t="s">
        <v>31492</v>
      </c>
      <c r="C27046">
        <v>0</v>
      </c>
      <c r="D27046">
        <v>0.98531863076500004</v>
      </c>
      <c r="E27046">
        <v>0.86356821589205401</v>
      </c>
    </row>
    <row r="27047" spans="1:5">
      <c r="A27047" t="s">
        <v>31485</v>
      </c>
      <c r="B27047" t="s">
        <v>31493</v>
      </c>
      <c r="C27047">
        <v>0</v>
      </c>
      <c r="D27047">
        <v>0.98531863076500004</v>
      </c>
      <c r="E27047">
        <v>0.86356821589205401</v>
      </c>
    </row>
    <row r="27048" spans="1:5">
      <c r="A27048" t="s">
        <v>31494</v>
      </c>
      <c r="B27048" t="s">
        <v>31495</v>
      </c>
      <c r="C27048">
        <v>0</v>
      </c>
      <c r="D27048">
        <v>0.88474964415799995</v>
      </c>
      <c r="E27048">
        <v>12.5577211394302</v>
      </c>
    </row>
    <row r="27049" spans="1:5">
      <c r="A27049" t="s">
        <v>31494</v>
      </c>
      <c r="B27049" t="s">
        <v>31496</v>
      </c>
      <c r="C27049">
        <f>0</f>
        <v>0</v>
      </c>
      <c r="D27049">
        <v>0.88474964415799995</v>
      </c>
      <c r="E27049">
        <v>12.5577211394302</v>
      </c>
    </row>
    <row r="27050" spans="1:5">
      <c r="A27050" t="s">
        <v>31494</v>
      </c>
      <c r="B27050" t="s">
        <v>31497</v>
      </c>
      <c r="C27050">
        <f>0</f>
        <v>0</v>
      </c>
      <c r="D27050">
        <v>0.88474964415799995</v>
      </c>
      <c r="E27050">
        <v>12.5577211394302</v>
      </c>
    </row>
    <row r="27051" spans="1:5">
      <c r="A27051" t="s">
        <v>31494</v>
      </c>
      <c r="B27051" t="s">
        <v>31498</v>
      </c>
      <c r="C27051">
        <f>0</f>
        <v>0</v>
      </c>
      <c r="D27051">
        <v>0.88474964415799995</v>
      </c>
      <c r="E27051">
        <v>12.5577211394302</v>
      </c>
    </row>
    <row r="27052" spans="1:5">
      <c r="A27052" t="s">
        <v>31494</v>
      </c>
      <c r="B27052" t="s">
        <v>31499</v>
      </c>
      <c r="C27052">
        <v>0</v>
      </c>
      <c r="D27052">
        <v>0.88474964415799995</v>
      </c>
      <c r="E27052">
        <v>12.5577211394302</v>
      </c>
    </row>
    <row r="27053" spans="1:5">
      <c r="A27053" t="s">
        <v>31494</v>
      </c>
      <c r="B27053" t="s">
        <v>31500</v>
      </c>
      <c r="C27053">
        <v>0</v>
      </c>
      <c r="D27053">
        <v>0.88474964415799995</v>
      </c>
      <c r="E27053">
        <v>12.5577211394302</v>
      </c>
    </row>
    <row r="27054" spans="1:5">
      <c r="A27054" t="s">
        <v>31494</v>
      </c>
      <c r="B27054" t="s">
        <v>31501</v>
      </c>
      <c r="C27054">
        <v>0</v>
      </c>
      <c r="D27054">
        <v>0.88474964415799995</v>
      </c>
      <c r="E27054">
        <v>12.5577211394302</v>
      </c>
    </row>
    <row r="27055" spans="1:5">
      <c r="A27055" t="s">
        <v>31494</v>
      </c>
      <c r="B27055" t="s">
        <v>31502</v>
      </c>
      <c r="C27055">
        <f>0</f>
        <v>0</v>
      </c>
      <c r="D27055">
        <v>0.88474964415799995</v>
      </c>
      <c r="E27055">
        <v>12.5577211394302</v>
      </c>
    </row>
    <row r="27056" spans="1:5">
      <c r="A27056" t="s">
        <v>31494</v>
      </c>
      <c r="B27056" t="s">
        <v>31503</v>
      </c>
      <c r="C27056">
        <f>0</f>
        <v>0</v>
      </c>
      <c r="D27056">
        <v>0.88474964415799995</v>
      </c>
      <c r="E27056">
        <v>12.5577211394302</v>
      </c>
    </row>
    <row r="27057" spans="1:5">
      <c r="A27057" t="s">
        <v>31494</v>
      </c>
      <c r="B27057" t="s">
        <v>31504</v>
      </c>
      <c r="C27057">
        <v>8.5899461652800005E-2</v>
      </c>
      <c r="D27057">
        <v>0.88474964415799995</v>
      </c>
      <c r="E27057">
        <v>12.5577211394302</v>
      </c>
    </row>
    <row r="27058" spans="1:5">
      <c r="A27058" t="s">
        <v>31494</v>
      </c>
      <c r="B27058" t="s">
        <v>31505</v>
      </c>
      <c r="C27058">
        <f>0</f>
        <v>0</v>
      </c>
      <c r="D27058">
        <v>0.88474964415799995</v>
      </c>
      <c r="E27058">
        <v>12.5577211394302</v>
      </c>
    </row>
    <row r="27059" spans="1:5">
      <c r="A27059" t="s">
        <v>31494</v>
      </c>
      <c r="B27059" t="s">
        <v>31506</v>
      </c>
      <c r="C27059">
        <v>0</v>
      </c>
      <c r="D27059">
        <v>0.88474964415799995</v>
      </c>
      <c r="E27059">
        <v>12.5577211394302</v>
      </c>
    </row>
    <row r="27060" spans="1:5">
      <c r="A27060" t="s">
        <v>31494</v>
      </c>
      <c r="B27060" t="s">
        <v>31507</v>
      </c>
      <c r="C27060">
        <f>0.013970850837</f>
        <v>1.3970850837E-2</v>
      </c>
      <c r="D27060">
        <v>0.88474964415799995</v>
      </c>
      <c r="E27060">
        <v>12.5577211394302</v>
      </c>
    </row>
    <row r="27061" spans="1:5">
      <c r="A27061" t="s">
        <v>31494</v>
      </c>
      <c r="B27061" t="s">
        <v>31508</v>
      </c>
      <c r="C27061">
        <v>0</v>
      </c>
      <c r="D27061">
        <v>0.88474964415799995</v>
      </c>
      <c r="E27061">
        <v>12.5577211394302</v>
      </c>
    </row>
    <row r="27062" spans="1:5">
      <c r="A27062" t="s">
        <v>31494</v>
      </c>
      <c r="B27062" t="s">
        <v>31509</v>
      </c>
      <c r="C27062">
        <v>0</v>
      </c>
      <c r="D27062">
        <v>0.88474964415799995</v>
      </c>
      <c r="E27062">
        <v>12.5577211394302</v>
      </c>
    </row>
    <row r="27063" spans="1:5">
      <c r="A27063" t="s">
        <v>31494</v>
      </c>
      <c r="B27063" t="s">
        <v>31510</v>
      </c>
      <c r="C27063">
        <v>0</v>
      </c>
      <c r="D27063">
        <v>0.88474964415799995</v>
      </c>
      <c r="E27063">
        <v>12.5577211394302</v>
      </c>
    </row>
    <row r="27064" spans="1:5">
      <c r="A27064" t="s">
        <v>31494</v>
      </c>
      <c r="B27064" t="s">
        <v>31511</v>
      </c>
      <c r="C27064">
        <f>0</f>
        <v>0</v>
      </c>
      <c r="D27064">
        <v>0.88474964415799995</v>
      </c>
      <c r="E27064">
        <v>12.5577211394302</v>
      </c>
    </row>
    <row r="27065" spans="1:5">
      <c r="A27065" t="s">
        <v>31494</v>
      </c>
      <c r="B27065" t="s">
        <v>31512</v>
      </c>
      <c r="C27065">
        <f>0</f>
        <v>0</v>
      </c>
      <c r="D27065">
        <v>0.88474964415799995</v>
      </c>
      <c r="E27065">
        <v>12.5577211394302</v>
      </c>
    </row>
    <row r="27066" spans="1:5">
      <c r="A27066" t="s">
        <v>31494</v>
      </c>
      <c r="B27066" t="s">
        <v>31513</v>
      </c>
      <c r="C27066">
        <v>0</v>
      </c>
      <c r="D27066">
        <v>0.88474964415799995</v>
      </c>
      <c r="E27066">
        <v>12.5577211394302</v>
      </c>
    </row>
    <row r="27067" spans="1:5">
      <c r="A27067" t="s">
        <v>31494</v>
      </c>
      <c r="B27067" t="s">
        <v>31514</v>
      </c>
      <c r="C27067">
        <v>0</v>
      </c>
      <c r="D27067">
        <v>0.88474964415799995</v>
      </c>
      <c r="E27067">
        <v>12.5577211394302</v>
      </c>
    </row>
    <row r="27068" spans="1:5">
      <c r="A27068" t="s">
        <v>31494</v>
      </c>
      <c r="B27068" t="s">
        <v>31515</v>
      </c>
      <c r="C27068">
        <v>0</v>
      </c>
      <c r="D27068">
        <v>0.88474964415799995</v>
      </c>
      <c r="E27068">
        <v>12.5577211394302</v>
      </c>
    </row>
    <row r="27069" spans="1:5">
      <c r="A27069" t="s">
        <v>31494</v>
      </c>
      <c r="B27069" t="s">
        <v>31516</v>
      </c>
      <c r="C27069">
        <v>0</v>
      </c>
      <c r="D27069">
        <v>0.88474964415799995</v>
      </c>
      <c r="E27069">
        <v>12.5577211394302</v>
      </c>
    </row>
    <row r="27070" spans="1:5">
      <c r="A27070" t="s">
        <v>31494</v>
      </c>
      <c r="B27070" t="s">
        <v>31517</v>
      </c>
      <c r="C27070">
        <f>0</f>
        <v>0</v>
      </c>
      <c r="D27070">
        <v>0.88474964415799995</v>
      </c>
      <c r="E27070">
        <v>12.5577211394302</v>
      </c>
    </row>
    <row r="27071" spans="1:5">
      <c r="A27071" t="s">
        <v>31518</v>
      </c>
      <c r="B27071" t="s">
        <v>31519</v>
      </c>
      <c r="C27071">
        <v>0</v>
      </c>
      <c r="D27071" t="s">
        <v>106</v>
      </c>
      <c r="E27071">
        <v>24</v>
      </c>
    </row>
    <row r="27072" spans="1:5">
      <c r="A27072" t="s">
        <v>31518</v>
      </c>
      <c r="B27072" t="s">
        <v>31520</v>
      </c>
      <c r="C27072">
        <v>8.9966067686699999E-2</v>
      </c>
      <c r="D27072" t="s">
        <v>106</v>
      </c>
      <c r="E27072">
        <v>24</v>
      </c>
    </row>
    <row r="27073" spans="1:5">
      <c r="A27073" t="s">
        <v>31518</v>
      </c>
      <c r="B27073" t="s">
        <v>31521</v>
      </c>
      <c r="C27073">
        <v>0</v>
      </c>
      <c r="D27073" t="s">
        <v>106</v>
      </c>
      <c r="E27073">
        <v>24</v>
      </c>
    </row>
    <row r="27074" spans="1:5">
      <c r="A27074" t="s">
        <v>31518</v>
      </c>
      <c r="B27074" t="s">
        <v>31522</v>
      </c>
      <c r="C27074">
        <v>0.106442435633</v>
      </c>
      <c r="D27074" t="s">
        <v>106</v>
      </c>
      <c r="E27074">
        <v>24</v>
      </c>
    </row>
    <row r="27075" spans="1:5">
      <c r="A27075" t="s">
        <v>31518</v>
      </c>
      <c r="B27075" t="s">
        <v>31523</v>
      </c>
      <c r="C27075">
        <v>0</v>
      </c>
      <c r="D27075" t="s">
        <v>106</v>
      </c>
      <c r="E27075">
        <v>24</v>
      </c>
    </row>
    <row r="27076" spans="1:5">
      <c r="A27076" t="s">
        <v>31518</v>
      </c>
      <c r="B27076" t="s">
        <v>31524</v>
      </c>
      <c r="C27076">
        <v>0</v>
      </c>
      <c r="D27076" t="s">
        <v>106</v>
      </c>
      <c r="E27076">
        <v>24</v>
      </c>
    </row>
    <row r="27077" spans="1:5">
      <c r="A27077" t="s">
        <v>31525</v>
      </c>
      <c r="B27077" t="s">
        <v>31526</v>
      </c>
      <c r="C27077">
        <v>9.8787320971900003E-2</v>
      </c>
      <c r="D27077">
        <v>0.98462300365099997</v>
      </c>
      <c r="E27077">
        <v>13.625187406296799</v>
      </c>
    </row>
    <row r="27078" spans="1:5">
      <c r="A27078" t="s">
        <v>31525</v>
      </c>
      <c r="B27078" t="s">
        <v>31527</v>
      </c>
      <c r="C27078">
        <v>0.13163258183000001</v>
      </c>
      <c r="D27078">
        <v>0.98462300365099997</v>
      </c>
      <c r="E27078">
        <v>13.625187406296799</v>
      </c>
    </row>
    <row r="27079" spans="1:5">
      <c r="A27079" t="s">
        <v>31525</v>
      </c>
      <c r="B27079" t="s">
        <v>31528</v>
      </c>
      <c r="C27079">
        <v>0</v>
      </c>
      <c r="D27079">
        <v>0.98462300365099997</v>
      </c>
      <c r="E27079">
        <v>13.625187406296799</v>
      </c>
    </row>
    <row r="27080" spans="1:5">
      <c r="A27080" t="s">
        <v>31525</v>
      </c>
      <c r="B27080" t="s">
        <v>31529</v>
      </c>
      <c r="C27080">
        <v>0</v>
      </c>
      <c r="D27080">
        <v>0.98462300365099997</v>
      </c>
      <c r="E27080">
        <v>13.625187406296799</v>
      </c>
    </row>
    <row r="27081" spans="1:5">
      <c r="A27081" t="s">
        <v>31525</v>
      </c>
      <c r="B27081" t="s">
        <v>31530</v>
      </c>
      <c r="C27081">
        <f>0</f>
        <v>0</v>
      </c>
      <c r="D27081">
        <v>0.98462300365099997</v>
      </c>
      <c r="E27081">
        <v>13.625187406296799</v>
      </c>
    </row>
    <row r="27082" spans="1:5">
      <c r="A27082" t="s">
        <v>31525</v>
      </c>
      <c r="B27082" t="s">
        <v>31531</v>
      </c>
      <c r="C27082">
        <f>0</f>
        <v>0</v>
      </c>
      <c r="D27082">
        <v>0.98462300365099997</v>
      </c>
      <c r="E27082">
        <v>13.625187406296799</v>
      </c>
    </row>
    <row r="27083" spans="1:5">
      <c r="A27083" t="s">
        <v>31525</v>
      </c>
      <c r="B27083" t="s">
        <v>31532</v>
      </c>
      <c r="C27083">
        <v>0</v>
      </c>
      <c r="D27083">
        <v>0.98462300365099997</v>
      </c>
      <c r="E27083">
        <v>13.625187406296799</v>
      </c>
    </row>
    <row r="27084" spans="1:5">
      <c r="A27084" t="s">
        <v>31525</v>
      </c>
      <c r="B27084" t="s">
        <v>31533</v>
      </c>
      <c r="C27084">
        <v>0</v>
      </c>
      <c r="D27084">
        <v>0.98462300365099997</v>
      </c>
      <c r="E27084">
        <v>13.625187406296799</v>
      </c>
    </row>
    <row r="27085" spans="1:5">
      <c r="A27085" t="s">
        <v>31525</v>
      </c>
      <c r="B27085" t="s">
        <v>31534</v>
      </c>
      <c r="C27085">
        <v>0</v>
      </c>
      <c r="D27085">
        <v>0.98462300365099997</v>
      </c>
      <c r="E27085">
        <v>13.625187406296799</v>
      </c>
    </row>
    <row r="27086" spans="1:5">
      <c r="A27086" t="s">
        <v>31535</v>
      </c>
      <c r="B27086" t="s">
        <v>31536</v>
      </c>
      <c r="C27086">
        <f>0</f>
        <v>0</v>
      </c>
      <c r="D27086" t="s">
        <v>106</v>
      </c>
      <c r="E27086">
        <v>23.508245877061398</v>
      </c>
    </row>
    <row r="27087" spans="1:5">
      <c r="A27087" t="s">
        <v>31535</v>
      </c>
      <c r="B27087" t="s">
        <v>31537</v>
      </c>
      <c r="C27087">
        <f>0.000506593541464</f>
        <v>5.06593541464E-4</v>
      </c>
      <c r="D27087" t="s">
        <v>106</v>
      </c>
      <c r="E27087">
        <v>23.508245877061398</v>
      </c>
    </row>
    <row r="27088" spans="1:5">
      <c r="A27088" t="s">
        <v>31535</v>
      </c>
      <c r="B27088" t="s">
        <v>31538</v>
      </c>
      <c r="C27088">
        <f>0</f>
        <v>0</v>
      </c>
      <c r="D27088" t="s">
        <v>106</v>
      </c>
      <c r="E27088">
        <v>23.508245877061398</v>
      </c>
    </row>
    <row r="27089" spans="1:5">
      <c r="A27089" t="s">
        <v>31539</v>
      </c>
      <c r="B27089" t="s">
        <v>31540</v>
      </c>
      <c r="C27089">
        <v>0</v>
      </c>
      <c r="D27089">
        <v>0.88391767215999995</v>
      </c>
      <c r="E27089">
        <v>1.89505247376311</v>
      </c>
    </row>
    <row r="27090" spans="1:5">
      <c r="A27090" t="s">
        <v>31539</v>
      </c>
      <c r="B27090" t="s">
        <v>31541</v>
      </c>
      <c r="C27090">
        <f>0.274359055396</f>
        <v>0.27435905539599997</v>
      </c>
      <c r="D27090">
        <v>0.88391767215999995</v>
      </c>
      <c r="E27090">
        <v>1.89505247376311</v>
      </c>
    </row>
    <row r="27091" spans="1:5">
      <c r="A27091" t="s">
        <v>31539</v>
      </c>
      <c r="B27091" t="s">
        <v>31542</v>
      </c>
      <c r="C27091">
        <v>2.3538707805299999E-2</v>
      </c>
      <c r="D27091">
        <v>0.88391767215999995</v>
      </c>
      <c r="E27091">
        <v>1.89505247376311</v>
      </c>
    </row>
    <row r="27092" spans="1:5">
      <c r="A27092" t="s">
        <v>31539</v>
      </c>
      <c r="B27092" t="s">
        <v>31543</v>
      </c>
      <c r="C27092">
        <f>0</f>
        <v>0</v>
      </c>
      <c r="D27092">
        <v>0.88391767215999995</v>
      </c>
      <c r="E27092">
        <v>1.89505247376311</v>
      </c>
    </row>
    <row r="27093" spans="1:5">
      <c r="A27093" t="s">
        <v>31544</v>
      </c>
      <c r="B27093" t="s">
        <v>4247</v>
      </c>
      <c r="C27093">
        <v>0</v>
      </c>
      <c r="D27093">
        <v>0.93224622532099999</v>
      </c>
      <c r="E27093">
        <v>14.740629685157399</v>
      </c>
    </row>
    <row r="27094" spans="1:5">
      <c r="A27094" t="s">
        <v>31544</v>
      </c>
      <c r="B27094" t="s">
        <v>4248</v>
      </c>
      <c r="C27094">
        <v>0</v>
      </c>
      <c r="D27094">
        <v>0.93224622532099999</v>
      </c>
      <c r="E27094">
        <v>14.740629685157399</v>
      </c>
    </row>
    <row r="27095" spans="1:5">
      <c r="A27095" t="s">
        <v>31544</v>
      </c>
      <c r="B27095" t="s">
        <v>4249</v>
      </c>
      <c r="C27095">
        <v>0</v>
      </c>
      <c r="D27095">
        <v>0.93224622532099999</v>
      </c>
      <c r="E27095">
        <v>14.740629685157399</v>
      </c>
    </row>
    <row r="27096" spans="1:5">
      <c r="A27096" t="s">
        <v>31544</v>
      </c>
      <c r="B27096" t="s">
        <v>4250</v>
      </c>
      <c r="C27096">
        <v>0</v>
      </c>
      <c r="D27096">
        <v>0.93224622532099999</v>
      </c>
      <c r="E27096">
        <v>14.740629685157399</v>
      </c>
    </row>
    <row r="27097" spans="1:5">
      <c r="A27097" t="s">
        <v>31544</v>
      </c>
      <c r="B27097" t="s">
        <v>4251</v>
      </c>
      <c r="C27097">
        <v>8.3434427335099995E-2</v>
      </c>
      <c r="D27097">
        <v>0.93224622532099999</v>
      </c>
      <c r="E27097">
        <v>14.740629685157399</v>
      </c>
    </row>
    <row r="27098" spans="1:5">
      <c r="A27098" t="s">
        <v>31544</v>
      </c>
      <c r="B27098" t="s">
        <v>4252</v>
      </c>
      <c r="C27098">
        <v>5.86563294838E-2</v>
      </c>
      <c r="D27098">
        <v>0.93224622532099999</v>
      </c>
      <c r="E27098">
        <v>14.740629685157399</v>
      </c>
    </row>
    <row r="27099" spans="1:5">
      <c r="A27099" t="s">
        <v>31545</v>
      </c>
      <c r="B27099" t="s">
        <v>31546</v>
      </c>
      <c r="C27099">
        <f>0</f>
        <v>0</v>
      </c>
      <c r="D27099">
        <v>0.98540775182100004</v>
      </c>
      <c r="E27099">
        <v>12.5577211394302</v>
      </c>
    </row>
    <row r="27100" spans="1:5">
      <c r="A27100" t="s">
        <v>31545</v>
      </c>
      <c r="B27100" t="s">
        <v>31547</v>
      </c>
      <c r="C27100">
        <v>0.35603495544699998</v>
      </c>
      <c r="D27100">
        <v>0.98540775182100004</v>
      </c>
      <c r="E27100">
        <v>12.5577211394302</v>
      </c>
    </row>
    <row r="27101" spans="1:5">
      <c r="A27101" t="s">
        <v>31545</v>
      </c>
      <c r="B27101" t="s">
        <v>31548</v>
      </c>
      <c r="C27101">
        <v>2.8571839032000002E-2</v>
      </c>
      <c r="D27101">
        <v>0.98540775182100004</v>
      </c>
      <c r="E27101">
        <v>12.5577211394302</v>
      </c>
    </row>
    <row r="27102" spans="1:5">
      <c r="A27102" t="s">
        <v>31549</v>
      </c>
      <c r="B27102" t="s">
        <v>31550</v>
      </c>
      <c r="C27102">
        <v>0.201056581511</v>
      </c>
      <c r="D27102">
        <v>0.92903123784899999</v>
      </c>
      <c r="E27102">
        <v>24</v>
      </c>
    </row>
    <row r="27103" spans="1:5">
      <c r="A27103" t="s">
        <v>31549</v>
      </c>
      <c r="B27103" t="s">
        <v>31551</v>
      </c>
      <c r="C27103">
        <v>0</v>
      </c>
      <c r="D27103">
        <v>0.92903123784899999</v>
      </c>
      <c r="E27103">
        <v>24</v>
      </c>
    </row>
    <row r="27104" spans="1:5">
      <c r="A27104" t="s">
        <v>31549</v>
      </c>
      <c r="B27104" t="s">
        <v>31552</v>
      </c>
      <c r="C27104">
        <f>0.0187143752587</f>
        <v>1.8714375258700001E-2</v>
      </c>
      <c r="D27104">
        <v>0.92903123784899999</v>
      </c>
      <c r="E27104">
        <v>24</v>
      </c>
    </row>
    <row r="27105" spans="1:5">
      <c r="A27105" t="s">
        <v>31553</v>
      </c>
      <c r="B27105" t="s">
        <v>31554</v>
      </c>
      <c r="C27105">
        <f>0</f>
        <v>0</v>
      </c>
      <c r="D27105">
        <v>0.99733671286799996</v>
      </c>
      <c r="E27105">
        <v>2.1709145427286298</v>
      </c>
    </row>
    <row r="27106" spans="1:5">
      <c r="A27106" t="s">
        <v>31553</v>
      </c>
      <c r="B27106" t="s">
        <v>31555</v>
      </c>
      <c r="C27106">
        <f>0</f>
        <v>0</v>
      </c>
      <c r="D27106">
        <v>0.99733671286799996</v>
      </c>
      <c r="E27106">
        <v>2.1709145427286298</v>
      </c>
    </row>
    <row r="27107" spans="1:5">
      <c r="A27107" t="s">
        <v>31553</v>
      </c>
      <c r="B27107" t="s">
        <v>31556</v>
      </c>
      <c r="C27107">
        <v>0</v>
      </c>
      <c r="D27107">
        <v>0.99733671286799996</v>
      </c>
      <c r="E27107">
        <v>2.1709145427286298</v>
      </c>
    </row>
    <row r="27108" spans="1:5">
      <c r="A27108" t="s">
        <v>31553</v>
      </c>
      <c r="B27108" t="s">
        <v>31557</v>
      </c>
      <c r="C27108">
        <f>0</f>
        <v>0</v>
      </c>
      <c r="D27108">
        <v>0.99733671286799996</v>
      </c>
      <c r="E27108">
        <v>2.1709145427286298</v>
      </c>
    </row>
    <row r="27109" spans="1:5">
      <c r="A27109" t="s">
        <v>31553</v>
      </c>
      <c r="B27109" t="s">
        <v>31558</v>
      </c>
      <c r="C27109">
        <f>0</f>
        <v>0</v>
      </c>
      <c r="D27109">
        <v>0.99733671286799996</v>
      </c>
      <c r="E27109">
        <v>2.1709145427286298</v>
      </c>
    </row>
    <row r="27110" spans="1:5">
      <c r="A27110" t="s">
        <v>31553</v>
      </c>
      <c r="B27110" t="s">
        <v>31559</v>
      </c>
      <c r="C27110">
        <f>0</f>
        <v>0</v>
      </c>
      <c r="D27110">
        <v>0.99733671286799996</v>
      </c>
      <c r="E27110">
        <v>2.1709145427286298</v>
      </c>
    </row>
    <row r="27111" spans="1:5">
      <c r="A27111" t="s">
        <v>31553</v>
      </c>
      <c r="B27111" t="s">
        <v>31560</v>
      </c>
      <c r="C27111">
        <v>0</v>
      </c>
      <c r="D27111">
        <v>0.99733671286799996</v>
      </c>
      <c r="E27111">
        <v>2.1709145427286298</v>
      </c>
    </row>
    <row r="27112" spans="1:5">
      <c r="A27112" t="s">
        <v>31553</v>
      </c>
      <c r="B27112" t="s">
        <v>31561</v>
      </c>
      <c r="C27112">
        <f>0</f>
        <v>0</v>
      </c>
      <c r="D27112">
        <v>0.99733671286799996</v>
      </c>
      <c r="E27112">
        <v>2.1709145427286298</v>
      </c>
    </row>
    <row r="27113" spans="1:5">
      <c r="A27113" t="s">
        <v>31553</v>
      </c>
      <c r="B27113" t="s">
        <v>31562</v>
      </c>
      <c r="C27113">
        <v>0</v>
      </c>
      <c r="D27113">
        <v>0.99733671286799996</v>
      </c>
      <c r="E27113">
        <v>2.1709145427286298</v>
      </c>
    </row>
    <row r="27114" spans="1:5">
      <c r="A27114" t="s">
        <v>31553</v>
      </c>
      <c r="B27114" t="s">
        <v>31563</v>
      </c>
      <c r="C27114">
        <v>0</v>
      </c>
      <c r="D27114">
        <v>0.99733671286799996</v>
      </c>
      <c r="E27114">
        <v>2.1709145427286298</v>
      </c>
    </row>
    <row r="27115" spans="1:5">
      <c r="A27115" t="s">
        <v>31564</v>
      </c>
      <c r="B27115" t="s">
        <v>31565</v>
      </c>
      <c r="C27115">
        <v>0</v>
      </c>
      <c r="D27115">
        <v>0.943975680456</v>
      </c>
      <c r="E27115">
        <v>24</v>
      </c>
    </row>
    <row r="27116" spans="1:5">
      <c r="A27116" t="s">
        <v>31564</v>
      </c>
      <c r="B27116" t="s">
        <v>31566</v>
      </c>
      <c r="C27116">
        <f>0.0169484480782</f>
        <v>1.69484480782E-2</v>
      </c>
      <c r="D27116">
        <v>0.943975680456</v>
      </c>
      <c r="E27116">
        <v>24</v>
      </c>
    </row>
    <row r="27117" spans="1:5">
      <c r="A27117" t="s">
        <v>31564</v>
      </c>
      <c r="B27117" t="s">
        <v>31567</v>
      </c>
      <c r="C27117">
        <v>0.177725477297</v>
      </c>
      <c r="D27117">
        <v>0.943975680456</v>
      </c>
      <c r="E27117">
        <v>24</v>
      </c>
    </row>
    <row r="27118" spans="1:5">
      <c r="A27118" t="s">
        <v>31564</v>
      </c>
      <c r="B27118" t="s">
        <v>31568</v>
      </c>
      <c r="C27118">
        <v>0</v>
      </c>
      <c r="D27118">
        <v>0.943975680456</v>
      </c>
      <c r="E27118">
        <v>24</v>
      </c>
    </row>
    <row r="27119" spans="1:5">
      <c r="A27119" t="s">
        <v>31569</v>
      </c>
      <c r="B27119" t="s">
        <v>31570</v>
      </c>
      <c r="C27119">
        <f>0</f>
        <v>0</v>
      </c>
      <c r="D27119">
        <v>0.90090074594199998</v>
      </c>
      <c r="E27119">
        <v>0.77961019490254801</v>
      </c>
    </row>
    <row r="27120" spans="1:5">
      <c r="A27120" t="s">
        <v>31569</v>
      </c>
      <c r="B27120" t="s">
        <v>31571</v>
      </c>
      <c r="C27120">
        <f>0</f>
        <v>0</v>
      </c>
      <c r="D27120">
        <v>0.90090074594199998</v>
      </c>
      <c r="E27120">
        <v>0.77961019490254801</v>
      </c>
    </row>
    <row r="27121" spans="1:5">
      <c r="A27121" t="s">
        <v>31569</v>
      </c>
      <c r="B27121" t="s">
        <v>31572</v>
      </c>
      <c r="C27121">
        <f>0</f>
        <v>0</v>
      </c>
      <c r="D27121">
        <v>0.90090074594199998</v>
      </c>
      <c r="E27121">
        <v>0.77961019490254801</v>
      </c>
    </row>
    <row r="27122" spans="1:5">
      <c r="A27122" t="s">
        <v>31569</v>
      </c>
      <c r="B27122" t="s">
        <v>31573</v>
      </c>
      <c r="C27122">
        <f>0</f>
        <v>0</v>
      </c>
      <c r="D27122">
        <v>0.90090074594199998</v>
      </c>
      <c r="E27122">
        <v>0.77961019490254801</v>
      </c>
    </row>
    <row r="27123" spans="1:5">
      <c r="A27123" t="s">
        <v>31569</v>
      </c>
      <c r="B27123" t="s">
        <v>31574</v>
      </c>
      <c r="C27123">
        <v>0.108604782627</v>
      </c>
      <c r="D27123">
        <v>0.90090074594199998</v>
      </c>
      <c r="E27123">
        <v>0.77961019490254801</v>
      </c>
    </row>
    <row r="27124" spans="1:5">
      <c r="A27124" t="s">
        <v>31569</v>
      </c>
      <c r="B27124" t="s">
        <v>31575</v>
      </c>
      <c r="C27124">
        <f>0.492901433768</f>
        <v>0.492901433768</v>
      </c>
      <c r="D27124">
        <v>0.90090074594199998</v>
      </c>
      <c r="E27124">
        <v>0.77961019490254801</v>
      </c>
    </row>
    <row r="27125" spans="1:5">
      <c r="A27125" t="s">
        <v>31569</v>
      </c>
      <c r="B27125" t="s">
        <v>31576</v>
      </c>
      <c r="C27125">
        <f>0</f>
        <v>0</v>
      </c>
      <c r="D27125">
        <v>0.90090074594199998</v>
      </c>
      <c r="E27125">
        <v>0.77961019490254801</v>
      </c>
    </row>
    <row r="27126" spans="1:5">
      <c r="A27126" t="s">
        <v>31577</v>
      </c>
      <c r="B27126" t="s">
        <v>31578</v>
      </c>
      <c r="C27126">
        <v>0.21778341035099999</v>
      </c>
      <c r="D27126">
        <v>0.84847261122899997</v>
      </c>
      <c r="E27126">
        <v>24</v>
      </c>
    </row>
    <row r="27127" spans="1:5">
      <c r="A27127" t="s">
        <v>31577</v>
      </c>
      <c r="B27127" t="s">
        <v>31579</v>
      </c>
      <c r="C27127">
        <v>0</v>
      </c>
      <c r="D27127">
        <v>0.84847261122899997</v>
      </c>
      <c r="E27127">
        <v>24</v>
      </c>
    </row>
    <row r="27128" spans="1:5">
      <c r="A27128" t="s">
        <v>31580</v>
      </c>
      <c r="B27128" t="s">
        <v>31581</v>
      </c>
      <c r="C27128">
        <f>0</f>
        <v>0</v>
      </c>
      <c r="D27128">
        <v>0.80899311857</v>
      </c>
      <c r="E27128">
        <v>0.86356821589205401</v>
      </c>
    </row>
    <row r="27129" spans="1:5">
      <c r="A27129" t="s">
        <v>31580</v>
      </c>
      <c r="B27129" t="s">
        <v>31582</v>
      </c>
      <c r="C27129">
        <f>0</f>
        <v>0</v>
      </c>
      <c r="D27129">
        <v>0.80899311857</v>
      </c>
      <c r="E27129">
        <v>0.86356821589205401</v>
      </c>
    </row>
    <row r="27130" spans="1:5">
      <c r="A27130" t="s">
        <v>31580</v>
      </c>
      <c r="B27130" t="s">
        <v>31583</v>
      </c>
      <c r="C27130">
        <v>0</v>
      </c>
      <c r="D27130">
        <v>0.80899311857</v>
      </c>
      <c r="E27130">
        <v>0.86356821589205401</v>
      </c>
    </row>
    <row r="27131" spans="1:5">
      <c r="A27131" t="s">
        <v>31580</v>
      </c>
      <c r="B27131" t="s">
        <v>31584</v>
      </c>
      <c r="C27131">
        <v>5.8350480827399999E-2</v>
      </c>
      <c r="D27131">
        <v>0.80899311857</v>
      </c>
      <c r="E27131">
        <v>0.86356821589205401</v>
      </c>
    </row>
    <row r="27132" spans="1:5">
      <c r="A27132" t="s">
        <v>31580</v>
      </c>
      <c r="B27132" t="s">
        <v>31585</v>
      </c>
      <c r="C27132">
        <v>0</v>
      </c>
      <c r="D27132">
        <v>0.80899311857</v>
      </c>
      <c r="E27132">
        <v>0.86356821589205401</v>
      </c>
    </row>
    <row r="27133" spans="1:5">
      <c r="A27133" t="s">
        <v>31580</v>
      </c>
      <c r="B27133" t="s">
        <v>31586</v>
      </c>
      <c r="C27133">
        <v>0</v>
      </c>
      <c r="D27133">
        <v>0.80899311857</v>
      </c>
      <c r="E27133">
        <v>0.86356821589205401</v>
      </c>
    </row>
    <row r="27134" spans="1:5">
      <c r="A27134" t="s">
        <v>31587</v>
      </c>
      <c r="B27134" t="s">
        <v>31588</v>
      </c>
      <c r="C27134">
        <v>0</v>
      </c>
      <c r="D27134">
        <v>0.96542762035399998</v>
      </c>
      <c r="E27134">
        <v>17.103448275862</v>
      </c>
    </row>
    <row r="27135" spans="1:5">
      <c r="A27135" t="s">
        <v>31587</v>
      </c>
      <c r="B27135" t="s">
        <v>31589</v>
      </c>
      <c r="C27135">
        <v>0</v>
      </c>
      <c r="D27135">
        <v>0.96542762035399998</v>
      </c>
      <c r="E27135">
        <v>17.103448275862</v>
      </c>
    </row>
    <row r="27136" spans="1:5">
      <c r="A27136" t="s">
        <v>31587</v>
      </c>
      <c r="B27136" t="s">
        <v>31590</v>
      </c>
      <c r="C27136">
        <v>0</v>
      </c>
      <c r="D27136">
        <v>0.96542762035399998</v>
      </c>
      <c r="E27136">
        <v>17.103448275862</v>
      </c>
    </row>
    <row r="27137" spans="1:5">
      <c r="A27137" t="s">
        <v>31587</v>
      </c>
      <c r="B27137" t="s">
        <v>31591</v>
      </c>
      <c r="C27137">
        <v>0</v>
      </c>
      <c r="D27137">
        <v>0.96542762035399998</v>
      </c>
      <c r="E27137">
        <v>17.103448275862</v>
      </c>
    </row>
    <row r="27138" spans="1:5">
      <c r="A27138" t="s">
        <v>31587</v>
      </c>
      <c r="B27138" t="s">
        <v>31592</v>
      </c>
      <c r="C27138">
        <v>0</v>
      </c>
      <c r="D27138">
        <v>0.96542762035399998</v>
      </c>
      <c r="E27138">
        <v>17.103448275862</v>
      </c>
    </row>
    <row r="27139" spans="1:5">
      <c r="A27139" t="s">
        <v>31587</v>
      </c>
      <c r="B27139" t="s">
        <v>31593</v>
      </c>
      <c r="C27139">
        <v>0</v>
      </c>
      <c r="D27139">
        <v>0.96542762035399998</v>
      </c>
      <c r="E27139">
        <v>17.103448275862</v>
      </c>
    </row>
    <row r="27140" spans="1:5">
      <c r="A27140" t="s">
        <v>31587</v>
      </c>
      <c r="B27140" t="s">
        <v>31594</v>
      </c>
      <c r="C27140">
        <v>0</v>
      </c>
      <c r="D27140">
        <v>0.96542762035399998</v>
      </c>
      <c r="E27140">
        <v>17.103448275862</v>
      </c>
    </row>
    <row r="27141" spans="1:5">
      <c r="A27141" t="s">
        <v>31587</v>
      </c>
      <c r="B27141" t="s">
        <v>31595</v>
      </c>
      <c r="C27141">
        <f>0</f>
        <v>0</v>
      </c>
      <c r="D27141">
        <v>0.96542762035399998</v>
      </c>
      <c r="E27141">
        <v>17.103448275862</v>
      </c>
    </row>
    <row r="27142" spans="1:5">
      <c r="A27142" t="s">
        <v>31587</v>
      </c>
      <c r="B27142" t="s">
        <v>31596</v>
      </c>
      <c r="C27142">
        <v>0.11310318362500001</v>
      </c>
      <c r="D27142">
        <v>0.96542762035399998</v>
      </c>
      <c r="E27142">
        <v>17.103448275862</v>
      </c>
    </row>
    <row r="27143" spans="1:5">
      <c r="A27143" t="s">
        <v>31587</v>
      </c>
      <c r="B27143" t="s">
        <v>31597</v>
      </c>
      <c r="C27143">
        <v>0.13794601150999999</v>
      </c>
      <c r="D27143">
        <v>0.96542762035399998</v>
      </c>
      <c r="E27143">
        <v>17.103448275862</v>
      </c>
    </row>
    <row r="27144" spans="1:5">
      <c r="A27144" t="s">
        <v>31587</v>
      </c>
      <c r="B27144" t="s">
        <v>31598</v>
      </c>
      <c r="C27144">
        <f>0</f>
        <v>0</v>
      </c>
      <c r="D27144">
        <v>0.96542762035399998</v>
      </c>
      <c r="E27144">
        <v>17.103448275862</v>
      </c>
    </row>
    <row r="27145" spans="1:5">
      <c r="A27145" t="s">
        <v>31599</v>
      </c>
      <c r="B27145" t="s">
        <v>31600</v>
      </c>
      <c r="C27145">
        <v>0.154571157184</v>
      </c>
      <c r="D27145">
        <v>0.64211888864699995</v>
      </c>
      <c r="E27145">
        <v>12.5577211394302</v>
      </c>
    </row>
    <row r="27146" spans="1:5">
      <c r="A27146" t="s">
        <v>31601</v>
      </c>
      <c r="B27146" t="s">
        <v>31602</v>
      </c>
      <c r="C27146">
        <v>5.18150451842E-2</v>
      </c>
      <c r="D27146">
        <v>0.51833244391400002</v>
      </c>
      <c r="E27146">
        <v>7.3283358320839502</v>
      </c>
    </row>
    <row r="27147" spans="1:5">
      <c r="A27147" t="s">
        <v>31603</v>
      </c>
      <c r="B27147" t="s">
        <v>31604</v>
      </c>
      <c r="C27147">
        <f>0</f>
        <v>0</v>
      </c>
      <c r="D27147">
        <v>0.98907233781699999</v>
      </c>
      <c r="E27147">
        <v>13.0854572713643</v>
      </c>
    </row>
    <row r="27148" spans="1:5">
      <c r="A27148" t="s">
        <v>31603</v>
      </c>
      <c r="B27148" t="s">
        <v>31605</v>
      </c>
      <c r="C27148">
        <f>0</f>
        <v>0</v>
      </c>
      <c r="D27148">
        <v>0.98907233781699999</v>
      </c>
      <c r="E27148">
        <v>13.0854572713643</v>
      </c>
    </row>
    <row r="27149" spans="1:5">
      <c r="A27149" t="s">
        <v>31603</v>
      </c>
      <c r="B27149" t="s">
        <v>31606</v>
      </c>
      <c r="C27149">
        <f>0.414865817853</f>
        <v>0.41486581785299997</v>
      </c>
      <c r="D27149">
        <v>0.98907233781699999</v>
      </c>
      <c r="E27149">
        <v>13.0854572713643</v>
      </c>
    </row>
    <row r="27150" spans="1:5">
      <c r="A27150" t="s">
        <v>31603</v>
      </c>
      <c r="B27150" t="s">
        <v>31607</v>
      </c>
      <c r="C27150">
        <f>0</f>
        <v>0</v>
      </c>
      <c r="D27150">
        <v>0.98907233781699999</v>
      </c>
      <c r="E27150">
        <v>13.0854572713643</v>
      </c>
    </row>
    <row r="27151" spans="1:5">
      <c r="A27151" t="s">
        <v>31603</v>
      </c>
      <c r="B27151" t="s">
        <v>31608</v>
      </c>
      <c r="C27151">
        <v>0</v>
      </c>
      <c r="D27151">
        <v>0.98907233781699999</v>
      </c>
      <c r="E27151">
        <v>13.0854572713643</v>
      </c>
    </row>
    <row r="27152" spans="1:5">
      <c r="A27152" t="s">
        <v>31609</v>
      </c>
      <c r="B27152" t="s">
        <v>31610</v>
      </c>
      <c r="C27152">
        <v>0</v>
      </c>
      <c r="D27152" t="s">
        <v>106</v>
      </c>
      <c r="E27152">
        <v>3.7781109445277301</v>
      </c>
    </row>
    <row r="27153" spans="1:5">
      <c r="A27153" t="s">
        <v>31609</v>
      </c>
      <c r="B27153" t="s">
        <v>31611</v>
      </c>
      <c r="C27153">
        <v>0</v>
      </c>
      <c r="D27153" t="s">
        <v>106</v>
      </c>
      <c r="E27153">
        <v>3.7781109445277301</v>
      </c>
    </row>
    <row r="27154" spans="1:5">
      <c r="A27154" t="s">
        <v>31609</v>
      </c>
      <c r="B27154" t="s">
        <v>31612</v>
      </c>
      <c r="C27154">
        <f>0</f>
        <v>0</v>
      </c>
      <c r="D27154" t="s">
        <v>106</v>
      </c>
      <c r="E27154">
        <v>3.7781109445277301</v>
      </c>
    </row>
    <row r="27155" spans="1:5">
      <c r="A27155" t="s">
        <v>31609</v>
      </c>
      <c r="B27155" t="s">
        <v>31613</v>
      </c>
      <c r="C27155">
        <f>0</f>
        <v>0</v>
      </c>
      <c r="D27155" t="s">
        <v>106</v>
      </c>
      <c r="E27155">
        <v>3.7781109445277301</v>
      </c>
    </row>
    <row r="27156" spans="1:5">
      <c r="A27156" t="s">
        <v>31609</v>
      </c>
      <c r="B27156" t="s">
        <v>31614</v>
      </c>
      <c r="C27156">
        <v>0</v>
      </c>
      <c r="D27156" t="s">
        <v>106</v>
      </c>
      <c r="E27156">
        <v>3.7781109445277301</v>
      </c>
    </row>
    <row r="27157" spans="1:5">
      <c r="A27157" t="s">
        <v>31609</v>
      </c>
      <c r="B27157" t="s">
        <v>31615</v>
      </c>
      <c r="C27157">
        <v>0</v>
      </c>
      <c r="D27157" t="s">
        <v>106</v>
      </c>
      <c r="E27157">
        <v>3.7781109445277301</v>
      </c>
    </row>
    <row r="27158" spans="1:5">
      <c r="A27158" t="s">
        <v>31609</v>
      </c>
      <c r="B27158" t="s">
        <v>31616</v>
      </c>
      <c r="C27158">
        <v>0</v>
      </c>
      <c r="D27158" t="s">
        <v>106</v>
      </c>
      <c r="E27158">
        <v>3.7781109445277301</v>
      </c>
    </row>
    <row r="27159" spans="1:5">
      <c r="A27159" t="s">
        <v>31617</v>
      </c>
      <c r="B27159" t="s">
        <v>31618</v>
      </c>
      <c r="C27159">
        <f>0</f>
        <v>0</v>
      </c>
      <c r="D27159">
        <v>0.91523546419799995</v>
      </c>
      <c r="E27159">
        <v>14.9325337331334</v>
      </c>
    </row>
    <row r="27160" spans="1:5">
      <c r="A27160" t="s">
        <v>31617</v>
      </c>
      <c r="B27160" t="s">
        <v>31619</v>
      </c>
      <c r="C27160">
        <f>0</f>
        <v>0</v>
      </c>
      <c r="D27160">
        <v>0.91523546419799995</v>
      </c>
      <c r="E27160">
        <v>14.9325337331334</v>
      </c>
    </row>
    <row r="27161" spans="1:5">
      <c r="A27161" t="s">
        <v>31617</v>
      </c>
      <c r="B27161" t="s">
        <v>31620</v>
      </c>
      <c r="C27161">
        <v>0</v>
      </c>
      <c r="D27161">
        <v>0.91523546419799995</v>
      </c>
      <c r="E27161">
        <v>14.9325337331334</v>
      </c>
    </row>
    <row r="27162" spans="1:5">
      <c r="A27162" t="s">
        <v>31617</v>
      </c>
      <c r="B27162" t="s">
        <v>31621</v>
      </c>
      <c r="C27162">
        <v>0</v>
      </c>
      <c r="D27162">
        <v>0.91523546419799995</v>
      </c>
      <c r="E27162">
        <v>14.9325337331334</v>
      </c>
    </row>
    <row r="27163" spans="1:5">
      <c r="A27163" t="s">
        <v>31617</v>
      </c>
      <c r="B27163" t="s">
        <v>31622</v>
      </c>
      <c r="C27163">
        <v>0</v>
      </c>
      <c r="D27163">
        <v>0.91523546419799995</v>
      </c>
      <c r="E27163">
        <v>14.9325337331334</v>
      </c>
    </row>
    <row r="27164" spans="1:5">
      <c r="A27164" t="s">
        <v>31617</v>
      </c>
      <c r="B27164" t="s">
        <v>31623</v>
      </c>
      <c r="C27164">
        <f>0</f>
        <v>0</v>
      </c>
      <c r="D27164">
        <v>0.91523546419799995</v>
      </c>
      <c r="E27164">
        <v>14.9325337331334</v>
      </c>
    </row>
    <row r="27165" spans="1:5">
      <c r="A27165" t="s">
        <v>31617</v>
      </c>
      <c r="B27165" t="s">
        <v>31624</v>
      </c>
      <c r="C27165">
        <f>0</f>
        <v>0</v>
      </c>
      <c r="D27165">
        <v>0.91523546419799995</v>
      </c>
      <c r="E27165">
        <v>14.9325337331334</v>
      </c>
    </row>
    <row r="27166" spans="1:5">
      <c r="A27166" t="s">
        <v>31617</v>
      </c>
      <c r="B27166" t="s">
        <v>31625</v>
      </c>
      <c r="C27166">
        <v>0</v>
      </c>
      <c r="D27166">
        <v>0.91523546419799995</v>
      </c>
      <c r="E27166">
        <v>14.9325337331334</v>
      </c>
    </row>
    <row r="27167" spans="1:5">
      <c r="A27167" t="s">
        <v>31617</v>
      </c>
      <c r="B27167" t="s">
        <v>31626</v>
      </c>
      <c r="C27167">
        <f>0.0327076400807</f>
        <v>3.2707640080699998E-2</v>
      </c>
      <c r="D27167">
        <v>0.91523546419799995</v>
      </c>
      <c r="E27167">
        <v>14.9325337331334</v>
      </c>
    </row>
    <row r="27168" spans="1:5">
      <c r="A27168" t="s">
        <v>31617</v>
      </c>
      <c r="B27168" t="s">
        <v>31627</v>
      </c>
      <c r="C27168">
        <f>0</f>
        <v>0</v>
      </c>
      <c r="D27168">
        <v>0.91523546419799995</v>
      </c>
      <c r="E27168">
        <v>14.9325337331334</v>
      </c>
    </row>
    <row r="27169" spans="1:5">
      <c r="A27169" t="s">
        <v>31617</v>
      </c>
      <c r="B27169" t="s">
        <v>31628</v>
      </c>
      <c r="C27169">
        <v>0</v>
      </c>
      <c r="D27169">
        <v>0.91523546419799995</v>
      </c>
      <c r="E27169">
        <v>14.9325337331334</v>
      </c>
    </row>
    <row r="27170" spans="1:5">
      <c r="A27170" t="s">
        <v>31617</v>
      </c>
      <c r="B27170" t="s">
        <v>31629</v>
      </c>
      <c r="C27170">
        <v>0</v>
      </c>
      <c r="D27170">
        <v>0.91523546419799995</v>
      </c>
      <c r="E27170">
        <v>14.9325337331334</v>
      </c>
    </row>
    <row r="27171" spans="1:5">
      <c r="A27171" t="s">
        <v>31617</v>
      </c>
      <c r="B27171" t="s">
        <v>31630</v>
      </c>
      <c r="C27171">
        <v>0</v>
      </c>
      <c r="D27171">
        <v>0.91523546419799995</v>
      </c>
      <c r="E27171">
        <v>14.9325337331334</v>
      </c>
    </row>
    <row r="27172" spans="1:5">
      <c r="A27172" t="s">
        <v>31617</v>
      </c>
      <c r="B27172" t="s">
        <v>31631</v>
      </c>
      <c r="C27172">
        <f>0</f>
        <v>0</v>
      </c>
      <c r="D27172">
        <v>0.91523546419799995</v>
      </c>
      <c r="E27172">
        <v>14.9325337331334</v>
      </c>
    </row>
    <row r="27173" spans="1:5">
      <c r="A27173" t="s">
        <v>31617</v>
      </c>
      <c r="B27173" t="s">
        <v>31632</v>
      </c>
      <c r="C27173">
        <v>3.7714923214800002E-2</v>
      </c>
      <c r="D27173">
        <v>0.91523546419799995</v>
      </c>
      <c r="E27173">
        <v>14.9325337331334</v>
      </c>
    </row>
    <row r="27174" spans="1:5">
      <c r="A27174" t="s">
        <v>31617</v>
      </c>
      <c r="B27174" t="s">
        <v>31633</v>
      </c>
      <c r="C27174">
        <f>0</f>
        <v>0</v>
      </c>
      <c r="D27174">
        <v>0.91523546419799995</v>
      </c>
      <c r="E27174">
        <v>14.9325337331334</v>
      </c>
    </row>
    <row r="27175" spans="1:5">
      <c r="A27175" t="s">
        <v>31617</v>
      </c>
      <c r="B27175" t="s">
        <v>31634</v>
      </c>
      <c r="C27175">
        <f>0</f>
        <v>0</v>
      </c>
      <c r="D27175">
        <v>0.91523546419799995</v>
      </c>
      <c r="E27175">
        <v>14.9325337331334</v>
      </c>
    </row>
    <row r="27176" spans="1:5">
      <c r="A27176" t="s">
        <v>31617</v>
      </c>
      <c r="B27176" t="s">
        <v>31635</v>
      </c>
      <c r="C27176">
        <v>0</v>
      </c>
      <c r="D27176">
        <v>0.91523546419799995</v>
      </c>
      <c r="E27176">
        <v>14.9325337331334</v>
      </c>
    </row>
    <row r="27177" spans="1:5">
      <c r="A27177" t="s">
        <v>31617</v>
      </c>
      <c r="B27177" t="s">
        <v>31636</v>
      </c>
      <c r="C27177">
        <f>0</f>
        <v>0</v>
      </c>
      <c r="D27177">
        <v>0.91523546419799995</v>
      </c>
      <c r="E27177">
        <v>14.9325337331334</v>
      </c>
    </row>
    <row r="27178" spans="1:5">
      <c r="A27178" t="s">
        <v>31617</v>
      </c>
      <c r="B27178" t="s">
        <v>31637</v>
      </c>
      <c r="C27178">
        <f>0</f>
        <v>0</v>
      </c>
      <c r="D27178">
        <v>0.91523546419799995</v>
      </c>
      <c r="E27178">
        <v>14.9325337331334</v>
      </c>
    </row>
    <row r="27179" spans="1:5">
      <c r="A27179" t="s">
        <v>31617</v>
      </c>
      <c r="B27179" t="s">
        <v>31638</v>
      </c>
      <c r="C27179">
        <v>0</v>
      </c>
      <c r="D27179">
        <v>0.91523546419799995</v>
      </c>
      <c r="E27179">
        <v>14.9325337331334</v>
      </c>
    </row>
    <row r="27180" spans="1:5">
      <c r="A27180" t="s">
        <v>31617</v>
      </c>
      <c r="B27180" t="s">
        <v>31639</v>
      </c>
      <c r="C27180">
        <f>0</f>
        <v>0</v>
      </c>
      <c r="D27180">
        <v>0.91523546419799995</v>
      </c>
      <c r="E27180">
        <v>14.9325337331334</v>
      </c>
    </row>
    <row r="27181" spans="1:5">
      <c r="A27181" t="s">
        <v>31617</v>
      </c>
      <c r="B27181" t="s">
        <v>31640</v>
      </c>
      <c r="C27181">
        <f>0</f>
        <v>0</v>
      </c>
      <c r="D27181">
        <v>0.91523546419799995</v>
      </c>
      <c r="E27181">
        <v>14.9325337331334</v>
      </c>
    </row>
    <row r="27182" spans="1:5">
      <c r="A27182" t="s">
        <v>31641</v>
      </c>
      <c r="B27182" t="s">
        <v>31642</v>
      </c>
      <c r="C27182">
        <f>0</f>
        <v>0</v>
      </c>
      <c r="D27182">
        <v>0.89614818906399996</v>
      </c>
      <c r="E27182">
        <v>8.8635682158920499</v>
      </c>
    </row>
    <row r="27183" spans="1:5">
      <c r="A27183" t="s">
        <v>31641</v>
      </c>
      <c r="B27183" t="s">
        <v>31643</v>
      </c>
      <c r="C27183">
        <v>0.31737506909800001</v>
      </c>
      <c r="D27183">
        <v>0.89614818906399996</v>
      </c>
      <c r="E27183">
        <v>8.8635682158920499</v>
      </c>
    </row>
    <row r="27184" spans="1:5">
      <c r="A27184" t="s">
        <v>31641</v>
      </c>
      <c r="B27184" t="s">
        <v>31644</v>
      </c>
      <c r="C27184">
        <f>0</f>
        <v>0</v>
      </c>
      <c r="D27184">
        <v>0.89614818906399996</v>
      </c>
      <c r="E27184">
        <v>8.8635682158920499</v>
      </c>
    </row>
    <row r="27185" spans="1:5">
      <c r="A27185" t="s">
        <v>31645</v>
      </c>
      <c r="B27185" t="s">
        <v>31646</v>
      </c>
      <c r="C27185">
        <v>0</v>
      </c>
      <c r="D27185" t="s">
        <v>106</v>
      </c>
      <c r="E27185">
        <v>1.96701649175412</v>
      </c>
    </row>
    <row r="27186" spans="1:5">
      <c r="A27186" t="s">
        <v>31645</v>
      </c>
      <c r="B27186" t="s">
        <v>31647</v>
      </c>
      <c r="C27186">
        <v>0</v>
      </c>
      <c r="D27186" t="s">
        <v>106</v>
      </c>
      <c r="E27186">
        <v>1.96701649175412</v>
      </c>
    </row>
    <row r="27187" spans="1:5">
      <c r="A27187" t="s">
        <v>31645</v>
      </c>
      <c r="B27187" t="s">
        <v>31648</v>
      </c>
      <c r="C27187">
        <v>0</v>
      </c>
      <c r="D27187" t="s">
        <v>106</v>
      </c>
      <c r="E27187">
        <v>1.96701649175412</v>
      </c>
    </row>
    <row r="27188" spans="1:5">
      <c r="A27188" t="s">
        <v>31645</v>
      </c>
      <c r="B27188" t="s">
        <v>31649</v>
      </c>
      <c r="C27188">
        <v>0</v>
      </c>
      <c r="D27188" t="s">
        <v>106</v>
      </c>
      <c r="E27188">
        <v>1.96701649175412</v>
      </c>
    </row>
    <row r="27189" spans="1:5">
      <c r="A27189" t="s">
        <v>31645</v>
      </c>
      <c r="B27189" t="s">
        <v>31650</v>
      </c>
      <c r="C27189">
        <v>0</v>
      </c>
      <c r="D27189" t="s">
        <v>106</v>
      </c>
      <c r="E27189">
        <v>1.96701649175412</v>
      </c>
    </row>
    <row r="27190" spans="1:5">
      <c r="A27190" t="s">
        <v>31645</v>
      </c>
      <c r="B27190" t="s">
        <v>31651</v>
      </c>
      <c r="C27190">
        <f>0</f>
        <v>0</v>
      </c>
      <c r="D27190" t="s">
        <v>106</v>
      </c>
      <c r="E27190">
        <v>1.96701649175412</v>
      </c>
    </row>
    <row r="27191" spans="1:5">
      <c r="A27191" t="s">
        <v>31652</v>
      </c>
      <c r="B27191" t="s">
        <v>31653</v>
      </c>
      <c r="C27191">
        <v>0</v>
      </c>
      <c r="D27191" t="s">
        <v>106</v>
      </c>
      <c r="E27191">
        <v>13.8170914542728</v>
      </c>
    </row>
    <row r="27192" spans="1:5">
      <c r="A27192" t="s">
        <v>31652</v>
      </c>
      <c r="B27192" t="s">
        <v>31654</v>
      </c>
      <c r="C27192">
        <f>0</f>
        <v>0</v>
      </c>
      <c r="D27192" t="s">
        <v>106</v>
      </c>
      <c r="E27192">
        <v>13.8170914542728</v>
      </c>
    </row>
    <row r="27193" spans="1:5">
      <c r="A27193" t="s">
        <v>31652</v>
      </c>
      <c r="B27193" t="s">
        <v>31655</v>
      </c>
      <c r="C27193">
        <f>0</f>
        <v>0</v>
      </c>
      <c r="D27193" t="s">
        <v>106</v>
      </c>
      <c r="E27193">
        <v>13.8170914542728</v>
      </c>
    </row>
    <row r="27194" spans="1:5">
      <c r="A27194" t="s">
        <v>31652</v>
      </c>
      <c r="B27194" t="s">
        <v>31656</v>
      </c>
      <c r="C27194">
        <v>0</v>
      </c>
      <c r="D27194" t="s">
        <v>106</v>
      </c>
      <c r="E27194">
        <v>13.8170914542728</v>
      </c>
    </row>
    <row r="27195" spans="1:5">
      <c r="A27195" t="s">
        <v>31652</v>
      </c>
      <c r="B27195" t="s">
        <v>31657</v>
      </c>
      <c r="C27195">
        <f>0</f>
        <v>0</v>
      </c>
      <c r="D27195" t="s">
        <v>106</v>
      </c>
      <c r="E27195">
        <v>13.8170914542728</v>
      </c>
    </row>
    <row r="27196" spans="1:5">
      <c r="A27196" t="s">
        <v>31652</v>
      </c>
      <c r="B27196" t="s">
        <v>31658</v>
      </c>
      <c r="C27196">
        <v>0</v>
      </c>
      <c r="D27196" t="s">
        <v>106</v>
      </c>
      <c r="E27196">
        <v>13.8170914542728</v>
      </c>
    </row>
    <row r="27197" spans="1:5">
      <c r="A27197" t="s">
        <v>31652</v>
      </c>
      <c r="B27197" t="s">
        <v>31659</v>
      </c>
      <c r="C27197">
        <f>0</f>
        <v>0</v>
      </c>
      <c r="D27197" t="s">
        <v>106</v>
      </c>
      <c r="E27197">
        <v>13.8170914542728</v>
      </c>
    </row>
    <row r="27198" spans="1:5">
      <c r="A27198" t="s">
        <v>31652</v>
      </c>
      <c r="B27198" t="s">
        <v>31660</v>
      </c>
      <c r="C27198">
        <f>0</f>
        <v>0</v>
      </c>
      <c r="D27198" t="s">
        <v>106</v>
      </c>
      <c r="E27198">
        <v>13.8170914542728</v>
      </c>
    </row>
    <row r="27199" spans="1:5">
      <c r="A27199" t="s">
        <v>31652</v>
      </c>
      <c r="B27199" t="s">
        <v>31661</v>
      </c>
      <c r="C27199">
        <f>0</f>
        <v>0</v>
      </c>
      <c r="D27199" t="s">
        <v>106</v>
      </c>
      <c r="E27199">
        <v>13.8170914542728</v>
      </c>
    </row>
    <row r="27200" spans="1:5">
      <c r="A27200" t="s">
        <v>31652</v>
      </c>
      <c r="B27200" t="s">
        <v>31662</v>
      </c>
      <c r="C27200">
        <v>0</v>
      </c>
      <c r="D27200" t="s">
        <v>106</v>
      </c>
      <c r="E27200">
        <v>13.8170914542728</v>
      </c>
    </row>
    <row r="27201" spans="1:5">
      <c r="A27201" t="s">
        <v>31652</v>
      </c>
      <c r="B27201" t="s">
        <v>31663</v>
      </c>
      <c r="C27201">
        <v>0</v>
      </c>
      <c r="D27201" t="s">
        <v>106</v>
      </c>
      <c r="E27201">
        <v>13.8170914542728</v>
      </c>
    </row>
    <row r="27202" spans="1:5">
      <c r="A27202" t="s">
        <v>31652</v>
      </c>
      <c r="B27202" t="s">
        <v>31664</v>
      </c>
      <c r="C27202">
        <v>0</v>
      </c>
      <c r="D27202" t="s">
        <v>106</v>
      </c>
      <c r="E27202">
        <v>13.8170914542728</v>
      </c>
    </row>
    <row r="27203" spans="1:5">
      <c r="A27203" t="s">
        <v>31665</v>
      </c>
      <c r="B27203" t="s">
        <v>31666</v>
      </c>
      <c r="C27203">
        <f>0</f>
        <v>0</v>
      </c>
      <c r="D27203">
        <v>0.97807491634300003</v>
      </c>
      <c r="E27203">
        <v>10.398800599700101</v>
      </c>
    </row>
    <row r="27204" spans="1:5">
      <c r="A27204" t="s">
        <v>31665</v>
      </c>
      <c r="B27204" t="s">
        <v>31667</v>
      </c>
      <c r="C27204">
        <f>0</f>
        <v>0</v>
      </c>
      <c r="D27204">
        <v>0.97807491634300003</v>
      </c>
      <c r="E27204">
        <v>10.398800599700101</v>
      </c>
    </row>
    <row r="27205" spans="1:5">
      <c r="A27205" t="s">
        <v>31665</v>
      </c>
      <c r="B27205" t="s">
        <v>31668</v>
      </c>
      <c r="C27205">
        <f>0</f>
        <v>0</v>
      </c>
      <c r="D27205">
        <v>0.97807491634300003</v>
      </c>
      <c r="E27205">
        <v>10.398800599700101</v>
      </c>
    </row>
    <row r="27206" spans="1:5">
      <c r="A27206" t="s">
        <v>31665</v>
      </c>
      <c r="B27206" t="s">
        <v>31669</v>
      </c>
      <c r="C27206">
        <f>0</f>
        <v>0</v>
      </c>
      <c r="D27206">
        <v>0.97807491634300003</v>
      </c>
      <c r="E27206">
        <v>10.398800599700101</v>
      </c>
    </row>
    <row r="27207" spans="1:5">
      <c r="A27207" t="s">
        <v>31665</v>
      </c>
      <c r="B27207" t="s">
        <v>31670</v>
      </c>
      <c r="C27207">
        <v>0</v>
      </c>
      <c r="D27207">
        <v>0.97807491634300003</v>
      </c>
      <c r="E27207">
        <v>10.398800599700101</v>
      </c>
    </row>
    <row r="27208" spans="1:5">
      <c r="A27208" t="s">
        <v>31665</v>
      </c>
      <c r="B27208" t="s">
        <v>31671</v>
      </c>
      <c r="C27208">
        <v>0</v>
      </c>
      <c r="D27208">
        <v>0.97807491634300003</v>
      </c>
      <c r="E27208">
        <v>10.398800599700101</v>
      </c>
    </row>
    <row r="27209" spans="1:5">
      <c r="A27209" t="s">
        <v>31665</v>
      </c>
      <c r="B27209" t="s">
        <v>31672</v>
      </c>
      <c r="C27209">
        <f>0</f>
        <v>0</v>
      </c>
      <c r="D27209">
        <v>0.97807491634300003</v>
      </c>
      <c r="E27209">
        <v>10.398800599700101</v>
      </c>
    </row>
    <row r="27210" spans="1:5">
      <c r="A27210" t="s">
        <v>31665</v>
      </c>
      <c r="B27210" t="s">
        <v>31673</v>
      </c>
      <c r="C27210">
        <f>0</f>
        <v>0</v>
      </c>
      <c r="D27210">
        <v>0.97807491634300003</v>
      </c>
      <c r="E27210">
        <v>10.398800599700101</v>
      </c>
    </row>
    <row r="27211" spans="1:5">
      <c r="A27211" t="s">
        <v>31665</v>
      </c>
      <c r="B27211" t="s">
        <v>31674</v>
      </c>
      <c r="C27211">
        <f>0</f>
        <v>0</v>
      </c>
      <c r="D27211">
        <v>0.97807491634300003</v>
      </c>
      <c r="E27211">
        <v>10.398800599700101</v>
      </c>
    </row>
    <row r="27212" spans="1:5">
      <c r="A27212" t="s">
        <v>31665</v>
      </c>
      <c r="B27212" t="s">
        <v>31675</v>
      </c>
      <c r="C27212">
        <v>0</v>
      </c>
      <c r="D27212">
        <v>0.97807491634300003</v>
      </c>
      <c r="E27212">
        <v>10.398800599700101</v>
      </c>
    </row>
    <row r="27213" spans="1:5">
      <c r="A27213" t="s">
        <v>31665</v>
      </c>
      <c r="B27213" t="s">
        <v>31676</v>
      </c>
      <c r="C27213">
        <f>0.274794838703</f>
        <v>0.27479483870299998</v>
      </c>
      <c r="D27213">
        <v>0.97807491634300003</v>
      </c>
      <c r="E27213">
        <v>10.398800599700101</v>
      </c>
    </row>
    <row r="27214" spans="1:5">
      <c r="A27214" t="s">
        <v>31677</v>
      </c>
      <c r="B27214" t="s">
        <v>31678</v>
      </c>
      <c r="C27214">
        <f>0.099163289166</f>
        <v>9.9163289165999993E-2</v>
      </c>
      <c r="D27214">
        <v>0.914411258201</v>
      </c>
      <c r="E27214">
        <v>12.9175412293853</v>
      </c>
    </row>
    <row r="27215" spans="1:5">
      <c r="A27215" t="s">
        <v>31677</v>
      </c>
      <c r="B27215" t="s">
        <v>31679</v>
      </c>
      <c r="C27215">
        <f>0</f>
        <v>0</v>
      </c>
      <c r="D27215">
        <v>0.914411258201</v>
      </c>
      <c r="E27215">
        <v>12.9175412293853</v>
      </c>
    </row>
    <row r="27216" spans="1:5">
      <c r="A27216" t="s">
        <v>31677</v>
      </c>
      <c r="B27216" t="s">
        <v>31680</v>
      </c>
      <c r="C27216">
        <f>0</f>
        <v>0</v>
      </c>
      <c r="D27216">
        <v>0.914411258201</v>
      </c>
      <c r="E27216">
        <v>12.9175412293853</v>
      </c>
    </row>
    <row r="27217" spans="1:5">
      <c r="A27217" t="s">
        <v>31677</v>
      </c>
      <c r="B27217" t="s">
        <v>31681</v>
      </c>
      <c r="C27217">
        <f>0</f>
        <v>0</v>
      </c>
      <c r="D27217">
        <v>0.914411258201</v>
      </c>
      <c r="E27217">
        <v>12.9175412293853</v>
      </c>
    </row>
    <row r="27218" spans="1:5">
      <c r="A27218" t="s">
        <v>31682</v>
      </c>
      <c r="B27218" t="s">
        <v>31683</v>
      </c>
      <c r="C27218">
        <v>0</v>
      </c>
      <c r="D27218" t="s">
        <v>106</v>
      </c>
      <c r="E27218">
        <v>3.7781109445277301</v>
      </c>
    </row>
    <row r="27219" spans="1:5">
      <c r="A27219" t="s">
        <v>31682</v>
      </c>
      <c r="B27219" t="s">
        <v>31684</v>
      </c>
      <c r="C27219">
        <f>0</f>
        <v>0</v>
      </c>
      <c r="D27219" t="s">
        <v>106</v>
      </c>
      <c r="E27219">
        <v>3.7781109445277301</v>
      </c>
    </row>
    <row r="27220" spans="1:5">
      <c r="A27220" t="s">
        <v>31682</v>
      </c>
      <c r="B27220" t="s">
        <v>31685</v>
      </c>
      <c r="C27220">
        <f>0</f>
        <v>0</v>
      </c>
      <c r="D27220" t="s">
        <v>106</v>
      </c>
      <c r="E27220">
        <v>3.7781109445277301</v>
      </c>
    </row>
    <row r="27221" spans="1:5">
      <c r="A27221" t="s">
        <v>31682</v>
      </c>
      <c r="B27221" t="s">
        <v>31686</v>
      </c>
      <c r="C27221">
        <f>0.0434948059789</f>
        <v>4.34948059789E-2</v>
      </c>
      <c r="D27221" t="s">
        <v>106</v>
      </c>
      <c r="E27221">
        <v>3.7781109445277301</v>
      </c>
    </row>
    <row r="27222" spans="1:5">
      <c r="A27222" t="s">
        <v>31682</v>
      </c>
      <c r="B27222" t="s">
        <v>31687</v>
      </c>
      <c r="C27222">
        <f>0</f>
        <v>0</v>
      </c>
      <c r="D27222" t="s">
        <v>106</v>
      </c>
      <c r="E27222">
        <v>3.7781109445277301</v>
      </c>
    </row>
    <row r="27223" spans="1:5">
      <c r="A27223" t="s">
        <v>31682</v>
      </c>
      <c r="B27223" t="s">
        <v>31688</v>
      </c>
      <c r="C27223">
        <f>0</f>
        <v>0</v>
      </c>
      <c r="D27223" t="s">
        <v>106</v>
      </c>
      <c r="E27223">
        <v>3.7781109445277301</v>
      </c>
    </row>
    <row r="27224" spans="1:5">
      <c r="A27224" t="s">
        <v>31682</v>
      </c>
      <c r="B27224" t="s">
        <v>31689</v>
      </c>
      <c r="C27224">
        <v>0</v>
      </c>
      <c r="D27224" t="s">
        <v>106</v>
      </c>
      <c r="E27224">
        <v>3.7781109445277301</v>
      </c>
    </row>
    <row r="27225" spans="1:5">
      <c r="A27225" t="s">
        <v>31682</v>
      </c>
      <c r="B27225" t="s">
        <v>31690</v>
      </c>
      <c r="C27225">
        <v>0</v>
      </c>
      <c r="D27225" t="s">
        <v>106</v>
      </c>
      <c r="E27225">
        <v>3.7781109445277301</v>
      </c>
    </row>
    <row r="27226" spans="1:5">
      <c r="A27226" t="s">
        <v>31682</v>
      </c>
      <c r="B27226" t="s">
        <v>31691</v>
      </c>
      <c r="C27226">
        <f>0.0905392116744</f>
        <v>9.0539211674400003E-2</v>
      </c>
      <c r="D27226" t="s">
        <v>106</v>
      </c>
      <c r="E27226">
        <v>3.7781109445277301</v>
      </c>
    </row>
    <row r="27227" spans="1:5">
      <c r="A27227" t="s">
        <v>31682</v>
      </c>
      <c r="B27227" t="s">
        <v>31692</v>
      </c>
      <c r="C27227">
        <v>0</v>
      </c>
      <c r="D27227" t="s">
        <v>106</v>
      </c>
      <c r="E27227">
        <v>3.7781109445277301</v>
      </c>
    </row>
    <row r="27228" spans="1:5">
      <c r="A27228" t="s">
        <v>31693</v>
      </c>
      <c r="B27228" t="s">
        <v>31694</v>
      </c>
      <c r="C27228">
        <f>0</f>
        <v>0</v>
      </c>
      <c r="D27228">
        <v>0.989387055909</v>
      </c>
      <c r="E27228">
        <v>1.7631184407796101</v>
      </c>
    </row>
    <row r="27229" spans="1:5">
      <c r="A27229" t="s">
        <v>31693</v>
      </c>
      <c r="B27229" t="s">
        <v>31695</v>
      </c>
      <c r="C27229">
        <v>0.14558178978</v>
      </c>
      <c r="D27229">
        <v>0.989387055909</v>
      </c>
      <c r="E27229">
        <v>1.7631184407796101</v>
      </c>
    </row>
    <row r="27230" spans="1:5">
      <c r="A27230" t="s">
        <v>31693</v>
      </c>
      <c r="B27230" t="s">
        <v>31696</v>
      </c>
      <c r="C27230">
        <v>0</v>
      </c>
      <c r="D27230">
        <v>0.989387055909</v>
      </c>
      <c r="E27230">
        <v>1.7631184407796101</v>
      </c>
    </row>
    <row r="27231" spans="1:5">
      <c r="A27231" t="s">
        <v>31693</v>
      </c>
      <c r="B27231" t="s">
        <v>31697</v>
      </c>
      <c r="C27231">
        <f>0</f>
        <v>0</v>
      </c>
      <c r="D27231">
        <v>0.989387055909</v>
      </c>
      <c r="E27231">
        <v>1.7631184407796101</v>
      </c>
    </row>
    <row r="27232" spans="1:5">
      <c r="A27232" t="s">
        <v>31693</v>
      </c>
      <c r="B27232" t="s">
        <v>31698</v>
      </c>
      <c r="C27232">
        <f>0</f>
        <v>0</v>
      </c>
      <c r="D27232">
        <v>0.989387055909</v>
      </c>
      <c r="E27232">
        <v>1.7631184407796101</v>
      </c>
    </row>
    <row r="27233" spans="1:5">
      <c r="A27233" t="s">
        <v>31699</v>
      </c>
      <c r="B27233" t="s">
        <v>31700</v>
      </c>
      <c r="C27233">
        <v>0</v>
      </c>
      <c r="D27233" t="s">
        <v>106</v>
      </c>
      <c r="E27233">
        <v>5.69715142428785</v>
      </c>
    </row>
    <row r="27234" spans="1:5">
      <c r="A27234" t="s">
        <v>31699</v>
      </c>
      <c r="B27234" t="s">
        <v>31701</v>
      </c>
      <c r="C27234">
        <v>0</v>
      </c>
      <c r="D27234" t="s">
        <v>106</v>
      </c>
      <c r="E27234">
        <v>5.69715142428785</v>
      </c>
    </row>
    <row r="27235" spans="1:5">
      <c r="A27235" t="s">
        <v>31699</v>
      </c>
      <c r="B27235" t="s">
        <v>31702</v>
      </c>
      <c r="C27235">
        <f>0</f>
        <v>0</v>
      </c>
      <c r="D27235" t="s">
        <v>106</v>
      </c>
      <c r="E27235">
        <v>5.69715142428785</v>
      </c>
    </row>
    <row r="27236" spans="1:5">
      <c r="A27236" t="s">
        <v>31699</v>
      </c>
      <c r="B27236" t="s">
        <v>31703</v>
      </c>
      <c r="C27236">
        <v>0</v>
      </c>
      <c r="D27236" t="s">
        <v>106</v>
      </c>
      <c r="E27236">
        <v>5.69715142428785</v>
      </c>
    </row>
    <row r="27237" spans="1:5">
      <c r="A27237" t="s">
        <v>31699</v>
      </c>
      <c r="B27237" t="s">
        <v>31704</v>
      </c>
      <c r="C27237">
        <v>0</v>
      </c>
      <c r="D27237" t="s">
        <v>106</v>
      </c>
      <c r="E27237">
        <v>5.69715142428785</v>
      </c>
    </row>
    <row r="27238" spans="1:5">
      <c r="A27238" t="s">
        <v>31699</v>
      </c>
      <c r="B27238" t="s">
        <v>31705</v>
      </c>
      <c r="C27238">
        <v>0</v>
      </c>
      <c r="D27238" t="s">
        <v>106</v>
      </c>
      <c r="E27238">
        <v>5.69715142428785</v>
      </c>
    </row>
    <row r="27239" spans="1:5">
      <c r="A27239" t="s">
        <v>31699</v>
      </c>
      <c r="B27239" t="s">
        <v>31706</v>
      </c>
      <c r="C27239">
        <f>0</f>
        <v>0</v>
      </c>
      <c r="D27239" t="s">
        <v>106</v>
      </c>
      <c r="E27239">
        <v>5.69715142428785</v>
      </c>
    </row>
    <row r="27240" spans="1:5">
      <c r="A27240" t="s">
        <v>31699</v>
      </c>
      <c r="B27240" t="s">
        <v>31707</v>
      </c>
      <c r="C27240">
        <f>0</f>
        <v>0</v>
      </c>
      <c r="D27240" t="s">
        <v>106</v>
      </c>
      <c r="E27240">
        <v>5.69715142428785</v>
      </c>
    </row>
    <row r="27241" spans="1:5">
      <c r="A27241" t="s">
        <v>31699</v>
      </c>
      <c r="B27241" t="s">
        <v>31708</v>
      </c>
      <c r="C27241">
        <f>0</f>
        <v>0</v>
      </c>
      <c r="D27241" t="s">
        <v>106</v>
      </c>
      <c r="E27241">
        <v>5.69715142428785</v>
      </c>
    </row>
    <row r="27242" spans="1:5">
      <c r="A27242" t="s">
        <v>31699</v>
      </c>
      <c r="B27242" t="s">
        <v>31709</v>
      </c>
      <c r="C27242">
        <f>0</f>
        <v>0</v>
      </c>
      <c r="D27242" t="s">
        <v>106</v>
      </c>
      <c r="E27242">
        <v>5.69715142428785</v>
      </c>
    </row>
    <row r="27243" spans="1:5">
      <c r="A27243" t="s">
        <v>31710</v>
      </c>
      <c r="B27243" t="s">
        <v>31711</v>
      </c>
      <c r="C27243">
        <v>0</v>
      </c>
      <c r="D27243" t="s">
        <v>106</v>
      </c>
      <c r="E27243">
        <v>16.695652173913</v>
      </c>
    </row>
    <row r="27244" spans="1:5">
      <c r="A27244" t="s">
        <v>31710</v>
      </c>
      <c r="B27244" t="s">
        <v>31712</v>
      </c>
      <c r="C27244">
        <v>0</v>
      </c>
      <c r="D27244" t="s">
        <v>106</v>
      </c>
      <c r="E27244">
        <v>16.695652173913</v>
      </c>
    </row>
    <row r="27245" spans="1:5">
      <c r="A27245" t="s">
        <v>31710</v>
      </c>
      <c r="B27245" t="s">
        <v>31713</v>
      </c>
      <c r="C27245">
        <v>0</v>
      </c>
      <c r="D27245" t="s">
        <v>106</v>
      </c>
      <c r="E27245">
        <v>16.695652173913</v>
      </c>
    </row>
    <row r="27246" spans="1:5">
      <c r="A27246" t="s">
        <v>31710</v>
      </c>
      <c r="B27246" t="s">
        <v>31714</v>
      </c>
      <c r="C27246">
        <v>0</v>
      </c>
      <c r="D27246" t="s">
        <v>106</v>
      </c>
      <c r="E27246">
        <v>16.695652173913</v>
      </c>
    </row>
    <row r="27247" spans="1:5">
      <c r="A27247" t="s">
        <v>31710</v>
      </c>
      <c r="B27247" t="s">
        <v>31715</v>
      </c>
      <c r="C27247">
        <v>0.15570212421599999</v>
      </c>
      <c r="D27247" t="s">
        <v>106</v>
      </c>
      <c r="E27247">
        <v>16.695652173913</v>
      </c>
    </row>
    <row r="27248" spans="1:5">
      <c r="A27248" t="s">
        <v>31710</v>
      </c>
      <c r="B27248" t="s">
        <v>31716</v>
      </c>
      <c r="C27248">
        <f>0</f>
        <v>0</v>
      </c>
      <c r="D27248" t="s">
        <v>106</v>
      </c>
      <c r="E27248">
        <v>16.695652173913</v>
      </c>
    </row>
    <row r="27249" spans="1:5">
      <c r="A27249" t="s">
        <v>31710</v>
      </c>
      <c r="B27249" t="s">
        <v>31717</v>
      </c>
      <c r="C27249">
        <v>0.12165007195499999</v>
      </c>
      <c r="D27249" t="s">
        <v>106</v>
      </c>
      <c r="E27249">
        <v>16.695652173913</v>
      </c>
    </row>
    <row r="27250" spans="1:5">
      <c r="A27250" t="s">
        <v>31710</v>
      </c>
      <c r="B27250" t="s">
        <v>31718</v>
      </c>
      <c r="C27250">
        <v>0</v>
      </c>
      <c r="D27250" t="s">
        <v>106</v>
      </c>
      <c r="E27250">
        <v>16.695652173913</v>
      </c>
    </row>
    <row r="27251" spans="1:5">
      <c r="A27251" t="s">
        <v>31710</v>
      </c>
      <c r="B27251" t="s">
        <v>31719</v>
      </c>
      <c r="C27251">
        <v>0</v>
      </c>
      <c r="D27251" t="s">
        <v>106</v>
      </c>
      <c r="E27251">
        <v>16.695652173913</v>
      </c>
    </row>
    <row r="27252" spans="1:5">
      <c r="A27252" t="s">
        <v>31720</v>
      </c>
      <c r="B27252" t="s">
        <v>31721</v>
      </c>
      <c r="C27252">
        <v>0</v>
      </c>
      <c r="D27252">
        <v>0.97061263992799995</v>
      </c>
      <c r="E27252">
        <v>12.9175412293853</v>
      </c>
    </row>
    <row r="27253" spans="1:5">
      <c r="A27253" t="s">
        <v>31720</v>
      </c>
      <c r="B27253" t="s">
        <v>31722</v>
      </c>
      <c r="C27253">
        <f>0</f>
        <v>0</v>
      </c>
      <c r="D27253">
        <v>0.97061263992799995</v>
      </c>
      <c r="E27253">
        <v>12.9175412293853</v>
      </c>
    </row>
    <row r="27254" spans="1:5">
      <c r="A27254" t="s">
        <v>31720</v>
      </c>
      <c r="B27254" t="s">
        <v>31723</v>
      </c>
      <c r="C27254">
        <f>0</f>
        <v>0</v>
      </c>
      <c r="D27254">
        <v>0.97061263992799995</v>
      </c>
      <c r="E27254">
        <v>12.9175412293853</v>
      </c>
    </row>
    <row r="27255" spans="1:5">
      <c r="A27255" t="s">
        <v>31720</v>
      </c>
      <c r="B27255" t="s">
        <v>31724</v>
      </c>
      <c r="C27255">
        <f>0</f>
        <v>0</v>
      </c>
      <c r="D27255">
        <v>0.97061263992799995</v>
      </c>
      <c r="E27255">
        <v>12.9175412293853</v>
      </c>
    </row>
    <row r="27256" spans="1:5">
      <c r="A27256" t="s">
        <v>31720</v>
      </c>
      <c r="B27256" t="s">
        <v>31725</v>
      </c>
      <c r="C27256">
        <f>0</f>
        <v>0</v>
      </c>
      <c r="D27256">
        <v>0.97061263992799995</v>
      </c>
      <c r="E27256">
        <v>12.9175412293853</v>
      </c>
    </row>
    <row r="27257" spans="1:5">
      <c r="A27257" t="s">
        <v>31720</v>
      </c>
      <c r="B27257" t="s">
        <v>31726</v>
      </c>
      <c r="C27257">
        <f>0</f>
        <v>0</v>
      </c>
      <c r="D27257">
        <v>0.97061263992799995</v>
      </c>
      <c r="E27257">
        <v>12.9175412293853</v>
      </c>
    </row>
    <row r="27258" spans="1:5">
      <c r="A27258" t="s">
        <v>31720</v>
      </c>
      <c r="B27258" t="s">
        <v>31727</v>
      </c>
      <c r="C27258">
        <v>0.23035583455600001</v>
      </c>
      <c r="D27258">
        <v>0.97061263992799995</v>
      </c>
      <c r="E27258">
        <v>12.9175412293853</v>
      </c>
    </row>
    <row r="27259" spans="1:5">
      <c r="A27259" t="s">
        <v>31720</v>
      </c>
      <c r="B27259" t="s">
        <v>31728</v>
      </c>
      <c r="C27259">
        <v>0</v>
      </c>
      <c r="D27259">
        <v>0.97061263992799995</v>
      </c>
      <c r="E27259">
        <v>12.9175412293853</v>
      </c>
    </row>
    <row r="27260" spans="1:5">
      <c r="A27260" t="s">
        <v>31720</v>
      </c>
      <c r="B27260" t="s">
        <v>31729</v>
      </c>
      <c r="C27260">
        <f>0.127020365798</f>
        <v>0.127020365798</v>
      </c>
      <c r="D27260">
        <v>0.97061263992799995</v>
      </c>
      <c r="E27260">
        <v>12.9175412293853</v>
      </c>
    </row>
    <row r="27261" spans="1:5">
      <c r="A27261" t="s">
        <v>31720</v>
      </c>
      <c r="B27261" t="s">
        <v>31730</v>
      </c>
      <c r="C27261">
        <f>0</f>
        <v>0</v>
      </c>
      <c r="D27261">
        <v>0.97061263992799995</v>
      </c>
      <c r="E27261">
        <v>12.9175412293853</v>
      </c>
    </row>
    <row r="27262" spans="1:5">
      <c r="A27262" t="s">
        <v>31720</v>
      </c>
      <c r="B27262" t="s">
        <v>31731</v>
      </c>
      <c r="C27262">
        <f>0</f>
        <v>0</v>
      </c>
      <c r="D27262">
        <v>0.97061263992799995</v>
      </c>
      <c r="E27262">
        <v>12.9175412293853</v>
      </c>
    </row>
    <row r="27263" spans="1:5">
      <c r="A27263" t="s">
        <v>31720</v>
      </c>
      <c r="B27263" t="s">
        <v>31732</v>
      </c>
      <c r="C27263">
        <f>0</f>
        <v>0</v>
      </c>
      <c r="D27263">
        <v>0.97061263992799995</v>
      </c>
      <c r="E27263">
        <v>12.9175412293853</v>
      </c>
    </row>
    <row r="27264" spans="1:5">
      <c r="A27264" t="s">
        <v>31720</v>
      </c>
      <c r="B27264" t="s">
        <v>31733</v>
      </c>
      <c r="C27264">
        <f>0</f>
        <v>0</v>
      </c>
      <c r="D27264">
        <v>0.97061263992799995</v>
      </c>
      <c r="E27264">
        <v>12.9175412293853</v>
      </c>
    </row>
    <row r="27265" spans="1:5">
      <c r="A27265" t="s">
        <v>31734</v>
      </c>
      <c r="B27265" t="s">
        <v>31735</v>
      </c>
      <c r="C27265">
        <v>0</v>
      </c>
      <c r="D27265" t="s">
        <v>106</v>
      </c>
      <c r="E27265">
        <v>24</v>
      </c>
    </row>
    <row r="27266" spans="1:5">
      <c r="A27266" t="s">
        <v>31734</v>
      </c>
      <c r="B27266" t="s">
        <v>31736</v>
      </c>
      <c r="C27266">
        <v>0</v>
      </c>
      <c r="D27266" t="s">
        <v>106</v>
      </c>
      <c r="E27266">
        <v>24</v>
      </c>
    </row>
    <row r="27267" spans="1:5">
      <c r="A27267" t="s">
        <v>31734</v>
      </c>
      <c r="B27267" t="s">
        <v>31737</v>
      </c>
      <c r="C27267">
        <f>0</f>
        <v>0</v>
      </c>
      <c r="D27267" t="s">
        <v>106</v>
      </c>
      <c r="E27267">
        <v>24</v>
      </c>
    </row>
    <row r="27268" spans="1:5">
      <c r="A27268" t="s">
        <v>31734</v>
      </c>
      <c r="B27268" t="s">
        <v>31738</v>
      </c>
      <c r="C27268">
        <v>0</v>
      </c>
      <c r="D27268" t="s">
        <v>106</v>
      </c>
      <c r="E27268">
        <v>24</v>
      </c>
    </row>
    <row r="27269" spans="1:5">
      <c r="A27269" t="s">
        <v>31734</v>
      </c>
      <c r="B27269" t="s">
        <v>31739</v>
      </c>
      <c r="C27269">
        <f>0</f>
        <v>0</v>
      </c>
      <c r="D27269" t="s">
        <v>106</v>
      </c>
      <c r="E27269">
        <v>24</v>
      </c>
    </row>
    <row r="27270" spans="1:5">
      <c r="A27270" t="s">
        <v>31734</v>
      </c>
      <c r="B27270" t="s">
        <v>31740</v>
      </c>
      <c r="C27270">
        <f>0</f>
        <v>0</v>
      </c>
      <c r="D27270" t="s">
        <v>106</v>
      </c>
      <c r="E27270">
        <v>24</v>
      </c>
    </row>
    <row r="27271" spans="1:5">
      <c r="A27271" t="s">
        <v>31741</v>
      </c>
      <c r="B27271" t="s">
        <v>31742</v>
      </c>
      <c r="C27271">
        <v>0.56687103499299996</v>
      </c>
      <c r="D27271">
        <v>0.89061550498200004</v>
      </c>
      <c r="E27271">
        <v>0.131934032983508</v>
      </c>
    </row>
    <row r="27272" spans="1:5">
      <c r="A27272" t="s">
        <v>31741</v>
      </c>
      <c r="B27272" t="s">
        <v>31743</v>
      </c>
      <c r="C27272">
        <f>0</f>
        <v>0</v>
      </c>
      <c r="D27272">
        <v>0.89061550498200004</v>
      </c>
      <c r="E27272">
        <v>0.131934032983508</v>
      </c>
    </row>
    <row r="27273" spans="1:5">
      <c r="A27273" t="s">
        <v>31741</v>
      </c>
      <c r="B27273" t="s">
        <v>31744</v>
      </c>
      <c r="C27273">
        <f>0</f>
        <v>0</v>
      </c>
      <c r="D27273">
        <v>0.89061550498200004</v>
      </c>
      <c r="E27273">
        <v>0.131934032983508</v>
      </c>
    </row>
    <row r="27274" spans="1:5">
      <c r="A27274" t="s">
        <v>31741</v>
      </c>
      <c r="B27274" t="s">
        <v>31745</v>
      </c>
      <c r="C27274">
        <v>0</v>
      </c>
      <c r="D27274">
        <v>0.89061550498200004</v>
      </c>
      <c r="E27274">
        <v>0.131934032983508</v>
      </c>
    </row>
    <row r="27275" spans="1:5">
      <c r="A27275" t="s">
        <v>31746</v>
      </c>
      <c r="B27275" t="s">
        <v>31747</v>
      </c>
      <c r="C27275">
        <v>0</v>
      </c>
      <c r="D27275">
        <v>0.719557906714</v>
      </c>
      <c r="E27275">
        <v>18.1349325337331</v>
      </c>
    </row>
    <row r="27276" spans="1:5">
      <c r="A27276" t="s">
        <v>31746</v>
      </c>
      <c r="B27276" t="s">
        <v>31748</v>
      </c>
      <c r="C27276">
        <v>0</v>
      </c>
      <c r="D27276">
        <v>0.719557906714</v>
      </c>
      <c r="E27276">
        <v>18.1349325337331</v>
      </c>
    </row>
    <row r="27277" spans="1:5">
      <c r="A27277" t="s">
        <v>31746</v>
      </c>
      <c r="B27277" t="s">
        <v>31749</v>
      </c>
      <c r="C27277">
        <v>0</v>
      </c>
      <c r="D27277">
        <v>0.719557906714</v>
      </c>
      <c r="E27277">
        <v>18.1349325337331</v>
      </c>
    </row>
    <row r="27278" spans="1:5">
      <c r="A27278" t="s">
        <v>31746</v>
      </c>
      <c r="B27278" t="s">
        <v>31750</v>
      </c>
      <c r="C27278">
        <v>0</v>
      </c>
      <c r="D27278">
        <v>0.719557906714</v>
      </c>
      <c r="E27278">
        <v>18.1349325337331</v>
      </c>
    </row>
    <row r="27279" spans="1:5">
      <c r="A27279" t="s">
        <v>31751</v>
      </c>
      <c r="B27279" t="s">
        <v>31752</v>
      </c>
      <c r="C27279">
        <f>0</f>
        <v>0</v>
      </c>
      <c r="D27279">
        <v>0.98371858436899995</v>
      </c>
      <c r="E27279">
        <v>9.0194902548725597</v>
      </c>
    </row>
    <row r="27280" spans="1:5">
      <c r="A27280" t="s">
        <v>31751</v>
      </c>
      <c r="B27280" t="s">
        <v>31753</v>
      </c>
      <c r="C27280">
        <f>0</f>
        <v>0</v>
      </c>
      <c r="D27280">
        <v>0.98371858436899995</v>
      </c>
      <c r="E27280">
        <v>9.0194902548725597</v>
      </c>
    </row>
    <row r="27281" spans="1:5">
      <c r="A27281" t="s">
        <v>31751</v>
      </c>
      <c r="B27281" t="s">
        <v>31754</v>
      </c>
      <c r="C27281">
        <f>0</f>
        <v>0</v>
      </c>
      <c r="D27281">
        <v>0.98371858436899995</v>
      </c>
      <c r="E27281">
        <v>9.0194902548725597</v>
      </c>
    </row>
    <row r="27282" spans="1:5">
      <c r="A27282" t="s">
        <v>31751</v>
      </c>
      <c r="B27282" t="s">
        <v>31755</v>
      </c>
      <c r="C27282">
        <f>0.286779919402</f>
        <v>0.28677991940199998</v>
      </c>
      <c r="D27282">
        <v>0.98371858436899995</v>
      </c>
      <c r="E27282">
        <v>9.0194902548725597</v>
      </c>
    </row>
    <row r="27283" spans="1:5">
      <c r="A27283" t="s">
        <v>31751</v>
      </c>
      <c r="B27283" t="s">
        <v>31756</v>
      </c>
      <c r="C27283">
        <f>0</f>
        <v>0</v>
      </c>
      <c r="D27283">
        <v>0.98371858436899995</v>
      </c>
      <c r="E27283">
        <v>9.0194902548725597</v>
      </c>
    </row>
    <row r="27284" spans="1:5">
      <c r="A27284" t="s">
        <v>31751</v>
      </c>
      <c r="B27284" t="s">
        <v>31757</v>
      </c>
      <c r="C27284">
        <f>0.0365101818005</f>
        <v>3.6510181800500002E-2</v>
      </c>
      <c r="D27284">
        <v>0.98371858436899995</v>
      </c>
      <c r="E27284">
        <v>9.0194902548725597</v>
      </c>
    </row>
    <row r="27285" spans="1:5">
      <c r="A27285" t="s">
        <v>31758</v>
      </c>
      <c r="B27285" t="s">
        <v>31759</v>
      </c>
      <c r="C27285">
        <v>3.97184948697E-2</v>
      </c>
      <c r="D27285">
        <v>0.90031350104300001</v>
      </c>
      <c r="E27285">
        <v>1.06746626686656</v>
      </c>
    </row>
    <row r="27286" spans="1:5">
      <c r="A27286" t="s">
        <v>31758</v>
      </c>
      <c r="B27286" t="s">
        <v>31760</v>
      </c>
      <c r="C27286">
        <v>0</v>
      </c>
      <c r="D27286">
        <v>0.90031350104300001</v>
      </c>
      <c r="E27286">
        <v>1.06746626686656</v>
      </c>
    </row>
    <row r="27287" spans="1:5">
      <c r="A27287" t="s">
        <v>31758</v>
      </c>
      <c r="B27287" t="s">
        <v>31761</v>
      </c>
      <c r="C27287">
        <v>0</v>
      </c>
      <c r="D27287">
        <v>0.90031350104300001</v>
      </c>
      <c r="E27287">
        <v>1.06746626686656</v>
      </c>
    </row>
    <row r="27288" spans="1:5">
      <c r="A27288" t="s">
        <v>31758</v>
      </c>
      <c r="B27288" t="s">
        <v>31762</v>
      </c>
      <c r="C27288">
        <v>0</v>
      </c>
      <c r="D27288">
        <v>0.90031350104300001</v>
      </c>
      <c r="E27288">
        <v>1.06746626686656</v>
      </c>
    </row>
    <row r="27289" spans="1:5">
      <c r="A27289" t="s">
        <v>31758</v>
      </c>
      <c r="B27289" t="s">
        <v>31763</v>
      </c>
      <c r="C27289">
        <v>4.0120374993499998E-2</v>
      </c>
      <c r="D27289">
        <v>0.90031350104300001</v>
      </c>
      <c r="E27289">
        <v>1.06746626686656</v>
      </c>
    </row>
    <row r="27290" spans="1:5">
      <c r="A27290" t="s">
        <v>31758</v>
      </c>
      <c r="B27290" t="s">
        <v>31764</v>
      </c>
      <c r="C27290">
        <v>0</v>
      </c>
      <c r="D27290">
        <v>0.90031350104300001</v>
      </c>
      <c r="E27290">
        <v>1.06746626686656</v>
      </c>
    </row>
    <row r="27291" spans="1:5">
      <c r="A27291" t="s">
        <v>31758</v>
      </c>
      <c r="B27291" t="s">
        <v>31765</v>
      </c>
      <c r="C27291">
        <v>0</v>
      </c>
      <c r="D27291">
        <v>0.90031350104300001</v>
      </c>
      <c r="E27291">
        <v>1.06746626686656</v>
      </c>
    </row>
    <row r="27292" spans="1:5">
      <c r="A27292" t="s">
        <v>31758</v>
      </c>
      <c r="B27292" t="s">
        <v>31766</v>
      </c>
      <c r="C27292">
        <v>0</v>
      </c>
      <c r="D27292">
        <v>0.90031350104300001</v>
      </c>
      <c r="E27292">
        <v>1.06746626686656</v>
      </c>
    </row>
    <row r="27293" spans="1:5">
      <c r="A27293" t="s">
        <v>31758</v>
      </c>
      <c r="B27293" t="s">
        <v>31767</v>
      </c>
      <c r="C27293">
        <f>0</f>
        <v>0</v>
      </c>
      <c r="D27293">
        <v>0.90031350104300001</v>
      </c>
      <c r="E27293">
        <v>1.06746626686656</v>
      </c>
    </row>
    <row r="27294" spans="1:5">
      <c r="A27294" t="s">
        <v>31758</v>
      </c>
      <c r="B27294" t="s">
        <v>31768</v>
      </c>
      <c r="C27294">
        <v>0</v>
      </c>
      <c r="D27294">
        <v>0.90031350104300001</v>
      </c>
      <c r="E27294">
        <v>1.06746626686656</v>
      </c>
    </row>
    <row r="27295" spans="1:5">
      <c r="A27295" t="s">
        <v>31758</v>
      </c>
      <c r="B27295" t="s">
        <v>31769</v>
      </c>
      <c r="C27295">
        <v>0</v>
      </c>
      <c r="D27295">
        <v>0.90031350104300001</v>
      </c>
      <c r="E27295">
        <v>1.06746626686656</v>
      </c>
    </row>
    <row r="27296" spans="1:5">
      <c r="A27296" t="s">
        <v>31758</v>
      </c>
      <c r="B27296" t="s">
        <v>31770</v>
      </c>
      <c r="C27296">
        <f>0</f>
        <v>0</v>
      </c>
      <c r="D27296">
        <v>0.90031350104300001</v>
      </c>
      <c r="E27296">
        <v>1.06746626686656</v>
      </c>
    </row>
    <row r="27297" spans="1:5">
      <c r="A27297" t="s">
        <v>31758</v>
      </c>
      <c r="B27297" t="s">
        <v>31771</v>
      </c>
      <c r="C27297">
        <v>0</v>
      </c>
      <c r="D27297">
        <v>0.90031350104300001</v>
      </c>
      <c r="E27297">
        <v>1.06746626686656</v>
      </c>
    </row>
    <row r="27298" spans="1:5">
      <c r="A27298" t="s">
        <v>31772</v>
      </c>
      <c r="B27298" t="s">
        <v>31773</v>
      </c>
      <c r="C27298">
        <f>0</f>
        <v>0</v>
      </c>
      <c r="D27298" t="s">
        <v>106</v>
      </c>
      <c r="E27298">
        <v>0.215892053973013</v>
      </c>
    </row>
    <row r="27299" spans="1:5">
      <c r="A27299" t="s">
        <v>31772</v>
      </c>
      <c r="B27299" t="s">
        <v>31774</v>
      </c>
      <c r="C27299">
        <f>0</f>
        <v>0</v>
      </c>
      <c r="D27299" t="s">
        <v>106</v>
      </c>
      <c r="E27299">
        <v>0.215892053973013</v>
      </c>
    </row>
    <row r="27300" spans="1:5">
      <c r="A27300" t="s">
        <v>31772</v>
      </c>
      <c r="B27300" t="s">
        <v>31775</v>
      </c>
      <c r="C27300">
        <f>0</f>
        <v>0</v>
      </c>
      <c r="D27300" t="s">
        <v>106</v>
      </c>
      <c r="E27300">
        <v>0.215892053973013</v>
      </c>
    </row>
    <row r="27301" spans="1:5">
      <c r="A27301" t="s">
        <v>31776</v>
      </c>
      <c r="B27301" t="s">
        <v>31777</v>
      </c>
      <c r="C27301">
        <v>7.8495391171199996E-2</v>
      </c>
      <c r="D27301" t="s">
        <v>106</v>
      </c>
      <c r="E27301">
        <v>20.065967016491701</v>
      </c>
    </row>
    <row r="27302" spans="1:5">
      <c r="A27302" t="s">
        <v>31776</v>
      </c>
      <c r="B27302" t="s">
        <v>31778</v>
      </c>
      <c r="C27302">
        <v>0</v>
      </c>
      <c r="D27302" t="s">
        <v>106</v>
      </c>
      <c r="E27302">
        <v>20.065967016491701</v>
      </c>
    </row>
    <row r="27303" spans="1:5">
      <c r="A27303" t="s">
        <v>31776</v>
      </c>
      <c r="B27303" t="s">
        <v>31779</v>
      </c>
      <c r="C27303">
        <v>0</v>
      </c>
      <c r="D27303" t="s">
        <v>106</v>
      </c>
      <c r="E27303">
        <v>20.065967016491701</v>
      </c>
    </row>
    <row r="27304" spans="1:5">
      <c r="A27304" t="s">
        <v>31776</v>
      </c>
      <c r="B27304" t="s">
        <v>31780</v>
      </c>
      <c r="C27304">
        <v>0</v>
      </c>
      <c r="D27304" t="s">
        <v>106</v>
      </c>
      <c r="E27304">
        <v>20.065967016491701</v>
      </c>
    </row>
    <row r="27305" spans="1:5">
      <c r="A27305" t="s">
        <v>31776</v>
      </c>
      <c r="B27305" t="s">
        <v>31781</v>
      </c>
      <c r="C27305">
        <v>8.2867894408300002E-3</v>
      </c>
      <c r="D27305" t="s">
        <v>106</v>
      </c>
      <c r="E27305">
        <v>20.065967016491701</v>
      </c>
    </row>
    <row r="27306" spans="1:5">
      <c r="A27306" t="s">
        <v>31782</v>
      </c>
      <c r="B27306" t="s">
        <v>31783</v>
      </c>
      <c r="C27306">
        <v>0</v>
      </c>
      <c r="D27306">
        <v>0.97690440498599995</v>
      </c>
      <c r="E27306">
        <v>24</v>
      </c>
    </row>
    <row r="27307" spans="1:5">
      <c r="A27307" t="s">
        <v>31782</v>
      </c>
      <c r="B27307" t="s">
        <v>31784</v>
      </c>
      <c r="C27307">
        <v>0.18166345595899999</v>
      </c>
      <c r="D27307">
        <v>0.97690440498599995</v>
      </c>
      <c r="E27307">
        <v>24</v>
      </c>
    </row>
    <row r="27308" spans="1:5">
      <c r="A27308" t="s">
        <v>31785</v>
      </c>
      <c r="B27308" t="s">
        <v>31786</v>
      </c>
      <c r="C27308">
        <v>0</v>
      </c>
      <c r="D27308" t="s">
        <v>106</v>
      </c>
      <c r="E27308">
        <v>18.554722638680602</v>
      </c>
    </row>
    <row r="27309" spans="1:5">
      <c r="A27309" t="s">
        <v>31785</v>
      </c>
      <c r="B27309" t="s">
        <v>31787</v>
      </c>
      <c r="C27309">
        <v>0</v>
      </c>
      <c r="D27309" t="s">
        <v>106</v>
      </c>
      <c r="E27309">
        <v>18.554722638680602</v>
      </c>
    </row>
    <row r="27310" spans="1:5">
      <c r="A27310" t="s">
        <v>31785</v>
      </c>
      <c r="B27310" t="s">
        <v>31788</v>
      </c>
      <c r="C27310">
        <v>0</v>
      </c>
      <c r="D27310" t="s">
        <v>106</v>
      </c>
      <c r="E27310">
        <v>18.554722638680602</v>
      </c>
    </row>
    <row r="27311" spans="1:5">
      <c r="A27311" t="s">
        <v>31785</v>
      </c>
      <c r="B27311" t="s">
        <v>31789</v>
      </c>
      <c r="C27311">
        <v>0</v>
      </c>
      <c r="D27311" t="s">
        <v>106</v>
      </c>
      <c r="E27311">
        <v>18.554722638680602</v>
      </c>
    </row>
    <row r="27312" spans="1:5">
      <c r="A27312" t="s">
        <v>31790</v>
      </c>
      <c r="B27312" t="s">
        <v>31791</v>
      </c>
      <c r="C27312">
        <v>0</v>
      </c>
      <c r="D27312" t="s">
        <v>106</v>
      </c>
      <c r="E27312">
        <v>1.51124437781109</v>
      </c>
    </row>
    <row r="27313" spans="1:5">
      <c r="A27313" t="s">
        <v>31790</v>
      </c>
      <c r="B27313" t="s">
        <v>31792</v>
      </c>
      <c r="C27313">
        <f>0</f>
        <v>0</v>
      </c>
      <c r="D27313" t="s">
        <v>106</v>
      </c>
      <c r="E27313">
        <v>1.51124437781109</v>
      </c>
    </row>
    <row r="27314" spans="1:5">
      <c r="A27314" t="s">
        <v>31790</v>
      </c>
      <c r="B27314" t="s">
        <v>31793</v>
      </c>
      <c r="C27314">
        <f>0</f>
        <v>0</v>
      </c>
      <c r="D27314" t="s">
        <v>106</v>
      </c>
      <c r="E27314">
        <v>1.51124437781109</v>
      </c>
    </row>
    <row r="27315" spans="1:5">
      <c r="A27315" t="s">
        <v>31790</v>
      </c>
      <c r="B27315" t="s">
        <v>31794</v>
      </c>
      <c r="C27315">
        <v>0</v>
      </c>
      <c r="D27315" t="s">
        <v>106</v>
      </c>
      <c r="E27315">
        <v>1.51124437781109</v>
      </c>
    </row>
    <row r="27316" spans="1:5">
      <c r="A27316" t="s">
        <v>31790</v>
      </c>
      <c r="B27316" t="s">
        <v>31795</v>
      </c>
      <c r="C27316">
        <v>0</v>
      </c>
      <c r="D27316" t="s">
        <v>106</v>
      </c>
      <c r="E27316">
        <v>1.51124437781109</v>
      </c>
    </row>
    <row r="27317" spans="1:5">
      <c r="A27317" t="s">
        <v>31790</v>
      </c>
      <c r="B27317" t="s">
        <v>31796</v>
      </c>
      <c r="C27317">
        <v>0</v>
      </c>
      <c r="D27317" t="s">
        <v>106</v>
      </c>
      <c r="E27317">
        <v>1.51124437781109</v>
      </c>
    </row>
    <row r="27318" spans="1:5">
      <c r="A27318" t="s">
        <v>31790</v>
      </c>
      <c r="B27318" t="s">
        <v>31797</v>
      </c>
      <c r="C27318">
        <f>0</f>
        <v>0</v>
      </c>
      <c r="D27318" t="s">
        <v>106</v>
      </c>
      <c r="E27318">
        <v>1.51124437781109</v>
      </c>
    </row>
    <row r="27319" spans="1:5">
      <c r="A27319" t="s">
        <v>31790</v>
      </c>
      <c r="B27319" t="s">
        <v>31798</v>
      </c>
      <c r="C27319">
        <f>0</f>
        <v>0</v>
      </c>
      <c r="D27319" t="s">
        <v>106</v>
      </c>
      <c r="E27319">
        <v>1.51124437781109</v>
      </c>
    </row>
    <row r="27320" spans="1:5">
      <c r="A27320" t="s">
        <v>31790</v>
      </c>
      <c r="B27320" t="s">
        <v>31799</v>
      </c>
      <c r="C27320">
        <v>0</v>
      </c>
      <c r="D27320" t="s">
        <v>106</v>
      </c>
      <c r="E27320">
        <v>1.51124437781109</v>
      </c>
    </row>
    <row r="27321" spans="1:5">
      <c r="A27321" t="s">
        <v>31790</v>
      </c>
      <c r="B27321" t="s">
        <v>31800</v>
      </c>
      <c r="C27321">
        <v>0</v>
      </c>
      <c r="D27321" t="s">
        <v>106</v>
      </c>
      <c r="E27321">
        <v>1.51124437781109</v>
      </c>
    </row>
    <row r="27322" spans="1:5">
      <c r="A27322" t="s">
        <v>31801</v>
      </c>
      <c r="B27322" t="s">
        <v>31802</v>
      </c>
      <c r="C27322">
        <v>0.34305042333899999</v>
      </c>
      <c r="D27322">
        <v>0.74008671645400004</v>
      </c>
      <c r="E27322">
        <v>0.73163418290854498</v>
      </c>
    </row>
    <row r="27323" spans="1:5">
      <c r="A27323" t="s">
        <v>31803</v>
      </c>
      <c r="B27323" t="s">
        <v>31804</v>
      </c>
      <c r="C27323">
        <f>0</f>
        <v>0</v>
      </c>
      <c r="D27323" t="s">
        <v>106</v>
      </c>
      <c r="E27323">
        <v>17.919040479760099</v>
      </c>
    </row>
    <row r="27324" spans="1:5">
      <c r="A27324" t="s">
        <v>31803</v>
      </c>
      <c r="B27324" t="s">
        <v>31805</v>
      </c>
      <c r="C27324">
        <v>0</v>
      </c>
      <c r="D27324" t="s">
        <v>106</v>
      </c>
      <c r="E27324">
        <v>17.919040479760099</v>
      </c>
    </row>
    <row r="27325" spans="1:5">
      <c r="A27325" t="s">
        <v>31803</v>
      </c>
      <c r="B27325" t="s">
        <v>31806</v>
      </c>
      <c r="C27325">
        <f>0</f>
        <v>0</v>
      </c>
      <c r="D27325" t="s">
        <v>106</v>
      </c>
      <c r="E27325">
        <v>17.919040479760099</v>
      </c>
    </row>
    <row r="27326" spans="1:5">
      <c r="A27326" t="s">
        <v>31803</v>
      </c>
      <c r="B27326" t="s">
        <v>31807</v>
      </c>
      <c r="C27326">
        <v>0</v>
      </c>
      <c r="D27326" t="s">
        <v>106</v>
      </c>
      <c r="E27326">
        <v>17.919040479760099</v>
      </c>
    </row>
    <row r="27327" spans="1:5">
      <c r="A27327" t="s">
        <v>31803</v>
      </c>
      <c r="B27327" t="s">
        <v>31808</v>
      </c>
      <c r="C27327">
        <f>0</f>
        <v>0</v>
      </c>
      <c r="D27327" t="s">
        <v>106</v>
      </c>
      <c r="E27327">
        <v>17.919040479760099</v>
      </c>
    </row>
    <row r="27328" spans="1:5">
      <c r="A27328" t="s">
        <v>31809</v>
      </c>
      <c r="B27328" t="s">
        <v>31810</v>
      </c>
      <c r="C27328">
        <f>0</f>
        <v>0</v>
      </c>
      <c r="D27328" t="s">
        <v>106</v>
      </c>
      <c r="E27328">
        <v>1.96701649175412</v>
      </c>
    </row>
    <row r="27329" spans="1:5">
      <c r="A27329" t="s">
        <v>31809</v>
      </c>
      <c r="B27329" t="s">
        <v>31811</v>
      </c>
      <c r="C27329">
        <v>0</v>
      </c>
      <c r="D27329" t="s">
        <v>106</v>
      </c>
      <c r="E27329">
        <v>1.96701649175412</v>
      </c>
    </row>
    <row r="27330" spans="1:5">
      <c r="A27330" t="s">
        <v>31809</v>
      </c>
      <c r="B27330" t="s">
        <v>31812</v>
      </c>
      <c r="C27330">
        <v>0</v>
      </c>
      <c r="D27330" t="s">
        <v>106</v>
      </c>
      <c r="E27330">
        <v>1.96701649175412</v>
      </c>
    </row>
    <row r="27331" spans="1:5">
      <c r="A27331" t="s">
        <v>31809</v>
      </c>
      <c r="B27331" t="s">
        <v>31813</v>
      </c>
      <c r="C27331">
        <v>0</v>
      </c>
      <c r="D27331" t="s">
        <v>106</v>
      </c>
      <c r="E27331">
        <v>1.96701649175412</v>
      </c>
    </row>
    <row r="27332" spans="1:5">
      <c r="A27332" t="s">
        <v>31809</v>
      </c>
      <c r="B27332" t="s">
        <v>31814</v>
      </c>
      <c r="C27332">
        <v>0</v>
      </c>
      <c r="D27332" t="s">
        <v>106</v>
      </c>
      <c r="E27332">
        <v>1.96701649175412</v>
      </c>
    </row>
    <row r="27333" spans="1:5">
      <c r="A27333" t="s">
        <v>31815</v>
      </c>
      <c r="B27333" t="s">
        <v>31816</v>
      </c>
      <c r="C27333">
        <v>0.221062476718</v>
      </c>
      <c r="D27333">
        <v>0.98944664016499995</v>
      </c>
      <c r="E27333">
        <v>9.4632683658170897</v>
      </c>
    </row>
    <row r="27334" spans="1:5">
      <c r="A27334" t="s">
        <v>31815</v>
      </c>
      <c r="B27334" t="s">
        <v>31817</v>
      </c>
      <c r="C27334">
        <v>0</v>
      </c>
      <c r="D27334">
        <v>0.98944664016499995</v>
      </c>
      <c r="E27334">
        <v>9.4632683658170897</v>
      </c>
    </row>
    <row r="27335" spans="1:5">
      <c r="A27335" t="s">
        <v>31815</v>
      </c>
      <c r="B27335" t="s">
        <v>31818</v>
      </c>
      <c r="C27335">
        <v>2.9859319079E-2</v>
      </c>
      <c r="D27335">
        <v>0.98944664016499995</v>
      </c>
      <c r="E27335">
        <v>9.4632683658170897</v>
      </c>
    </row>
    <row r="27336" spans="1:5">
      <c r="A27336" t="s">
        <v>31815</v>
      </c>
      <c r="B27336" t="s">
        <v>31819</v>
      </c>
      <c r="C27336">
        <f>0</f>
        <v>0</v>
      </c>
      <c r="D27336">
        <v>0.98944664016499995</v>
      </c>
      <c r="E27336">
        <v>9.4632683658170897</v>
      </c>
    </row>
    <row r="27337" spans="1:5">
      <c r="A27337" t="s">
        <v>31815</v>
      </c>
      <c r="B27337" t="s">
        <v>31820</v>
      </c>
      <c r="C27337">
        <f>0</f>
        <v>0</v>
      </c>
      <c r="D27337">
        <v>0.98944664016499995</v>
      </c>
      <c r="E27337">
        <v>9.4632683658170897</v>
      </c>
    </row>
    <row r="27338" spans="1:5">
      <c r="A27338" t="s">
        <v>31821</v>
      </c>
      <c r="B27338" t="s">
        <v>31822</v>
      </c>
      <c r="C27338">
        <f>0</f>
        <v>0</v>
      </c>
      <c r="D27338">
        <v>0.90968122812100005</v>
      </c>
      <c r="E27338">
        <v>15.904047976011899</v>
      </c>
    </row>
    <row r="27339" spans="1:5">
      <c r="A27339" t="s">
        <v>31821</v>
      </c>
      <c r="B27339" t="s">
        <v>31823</v>
      </c>
      <c r="C27339">
        <f>0</f>
        <v>0</v>
      </c>
      <c r="D27339">
        <v>0.90968122812100005</v>
      </c>
      <c r="E27339">
        <v>15.904047976011899</v>
      </c>
    </row>
    <row r="27340" spans="1:5">
      <c r="A27340" t="s">
        <v>31821</v>
      </c>
      <c r="B27340" t="s">
        <v>31824</v>
      </c>
      <c r="C27340">
        <v>0</v>
      </c>
      <c r="D27340">
        <v>0.90968122812100005</v>
      </c>
      <c r="E27340">
        <v>15.904047976011899</v>
      </c>
    </row>
    <row r="27341" spans="1:5">
      <c r="A27341" t="s">
        <v>31821</v>
      </c>
      <c r="B27341" t="s">
        <v>31825</v>
      </c>
      <c r="C27341">
        <v>0</v>
      </c>
      <c r="D27341">
        <v>0.90968122812100005</v>
      </c>
      <c r="E27341">
        <v>15.904047976011899</v>
      </c>
    </row>
    <row r="27342" spans="1:5">
      <c r="A27342" t="s">
        <v>31821</v>
      </c>
      <c r="B27342" t="s">
        <v>31826</v>
      </c>
      <c r="C27342">
        <f>0</f>
        <v>0</v>
      </c>
      <c r="D27342">
        <v>0.90968122812100005</v>
      </c>
      <c r="E27342">
        <v>15.904047976011899</v>
      </c>
    </row>
    <row r="27343" spans="1:5">
      <c r="A27343" t="s">
        <v>31821</v>
      </c>
      <c r="B27343" t="s">
        <v>31827</v>
      </c>
      <c r="C27343">
        <v>0</v>
      </c>
      <c r="D27343">
        <v>0.90968122812100005</v>
      </c>
      <c r="E27343">
        <v>15.904047976011899</v>
      </c>
    </row>
    <row r="27344" spans="1:5">
      <c r="A27344" t="s">
        <v>31821</v>
      </c>
      <c r="B27344" t="s">
        <v>31828</v>
      </c>
      <c r="C27344">
        <f>0.215943651508</f>
        <v>0.21594365150799999</v>
      </c>
      <c r="D27344">
        <v>0.90968122812100005</v>
      </c>
      <c r="E27344">
        <v>15.904047976011899</v>
      </c>
    </row>
    <row r="27345" spans="1:5">
      <c r="A27345" t="s">
        <v>31821</v>
      </c>
      <c r="B27345" t="s">
        <v>31829</v>
      </c>
      <c r="C27345">
        <f>0</f>
        <v>0</v>
      </c>
      <c r="D27345">
        <v>0.90968122812100005</v>
      </c>
      <c r="E27345">
        <v>15.904047976011899</v>
      </c>
    </row>
    <row r="27346" spans="1:5">
      <c r="A27346" t="s">
        <v>31830</v>
      </c>
      <c r="B27346" t="s">
        <v>31831</v>
      </c>
      <c r="C27346">
        <v>5.91172810139E-2</v>
      </c>
      <c r="D27346">
        <v>0.79219256371199998</v>
      </c>
      <c r="E27346">
        <v>16.095952023988001</v>
      </c>
    </row>
    <row r="27347" spans="1:5">
      <c r="A27347" t="s">
        <v>31830</v>
      </c>
      <c r="B27347" t="s">
        <v>31832</v>
      </c>
      <c r="C27347">
        <v>0.144571589083</v>
      </c>
      <c r="D27347">
        <v>0.79219256371199998</v>
      </c>
      <c r="E27347">
        <v>16.095952023988001</v>
      </c>
    </row>
    <row r="27348" spans="1:5">
      <c r="A27348" t="s">
        <v>31833</v>
      </c>
      <c r="B27348" t="s">
        <v>31834</v>
      </c>
      <c r="C27348">
        <f>0</f>
        <v>0</v>
      </c>
      <c r="D27348">
        <v>0.97095028488799995</v>
      </c>
      <c r="E27348">
        <v>15.316341829085401</v>
      </c>
    </row>
    <row r="27349" spans="1:5">
      <c r="A27349" t="s">
        <v>31833</v>
      </c>
      <c r="B27349" t="s">
        <v>31835</v>
      </c>
      <c r="C27349">
        <v>0</v>
      </c>
      <c r="D27349">
        <v>0.97095028488799995</v>
      </c>
      <c r="E27349">
        <v>15.316341829085401</v>
      </c>
    </row>
    <row r="27350" spans="1:5">
      <c r="A27350" t="s">
        <v>31833</v>
      </c>
      <c r="B27350" t="s">
        <v>31836</v>
      </c>
      <c r="C27350">
        <f>0.0557513842974</f>
        <v>5.5751384297400002E-2</v>
      </c>
      <c r="D27350">
        <v>0.97095028488799995</v>
      </c>
      <c r="E27350">
        <v>15.316341829085401</v>
      </c>
    </row>
    <row r="27351" spans="1:5">
      <c r="A27351" t="s">
        <v>31833</v>
      </c>
      <c r="B27351" t="s">
        <v>31837</v>
      </c>
      <c r="C27351">
        <v>0.13399588438400001</v>
      </c>
      <c r="D27351">
        <v>0.97095028488799995</v>
      </c>
      <c r="E27351">
        <v>15.316341829085401</v>
      </c>
    </row>
    <row r="27352" spans="1:5">
      <c r="A27352" t="s">
        <v>31833</v>
      </c>
      <c r="B27352" t="s">
        <v>31838</v>
      </c>
      <c r="C27352">
        <v>0</v>
      </c>
      <c r="D27352">
        <v>0.97095028488799995</v>
      </c>
      <c r="E27352">
        <v>15.316341829085401</v>
      </c>
    </row>
    <row r="27353" spans="1:5">
      <c r="A27353" t="s">
        <v>31839</v>
      </c>
      <c r="B27353" t="s">
        <v>31840</v>
      </c>
      <c r="C27353">
        <v>9.9745530700500004E-2</v>
      </c>
      <c r="D27353">
        <v>0.87660071044599996</v>
      </c>
      <c r="E27353">
        <v>7.8680659670164896</v>
      </c>
    </row>
    <row r="27354" spans="1:5">
      <c r="A27354" t="s">
        <v>31839</v>
      </c>
      <c r="B27354" t="s">
        <v>31841</v>
      </c>
      <c r="C27354">
        <v>0</v>
      </c>
      <c r="D27354">
        <v>0.87660071044599996</v>
      </c>
      <c r="E27354">
        <v>7.8680659670164896</v>
      </c>
    </row>
    <row r="27355" spans="1:5">
      <c r="A27355" t="s">
        <v>31839</v>
      </c>
      <c r="B27355" t="s">
        <v>31842</v>
      </c>
      <c r="C27355">
        <v>0.170741844684</v>
      </c>
      <c r="D27355">
        <v>0.87660071044599996</v>
      </c>
      <c r="E27355">
        <v>7.8680659670164896</v>
      </c>
    </row>
    <row r="27356" spans="1:5">
      <c r="A27356" t="s">
        <v>31843</v>
      </c>
      <c r="B27356" t="s">
        <v>31844</v>
      </c>
      <c r="C27356">
        <v>0</v>
      </c>
      <c r="D27356" t="s">
        <v>106</v>
      </c>
      <c r="E27356">
        <v>9.7631184407796106</v>
      </c>
    </row>
    <row r="27357" spans="1:5">
      <c r="A27357" t="s">
        <v>31843</v>
      </c>
      <c r="B27357" t="s">
        <v>31845</v>
      </c>
      <c r="C27357">
        <v>0</v>
      </c>
      <c r="D27357" t="s">
        <v>106</v>
      </c>
      <c r="E27357">
        <v>9.7631184407796106</v>
      </c>
    </row>
    <row r="27358" spans="1:5">
      <c r="A27358" t="s">
        <v>31843</v>
      </c>
      <c r="B27358" t="s">
        <v>31846</v>
      </c>
      <c r="C27358">
        <f>0</f>
        <v>0</v>
      </c>
      <c r="D27358" t="s">
        <v>106</v>
      </c>
      <c r="E27358">
        <v>9.7631184407796106</v>
      </c>
    </row>
    <row r="27359" spans="1:5">
      <c r="A27359" t="s">
        <v>31843</v>
      </c>
      <c r="B27359" t="s">
        <v>31847</v>
      </c>
      <c r="C27359">
        <v>0</v>
      </c>
      <c r="D27359" t="s">
        <v>106</v>
      </c>
      <c r="E27359">
        <v>9.7631184407796106</v>
      </c>
    </row>
    <row r="27360" spans="1:5">
      <c r="A27360" t="s">
        <v>31848</v>
      </c>
      <c r="B27360" t="s">
        <v>31849</v>
      </c>
      <c r="C27360">
        <f>0</f>
        <v>0</v>
      </c>
      <c r="D27360">
        <v>0.92718828233799999</v>
      </c>
      <c r="E27360">
        <v>18.770614692653599</v>
      </c>
    </row>
    <row r="27361" spans="1:5">
      <c r="A27361" t="s">
        <v>31848</v>
      </c>
      <c r="B27361" t="s">
        <v>31850</v>
      </c>
      <c r="C27361">
        <v>0</v>
      </c>
      <c r="D27361">
        <v>0.92718828233799999</v>
      </c>
      <c r="E27361">
        <v>18.770614692653599</v>
      </c>
    </row>
    <row r="27362" spans="1:5">
      <c r="A27362" t="s">
        <v>31848</v>
      </c>
      <c r="B27362" t="s">
        <v>31851</v>
      </c>
      <c r="C27362">
        <f>0</f>
        <v>0</v>
      </c>
      <c r="D27362">
        <v>0.92718828233799999</v>
      </c>
      <c r="E27362">
        <v>18.770614692653599</v>
      </c>
    </row>
    <row r="27363" spans="1:5">
      <c r="A27363" t="s">
        <v>31848</v>
      </c>
      <c r="B27363" t="s">
        <v>31852</v>
      </c>
      <c r="C27363">
        <f>0.0442281494806</f>
        <v>4.4228149480599999E-2</v>
      </c>
      <c r="D27363">
        <v>0.92718828233799999</v>
      </c>
      <c r="E27363">
        <v>18.770614692653599</v>
      </c>
    </row>
    <row r="27364" spans="1:5">
      <c r="A27364" t="s">
        <v>31848</v>
      </c>
      <c r="B27364" t="s">
        <v>31853</v>
      </c>
      <c r="C27364">
        <f>0</f>
        <v>0</v>
      </c>
      <c r="D27364">
        <v>0.92718828233799999</v>
      </c>
      <c r="E27364">
        <v>18.770614692653599</v>
      </c>
    </row>
    <row r="27365" spans="1:5">
      <c r="A27365" t="s">
        <v>31848</v>
      </c>
      <c r="B27365" t="s">
        <v>31854</v>
      </c>
      <c r="C27365">
        <v>0.13413813286099999</v>
      </c>
      <c r="D27365">
        <v>0.92718828233799999</v>
      </c>
      <c r="E27365">
        <v>18.770614692653599</v>
      </c>
    </row>
    <row r="27366" spans="1:5">
      <c r="A27366" t="s">
        <v>31848</v>
      </c>
      <c r="B27366" t="s">
        <v>31855</v>
      </c>
      <c r="C27366">
        <f>0</f>
        <v>0</v>
      </c>
      <c r="D27366">
        <v>0.92718828233799999</v>
      </c>
      <c r="E27366">
        <v>18.770614692653599</v>
      </c>
    </row>
    <row r="27367" spans="1:5">
      <c r="A27367" t="s">
        <v>31848</v>
      </c>
      <c r="B27367" t="s">
        <v>31856</v>
      </c>
      <c r="C27367">
        <v>0</v>
      </c>
      <c r="D27367">
        <v>0.92718828233799999</v>
      </c>
      <c r="E27367">
        <v>18.770614692653599</v>
      </c>
    </row>
    <row r="27368" spans="1:5">
      <c r="A27368" t="s">
        <v>31857</v>
      </c>
      <c r="B27368" t="s">
        <v>31858</v>
      </c>
      <c r="C27368">
        <v>0</v>
      </c>
      <c r="D27368">
        <v>0.75634311310900004</v>
      </c>
      <c r="E27368">
        <v>3.40629685157421</v>
      </c>
    </row>
    <row r="27369" spans="1:5">
      <c r="A27369" t="s">
        <v>31857</v>
      </c>
      <c r="B27369" t="s">
        <v>31859</v>
      </c>
      <c r="C27369">
        <f>0.0123837619526</f>
        <v>1.2383761952600001E-2</v>
      </c>
      <c r="D27369">
        <v>0.75634311310900004</v>
      </c>
      <c r="E27369">
        <v>3.40629685157421</v>
      </c>
    </row>
    <row r="27370" spans="1:5">
      <c r="A27370" t="s">
        <v>31857</v>
      </c>
      <c r="B27370" t="s">
        <v>31860</v>
      </c>
      <c r="C27370">
        <v>0</v>
      </c>
      <c r="D27370">
        <v>0.75634311310900004</v>
      </c>
      <c r="E27370">
        <v>3.40629685157421</v>
      </c>
    </row>
    <row r="27371" spans="1:5">
      <c r="A27371" t="s">
        <v>31857</v>
      </c>
      <c r="B27371" t="s">
        <v>31861</v>
      </c>
      <c r="C27371">
        <f>0</f>
        <v>0</v>
      </c>
      <c r="D27371">
        <v>0.75634311310900004</v>
      </c>
      <c r="E27371">
        <v>3.40629685157421</v>
      </c>
    </row>
    <row r="27372" spans="1:5">
      <c r="A27372" t="s">
        <v>31857</v>
      </c>
      <c r="B27372" t="s">
        <v>31862</v>
      </c>
      <c r="C27372">
        <v>0</v>
      </c>
      <c r="D27372">
        <v>0.75634311310900004</v>
      </c>
      <c r="E27372">
        <v>3.40629685157421</v>
      </c>
    </row>
    <row r="27373" spans="1:5">
      <c r="A27373" t="s">
        <v>31857</v>
      </c>
      <c r="B27373" t="s">
        <v>31863</v>
      </c>
      <c r="C27373">
        <v>8.2548850581199998E-2</v>
      </c>
      <c r="D27373">
        <v>0.75634311310900004</v>
      </c>
      <c r="E27373">
        <v>3.40629685157421</v>
      </c>
    </row>
    <row r="27374" spans="1:5">
      <c r="A27374" t="s">
        <v>31857</v>
      </c>
      <c r="B27374" t="s">
        <v>31864</v>
      </c>
      <c r="C27374">
        <v>0</v>
      </c>
      <c r="D27374">
        <v>0.75634311310900004</v>
      </c>
      <c r="E27374">
        <v>3.40629685157421</v>
      </c>
    </row>
    <row r="27375" spans="1:5">
      <c r="A27375" t="s">
        <v>31857</v>
      </c>
      <c r="B27375" t="s">
        <v>31865</v>
      </c>
      <c r="C27375">
        <v>0</v>
      </c>
      <c r="D27375">
        <v>0.75634311310900004</v>
      </c>
      <c r="E27375">
        <v>3.40629685157421</v>
      </c>
    </row>
    <row r="27376" spans="1:5">
      <c r="A27376" t="s">
        <v>31857</v>
      </c>
      <c r="B27376" t="s">
        <v>31866</v>
      </c>
      <c r="C27376">
        <v>0</v>
      </c>
      <c r="D27376">
        <v>0.75634311310900004</v>
      </c>
      <c r="E27376">
        <v>3.40629685157421</v>
      </c>
    </row>
    <row r="27377" spans="1:5">
      <c r="A27377" t="s">
        <v>31857</v>
      </c>
      <c r="B27377" t="s">
        <v>31867</v>
      </c>
      <c r="C27377">
        <v>0</v>
      </c>
      <c r="D27377">
        <v>0.75634311310900004</v>
      </c>
      <c r="E27377">
        <v>3.40629685157421</v>
      </c>
    </row>
    <row r="27378" spans="1:5">
      <c r="A27378" t="s">
        <v>31868</v>
      </c>
      <c r="B27378" t="s">
        <v>31869</v>
      </c>
      <c r="C27378">
        <v>0</v>
      </c>
      <c r="D27378">
        <v>0.82287969405799999</v>
      </c>
      <c r="E27378">
        <v>6.0569715142428704</v>
      </c>
    </row>
    <row r="27379" spans="1:5">
      <c r="A27379" t="s">
        <v>31868</v>
      </c>
      <c r="B27379" t="s">
        <v>31870</v>
      </c>
      <c r="C27379">
        <f>0</f>
        <v>0</v>
      </c>
      <c r="D27379">
        <v>0.82287969405799999</v>
      </c>
      <c r="E27379">
        <v>6.0569715142428704</v>
      </c>
    </row>
    <row r="27380" spans="1:5">
      <c r="A27380" t="s">
        <v>31868</v>
      </c>
      <c r="B27380" t="s">
        <v>31871</v>
      </c>
      <c r="C27380">
        <f>0.00422073004774</f>
        <v>4.2207300477400001E-3</v>
      </c>
      <c r="D27380">
        <v>0.82287969405799999</v>
      </c>
      <c r="E27380">
        <v>6.0569715142428704</v>
      </c>
    </row>
    <row r="27381" spans="1:5">
      <c r="A27381" t="s">
        <v>31868</v>
      </c>
      <c r="B27381" t="s">
        <v>31872</v>
      </c>
      <c r="C27381">
        <f>0</f>
        <v>0</v>
      </c>
      <c r="D27381">
        <v>0.82287969405799999</v>
      </c>
      <c r="E27381">
        <v>6.0569715142428704</v>
      </c>
    </row>
    <row r="27382" spans="1:5">
      <c r="A27382" t="s">
        <v>31868</v>
      </c>
      <c r="B27382" t="s">
        <v>31873</v>
      </c>
      <c r="C27382">
        <f>0</f>
        <v>0</v>
      </c>
      <c r="D27382">
        <v>0.82287969405799999</v>
      </c>
      <c r="E27382">
        <v>6.0569715142428704</v>
      </c>
    </row>
    <row r="27383" spans="1:5">
      <c r="A27383" t="s">
        <v>31868</v>
      </c>
      <c r="B27383" t="s">
        <v>31874</v>
      </c>
      <c r="C27383">
        <f>0</f>
        <v>0</v>
      </c>
      <c r="D27383">
        <v>0.82287969405799999</v>
      </c>
      <c r="E27383">
        <v>6.0569715142428704</v>
      </c>
    </row>
    <row r="27384" spans="1:5">
      <c r="A27384" t="s">
        <v>31868</v>
      </c>
      <c r="B27384" t="s">
        <v>31875</v>
      </c>
      <c r="C27384">
        <f>0</f>
        <v>0</v>
      </c>
      <c r="D27384">
        <v>0.82287969405799999</v>
      </c>
      <c r="E27384">
        <v>6.0569715142428704</v>
      </c>
    </row>
    <row r="27385" spans="1:5">
      <c r="A27385" t="s">
        <v>31868</v>
      </c>
      <c r="B27385" t="s">
        <v>31876</v>
      </c>
      <c r="C27385">
        <v>3.4858859685200001E-3</v>
      </c>
      <c r="D27385">
        <v>0.82287969405799999</v>
      </c>
      <c r="E27385">
        <v>6.0569715142428704</v>
      </c>
    </row>
    <row r="27386" spans="1:5">
      <c r="A27386" t="s">
        <v>31868</v>
      </c>
      <c r="B27386" t="s">
        <v>31877</v>
      </c>
      <c r="C27386">
        <f>0</f>
        <v>0</v>
      </c>
      <c r="D27386">
        <v>0.82287969405799999</v>
      </c>
      <c r="E27386">
        <v>6.0569715142428704</v>
      </c>
    </row>
    <row r="27387" spans="1:5">
      <c r="A27387" t="s">
        <v>31868</v>
      </c>
      <c r="B27387" t="s">
        <v>31878</v>
      </c>
      <c r="C27387">
        <f>0</f>
        <v>0</v>
      </c>
      <c r="D27387">
        <v>0.82287969405799999</v>
      </c>
      <c r="E27387">
        <v>6.0569715142428704</v>
      </c>
    </row>
    <row r="27388" spans="1:5">
      <c r="A27388" t="s">
        <v>31879</v>
      </c>
      <c r="B27388" t="s">
        <v>31880</v>
      </c>
      <c r="C27388">
        <v>0</v>
      </c>
      <c r="D27388" t="s">
        <v>106</v>
      </c>
      <c r="E27388">
        <v>4.4737631184407798</v>
      </c>
    </row>
    <row r="27389" spans="1:5">
      <c r="A27389" t="s">
        <v>31879</v>
      </c>
      <c r="B27389" t="s">
        <v>31881</v>
      </c>
      <c r="C27389">
        <v>0</v>
      </c>
      <c r="D27389" t="s">
        <v>106</v>
      </c>
      <c r="E27389">
        <v>4.4737631184407798</v>
      </c>
    </row>
    <row r="27390" spans="1:5">
      <c r="A27390" t="s">
        <v>31879</v>
      </c>
      <c r="B27390" t="s">
        <v>31882</v>
      </c>
      <c r="C27390">
        <v>6.5826384347200007E-2</v>
      </c>
      <c r="D27390" t="s">
        <v>106</v>
      </c>
      <c r="E27390">
        <v>4.4737631184407798</v>
      </c>
    </row>
    <row r="27391" spans="1:5">
      <c r="A27391" t="s">
        <v>31879</v>
      </c>
      <c r="B27391" t="s">
        <v>31883</v>
      </c>
      <c r="C27391">
        <v>4.7729876966999998E-2</v>
      </c>
      <c r="D27391" t="s">
        <v>106</v>
      </c>
      <c r="E27391">
        <v>4.4737631184407798</v>
      </c>
    </row>
    <row r="27392" spans="1:5">
      <c r="A27392" t="s">
        <v>31884</v>
      </c>
      <c r="B27392" t="s">
        <v>31885</v>
      </c>
      <c r="C27392">
        <f>0.51837595458</f>
        <v>0.51837595457999996</v>
      </c>
      <c r="D27392">
        <v>0.97616339017300002</v>
      </c>
      <c r="E27392">
        <v>0.40779610194902499</v>
      </c>
    </row>
    <row r="27393" spans="1:5">
      <c r="A27393" t="s">
        <v>31884</v>
      </c>
      <c r="B27393" t="s">
        <v>31886</v>
      </c>
      <c r="C27393">
        <f>0.0263689258981</f>
        <v>2.6368925898099999E-2</v>
      </c>
      <c r="D27393">
        <v>0.97616339017300002</v>
      </c>
      <c r="E27393">
        <v>0.40779610194902499</v>
      </c>
    </row>
    <row r="27394" spans="1:5">
      <c r="A27394" t="s">
        <v>31884</v>
      </c>
      <c r="B27394" t="s">
        <v>31887</v>
      </c>
      <c r="C27394">
        <f>0.512111621246</f>
        <v>0.51211162124599996</v>
      </c>
      <c r="D27394">
        <v>0.97616339017300002</v>
      </c>
      <c r="E27394">
        <v>0.40779610194902499</v>
      </c>
    </row>
    <row r="27395" spans="1:5">
      <c r="A27395" t="s">
        <v>31888</v>
      </c>
      <c r="B27395" t="s">
        <v>31889</v>
      </c>
      <c r="C27395">
        <v>0</v>
      </c>
      <c r="D27395" t="s">
        <v>106</v>
      </c>
      <c r="E27395">
        <v>18.1349325337331</v>
      </c>
    </row>
    <row r="27396" spans="1:5">
      <c r="A27396" t="s">
        <v>31888</v>
      </c>
      <c r="B27396" t="s">
        <v>31890</v>
      </c>
      <c r="C27396">
        <f>0</f>
        <v>0</v>
      </c>
      <c r="D27396" t="s">
        <v>106</v>
      </c>
      <c r="E27396">
        <v>18.1349325337331</v>
      </c>
    </row>
    <row r="27397" spans="1:5">
      <c r="A27397" t="s">
        <v>31888</v>
      </c>
      <c r="B27397" t="s">
        <v>31891</v>
      </c>
      <c r="C27397">
        <v>1.38849483677E-2</v>
      </c>
      <c r="D27397" t="s">
        <v>106</v>
      </c>
      <c r="E27397">
        <v>18.1349325337331</v>
      </c>
    </row>
    <row r="27398" spans="1:5">
      <c r="A27398" t="s">
        <v>31888</v>
      </c>
      <c r="B27398" t="s">
        <v>31892</v>
      </c>
      <c r="C27398">
        <v>0</v>
      </c>
      <c r="D27398" t="s">
        <v>106</v>
      </c>
      <c r="E27398">
        <v>18.1349325337331</v>
      </c>
    </row>
    <row r="27399" spans="1:5">
      <c r="A27399" t="s">
        <v>31888</v>
      </c>
      <c r="B27399" t="s">
        <v>31893</v>
      </c>
      <c r="C27399">
        <f>0</f>
        <v>0</v>
      </c>
      <c r="D27399" t="s">
        <v>106</v>
      </c>
      <c r="E27399">
        <v>18.1349325337331</v>
      </c>
    </row>
    <row r="27400" spans="1:5">
      <c r="A27400" t="s">
        <v>31888</v>
      </c>
      <c r="B27400" t="s">
        <v>31894</v>
      </c>
      <c r="C27400">
        <f>0.12594496277</f>
        <v>0.12594496277</v>
      </c>
      <c r="D27400" t="s">
        <v>106</v>
      </c>
      <c r="E27400">
        <v>18.1349325337331</v>
      </c>
    </row>
    <row r="27401" spans="1:5">
      <c r="A27401" t="s">
        <v>31888</v>
      </c>
      <c r="B27401" t="s">
        <v>31895</v>
      </c>
      <c r="C27401">
        <f>0</f>
        <v>0</v>
      </c>
      <c r="D27401" t="s">
        <v>106</v>
      </c>
      <c r="E27401">
        <v>18.1349325337331</v>
      </c>
    </row>
    <row r="27402" spans="1:5">
      <c r="A27402" t="s">
        <v>31888</v>
      </c>
      <c r="B27402" t="s">
        <v>31896</v>
      </c>
      <c r="C27402">
        <v>0</v>
      </c>
      <c r="D27402" t="s">
        <v>106</v>
      </c>
      <c r="E27402">
        <v>18.1349325337331</v>
      </c>
    </row>
    <row r="27403" spans="1:5">
      <c r="A27403" t="s">
        <v>31897</v>
      </c>
      <c r="B27403" t="s">
        <v>31898</v>
      </c>
      <c r="C27403">
        <f>0.00353236654434</f>
        <v>3.53236654434E-3</v>
      </c>
      <c r="D27403">
        <v>0.93867514839300004</v>
      </c>
      <c r="E27403">
        <v>6.0569715142428704</v>
      </c>
    </row>
    <row r="27404" spans="1:5">
      <c r="A27404" t="s">
        <v>31897</v>
      </c>
      <c r="B27404" t="s">
        <v>31899</v>
      </c>
      <c r="C27404">
        <v>0</v>
      </c>
      <c r="D27404">
        <v>0.93867514839300004</v>
      </c>
      <c r="E27404">
        <v>6.0569715142428704</v>
      </c>
    </row>
    <row r="27405" spans="1:5">
      <c r="A27405" t="s">
        <v>31897</v>
      </c>
      <c r="B27405" t="s">
        <v>31900</v>
      </c>
      <c r="C27405">
        <f>0.024467114623</f>
        <v>2.4467114623E-2</v>
      </c>
      <c r="D27405">
        <v>0.93867514839300004</v>
      </c>
      <c r="E27405">
        <v>6.0569715142428704</v>
      </c>
    </row>
    <row r="27406" spans="1:5">
      <c r="A27406" t="s">
        <v>31901</v>
      </c>
      <c r="B27406" t="s">
        <v>31902</v>
      </c>
      <c r="C27406">
        <v>0</v>
      </c>
      <c r="D27406" t="s">
        <v>106</v>
      </c>
      <c r="E27406">
        <v>17.103448275862</v>
      </c>
    </row>
    <row r="27407" spans="1:5">
      <c r="A27407" t="s">
        <v>31901</v>
      </c>
      <c r="B27407" t="s">
        <v>31903</v>
      </c>
      <c r="C27407">
        <v>0</v>
      </c>
      <c r="D27407" t="s">
        <v>106</v>
      </c>
      <c r="E27407">
        <v>17.103448275862</v>
      </c>
    </row>
    <row r="27408" spans="1:5">
      <c r="A27408" t="s">
        <v>31901</v>
      </c>
      <c r="B27408" t="s">
        <v>31904</v>
      </c>
      <c r="C27408">
        <f>0</f>
        <v>0</v>
      </c>
      <c r="D27408" t="s">
        <v>106</v>
      </c>
      <c r="E27408">
        <v>17.103448275862</v>
      </c>
    </row>
    <row r="27409" spans="1:5">
      <c r="A27409" t="s">
        <v>31901</v>
      </c>
      <c r="B27409" t="s">
        <v>31905</v>
      </c>
      <c r="C27409">
        <f>0</f>
        <v>0</v>
      </c>
      <c r="D27409" t="s">
        <v>106</v>
      </c>
      <c r="E27409">
        <v>17.103448275862</v>
      </c>
    </row>
    <row r="27410" spans="1:5">
      <c r="A27410" t="s">
        <v>31901</v>
      </c>
      <c r="B27410" t="s">
        <v>31906</v>
      </c>
      <c r="C27410">
        <v>0</v>
      </c>
      <c r="D27410" t="s">
        <v>106</v>
      </c>
      <c r="E27410">
        <v>17.103448275862</v>
      </c>
    </row>
    <row r="27411" spans="1:5">
      <c r="A27411" t="s">
        <v>31901</v>
      </c>
      <c r="B27411" t="s">
        <v>31907</v>
      </c>
      <c r="C27411">
        <v>0</v>
      </c>
      <c r="D27411" t="s">
        <v>106</v>
      </c>
      <c r="E27411">
        <v>17.103448275862</v>
      </c>
    </row>
    <row r="27412" spans="1:5">
      <c r="A27412" t="s">
        <v>31901</v>
      </c>
      <c r="B27412" t="s">
        <v>31908</v>
      </c>
      <c r="C27412">
        <f>0</f>
        <v>0</v>
      </c>
      <c r="D27412" t="s">
        <v>106</v>
      </c>
      <c r="E27412">
        <v>17.103448275862</v>
      </c>
    </row>
    <row r="27413" spans="1:5">
      <c r="A27413" t="s">
        <v>31909</v>
      </c>
      <c r="B27413" t="s">
        <v>31910</v>
      </c>
      <c r="C27413">
        <v>0</v>
      </c>
      <c r="D27413" t="s">
        <v>106</v>
      </c>
      <c r="E27413">
        <v>2.0989505247376301</v>
      </c>
    </row>
    <row r="27414" spans="1:5">
      <c r="A27414" t="s">
        <v>31909</v>
      </c>
      <c r="B27414" t="s">
        <v>31911</v>
      </c>
      <c r="C27414">
        <v>0</v>
      </c>
      <c r="D27414" t="s">
        <v>106</v>
      </c>
      <c r="E27414">
        <v>2.0989505247376301</v>
      </c>
    </row>
    <row r="27415" spans="1:5">
      <c r="A27415" t="s">
        <v>31909</v>
      </c>
      <c r="B27415" t="s">
        <v>31912</v>
      </c>
      <c r="C27415">
        <v>0</v>
      </c>
      <c r="D27415" t="s">
        <v>106</v>
      </c>
      <c r="E27415">
        <v>2.0989505247376301</v>
      </c>
    </row>
    <row r="27416" spans="1:5">
      <c r="A27416" t="s">
        <v>31909</v>
      </c>
      <c r="B27416" t="s">
        <v>31913</v>
      </c>
      <c r="C27416">
        <f>0</f>
        <v>0</v>
      </c>
      <c r="D27416" t="s">
        <v>106</v>
      </c>
      <c r="E27416">
        <v>2.0989505247376301</v>
      </c>
    </row>
    <row r="27417" spans="1:5">
      <c r="A27417" t="s">
        <v>31909</v>
      </c>
      <c r="B27417" t="s">
        <v>31914</v>
      </c>
      <c r="C27417">
        <v>0</v>
      </c>
      <c r="D27417" t="s">
        <v>106</v>
      </c>
      <c r="E27417">
        <v>2.0989505247376301</v>
      </c>
    </row>
    <row r="27418" spans="1:5">
      <c r="A27418" t="s">
        <v>31915</v>
      </c>
      <c r="B27418" t="s">
        <v>31916</v>
      </c>
      <c r="C27418">
        <f>0</f>
        <v>0</v>
      </c>
      <c r="D27418" t="s">
        <v>106</v>
      </c>
      <c r="E27418">
        <v>11.202398800599701</v>
      </c>
    </row>
    <row r="27419" spans="1:5">
      <c r="A27419" t="s">
        <v>31915</v>
      </c>
      <c r="B27419" t="s">
        <v>31917</v>
      </c>
      <c r="C27419">
        <v>0</v>
      </c>
      <c r="D27419" t="s">
        <v>106</v>
      </c>
      <c r="E27419">
        <v>11.202398800599701</v>
      </c>
    </row>
    <row r="27420" spans="1:5">
      <c r="A27420" t="s">
        <v>31915</v>
      </c>
      <c r="B27420" t="s">
        <v>31918</v>
      </c>
      <c r="C27420">
        <f>0</f>
        <v>0</v>
      </c>
      <c r="D27420" t="s">
        <v>106</v>
      </c>
      <c r="E27420">
        <v>11.202398800599701</v>
      </c>
    </row>
    <row r="27421" spans="1:5">
      <c r="A27421" t="s">
        <v>31915</v>
      </c>
      <c r="B27421" t="s">
        <v>31919</v>
      </c>
      <c r="C27421">
        <f>0</f>
        <v>0</v>
      </c>
      <c r="D27421" t="s">
        <v>106</v>
      </c>
      <c r="E27421">
        <v>11.202398800599701</v>
      </c>
    </row>
    <row r="27422" spans="1:5">
      <c r="A27422" t="s">
        <v>31915</v>
      </c>
      <c r="B27422" t="s">
        <v>31920</v>
      </c>
      <c r="C27422">
        <v>0</v>
      </c>
      <c r="D27422" t="s">
        <v>106</v>
      </c>
      <c r="E27422">
        <v>11.202398800599701</v>
      </c>
    </row>
    <row r="27423" spans="1:5">
      <c r="A27423" t="s">
        <v>31915</v>
      </c>
      <c r="B27423" t="s">
        <v>31921</v>
      </c>
      <c r="C27423">
        <v>0</v>
      </c>
      <c r="D27423" t="s">
        <v>106</v>
      </c>
      <c r="E27423">
        <v>11.202398800599701</v>
      </c>
    </row>
    <row r="27424" spans="1:5">
      <c r="A27424" t="s">
        <v>31922</v>
      </c>
      <c r="B27424" t="s">
        <v>31923</v>
      </c>
      <c r="C27424">
        <v>0</v>
      </c>
      <c r="D27424" t="s">
        <v>106</v>
      </c>
      <c r="E27424">
        <v>4.3778110944527704</v>
      </c>
    </row>
    <row r="27425" spans="1:5">
      <c r="A27425" t="s">
        <v>31922</v>
      </c>
      <c r="B27425" t="s">
        <v>31924</v>
      </c>
      <c r="C27425">
        <v>0</v>
      </c>
      <c r="D27425" t="s">
        <v>106</v>
      </c>
      <c r="E27425">
        <v>4.3778110944527704</v>
      </c>
    </row>
    <row r="27426" spans="1:5">
      <c r="A27426" t="s">
        <v>31922</v>
      </c>
      <c r="B27426" t="s">
        <v>31925</v>
      </c>
      <c r="C27426">
        <v>0</v>
      </c>
      <c r="D27426" t="s">
        <v>106</v>
      </c>
      <c r="E27426">
        <v>4.3778110944527704</v>
      </c>
    </row>
    <row r="27427" spans="1:5">
      <c r="A27427" t="s">
        <v>31926</v>
      </c>
      <c r="B27427" t="s">
        <v>31927</v>
      </c>
      <c r="C27427">
        <v>0</v>
      </c>
      <c r="D27427" t="s">
        <v>106</v>
      </c>
      <c r="E27427">
        <v>3.40629685157421</v>
      </c>
    </row>
    <row r="27428" spans="1:5">
      <c r="A27428" t="s">
        <v>31926</v>
      </c>
      <c r="B27428" t="s">
        <v>31928</v>
      </c>
      <c r="C27428">
        <f>0</f>
        <v>0</v>
      </c>
      <c r="D27428" t="s">
        <v>106</v>
      </c>
      <c r="E27428">
        <v>3.40629685157421</v>
      </c>
    </row>
    <row r="27429" spans="1:5">
      <c r="A27429" t="s">
        <v>31926</v>
      </c>
      <c r="B27429" t="s">
        <v>31929</v>
      </c>
      <c r="C27429">
        <v>0</v>
      </c>
      <c r="D27429" t="s">
        <v>106</v>
      </c>
      <c r="E27429">
        <v>3.40629685157421</v>
      </c>
    </row>
    <row r="27430" spans="1:5">
      <c r="A27430" t="s">
        <v>31926</v>
      </c>
      <c r="B27430" t="s">
        <v>31930</v>
      </c>
      <c r="C27430">
        <f>0</f>
        <v>0</v>
      </c>
      <c r="D27430" t="s">
        <v>106</v>
      </c>
      <c r="E27430">
        <v>3.40629685157421</v>
      </c>
    </row>
    <row r="27431" spans="1:5">
      <c r="A27431" t="s">
        <v>31926</v>
      </c>
      <c r="B27431" t="s">
        <v>31931</v>
      </c>
      <c r="C27431">
        <v>0</v>
      </c>
      <c r="D27431" t="s">
        <v>106</v>
      </c>
      <c r="E27431">
        <v>3.40629685157421</v>
      </c>
    </row>
    <row r="27432" spans="1:5">
      <c r="A27432" t="s">
        <v>31926</v>
      </c>
      <c r="B27432" t="s">
        <v>31932</v>
      </c>
      <c r="C27432">
        <v>0</v>
      </c>
      <c r="D27432" t="s">
        <v>106</v>
      </c>
      <c r="E27432">
        <v>3.40629685157421</v>
      </c>
    </row>
    <row r="27433" spans="1:5">
      <c r="A27433" t="s">
        <v>31926</v>
      </c>
      <c r="B27433" t="s">
        <v>31933</v>
      </c>
      <c r="C27433">
        <v>0</v>
      </c>
      <c r="D27433" t="s">
        <v>106</v>
      </c>
      <c r="E27433">
        <v>3.40629685157421</v>
      </c>
    </row>
    <row r="27434" spans="1:5">
      <c r="A27434" t="s">
        <v>31926</v>
      </c>
      <c r="B27434" t="s">
        <v>31934</v>
      </c>
      <c r="C27434">
        <v>0</v>
      </c>
      <c r="D27434" t="s">
        <v>106</v>
      </c>
      <c r="E27434">
        <v>3.40629685157421</v>
      </c>
    </row>
    <row r="27435" spans="1:5">
      <c r="A27435" t="s">
        <v>31926</v>
      </c>
      <c r="B27435" t="s">
        <v>31935</v>
      </c>
      <c r="C27435">
        <v>0</v>
      </c>
      <c r="D27435" t="s">
        <v>106</v>
      </c>
      <c r="E27435">
        <v>3.40629685157421</v>
      </c>
    </row>
    <row r="27436" spans="1:5">
      <c r="A27436" t="s">
        <v>31926</v>
      </c>
      <c r="B27436" t="s">
        <v>31936</v>
      </c>
      <c r="C27436">
        <v>0.30931643240399997</v>
      </c>
      <c r="D27436" t="s">
        <v>106</v>
      </c>
      <c r="E27436">
        <v>3.40629685157421</v>
      </c>
    </row>
    <row r="27437" spans="1:5">
      <c r="A27437" t="s">
        <v>31926</v>
      </c>
      <c r="B27437" t="s">
        <v>31937</v>
      </c>
      <c r="C27437">
        <v>0</v>
      </c>
      <c r="D27437" t="s">
        <v>106</v>
      </c>
      <c r="E27437">
        <v>3.40629685157421</v>
      </c>
    </row>
    <row r="27438" spans="1:5">
      <c r="A27438" t="s">
        <v>31926</v>
      </c>
      <c r="B27438" t="s">
        <v>31938</v>
      </c>
      <c r="C27438">
        <v>0</v>
      </c>
      <c r="D27438" t="s">
        <v>106</v>
      </c>
      <c r="E27438">
        <v>3.40629685157421</v>
      </c>
    </row>
    <row r="27439" spans="1:5">
      <c r="A27439" t="s">
        <v>31926</v>
      </c>
      <c r="B27439" t="s">
        <v>31939</v>
      </c>
      <c r="C27439">
        <v>0.29650016946300001</v>
      </c>
      <c r="D27439" t="s">
        <v>106</v>
      </c>
      <c r="E27439">
        <v>3.40629685157421</v>
      </c>
    </row>
    <row r="27440" spans="1:5">
      <c r="A27440" t="s">
        <v>31940</v>
      </c>
      <c r="B27440" t="s">
        <v>31941</v>
      </c>
      <c r="C27440">
        <v>0</v>
      </c>
      <c r="D27440">
        <v>0.97691850735200003</v>
      </c>
      <c r="E27440">
        <v>6.1769115442278801</v>
      </c>
    </row>
    <row r="27441" spans="1:5">
      <c r="A27441" t="s">
        <v>31940</v>
      </c>
      <c r="B27441" t="s">
        <v>31942</v>
      </c>
      <c r="C27441">
        <f>0</f>
        <v>0</v>
      </c>
      <c r="D27441">
        <v>0.97691850735200003</v>
      </c>
      <c r="E27441">
        <v>6.1769115442278801</v>
      </c>
    </row>
    <row r="27442" spans="1:5">
      <c r="A27442" t="s">
        <v>31940</v>
      </c>
      <c r="B27442" t="s">
        <v>31943</v>
      </c>
      <c r="C27442">
        <v>0</v>
      </c>
      <c r="D27442">
        <v>0.97691850735200003</v>
      </c>
      <c r="E27442">
        <v>6.1769115442278801</v>
      </c>
    </row>
    <row r="27443" spans="1:5">
      <c r="A27443" t="s">
        <v>31940</v>
      </c>
      <c r="B27443" t="s">
        <v>31944</v>
      </c>
      <c r="C27443">
        <v>0</v>
      </c>
      <c r="D27443">
        <v>0.97691850735200003</v>
      </c>
      <c r="E27443">
        <v>6.1769115442278801</v>
      </c>
    </row>
    <row r="27444" spans="1:5">
      <c r="A27444" t="s">
        <v>31940</v>
      </c>
      <c r="B27444" t="s">
        <v>31945</v>
      </c>
      <c r="C27444">
        <f>0</f>
        <v>0</v>
      </c>
      <c r="D27444">
        <v>0.97691850735200003</v>
      </c>
      <c r="E27444">
        <v>6.1769115442278801</v>
      </c>
    </row>
    <row r="27445" spans="1:5">
      <c r="A27445" t="s">
        <v>31946</v>
      </c>
      <c r="B27445" t="s">
        <v>31947</v>
      </c>
      <c r="C27445">
        <v>0</v>
      </c>
      <c r="D27445" t="s">
        <v>106</v>
      </c>
      <c r="E27445">
        <v>8.8635682158920499</v>
      </c>
    </row>
    <row r="27446" spans="1:5">
      <c r="A27446" t="s">
        <v>31946</v>
      </c>
      <c r="B27446" t="s">
        <v>31948</v>
      </c>
      <c r="C27446">
        <v>0</v>
      </c>
      <c r="D27446" t="s">
        <v>106</v>
      </c>
      <c r="E27446">
        <v>8.8635682158920499</v>
      </c>
    </row>
    <row r="27447" spans="1:5">
      <c r="A27447" t="s">
        <v>31946</v>
      </c>
      <c r="B27447" t="s">
        <v>31949</v>
      </c>
      <c r="C27447">
        <v>0</v>
      </c>
      <c r="D27447" t="s">
        <v>106</v>
      </c>
      <c r="E27447">
        <v>8.8635682158920499</v>
      </c>
    </row>
    <row r="27448" spans="1:5">
      <c r="A27448" t="s">
        <v>31946</v>
      </c>
      <c r="B27448" t="s">
        <v>31950</v>
      </c>
      <c r="C27448">
        <v>0</v>
      </c>
      <c r="D27448" t="s">
        <v>106</v>
      </c>
      <c r="E27448">
        <v>8.8635682158920499</v>
      </c>
    </row>
    <row r="27449" spans="1:5">
      <c r="A27449" t="s">
        <v>31946</v>
      </c>
      <c r="B27449" t="s">
        <v>31951</v>
      </c>
      <c r="C27449">
        <v>0</v>
      </c>
      <c r="D27449" t="s">
        <v>106</v>
      </c>
      <c r="E27449">
        <v>8.8635682158920499</v>
      </c>
    </row>
    <row r="27450" spans="1:5">
      <c r="A27450" t="s">
        <v>31946</v>
      </c>
      <c r="B27450" t="s">
        <v>31952</v>
      </c>
      <c r="C27450">
        <v>0</v>
      </c>
      <c r="D27450" t="s">
        <v>106</v>
      </c>
      <c r="E27450">
        <v>8.8635682158920499</v>
      </c>
    </row>
    <row r="27451" spans="1:5">
      <c r="A27451" t="s">
        <v>31953</v>
      </c>
      <c r="B27451" t="s">
        <v>31954</v>
      </c>
      <c r="C27451">
        <v>8.6481426374699993E-2</v>
      </c>
      <c r="D27451">
        <v>0.67179126962500002</v>
      </c>
      <c r="E27451">
        <v>24</v>
      </c>
    </row>
    <row r="27452" spans="1:5">
      <c r="A27452" t="s">
        <v>31953</v>
      </c>
      <c r="B27452" t="s">
        <v>31955</v>
      </c>
      <c r="C27452">
        <f>0</f>
        <v>0</v>
      </c>
      <c r="D27452">
        <v>0.67179126962500002</v>
      </c>
      <c r="E27452">
        <v>24</v>
      </c>
    </row>
    <row r="27453" spans="1:5">
      <c r="A27453" t="s">
        <v>31953</v>
      </c>
      <c r="B27453" t="s">
        <v>31956</v>
      </c>
      <c r="C27453">
        <f>0</f>
        <v>0</v>
      </c>
      <c r="D27453">
        <v>0.67179126962500002</v>
      </c>
      <c r="E27453">
        <v>24</v>
      </c>
    </row>
    <row r="27454" spans="1:5">
      <c r="A27454" t="s">
        <v>31953</v>
      </c>
      <c r="B27454" t="s">
        <v>31957</v>
      </c>
      <c r="C27454">
        <v>0</v>
      </c>
      <c r="D27454">
        <v>0.67179126962500002</v>
      </c>
      <c r="E27454">
        <v>24</v>
      </c>
    </row>
    <row r="27455" spans="1:5">
      <c r="A27455" t="s">
        <v>31953</v>
      </c>
      <c r="B27455" t="s">
        <v>31958</v>
      </c>
      <c r="C27455">
        <f>0</f>
        <v>0</v>
      </c>
      <c r="D27455">
        <v>0.67179126962500002</v>
      </c>
      <c r="E27455">
        <v>24</v>
      </c>
    </row>
    <row r="27456" spans="1:5">
      <c r="A27456" t="s">
        <v>31953</v>
      </c>
      <c r="B27456" t="s">
        <v>31959</v>
      </c>
      <c r="C27456">
        <f>0</f>
        <v>0</v>
      </c>
      <c r="D27456">
        <v>0.67179126962500002</v>
      </c>
      <c r="E27456">
        <v>24</v>
      </c>
    </row>
    <row r="27457" spans="1:5">
      <c r="A27457" t="s">
        <v>31953</v>
      </c>
      <c r="B27457" t="s">
        <v>31960</v>
      </c>
      <c r="C27457">
        <f>0.00938111786142</f>
        <v>9.3811178614199991E-3</v>
      </c>
      <c r="D27457">
        <v>0.67179126962500002</v>
      </c>
      <c r="E27457">
        <v>24</v>
      </c>
    </row>
    <row r="27458" spans="1:5">
      <c r="A27458" t="s">
        <v>31953</v>
      </c>
      <c r="B27458" t="s">
        <v>31961</v>
      </c>
      <c r="C27458">
        <v>0</v>
      </c>
      <c r="D27458">
        <v>0.67179126962500002</v>
      </c>
      <c r="E27458">
        <v>24</v>
      </c>
    </row>
    <row r="27459" spans="1:5">
      <c r="A27459" t="s">
        <v>31962</v>
      </c>
      <c r="B27459" t="s">
        <v>31963</v>
      </c>
      <c r="C27459">
        <f>0</f>
        <v>0</v>
      </c>
      <c r="D27459" t="s">
        <v>106</v>
      </c>
      <c r="E27459">
        <v>3.13043478260869</v>
      </c>
    </row>
    <row r="27460" spans="1:5">
      <c r="A27460" t="s">
        <v>31962</v>
      </c>
      <c r="B27460" t="s">
        <v>31964</v>
      </c>
      <c r="C27460">
        <f>0</f>
        <v>0</v>
      </c>
      <c r="D27460" t="s">
        <v>106</v>
      </c>
      <c r="E27460">
        <v>3.13043478260869</v>
      </c>
    </row>
    <row r="27461" spans="1:5">
      <c r="A27461" t="s">
        <v>31962</v>
      </c>
      <c r="B27461" t="s">
        <v>31965</v>
      </c>
      <c r="C27461">
        <v>0</v>
      </c>
      <c r="D27461" t="s">
        <v>106</v>
      </c>
      <c r="E27461">
        <v>3.13043478260869</v>
      </c>
    </row>
    <row r="27462" spans="1:5">
      <c r="A27462" t="s">
        <v>31962</v>
      </c>
      <c r="B27462" t="s">
        <v>31966</v>
      </c>
      <c r="C27462">
        <v>0</v>
      </c>
      <c r="D27462" t="s">
        <v>106</v>
      </c>
      <c r="E27462">
        <v>3.13043478260869</v>
      </c>
    </row>
    <row r="27463" spans="1:5">
      <c r="A27463" t="s">
        <v>31962</v>
      </c>
      <c r="B27463" t="s">
        <v>31967</v>
      </c>
      <c r="C27463">
        <v>0</v>
      </c>
      <c r="D27463" t="s">
        <v>106</v>
      </c>
      <c r="E27463">
        <v>3.13043478260869</v>
      </c>
    </row>
    <row r="27464" spans="1:5">
      <c r="A27464" t="s">
        <v>31968</v>
      </c>
      <c r="B27464" t="s">
        <v>31969</v>
      </c>
      <c r="C27464">
        <v>0.29306744396000001</v>
      </c>
      <c r="D27464">
        <v>0.90796343874100005</v>
      </c>
      <c r="E27464">
        <v>13.445277361319301</v>
      </c>
    </row>
    <row r="27465" spans="1:5">
      <c r="A27465" t="s">
        <v>31970</v>
      </c>
      <c r="B27465" t="s">
        <v>31971</v>
      </c>
      <c r="C27465">
        <f>0</f>
        <v>0</v>
      </c>
      <c r="D27465">
        <v>0.961614157109</v>
      </c>
      <c r="E27465">
        <v>20.2938530734632</v>
      </c>
    </row>
    <row r="27466" spans="1:5">
      <c r="A27466" t="s">
        <v>31972</v>
      </c>
      <c r="B27466" t="s">
        <v>31973</v>
      </c>
      <c r="C27466">
        <v>0</v>
      </c>
      <c r="D27466">
        <v>0.700590484131</v>
      </c>
      <c r="E27466">
        <v>5.8170914542728598</v>
      </c>
    </row>
    <row r="27467" spans="1:5">
      <c r="A27467" t="s">
        <v>31972</v>
      </c>
      <c r="B27467" t="s">
        <v>31974</v>
      </c>
      <c r="C27467">
        <v>1.0550165947300001E-2</v>
      </c>
      <c r="D27467">
        <v>0.700590484131</v>
      </c>
      <c r="E27467">
        <v>5.8170914542728598</v>
      </c>
    </row>
    <row r="27468" spans="1:5">
      <c r="A27468" t="s">
        <v>31975</v>
      </c>
      <c r="B27468" t="s">
        <v>31976</v>
      </c>
      <c r="C27468">
        <v>6.9432470547399996E-2</v>
      </c>
      <c r="D27468">
        <v>0.90836673259699996</v>
      </c>
      <c r="E27468">
        <v>9.6191904047975996</v>
      </c>
    </row>
    <row r="27469" spans="1:5">
      <c r="A27469" t="s">
        <v>31975</v>
      </c>
      <c r="B27469" t="s">
        <v>31977</v>
      </c>
      <c r="C27469">
        <f>0.137881431246</f>
        <v>0.137881431246</v>
      </c>
      <c r="D27469">
        <v>0.90836673259699996</v>
      </c>
      <c r="E27469">
        <v>9.6191904047975996</v>
      </c>
    </row>
    <row r="27470" spans="1:5">
      <c r="A27470" t="s">
        <v>31975</v>
      </c>
      <c r="B27470" t="s">
        <v>31978</v>
      </c>
      <c r="C27470">
        <f>0</f>
        <v>0</v>
      </c>
      <c r="D27470">
        <v>0.90836673259699996</v>
      </c>
      <c r="E27470">
        <v>9.6191904047975996</v>
      </c>
    </row>
    <row r="27471" spans="1:5">
      <c r="A27471" t="s">
        <v>31979</v>
      </c>
      <c r="B27471" t="s">
        <v>31980</v>
      </c>
      <c r="C27471">
        <f>0</f>
        <v>0</v>
      </c>
      <c r="D27471" t="s">
        <v>106</v>
      </c>
      <c r="E27471">
        <v>4.3778110944527704</v>
      </c>
    </row>
    <row r="27472" spans="1:5">
      <c r="A27472" t="s">
        <v>31981</v>
      </c>
      <c r="B27472" t="s">
        <v>31982</v>
      </c>
      <c r="C27472">
        <f>0</f>
        <v>0</v>
      </c>
      <c r="D27472">
        <v>0.607221176674</v>
      </c>
      <c r="E27472">
        <v>5.4692653673163401</v>
      </c>
    </row>
    <row r="27473" spans="1:5">
      <c r="A27473" t="s">
        <v>31981</v>
      </c>
      <c r="B27473" t="s">
        <v>31983</v>
      </c>
      <c r="C27473">
        <v>0</v>
      </c>
      <c r="D27473">
        <v>0.607221176674</v>
      </c>
      <c r="E27473">
        <v>5.4692653673163401</v>
      </c>
    </row>
    <row r="27474" spans="1:5">
      <c r="A27474" t="s">
        <v>31981</v>
      </c>
      <c r="B27474" t="s">
        <v>31984</v>
      </c>
      <c r="C27474">
        <v>0</v>
      </c>
      <c r="D27474">
        <v>0.607221176674</v>
      </c>
      <c r="E27474">
        <v>5.4692653673163401</v>
      </c>
    </row>
    <row r="27475" spans="1:5">
      <c r="A27475" t="s">
        <v>31981</v>
      </c>
      <c r="B27475" t="s">
        <v>31985</v>
      </c>
      <c r="C27475">
        <f>0</f>
        <v>0</v>
      </c>
      <c r="D27475">
        <v>0.607221176674</v>
      </c>
      <c r="E27475">
        <v>5.4692653673163401</v>
      </c>
    </row>
    <row r="27476" spans="1:5">
      <c r="A27476" t="s">
        <v>31981</v>
      </c>
      <c r="B27476" t="s">
        <v>31986</v>
      </c>
      <c r="C27476">
        <f>0</f>
        <v>0</v>
      </c>
      <c r="D27476">
        <v>0.607221176674</v>
      </c>
      <c r="E27476">
        <v>5.4692653673163401</v>
      </c>
    </row>
    <row r="27477" spans="1:5">
      <c r="A27477" t="s">
        <v>31981</v>
      </c>
      <c r="B27477" t="s">
        <v>31987</v>
      </c>
      <c r="C27477">
        <f>0</f>
        <v>0</v>
      </c>
      <c r="D27477">
        <v>0.607221176674</v>
      </c>
      <c r="E27477">
        <v>5.4692653673163401</v>
      </c>
    </row>
    <row r="27478" spans="1:5">
      <c r="A27478" t="s">
        <v>31981</v>
      </c>
      <c r="B27478" t="s">
        <v>31988</v>
      </c>
      <c r="C27478">
        <f>0</f>
        <v>0</v>
      </c>
      <c r="D27478">
        <v>0.607221176674</v>
      </c>
      <c r="E27478">
        <v>5.4692653673163401</v>
      </c>
    </row>
    <row r="27479" spans="1:5">
      <c r="A27479" t="s">
        <v>31981</v>
      </c>
      <c r="B27479" t="s">
        <v>31989</v>
      </c>
      <c r="C27479">
        <f>0</f>
        <v>0</v>
      </c>
      <c r="D27479">
        <v>0.607221176674</v>
      </c>
      <c r="E27479">
        <v>5.4692653673163401</v>
      </c>
    </row>
    <row r="27480" spans="1:5">
      <c r="A27480" t="s">
        <v>31981</v>
      </c>
      <c r="B27480" t="s">
        <v>31990</v>
      </c>
      <c r="C27480">
        <f>0</f>
        <v>0</v>
      </c>
      <c r="D27480">
        <v>0.607221176674</v>
      </c>
      <c r="E27480">
        <v>5.4692653673163401</v>
      </c>
    </row>
    <row r="27481" spans="1:5">
      <c r="A27481" t="s">
        <v>31981</v>
      </c>
      <c r="B27481" t="s">
        <v>31991</v>
      </c>
      <c r="C27481">
        <v>0</v>
      </c>
      <c r="D27481">
        <v>0.607221176674</v>
      </c>
      <c r="E27481">
        <v>5.4692653673163401</v>
      </c>
    </row>
    <row r="27482" spans="1:5">
      <c r="A27482" t="s">
        <v>31981</v>
      </c>
      <c r="B27482" t="s">
        <v>31992</v>
      </c>
      <c r="C27482">
        <f>0</f>
        <v>0</v>
      </c>
      <c r="D27482">
        <v>0.607221176674</v>
      </c>
      <c r="E27482">
        <v>5.4692653673163401</v>
      </c>
    </row>
    <row r="27483" spans="1:5">
      <c r="A27483" t="s">
        <v>31993</v>
      </c>
      <c r="B27483" t="s">
        <v>31994</v>
      </c>
      <c r="C27483">
        <f>0</f>
        <v>0</v>
      </c>
      <c r="D27483" t="s">
        <v>106</v>
      </c>
      <c r="E27483">
        <v>11.7061469265367</v>
      </c>
    </row>
    <row r="27484" spans="1:5">
      <c r="A27484" t="s">
        <v>31993</v>
      </c>
      <c r="B27484" t="s">
        <v>31995</v>
      </c>
      <c r="C27484">
        <f>0</f>
        <v>0</v>
      </c>
      <c r="D27484" t="s">
        <v>106</v>
      </c>
      <c r="E27484">
        <v>11.7061469265367</v>
      </c>
    </row>
    <row r="27485" spans="1:5">
      <c r="A27485" t="s">
        <v>31993</v>
      </c>
      <c r="B27485" t="s">
        <v>31996</v>
      </c>
      <c r="C27485">
        <v>0</v>
      </c>
      <c r="D27485" t="s">
        <v>106</v>
      </c>
      <c r="E27485">
        <v>11.7061469265367</v>
      </c>
    </row>
    <row r="27486" spans="1:5">
      <c r="A27486" t="s">
        <v>31993</v>
      </c>
      <c r="B27486" t="s">
        <v>31997</v>
      </c>
      <c r="C27486">
        <v>0</v>
      </c>
      <c r="D27486" t="s">
        <v>106</v>
      </c>
      <c r="E27486">
        <v>11.7061469265367</v>
      </c>
    </row>
    <row r="27487" spans="1:5">
      <c r="A27487" t="s">
        <v>31993</v>
      </c>
      <c r="B27487" t="s">
        <v>31998</v>
      </c>
      <c r="C27487">
        <v>0</v>
      </c>
      <c r="D27487" t="s">
        <v>106</v>
      </c>
      <c r="E27487">
        <v>11.7061469265367</v>
      </c>
    </row>
    <row r="27488" spans="1:5">
      <c r="A27488" t="s">
        <v>31999</v>
      </c>
      <c r="B27488" t="s">
        <v>32000</v>
      </c>
      <c r="C27488">
        <f>0</f>
        <v>0</v>
      </c>
      <c r="D27488">
        <v>0.90505204322499999</v>
      </c>
      <c r="E27488">
        <v>1.96701649175412</v>
      </c>
    </row>
    <row r="27489" spans="1:5">
      <c r="A27489" t="s">
        <v>31999</v>
      </c>
      <c r="B27489" t="s">
        <v>32001</v>
      </c>
      <c r="C27489">
        <v>0</v>
      </c>
      <c r="D27489">
        <v>0.90505204322499999</v>
      </c>
      <c r="E27489">
        <v>1.96701649175412</v>
      </c>
    </row>
    <row r="27490" spans="1:5">
      <c r="A27490" t="s">
        <v>31999</v>
      </c>
      <c r="B27490" t="s">
        <v>32002</v>
      </c>
      <c r="C27490">
        <f>0</f>
        <v>0</v>
      </c>
      <c r="D27490">
        <v>0.90505204322499999</v>
      </c>
      <c r="E27490">
        <v>1.96701649175412</v>
      </c>
    </row>
    <row r="27491" spans="1:5">
      <c r="A27491" t="s">
        <v>31999</v>
      </c>
      <c r="B27491" t="s">
        <v>32003</v>
      </c>
      <c r="C27491">
        <v>0</v>
      </c>
      <c r="D27491">
        <v>0.90505204322499999</v>
      </c>
      <c r="E27491">
        <v>1.96701649175412</v>
      </c>
    </row>
    <row r="27492" spans="1:5">
      <c r="A27492" t="s">
        <v>31999</v>
      </c>
      <c r="B27492" t="s">
        <v>32004</v>
      </c>
      <c r="C27492">
        <f>0</f>
        <v>0</v>
      </c>
      <c r="D27492">
        <v>0.90505204322499999</v>
      </c>
      <c r="E27492">
        <v>1.96701649175412</v>
      </c>
    </row>
    <row r="27493" spans="1:5">
      <c r="A27493" t="s">
        <v>31999</v>
      </c>
      <c r="B27493" t="s">
        <v>32005</v>
      </c>
      <c r="C27493">
        <v>0</v>
      </c>
      <c r="D27493">
        <v>0.90505204322499999</v>
      </c>
      <c r="E27493">
        <v>1.96701649175412</v>
      </c>
    </row>
    <row r="27494" spans="1:5">
      <c r="A27494" t="s">
        <v>31999</v>
      </c>
      <c r="B27494" t="s">
        <v>32006</v>
      </c>
      <c r="C27494">
        <v>0.137934457156</v>
      </c>
      <c r="D27494">
        <v>0.90505204322499999</v>
      </c>
      <c r="E27494">
        <v>1.96701649175412</v>
      </c>
    </row>
    <row r="27495" spans="1:5">
      <c r="A27495" t="s">
        <v>31999</v>
      </c>
      <c r="B27495" t="s">
        <v>32007</v>
      </c>
      <c r="C27495">
        <f>0</f>
        <v>0</v>
      </c>
      <c r="D27495">
        <v>0.90505204322499999</v>
      </c>
      <c r="E27495">
        <v>1.96701649175412</v>
      </c>
    </row>
    <row r="27496" spans="1:5">
      <c r="A27496" t="s">
        <v>31999</v>
      </c>
      <c r="B27496" t="s">
        <v>32008</v>
      </c>
      <c r="C27496">
        <f>0</f>
        <v>0</v>
      </c>
      <c r="D27496">
        <v>0.90505204322499999</v>
      </c>
      <c r="E27496">
        <v>1.96701649175412</v>
      </c>
    </row>
    <row r="27497" spans="1:5">
      <c r="A27497" t="s">
        <v>31999</v>
      </c>
      <c r="B27497" t="s">
        <v>32009</v>
      </c>
      <c r="C27497">
        <v>0</v>
      </c>
      <c r="D27497">
        <v>0.90505204322499999</v>
      </c>
      <c r="E27497">
        <v>1.96701649175412</v>
      </c>
    </row>
    <row r="27498" spans="1:5">
      <c r="A27498" t="s">
        <v>31999</v>
      </c>
      <c r="B27498" t="s">
        <v>32010</v>
      </c>
      <c r="C27498">
        <f>0</f>
        <v>0</v>
      </c>
      <c r="D27498">
        <v>0.90505204322499999</v>
      </c>
      <c r="E27498">
        <v>1.96701649175412</v>
      </c>
    </row>
    <row r="27499" spans="1:5">
      <c r="A27499" t="s">
        <v>32011</v>
      </c>
      <c r="B27499" t="s">
        <v>32012</v>
      </c>
      <c r="C27499">
        <v>0</v>
      </c>
      <c r="D27499">
        <v>0.99199339526499997</v>
      </c>
      <c r="E27499">
        <v>2.96251874062968</v>
      </c>
    </row>
    <row r="27500" spans="1:5">
      <c r="A27500" t="s">
        <v>32011</v>
      </c>
      <c r="B27500" t="s">
        <v>32013</v>
      </c>
      <c r="C27500">
        <v>7.9065885163099994E-2</v>
      </c>
      <c r="D27500">
        <v>0.99199339526499997</v>
      </c>
      <c r="E27500">
        <v>2.96251874062968</v>
      </c>
    </row>
    <row r="27501" spans="1:5">
      <c r="A27501" t="s">
        <v>32011</v>
      </c>
      <c r="B27501" t="s">
        <v>32014</v>
      </c>
      <c r="C27501">
        <v>0</v>
      </c>
      <c r="D27501">
        <v>0.99199339526499997</v>
      </c>
      <c r="E27501">
        <v>2.96251874062968</v>
      </c>
    </row>
    <row r="27502" spans="1:5">
      <c r="A27502" t="s">
        <v>32011</v>
      </c>
      <c r="B27502" t="s">
        <v>32015</v>
      </c>
      <c r="C27502">
        <v>0</v>
      </c>
      <c r="D27502">
        <v>0.99199339526499997</v>
      </c>
      <c r="E27502">
        <v>2.96251874062968</v>
      </c>
    </row>
    <row r="27503" spans="1:5">
      <c r="A27503" t="s">
        <v>32011</v>
      </c>
      <c r="B27503" t="s">
        <v>32016</v>
      </c>
      <c r="C27503">
        <v>0</v>
      </c>
      <c r="D27503">
        <v>0.99199339526499997</v>
      </c>
      <c r="E27503">
        <v>2.96251874062968</v>
      </c>
    </row>
    <row r="27504" spans="1:5">
      <c r="A27504" t="s">
        <v>32011</v>
      </c>
      <c r="B27504" t="s">
        <v>32017</v>
      </c>
      <c r="C27504">
        <v>0.26953437142199999</v>
      </c>
      <c r="D27504">
        <v>0.99199339526499997</v>
      </c>
      <c r="E27504">
        <v>2.96251874062968</v>
      </c>
    </row>
    <row r="27505" spans="1:5">
      <c r="A27505" t="s">
        <v>32011</v>
      </c>
      <c r="B27505" t="s">
        <v>32018</v>
      </c>
      <c r="C27505">
        <v>0</v>
      </c>
      <c r="D27505">
        <v>0.99199339526499997</v>
      </c>
      <c r="E27505">
        <v>2.96251874062968</v>
      </c>
    </row>
    <row r="27506" spans="1:5">
      <c r="A27506" t="s">
        <v>32019</v>
      </c>
      <c r="B27506" t="s">
        <v>32020</v>
      </c>
      <c r="C27506">
        <v>0.20451225776699999</v>
      </c>
      <c r="D27506">
        <v>0.729051645626</v>
      </c>
      <c r="E27506">
        <v>5.5772113943028403</v>
      </c>
    </row>
    <row r="27507" spans="1:5">
      <c r="A27507" t="s">
        <v>32021</v>
      </c>
      <c r="B27507" t="s">
        <v>32022</v>
      </c>
      <c r="C27507">
        <v>0</v>
      </c>
      <c r="D27507">
        <v>0.857828008759</v>
      </c>
      <c r="E27507">
        <v>1.06746626686656</v>
      </c>
    </row>
    <row r="27508" spans="1:5">
      <c r="A27508" t="s">
        <v>32021</v>
      </c>
      <c r="B27508" t="s">
        <v>32023</v>
      </c>
      <c r="C27508">
        <v>3.3106011053300001E-2</v>
      </c>
      <c r="D27508">
        <v>0.857828008759</v>
      </c>
      <c r="E27508">
        <v>1.06746626686656</v>
      </c>
    </row>
    <row r="27509" spans="1:5">
      <c r="A27509" t="s">
        <v>32021</v>
      </c>
      <c r="B27509" t="s">
        <v>32024</v>
      </c>
      <c r="C27509">
        <f>0</f>
        <v>0</v>
      </c>
      <c r="D27509">
        <v>0.857828008759</v>
      </c>
      <c r="E27509">
        <v>1.06746626686656</v>
      </c>
    </row>
    <row r="27510" spans="1:5">
      <c r="A27510" t="s">
        <v>32021</v>
      </c>
      <c r="B27510" t="s">
        <v>32025</v>
      </c>
      <c r="C27510">
        <v>0</v>
      </c>
      <c r="D27510">
        <v>0.857828008759</v>
      </c>
      <c r="E27510">
        <v>1.06746626686656</v>
      </c>
    </row>
    <row r="27511" spans="1:5">
      <c r="A27511" t="s">
        <v>32021</v>
      </c>
      <c r="B27511" t="s">
        <v>32026</v>
      </c>
      <c r="C27511">
        <v>1.8933055975400001E-2</v>
      </c>
      <c r="D27511">
        <v>0.857828008759</v>
      </c>
      <c r="E27511">
        <v>1.06746626686656</v>
      </c>
    </row>
    <row r="27512" spans="1:5">
      <c r="A27512" t="s">
        <v>32027</v>
      </c>
      <c r="B27512" t="s">
        <v>32028</v>
      </c>
      <c r="C27512">
        <v>0.53206409091999995</v>
      </c>
      <c r="D27512" t="s">
        <v>106</v>
      </c>
      <c r="E27512">
        <v>2.1709145427286298</v>
      </c>
    </row>
    <row r="27513" spans="1:5">
      <c r="A27513" t="s">
        <v>32027</v>
      </c>
      <c r="B27513" t="s">
        <v>32029</v>
      </c>
      <c r="C27513">
        <v>6.3343307031700005E-2</v>
      </c>
      <c r="D27513" t="s">
        <v>106</v>
      </c>
      <c r="E27513">
        <v>2.1709145427286298</v>
      </c>
    </row>
    <row r="27514" spans="1:5">
      <c r="A27514" t="s">
        <v>32030</v>
      </c>
      <c r="B27514" t="s">
        <v>32031</v>
      </c>
      <c r="C27514">
        <v>0.26856367977000001</v>
      </c>
      <c r="D27514">
        <v>0.97603080760399996</v>
      </c>
      <c r="E27514">
        <v>11.5382308845577</v>
      </c>
    </row>
    <row r="27515" spans="1:5">
      <c r="A27515" t="s">
        <v>32030</v>
      </c>
      <c r="B27515" t="s">
        <v>32032</v>
      </c>
      <c r="C27515">
        <v>0</v>
      </c>
      <c r="D27515">
        <v>0.97603080760399996</v>
      </c>
      <c r="E27515">
        <v>11.5382308845577</v>
      </c>
    </row>
    <row r="27516" spans="1:5">
      <c r="A27516" t="s">
        <v>32030</v>
      </c>
      <c r="B27516" t="s">
        <v>32033</v>
      </c>
      <c r="C27516">
        <f>0</f>
        <v>0</v>
      </c>
      <c r="D27516">
        <v>0.97603080760399996</v>
      </c>
      <c r="E27516">
        <v>11.5382308845577</v>
      </c>
    </row>
    <row r="27517" spans="1:5">
      <c r="A27517" t="s">
        <v>32030</v>
      </c>
      <c r="B27517" t="s">
        <v>32034</v>
      </c>
      <c r="C27517">
        <v>0</v>
      </c>
      <c r="D27517">
        <v>0.97603080760399996</v>
      </c>
      <c r="E27517">
        <v>11.5382308845577</v>
      </c>
    </row>
    <row r="27518" spans="1:5">
      <c r="A27518" t="s">
        <v>32030</v>
      </c>
      <c r="B27518" t="s">
        <v>32035</v>
      </c>
      <c r="C27518">
        <f>0</f>
        <v>0</v>
      </c>
      <c r="D27518">
        <v>0.97603080760399996</v>
      </c>
      <c r="E27518">
        <v>11.5382308845577</v>
      </c>
    </row>
    <row r="27519" spans="1:5">
      <c r="A27519" t="s">
        <v>32036</v>
      </c>
      <c r="B27519" t="s">
        <v>32037</v>
      </c>
      <c r="C27519">
        <v>4.12028219802E-3</v>
      </c>
      <c r="D27519">
        <v>0.83123353895200003</v>
      </c>
      <c r="E27519">
        <v>0.46776611694152898</v>
      </c>
    </row>
    <row r="27520" spans="1:5">
      <c r="A27520" t="s">
        <v>32036</v>
      </c>
      <c r="B27520" t="s">
        <v>32038</v>
      </c>
      <c r="C27520">
        <f>0</f>
        <v>0</v>
      </c>
      <c r="D27520">
        <v>0.83123353895200003</v>
      </c>
      <c r="E27520">
        <v>0.46776611694152898</v>
      </c>
    </row>
    <row r="27521" spans="1:5">
      <c r="A27521" t="s">
        <v>32036</v>
      </c>
      <c r="B27521" t="s">
        <v>32039</v>
      </c>
      <c r="C27521">
        <v>0</v>
      </c>
      <c r="D27521">
        <v>0.83123353895200003</v>
      </c>
      <c r="E27521">
        <v>0.46776611694152898</v>
      </c>
    </row>
    <row r="27522" spans="1:5">
      <c r="A27522" t="s">
        <v>32036</v>
      </c>
      <c r="B27522" t="s">
        <v>32040</v>
      </c>
      <c r="C27522">
        <f>0</f>
        <v>0</v>
      </c>
      <c r="D27522">
        <v>0.83123353895200003</v>
      </c>
      <c r="E27522">
        <v>0.46776611694152898</v>
      </c>
    </row>
    <row r="27523" spans="1:5">
      <c r="A27523" t="s">
        <v>32036</v>
      </c>
      <c r="B27523" t="s">
        <v>32041</v>
      </c>
      <c r="C27523">
        <f>0</f>
        <v>0</v>
      </c>
      <c r="D27523">
        <v>0.83123353895200003</v>
      </c>
      <c r="E27523">
        <v>0.46776611694152898</v>
      </c>
    </row>
    <row r="27524" spans="1:5">
      <c r="A27524" t="s">
        <v>32036</v>
      </c>
      <c r="B27524" t="s">
        <v>32042</v>
      </c>
      <c r="C27524">
        <f>0</f>
        <v>0</v>
      </c>
      <c r="D27524">
        <v>0.83123353895200003</v>
      </c>
      <c r="E27524">
        <v>0.46776611694152898</v>
      </c>
    </row>
    <row r="27525" spans="1:5">
      <c r="A27525" t="s">
        <v>32036</v>
      </c>
      <c r="B27525" t="s">
        <v>32043</v>
      </c>
      <c r="C27525">
        <f>0</f>
        <v>0</v>
      </c>
      <c r="D27525">
        <v>0.83123353895200003</v>
      </c>
      <c r="E27525">
        <v>0.46776611694152898</v>
      </c>
    </row>
    <row r="27526" spans="1:5">
      <c r="A27526" t="s">
        <v>32044</v>
      </c>
      <c r="B27526" t="s">
        <v>32045</v>
      </c>
      <c r="C27526">
        <v>0</v>
      </c>
      <c r="D27526">
        <v>0.80658631201099995</v>
      </c>
      <c r="E27526">
        <v>4.4737631184407798</v>
      </c>
    </row>
    <row r="27527" spans="1:5">
      <c r="A27527" t="s">
        <v>32044</v>
      </c>
      <c r="B27527" t="s">
        <v>32046</v>
      </c>
      <c r="C27527">
        <v>0</v>
      </c>
      <c r="D27527">
        <v>0.80658631201099995</v>
      </c>
      <c r="E27527">
        <v>4.4737631184407798</v>
      </c>
    </row>
    <row r="27528" spans="1:5">
      <c r="A27528" t="s">
        <v>32044</v>
      </c>
      <c r="B27528" t="s">
        <v>32047</v>
      </c>
      <c r="C27528">
        <f>0</f>
        <v>0</v>
      </c>
      <c r="D27528">
        <v>0.80658631201099995</v>
      </c>
      <c r="E27528">
        <v>4.4737631184407798</v>
      </c>
    </row>
    <row r="27529" spans="1:5">
      <c r="A27529" t="s">
        <v>32048</v>
      </c>
      <c r="B27529" t="s">
        <v>32049</v>
      </c>
      <c r="C27529">
        <f>0</f>
        <v>0</v>
      </c>
      <c r="D27529">
        <v>0.91732386890399997</v>
      </c>
      <c r="E27529">
        <v>3.13043478260869</v>
      </c>
    </row>
    <row r="27530" spans="1:5">
      <c r="A27530" t="s">
        <v>32048</v>
      </c>
      <c r="B27530" t="s">
        <v>32050</v>
      </c>
      <c r="C27530">
        <f>0</f>
        <v>0</v>
      </c>
      <c r="D27530">
        <v>0.91732386890399997</v>
      </c>
      <c r="E27530">
        <v>3.13043478260869</v>
      </c>
    </row>
    <row r="27531" spans="1:5">
      <c r="A27531" t="s">
        <v>32048</v>
      </c>
      <c r="B27531" t="s">
        <v>32051</v>
      </c>
      <c r="C27531">
        <v>0.185734333424</v>
      </c>
      <c r="D27531">
        <v>0.91732386890399997</v>
      </c>
      <c r="E27531">
        <v>3.13043478260869</v>
      </c>
    </row>
    <row r="27532" spans="1:5">
      <c r="A27532" t="s">
        <v>32048</v>
      </c>
      <c r="B27532" t="s">
        <v>32052</v>
      </c>
      <c r="C27532">
        <f>0</f>
        <v>0</v>
      </c>
      <c r="D27532">
        <v>0.91732386890399997</v>
      </c>
      <c r="E27532">
        <v>3.13043478260869</v>
      </c>
    </row>
    <row r="27533" spans="1:5">
      <c r="A27533" t="s">
        <v>32048</v>
      </c>
      <c r="B27533" t="s">
        <v>32053</v>
      </c>
      <c r="C27533">
        <v>0</v>
      </c>
      <c r="D27533">
        <v>0.91732386890399997</v>
      </c>
      <c r="E27533">
        <v>3.13043478260869</v>
      </c>
    </row>
    <row r="27534" spans="1:5">
      <c r="A27534" t="s">
        <v>32048</v>
      </c>
      <c r="B27534" t="s">
        <v>32054</v>
      </c>
      <c r="C27534">
        <v>0.18967358729799999</v>
      </c>
      <c r="D27534">
        <v>0.91732386890399997</v>
      </c>
      <c r="E27534">
        <v>3.13043478260869</v>
      </c>
    </row>
    <row r="27535" spans="1:5">
      <c r="A27535" t="s">
        <v>32048</v>
      </c>
      <c r="B27535" t="s">
        <v>32055</v>
      </c>
      <c r="C27535">
        <f>0</f>
        <v>0</v>
      </c>
      <c r="D27535">
        <v>0.91732386890399997</v>
      </c>
      <c r="E27535">
        <v>3.13043478260869</v>
      </c>
    </row>
    <row r="27536" spans="1:5">
      <c r="A27536" t="s">
        <v>32056</v>
      </c>
      <c r="B27536" t="s">
        <v>32057</v>
      </c>
      <c r="C27536">
        <v>0.314597037606</v>
      </c>
      <c r="D27536">
        <v>0.99388599411</v>
      </c>
      <c r="E27536">
        <v>12.9175412293853</v>
      </c>
    </row>
    <row r="27537" spans="1:5">
      <c r="A27537" t="s">
        <v>32056</v>
      </c>
      <c r="B27537" t="s">
        <v>32058</v>
      </c>
      <c r="C27537">
        <f>0</f>
        <v>0</v>
      </c>
      <c r="D27537">
        <v>0.99388599411</v>
      </c>
      <c r="E27537">
        <v>12.9175412293853</v>
      </c>
    </row>
    <row r="27538" spans="1:5">
      <c r="A27538" t="s">
        <v>32056</v>
      </c>
      <c r="B27538" t="s">
        <v>32059</v>
      </c>
      <c r="C27538">
        <v>9.76499438262E-2</v>
      </c>
      <c r="D27538">
        <v>0.99388599411</v>
      </c>
      <c r="E27538">
        <v>12.9175412293853</v>
      </c>
    </row>
    <row r="27539" spans="1:5">
      <c r="A27539" t="s">
        <v>32056</v>
      </c>
      <c r="B27539" t="s">
        <v>32060</v>
      </c>
      <c r="C27539">
        <v>0</v>
      </c>
      <c r="D27539">
        <v>0.99388599411</v>
      </c>
      <c r="E27539">
        <v>12.9175412293853</v>
      </c>
    </row>
    <row r="27540" spans="1:5">
      <c r="A27540" t="s">
        <v>32056</v>
      </c>
      <c r="B27540" t="s">
        <v>32061</v>
      </c>
      <c r="C27540">
        <v>0</v>
      </c>
      <c r="D27540">
        <v>0.99388599411</v>
      </c>
      <c r="E27540">
        <v>12.9175412293853</v>
      </c>
    </row>
    <row r="27541" spans="1:5">
      <c r="A27541" t="s">
        <v>32056</v>
      </c>
      <c r="B27541" t="s">
        <v>32062</v>
      </c>
      <c r="C27541">
        <f>0</f>
        <v>0</v>
      </c>
      <c r="D27541">
        <v>0.99388599411</v>
      </c>
      <c r="E27541">
        <v>12.9175412293853</v>
      </c>
    </row>
    <row r="27542" spans="1:5">
      <c r="A27542" t="s">
        <v>32056</v>
      </c>
      <c r="B27542" t="s">
        <v>32063</v>
      </c>
      <c r="C27542">
        <f>0</f>
        <v>0</v>
      </c>
      <c r="D27542">
        <v>0.99388599411</v>
      </c>
      <c r="E27542">
        <v>12.9175412293853</v>
      </c>
    </row>
    <row r="27543" spans="1:5">
      <c r="A27543" t="s">
        <v>32056</v>
      </c>
      <c r="B27543" t="s">
        <v>32064</v>
      </c>
      <c r="C27543">
        <v>0</v>
      </c>
      <c r="D27543">
        <v>0.99388599411</v>
      </c>
      <c r="E27543">
        <v>12.9175412293853</v>
      </c>
    </row>
    <row r="27544" spans="1:5">
      <c r="A27544" t="s">
        <v>32056</v>
      </c>
      <c r="B27544" t="s">
        <v>32065</v>
      </c>
      <c r="C27544">
        <v>0</v>
      </c>
      <c r="D27544">
        <v>0.99388599411</v>
      </c>
      <c r="E27544">
        <v>12.9175412293853</v>
      </c>
    </row>
    <row r="27545" spans="1:5">
      <c r="A27545" t="s">
        <v>32066</v>
      </c>
      <c r="B27545" t="s">
        <v>32067</v>
      </c>
      <c r="C27545">
        <v>0</v>
      </c>
      <c r="D27545">
        <v>0.94044202113399999</v>
      </c>
      <c r="E27545">
        <v>7.1964017991004496</v>
      </c>
    </row>
    <row r="27546" spans="1:5">
      <c r="A27546" t="s">
        <v>32066</v>
      </c>
      <c r="B27546" t="s">
        <v>32068</v>
      </c>
      <c r="C27546">
        <f>0</f>
        <v>0</v>
      </c>
      <c r="D27546">
        <v>0.94044202113399999</v>
      </c>
      <c r="E27546">
        <v>7.1964017991004496</v>
      </c>
    </row>
    <row r="27547" spans="1:5">
      <c r="A27547" t="s">
        <v>32066</v>
      </c>
      <c r="B27547" t="s">
        <v>32069</v>
      </c>
      <c r="C27547">
        <f>0</f>
        <v>0</v>
      </c>
      <c r="D27547">
        <v>0.94044202113399999</v>
      </c>
      <c r="E27547">
        <v>7.1964017991004496</v>
      </c>
    </row>
    <row r="27548" spans="1:5">
      <c r="A27548" t="s">
        <v>32066</v>
      </c>
      <c r="B27548" t="s">
        <v>32070</v>
      </c>
      <c r="C27548">
        <f>0</f>
        <v>0</v>
      </c>
      <c r="D27548">
        <v>0.94044202113399999</v>
      </c>
      <c r="E27548">
        <v>7.1964017991004496</v>
      </c>
    </row>
    <row r="27549" spans="1:5">
      <c r="A27549" t="s">
        <v>32066</v>
      </c>
      <c r="B27549" t="s">
        <v>32071</v>
      </c>
      <c r="C27549">
        <v>0</v>
      </c>
      <c r="D27549">
        <v>0.94044202113399999</v>
      </c>
      <c r="E27549">
        <v>7.1964017991004496</v>
      </c>
    </row>
    <row r="27550" spans="1:5">
      <c r="A27550" t="s">
        <v>32066</v>
      </c>
      <c r="B27550" t="s">
        <v>32072</v>
      </c>
      <c r="C27550">
        <f>0.0748270670194</f>
        <v>7.4827067019400006E-2</v>
      </c>
      <c r="D27550">
        <v>0.94044202113399999</v>
      </c>
      <c r="E27550">
        <v>7.1964017991004496</v>
      </c>
    </row>
    <row r="27551" spans="1:5">
      <c r="A27551" t="s">
        <v>32066</v>
      </c>
      <c r="B27551" t="s">
        <v>32073</v>
      </c>
      <c r="C27551">
        <v>6.3426860592999998E-2</v>
      </c>
      <c r="D27551">
        <v>0.94044202113399999</v>
      </c>
      <c r="E27551">
        <v>7.1964017991004496</v>
      </c>
    </row>
    <row r="27552" spans="1:5">
      <c r="A27552" t="s">
        <v>32074</v>
      </c>
      <c r="B27552" t="s">
        <v>32075</v>
      </c>
      <c r="C27552">
        <v>9.5369352446800004E-2</v>
      </c>
      <c r="D27552">
        <v>0.82057876289999998</v>
      </c>
      <c r="E27552">
        <v>18.1349325337331</v>
      </c>
    </row>
    <row r="27553" spans="1:5">
      <c r="A27553" t="s">
        <v>32074</v>
      </c>
      <c r="B27553" t="s">
        <v>32076</v>
      </c>
      <c r="C27553">
        <f>0</f>
        <v>0</v>
      </c>
      <c r="D27553">
        <v>0.82057876289999998</v>
      </c>
      <c r="E27553">
        <v>18.1349325337331</v>
      </c>
    </row>
    <row r="27554" spans="1:5">
      <c r="A27554" t="s">
        <v>32074</v>
      </c>
      <c r="B27554" t="s">
        <v>32077</v>
      </c>
      <c r="C27554">
        <f>0</f>
        <v>0</v>
      </c>
      <c r="D27554">
        <v>0.82057876289999998</v>
      </c>
      <c r="E27554">
        <v>18.1349325337331</v>
      </c>
    </row>
    <row r="27555" spans="1:5">
      <c r="A27555" t="s">
        <v>32074</v>
      </c>
      <c r="B27555" t="s">
        <v>32078</v>
      </c>
      <c r="C27555">
        <v>0</v>
      </c>
      <c r="D27555">
        <v>0.82057876289999998</v>
      </c>
      <c r="E27555">
        <v>18.1349325337331</v>
      </c>
    </row>
    <row r="27556" spans="1:5">
      <c r="A27556" t="s">
        <v>32074</v>
      </c>
      <c r="B27556" t="s">
        <v>32079</v>
      </c>
      <c r="C27556">
        <v>0</v>
      </c>
      <c r="D27556">
        <v>0.82057876289999998</v>
      </c>
      <c r="E27556">
        <v>18.1349325337331</v>
      </c>
    </row>
    <row r="27557" spans="1:5">
      <c r="A27557" t="s">
        <v>32074</v>
      </c>
      <c r="B27557" t="s">
        <v>32080</v>
      </c>
      <c r="C27557">
        <v>0</v>
      </c>
      <c r="D27557">
        <v>0.82057876289999998</v>
      </c>
      <c r="E27557">
        <v>18.1349325337331</v>
      </c>
    </row>
    <row r="27558" spans="1:5">
      <c r="A27558" t="s">
        <v>32074</v>
      </c>
      <c r="B27558" t="s">
        <v>32081</v>
      </c>
      <c r="C27558">
        <v>0</v>
      </c>
      <c r="D27558">
        <v>0.82057876289999998</v>
      </c>
      <c r="E27558">
        <v>18.1349325337331</v>
      </c>
    </row>
    <row r="27559" spans="1:5">
      <c r="A27559" t="s">
        <v>32074</v>
      </c>
      <c r="B27559" t="s">
        <v>32082</v>
      </c>
      <c r="C27559">
        <v>6.6530123194499996E-2</v>
      </c>
      <c r="D27559">
        <v>0.82057876289999998</v>
      </c>
      <c r="E27559">
        <v>18.1349325337331</v>
      </c>
    </row>
    <row r="27560" spans="1:5">
      <c r="A27560" t="s">
        <v>32083</v>
      </c>
      <c r="B27560" t="s">
        <v>32084</v>
      </c>
      <c r="C27560">
        <f>0</f>
        <v>0</v>
      </c>
      <c r="D27560">
        <v>0.86209329219499997</v>
      </c>
      <c r="E27560">
        <v>8.5757121439280297</v>
      </c>
    </row>
    <row r="27561" spans="1:5">
      <c r="A27561" t="s">
        <v>32083</v>
      </c>
      <c r="B27561" t="s">
        <v>32085</v>
      </c>
      <c r="C27561">
        <f>0.0446140258201</f>
        <v>4.4614025820100003E-2</v>
      </c>
      <c r="D27561">
        <v>0.86209329219499997</v>
      </c>
      <c r="E27561">
        <v>8.5757121439280297</v>
      </c>
    </row>
    <row r="27562" spans="1:5">
      <c r="A27562" t="s">
        <v>32083</v>
      </c>
      <c r="B27562" t="s">
        <v>32086</v>
      </c>
      <c r="C27562">
        <v>0</v>
      </c>
      <c r="D27562">
        <v>0.86209329219499997</v>
      </c>
      <c r="E27562">
        <v>8.5757121439280297</v>
      </c>
    </row>
    <row r="27563" spans="1:5">
      <c r="A27563" t="s">
        <v>32083</v>
      </c>
      <c r="B27563" t="s">
        <v>32087</v>
      </c>
      <c r="C27563">
        <v>0</v>
      </c>
      <c r="D27563">
        <v>0.86209329219499997</v>
      </c>
      <c r="E27563">
        <v>8.5757121439280297</v>
      </c>
    </row>
    <row r="27564" spans="1:5">
      <c r="A27564" t="s">
        <v>32083</v>
      </c>
      <c r="B27564" t="s">
        <v>32088</v>
      </c>
      <c r="C27564">
        <v>0</v>
      </c>
      <c r="D27564">
        <v>0.86209329219499997</v>
      </c>
      <c r="E27564">
        <v>8.5757121439280297</v>
      </c>
    </row>
    <row r="27565" spans="1:5">
      <c r="A27565" t="s">
        <v>32083</v>
      </c>
      <c r="B27565" t="s">
        <v>32089</v>
      </c>
      <c r="C27565">
        <v>0</v>
      </c>
      <c r="D27565">
        <v>0.86209329219499997</v>
      </c>
      <c r="E27565">
        <v>8.5757121439280297</v>
      </c>
    </row>
    <row r="27566" spans="1:5">
      <c r="A27566" t="s">
        <v>32083</v>
      </c>
      <c r="B27566" t="s">
        <v>32090</v>
      </c>
      <c r="C27566">
        <v>0.15574660076300001</v>
      </c>
      <c r="D27566">
        <v>0.86209329219499997</v>
      </c>
      <c r="E27566">
        <v>8.5757121439280297</v>
      </c>
    </row>
    <row r="27567" spans="1:5">
      <c r="A27567" t="s">
        <v>32083</v>
      </c>
      <c r="B27567" t="s">
        <v>32091</v>
      </c>
      <c r="C27567">
        <v>0</v>
      </c>
      <c r="D27567">
        <v>0.86209329219499997</v>
      </c>
      <c r="E27567">
        <v>8.5757121439280297</v>
      </c>
    </row>
    <row r="27568" spans="1:5">
      <c r="A27568" t="s">
        <v>32083</v>
      </c>
      <c r="B27568" t="s">
        <v>32092</v>
      </c>
      <c r="C27568">
        <v>0</v>
      </c>
      <c r="D27568">
        <v>0.86209329219499997</v>
      </c>
      <c r="E27568">
        <v>8.5757121439280297</v>
      </c>
    </row>
    <row r="27569" spans="1:5">
      <c r="A27569" t="s">
        <v>32093</v>
      </c>
      <c r="B27569" t="s">
        <v>32094</v>
      </c>
      <c r="C27569">
        <f>0.677594289219</f>
        <v>0.677594289219</v>
      </c>
      <c r="D27569">
        <v>0.99501372833400004</v>
      </c>
      <c r="E27569">
        <v>1.57121439280359</v>
      </c>
    </row>
    <row r="27570" spans="1:5">
      <c r="A27570" t="s">
        <v>32093</v>
      </c>
      <c r="B27570" t="s">
        <v>32095</v>
      </c>
      <c r="C27570">
        <v>4.6591674376699997E-3</v>
      </c>
      <c r="D27570">
        <v>0.99501372833400004</v>
      </c>
      <c r="E27570">
        <v>1.57121439280359</v>
      </c>
    </row>
    <row r="27571" spans="1:5">
      <c r="A27571" t="s">
        <v>32093</v>
      </c>
      <c r="B27571" t="s">
        <v>32096</v>
      </c>
      <c r="C27571">
        <v>0</v>
      </c>
      <c r="D27571">
        <v>0.99501372833400004</v>
      </c>
      <c r="E27571">
        <v>1.57121439280359</v>
      </c>
    </row>
    <row r="27572" spans="1:5">
      <c r="A27572" t="s">
        <v>32093</v>
      </c>
      <c r="B27572" t="s">
        <v>32097</v>
      </c>
      <c r="C27572">
        <f>0</f>
        <v>0</v>
      </c>
      <c r="D27572">
        <v>0.99501372833400004</v>
      </c>
      <c r="E27572">
        <v>1.57121439280359</v>
      </c>
    </row>
    <row r="27573" spans="1:5">
      <c r="A27573" t="s">
        <v>32093</v>
      </c>
      <c r="B27573" t="s">
        <v>32098</v>
      </c>
      <c r="C27573">
        <v>0</v>
      </c>
      <c r="D27573">
        <v>0.99501372833400004</v>
      </c>
      <c r="E27573">
        <v>1.57121439280359</v>
      </c>
    </row>
    <row r="27574" spans="1:5">
      <c r="A27574" t="s">
        <v>32093</v>
      </c>
      <c r="B27574" t="s">
        <v>32099</v>
      </c>
      <c r="C27574">
        <v>0</v>
      </c>
      <c r="D27574">
        <v>0.99501372833400004</v>
      </c>
      <c r="E27574">
        <v>1.57121439280359</v>
      </c>
    </row>
    <row r="27575" spans="1:5">
      <c r="A27575" t="s">
        <v>32100</v>
      </c>
      <c r="B27575" t="s">
        <v>32101</v>
      </c>
      <c r="C27575">
        <f>0</f>
        <v>0</v>
      </c>
      <c r="D27575">
        <v>0.99238144633299996</v>
      </c>
      <c r="E27575">
        <v>0.57571214392803505</v>
      </c>
    </row>
    <row r="27576" spans="1:5">
      <c r="A27576" t="s">
        <v>32100</v>
      </c>
      <c r="B27576" t="s">
        <v>32102</v>
      </c>
      <c r="C27576">
        <f>0</f>
        <v>0</v>
      </c>
      <c r="D27576">
        <v>0.99238144633299996</v>
      </c>
      <c r="E27576">
        <v>0.57571214392803505</v>
      </c>
    </row>
    <row r="27577" spans="1:5">
      <c r="A27577" t="s">
        <v>32100</v>
      </c>
      <c r="B27577" t="s">
        <v>32103</v>
      </c>
      <c r="C27577">
        <v>0</v>
      </c>
      <c r="D27577">
        <v>0.99238144633299996</v>
      </c>
      <c r="E27577">
        <v>0.57571214392803505</v>
      </c>
    </row>
    <row r="27578" spans="1:5">
      <c r="A27578" t="s">
        <v>32100</v>
      </c>
      <c r="B27578" t="s">
        <v>32104</v>
      </c>
      <c r="C27578">
        <f>0</f>
        <v>0</v>
      </c>
      <c r="D27578">
        <v>0.99238144633299996</v>
      </c>
      <c r="E27578">
        <v>0.57571214392803505</v>
      </c>
    </row>
    <row r="27579" spans="1:5">
      <c r="A27579" t="s">
        <v>32100</v>
      </c>
      <c r="B27579" t="s">
        <v>32105</v>
      </c>
      <c r="C27579">
        <f>0</f>
        <v>0</v>
      </c>
      <c r="D27579">
        <v>0.99238144633299996</v>
      </c>
      <c r="E27579">
        <v>0.57571214392803505</v>
      </c>
    </row>
    <row r="27580" spans="1:5">
      <c r="A27580" t="s">
        <v>32100</v>
      </c>
      <c r="B27580" t="s">
        <v>32106</v>
      </c>
      <c r="C27580">
        <v>0</v>
      </c>
      <c r="D27580">
        <v>0.99238144633299996</v>
      </c>
      <c r="E27580">
        <v>0.57571214392803505</v>
      </c>
    </row>
    <row r="27581" spans="1:5">
      <c r="A27581" t="s">
        <v>32100</v>
      </c>
      <c r="B27581" t="s">
        <v>32107</v>
      </c>
      <c r="C27581">
        <v>0.125364265394</v>
      </c>
      <c r="D27581">
        <v>0.99238144633299996</v>
      </c>
      <c r="E27581">
        <v>0.57571214392803505</v>
      </c>
    </row>
    <row r="27582" spans="1:5">
      <c r="A27582" t="s">
        <v>32100</v>
      </c>
      <c r="B27582" t="s">
        <v>32108</v>
      </c>
      <c r="C27582">
        <v>0.17714044790299999</v>
      </c>
      <c r="D27582">
        <v>0.99238144633299996</v>
      </c>
      <c r="E27582">
        <v>0.57571214392803505</v>
      </c>
    </row>
    <row r="27583" spans="1:5">
      <c r="A27583" t="s">
        <v>32100</v>
      </c>
      <c r="B27583" t="s">
        <v>32109</v>
      </c>
      <c r="C27583">
        <v>0</v>
      </c>
      <c r="D27583">
        <v>0.99238144633299996</v>
      </c>
      <c r="E27583">
        <v>0.57571214392803505</v>
      </c>
    </row>
    <row r="27584" spans="1:5">
      <c r="A27584" t="s">
        <v>32100</v>
      </c>
      <c r="B27584" t="s">
        <v>32110</v>
      </c>
      <c r="C27584">
        <v>0</v>
      </c>
      <c r="D27584">
        <v>0.99238144633299996</v>
      </c>
      <c r="E27584">
        <v>0.57571214392803505</v>
      </c>
    </row>
    <row r="27585" spans="1:5">
      <c r="A27585" t="s">
        <v>32100</v>
      </c>
      <c r="B27585" t="s">
        <v>32111</v>
      </c>
      <c r="C27585">
        <v>0</v>
      </c>
      <c r="D27585">
        <v>0.99238144633299996</v>
      </c>
      <c r="E27585">
        <v>0.57571214392803505</v>
      </c>
    </row>
    <row r="27586" spans="1:5">
      <c r="A27586" t="s">
        <v>32100</v>
      </c>
      <c r="B27586" t="s">
        <v>32112</v>
      </c>
      <c r="C27586">
        <v>0</v>
      </c>
      <c r="D27586">
        <v>0.99238144633299996</v>
      </c>
      <c r="E27586">
        <v>0.57571214392803505</v>
      </c>
    </row>
    <row r="27587" spans="1:5">
      <c r="A27587" t="s">
        <v>32113</v>
      </c>
      <c r="B27587" t="s">
        <v>32114</v>
      </c>
      <c r="C27587">
        <f>0</f>
        <v>0</v>
      </c>
      <c r="D27587">
        <v>0.86229840728200002</v>
      </c>
      <c r="E27587">
        <v>24</v>
      </c>
    </row>
    <row r="27588" spans="1:5">
      <c r="A27588" t="s">
        <v>32113</v>
      </c>
      <c r="B27588" t="s">
        <v>32115</v>
      </c>
      <c r="C27588">
        <f>0</f>
        <v>0</v>
      </c>
      <c r="D27588">
        <v>0.86229840728200002</v>
      </c>
      <c r="E27588">
        <v>24</v>
      </c>
    </row>
    <row r="27589" spans="1:5">
      <c r="A27589" t="s">
        <v>32113</v>
      </c>
      <c r="B27589" t="s">
        <v>32116</v>
      </c>
      <c r="C27589">
        <v>0.11521978728100001</v>
      </c>
      <c r="D27589">
        <v>0.86229840728200002</v>
      </c>
      <c r="E27589">
        <v>24</v>
      </c>
    </row>
    <row r="27590" spans="1:5">
      <c r="A27590" t="s">
        <v>32113</v>
      </c>
      <c r="B27590" t="s">
        <v>32117</v>
      </c>
      <c r="C27590">
        <v>0</v>
      </c>
      <c r="D27590">
        <v>0.86229840728200002</v>
      </c>
      <c r="E27590">
        <v>24</v>
      </c>
    </row>
    <row r="27591" spans="1:5">
      <c r="A27591" t="s">
        <v>32113</v>
      </c>
      <c r="B27591" t="s">
        <v>32118</v>
      </c>
      <c r="C27591">
        <v>0</v>
      </c>
      <c r="D27591">
        <v>0.86229840728200002</v>
      </c>
      <c r="E27591">
        <v>24</v>
      </c>
    </row>
    <row r="27592" spans="1:5">
      <c r="A27592" t="s">
        <v>32113</v>
      </c>
      <c r="B27592" t="s">
        <v>32119</v>
      </c>
      <c r="C27592">
        <f>0</f>
        <v>0</v>
      </c>
      <c r="D27592">
        <v>0.86229840728200002</v>
      </c>
      <c r="E27592">
        <v>24</v>
      </c>
    </row>
    <row r="27593" spans="1:5">
      <c r="A27593" t="s">
        <v>32113</v>
      </c>
      <c r="B27593" t="s">
        <v>32120</v>
      </c>
      <c r="C27593">
        <f>0.0121015771478</f>
        <v>1.21015771478E-2</v>
      </c>
      <c r="D27593">
        <v>0.86229840728200002</v>
      </c>
      <c r="E27593">
        <v>24</v>
      </c>
    </row>
    <row r="27594" spans="1:5">
      <c r="A27594" t="s">
        <v>32113</v>
      </c>
      <c r="B27594" t="s">
        <v>32121</v>
      </c>
      <c r="C27594">
        <f>0</f>
        <v>0</v>
      </c>
      <c r="D27594">
        <v>0.86229840728200002</v>
      </c>
      <c r="E27594">
        <v>24</v>
      </c>
    </row>
    <row r="27595" spans="1:5">
      <c r="A27595" t="s">
        <v>32113</v>
      </c>
      <c r="B27595" t="s">
        <v>32122</v>
      </c>
      <c r="C27595">
        <f>0</f>
        <v>0</v>
      </c>
      <c r="D27595">
        <v>0.86229840728200002</v>
      </c>
      <c r="E27595">
        <v>24</v>
      </c>
    </row>
    <row r="27596" spans="1:5">
      <c r="A27596" t="s">
        <v>32113</v>
      </c>
      <c r="B27596" t="s">
        <v>32123</v>
      </c>
      <c r="C27596">
        <f>0</f>
        <v>0</v>
      </c>
      <c r="D27596">
        <v>0.86229840728200002</v>
      </c>
      <c r="E27596">
        <v>24</v>
      </c>
    </row>
    <row r="27597" spans="1:5">
      <c r="A27597" t="s">
        <v>32113</v>
      </c>
      <c r="B27597" t="s">
        <v>32124</v>
      </c>
      <c r="C27597">
        <f>0</f>
        <v>0</v>
      </c>
      <c r="D27597">
        <v>0.86229840728200002</v>
      </c>
      <c r="E27597">
        <v>24</v>
      </c>
    </row>
    <row r="27598" spans="1:5">
      <c r="A27598" t="s">
        <v>32113</v>
      </c>
      <c r="B27598" t="s">
        <v>32125</v>
      </c>
      <c r="C27598">
        <f>0</f>
        <v>0</v>
      </c>
      <c r="D27598">
        <v>0.86229840728200002</v>
      </c>
      <c r="E27598">
        <v>24</v>
      </c>
    </row>
    <row r="27599" spans="1:5">
      <c r="A27599" t="s">
        <v>32113</v>
      </c>
      <c r="B27599" t="s">
        <v>32126</v>
      </c>
      <c r="C27599">
        <f>0</f>
        <v>0</v>
      </c>
      <c r="D27599">
        <v>0.86229840728200002</v>
      </c>
      <c r="E27599">
        <v>24</v>
      </c>
    </row>
    <row r="27600" spans="1:5">
      <c r="A27600" t="s">
        <v>32127</v>
      </c>
      <c r="B27600" t="s">
        <v>32128</v>
      </c>
      <c r="C27600">
        <f>0</f>
        <v>0</v>
      </c>
      <c r="D27600" t="s">
        <v>106</v>
      </c>
      <c r="E27600">
        <v>21.637181409295302</v>
      </c>
    </row>
    <row r="27601" spans="1:5">
      <c r="A27601" t="s">
        <v>32127</v>
      </c>
      <c r="B27601" t="s">
        <v>32129</v>
      </c>
      <c r="C27601">
        <v>0</v>
      </c>
      <c r="D27601" t="s">
        <v>106</v>
      </c>
      <c r="E27601">
        <v>21.637181409295302</v>
      </c>
    </row>
    <row r="27602" spans="1:5">
      <c r="A27602" t="s">
        <v>32127</v>
      </c>
      <c r="B27602" t="s">
        <v>32130</v>
      </c>
      <c r="C27602">
        <f>0</f>
        <v>0</v>
      </c>
      <c r="D27602" t="s">
        <v>106</v>
      </c>
      <c r="E27602">
        <v>21.637181409295302</v>
      </c>
    </row>
    <row r="27603" spans="1:5">
      <c r="A27603" t="s">
        <v>32127</v>
      </c>
      <c r="B27603" t="s">
        <v>32131</v>
      </c>
      <c r="C27603">
        <v>0</v>
      </c>
      <c r="D27603" t="s">
        <v>106</v>
      </c>
      <c r="E27603">
        <v>21.637181409295302</v>
      </c>
    </row>
    <row r="27604" spans="1:5">
      <c r="A27604" t="s">
        <v>32127</v>
      </c>
      <c r="B27604" t="s">
        <v>32132</v>
      </c>
      <c r="C27604">
        <f>0</f>
        <v>0</v>
      </c>
      <c r="D27604" t="s">
        <v>106</v>
      </c>
      <c r="E27604">
        <v>21.637181409295302</v>
      </c>
    </row>
    <row r="27605" spans="1:5">
      <c r="A27605" t="s">
        <v>32127</v>
      </c>
      <c r="B27605" t="s">
        <v>32133</v>
      </c>
      <c r="C27605">
        <f>0</f>
        <v>0</v>
      </c>
      <c r="D27605" t="s">
        <v>106</v>
      </c>
      <c r="E27605">
        <v>21.637181409295302</v>
      </c>
    </row>
    <row r="27606" spans="1:5">
      <c r="A27606" t="s">
        <v>32127</v>
      </c>
      <c r="B27606" t="s">
        <v>32134</v>
      </c>
      <c r="C27606">
        <f>0</f>
        <v>0</v>
      </c>
      <c r="D27606" t="s">
        <v>106</v>
      </c>
      <c r="E27606">
        <v>21.637181409295302</v>
      </c>
    </row>
    <row r="27607" spans="1:5">
      <c r="A27607" t="s">
        <v>32127</v>
      </c>
      <c r="B27607" t="s">
        <v>32135</v>
      </c>
      <c r="C27607">
        <f>0</f>
        <v>0</v>
      </c>
      <c r="D27607" t="s">
        <v>106</v>
      </c>
      <c r="E27607">
        <v>21.637181409295302</v>
      </c>
    </row>
    <row r="27608" spans="1:5">
      <c r="A27608" t="s">
        <v>32127</v>
      </c>
      <c r="B27608" t="s">
        <v>32136</v>
      </c>
      <c r="C27608">
        <f>0</f>
        <v>0</v>
      </c>
      <c r="D27608" t="s">
        <v>106</v>
      </c>
      <c r="E27608">
        <v>21.637181409295302</v>
      </c>
    </row>
    <row r="27609" spans="1:5">
      <c r="A27609" t="s">
        <v>32137</v>
      </c>
      <c r="B27609" t="s">
        <v>32138</v>
      </c>
      <c r="C27609">
        <f>0</f>
        <v>0</v>
      </c>
      <c r="D27609">
        <v>0.69707839901500002</v>
      </c>
      <c r="E27609">
        <v>20.7376311844077</v>
      </c>
    </row>
    <row r="27610" spans="1:5">
      <c r="A27610" t="s">
        <v>32137</v>
      </c>
      <c r="B27610" t="s">
        <v>32139</v>
      </c>
      <c r="C27610">
        <v>5.7601973245E-2</v>
      </c>
      <c r="D27610">
        <v>0.69707839901500002</v>
      </c>
      <c r="E27610">
        <v>20.7376311844077</v>
      </c>
    </row>
    <row r="27611" spans="1:5">
      <c r="A27611" t="s">
        <v>32137</v>
      </c>
      <c r="B27611" t="s">
        <v>32140</v>
      </c>
      <c r="C27611">
        <v>0</v>
      </c>
      <c r="D27611">
        <v>0.69707839901500002</v>
      </c>
      <c r="E27611">
        <v>20.7376311844077</v>
      </c>
    </row>
    <row r="27612" spans="1:5">
      <c r="A27612" t="s">
        <v>32137</v>
      </c>
      <c r="B27612" t="s">
        <v>32141</v>
      </c>
      <c r="C27612">
        <f>0</f>
        <v>0</v>
      </c>
      <c r="D27612">
        <v>0.69707839901500002</v>
      </c>
      <c r="E27612">
        <v>20.7376311844077</v>
      </c>
    </row>
    <row r="27613" spans="1:5">
      <c r="A27613" t="s">
        <v>32142</v>
      </c>
      <c r="B27613" t="s">
        <v>32143</v>
      </c>
      <c r="C27613">
        <v>9.6412543958900004E-2</v>
      </c>
      <c r="D27613" t="s">
        <v>106</v>
      </c>
      <c r="E27613">
        <v>17.511244377811</v>
      </c>
    </row>
    <row r="27614" spans="1:5">
      <c r="A27614" t="s">
        <v>32142</v>
      </c>
      <c r="B27614" t="s">
        <v>32144</v>
      </c>
      <c r="C27614">
        <v>7.0205214262400006E-2</v>
      </c>
      <c r="D27614" t="s">
        <v>106</v>
      </c>
      <c r="E27614">
        <v>17.511244377811</v>
      </c>
    </row>
    <row r="27615" spans="1:5">
      <c r="A27615" t="s">
        <v>32145</v>
      </c>
      <c r="B27615" t="s">
        <v>32146</v>
      </c>
      <c r="C27615">
        <f>0.487270461709</f>
        <v>0.48727046170900001</v>
      </c>
      <c r="D27615">
        <v>0.9189130834</v>
      </c>
      <c r="E27615">
        <v>1.51124437781109</v>
      </c>
    </row>
    <row r="27616" spans="1:5">
      <c r="A27616" t="s">
        <v>32145</v>
      </c>
      <c r="B27616" t="s">
        <v>32147</v>
      </c>
      <c r="C27616">
        <f>0</f>
        <v>0</v>
      </c>
      <c r="D27616">
        <v>0.9189130834</v>
      </c>
      <c r="E27616">
        <v>1.51124437781109</v>
      </c>
    </row>
    <row r="27617" spans="1:5">
      <c r="A27617" t="s">
        <v>32148</v>
      </c>
      <c r="B27617" t="s">
        <v>32149</v>
      </c>
      <c r="C27617">
        <f>0.559317185297</f>
        <v>0.55931718529700003</v>
      </c>
      <c r="D27617">
        <v>0.94948134166099996</v>
      </c>
      <c r="E27617">
        <v>0.37181409295352302</v>
      </c>
    </row>
    <row r="27618" spans="1:5">
      <c r="A27618" t="s">
        <v>32148</v>
      </c>
      <c r="B27618" t="s">
        <v>32150</v>
      </c>
      <c r="C27618">
        <v>0.50309693520700005</v>
      </c>
      <c r="D27618">
        <v>0.94948134166099996</v>
      </c>
      <c r="E27618">
        <v>0.37181409295352302</v>
      </c>
    </row>
    <row r="27619" spans="1:5">
      <c r="A27619" t="s">
        <v>32151</v>
      </c>
      <c r="B27619" t="s">
        <v>32152</v>
      </c>
      <c r="C27619">
        <v>0.191597084832</v>
      </c>
      <c r="D27619">
        <v>0.99284449525600005</v>
      </c>
      <c r="E27619">
        <v>5.8170914542728598</v>
      </c>
    </row>
    <row r="27620" spans="1:5">
      <c r="A27620" t="s">
        <v>32151</v>
      </c>
      <c r="B27620" t="s">
        <v>32153</v>
      </c>
      <c r="C27620">
        <f>0</f>
        <v>0</v>
      </c>
      <c r="D27620">
        <v>0.99284449525600005</v>
      </c>
      <c r="E27620">
        <v>5.8170914542728598</v>
      </c>
    </row>
    <row r="27621" spans="1:5">
      <c r="A27621" t="s">
        <v>32151</v>
      </c>
      <c r="B27621" t="s">
        <v>32154</v>
      </c>
      <c r="C27621">
        <f>0</f>
        <v>0</v>
      </c>
      <c r="D27621">
        <v>0.99284449525600005</v>
      </c>
      <c r="E27621">
        <v>5.8170914542728598</v>
      </c>
    </row>
    <row r="27622" spans="1:5">
      <c r="A27622" t="s">
        <v>32151</v>
      </c>
      <c r="B27622" t="s">
        <v>32155</v>
      </c>
      <c r="C27622">
        <f>0</f>
        <v>0</v>
      </c>
      <c r="D27622">
        <v>0.99284449525600005</v>
      </c>
      <c r="E27622">
        <v>5.8170914542728598</v>
      </c>
    </row>
    <row r="27623" spans="1:5">
      <c r="A27623" t="s">
        <v>32151</v>
      </c>
      <c r="B27623" t="s">
        <v>32156</v>
      </c>
      <c r="C27623">
        <f>0</f>
        <v>0</v>
      </c>
      <c r="D27623">
        <v>0.99284449525600005</v>
      </c>
      <c r="E27623">
        <v>5.8170914542728598</v>
      </c>
    </row>
    <row r="27624" spans="1:5">
      <c r="A27624" t="s">
        <v>32151</v>
      </c>
      <c r="B27624" t="s">
        <v>32157</v>
      </c>
      <c r="C27624">
        <f>0.180767716766</f>
        <v>0.18076771676600001</v>
      </c>
      <c r="D27624">
        <v>0.99284449525600005</v>
      </c>
      <c r="E27624">
        <v>5.8170914542728598</v>
      </c>
    </row>
    <row r="27625" spans="1:5">
      <c r="A27625" t="s">
        <v>32151</v>
      </c>
      <c r="B27625" t="s">
        <v>32158</v>
      </c>
      <c r="C27625">
        <f>0</f>
        <v>0</v>
      </c>
      <c r="D27625">
        <v>0.99284449525600005</v>
      </c>
      <c r="E27625">
        <v>5.8170914542728598</v>
      </c>
    </row>
    <row r="27626" spans="1:5">
      <c r="A27626" t="s">
        <v>32151</v>
      </c>
      <c r="B27626" t="s">
        <v>32159</v>
      </c>
      <c r="C27626">
        <f>0</f>
        <v>0</v>
      </c>
      <c r="D27626">
        <v>0.99284449525600005</v>
      </c>
      <c r="E27626">
        <v>5.8170914542728598</v>
      </c>
    </row>
    <row r="27627" spans="1:5">
      <c r="A27627" t="s">
        <v>32151</v>
      </c>
      <c r="B27627" t="s">
        <v>32160</v>
      </c>
      <c r="C27627">
        <v>0</v>
      </c>
      <c r="D27627">
        <v>0.99284449525600005</v>
      </c>
      <c r="E27627">
        <v>5.8170914542728598</v>
      </c>
    </row>
    <row r="27628" spans="1:5">
      <c r="A27628" t="s">
        <v>32151</v>
      </c>
      <c r="B27628" t="s">
        <v>32161</v>
      </c>
      <c r="C27628">
        <f>0</f>
        <v>0</v>
      </c>
      <c r="D27628">
        <v>0.99284449525600005</v>
      </c>
      <c r="E27628">
        <v>5.8170914542728598</v>
      </c>
    </row>
    <row r="27629" spans="1:5">
      <c r="A27629" t="s">
        <v>32151</v>
      </c>
      <c r="B27629" t="s">
        <v>32162</v>
      </c>
      <c r="C27629">
        <f>0</f>
        <v>0</v>
      </c>
      <c r="D27629">
        <v>0.99284449525600005</v>
      </c>
      <c r="E27629">
        <v>5.8170914542728598</v>
      </c>
    </row>
    <row r="27630" spans="1:5">
      <c r="A27630" t="s">
        <v>32151</v>
      </c>
      <c r="B27630" t="s">
        <v>32163</v>
      </c>
      <c r="C27630">
        <v>0</v>
      </c>
      <c r="D27630">
        <v>0.99284449525600005</v>
      </c>
      <c r="E27630">
        <v>5.8170914542728598</v>
      </c>
    </row>
    <row r="27631" spans="1:5">
      <c r="A27631" t="s">
        <v>32151</v>
      </c>
      <c r="B27631" t="s">
        <v>32164</v>
      </c>
      <c r="C27631">
        <v>0</v>
      </c>
      <c r="D27631">
        <v>0.99284449525600005</v>
      </c>
      <c r="E27631">
        <v>5.8170914542728598</v>
      </c>
    </row>
    <row r="27632" spans="1:5">
      <c r="A27632" t="s">
        <v>32165</v>
      </c>
      <c r="B27632" t="s">
        <v>32166</v>
      </c>
      <c r="C27632">
        <v>0</v>
      </c>
      <c r="D27632" t="s">
        <v>106</v>
      </c>
      <c r="E27632">
        <v>14.9325337331334</v>
      </c>
    </row>
    <row r="27633" spans="1:5">
      <c r="A27633" t="s">
        <v>32167</v>
      </c>
      <c r="B27633" t="s">
        <v>32168</v>
      </c>
      <c r="C27633">
        <v>5.8981617571800003E-2</v>
      </c>
      <c r="D27633">
        <v>0.87979800250200002</v>
      </c>
      <c r="E27633">
        <v>1.39130434782608</v>
      </c>
    </row>
    <row r="27634" spans="1:5">
      <c r="A27634" t="s">
        <v>32167</v>
      </c>
      <c r="B27634" t="s">
        <v>32169</v>
      </c>
      <c r="C27634">
        <v>0.59935949562099999</v>
      </c>
      <c r="D27634">
        <v>0.87979800250200002</v>
      </c>
      <c r="E27634">
        <v>1.39130434782608</v>
      </c>
    </row>
    <row r="27635" spans="1:5">
      <c r="A27635" t="s">
        <v>32167</v>
      </c>
      <c r="B27635" t="s">
        <v>32170</v>
      </c>
      <c r="C27635">
        <f>0</f>
        <v>0</v>
      </c>
      <c r="D27635">
        <v>0.87979800250200002</v>
      </c>
      <c r="E27635">
        <v>1.39130434782608</v>
      </c>
    </row>
    <row r="27636" spans="1:5">
      <c r="A27636" t="s">
        <v>32167</v>
      </c>
      <c r="B27636" t="s">
        <v>32171</v>
      </c>
      <c r="C27636">
        <v>0</v>
      </c>
      <c r="D27636">
        <v>0.87979800250200002</v>
      </c>
      <c r="E27636">
        <v>1.39130434782608</v>
      </c>
    </row>
    <row r="27637" spans="1:5">
      <c r="A27637" t="s">
        <v>32172</v>
      </c>
      <c r="B27637" t="s">
        <v>32173</v>
      </c>
      <c r="C27637">
        <f>0</f>
        <v>0</v>
      </c>
      <c r="D27637">
        <v>0.97476907767499998</v>
      </c>
      <c r="E27637">
        <v>15.5082458770614</v>
      </c>
    </row>
    <row r="27638" spans="1:5">
      <c r="A27638" t="s">
        <v>32172</v>
      </c>
      <c r="B27638" t="s">
        <v>32174</v>
      </c>
      <c r="C27638">
        <v>0</v>
      </c>
      <c r="D27638">
        <v>0.97476907767499998</v>
      </c>
      <c r="E27638">
        <v>15.5082458770614</v>
      </c>
    </row>
    <row r="27639" spans="1:5">
      <c r="A27639" t="s">
        <v>32172</v>
      </c>
      <c r="B27639" t="s">
        <v>32175</v>
      </c>
      <c r="C27639">
        <f>0</f>
        <v>0</v>
      </c>
      <c r="D27639">
        <v>0.97476907767499998</v>
      </c>
      <c r="E27639">
        <v>15.5082458770614</v>
      </c>
    </row>
    <row r="27640" spans="1:5">
      <c r="A27640" t="s">
        <v>32172</v>
      </c>
      <c r="B27640" t="s">
        <v>32176</v>
      </c>
      <c r="C27640">
        <f>0</f>
        <v>0</v>
      </c>
      <c r="D27640">
        <v>0.97476907767499998</v>
      </c>
      <c r="E27640">
        <v>15.5082458770614</v>
      </c>
    </row>
    <row r="27641" spans="1:5">
      <c r="A27641" t="s">
        <v>32172</v>
      </c>
      <c r="B27641" t="s">
        <v>32177</v>
      </c>
      <c r="C27641">
        <f>0</f>
        <v>0</v>
      </c>
      <c r="D27641">
        <v>0.97476907767499998</v>
      </c>
      <c r="E27641">
        <v>15.5082458770614</v>
      </c>
    </row>
    <row r="27642" spans="1:5">
      <c r="A27642" t="s">
        <v>32172</v>
      </c>
      <c r="B27642" t="s">
        <v>32178</v>
      </c>
      <c r="C27642">
        <f>0</f>
        <v>0</v>
      </c>
      <c r="D27642">
        <v>0.97476907767499998</v>
      </c>
      <c r="E27642">
        <v>15.5082458770614</v>
      </c>
    </row>
    <row r="27643" spans="1:5">
      <c r="A27643" t="s">
        <v>32172</v>
      </c>
      <c r="B27643" t="s">
        <v>32179</v>
      </c>
      <c r="C27643">
        <f>0</f>
        <v>0</v>
      </c>
      <c r="D27643">
        <v>0.97476907767499998</v>
      </c>
      <c r="E27643">
        <v>15.5082458770614</v>
      </c>
    </row>
    <row r="27644" spans="1:5">
      <c r="A27644" t="s">
        <v>32172</v>
      </c>
      <c r="B27644" t="s">
        <v>32180</v>
      </c>
      <c r="C27644">
        <v>0</v>
      </c>
      <c r="D27644">
        <v>0.97476907767499998</v>
      </c>
      <c r="E27644">
        <v>15.5082458770614</v>
      </c>
    </row>
    <row r="27645" spans="1:5">
      <c r="A27645" t="s">
        <v>32172</v>
      </c>
      <c r="B27645" t="s">
        <v>32181</v>
      </c>
      <c r="C27645">
        <v>0</v>
      </c>
      <c r="D27645">
        <v>0.97476907767499998</v>
      </c>
      <c r="E27645">
        <v>15.5082458770614</v>
      </c>
    </row>
    <row r="27646" spans="1:5">
      <c r="A27646" t="s">
        <v>32172</v>
      </c>
      <c r="B27646" t="s">
        <v>32182</v>
      </c>
      <c r="C27646">
        <v>0</v>
      </c>
      <c r="D27646">
        <v>0.97476907767499998</v>
      </c>
      <c r="E27646">
        <v>15.5082458770614</v>
      </c>
    </row>
    <row r="27647" spans="1:5">
      <c r="A27647" t="s">
        <v>32172</v>
      </c>
      <c r="B27647" t="s">
        <v>32183</v>
      </c>
      <c r="C27647">
        <v>0</v>
      </c>
      <c r="D27647">
        <v>0.97476907767499998</v>
      </c>
      <c r="E27647">
        <v>15.5082458770614</v>
      </c>
    </row>
    <row r="27648" spans="1:5">
      <c r="A27648" t="s">
        <v>32172</v>
      </c>
      <c r="B27648" t="s">
        <v>32184</v>
      </c>
      <c r="C27648">
        <v>0</v>
      </c>
      <c r="D27648">
        <v>0.97476907767499998</v>
      </c>
      <c r="E27648">
        <v>15.5082458770614</v>
      </c>
    </row>
    <row r="27649" spans="1:5">
      <c r="A27649" t="s">
        <v>32172</v>
      </c>
      <c r="B27649" t="s">
        <v>32185</v>
      </c>
      <c r="C27649">
        <v>0</v>
      </c>
      <c r="D27649">
        <v>0.97476907767499998</v>
      </c>
      <c r="E27649">
        <v>15.5082458770614</v>
      </c>
    </row>
    <row r="27650" spans="1:5">
      <c r="A27650" t="s">
        <v>32172</v>
      </c>
      <c r="B27650" t="s">
        <v>32186</v>
      </c>
      <c r="C27650">
        <f>0</f>
        <v>0</v>
      </c>
      <c r="D27650">
        <v>0.97476907767499998</v>
      </c>
      <c r="E27650">
        <v>15.5082458770614</v>
      </c>
    </row>
    <row r="27651" spans="1:5">
      <c r="A27651" t="s">
        <v>32172</v>
      </c>
      <c r="B27651" t="s">
        <v>32187</v>
      </c>
      <c r="C27651">
        <f>0.110586320043</f>
        <v>0.11058632004299999</v>
      </c>
      <c r="D27651">
        <v>0.97476907767499998</v>
      </c>
      <c r="E27651">
        <v>15.5082458770614</v>
      </c>
    </row>
    <row r="27652" spans="1:5">
      <c r="A27652" t="s">
        <v>32172</v>
      </c>
      <c r="B27652" t="s">
        <v>32188</v>
      </c>
      <c r="C27652">
        <f>0.00602956643055</f>
        <v>6.0295664305500003E-3</v>
      </c>
      <c r="D27652">
        <v>0.97476907767499998</v>
      </c>
      <c r="E27652">
        <v>15.5082458770614</v>
      </c>
    </row>
    <row r="27653" spans="1:5">
      <c r="A27653" t="s">
        <v>32172</v>
      </c>
      <c r="B27653" t="s">
        <v>32189</v>
      </c>
      <c r="C27653">
        <v>0</v>
      </c>
      <c r="D27653">
        <v>0.97476907767499998</v>
      </c>
      <c r="E27653">
        <v>15.5082458770614</v>
      </c>
    </row>
    <row r="27654" spans="1:5">
      <c r="A27654" t="s">
        <v>32172</v>
      </c>
      <c r="B27654" t="s">
        <v>32190</v>
      </c>
      <c r="C27654">
        <v>0</v>
      </c>
      <c r="D27654">
        <v>0.97476907767499998</v>
      </c>
      <c r="E27654">
        <v>15.5082458770614</v>
      </c>
    </row>
    <row r="27655" spans="1:5">
      <c r="A27655" t="s">
        <v>32191</v>
      </c>
      <c r="B27655" t="s">
        <v>32192</v>
      </c>
      <c r="C27655">
        <v>0.78920281206700005</v>
      </c>
      <c r="D27655">
        <v>0.98402076144600004</v>
      </c>
      <c r="E27655">
        <v>8.3958020989505194E-2</v>
      </c>
    </row>
    <row r="27656" spans="1:5">
      <c r="A27656" t="s">
        <v>32191</v>
      </c>
      <c r="B27656" t="s">
        <v>32193</v>
      </c>
      <c r="C27656">
        <v>0</v>
      </c>
      <c r="D27656">
        <v>0.98402076144600004</v>
      </c>
      <c r="E27656">
        <v>8.3958020989505194E-2</v>
      </c>
    </row>
    <row r="27657" spans="1:5">
      <c r="A27657" t="s">
        <v>32191</v>
      </c>
      <c r="B27657" t="s">
        <v>32194</v>
      </c>
      <c r="C27657">
        <v>0.24487552170499999</v>
      </c>
      <c r="D27657">
        <v>0.98402076144600004</v>
      </c>
      <c r="E27657">
        <v>8.3958020989505194E-2</v>
      </c>
    </row>
    <row r="27658" spans="1:5">
      <c r="A27658" t="s">
        <v>32191</v>
      </c>
      <c r="B27658" t="s">
        <v>32195</v>
      </c>
      <c r="C27658">
        <f>0</f>
        <v>0</v>
      </c>
      <c r="D27658">
        <v>0.98402076144600004</v>
      </c>
      <c r="E27658">
        <v>8.3958020989505194E-2</v>
      </c>
    </row>
    <row r="27659" spans="1:5">
      <c r="A27659" t="s">
        <v>32191</v>
      </c>
      <c r="B27659" t="s">
        <v>32196</v>
      </c>
      <c r="C27659">
        <v>0</v>
      </c>
      <c r="D27659">
        <v>0.98402076144600004</v>
      </c>
      <c r="E27659">
        <v>8.3958020989505194E-2</v>
      </c>
    </row>
    <row r="27660" spans="1:5">
      <c r="A27660" t="s">
        <v>32197</v>
      </c>
      <c r="B27660" t="s">
        <v>32198</v>
      </c>
      <c r="C27660">
        <v>0</v>
      </c>
      <c r="D27660" t="s">
        <v>106</v>
      </c>
      <c r="E27660">
        <v>0.95952023988005997</v>
      </c>
    </row>
    <row r="27661" spans="1:5">
      <c r="A27661" t="s">
        <v>32197</v>
      </c>
      <c r="B27661" t="s">
        <v>32199</v>
      </c>
      <c r="C27661">
        <f>0</f>
        <v>0</v>
      </c>
      <c r="D27661" t="s">
        <v>106</v>
      </c>
      <c r="E27661">
        <v>0.95952023988005997</v>
      </c>
    </row>
    <row r="27662" spans="1:5">
      <c r="A27662" t="s">
        <v>32197</v>
      </c>
      <c r="B27662" t="s">
        <v>32200</v>
      </c>
      <c r="C27662">
        <f>0</f>
        <v>0</v>
      </c>
      <c r="D27662" t="s">
        <v>106</v>
      </c>
      <c r="E27662">
        <v>0.95952023988005997</v>
      </c>
    </row>
    <row r="27663" spans="1:5">
      <c r="A27663" t="s">
        <v>32197</v>
      </c>
      <c r="B27663" t="s">
        <v>32201</v>
      </c>
      <c r="C27663">
        <v>0</v>
      </c>
      <c r="D27663" t="s">
        <v>106</v>
      </c>
      <c r="E27663">
        <v>0.95952023988005997</v>
      </c>
    </row>
    <row r="27664" spans="1:5">
      <c r="A27664" t="s">
        <v>32202</v>
      </c>
      <c r="B27664" t="s">
        <v>32203</v>
      </c>
      <c r="C27664">
        <v>0</v>
      </c>
      <c r="D27664">
        <v>0.93867139820900003</v>
      </c>
      <c r="E27664">
        <v>0.40779610194902499</v>
      </c>
    </row>
    <row r="27665" spans="1:5">
      <c r="A27665" t="s">
        <v>32202</v>
      </c>
      <c r="B27665" t="s">
        <v>32204</v>
      </c>
      <c r="C27665">
        <v>0</v>
      </c>
      <c r="D27665">
        <v>0.93867139820900003</v>
      </c>
      <c r="E27665">
        <v>0.40779610194902499</v>
      </c>
    </row>
    <row r="27666" spans="1:5">
      <c r="A27666" t="s">
        <v>32202</v>
      </c>
      <c r="B27666" t="s">
        <v>32205</v>
      </c>
      <c r="C27666">
        <f>0</f>
        <v>0</v>
      </c>
      <c r="D27666">
        <v>0.93867139820900003</v>
      </c>
      <c r="E27666">
        <v>0.40779610194902499</v>
      </c>
    </row>
    <row r="27667" spans="1:5">
      <c r="A27667" t="s">
        <v>32202</v>
      </c>
      <c r="B27667" t="s">
        <v>32206</v>
      </c>
      <c r="C27667">
        <v>0</v>
      </c>
      <c r="D27667">
        <v>0.93867139820900003</v>
      </c>
      <c r="E27667">
        <v>0.40779610194902499</v>
      </c>
    </row>
    <row r="27668" spans="1:5">
      <c r="A27668" t="s">
        <v>32202</v>
      </c>
      <c r="B27668" t="s">
        <v>32207</v>
      </c>
      <c r="C27668">
        <f>0.355394393126</f>
        <v>0.35539439312600002</v>
      </c>
      <c r="D27668">
        <v>0.93867139820900003</v>
      </c>
      <c r="E27668">
        <v>0.40779610194902499</v>
      </c>
    </row>
    <row r="27669" spans="1:5">
      <c r="A27669" t="s">
        <v>32202</v>
      </c>
      <c r="B27669" t="s">
        <v>32208</v>
      </c>
      <c r="C27669">
        <f>0.0278657879798</f>
        <v>2.7865787979800001E-2</v>
      </c>
      <c r="D27669">
        <v>0.93867139820900003</v>
      </c>
      <c r="E27669">
        <v>0.40779610194902499</v>
      </c>
    </row>
    <row r="27670" spans="1:5">
      <c r="A27670" t="s">
        <v>32202</v>
      </c>
      <c r="B27670" t="s">
        <v>32209</v>
      </c>
      <c r="C27670">
        <v>0</v>
      </c>
      <c r="D27670">
        <v>0.93867139820900003</v>
      </c>
      <c r="E27670">
        <v>0.40779610194902499</v>
      </c>
    </row>
    <row r="27671" spans="1:5">
      <c r="A27671" t="s">
        <v>32202</v>
      </c>
      <c r="B27671" t="s">
        <v>32210</v>
      </c>
      <c r="C27671">
        <v>0</v>
      </c>
      <c r="D27671">
        <v>0.93867139820900003</v>
      </c>
      <c r="E27671">
        <v>0.40779610194902499</v>
      </c>
    </row>
    <row r="27672" spans="1:5">
      <c r="A27672" t="s">
        <v>32202</v>
      </c>
      <c r="B27672" t="s">
        <v>32211</v>
      </c>
      <c r="C27672">
        <f>0</f>
        <v>0</v>
      </c>
      <c r="D27672">
        <v>0.93867139820900003</v>
      </c>
      <c r="E27672">
        <v>0.40779610194902499</v>
      </c>
    </row>
    <row r="27673" spans="1:5">
      <c r="A27673" t="s">
        <v>32212</v>
      </c>
      <c r="B27673" t="s">
        <v>32213</v>
      </c>
      <c r="C27673">
        <v>3.9336153479300001E-2</v>
      </c>
      <c r="D27673">
        <v>0.98801090897300003</v>
      </c>
      <c r="E27673">
        <v>13.0854572713643</v>
      </c>
    </row>
    <row r="27674" spans="1:5">
      <c r="A27674" t="s">
        <v>32212</v>
      </c>
      <c r="B27674" t="s">
        <v>32214</v>
      </c>
      <c r="C27674">
        <v>0.62559413843099998</v>
      </c>
      <c r="D27674">
        <v>0.98801090897300003</v>
      </c>
      <c r="E27674">
        <v>13.0854572713643</v>
      </c>
    </row>
    <row r="27675" spans="1:5">
      <c r="A27675" t="s">
        <v>32215</v>
      </c>
      <c r="B27675" t="s">
        <v>32216</v>
      </c>
      <c r="C27675">
        <v>0.14122928562500001</v>
      </c>
      <c r="D27675">
        <v>0.94105700176600005</v>
      </c>
      <c r="E27675">
        <v>8.1439280359820092</v>
      </c>
    </row>
    <row r="27676" spans="1:5">
      <c r="A27676" t="s">
        <v>32215</v>
      </c>
      <c r="B27676" t="s">
        <v>32217</v>
      </c>
      <c r="C27676">
        <v>0</v>
      </c>
      <c r="D27676">
        <v>0.94105700176600005</v>
      </c>
      <c r="E27676">
        <v>8.1439280359820092</v>
      </c>
    </row>
    <row r="27677" spans="1:5">
      <c r="A27677" t="s">
        <v>32215</v>
      </c>
      <c r="B27677" t="s">
        <v>32218</v>
      </c>
      <c r="C27677">
        <f>0</f>
        <v>0</v>
      </c>
      <c r="D27677">
        <v>0.94105700176600005</v>
      </c>
      <c r="E27677">
        <v>8.1439280359820092</v>
      </c>
    </row>
    <row r="27678" spans="1:5">
      <c r="A27678" t="s">
        <v>32215</v>
      </c>
      <c r="B27678" t="s">
        <v>32219</v>
      </c>
      <c r="C27678">
        <f>0</f>
        <v>0</v>
      </c>
      <c r="D27678">
        <v>0.94105700176600005</v>
      </c>
      <c r="E27678">
        <v>8.1439280359820092</v>
      </c>
    </row>
    <row r="27679" spans="1:5">
      <c r="A27679" t="s">
        <v>32215</v>
      </c>
      <c r="B27679" t="s">
        <v>32220</v>
      </c>
      <c r="C27679">
        <f>0</f>
        <v>0</v>
      </c>
      <c r="D27679">
        <v>0.94105700176600005</v>
      </c>
      <c r="E27679">
        <v>8.1439280359820092</v>
      </c>
    </row>
    <row r="27680" spans="1:5">
      <c r="A27680" t="s">
        <v>32215</v>
      </c>
      <c r="B27680" t="s">
        <v>32221</v>
      </c>
      <c r="C27680">
        <f>0</f>
        <v>0</v>
      </c>
      <c r="D27680">
        <v>0.94105700176600005</v>
      </c>
      <c r="E27680">
        <v>8.1439280359820092</v>
      </c>
    </row>
    <row r="27681" spans="1:5">
      <c r="A27681" t="s">
        <v>32222</v>
      </c>
      <c r="B27681" t="s">
        <v>32223</v>
      </c>
      <c r="C27681">
        <v>0</v>
      </c>
      <c r="D27681">
        <v>0.909679499492</v>
      </c>
      <c r="E27681">
        <v>11.370314842578701</v>
      </c>
    </row>
    <row r="27682" spans="1:5">
      <c r="A27682" t="s">
        <v>32222</v>
      </c>
      <c r="B27682" t="s">
        <v>32224</v>
      </c>
      <c r="C27682">
        <v>0.10044999362400001</v>
      </c>
      <c r="D27682">
        <v>0.909679499492</v>
      </c>
      <c r="E27682">
        <v>11.370314842578701</v>
      </c>
    </row>
    <row r="27683" spans="1:5">
      <c r="A27683" t="s">
        <v>32222</v>
      </c>
      <c r="B27683" t="s">
        <v>32225</v>
      </c>
      <c r="C27683">
        <v>0</v>
      </c>
      <c r="D27683">
        <v>0.909679499492</v>
      </c>
      <c r="E27683">
        <v>11.370314842578701</v>
      </c>
    </row>
    <row r="27684" spans="1:5">
      <c r="A27684" t="s">
        <v>32222</v>
      </c>
      <c r="B27684" t="s">
        <v>32226</v>
      </c>
      <c r="C27684">
        <v>0</v>
      </c>
      <c r="D27684">
        <v>0.909679499492</v>
      </c>
      <c r="E27684">
        <v>11.370314842578701</v>
      </c>
    </row>
    <row r="27685" spans="1:5">
      <c r="A27685" t="s">
        <v>32222</v>
      </c>
      <c r="B27685" t="s">
        <v>32227</v>
      </c>
      <c r="C27685">
        <f>0.190914973383</f>
        <v>0.19091497338300001</v>
      </c>
      <c r="D27685">
        <v>0.909679499492</v>
      </c>
      <c r="E27685">
        <v>11.370314842578701</v>
      </c>
    </row>
    <row r="27686" spans="1:5">
      <c r="A27686" t="s">
        <v>32222</v>
      </c>
      <c r="B27686" t="s">
        <v>32228</v>
      </c>
      <c r="C27686">
        <f>0</f>
        <v>0</v>
      </c>
      <c r="D27686">
        <v>0.909679499492</v>
      </c>
      <c r="E27686">
        <v>11.370314842578701</v>
      </c>
    </row>
    <row r="27687" spans="1:5">
      <c r="A27687" t="s">
        <v>32222</v>
      </c>
      <c r="B27687" t="s">
        <v>32229</v>
      </c>
      <c r="C27687">
        <f>0</f>
        <v>0</v>
      </c>
      <c r="D27687">
        <v>0.909679499492</v>
      </c>
      <c r="E27687">
        <v>11.370314842578701</v>
      </c>
    </row>
    <row r="27688" spans="1:5">
      <c r="A27688" t="s">
        <v>32222</v>
      </c>
      <c r="B27688" t="s">
        <v>32230</v>
      </c>
      <c r="C27688">
        <v>0</v>
      </c>
      <c r="D27688">
        <v>0.909679499492</v>
      </c>
      <c r="E27688">
        <v>11.370314842578701</v>
      </c>
    </row>
    <row r="27689" spans="1:5">
      <c r="A27689" t="s">
        <v>32222</v>
      </c>
      <c r="B27689" t="s">
        <v>32231</v>
      </c>
      <c r="C27689">
        <v>0</v>
      </c>
      <c r="D27689">
        <v>0.909679499492</v>
      </c>
      <c r="E27689">
        <v>11.370314842578701</v>
      </c>
    </row>
    <row r="27690" spans="1:5">
      <c r="A27690" t="s">
        <v>32222</v>
      </c>
      <c r="B27690" t="s">
        <v>32232</v>
      </c>
      <c r="C27690">
        <v>0</v>
      </c>
      <c r="D27690">
        <v>0.909679499492</v>
      </c>
      <c r="E27690">
        <v>11.370314842578701</v>
      </c>
    </row>
    <row r="27691" spans="1:5">
      <c r="A27691" t="s">
        <v>32233</v>
      </c>
      <c r="B27691" t="s">
        <v>32234</v>
      </c>
      <c r="C27691">
        <v>0.144502069447</v>
      </c>
      <c r="D27691">
        <v>0.99277993004499998</v>
      </c>
      <c r="E27691">
        <v>10.398800599700101</v>
      </c>
    </row>
    <row r="27692" spans="1:5">
      <c r="A27692" t="s">
        <v>32233</v>
      </c>
      <c r="B27692" t="s">
        <v>32235</v>
      </c>
      <c r="C27692">
        <v>0</v>
      </c>
      <c r="D27692">
        <v>0.99277993004499998</v>
      </c>
      <c r="E27692">
        <v>10.398800599700101</v>
      </c>
    </row>
    <row r="27693" spans="1:5">
      <c r="A27693" t="s">
        <v>32233</v>
      </c>
      <c r="B27693" t="s">
        <v>32236</v>
      </c>
      <c r="C27693">
        <v>0</v>
      </c>
      <c r="D27693">
        <v>0.99277993004499998</v>
      </c>
      <c r="E27693">
        <v>10.398800599700101</v>
      </c>
    </row>
    <row r="27694" spans="1:5">
      <c r="A27694" t="s">
        <v>32233</v>
      </c>
      <c r="B27694" t="s">
        <v>32237</v>
      </c>
      <c r="C27694">
        <f>0</f>
        <v>0</v>
      </c>
      <c r="D27694">
        <v>0.99277993004499998</v>
      </c>
      <c r="E27694">
        <v>10.398800599700101</v>
      </c>
    </row>
    <row r="27695" spans="1:5">
      <c r="A27695" t="s">
        <v>32233</v>
      </c>
      <c r="B27695" t="s">
        <v>32238</v>
      </c>
      <c r="C27695">
        <v>0</v>
      </c>
      <c r="D27695">
        <v>0.99277993004499998</v>
      </c>
      <c r="E27695">
        <v>10.398800599700101</v>
      </c>
    </row>
    <row r="27696" spans="1:5">
      <c r="A27696" t="s">
        <v>32233</v>
      </c>
      <c r="B27696" t="s">
        <v>32239</v>
      </c>
      <c r="C27696">
        <v>0</v>
      </c>
      <c r="D27696">
        <v>0.99277993004499998</v>
      </c>
      <c r="E27696">
        <v>10.398800599700101</v>
      </c>
    </row>
    <row r="27697" spans="1:5">
      <c r="A27697" t="s">
        <v>32233</v>
      </c>
      <c r="B27697" t="s">
        <v>32240</v>
      </c>
      <c r="C27697">
        <v>0.22892523061299999</v>
      </c>
      <c r="D27697">
        <v>0.99277993004499998</v>
      </c>
      <c r="E27697">
        <v>10.398800599700101</v>
      </c>
    </row>
    <row r="27698" spans="1:5">
      <c r="A27698" t="s">
        <v>32233</v>
      </c>
      <c r="B27698" t="s">
        <v>32241</v>
      </c>
      <c r="C27698">
        <v>0</v>
      </c>
      <c r="D27698">
        <v>0.99277993004499998</v>
      </c>
      <c r="E27698">
        <v>10.398800599700101</v>
      </c>
    </row>
    <row r="27699" spans="1:5">
      <c r="A27699" t="s">
        <v>32233</v>
      </c>
      <c r="B27699" t="s">
        <v>32242</v>
      </c>
      <c r="C27699">
        <v>0</v>
      </c>
      <c r="D27699">
        <v>0.99277993004499998</v>
      </c>
      <c r="E27699">
        <v>10.398800599700101</v>
      </c>
    </row>
    <row r="27700" spans="1:5">
      <c r="A27700" t="s">
        <v>32233</v>
      </c>
      <c r="B27700" t="s">
        <v>32243</v>
      </c>
      <c r="C27700">
        <v>0</v>
      </c>
      <c r="D27700">
        <v>0.99277993004499998</v>
      </c>
      <c r="E27700">
        <v>10.398800599700101</v>
      </c>
    </row>
    <row r="27701" spans="1:5">
      <c r="A27701" t="s">
        <v>32233</v>
      </c>
      <c r="B27701" t="s">
        <v>32244</v>
      </c>
      <c r="C27701">
        <f>0</f>
        <v>0</v>
      </c>
      <c r="D27701">
        <v>0.99277993004499998</v>
      </c>
      <c r="E27701">
        <v>10.398800599700101</v>
      </c>
    </row>
    <row r="27702" spans="1:5">
      <c r="A27702" t="s">
        <v>32233</v>
      </c>
      <c r="B27702" t="s">
        <v>32245</v>
      </c>
      <c r="C27702">
        <v>0</v>
      </c>
      <c r="D27702">
        <v>0.99277993004499998</v>
      </c>
      <c r="E27702">
        <v>10.398800599700101</v>
      </c>
    </row>
    <row r="27703" spans="1:5">
      <c r="A27703" t="s">
        <v>32233</v>
      </c>
      <c r="B27703" t="s">
        <v>32246</v>
      </c>
      <c r="C27703">
        <v>0</v>
      </c>
      <c r="D27703">
        <v>0.99277993004499998</v>
      </c>
      <c r="E27703">
        <v>10.398800599700101</v>
      </c>
    </row>
    <row r="27704" spans="1:5">
      <c r="A27704" t="s">
        <v>32233</v>
      </c>
      <c r="B27704" t="s">
        <v>32247</v>
      </c>
      <c r="C27704">
        <f>0</f>
        <v>0</v>
      </c>
      <c r="D27704">
        <v>0.99277993004499998</v>
      </c>
      <c r="E27704">
        <v>10.398800599700101</v>
      </c>
    </row>
    <row r="27705" spans="1:5">
      <c r="A27705" t="s">
        <v>32233</v>
      </c>
      <c r="B27705" t="s">
        <v>32248</v>
      </c>
      <c r="C27705">
        <f>0</f>
        <v>0</v>
      </c>
      <c r="D27705">
        <v>0.99277993004499998</v>
      </c>
      <c r="E27705">
        <v>10.398800599700101</v>
      </c>
    </row>
    <row r="27706" spans="1:5">
      <c r="A27706" t="s">
        <v>32249</v>
      </c>
      <c r="B27706" t="s">
        <v>32250</v>
      </c>
      <c r="C27706">
        <f>0</f>
        <v>0</v>
      </c>
      <c r="D27706">
        <v>0.75841031614800003</v>
      </c>
      <c r="E27706">
        <v>9.6191904047975996</v>
      </c>
    </row>
    <row r="27707" spans="1:5">
      <c r="A27707" t="s">
        <v>32249</v>
      </c>
      <c r="B27707" t="s">
        <v>32251</v>
      </c>
      <c r="C27707">
        <f>0</f>
        <v>0</v>
      </c>
      <c r="D27707">
        <v>0.75841031614800003</v>
      </c>
      <c r="E27707">
        <v>9.6191904047975996</v>
      </c>
    </row>
    <row r="27708" spans="1:5">
      <c r="A27708" t="s">
        <v>32249</v>
      </c>
      <c r="B27708" t="s">
        <v>32252</v>
      </c>
      <c r="C27708">
        <f>0.0271171493274</f>
        <v>2.71171493274E-2</v>
      </c>
      <c r="D27708">
        <v>0.75841031614800003</v>
      </c>
      <c r="E27708">
        <v>9.6191904047975996</v>
      </c>
    </row>
    <row r="27709" spans="1:5">
      <c r="A27709" t="s">
        <v>32249</v>
      </c>
      <c r="B27709" t="s">
        <v>32253</v>
      </c>
      <c r="C27709">
        <f>0.118431682214</f>
        <v>0.11843168221399999</v>
      </c>
      <c r="D27709">
        <v>0.75841031614800003</v>
      </c>
      <c r="E27709">
        <v>9.6191904047975996</v>
      </c>
    </row>
    <row r="27710" spans="1:5">
      <c r="A27710" t="s">
        <v>32249</v>
      </c>
      <c r="B27710" t="s">
        <v>32254</v>
      </c>
      <c r="C27710">
        <f>0</f>
        <v>0</v>
      </c>
      <c r="D27710">
        <v>0.75841031614800003</v>
      </c>
      <c r="E27710">
        <v>9.6191904047975996</v>
      </c>
    </row>
    <row r="27711" spans="1:5">
      <c r="A27711" t="s">
        <v>32249</v>
      </c>
      <c r="B27711" t="s">
        <v>32255</v>
      </c>
      <c r="C27711">
        <f>0</f>
        <v>0</v>
      </c>
      <c r="D27711">
        <v>0.75841031614800003</v>
      </c>
      <c r="E27711">
        <v>9.6191904047975996</v>
      </c>
    </row>
    <row r="27712" spans="1:5">
      <c r="A27712" t="s">
        <v>32249</v>
      </c>
      <c r="B27712" t="s">
        <v>32256</v>
      </c>
      <c r="C27712">
        <f>0</f>
        <v>0</v>
      </c>
      <c r="D27712">
        <v>0.75841031614800003</v>
      </c>
      <c r="E27712">
        <v>9.6191904047975996</v>
      </c>
    </row>
    <row r="27713" spans="1:5">
      <c r="A27713" t="s">
        <v>32257</v>
      </c>
      <c r="B27713" t="s">
        <v>32258</v>
      </c>
      <c r="C27713">
        <v>0.24802814426299999</v>
      </c>
      <c r="D27713">
        <v>0.48834535190799999</v>
      </c>
      <c r="E27713">
        <v>17.511244377811</v>
      </c>
    </row>
    <row r="27714" spans="1:5">
      <c r="A27714" t="s">
        <v>32257</v>
      </c>
      <c r="B27714" t="s">
        <v>32259</v>
      </c>
      <c r="C27714">
        <v>1.9247475160599999E-2</v>
      </c>
      <c r="D27714">
        <v>0.48834535190799999</v>
      </c>
      <c r="E27714">
        <v>17.511244377811</v>
      </c>
    </row>
    <row r="27715" spans="1:5">
      <c r="A27715" t="s">
        <v>32257</v>
      </c>
      <c r="B27715" t="s">
        <v>32260</v>
      </c>
      <c r="C27715">
        <v>0</v>
      </c>
      <c r="D27715">
        <v>0.48834535190799999</v>
      </c>
      <c r="E27715">
        <v>17.511244377811</v>
      </c>
    </row>
    <row r="27716" spans="1:5">
      <c r="A27716" t="s">
        <v>32257</v>
      </c>
      <c r="B27716" t="s">
        <v>32261</v>
      </c>
      <c r="C27716">
        <v>0</v>
      </c>
      <c r="D27716">
        <v>0.48834535190799999</v>
      </c>
      <c r="E27716">
        <v>17.511244377811</v>
      </c>
    </row>
    <row r="27717" spans="1:5">
      <c r="A27717" t="s">
        <v>32257</v>
      </c>
      <c r="B27717" t="s">
        <v>32262</v>
      </c>
      <c r="C27717">
        <v>0</v>
      </c>
      <c r="D27717">
        <v>0.48834535190799999</v>
      </c>
      <c r="E27717">
        <v>17.511244377811</v>
      </c>
    </row>
    <row r="27718" spans="1:5">
      <c r="A27718" t="s">
        <v>32257</v>
      </c>
      <c r="B27718" t="s">
        <v>32263</v>
      </c>
      <c r="C27718">
        <v>0</v>
      </c>
      <c r="D27718">
        <v>0.48834535190799999</v>
      </c>
      <c r="E27718">
        <v>17.511244377811</v>
      </c>
    </row>
    <row r="27719" spans="1:5">
      <c r="A27719" t="s">
        <v>32264</v>
      </c>
      <c r="B27719" t="s">
        <v>32265</v>
      </c>
      <c r="C27719">
        <v>0</v>
      </c>
      <c r="D27719">
        <v>0.98732402591500001</v>
      </c>
      <c r="E27719">
        <v>13.445277361319301</v>
      </c>
    </row>
    <row r="27720" spans="1:5">
      <c r="A27720" t="s">
        <v>32264</v>
      </c>
      <c r="B27720" t="s">
        <v>32266</v>
      </c>
      <c r="C27720">
        <f>0</f>
        <v>0</v>
      </c>
      <c r="D27720">
        <v>0.98732402591500001</v>
      </c>
      <c r="E27720">
        <v>13.445277361319301</v>
      </c>
    </row>
    <row r="27721" spans="1:5">
      <c r="A27721" t="s">
        <v>32264</v>
      </c>
      <c r="B27721" t="s">
        <v>32267</v>
      </c>
      <c r="C27721">
        <f>0</f>
        <v>0</v>
      </c>
      <c r="D27721">
        <v>0.98732402591500001</v>
      </c>
      <c r="E27721">
        <v>13.445277361319301</v>
      </c>
    </row>
    <row r="27722" spans="1:5">
      <c r="A27722" t="s">
        <v>32264</v>
      </c>
      <c r="B27722" t="s">
        <v>32268</v>
      </c>
      <c r="C27722">
        <v>0</v>
      </c>
      <c r="D27722">
        <v>0.98732402591500001</v>
      </c>
      <c r="E27722">
        <v>13.445277361319301</v>
      </c>
    </row>
    <row r="27723" spans="1:5">
      <c r="A27723" t="s">
        <v>32264</v>
      </c>
      <c r="B27723" t="s">
        <v>32269</v>
      </c>
      <c r="C27723">
        <v>0</v>
      </c>
      <c r="D27723">
        <v>0.98732402591500001</v>
      </c>
      <c r="E27723">
        <v>13.445277361319301</v>
      </c>
    </row>
    <row r="27724" spans="1:5">
      <c r="A27724" t="s">
        <v>32264</v>
      </c>
      <c r="B27724" t="s">
        <v>32270</v>
      </c>
      <c r="C27724">
        <f>0</f>
        <v>0</v>
      </c>
      <c r="D27724">
        <v>0.98732402591500001</v>
      </c>
      <c r="E27724">
        <v>13.445277361319301</v>
      </c>
    </row>
    <row r="27725" spans="1:5">
      <c r="A27725" t="s">
        <v>32264</v>
      </c>
      <c r="B27725" t="s">
        <v>32271</v>
      </c>
      <c r="C27725">
        <v>0</v>
      </c>
      <c r="D27725">
        <v>0.98732402591500001</v>
      </c>
      <c r="E27725">
        <v>13.445277361319301</v>
      </c>
    </row>
    <row r="27726" spans="1:5">
      <c r="A27726" t="s">
        <v>32264</v>
      </c>
      <c r="B27726" t="s">
        <v>32272</v>
      </c>
      <c r="C27726">
        <v>0</v>
      </c>
      <c r="D27726">
        <v>0.98732402591500001</v>
      </c>
      <c r="E27726">
        <v>13.445277361319301</v>
      </c>
    </row>
    <row r="27727" spans="1:5">
      <c r="A27727" t="s">
        <v>32264</v>
      </c>
      <c r="B27727" t="s">
        <v>32273</v>
      </c>
      <c r="C27727">
        <f>0</f>
        <v>0</v>
      </c>
      <c r="D27727">
        <v>0.98732402591500001</v>
      </c>
      <c r="E27727">
        <v>13.445277361319301</v>
      </c>
    </row>
    <row r="27728" spans="1:5">
      <c r="A27728" t="s">
        <v>32264</v>
      </c>
      <c r="B27728" t="s">
        <v>32274</v>
      </c>
      <c r="C27728">
        <f>0</f>
        <v>0</v>
      </c>
      <c r="D27728">
        <v>0.98732402591500001</v>
      </c>
      <c r="E27728">
        <v>13.445277361319301</v>
      </c>
    </row>
    <row r="27729" spans="1:5">
      <c r="A27729" t="s">
        <v>32264</v>
      </c>
      <c r="B27729" t="s">
        <v>32275</v>
      </c>
      <c r="C27729">
        <v>0.17478049384200001</v>
      </c>
      <c r="D27729">
        <v>0.98732402591500001</v>
      </c>
      <c r="E27729">
        <v>13.445277361319301</v>
      </c>
    </row>
    <row r="27730" spans="1:5">
      <c r="A27730" t="s">
        <v>32264</v>
      </c>
      <c r="B27730" t="s">
        <v>32276</v>
      </c>
      <c r="C27730">
        <v>0</v>
      </c>
      <c r="D27730">
        <v>0.98732402591500001</v>
      </c>
      <c r="E27730">
        <v>13.445277361319301</v>
      </c>
    </row>
    <row r="27731" spans="1:5">
      <c r="A27731" t="s">
        <v>32264</v>
      </c>
      <c r="B27731" t="s">
        <v>32277</v>
      </c>
      <c r="C27731">
        <v>0</v>
      </c>
      <c r="D27731">
        <v>0.98732402591500001</v>
      </c>
      <c r="E27731">
        <v>13.445277361319301</v>
      </c>
    </row>
    <row r="27732" spans="1:5">
      <c r="A27732" t="s">
        <v>32264</v>
      </c>
      <c r="B27732" t="s">
        <v>32278</v>
      </c>
      <c r="C27732">
        <v>1.9230080522099999E-2</v>
      </c>
      <c r="D27732">
        <v>0.98732402591500001</v>
      </c>
      <c r="E27732">
        <v>13.445277361319301</v>
      </c>
    </row>
    <row r="27733" spans="1:5">
      <c r="A27733" t="s">
        <v>32264</v>
      </c>
      <c r="B27733" t="s">
        <v>32279</v>
      </c>
      <c r="C27733">
        <f>0</f>
        <v>0</v>
      </c>
      <c r="D27733">
        <v>0.98732402591500001</v>
      </c>
      <c r="E27733">
        <v>13.445277361319301</v>
      </c>
    </row>
    <row r="27734" spans="1:5">
      <c r="A27734" t="s">
        <v>32264</v>
      </c>
      <c r="B27734" t="s">
        <v>32280</v>
      </c>
      <c r="C27734">
        <v>0</v>
      </c>
      <c r="D27734">
        <v>0.98732402591500001</v>
      </c>
      <c r="E27734">
        <v>13.445277361319301</v>
      </c>
    </row>
    <row r="27735" spans="1:5">
      <c r="A27735" t="s">
        <v>32264</v>
      </c>
      <c r="B27735" t="s">
        <v>32281</v>
      </c>
      <c r="C27735">
        <f>0</f>
        <v>0</v>
      </c>
      <c r="D27735">
        <v>0.98732402591500001</v>
      </c>
      <c r="E27735">
        <v>13.445277361319301</v>
      </c>
    </row>
    <row r="27736" spans="1:5">
      <c r="A27736" t="s">
        <v>32264</v>
      </c>
      <c r="B27736" t="s">
        <v>32282</v>
      </c>
      <c r="C27736">
        <v>0</v>
      </c>
      <c r="D27736">
        <v>0.98732402591500001</v>
      </c>
      <c r="E27736">
        <v>13.445277361319301</v>
      </c>
    </row>
    <row r="27737" spans="1:5">
      <c r="A27737" t="s">
        <v>32283</v>
      </c>
      <c r="B27737" t="s">
        <v>32284</v>
      </c>
      <c r="C27737">
        <v>0.12663699215499999</v>
      </c>
      <c r="D27737">
        <v>0.672771795384</v>
      </c>
      <c r="E27737">
        <v>17.103448275862</v>
      </c>
    </row>
    <row r="27738" spans="1:5">
      <c r="A27738" t="s">
        <v>32283</v>
      </c>
      <c r="B27738" t="s">
        <v>32285</v>
      </c>
      <c r="C27738">
        <v>0</v>
      </c>
      <c r="D27738">
        <v>0.672771795384</v>
      </c>
      <c r="E27738">
        <v>17.103448275862</v>
      </c>
    </row>
    <row r="27739" spans="1:5">
      <c r="A27739" t="s">
        <v>32283</v>
      </c>
      <c r="B27739" t="s">
        <v>32286</v>
      </c>
      <c r="C27739">
        <f>0</f>
        <v>0</v>
      </c>
      <c r="D27739">
        <v>0.672771795384</v>
      </c>
      <c r="E27739">
        <v>17.103448275862</v>
      </c>
    </row>
    <row r="27740" spans="1:5">
      <c r="A27740" t="s">
        <v>32283</v>
      </c>
      <c r="B27740" t="s">
        <v>32287</v>
      </c>
      <c r="C27740">
        <v>0</v>
      </c>
      <c r="D27740">
        <v>0.672771795384</v>
      </c>
      <c r="E27740">
        <v>17.103448275862</v>
      </c>
    </row>
    <row r="27741" spans="1:5">
      <c r="A27741" t="s">
        <v>32283</v>
      </c>
      <c r="B27741" t="s">
        <v>32288</v>
      </c>
      <c r="C27741">
        <f>0</f>
        <v>0</v>
      </c>
      <c r="D27741">
        <v>0.672771795384</v>
      </c>
      <c r="E27741">
        <v>17.103448275862</v>
      </c>
    </row>
    <row r="27742" spans="1:5">
      <c r="A27742" t="s">
        <v>32289</v>
      </c>
      <c r="B27742" t="s">
        <v>32290</v>
      </c>
      <c r="C27742">
        <f>0</f>
        <v>0</v>
      </c>
      <c r="D27742" t="s">
        <v>106</v>
      </c>
      <c r="E27742">
        <v>12.9175412293853</v>
      </c>
    </row>
    <row r="27743" spans="1:5">
      <c r="A27743" t="s">
        <v>32289</v>
      </c>
      <c r="B27743" t="s">
        <v>32291</v>
      </c>
      <c r="C27743">
        <v>0</v>
      </c>
      <c r="D27743" t="s">
        <v>106</v>
      </c>
      <c r="E27743">
        <v>12.9175412293853</v>
      </c>
    </row>
    <row r="27744" spans="1:5">
      <c r="A27744" t="s">
        <v>32289</v>
      </c>
      <c r="B27744" t="s">
        <v>32292</v>
      </c>
      <c r="C27744">
        <v>0</v>
      </c>
      <c r="D27744" t="s">
        <v>106</v>
      </c>
      <c r="E27744">
        <v>12.9175412293853</v>
      </c>
    </row>
    <row r="27745" spans="1:5">
      <c r="A27745" t="s">
        <v>32289</v>
      </c>
      <c r="B27745" t="s">
        <v>32293</v>
      </c>
      <c r="C27745">
        <f>0</f>
        <v>0</v>
      </c>
      <c r="D27745" t="s">
        <v>106</v>
      </c>
      <c r="E27745">
        <v>12.9175412293853</v>
      </c>
    </row>
    <row r="27746" spans="1:5">
      <c r="A27746" t="s">
        <v>32289</v>
      </c>
      <c r="B27746" t="s">
        <v>32294</v>
      </c>
      <c r="C27746">
        <f>0</f>
        <v>0</v>
      </c>
      <c r="D27746" t="s">
        <v>106</v>
      </c>
      <c r="E27746">
        <v>12.9175412293853</v>
      </c>
    </row>
    <row r="27747" spans="1:5">
      <c r="A27747" t="s">
        <v>32289</v>
      </c>
      <c r="B27747" t="s">
        <v>32295</v>
      </c>
      <c r="C27747">
        <f>0</f>
        <v>0</v>
      </c>
      <c r="D27747" t="s">
        <v>106</v>
      </c>
      <c r="E27747">
        <v>12.9175412293853</v>
      </c>
    </row>
    <row r="27748" spans="1:5">
      <c r="A27748" t="s">
        <v>32289</v>
      </c>
      <c r="B27748" t="s">
        <v>32296</v>
      </c>
      <c r="C27748">
        <v>0</v>
      </c>
      <c r="D27748" t="s">
        <v>106</v>
      </c>
      <c r="E27748">
        <v>12.9175412293853</v>
      </c>
    </row>
    <row r="27749" spans="1:5">
      <c r="A27749" t="s">
        <v>32289</v>
      </c>
      <c r="B27749" t="s">
        <v>32297</v>
      </c>
      <c r="C27749">
        <v>0</v>
      </c>
      <c r="D27749" t="s">
        <v>106</v>
      </c>
      <c r="E27749">
        <v>12.9175412293853</v>
      </c>
    </row>
    <row r="27750" spans="1:5">
      <c r="A27750" t="s">
        <v>32289</v>
      </c>
      <c r="B27750" t="s">
        <v>32298</v>
      </c>
      <c r="C27750">
        <f>0</f>
        <v>0</v>
      </c>
      <c r="D27750" t="s">
        <v>106</v>
      </c>
      <c r="E27750">
        <v>12.9175412293853</v>
      </c>
    </row>
    <row r="27751" spans="1:5">
      <c r="A27751" t="s">
        <v>32289</v>
      </c>
      <c r="B27751" t="s">
        <v>32299</v>
      </c>
      <c r="C27751">
        <v>0</v>
      </c>
      <c r="D27751" t="s">
        <v>106</v>
      </c>
      <c r="E27751">
        <v>12.9175412293853</v>
      </c>
    </row>
    <row r="27752" spans="1:5">
      <c r="A27752" t="s">
        <v>32289</v>
      </c>
      <c r="B27752" t="s">
        <v>32300</v>
      </c>
      <c r="C27752">
        <v>0</v>
      </c>
      <c r="D27752" t="s">
        <v>106</v>
      </c>
      <c r="E27752">
        <v>12.9175412293853</v>
      </c>
    </row>
    <row r="27753" spans="1:5">
      <c r="A27753" t="s">
        <v>32289</v>
      </c>
      <c r="B27753" t="s">
        <v>32301</v>
      </c>
      <c r="C27753">
        <v>0</v>
      </c>
      <c r="D27753" t="s">
        <v>106</v>
      </c>
      <c r="E27753">
        <v>12.9175412293853</v>
      </c>
    </row>
    <row r="27754" spans="1:5">
      <c r="A27754" t="s">
        <v>32289</v>
      </c>
      <c r="B27754" t="s">
        <v>32302</v>
      </c>
      <c r="C27754">
        <v>0</v>
      </c>
      <c r="D27754" t="s">
        <v>106</v>
      </c>
      <c r="E27754">
        <v>12.9175412293853</v>
      </c>
    </row>
    <row r="27755" spans="1:5">
      <c r="A27755" t="s">
        <v>32303</v>
      </c>
      <c r="B27755" t="s">
        <v>32304</v>
      </c>
      <c r="C27755">
        <v>7.0874671687200005E-2</v>
      </c>
      <c r="D27755">
        <v>0.99088959051699999</v>
      </c>
      <c r="E27755">
        <v>12.2098950524737</v>
      </c>
    </row>
    <row r="27756" spans="1:5">
      <c r="A27756" t="s">
        <v>32303</v>
      </c>
      <c r="B27756" t="s">
        <v>32305</v>
      </c>
      <c r="C27756">
        <v>0</v>
      </c>
      <c r="D27756">
        <v>0.99088959051699999</v>
      </c>
      <c r="E27756">
        <v>12.2098950524737</v>
      </c>
    </row>
    <row r="27757" spans="1:5">
      <c r="A27757" t="s">
        <v>32303</v>
      </c>
      <c r="B27757" t="s">
        <v>32306</v>
      </c>
      <c r="C27757">
        <v>0</v>
      </c>
      <c r="D27757">
        <v>0.99088959051699999</v>
      </c>
      <c r="E27757">
        <v>12.2098950524737</v>
      </c>
    </row>
    <row r="27758" spans="1:5">
      <c r="A27758" t="s">
        <v>32303</v>
      </c>
      <c r="B27758" t="s">
        <v>32307</v>
      </c>
      <c r="C27758">
        <v>0.17189424188999999</v>
      </c>
      <c r="D27758">
        <v>0.99088959051699999</v>
      </c>
      <c r="E27758">
        <v>12.2098950524737</v>
      </c>
    </row>
    <row r="27759" spans="1:5">
      <c r="A27759" t="s">
        <v>32308</v>
      </c>
      <c r="B27759" t="s">
        <v>32309</v>
      </c>
      <c r="C27759">
        <v>0</v>
      </c>
      <c r="D27759">
        <v>0.89703551488</v>
      </c>
      <c r="E27759">
        <v>18.986506746626599</v>
      </c>
    </row>
    <row r="27760" spans="1:5">
      <c r="A27760" t="s">
        <v>32308</v>
      </c>
      <c r="B27760" t="s">
        <v>32310</v>
      </c>
      <c r="C27760">
        <f>0</f>
        <v>0</v>
      </c>
      <c r="D27760">
        <v>0.89703551488</v>
      </c>
      <c r="E27760">
        <v>18.986506746626599</v>
      </c>
    </row>
    <row r="27761" spans="1:5">
      <c r="A27761" t="s">
        <v>32311</v>
      </c>
      <c r="B27761" t="s">
        <v>32312</v>
      </c>
      <c r="C27761">
        <v>0</v>
      </c>
      <c r="D27761" t="s">
        <v>106</v>
      </c>
      <c r="E27761">
        <v>8.2878560719640095</v>
      </c>
    </row>
    <row r="27762" spans="1:5">
      <c r="A27762" t="s">
        <v>32311</v>
      </c>
      <c r="B27762" t="s">
        <v>32313</v>
      </c>
      <c r="C27762">
        <v>0</v>
      </c>
      <c r="D27762" t="s">
        <v>106</v>
      </c>
      <c r="E27762">
        <v>8.2878560719640095</v>
      </c>
    </row>
    <row r="27763" spans="1:5">
      <c r="A27763" t="s">
        <v>32311</v>
      </c>
      <c r="B27763" t="s">
        <v>32314</v>
      </c>
      <c r="C27763">
        <f>0</f>
        <v>0</v>
      </c>
      <c r="D27763" t="s">
        <v>106</v>
      </c>
      <c r="E27763">
        <v>8.2878560719640095</v>
      </c>
    </row>
    <row r="27764" spans="1:5">
      <c r="A27764" t="s">
        <v>32311</v>
      </c>
      <c r="B27764" t="s">
        <v>32315</v>
      </c>
      <c r="C27764">
        <v>0</v>
      </c>
      <c r="D27764" t="s">
        <v>106</v>
      </c>
      <c r="E27764">
        <v>8.2878560719640095</v>
      </c>
    </row>
    <row r="27765" spans="1:5">
      <c r="A27765" t="s">
        <v>32311</v>
      </c>
      <c r="B27765" t="s">
        <v>32316</v>
      </c>
      <c r="C27765">
        <f>0</f>
        <v>0</v>
      </c>
      <c r="D27765" t="s">
        <v>106</v>
      </c>
      <c r="E27765">
        <v>8.2878560719640095</v>
      </c>
    </row>
    <row r="27766" spans="1:5">
      <c r="A27766" t="s">
        <v>32311</v>
      </c>
      <c r="B27766" t="s">
        <v>32317</v>
      </c>
      <c r="C27766">
        <f>0</f>
        <v>0</v>
      </c>
      <c r="D27766" t="s">
        <v>106</v>
      </c>
      <c r="E27766">
        <v>8.2878560719640095</v>
      </c>
    </row>
    <row r="27767" spans="1:5">
      <c r="A27767" t="s">
        <v>32311</v>
      </c>
      <c r="B27767" t="s">
        <v>32318</v>
      </c>
      <c r="C27767">
        <f>0</f>
        <v>0</v>
      </c>
      <c r="D27767" t="s">
        <v>106</v>
      </c>
      <c r="E27767">
        <v>8.2878560719640095</v>
      </c>
    </row>
    <row r="27768" spans="1:5">
      <c r="A27768" t="s">
        <v>32311</v>
      </c>
      <c r="B27768" t="s">
        <v>32319</v>
      </c>
      <c r="C27768">
        <v>0</v>
      </c>
      <c r="D27768" t="s">
        <v>106</v>
      </c>
      <c r="E27768">
        <v>8.2878560719640095</v>
      </c>
    </row>
    <row r="27769" spans="1:5">
      <c r="A27769" t="s">
        <v>32311</v>
      </c>
      <c r="B27769" t="s">
        <v>32320</v>
      </c>
      <c r="C27769">
        <f>0</f>
        <v>0</v>
      </c>
      <c r="D27769" t="s">
        <v>106</v>
      </c>
      <c r="E27769">
        <v>8.2878560719640095</v>
      </c>
    </row>
    <row r="27770" spans="1:5">
      <c r="A27770" t="s">
        <v>32311</v>
      </c>
      <c r="B27770" t="s">
        <v>32321</v>
      </c>
      <c r="C27770">
        <v>0</v>
      </c>
      <c r="D27770" t="s">
        <v>106</v>
      </c>
      <c r="E27770">
        <v>8.2878560719640095</v>
      </c>
    </row>
    <row r="27771" spans="1:5">
      <c r="A27771" t="s">
        <v>32311</v>
      </c>
      <c r="B27771" t="s">
        <v>32322</v>
      </c>
      <c r="C27771">
        <f>0</f>
        <v>0</v>
      </c>
      <c r="D27771" t="s">
        <v>106</v>
      </c>
      <c r="E27771">
        <v>8.2878560719640095</v>
      </c>
    </row>
    <row r="27772" spans="1:5">
      <c r="A27772" t="s">
        <v>32311</v>
      </c>
      <c r="B27772" t="s">
        <v>32323</v>
      </c>
      <c r="C27772">
        <v>0</v>
      </c>
      <c r="D27772" t="s">
        <v>106</v>
      </c>
      <c r="E27772">
        <v>8.2878560719640095</v>
      </c>
    </row>
    <row r="27773" spans="1:5">
      <c r="A27773" t="s">
        <v>32311</v>
      </c>
      <c r="B27773" t="s">
        <v>32324</v>
      </c>
      <c r="C27773">
        <f>0</f>
        <v>0</v>
      </c>
      <c r="D27773" t="s">
        <v>106</v>
      </c>
      <c r="E27773">
        <v>8.2878560719640095</v>
      </c>
    </row>
    <row r="27774" spans="1:5">
      <c r="A27774" t="s">
        <v>32311</v>
      </c>
      <c r="B27774" t="s">
        <v>32325</v>
      </c>
      <c r="C27774">
        <v>0</v>
      </c>
      <c r="D27774" t="s">
        <v>106</v>
      </c>
      <c r="E27774">
        <v>8.2878560719640095</v>
      </c>
    </row>
    <row r="27775" spans="1:5">
      <c r="A27775" t="s">
        <v>32311</v>
      </c>
      <c r="B27775" t="s">
        <v>32326</v>
      </c>
      <c r="C27775">
        <f>0</f>
        <v>0</v>
      </c>
      <c r="D27775" t="s">
        <v>106</v>
      </c>
      <c r="E27775">
        <v>8.2878560719640095</v>
      </c>
    </row>
    <row r="27776" spans="1:5">
      <c r="A27776" t="s">
        <v>32311</v>
      </c>
      <c r="B27776" t="s">
        <v>32327</v>
      </c>
      <c r="C27776">
        <v>0</v>
      </c>
      <c r="D27776" t="s">
        <v>106</v>
      </c>
      <c r="E27776">
        <v>8.2878560719640095</v>
      </c>
    </row>
    <row r="27777" spans="1:5">
      <c r="A27777" t="s">
        <v>32328</v>
      </c>
      <c r="B27777" t="s">
        <v>32329</v>
      </c>
      <c r="C27777">
        <v>0</v>
      </c>
      <c r="D27777" t="s">
        <v>106</v>
      </c>
      <c r="E27777">
        <v>0.86356821589205401</v>
      </c>
    </row>
    <row r="27778" spans="1:5">
      <c r="A27778" t="s">
        <v>32328</v>
      </c>
      <c r="B27778" t="s">
        <v>32330</v>
      </c>
      <c r="C27778">
        <v>0</v>
      </c>
      <c r="D27778" t="s">
        <v>106</v>
      </c>
      <c r="E27778">
        <v>0.86356821589205401</v>
      </c>
    </row>
    <row r="27779" spans="1:5">
      <c r="A27779" t="s">
        <v>32328</v>
      </c>
      <c r="B27779" t="s">
        <v>32331</v>
      </c>
      <c r="C27779">
        <v>0</v>
      </c>
      <c r="D27779" t="s">
        <v>106</v>
      </c>
      <c r="E27779">
        <v>0.86356821589205401</v>
      </c>
    </row>
    <row r="27780" spans="1:5">
      <c r="A27780" t="s">
        <v>32328</v>
      </c>
      <c r="B27780" t="s">
        <v>32332</v>
      </c>
      <c r="C27780">
        <v>0</v>
      </c>
      <c r="D27780" t="s">
        <v>106</v>
      </c>
      <c r="E27780">
        <v>0.86356821589205401</v>
      </c>
    </row>
    <row r="27781" spans="1:5">
      <c r="A27781" t="s">
        <v>32328</v>
      </c>
      <c r="B27781" t="s">
        <v>32333</v>
      </c>
      <c r="C27781">
        <v>0</v>
      </c>
      <c r="D27781" t="s">
        <v>106</v>
      </c>
      <c r="E27781">
        <v>0.86356821589205401</v>
      </c>
    </row>
    <row r="27782" spans="1:5">
      <c r="A27782" t="s">
        <v>32328</v>
      </c>
      <c r="B27782" t="s">
        <v>32334</v>
      </c>
      <c r="C27782">
        <v>0</v>
      </c>
      <c r="D27782" t="s">
        <v>106</v>
      </c>
      <c r="E27782">
        <v>0.86356821589205401</v>
      </c>
    </row>
    <row r="27783" spans="1:5">
      <c r="A27783" t="s">
        <v>32335</v>
      </c>
      <c r="B27783" t="s">
        <v>32336</v>
      </c>
      <c r="C27783">
        <v>0</v>
      </c>
      <c r="D27783">
        <v>0.70985465768400002</v>
      </c>
      <c r="E27783">
        <v>1.51124437781109</v>
      </c>
    </row>
    <row r="27784" spans="1:5">
      <c r="A27784" t="s">
        <v>32335</v>
      </c>
      <c r="B27784" t="s">
        <v>32337</v>
      </c>
      <c r="C27784">
        <v>0.25670743664200002</v>
      </c>
      <c r="D27784">
        <v>0.70985465768400002</v>
      </c>
      <c r="E27784">
        <v>1.51124437781109</v>
      </c>
    </row>
    <row r="27785" spans="1:5">
      <c r="A27785" t="s">
        <v>32338</v>
      </c>
      <c r="B27785" t="s">
        <v>32339</v>
      </c>
      <c r="C27785">
        <f>0</f>
        <v>0</v>
      </c>
      <c r="D27785">
        <v>0.84775124097900001</v>
      </c>
      <c r="E27785">
        <v>1.8230884557721101</v>
      </c>
    </row>
    <row r="27786" spans="1:5">
      <c r="A27786" t="s">
        <v>32338</v>
      </c>
      <c r="B27786" t="s">
        <v>32340</v>
      </c>
      <c r="C27786">
        <v>5.9413776920699997E-3</v>
      </c>
      <c r="D27786">
        <v>0.84775124097900001</v>
      </c>
      <c r="E27786">
        <v>1.8230884557721101</v>
      </c>
    </row>
    <row r="27787" spans="1:5">
      <c r="A27787" t="s">
        <v>32338</v>
      </c>
      <c r="B27787" t="s">
        <v>32341</v>
      </c>
      <c r="C27787">
        <v>0</v>
      </c>
      <c r="D27787">
        <v>0.84775124097900001</v>
      </c>
      <c r="E27787">
        <v>1.8230884557721101</v>
      </c>
    </row>
    <row r="27788" spans="1:5">
      <c r="A27788" t="s">
        <v>32338</v>
      </c>
      <c r="B27788" t="s">
        <v>32342</v>
      </c>
      <c r="C27788">
        <v>0</v>
      </c>
      <c r="D27788">
        <v>0.84775124097900001</v>
      </c>
      <c r="E27788">
        <v>1.8230884557721101</v>
      </c>
    </row>
    <row r="27789" spans="1:5">
      <c r="A27789" t="s">
        <v>32338</v>
      </c>
      <c r="B27789" t="s">
        <v>32343</v>
      </c>
      <c r="C27789">
        <f>0</f>
        <v>0</v>
      </c>
      <c r="D27789">
        <v>0.84775124097900001</v>
      </c>
      <c r="E27789">
        <v>1.8230884557721101</v>
      </c>
    </row>
    <row r="27790" spans="1:5">
      <c r="A27790" t="s">
        <v>32338</v>
      </c>
      <c r="B27790" t="s">
        <v>32344</v>
      </c>
      <c r="C27790">
        <f>0</f>
        <v>0</v>
      </c>
      <c r="D27790">
        <v>0.84775124097900001</v>
      </c>
      <c r="E27790">
        <v>1.8230884557721101</v>
      </c>
    </row>
    <row r="27791" spans="1:5">
      <c r="A27791" t="s">
        <v>32338</v>
      </c>
      <c r="B27791" t="s">
        <v>32345</v>
      </c>
      <c r="C27791">
        <f>0.0712037309002</f>
        <v>7.1203730900200005E-2</v>
      </c>
      <c r="D27791">
        <v>0.84775124097900001</v>
      </c>
      <c r="E27791">
        <v>1.8230884557721101</v>
      </c>
    </row>
    <row r="27792" spans="1:5">
      <c r="A27792" t="s">
        <v>32338</v>
      </c>
      <c r="B27792" t="s">
        <v>32346</v>
      </c>
      <c r="C27792">
        <f>0</f>
        <v>0</v>
      </c>
      <c r="D27792">
        <v>0.84775124097900001</v>
      </c>
      <c r="E27792">
        <v>1.8230884557721101</v>
      </c>
    </row>
    <row r="27793" spans="1:5">
      <c r="A27793" t="s">
        <v>32338</v>
      </c>
      <c r="B27793" t="s">
        <v>32347</v>
      </c>
      <c r="C27793">
        <f>0</f>
        <v>0</v>
      </c>
      <c r="D27793">
        <v>0.84775124097900001</v>
      </c>
      <c r="E27793">
        <v>1.8230884557721101</v>
      </c>
    </row>
    <row r="27794" spans="1:5">
      <c r="A27794" t="s">
        <v>32348</v>
      </c>
      <c r="B27794" t="s">
        <v>32349</v>
      </c>
      <c r="C27794">
        <v>4.8670024903700003E-2</v>
      </c>
      <c r="D27794">
        <v>0.97354285348400005</v>
      </c>
      <c r="E27794">
        <v>2.0269865067466202</v>
      </c>
    </row>
    <row r="27795" spans="1:5">
      <c r="A27795" t="s">
        <v>32348</v>
      </c>
      <c r="B27795" t="s">
        <v>32350</v>
      </c>
      <c r="C27795">
        <f>0</f>
        <v>0</v>
      </c>
      <c r="D27795">
        <v>0.97354285348400005</v>
      </c>
      <c r="E27795">
        <v>2.0269865067466202</v>
      </c>
    </row>
    <row r="27796" spans="1:5">
      <c r="A27796" t="s">
        <v>32348</v>
      </c>
      <c r="B27796" t="s">
        <v>32351</v>
      </c>
      <c r="C27796">
        <v>1.39146755157E-2</v>
      </c>
      <c r="D27796">
        <v>0.97354285348400005</v>
      </c>
      <c r="E27796">
        <v>2.0269865067466202</v>
      </c>
    </row>
    <row r="27797" spans="1:5">
      <c r="A27797" t="s">
        <v>32348</v>
      </c>
      <c r="B27797" t="s">
        <v>32352</v>
      </c>
      <c r="C27797">
        <v>0</v>
      </c>
      <c r="D27797">
        <v>0.97354285348400005</v>
      </c>
      <c r="E27797">
        <v>2.0269865067466202</v>
      </c>
    </row>
    <row r="27798" spans="1:5">
      <c r="A27798" t="s">
        <v>32353</v>
      </c>
      <c r="B27798" t="s">
        <v>32354</v>
      </c>
      <c r="C27798">
        <v>0.88637350219400002</v>
      </c>
      <c r="D27798">
        <v>0.91558836716799996</v>
      </c>
      <c r="E27798">
        <v>0</v>
      </c>
    </row>
    <row r="27799" spans="1:5">
      <c r="A27799" t="s">
        <v>32355</v>
      </c>
      <c r="B27799" t="s">
        <v>32356</v>
      </c>
      <c r="C27799">
        <v>0</v>
      </c>
      <c r="D27799" t="s">
        <v>106</v>
      </c>
      <c r="E27799">
        <v>6.4287856071964002</v>
      </c>
    </row>
    <row r="27800" spans="1:5">
      <c r="A27800" t="s">
        <v>32355</v>
      </c>
      <c r="B27800" t="s">
        <v>32357</v>
      </c>
      <c r="C27800">
        <f>0</f>
        <v>0</v>
      </c>
      <c r="D27800" t="s">
        <v>106</v>
      </c>
      <c r="E27800">
        <v>6.4287856071964002</v>
      </c>
    </row>
    <row r="27801" spans="1:5">
      <c r="A27801" t="s">
        <v>32355</v>
      </c>
      <c r="B27801" t="s">
        <v>32358</v>
      </c>
      <c r="C27801">
        <f>0.0200885987752</f>
        <v>2.0088598775200001E-2</v>
      </c>
      <c r="D27801" t="s">
        <v>106</v>
      </c>
      <c r="E27801">
        <v>6.4287856071964002</v>
      </c>
    </row>
    <row r="27802" spans="1:5">
      <c r="A27802" t="s">
        <v>32359</v>
      </c>
      <c r="B27802" t="s">
        <v>32360</v>
      </c>
      <c r="C27802">
        <v>1.0822827641499999</v>
      </c>
      <c r="D27802">
        <v>0.97662861389099997</v>
      </c>
      <c r="E27802">
        <v>5.0134932533733103</v>
      </c>
    </row>
    <row r="27803" spans="1:5">
      <c r="A27803" t="s">
        <v>32359</v>
      </c>
      <c r="B27803" t="s">
        <v>32361</v>
      </c>
      <c r="C27803">
        <v>0</v>
      </c>
      <c r="D27803">
        <v>0.97662861389099997</v>
      </c>
      <c r="E27803">
        <v>5.0134932533733103</v>
      </c>
    </row>
    <row r="27804" spans="1:5">
      <c r="A27804" t="s">
        <v>32359</v>
      </c>
      <c r="B27804" t="s">
        <v>32362</v>
      </c>
      <c r="C27804">
        <f>0.571484760579</f>
        <v>0.571484760579</v>
      </c>
      <c r="D27804">
        <v>0.97662861389099997</v>
      </c>
      <c r="E27804">
        <v>5.0134932533733103</v>
      </c>
    </row>
    <row r="27805" spans="1:5">
      <c r="A27805" t="s">
        <v>32363</v>
      </c>
      <c r="B27805" t="s">
        <v>32364</v>
      </c>
      <c r="C27805">
        <v>0.115397168561</v>
      </c>
      <c r="D27805" t="s">
        <v>106</v>
      </c>
      <c r="E27805">
        <v>24</v>
      </c>
    </row>
    <row r="27806" spans="1:5">
      <c r="A27806" t="s">
        <v>32363</v>
      </c>
      <c r="B27806" t="s">
        <v>32365</v>
      </c>
      <c r="C27806">
        <v>9.0685783540799994E-2</v>
      </c>
      <c r="D27806" t="s">
        <v>106</v>
      </c>
      <c r="E27806">
        <v>24</v>
      </c>
    </row>
    <row r="27807" spans="1:5">
      <c r="A27807" t="s">
        <v>32363</v>
      </c>
      <c r="B27807" t="s">
        <v>32366</v>
      </c>
      <c r="C27807">
        <v>0</v>
      </c>
      <c r="D27807" t="s">
        <v>106</v>
      </c>
      <c r="E27807">
        <v>24</v>
      </c>
    </row>
    <row r="27808" spans="1:5">
      <c r="A27808" t="s">
        <v>32363</v>
      </c>
      <c r="B27808" t="s">
        <v>32367</v>
      </c>
      <c r="C27808">
        <v>0</v>
      </c>
      <c r="D27808" t="s">
        <v>106</v>
      </c>
      <c r="E27808">
        <v>24</v>
      </c>
    </row>
    <row r="27809" spans="1:5">
      <c r="A27809" t="s">
        <v>32368</v>
      </c>
      <c r="B27809" t="s">
        <v>32369</v>
      </c>
      <c r="C27809">
        <v>0</v>
      </c>
      <c r="D27809" t="s">
        <v>106</v>
      </c>
      <c r="E27809">
        <v>4.0659670164917499</v>
      </c>
    </row>
    <row r="27810" spans="1:5">
      <c r="A27810" t="s">
        <v>32368</v>
      </c>
      <c r="B27810" t="s">
        <v>32370</v>
      </c>
      <c r="C27810">
        <v>5.8413158882299997E-2</v>
      </c>
      <c r="D27810" t="s">
        <v>106</v>
      </c>
      <c r="E27810">
        <v>4.0659670164917499</v>
      </c>
    </row>
    <row r="27811" spans="1:5">
      <c r="A27811" t="s">
        <v>32368</v>
      </c>
      <c r="B27811" t="s">
        <v>32371</v>
      </c>
      <c r="C27811">
        <f>0</f>
        <v>0</v>
      </c>
      <c r="D27811" t="s">
        <v>106</v>
      </c>
      <c r="E27811">
        <v>4.0659670164917499</v>
      </c>
    </row>
    <row r="27812" spans="1:5">
      <c r="A27812" t="s">
        <v>32368</v>
      </c>
      <c r="B27812" t="s">
        <v>32372</v>
      </c>
      <c r="C27812">
        <v>0.240207420497</v>
      </c>
      <c r="D27812" t="s">
        <v>106</v>
      </c>
      <c r="E27812">
        <v>4.0659670164917499</v>
      </c>
    </row>
    <row r="27813" spans="1:5">
      <c r="A27813" t="s">
        <v>32368</v>
      </c>
      <c r="B27813" t="s">
        <v>32373</v>
      </c>
      <c r="C27813">
        <f>0</f>
        <v>0</v>
      </c>
      <c r="D27813" t="s">
        <v>106</v>
      </c>
      <c r="E27813">
        <v>4.0659670164917499</v>
      </c>
    </row>
    <row r="27814" spans="1:5">
      <c r="A27814" t="s">
        <v>32368</v>
      </c>
      <c r="B27814" t="s">
        <v>32374</v>
      </c>
      <c r="C27814">
        <f>0</f>
        <v>0</v>
      </c>
      <c r="D27814" t="s">
        <v>106</v>
      </c>
      <c r="E27814">
        <v>4.0659670164917499</v>
      </c>
    </row>
    <row r="27815" spans="1:5">
      <c r="A27815" t="s">
        <v>32375</v>
      </c>
      <c r="B27815" t="s">
        <v>32376</v>
      </c>
      <c r="C27815">
        <f>0</f>
        <v>0</v>
      </c>
      <c r="D27815">
        <v>0.94952842444499996</v>
      </c>
      <c r="E27815">
        <v>6.2968515742128899</v>
      </c>
    </row>
    <row r="27816" spans="1:5">
      <c r="A27816" t="s">
        <v>32375</v>
      </c>
      <c r="B27816" t="s">
        <v>32377</v>
      </c>
      <c r="C27816">
        <v>0</v>
      </c>
      <c r="D27816">
        <v>0.94952842444499996</v>
      </c>
      <c r="E27816">
        <v>6.2968515742128899</v>
      </c>
    </row>
    <row r="27817" spans="1:5">
      <c r="A27817" t="s">
        <v>32375</v>
      </c>
      <c r="B27817" t="s">
        <v>32378</v>
      </c>
      <c r="C27817">
        <v>0</v>
      </c>
      <c r="D27817">
        <v>0.94952842444499996</v>
      </c>
      <c r="E27817">
        <v>6.2968515742128899</v>
      </c>
    </row>
    <row r="27818" spans="1:5">
      <c r="A27818" t="s">
        <v>32375</v>
      </c>
      <c r="B27818" t="s">
        <v>32379</v>
      </c>
      <c r="C27818">
        <f>0</f>
        <v>0</v>
      </c>
      <c r="D27818">
        <v>0.94952842444499996</v>
      </c>
      <c r="E27818">
        <v>6.2968515742128899</v>
      </c>
    </row>
    <row r="27819" spans="1:5">
      <c r="A27819" t="s">
        <v>32375</v>
      </c>
      <c r="B27819" t="s">
        <v>32380</v>
      </c>
      <c r="C27819">
        <f>0</f>
        <v>0</v>
      </c>
      <c r="D27819">
        <v>0.94952842444499996</v>
      </c>
      <c r="E27819">
        <v>6.2968515742128899</v>
      </c>
    </row>
    <row r="27820" spans="1:5">
      <c r="A27820" t="s">
        <v>32375</v>
      </c>
      <c r="B27820" t="s">
        <v>32381</v>
      </c>
      <c r="C27820">
        <v>0</v>
      </c>
      <c r="D27820">
        <v>0.94952842444499996</v>
      </c>
      <c r="E27820">
        <v>6.2968515742128899</v>
      </c>
    </row>
    <row r="27821" spans="1:5">
      <c r="A27821" t="s">
        <v>32382</v>
      </c>
      <c r="B27821" t="s">
        <v>32383</v>
      </c>
      <c r="C27821">
        <v>0</v>
      </c>
      <c r="D27821" t="s">
        <v>106</v>
      </c>
      <c r="E27821">
        <v>9.6191904047975996</v>
      </c>
    </row>
    <row r="27822" spans="1:5">
      <c r="A27822" t="s">
        <v>32382</v>
      </c>
      <c r="B27822" t="s">
        <v>32384</v>
      </c>
      <c r="C27822">
        <v>0</v>
      </c>
      <c r="D27822" t="s">
        <v>106</v>
      </c>
      <c r="E27822">
        <v>9.6191904047975996</v>
      </c>
    </row>
    <row r="27823" spans="1:5">
      <c r="A27823" t="s">
        <v>32382</v>
      </c>
      <c r="B27823" t="s">
        <v>32385</v>
      </c>
      <c r="C27823">
        <f>0</f>
        <v>0</v>
      </c>
      <c r="D27823" t="s">
        <v>106</v>
      </c>
      <c r="E27823">
        <v>9.6191904047975996</v>
      </c>
    </row>
    <row r="27824" spans="1:5">
      <c r="A27824" t="s">
        <v>32382</v>
      </c>
      <c r="B27824" t="s">
        <v>32386</v>
      </c>
      <c r="C27824">
        <f>0</f>
        <v>0</v>
      </c>
      <c r="D27824" t="s">
        <v>106</v>
      </c>
      <c r="E27824">
        <v>9.6191904047975996</v>
      </c>
    </row>
    <row r="27825" spans="1:5">
      <c r="A27825" t="s">
        <v>32382</v>
      </c>
      <c r="B27825" t="s">
        <v>32387</v>
      </c>
      <c r="C27825">
        <f>0</f>
        <v>0</v>
      </c>
      <c r="D27825" t="s">
        <v>106</v>
      </c>
      <c r="E27825">
        <v>9.6191904047975996</v>
      </c>
    </row>
    <row r="27826" spans="1:5">
      <c r="A27826" t="s">
        <v>32388</v>
      </c>
      <c r="B27826" t="s">
        <v>32389</v>
      </c>
      <c r="C27826">
        <v>0.186571583816</v>
      </c>
      <c r="D27826">
        <v>0.92135557239499999</v>
      </c>
      <c r="E27826">
        <v>0.131934032983508</v>
      </c>
    </row>
    <row r="27827" spans="1:5">
      <c r="A27827" t="s">
        <v>32388</v>
      </c>
      <c r="B27827" t="s">
        <v>32390</v>
      </c>
      <c r="C27827">
        <v>0</v>
      </c>
      <c r="D27827">
        <v>0.92135557239499999</v>
      </c>
      <c r="E27827">
        <v>0.131934032983508</v>
      </c>
    </row>
    <row r="27828" spans="1:5">
      <c r="A27828" t="s">
        <v>32388</v>
      </c>
      <c r="B27828" t="s">
        <v>32391</v>
      </c>
      <c r="C27828">
        <v>0.22653982068199999</v>
      </c>
      <c r="D27828">
        <v>0.92135557239499999</v>
      </c>
      <c r="E27828">
        <v>0.131934032983508</v>
      </c>
    </row>
    <row r="27829" spans="1:5">
      <c r="A27829" t="s">
        <v>32392</v>
      </c>
      <c r="B27829" t="s">
        <v>32393</v>
      </c>
      <c r="C27829">
        <v>6.5834132326399994E-2</v>
      </c>
      <c r="D27829">
        <v>0.48801132456899998</v>
      </c>
      <c r="E27829">
        <v>5.8170914542728598</v>
      </c>
    </row>
    <row r="27830" spans="1:5">
      <c r="A27830" t="s">
        <v>32394</v>
      </c>
      <c r="B27830" t="s">
        <v>32395</v>
      </c>
      <c r="C27830">
        <v>0</v>
      </c>
      <c r="D27830">
        <v>0.96574869141300002</v>
      </c>
      <c r="E27830">
        <v>1.7631184407796101</v>
      </c>
    </row>
    <row r="27831" spans="1:5">
      <c r="A27831" t="s">
        <v>32394</v>
      </c>
      <c r="B27831" t="s">
        <v>32396</v>
      </c>
      <c r="C27831">
        <v>0</v>
      </c>
      <c r="D27831">
        <v>0.96574869141300002</v>
      </c>
      <c r="E27831">
        <v>1.7631184407796101</v>
      </c>
    </row>
    <row r="27832" spans="1:5">
      <c r="A27832" t="s">
        <v>32394</v>
      </c>
      <c r="B27832" t="s">
        <v>32397</v>
      </c>
      <c r="C27832">
        <v>0</v>
      </c>
      <c r="D27832">
        <v>0.96574869141300002</v>
      </c>
      <c r="E27832">
        <v>1.7631184407796101</v>
      </c>
    </row>
    <row r="27833" spans="1:5">
      <c r="A27833" t="s">
        <v>32394</v>
      </c>
      <c r="B27833" t="s">
        <v>32398</v>
      </c>
      <c r="C27833">
        <f>0.0732711058764</f>
        <v>7.3271105876399997E-2</v>
      </c>
      <c r="D27833">
        <v>0.96574869141300002</v>
      </c>
      <c r="E27833">
        <v>1.7631184407796101</v>
      </c>
    </row>
    <row r="27834" spans="1:5">
      <c r="A27834" t="s">
        <v>32394</v>
      </c>
      <c r="B27834" t="s">
        <v>32399</v>
      </c>
      <c r="C27834">
        <v>0.21258560894799999</v>
      </c>
      <c r="D27834">
        <v>0.96574869141300002</v>
      </c>
      <c r="E27834">
        <v>1.7631184407796101</v>
      </c>
    </row>
    <row r="27835" spans="1:5">
      <c r="A27835" t="s">
        <v>32394</v>
      </c>
      <c r="B27835" t="s">
        <v>32400</v>
      </c>
      <c r="C27835">
        <v>0</v>
      </c>
      <c r="D27835">
        <v>0.96574869141300002</v>
      </c>
      <c r="E27835">
        <v>1.7631184407796101</v>
      </c>
    </row>
    <row r="27836" spans="1:5">
      <c r="A27836" t="s">
        <v>32394</v>
      </c>
      <c r="B27836" t="s">
        <v>32401</v>
      </c>
      <c r="C27836">
        <v>0</v>
      </c>
      <c r="D27836">
        <v>0.96574869141300002</v>
      </c>
      <c r="E27836">
        <v>1.7631184407796101</v>
      </c>
    </row>
    <row r="27837" spans="1:5">
      <c r="A27837" t="s">
        <v>32394</v>
      </c>
      <c r="B27837" t="s">
        <v>32402</v>
      </c>
      <c r="C27837">
        <v>0</v>
      </c>
      <c r="D27837">
        <v>0.96574869141300002</v>
      </c>
      <c r="E27837">
        <v>1.7631184407796101</v>
      </c>
    </row>
    <row r="27838" spans="1:5">
      <c r="A27838" t="s">
        <v>32394</v>
      </c>
      <c r="B27838" t="s">
        <v>32403</v>
      </c>
      <c r="C27838">
        <v>0</v>
      </c>
      <c r="D27838">
        <v>0.96574869141300002</v>
      </c>
      <c r="E27838">
        <v>1.7631184407796101</v>
      </c>
    </row>
    <row r="27839" spans="1:5">
      <c r="A27839" t="s">
        <v>32404</v>
      </c>
      <c r="B27839" t="s">
        <v>32405</v>
      </c>
      <c r="C27839">
        <f>0</f>
        <v>0</v>
      </c>
      <c r="D27839">
        <v>0.70355731700299995</v>
      </c>
      <c r="E27839">
        <v>11.370314842578701</v>
      </c>
    </row>
    <row r="27840" spans="1:5">
      <c r="A27840" t="s">
        <v>32404</v>
      </c>
      <c r="B27840" t="s">
        <v>32406</v>
      </c>
      <c r="C27840">
        <f>0.119100507768</f>
        <v>0.11910050776800001</v>
      </c>
      <c r="D27840">
        <v>0.70355731700299995</v>
      </c>
      <c r="E27840">
        <v>11.370314842578701</v>
      </c>
    </row>
    <row r="27841" spans="1:5">
      <c r="A27841" t="s">
        <v>32404</v>
      </c>
      <c r="B27841" t="s">
        <v>32407</v>
      </c>
      <c r="C27841">
        <f>0</f>
        <v>0</v>
      </c>
      <c r="D27841">
        <v>0.70355731700299995</v>
      </c>
      <c r="E27841">
        <v>11.370314842578701</v>
      </c>
    </row>
    <row r="27842" spans="1:5">
      <c r="A27842" t="s">
        <v>32408</v>
      </c>
      <c r="B27842" t="s">
        <v>32409</v>
      </c>
      <c r="C27842">
        <v>0</v>
      </c>
      <c r="D27842" t="s">
        <v>106</v>
      </c>
      <c r="E27842">
        <v>14.9325337331334</v>
      </c>
    </row>
    <row r="27843" spans="1:5">
      <c r="A27843" t="s">
        <v>32408</v>
      </c>
      <c r="B27843" t="s">
        <v>32410</v>
      </c>
      <c r="C27843">
        <f>0</f>
        <v>0</v>
      </c>
      <c r="D27843" t="s">
        <v>106</v>
      </c>
      <c r="E27843">
        <v>14.9325337331334</v>
      </c>
    </row>
    <row r="27844" spans="1:5">
      <c r="A27844" t="s">
        <v>32408</v>
      </c>
      <c r="B27844" t="s">
        <v>32411</v>
      </c>
      <c r="C27844">
        <f>0</f>
        <v>0</v>
      </c>
      <c r="D27844" t="s">
        <v>106</v>
      </c>
      <c r="E27844">
        <v>14.9325337331334</v>
      </c>
    </row>
    <row r="27845" spans="1:5">
      <c r="A27845" t="s">
        <v>32412</v>
      </c>
      <c r="B27845" t="s">
        <v>32413</v>
      </c>
      <c r="C27845">
        <v>2.4624175139999999E-2</v>
      </c>
      <c r="D27845">
        <v>0.87415042366899998</v>
      </c>
      <c r="E27845">
        <v>3.40629685157421</v>
      </c>
    </row>
    <row r="27846" spans="1:5">
      <c r="A27846" t="s">
        <v>32412</v>
      </c>
      <c r="B27846" t="s">
        <v>32414</v>
      </c>
      <c r="C27846">
        <v>0</v>
      </c>
      <c r="D27846">
        <v>0.87415042366899998</v>
      </c>
      <c r="E27846">
        <v>3.40629685157421</v>
      </c>
    </row>
    <row r="27847" spans="1:5">
      <c r="A27847" t="s">
        <v>32412</v>
      </c>
      <c r="B27847" t="s">
        <v>32415</v>
      </c>
      <c r="C27847">
        <f>0</f>
        <v>0</v>
      </c>
      <c r="D27847">
        <v>0.87415042366899998</v>
      </c>
      <c r="E27847">
        <v>3.40629685157421</v>
      </c>
    </row>
    <row r="27848" spans="1:5">
      <c r="A27848" t="s">
        <v>32412</v>
      </c>
      <c r="B27848" t="s">
        <v>32416</v>
      </c>
      <c r="C27848">
        <f>0</f>
        <v>0</v>
      </c>
      <c r="D27848">
        <v>0.87415042366899998</v>
      </c>
      <c r="E27848">
        <v>3.40629685157421</v>
      </c>
    </row>
    <row r="27849" spans="1:5">
      <c r="A27849" t="s">
        <v>32412</v>
      </c>
      <c r="B27849" t="s">
        <v>32417</v>
      </c>
      <c r="C27849">
        <v>0</v>
      </c>
      <c r="D27849">
        <v>0.87415042366899998</v>
      </c>
      <c r="E27849">
        <v>3.40629685157421</v>
      </c>
    </row>
    <row r="27850" spans="1:5">
      <c r="A27850" t="s">
        <v>32412</v>
      </c>
      <c r="B27850" t="s">
        <v>32418</v>
      </c>
      <c r="C27850">
        <v>0</v>
      </c>
      <c r="D27850">
        <v>0.87415042366899998</v>
      </c>
      <c r="E27850">
        <v>3.40629685157421</v>
      </c>
    </row>
    <row r="27851" spans="1:5">
      <c r="A27851" t="s">
        <v>32412</v>
      </c>
      <c r="B27851" t="s">
        <v>32419</v>
      </c>
      <c r="C27851">
        <f>0</f>
        <v>0</v>
      </c>
      <c r="D27851">
        <v>0.87415042366899998</v>
      </c>
      <c r="E27851">
        <v>3.40629685157421</v>
      </c>
    </row>
    <row r="27852" spans="1:5">
      <c r="A27852" t="s">
        <v>32412</v>
      </c>
      <c r="B27852" t="s">
        <v>32420</v>
      </c>
      <c r="C27852">
        <v>0.2460114129</v>
      </c>
      <c r="D27852">
        <v>0.87415042366899998</v>
      </c>
      <c r="E27852">
        <v>3.40629685157421</v>
      </c>
    </row>
    <row r="27853" spans="1:5">
      <c r="A27853" t="s">
        <v>32412</v>
      </c>
      <c r="B27853" t="s">
        <v>32421</v>
      </c>
      <c r="C27853">
        <v>0</v>
      </c>
      <c r="D27853">
        <v>0.87415042366899998</v>
      </c>
      <c r="E27853">
        <v>3.40629685157421</v>
      </c>
    </row>
    <row r="27854" spans="1:5">
      <c r="A27854" t="s">
        <v>32412</v>
      </c>
      <c r="B27854" t="s">
        <v>32422</v>
      </c>
      <c r="C27854">
        <v>0</v>
      </c>
      <c r="D27854">
        <v>0.87415042366899998</v>
      </c>
      <c r="E27854">
        <v>3.40629685157421</v>
      </c>
    </row>
    <row r="27855" spans="1:5">
      <c r="A27855" t="s">
        <v>32423</v>
      </c>
      <c r="B27855" t="s">
        <v>32424</v>
      </c>
      <c r="C27855">
        <v>0.16577698783200001</v>
      </c>
      <c r="D27855">
        <v>0.46177836901699998</v>
      </c>
      <c r="E27855">
        <v>24</v>
      </c>
    </row>
    <row r="27856" spans="1:5">
      <c r="A27856" t="s">
        <v>32425</v>
      </c>
      <c r="B27856" t="s">
        <v>32426</v>
      </c>
      <c r="C27856">
        <f>0.293891458089</f>
        <v>0.29389145808900002</v>
      </c>
      <c r="D27856">
        <v>0.80161733680799996</v>
      </c>
      <c r="E27856">
        <v>0.86356821589205401</v>
      </c>
    </row>
    <row r="27857" spans="1:5">
      <c r="A27857" t="s">
        <v>32427</v>
      </c>
      <c r="B27857" t="s">
        <v>32428</v>
      </c>
      <c r="C27857">
        <f>0.141450891055</f>
        <v>0.141450891055</v>
      </c>
      <c r="D27857">
        <v>0.89535515592000003</v>
      </c>
      <c r="E27857">
        <v>9.3073463268365799</v>
      </c>
    </row>
    <row r="27858" spans="1:5">
      <c r="A27858" t="s">
        <v>32427</v>
      </c>
      <c r="B27858" t="s">
        <v>32429</v>
      </c>
      <c r="C27858">
        <v>0</v>
      </c>
      <c r="D27858">
        <v>0.89535515592000003</v>
      </c>
      <c r="E27858">
        <v>9.3073463268365799</v>
      </c>
    </row>
    <row r="27859" spans="1:5">
      <c r="A27859" t="s">
        <v>32427</v>
      </c>
      <c r="B27859" t="s">
        <v>32430</v>
      </c>
      <c r="C27859">
        <f>0.179881243698</f>
        <v>0.17988124369799999</v>
      </c>
      <c r="D27859">
        <v>0.89535515592000003</v>
      </c>
      <c r="E27859">
        <v>9.3073463268365799</v>
      </c>
    </row>
    <row r="27860" spans="1:5">
      <c r="A27860" t="s">
        <v>32427</v>
      </c>
      <c r="B27860" t="s">
        <v>32431</v>
      </c>
      <c r="C27860">
        <f>0</f>
        <v>0</v>
      </c>
      <c r="D27860">
        <v>0.89535515592000003</v>
      </c>
      <c r="E27860">
        <v>9.3073463268365799</v>
      </c>
    </row>
    <row r="27861" spans="1:5">
      <c r="A27861" t="s">
        <v>32427</v>
      </c>
      <c r="B27861" t="s">
        <v>32432</v>
      </c>
      <c r="C27861">
        <v>0</v>
      </c>
      <c r="D27861">
        <v>0.89535515592000003</v>
      </c>
      <c r="E27861">
        <v>9.3073463268365799</v>
      </c>
    </row>
    <row r="27862" spans="1:5">
      <c r="A27862" t="s">
        <v>32433</v>
      </c>
      <c r="B27862" t="s">
        <v>32434</v>
      </c>
      <c r="C27862">
        <v>0</v>
      </c>
      <c r="D27862" t="s">
        <v>106</v>
      </c>
      <c r="E27862">
        <v>0.77961019490254801</v>
      </c>
    </row>
    <row r="27863" spans="1:5">
      <c r="A27863" t="s">
        <v>32433</v>
      </c>
      <c r="B27863" t="s">
        <v>32435</v>
      </c>
      <c r="C27863">
        <v>0</v>
      </c>
      <c r="D27863" t="s">
        <v>106</v>
      </c>
      <c r="E27863">
        <v>0.77961019490254801</v>
      </c>
    </row>
    <row r="27864" spans="1:5">
      <c r="A27864" t="s">
        <v>32433</v>
      </c>
      <c r="B27864" t="s">
        <v>32436</v>
      </c>
      <c r="C27864">
        <v>0</v>
      </c>
      <c r="D27864" t="s">
        <v>106</v>
      </c>
      <c r="E27864">
        <v>0.77961019490254801</v>
      </c>
    </row>
    <row r="27865" spans="1:5">
      <c r="A27865" t="s">
        <v>32433</v>
      </c>
      <c r="B27865" t="s">
        <v>32437</v>
      </c>
      <c r="C27865">
        <v>0</v>
      </c>
      <c r="D27865" t="s">
        <v>106</v>
      </c>
      <c r="E27865">
        <v>0.77961019490254801</v>
      </c>
    </row>
    <row r="27866" spans="1:5">
      <c r="A27866" t="s">
        <v>32433</v>
      </c>
      <c r="B27866" t="s">
        <v>32438</v>
      </c>
      <c r="C27866">
        <v>0</v>
      </c>
      <c r="D27866" t="s">
        <v>106</v>
      </c>
      <c r="E27866">
        <v>0.77961019490254801</v>
      </c>
    </row>
    <row r="27867" spans="1:5">
      <c r="A27867" t="s">
        <v>32439</v>
      </c>
      <c r="B27867" t="s">
        <v>32440</v>
      </c>
      <c r="C27867">
        <v>0</v>
      </c>
      <c r="D27867" t="s">
        <v>106</v>
      </c>
      <c r="E27867">
        <v>24</v>
      </c>
    </row>
    <row r="27868" spans="1:5">
      <c r="A27868" t="s">
        <v>32439</v>
      </c>
      <c r="B27868" t="s">
        <v>32441</v>
      </c>
      <c r="C27868">
        <f>0</f>
        <v>0</v>
      </c>
      <c r="D27868" t="s">
        <v>106</v>
      </c>
      <c r="E27868">
        <v>24</v>
      </c>
    </row>
    <row r="27869" spans="1:5">
      <c r="A27869" t="s">
        <v>32439</v>
      </c>
      <c r="B27869" t="s">
        <v>32442</v>
      </c>
      <c r="C27869">
        <v>0</v>
      </c>
      <c r="D27869" t="s">
        <v>106</v>
      </c>
      <c r="E27869">
        <v>24</v>
      </c>
    </row>
    <row r="27870" spans="1:5">
      <c r="A27870" t="s">
        <v>32439</v>
      </c>
      <c r="B27870" t="s">
        <v>32443</v>
      </c>
      <c r="C27870">
        <f>0</f>
        <v>0</v>
      </c>
      <c r="D27870" t="s">
        <v>106</v>
      </c>
      <c r="E27870">
        <v>24</v>
      </c>
    </row>
    <row r="27871" spans="1:5">
      <c r="A27871" t="s">
        <v>32439</v>
      </c>
      <c r="B27871" t="s">
        <v>32444</v>
      </c>
      <c r="C27871">
        <f>0</f>
        <v>0</v>
      </c>
      <c r="D27871" t="s">
        <v>106</v>
      </c>
      <c r="E27871">
        <v>24</v>
      </c>
    </row>
    <row r="27872" spans="1:5">
      <c r="A27872" t="s">
        <v>32439</v>
      </c>
      <c r="B27872" t="s">
        <v>32445</v>
      </c>
      <c r="C27872">
        <f>0</f>
        <v>0</v>
      </c>
      <c r="D27872" t="s">
        <v>106</v>
      </c>
      <c r="E27872">
        <v>24</v>
      </c>
    </row>
    <row r="27873" spans="1:5">
      <c r="A27873" t="s">
        <v>32439</v>
      </c>
      <c r="B27873" t="s">
        <v>32446</v>
      </c>
      <c r="C27873">
        <f>0</f>
        <v>0</v>
      </c>
      <c r="D27873" t="s">
        <v>106</v>
      </c>
      <c r="E27873">
        <v>24</v>
      </c>
    </row>
    <row r="27874" spans="1:5">
      <c r="A27874" t="s">
        <v>32439</v>
      </c>
      <c r="B27874" t="s">
        <v>32447</v>
      </c>
      <c r="C27874">
        <f>0</f>
        <v>0</v>
      </c>
      <c r="D27874" t="s">
        <v>106</v>
      </c>
      <c r="E27874">
        <v>24</v>
      </c>
    </row>
    <row r="27875" spans="1:5">
      <c r="A27875" t="s">
        <v>32439</v>
      </c>
      <c r="B27875" t="s">
        <v>32448</v>
      </c>
      <c r="C27875">
        <v>0</v>
      </c>
      <c r="D27875" t="s">
        <v>106</v>
      </c>
      <c r="E27875">
        <v>24</v>
      </c>
    </row>
    <row r="27876" spans="1:5">
      <c r="A27876" t="s">
        <v>32439</v>
      </c>
      <c r="B27876" t="s">
        <v>32449</v>
      </c>
      <c r="C27876">
        <f>0</f>
        <v>0</v>
      </c>
      <c r="D27876" t="s">
        <v>106</v>
      </c>
      <c r="E27876">
        <v>24</v>
      </c>
    </row>
    <row r="27877" spans="1:5">
      <c r="A27877" t="s">
        <v>32450</v>
      </c>
      <c r="B27877" t="s">
        <v>32451</v>
      </c>
      <c r="C27877">
        <v>0</v>
      </c>
      <c r="D27877">
        <v>0.90420461706699995</v>
      </c>
      <c r="E27877">
        <v>5.0134932533733103</v>
      </c>
    </row>
    <row r="27878" spans="1:5">
      <c r="A27878" t="s">
        <v>32450</v>
      </c>
      <c r="B27878" t="s">
        <v>32452</v>
      </c>
      <c r="C27878">
        <v>0</v>
      </c>
      <c r="D27878">
        <v>0.90420461706699995</v>
      </c>
      <c r="E27878">
        <v>5.0134932533733103</v>
      </c>
    </row>
    <row r="27879" spans="1:5">
      <c r="A27879" t="s">
        <v>32450</v>
      </c>
      <c r="B27879" t="s">
        <v>32453</v>
      </c>
      <c r="C27879">
        <v>0.32830686840000001</v>
      </c>
      <c r="D27879">
        <v>0.90420461706699995</v>
      </c>
      <c r="E27879">
        <v>5.0134932533733103</v>
      </c>
    </row>
    <row r="27880" spans="1:5">
      <c r="A27880" t="s">
        <v>32450</v>
      </c>
      <c r="B27880" t="s">
        <v>32454</v>
      </c>
      <c r="C27880">
        <v>0</v>
      </c>
      <c r="D27880">
        <v>0.90420461706699995</v>
      </c>
      <c r="E27880">
        <v>5.0134932533733103</v>
      </c>
    </row>
    <row r="27881" spans="1:5">
      <c r="A27881" t="s">
        <v>32450</v>
      </c>
      <c r="B27881" t="s">
        <v>32455</v>
      </c>
      <c r="C27881">
        <v>0</v>
      </c>
      <c r="D27881">
        <v>0.90420461706699995</v>
      </c>
      <c r="E27881">
        <v>5.0134932533733103</v>
      </c>
    </row>
    <row r="27882" spans="1:5">
      <c r="A27882" t="s">
        <v>32450</v>
      </c>
      <c r="B27882" t="s">
        <v>32456</v>
      </c>
      <c r="C27882">
        <f>0</f>
        <v>0</v>
      </c>
      <c r="D27882">
        <v>0.90420461706699995</v>
      </c>
      <c r="E27882">
        <v>5.0134932533733103</v>
      </c>
    </row>
    <row r="27883" spans="1:5">
      <c r="A27883" t="s">
        <v>32450</v>
      </c>
      <c r="B27883" t="s">
        <v>32457</v>
      </c>
      <c r="C27883">
        <v>0</v>
      </c>
      <c r="D27883">
        <v>0.90420461706699995</v>
      </c>
      <c r="E27883">
        <v>5.0134932533733103</v>
      </c>
    </row>
    <row r="27884" spans="1:5">
      <c r="A27884" t="s">
        <v>32450</v>
      </c>
      <c r="B27884" t="s">
        <v>32458</v>
      </c>
      <c r="C27884">
        <f>0</f>
        <v>0</v>
      </c>
      <c r="D27884">
        <v>0.90420461706699995</v>
      </c>
      <c r="E27884">
        <v>5.0134932533733103</v>
      </c>
    </row>
    <row r="27885" spans="1:5">
      <c r="A27885" t="s">
        <v>32450</v>
      </c>
      <c r="B27885" t="s">
        <v>32459</v>
      </c>
      <c r="C27885">
        <f>0</f>
        <v>0</v>
      </c>
      <c r="D27885">
        <v>0.90420461706699995</v>
      </c>
      <c r="E27885">
        <v>5.0134932533733103</v>
      </c>
    </row>
    <row r="27886" spans="1:5">
      <c r="A27886" t="s">
        <v>32450</v>
      </c>
      <c r="B27886" t="s">
        <v>32460</v>
      </c>
      <c r="C27886">
        <f>0</f>
        <v>0</v>
      </c>
      <c r="D27886">
        <v>0.90420461706699995</v>
      </c>
      <c r="E27886">
        <v>5.0134932533733103</v>
      </c>
    </row>
    <row r="27887" spans="1:5">
      <c r="A27887" t="s">
        <v>32450</v>
      </c>
      <c r="B27887" t="s">
        <v>32461</v>
      </c>
      <c r="C27887">
        <f>0</f>
        <v>0</v>
      </c>
      <c r="D27887">
        <v>0.90420461706699995</v>
      </c>
      <c r="E27887">
        <v>5.0134932533733103</v>
      </c>
    </row>
    <row r="27888" spans="1:5">
      <c r="A27888" t="s">
        <v>32450</v>
      </c>
      <c r="B27888" t="s">
        <v>32462</v>
      </c>
      <c r="C27888">
        <f>0</f>
        <v>0</v>
      </c>
      <c r="D27888">
        <v>0.90420461706699995</v>
      </c>
      <c r="E27888">
        <v>5.0134932533733103</v>
      </c>
    </row>
    <row r="27889" spans="1:5">
      <c r="A27889" t="s">
        <v>32450</v>
      </c>
      <c r="B27889" t="s">
        <v>32463</v>
      </c>
      <c r="C27889">
        <f>0</f>
        <v>0</v>
      </c>
      <c r="D27889">
        <v>0.90420461706699995</v>
      </c>
      <c r="E27889">
        <v>5.0134932533733103</v>
      </c>
    </row>
    <row r="27890" spans="1:5">
      <c r="A27890" t="s">
        <v>32450</v>
      </c>
      <c r="B27890" t="s">
        <v>32464</v>
      </c>
      <c r="C27890">
        <v>0</v>
      </c>
      <c r="D27890">
        <v>0.90420461706699995</v>
      </c>
      <c r="E27890">
        <v>5.0134932533733103</v>
      </c>
    </row>
    <row r="27891" spans="1:5">
      <c r="A27891" t="s">
        <v>32450</v>
      </c>
      <c r="B27891" t="s">
        <v>32465</v>
      </c>
      <c r="C27891">
        <f>0</f>
        <v>0</v>
      </c>
      <c r="D27891">
        <v>0.90420461706699995</v>
      </c>
      <c r="E27891">
        <v>5.0134932533733103</v>
      </c>
    </row>
    <row r="27892" spans="1:5">
      <c r="A27892" t="s">
        <v>32450</v>
      </c>
      <c r="B27892" t="s">
        <v>32466</v>
      </c>
      <c r="C27892">
        <v>0.10193854434500001</v>
      </c>
      <c r="D27892">
        <v>0.90420461706699995</v>
      </c>
      <c r="E27892">
        <v>5.0134932533733103</v>
      </c>
    </row>
    <row r="27893" spans="1:5">
      <c r="A27893" t="s">
        <v>32450</v>
      </c>
      <c r="B27893" t="s">
        <v>32467</v>
      </c>
      <c r="C27893">
        <f>0</f>
        <v>0</v>
      </c>
      <c r="D27893">
        <v>0.90420461706699995</v>
      </c>
      <c r="E27893">
        <v>5.0134932533733103</v>
      </c>
    </row>
    <row r="27894" spans="1:5">
      <c r="A27894" t="s">
        <v>32450</v>
      </c>
      <c r="B27894" t="s">
        <v>32468</v>
      </c>
      <c r="C27894">
        <f>0</f>
        <v>0</v>
      </c>
      <c r="D27894">
        <v>0.90420461706699995</v>
      </c>
      <c r="E27894">
        <v>5.0134932533733103</v>
      </c>
    </row>
    <row r="27895" spans="1:5">
      <c r="A27895" t="s">
        <v>32450</v>
      </c>
      <c r="B27895" t="s">
        <v>32469</v>
      </c>
      <c r="C27895">
        <v>0</v>
      </c>
      <c r="D27895">
        <v>0.90420461706699995</v>
      </c>
      <c r="E27895">
        <v>5.0134932533733103</v>
      </c>
    </row>
    <row r="27896" spans="1:5">
      <c r="A27896" t="s">
        <v>32450</v>
      </c>
      <c r="B27896" t="s">
        <v>32470</v>
      </c>
      <c r="C27896">
        <v>0</v>
      </c>
      <c r="D27896">
        <v>0.90420461706699995</v>
      </c>
      <c r="E27896">
        <v>5.0134932533733103</v>
      </c>
    </row>
    <row r="27897" spans="1:5">
      <c r="A27897" t="s">
        <v>32450</v>
      </c>
      <c r="B27897" t="s">
        <v>32471</v>
      </c>
      <c r="C27897">
        <v>0</v>
      </c>
      <c r="D27897">
        <v>0.90420461706699995</v>
      </c>
      <c r="E27897">
        <v>5.0134932533733103</v>
      </c>
    </row>
    <row r="27898" spans="1:5">
      <c r="A27898" t="s">
        <v>32450</v>
      </c>
      <c r="B27898" t="s">
        <v>32472</v>
      </c>
      <c r="C27898">
        <v>0</v>
      </c>
      <c r="D27898">
        <v>0.90420461706699995</v>
      </c>
      <c r="E27898">
        <v>5.0134932533733103</v>
      </c>
    </row>
    <row r="27899" spans="1:5">
      <c r="A27899" t="s">
        <v>32473</v>
      </c>
      <c r="B27899" t="s">
        <v>32474</v>
      </c>
      <c r="C27899">
        <f>0</f>
        <v>0</v>
      </c>
      <c r="D27899">
        <v>0.98017350006600001</v>
      </c>
      <c r="E27899">
        <v>5.3493253373313303</v>
      </c>
    </row>
    <row r="27900" spans="1:5">
      <c r="A27900" t="s">
        <v>32473</v>
      </c>
      <c r="B27900" t="s">
        <v>32475</v>
      </c>
      <c r="C27900">
        <f>0</f>
        <v>0</v>
      </c>
      <c r="D27900">
        <v>0.98017350006600001</v>
      </c>
      <c r="E27900">
        <v>5.3493253373313303</v>
      </c>
    </row>
    <row r="27901" spans="1:5">
      <c r="A27901" t="s">
        <v>32473</v>
      </c>
      <c r="B27901" t="s">
        <v>32476</v>
      </c>
      <c r="C27901">
        <f>0</f>
        <v>0</v>
      </c>
      <c r="D27901">
        <v>0.98017350006600001</v>
      </c>
      <c r="E27901">
        <v>5.3493253373313303</v>
      </c>
    </row>
    <row r="27902" spans="1:5">
      <c r="A27902" t="s">
        <v>32473</v>
      </c>
      <c r="B27902" t="s">
        <v>32477</v>
      </c>
      <c r="C27902">
        <f>0</f>
        <v>0</v>
      </c>
      <c r="D27902">
        <v>0.98017350006600001</v>
      </c>
      <c r="E27902">
        <v>5.3493253373313303</v>
      </c>
    </row>
    <row r="27903" spans="1:5">
      <c r="A27903" t="s">
        <v>32473</v>
      </c>
      <c r="B27903" t="s">
        <v>32478</v>
      </c>
      <c r="C27903">
        <v>0</v>
      </c>
      <c r="D27903">
        <v>0.98017350006600001</v>
      </c>
      <c r="E27903">
        <v>5.3493253373313303</v>
      </c>
    </row>
    <row r="27904" spans="1:5">
      <c r="A27904" t="s">
        <v>32473</v>
      </c>
      <c r="B27904" t="s">
        <v>32479</v>
      </c>
      <c r="C27904">
        <v>0</v>
      </c>
      <c r="D27904">
        <v>0.98017350006600001</v>
      </c>
      <c r="E27904">
        <v>5.3493253373313303</v>
      </c>
    </row>
    <row r="27905" spans="1:5">
      <c r="A27905" t="s">
        <v>32473</v>
      </c>
      <c r="B27905" t="s">
        <v>32480</v>
      </c>
      <c r="C27905">
        <f>0</f>
        <v>0</v>
      </c>
      <c r="D27905">
        <v>0.98017350006600001</v>
      </c>
      <c r="E27905">
        <v>5.3493253373313303</v>
      </c>
    </row>
    <row r="27906" spans="1:5">
      <c r="A27906" t="s">
        <v>32481</v>
      </c>
      <c r="B27906" t="s">
        <v>32482</v>
      </c>
      <c r="C27906">
        <v>0.28227156007900001</v>
      </c>
      <c r="D27906">
        <v>0.92834818059199997</v>
      </c>
      <c r="E27906">
        <v>4.9055472263868003</v>
      </c>
    </row>
    <row r="27907" spans="1:5">
      <c r="A27907" t="s">
        <v>32481</v>
      </c>
      <c r="B27907" t="s">
        <v>32483</v>
      </c>
      <c r="C27907">
        <v>0</v>
      </c>
      <c r="D27907">
        <v>0.92834818059199997</v>
      </c>
      <c r="E27907">
        <v>4.9055472263868003</v>
      </c>
    </row>
    <row r="27908" spans="1:5">
      <c r="A27908" t="s">
        <v>32481</v>
      </c>
      <c r="B27908" t="s">
        <v>32484</v>
      </c>
      <c r="C27908">
        <f>0</f>
        <v>0</v>
      </c>
      <c r="D27908">
        <v>0.92834818059199997</v>
      </c>
      <c r="E27908">
        <v>4.9055472263868003</v>
      </c>
    </row>
    <row r="27909" spans="1:5">
      <c r="A27909" t="s">
        <v>32481</v>
      </c>
      <c r="B27909" t="s">
        <v>32485</v>
      </c>
      <c r="C27909">
        <v>0</v>
      </c>
      <c r="D27909">
        <v>0.92834818059199997</v>
      </c>
      <c r="E27909">
        <v>4.9055472263868003</v>
      </c>
    </row>
    <row r="27910" spans="1:5">
      <c r="A27910" t="s">
        <v>32481</v>
      </c>
      <c r="B27910" t="s">
        <v>32486</v>
      </c>
      <c r="C27910">
        <f>0</f>
        <v>0</v>
      </c>
      <c r="D27910">
        <v>0.92834818059199997</v>
      </c>
      <c r="E27910">
        <v>4.9055472263868003</v>
      </c>
    </row>
    <row r="27911" spans="1:5">
      <c r="A27911" t="s">
        <v>32481</v>
      </c>
      <c r="B27911" t="s">
        <v>32487</v>
      </c>
      <c r="C27911">
        <v>0</v>
      </c>
      <c r="D27911">
        <v>0.92834818059199997</v>
      </c>
      <c r="E27911">
        <v>4.9055472263868003</v>
      </c>
    </row>
    <row r="27912" spans="1:5">
      <c r="A27912" t="s">
        <v>32481</v>
      </c>
      <c r="B27912" t="s">
        <v>32488</v>
      </c>
      <c r="C27912">
        <f>0</f>
        <v>0</v>
      </c>
      <c r="D27912">
        <v>0.92834818059199997</v>
      </c>
      <c r="E27912">
        <v>4.9055472263868003</v>
      </c>
    </row>
    <row r="27913" spans="1:5">
      <c r="A27913" t="s">
        <v>32481</v>
      </c>
      <c r="B27913" t="s">
        <v>32489</v>
      </c>
      <c r="C27913">
        <v>0</v>
      </c>
      <c r="D27913">
        <v>0.92834818059199997</v>
      </c>
      <c r="E27913">
        <v>4.9055472263868003</v>
      </c>
    </row>
    <row r="27914" spans="1:5">
      <c r="A27914" t="s">
        <v>32490</v>
      </c>
      <c r="B27914" t="s">
        <v>32491</v>
      </c>
      <c r="C27914">
        <v>0</v>
      </c>
      <c r="D27914">
        <v>0.89056569824800003</v>
      </c>
      <c r="E27914">
        <v>3.97001499250374</v>
      </c>
    </row>
    <row r="27915" spans="1:5">
      <c r="A27915" t="s">
        <v>32490</v>
      </c>
      <c r="B27915" t="s">
        <v>32492</v>
      </c>
      <c r="C27915">
        <v>0</v>
      </c>
      <c r="D27915">
        <v>0.89056569824800003</v>
      </c>
      <c r="E27915">
        <v>3.97001499250374</v>
      </c>
    </row>
    <row r="27916" spans="1:5">
      <c r="A27916" t="s">
        <v>32490</v>
      </c>
      <c r="B27916" t="s">
        <v>32493</v>
      </c>
      <c r="C27916">
        <f>0</f>
        <v>0</v>
      </c>
      <c r="D27916">
        <v>0.89056569824800003</v>
      </c>
      <c r="E27916">
        <v>3.97001499250374</v>
      </c>
    </row>
    <row r="27917" spans="1:5">
      <c r="A27917" t="s">
        <v>32490</v>
      </c>
      <c r="B27917" t="s">
        <v>32494</v>
      </c>
      <c r="C27917">
        <v>0</v>
      </c>
      <c r="D27917">
        <v>0.89056569824800003</v>
      </c>
      <c r="E27917">
        <v>3.97001499250374</v>
      </c>
    </row>
    <row r="27918" spans="1:5">
      <c r="A27918" t="s">
        <v>32490</v>
      </c>
      <c r="B27918" t="s">
        <v>32495</v>
      </c>
      <c r="C27918">
        <v>0</v>
      </c>
      <c r="D27918">
        <v>0.89056569824800003</v>
      </c>
      <c r="E27918">
        <v>3.97001499250374</v>
      </c>
    </row>
    <row r="27919" spans="1:5">
      <c r="A27919" t="s">
        <v>32490</v>
      </c>
      <c r="B27919" t="s">
        <v>32496</v>
      </c>
      <c r="C27919">
        <v>0</v>
      </c>
      <c r="D27919">
        <v>0.89056569824800003</v>
      </c>
      <c r="E27919">
        <v>3.97001499250374</v>
      </c>
    </row>
    <row r="27920" spans="1:5">
      <c r="A27920" t="s">
        <v>32490</v>
      </c>
      <c r="B27920" t="s">
        <v>32497</v>
      </c>
      <c r="C27920">
        <f>0</f>
        <v>0</v>
      </c>
      <c r="D27920">
        <v>0.89056569824800003</v>
      </c>
      <c r="E27920">
        <v>3.97001499250374</v>
      </c>
    </row>
    <row r="27921" spans="1:5">
      <c r="A27921" t="s">
        <v>32490</v>
      </c>
      <c r="B27921" t="s">
        <v>32498</v>
      </c>
      <c r="C27921">
        <f>0</f>
        <v>0</v>
      </c>
      <c r="D27921">
        <v>0.89056569824800003</v>
      </c>
      <c r="E27921">
        <v>3.97001499250374</v>
      </c>
    </row>
    <row r="27922" spans="1:5">
      <c r="A27922" t="s">
        <v>32490</v>
      </c>
      <c r="B27922" t="s">
        <v>32499</v>
      </c>
      <c r="C27922">
        <v>0</v>
      </c>
      <c r="D27922">
        <v>0.89056569824800003</v>
      </c>
      <c r="E27922">
        <v>3.97001499250374</v>
      </c>
    </row>
    <row r="27923" spans="1:5">
      <c r="A27923" t="s">
        <v>32490</v>
      </c>
      <c r="B27923" t="s">
        <v>32500</v>
      </c>
      <c r="C27923">
        <v>0</v>
      </c>
      <c r="D27923">
        <v>0.89056569824800003</v>
      </c>
      <c r="E27923">
        <v>3.97001499250374</v>
      </c>
    </row>
    <row r="27924" spans="1:5">
      <c r="A27924" t="s">
        <v>32490</v>
      </c>
      <c r="B27924" t="s">
        <v>32501</v>
      </c>
      <c r="C27924">
        <v>0</v>
      </c>
      <c r="D27924">
        <v>0.89056569824800003</v>
      </c>
      <c r="E27924">
        <v>3.97001499250374</v>
      </c>
    </row>
    <row r="27925" spans="1:5">
      <c r="A27925" t="s">
        <v>32490</v>
      </c>
      <c r="B27925" t="s">
        <v>32502</v>
      </c>
      <c r="C27925">
        <f>0</f>
        <v>0</v>
      </c>
      <c r="D27925">
        <v>0.89056569824800003</v>
      </c>
      <c r="E27925">
        <v>3.97001499250374</v>
      </c>
    </row>
    <row r="27926" spans="1:5">
      <c r="A27926" t="s">
        <v>32490</v>
      </c>
      <c r="B27926" t="s">
        <v>32503</v>
      </c>
      <c r="C27926">
        <f>0</f>
        <v>0</v>
      </c>
      <c r="D27926">
        <v>0.89056569824800003</v>
      </c>
      <c r="E27926">
        <v>3.97001499250374</v>
      </c>
    </row>
    <row r="27927" spans="1:5">
      <c r="A27927" t="s">
        <v>32490</v>
      </c>
      <c r="B27927" t="s">
        <v>32504</v>
      </c>
      <c r="C27927">
        <f>0</f>
        <v>0</v>
      </c>
      <c r="D27927">
        <v>0.89056569824800003</v>
      </c>
      <c r="E27927">
        <v>3.97001499250374</v>
      </c>
    </row>
    <row r="27928" spans="1:5">
      <c r="A27928" t="s">
        <v>32490</v>
      </c>
      <c r="B27928" t="s">
        <v>32505</v>
      </c>
      <c r="C27928">
        <f>0</f>
        <v>0</v>
      </c>
      <c r="D27928">
        <v>0.89056569824800003</v>
      </c>
      <c r="E27928">
        <v>3.97001499250374</v>
      </c>
    </row>
    <row r="27929" spans="1:5">
      <c r="A27929" t="s">
        <v>32490</v>
      </c>
      <c r="B27929" t="s">
        <v>32506</v>
      </c>
      <c r="C27929">
        <f>0</f>
        <v>0</v>
      </c>
      <c r="D27929">
        <v>0.89056569824800003</v>
      </c>
      <c r="E27929">
        <v>3.97001499250374</v>
      </c>
    </row>
    <row r="27930" spans="1:5">
      <c r="A27930" t="s">
        <v>32507</v>
      </c>
      <c r="B27930" t="s">
        <v>32508</v>
      </c>
      <c r="C27930">
        <v>0</v>
      </c>
      <c r="D27930">
        <v>0.99430336889399995</v>
      </c>
      <c r="E27930">
        <v>0.73163418290854498</v>
      </c>
    </row>
    <row r="27931" spans="1:5">
      <c r="A27931" t="s">
        <v>32507</v>
      </c>
      <c r="B27931" t="s">
        <v>32509</v>
      </c>
      <c r="C27931">
        <f>0.442590165626</f>
        <v>0.44259016562600001</v>
      </c>
      <c r="D27931">
        <v>0.99430336889399995</v>
      </c>
      <c r="E27931">
        <v>0.73163418290854498</v>
      </c>
    </row>
    <row r="27932" spans="1:5">
      <c r="A27932" t="s">
        <v>32507</v>
      </c>
      <c r="B27932" t="s">
        <v>32510</v>
      </c>
      <c r="C27932">
        <v>0</v>
      </c>
      <c r="D27932">
        <v>0.99430336889399995</v>
      </c>
      <c r="E27932">
        <v>0.73163418290854498</v>
      </c>
    </row>
    <row r="27933" spans="1:5">
      <c r="A27933" t="s">
        <v>32507</v>
      </c>
      <c r="B27933" t="s">
        <v>32511</v>
      </c>
      <c r="C27933">
        <v>0</v>
      </c>
      <c r="D27933">
        <v>0.99430336889399995</v>
      </c>
      <c r="E27933">
        <v>0.73163418290854498</v>
      </c>
    </row>
    <row r="27934" spans="1:5">
      <c r="A27934" t="s">
        <v>32507</v>
      </c>
      <c r="B27934" t="s">
        <v>32512</v>
      </c>
      <c r="C27934">
        <f>0</f>
        <v>0</v>
      </c>
      <c r="D27934">
        <v>0.99430336889399995</v>
      </c>
      <c r="E27934">
        <v>0.73163418290854498</v>
      </c>
    </row>
    <row r="27935" spans="1:5">
      <c r="A27935" t="s">
        <v>32507</v>
      </c>
      <c r="B27935" t="s">
        <v>32513</v>
      </c>
      <c r="C27935">
        <v>0.320736207266</v>
      </c>
      <c r="D27935">
        <v>0.99430336889399995</v>
      </c>
      <c r="E27935">
        <v>0.73163418290854498</v>
      </c>
    </row>
    <row r="27936" spans="1:5">
      <c r="A27936" t="s">
        <v>32507</v>
      </c>
      <c r="B27936" t="s">
        <v>32514</v>
      </c>
      <c r="C27936">
        <f>0</f>
        <v>0</v>
      </c>
      <c r="D27936">
        <v>0.99430336889399995</v>
      </c>
      <c r="E27936">
        <v>0.73163418290854498</v>
      </c>
    </row>
    <row r="27937" spans="1:5">
      <c r="A27937" t="s">
        <v>32515</v>
      </c>
      <c r="B27937" t="s">
        <v>32516</v>
      </c>
      <c r="C27937">
        <v>0.19943697578899999</v>
      </c>
      <c r="D27937">
        <v>0.97204428835599999</v>
      </c>
      <c r="E27937">
        <v>1.8230884557721101</v>
      </c>
    </row>
    <row r="27938" spans="1:5">
      <c r="A27938" t="s">
        <v>32515</v>
      </c>
      <c r="B27938" t="s">
        <v>32517</v>
      </c>
      <c r="C27938">
        <v>0</v>
      </c>
      <c r="D27938">
        <v>0.97204428835599999</v>
      </c>
      <c r="E27938">
        <v>1.8230884557721101</v>
      </c>
    </row>
    <row r="27939" spans="1:5">
      <c r="A27939" t="s">
        <v>32515</v>
      </c>
      <c r="B27939" t="s">
        <v>32518</v>
      </c>
      <c r="C27939">
        <v>0.103413423135</v>
      </c>
      <c r="D27939">
        <v>0.97204428835599999</v>
      </c>
      <c r="E27939">
        <v>1.8230884557721101</v>
      </c>
    </row>
    <row r="27940" spans="1:5">
      <c r="A27940" t="s">
        <v>32519</v>
      </c>
      <c r="B27940" t="s">
        <v>32520</v>
      </c>
      <c r="C27940">
        <v>0</v>
      </c>
      <c r="D27940">
        <v>0.88752037451200005</v>
      </c>
      <c r="E27940">
        <v>16.491754122938499</v>
      </c>
    </row>
    <row r="27941" spans="1:5">
      <c r="A27941" t="s">
        <v>32519</v>
      </c>
      <c r="B27941" t="s">
        <v>32521</v>
      </c>
      <c r="C27941">
        <v>0</v>
      </c>
      <c r="D27941">
        <v>0.88752037451200005</v>
      </c>
      <c r="E27941">
        <v>16.491754122938499</v>
      </c>
    </row>
    <row r="27942" spans="1:5">
      <c r="A27942" t="s">
        <v>32519</v>
      </c>
      <c r="B27942" t="s">
        <v>32522</v>
      </c>
      <c r="C27942">
        <v>0</v>
      </c>
      <c r="D27942">
        <v>0.88752037451200005</v>
      </c>
      <c r="E27942">
        <v>16.491754122938499</v>
      </c>
    </row>
    <row r="27943" spans="1:5">
      <c r="A27943" t="s">
        <v>32519</v>
      </c>
      <c r="B27943" t="s">
        <v>32523</v>
      </c>
      <c r="C27943">
        <f>0</f>
        <v>0</v>
      </c>
      <c r="D27943">
        <v>0.88752037451200005</v>
      </c>
      <c r="E27943">
        <v>16.491754122938499</v>
      </c>
    </row>
    <row r="27944" spans="1:5">
      <c r="A27944" t="s">
        <v>32524</v>
      </c>
      <c r="B27944" t="s">
        <v>32525</v>
      </c>
      <c r="C27944">
        <v>0.88461019947700004</v>
      </c>
      <c r="D27944" t="s">
        <v>106</v>
      </c>
      <c r="E27944">
        <v>2.6386806596701602</v>
      </c>
    </row>
    <row r="27945" spans="1:5">
      <c r="A27945" t="s">
        <v>32524</v>
      </c>
      <c r="B27945" t="s">
        <v>32526</v>
      </c>
      <c r="C27945">
        <v>6.8356006862799995E-2</v>
      </c>
      <c r="D27945" t="s">
        <v>106</v>
      </c>
      <c r="E27945">
        <v>2.6386806596701602</v>
      </c>
    </row>
    <row r="27946" spans="1:5">
      <c r="A27946" t="s">
        <v>32527</v>
      </c>
      <c r="B27946" t="s">
        <v>32528</v>
      </c>
      <c r="C27946">
        <f>0</f>
        <v>0</v>
      </c>
      <c r="D27946" t="s">
        <v>106</v>
      </c>
      <c r="E27946">
        <v>13.2653673163418</v>
      </c>
    </row>
    <row r="27947" spans="1:5">
      <c r="A27947" t="s">
        <v>32529</v>
      </c>
      <c r="B27947" t="s">
        <v>32530</v>
      </c>
      <c r="C27947">
        <v>0</v>
      </c>
      <c r="D27947">
        <v>0.64313803042100004</v>
      </c>
      <c r="E27947">
        <v>4.9055472263868003</v>
      </c>
    </row>
    <row r="27948" spans="1:5">
      <c r="A27948" t="s">
        <v>32529</v>
      </c>
      <c r="B27948" t="s">
        <v>32531</v>
      </c>
      <c r="C27948">
        <v>4.5743479460500003E-2</v>
      </c>
      <c r="D27948">
        <v>0.64313803042100004</v>
      </c>
      <c r="E27948">
        <v>4.9055472263868003</v>
      </c>
    </row>
    <row r="27949" spans="1:5">
      <c r="A27949" t="s">
        <v>32529</v>
      </c>
      <c r="B27949" t="s">
        <v>32532</v>
      </c>
      <c r="C27949">
        <f>0.0448002851851</f>
        <v>4.48002851851E-2</v>
      </c>
      <c r="D27949">
        <v>0.64313803042100004</v>
      </c>
      <c r="E27949">
        <v>4.9055472263868003</v>
      </c>
    </row>
    <row r="27950" spans="1:5">
      <c r="A27950" t="s">
        <v>32529</v>
      </c>
      <c r="B27950" t="s">
        <v>32533</v>
      </c>
      <c r="C27950">
        <f>0</f>
        <v>0</v>
      </c>
      <c r="D27950">
        <v>0.64313803042100004</v>
      </c>
      <c r="E27950">
        <v>4.9055472263868003</v>
      </c>
    </row>
    <row r="27951" spans="1:5">
      <c r="A27951" t="s">
        <v>32534</v>
      </c>
      <c r="B27951" t="s">
        <v>32535</v>
      </c>
      <c r="C27951">
        <v>0</v>
      </c>
      <c r="D27951">
        <v>0.83802173808400005</v>
      </c>
      <c r="E27951">
        <v>3.4902548725637099</v>
      </c>
    </row>
    <row r="27952" spans="1:5">
      <c r="A27952" t="s">
        <v>32534</v>
      </c>
      <c r="B27952" t="s">
        <v>32536</v>
      </c>
      <c r="C27952">
        <v>0</v>
      </c>
      <c r="D27952">
        <v>0.83802173808400005</v>
      </c>
      <c r="E27952">
        <v>3.4902548725637099</v>
      </c>
    </row>
    <row r="27953" spans="1:5">
      <c r="A27953" t="s">
        <v>32537</v>
      </c>
      <c r="B27953" t="s">
        <v>32538</v>
      </c>
      <c r="C27953">
        <v>0</v>
      </c>
      <c r="D27953">
        <v>0.85499117783800005</v>
      </c>
      <c r="E27953">
        <v>3.8740629685157399</v>
      </c>
    </row>
    <row r="27954" spans="1:5">
      <c r="A27954" t="s">
        <v>32537</v>
      </c>
      <c r="B27954" t="s">
        <v>32539</v>
      </c>
      <c r="C27954">
        <f>0</f>
        <v>0</v>
      </c>
      <c r="D27954">
        <v>0.85499117783800005</v>
      </c>
      <c r="E27954">
        <v>3.8740629685157399</v>
      </c>
    </row>
    <row r="27955" spans="1:5">
      <c r="A27955" t="s">
        <v>32537</v>
      </c>
      <c r="B27955" t="s">
        <v>32540</v>
      </c>
      <c r="C27955">
        <f>0</f>
        <v>0</v>
      </c>
      <c r="D27955">
        <v>0.85499117783800005</v>
      </c>
      <c r="E27955">
        <v>3.8740629685157399</v>
      </c>
    </row>
    <row r="27956" spans="1:5">
      <c r="A27956" t="s">
        <v>32537</v>
      </c>
      <c r="B27956" t="s">
        <v>32541</v>
      </c>
      <c r="C27956">
        <v>0.187773903061</v>
      </c>
      <c r="D27956">
        <v>0.85499117783800005</v>
      </c>
      <c r="E27956">
        <v>3.8740629685157399</v>
      </c>
    </row>
    <row r="27957" spans="1:5">
      <c r="A27957" t="s">
        <v>32537</v>
      </c>
      <c r="B27957" t="s">
        <v>32542</v>
      </c>
      <c r="C27957">
        <v>0</v>
      </c>
      <c r="D27957">
        <v>0.85499117783800005</v>
      </c>
      <c r="E27957">
        <v>3.8740629685157399</v>
      </c>
    </row>
    <row r="27958" spans="1:5">
      <c r="A27958" t="s">
        <v>32537</v>
      </c>
      <c r="B27958" t="s">
        <v>32543</v>
      </c>
      <c r="C27958">
        <v>0.45149058124500002</v>
      </c>
      <c r="D27958">
        <v>0.85499117783800005</v>
      </c>
      <c r="E27958">
        <v>3.8740629685157399</v>
      </c>
    </row>
    <row r="27959" spans="1:5">
      <c r="A27959" t="s">
        <v>32544</v>
      </c>
      <c r="B27959" t="s">
        <v>32545</v>
      </c>
      <c r="C27959">
        <f>0</f>
        <v>0</v>
      </c>
      <c r="D27959" t="s">
        <v>106</v>
      </c>
      <c r="E27959">
        <v>15.700149925037399</v>
      </c>
    </row>
    <row r="27960" spans="1:5">
      <c r="A27960" t="s">
        <v>32544</v>
      </c>
      <c r="B27960" t="s">
        <v>32546</v>
      </c>
      <c r="C27960">
        <v>0</v>
      </c>
      <c r="D27960" t="s">
        <v>106</v>
      </c>
      <c r="E27960">
        <v>15.700149925037399</v>
      </c>
    </row>
    <row r="27961" spans="1:5">
      <c r="A27961" t="s">
        <v>32544</v>
      </c>
      <c r="B27961" t="s">
        <v>32547</v>
      </c>
      <c r="C27961">
        <f>0</f>
        <v>0</v>
      </c>
      <c r="D27961" t="s">
        <v>106</v>
      </c>
      <c r="E27961">
        <v>15.700149925037399</v>
      </c>
    </row>
    <row r="27962" spans="1:5">
      <c r="A27962" t="s">
        <v>32544</v>
      </c>
      <c r="B27962" t="s">
        <v>32548</v>
      </c>
      <c r="C27962">
        <v>0</v>
      </c>
      <c r="D27962" t="s">
        <v>106</v>
      </c>
      <c r="E27962">
        <v>15.700149925037399</v>
      </c>
    </row>
    <row r="27963" spans="1:5">
      <c r="A27963" t="s">
        <v>32544</v>
      </c>
      <c r="B27963" t="s">
        <v>32549</v>
      </c>
      <c r="C27963">
        <f>0</f>
        <v>0</v>
      </c>
      <c r="D27963" t="s">
        <v>106</v>
      </c>
      <c r="E27963">
        <v>15.700149925037399</v>
      </c>
    </row>
    <row r="27964" spans="1:5">
      <c r="A27964" t="s">
        <v>32544</v>
      </c>
      <c r="B27964" t="s">
        <v>32550</v>
      </c>
      <c r="C27964">
        <v>0</v>
      </c>
      <c r="D27964" t="s">
        <v>106</v>
      </c>
      <c r="E27964">
        <v>15.700149925037399</v>
      </c>
    </row>
    <row r="27965" spans="1:5">
      <c r="A27965" t="s">
        <v>32544</v>
      </c>
      <c r="B27965" t="s">
        <v>32551</v>
      </c>
      <c r="C27965">
        <f>0</f>
        <v>0</v>
      </c>
      <c r="D27965" t="s">
        <v>106</v>
      </c>
      <c r="E27965">
        <v>15.700149925037399</v>
      </c>
    </row>
    <row r="27966" spans="1:5">
      <c r="A27966" t="s">
        <v>32544</v>
      </c>
      <c r="B27966" t="s">
        <v>32552</v>
      </c>
      <c r="C27966">
        <f>0</f>
        <v>0</v>
      </c>
      <c r="D27966" t="s">
        <v>106</v>
      </c>
      <c r="E27966">
        <v>15.700149925037399</v>
      </c>
    </row>
    <row r="27967" spans="1:5">
      <c r="A27967" t="s">
        <v>32544</v>
      </c>
      <c r="B27967" t="s">
        <v>32553</v>
      </c>
      <c r="C27967">
        <f>0</f>
        <v>0</v>
      </c>
      <c r="D27967" t="s">
        <v>106</v>
      </c>
      <c r="E27967">
        <v>15.700149925037399</v>
      </c>
    </row>
    <row r="27968" spans="1:5">
      <c r="A27968" t="s">
        <v>32544</v>
      </c>
      <c r="B27968" t="s">
        <v>32554</v>
      </c>
      <c r="C27968">
        <f>0</f>
        <v>0</v>
      </c>
      <c r="D27968" t="s">
        <v>106</v>
      </c>
      <c r="E27968">
        <v>15.700149925037399</v>
      </c>
    </row>
    <row r="27969" spans="1:5">
      <c r="A27969" t="s">
        <v>32544</v>
      </c>
      <c r="B27969" t="s">
        <v>32555</v>
      </c>
      <c r="C27969">
        <f>0</f>
        <v>0</v>
      </c>
      <c r="D27969" t="s">
        <v>106</v>
      </c>
      <c r="E27969">
        <v>15.700149925037399</v>
      </c>
    </row>
    <row r="27970" spans="1:5">
      <c r="A27970" t="s">
        <v>32544</v>
      </c>
      <c r="B27970" t="s">
        <v>32556</v>
      </c>
      <c r="C27970">
        <v>0</v>
      </c>
      <c r="D27970" t="s">
        <v>106</v>
      </c>
      <c r="E27970">
        <v>15.700149925037399</v>
      </c>
    </row>
    <row r="27971" spans="1:5">
      <c r="A27971" t="s">
        <v>32544</v>
      </c>
      <c r="B27971" t="s">
        <v>32557</v>
      </c>
      <c r="C27971">
        <v>0</v>
      </c>
      <c r="D27971" t="s">
        <v>106</v>
      </c>
      <c r="E27971">
        <v>15.700149925037399</v>
      </c>
    </row>
    <row r="27972" spans="1:5">
      <c r="A27972" t="s">
        <v>32558</v>
      </c>
      <c r="B27972" t="s">
        <v>32559</v>
      </c>
      <c r="C27972">
        <v>0.17782927338400001</v>
      </c>
      <c r="D27972">
        <v>0.99398128958300003</v>
      </c>
      <c r="E27972">
        <v>10.710644677661101</v>
      </c>
    </row>
    <row r="27973" spans="1:5">
      <c r="A27973" t="s">
        <v>32558</v>
      </c>
      <c r="B27973" t="s">
        <v>32560</v>
      </c>
      <c r="C27973">
        <v>0</v>
      </c>
      <c r="D27973">
        <v>0.99398128958300003</v>
      </c>
      <c r="E27973">
        <v>10.710644677661101</v>
      </c>
    </row>
    <row r="27974" spans="1:5">
      <c r="A27974" t="s">
        <v>32558</v>
      </c>
      <c r="B27974" t="s">
        <v>32561</v>
      </c>
      <c r="C27974">
        <v>0</v>
      </c>
      <c r="D27974">
        <v>0.99398128958300003</v>
      </c>
      <c r="E27974">
        <v>10.710644677661101</v>
      </c>
    </row>
    <row r="27975" spans="1:5">
      <c r="A27975" t="s">
        <v>32558</v>
      </c>
      <c r="B27975" t="s">
        <v>32562</v>
      </c>
      <c r="C27975">
        <v>0</v>
      </c>
      <c r="D27975">
        <v>0.99398128958300003</v>
      </c>
      <c r="E27975">
        <v>10.710644677661101</v>
      </c>
    </row>
    <row r="27976" spans="1:5">
      <c r="A27976" t="s">
        <v>32558</v>
      </c>
      <c r="B27976" t="s">
        <v>32563</v>
      </c>
      <c r="C27976">
        <v>0</v>
      </c>
      <c r="D27976">
        <v>0.99398128958300003</v>
      </c>
      <c r="E27976">
        <v>10.710644677661101</v>
      </c>
    </row>
    <row r="27977" spans="1:5">
      <c r="A27977" t="s">
        <v>32558</v>
      </c>
      <c r="B27977" t="s">
        <v>32564</v>
      </c>
      <c r="C27977">
        <v>0</v>
      </c>
      <c r="D27977">
        <v>0.99398128958300003</v>
      </c>
      <c r="E27977">
        <v>10.710644677661101</v>
      </c>
    </row>
    <row r="27978" spans="1:5">
      <c r="A27978" t="s">
        <v>32558</v>
      </c>
      <c r="B27978" t="s">
        <v>32565</v>
      </c>
      <c r="C27978">
        <v>0</v>
      </c>
      <c r="D27978">
        <v>0.99398128958300003</v>
      </c>
      <c r="E27978">
        <v>10.710644677661101</v>
      </c>
    </row>
    <row r="27979" spans="1:5">
      <c r="A27979" t="s">
        <v>32558</v>
      </c>
      <c r="B27979" t="s">
        <v>32566</v>
      </c>
      <c r="C27979">
        <v>0</v>
      </c>
      <c r="D27979">
        <v>0.99398128958300003</v>
      </c>
      <c r="E27979">
        <v>10.710644677661101</v>
      </c>
    </row>
    <row r="27980" spans="1:5">
      <c r="A27980" t="s">
        <v>32558</v>
      </c>
      <c r="B27980" t="s">
        <v>32567</v>
      </c>
      <c r="C27980">
        <v>0</v>
      </c>
      <c r="D27980">
        <v>0.99398128958300003</v>
      </c>
      <c r="E27980">
        <v>10.710644677661101</v>
      </c>
    </row>
    <row r="27981" spans="1:5">
      <c r="A27981" t="s">
        <v>32558</v>
      </c>
      <c r="B27981" t="s">
        <v>32568</v>
      </c>
      <c r="C27981">
        <v>0</v>
      </c>
      <c r="D27981">
        <v>0.99398128958300003</v>
      </c>
      <c r="E27981">
        <v>10.710644677661101</v>
      </c>
    </row>
    <row r="27982" spans="1:5">
      <c r="A27982" t="s">
        <v>32558</v>
      </c>
      <c r="B27982" t="s">
        <v>32569</v>
      </c>
      <c r="C27982">
        <f>0</f>
        <v>0</v>
      </c>
      <c r="D27982">
        <v>0.99398128958300003</v>
      </c>
      <c r="E27982">
        <v>10.710644677661101</v>
      </c>
    </row>
    <row r="27983" spans="1:5">
      <c r="A27983" t="s">
        <v>32558</v>
      </c>
      <c r="B27983" t="s">
        <v>32570</v>
      </c>
      <c r="C27983">
        <v>0</v>
      </c>
      <c r="D27983">
        <v>0.99398128958300003</v>
      </c>
      <c r="E27983">
        <v>10.710644677661101</v>
      </c>
    </row>
    <row r="27984" spans="1:5">
      <c r="A27984" t="s">
        <v>32558</v>
      </c>
      <c r="B27984" t="s">
        <v>32571</v>
      </c>
      <c r="C27984">
        <v>0</v>
      </c>
      <c r="D27984">
        <v>0.99398128958300003</v>
      </c>
      <c r="E27984">
        <v>10.710644677661101</v>
      </c>
    </row>
    <row r="27985" spans="1:5">
      <c r="A27985" t="s">
        <v>32558</v>
      </c>
      <c r="B27985" t="s">
        <v>32572</v>
      </c>
      <c r="C27985">
        <v>4.6917122896800001E-2</v>
      </c>
      <c r="D27985">
        <v>0.99398128958300003</v>
      </c>
      <c r="E27985">
        <v>10.710644677661101</v>
      </c>
    </row>
    <row r="27986" spans="1:5">
      <c r="A27986" t="s">
        <v>32573</v>
      </c>
      <c r="B27986" t="s">
        <v>32574</v>
      </c>
      <c r="C27986">
        <f>0.418389638831</f>
        <v>0.418389638831</v>
      </c>
      <c r="D27986">
        <v>0.93531392775300004</v>
      </c>
      <c r="E27986">
        <v>9.1634182908545707</v>
      </c>
    </row>
    <row r="27987" spans="1:5">
      <c r="A27987" t="s">
        <v>32573</v>
      </c>
      <c r="B27987" t="s">
        <v>32575</v>
      </c>
      <c r="C27987">
        <v>0.12088806077399999</v>
      </c>
      <c r="D27987">
        <v>0.93531392775300004</v>
      </c>
      <c r="E27987">
        <v>9.1634182908545707</v>
      </c>
    </row>
    <row r="27988" spans="1:5">
      <c r="A27988" t="s">
        <v>32573</v>
      </c>
      <c r="B27988" t="s">
        <v>32576</v>
      </c>
      <c r="C27988">
        <f>0</f>
        <v>0</v>
      </c>
      <c r="D27988">
        <v>0.93531392775300004</v>
      </c>
      <c r="E27988">
        <v>9.1634182908545707</v>
      </c>
    </row>
    <row r="27989" spans="1:5">
      <c r="A27989" t="s">
        <v>32573</v>
      </c>
      <c r="B27989" t="s">
        <v>32577</v>
      </c>
      <c r="C27989">
        <v>0</v>
      </c>
      <c r="D27989">
        <v>0.93531392775300004</v>
      </c>
      <c r="E27989">
        <v>9.1634182908545707</v>
      </c>
    </row>
    <row r="27990" spans="1:5">
      <c r="A27990" t="s">
        <v>32573</v>
      </c>
      <c r="B27990" t="s">
        <v>32578</v>
      </c>
      <c r="C27990">
        <f>0</f>
        <v>0</v>
      </c>
      <c r="D27990">
        <v>0.93531392775300004</v>
      </c>
      <c r="E27990">
        <v>9.1634182908545707</v>
      </c>
    </row>
    <row r="27991" spans="1:5">
      <c r="A27991" t="s">
        <v>32573</v>
      </c>
      <c r="B27991" t="s">
        <v>32579</v>
      </c>
      <c r="C27991">
        <f>0</f>
        <v>0</v>
      </c>
      <c r="D27991">
        <v>0.93531392775300004</v>
      </c>
      <c r="E27991">
        <v>9.1634182908545707</v>
      </c>
    </row>
    <row r="27992" spans="1:5">
      <c r="A27992" t="s">
        <v>32580</v>
      </c>
      <c r="B27992" t="s">
        <v>32581</v>
      </c>
      <c r="C27992">
        <v>0</v>
      </c>
      <c r="D27992" t="s">
        <v>106</v>
      </c>
      <c r="E27992">
        <v>5.69715142428785</v>
      </c>
    </row>
    <row r="27993" spans="1:5">
      <c r="A27993" t="s">
        <v>32580</v>
      </c>
      <c r="B27993" t="s">
        <v>32582</v>
      </c>
      <c r="C27993">
        <v>0</v>
      </c>
      <c r="D27993" t="s">
        <v>106</v>
      </c>
      <c r="E27993">
        <v>5.69715142428785</v>
      </c>
    </row>
    <row r="27994" spans="1:5">
      <c r="A27994" t="s">
        <v>32580</v>
      </c>
      <c r="B27994" t="s">
        <v>32583</v>
      </c>
      <c r="C27994">
        <v>0</v>
      </c>
      <c r="D27994" t="s">
        <v>106</v>
      </c>
      <c r="E27994">
        <v>5.69715142428785</v>
      </c>
    </row>
    <row r="27995" spans="1:5">
      <c r="A27995" t="s">
        <v>32580</v>
      </c>
      <c r="B27995" t="s">
        <v>32584</v>
      </c>
      <c r="C27995">
        <v>0</v>
      </c>
      <c r="D27995" t="s">
        <v>106</v>
      </c>
      <c r="E27995">
        <v>5.69715142428785</v>
      </c>
    </row>
    <row r="27996" spans="1:5">
      <c r="A27996" t="s">
        <v>32580</v>
      </c>
      <c r="B27996" t="s">
        <v>32585</v>
      </c>
      <c r="C27996">
        <v>0</v>
      </c>
      <c r="D27996" t="s">
        <v>106</v>
      </c>
      <c r="E27996">
        <v>5.69715142428785</v>
      </c>
    </row>
    <row r="27997" spans="1:5">
      <c r="A27997" t="s">
        <v>32580</v>
      </c>
      <c r="B27997" t="s">
        <v>32586</v>
      </c>
      <c r="C27997">
        <v>0</v>
      </c>
      <c r="D27997" t="s">
        <v>106</v>
      </c>
      <c r="E27997">
        <v>5.69715142428785</v>
      </c>
    </row>
    <row r="27998" spans="1:5">
      <c r="A27998" t="s">
        <v>32580</v>
      </c>
      <c r="B27998" t="s">
        <v>32587</v>
      </c>
      <c r="C27998">
        <v>0</v>
      </c>
      <c r="D27998" t="s">
        <v>106</v>
      </c>
      <c r="E27998">
        <v>5.69715142428785</v>
      </c>
    </row>
    <row r="27999" spans="1:5">
      <c r="A27999" t="s">
        <v>32580</v>
      </c>
      <c r="B27999" t="s">
        <v>32588</v>
      </c>
      <c r="C27999">
        <v>0</v>
      </c>
      <c r="D27999" t="s">
        <v>106</v>
      </c>
      <c r="E27999">
        <v>5.69715142428785</v>
      </c>
    </row>
    <row r="28000" spans="1:5">
      <c r="A28000" t="s">
        <v>32580</v>
      </c>
      <c r="B28000" t="s">
        <v>32589</v>
      </c>
      <c r="C28000">
        <v>0</v>
      </c>
      <c r="D28000" t="s">
        <v>106</v>
      </c>
      <c r="E28000">
        <v>5.69715142428785</v>
      </c>
    </row>
    <row r="28001" spans="1:5">
      <c r="A28001" t="s">
        <v>32580</v>
      </c>
      <c r="B28001" t="s">
        <v>32590</v>
      </c>
      <c r="C28001">
        <v>0</v>
      </c>
      <c r="D28001" t="s">
        <v>106</v>
      </c>
      <c r="E28001">
        <v>5.69715142428785</v>
      </c>
    </row>
    <row r="28002" spans="1:5">
      <c r="A28002" t="s">
        <v>32580</v>
      </c>
      <c r="B28002" t="s">
        <v>32591</v>
      </c>
      <c r="C28002">
        <v>0</v>
      </c>
      <c r="D28002" t="s">
        <v>106</v>
      </c>
      <c r="E28002">
        <v>5.69715142428785</v>
      </c>
    </row>
    <row r="28003" spans="1:5">
      <c r="A28003" t="s">
        <v>32580</v>
      </c>
      <c r="B28003" t="s">
        <v>32592</v>
      </c>
      <c r="C28003">
        <f>0</f>
        <v>0</v>
      </c>
      <c r="D28003" t="s">
        <v>106</v>
      </c>
      <c r="E28003">
        <v>5.69715142428785</v>
      </c>
    </row>
    <row r="28004" spans="1:5">
      <c r="A28004" t="s">
        <v>32580</v>
      </c>
      <c r="B28004" t="s">
        <v>32593</v>
      </c>
      <c r="C28004">
        <v>0</v>
      </c>
      <c r="D28004" t="s">
        <v>106</v>
      </c>
      <c r="E28004">
        <v>5.69715142428785</v>
      </c>
    </row>
    <row r="28005" spans="1:5">
      <c r="A28005" t="s">
        <v>32594</v>
      </c>
      <c r="B28005" t="s">
        <v>32595</v>
      </c>
      <c r="C28005">
        <v>0.21315501363299999</v>
      </c>
      <c r="D28005" t="s">
        <v>106</v>
      </c>
      <c r="E28005">
        <v>24</v>
      </c>
    </row>
    <row r="28006" spans="1:5">
      <c r="A28006" t="s">
        <v>32596</v>
      </c>
      <c r="B28006" t="s">
        <v>32597</v>
      </c>
      <c r="C28006">
        <f>0</f>
        <v>0</v>
      </c>
      <c r="D28006">
        <v>0.98157614102000001</v>
      </c>
      <c r="E28006">
        <v>19.1904047976012</v>
      </c>
    </row>
    <row r="28007" spans="1:5">
      <c r="A28007" t="s">
        <v>32596</v>
      </c>
      <c r="B28007" t="s">
        <v>32598</v>
      </c>
      <c r="C28007">
        <v>0</v>
      </c>
      <c r="D28007">
        <v>0.98157614102000001</v>
      </c>
      <c r="E28007">
        <v>19.1904047976012</v>
      </c>
    </row>
    <row r="28008" spans="1:5">
      <c r="A28008" t="s">
        <v>32596</v>
      </c>
      <c r="B28008" t="s">
        <v>32599</v>
      </c>
      <c r="C28008">
        <f>0</f>
        <v>0</v>
      </c>
      <c r="D28008">
        <v>0.98157614102000001</v>
      </c>
      <c r="E28008">
        <v>19.1904047976012</v>
      </c>
    </row>
    <row r="28009" spans="1:5">
      <c r="A28009" t="s">
        <v>32596</v>
      </c>
      <c r="B28009" t="s">
        <v>32600</v>
      </c>
      <c r="C28009">
        <v>0.220642028687</v>
      </c>
      <c r="D28009">
        <v>0.98157614102000001</v>
      </c>
      <c r="E28009">
        <v>19.1904047976012</v>
      </c>
    </row>
    <row r="28010" spans="1:5">
      <c r="A28010" t="s">
        <v>32596</v>
      </c>
      <c r="B28010" t="s">
        <v>32601</v>
      </c>
      <c r="C28010">
        <v>2.3678436769899999E-2</v>
      </c>
      <c r="D28010">
        <v>0.98157614102000001</v>
      </c>
      <c r="E28010">
        <v>19.1904047976012</v>
      </c>
    </row>
    <row r="28011" spans="1:5">
      <c r="A28011" t="s">
        <v>32602</v>
      </c>
      <c r="B28011" t="s">
        <v>32603</v>
      </c>
      <c r="C28011">
        <v>0.133075868145</v>
      </c>
      <c r="D28011" t="s">
        <v>106</v>
      </c>
      <c r="E28011">
        <v>24</v>
      </c>
    </row>
    <row r="28012" spans="1:5">
      <c r="A28012" t="s">
        <v>32602</v>
      </c>
      <c r="B28012" t="s">
        <v>32604</v>
      </c>
      <c r="C28012">
        <f>0</f>
        <v>0</v>
      </c>
      <c r="D28012" t="s">
        <v>106</v>
      </c>
      <c r="E28012">
        <v>24</v>
      </c>
    </row>
    <row r="28013" spans="1:5">
      <c r="A28013" t="s">
        <v>32602</v>
      </c>
      <c r="B28013" t="s">
        <v>32605</v>
      </c>
      <c r="C28013">
        <f>0.00455722098132</f>
        <v>4.5572209813199999E-3</v>
      </c>
      <c r="D28013" t="s">
        <v>106</v>
      </c>
      <c r="E28013">
        <v>24</v>
      </c>
    </row>
    <row r="28014" spans="1:5">
      <c r="A28014" t="s">
        <v>32602</v>
      </c>
      <c r="B28014" t="s">
        <v>32606</v>
      </c>
      <c r="C28014">
        <v>0</v>
      </c>
      <c r="D28014" t="s">
        <v>106</v>
      </c>
      <c r="E28014">
        <v>24</v>
      </c>
    </row>
    <row r="28015" spans="1:5">
      <c r="A28015" t="s">
        <v>32602</v>
      </c>
      <c r="B28015" t="s">
        <v>32607</v>
      </c>
      <c r="C28015">
        <v>0</v>
      </c>
      <c r="D28015" t="s">
        <v>106</v>
      </c>
      <c r="E28015">
        <v>24</v>
      </c>
    </row>
    <row r="28016" spans="1:5">
      <c r="A28016" t="s">
        <v>32602</v>
      </c>
      <c r="B28016" t="s">
        <v>32608</v>
      </c>
      <c r="C28016">
        <v>0</v>
      </c>
      <c r="D28016" t="s">
        <v>106</v>
      </c>
      <c r="E28016">
        <v>24</v>
      </c>
    </row>
    <row r="28017" spans="1:5">
      <c r="A28017" t="s">
        <v>32602</v>
      </c>
      <c r="B28017" t="s">
        <v>32609</v>
      </c>
      <c r="C28017">
        <f>0</f>
        <v>0</v>
      </c>
      <c r="D28017" t="s">
        <v>106</v>
      </c>
      <c r="E28017">
        <v>24</v>
      </c>
    </row>
    <row r="28018" spans="1:5">
      <c r="A28018" t="s">
        <v>32610</v>
      </c>
      <c r="B28018" t="s">
        <v>32611</v>
      </c>
      <c r="C28018">
        <f>0</f>
        <v>0</v>
      </c>
      <c r="D28018" t="s">
        <v>106</v>
      </c>
      <c r="E28018">
        <v>1.96701649175412</v>
      </c>
    </row>
    <row r="28019" spans="1:5">
      <c r="A28019" t="s">
        <v>32610</v>
      </c>
      <c r="B28019" t="s">
        <v>32612</v>
      </c>
      <c r="C28019">
        <f>0</f>
        <v>0</v>
      </c>
      <c r="D28019" t="s">
        <v>106</v>
      </c>
      <c r="E28019">
        <v>1.96701649175412</v>
      </c>
    </row>
    <row r="28020" spans="1:5">
      <c r="A28020" t="s">
        <v>32610</v>
      </c>
      <c r="B28020" t="s">
        <v>32613</v>
      </c>
      <c r="C28020">
        <v>0</v>
      </c>
      <c r="D28020" t="s">
        <v>106</v>
      </c>
      <c r="E28020">
        <v>1.96701649175412</v>
      </c>
    </row>
    <row r="28021" spans="1:5">
      <c r="A28021" t="s">
        <v>32610</v>
      </c>
      <c r="B28021" t="s">
        <v>32614</v>
      </c>
      <c r="C28021">
        <f>0</f>
        <v>0</v>
      </c>
      <c r="D28021" t="s">
        <v>106</v>
      </c>
      <c r="E28021">
        <v>1.96701649175412</v>
      </c>
    </row>
    <row r="28022" spans="1:5">
      <c r="A28022" t="s">
        <v>32610</v>
      </c>
      <c r="B28022" t="s">
        <v>32615</v>
      </c>
      <c r="C28022">
        <v>0</v>
      </c>
      <c r="D28022" t="s">
        <v>106</v>
      </c>
      <c r="E28022">
        <v>1.96701649175412</v>
      </c>
    </row>
    <row r="28023" spans="1:5">
      <c r="A28023" t="s">
        <v>32616</v>
      </c>
      <c r="B28023" t="s">
        <v>32617</v>
      </c>
      <c r="C28023">
        <f>0.0185523427781</f>
        <v>1.8552342778100001E-2</v>
      </c>
      <c r="D28023">
        <v>0.60995926151900004</v>
      </c>
      <c r="E28023">
        <v>14.5487256371814</v>
      </c>
    </row>
    <row r="28024" spans="1:5">
      <c r="A28024" t="s">
        <v>32616</v>
      </c>
      <c r="B28024" t="s">
        <v>32618</v>
      </c>
      <c r="C28024">
        <v>0</v>
      </c>
      <c r="D28024">
        <v>0.60995926151900004</v>
      </c>
      <c r="E28024">
        <v>14.5487256371814</v>
      </c>
    </row>
    <row r="28025" spans="1:5">
      <c r="A28025" t="s">
        <v>32616</v>
      </c>
      <c r="B28025" t="s">
        <v>32619</v>
      </c>
      <c r="C28025">
        <f>0</f>
        <v>0</v>
      </c>
      <c r="D28025">
        <v>0.60995926151900004</v>
      </c>
      <c r="E28025">
        <v>14.5487256371814</v>
      </c>
    </row>
    <row r="28026" spans="1:5">
      <c r="A28026" t="s">
        <v>32616</v>
      </c>
      <c r="B28026" t="s">
        <v>32620</v>
      </c>
      <c r="C28026">
        <f>0</f>
        <v>0</v>
      </c>
      <c r="D28026">
        <v>0.60995926151900004</v>
      </c>
      <c r="E28026">
        <v>14.5487256371814</v>
      </c>
    </row>
    <row r="28027" spans="1:5">
      <c r="A28027" t="s">
        <v>32616</v>
      </c>
      <c r="B28027" t="s">
        <v>32621</v>
      </c>
      <c r="C28027">
        <f>0</f>
        <v>0</v>
      </c>
      <c r="D28027">
        <v>0.60995926151900004</v>
      </c>
      <c r="E28027">
        <v>14.5487256371814</v>
      </c>
    </row>
    <row r="28028" spans="1:5">
      <c r="A28028" t="s">
        <v>32616</v>
      </c>
      <c r="B28028" t="s">
        <v>32622</v>
      </c>
      <c r="C28028">
        <v>0</v>
      </c>
      <c r="D28028">
        <v>0.60995926151900004</v>
      </c>
      <c r="E28028">
        <v>14.5487256371814</v>
      </c>
    </row>
    <row r="28029" spans="1:5">
      <c r="A28029" t="s">
        <v>32623</v>
      </c>
      <c r="B28029" t="s">
        <v>32624</v>
      </c>
      <c r="C28029">
        <f>0.0304283925737</f>
        <v>3.0428392573699999E-2</v>
      </c>
      <c r="D28029">
        <v>0.81857258870100003</v>
      </c>
      <c r="E28029">
        <v>16.095952023988001</v>
      </c>
    </row>
    <row r="28030" spans="1:5">
      <c r="A28030" t="s">
        <v>32623</v>
      </c>
      <c r="B28030" t="s">
        <v>32625</v>
      </c>
      <c r="C28030">
        <f>0</f>
        <v>0</v>
      </c>
      <c r="D28030">
        <v>0.81857258870100003</v>
      </c>
      <c r="E28030">
        <v>16.095952023988001</v>
      </c>
    </row>
    <row r="28031" spans="1:5">
      <c r="A28031" t="s">
        <v>32623</v>
      </c>
      <c r="B28031" t="s">
        <v>32626</v>
      </c>
      <c r="C28031">
        <f>0</f>
        <v>0</v>
      </c>
      <c r="D28031">
        <v>0.81857258870100003</v>
      </c>
      <c r="E28031">
        <v>16.095952023988001</v>
      </c>
    </row>
    <row r="28032" spans="1:5">
      <c r="A28032" t="s">
        <v>32623</v>
      </c>
      <c r="B28032" t="s">
        <v>32627</v>
      </c>
      <c r="C28032">
        <v>0</v>
      </c>
      <c r="D28032">
        <v>0.81857258870100003</v>
      </c>
      <c r="E28032">
        <v>16.095952023988001</v>
      </c>
    </row>
    <row r="28033" spans="1:5">
      <c r="A28033" t="s">
        <v>32623</v>
      </c>
      <c r="B28033" t="s">
        <v>32628</v>
      </c>
      <c r="C28033">
        <v>0</v>
      </c>
      <c r="D28033">
        <v>0.81857258870100003</v>
      </c>
      <c r="E28033">
        <v>16.095952023988001</v>
      </c>
    </row>
    <row r="28034" spans="1:5">
      <c r="A28034" t="s">
        <v>32623</v>
      </c>
      <c r="B28034" t="s">
        <v>32629</v>
      </c>
      <c r="C28034">
        <f>0</f>
        <v>0</v>
      </c>
      <c r="D28034">
        <v>0.81857258870100003</v>
      </c>
      <c r="E28034">
        <v>16.095952023988001</v>
      </c>
    </row>
    <row r="28035" spans="1:5">
      <c r="A28035" t="s">
        <v>32623</v>
      </c>
      <c r="B28035" t="s">
        <v>32630</v>
      </c>
      <c r="C28035">
        <f>0</f>
        <v>0</v>
      </c>
      <c r="D28035">
        <v>0.81857258870100003</v>
      </c>
      <c r="E28035">
        <v>16.095952023988001</v>
      </c>
    </row>
    <row r="28036" spans="1:5">
      <c r="A28036" t="s">
        <v>32623</v>
      </c>
      <c r="B28036" t="s">
        <v>32631</v>
      </c>
      <c r="C28036">
        <v>0</v>
      </c>
      <c r="D28036">
        <v>0.81857258870100003</v>
      </c>
      <c r="E28036">
        <v>16.095952023988001</v>
      </c>
    </row>
    <row r="28037" spans="1:5">
      <c r="A28037" t="s">
        <v>32632</v>
      </c>
      <c r="B28037" t="s">
        <v>32633</v>
      </c>
      <c r="C28037">
        <f>0</f>
        <v>0</v>
      </c>
      <c r="D28037">
        <v>0.98680742172900004</v>
      </c>
      <c r="E28037">
        <v>4.4737631184407798</v>
      </c>
    </row>
    <row r="28038" spans="1:5">
      <c r="A28038" t="s">
        <v>32632</v>
      </c>
      <c r="B28038" t="s">
        <v>32634</v>
      </c>
      <c r="C28038">
        <f>0</f>
        <v>0</v>
      </c>
      <c r="D28038">
        <v>0.98680742172900004</v>
      </c>
      <c r="E28038">
        <v>4.4737631184407798</v>
      </c>
    </row>
    <row r="28039" spans="1:5">
      <c r="A28039" t="s">
        <v>32632</v>
      </c>
      <c r="B28039" t="s">
        <v>32635</v>
      </c>
      <c r="C28039">
        <f>0</f>
        <v>0</v>
      </c>
      <c r="D28039">
        <v>0.98680742172900004</v>
      </c>
      <c r="E28039">
        <v>4.4737631184407798</v>
      </c>
    </row>
    <row r="28040" spans="1:5">
      <c r="A28040" t="s">
        <v>32636</v>
      </c>
      <c r="B28040" t="s">
        <v>32637</v>
      </c>
      <c r="C28040">
        <f>0</f>
        <v>0</v>
      </c>
      <c r="D28040" t="s">
        <v>106</v>
      </c>
      <c r="E28040">
        <v>0.86356821589205401</v>
      </c>
    </row>
    <row r="28041" spans="1:5">
      <c r="A28041" t="s">
        <v>32636</v>
      </c>
      <c r="B28041" t="s">
        <v>32638</v>
      </c>
      <c r="C28041">
        <v>0</v>
      </c>
      <c r="D28041" t="s">
        <v>106</v>
      </c>
      <c r="E28041">
        <v>0.86356821589205401</v>
      </c>
    </row>
    <row r="28042" spans="1:5">
      <c r="A28042" t="s">
        <v>32636</v>
      </c>
      <c r="B28042" t="s">
        <v>32639</v>
      </c>
      <c r="C28042">
        <v>0</v>
      </c>
      <c r="D28042" t="s">
        <v>106</v>
      </c>
      <c r="E28042">
        <v>0.86356821589205401</v>
      </c>
    </row>
    <row r="28043" spans="1:5">
      <c r="A28043" t="s">
        <v>32636</v>
      </c>
      <c r="B28043" t="s">
        <v>32640</v>
      </c>
      <c r="C28043">
        <v>0</v>
      </c>
      <c r="D28043" t="s">
        <v>106</v>
      </c>
      <c r="E28043">
        <v>0.86356821589205401</v>
      </c>
    </row>
    <row r="28044" spans="1:5">
      <c r="A28044" t="s">
        <v>32636</v>
      </c>
      <c r="B28044" t="s">
        <v>32641</v>
      </c>
      <c r="C28044">
        <v>0</v>
      </c>
      <c r="D28044" t="s">
        <v>106</v>
      </c>
      <c r="E28044">
        <v>0.86356821589205401</v>
      </c>
    </row>
    <row r="28045" spans="1:5">
      <c r="A28045" t="s">
        <v>32636</v>
      </c>
      <c r="B28045" t="s">
        <v>32642</v>
      </c>
      <c r="C28045">
        <v>0</v>
      </c>
      <c r="D28045" t="s">
        <v>106</v>
      </c>
      <c r="E28045">
        <v>0.86356821589205401</v>
      </c>
    </row>
    <row r="28046" spans="1:5">
      <c r="A28046" t="s">
        <v>32643</v>
      </c>
      <c r="B28046" t="s">
        <v>32644</v>
      </c>
      <c r="C28046">
        <v>0</v>
      </c>
      <c r="D28046">
        <v>0.96382220072199998</v>
      </c>
      <c r="E28046">
        <v>4.9055472263868003</v>
      </c>
    </row>
    <row r="28047" spans="1:5">
      <c r="A28047" t="s">
        <v>32643</v>
      </c>
      <c r="B28047" t="s">
        <v>32645</v>
      </c>
      <c r="C28047">
        <v>0</v>
      </c>
      <c r="D28047">
        <v>0.96382220072199998</v>
      </c>
      <c r="E28047">
        <v>4.9055472263868003</v>
      </c>
    </row>
    <row r="28048" spans="1:5">
      <c r="A28048" t="s">
        <v>32643</v>
      </c>
      <c r="B28048" t="s">
        <v>32646</v>
      </c>
      <c r="C28048">
        <v>0</v>
      </c>
      <c r="D28048">
        <v>0.96382220072199998</v>
      </c>
      <c r="E28048">
        <v>4.9055472263868003</v>
      </c>
    </row>
    <row r="28049" spans="1:5">
      <c r="A28049" t="s">
        <v>32643</v>
      </c>
      <c r="B28049" t="s">
        <v>32647</v>
      </c>
      <c r="C28049">
        <v>0</v>
      </c>
      <c r="D28049">
        <v>0.96382220072199998</v>
      </c>
      <c r="E28049">
        <v>4.9055472263868003</v>
      </c>
    </row>
    <row r="28050" spans="1:5">
      <c r="A28050" t="s">
        <v>32643</v>
      </c>
      <c r="B28050" t="s">
        <v>32648</v>
      </c>
      <c r="C28050">
        <v>0.12258429907600001</v>
      </c>
      <c r="D28050">
        <v>0.96382220072199998</v>
      </c>
      <c r="E28050">
        <v>4.9055472263868003</v>
      </c>
    </row>
    <row r="28051" spans="1:5">
      <c r="A28051" t="s">
        <v>32643</v>
      </c>
      <c r="B28051" t="s">
        <v>32649</v>
      </c>
      <c r="C28051">
        <v>0.134803584517</v>
      </c>
      <c r="D28051">
        <v>0.96382220072199998</v>
      </c>
      <c r="E28051">
        <v>4.9055472263868003</v>
      </c>
    </row>
    <row r="28052" spans="1:5">
      <c r="A28052" t="s">
        <v>32650</v>
      </c>
      <c r="B28052" t="s">
        <v>32651</v>
      </c>
      <c r="C28052">
        <v>0</v>
      </c>
      <c r="D28052">
        <v>0.626849006333</v>
      </c>
      <c r="E28052">
        <v>24</v>
      </c>
    </row>
    <row r="28053" spans="1:5">
      <c r="A28053" t="s">
        <v>32650</v>
      </c>
      <c r="B28053" t="s">
        <v>32652</v>
      </c>
      <c r="C28053">
        <f>0</f>
        <v>0</v>
      </c>
      <c r="D28053">
        <v>0.626849006333</v>
      </c>
      <c r="E28053">
        <v>24</v>
      </c>
    </row>
    <row r="28054" spans="1:5">
      <c r="A28054" t="s">
        <v>32650</v>
      </c>
      <c r="B28054" t="s">
        <v>32653</v>
      </c>
      <c r="C28054">
        <f>0</f>
        <v>0</v>
      </c>
      <c r="D28054">
        <v>0.626849006333</v>
      </c>
      <c r="E28054">
        <v>24</v>
      </c>
    </row>
    <row r="28055" spans="1:5">
      <c r="A28055" t="s">
        <v>32650</v>
      </c>
      <c r="B28055" t="s">
        <v>32654</v>
      </c>
      <c r="C28055">
        <v>0</v>
      </c>
      <c r="D28055">
        <v>0.626849006333</v>
      </c>
      <c r="E28055">
        <v>24</v>
      </c>
    </row>
    <row r="28056" spans="1:5">
      <c r="A28056" t="s">
        <v>32650</v>
      </c>
      <c r="B28056" t="s">
        <v>32655</v>
      </c>
      <c r="C28056">
        <f>0</f>
        <v>0</v>
      </c>
      <c r="D28056">
        <v>0.626849006333</v>
      </c>
      <c r="E28056">
        <v>24</v>
      </c>
    </row>
    <row r="28057" spans="1:5">
      <c r="A28057" t="s">
        <v>32650</v>
      </c>
      <c r="B28057" t="s">
        <v>32656</v>
      </c>
      <c r="C28057">
        <f>0</f>
        <v>0</v>
      </c>
      <c r="D28057">
        <v>0.626849006333</v>
      </c>
      <c r="E28057">
        <v>24</v>
      </c>
    </row>
    <row r="28058" spans="1:5">
      <c r="A28058" t="s">
        <v>32650</v>
      </c>
      <c r="B28058" t="s">
        <v>32657</v>
      </c>
      <c r="C28058">
        <v>0</v>
      </c>
      <c r="D28058">
        <v>0.626849006333</v>
      </c>
      <c r="E28058">
        <v>24</v>
      </c>
    </row>
    <row r="28059" spans="1:5">
      <c r="A28059" t="s">
        <v>32658</v>
      </c>
      <c r="B28059" t="s">
        <v>32659</v>
      </c>
      <c r="C28059">
        <f>0</f>
        <v>0</v>
      </c>
      <c r="D28059" t="s">
        <v>106</v>
      </c>
      <c r="E28059">
        <v>4.2698650674662604</v>
      </c>
    </row>
    <row r="28060" spans="1:5">
      <c r="A28060" t="s">
        <v>32658</v>
      </c>
      <c r="B28060" t="s">
        <v>32660</v>
      </c>
      <c r="C28060">
        <f>0</f>
        <v>0</v>
      </c>
      <c r="D28060" t="s">
        <v>106</v>
      </c>
      <c r="E28060">
        <v>4.2698650674662604</v>
      </c>
    </row>
    <row r="28061" spans="1:5">
      <c r="A28061" t="s">
        <v>32658</v>
      </c>
      <c r="B28061" t="s">
        <v>32661</v>
      </c>
      <c r="C28061">
        <f>0</f>
        <v>0</v>
      </c>
      <c r="D28061" t="s">
        <v>106</v>
      </c>
      <c r="E28061">
        <v>4.2698650674662604</v>
      </c>
    </row>
    <row r="28062" spans="1:5">
      <c r="A28062" t="s">
        <v>32658</v>
      </c>
      <c r="B28062" t="s">
        <v>32662</v>
      </c>
      <c r="C28062">
        <v>0</v>
      </c>
      <c r="D28062" t="s">
        <v>106</v>
      </c>
      <c r="E28062">
        <v>4.2698650674662604</v>
      </c>
    </row>
    <row r="28063" spans="1:5">
      <c r="A28063" t="s">
        <v>32658</v>
      </c>
      <c r="B28063" t="s">
        <v>32663</v>
      </c>
      <c r="C28063">
        <f>0</f>
        <v>0</v>
      </c>
      <c r="D28063" t="s">
        <v>106</v>
      </c>
      <c r="E28063">
        <v>4.2698650674662604</v>
      </c>
    </row>
    <row r="28064" spans="1:5">
      <c r="A28064" t="s">
        <v>32658</v>
      </c>
      <c r="B28064" t="s">
        <v>32664</v>
      </c>
      <c r="C28064">
        <f>0</f>
        <v>0</v>
      </c>
      <c r="D28064" t="s">
        <v>106</v>
      </c>
      <c r="E28064">
        <v>4.2698650674662604</v>
      </c>
    </row>
    <row r="28065" spans="1:5">
      <c r="A28065" t="s">
        <v>32658</v>
      </c>
      <c r="B28065" t="s">
        <v>32665</v>
      </c>
      <c r="C28065">
        <f>0</f>
        <v>0</v>
      </c>
      <c r="D28065" t="s">
        <v>106</v>
      </c>
      <c r="E28065">
        <v>4.2698650674662604</v>
      </c>
    </row>
    <row r="28066" spans="1:5">
      <c r="A28066" t="s">
        <v>32658</v>
      </c>
      <c r="B28066" t="s">
        <v>32666</v>
      </c>
      <c r="C28066">
        <v>0</v>
      </c>
      <c r="D28066" t="s">
        <v>106</v>
      </c>
      <c r="E28066">
        <v>4.2698650674662604</v>
      </c>
    </row>
    <row r="28067" spans="1:5">
      <c r="A28067" t="s">
        <v>32658</v>
      </c>
      <c r="B28067" t="s">
        <v>32667</v>
      </c>
      <c r="C28067">
        <v>0</v>
      </c>
      <c r="D28067" t="s">
        <v>106</v>
      </c>
      <c r="E28067">
        <v>4.2698650674662604</v>
      </c>
    </row>
    <row r="28068" spans="1:5">
      <c r="A28068" t="s">
        <v>32658</v>
      </c>
      <c r="B28068" t="s">
        <v>32668</v>
      </c>
      <c r="C28068">
        <f>0</f>
        <v>0</v>
      </c>
      <c r="D28068" t="s">
        <v>106</v>
      </c>
      <c r="E28068">
        <v>4.2698650674662604</v>
      </c>
    </row>
    <row r="28069" spans="1:5">
      <c r="A28069" t="s">
        <v>32658</v>
      </c>
      <c r="B28069" t="s">
        <v>32669</v>
      </c>
      <c r="C28069">
        <f>0</f>
        <v>0</v>
      </c>
      <c r="D28069" t="s">
        <v>106</v>
      </c>
      <c r="E28069">
        <v>4.2698650674662604</v>
      </c>
    </row>
    <row r="28070" spans="1:5">
      <c r="A28070" t="s">
        <v>32658</v>
      </c>
      <c r="B28070" t="s">
        <v>32670</v>
      </c>
      <c r="C28070">
        <f>0</f>
        <v>0</v>
      </c>
      <c r="D28070" t="s">
        <v>106</v>
      </c>
      <c r="E28070">
        <v>4.2698650674662604</v>
      </c>
    </row>
    <row r="28071" spans="1:5">
      <c r="A28071" t="s">
        <v>32658</v>
      </c>
      <c r="B28071" t="s">
        <v>32671</v>
      </c>
      <c r="C28071">
        <f>0</f>
        <v>0</v>
      </c>
      <c r="D28071" t="s">
        <v>106</v>
      </c>
      <c r="E28071">
        <v>4.2698650674662604</v>
      </c>
    </row>
    <row r="28072" spans="1:5">
      <c r="A28072" t="s">
        <v>32658</v>
      </c>
      <c r="B28072" t="s">
        <v>32672</v>
      </c>
      <c r="C28072">
        <f>0</f>
        <v>0</v>
      </c>
      <c r="D28072" t="s">
        <v>106</v>
      </c>
      <c r="E28072">
        <v>4.2698650674662604</v>
      </c>
    </row>
    <row r="28073" spans="1:5">
      <c r="A28073" t="s">
        <v>32658</v>
      </c>
      <c r="B28073" t="s">
        <v>32673</v>
      </c>
      <c r="C28073">
        <f>0</f>
        <v>0</v>
      </c>
      <c r="D28073" t="s">
        <v>106</v>
      </c>
      <c r="E28073">
        <v>4.2698650674662604</v>
      </c>
    </row>
    <row r="28074" spans="1:5">
      <c r="A28074" t="s">
        <v>32658</v>
      </c>
      <c r="B28074" t="s">
        <v>32674</v>
      </c>
      <c r="C28074">
        <f>0</f>
        <v>0</v>
      </c>
      <c r="D28074" t="s">
        <v>106</v>
      </c>
      <c r="E28074">
        <v>4.2698650674662604</v>
      </c>
    </row>
    <row r="28075" spans="1:5">
      <c r="A28075" t="s">
        <v>32658</v>
      </c>
      <c r="B28075" t="s">
        <v>32675</v>
      </c>
      <c r="C28075">
        <v>0</v>
      </c>
      <c r="D28075" t="s">
        <v>106</v>
      </c>
      <c r="E28075">
        <v>4.2698650674662604</v>
      </c>
    </row>
    <row r="28076" spans="1:5">
      <c r="A28076" t="s">
        <v>32676</v>
      </c>
      <c r="B28076" t="s">
        <v>32677</v>
      </c>
      <c r="C28076">
        <f>0.00348023094671</f>
        <v>3.4802309467099998E-3</v>
      </c>
      <c r="D28076">
        <v>0.67057524236300003</v>
      </c>
      <c r="E28076">
        <v>0.65967016491754105</v>
      </c>
    </row>
    <row r="28077" spans="1:5">
      <c r="A28077" t="s">
        <v>32676</v>
      </c>
      <c r="B28077" t="s">
        <v>32678</v>
      </c>
      <c r="C28077">
        <f>0</f>
        <v>0</v>
      </c>
      <c r="D28077">
        <v>0.67057524236300003</v>
      </c>
      <c r="E28077">
        <v>0.65967016491754105</v>
      </c>
    </row>
    <row r="28078" spans="1:5">
      <c r="A28078" t="s">
        <v>32676</v>
      </c>
      <c r="B28078" t="s">
        <v>32679</v>
      </c>
      <c r="C28078">
        <f>0</f>
        <v>0</v>
      </c>
      <c r="D28078">
        <v>0.67057524236300003</v>
      </c>
      <c r="E28078">
        <v>0.65967016491754105</v>
      </c>
    </row>
    <row r="28079" spans="1:5">
      <c r="A28079" t="s">
        <v>32676</v>
      </c>
      <c r="B28079" t="s">
        <v>32680</v>
      </c>
      <c r="C28079">
        <f>0</f>
        <v>0</v>
      </c>
      <c r="D28079">
        <v>0.67057524236300003</v>
      </c>
      <c r="E28079">
        <v>0.65967016491754105</v>
      </c>
    </row>
    <row r="28080" spans="1:5">
      <c r="A28080" t="s">
        <v>32676</v>
      </c>
      <c r="B28080" t="s">
        <v>32681</v>
      </c>
      <c r="C28080">
        <v>0</v>
      </c>
      <c r="D28080">
        <v>0.67057524236300003</v>
      </c>
      <c r="E28080">
        <v>0.65967016491754105</v>
      </c>
    </row>
    <row r="28081" spans="1:5">
      <c r="A28081" t="s">
        <v>32676</v>
      </c>
      <c r="B28081" t="s">
        <v>32682</v>
      </c>
      <c r="C28081">
        <v>5.5128059051800002E-2</v>
      </c>
      <c r="D28081">
        <v>0.67057524236300003</v>
      </c>
      <c r="E28081">
        <v>0.65967016491754105</v>
      </c>
    </row>
    <row r="28082" spans="1:5">
      <c r="A28082" t="s">
        <v>32683</v>
      </c>
      <c r="B28082" t="s">
        <v>32684</v>
      </c>
      <c r="C28082">
        <v>0.35313876937700001</v>
      </c>
      <c r="D28082">
        <v>0.77710869080599998</v>
      </c>
      <c r="E28082">
        <v>9.9190404797601204</v>
      </c>
    </row>
    <row r="28083" spans="1:5">
      <c r="A28083" t="s">
        <v>32685</v>
      </c>
      <c r="B28083" t="s">
        <v>32686</v>
      </c>
      <c r="C28083">
        <v>0.16865697553</v>
      </c>
      <c r="D28083">
        <v>0.85302585236600004</v>
      </c>
      <c r="E28083">
        <v>9.3073463268365799</v>
      </c>
    </row>
    <row r="28084" spans="1:5">
      <c r="A28084" t="s">
        <v>32685</v>
      </c>
      <c r="B28084" t="s">
        <v>32687</v>
      </c>
      <c r="C28084">
        <v>0</v>
      </c>
      <c r="D28084">
        <v>0.85302585236600004</v>
      </c>
      <c r="E28084">
        <v>9.3073463268365799</v>
      </c>
    </row>
    <row r="28085" spans="1:5">
      <c r="A28085" t="s">
        <v>32685</v>
      </c>
      <c r="B28085" t="s">
        <v>32688</v>
      </c>
      <c r="C28085">
        <f>0</f>
        <v>0</v>
      </c>
      <c r="D28085">
        <v>0.85302585236600004</v>
      </c>
      <c r="E28085">
        <v>9.3073463268365799</v>
      </c>
    </row>
    <row r="28086" spans="1:5">
      <c r="A28086" t="s">
        <v>32685</v>
      </c>
      <c r="B28086" t="s">
        <v>32689</v>
      </c>
      <c r="C28086">
        <f>0</f>
        <v>0</v>
      </c>
      <c r="D28086">
        <v>0.85302585236600004</v>
      </c>
      <c r="E28086">
        <v>9.3073463268365799</v>
      </c>
    </row>
    <row r="28087" spans="1:5">
      <c r="A28087" t="s">
        <v>32685</v>
      </c>
      <c r="B28087" t="s">
        <v>32690</v>
      </c>
      <c r="C28087">
        <f>0</f>
        <v>0</v>
      </c>
      <c r="D28087">
        <v>0.85302585236600004</v>
      </c>
      <c r="E28087">
        <v>9.3073463268365799</v>
      </c>
    </row>
    <row r="28088" spans="1:5">
      <c r="A28088" t="s">
        <v>32691</v>
      </c>
      <c r="B28088" t="s">
        <v>32692</v>
      </c>
      <c r="C28088">
        <v>0</v>
      </c>
      <c r="D28088">
        <v>0.95298590031599995</v>
      </c>
      <c r="E28088">
        <v>24</v>
      </c>
    </row>
    <row r="28089" spans="1:5">
      <c r="A28089" t="s">
        <v>32691</v>
      </c>
      <c r="B28089" t="s">
        <v>32693</v>
      </c>
      <c r="C28089">
        <v>0</v>
      </c>
      <c r="D28089">
        <v>0.95298590031599995</v>
      </c>
      <c r="E28089">
        <v>24</v>
      </c>
    </row>
    <row r="28090" spans="1:5">
      <c r="A28090" t="s">
        <v>32691</v>
      </c>
      <c r="B28090" t="s">
        <v>32694</v>
      </c>
      <c r="C28090">
        <f>0</f>
        <v>0</v>
      </c>
      <c r="D28090">
        <v>0.95298590031599995</v>
      </c>
      <c r="E28090">
        <v>24</v>
      </c>
    </row>
    <row r="28091" spans="1:5">
      <c r="A28091" t="s">
        <v>32691</v>
      </c>
      <c r="B28091" t="s">
        <v>32695</v>
      </c>
      <c r="C28091">
        <v>0</v>
      </c>
      <c r="D28091">
        <v>0.95298590031599995</v>
      </c>
      <c r="E28091">
        <v>24</v>
      </c>
    </row>
    <row r="28092" spans="1:5">
      <c r="A28092" t="s">
        <v>32691</v>
      </c>
      <c r="B28092" t="s">
        <v>32696</v>
      </c>
      <c r="C28092">
        <v>0</v>
      </c>
      <c r="D28092">
        <v>0.95298590031599995</v>
      </c>
      <c r="E28092">
        <v>24</v>
      </c>
    </row>
    <row r="28093" spans="1:5">
      <c r="A28093" t="s">
        <v>32691</v>
      </c>
      <c r="B28093" t="s">
        <v>32697</v>
      </c>
      <c r="C28093">
        <v>0</v>
      </c>
      <c r="D28093">
        <v>0.95298590031599995</v>
      </c>
      <c r="E28093">
        <v>24</v>
      </c>
    </row>
    <row r="28094" spans="1:5">
      <c r="A28094" t="s">
        <v>32691</v>
      </c>
      <c r="B28094" t="s">
        <v>32698</v>
      </c>
      <c r="C28094">
        <v>0</v>
      </c>
      <c r="D28094">
        <v>0.95298590031599995</v>
      </c>
      <c r="E28094">
        <v>24</v>
      </c>
    </row>
    <row r="28095" spans="1:5">
      <c r="A28095" t="s">
        <v>32691</v>
      </c>
      <c r="B28095" t="s">
        <v>32699</v>
      </c>
      <c r="C28095">
        <v>0</v>
      </c>
      <c r="D28095">
        <v>0.95298590031599995</v>
      </c>
      <c r="E28095">
        <v>24</v>
      </c>
    </row>
    <row r="28096" spans="1:5">
      <c r="A28096" t="s">
        <v>32691</v>
      </c>
      <c r="B28096" t="s">
        <v>32700</v>
      </c>
      <c r="C28096">
        <v>0</v>
      </c>
      <c r="D28096">
        <v>0.95298590031599995</v>
      </c>
      <c r="E28096">
        <v>24</v>
      </c>
    </row>
    <row r="28097" spans="1:5">
      <c r="A28097" t="s">
        <v>32691</v>
      </c>
      <c r="B28097" t="s">
        <v>32701</v>
      </c>
      <c r="C28097">
        <v>0</v>
      </c>
      <c r="D28097">
        <v>0.95298590031599995</v>
      </c>
      <c r="E28097">
        <v>24</v>
      </c>
    </row>
    <row r="28098" spans="1:5">
      <c r="A28098" t="s">
        <v>32691</v>
      </c>
      <c r="B28098" t="s">
        <v>32702</v>
      </c>
      <c r="C28098">
        <v>0</v>
      </c>
      <c r="D28098">
        <v>0.95298590031599995</v>
      </c>
      <c r="E28098">
        <v>24</v>
      </c>
    </row>
    <row r="28099" spans="1:5">
      <c r="A28099" t="s">
        <v>32691</v>
      </c>
      <c r="B28099" t="s">
        <v>32703</v>
      </c>
      <c r="C28099">
        <v>0</v>
      </c>
      <c r="D28099">
        <v>0.95298590031599995</v>
      </c>
      <c r="E28099">
        <v>24</v>
      </c>
    </row>
    <row r="28100" spans="1:5">
      <c r="A28100" t="s">
        <v>32691</v>
      </c>
      <c r="B28100" t="s">
        <v>32704</v>
      </c>
      <c r="C28100">
        <v>0</v>
      </c>
      <c r="D28100">
        <v>0.95298590031599995</v>
      </c>
      <c r="E28100">
        <v>24</v>
      </c>
    </row>
    <row r="28101" spans="1:5">
      <c r="A28101" t="s">
        <v>32691</v>
      </c>
      <c r="B28101" t="s">
        <v>32705</v>
      </c>
      <c r="C28101">
        <v>0</v>
      </c>
      <c r="D28101">
        <v>0.95298590031599995</v>
      </c>
      <c r="E28101">
        <v>24</v>
      </c>
    </row>
    <row r="28102" spans="1:5">
      <c r="A28102" t="s">
        <v>32691</v>
      </c>
      <c r="B28102" t="s">
        <v>32706</v>
      </c>
      <c r="C28102">
        <v>0</v>
      </c>
      <c r="D28102">
        <v>0.95298590031599995</v>
      </c>
      <c r="E28102">
        <v>24</v>
      </c>
    </row>
    <row r="28103" spans="1:5">
      <c r="A28103" t="s">
        <v>32691</v>
      </c>
      <c r="B28103" t="s">
        <v>32707</v>
      </c>
      <c r="C28103">
        <v>0</v>
      </c>
      <c r="D28103">
        <v>0.95298590031599995</v>
      </c>
      <c r="E28103">
        <v>24</v>
      </c>
    </row>
    <row r="28104" spans="1:5">
      <c r="A28104" t="s">
        <v>32691</v>
      </c>
      <c r="B28104" t="s">
        <v>32708</v>
      </c>
      <c r="C28104">
        <f>0</f>
        <v>0</v>
      </c>
      <c r="D28104">
        <v>0.95298590031599995</v>
      </c>
      <c r="E28104">
        <v>24</v>
      </c>
    </row>
    <row r="28105" spans="1:5">
      <c r="A28105" t="s">
        <v>32709</v>
      </c>
      <c r="B28105" t="s">
        <v>32710</v>
      </c>
      <c r="C28105">
        <f>0.260344730252</f>
        <v>0.260344730252</v>
      </c>
      <c r="D28105" t="s">
        <v>106</v>
      </c>
      <c r="E28105">
        <v>6.5487256371814002</v>
      </c>
    </row>
    <row r="28106" spans="1:5">
      <c r="A28106" t="s">
        <v>32709</v>
      </c>
      <c r="B28106" t="s">
        <v>32711</v>
      </c>
      <c r="C28106">
        <v>0.304096092273</v>
      </c>
      <c r="D28106" t="s">
        <v>106</v>
      </c>
      <c r="E28106">
        <v>6.5487256371814002</v>
      </c>
    </row>
    <row r="28107" spans="1:5">
      <c r="A28107" t="s">
        <v>32712</v>
      </c>
      <c r="B28107" t="s">
        <v>32713</v>
      </c>
      <c r="C28107">
        <v>5.0757652115800002E-2</v>
      </c>
      <c r="D28107">
        <v>0.99229438891900001</v>
      </c>
      <c r="E28107">
        <v>17.511244377811</v>
      </c>
    </row>
    <row r="28108" spans="1:5">
      <c r="A28108" t="s">
        <v>32714</v>
      </c>
      <c r="B28108" t="s">
        <v>32715</v>
      </c>
      <c r="C28108">
        <v>0.14532755573299999</v>
      </c>
      <c r="D28108">
        <v>0.95631334864499995</v>
      </c>
      <c r="E28108">
        <v>9.9190404797601204</v>
      </c>
    </row>
    <row r="28109" spans="1:5">
      <c r="A28109" t="s">
        <v>32714</v>
      </c>
      <c r="B28109" t="s">
        <v>32716</v>
      </c>
      <c r="C28109">
        <f>0</f>
        <v>0</v>
      </c>
      <c r="D28109">
        <v>0.95631334864499995</v>
      </c>
      <c r="E28109">
        <v>9.9190404797601204</v>
      </c>
    </row>
    <row r="28110" spans="1:5">
      <c r="A28110" t="s">
        <v>32714</v>
      </c>
      <c r="B28110" t="s">
        <v>32717</v>
      </c>
      <c r="C28110">
        <v>0</v>
      </c>
      <c r="D28110">
        <v>0.95631334864499995</v>
      </c>
      <c r="E28110">
        <v>9.9190404797601204</v>
      </c>
    </row>
    <row r="28111" spans="1:5">
      <c r="A28111" t="s">
        <v>32714</v>
      </c>
      <c r="B28111" t="s">
        <v>32718</v>
      </c>
      <c r="C28111">
        <f>0</f>
        <v>0</v>
      </c>
      <c r="D28111">
        <v>0.95631334864499995</v>
      </c>
      <c r="E28111">
        <v>9.9190404797601204</v>
      </c>
    </row>
    <row r="28112" spans="1:5">
      <c r="A28112" t="s">
        <v>32714</v>
      </c>
      <c r="B28112" t="s">
        <v>32719</v>
      </c>
      <c r="C28112">
        <f>0</f>
        <v>0</v>
      </c>
      <c r="D28112">
        <v>0.95631334864499995</v>
      </c>
      <c r="E28112">
        <v>9.9190404797601204</v>
      </c>
    </row>
    <row r="28113" spans="1:5">
      <c r="A28113" t="s">
        <v>32714</v>
      </c>
      <c r="B28113" t="s">
        <v>32720</v>
      </c>
      <c r="C28113">
        <v>0</v>
      </c>
      <c r="D28113">
        <v>0.95631334864499995</v>
      </c>
      <c r="E28113">
        <v>9.9190404797601204</v>
      </c>
    </row>
    <row r="28114" spans="1:5">
      <c r="A28114" t="s">
        <v>32714</v>
      </c>
      <c r="B28114" t="s">
        <v>32721</v>
      </c>
      <c r="C28114">
        <f>0</f>
        <v>0</v>
      </c>
      <c r="D28114">
        <v>0.95631334864499995</v>
      </c>
      <c r="E28114">
        <v>9.9190404797601204</v>
      </c>
    </row>
    <row r="28115" spans="1:5">
      <c r="A28115" t="s">
        <v>32714</v>
      </c>
      <c r="B28115" t="s">
        <v>32722</v>
      </c>
      <c r="C28115">
        <v>0</v>
      </c>
      <c r="D28115">
        <v>0.95631334864499995</v>
      </c>
      <c r="E28115">
        <v>9.9190404797601204</v>
      </c>
    </row>
    <row r="28116" spans="1:5">
      <c r="A28116" t="s">
        <v>32714</v>
      </c>
      <c r="B28116" t="s">
        <v>32723</v>
      </c>
      <c r="C28116">
        <v>0</v>
      </c>
      <c r="D28116">
        <v>0.95631334864499995</v>
      </c>
      <c r="E28116">
        <v>9.9190404797601204</v>
      </c>
    </row>
    <row r="28117" spans="1:5">
      <c r="A28117" t="s">
        <v>32714</v>
      </c>
      <c r="B28117" t="s">
        <v>32724</v>
      </c>
      <c r="C28117">
        <f>0</f>
        <v>0</v>
      </c>
      <c r="D28117">
        <v>0.95631334864499995</v>
      </c>
      <c r="E28117">
        <v>9.9190404797601204</v>
      </c>
    </row>
    <row r="28118" spans="1:5">
      <c r="A28118" t="s">
        <v>32714</v>
      </c>
      <c r="B28118" t="s">
        <v>32725</v>
      </c>
      <c r="C28118">
        <v>0</v>
      </c>
      <c r="D28118">
        <v>0.95631334864499995</v>
      </c>
      <c r="E28118">
        <v>9.9190404797601204</v>
      </c>
    </row>
    <row r="28119" spans="1:5">
      <c r="A28119" t="s">
        <v>32726</v>
      </c>
      <c r="B28119" t="s">
        <v>32727</v>
      </c>
      <c r="C28119">
        <v>0.31194729086099998</v>
      </c>
      <c r="D28119">
        <v>0.71692028022800003</v>
      </c>
      <c r="E28119">
        <v>0.19190404797601199</v>
      </c>
    </row>
    <row r="28120" spans="1:5">
      <c r="A28120" t="s">
        <v>32726</v>
      </c>
      <c r="B28120" t="s">
        <v>32728</v>
      </c>
      <c r="C28120">
        <f>0</f>
        <v>0</v>
      </c>
      <c r="D28120">
        <v>0.71692028022800003</v>
      </c>
      <c r="E28120">
        <v>0.19190404797601199</v>
      </c>
    </row>
    <row r="28121" spans="1:5">
      <c r="A28121" t="s">
        <v>32729</v>
      </c>
      <c r="B28121" t="s">
        <v>32730</v>
      </c>
      <c r="C28121">
        <v>0</v>
      </c>
      <c r="D28121">
        <v>0.89993516104899995</v>
      </c>
      <c r="E28121">
        <v>5.8170914542728598</v>
      </c>
    </row>
    <row r="28122" spans="1:5">
      <c r="A28122" t="s">
        <v>32729</v>
      </c>
      <c r="B28122" t="s">
        <v>32731</v>
      </c>
      <c r="C28122">
        <f>0.00339931053451</f>
        <v>3.3993105345100001E-3</v>
      </c>
      <c r="D28122">
        <v>0.89993516104899995</v>
      </c>
      <c r="E28122">
        <v>5.8170914542728598</v>
      </c>
    </row>
    <row r="28123" spans="1:5">
      <c r="A28123" t="s">
        <v>32729</v>
      </c>
      <c r="B28123" t="s">
        <v>32732</v>
      </c>
      <c r="C28123">
        <f>0.013543222353</f>
        <v>1.3543222353E-2</v>
      </c>
      <c r="D28123">
        <v>0.89993516104899995</v>
      </c>
      <c r="E28123">
        <v>5.8170914542728598</v>
      </c>
    </row>
    <row r="28124" spans="1:5">
      <c r="A28124" t="s">
        <v>32733</v>
      </c>
      <c r="B28124" t="s">
        <v>32734</v>
      </c>
      <c r="C28124">
        <v>0.137642196966</v>
      </c>
      <c r="D28124">
        <v>0.95848879022699995</v>
      </c>
      <c r="E28124">
        <v>9.6191904047975996</v>
      </c>
    </row>
    <row r="28125" spans="1:5">
      <c r="A28125" t="s">
        <v>32733</v>
      </c>
      <c r="B28125" t="s">
        <v>32735</v>
      </c>
      <c r="C28125">
        <v>0</v>
      </c>
      <c r="D28125">
        <v>0.95848879022699995</v>
      </c>
      <c r="E28125">
        <v>9.6191904047975996</v>
      </c>
    </row>
    <row r="28126" spans="1:5">
      <c r="A28126" t="s">
        <v>32733</v>
      </c>
      <c r="B28126" t="s">
        <v>32736</v>
      </c>
      <c r="C28126">
        <v>0</v>
      </c>
      <c r="D28126">
        <v>0.95848879022699995</v>
      </c>
      <c r="E28126">
        <v>9.6191904047975996</v>
      </c>
    </row>
    <row r="28127" spans="1:5">
      <c r="A28127" t="s">
        <v>32733</v>
      </c>
      <c r="B28127" t="s">
        <v>32737</v>
      </c>
      <c r="C28127">
        <v>0</v>
      </c>
      <c r="D28127">
        <v>0.95848879022699995</v>
      </c>
      <c r="E28127">
        <v>9.6191904047975996</v>
      </c>
    </row>
    <row r="28128" spans="1:5">
      <c r="A28128" t="s">
        <v>32733</v>
      </c>
      <c r="B28128" t="s">
        <v>32738</v>
      </c>
      <c r="C28128">
        <v>0</v>
      </c>
      <c r="D28128">
        <v>0.95848879022699995</v>
      </c>
      <c r="E28128">
        <v>9.6191904047975996</v>
      </c>
    </row>
    <row r="28129" spans="1:5">
      <c r="A28129" t="s">
        <v>32739</v>
      </c>
      <c r="B28129" t="s">
        <v>32740</v>
      </c>
      <c r="C28129">
        <v>0</v>
      </c>
      <c r="D28129" t="s">
        <v>106</v>
      </c>
      <c r="E28129">
        <v>1.2713643178410701</v>
      </c>
    </row>
    <row r="28130" spans="1:5">
      <c r="A28130" t="s">
        <v>32739</v>
      </c>
      <c r="B28130" t="s">
        <v>32741</v>
      </c>
      <c r="C28130">
        <v>0</v>
      </c>
      <c r="D28130" t="s">
        <v>106</v>
      </c>
      <c r="E28130">
        <v>1.2713643178410701</v>
      </c>
    </row>
    <row r="28131" spans="1:5">
      <c r="A28131" t="s">
        <v>32739</v>
      </c>
      <c r="B28131" t="s">
        <v>32742</v>
      </c>
      <c r="C28131">
        <v>0</v>
      </c>
      <c r="D28131" t="s">
        <v>106</v>
      </c>
      <c r="E28131">
        <v>1.2713643178410701</v>
      </c>
    </row>
    <row r="28132" spans="1:5">
      <c r="A28132" t="s">
        <v>32739</v>
      </c>
      <c r="B28132" t="s">
        <v>32743</v>
      </c>
      <c r="C28132">
        <f>0</f>
        <v>0</v>
      </c>
      <c r="D28132" t="s">
        <v>106</v>
      </c>
      <c r="E28132">
        <v>1.2713643178410701</v>
      </c>
    </row>
    <row r="28133" spans="1:5">
      <c r="A28133" t="s">
        <v>32739</v>
      </c>
      <c r="B28133" t="s">
        <v>32744</v>
      </c>
      <c r="C28133">
        <v>0</v>
      </c>
      <c r="D28133" t="s">
        <v>106</v>
      </c>
      <c r="E28133">
        <v>1.2713643178410701</v>
      </c>
    </row>
    <row r="28134" spans="1:5">
      <c r="A28134" t="s">
        <v>32739</v>
      </c>
      <c r="B28134" t="s">
        <v>32745</v>
      </c>
      <c r="C28134">
        <f>0</f>
        <v>0</v>
      </c>
      <c r="D28134" t="s">
        <v>106</v>
      </c>
      <c r="E28134">
        <v>1.2713643178410701</v>
      </c>
    </row>
    <row r="28135" spans="1:5">
      <c r="A28135" t="s">
        <v>32746</v>
      </c>
      <c r="B28135" t="s">
        <v>32747</v>
      </c>
      <c r="C28135">
        <v>0</v>
      </c>
      <c r="D28135" t="s">
        <v>106</v>
      </c>
      <c r="E28135">
        <v>22.332833583208298</v>
      </c>
    </row>
    <row r="28136" spans="1:5">
      <c r="A28136" t="s">
        <v>32746</v>
      </c>
      <c r="B28136" t="s">
        <v>32748</v>
      </c>
      <c r="C28136">
        <f>0</f>
        <v>0</v>
      </c>
      <c r="D28136" t="s">
        <v>106</v>
      </c>
      <c r="E28136">
        <v>22.332833583208298</v>
      </c>
    </row>
    <row r="28137" spans="1:5">
      <c r="A28137" t="s">
        <v>32746</v>
      </c>
      <c r="B28137" t="s">
        <v>32749</v>
      </c>
      <c r="C28137">
        <f>0</f>
        <v>0</v>
      </c>
      <c r="D28137" t="s">
        <v>106</v>
      </c>
      <c r="E28137">
        <v>22.332833583208298</v>
      </c>
    </row>
    <row r="28138" spans="1:5">
      <c r="A28138" t="s">
        <v>32746</v>
      </c>
      <c r="B28138" t="s">
        <v>32750</v>
      </c>
      <c r="C28138">
        <v>0</v>
      </c>
      <c r="D28138" t="s">
        <v>106</v>
      </c>
      <c r="E28138">
        <v>22.332833583208298</v>
      </c>
    </row>
    <row r="28139" spans="1:5">
      <c r="A28139" t="s">
        <v>32751</v>
      </c>
      <c r="B28139" t="s">
        <v>32752</v>
      </c>
      <c r="C28139">
        <f>0</f>
        <v>0</v>
      </c>
      <c r="D28139">
        <v>0.84588564317500003</v>
      </c>
      <c r="E28139">
        <v>3.97001499250374</v>
      </c>
    </row>
    <row r="28140" spans="1:5">
      <c r="A28140" t="s">
        <v>32751</v>
      </c>
      <c r="B28140" t="s">
        <v>32753</v>
      </c>
      <c r="C28140">
        <v>0.18796390742999999</v>
      </c>
      <c r="D28140">
        <v>0.84588564317500003</v>
      </c>
      <c r="E28140">
        <v>3.97001499250374</v>
      </c>
    </row>
    <row r="28141" spans="1:5">
      <c r="A28141" t="s">
        <v>32751</v>
      </c>
      <c r="B28141" t="s">
        <v>32754</v>
      </c>
      <c r="C28141">
        <v>0</v>
      </c>
      <c r="D28141">
        <v>0.84588564317500003</v>
      </c>
      <c r="E28141">
        <v>3.97001499250374</v>
      </c>
    </row>
    <row r="28142" spans="1:5">
      <c r="A28142" t="s">
        <v>32755</v>
      </c>
      <c r="B28142" t="s">
        <v>32756</v>
      </c>
      <c r="C28142">
        <v>0.133506556803</v>
      </c>
      <c r="D28142" t="s">
        <v>106</v>
      </c>
      <c r="E28142">
        <v>17.307346326836502</v>
      </c>
    </row>
    <row r="28143" spans="1:5">
      <c r="A28143" t="s">
        <v>32755</v>
      </c>
      <c r="B28143" t="s">
        <v>32757</v>
      </c>
      <c r="C28143">
        <v>0</v>
      </c>
      <c r="D28143" t="s">
        <v>106</v>
      </c>
      <c r="E28143">
        <v>17.307346326836502</v>
      </c>
    </row>
    <row r="28144" spans="1:5">
      <c r="A28144" t="s">
        <v>32755</v>
      </c>
      <c r="B28144" t="s">
        <v>32758</v>
      </c>
      <c r="C28144">
        <v>7.5926777799000006E-2</v>
      </c>
      <c r="D28144" t="s">
        <v>106</v>
      </c>
      <c r="E28144">
        <v>17.307346326836502</v>
      </c>
    </row>
    <row r="28145" spans="1:5">
      <c r="A28145" t="s">
        <v>32755</v>
      </c>
      <c r="B28145" t="s">
        <v>32759</v>
      </c>
      <c r="C28145">
        <f>0</f>
        <v>0</v>
      </c>
      <c r="D28145" t="s">
        <v>106</v>
      </c>
      <c r="E28145">
        <v>17.307346326836502</v>
      </c>
    </row>
    <row r="28146" spans="1:5">
      <c r="A28146" t="s">
        <v>32760</v>
      </c>
      <c r="B28146" t="s">
        <v>32761</v>
      </c>
      <c r="C28146">
        <v>0.106796060139</v>
      </c>
      <c r="D28146">
        <v>0.91773163490999998</v>
      </c>
      <c r="E28146">
        <v>4.3778110944527704</v>
      </c>
    </row>
    <row r="28147" spans="1:5">
      <c r="A28147" t="s">
        <v>32760</v>
      </c>
      <c r="B28147" t="s">
        <v>32762</v>
      </c>
      <c r="C28147">
        <v>0</v>
      </c>
      <c r="D28147">
        <v>0.91773163490999998</v>
      </c>
      <c r="E28147">
        <v>4.3778110944527704</v>
      </c>
    </row>
    <row r="28148" spans="1:5">
      <c r="A28148" t="s">
        <v>32760</v>
      </c>
      <c r="B28148" t="s">
        <v>32763</v>
      </c>
      <c r="C28148">
        <v>0</v>
      </c>
      <c r="D28148">
        <v>0.91773163490999998</v>
      </c>
      <c r="E28148">
        <v>4.3778110944527704</v>
      </c>
    </row>
    <row r="28149" spans="1:5">
      <c r="A28149" t="s">
        <v>32764</v>
      </c>
      <c r="B28149" t="s">
        <v>32765</v>
      </c>
      <c r="C28149">
        <v>0.38137511462599999</v>
      </c>
      <c r="D28149">
        <v>0.99804261287200002</v>
      </c>
      <c r="E28149">
        <v>1.51124437781109</v>
      </c>
    </row>
    <row r="28150" spans="1:5">
      <c r="A28150" t="s">
        <v>32764</v>
      </c>
      <c r="B28150" t="s">
        <v>32766</v>
      </c>
      <c r="C28150">
        <f>0</f>
        <v>0</v>
      </c>
      <c r="D28150">
        <v>0.99804261287200002</v>
      </c>
      <c r="E28150">
        <v>1.51124437781109</v>
      </c>
    </row>
    <row r="28151" spans="1:5">
      <c r="A28151" t="s">
        <v>32764</v>
      </c>
      <c r="B28151" t="s">
        <v>32767</v>
      </c>
      <c r="C28151">
        <v>0</v>
      </c>
      <c r="D28151">
        <v>0.99804261287200002</v>
      </c>
      <c r="E28151">
        <v>1.51124437781109</v>
      </c>
    </row>
    <row r="28152" spans="1:5">
      <c r="A28152" t="s">
        <v>32764</v>
      </c>
      <c r="B28152" t="s">
        <v>32768</v>
      </c>
      <c r="C28152">
        <f>0</f>
        <v>0</v>
      </c>
      <c r="D28152">
        <v>0.99804261287200002</v>
      </c>
      <c r="E28152">
        <v>1.51124437781109</v>
      </c>
    </row>
    <row r="28153" spans="1:5">
      <c r="A28153" t="s">
        <v>32764</v>
      </c>
      <c r="B28153" t="s">
        <v>32769</v>
      </c>
      <c r="C28153">
        <v>0</v>
      </c>
      <c r="D28153">
        <v>0.99804261287200002</v>
      </c>
      <c r="E28153">
        <v>1.51124437781109</v>
      </c>
    </row>
    <row r="28154" spans="1:5">
      <c r="A28154" t="s">
        <v>32764</v>
      </c>
      <c r="B28154" t="s">
        <v>32770</v>
      </c>
      <c r="C28154">
        <v>0</v>
      </c>
      <c r="D28154">
        <v>0.99804261287200002</v>
      </c>
      <c r="E28154">
        <v>1.51124437781109</v>
      </c>
    </row>
    <row r="28155" spans="1:5">
      <c r="A28155" t="s">
        <v>32764</v>
      </c>
      <c r="B28155" t="s">
        <v>32771</v>
      </c>
      <c r="C28155">
        <v>2.2998202962199999E-2</v>
      </c>
      <c r="D28155">
        <v>0.99804261287200002</v>
      </c>
      <c r="E28155">
        <v>1.51124437781109</v>
      </c>
    </row>
    <row r="28156" spans="1:5">
      <c r="A28156" t="s">
        <v>32764</v>
      </c>
      <c r="B28156" t="s">
        <v>32772</v>
      </c>
      <c r="C28156">
        <v>0</v>
      </c>
      <c r="D28156">
        <v>0.99804261287200002</v>
      </c>
      <c r="E28156">
        <v>1.51124437781109</v>
      </c>
    </row>
    <row r="28157" spans="1:5">
      <c r="A28157" t="s">
        <v>32764</v>
      </c>
      <c r="B28157" t="s">
        <v>32773</v>
      </c>
      <c r="C28157">
        <v>0</v>
      </c>
      <c r="D28157">
        <v>0.99804261287200002</v>
      </c>
      <c r="E28157">
        <v>1.51124437781109</v>
      </c>
    </row>
    <row r="28158" spans="1:5">
      <c r="A28158" t="s">
        <v>32764</v>
      </c>
      <c r="B28158" t="s">
        <v>32774</v>
      </c>
      <c r="C28158">
        <v>0</v>
      </c>
      <c r="D28158">
        <v>0.99804261287200002</v>
      </c>
      <c r="E28158">
        <v>1.51124437781109</v>
      </c>
    </row>
    <row r="28159" spans="1:5">
      <c r="A28159" t="s">
        <v>32764</v>
      </c>
      <c r="B28159" t="s">
        <v>32775</v>
      </c>
      <c r="C28159">
        <v>0</v>
      </c>
      <c r="D28159">
        <v>0.99804261287200002</v>
      </c>
      <c r="E28159">
        <v>1.51124437781109</v>
      </c>
    </row>
    <row r="28160" spans="1:5">
      <c r="A28160" t="s">
        <v>32776</v>
      </c>
      <c r="B28160" t="s">
        <v>32777</v>
      </c>
      <c r="C28160">
        <v>0</v>
      </c>
      <c r="D28160">
        <v>0.32151751630600001</v>
      </c>
      <c r="E28160">
        <v>17.307346326836502</v>
      </c>
    </row>
    <row r="28161" spans="1:5">
      <c r="A28161" t="s">
        <v>32776</v>
      </c>
      <c r="B28161" t="s">
        <v>32778</v>
      </c>
      <c r="C28161">
        <f>0</f>
        <v>0</v>
      </c>
      <c r="D28161">
        <v>0.32151751630600001</v>
      </c>
      <c r="E28161">
        <v>17.307346326836502</v>
      </c>
    </row>
    <row r="28162" spans="1:5">
      <c r="A28162" t="s">
        <v>32776</v>
      </c>
      <c r="B28162" t="s">
        <v>32779</v>
      </c>
      <c r="C28162">
        <f>0</f>
        <v>0</v>
      </c>
      <c r="D28162">
        <v>0.32151751630600001</v>
      </c>
      <c r="E28162">
        <v>17.307346326836502</v>
      </c>
    </row>
    <row r="28163" spans="1:5">
      <c r="A28163" t="s">
        <v>32776</v>
      </c>
      <c r="B28163" t="s">
        <v>32780</v>
      </c>
      <c r="C28163">
        <f>0</f>
        <v>0</v>
      </c>
      <c r="D28163">
        <v>0.32151751630600001</v>
      </c>
      <c r="E28163">
        <v>17.307346326836502</v>
      </c>
    </row>
    <row r="28164" spans="1:5">
      <c r="A28164" t="s">
        <v>32776</v>
      </c>
      <c r="B28164" t="s">
        <v>32781</v>
      </c>
      <c r="C28164">
        <f>0</f>
        <v>0</v>
      </c>
      <c r="D28164">
        <v>0.32151751630600001</v>
      </c>
      <c r="E28164">
        <v>17.307346326836502</v>
      </c>
    </row>
    <row r="28165" spans="1:5">
      <c r="A28165" t="s">
        <v>32776</v>
      </c>
      <c r="B28165" t="s">
        <v>32782</v>
      </c>
      <c r="C28165">
        <v>0</v>
      </c>
      <c r="D28165">
        <v>0.32151751630600001</v>
      </c>
      <c r="E28165">
        <v>17.307346326836502</v>
      </c>
    </row>
    <row r="28166" spans="1:5">
      <c r="A28166" t="s">
        <v>32776</v>
      </c>
      <c r="B28166" t="s">
        <v>32783</v>
      </c>
      <c r="C28166">
        <f>0</f>
        <v>0</v>
      </c>
      <c r="D28166">
        <v>0.32151751630600001</v>
      </c>
      <c r="E28166">
        <v>17.307346326836502</v>
      </c>
    </row>
    <row r="28167" spans="1:5">
      <c r="A28167" t="s">
        <v>32776</v>
      </c>
      <c r="B28167" t="s">
        <v>32784</v>
      </c>
      <c r="C28167">
        <v>0</v>
      </c>
      <c r="D28167">
        <v>0.32151751630600001</v>
      </c>
      <c r="E28167">
        <v>17.307346326836502</v>
      </c>
    </row>
    <row r="28168" spans="1:5">
      <c r="A28168" t="s">
        <v>32776</v>
      </c>
      <c r="B28168" t="s">
        <v>32785</v>
      </c>
      <c r="C28168">
        <f>0</f>
        <v>0</v>
      </c>
      <c r="D28168">
        <v>0.32151751630600001</v>
      </c>
      <c r="E28168">
        <v>17.307346326836502</v>
      </c>
    </row>
    <row r="28169" spans="1:5">
      <c r="A28169" t="s">
        <v>32776</v>
      </c>
      <c r="B28169" t="s">
        <v>32786</v>
      </c>
      <c r="C28169">
        <f>0</f>
        <v>0</v>
      </c>
      <c r="D28169">
        <v>0.32151751630600001</v>
      </c>
      <c r="E28169">
        <v>17.307346326836502</v>
      </c>
    </row>
    <row r="28170" spans="1:5">
      <c r="A28170" t="s">
        <v>32776</v>
      </c>
      <c r="B28170" t="s">
        <v>32787</v>
      </c>
      <c r="C28170">
        <v>3.0204487133500001E-2</v>
      </c>
      <c r="D28170">
        <v>0.32151751630600001</v>
      </c>
      <c r="E28170">
        <v>17.307346326836502</v>
      </c>
    </row>
    <row r="28171" spans="1:5">
      <c r="A28171" t="s">
        <v>32788</v>
      </c>
      <c r="B28171" t="s">
        <v>32789</v>
      </c>
      <c r="C28171">
        <v>0</v>
      </c>
      <c r="D28171">
        <v>0.73386401432299997</v>
      </c>
      <c r="E28171">
        <v>1.89505247376311</v>
      </c>
    </row>
    <row r="28172" spans="1:5">
      <c r="A28172" t="s">
        <v>32788</v>
      </c>
      <c r="B28172" t="s">
        <v>32790</v>
      </c>
      <c r="C28172">
        <f>0</f>
        <v>0</v>
      </c>
      <c r="D28172">
        <v>0.73386401432299997</v>
      </c>
      <c r="E28172">
        <v>1.89505247376311</v>
      </c>
    </row>
    <row r="28173" spans="1:5">
      <c r="A28173" t="s">
        <v>32788</v>
      </c>
      <c r="B28173" t="s">
        <v>32791</v>
      </c>
      <c r="C28173">
        <v>0</v>
      </c>
      <c r="D28173">
        <v>0.73386401432299997</v>
      </c>
      <c r="E28173">
        <v>1.89505247376311</v>
      </c>
    </row>
    <row r="28174" spans="1:5">
      <c r="A28174" t="s">
        <v>32788</v>
      </c>
      <c r="B28174" t="s">
        <v>32792</v>
      </c>
      <c r="C28174">
        <f>0.0635071667268</f>
        <v>6.3507166726799999E-2</v>
      </c>
      <c r="D28174">
        <v>0.73386401432299997</v>
      </c>
      <c r="E28174">
        <v>1.89505247376311</v>
      </c>
    </row>
    <row r="28175" spans="1:5">
      <c r="A28175" t="s">
        <v>32788</v>
      </c>
      <c r="B28175" t="s">
        <v>32793</v>
      </c>
      <c r="C28175">
        <v>0</v>
      </c>
      <c r="D28175">
        <v>0.73386401432299997</v>
      </c>
      <c r="E28175">
        <v>1.89505247376311</v>
      </c>
    </row>
    <row r="28176" spans="1:5">
      <c r="A28176" t="s">
        <v>32788</v>
      </c>
      <c r="B28176" t="s">
        <v>32794</v>
      </c>
      <c r="C28176">
        <f>0</f>
        <v>0</v>
      </c>
      <c r="D28176">
        <v>0.73386401432299997</v>
      </c>
      <c r="E28176">
        <v>1.89505247376311</v>
      </c>
    </row>
    <row r="28177" spans="1:5">
      <c r="A28177" t="s">
        <v>32788</v>
      </c>
      <c r="B28177" t="s">
        <v>32795</v>
      </c>
      <c r="C28177">
        <f>0</f>
        <v>0</v>
      </c>
      <c r="D28177">
        <v>0.73386401432299997</v>
      </c>
      <c r="E28177">
        <v>1.89505247376311</v>
      </c>
    </row>
    <row r="28178" spans="1:5">
      <c r="A28178" t="s">
        <v>32796</v>
      </c>
      <c r="B28178" t="s">
        <v>32797</v>
      </c>
      <c r="C28178">
        <v>0</v>
      </c>
      <c r="D28178" t="s">
        <v>106</v>
      </c>
      <c r="E28178">
        <v>11.0344827586206</v>
      </c>
    </row>
    <row r="28179" spans="1:5">
      <c r="A28179" t="s">
        <v>32796</v>
      </c>
      <c r="B28179" t="s">
        <v>32798</v>
      </c>
      <c r="C28179">
        <v>0</v>
      </c>
      <c r="D28179" t="s">
        <v>106</v>
      </c>
      <c r="E28179">
        <v>11.0344827586206</v>
      </c>
    </row>
    <row r="28180" spans="1:5">
      <c r="A28180" t="s">
        <v>32796</v>
      </c>
      <c r="B28180" t="s">
        <v>32799</v>
      </c>
      <c r="C28180">
        <f>0</f>
        <v>0</v>
      </c>
      <c r="D28180" t="s">
        <v>106</v>
      </c>
      <c r="E28180">
        <v>11.0344827586206</v>
      </c>
    </row>
    <row r="28181" spans="1:5">
      <c r="A28181" t="s">
        <v>32800</v>
      </c>
      <c r="B28181" t="s">
        <v>32801</v>
      </c>
      <c r="C28181">
        <v>0</v>
      </c>
      <c r="D28181">
        <v>0.82987824813199995</v>
      </c>
      <c r="E28181">
        <v>3.0464767616191901</v>
      </c>
    </row>
    <row r="28182" spans="1:5">
      <c r="A28182" t="s">
        <v>32800</v>
      </c>
      <c r="B28182" t="s">
        <v>32802</v>
      </c>
      <c r="C28182">
        <f>0</f>
        <v>0</v>
      </c>
      <c r="D28182">
        <v>0.82987824813199995</v>
      </c>
      <c r="E28182">
        <v>3.0464767616191901</v>
      </c>
    </row>
    <row r="28183" spans="1:5">
      <c r="A28183" t="s">
        <v>32800</v>
      </c>
      <c r="B28183" t="s">
        <v>32803</v>
      </c>
      <c r="C28183">
        <f>0</f>
        <v>0</v>
      </c>
      <c r="D28183">
        <v>0.82987824813199995</v>
      </c>
      <c r="E28183">
        <v>3.0464767616191901</v>
      </c>
    </row>
    <row r="28184" spans="1:5">
      <c r="A28184" t="s">
        <v>32800</v>
      </c>
      <c r="B28184" t="s">
        <v>32804</v>
      </c>
      <c r="C28184">
        <v>6.8439803456699999E-4</v>
      </c>
      <c r="D28184">
        <v>0.82987824813199995</v>
      </c>
      <c r="E28184">
        <v>3.0464767616191901</v>
      </c>
    </row>
    <row r="28185" spans="1:5">
      <c r="A28185" t="s">
        <v>32800</v>
      </c>
      <c r="B28185" t="s">
        <v>32805</v>
      </c>
      <c r="C28185">
        <v>1.5684882013200001E-2</v>
      </c>
      <c r="D28185">
        <v>0.82987824813199995</v>
      </c>
      <c r="E28185">
        <v>3.0464767616191901</v>
      </c>
    </row>
    <row r="28186" spans="1:5">
      <c r="A28186" t="s">
        <v>32800</v>
      </c>
      <c r="B28186" t="s">
        <v>32806</v>
      </c>
      <c r="C28186">
        <v>0</v>
      </c>
      <c r="D28186">
        <v>0.82987824813199995</v>
      </c>
      <c r="E28186">
        <v>3.0464767616191901</v>
      </c>
    </row>
    <row r="28187" spans="1:5">
      <c r="A28187" t="s">
        <v>32807</v>
      </c>
      <c r="B28187" t="s">
        <v>32808</v>
      </c>
      <c r="C28187">
        <v>2.4557398654400001E-2</v>
      </c>
      <c r="D28187" t="s">
        <v>106</v>
      </c>
      <c r="E28187">
        <v>24</v>
      </c>
    </row>
    <row r="28188" spans="1:5">
      <c r="A28188" t="s">
        <v>32807</v>
      </c>
      <c r="B28188" t="s">
        <v>32809</v>
      </c>
      <c r="C28188">
        <v>0.15334612177599999</v>
      </c>
      <c r="D28188" t="s">
        <v>106</v>
      </c>
      <c r="E28188">
        <v>24</v>
      </c>
    </row>
    <row r="28189" spans="1:5">
      <c r="A28189" t="s">
        <v>32807</v>
      </c>
      <c r="B28189" t="s">
        <v>32810</v>
      </c>
      <c r="C28189">
        <v>0</v>
      </c>
      <c r="D28189" t="s">
        <v>106</v>
      </c>
      <c r="E28189">
        <v>24</v>
      </c>
    </row>
    <row r="28190" spans="1:5">
      <c r="A28190" t="s">
        <v>32807</v>
      </c>
      <c r="B28190" t="s">
        <v>32811</v>
      </c>
      <c r="C28190">
        <v>0</v>
      </c>
      <c r="D28190" t="s">
        <v>106</v>
      </c>
      <c r="E28190">
        <v>24</v>
      </c>
    </row>
    <row r="28191" spans="1:5">
      <c r="A28191" t="s">
        <v>32807</v>
      </c>
      <c r="B28191" t="s">
        <v>32812</v>
      </c>
      <c r="C28191">
        <v>0</v>
      </c>
      <c r="D28191" t="s">
        <v>106</v>
      </c>
      <c r="E28191">
        <v>24</v>
      </c>
    </row>
    <row r="28192" spans="1:5">
      <c r="A28192" t="s">
        <v>32807</v>
      </c>
      <c r="B28192" t="s">
        <v>32813</v>
      </c>
      <c r="C28192">
        <f>0</f>
        <v>0</v>
      </c>
      <c r="D28192" t="s">
        <v>106</v>
      </c>
      <c r="E28192">
        <v>24</v>
      </c>
    </row>
    <row r="28193" spans="1:5">
      <c r="A28193" t="s">
        <v>32814</v>
      </c>
      <c r="B28193" t="s">
        <v>32815</v>
      </c>
      <c r="C28193">
        <v>0</v>
      </c>
      <c r="D28193">
        <v>0.99372487625399997</v>
      </c>
      <c r="E28193">
        <v>13.997001499250301</v>
      </c>
    </row>
    <row r="28194" spans="1:5">
      <c r="A28194" t="s">
        <v>32814</v>
      </c>
      <c r="B28194" t="s">
        <v>32816</v>
      </c>
      <c r="C28194">
        <v>0</v>
      </c>
      <c r="D28194">
        <v>0.99372487625399997</v>
      </c>
      <c r="E28194">
        <v>13.997001499250301</v>
      </c>
    </row>
    <row r="28195" spans="1:5">
      <c r="A28195" t="s">
        <v>32814</v>
      </c>
      <c r="B28195" t="s">
        <v>32817</v>
      </c>
      <c r="C28195">
        <v>0.13720170931600001</v>
      </c>
      <c r="D28195">
        <v>0.99372487625399997</v>
      </c>
      <c r="E28195">
        <v>13.997001499250301</v>
      </c>
    </row>
    <row r="28196" spans="1:5">
      <c r="A28196" t="s">
        <v>32814</v>
      </c>
      <c r="B28196" t="s">
        <v>32818</v>
      </c>
      <c r="C28196">
        <v>0</v>
      </c>
      <c r="D28196">
        <v>0.99372487625399997</v>
      </c>
      <c r="E28196">
        <v>13.997001499250301</v>
      </c>
    </row>
    <row r="28197" spans="1:5">
      <c r="A28197" t="s">
        <v>32814</v>
      </c>
      <c r="B28197" t="s">
        <v>32819</v>
      </c>
      <c r="C28197">
        <v>0</v>
      </c>
      <c r="D28197">
        <v>0.99372487625399997</v>
      </c>
      <c r="E28197">
        <v>13.997001499250301</v>
      </c>
    </row>
    <row r="28198" spans="1:5">
      <c r="A28198" t="s">
        <v>32814</v>
      </c>
      <c r="B28198" t="s">
        <v>32820</v>
      </c>
      <c r="C28198">
        <v>0</v>
      </c>
      <c r="D28198">
        <v>0.99372487625399997</v>
      </c>
      <c r="E28198">
        <v>13.997001499250301</v>
      </c>
    </row>
    <row r="28199" spans="1:5">
      <c r="A28199" t="s">
        <v>32814</v>
      </c>
      <c r="B28199" t="s">
        <v>32821</v>
      </c>
      <c r="C28199">
        <f>0</f>
        <v>0</v>
      </c>
      <c r="D28199">
        <v>0.99372487625399997</v>
      </c>
      <c r="E28199">
        <v>13.997001499250301</v>
      </c>
    </row>
    <row r="28200" spans="1:5">
      <c r="A28200" t="s">
        <v>32814</v>
      </c>
      <c r="B28200" t="s">
        <v>32822</v>
      </c>
      <c r="C28200">
        <f>0</f>
        <v>0</v>
      </c>
      <c r="D28200">
        <v>0.99372487625399997</v>
      </c>
      <c r="E28200">
        <v>13.997001499250301</v>
      </c>
    </row>
    <row r="28201" spans="1:5">
      <c r="A28201" t="s">
        <v>32814</v>
      </c>
      <c r="B28201" t="s">
        <v>32823</v>
      </c>
      <c r="C28201">
        <v>0.227265412365</v>
      </c>
      <c r="D28201">
        <v>0.99372487625399997</v>
      </c>
      <c r="E28201">
        <v>13.997001499250301</v>
      </c>
    </row>
    <row r="28202" spans="1:5">
      <c r="A28202" t="s">
        <v>32814</v>
      </c>
      <c r="B28202" t="s">
        <v>32824</v>
      </c>
      <c r="C28202">
        <v>0</v>
      </c>
      <c r="D28202">
        <v>0.99372487625399997</v>
      </c>
      <c r="E28202">
        <v>13.997001499250301</v>
      </c>
    </row>
    <row r="28203" spans="1:5">
      <c r="A28203" t="s">
        <v>32814</v>
      </c>
      <c r="B28203" t="s">
        <v>32825</v>
      </c>
      <c r="C28203">
        <f>0</f>
        <v>0</v>
      </c>
      <c r="D28203">
        <v>0.99372487625399997</v>
      </c>
      <c r="E28203">
        <v>13.997001499250301</v>
      </c>
    </row>
    <row r="28204" spans="1:5">
      <c r="A28204" t="s">
        <v>32826</v>
      </c>
      <c r="B28204" t="s">
        <v>32827</v>
      </c>
      <c r="C28204">
        <v>4.0237722189500003E-2</v>
      </c>
      <c r="D28204">
        <v>0.96727828077300004</v>
      </c>
      <c r="E28204">
        <v>3.13043478260869</v>
      </c>
    </row>
    <row r="28205" spans="1:5">
      <c r="A28205" t="s">
        <v>32826</v>
      </c>
      <c r="B28205" t="s">
        <v>32828</v>
      </c>
      <c r="C28205">
        <v>0</v>
      </c>
      <c r="D28205">
        <v>0.96727828077300004</v>
      </c>
      <c r="E28205">
        <v>3.13043478260869</v>
      </c>
    </row>
    <row r="28206" spans="1:5">
      <c r="A28206" t="s">
        <v>32826</v>
      </c>
      <c r="B28206" t="s">
        <v>32829</v>
      </c>
      <c r="C28206">
        <v>4.1759323215500001E-2</v>
      </c>
      <c r="D28206">
        <v>0.96727828077300004</v>
      </c>
      <c r="E28206">
        <v>3.13043478260869</v>
      </c>
    </row>
    <row r="28207" spans="1:5">
      <c r="A28207" t="s">
        <v>32826</v>
      </c>
      <c r="B28207" t="s">
        <v>32830</v>
      </c>
      <c r="C28207">
        <v>0</v>
      </c>
      <c r="D28207">
        <v>0.96727828077300004</v>
      </c>
      <c r="E28207">
        <v>3.13043478260869</v>
      </c>
    </row>
    <row r="28208" spans="1:5">
      <c r="A28208" t="s">
        <v>32831</v>
      </c>
      <c r="B28208" t="s">
        <v>32832</v>
      </c>
      <c r="C28208">
        <f>0</f>
        <v>0</v>
      </c>
      <c r="D28208" t="s">
        <v>106</v>
      </c>
      <c r="E28208">
        <v>1.16341829085457</v>
      </c>
    </row>
    <row r="28209" spans="1:5">
      <c r="A28209" t="s">
        <v>32831</v>
      </c>
      <c r="B28209" t="s">
        <v>32833</v>
      </c>
      <c r="C28209">
        <v>0</v>
      </c>
      <c r="D28209" t="s">
        <v>106</v>
      </c>
      <c r="E28209">
        <v>1.16341829085457</v>
      </c>
    </row>
    <row r="28210" spans="1:5">
      <c r="A28210" t="s">
        <v>32831</v>
      </c>
      <c r="B28210" t="s">
        <v>32834</v>
      </c>
      <c r="C28210">
        <v>0</v>
      </c>
      <c r="D28210" t="s">
        <v>106</v>
      </c>
      <c r="E28210">
        <v>1.16341829085457</v>
      </c>
    </row>
    <row r="28211" spans="1:5">
      <c r="A28211" t="s">
        <v>32831</v>
      </c>
      <c r="B28211" t="s">
        <v>32835</v>
      </c>
      <c r="C28211">
        <v>0</v>
      </c>
      <c r="D28211" t="s">
        <v>106</v>
      </c>
      <c r="E28211">
        <v>1.16341829085457</v>
      </c>
    </row>
    <row r="28212" spans="1:5">
      <c r="A28212" t="s">
        <v>32831</v>
      </c>
      <c r="B28212" t="s">
        <v>32836</v>
      </c>
      <c r="C28212">
        <f>0</f>
        <v>0</v>
      </c>
      <c r="D28212" t="s">
        <v>106</v>
      </c>
      <c r="E28212">
        <v>1.16341829085457</v>
      </c>
    </row>
    <row r="28213" spans="1:5">
      <c r="A28213" t="s">
        <v>32831</v>
      </c>
      <c r="B28213" t="s">
        <v>32837</v>
      </c>
      <c r="C28213">
        <v>0</v>
      </c>
      <c r="D28213" t="s">
        <v>106</v>
      </c>
      <c r="E28213">
        <v>1.16341829085457</v>
      </c>
    </row>
    <row r="28214" spans="1:5">
      <c r="A28214" t="s">
        <v>32831</v>
      </c>
      <c r="B28214" t="s">
        <v>32838</v>
      </c>
      <c r="C28214">
        <f>0</f>
        <v>0</v>
      </c>
      <c r="D28214" t="s">
        <v>106</v>
      </c>
      <c r="E28214">
        <v>1.16341829085457</v>
      </c>
    </row>
    <row r="28215" spans="1:5">
      <c r="A28215" t="s">
        <v>32831</v>
      </c>
      <c r="B28215" t="s">
        <v>32839</v>
      </c>
      <c r="C28215">
        <v>0</v>
      </c>
      <c r="D28215" t="s">
        <v>106</v>
      </c>
      <c r="E28215">
        <v>1.16341829085457</v>
      </c>
    </row>
    <row r="28216" spans="1:5">
      <c r="A28216" t="s">
        <v>32831</v>
      </c>
      <c r="B28216" t="s">
        <v>32840</v>
      </c>
      <c r="C28216">
        <v>0</v>
      </c>
      <c r="D28216" t="s">
        <v>106</v>
      </c>
      <c r="E28216">
        <v>1.16341829085457</v>
      </c>
    </row>
    <row r="28217" spans="1:5">
      <c r="A28217" t="s">
        <v>32831</v>
      </c>
      <c r="B28217" t="s">
        <v>32841</v>
      </c>
      <c r="C28217">
        <v>0</v>
      </c>
      <c r="D28217" t="s">
        <v>106</v>
      </c>
      <c r="E28217">
        <v>1.16341829085457</v>
      </c>
    </row>
    <row r="28218" spans="1:5">
      <c r="A28218" t="s">
        <v>32831</v>
      </c>
      <c r="B28218" t="s">
        <v>32842</v>
      </c>
      <c r="C28218">
        <v>0</v>
      </c>
      <c r="D28218" t="s">
        <v>106</v>
      </c>
      <c r="E28218">
        <v>1.16341829085457</v>
      </c>
    </row>
    <row r="28219" spans="1:5">
      <c r="A28219" t="s">
        <v>32831</v>
      </c>
      <c r="B28219" t="s">
        <v>32843</v>
      </c>
      <c r="C28219">
        <v>0</v>
      </c>
      <c r="D28219" t="s">
        <v>106</v>
      </c>
      <c r="E28219">
        <v>1.16341829085457</v>
      </c>
    </row>
    <row r="28220" spans="1:5">
      <c r="A28220" t="s">
        <v>32844</v>
      </c>
      <c r="B28220" t="s">
        <v>32845</v>
      </c>
      <c r="C28220">
        <v>0.55801710225099999</v>
      </c>
      <c r="D28220">
        <v>0.99081739420500003</v>
      </c>
      <c r="E28220">
        <v>10.0749625187406</v>
      </c>
    </row>
    <row r="28221" spans="1:5">
      <c r="A28221" t="s">
        <v>32844</v>
      </c>
      <c r="B28221" t="s">
        <v>32846</v>
      </c>
      <c r="C28221">
        <f>0</f>
        <v>0</v>
      </c>
      <c r="D28221">
        <v>0.99081739420500003</v>
      </c>
      <c r="E28221">
        <v>10.0749625187406</v>
      </c>
    </row>
    <row r="28222" spans="1:5">
      <c r="A28222" t="s">
        <v>32844</v>
      </c>
      <c r="B28222" t="s">
        <v>32847</v>
      </c>
      <c r="C28222">
        <v>0</v>
      </c>
      <c r="D28222">
        <v>0.99081739420500003</v>
      </c>
      <c r="E28222">
        <v>10.0749625187406</v>
      </c>
    </row>
    <row r="28223" spans="1:5">
      <c r="A28223" t="s">
        <v>32844</v>
      </c>
      <c r="B28223" t="s">
        <v>32848</v>
      </c>
      <c r="C28223">
        <v>0</v>
      </c>
      <c r="D28223">
        <v>0.99081739420500003</v>
      </c>
      <c r="E28223">
        <v>10.0749625187406</v>
      </c>
    </row>
    <row r="28224" spans="1:5">
      <c r="A28224" t="s">
        <v>32849</v>
      </c>
      <c r="B28224" t="s">
        <v>32850</v>
      </c>
      <c r="C28224">
        <f>0</f>
        <v>0</v>
      </c>
      <c r="D28224">
        <v>0.92142328051099998</v>
      </c>
      <c r="E28224">
        <v>0.82758620689655105</v>
      </c>
    </row>
    <row r="28225" spans="1:5">
      <c r="A28225" t="s">
        <v>32849</v>
      </c>
      <c r="B28225" t="s">
        <v>32851</v>
      </c>
      <c r="C28225">
        <v>0</v>
      </c>
      <c r="D28225">
        <v>0.92142328051099998</v>
      </c>
      <c r="E28225">
        <v>0.82758620689655105</v>
      </c>
    </row>
    <row r="28226" spans="1:5">
      <c r="A28226" t="s">
        <v>32849</v>
      </c>
      <c r="B28226" t="s">
        <v>32852</v>
      </c>
      <c r="C28226">
        <v>0</v>
      </c>
      <c r="D28226">
        <v>0.92142328051099998</v>
      </c>
      <c r="E28226">
        <v>0.82758620689655105</v>
      </c>
    </row>
    <row r="28227" spans="1:5">
      <c r="A28227" t="s">
        <v>32849</v>
      </c>
      <c r="B28227" t="s">
        <v>32853</v>
      </c>
      <c r="C28227">
        <f>0</f>
        <v>0</v>
      </c>
      <c r="D28227">
        <v>0.92142328051099998</v>
      </c>
      <c r="E28227">
        <v>0.82758620689655105</v>
      </c>
    </row>
    <row r="28228" spans="1:5">
      <c r="A28228" t="s">
        <v>32849</v>
      </c>
      <c r="B28228" t="s">
        <v>32854</v>
      </c>
      <c r="C28228">
        <f>0</f>
        <v>0</v>
      </c>
      <c r="D28228">
        <v>0.92142328051099998</v>
      </c>
      <c r="E28228">
        <v>0.82758620689655105</v>
      </c>
    </row>
    <row r="28229" spans="1:5">
      <c r="A28229" t="s">
        <v>32849</v>
      </c>
      <c r="B28229" t="s">
        <v>32855</v>
      </c>
      <c r="C28229">
        <v>0</v>
      </c>
      <c r="D28229">
        <v>0.92142328051099998</v>
      </c>
      <c r="E28229">
        <v>0.82758620689655105</v>
      </c>
    </row>
    <row r="28230" spans="1:5">
      <c r="A28230" t="s">
        <v>32849</v>
      </c>
      <c r="B28230" t="s">
        <v>32856</v>
      </c>
      <c r="C28230">
        <v>0</v>
      </c>
      <c r="D28230">
        <v>0.92142328051099998</v>
      </c>
      <c r="E28230">
        <v>0.82758620689655105</v>
      </c>
    </row>
    <row r="28231" spans="1:5">
      <c r="A28231" t="s">
        <v>32849</v>
      </c>
      <c r="B28231" t="s">
        <v>32857</v>
      </c>
      <c r="C28231">
        <f>0</f>
        <v>0</v>
      </c>
      <c r="D28231">
        <v>0.92142328051099998</v>
      </c>
      <c r="E28231">
        <v>0.82758620689655105</v>
      </c>
    </row>
    <row r="28232" spans="1:5">
      <c r="A28232" t="s">
        <v>32849</v>
      </c>
      <c r="B28232" t="s">
        <v>32858</v>
      </c>
      <c r="C28232">
        <f>0</f>
        <v>0</v>
      </c>
      <c r="D28232">
        <v>0.92142328051099998</v>
      </c>
      <c r="E28232">
        <v>0.82758620689655105</v>
      </c>
    </row>
    <row r="28233" spans="1:5">
      <c r="A28233" t="s">
        <v>32849</v>
      </c>
      <c r="B28233" t="s">
        <v>32859</v>
      </c>
      <c r="C28233">
        <v>0.16512234466799999</v>
      </c>
      <c r="D28233">
        <v>0.92142328051099998</v>
      </c>
      <c r="E28233">
        <v>0.82758620689655105</v>
      </c>
    </row>
    <row r="28234" spans="1:5">
      <c r="A28234" t="s">
        <v>32849</v>
      </c>
      <c r="B28234" t="s">
        <v>32860</v>
      </c>
      <c r="C28234">
        <v>0</v>
      </c>
      <c r="D28234">
        <v>0.92142328051099998</v>
      </c>
      <c r="E28234">
        <v>0.82758620689655105</v>
      </c>
    </row>
    <row r="28235" spans="1:5">
      <c r="A28235" t="s">
        <v>32849</v>
      </c>
      <c r="B28235" t="s">
        <v>32861</v>
      </c>
      <c r="C28235">
        <v>0</v>
      </c>
      <c r="D28235">
        <v>0.92142328051099998</v>
      </c>
      <c r="E28235">
        <v>0.82758620689655105</v>
      </c>
    </row>
    <row r="28236" spans="1:5">
      <c r="A28236" t="s">
        <v>32849</v>
      </c>
      <c r="B28236" t="s">
        <v>32862</v>
      </c>
      <c r="C28236">
        <f>0</f>
        <v>0</v>
      </c>
      <c r="D28236">
        <v>0.92142328051099998</v>
      </c>
      <c r="E28236">
        <v>0.82758620689655105</v>
      </c>
    </row>
    <row r="28237" spans="1:5">
      <c r="A28237" t="s">
        <v>32849</v>
      </c>
      <c r="B28237" t="s">
        <v>32863</v>
      </c>
      <c r="C28237">
        <f>0</f>
        <v>0</v>
      </c>
      <c r="D28237">
        <v>0.92142328051099998</v>
      </c>
      <c r="E28237">
        <v>0.82758620689655105</v>
      </c>
    </row>
    <row r="28238" spans="1:5">
      <c r="A28238" t="s">
        <v>32849</v>
      </c>
      <c r="B28238" t="s">
        <v>32864</v>
      </c>
      <c r="C28238">
        <f>0</f>
        <v>0</v>
      </c>
      <c r="D28238">
        <v>0.92142328051099998</v>
      </c>
      <c r="E28238">
        <v>0.82758620689655105</v>
      </c>
    </row>
    <row r="28239" spans="1:5">
      <c r="A28239" t="s">
        <v>32849</v>
      </c>
      <c r="B28239" t="s">
        <v>32865</v>
      </c>
      <c r="C28239">
        <v>0</v>
      </c>
      <c r="D28239">
        <v>0.92142328051099998</v>
      </c>
      <c r="E28239">
        <v>0.82758620689655105</v>
      </c>
    </row>
    <row r="28240" spans="1:5">
      <c r="A28240" t="s">
        <v>32849</v>
      </c>
      <c r="B28240" t="s">
        <v>32866</v>
      </c>
      <c r="C28240">
        <f>0</f>
        <v>0</v>
      </c>
      <c r="D28240">
        <v>0.92142328051099998</v>
      </c>
      <c r="E28240">
        <v>0.82758620689655105</v>
      </c>
    </row>
    <row r="28241" spans="1:5">
      <c r="A28241" t="s">
        <v>32867</v>
      </c>
      <c r="B28241" t="s">
        <v>32868</v>
      </c>
      <c r="C28241">
        <v>0.137475862088</v>
      </c>
      <c r="D28241">
        <v>0.97086561559700002</v>
      </c>
      <c r="E28241">
        <v>9.3073463268365799</v>
      </c>
    </row>
    <row r="28242" spans="1:5">
      <c r="A28242" t="s">
        <v>32867</v>
      </c>
      <c r="B28242" t="s">
        <v>32869</v>
      </c>
      <c r="C28242">
        <v>0.13086185376699999</v>
      </c>
      <c r="D28242">
        <v>0.97086561559700002</v>
      </c>
      <c r="E28242">
        <v>9.3073463268365799</v>
      </c>
    </row>
    <row r="28243" spans="1:5">
      <c r="A28243" t="s">
        <v>32867</v>
      </c>
      <c r="B28243" t="s">
        <v>32870</v>
      </c>
      <c r="C28243">
        <v>0</v>
      </c>
      <c r="D28243">
        <v>0.97086561559700002</v>
      </c>
      <c r="E28243">
        <v>9.3073463268365799</v>
      </c>
    </row>
    <row r="28244" spans="1:5">
      <c r="A28244" t="s">
        <v>32867</v>
      </c>
      <c r="B28244" t="s">
        <v>32871</v>
      </c>
      <c r="C28244">
        <v>0</v>
      </c>
      <c r="D28244">
        <v>0.97086561559700002</v>
      </c>
      <c r="E28244">
        <v>9.3073463268365799</v>
      </c>
    </row>
    <row r="28245" spans="1:5">
      <c r="A28245" t="s">
        <v>32872</v>
      </c>
      <c r="B28245" t="s">
        <v>32873</v>
      </c>
      <c r="C28245">
        <v>0</v>
      </c>
      <c r="D28245">
        <v>0.97271922605500005</v>
      </c>
      <c r="E28245">
        <v>7.4602698650674597</v>
      </c>
    </row>
    <row r="28246" spans="1:5">
      <c r="A28246" t="s">
        <v>32872</v>
      </c>
      <c r="B28246" t="s">
        <v>32874</v>
      </c>
      <c r="C28246">
        <v>0.320266622891</v>
      </c>
      <c r="D28246">
        <v>0.97271922605500005</v>
      </c>
      <c r="E28246">
        <v>7.4602698650674597</v>
      </c>
    </row>
    <row r="28247" spans="1:5">
      <c r="A28247" t="s">
        <v>32872</v>
      </c>
      <c r="B28247" t="s">
        <v>32875</v>
      </c>
      <c r="C28247">
        <v>0</v>
      </c>
      <c r="D28247">
        <v>0.97271922605500005</v>
      </c>
      <c r="E28247">
        <v>7.4602698650674597</v>
      </c>
    </row>
    <row r="28248" spans="1:5">
      <c r="A28248" t="s">
        <v>32876</v>
      </c>
      <c r="B28248" t="s">
        <v>32877</v>
      </c>
      <c r="C28248">
        <v>6.0034825065799997E-2</v>
      </c>
      <c r="D28248">
        <v>0.68627143290699999</v>
      </c>
      <c r="E28248">
        <v>9.9190404797601204</v>
      </c>
    </row>
    <row r="28249" spans="1:5">
      <c r="A28249" t="s">
        <v>32876</v>
      </c>
      <c r="B28249" t="s">
        <v>32878</v>
      </c>
      <c r="C28249">
        <v>2.2346933110400001E-2</v>
      </c>
      <c r="D28249">
        <v>0.68627143290699999</v>
      </c>
      <c r="E28249">
        <v>9.9190404797601204</v>
      </c>
    </row>
    <row r="28250" spans="1:5">
      <c r="A28250" t="s">
        <v>32876</v>
      </c>
      <c r="B28250" t="s">
        <v>32879</v>
      </c>
      <c r="C28250">
        <f>0</f>
        <v>0</v>
      </c>
      <c r="D28250">
        <v>0.68627143290699999</v>
      </c>
      <c r="E28250">
        <v>9.9190404797601204</v>
      </c>
    </row>
    <row r="28251" spans="1:5">
      <c r="A28251" t="s">
        <v>32876</v>
      </c>
      <c r="B28251" t="s">
        <v>32880</v>
      </c>
      <c r="C28251">
        <v>0</v>
      </c>
      <c r="D28251">
        <v>0.68627143290699999</v>
      </c>
      <c r="E28251">
        <v>9.9190404797601204</v>
      </c>
    </row>
    <row r="28252" spans="1:5">
      <c r="A28252" t="s">
        <v>32881</v>
      </c>
      <c r="B28252" t="s">
        <v>32882</v>
      </c>
      <c r="C28252">
        <v>0</v>
      </c>
      <c r="D28252">
        <v>0.90245301226200003</v>
      </c>
      <c r="E28252">
        <v>0.31184407796101898</v>
      </c>
    </row>
    <row r="28253" spans="1:5">
      <c r="A28253" t="s">
        <v>32881</v>
      </c>
      <c r="B28253" t="s">
        <v>32883</v>
      </c>
      <c r="C28253">
        <v>0.27487926619399999</v>
      </c>
      <c r="D28253">
        <v>0.90245301226200003</v>
      </c>
      <c r="E28253">
        <v>0.31184407796101898</v>
      </c>
    </row>
    <row r="28254" spans="1:5">
      <c r="A28254" t="s">
        <v>32881</v>
      </c>
      <c r="B28254" t="s">
        <v>32884</v>
      </c>
      <c r="C28254">
        <v>0</v>
      </c>
      <c r="D28254">
        <v>0.90245301226200003</v>
      </c>
      <c r="E28254">
        <v>0.31184407796101898</v>
      </c>
    </row>
    <row r="28255" spans="1:5">
      <c r="A28255" t="s">
        <v>32881</v>
      </c>
      <c r="B28255" t="s">
        <v>32885</v>
      </c>
      <c r="C28255">
        <v>0</v>
      </c>
      <c r="D28255">
        <v>0.90245301226200003</v>
      </c>
      <c r="E28255">
        <v>0.31184407796101898</v>
      </c>
    </row>
    <row r="28256" spans="1:5">
      <c r="A28256" t="s">
        <v>32881</v>
      </c>
      <c r="B28256" t="s">
        <v>32886</v>
      </c>
      <c r="C28256">
        <v>0.101264054854</v>
      </c>
      <c r="D28256">
        <v>0.90245301226200003</v>
      </c>
      <c r="E28256">
        <v>0.31184407796101898</v>
      </c>
    </row>
    <row r="28257" spans="1:5">
      <c r="A28257" t="s">
        <v>32881</v>
      </c>
      <c r="B28257" t="s">
        <v>32887</v>
      </c>
      <c r="C28257">
        <v>0</v>
      </c>
      <c r="D28257">
        <v>0.90245301226200003</v>
      </c>
      <c r="E28257">
        <v>0.31184407796101898</v>
      </c>
    </row>
    <row r="28258" spans="1:5">
      <c r="A28258" t="s">
        <v>32881</v>
      </c>
      <c r="B28258" t="s">
        <v>32888</v>
      </c>
      <c r="C28258">
        <f>0</f>
        <v>0</v>
      </c>
      <c r="D28258">
        <v>0.90245301226200003</v>
      </c>
      <c r="E28258">
        <v>0.31184407796101898</v>
      </c>
    </row>
    <row r="28259" spans="1:5">
      <c r="A28259" t="s">
        <v>32881</v>
      </c>
      <c r="B28259" t="s">
        <v>32889</v>
      </c>
      <c r="C28259">
        <f>0</f>
        <v>0</v>
      </c>
      <c r="D28259">
        <v>0.90245301226200003</v>
      </c>
      <c r="E28259">
        <v>0.31184407796101898</v>
      </c>
    </row>
    <row r="28260" spans="1:5">
      <c r="A28260" t="s">
        <v>32881</v>
      </c>
      <c r="B28260" t="s">
        <v>32890</v>
      </c>
      <c r="C28260">
        <f>0</f>
        <v>0</v>
      </c>
      <c r="D28260">
        <v>0.90245301226200003</v>
      </c>
      <c r="E28260">
        <v>0.31184407796101898</v>
      </c>
    </row>
    <row r="28261" spans="1:5">
      <c r="A28261" t="s">
        <v>32881</v>
      </c>
      <c r="B28261" t="s">
        <v>32891</v>
      </c>
      <c r="C28261">
        <f>0</f>
        <v>0</v>
      </c>
      <c r="D28261">
        <v>0.90245301226200003</v>
      </c>
      <c r="E28261">
        <v>0.31184407796101898</v>
      </c>
    </row>
    <row r="28262" spans="1:5">
      <c r="A28262" t="s">
        <v>32881</v>
      </c>
      <c r="B28262" t="s">
        <v>32892</v>
      </c>
      <c r="C28262">
        <v>0</v>
      </c>
      <c r="D28262">
        <v>0.90245301226200003</v>
      </c>
      <c r="E28262">
        <v>0.31184407796101898</v>
      </c>
    </row>
    <row r="28263" spans="1:5">
      <c r="A28263" t="s">
        <v>32893</v>
      </c>
      <c r="B28263" t="s">
        <v>32894</v>
      </c>
      <c r="C28263">
        <f>0</f>
        <v>0</v>
      </c>
      <c r="D28263">
        <v>0.62395945356500004</v>
      </c>
      <c r="E28263">
        <v>24</v>
      </c>
    </row>
    <row r="28264" spans="1:5">
      <c r="A28264" t="s">
        <v>32893</v>
      </c>
      <c r="B28264" t="s">
        <v>32895</v>
      </c>
      <c r="C28264">
        <v>0</v>
      </c>
      <c r="D28264">
        <v>0.62395945356500004</v>
      </c>
      <c r="E28264">
        <v>24</v>
      </c>
    </row>
    <row r="28265" spans="1:5">
      <c r="A28265" t="s">
        <v>32893</v>
      </c>
      <c r="B28265" t="s">
        <v>32896</v>
      </c>
      <c r="C28265">
        <f>0</f>
        <v>0</v>
      </c>
      <c r="D28265">
        <v>0.62395945356500004</v>
      </c>
      <c r="E28265">
        <v>24</v>
      </c>
    </row>
    <row r="28266" spans="1:5">
      <c r="A28266" t="s">
        <v>32893</v>
      </c>
      <c r="B28266" t="s">
        <v>32897</v>
      </c>
      <c r="C28266">
        <f>0</f>
        <v>0</v>
      </c>
      <c r="D28266">
        <v>0.62395945356500004</v>
      </c>
      <c r="E28266">
        <v>24</v>
      </c>
    </row>
    <row r="28267" spans="1:5">
      <c r="A28267" t="s">
        <v>32893</v>
      </c>
      <c r="B28267" t="s">
        <v>32898</v>
      </c>
      <c r="C28267">
        <f>0.180015282125</f>
        <v>0.18001528212500001</v>
      </c>
      <c r="D28267">
        <v>0.62395945356500004</v>
      </c>
      <c r="E28267">
        <v>24</v>
      </c>
    </row>
    <row r="28268" spans="1:5">
      <c r="A28268" t="s">
        <v>32899</v>
      </c>
      <c r="B28268" t="s">
        <v>32900</v>
      </c>
      <c r="C28268">
        <v>0.14627439229600001</v>
      </c>
      <c r="D28268">
        <v>0.98113127133599998</v>
      </c>
      <c r="E28268">
        <v>23.040479760119901</v>
      </c>
    </row>
    <row r="28269" spans="1:5">
      <c r="A28269" t="s">
        <v>32899</v>
      </c>
      <c r="B28269" t="s">
        <v>32901</v>
      </c>
      <c r="C28269">
        <v>0</v>
      </c>
      <c r="D28269">
        <v>0.98113127133599998</v>
      </c>
      <c r="E28269">
        <v>23.040479760119901</v>
      </c>
    </row>
    <row r="28270" spans="1:5">
      <c r="A28270" t="s">
        <v>32899</v>
      </c>
      <c r="B28270" t="s">
        <v>32902</v>
      </c>
      <c r="C28270">
        <f>0.0256492000988</f>
        <v>2.56492000988E-2</v>
      </c>
      <c r="D28270">
        <v>0.98113127133599998</v>
      </c>
      <c r="E28270">
        <v>23.040479760119901</v>
      </c>
    </row>
    <row r="28271" spans="1:5">
      <c r="A28271" t="s">
        <v>32899</v>
      </c>
      <c r="B28271" t="s">
        <v>32903</v>
      </c>
      <c r="C28271">
        <v>0</v>
      </c>
      <c r="D28271">
        <v>0.98113127133599998</v>
      </c>
      <c r="E28271">
        <v>23.040479760119901</v>
      </c>
    </row>
    <row r="28272" spans="1:5">
      <c r="A28272" t="s">
        <v>32899</v>
      </c>
      <c r="B28272" t="s">
        <v>32904</v>
      </c>
      <c r="C28272">
        <v>0</v>
      </c>
      <c r="D28272">
        <v>0.98113127133599998</v>
      </c>
      <c r="E28272">
        <v>23.040479760119901</v>
      </c>
    </row>
    <row r="28273" spans="1:5">
      <c r="A28273" t="s">
        <v>32899</v>
      </c>
      <c r="B28273" t="s">
        <v>32905</v>
      </c>
      <c r="C28273">
        <v>0</v>
      </c>
      <c r="D28273">
        <v>0.98113127133599998</v>
      </c>
      <c r="E28273">
        <v>23.040479760119901</v>
      </c>
    </row>
    <row r="28274" spans="1:5">
      <c r="A28274" t="s">
        <v>32906</v>
      </c>
      <c r="B28274" t="s">
        <v>32907</v>
      </c>
      <c r="C28274">
        <v>0</v>
      </c>
      <c r="D28274" t="s">
        <v>106</v>
      </c>
      <c r="E28274">
        <v>1.6911544227886</v>
      </c>
    </row>
    <row r="28275" spans="1:5">
      <c r="A28275" t="s">
        <v>32906</v>
      </c>
      <c r="B28275" t="s">
        <v>32908</v>
      </c>
      <c r="C28275">
        <f>0</f>
        <v>0</v>
      </c>
      <c r="D28275" t="s">
        <v>106</v>
      </c>
      <c r="E28275">
        <v>1.6911544227886</v>
      </c>
    </row>
    <row r="28276" spans="1:5">
      <c r="A28276" t="s">
        <v>32906</v>
      </c>
      <c r="B28276" t="s">
        <v>32909</v>
      </c>
      <c r="C28276">
        <f>0</f>
        <v>0</v>
      </c>
      <c r="D28276" t="s">
        <v>106</v>
      </c>
      <c r="E28276">
        <v>1.6911544227886</v>
      </c>
    </row>
    <row r="28277" spans="1:5">
      <c r="A28277" t="s">
        <v>32910</v>
      </c>
      <c r="B28277" t="s">
        <v>32911</v>
      </c>
      <c r="C28277">
        <v>0</v>
      </c>
      <c r="D28277">
        <v>0.971503408874</v>
      </c>
      <c r="E28277">
        <v>22.5727136431784</v>
      </c>
    </row>
    <row r="28278" spans="1:5">
      <c r="A28278" t="s">
        <v>32910</v>
      </c>
      <c r="B28278" t="s">
        <v>32912</v>
      </c>
      <c r="C28278">
        <v>0</v>
      </c>
      <c r="D28278">
        <v>0.971503408874</v>
      </c>
      <c r="E28278">
        <v>22.5727136431784</v>
      </c>
    </row>
    <row r="28279" spans="1:5">
      <c r="A28279" t="s">
        <v>32910</v>
      </c>
      <c r="B28279" t="s">
        <v>32913</v>
      </c>
      <c r="C28279">
        <v>0</v>
      </c>
      <c r="D28279">
        <v>0.971503408874</v>
      </c>
      <c r="E28279">
        <v>22.5727136431784</v>
      </c>
    </row>
    <row r="28280" spans="1:5">
      <c r="A28280" t="s">
        <v>32910</v>
      </c>
      <c r="B28280" t="s">
        <v>32914</v>
      </c>
      <c r="C28280">
        <v>0</v>
      </c>
      <c r="D28280">
        <v>0.971503408874</v>
      </c>
      <c r="E28280">
        <v>22.5727136431784</v>
      </c>
    </row>
    <row r="28281" spans="1:5">
      <c r="A28281" t="s">
        <v>32910</v>
      </c>
      <c r="B28281" t="s">
        <v>32915</v>
      </c>
      <c r="C28281">
        <v>0</v>
      </c>
      <c r="D28281">
        <v>0.971503408874</v>
      </c>
      <c r="E28281">
        <v>22.5727136431784</v>
      </c>
    </row>
    <row r="28282" spans="1:5">
      <c r="A28282" t="s">
        <v>32910</v>
      </c>
      <c r="B28282" t="s">
        <v>32916</v>
      </c>
      <c r="C28282">
        <f>0</f>
        <v>0</v>
      </c>
      <c r="D28282">
        <v>0.971503408874</v>
      </c>
      <c r="E28282">
        <v>22.5727136431784</v>
      </c>
    </row>
    <row r="28283" spans="1:5">
      <c r="A28283" t="s">
        <v>32910</v>
      </c>
      <c r="B28283" t="s">
        <v>32917</v>
      </c>
      <c r="C28283">
        <v>0</v>
      </c>
      <c r="D28283">
        <v>0.971503408874</v>
      </c>
      <c r="E28283">
        <v>22.5727136431784</v>
      </c>
    </row>
    <row r="28284" spans="1:5">
      <c r="A28284" t="s">
        <v>32910</v>
      </c>
      <c r="B28284" t="s">
        <v>32918</v>
      </c>
      <c r="C28284">
        <v>0</v>
      </c>
      <c r="D28284">
        <v>0.971503408874</v>
      </c>
      <c r="E28284">
        <v>22.5727136431784</v>
      </c>
    </row>
    <row r="28285" spans="1:5">
      <c r="A28285" t="s">
        <v>32919</v>
      </c>
      <c r="B28285" t="s">
        <v>32920</v>
      </c>
      <c r="C28285">
        <v>0</v>
      </c>
      <c r="D28285">
        <v>0.94854906415600004</v>
      </c>
      <c r="E28285">
        <v>23.7481259370314</v>
      </c>
    </row>
    <row r="28286" spans="1:5">
      <c r="A28286" t="s">
        <v>32919</v>
      </c>
      <c r="B28286" t="s">
        <v>32921</v>
      </c>
      <c r="C28286">
        <f>0</f>
        <v>0</v>
      </c>
      <c r="D28286">
        <v>0.94854906415600004</v>
      </c>
      <c r="E28286">
        <v>23.7481259370314</v>
      </c>
    </row>
    <row r="28287" spans="1:5">
      <c r="A28287" t="s">
        <v>32919</v>
      </c>
      <c r="B28287" t="s">
        <v>32922</v>
      </c>
      <c r="C28287">
        <v>0</v>
      </c>
      <c r="D28287">
        <v>0.94854906415600004</v>
      </c>
      <c r="E28287">
        <v>23.7481259370314</v>
      </c>
    </row>
    <row r="28288" spans="1:5">
      <c r="A28288" t="s">
        <v>32919</v>
      </c>
      <c r="B28288" t="s">
        <v>32923</v>
      </c>
      <c r="C28288">
        <f>0</f>
        <v>0</v>
      </c>
      <c r="D28288">
        <v>0.94854906415600004</v>
      </c>
      <c r="E28288">
        <v>23.7481259370314</v>
      </c>
    </row>
    <row r="28289" spans="1:5">
      <c r="A28289" t="s">
        <v>32919</v>
      </c>
      <c r="B28289" t="s">
        <v>32924</v>
      </c>
      <c r="C28289">
        <v>0</v>
      </c>
      <c r="D28289">
        <v>0.94854906415600004</v>
      </c>
      <c r="E28289">
        <v>23.7481259370314</v>
      </c>
    </row>
    <row r="28290" spans="1:5">
      <c r="A28290" t="s">
        <v>32919</v>
      </c>
      <c r="B28290" t="s">
        <v>32925</v>
      </c>
      <c r="C28290">
        <v>0</v>
      </c>
      <c r="D28290">
        <v>0.94854906415600004</v>
      </c>
      <c r="E28290">
        <v>23.7481259370314</v>
      </c>
    </row>
    <row r="28291" spans="1:5">
      <c r="A28291" t="s">
        <v>32926</v>
      </c>
      <c r="B28291" t="s">
        <v>32927</v>
      </c>
      <c r="C28291">
        <v>6.3147666982500003E-2</v>
      </c>
      <c r="D28291">
        <v>0.49160649863</v>
      </c>
      <c r="E28291">
        <v>12.0419790104947</v>
      </c>
    </row>
    <row r="28292" spans="1:5">
      <c r="A28292" t="s">
        <v>32928</v>
      </c>
      <c r="B28292" t="s">
        <v>32929</v>
      </c>
      <c r="C28292">
        <v>0.22578729222899999</v>
      </c>
      <c r="D28292">
        <v>0.97436853881399998</v>
      </c>
      <c r="E28292">
        <v>11.370314842578701</v>
      </c>
    </row>
    <row r="28293" spans="1:5">
      <c r="A28293" t="s">
        <v>32928</v>
      </c>
      <c r="B28293" t="s">
        <v>32930</v>
      </c>
      <c r="C28293">
        <v>0</v>
      </c>
      <c r="D28293">
        <v>0.97436853881399998</v>
      </c>
      <c r="E28293">
        <v>11.370314842578701</v>
      </c>
    </row>
    <row r="28294" spans="1:5">
      <c r="A28294" t="s">
        <v>32928</v>
      </c>
      <c r="B28294" t="s">
        <v>32931</v>
      </c>
      <c r="C28294">
        <f>0</f>
        <v>0</v>
      </c>
      <c r="D28294">
        <v>0.97436853881399998</v>
      </c>
      <c r="E28294">
        <v>11.370314842578701</v>
      </c>
    </row>
    <row r="28295" spans="1:5">
      <c r="A28295" t="s">
        <v>32928</v>
      </c>
      <c r="B28295" t="s">
        <v>32932</v>
      </c>
      <c r="C28295">
        <v>0</v>
      </c>
      <c r="D28295">
        <v>0.97436853881399998</v>
      </c>
      <c r="E28295">
        <v>11.370314842578701</v>
      </c>
    </row>
    <row r="28296" spans="1:5">
      <c r="A28296" t="s">
        <v>32928</v>
      </c>
      <c r="B28296" t="s">
        <v>32933</v>
      </c>
      <c r="C28296">
        <f>0</f>
        <v>0</v>
      </c>
      <c r="D28296">
        <v>0.97436853881399998</v>
      </c>
      <c r="E28296">
        <v>11.370314842578701</v>
      </c>
    </row>
    <row r="28297" spans="1:5">
      <c r="A28297" t="s">
        <v>32934</v>
      </c>
      <c r="B28297" t="s">
        <v>32935</v>
      </c>
      <c r="C28297">
        <v>7.7177336195699997E-2</v>
      </c>
      <c r="D28297">
        <v>0.73306634813600002</v>
      </c>
      <c r="E28297">
        <v>13.625187406296799</v>
      </c>
    </row>
    <row r="28298" spans="1:5">
      <c r="A28298" t="s">
        <v>32934</v>
      </c>
      <c r="B28298" t="s">
        <v>32936</v>
      </c>
      <c r="C28298">
        <f>0</f>
        <v>0</v>
      </c>
      <c r="D28298">
        <v>0.73306634813600002</v>
      </c>
      <c r="E28298">
        <v>13.625187406296799</v>
      </c>
    </row>
    <row r="28299" spans="1:5">
      <c r="A28299" t="s">
        <v>32934</v>
      </c>
      <c r="B28299" t="s">
        <v>32937</v>
      </c>
      <c r="C28299">
        <v>0</v>
      </c>
      <c r="D28299">
        <v>0.73306634813600002</v>
      </c>
      <c r="E28299">
        <v>13.625187406296799</v>
      </c>
    </row>
    <row r="28300" spans="1:5">
      <c r="A28300" t="s">
        <v>32934</v>
      </c>
      <c r="B28300" t="s">
        <v>32938</v>
      </c>
      <c r="C28300">
        <v>0</v>
      </c>
      <c r="D28300">
        <v>0.73306634813600002</v>
      </c>
      <c r="E28300">
        <v>13.625187406296799</v>
      </c>
    </row>
    <row r="28301" spans="1:5">
      <c r="A28301" t="s">
        <v>32934</v>
      </c>
      <c r="B28301" t="s">
        <v>32939</v>
      </c>
      <c r="C28301">
        <v>0</v>
      </c>
      <c r="D28301">
        <v>0.73306634813600002</v>
      </c>
      <c r="E28301">
        <v>13.625187406296799</v>
      </c>
    </row>
    <row r="28302" spans="1:5">
      <c r="A28302" t="s">
        <v>32940</v>
      </c>
      <c r="B28302" t="s">
        <v>32941</v>
      </c>
      <c r="C28302">
        <f>0</f>
        <v>0</v>
      </c>
      <c r="D28302">
        <v>0.97003581378799997</v>
      </c>
      <c r="E28302">
        <v>3.97001499250374</v>
      </c>
    </row>
    <row r="28303" spans="1:5">
      <c r="A28303" t="s">
        <v>32940</v>
      </c>
      <c r="B28303" t="s">
        <v>32942</v>
      </c>
      <c r="C28303">
        <v>0</v>
      </c>
      <c r="D28303">
        <v>0.97003581378799997</v>
      </c>
      <c r="E28303">
        <v>3.97001499250374</v>
      </c>
    </row>
    <row r="28304" spans="1:5">
      <c r="A28304" t="s">
        <v>32940</v>
      </c>
      <c r="B28304" t="s">
        <v>32943</v>
      </c>
      <c r="C28304">
        <v>3.7391671517399999E-2</v>
      </c>
      <c r="D28304">
        <v>0.97003581378799997</v>
      </c>
      <c r="E28304">
        <v>3.97001499250374</v>
      </c>
    </row>
    <row r="28305" spans="1:5">
      <c r="A28305" t="s">
        <v>32940</v>
      </c>
      <c r="B28305" t="s">
        <v>32944</v>
      </c>
      <c r="C28305">
        <v>3.4496250314300002E-2</v>
      </c>
      <c r="D28305">
        <v>0.97003581378799997</v>
      </c>
      <c r="E28305">
        <v>3.97001499250374</v>
      </c>
    </row>
    <row r="28306" spans="1:5">
      <c r="A28306" t="s">
        <v>32940</v>
      </c>
      <c r="B28306" t="s">
        <v>32945</v>
      </c>
      <c r="C28306">
        <v>0</v>
      </c>
      <c r="D28306">
        <v>0.97003581378799997</v>
      </c>
      <c r="E28306">
        <v>3.97001499250374</v>
      </c>
    </row>
    <row r="28307" spans="1:5">
      <c r="A28307" t="s">
        <v>32940</v>
      </c>
      <c r="B28307" t="s">
        <v>32946</v>
      </c>
      <c r="C28307">
        <v>0</v>
      </c>
      <c r="D28307">
        <v>0.97003581378799997</v>
      </c>
      <c r="E28307">
        <v>3.97001499250374</v>
      </c>
    </row>
    <row r="28308" spans="1:5">
      <c r="A28308" t="s">
        <v>32947</v>
      </c>
      <c r="B28308" t="s">
        <v>32948</v>
      </c>
      <c r="C28308">
        <v>0</v>
      </c>
      <c r="D28308">
        <v>0.86693229178700004</v>
      </c>
      <c r="E28308">
        <v>19.6341829085457</v>
      </c>
    </row>
    <row r="28309" spans="1:5">
      <c r="A28309" t="s">
        <v>32947</v>
      </c>
      <c r="B28309" t="s">
        <v>32949</v>
      </c>
      <c r="C28309">
        <v>0</v>
      </c>
      <c r="D28309">
        <v>0.86693229178700004</v>
      </c>
      <c r="E28309">
        <v>19.6341829085457</v>
      </c>
    </row>
    <row r="28310" spans="1:5">
      <c r="A28310" t="s">
        <v>32947</v>
      </c>
      <c r="B28310" t="s">
        <v>32950</v>
      </c>
      <c r="C28310">
        <v>0</v>
      </c>
      <c r="D28310">
        <v>0.86693229178700004</v>
      </c>
      <c r="E28310">
        <v>19.6341829085457</v>
      </c>
    </row>
    <row r="28311" spans="1:5">
      <c r="A28311" t="s">
        <v>32947</v>
      </c>
      <c r="B28311" t="s">
        <v>32951</v>
      </c>
      <c r="C28311">
        <f>0</f>
        <v>0</v>
      </c>
      <c r="D28311">
        <v>0.86693229178700004</v>
      </c>
      <c r="E28311">
        <v>19.6341829085457</v>
      </c>
    </row>
    <row r="28312" spans="1:5">
      <c r="A28312" t="s">
        <v>32947</v>
      </c>
      <c r="B28312" t="s">
        <v>32952</v>
      </c>
      <c r="C28312">
        <f>0</f>
        <v>0</v>
      </c>
      <c r="D28312">
        <v>0.86693229178700004</v>
      </c>
      <c r="E28312">
        <v>19.6341829085457</v>
      </c>
    </row>
    <row r="28313" spans="1:5">
      <c r="A28313" t="s">
        <v>32947</v>
      </c>
      <c r="B28313" t="s">
        <v>32953</v>
      </c>
      <c r="C28313">
        <v>0</v>
      </c>
      <c r="D28313">
        <v>0.86693229178700004</v>
      </c>
      <c r="E28313">
        <v>19.6341829085457</v>
      </c>
    </row>
    <row r="28314" spans="1:5">
      <c r="A28314" t="s">
        <v>32947</v>
      </c>
      <c r="B28314" t="s">
        <v>32954</v>
      </c>
      <c r="C28314">
        <v>0</v>
      </c>
      <c r="D28314">
        <v>0.86693229178700004</v>
      </c>
      <c r="E28314">
        <v>19.6341829085457</v>
      </c>
    </row>
    <row r="28315" spans="1:5">
      <c r="A28315" t="s">
        <v>32947</v>
      </c>
      <c r="B28315" t="s">
        <v>32955</v>
      </c>
      <c r="C28315">
        <f>0</f>
        <v>0</v>
      </c>
      <c r="D28315">
        <v>0.86693229178700004</v>
      </c>
      <c r="E28315">
        <v>19.6341829085457</v>
      </c>
    </row>
    <row r="28316" spans="1:5">
      <c r="A28316" t="s">
        <v>32947</v>
      </c>
      <c r="B28316" t="s">
        <v>32956</v>
      </c>
      <c r="C28316">
        <f>0.0552636764418</f>
        <v>5.5263676441799997E-2</v>
      </c>
      <c r="D28316">
        <v>0.86693229178700004</v>
      </c>
      <c r="E28316">
        <v>19.6341829085457</v>
      </c>
    </row>
    <row r="28317" spans="1:5">
      <c r="A28317" t="s">
        <v>32947</v>
      </c>
      <c r="B28317" t="s">
        <v>32957</v>
      </c>
      <c r="C28317">
        <f>0</f>
        <v>0</v>
      </c>
      <c r="D28317">
        <v>0.86693229178700004</v>
      </c>
      <c r="E28317">
        <v>19.6341829085457</v>
      </c>
    </row>
    <row r="28318" spans="1:5">
      <c r="A28318" t="s">
        <v>32947</v>
      </c>
      <c r="B28318" t="s">
        <v>32958</v>
      </c>
      <c r="C28318">
        <v>0</v>
      </c>
      <c r="D28318">
        <v>0.86693229178700004</v>
      </c>
      <c r="E28318">
        <v>19.6341829085457</v>
      </c>
    </row>
    <row r="28319" spans="1:5">
      <c r="A28319" t="s">
        <v>32947</v>
      </c>
      <c r="B28319" t="s">
        <v>32959</v>
      </c>
      <c r="C28319">
        <v>0</v>
      </c>
      <c r="D28319">
        <v>0.86693229178700004</v>
      </c>
      <c r="E28319">
        <v>19.6341829085457</v>
      </c>
    </row>
    <row r="28320" spans="1:5">
      <c r="A28320" t="s">
        <v>32960</v>
      </c>
      <c r="B28320" t="s">
        <v>32961</v>
      </c>
      <c r="C28320">
        <f>0</f>
        <v>0</v>
      </c>
      <c r="D28320">
        <v>0.87951997428100004</v>
      </c>
      <c r="E28320">
        <v>6.8005997001499203</v>
      </c>
    </row>
    <row r="28321" spans="1:5">
      <c r="A28321" t="s">
        <v>32960</v>
      </c>
      <c r="B28321" t="s">
        <v>32962</v>
      </c>
      <c r="C28321">
        <f>0</f>
        <v>0</v>
      </c>
      <c r="D28321">
        <v>0.87951997428100004</v>
      </c>
      <c r="E28321">
        <v>6.8005997001499203</v>
      </c>
    </row>
    <row r="28322" spans="1:5">
      <c r="A28322" t="s">
        <v>32960</v>
      </c>
      <c r="B28322" t="s">
        <v>32963</v>
      </c>
      <c r="C28322">
        <f>0</f>
        <v>0</v>
      </c>
      <c r="D28322">
        <v>0.87951997428100004</v>
      </c>
      <c r="E28322">
        <v>6.8005997001499203</v>
      </c>
    </row>
    <row r="28323" spans="1:5">
      <c r="A28323" t="s">
        <v>32960</v>
      </c>
      <c r="B28323" t="s">
        <v>32964</v>
      </c>
      <c r="C28323">
        <f>0</f>
        <v>0</v>
      </c>
      <c r="D28323">
        <v>0.87951997428100004</v>
      </c>
      <c r="E28323">
        <v>6.8005997001499203</v>
      </c>
    </row>
    <row r="28324" spans="1:5">
      <c r="A28324" t="s">
        <v>32960</v>
      </c>
      <c r="B28324" t="s">
        <v>32965</v>
      </c>
      <c r="C28324">
        <v>0</v>
      </c>
      <c r="D28324">
        <v>0.87951997428100004</v>
      </c>
      <c r="E28324">
        <v>6.8005997001499203</v>
      </c>
    </row>
    <row r="28325" spans="1:5">
      <c r="A28325" t="s">
        <v>32960</v>
      </c>
      <c r="B28325" t="s">
        <v>32966</v>
      </c>
      <c r="C28325">
        <f>0</f>
        <v>0</v>
      </c>
      <c r="D28325">
        <v>0.87951997428100004</v>
      </c>
      <c r="E28325">
        <v>6.8005997001499203</v>
      </c>
    </row>
    <row r="28326" spans="1:5">
      <c r="A28326" t="s">
        <v>32960</v>
      </c>
      <c r="B28326" t="s">
        <v>32967</v>
      </c>
      <c r="C28326">
        <v>0</v>
      </c>
      <c r="D28326">
        <v>0.87951997428100004</v>
      </c>
      <c r="E28326">
        <v>6.8005997001499203</v>
      </c>
    </row>
    <row r="28327" spans="1:5">
      <c r="A28327" t="s">
        <v>32960</v>
      </c>
      <c r="B28327" t="s">
        <v>32968</v>
      </c>
      <c r="C28327">
        <f>0</f>
        <v>0</v>
      </c>
      <c r="D28327">
        <v>0.87951997428100004</v>
      </c>
      <c r="E28327">
        <v>6.8005997001499203</v>
      </c>
    </row>
    <row r="28328" spans="1:5">
      <c r="A28328" t="s">
        <v>32960</v>
      </c>
      <c r="B28328" t="s">
        <v>32969</v>
      </c>
      <c r="C28328">
        <f>0</f>
        <v>0</v>
      </c>
      <c r="D28328">
        <v>0.87951997428100004</v>
      </c>
      <c r="E28328">
        <v>6.8005997001499203</v>
      </c>
    </row>
    <row r="28329" spans="1:5">
      <c r="A28329" t="s">
        <v>32960</v>
      </c>
      <c r="B28329" t="s">
        <v>32970</v>
      </c>
      <c r="C28329">
        <f>0</f>
        <v>0</v>
      </c>
      <c r="D28329">
        <v>0.87951997428100004</v>
      </c>
      <c r="E28329">
        <v>6.8005997001499203</v>
      </c>
    </row>
    <row r="28330" spans="1:5">
      <c r="A28330" t="s">
        <v>32960</v>
      </c>
      <c r="B28330" t="s">
        <v>32971</v>
      </c>
      <c r="C28330">
        <f>0</f>
        <v>0</v>
      </c>
      <c r="D28330">
        <v>0.87951997428100004</v>
      </c>
      <c r="E28330">
        <v>6.8005997001499203</v>
      </c>
    </row>
    <row r="28331" spans="1:5">
      <c r="A28331" t="s">
        <v>32960</v>
      </c>
      <c r="B28331" t="s">
        <v>32972</v>
      </c>
      <c r="C28331">
        <f>0</f>
        <v>0</v>
      </c>
      <c r="D28331">
        <v>0.87951997428100004</v>
      </c>
      <c r="E28331">
        <v>6.8005997001499203</v>
      </c>
    </row>
    <row r="28332" spans="1:5">
      <c r="A28332" t="s">
        <v>32960</v>
      </c>
      <c r="B28332" t="s">
        <v>32973</v>
      </c>
      <c r="C28332">
        <f>0</f>
        <v>0</v>
      </c>
      <c r="D28332">
        <v>0.87951997428100004</v>
      </c>
      <c r="E28332">
        <v>6.8005997001499203</v>
      </c>
    </row>
    <row r="28333" spans="1:5">
      <c r="A28333" t="s">
        <v>32960</v>
      </c>
      <c r="B28333" t="s">
        <v>32974</v>
      </c>
      <c r="C28333">
        <f>0</f>
        <v>0</v>
      </c>
      <c r="D28333">
        <v>0.87951997428100004</v>
      </c>
      <c r="E28333">
        <v>6.8005997001499203</v>
      </c>
    </row>
    <row r="28334" spans="1:5">
      <c r="A28334" t="s">
        <v>32960</v>
      </c>
      <c r="B28334" t="s">
        <v>32975</v>
      </c>
      <c r="C28334">
        <f>0</f>
        <v>0</v>
      </c>
      <c r="D28334">
        <v>0.87951997428100004</v>
      </c>
      <c r="E28334">
        <v>6.8005997001499203</v>
      </c>
    </row>
    <row r="28335" spans="1:5">
      <c r="A28335" t="s">
        <v>32960</v>
      </c>
      <c r="B28335" t="s">
        <v>32976</v>
      </c>
      <c r="C28335">
        <f>0</f>
        <v>0</v>
      </c>
      <c r="D28335">
        <v>0.87951997428100004</v>
      </c>
      <c r="E28335">
        <v>6.8005997001499203</v>
      </c>
    </row>
    <row r="28336" spans="1:5">
      <c r="A28336" t="s">
        <v>32960</v>
      </c>
      <c r="B28336" t="s">
        <v>32977</v>
      </c>
      <c r="C28336">
        <f>0</f>
        <v>0</v>
      </c>
      <c r="D28336">
        <v>0.87951997428100004</v>
      </c>
      <c r="E28336">
        <v>6.8005997001499203</v>
      </c>
    </row>
    <row r="28337" spans="1:5">
      <c r="A28337" t="s">
        <v>32960</v>
      </c>
      <c r="B28337" t="s">
        <v>32978</v>
      </c>
      <c r="C28337">
        <f>0</f>
        <v>0</v>
      </c>
      <c r="D28337">
        <v>0.87951997428100004</v>
      </c>
      <c r="E28337">
        <v>6.8005997001499203</v>
      </c>
    </row>
    <row r="28338" spans="1:5">
      <c r="A28338" t="s">
        <v>32960</v>
      </c>
      <c r="B28338" t="s">
        <v>32979</v>
      </c>
      <c r="C28338">
        <v>0</v>
      </c>
      <c r="D28338">
        <v>0.87951997428100004</v>
      </c>
      <c r="E28338">
        <v>6.8005997001499203</v>
      </c>
    </row>
    <row r="28339" spans="1:5">
      <c r="A28339" t="s">
        <v>32960</v>
      </c>
      <c r="B28339" t="s">
        <v>32980</v>
      </c>
      <c r="C28339">
        <v>0</v>
      </c>
      <c r="D28339">
        <v>0.87951997428100004</v>
      </c>
      <c r="E28339">
        <v>6.8005997001499203</v>
      </c>
    </row>
    <row r="28340" spans="1:5">
      <c r="A28340" t="s">
        <v>32960</v>
      </c>
      <c r="B28340" t="s">
        <v>32981</v>
      </c>
      <c r="C28340">
        <f>0</f>
        <v>0</v>
      </c>
      <c r="D28340">
        <v>0.87951997428100004</v>
      </c>
      <c r="E28340">
        <v>6.8005997001499203</v>
      </c>
    </row>
    <row r="28341" spans="1:5">
      <c r="A28341" t="s">
        <v>32960</v>
      </c>
      <c r="B28341" t="s">
        <v>32982</v>
      </c>
      <c r="C28341">
        <f>0</f>
        <v>0</v>
      </c>
      <c r="D28341">
        <v>0.87951997428100004</v>
      </c>
      <c r="E28341">
        <v>6.8005997001499203</v>
      </c>
    </row>
    <row r="28342" spans="1:5">
      <c r="A28342" t="s">
        <v>32960</v>
      </c>
      <c r="B28342" t="s">
        <v>32983</v>
      </c>
      <c r="C28342">
        <f>0.092337910968</f>
        <v>9.2337910967999995E-2</v>
      </c>
      <c r="D28342">
        <v>0.87951997428100004</v>
      </c>
      <c r="E28342">
        <v>6.8005997001499203</v>
      </c>
    </row>
    <row r="28343" spans="1:5">
      <c r="A28343" t="s">
        <v>32960</v>
      </c>
      <c r="B28343" t="s">
        <v>32984</v>
      </c>
      <c r="C28343">
        <f>0.324563298359</f>
        <v>0.324563298359</v>
      </c>
      <c r="D28343">
        <v>0.87951997428100004</v>
      </c>
      <c r="E28343">
        <v>6.8005997001499203</v>
      </c>
    </row>
    <row r="28344" spans="1:5">
      <c r="A28344" t="s">
        <v>32960</v>
      </c>
      <c r="B28344" t="s">
        <v>32985</v>
      </c>
      <c r="C28344">
        <f>0</f>
        <v>0</v>
      </c>
      <c r="D28344">
        <v>0.87951997428100004</v>
      </c>
      <c r="E28344">
        <v>6.8005997001499203</v>
      </c>
    </row>
    <row r="28345" spans="1:5">
      <c r="A28345" t="s">
        <v>32960</v>
      </c>
      <c r="B28345" t="s">
        <v>32986</v>
      </c>
      <c r="C28345">
        <f>0</f>
        <v>0</v>
      </c>
      <c r="D28345">
        <v>0.87951997428100004</v>
      </c>
      <c r="E28345">
        <v>6.8005997001499203</v>
      </c>
    </row>
    <row r="28346" spans="1:5">
      <c r="A28346" t="s">
        <v>32987</v>
      </c>
      <c r="B28346" t="s">
        <v>32988</v>
      </c>
      <c r="C28346">
        <v>0.50307242828499998</v>
      </c>
      <c r="D28346">
        <v>0.99197363795500004</v>
      </c>
      <c r="E28346">
        <v>9.1634182908545707</v>
      </c>
    </row>
    <row r="28347" spans="1:5">
      <c r="A28347" t="s">
        <v>32987</v>
      </c>
      <c r="B28347" t="s">
        <v>32989</v>
      </c>
      <c r="C28347">
        <f>0</f>
        <v>0</v>
      </c>
      <c r="D28347">
        <v>0.99197363795500004</v>
      </c>
      <c r="E28347">
        <v>9.1634182908545707</v>
      </c>
    </row>
    <row r="28348" spans="1:5">
      <c r="A28348" t="s">
        <v>32987</v>
      </c>
      <c r="B28348" t="s">
        <v>32990</v>
      </c>
      <c r="C28348">
        <f>0.122993713691</f>
        <v>0.122993713691</v>
      </c>
      <c r="D28348">
        <v>0.99197363795500004</v>
      </c>
      <c r="E28348">
        <v>9.1634182908545707</v>
      </c>
    </row>
    <row r="28349" spans="1:5">
      <c r="A28349" t="s">
        <v>32987</v>
      </c>
      <c r="B28349" t="s">
        <v>32991</v>
      </c>
      <c r="C28349">
        <f>0</f>
        <v>0</v>
      </c>
      <c r="D28349">
        <v>0.99197363795500004</v>
      </c>
      <c r="E28349">
        <v>9.1634182908545707</v>
      </c>
    </row>
    <row r="28350" spans="1:5">
      <c r="A28350" t="s">
        <v>32987</v>
      </c>
      <c r="B28350" t="s">
        <v>32992</v>
      </c>
      <c r="C28350">
        <v>0</v>
      </c>
      <c r="D28350">
        <v>0.99197363795500004</v>
      </c>
      <c r="E28350">
        <v>9.1634182908545707</v>
      </c>
    </row>
    <row r="28351" spans="1:5">
      <c r="A28351" t="s">
        <v>32987</v>
      </c>
      <c r="B28351" t="s">
        <v>32993</v>
      </c>
      <c r="C28351">
        <v>0</v>
      </c>
      <c r="D28351">
        <v>0.99197363795500004</v>
      </c>
      <c r="E28351">
        <v>9.1634182908545707</v>
      </c>
    </row>
    <row r="28352" spans="1:5">
      <c r="A28352" t="s">
        <v>32987</v>
      </c>
      <c r="B28352" t="s">
        <v>32994</v>
      </c>
      <c r="C28352">
        <v>0</v>
      </c>
      <c r="D28352">
        <v>0.99197363795500004</v>
      </c>
      <c r="E28352">
        <v>9.1634182908545707</v>
      </c>
    </row>
    <row r="28353" spans="1:5">
      <c r="A28353" t="s">
        <v>32995</v>
      </c>
      <c r="B28353" t="s">
        <v>32996</v>
      </c>
      <c r="C28353">
        <f>0</f>
        <v>0</v>
      </c>
      <c r="D28353">
        <v>0.86100095330399995</v>
      </c>
      <c r="E28353">
        <v>3.68215892053973</v>
      </c>
    </row>
    <row r="28354" spans="1:5">
      <c r="A28354" t="s">
        <v>32995</v>
      </c>
      <c r="B28354" t="s">
        <v>32997</v>
      </c>
      <c r="C28354">
        <f>0</f>
        <v>0</v>
      </c>
      <c r="D28354">
        <v>0.86100095330399995</v>
      </c>
      <c r="E28354">
        <v>3.68215892053973</v>
      </c>
    </row>
    <row r="28355" spans="1:5">
      <c r="A28355" t="s">
        <v>32995</v>
      </c>
      <c r="B28355" t="s">
        <v>32998</v>
      </c>
      <c r="C28355">
        <v>0</v>
      </c>
      <c r="D28355">
        <v>0.86100095330399995</v>
      </c>
      <c r="E28355">
        <v>3.68215892053973</v>
      </c>
    </row>
    <row r="28356" spans="1:5">
      <c r="A28356" t="s">
        <v>32995</v>
      </c>
      <c r="B28356" t="s">
        <v>32999</v>
      </c>
      <c r="C28356">
        <v>0</v>
      </c>
      <c r="D28356">
        <v>0.86100095330399995</v>
      </c>
      <c r="E28356">
        <v>3.68215892053973</v>
      </c>
    </row>
    <row r="28357" spans="1:5">
      <c r="A28357" t="s">
        <v>32995</v>
      </c>
      <c r="B28357" t="s">
        <v>33000</v>
      </c>
      <c r="C28357">
        <f>0</f>
        <v>0</v>
      </c>
      <c r="D28357">
        <v>0.86100095330399995</v>
      </c>
      <c r="E28357">
        <v>3.68215892053973</v>
      </c>
    </row>
    <row r="28358" spans="1:5">
      <c r="A28358" t="s">
        <v>32995</v>
      </c>
      <c r="B28358" t="s">
        <v>33001</v>
      </c>
      <c r="C28358">
        <v>0</v>
      </c>
      <c r="D28358">
        <v>0.86100095330399995</v>
      </c>
      <c r="E28358">
        <v>3.68215892053973</v>
      </c>
    </row>
    <row r="28359" spans="1:5">
      <c r="A28359" t="s">
        <v>32995</v>
      </c>
      <c r="B28359" t="s">
        <v>33002</v>
      </c>
      <c r="C28359">
        <v>0</v>
      </c>
      <c r="D28359">
        <v>0.86100095330399995</v>
      </c>
      <c r="E28359">
        <v>3.68215892053973</v>
      </c>
    </row>
    <row r="28360" spans="1:5">
      <c r="A28360" t="s">
        <v>32995</v>
      </c>
      <c r="B28360" t="s">
        <v>33003</v>
      </c>
      <c r="C28360">
        <v>0</v>
      </c>
      <c r="D28360">
        <v>0.86100095330399995</v>
      </c>
      <c r="E28360">
        <v>3.68215892053973</v>
      </c>
    </row>
    <row r="28361" spans="1:5">
      <c r="A28361" t="s">
        <v>32995</v>
      </c>
      <c r="B28361" t="s">
        <v>33004</v>
      </c>
      <c r="C28361">
        <v>0</v>
      </c>
      <c r="D28361">
        <v>0.86100095330399995</v>
      </c>
      <c r="E28361">
        <v>3.68215892053973</v>
      </c>
    </row>
    <row r="28362" spans="1:5">
      <c r="A28362" t="s">
        <v>32995</v>
      </c>
      <c r="B28362" t="s">
        <v>33005</v>
      </c>
      <c r="C28362">
        <v>0</v>
      </c>
      <c r="D28362">
        <v>0.86100095330399995</v>
      </c>
      <c r="E28362">
        <v>3.68215892053973</v>
      </c>
    </row>
    <row r="28363" spans="1:5">
      <c r="A28363" t="s">
        <v>32995</v>
      </c>
      <c r="B28363" t="s">
        <v>33006</v>
      </c>
      <c r="C28363">
        <v>0</v>
      </c>
      <c r="D28363">
        <v>0.86100095330399995</v>
      </c>
      <c r="E28363">
        <v>3.68215892053973</v>
      </c>
    </row>
    <row r="28364" spans="1:5">
      <c r="A28364" t="s">
        <v>32995</v>
      </c>
      <c r="B28364" t="s">
        <v>33007</v>
      </c>
      <c r="C28364">
        <v>0</v>
      </c>
      <c r="D28364">
        <v>0.86100095330399995</v>
      </c>
      <c r="E28364">
        <v>3.68215892053973</v>
      </c>
    </row>
    <row r="28365" spans="1:5">
      <c r="A28365" t="s">
        <v>32995</v>
      </c>
      <c r="B28365" t="s">
        <v>33008</v>
      </c>
      <c r="C28365">
        <f>0</f>
        <v>0</v>
      </c>
      <c r="D28365">
        <v>0.86100095330399995</v>
      </c>
      <c r="E28365">
        <v>3.68215892053973</v>
      </c>
    </row>
    <row r="28366" spans="1:5">
      <c r="A28366" t="s">
        <v>32995</v>
      </c>
      <c r="B28366" t="s">
        <v>33009</v>
      </c>
      <c r="C28366">
        <f>0</f>
        <v>0</v>
      </c>
      <c r="D28366">
        <v>0.86100095330399995</v>
      </c>
      <c r="E28366">
        <v>3.68215892053973</v>
      </c>
    </row>
    <row r="28367" spans="1:5">
      <c r="A28367" t="s">
        <v>32995</v>
      </c>
      <c r="B28367" t="s">
        <v>33010</v>
      </c>
      <c r="C28367">
        <v>1.4957906787500001E-3</v>
      </c>
      <c r="D28367">
        <v>0.86100095330399995</v>
      </c>
      <c r="E28367">
        <v>3.68215892053973</v>
      </c>
    </row>
    <row r="28368" spans="1:5">
      <c r="A28368" t="s">
        <v>32995</v>
      </c>
      <c r="B28368" t="s">
        <v>33011</v>
      </c>
      <c r="C28368">
        <v>0</v>
      </c>
      <c r="D28368">
        <v>0.86100095330399995</v>
      </c>
      <c r="E28368">
        <v>3.68215892053973</v>
      </c>
    </row>
    <row r="28369" spans="1:5">
      <c r="A28369" t="s">
        <v>32995</v>
      </c>
      <c r="B28369" t="s">
        <v>33012</v>
      </c>
      <c r="C28369">
        <v>0</v>
      </c>
      <c r="D28369">
        <v>0.86100095330399995</v>
      </c>
      <c r="E28369">
        <v>3.68215892053973</v>
      </c>
    </row>
    <row r="28370" spans="1:5">
      <c r="A28370" t="s">
        <v>32995</v>
      </c>
      <c r="B28370" t="s">
        <v>33013</v>
      </c>
      <c r="C28370">
        <v>0</v>
      </c>
      <c r="D28370">
        <v>0.86100095330399995</v>
      </c>
      <c r="E28370">
        <v>3.68215892053973</v>
      </c>
    </row>
    <row r="28371" spans="1:5">
      <c r="A28371" t="s">
        <v>32995</v>
      </c>
      <c r="B28371" t="s">
        <v>33014</v>
      </c>
      <c r="C28371">
        <f>0.00736666504762</f>
        <v>7.3666650476199996E-3</v>
      </c>
      <c r="D28371">
        <v>0.86100095330399995</v>
      </c>
      <c r="E28371">
        <v>3.68215892053973</v>
      </c>
    </row>
    <row r="28372" spans="1:5">
      <c r="A28372" t="s">
        <v>33015</v>
      </c>
      <c r="B28372" t="s">
        <v>33016</v>
      </c>
      <c r="C28372">
        <v>9.2845486113800002E-2</v>
      </c>
      <c r="D28372" t="s">
        <v>106</v>
      </c>
      <c r="E28372">
        <v>24</v>
      </c>
    </row>
    <row r="28373" spans="1:5">
      <c r="A28373" t="s">
        <v>33017</v>
      </c>
      <c r="B28373" t="s">
        <v>33018</v>
      </c>
      <c r="C28373">
        <v>0</v>
      </c>
      <c r="D28373">
        <v>0.64690028402099997</v>
      </c>
      <c r="E28373">
        <v>0.95952023988005997</v>
      </c>
    </row>
    <row r="28374" spans="1:5">
      <c r="A28374" t="s">
        <v>33017</v>
      </c>
      <c r="B28374" t="s">
        <v>33019</v>
      </c>
      <c r="C28374">
        <f>0.0535675457495</f>
        <v>5.3567545749499998E-2</v>
      </c>
      <c r="D28374">
        <v>0.64690028402099997</v>
      </c>
      <c r="E28374">
        <v>0.95952023988005997</v>
      </c>
    </row>
    <row r="28375" spans="1:5">
      <c r="A28375" t="s">
        <v>33017</v>
      </c>
      <c r="B28375" t="s">
        <v>33020</v>
      </c>
      <c r="C28375">
        <f>0</f>
        <v>0</v>
      </c>
      <c r="D28375">
        <v>0.64690028402099997</v>
      </c>
      <c r="E28375">
        <v>0.95952023988005997</v>
      </c>
    </row>
    <row r="28376" spans="1:5">
      <c r="A28376" t="s">
        <v>33021</v>
      </c>
      <c r="B28376" t="s">
        <v>33022</v>
      </c>
      <c r="C28376">
        <v>0</v>
      </c>
      <c r="D28376">
        <v>0.92499559122099995</v>
      </c>
      <c r="E28376">
        <v>5.8170914542728598</v>
      </c>
    </row>
    <row r="28377" spans="1:5">
      <c r="A28377" t="s">
        <v>33021</v>
      </c>
      <c r="B28377" t="s">
        <v>33023</v>
      </c>
      <c r="C28377">
        <v>0.54172384061800005</v>
      </c>
      <c r="D28377">
        <v>0.92499559122099995</v>
      </c>
      <c r="E28377">
        <v>5.8170914542728598</v>
      </c>
    </row>
    <row r="28378" spans="1:5">
      <c r="A28378" t="s">
        <v>33024</v>
      </c>
      <c r="B28378" t="s">
        <v>33025</v>
      </c>
      <c r="C28378">
        <f>0</f>
        <v>0</v>
      </c>
      <c r="D28378" t="s">
        <v>106</v>
      </c>
      <c r="E28378">
        <v>24</v>
      </c>
    </row>
    <row r="28379" spans="1:5">
      <c r="A28379" t="s">
        <v>33024</v>
      </c>
      <c r="B28379" t="s">
        <v>33026</v>
      </c>
      <c r="C28379">
        <v>0</v>
      </c>
      <c r="D28379" t="s">
        <v>106</v>
      </c>
      <c r="E28379">
        <v>24</v>
      </c>
    </row>
    <row r="28380" spans="1:5">
      <c r="A28380" t="s">
        <v>33024</v>
      </c>
      <c r="B28380" t="s">
        <v>33027</v>
      </c>
      <c r="C28380">
        <f>0</f>
        <v>0</v>
      </c>
      <c r="D28380" t="s">
        <v>106</v>
      </c>
      <c r="E28380">
        <v>24</v>
      </c>
    </row>
    <row r="28381" spans="1:5">
      <c r="A28381" t="s">
        <v>33028</v>
      </c>
      <c r="B28381" t="s">
        <v>33029</v>
      </c>
      <c r="C28381">
        <f>0.0321081634176</f>
        <v>3.2108163417599998E-2</v>
      </c>
      <c r="D28381" t="s">
        <v>106</v>
      </c>
      <c r="E28381">
        <v>24</v>
      </c>
    </row>
    <row r="28382" spans="1:5">
      <c r="A28382" t="s">
        <v>33028</v>
      </c>
      <c r="B28382" t="s">
        <v>33030</v>
      </c>
      <c r="C28382">
        <f>0.0801838911052</f>
        <v>8.0183891105199995E-2</v>
      </c>
      <c r="D28382" t="s">
        <v>106</v>
      </c>
      <c r="E28382">
        <v>24</v>
      </c>
    </row>
    <row r="28383" spans="1:5">
      <c r="A28383" t="s">
        <v>33031</v>
      </c>
      <c r="B28383" t="s">
        <v>33032</v>
      </c>
      <c r="C28383">
        <f>0</f>
        <v>0</v>
      </c>
      <c r="D28383" t="s">
        <v>106</v>
      </c>
      <c r="E28383">
        <v>6.0569715142428704</v>
      </c>
    </row>
    <row r="28384" spans="1:5">
      <c r="A28384" t="s">
        <v>33031</v>
      </c>
      <c r="B28384" t="s">
        <v>33033</v>
      </c>
      <c r="C28384">
        <v>0</v>
      </c>
      <c r="D28384" t="s">
        <v>106</v>
      </c>
      <c r="E28384">
        <v>6.0569715142428704</v>
      </c>
    </row>
    <row r="28385" spans="1:5">
      <c r="A28385" t="s">
        <v>33034</v>
      </c>
      <c r="B28385" t="s">
        <v>33035</v>
      </c>
      <c r="C28385">
        <v>8.7897654925399998E-3</v>
      </c>
      <c r="D28385">
        <v>0.92860567191599996</v>
      </c>
      <c r="E28385">
        <v>0.91154422788605605</v>
      </c>
    </row>
    <row r="28386" spans="1:5">
      <c r="A28386" t="s">
        <v>33034</v>
      </c>
      <c r="B28386" t="s">
        <v>33036</v>
      </c>
      <c r="C28386">
        <v>0</v>
      </c>
      <c r="D28386">
        <v>0.92860567191599996</v>
      </c>
      <c r="E28386">
        <v>0.91154422788605605</v>
      </c>
    </row>
    <row r="28387" spans="1:5">
      <c r="A28387" t="s">
        <v>33034</v>
      </c>
      <c r="B28387" t="s">
        <v>33037</v>
      </c>
      <c r="C28387">
        <v>0</v>
      </c>
      <c r="D28387">
        <v>0.92860567191599996</v>
      </c>
      <c r="E28387">
        <v>0.91154422788605605</v>
      </c>
    </row>
    <row r="28388" spans="1:5">
      <c r="A28388" t="s">
        <v>33034</v>
      </c>
      <c r="B28388" t="s">
        <v>33038</v>
      </c>
      <c r="C28388">
        <v>0</v>
      </c>
      <c r="D28388">
        <v>0.92860567191599996</v>
      </c>
      <c r="E28388">
        <v>0.91154422788605605</v>
      </c>
    </row>
    <row r="28389" spans="1:5">
      <c r="A28389" t="s">
        <v>33034</v>
      </c>
      <c r="B28389" t="s">
        <v>33039</v>
      </c>
      <c r="C28389">
        <v>0</v>
      </c>
      <c r="D28389">
        <v>0.92860567191599996</v>
      </c>
      <c r="E28389">
        <v>0.91154422788605605</v>
      </c>
    </row>
    <row r="28390" spans="1:5">
      <c r="A28390" t="s">
        <v>33034</v>
      </c>
      <c r="B28390" t="s">
        <v>33040</v>
      </c>
      <c r="C28390">
        <v>0.14408901928699999</v>
      </c>
      <c r="D28390">
        <v>0.92860567191599996</v>
      </c>
      <c r="E28390">
        <v>0.91154422788605605</v>
      </c>
    </row>
    <row r="28391" spans="1:5">
      <c r="A28391" t="s">
        <v>33034</v>
      </c>
      <c r="B28391" t="s">
        <v>33041</v>
      </c>
      <c r="C28391">
        <v>0</v>
      </c>
      <c r="D28391">
        <v>0.92860567191599996</v>
      </c>
      <c r="E28391">
        <v>0.91154422788605605</v>
      </c>
    </row>
    <row r="28392" spans="1:5">
      <c r="A28392" t="s">
        <v>33042</v>
      </c>
      <c r="B28392" t="s">
        <v>33043</v>
      </c>
      <c r="C28392">
        <f>0</f>
        <v>0</v>
      </c>
      <c r="D28392" t="s">
        <v>106</v>
      </c>
      <c r="E28392">
        <v>12.2098950524737</v>
      </c>
    </row>
    <row r="28393" spans="1:5">
      <c r="A28393" t="s">
        <v>33042</v>
      </c>
      <c r="B28393" t="s">
        <v>33044</v>
      </c>
      <c r="C28393">
        <f>0</f>
        <v>0</v>
      </c>
      <c r="D28393" t="s">
        <v>106</v>
      </c>
      <c r="E28393">
        <v>12.2098950524737</v>
      </c>
    </row>
    <row r="28394" spans="1:5">
      <c r="A28394" t="s">
        <v>33042</v>
      </c>
      <c r="B28394" t="s">
        <v>33045</v>
      </c>
      <c r="C28394">
        <f>0</f>
        <v>0</v>
      </c>
      <c r="D28394" t="s">
        <v>106</v>
      </c>
      <c r="E28394">
        <v>12.2098950524737</v>
      </c>
    </row>
    <row r="28395" spans="1:5">
      <c r="A28395" t="s">
        <v>33042</v>
      </c>
      <c r="B28395" t="s">
        <v>33046</v>
      </c>
      <c r="C28395">
        <v>0</v>
      </c>
      <c r="D28395" t="s">
        <v>106</v>
      </c>
      <c r="E28395">
        <v>12.2098950524737</v>
      </c>
    </row>
    <row r="28396" spans="1:5">
      <c r="A28396" t="s">
        <v>33042</v>
      </c>
      <c r="B28396" t="s">
        <v>33047</v>
      </c>
      <c r="C28396">
        <v>0</v>
      </c>
      <c r="D28396" t="s">
        <v>106</v>
      </c>
      <c r="E28396">
        <v>12.2098950524737</v>
      </c>
    </row>
    <row r="28397" spans="1:5">
      <c r="A28397" t="s">
        <v>33042</v>
      </c>
      <c r="B28397" t="s">
        <v>33048</v>
      </c>
      <c r="C28397">
        <v>0</v>
      </c>
      <c r="D28397" t="s">
        <v>106</v>
      </c>
      <c r="E28397">
        <v>12.2098950524737</v>
      </c>
    </row>
    <row r="28398" spans="1:5">
      <c r="A28398" t="s">
        <v>33042</v>
      </c>
      <c r="B28398" t="s">
        <v>33049</v>
      </c>
      <c r="C28398">
        <v>0</v>
      </c>
      <c r="D28398" t="s">
        <v>106</v>
      </c>
      <c r="E28398">
        <v>12.2098950524737</v>
      </c>
    </row>
    <row r="28399" spans="1:5">
      <c r="A28399" t="s">
        <v>33042</v>
      </c>
      <c r="B28399" t="s">
        <v>33050</v>
      </c>
      <c r="C28399">
        <f>0</f>
        <v>0</v>
      </c>
      <c r="D28399" t="s">
        <v>106</v>
      </c>
      <c r="E28399">
        <v>12.2098950524737</v>
      </c>
    </row>
    <row r="28400" spans="1:5">
      <c r="A28400" t="s">
        <v>33042</v>
      </c>
      <c r="B28400" t="s">
        <v>33051</v>
      </c>
      <c r="C28400">
        <v>0</v>
      </c>
      <c r="D28400" t="s">
        <v>106</v>
      </c>
      <c r="E28400">
        <v>12.2098950524737</v>
      </c>
    </row>
    <row r="28401" spans="1:5">
      <c r="A28401" t="s">
        <v>33042</v>
      </c>
      <c r="B28401" t="s">
        <v>33052</v>
      </c>
      <c r="C28401">
        <v>0</v>
      </c>
      <c r="D28401" t="s">
        <v>106</v>
      </c>
      <c r="E28401">
        <v>12.2098950524737</v>
      </c>
    </row>
    <row r="28402" spans="1:5">
      <c r="A28402" t="s">
        <v>33042</v>
      </c>
      <c r="B28402" t="s">
        <v>33053</v>
      </c>
      <c r="C28402">
        <v>0</v>
      </c>
      <c r="D28402" t="s">
        <v>106</v>
      </c>
      <c r="E28402">
        <v>12.2098950524737</v>
      </c>
    </row>
    <row r="28403" spans="1:5">
      <c r="A28403" t="s">
        <v>33042</v>
      </c>
      <c r="B28403" t="s">
        <v>33054</v>
      </c>
      <c r="C28403">
        <v>0</v>
      </c>
      <c r="D28403" t="s">
        <v>106</v>
      </c>
      <c r="E28403">
        <v>12.2098950524737</v>
      </c>
    </row>
    <row r="28404" spans="1:5">
      <c r="A28404" t="s">
        <v>33055</v>
      </c>
      <c r="B28404" t="s">
        <v>33056</v>
      </c>
      <c r="C28404">
        <f>0</f>
        <v>0</v>
      </c>
      <c r="D28404">
        <v>0.99899314209800005</v>
      </c>
      <c r="E28404">
        <v>5.69715142428785</v>
      </c>
    </row>
    <row r="28405" spans="1:5">
      <c r="A28405" t="s">
        <v>33055</v>
      </c>
      <c r="B28405" t="s">
        <v>33057</v>
      </c>
      <c r="C28405">
        <v>0</v>
      </c>
      <c r="D28405">
        <v>0.99899314209800005</v>
      </c>
      <c r="E28405">
        <v>5.69715142428785</v>
      </c>
    </row>
    <row r="28406" spans="1:5">
      <c r="A28406" t="s">
        <v>33055</v>
      </c>
      <c r="B28406" t="s">
        <v>33058</v>
      </c>
      <c r="C28406">
        <v>1.42735627181E-2</v>
      </c>
      <c r="D28406">
        <v>0.99899314209800005</v>
      </c>
      <c r="E28406">
        <v>5.69715142428785</v>
      </c>
    </row>
    <row r="28407" spans="1:5">
      <c r="A28407" t="s">
        <v>33055</v>
      </c>
      <c r="B28407" t="s">
        <v>33059</v>
      </c>
      <c r="C28407">
        <v>0.52504043863100003</v>
      </c>
      <c r="D28407">
        <v>0.99899314209800005</v>
      </c>
      <c r="E28407">
        <v>5.69715142428785</v>
      </c>
    </row>
    <row r="28408" spans="1:5">
      <c r="A28408" t="s">
        <v>33055</v>
      </c>
      <c r="B28408" t="s">
        <v>33060</v>
      </c>
      <c r="C28408">
        <v>0</v>
      </c>
      <c r="D28408">
        <v>0.99899314209800005</v>
      </c>
      <c r="E28408">
        <v>5.69715142428785</v>
      </c>
    </row>
    <row r="28409" spans="1:5">
      <c r="A28409" t="s">
        <v>33055</v>
      </c>
      <c r="B28409" t="s">
        <v>33061</v>
      </c>
      <c r="C28409">
        <v>0</v>
      </c>
      <c r="D28409">
        <v>0.99899314209800005</v>
      </c>
      <c r="E28409">
        <v>5.69715142428785</v>
      </c>
    </row>
    <row r="28410" spans="1:5">
      <c r="A28410" t="s">
        <v>33062</v>
      </c>
      <c r="B28410" t="s">
        <v>33063</v>
      </c>
      <c r="C28410">
        <v>0</v>
      </c>
      <c r="D28410">
        <v>0.76577708258300003</v>
      </c>
      <c r="E28410">
        <v>24</v>
      </c>
    </row>
    <row r="28411" spans="1:5">
      <c r="A28411" t="s">
        <v>33062</v>
      </c>
      <c r="B28411" t="s">
        <v>33064</v>
      </c>
      <c r="C28411">
        <f>0</f>
        <v>0</v>
      </c>
      <c r="D28411">
        <v>0.76577708258300003</v>
      </c>
      <c r="E28411">
        <v>24</v>
      </c>
    </row>
    <row r="28412" spans="1:5">
      <c r="A28412" t="s">
        <v>33062</v>
      </c>
      <c r="B28412" t="s">
        <v>33065</v>
      </c>
      <c r="C28412">
        <f>0.140284587236</f>
        <v>0.14028458723600001</v>
      </c>
      <c r="D28412">
        <v>0.76577708258300003</v>
      </c>
      <c r="E28412">
        <v>24</v>
      </c>
    </row>
    <row r="28413" spans="1:5">
      <c r="A28413" t="s">
        <v>33062</v>
      </c>
      <c r="B28413" t="s">
        <v>33066</v>
      </c>
      <c r="C28413">
        <v>0</v>
      </c>
      <c r="D28413">
        <v>0.76577708258300003</v>
      </c>
      <c r="E28413">
        <v>24</v>
      </c>
    </row>
    <row r="28414" spans="1:5">
      <c r="A28414" t="s">
        <v>33067</v>
      </c>
      <c r="B28414" t="s">
        <v>33068</v>
      </c>
      <c r="C28414">
        <v>0</v>
      </c>
      <c r="D28414">
        <v>0.97290542262599999</v>
      </c>
      <c r="E28414">
        <v>4.7976011994003001</v>
      </c>
    </row>
    <row r="28415" spans="1:5">
      <c r="A28415" t="s">
        <v>33067</v>
      </c>
      <c r="B28415" t="s">
        <v>33069</v>
      </c>
      <c r="C28415">
        <f>0</f>
        <v>0</v>
      </c>
      <c r="D28415">
        <v>0.97290542262599999</v>
      </c>
      <c r="E28415">
        <v>4.7976011994003001</v>
      </c>
    </row>
    <row r="28416" spans="1:5">
      <c r="A28416" t="s">
        <v>33067</v>
      </c>
      <c r="B28416" t="s">
        <v>33070</v>
      </c>
      <c r="C28416">
        <v>0</v>
      </c>
      <c r="D28416">
        <v>0.97290542262599999</v>
      </c>
      <c r="E28416">
        <v>4.7976011994003001</v>
      </c>
    </row>
    <row r="28417" spans="1:5">
      <c r="A28417" t="s">
        <v>33067</v>
      </c>
      <c r="B28417" t="s">
        <v>33071</v>
      </c>
      <c r="C28417">
        <v>0</v>
      </c>
      <c r="D28417">
        <v>0.97290542262599999</v>
      </c>
      <c r="E28417">
        <v>4.7976011994003001</v>
      </c>
    </row>
    <row r="28418" spans="1:5">
      <c r="A28418" t="s">
        <v>33067</v>
      </c>
      <c r="B28418" t="s">
        <v>33072</v>
      </c>
      <c r="C28418">
        <v>5.52832718871E-2</v>
      </c>
      <c r="D28418">
        <v>0.97290542262599999</v>
      </c>
      <c r="E28418">
        <v>4.7976011994003001</v>
      </c>
    </row>
    <row r="28419" spans="1:5">
      <c r="A28419" t="s">
        <v>33067</v>
      </c>
      <c r="B28419" t="s">
        <v>33073</v>
      </c>
      <c r="C28419">
        <v>0</v>
      </c>
      <c r="D28419">
        <v>0.97290542262599999</v>
      </c>
      <c r="E28419">
        <v>4.7976011994003001</v>
      </c>
    </row>
    <row r="28420" spans="1:5">
      <c r="A28420" t="s">
        <v>33067</v>
      </c>
      <c r="B28420" t="s">
        <v>33074</v>
      </c>
      <c r="C28420">
        <v>0.21595730741700001</v>
      </c>
      <c r="D28420">
        <v>0.97290542262599999</v>
      </c>
      <c r="E28420">
        <v>4.7976011994003001</v>
      </c>
    </row>
    <row r="28421" spans="1:5">
      <c r="A28421" t="s">
        <v>33067</v>
      </c>
      <c r="B28421" t="s">
        <v>33075</v>
      </c>
      <c r="C28421">
        <v>0</v>
      </c>
      <c r="D28421">
        <v>0.97290542262599999</v>
      </c>
      <c r="E28421">
        <v>4.7976011994003001</v>
      </c>
    </row>
    <row r="28422" spans="1:5">
      <c r="A28422" t="s">
        <v>33067</v>
      </c>
      <c r="B28422" t="s">
        <v>33076</v>
      </c>
      <c r="C28422">
        <v>0</v>
      </c>
      <c r="D28422">
        <v>0.97290542262599999</v>
      </c>
      <c r="E28422">
        <v>4.7976011994003001</v>
      </c>
    </row>
    <row r="28423" spans="1:5">
      <c r="A28423" t="s">
        <v>33077</v>
      </c>
      <c r="B28423" t="s">
        <v>33078</v>
      </c>
      <c r="C28423">
        <f>0</f>
        <v>0</v>
      </c>
      <c r="D28423">
        <v>0.86093207316599996</v>
      </c>
      <c r="E28423">
        <v>15.700149925037399</v>
      </c>
    </row>
    <row r="28424" spans="1:5">
      <c r="A28424" t="s">
        <v>33077</v>
      </c>
      <c r="B28424" t="s">
        <v>33079</v>
      </c>
      <c r="C28424">
        <f>0</f>
        <v>0</v>
      </c>
      <c r="D28424">
        <v>0.86093207316599996</v>
      </c>
      <c r="E28424">
        <v>15.700149925037399</v>
      </c>
    </row>
    <row r="28425" spans="1:5">
      <c r="A28425" t="s">
        <v>33077</v>
      </c>
      <c r="B28425" t="s">
        <v>33080</v>
      </c>
      <c r="C28425">
        <f>0</f>
        <v>0</v>
      </c>
      <c r="D28425">
        <v>0.86093207316599996</v>
      </c>
      <c r="E28425">
        <v>15.700149925037399</v>
      </c>
    </row>
    <row r="28426" spans="1:5">
      <c r="A28426" t="s">
        <v>33077</v>
      </c>
      <c r="B28426" t="s">
        <v>33081</v>
      </c>
      <c r="C28426">
        <f>0.0765981299919</f>
        <v>7.6598129991899994E-2</v>
      </c>
      <c r="D28426">
        <v>0.86093207316599996</v>
      </c>
      <c r="E28426">
        <v>15.700149925037399</v>
      </c>
    </row>
    <row r="28427" spans="1:5">
      <c r="A28427" t="s">
        <v>33077</v>
      </c>
      <c r="B28427" t="s">
        <v>33082</v>
      </c>
      <c r="C28427">
        <f>0</f>
        <v>0</v>
      </c>
      <c r="D28427">
        <v>0.86093207316599996</v>
      </c>
      <c r="E28427">
        <v>15.700149925037399</v>
      </c>
    </row>
    <row r="28428" spans="1:5">
      <c r="A28428" t="s">
        <v>33077</v>
      </c>
      <c r="B28428" t="s">
        <v>33083</v>
      </c>
      <c r="C28428">
        <f>0.0161757941255</f>
        <v>1.61757941255E-2</v>
      </c>
      <c r="D28428">
        <v>0.86093207316599996</v>
      </c>
      <c r="E28428">
        <v>15.700149925037399</v>
      </c>
    </row>
    <row r="28429" spans="1:5">
      <c r="A28429" t="s">
        <v>33077</v>
      </c>
      <c r="B28429" t="s">
        <v>33084</v>
      </c>
      <c r="C28429">
        <f>0</f>
        <v>0</v>
      </c>
      <c r="D28429">
        <v>0.86093207316599996</v>
      </c>
      <c r="E28429">
        <v>15.700149925037399</v>
      </c>
    </row>
    <row r="28430" spans="1:5">
      <c r="A28430" t="s">
        <v>33077</v>
      </c>
      <c r="B28430" t="s">
        <v>33085</v>
      </c>
      <c r="C28430">
        <f>0</f>
        <v>0</v>
      </c>
      <c r="D28430">
        <v>0.86093207316599996</v>
      </c>
      <c r="E28430">
        <v>15.700149925037399</v>
      </c>
    </row>
    <row r="28431" spans="1:5">
      <c r="A28431" t="s">
        <v>33077</v>
      </c>
      <c r="B28431" t="s">
        <v>33086</v>
      </c>
      <c r="C28431">
        <f>0</f>
        <v>0</v>
      </c>
      <c r="D28431">
        <v>0.86093207316599996</v>
      </c>
      <c r="E28431">
        <v>15.700149925037399</v>
      </c>
    </row>
    <row r="28432" spans="1:5">
      <c r="A28432" t="s">
        <v>33077</v>
      </c>
      <c r="B28432" t="s">
        <v>33087</v>
      </c>
      <c r="C28432">
        <v>0</v>
      </c>
      <c r="D28432">
        <v>0.86093207316599996</v>
      </c>
      <c r="E28432">
        <v>15.700149925037399</v>
      </c>
    </row>
    <row r="28433" spans="1:5">
      <c r="A28433" t="s">
        <v>33077</v>
      </c>
      <c r="B28433" t="s">
        <v>33088</v>
      </c>
      <c r="C28433">
        <f>0</f>
        <v>0</v>
      </c>
      <c r="D28433">
        <v>0.86093207316599996</v>
      </c>
      <c r="E28433">
        <v>15.700149925037399</v>
      </c>
    </row>
    <row r="28434" spans="1:5">
      <c r="A28434" t="s">
        <v>33089</v>
      </c>
      <c r="B28434" t="s">
        <v>33090</v>
      </c>
      <c r="C28434">
        <f>0</f>
        <v>0</v>
      </c>
      <c r="D28434">
        <v>0.75068177224800003</v>
      </c>
      <c r="E28434">
        <v>23.508245877061398</v>
      </c>
    </row>
    <row r="28435" spans="1:5">
      <c r="A28435" t="s">
        <v>33089</v>
      </c>
      <c r="B28435" t="s">
        <v>33091</v>
      </c>
      <c r="C28435">
        <f>0</f>
        <v>0</v>
      </c>
      <c r="D28435">
        <v>0.75068177224800003</v>
      </c>
      <c r="E28435">
        <v>23.508245877061398</v>
      </c>
    </row>
    <row r="28436" spans="1:5">
      <c r="A28436" t="s">
        <v>33089</v>
      </c>
      <c r="B28436" t="s">
        <v>33092</v>
      </c>
      <c r="C28436">
        <f>0</f>
        <v>0</v>
      </c>
      <c r="D28436">
        <v>0.75068177224800003</v>
      </c>
      <c r="E28436">
        <v>23.508245877061398</v>
      </c>
    </row>
    <row r="28437" spans="1:5">
      <c r="A28437" t="s">
        <v>33089</v>
      </c>
      <c r="B28437" t="s">
        <v>33093</v>
      </c>
      <c r="C28437">
        <v>0</v>
      </c>
      <c r="D28437">
        <v>0.75068177224800003</v>
      </c>
      <c r="E28437">
        <v>23.508245877061398</v>
      </c>
    </row>
    <row r="28438" spans="1:5">
      <c r="A28438" t="s">
        <v>33089</v>
      </c>
      <c r="B28438" t="s">
        <v>33094</v>
      </c>
      <c r="C28438">
        <f>0</f>
        <v>0</v>
      </c>
      <c r="D28438">
        <v>0.75068177224800003</v>
      </c>
      <c r="E28438">
        <v>23.508245877061398</v>
      </c>
    </row>
    <row r="28439" spans="1:5">
      <c r="A28439" t="s">
        <v>33089</v>
      </c>
      <c r="B28439" t="s">
        <v>33095</v>
      </c>
      <c r="C28439">
        <v>0</v>
      </c>
      <c r="D28439">
        <v>0.75068177224800003</v>
      </c>
      <c r="E28439">
        <v>23.508245877061398</v>
      </c>
    </row>
    <row r="28440" spans="1:5">
      <c r="A28440" t="s">
        <v>33096</v>
      </c>
      <c r="B28440" t="s">
        <v>33097</v>
      </c>
      <c r="C28440">
        <v>7.4977858820899995E-2</v>
      </c>
      <c r="D28440" t="s">
        <v>106</v>
      </c>
      <c r="E28440">
        <v>5.1214392803598203</v>
      </c>
    </row>
    <row r="28441" spans="1:5">
      <c r="A28441" t="s">
        <v>33096</v>
      </c>
      <c r="B28441" t="s">
        <v>33098</v>
      </c>
      <c r="C28441">
        <v>0</v>
      </c>
      <c r="D28441" t="s">
        <v>106</v>
      </c>
      <c r="E28441">
        <v>5.1214392803598203</v>
      </c>
    </row>
    <row r="28442" spans="1:5">
      <c r="A28442" t="s">
        <v>33096</v>
      </c>
      <c r="B28442" t="s">
        <v>33099</v>
      </c>
      <c r="C28442">
        <v>0.53138166071199999</v>
      </c>
      <c r="D28442" t="s">
        <v>106</v>
      </c>
      <c r="E28442">
        <v>5.1214392803598203</v>
      </c>
    </row>
    <row r="28443" spans="1:5">
      <c r="A28443" t="s">
        <v>33096</v>
      </c>
      <c r="B28443" t="s">
        <v>33100</v>
      </c>
      <c r="C28443">
        <v>0</v>
      </c>
      <c r="D28443" t="s">
        <v>106</v>
      </c>
      <c r="E28443">
        <v>5.1214392803598203</v>
      </c>
    </row>
    <row r="28444" spans="1:5">
      <c r="A28444" t="s">
        <v>33096</v>
      </c>
      <c r="B28444" t="s">
        <v>33101</v>
      </c>
      <c r="C28444">
        <v>0</v>
      </c>
      <c r="D28444" t="s">
        <v>106</v>
      </c>
      <c r="E28444">
        <v>5.1214392803598203</v>
      </c>
    </row>
    <row r="28445" spans="1:5">
      <c r="A28445" t="s">
        <v>33102</v>
      </c>
      <c r="B28445" t="s">
        <v>33103</v>
      </c>
      <c r="C28445">
        <v>0.58363721449399997</v>
      </c>
      <c r="D28445">
        <v>0.99302119313500004</v>
      </c>
      <c r="E28445">
        <v>8.1439280359820092</v>
      </c>
    </row>
    <row r="28446" spans="1:5">
      <c r="A28446" t="s">
        <v>33102</v>
      </c>
      <c r="B28446" t="s">
        <v>33104</v>
      </c>
      <c r="C28446">
        <f>0</f>
        <v>0</v>
      </c>
      <c r="D28446">
        <v>0.99302119313500004</v>
      </c>
      <c r="E28446">
        <v>8.1439280359820092</v>
      </c>
    </row>
    <row r="28447" spans="1:5">
      <c r="A28447" t="s">
        <v>33102</v>
      </c>
      <c r="B28447" t="s">
        <v>33105</v>
      </c>
      <c r="C28447">
        <v>0</v>
      </c>
      <c r="D28447">
        <v>0.99302119313500004</v>
      </c>
      <c r="E28447">
        <v>8.1439280359820092</v>
      </c>
    </row>
    <row r="28448" spans="1:5">
      <c r="A28448" t="s">
        <v>33102</v>
      </c>
      <c r="B28448" t="s">
        <v>33106</v>
      </c>
      <c r="C28448">
        <f>0.0944492300606</f>
        <v>9.4449230060600006E-2</v>
      </c>
      <c r="D28448">
        <v>0.99302119313500004</v>
      </c>
      <c r="E28448">
        <v>8.1439280359820092</v>
      </c>
    </row>
    <row r="28449" spans="1:5">
      <c r="A28449" t="s">
        <v>33107</v>
      </c>
      <c r="B28449" t="s">
        <v>33108</v>
      </c>
      <c r="C28449">
        <v>0</v>
      </c>
      <c r="D28449">
        <v>0.60927985523999995</v>
      </c>
      <c r="E28449">
        <v>24</v>
      </c>
    </row>
    <row r="28450" spans="1:5">
      <c r="A28450" t="s">
        <v>33107</v>
      </c>
      <c r="B28450" t="s">
        <v>33109</v>
      </c>
      <c r="C28450">
        <v>0.12771668718699999</v>
      </c>
      <c r="D28450">
        <v>0.60927985523999995</v>
      </c>
      <c r="E28450">
        <v>24</v>
      </c>
    </row>
    <row r="28451" spans="1:5">
      <c r="A28451" t="s">
        <v>33107</v>
      </c>
      <c r="B28451" t="s">
        <v>33110</v>
      </c>
      <c r="C28451">
        <v>0</v>
      </c>
      <c r="D28451">
        <v>0.60927985523999995</v>
      </c>
      <c r="E28451">
        <v>24</v>
      </c>
    </row>
    <row r="28452" spans="1:5">
      <c r="A28452" t="s">
        <v>33107</v>
      </c>
      <c r="B28452" t="s">
        <v>33111</v>
      </c>
      <c r="C28452">
        <v>0</v>
      </c>
      <c r="D28452">
        <v>0.60927985523999995</v>
      </c>
      <c r="E28452">
        <v>24</v>
      </c>
    </row>
    <row r="28453" spans="1:5">
      <c r="A28453" t="s">
        <v>33107</v>
      </c>
      <c r="B28453" t="s">
        <v>33112</v>
      </c>
      <c r="C28453">
        <v>2.39211763524E-2</v>
      </c>
      <c r="D28453">
        <v>0.60927985523999995</v>
      </c>
      <c r="E28453">
        <v>24</v>
      </c>
    </row>
    <row r="28454" spans="1:5">
      <c r="A28454" t="s">
        <v>33107</v>
      </c>
      <c r="B28454" t="s">
        <v>33113</v>
      </c>
      <c r="C28454">
        <v>0</v>
      </c>
      <c r="D28454">
        <v>0.60927985523999995</v>
      </c>
      <c r="E28454">
        <v>24</v>
      </c>
    </row>
    <row r="28455" spans="1:5">
      <c r="A28455" t="s">
        <v>33107</v>
      </c>
      <c r="B28455" t="s">
        <v>33114</v>
      </c>
      <c r="C28455">
        <f>0</f>
        <v>0</v>
      </c>
      <c r="D28455">
        <v>0.60927985523999995</v>
      </c>
      <c r="E28455">
        <v>24</v>
      </c>
    </row>
    <row r="28456" spans="1:5">
      <c r="A28456" t="s">
        <v>33107</v>
      </c>
      <c r="B28456" t="s">
        <v>33115</v>
      </c>
      <c r="C28456">
        <v>0</v>
      </c>
      <c r="D28456">
        <v>0.60927985523999995</v>
      </c>
      <c r="E28456">
        <v>24</v>
      </c>
    </row>
    <row r="28457" spans="1:5">
      <c r="A28457" t="s">
        <v>33107</v>
      </c>
      <c r="B28457" t="s">
        <v>33116</v>
      </c>
      <c r="C28457">
        <v>0</v>
      </c>
      <c r="D28457">
        <v>0.60927985523999995</v>
      </c>
      <c r="E28457">
        <v>24</v>
      </c>
    </row>
    <row r="28458" spans="1:5">
      <c r="A28458" t="s">
        <v>33107</v>
      </c>
      <c r="B28458" t="s">
        <v>33117</v>
      </c>
      <c r="C28458">
        <f>0</f>
        <v>0</v>
      </c>
      <c r="D28458">
        <v>0.60927985523999995</v>
      </c>
      <c r="E28458">
        <v>24</v>
      </c>
    </row>
    <row r="28459" spans="1:5">
      <c r="A28459" t="s">
        <v>33107</v>
      </c>
      <c r="B28459" t="s">
        <v>33118</v>
      </c>
      <c r="C28459">
        <v>0</v>
      </c>
      <c r="D28459">
        <v>0.60927985523999995</v>
      </c>
      <c r="E28459">
        <v>24</v>
      </c>
    </row>
    <row r="28460" spans="1:5">
      <c r="A28460" t="s">
        <v>33119</v>
      </c>
      <c r="B28460" t="s">
        <v>33120</v>
      </c>
      <c r="C28460">
        <v>4.8981459119499998E-2</v>
      </c>
      <c r="D28460" t="s">
        <v>106</v>
      </c>
      <c r="E28460">
        <v>24</v>
      </c>
    </row>
    <row r="28461" spans="1:5">
      <c r="A28461" t="s">
        <v>33119</v>
      </c>
      <c r="B28461" t="s">
        <v>33121</v>
      </c>
      <c r="C28461">
        <v>0</v>
      </c>
      <c r="D28461" t="s">
        <v>106</v>
      </c>
      <c r="E28461">
        <v>24</v>
      </c>
    </row>
    <row r="28462" spans="1:5">
      <c r="A28462" t="s">
        <v>33119</v>
      </c>
      <c r="B28462" t="s">
        <v>33122</v>
      </c>
      <c r="C28462">
        <f>0</f>
        <v>0</v>
      </c>
      <c r="D28462" t="s">
        <v>106</v>
      </c>
      <c r="E28462">
        <v>24</v>
      </c>
    </row>
    <row r="28463" spans="1:5">
      <c r="A28463" t="s">
        <v>33119</v>
      </c>
      <c r="B28463" t="s">
        <v>33123</v>
      </c>
      <c r="C28463">
        <f>0</f>
        <v>0</v>
      </c>
      <c r="D28463" t="s">
        <v>106</v>
      </c>
      <c r="E28463">
        <v>24</v>
      </c>
    </row>
    <row r="28464" spans="1:5">
      <c r="A28464" t="s">
        <v>33119</v>
      </c>
      <c r="B28464" t="s">
        <v>33124</v>
      </c>
      <c r="C28464">
        <f>0</f>
        <v>0</v>
      </c>
      <c r="D28464" t="s">
        <v>106</v>
      </c>
      <c r="E28464">
        <v>24</v>
      </c>
    </row>
    <row r="28465" spans="1:5">
      <c r="A28465" t="s">
        <v>33119</v>
      </c>
      <c r="B28465" t="s">
        <v>33125</v>
      </c>
      <c r="C28465">
        <v>0</v>
      </c>
      <c r="D28465" t="s">
        <v>106</v>
      </c>
      <c r="E28465">
        <v>24</v>
      </c>
    </row>
    <row r="28466" spans="1:5">
      <c r="A28466" t="s">
        <v>33119</v>
      </c>
      <c r="B28466" t="s">
        <v>33126</v>
      </c>
      <c r="C28466">
        <v>0</v>
      </c>
      <c r="D28466" t="s">
        <v>106</v>
      </c>
      <c r="E28466">
        <v>24</v>
      </c>
    </row>
    <row r="28467" spans="1:5">
      <c r="A28467" t="s">
        <v>33119</v>
      </c>
      <c r="B28467" t="s">
        <v>33127</v>
      </c>
      <c r="C28467">
        <v>5.6674003946200003E-3</v>
      </c>
      <c r="D28467" t="s">
        <v>106</v>
      </c>
      <c r="E28467">
        <v>24</v>
      </c>
    </row>
    <row r="28468" spans="1:5">
      <c r="A28468" t="s">
        <v>33119</v>
      </c>
      <c r="B28468" t="s">
        <v>33128</v>
      </c>
      <c r="C28468">
        <f>0</f>
        <v>0</v>
      </c>
      <c r="D28468" t="s">
        <v>106</v>
      </c>
      <c r="E28468">
        <v>24</v>
      </c>
    </row>
    <row r="28469" spans="1:5">
      <c r="A28469" t="s">
        <v>33129</v>
      </c>
      <c r="B28469" t="s">
        <v>33130</v>
      </c>
      <c r="C28469">
        <f>0</f>
        <v>0</v>
      </c>
      <c r="D28469">
        <v>0.65292449982599998</v>
      </c>
      <c r="E28469">
        <v>18.770614692653599</v>
      </c>
    </row>
    <row r="28470" spans="1:5">
      <c r="A28470" t="s">
        <v>33129</v>
      </c>
      <c r="B28470" t="s">
        <v>33131</v>
      </c>
      <c r="C28470">
        <f>0</f>
        <v>0</v>
      </c>
      <c r="D28470">
        <v>0.65292449982599998</v>
      </c>
      <c r="E28470">
        <v>18.770614692653599</v>
      </c>
    </row>
    <row r="28471" spans="1:5">
      <c r="A28471" t="s">
        <v>33129</v>
      </c>
      <c r="B28471" t="s">
        <v>33132</v>
      </c>
      <c r="C28471">
        <v>0</v>
      </c>
      <c r="D28471">
        <v>0.65292449982599998</v>
      </c>
      <c r="E28471">
        <v>18.770614692653599</v>
      </c>
    </row>
    <row r="28472" spans="1:5">
      <c r="A28472" t="s">
        <v>33129</v>
      </c>
      <c r="B28472" t="s">
        <v>33133</v>
      </c>
      <c r="C28472">
        <f>0</f>
        <v>0</v>
      </c>
      <c r="D28472">
        <v>0.65292449982599998</v>
      </c>
      <c r="E28472">
        <v>18.770614692653599</v>
      </c>
    </row>
    <row r="28473" spans="1:5">
      <c r="A28473" t="s">
        <v>33129</v>
      </c>
      <c r="B28473" t="s">
        <v>33134</v>
      </c>
      <c r="C28473">
        <v>0</v>
      </c>
      <c r="D28473">
        <v>0.65292449982599998</v>
      </c>
      <c r="E28473">
        <v>18.770614692653599</v>
      </c>
    </row>
    <row r="28474" spans="1:5">
      <c r="A28474" t="s">
        <v>33129</v>
      </c>
      <c r="B28474" t="s">
        <v>33135</v>
      </c>
      <c r="C28474">
        <f>0</f>
        <v>0</v>
      </c>
      <c r="D28474">
        <v>0.65292449982599998</v>
      </c>
      <c r="E28474">
        <v>18.770614692653599</v>
      </c>
    </row>
    <row r="28475" spans="1:5">
      <c r="A28475" t="s">
        <v>33129</v>
      </c>
      <c r="B28475" t="s">
        <v>33136</v>
      </c>
      <c r="C28475">
        <f>0</f>
        <v>0</v>
      </c>
      <c r="D28475">
        <v>0.65292449982599998</v>
      </c>
      <c r="E28475">
        <v>18.770614692653599</v>
      </c>
    </row>
    <row r="28476" spans="1:5">
      <c r="A28476" t="s">
        <v>33129</v>
      </c>
      <c r="B28476" t="s">
        <v>33137</v>
      </c>
      <c r="C28476">
        <v>0</v>
      </c>
      <c r="D28476">
        <v>0.65292449982599998</v>
      </c>
      <c r="E28476">
        <v>18.770614692653599</v>
      </c>
    </row>
    <row r="28477" spans="1:5">
      <c r="A28477" t="s">
        <v>33129</v>
      </c>
      <c r="B28477" t="s">
        <v>33138</v>
      </c>
      <c r="C28477">
        <f>0</f>
        <v>0</v>
      </c>
      <c r="D28477">
        <v>0.65292449982599998</v>
      </c>
      <c r="E28477">
        <v>18.770614692653599</v>
      </c>
    </row>
    <row r="28478" spans="1:5">
      <c r="A28478" t="s">
        <v>33129</v>
      </c>
      <c r="B28478" t="s">
        <v>33139</v>
      </c>
      <c r="C28478">
        <v>0</v>
      </c>
      <c r="D28478">
        <v>0.65292449982599998</v>
      </c>
      <c r="E28478">
        <v>18.770614692653599</v>
      </c>
    </row>
    <row r="28479" spans="1:5">
      <c r="A28479" t="s">
        <v>33129</v>
      </c>
      <c r="B28479" t="s">
        <v>33140</v>
      </c>
      <c r="C28479">
        <f>0</f>
        <v>0</v>
      </c>
      <c r="D28479">
        <v>0.65292449982599998</v>
      </c>
      <c r="E28479">
        <v>18.770614692653599</v>
      </c>
    </row>
    <row r="28480" spans="1:5">
      <c r="A28480" t="s">
        <v>33129</v>
      </c>
      <c r="B28480" t="s">
        <v>33141</v>
      </c>
      <c r="C28480">
        <v>4.0039223504700003E-3</v>
      </c>
      <c r="D28480">
        <v>0.65292449982599998</v>
      </c>
      <c r="E28480">
        <v>18.770614692653599</v>
      </c>
    </row>
    <row r="28481" spans="1:5">
      <c r="A28481" t="s">
        <v>33129</v>
      </c>
      <c r="B28481" t="s">
        <v>33142</v>
      </c>
      <c r="C28481">
        <f>0</f>
        <v>0</v>
      </c>
      <c r="D28481">
        <v>0.65292449982599998</v>
      </c>
      <c r="E28481">
        <v>18.770614692653599</v>
      </c>
    </row>
    <row r="28482" spans="1:5">
      <c r="A28482" t="s">
        <v>33129</v>
      </c>
      <c r="B28482" t="s">
        <v>33143</v>
      </c>
      <c r="C28482">
        <v>0</v>
      </c>
      <c r="D28482">
        <v>0.65292449982599998</v>
      </c>
      <c r="E28482">
        <v>18.770614692653599</v>
      </c>
    </row>
    <row r="28483" spans="1:5">
      <c r="A28483" t="s">
        <v>33129</v>
      </c>
      <c r="B28483" t="s">
        <v>33144</v>
      </c>
      <c r="C28483">
        <v>0</v>
      </c>
      <c r="D28483">
        <v>0.65292449982599998</v>
      </c>
      <c r="E28483">
        <v>18.770614692653599</v>
      </c>
    </row>
    <row r="28484" spans="1:5">
      <c r="A28484" t="s">
        <v>33129</v>
      </c>
      <c r="B28484" t="s">
        <v>33145</v>
      </c>
      <c r="C28484">
        <f>0</f>
        <v>0</v>
      </c>
      <c r="D28484">
        <v>0.65292449982599998</v>
      </c>
      <c r="E28484">
        <v>18.770614692653599</v>
      </c>
    </row>
    <row r="28485" spans="1:5">
      <c r="A28485" t="s">
        <v>33129</v>
      </c>
      <c r="B28485" t="s">
        <v>33146</v>
      </c>
      <c r="C28485">
        <f>0</f>
        <v>0</v>
      </c>
      <c r="D28485">
        <v>0.65292449982599998</v>
      </c>
      <c r="E28485">
        <v>18.770614692653599</v>
      </c>
    </row>
    <row r="28486" spans="1:5">
      <c r="A28486" t="s">
        <v>33129</v>
      </c>
      <c r="B28486" t="s">
        <v>33147</v>
      </c>
      <c r="C28486">
        <v>0</v>
      </c>
      <c r="D28486">
        <v>0.65292449982599998</v>
      </c>
      <c r="E28486">
        <v>18.770614692653599</v>
      </c>
    </row>
    <row r="28487" spans="1:5">
      <c r="A28487" t="s">
        <v>33148</v>
      </c>
      <c r="B28487" t="s">
        <v>33149</v>
      </c>
      <c r="C28487">
        <v>0.189013877197</v>
      </c>
      <c r="D28487" t="s">
        <v>106</v>
      </c>
      <c r="E28487">
        <v>5.9370314842578704</v>
      </c>
    </row>
    <row r="28488" spans="1:5">
      <c r="A28488" t="s">
        <v>33148</v>
      </c>
      <c r="B28488" t="s">
        <v>33150</v>
      </c>
      <c r="C28488">
        <v>0</v>
      </c>
      <c r="D28488" t="s">
        <v>106</v>
      </c>
      <c r="E28488">
        <v>5.9370314842578704</v>
      </c>
    </row>
    <row r="28489" spans="1:5">
      <c r="A28489" t="s">
        <v>33148</v>
      </c>
      <c r="B28489" t="s">
        <v>33151</v>
      </c>
      <c r="C28489">
        <v>0</v>
      </c>
      <c r="D28489" t="s">
        <v>106</v>
      </c>
      <c r="E28489">
        <v>5.9370314842578704</v>
      </c>
    </row>
    <row r="28490" spans="1:5">
      <c r="A28490" t="s">
        <v>33148</v>
      </c>
      <c r="B28490" t="s">
        <v>33152</v>
      </c>
      <c r="C28490">
        <v>0.192589152097</v>
      </c>
      <c r="D28490" t="s">
        <v>106</v>
      </c>
      <c r="E28490">
        <v>5.9370314842578704</v>
      </c>
    </row>
    <row r="28491" spans="1:5">
      <c r="A28491" t="s">
        <v>33148</v>
      </c>
      <c r="B28491" t="s">
        <v>33153</v>
      </c>
      <c r="C28491">
        <v>0</v>
      </c>
      <c r="D28491" t="s">
        <v>106</v>
      </c>
      <c r="E28491">
        <v>5.9370314842578704</v>
      </c>
    </row>
    <row r="28492" spans="1:5">
      <c r="A28492" t="s">
        <v>33148</v>
      </c>
      <c r="B28492" t="s">
        <v>33154</v>
      </c>
      <c r="C28492">
        <v>0</v>
      </c>
      <c r="D28492" t="s">
        <v>106</v>
      </c>
      <c r="E28492">
        <v>5.9370314842578704</v>
      </c>
    </row>
    <row r="28493" spans="1:5">
      <c r="A28493" t="s">
        <v>33155</v>
      </c>
      <c r="B28493" t="s">
        <v>33156</v>
      </c>
      <c r="C28493">
        <v>0</v>
      </c>
      <c r="D28493" t="s">
        <v>106</v>
      </c>
      <c r="E28493">
        <v>23.7481259370314</v>
      </c>
    </row>
    <row r="28494" spans="1:5">
      <c r="A28494" t="s">
        <v>33155</v>
      </c>
      <c r="B28494" t="s">
        <v>33157</v>
      </c>
      <c r="C28494">
        <v>2.99314521591E-3</v>
      </c>
      <c r="D28494" t="s">
        <v>106</v>
      </c>
      <c r="E28494">
        <v>23.7481259370314</v>
      </c>
    </row>
    <row r="28495" spans="1:5">
      <c r="A28495" t="s">
        <v>33155</v>
      </c>
      <c r="B28495" t="s">
        <v>33158</v>
      </c>
      <c r="C28495">
        <v>0</v>
      </c>
      <c r="D28495" t="s">
        <v>106</v>
      </c>
      <c r="E28495">
        <v>23.7481259370314</v>
      </c>
    </row>
    <row r="28496" spans="1:5">
      <c r="A28496" t="s">
        <v>33155</v>
      </c>
      <c r="B28496" t="s">
        <v>33159</v>
      </c>
      <c r="C28496">
        <f>0</f>
        <v>0</v>
      </c>
      <c r="D28496" t="s">
        <v>106</v>
      </c>
      <c r="E28496">
        <v>23.7481259370314</v>
      </c>
    </row>
    <row r="28497" spans="1:5">
      <c r="A28497" t="s">
        <v>33155</v>
      </c>
      <c r="B28497" t="s">
        <v>33160</v>
      </c>
      <c r="C28497">
        <f>0</f>
        <v>0</v>
      </c>
      <c r="D28497" t="s">
        <v>106</v>
      </c>
      <c r="E28497">
        <v>23.7481259370314</v>
      </c>
    </row>
    <row r="28498" spans="1:5">
      <c r="A28498" t="s">
        <v>33155</v>
      </c>
      <c r="B28498" t="s">
        <v>33161</v>
      </c>
      <c r="C28498">
        <v>0</v>
      </c>
      <c r="D28498" t="s">
        <v>106</v>
      </c>
      <c r="E28498">
        <v>23.7481259370314</v>
      </c>
    </row>
    <row r="28499" spans="1:5">
      <c r="A28499" t="s">
        <v>33155</v>
      </c>
      <c r="B28499" t="s">
        <v>33162</v>
      </c>
      <c r="C28499">
        <v>1.5223631411800001E-3</v>
      </c>
      <c r="D28499" t="s">
        <v>106</v>
      </c>
      <c r="E28499">
        <v>23.7481259370314</v>
      </c>
    </row>
    <row r="28500" spans="1:5">
      <c r="A28500" t="s">
        <v>33155</v>
      </c>
      <c r="B28500" t="s">
        <v>33163</v>
      </c>
      <c r="C28500">
        <f>0</f>
        <v>0</v>
      </c>
      <c r="D28500" t="s">
        <v>106</v>
      </c>
      <c r="E28500">
        <v>23.7481259370314</v>
      </c>
    </row>
    <row r="28501" spans="1:5">
      <c r="A28501" t="s">
        <v>33164</v>
      </c>
      <c r="B28501" t="s">
        <v>33165</v>
      </c>
      <c r="C28501">
        <f>0</f>
        <v>0</v>
      </c>
      <c r="D28501" t="s">
        <v>106</v>
      </c>
      <c r="E28501">
        <v>4.3778110944527704</v>
      </c>
    </row>
    <row r="28502" spans="1:5">
      <c r="A28502" t="s">
        <v>33164</v>
      </c>
      <c r="B28502" t="s">
        <v>33166</v>
      </c>
      <c r="C28502">
        <f>0</f>
        <v>0</v>
      </c>
      <c r="D28502" t="s">
        <v>106</v>
      </c>
      <c r="E28502">
        <v>4.3778110944527704</v>
      </c>
    </row>
    <row r="28503" spans="1:5">
      <c r="A28503" t="s">
        <v>33167</v>
      </c>
      <c r="B28503" t="s">
        <v>33168</v>
      </c>
      <c r="C28503">
        <v>0.24882747997499999</v>
      </c>
      <c r="D28503">
        <v>0.99905759789299997</v>
      </c>
      <c r="E28503">
        <v>15.904047976011899</v>
      </c>
    </row>
    <row r="28504" spans="1:5">
      <c r="A28504" t="s">
        <v>33167</v>
      </c>
      <c r="B28504" t="s">
        <v>33169</v>
      </c>
      <c r="C28504">
        <v>0</v>
      </c>
      <c r="D28504">
        <v>0.99905759789299997</v>
      </c>
      <c r="E28504">
        <v>15.904047976011899</v>
      </c>
    </row>
    <row r="28505" spans="1:5">
      <c r="A28505" t="s">
        <v>33167</v>
      </c>
      <c r="B28505" t="s">
        <v>33170</v>
      </c>
      <c r="C28505">
        <f>0</f>
        <v>0</v>
      </c>
      <c r="D28505">
        <v>0.99905759789299997</v>
      </c>
      <c r="E28505">
        <v>15.904047976011899</v>
      </c>
    </row>
    <row r="28506" spans="1:5">
      <c r="A28506" t="s">
        <v>33167</v>
      </c>
      <c r="B28506" t="s">
        <v>33171</v>
      </c>
      <c r="C28506">
        <v>0.12907766583700001</v>
      </c>
      <c r="D28506">
        <v>0.99905759789299997</v>
      </c>
      <c r="E28506">
        <v>15.904047976011899</v>
      </c>
    </row>
    <row r="28507" spans="1:5">
      <c r="A28507" t="s">
        <v>33172</v>
      </c>
      <c r="B28507" t="s">
        <v>33173</v>
      </c>
      <c r="C28507">
        <v>0</v>
      </c>
      <c r="D28507">
        <v>0.34029480288399999</v>
      </c>
      <c r="E28507">
        <v>3.7781109445277301</v>
      </c>
    </row>
    <row r="28508" spans="1:5">
      <c r="A28508" t="s">
        <v>33172</v>
      </c>
      <c r="B28508" t="s">
        <v>33174</v>
      </c>
      <c r="C28508">
        <v>0.140728784306</v>
      </c>
      <c r="D28508">
        <v>0.34029480288399999</v>
      </c>
      <c r="E28508">
        <v>3.7781109445277301</v>
      </c>
    </row>
    <row r="28509" spans="1:5">
      <c r="A28509" t="s">
        <v>33172</v>
      </c>
      <c r="B28509" t="s">
        <v>33175</v>
      </c>
      <c r="C28509">
        <v>0</v>
      </c>
      <c r="D28509">
        <v>0.34029480288399999</v>
      </c>
      <c r="E28509">
        <v>3.7781109445277301</v>
      </c>
    </row>
    <row r="28510" spans="1:5">
      <c r="A28510" t="s">
        <v>33172</v>
      </c>
      <c r="B28510" t="s">
        <v>33176</v>
      </c>
      <c r="C28510">
        <f>0</f>
        <v>0</v>
      </c>
      <c r="D28510">
        <v>0.34029480288399999</v>
      </c>
      <c r="E28510">
        <v>3.7781109445277301</v>
      </c>
    </row>
    <row r="28511" spans="1:5">
      <c r="A28511" t="s">
        <v>33172</v>
      </c>
      <c r="B28511" t="s">
        <v>33177</v>
      </c>
      <c r="C28511">
        <v>0</v>
      </c>
      <c r="D28511">
        <v>0.34029480288399999</v>
      </c>
      <c r="E28511">
        <v>3.7781109445277301</v>
      </c>
    </row>
    <row r="28512" spans="1:5">
      <c r="A28512" t="s">
        <v>33172</v>
      </c>
      <c r="B28512" t="s">
        <v>33178</v>
      </c>
      <c r="C28512">
        <v>0</v>
      </c>
      <c r="D28512">
        <v>0.34029480288399999</v>
      </c>
      <c r="E28512">
        <v>3.7781109445277301</v>
      </c>
    </row>
    <row r="28513" spans="1:5">
      <c r="A28513" t="s">
        <v>33172</v>
      </c>
      <c r="B28513" t="s">
        <v>33179</v>
      </c>
      <c r="C28513">
        <v>0</v>
      </c>
      <c r="D28513">
        <v>0.34029480288399999</v>
      </c>
      <c r="E28513">
        <v>3.7781109445277301</v>
      </c>
    </row>
    <row r="28514" spans="1:5">
      <c r="A28514" t="s">
        <v>33172</v>
      </c>
      <c r="B28514" t="s">
        <v>33180</v>
      </c>
      <c r="C28514">
        <v>5.2792943646900001E-2</v>
      </c>
      <c r="D28514">
        <v>0.34029480288399999</v>
      </c>
      <c r="E28514">
        <v>3.7781109445277301</v>
      </c>
    </row>
    <row r="28515" spans="1:5">
      <c r="A28515" t="s">
        <v>33172</v>
      </c>
      <c r="B28515" t="s">
        <v>33181</v>
      </c>
      <c r="C28515">
        <v>0</v>
      </c>
      <c r="D28515">
        <v>0.34029480288399999</v>
      </c>
      <c r="E28515">
        <v>3.7781109445277301</v>
      </c>
    </row>
    <row r="28516" spans="1:5">
      <c r="A28516" t="s">
        <v>33182</v>
      </c>
      <c r="B28516" t="s">
        <v>33183</v>
      </c>
      <c r="C28516">
        <v>0</v>
      </c>
      <c r="D28516">
        <v>0.833593860779</v>
      </c>
      <c r="E28516">
        <v>5.69715142428785</v>
      </c>
    </row>
    <row r="28517" spans="1:5">
      <c r="A28517" t="s">
        <v>33182</v>
      </c>
      <c r="B28517" t="s">
        <v>33184</v>
      </c>
      <c r="C28517">
        <f>0</f>
        <v>0</v>
      </c>
      <c r="D28517">
        <v>0.833593860779</v>
      </c>
      <c r="E28517">
        <v>5.69715142428785</v>
      </c>
    </row>
    <row r="28518" spans="1:5">
      <c r="A28518" t="s">
        <v>33182</v>
      </c>
      <c r="B28518" t="s">
        <v>33185</v>
      </c>
      <c r="C28518">
        <v>0</v>
      </c>
      <c r="D28518">
        <v>0.833593860779</v>
      </c>
      <c r="E28518">
        <v>5.69715142428785</v>
      </c>
    </row>
    <row r="28519" spans="1:5">
      <c r="A28519" t="s">
        <v>33182</v>
      </c>
      <c r="B28519" t="s">
        <v>33186</v>
      </c>
      <c r="C28519">
        <v>0</v>
      </c>
      <c r="D28519">
        <v>0.833593860779</v>
      </c>
      <c r="E28519">
        <v>5.69715142428785</v>
      </c>
    </row>
    <row r="28520" spans="1:5">
      <c r="A28520" t="s">
        <v>33182</v>
      </c>
      <c r="B28520" t="s">
        <v>33187</v>
      </c>
      <c r="C28520">
        <v>0</v>
      </c>
      <c r="D28520">
        <v>0.833593860779</v>
      </c>
      <c r="E28520">
        <v>5.69715142428785</v>
      </c>
    </row>
    <row r="28521" spans="1:5">
      <c r="A28521" t="s">
        <v>33182</v>
      </c>
      <c r="B28521" t="s">
        <v>33188</v>
      </c>
      <c r="C28521">
        <v>5.0495412250700002E-3</v>
      </c>
      <c r="D28521">
        <v>0.833593860779</v>
      </c>
      <c r="E28521">
        <v>5.69715142428785</v>
      </c>
    </row>
    <row r="28522" spans="1:5">
      <c r="A28522" t="s">
        <v>33182</v>
      </c>
      <c r="B28522" t="s">
        <v>33189</v>
      </c>
      <c r="C28522">
        <v>0</v>
      </c>
      <c r="D28522">
        <v>0.833593860779</v>
      </c>
      <c r="E28522">
        <v>5.69715142428785</v>
      </c>
    </row>
    <row r="28523" spans="1:5">
      <c r="A28523" t="s">
        <v>33182</v>
      </c>
      <c r="B28523" t="s">
        <v>33190</v>
      </c>
      <c r="C28523">
        <v>0</v>
      </c>
      <c r="D28523">
        <v>0.833593860779</v>
      </c>
      <c r="E28523">
        <v>5.69715142428785</v>
      </c>
    </row>
    <row r="28524" spans="1:5">
      <c r="A28524" t="s">
        <v>33182</v>
      </c>
      <c r="B28524" t="s">
        <v>33191</v>
      </c>
      <c r="C28524">
        <v>0</v>
      </c>
      <c r="D28524">
        <v>0.833593860779</v>
      </c>
      <c r="E28524">
        <v>5.69715142428785</v>
      </c>
    </row>
    <row r="28525" spans="1:5">
      <c r="A28525" t="s">
        <v>33192</v>
      </c>
      <c r="B28525" t="s">
        <v>33193</v>
      </c>
      <c r="C28525">
        <v>0</v>
      </c>
      <c r="D28525">
        <v>0.78991630263799995</v>
      </c>
      <c r="E28525">
        <v>12.5577211394302</v>
      </c>
    </row>
    <row r="28526" spans="1:5">
      <c r="A28526" t="s">
        <v>33192</v>
      </c>
      <c r="B28526" t="s">
        <v>33194</v>
      </c>
      <c r="C28526">
        <v>3.2193216868499999E-3</v>
      </c>
      <c r="D28526">
        <v>0.78991630263799995</v>
      </c>
      <c r="E28526">
        <v>12.5577211394302</v>
      </c>
    </row>
    <row r="28527" spans="1:5">
      <c r="A28527" t="s">
        <v>33192</v>
      </c>
      <c r="B28527" t="s">
        <v>33195</v>
      </c>
      <c r="C28527">
        <v>0</v>
      </c>
      <c r="D28527">
        <v>0.78991630263799995</v>
      </c>
      <c r="E28527">
        <v>12.5577211394302</v>
      </c>
    </row>
    <row r="28528" spans="1:5">
      <c r="A28528" t="s">
        <v>33192</v>
      </c>
      <c r="B28528" t="s">
        <v>33196</v>
      </c>
      <c r="C28528">
        <v>6.8585425829699995E-2</v>
      </c>
      <c r="D28528">
        <v>0.78991630263799995</v>
      </c>
      <c r="E28528">
        <v>12.5577211394302</v>
      </c>
    </row>
    <row r="28529" spans="1:5">
      <c r="A28529" t="s">
        <v>33192</v>
      </c>
      <c r="B28529" t="s">
        <v>33197</v>
      </c>
      <c r="C28529">
        <v>0</v>
      </c>
      <c r="D28529">
        <v>0.78991630263799995</v>
      </c>
      <c r="E28529">
        <v>12.5577211394302</v>
      </c>
    </row>
    <row r="28530" spans="1:5">
      <c r="A28530" t="s">
        <v>33192</v>
      </c>
      <c r="B28530" t="s">
        <v>33198</v>
      </c>
      <c r="C28530">
        <v>0</v>
      </c>
      <c r="D28530">
        <v>0.78991630263799995</v>
      </c>
      <c r="E28530">
        <v>12.5577211394302</v>
      </c>
    </row>
    <row r="28531" spans="1:5">
      <c r="A28531" t="s">
        <v>33199</v>
      </c>
      <c r="B28531" t="s">
        <v>33200</v>
      </c>
      <c r="C28531">
        <v>0.225127189497</v>
      </c>
      <c r="D28531">
        <v>0.84680137008099998</v>
      </c>
      <c r="E28531">
        <v>12.9175412293853</v>
      </c>
    </row>
    <row r="28532" spans="1:5">
      <c r="A28532" t="s">
        <v>33201</v>
      </c>
      <c r="B28532" t="s">
        <v>33202</v>
      </c>
      <c r="C28532">
        <v>0</v>
      </c>
      <c r="D28532">
        <v>0.94940681662299997</v>
      </c>
      <c r="E28532">
        <v>3.7781109445277301</v>
      </c>
    </row>
    <row r="28533" spans="1:5">
      <c r="A28533" t="s">
        <v>33201</v>
      </c>
      <c r="B28533" t="s">
        <v>33203</v>
      </c>
      <c r="C28533">
        <f>0</f>
        <v>0</v>
      </c>
      <c r="D28533">
        <v>0.94940681662299997</v>
      </c>
      <c r="E28533">
        <v>3.7781109445277301</v>
      </c>
    </row>
    <row r="28534" spans="1:5">
      <c r="A28534" t="s">
        <v>33204</v>
      </c>
      <c r="B28534" t="s">
        <v>33205</v>
      </c>
      <c r="C28534">
        <v>0</v>
      </c>
      <c r="D28534">
        <v>0.96115703280200004</v>
      </c>
      <c r="E28534">
        <v>3.68215892053973</v>
      </c>
    </row>
    <row r="28535" spans="1:5">
      <c r="A28535" t="s">
        <v>33204</v>
      </c>
      <c r="B28535" t="s">
        <v>33206</v>
      </c>
      <c r="C28535">
        <f>0</f>
        <v>0</v>
      </c>
      <c r="D28535">
        <v>0.96115703280200004</v>
      </c>
      <c r="E28535">
        <v>3.68215892053973</v>
      </c>
    </row>
    <row r="28536" spans="1:5">
      <c r="A28536" t="s">
        <v>33204</v>
      </c>
      <c r="B28536" t="s">
        <v>33207</v>
      </c>
      <c r="C28536">
        <f>0</f>
        <v>0</v>
      </c>
      <c r="D28536">
        <v>0.96115703280200004</v>
      </c>
      <c r="E28536">
        <v>3.68215892053973</v>
      </c>
    </row>
    <row r="28537" spans="1:5">
      <c r="A28537" t="s">
        <v>33204</v>
      </c>
      <c r="B28537" t="s">
        <v>33208</v>
      </c>
      <c r="C28537">
        <f>0</f>
        <v>0</v>
      </c>
      <c r="D28537">
        <v>0.96115703280200004</v>
      </c>
      <c r="E28537">
        <v>3.68215892053973</v>
      </c>
    </row>
    <row r="28538" spans="1:5">
      <c r="A28538" t="s">
        <v>33204</v>
      </c>
      <c r="B28538" t="s">
        <v>33209</v>
      </c>
      <c r="C28538">
        <v>0.231183787562</v>
      </c>
      <c r="D28538">
        <v>0.96115703280200004</v>
      </c>
      <c r="E28538">
        <v>3.68215892053973</v>
      </c>
    </row>
    <row r="28539" spans="1:5">
      <c r="A28539" t="s">
        <v>33210</v>
      </c>
      <c r="B28539" t="s">
        <v>33211</v>
      </c>
      <c r="C28539">
        <v>0</v>
      </c>
      <c r="D28539">
        <v>0.99767453267700001</v>
      </c>
      <c r="E28539">
        <v>3.3103448275862002</v>
      </c>
    </row>
    <row r="28540" spans="1:5">
      <c r="A28540" t="s">
        <v>33210</v>
      </c>
      <c r="B28540" t="s">
        <v>33212</v>
      </c>
      <c r="C28540">
        <f>0</f>
        <v>0</v>
      </c>
      <c r="D28540">
        <v>0.99767453267700001</v>
      </c>
      <c r="E28540">
        <v>3.3103448275862002</v>
      </c>
    </row>
    <row r="28541" spans="1:5">
      <c r="A28541" t="s">
        <v>33210</v>
      </c>
      <c r="B28541" t="s">
        <v>33213</v>
      </c>
      <c r="C28541">
        <f>0</f>
        <v>0</v>
      </c>
      <c r="D28541">
        <v>0.99767453267700001</v>
      </c>
      <c r="E28541">
        <v>3.3103448275862002</v>
      </c>
    </row>
    <row r="28542" spans="1:5">
      <c r="A28542" t="s">
        <v>33210</v>
      </c>
      <c r="B28542" t="s">
        <v>33214</v>
      </c>
      <c r="C28542">
        <v>4.9993567186200003E-2</v>
      </c>
      <c r="D28542">
        <v>0.99767453267700001</v>
      </c>
      <c r="E28542">
        <v>3.3103448275862002</v>
      </c>
    </row>
    <row r="28543" spans="1:5">
      <c r="A28543" t="s">
        <v>33210</v>
      </c>
      <c r="B28543" t="s">
        <v>33215</v>
      </c>
      <c r="C28543">
        <f>0.382987770527</f>
        <v>0.382987770527</v>
      </c>
      <c r="D28543">
        <v>0.99767453267700001</v>
      </c>
      <c r="E28543">
        <v>3.3103448275862002</v>
      </c>
    </row>
    <row r="28544" spans="1:5">
      <c r="A28544" t="s">
        <v>33210</v>
      </c>
      <c r="B28544" t="s">
        <v>33216</v>
      </c>
      <c r="C28544">
        <f>0</f>
        <v>0</v>
      </c>
      <c r="D28544">
        <v>0.99767453267700001</v>
      </c>
      <c r="E28544">
        <v>3.3103448275862002</v>
      </c>
    </row>
    <row r="28545" spans="1:5">
      <c r="A28545" t="s">
        <v>33210</v>
      </c>
      <c r="B28545" t="s">
        <v>33217</v>
      </c>
      <c r="C28545">
        <f>0</f>
        <v>0</v>
      </c>
      <c r="D28545">
        <v>0.99767453267700001</v>
      </c>
      <c r="E28545">
        <v>3.3103448275862002</v>
      </c>
    </row>
    <row r="28546" spans="1:5">
      <c r="A28546" t="s">
        <v>33218</v>
      </c>
      <c r="B28546" t="s">
        <v>33219</v>
      </c>
      <c r="C28546">
        <f>0.0356554433681</f>
        <v>3.5655443368099997E-2</v>
      </c>
      <c r="D28546" t="s">
        <v>106</v>
      </c>
      <c r="E28546">
        <v>4.68965517241379</v>
      </c>
    </row>
    <row r="28547" spans="1:5">
      <c r="A28547" t="s">
        <v>33218</v>
      </c>
      <c r="B28547" t="s">
        <v>33220</v>
      </c>
      <c r="C28547">
        <v>0.58915974770099999</v>
      </c>
      <c r="D28547" t="s">
        <v>106</v>
      </c>
      <c r="E28547">
        <v>4.68965517241379</v>
      </c>
    </row>
    <row r="28548" spans="1:5">
      <c r="A28548" t="s">
        <v>33218</v>
      </c>
      <c r="B28548" t="s">
        <v>33221</v>
      </c>
      <c r="C28548">
        <f>0</f>
        <v>0</v>
      </c>
      <c r="D28548" t="s">
        <v>106</v>
      </c>
      <c r="E28548">
        <v>4.68965517241379</v>
      </c>
    </row>
    <row r="28549" spans="1:5">
      <c r="A28549" t="s">
        <v>33222</v>
      </c>
      <c r="B28549" t="s">
        <v>33223</v>
      </c>
      <c r="C28549">
        <v>0.13139024492900001</v>
      </c>
      <c r="D28549">
        <v>0.93770919760399996</v>
      </c>
      <c r="E28549">
        <v>7.4602698650674597</v>
      </c>
    </row>
    <row r="28550" spans="1:5">
      <c r="A28550" t="s">
        <v>33222</v>
      </c>
      <c r="B28550" t="s">
        <v>33224</v>
      </c>
      <c r="C28550">
        <v>0</v>
      </c>
      <c r="D28550">
        <v>0.93770919760399996</v>
      </c>
      <c r="E28550">
        <v>7.4602698650674597</v>
      </c>
    </row>
    <row r="28551" spans="1:5">
      <c r="A28551" t="s">
        <v>33222</v>
      </c>
      <c r="B28551" t="s">
        <v>33225</v>
      </c>
      <c r="C28551">
        <v>0</v>
      </c>
      <c r="D28551">
        <v>0.93770919760399996</v>
      </c>
      <c r="E28551">
        <v>7.4602698650674597</v>
      </c>
    </row>
    <row r="28552" spans="1:5">
      <c r="A28552" t="s">
        <v>33222</v>
      </c>
      <c r="B28552" t="s">
        <v>33226</v>
      </c>
      <c r="C28552">
        <f>0</f>
        <v>0</v>
      </c>
      <c r="D28552">
        <v>0.93770919760399996</v>
      </c>
      <c r="E28552">
        <v>7.4602698650674597</v>
      </c>
    </row>
    <row r="28553" spans="1:5">
      <c r="A28553" t="s">
        <v>33222</v>
      </c>
      <c r="B28553" t="s">
        <v>33227</v>
      </c>
      <c r="C28553">
        <v>0</v>
      </c>
      <c r="D28553">
        <v>0.93770919760399996</v>
      </c>
      <c r="E28553">
        <v>7.4602698650674597</v>
      </c>
    </row>
    <row r="28554" spans="1:5">
      <c r="A28554" t="s">
        <v>33222</v>
      </c>
      <c r="B28554" t="s">
        <v>33228</v>
      </c>
      <c r="C28554">
        <f>0</f>
        <v>0</v>
      </c>
      <c r="D28554">
        <v>0.93770919760399996</v>
      </c>
      <c r="E28554">
        <v>7.4602698650674597</v>
      </c>
    </row>
    <row r="28555" spans="1:5">
      <c r="A28555" t="s">
        <v>33222</v>
      </c>
      <c r="B28555" t="s">
        <v>33229</v>
      </c>
      <c r="C28555">
        <f>0</f>
        <v>0</v>
      </c>
      <c r="D28555">
        <v>0.93770919760399996</v>
      </c>
      <c r="E28555">
        <v>7.4602698650674597</v>
      </c>
    </row>
    <row r="28556" spans="1:5">
      <c r="A28556" t="s">
        <v>33222</v>
      </c>
      <c r="B28556" t="s">
        <v>33230</v>
      </c>
      <c r="C28556">
        <f>0</f>
        <v>0</v>
      </c>
      <c r="D28556">
        <v>0.93770919760399996</v>
      </c>
      <c r="E28556">
        <v>7.4602698650674597</v>
      </c>
    </row>
    <row r="28557" spans="1:5">
      <c r="A28557" t="s">
        <v>33222</v>
      </c>
      <c r="B28557" t="s">
        <v>33231</v>
      </c>
      <c r="C28557">
        <f>0.0601533513133</f>
        <v>6.0153351313299998E-2</v>
      </c>
      <c r="D28557">
        <v>0.93770919760399996</v>
      </c>
      <c r="E28557">
        <v>7.4602698650674597</v>
      </c>
    </row>
    <row r="28558" spans="1:5">
      <c r="A28558" t="s">
        <v>33222</v>
      </c>
      <c r="B28558" t="s">
        <v>33232</v>
      </c>
      <c r="C28558">
        <f>0</f>
        <v>0</v>
      </c>
      <c r="D28558">
        <v>0.93770919760399996</v>
      </c>
      <c r="E28558">
        <v>7.4602698650674597</v>
      </c>
    </row>
    <row r="28559" spans="1:5">
      <c r="A28559" t="s">
        <v>33222</v>
      </c>
      <c r="B28559" t="s">
        <v>33233</v>
      </c>
      <c r="C28559">
        <f>0</f>
        <v>0</v>
      </c>
      <c r="D28559">
        <v>0.93770919760399996</v>
      </c>
      <c r="E28559">
        <v>7.4602698650674597</v>
      </c>
    </row>
    <row r="28560" spans="1:5">
      <c r="A28560" t="s">
        <v>33222</v>
      </c>
      <c r="B28560" t="s">
        <v>33234</v>
      </c>
      <c r="C28560">
        <f>0</f>
        <v>0</v>
      </c>
      <c r="D28560">
        <v>0.93770919760399996</v>
      </c>
      <c r="E28560">
        <v>7.4602698650674597</v>
      </c>
    </row>
    <row r="28561" spans="1:5">
      <c r="A28561" t="s">
        <v>33235</v>
      </c>
      <c r="B28561" t="s">
        <v>33236</v>
      </c>
      <c r="C28561">
        <f>0</f>
        <v>0</v>
      </c>
      <c r="D28561">
        <v>0.88939857157199997</v>
      </c>
      <c r="E28561">
        <v>0.91154422788605605</v>
      </c>
    </row>
    <row r="28562" spans="1:5">
      <c r="A28562" t="s">
        <v>33235</v>
      </c>
      <c r="B28562" t="s">
        <v>33237</v>
      </c>
      <c r="C28562">
        <v>1.6666746144800001E-2</v>
      </c>
      <c r="D28562">
        <v>0.88939857157199997</v>
      </c>
      <c r="E28562">
        <v>0.91154422788605605</v>
      </c>
    </row>
    <row r="28563" spans="1:5">
      <c r="A28563" t="s">
        <v>33235</v>
      </c>
      <c r="B28563" t="s">
        <v>33238</v>
      </c>
      <c r="C28563">
        <v>0</v>
      </c>
      <c r="D28563">
        <v>0.88939857157199997</v>
      </c>
      <c r="E28563">
        <v>0.91154422788605605</v>
      </c>
    </row>
    <row r="28564" spans="1:5">
      <c r="A28564" t="s">
        <v>33235</v>
      </c>
      <c r="B28564" t="s">
        <v>33239</v>
      </c>
      <c r="C28564">
        <v>0</v>
      </c>
      <c r="D28564">
        <v>0.88939857157199997</v>
      </c>
      <c r="E28564">
        <v>0.91154422788605605</v>
      </c>
    </row>
    <row r="28565" spans="1:5">
      <c r="A28565" t="s">
        <v>33235</v>
      </c>
      <c r="B28565" t="s">
        <v>33240</v>
      </c>
      <c r="C28565">
        <v>0</v>
      </c>
      <c r="D28565">
        <v>0.88939857157199997</v>
      </c>
      <c r="E28565">
        <v>0.91154422788605605</v>
      </c>
    </row>
    <row r="28566" spans="1:5">
      <c r="A28566" t="s">
        <v>33235</v>
      </c>
      <c r="B28566" t="s">
        <v>33241</v>
      </c>
      <c r="C28566">
        <v>0</v>
      </c>
      <c r="D28566">
        <v>0.88939857157199997</v>
      </c>
      <c r="E28566">
        <v>0.91154422788605605</v>
      </c>
    </row>
    <row r="28567" spans="1:5">
      <c r="A28567" t="s">
        <v>33235</v>
      </c>
      <c r="B28567" t="s">
        <v>33242</v>
      </c>
      <c r="C28567">
        <v>0</v>
      </c>
      <c r="D28567">
        <v>0.88939857157199997</v>
      </c>
      <c r="E28567">
        <v>0.91154422788605605</v>
      </c>
    </row>
    <row r="28568" spans="1:5">
      <c r="A28568" t="s">
        <v>33235</v>
      </c>
      <c r="B28568" t="s">
        <v>33243</v>
      </c>
      <c r="C28568">
        <v>9.83577150894E-2</v>
      </c>
      <c r="D28568">
        <v>0.88939857157199997</v>
      </c>
      <c r="E28568">
        <v>0.91154422788605605</v>
      </c>
    </row>
    <row r="28569" spans="1:5">
      <c r="A28569" t="s">
        <v>33244</v>
      </c>
      <c r="B28569" t="s">
        <v>33245</v>
      </c>
      <c r="C28569">
        <v>0</v>
      </c>
      <c r="D28569">
        <v>0.97150173008399998</v>
      </c>
      <c r="E28569">
        <v>24</v>
      </c>
    </row>
    <row r="28570" spans="1:5">
      <c r="A28570" t="s">
        <v>33244</v>
      </c>
      <c r="B28570" t="s">
        <v>33246</v>
      </c>
      <c r="C28570">
        <v>0</v>
      </c>
      <c r="D28570">
        <v>0.97150173008399998</v>
      </c>
      <c r="E28570">
        <v>24</v>
      </c>
    </row>
    <row r="28571" spans="1:5">
      <c r="A28571" t="s">
        <v>33244</v>
      </c>
      <c r="B28571" t="s">
        <v>33247</v>
      </c>
      <c r="C28571">
        <v>4.0593785231800003E-2</v>
      </c>
      <c r="D28571">
        <v>0.97150173008399998</v>
      </c>
      <c r="E28571">
        <v>24</v>
      </c>
    </row>
    <row r="28572" spans="1:5">
      <c r="A28572" t="s">
        <v>33244</v>
      </c>
      <c r="B28572" t="s">
        <v>33248</v>
      </c>
      <c r="C28572">
        <v>0.10046386347900001</v>
      </c>
      <c r="D28572">
        <v>0.97150173008399998</v>
      </c>
      <c r="E28572">
        <v>24</v>
      </c>
    </row>
    <row r="28573" spans="1:5">
      <c r="A28573" t="s">
        <v>33249</v>
      </c>
      <c r="B28573" t="s">
        <v>33250</v>
      </c>
      <c r="C28573">
        <f>0.659608404661</f>
        <v>0.65960840466100001</v>
      </c>
      <c r="D28573">
        <v>0.85326592752300001</v>
      </c>
      <c r="E28573">
        <v>0.503748125937031</v>
      </c>
    </row>
    <row r="28574" spans="1:5">
      <c r="A28574" t="s">
        <v>33251</v>
      </c>
      <c r="B28574" t="s">
        <v>33252</v>
      </c>
      <c r="C28574">
        <f>0</f>
        <v>0</v>
      </c>
      <c r="D28574">
        <v>0.85742424777899995</v>
      </c>
      <c r="E28574">
        <v>3.2263868065966999</v>
      </c>
    </row>
    <row r="28575" spans="1:5">
      <c r="A28575" t="s">
        <v>33251</v>
      </c>
      <c r="B28575" t="s">
        <v>33253</v>
      </c>
      <c r="C28575">
        <f>0</f>
        <v>0</v>
      </c>
      <c r="D28575">
        <v>0.85742424777899995</v>
      </c>
      <c r="E28575">
        <v>3.2263868065966999</v>
      </c>
    </row>
    <row r="28576" spans="1:5">
      <c r="A28576" t="s">
        <v>33251</v>
      </c>
      <c r="B28576" t="s">
        <v>33254</v>
      </c>
      <c r="C28576">
        <f>0</f>
        <v>0</v>
      </c>
      <c r="D28576">
        <v>0.85742424777899995</v>
      </c>
      <c r="E28576">
        <v>3.2263868065966999</v>
      </c>
    </row>
    <row r="28577" spans="1:5">
      <c r="A28577" t="s">
        <v>33251</v>
      </c>
      <c r="B28577" t="s">
        <v>33255</v>
      </c>
      <c r="C28577">
        <v>0</v>
      </c>
      <c r="D28577">
        <v>0.85742424777899995</v>
      </c>
      <c r="E28577">
        <v>3.2263868065966999</v>
      </c>
    </row>
    <row r="28578" spans="1:5">
      <c r="A28578" t="s">
        <v>33251</v>
      </c>
      <c r="B28578" t="s">
        <v>33256</v>
      </c>
      <c r="C28578">
        <f>0</f>
        <v>0</v>
      </c>
      <c r="D28578">
        <v>0.85742424777899995</v>
      </c>
      <c r="E28578">
        <v>3.2263868065966999</v>
      </c>
    </row>
    <row r="28579" spans="1:5">
      <c r="A28579" t="s">
        <v>33251</v>
      </c>
      <c r="B28579" t="s">
        <v>33257</v>
      </c>
      <c r="C28579">
        <v>0</v>
      </c>
      <c r="D28579">
        <v>0.85742424777899995</v>
      </c>
      <c r="E28579">
        <v>3.2263868065966999</v>
      </c>
    </row>
    <row r="28580" spans="1:5">
      <c r="A28580" t="s">
        <v>33251</v>
      </c>
      <c r="B28580" t="s">
        <v>33258</v>
      </c>
      <c r="C28580">
        <f>0</f>
        <v>0</v>
      </c>
      <c r="D28580">
        <v>0.85742424777899995</v>
      </c>
      <c r="E28580">
        <v>3.2263868065966999</v>
      </c>
    </row>
    <row r="28581" spans="1:5">
      <c r="A28581" t="s">
        <v>33251</v>
      </c>
      <c r="B28581" t="s">
        <v>33259</v>
      </c>
      <c r="C28581">
        <v>0.28413200628399998</v>
      </c>
      <c r="D28581">
        <v>0.85742424777899995</v>
      </c>
      <c r="E28581">
        <v>3.2263868065966999</v>
      </c>
    </row>
    <row r="28582" spans="1:5">
      <c r="A28582" t="s">
        <v>33251</v>
      </c>
      <c r="B28582" t="s">
        <v>33260</v>
      </c>
      <c r="C28582">
        <f>0</f>
        <v>0</v>
      </c>
      <c r="D28582">
        <v>0.85742424777899995</v>
      </c>
      <c r="E28582">
        <v>3.2263868065966999</v>
      </c>
    </row>
    <row r="28583" spans="1:5">
      <c r="A28583" t="s">
        <v>33251</v>
      </c>
      <c r="B28583" t="s">
        <v>33261</v>
      </c>
      <c r="C28583">
        <f>0.402875236987</f>
        <v>0.40287523698700001</v>
      </c>
      <c r="D28583">
        <v>0.85742424777899995</v>
      </c>
      <c r="E28583">
        <v>3.2263868065966999</v>
      </c>
    </row>
    <row r="28584" spans="1:5">
      <c r="A28584" t="s">
        <v>33262</v>
      </c>
      <c r="B28584" t="s">
        <v>33263</v>
      </c>
      <c r="C28584">
        <v>0</v>
      </c>
      <c r="D28584">
        <v>0.73168659385699997</v>
      </c>
      <c r="E28584">
        <v>23.7481259370314</v>
      </c>
    </row>
    <row r="28585" spans="1:5">
      <c r="A28585" t="s">
        <v>33262</v>
      </c>
      <c r="B28585" t="s">
        <v>33264</v>
      </c>
      <c r="C28585">
        <v>0</v>
      </c>
      <c r="D28585">
        <v>0.73168659385699997</v>
      </c>
      <c r="E28585">
        <v>23.7481259370314</v>
      </c>
    </row>
    <row r="28586" spans="1:5">
      <c r="A28586" t="s">
        <v>33262</v>
      </c>
      <c r="B28586" t="s">
        <v>33265</v>
      </c>
      <c r="C28586">
        <v>0</v>
      </c>
      <c r="D28586">
        <v>0.73168659385699997</v>
      </c>
      <c r="E28586">
        <v>23.7481259370314</v>
      </c>
    </row>
    <row r="28587" spans="1:5">
      <c r="A28587" t="s">
        <v>33262</v>
      </c>
      <c r="B28587" t="s">
        <v>33266</v>
      </c>
      <c r="C28587">
        <v>0</v>
      </c>
      <c r="D28587">
        <v>0.73168659385699997</v>
      </c>
      <c r="E28587">
        <v>23.7481259370314</v>
      </c>
    </row>
    <row r="28588" spans="1:5">
      <c r="A28588" t="s">
        <v>33262</v>
      </c>
      <c r="B28588" t="s">
        <v>33267</v>
      </c>
      <c r="C28588">
        <v>0</v>
      </c>
      <c r="D28588">
        <v>0.73168659385699997</v>
      </c>
      <c r="E28588">
        <v>23.7481259370314</v>
      </c>
    </row>
    <row r="28589" spans="1:5">
      <c r="A28589" t="s">
        <v>33262</v>
      </c>
      <c r="B28589" t="s">
        <v>33268</v>
      </c>
      <c r="C28589">
        <v>0</v>
      </c>
      <c r="D28589">
        <v>0.73168659385699997</v>
      </c>
      <c r="E28589">
        <v>23.7481259370314</v>
      </c>
    </row>
    <row r="28590" spans="1:5">
      <c r="A28590" t="s">
        <v>33262</v>
      </c>
      <c r="B28590" t="s">
        <v>33269</v>
      </c>
      <c r="C28590">
        <v>0</v>
      </c>
      <c r="D28590">
        <v>0.73168659385699997</v>
      </c>
      <c r="E28590">
        <v>23.7481259370314</v>
      </c>
    </row>
    <row r="28591" spans="1:5">
      <c r="A28591" t="s">
        <v>33262</v>
      </c>
      <c r="B28591" t="s">
        <v>33270</v>
      </c>
      <c r="C28591">
        <f>0</f>
        <v>0</v>
      </c>
      <c r="D28591">
        <v>0.73168659385699997</v>
      </c>
      <c r="E28591">
        <v>23.7481259370314</v>
      </c>
    </row>
    <row r="28592" spans="1:5">
      <c r="A28592" t="s">
        <v>33271</v>
      </c>
      <c r="B28592" t="s">
        <v>33272</v>
      </c>
      <c r="C28592">
        <f>0</f>
        <v>0</v>
      </c>
      <c r="D28592">
        <v>0.90124765439400001</v>
      </c>
      <c r="E28592">
        <v>5.5772113943028403</v>
      </c>
    </row>
    <row r="28593" spans="1:5">
      <c r="A28593" t="s">
        <v>33271</v>
      </c>
      <c r="B28593" t="s">
        <v>33273</v>
      </c>
      <c r="C28593">
        <f>0</f>
        <v>0</v>
      </c>
      <c r="D28593">
        <v>0.90124765439400001</v>
      </c>
      <c r="E28593">
        <v>5.5772113943028403</v>
      </c>
    </row>
    <row r="28594" spans="1:5">
      <c r="A28594" t="s">
        <v>33271</v>
      </c>
      <c r="B28594" t="s">
        <v>33274</v>
      </c>
      <c r="C28594">
        <f>0</f>
        <v>0</v>
      </c>
      <c r="D28594">
        <v>0.90124765439400001</v>
      </c>
      <c r="E28594">
        <v>5.5772113943028403</v>
      </c>
    </row>
    <row r="28595" spans="1:5">
      <c r="A28595" t="s">
        <v>33271</v>
      </c>
      <c r="B28595" t="s">
        <v>33275</v>
      </c>
      <c r="C28595">
        <v>0</v>
      </c>
      <c r="D28595">
        <v>0.90124765439400001</v>
      </c>
      <c r="E28595">
        <v>5.5772113943028403</v>
      </c>
    </row>
    <row r="28596" spans="1:5">
      <c r="A28596" t="s">
        <v>33271</v>
      </c>
      <c r="B28596" t="s">
        <v>33276</v>
      </c>
      <c r="C28596">
        <v>0</v>
      </c>
      <c r="D28596">
        <v>0.90124765439400001</v>
      </c>
      <c r="E28596">
        <v>5.5772113943028403</v>
      </c>
    </row>
    <row r="28597" spans="1:5">
      <c r="A28597" t="s">
        <v>33271</v>
      </c>
      <c r="B28597" t="s">
        <v>33277</v>
      </c>
      <c r="C28597">
        <f>0</f>
        <v>0</v>
      </c>
      <c r="D28597">
        <v>0.90124765439400001</v>
      </c>
      <c r="E28597">
        <v>5.5772113943028403</v>
      </c>
    </row>
    <row r="28598" spans="1:5">
      <c r="A28598" t="s">
        <v>33271</v>
      </c>
      <c r="B28598" t="s">
        <v>33278</v>
      </c>
      <c r="C28598">
        <f>0</f>
        <v>0</v>
      </c>
      <c r="D28598">
        <v>0.90124765439400001</v>
      </c>
      <c r="E28598">
        <v>5.5772113943028403</v>
      </c>
    </row>
    <row r="28599" spans="1:5">
      <c r="A28599" t="s">
        <v>33271</v>
      </c>
      <c r="B28599" t="s">
        <v>33279</v>
      </c>
      <c r="C28599">
        <f>0</f>
        <v>0</v>
      </c>
      <c r="D28599">
        <v>0.90124765439400001</v>
      </c>
      <c r="E28599">
        <v>5.5772113943028403</v>
      </c>
    </row>
    <row r="28600" spans="1:5">
      <c r="A28600" t="s">
        <v>33271</v>
      </c>
      <c r="B28600" t="s">
        <v>33280</v>
      </c>
      <c r="C28600">
        <f>0</f>
        <v>0</v>
      </c>
      <c r="D28600">
        <v>0.90124765439400001</v>
      </c>
      <c r="E28600">
        <v>5.5772113943028403</v>
      </c>
    </row>
    <row r="28601" spans="1:5">
      <c r="A28601" t="s">
        <v>33271</v>
      </c>
      <c r="B28601" t="s">
        <v>33281</v>
      </c>
      <c r="C28601">
        <f>0.201699740865</f>
        <v>0.201699740865</v>
      </c>
      <c r="D28601">
        <v>0.90124765439400001</v>
      </c>
      <c r="E28601">
        <v>5.5772113943028403</v>
      </c>
    </row>
    <row r="28602" spans="1:5">
      <c r="A28602" t="s">
        <v>33271</v>
      </c>
      <c r="B28602" t="s">
        <v>33282</v>
      </c>
      <c r="C28602">
        <v>0</v>
      </c>
      <c r="D28602">
        <v>0.90124765439400001</v>
      </c>
      <c r="E28602">
        <v>5.5772113943028403</v>
      </c>
    </row>
    <row r="28603" spans="1:5">
      <c r="A28603" t="s">
        <v>33271</v>
      </c>
      <c r="B28603" t="s">
        <v>33283</v>
      </c>
      <c r="C28603">
        <v>0</v>
      </c>
      <c r="D28603">
        <v>0.90124765439400001</v>
      </c>
      <c r="E28603">
        <v>5.5772113943028403</v>
      </c>
    </row>
    <row r="28604" spans="1:5">
      <c r="A28604" t="s">
        <v>33271</v>
      </c>
      <c r="B28604" t="s">
        <v>33284</v>
      </c>
      <c r="C28604">
        <f>0.0521471304684</f>
        <v>5.2147130468399999E-2</v>
      </c>
      <c r="D28604">
        <v>0.90124765439400001</v>
      </c>
      <c r="E28604">
        <v>5.5772113943028403</v>
      </c>
    </row>
    <row r="28605" spans="1:5">
      <c r="A28605" t="s">
        <v>33271</v>
      </c>
      <c r="B28605" t="s">
        <v>33285</v>
      </c>
      <c r="C28605">
        <f>0</f>
        <v>0</v>
      </c>
      <c r="D28605">
        <v>0.90124765439400001</v>
      </c>
      <c r="E28605">
        <v>5.5772113943028403</v>
      </c>
    </row>
    <row r="28606" spans="1:5">
      <c r="A28606" t="s">
        <v>33286</v>
      </c>
      <c r="B28606" t="s">
        <v>33287</v>
      </c>
      <c r="C28606">
        <v>0</v>
      </c>
      <c r="D28606">
        <v>0.92821825418199999</v>
      </c>
      <c r="E28606">
        <v>10.5547226386806</v>
      </c>
    </row>
    <row r="28607" spans="1:5">
      <c r="A28607" t="s">
        <v>33286</v>
      </c>
      <c r="B28607" t="s">
        <v>33288</v>
      </c>
      <c r="C28607">
        <v>0</v>
      </c>
      <c r="D28607">
        <v>0.92821825418199999</v>
      </c>
      <c r="E28607">
        <v>10.5547226386806</v>
      </c>
    </row>
    <row r="28608" spans="1:5">
      <c r="A28608" t="s">
        <v>33286</v>
      </c>
      <c r="B28608" t="s">
        <v>33289</v>
      </c>
      <c r="C28608">
        <f>0</f>
        <v>0</v>
      </c>
      <c r="D28608">
        <v>0.92821825418199999</v>
      </c>
      <c r="E28608">
        <v>10.5547226386806</v>
      </c>
    </row>
    <row r="28609" spans="1:5">
      <c r="A28609" t="s">
        <v>33286</v>
      </c>
      <c r="B28609" t="s">
        <v>33290</v>
      </c>
      <c r="C28609">
        <v>0.30730795066299998</v>
      </c>
      <c r="D28609">
        <v>0.92821825418199999</v>
      </c>
      <c r="E28609">
        <v>10.5547226386806</v>
      </c>
    </row>
    <row r="28610" spans="1:5">
      <c r="A28610" t="s">
        <v>33286</v>
      </c>
      <c r="B28610" t="s">
        <v>33291</v>
      </c>
      <c r="C28610">
        <v>0</v>
      </c>
      <c r="D28610">
        <v>0.92821825418199999</v>
      </c>
      <c r="E28610">
        <v>10.5547226386806</v>
      </c>
    </row>
    <row r="28611" spans="1:5">
      <c r="A28611" t="s">
        <v>33292</v>
      </c>
      <c r="B28611" t="s">
        <v>33293</v>
      </c>
      <c r="C28611">
        <f>0</f>
        <v>0</v>
      </c>
      <c r="D28611">
        <v>0.95109530190900005</v>
      </c>
      <c r="E28611">
        <v>0.65967016491754105</v>
      </c>
    </row>
    <row r="28612" spans="1:5">
      <c r="A28612" t="s">
        <v>33292</v>
      </c>
      <c r="B28612" t="s">
        <v>33294</v>
      </c>
      <c r="C28612">
        <v>0</v>
      </c>
      <c r="D28612">
        <v>0.95109530190900005</v>
      </c>
      <c r="E28612">
        <v>0.65967016491754105</v>
      </c>
    </row>
    <row r="28613" spans="1:5">
      <c r="A28613" t="s">
        <v>33292</v>
      </c>
      <c r="B28613" t="s">
        <v>33295</v>
      </c>
      <c r="C28613">
        <v>0</v>
      </c>
      <c r="D28613">
        <v>0.95109530190900005</v>
      </c>
      <c r="E28613">
        <v>0.65967016491754105</v>
      </c>
    </row>
    <row r="28614" spans="1:5">
      <c r="A28614" t="s">
        <v>33292</v>
      </c>
      <c r="B28614" t="s">
        <v>33296</v>
      </c>
      <c r="C28614">
        <v>0.13946294065100001</v>
      </c>
      <c r="D28614">
        <v>0.95109530190900005</v>
      </c>
      <c r="E28614">
        <v>0.65967016491754105</v>
      </c>
    </row>
    <row r="28615" spans="1:5">
      <c r="A28615" t="s">
        <v>33292</v>
      </c>
      <c r="B28615" t="s">
        <v>33297</v>
      </c>
      <c r="C28615">
        <v>0</v>
      </c>
      <c r="D28615">
        <v>0.95109530190900005</v>
      </c>
      <c r="E28615">
        <v>0.65967016491754105</v>
      </c>
    </row>
    <row r="28616" spans="1:5">
      <c r="A28616" t="s">
        <v>33292</v>
      </c>
      <c r="B28616" t="s">
        <v>33298</v>
      </c>
      <c r="C28616">
        <v>0.27794121939400002</v>
      </c>
      <c r="D28616">
        <v>0.95109530190900005</v>
      </c>
      <c r="E28616">
        <v>0.65967016491754105</v>
      </c>
    </row>
    <row r="28617" spans="1:5">
      <c r="A28617" t="s">
        <v>33292</v>
      </c>
      <c r="B28617" t="s">
        <v>33299</v>
      </c>
      <c r="C28617">
        <v>0</v>
      </c>
      <c r="D28617">
        <v>0.95109530190900005</v>
      </c>
      <c r="E28617">
        <v>0.65967016491754105</v>
      </c>
    </row>
    <row r="28618" spans="1:5">
      <c r="A28618" t="s">
        <v>33292</v>
      </c>
      <c r="B28618" t="s">
        <v>33300</v>
      </c>
      <c r="C28618">
        <v>0</v>
      </c>
      <c r="D28618">
        <v>0.95109530190900005</v>
      </c>
      <c r="E28618">
        <v>0.65967016491754105</v>
      </c>
    </row>
    <row r="28619" spans="1:5">
      <c r="A28619" t="s">
        <v>33301</v>
      </c>
      <c r="B28619" t="s">
        <v>33302</v>
      </c>
      <c r="C28619">
        <v>0</v>
      </c>
      <c r="D28619" t="s">
        <v>106</v>
      </c>
      <c r="E28619">
        <v>15.5082458770614</v>
      </c>
    </row>
    <row r="28620" spans="1:5">
      <c r="A28620" t="s">
        <v>33301</v>
      </c>
      <c r="B28620" t="s">
        <v>33303</v>
      </c>
      <c r="C28620">
        <v>0</v>
      </c>
      <c r="D28620" t="s">
        <v>106</v>
      </c>
      <c r="E28620">
        <v>15.5082458770614</v>
      </c>
    </row>
    <row r="28621" spans="1:5">
      <c r="A28621" t="s">
        <v>33301</v>
      </c>
      <c r="B28621" t="s">
        <v>33304</v>
      </c>
      <c r="C28621">
        <v>0</v>
      </c>
      <c r="D28621" t="s">
        <v>106</v>
      </c>
      <c r="E28621">
        <v>15.5082458770614</v>
      </c>
    </row>
    <row r="28622" spans="1:5">
      <c r="A28622" t="s">
        <v>33301</v>
      </c>
      <c r="B28622" t="s">
        <v>33305</v>
      </c>
      <c r="C28622">
        <f>0</f>
        <v>0</v>
      </c>
      <c r="D28622" t="s">
        <v>106</v>
      </c>
      <c r="E28622">
        <v>15.5082458770614</v>
      </c>
    </row>
    <row r="28623" spans="1:5">
      <c r="A28623" t="s">
        <v>33301</v>
      </c>
      <c r="B28623" t="s">
        <v>33306</v>
      </c>
      <c r="C28623">
        <v>0</v>
      </c>
      <c r="D28623" t="s">
        <v>106</v>
      </c>
      <c r="E28623">
        <v>15.5082458770614</v>
      </c>
    </row>
    <row r="28624" spans="1:5">
      <c r="A28624" t="s">
        <v>33307</v>
      </c>
      <c r="B28624" t="s">
        <v>33308</v>
      </c>
      <c r="C28624">
        <v>0</v>
      </c>
      <c r="D28624">
        <v>0.990535741129</v>
      </c>
      <c r="E28624">
        <v>4.9055472263868003</v>
      </c>
    </row>
    <row r="28625" spans="1:5">
      <c r="A28625" t="s">
        <v>33307</v>
      </c>
      <c r="B28625" t="s">
        <v>33309</v>
      </c>
      <c r="C28625">
        <f>0</f>
        <v>0</v>
      </c>
      <c r="D28625">
        <v>0.990535741129</v>
      </c>
      <c r="E28625">
        <v>4.9055472263868003</v>
      </c>
    </row>
    <row r="28626" spans="1:5">
      <c r="A28626" t="s">
        <v>33307</v>
      </c>
      <c r="B28626" t="s">
        <v>33310</v>
      </c>
      <c r="C28626">
        <v>0</v>
      </c>
      <c r="D28626">
        <v>0.990535741129</v>
      </c>
      <c r="E28626">
        <v>4.9055472263868003</v>
      </c>
    </row>
    <row r="28627" spans="1:5">
      <c r="A28627" t="s">
        <v>33307</v>
      </c>
      <c r="B28627" t="s">
        <v>33311</v>
      </c>
      <c r="C28627">
        <v>0</v>
      </c>
      <c r="D28627">
        <v>0.990535741129</v>
      </c>
      <c r="E28627">
        <v>4.9055472263868003</v>
      </c>
    </row>
    <row r="28628" spans="1:5">
      <c r="A28628" t="s">
        <v>33307</v>
      </c>
      <c r="B28628" t="s">
        <v>33312</v>
      </c>
      <c r="C28628">
        <v>9.2104917730299996E-2</v>
      </c>
      <c r="D28628">
        <v>0.990535741129</v>
      </c>
      <c r="E28628">
        <v>4.9055472263868003</v>
      </c>
    </row>
    <row r="28629" spans="1:5">
      <c r="A28629" t="s">
        <v>33307</v>
      </c>
      <c r="B28629" t="s">
        <v>33313</v>
      </c>
      <c r="C28629">
        <v>0</v>
      </c>
      <c r="D28629">
        <v>0.990535741129</v>
      </c>
      <c r="E28629">
        <v>4.9055472263868003</v>
      </c>
    </row>
    <row r="28630" spans="1:5">
      <c r="A28630" t="s">
        <v>33307</v>
      </c>
      <c r="B28630" t="s">
        <v>33314</v>
      </c>
      <c r="C28630">
        <f>0.0419955011973</f>
        <v>4.19955011973E-2</v>
      </c>
      <c r="D28630">
        <v>0.990535741129</v>
      </c>
      <c r="E28630">
        <v>4.9055472263868003</v>
      </c>
    </row>
    <row r="28631" spans="1:5">
      <c r="A28631" t="s">
        <v>33315</v>
      </c>
      <c r="B28631" t="s">
        <v>33316</v>
      </c>
      <c r="C28631">
        <v>0</v>
      </c>
      <c r="D28631">
        <v>0.99043096267099995</v>
      </c>
      <c r="E28631">
        <v>7.1964017991004496</v>
      </c>
    </row>
    <row r="28632" spans="1:5">
      <c r="A28632" t="s">
        <v>33315</v>
      </c>
      <c r="B28632" t="s">
        <v>33317</v>
      </c>
      <c r="C28632">
        <f>0</f>
        <v>0</v>
      </c>
      <c r="D28632">
        <v>0.99043096267099995</v>
      </c>
      <c r="E28632">
        <v>7.1964017991004496</v>
      </c>
    </row>
    <row r="28633" spans="1:5">
      <c r="A28633" t="s">
        <v>33315</v>
      </c>
      <c r="B28633" t="s">
        <v>33318</v>
      </c>
      <c r="C28633">
        <f>0.350380067805</f>
        <v>0.35038006780499997</v>
      </c>
      <c r="D28633">
        <v>0.99043096267099995</v>
      </c>
      <c r="E28633">
        <v>7.1964017991004496</v>
      </c>
    </row>
    <row r="28634" spans="1:5">
      <c r="A28634" t="s">
        <v>33315</v>
      </c>
      <c r="B28634" t="s">
        <v>33319</v>
      </c>
      <c r="C28634">
        <f>0</f>
        <v>0</v>
      </c>
      <c r="D28634">
        <v>0.99043096267099995</v>
      </c>
      <c r="E28634">
        <v>7.1964017991004496</v>
      </c>
    </row>
    <row r="28635" spans="1:5">
      <c r="A28635" t="s">
        <v>33315</v>
      </c>
      <c r="B28635" t="s">
        <v>33320</v>
      </c>
      <c r="C28635">
        <f>0</f>
        <v>0</v>
      </c>
      <c r="D28635">
        <v>0.99043096267099995</v>
      </c>
      <c r="E28635">
        <v>7.1964017991004496</v>
      </c>
    </row>
    <row r="28636" spans="1:5">
      <c r="A28636" t="s">
        <v>33315</v>
      </c>
      <c r="B28636" t="s">
        <v>33321</v>
      </c>
      <c r="C28636">
        <v>4.62491326445E-2</v>
      </c>
      <c r="D28636">
        <v>0.99043096267099995</v>
      </c>
      <c r="E28636">
        <v>7.1964017991004496</v>
      </c>
    </row>
    <row r="28637" spans="1:5">
      <c r="A28637" t="s">
        <v>33322</v>
      </c>
      <c r="B28637" t="s">
        <v>33323</v>
      </c>
      <c r="C28637">
        <v>0.22269621332100001</v>
      </c>
      <c r="D28637">
        <v>0.98689620114800003</v>
      </c>
      <c r="E28637">
        <v>9.0194902548725597</v>
      </c>
    </row>
    <row r="28638" spans="1:5">
      <c r="A28638" t="s">
        <v>33322</v>
      </c>
      <c r="B28638" t="s">
        <v>33324</v>
      </c>
      <c r="C28638">
        <v>0</v>
      </c>
      <c r="D28638">
        <v>0.98689620114800003</v>
      </c>
      <c r="E28638">
        <v>9.0194902548725597</v>
      </c>
    </row>
    <row r="28639" spans="1:5">
      <c r="A28639" t="s">
        <v>33322</v>
      </c>
      <c r="B28639" t="s">
        <v>33325</v>
      </c>
      <c r="C28639">
        <v>0</v>
      </c>
      <c r="D28639">
        <v>0.98689620114800003</v>
      </c>
      <c r="E28639">
        <v>9.0194902548725597</v>
      </c>
    </row>
    <row r="28640" spans="1:5">
      <c r="A28640" t="s">
        <v>33322</v>
      </c>
      <c r="B28640" t="s">
        <v>33326</v>
      </c>
      <c r="C28640">
        <v>0</v>
      </c>
      <c r="D28640">
        <v>0.98689620114800003</v>
      </c>
      <c r="E28640">
        <v>9.0194902548725597</v>
      </c>
    </row>
    <row r="28641" spans="1:5">
      <c r="A28641" t="s">
        <v>33322</v>
      </c>
      <c r="B28641" t="s">
        <v>33327</v>
      </c>
      <c r="C28641">
        <v>0</v>
      </c>
      <c r="D28641">
        <v>0.98689620114800003</v>
      </c>
      <c r="E28641">
        <v>9.0194902548725597</v>
      </c>
    </row>
    <row r="28642" spans="1:5">
      <c r="A28642" t="s">
        <v>33322</v>
      </c>
      <c r="B28642" t="s">
        <v>33328</v>
      </c>
      <c r="C28642">
        <v>0</v>
      </c>
      <c r="D28642">
        <v>0.98689620114800003</v>
      </c>
      <c r="E28642">
        <v>9.0194902548725597</v>
      </c>
    </row>
    <row r="28643" spans="1:5">
      <c r="A28643" t="s">
        <v>33322</v>
      </c>
      <c r="B28643" t="s">
        <v>33329</v>
      </c>
      <c r="C28643">
        <v>0.123304857755</v>
      </c>
      <c r="D28643">
        <v>0.98689620114800003</v>
      </c>
      <c r="E28643">
        <v>9.0194902548725597</v>
      </c>
    </row>
    <row r="28644" spans="1:5">
      <c r="A28644" t="s">
        <v>33322</v>
      </c>
      <c r="B28644" t="s">
        <v>33330</v>
      </c>
      <c r="C28644">
        <v>0</v>
      </c>
      <c r="D28644">
        <v>0.98689620114800003</v>
      </c>
      <c r="E28644">
        <v>9.0194902548725597</v>
      </c>
    </row>
    <row r="28645" spans="1:5">
      <c r="A28645" t="s">
        <v>33331</v>
      </c>
      <c r="B28645" t="s">
        <v>33332</v>
      </c>
      <c r="C28645">
        <v>3.4521842586200002E-2</v>
      </c>
      <c r="D28645">
        <v>0.91152079669200003</v>
      </c>
      <c r="E28645">
        <v>6.0569715142428704</v>
      </c>
    </row>
    <row r="28646" spans="1:5">
      <c r="A28646" t="s">
        <v>33333</v>
      </c>
      <c r="B28646" t="s">
        <v>33334</v>
      </c>
      <c r="C28646">
        <v>0.199744548253</v>
      </c>
      <c r="D28646">
        <v>0.99722664070900002</v>
      </c>
      <c r="E28646">
        <v>1.22338830584707</v>
      </c>
    </row>
    <row r="28647" spans="1:5">
      <c r="A28647" t="s">
        <v>33333</v>
      </c>
      <c r="B28647" t="s">
        <v>33335</v>
      </c>
      <c r="C28647">
        <v>0.55707968377299999</v>
      </c>
      <c r="D28647">
        <v>0.99722664070900002</v>
      </c>
      <c r="E28647">
        <v>1.22338830584707</v>
      </c>
    </row>
    <row r="28648" spans="1:5">
      <c r="A28648" t="s">
        <v>33336</v>
      </c>
      <c r="B28648" t="s">
        <v>33337</v>
      </c>
      <c r="C28648">
        <v>0</v>
      </c>
      <c r="D28648">
        <v>0.99888758037199998</v>
      </c>
      <c r="E28648">
        <v>1.51124437781109</v>
      </c>
    </row>
    <row r="28649" spans="1:5">
      <c r="A28649" t="s">
        <v>33336</v>
      </c>
      <c r="B28649" t="s">
        <v>33338</v>
      </c>
      <c r="C28649">
        <f>0</f>
        <v>0</v>
      </c>
      <c r="D28649">
        <v>0.99888758037199998</v>
      </c>
      <c r="E28649">
        <v>1.51124437781109</v>
      </c>
    </row>
    <row r="28650" spans="1:5">
      <c r="A28650" t="s">
        <v>33336</v>
      </c>
      <c r="B28650" t="s">
        <v>33339</v>
      </c>
      <c r="C28650">
        <v>0</v>
      </c>
      <c r="D28650">
        <v>0.99888758037199998</v>
      </c>
      <c r="E28650">
        <v>1.51124437781109</v>
      </c>
    </row>
    <row r="28651" spans="1:5">
      <c r="A28651" t="s">
        <v>33336</v>
      </c>
      <c r="B28651" t="s">
        <v>33340</v>
      </c>
      <c r="C28651">
        <v>0</v>
      </c>
      <c r="D28651">
        <v>0.99888758037199998</v>
      </c>
      <c r="E28651">
        <v>1.51124437781109</v>
      </c>
    </row>
    <row r="28652" spans="1:5">
      <c r="A28652" t="s">
        <v>33336</v>
      </c>
      <c r="B28652" t="s">
        <v>33341</v>
      </c>
      <c r="C28652">
        <v>0.577722969862</v>
      </c>
      <c r="D28652">
        <v>0.99888758037199998</v>
      </c>
      <c r="E28652">
        <v>1.51124437781109</v>
      </c>
    </row>
    <row r="28653" spans="1:5">
      <c r="A28653" t="s">
        <v>33336</v>
      </c>
      <c r="B28653" t="s">
        <v>33342</v>
      </c>
      <c r="C28653">
        <v>0.153967161539</v>
      </c>
      <c r="D28653">
        <v>0.99888758037199998</v>
      </c>
      <c r="E28653">
        <v>1.51124437781109</v>
      </c>
    </row>
    <row r="28654" spans="1:5">
      <c r="A28654" t="s">
        <v>33343</v>
      </c>
      <c r="B28654" t="s">
        <v>33344</v>
      </c>
      <c r="C28654">
        <f>0</f>
        <v>0</v>
      </c>
      <c r="D28654">
        <v>0.920531256119</v>
      </c>
      <c r="E28654">
        <v>9.4632683658170897</v>
      </c>
    </row>
    <row r="28655" spans="1:5">
      <c r="A28655" t="s">
        <v>33343</v>
      </c>
      <c r="B28655" t="s">
        <v>33345</v>
      </c>
      <c r="C28655">
        <f>0</f>
        <v>0</v>
      </c>
      <c r="D28655">
        <v>0.920531256119</v>
      </c>
      <c r="E28655">
        <v>9.4632683658170897</v>
      </c>
    </row>
    <row r="28656" spans="1:5">
      <c r="A28656" t="s">
        <v>33343</v>
      </c>
      <c r="B28656" t="s">
        <v>33346</v>
      </c>
      <c r="C28656">
        <v>9.7821902486700002E-2</v>
      </c>
      <c r="D28656">
        <v>0.920531256119</v>
      </c>
      <c r="E28656">
        <v>9.4632683658170897</v>
      </c>
    </row>
    <row r="28657" spans="1:5">
      <c r="A28657" t="s">
        <v>33343</v>
      </c>
      <c r="B28657" t="s">
        <v>33347</v>
      </c>
      <c r="C28657">
        <v>0</v>
      </c>
      <c r="D28657">
        <v>0.920531256119</v>
      </c>
      <c r="E28657">
        <v>9.4632683658170897</v>
      </c>
    </row>
    <row r="28658" spans="1:5">
      <c r="A28658" t="s">
        <v>33343</v>
      </c>
      <c r="B28658" t="s">
        <v>33348</v>
      </c>
      <c r="C28658">
        <v>0</v>
      </c>
      <c r="D28658">
        <v>0.920531256119</v>
      </c>
      <c r="E28658">
        <v>9.4632683658170897</v>
      </c>
    </row>
    <row r="28659" spans="1:5">
      <c r="A28659" t="s">
        <v>33343</v>
      </c>
      <c r="B28659" t="s">
        <v>33349</v>
      </c>
      <c r="C28659">
        <f>0</f>
        <v>0</v>
      </c>
      <c r="D28659">
        <v>0.920531256119</v>
      </c>
      <c r="E28659">
        <v>9.4632683658170897</v>
      </c>
    </row>
    <row r="28660" spans="1:5">
      <c r="A28660" t="s">
        <v>33350</v>
      </c>
      <c r="B28660" t="s">
        <v>33351</v>
      </c>
      <c r="C28660">
        <v>3.8798336347099997E-2</v>
      </c>
      <c r="D28660" t="s">
        <v>106</v>
      </c>
      <c r="E28660">
        <v>16.695652173913</v>
      </c>
    </row>
    <row r="28661" spans="1:5">
      <c r="A28661" t="s">
        <v>33350</v>
      </c>
      <c r="B28661" t="s">
        <v>33352</v>
      </c>
      <c r="C28661">
        <v>0.129482588639</v>
      </c>
      <c r="D28661" t="s">
        <v>106</v>
      </c>
      <c r="E28661">
        <v>16.695652173913</v>
      </c>
    </row>
    <row r="28662" spans="1:5">
      <c r="A28662" t="s">
        <v>33353</v>
      </c>
      <c r="B28662" t="s">
        <v>33354</v>
      </c>
      <c r="C28662">
        <f>0.178604626761</f>
        <v>0.178604626761</v>
      </c>
      <c r="D28662">
        <v>0.71201675087299998</v>
      </c>
      <c r="E28662">
        <v>22.5727136431784</v>
      </c>
    </row>
    <row r="28663" spans="1:5">
      <c r="A28663" t="s">
        <v>33353</v>
      </c>
      <c r="B28663" t="s">
        <v>33355</v>
      </c>
      <c r="C28663">
        <f>0</f>
        <v>0</v>
      </c>
      <c r="D28663">
        <v>0.71201675087299998</v>
      </c>
      <c r="E28663">
        <v>22.5727136431784</v>
      </c>
    </row>
    <row r="28664" spans="1:5">
      <c r="A28664" t="s">
        <v>33353</v>
      </c>
      <c r="B28664" t="s">
        <v>33356</v>
      </c>
      <c r="C28664">
        <v>3.6708095105599997E-2</v>
      </c>
      <c r="D28664">
        <v>0.71201675087299998</v>
      </c>
      <c r="E28664">
        <v>22.5727136431784</v>
      </c>
    </row>
    <row r="28665" spans="1:5">
      <c r="A28665" t="s">
        <v>33357</v>
      </c>
      <c r="B28665" t="s">
        <v>33358</v>
      </c>
      <c r="C28665">
        <v>0.36538115595300003</v>
      </c>
      <c r="D28665">
        <v>0.97739569227699996</v>
      </c>
      <c r="E28665">
        <v>10.230884557721099</v>
      </c>
    </row>
    <row r="28666" spans="1:5">
      <c r="A28666" t="s">
        <v>33359</v>
      </c>
      <c r="B28666" t="s">
        <v>33360</v>
      </c>
      <c r="C28666">
        <v>9.8604305877199993E-3</v>
      </c>
      <c r="D28666">
        <v>0.99918917711699995</v>
      </c>
      <c r="E28666">
        <v>9.1634182908545707</v>
      </c>
    </row>
    <row r="28667" spans="1:5">
      <c r="A28667" t="s">
        <v>33359</v>
      </c>
      <c r="B28667" t="s">
        <v>33361</v>
      </c>
      <c r="C28667">
        <v>5.1177607638999999E-2</v>
      </c>
      <c r="D28667">
        <v>0.99918917711699995</v>
      </c>
      <c r="E28667">
        <v>9.1634182908545707</v>
      </c>
    </row>
    <row r="28668" spans="1:5">
      <c r="A28668" t="s">
        <v>33359</v>
      </c>
      <c r="B28668" t="s">
        <v>33362</v>
      </c>
      <c r="C28668">
        <v>0</v>
      </c>
      <c r="D28668">
        <v>0.99918917711699995</v>
      </c>
      <c r="E28668">
        <v>9.1634182908545707</v>
      </c>
    </row>
    <row r="28669" spans="1:5">
      <c r="A28669" t="s">
        <v>33363</v>
      </c>
      <c r="B28669" t="s">
        <v>33364</v>
      </c>
      <c r="C28669">
        <f>0</f>
        <v>0</v>
      </c>
      <c r="D28669" t="s">
        <v>106</v>
      </c>
      <c r="E28669">
        <v>4.3778110944527704</v>
      </c>
    </row>
    <row r="28670" spans="1:5">
      <c r="A28670" t="s">
        <v>33363</v>
      </c>
      <c r="B28670" t="s">
        <v>33365</v>
      </c>
      <c r="C28670">
        <v>0</v>
      </c>
      <c r="D28670" t="s">
        <v>106</v>
      </c>
      <c r="E28670">
        <v>4.3778110944527704</v>
      </c>
    </row>
    <row r="28671" spans="1:5">
      <c r="A28671" t="s">
        <v>33366</v>
      </c>
      <c r="B28671" t="s">
        <v>33367</v>
      </c>
      <c r="C28671">
        <f>0.0187610082379</f>
        <v>1.8761008237900001E-2</v>
      </c>
      <c r="D28671">
        <v>0.85130660667799996</v>
      </c>
      <c r="E28671">
        <v>11.7061469265367</v>
      </c>
    </row>
    <row r="28672" spans="1:5">
      <c r="A28672" t="s">
        <v>33366</v>
      </c>
      <c r="B28672" t="s">
        <v>33368</v>
      </c>
      <c r="C28672">
        <f>0.160930147235</f>
        <v>0.16093014723499999</v>
      </c>
      <c r="D28672">
        <v>0.85130660667799996</v>
      </c>
      <c r="E28672">
        <v>11.7061469265367</v>
      </c>
    </row>
    <row r="28673" spans="1:5">
      <c r="A28673" t="s">
        <v>33366</v>
      </c>
      <c r="B28673" t="s">
        <v>33369</v>
      </c>
      <c r="C28673">
        <f>0</f>
        <v>0</v>
      </c>
      <c r="D28673">
        <v>0.85130660667799996</v>
      </c>
      <c r="E28673">
        <v>11.7061469265367</v>
      </c>
    </row>
    <row r="28674" spans="1:5">
      <c r="A28674" t="s">
        <v>33366</v>
      </c>
      <c r="B28674" t="s">
        <v>33370</v>
      </c>
      <c r="C28674">
        <f>0</f>
        <v>0</v>
      </c>
      <c r="D28674">
        <v>0.85130660667799996</v>
      </c>
      <c r="E28674">
        <v>11.7061469265367</v>
      </c>
    </row>
    <row r="28675" spans="1:5">
      <c r="A28675" t="s">
        <v>33366</v>
      </c>
      <c r="B28675" t="s">
        <v>33371</v>
      </c>
      <c r="C28675">
        <f>0</f>
        <v>0</v>
      </c>
      <c r="D28675">
        <v>0.85130660667799996</v>
      </c>
      <c r="E28675">
        <v>11.7061469265367</v>
      </c>
    </row>
    <row r="28676" spans="1:5">
      <c r="A28676" t="s">
        <v>33372</v>
      </c>
      <c r="B28676" t="s">
        <v>33373</v>
      </c>
      <c r="C28676">
        <f>0</f>
        <v>0</v>
      </c>
      <c r="D28676">
        <v>0.87610622529399995</v>
      </c>
      <c r="E28676">
        <v>9.1634182908545707</v>
      </c>
    </row>
    <row r="28677" spans="1:5">
      <c r="A28677" t="s">
        <v>33372</v>
      </c>
      <c r="B28677" t="s">
        <v>33374</v>
      </c>
      <c r="C28677">
        <v>0</v>
      </c>
      <c r="D28677">
        <v>0.87610622529399995</v>
      </c>
      <c r="E28677">
        <v>9.1634182908545707</v>
      </c>
    </row>
    <row r="28678" spans="1:5">
      <c r="A28678" t="s">
        <v>33372</v>
      </c>
      <c r="B28678" t="s">
        <v>33375</v>
      </c>
      <c r="C28678">
        <v>0.170236404929</v>
      </c>
      <c r="D28678">
        <v>0.87610622529399995</v>
      </c>
      <c r="E28678">
        <v>9.1634182908545707</v>
      </c>
    </row>
    <row r="28679" spans="1:5">
      <c r="A28679" t="s">
        <v>33372</v>
      </c>
      <c r="B28679" t="s">
        <v>33376</v>
      </c>
      <c r="C28679">
        <v>0</v>
      </c>
      <c r="D28679">
        <v>0.87610622529399995</v>
      </c>
      <c r="E28679">
        <v>9.1634182908545707</v>
      </c>
    </row>
    <row r="28680" spans="1:5">
      <c r="A28680" t="s">
        <v>33372</v>
      </c>
      <c r="B28680" t="s">
        <v>33377</v>
      </c>
      <c r="C28680">
        <f>0</f>
        <v>0</v>
      </c>
      <c r="D28680">
        <v>0.87610622529399995</v>
      </c>
      <c r="E28680">
        <v>9.1634182908545707</v>
      </c>
    </row>
    <row r="28681" spans="1:5">
      <c r="A28681" t="s">
        <v>33372</v>
      </c>
      <c r="B28681" t="s">
        <v>33378</v>
      </c>
      <c r="C28681">
        <f>0</f>
        <v>0</v>
      </c>
      <c r="D28681">
        <v>0.87610622529399995</v>
      </c>
      <c r="E28681">
        <v>9.1634182908545707</v>
      </c>
    </row>
    <row r="28682" spans="1:5">
      <c r="A28682" t="s">
        <v>33379</v>
      </c>
      <c r="B28682" t="s">
        <v>33380</v>
      </c>
      <c r="C28682">
        <v>0</v>
      </c>
      <c r="D28682" t="s">
        <v>106</v>
      </c>
      <c r="E28682">
        <v>23.508245877061398</v>
      </c>
    </row>
    <row r="28683" spans="1:5">
      <c r="A28683" t="s">
        <v>33379</v>
      </c>
      <c r="B28683" t="s">
        <v>33381</v>
      </c>
      <c r="C28683">
        <v>0</v>
      </c>
      <c r="D28683" t="s">
        <v>106</v>
      </c>
      <c r="E28683">
        <v>23.508245877061398</v>
      </c>
    </row>
    <row r="28684" spans="1:5">
      <c r="A28684" t="s">
        <v>33379</v>
      </c>
      <c r="B28684" t="s">
        <v>33382</v>
      </c>
      <c r="C28684">
        <f>0.0494533613319</f>
        <v>4.9453361331900002E-2</v>
      </c>
      <c r="D28684" t="s">
        <v>106</v>
      </c>
      <c r="E28684">
        <v>23.508245877061398</v>
      </c>
    </row>
    <row r="28685" spans="1:5">
      <c r="A28685" t="s">
        <v>33379</v>
      </c>
      <c r="B28685" t="s">
        <v>33383</v>
      </c>
      <c r="C28685">
        <f>0</f>
        <v>0</v>
      </c>
      <c r="D28685" t="s">
        <v>106</v>
      </c>
      <c r="E28685">
        <v>23.508245877061398</v>
      </c>
    </row>
    <row r="28686" spans="1:5">
      <c r="A28686" t="s">
        <v>33379</v>
      </c>
      <c r="B28686" t="s">
        <v>33384</v>
      </c>
      <c r="C28686">
        <v>7.76854868783E-2</v>
      </c>
      <c r="D28686" t="s">
        <v>106</v>
      </c>
      <c r="E28686">
        <v>23.508245877061398</v>
      </c>
    </row>
    <row r="28687" spans="1:5">
      <c r="A28687" t="s">
        <v>33385</v>
      </c>
      <c r="B28687" t="s">
        <v>33386</v>
      </c>
      <c r="C28687">
        <v>0</v>
      </c>
      <c r="D28687">
        <v>0.75894899660199999</v>
      </c>
      <c r="E28687">
        <v>1.16341829085457</v>
      </c>
    </row>
    <row r="28688" spans="1:5">
      <c r="A28688" t="s">
        <v>33385</v>
      </c>
      <c r="B28688" t="s">
        <v>33387</v>
      </c>
      <c r="C28688">
        <f>0</f>
        <v>0</v>
      </c>
      <c r="D28688">
        <v>0.75894899660199999</v>
      </c>
      <c r="E28688">
        <v>1.16341829085457</v>
      </c>
    </row>
    <row r="28689" spans="1:5">
      <c r="A28689" t="s">
        <v>33385</v>
      </c>
      <c r="B28689" t="s">
        <v>33388</v>
      </c>
      <c r="C28689">
        <v>0</v>
      </c>
      <c r="D28689">
        <v>0.75894899660199999</v>
      </c>
      <c r="E28689">
        <v>1.16341829085457</v>
      </c>
    </row>
    <row r="28690" spans="1:5">
      <c r="A28690" t="s">
        <v>33385</v>
      </c>
      <c r="B28690" t="s">
        <v>33389</v>
      </c>
      <c r="C28690">
        <v>2.2762969943300002E-2</v>
      </c>
      <c r="D28690">
        <v>0.75894899660199999</v>
      </c>
      <c r="E28690">
        <v>1.16341829085457</v>
      </c>
    </row>
    <row r="28691" spans="1:5">
      <c r="A28691" t="s">
        <v>33390</v>
      </c>
      <c r="B28691" t="s">
        <v>33391</v>
      </c>
      <c r="C28691">
        <v>0.20181240468600001</v>
      </c>
      <c r="D28691">
        <v>0.97486242211600005</v>
      </c>
      <c r="E28691">
        <v>2.6386806596701602</v>
      </c>
    </row>
    <row r="28692" spans="1:5">
      <c r="A28692" t="s">
        <v>33390</v>
      </c>
      <c r="B28692" t="s">
        <v>33392</v>
      </c>
      <c r="C28692">
        <f>0.229361563256</f>
        <v>0.22936156325599999</v>
      </c>
      <c r="D28692">
        <v>0.97486242211600005</v>
      </c>
      <c r="E28692">
        <v>2.6386806596701602</v>
      </c>
    </row>
    <row r="28693" spans="1:5">
      <c r="A28693" t="s">
        <v>33390</v>
      </c>
      <c r="B28693" t="s">
        <v>33393</v>
      </c>
      <c r="C28693">
        <v>0</v>
      </c>
      <c r="D28693">
        <v>0.97486242211600005</v>
      </c>
      <c r="E28693">
        <v>2.6386806596701602</v>
      </c>
    </row>
    <row r="28694" spans="1:5">
      <c r="A28694" t="s">
        <v>33390</v>
      </c>
      <c r="B28694" t="s">
        <v>33394</v>
      </c>
      <c r="C28694">
        <v>0</v>
      </c>
      <c r="D28694">
        <v>0.97486242211600005</v>
      </c>
      <c r="E28694">
        <v>2.6386806596701602</v>
      </c>
    </row>
    <row r="28695" spans="1:5">
      <c r="A28695" t="s">
        <v>33395</v>
      </c>
      <c r="B28695" t="s">
        <v>33396</v>
      </c>
      <c r="C28695">
        <v>0</v>
      </c>
      <c r="D28695">
        <v>0.95923718372699995</v>
      </c>
      <c r="E28695">
        <v>21.8770614692653</v>
      </c>
    </row>
    <row r="28696" spans="1:5">
      <c r="A28696" t="s">
        <v>33395</v>
      </c>
      <c r="B28696" t="s">
        <v>33397</v>
      </c>
      <c r="C28696">
        <v>7.87930377494E-3</v>
      </c>
      <c r="D28696">
        <v>0.95923718372699995</v>
      </c>
      <c r="E28696">
        <v>21.8770614692653</v>
      </c>
    </row>
    <row r="28697" spans="1:5">
      <c r="A28697" t="s">
        <v>33395</v>
      </c>
      <c r="B28697" t="s">
        <v>33398</v>
      </c>
      <c r="C28697">
        <f>0</f>
        <v>0</v>
      </c>
      <c r="D28697">
        <v>0.95923718372699995</v>
      </c>
      <c r="E28697">
        <v>21.8770614692653</v>
      </c>
    </row>
    <row r="28698" spans="1:5">
      <c r="A28698" t="s">
        <v>33395</v>
      </c>
      <c r="B28698" t="s">
        <v>33399</v>
      </c>
      <c r="C28698">
        <f>0</f>
        <v>0</v>
      </c>
      <c r="D28698">
        <v>0.95923718372699995</v>
      </c>
      <c r="E28698">
        <v>21.8770614692653</v>
      </c>
    </row>
    <row r="28699" spans="1:5">
      <c r="A28699" t="s">
        <v>33395</v>
      </c>
      <c r="B28699" t="s">
        <v>33400</v>
      </c>
      <c r="C28699">
        <f>0.111721151078</f>
        <v>0.111721151078</v>
      </c>
      <c r="D28699">
        <v>0.95923718372699995</v>
      </c>
      <c r="E28699">
        <v>21.8770614692653</v>
      </c>
    </row>
    <row r="28700" spans="1:5">
      <c r="A28700" t="s">
        <v>33395</v>
      </c>
      <c r="B28700" t="s">
        <v>33401</v>
      </c>
      <c r="C28700">
        <v>0</v>
      </c>
      <c r="D28700">
        <v>0.95923718372699995</v>
      </c>
      <c r="E28700">
        <v>21.8770614692653</v>
      </c>
    </row>
    <row r="28701" spans="1:5">
      <c r="A28701" t="s">
        <v>33395</v>
      </c>
      <c r="B28701" t="s">
        <v>33402</v>
      </c>
      <c r="C28701">
        <v>0</v>
      </c>
      <c r="D28701">
        <v>0.95923718372699995</v>
      </c>
      <c r="E28701">
        <v>21.8770614692653</v>
      </c>
    </row>
    <row r="28702" spans="1:5">
      <c r="A28702" t="s">
        <v>33395</v>
      </c>
      <c r="B28702" t="s">
        <v>33403</v>
      </c>
      <c r="C28702">
        <f>0</f>
        <v>0</v>
      </c>
      <c r="D28702">
        <v>0.95923718372699995</v>
      </c>
      <c r="E28702">
        <v>21.8770614692653</v>
      </c>
    </row>
    <row r="28703" spans="1:5">
      <c r="A28703" t="s">
        <v>33395</v>
      </c>
      <c r="B28703" t="s">
        <v>33404</v>
      </c>
      <c r="C28703">
        <f>0</f>
        <v>0</v>
      </c>
      <c r="D28703">
        <v>0.95923718372699995</v>
      </c>
      <c r="E28703">
        <v>21.8770614692653</v>
      </c>
    </row>
    <row r="28704" spans="1:5">
      <c r="A28704" t="s">
        <v>33395</v>
      </c>
      <c r="B28704" t="s">
        <v>33405</v>
      </c>
      <c r="C28704">
        <f>0</f>
        <v>0</v>
      </c>
      <c r="D28704">
        <v>0.95923718372699995</v>
      </c>
      <c r="E28704">
        <v>21.8770614692653</v>
      </c>
    </row>
    <row r="28705" spans="1:5">
      <c r="A28705" t="s">
        <v>33406</v>
      </c>
      <c r="B28705" t="s">
        <v>33407</v>
      </c>
      <c r="C28705">
        <v>6.5074257530600005E-2</v>
      </c>
      <c r="D28705">
        <v>0.98078479137200003</v>
      </c>
      <c r="E28705">
        <v>8.2878560719640095</v>
      </c>
    </row>
    <row r="28706" spans="1:5">
      <c r="A28706" t="s">
        <v>33406</v>
      </c>
      <c r="B28706" t="s">
        <v>33408</v>
      </c>
      <c r="C28706">
        <v>0</v>
      </c>
      <c r="D28706">
        <v>0.98078479137200003</v>
      </c>
      <c r="E28706">
        <v>8.2878560719640095</v>
      </c>
    </row>
    <row r="28707" spans="1:5">
      <c r="A28707" t="s">
        <v>33406</v>
      </c>
      <c r="B28707" t="s">
        <v>33409</v>
      </c>
      <c r="C28707">
        <f>0</f>
        <v>0</v>
      </c>
      <c r="D28707">
        <v>0.98078479137200003</v>
      </c>
      <c r="E28707">
        <v>8.2878560719640095</v>
      </c>
    </row>
    <row r="28708" spans="1:5">
      <c r="A28708" t="s">
        <v>33406</v>
      </c>
      <c r="B28708" t="s">
        <v>33410</v>
      </c>
      <c r="C28708">
        <f>0</f>
        <v>0</v>
      </c>
      <c r="D28708">
        <v>0.98078479137200003</v>
      </c>
      <c r="E28708">
        <v>8.2878560719640095</v>
      </c>
    </row>
    <row r="28709" spans="1:5">
      <c r="A28709" t="s">
        <v>33406</v>
      </c>
      <c r="B28709" t="s">
        <v>33411</v>
      </c>
      <c r="C28709">
        <v>0</v>
      </c>
      <c r="D28709">
        <v>0.98078479137200003</v>
      </c>
      <c r="E28709">
        <v>8.2878560719640095</v>
      </c>
    </row>
    <row r="28710" spans="1:5">
      <c r="A28710" t="s">
        <v>33406</v>
      </c>
      <c r="B28710" t="s">
        <v>33412</v>
      </c>
      <c r="C28710">
        <v>0.47966326720899999</v>
      </c>
      <c r="D28710">
        <v>0.98078479137200003</v>
      </c>
      <c r="E28710">
        <v>8.2878560719640095</v>
      </c>
    </row>
    <row r="28711" spans="1:5">
      <c r="A28711" t="s">
        <v>33406</v>
      </c>
      <c r="B28711" t="s">
        <v>33413</v>
      </c>
      <c r="C28711">
        <v>0</v>
      </c>
      <c r="D28711">
        <v>0.98078479137200003</v>
      </c>
      <c r="E28711">
        <v>8.2878560719640095</v>
      </c>
    </row>
    <row r="28712" spans="1:5">
      <c r="A28712" t="s">
        <v>33406</v>
      </c>
      <c r="B28712" t="s">
        <v>33414</v>
      </c>
      <c r="C28712">
        <v>0</v>
      </c>
      <c r="D28712">
        <v>0.98078479137200003</v>
      </c>
      <c r="E28712">
        <v>8.2878560719640095</v>
      </c>
    </row>
    <row r="28713" spans="1:5">
      <c r="A28713" t="s">
        <v>33406</v>
      </c>
      <c r="B28713" t="s">
        <v>33415</v>
      </c>
      <c r="C28713">
        <f>0</f>
        <v>0</v>
      </c>
      <c r="D28713">
        <v>0.98078479137200003</v>
      </c>
      <c r="E28713">
        <v>8.2878560719640095</v>
      </c>
    </row>
    <row r="28714" spans="1:5">
      <c r="A28714" t="s">
        <v>33416</v>
      </c>
      <c r="B28714" t="s">
        <v>33417</v>
      </c>
      <c r="C28714">
        <f>0</f>
        <v>0</v>
      </c>
      <c r="D28714">
        <v>0.89511520911999998</v>
      </c>
      <c r="E28714">
        <v>0.40779610194902499</v>
      </c>
    </row>
    <row r="28715" spans="1:5">
      <c r="A28715" t="s">
        <v>33416</v>
      </c>
      <c r="B28715" t="s">
        <v>33418</v>
      </c>
      <c r="C28715">
        <v>0.40811963547300001</v>
      </c>
      <c r="D28715">
        <v>0.89511520911999998</v>
      </c>
      <c r="E28715">
        <v>0.40779610194902499</v>
      </c>
    </row>
    <row r="28716" spans="1:5">
      <c r="A28716" t="s">
        <v>33416</v>
      </c>
      <c r="B28716" t="s">
        <v>33419</v>
      </c>
      <c r="C28716">
        <v>0</v>
      </c>
      <c r="D28716">
        <v>0.89511520911999998</v>
      </c>
      <c r="E28716">
        <v>0.40779610194902499</v>
      </c>
    </row>
    <row r="28717" spans="1:5">
      <c r="A28717" t="s">
        <v>33416</v>
      </c>
      <c r="B28717" t="s">
        <v>33420</v>
      </c>
      <c r="C28717">
        <v>0</v>
      </c>
      <c r="D28717">
        <v>0.89511520911999998</v>
      </c>
      <c r="E28717">
        <v>0.40779610194902499</v>
      </c>
    </row>
    <row r="28718" spans="1:5">
      <c r="A28718" t="s">
        <v>33416</v>
      </c>
      <c r="B28718" t="s">
        <v>33421</v>
      </c>
      <c r="C28718">
        <v>0</v>
      </c>
      <c r="D28718">
        <v>0.89511520911999998</v>
      </c>
      <c r="E28718">
        <v>0.40779610194902499</v>
      </c>
    </row>
    <row r="28719" spans="1:5">
      <c r="A28719" t="s">
        <v>33416</v>
      </c>
      <c r="B28719" t="s">
        <v>33422</v>
      </c>
      <c r="C28719">
        <v>3.7483063883600003E-2</v>
      </c>
      <c r="D28719">
        <v>0.89511520911999998</v>
      </c>
      <c r="E28719">
        <v>0.40779610194902499</v>
      </c>
    </row>
    <row r="28720" spans="1:5">
      <c r="A28720" t="s">
        <v>33416</v>
      </c>
      <c r="B28720" t="s">
        <v>33423</v>
      </c>
      <c r="C28720">
        <v>0</v>
      </c>
      <c r="D28720">
        <v>0.89511520911999998</v>
      </c>
      <c r="E28720">
        <v>0.40779610194902499</v>
      </c>
    </row>
    <row r="28721" spans="1:5">
      <c r="A28721" t="s">
        <v>33416</v>
      </c>
      <c r="B28721" t="s">
        <v>33424</v>
      </c>
      <c r="C28721">
        <v>0</v>
      </c>
      <c r="D28721">
        <v>0.89511520911999998</v>
      </c>
      <c r="E28721">
        <v>0.40779610194902499</v>
      </c>
    </row>
    <row r="28722" spans="1:5">
      <c r="A28722" t="s">
        <v>33416</v>
      </c>
      <c r="B28722" t="s">
        <v>33425</v>
      </c>
      <c r="C28722">
        <v>0</v>
      </c>
      <c r="D28722">
        <v>0.89511520911999998</v>
      </c>
      <c r="E28722">
        <v>0.40779610194902499</v>
      </c>
    </row>
    <row r="28723" spans="1:5">
      <c r="A28723" t="s">
        <v>33416</v>
      </c>
      <c r="B28723" t="s">
        <v>33426</v>
      </c>
      <c r="C28723">
        <v>0</v>
      </c>
      <c r="D28723">
        <v>0.89511520911999998</v>
      </c>
      <c r="E28723">
        <v>0.40779610194902499</v>
      </c>
    </row>
    <row r="28724" spans="1:5">
      <c r="A28724" t="s">
        <v>33427</v>
      </c>
      <c r="B28724" t="s">
        <v>33428</v>
      </c>
      <c r="C28724">
        <v>0.29838533215099999</v>
      </c>
      <c r="D28724">
        <v>0.98361575005699997</v>
      </c>
      <c r="E28724">
        <v>9.7631184407796106</v>
      </c>
    </row>
    <row r="28725" spans="1:5">
      <c r="A28725" t="s">
        <v>33429</v>
      </c>
      <c r="B28725" t="s">
        <v>33430</v>
      </c>
      <c r="C28725">
        <v>0</v>
      </c>
      <c r="D28725">
        <v>0.89659065817700001</v>
      </c>
      <c r="E28725">
        <v>11.5382308845577</v>
      </c>
    </row>
    <row r="28726" spans="1:5">
      <c r="A28726" t="s">
        <v>33429</v>
      </c>
      <c r="B28726" t="s">
        <v>33431</v>
      </c>
      <c r="C28726">
        <v>0</v>
      </c>
      <c r="D28726">
        <v>0.89659065817700001</v>
      </c>
      <c r="E28726">
        <v>11.5382308845577</v>
      </c>
    </row>
    <row r="28727" spans="1:5">
      <c r="A28727" t="s">
        <v>33429</v>
      </c>
      <c r="B28727" t="s">
        <v>33432</v>
      </c>
      <c r="C28727">
        <v>0.12257625014699999</v>
      </c>
      <c r="D28727">
        <v>0.89659065817700001</v>
      </c>
      <c r="E28727">
        <v>11.5382308845577</v>
      </c>
    </row>
    <row r="28728" spans="1:5">
      <c r="A28728" t="s">
        <v>33429</v>
      </c>
      <c r="B28728" t="s">
        <v>33433</v>
      </c>
      <c r="C28728">
        <v>0</v>
      </c>
      <c r="D28728">
        <v>0.89659065817700001</v>
      </c>
      <c r="E28728">
        <v>11.5382308845577</v>
      </c>
    </row>
    <row r="28729" spans="1:5">
      <c r="A28729" t="s">
        <v>33429</v>
      </c>
      <c r="B28729" t="s">
        <v>33434</v>
      </c>
      <c r="C28729">
        <v>0</v>
      </c>
      <c r="D28729">
        <v>0.89659065817700001</v>
      </c>
      <c r="E28729">
        <v>11.5382308845577</v>
      </c>
    </row>
    <row r="28730" spans="1:5">
      <c r="A28730" t="s">
        <v>33435</v>
      </c>
      <c r="B28730" t="s">
        <v>33436</v>
      </c>
      <c r="C28730">
        <v>0</v>
      </c>
      <c r="D28730">
        <v>0.98349703117499998</v>
      </c>
      <c r="E28730">
        <v>12.5577211394302</v>
      </c>
    </row>
    <row r="28731" spans="1:5">
      <c r="A28731" t="s">
        <v>33435</v>
      </c>
      <c r="B28731" t="s">
        <v>33437</v>
      </c>
      <c r="C28731">
        <v>0.33942960738099998</v>
      </c>
      <c r="D28731">
        <v>0.98349703117499998</v>
      </c>
      <c r="E28731">
        <v>12.5577211394302</v>
      </c>
    </row>
    <row r="28732" spans="1:5">
      <c r="A28732" t="s">
        <v>33435</v>
      </c>
      <c r="B28732" t="s">
        <v>33438</v>
      </c>
      <c r="C28732">
        <v>0</v>
      </c>
      <c r="D28732">
        <v>0.98349703117499998</v>
      </c>
      <c r="E28732">
        <v>12.5577211394302</v>
      </c>
    </row>
    <row r="28733" spans="1:5">
      <c r="A28733" t="s">
        <v>33435</v>
      </c>
      <c r="B28733" t="s">
        <v>33439</v>
      </c>
      <c r="C28733">
        <f>0.15129191183</f>
        <v>0.15129191182999999</v>
      </c>
      <c r="D28733">
        <v>0.98349703117499998</v>
      </c>
      <c r="E28733">
        <v>12.5577211394302</v>
      </c>
    </row>
    <row r="28734" spans="1:5">
      <c r="A28734" t="s">
        <v>33440</v>
      </c>
      <c r="B28734" t="s">
        <v>33441</v>
      </c>
      <c r="C28734">
        <v>0.17888319695499999</v>
      </c>
      <c r="D28734" t="s">
        <v>106</v>
      </c>
      <c r="E28734">
        <v>24</v>
      </c>
    </row>
    <row r="28735" spans="1:5">
      <c r="A28735" t="s">
        <v>33442</v>
      </c>
      <c r="B28735" t="s">
        <v>33443</v>
      </c>
      <c r="C28735">
        <v>0</v>
      </c>
      <c r="D28735" t="s">
        <v>106</v>
      </c>
      <c r="E28735">
        <v>4.1739130434782599</v>
      </c>
    </row>
    <row r="28736" spans="1:5">
      <c r="A28736" t="s">
        <v>33442</v>
      </c>
      <c r="B28736" t="s">
        <v>33444</v>
      </c>
      <c r="C28736">
        <v>0</v>
      </c>
      <c r="D28736" t="s">
        <v>106</v>
      </c>
      <c r="E28736">
        <v>4.1739130434782599</v>
      </c>
    </row>
    <row r="28737" spans="1:5">
      <c r="A28737" t="s">
        <v>33442</v>
      </c>
      <c r="B28737" t="s">
        <v>33445</v>
      </c>
      <c r="C28737">
        <v>0</v>
      </c>
      <c r="D28737" t="s">
        <v>106</v>
      </c>
      <c r="E28737">
        <v>4.1739130434782599</v>
      </c>
    </row>
    <row r="28738" spans="1:5">
      <c r="A28738" t="s">
        <v>33446</v>
      </c>
      <c r="B28738" t="s">
        <v>33447</v>
      </c>
      <c r="C28738">
        <f>0</f>
        <v>0</v>
      </c>
      <c r="D28738">
        <v>0.98453977459800002</v>
      </c>
      <c r="E28738">
        <v>0.53973013493253297</v>
      </c>
    </row>
    <row r="28739" spans="1:5">
      <c r="A28739" t="s">
        <v>33446</v>
      </c>
      <c r="B28739" t="s">
        <v>33448</v>
      </c>
      <c r="C28739">
        <f>0</f>
        <v>0</v>
      </c>
      <c r="D28739">
        <v>0.98453977459800002</v>
      </c>
      <c r="E28739">
        <v>0.53973013493253297</v>
      </c>
    </row>
    <row r="28740" spans="1:5">
      <c r="A28740" t="s">
        <v>33446</v>
      </c>
      <c r="B28740" t="s">
        <v>33449</v>
      </c>
      <c r="C28740">
        <f>0</f>
        <v>0</v>
      </c>
      <c r="D28740">
        <v>0.98453977459800002</v>
      </c>
      <c r="E28740">
        <v>0.53973013493253297</v>
      </c>
    </row>
    <row r="28741" spans="1:5">
      <c r="A28741" t="s">
        <v>33446</v>
      </c>
      <c r="B28741" t="s">
        <v>33450</v>
      </c>
      <c r="C28741">
        <f>0.27216726021</f>
        <v>0.27216726020999998</v>
      </c>
      <c r="D28741">
        <v>0.98453977459800002</v>
      </c>
      <c r="E28741">
        <v>0.53973013493253297</v>
      </c>
    </row>
    <row r="28742" spans="1:5">
      <c r="A28742" t="s">
        <v>33446</v>
      </c>
      <c r="B28742" t="s">
        <v>33451</v>
      </c>
      <c r="C28742">
        <f>0.0601833942712</f>
        <v>6.0183394271200001E-2</v>
      </c>
      <c r="D28742">
        <v>0.98453977459800002</v>
      </c>
      <c r="E28742">
        <v>0.53973013493253297</v>
      </c>
    </row>
    <row r="28743" spans="1:5">
      <c r="A28743" t="s">
        <v>33446</v>
      </c>
      <c r="B28743" t="s">
        <v>33452</v>
      </c>
      <c r="C28743">
        <v>0</v>
      </c>
      <c r="D28743">
        <v>0.98453977459800002</v>
      </c>
      <c r="E28743">
        <v>0.53973013493253297</v>
      </c>
    </row>
    <row r="28744" spans="1:5">
      <c r="A28744" t="s">
        <v>33446</v>
      </c>
      <c r="B28744" t="s">
        <v>33453</v>
      </c>
      <c r="C28744">
        <f>0</f>
        <v>0</v>
      </c>
      <c r="D28744">
        <v>0.98453977459800002</v>
      </c>
      <c r="E28744">
        <v>0.53973013493253297</v>
      </c>
    </row>
    <row r="28745" spans="1:5">
      <c r="A28745" t="s">
        <v>33446</v>
      </c>
      <c r="B28745" t="s">
        <v>33454</v>
      </c>
      <c r="C28745">
        <f>0</f>
        <v>0</v>
      </c>
      <c r="D28745">
        <v>0.98453977459800002</v>
      </c>
      <c r="E28745">
        <v>0.53973013493253297</v>
      </c>
    </row>
    <row r="28746" spans="1:5">
      <c r="A28746" t="s">
        <v>33446</v>
      </c>
      <c r="B28746" t="s">
        <v>33455</v>
      </c>
      <c r="C28746">
        <f>0</f>
        <v>0</v>
      </c>
      <c r="D28746">
        <v>0.98453977459800002</v>
      </c>
      <c r="E28746">
        <v>0.53973013493253297</v>
      </c>
    </row>
    <row r="28747" spans="1:5">
      <c r="A28747" t="s">
        <v>33446</v>
      </c>
      <c r="B28747" t="s">
        <v>33456</v>
      </c>
      <c r="C28747">
        <f>0</f>
        <v>0</v>
      </c>
      <c r="D28747">
        <v>0.98453977459800002</v>
      </c>
      <c r="E28747">
        <v>0.53973013493253297</v>
      </c>
    </row>
    <row r="28748" spans="1:5">
      <c r="A28748" t="s">
        <v>33446</v>
      </c>
      <c r="B28748" t="s">
        <v>33457</v>
      </c>
      <c r="C28748">
        <v>0</v>
      </c>
      <c r="D28748">
        <v>0.98453977459800002</v>
      </c>
      <c r="E28748">
        <v>0.53973013493253297</v>
      </c>
    </row>
    <row r="28749" spans="1:5">
      <c r="A28749" t="s">
        <v>33446</v>
      </c>
      <c r="B28749" t="s">
        <v>33458</v>
      </c>
      <c r="C28749">
        <f>0</f>
        <v>0</v>
      </c>
      <c r="D28749">
        <v>0.98453977459800002</v>
      </c>
      <c r="E28749">
        <v>0.53973013493253297</v>
      </c>
    </row>
    <row r="28750" spans="1:5">
      <c r="A28750" t="s">
        <v>33459</v>
      </c>
      <c r="B28750" t="s">
        <v>33460</v>
      </c>
      <c r="C28750">
        <f>0</f>
        <v>0</v>
      </c>
      <c r="D28750" t="s">
        <v>106</v>
      </c>
      <c r="E28750">
        <v>3.13043478260869</v>
      </c>
    </row>
    <row r="28751" spans="1:5">
      <c r="A28751" t="s">
        <v>33459</v>
      </c>
      <c r="B28751" t="s">
        <v>33461</v>
      </c>
      <c r="C28751">
        <f>0</f>
        <v>0</v>
      </c>
      <c r="D28751" t="s">
        <v>106</v>
      </c>
      <c r="E28751">
        <v>3.13043478260869</v>
      </c>
    </row>
    <row r="28752" spans="1:5">
      <c r="A28752" t="s">
        <v>33459</v>
      </c>
      <c r="B28752" t="s">
        <v>33462</v>
      </c>
      <c r="C28752">
        <f>0</f>
        <v>0</v>
      </c>
      <c r="D28752" t="s">
        <v>106</v>
      </c>
      <c r="E28752">
        <v>3.13043478260869</v>
      </c>
    </row>
    <row r="28753" spans="1:5">
      <c r="A28753" t="s">
        <v>33463</v>
      </c>
      <c r="B28753" t="s">
        <v>33464</v>
      </c>
      <c r="C28753">
        <v>0</v>
      </c>
      <c r="D28753" t="s">
        <v>106</v>
      </c>
      <c r="E28753">
        <v>24</v>
      </c>
    </row>
    <row r="28754" spans="1:5">
      <c r="A28754" t="s">
        <v>33463</v>
      </c>
      <c r="B28754" t="s">
        <v>33465</v>
      </c>
      <c r="C28754">
        <v>0</v>
      </c>
      <c r="D28754" t="s">
        <v>106</v>
      </c>
      <c r="E28754">
        <v>24</v>
      </c>
    </row>
    <row r="28755" spans="1:5">
      <c r="A28755" t="s">
        <v>33463</v>
      </c>
      <c r="B28755" t="s">
        <v>33466</v>
      </c>
      <c r="C28755">
        <f>0</f>
        <v>0</v>
      </c>
      <c r="D28755" t="s">
        <v>106</v>
      </c>
      <c r="E28755">
        <v>24</v>
      </c>
    </row>
    <row r="28756" spans="1:5">
      <c r="A28756" t="s">
        <v>33463</v>
      </c>
      <c r="B28756" t="s">
        <v>33467</v>
      </c>
      <c r="C28756">
        <f>0</f>
        <v>0</v>
      </c>
      <c r="D28756" t="s">
        <v>106</v>
      </c>
      <c r="E28756">
        <v>24</v>
      </c>
    </row>
    <row r="28757" spans="1:5">
      <c r="A28757" t="s">
        <v>33463</v>
      </c>
      <c r="B28757" t="s">
        <v>33468</v>
      </c>
      <c r="C28757">
        <v>0.16854200074199999</v>
      </c>
      <c r="D28757" t="s">
        <v>106</v>
      </c>
      <c r="E28757">
        <v>24</v>
      </c>
    </row>
    <row r="28758" spans="1:5">
      <c r="A28758" t="s">
        <v>33463</v>
      </c>
      <c r="B28758" t="s">
        <v>33469</v>
      </c>
      <c r="C28758">
        <v>0</v>
      </c>
      <c r="D28758" t="s">
        <v>106</v>
      </c>
      <c r="E28758">
        <v>24</v>
      </c>
    </row>
    <row r="28759" spans="1:5">
      <c r="A28759" t="s">
        <v>33470</v>
      </c>
      <c r="B28759" t="s">
        <v>33471</v>
      </c>
      <c r="C28759">
        <v>0.17124544752900001</v>
      </c>
      <c r="D28759">
        <v>0.95167394300300001</v>
      </c>
      <c r="E28759">
        <v>15.700149925037399</v>
      </c>
    </row>
    <row r="28760" spans="1:5">
      <c r="A28760" t="s">
        <v>33470</v>
      </c>
      <c r="B28760" t="s">
        <v>33472</v>
      </c>
      <c r="C28760">
        <v>0</v>
      </c>
      <c r="D28760">
        <v>0.95167394300300001</v>
      </c>
      <c r="E28760">
        <v>15.700149925037399</v>
      </c>
    </row>
    <row r="28761" spans="1:5">
      <c r="A28761" t="s">
        <v>33470</v>
      </c>
      <c r="B28761" t="s">
        <v>33473</v>
      </c>
      <c r="C28761">
        <f>0.0600378327151</f>
        <v>6.0037832715099999E-2</v>
      </c>
      <c r="D28761">
        <v>0.95167394300300001</v>
      </c>
      <c r="E28761">
        <v>15.700149925037399</v>
      </c>
    </row>
    <row r="28762" spans="1:5">
      <c r="A28762" t="s">
        <v>33470</v>
      </c>
      <c r="B28762" t="s">
        <v>33474</v>
      </c>
      <c r="C28762">
        <f>0</f>
        <v>0</v>
      </c>
      <c r="D28762">
        <v>0.95167394300300001</v>
      </c>
      <c r="E28762">
        <v>15.700149925037399</v>
      </c>
    </row>
    <row r="28763" spans="1:5">
      <c r="A28763" t="s">
        <v>33470</v>
      </c>
      <c r="B28763" t="s">
        <v>33475</v>
      </c>
      <c r="C28763">
        <v>0</v>
      </c>
      <c r="D28763">
        <v>0.95167394300300001</v>
      </c>
      <c r="E28763">
        <v>15.700149925037399</v>
      </c>
    </row>
    <row r="28764" spans="1:5">
      <c r="A28764" t="s">
        <v>33470</v>
      </c>
      <c r="B28764" t="s">
        <v>33476</v>
      </c>
      <c r="C28764">
        <f>0</f>
        <v>0</v>
      </c>
      <c r="D28764">
        <v>0.95167394300300001</v>
      </c>
      <c r="E28764">
        <v>15.700149925037399</v>
      </c>
    </row>
    <row r="28765" spans="1:5">
      <c r="A28765" t="s">
        <v>33470</v>
      </c>
      <c r="B28765" t="s">
        <v>33477</v>
      </c>
      <c r="C28765">
        <f>0</f>
        <v>0</v>
      </c>
      <c r="D28765">
        <v>0.95167394300300001</v>
      </c>
      <c r="E28765">
        <v>15.700149925037399</v>
      </c>
    </row>
    <row r="28766" spans="1:5">
      <c r="A28766" t="s">
        <v>33478</v>
      </c>
      <c r="B28766" t="s">
        <v>33479</v>
      </c>
      <c r="C28766">
        <f>0</f>
        <v>0</v>
      </c>
      <c r="D28766">
        <v>0.86254699288400005</v>
      </c>
      <c r="E28766">
        <v>0.34782608695652101</v>
      </c>
    </row>
    <row r="28767" spans="1:5">
      <c r="A28767" t="s">
        <v>33478</v>
      </c>
      <c r="B28767" t="s">
        <v>33480</v>
      </c>
      <c r="C28767">
        <f>0.59701482871</f>
        <v>0.59701482871</v>
      </c>
      <c r="D28767">
        <v>0.86254699288400005</v>
      </c>
      <c r="E28767">
        <v>0.34782608695652101</v>
      </c>
    </row>
    <row r="28768" spans="1:5">
      <c r="A28768" t="s">
        <v>33478</v>
      </c>
      <c r="B28768" t="s">
        <v>33481</v>
      </c>
      <c r="C28768">
        <f>0</f>
        <v>0</v>
      </c>
      <c r="D28768">
        <v>0.86254699288400005</v>
      </c>
      <c r="E28768">
        <v>0.34782608695652101</v>
      </c>
    </row>
    <row r="28769" spans="1:5">
      <c r="A28769" t="s">
        <v>33478</v>
      </c>
      <c r="B28769" t="s">
        <v>33482</v>
      </c>
      <c r="C28769">
        <v>0.188643678353</v>
      </c>
      <c r="D28769">
        <v>0.86254699288400005</v>
      </c>
      <c r="E28769">
        <v>0.34782608695652101</v>
      </c>
    </row>
    <row r="28770" spans="1:5">
      <c r="A28770" t="s">
        <v>33483</v>
      </c>
      <c r="B28770" t="s">
        <v>33484</v>
      </c>
      <c r="C28770">
        <v>0.33781443242999998</v>
      </c>
      <c r="D28770">
        <v>0.51333568854699996</v>
      </c>
      <c r="E28770">
        <v>2.6386806596701602</v>
      </c>
    </row>
    <row r="28771" spans="1:5">
      <c r="A28771" t="s">
        <v>33483</v>
      </c>
      <c r="B28771" t="s">
        <v>33485</v>
      </c>
      <c r="C28771">
        <f>0.849669517203</f>
        <v>0.84966951720299999</v>
      </c>
      <c r="D28771">
        <v>0.51333568854699996</v>
      </c>
      <c r="E28771">
        <v>2.6386806596701602</v>
      </c>
    </row>
    <row r="28772" spans="1:5">
      <c r="A28772" t="s">
        <v>33486</v>
      </c>
      <c r="B28772" t="s">
        <v>33487</v>
      </c>
      <c r="C28772">
        <v>0</v>
      </c>
      <c r="D28772">
        <v>0.51742037946899999</v>
      </c>
      <c r="E28772">
        <v>2.6386806596701602</v>
      </c>
    </row>
    <row r="28773" spans="1:5">
      <c r="A28773" t="s">
        <v>33486</v>
      </c>
      <c r="B28773" t="s">
        <v>33488</v>
      </c>
      <c r="C28773">
        <v>0</v>
      </c>
      <c r="D28773">
        <v>0.51742037946899999</v>
      </c>
      <c r="E28773">
        <v>2.6386806596701602</v>
      </c>
    </row>
    <row r="28774" spans="1:5">
      <c r="A28774" t="s">
        <v>33486</v>
      </c>
      <c r="B28774" t="s">
        <v>33489</v>
      </c>
      <c r="C28774">
        <v>0</v>
      </c>
      <c r="D28774">
        <v>0.51742037946899999</v>
      </c>
      <c r="E28774">
        <v>2.6386806596701602</v>
      </c>
    </row>
    <row r="28775" spans="1:5">
      <c r="A28775" t="s">
        <v>33486</v>
      </c>
      <c r="B28775" t="s">
        <v>33490</v>
      </c>
      <c r="C28775">
        <v>0</v>
      </c>
      <c r="D28775">
        <v>0.51742037946899999</v>
      </c>
      <c r="E28775">
        <v>2.6386806596701602</v>
      </c>
    </row>
    <row r="28776" spans="1:5">
      <c r="A28776" t="s">
        <v>33486</v>
      </c>
      <c r="B28776" t="s">
        <v>33491</v>
      </c>
      <c r="C28776">
        <v>0</v>
      </c>
      <c r="D28776">
        <v>0.51742037946899999</v>
      </c>
      <c r="E28776">
        <v>2.6386806596701602</v>
      </c>
    </row>
    <row r="28777" spans="1:5">
      <c r="A28777" t="s">
        <v>33486</v>
      </c>
      <c r="B28777" t="s">
        <v>33492</v>
      </c>
      <c r="C28777">
        <v>0</v>
      </c>
      <c r="D28777">
        <v>0.51742037946899999</v>
      </c>
      <c r="E28777">
        <v>2.6386806596701602</v>
      </c>
    </row>
    <row r="28778" spans="1:5">
      <c r="A28778" t="s">
        <v>33486</v>
      </c>
      <c r="B28778" t="s">
        <v>33493</v>
      </c>
      <c r="C28778">
        <f>0</f>
        <v>0</v>
      </c>
      <c r="D28778">
        <v>0.51742037946899999</v>
      </c>
      <c r="E28778">
        <v>2.6386806596701602</v>
      </c>
    </row>
    <row r="28779" spans="1:5">
      <c r="A28779" t="s">
        <v>33486</v>
      </c>
      <c r="B28779" t="s">
        <v>33494</v>
      </c>
      <c r="C28779">
        <v>0</v>
      </c>
      <c r="D28779">
        <v>0.51742037946899999</v>
      </c>
      <c r="E28779">
        <v>2.6386806596701602</v>
      </c>
    </row>
    <row r="28780" spans="1:5">
      <c r="A28780" t="s">
        <v>33486</v>
      </c>
      <c r="B28780" t="s">
        <v>33495</v>
      </c>
      <c r="C28780">
        <v>0</v>
      </c>
      <c r="D28780">
        <v>0.51742037946899999</v>
      </c>
      <c r="E28780">
        <v>2.6386806596701602</v>
      </c>
    </row>
    <row r="28781" spans="1:5">
      <c r="A28781" t="s">
        <v>33496</v>
      </c>
      <c r="B28781" t="s">
        <v>33497</v>
      </c>
      <c r="C28781">
        <v>0.15739804185</v>
      </c>
      <c r="D28781">
        <v>0.92293687367300004</v>
      </c>
      <c r="E28781">
        <v>0.91154422788605605</v>
      </c>
    </row>
    <row r="28782" spans="1:5">
      <c r="A28782" t="s">
        <v>33496</v>
      </c>
      <c r="B28782" t="s">
        <v>33498</v>
      </c>
      <c r="C28782">
        <f>0.132002149418</f>
        <v>0.13200214941800001</v>
      </c>
      <c r="D28782">
        <v>0.92293687367300004</v>
      </c>
      <c r="E28782">
        <v>0.91154422788605605</v>
      </c>
    </row>
    <row r="28783" spans="1:5">
      <c r="A28783" t="s">
        <v>33496</v>
      </c>
      <c r="B28783" t="s">
        <v>33499</v>
      </c>
      <c r="C28783">
        <v>0</v>
      </c>
      <c r="D28783">
        <v>0.92293687367300004</v>
      </c>
      <c r="E28783">
        <v>0.91154422788605605</v>
      </c>
    </row>
    <row r="28784" spans="1:5">
      <c r="A28784" t="s">
        <v>33500</v>
      </c>
      <c r="B28784" t="s">
        <v>33501</v>
      </c>
      <c r="C28784">
        <v>0</v>
      </c>
      <c r="D28784">
        <v>0.98419231167999999</v>
      </c>
      <c r="E28784">
        <v>11.370314842578701</v>
      </c>
    </row>
    <row r="28785" spans="1:5">
      <c r="A28785" t="s">
        <v>33500</v>
      </c>
      <c r="B28785" t="s">
        <v>33502</v>
      </c>
      <c r="C28785">
        <v>0.36801136584100003</v>
      </c>
      <c r="D28785">
        <v>0.98419231167999999</v>
      </c>
      <c r="E28785">
        <v>11.370314842578701</v>
      </c>
    </row>
    <row r="28786" spans="1:5">
      <c r="A28786" t="s">
        <v>33500</v>
      </c>
      <c r="B28786" t="s">
        <v>33503</v>
      </c>
      <c r="C28786">
        <v>0</v>
      </c>
      <c r="D28786">
        <v>0.98419231167999999</v>
      </c>
      <c r="E28786">
        <v>11.370314842578701</v>
      </c>
    </row>
    <row r="28787" spans="1:5">
      <c r="A28787" t="s">
        <v>33500</v>
      </c>
      <c r="B28787" t="s">
        <v>33504</v>
      </c>
      <c r="C28787">
        <v>4.4362678149699998E-2</v>
      </c>
      <c r="D28787">
        <v>0.98419231167999999</v>
      </c>
      <c r="E28787">
        <v>11.370314842578701</v>
      </c>
    </row>
    <row r="28788" spans="1:5">
      <c r="A28788" t="s">
        <v>33505</v>
      </c>
      <c r="B28788" t="s">
        <v>33506</v>
      </c>
      <c r="C28788">
        <v>8.4643532235100002E-2</v>
      </c>
      <c r="D28788">
        <v>0.97958782283199997</v>
      </c>
      <c r="E28788">
        <v>21.181409295352299</v>
      </c>
    </row>
    <row r="28789" spans="1:5">
      <c r="A28789" t="s">
        <v>33505</v>
      </c>
      <c r="B28789" t="s">
        <v>33507</v>
      </c>
      <c r="C28789">
        <v>7.3606697069299995E-2</v>
      </c>
      <c r="D28789">
        <v>0.97958782283199997</v>
      </c>
      <c r="E28789">
        <v>21.181409295352299</v>
      </c>
    </row>
    <row r="28790" spans="1:5">
      <c r="A28790" t="s">
        <v>33505</v>
      </c>
      <c r="B28790" t="s">
        <v>33508</v>
      </c>
      <c r="C28790">
        <v>0</v>
      </c>
      <c r="D28790">
        <v>0.97958782283199997</v>
      </c>
      <c r="E28790">
        <v>21.181409295352299</v>
      </c>
    </row>
    <row r="28791" spans="1:5">
      <c r="A28791" t="s">
        <v>33505</v>
      </c>
      <c r="B28791" t="s">
        <v>33509</v>
      </c>
      <c r="C28791">
        <f>0</f>
        <v>0</v>
      </c>
      <c r="D28791">
        <v>0.97958782283199997</v>
      </c>
      <c r="E28791">
        <v>21.181409295352299</v>
      </c>
    </row>
    <row r="28792" spans="1:5">
      <c r="A28792" t="s">
        <v>33510</v>
      </c>
      <c r="B28792" t="s">
        <v>33511</v>
      </c>
      <c r="C28792">
        <f>0.0183856631631</f>
        <v>1.8385663163099999E-2</v>
      </c>
      <c r="D28792">
        <v>0.98154397664899995</v>
      </c>
      <c r="E28792">
        <v>23.7481259370314</v>
      </c>
    </row>
    <row r="28793" spans="1:5">
      <c r="A28793" t="s">
        <v>33512</v>
      </c>
      <c r="B28793" t="s">
        <v>33513</v>
      </c>
      <c r="C28793">
        <v>0</v>
      </c>
      <c r="D28793" t="s">
        <v>106</v>
      </c>
      <c r="E28793">
        <v>13.997001499250301</v>
      </c>
    </row>
    <row r="28794" spans="1:5">
      <c r="A28794" t="s">
        <v>33512</v>
      </c>
      <c r="B28794" t="s">
        <v>33514</v>
      </c>
      <c r="C28794">
        <f>0</f>
        <v>0</v>
      </c>
      <c r="D28794" t="s">
        <v>106</v>
      </c>
      <c r="E28794">
        <v>13.997001499250301</v>
      </c>
    </row>
    <row r="28795" spans="1:5">
      <c r="A28795" t="s">
        <v>33512</v>
      </c>
      <c r="B28795" t="s">
        <v>33515</v>
      </c>
      <c r="C28795">
        <f>0</f>
        <v>0</v>
      </c>
      <c r="D28795" t="s">
        <v>106</v>
      </c>
      <c r="E28795">
        <v>13.997001499250301</v>
      </c>
    </row>
    <row r="28796" spans="1:5">
      <c r="A28796" t="s">
        <v>33512</v>
      </c>
      <c r="B28796" t="s">
        <v>33516</v>
      </c>
      <c r="C28796">
        <f>0</f>
        <v>0</v>
      </c>
      <c r="D28796" t="s">
        <v>106</v>
      </c>
      <c r="E28796">
        <v>13.997001499250301</v>
      </c>
    </row>
    <row r="28797" spans="1:5">
      <c r="A28797" t="s">
        <v>33517</v>
      </c>
      <c r="B28797" t="s">
        <v>33518</v>
      </c>
      <c r="C28797">
        <v>0.243652117536</v>
      </c>
      <c r="D28797">
        <v>0.97243735402700004</v>
      </c>
      <c r="E28797">
        <v>0.95952023988005997</v>
      </c>
    </row>
    <row r="28798" spans="1:5">
      <c r="A28798" t="s">
        <v>33517</v>
      </c>
      <c r="B28798" t="s">
        <v>33519</v>
      </c>
      <c r="C28798">
        <v>0</v>
      </c>
      <c r="D28798">
        <v>0.97243735402700004</v>
      </c>
      <c r="E28798">
        <v>0.95952023988005997</v>
      </c>
    </row>
    <row r="28799" spans="1:5">
      <c r="A28799" t="s">
        <v>33517</v>
      </c>
      <c r="B28799" t="s">
        <v>33520</v>
      </c>
      <c r="C28799">
        <f>0</f>
        <v>0</v>
      </c>
      <c r="D28799">
        <v>0.97243735402700004</v>
      </c>
      <c r="E28799">
        <v>0.95952023988005997</v>
      </c>
    </row>
    <row r="28800" spans="1:5">
      <c r="A28800" t="s">
        <v>33517</v>
      </c>
      <c r="B28800" t="s">
        <v>33521</v>
      </c>
      <c r="C28800">
        <v>1.00730272191E-2</v>
      </c>
      <c r="D28800">
        <v>0.97243735402700004</v>
      </c>
      <c r="E28800">
        <v>0.95952023988005997</v>
      </c>
    </row>
    <row r="28801" spans="1:5">
      <c r="A28801" t="s">
        <v>33517</v>
      </c>
      <c r="B28801" t="s">
        <v>33522</v>
      </c>
      <c r="C28801">
        <v>0</v>
      </c>
      <c r="D28801">
        <v>0.97243735402700004</v>
      </c>
      <c r="E28801">
        <v>0.95952023988005997</v>
      </c>
    </row>
    <row r="28802" spans="1:5">
      <c r="A28802" t="s">
        <v>33517</v>
      </c>
      <c r="B28802" t="s">
        <v>33523</v>
      </c>
      <c r="C28802">
        <v>0</v>
      </c>
      <c r="D28802">
        <v>0.97243735402700004</v>
      </c>
      <c r="E28802">
        <v>0.95952023988005997</v>
      </c>
    </row>
    <row r="28803" spans="1:5">
      <c r="A28803" t="s">
        <v>33517</v>
      </c>
      <c r="B28803" t="s">
        <v>33524</v>
      </c>
      <c r="C28803">
        <v>0</v>
      </c>
      <c r="D28803">
        <v>0.97243735402700004</v>
      </c>
      <c r="E28803">
        <v>0.95952023988005997</v>
      </c>
    </row>
    <row r="28804" spans="1:5">
      <c r="A28804" t="s">
        <v>33525</v>
      </c>
      <c r="B28804" t="s">
        <v>33526</v>
      </c>
      <c r="C28804">
        <v>0</v>
      </c>
      <c r="D28804">
        <v>0.895486878288</v>
      </c>
      <c r="E28804">
        <v>4.2698650674662604</v>
      </c>
    </row>
    <row r="28805" spans="1:5">
      <c r="A28805" t="s">
        <v>33525</v>
      </c>
      <c r="B28805" t="s">
        <v>33527</v>
      </c>
      <c r="C28805">
        <v>0.26818526670199999</v>
      </c>
      <c r="D28805">
        <v>0.895486878288</v>
      </c>
      <c r="E28805">
        <v>4.2698650674662604</v>
      </c>
    </row>
    <row r="28806" spans="1:5">
      <c r="A28806" t="s">
        <v>33525</v>
      </c>
      <c r="B28806" t="s">
        <v>33528</v>
      </c>
      <c r="C28806">
        <f>0</f>
        <v>0</v>
      </c>
      <c r="D28806">
        <v>0.895486878288</v>
      </c>
      <c r="E28806">
        <v>4.2698650674662604</v>
      </c>
    </row>
    <row r="28807" spans="1:5">
      <c r="A28807" t="s">
        <v>33525</v>
      </c>
      <c r="B28807" t="s">
        <v>33529</v>
      </c>
      <c r="C28807">
        <v>0</v>
      </c>
      <c r="D28807">
        <v>0.895486878288</v>
      </c>
      <c r="E28807">
        <v>4.2698650674662604</v>
      </c>
    </row>
    <row r="28808" spans="1:5">
      <c r="A28808" t="s">
        <v>33530</v>
      </c>
      <c r="B28808" t="s">
        <v>33531</v>
      </c>
      <c r="C28808">
        <v>0.76430553894499997</v>
      </c>
      <c r="D28808">
        <v>0.97413465667599997</v>
      </c>
      <c r="E28808">
        <v>7.3283358320839502</v>
      </c>
    </row>
    <row r="28809" spans="1:5">
      <c r="A28809" t="s">
        <v>33530</v>
      </c>
      <c r="B28809" t="s">
        <v>33532</v>
      </c>
      <c r="C28809">
        <v>0</v>
      </c>
      <c r="D28809">
        <v>0.97413465667599997</v>
      </c>
      <c r="E28809">
        <v>7.3283358320839502</v>
      </c>
    </row>
    <row r="28810" spans="1:5">
      <c r="A28810" t="s">
        <v>33530</v>
      </c>
      <c r="B28810" t="s">
        <v>33533</v>
      </c>
      <c r="C28810">
        <f>0.0729467275885</f>
        <v>7.2946727588500002E-2</v>
      </c>
      <c r="D28810">
        <v>0.97413465667599997</v>
      </c>
      <c r="E28810">
        <v>7.3283358320839502</v>
      </c>
    </row>
    <row r="28811" spans="1:5">
      <c r="A28811" t="s">
        <v>33534</v>
      </c>
      <c r="B28811" t="s">
        <v>33535</v>
      </c>
      <c r="C28811">
        <f>0</f>
        <v>0</v>
      </c>
      <c r="D28811">
        <v>0.65090570657000002</v>
      </c>
      <c r="E28811">
        <v>16.299850074962499</v>
      </c>
    </row>
    <row r="28812" spans="1:5">
      <c r="A28812" t="s">
        <v>33534</v>
      </c>
      <c r="B28812" t="s">
        <v>33536</v>
      </c>
      <c r="C28812">
        <f>0.129303608917</f>
        <v>0.12930360891699999</v>
      </c>
      <c r="D28812">
        <v>0.65090570657000002</v>
      </c>
      <c r="E28812">
        <v>16.299850074962499</v>
      </c>
    </row>
    <row r="28813" spans="1:5">
      <c r="A28813" t="s">
        <v>33534</v>
      </c>
      <c r="B28813" t="s">
        <v>33537</v>
      </c>
      <c r="C28813">
        <f>0</f>
        <v>0</v>
      </c>
      <c r="D28813">
        <v>0.65090570657000002</v>
      </c>
      <c r="E28813">
        <v>16.299850074962499</v>
      </c>
    </row>
    <row r="28814" spans="1:5">
      <c r="A28814" t="s">
        <v>33538</v>
      </c>
      <c r="B28814" t="s">
        <v>33539</v>
      </c>
      <c r="C28814">
        <v>8.4359663397199996E-4</v>
      </c>
      <c r="D28814">
        <v>0.45081351013900001</v>
      </c>
      <c r="E28814">
        <v>5.4692653673163401</v>
      </c>
    </row>
    <row r="28815" spans="1:5">
      <c r="A28815" t="s">
        <v>33538</v>
      </c>
      <c r="B28815" t="s">
        <v>33540</v>
      </c>
      <c r="C28815">
        <v>0</v>
      </c>
      <c r="D28815">
        <v>0.45081351013900001</v>
      </c>
      <c r="E28815">
        <v>5.4692653673163401</v>
      </c>
    </row>
    <row r="28816" spans="1:5">
      <c r="A28816" t="s">
        <v>33538</v>
      </c>
      <c r="B28816" t="s">
        <v>33541</v>
      </c>
      <c r="C28816">
        <f>0</f>
        <v>0</v>
      </c>
      <c r="D28816">
        <v>0.45081351013900001</v>
      </c>
      <c r="E28816">
        <v>5.4692653673163401</v>
      </c>
    </row>
    <row r="28817" spans="1:5">
      <c r="A28817" t="s">
        <v>33538</v>
      </c>
      <c r="B28817" t="s">
        <v>33542</v>
      </c>
      <c r="C28817">
        <v>0</v>
      </c>
      <c r="D28817">
        <v>0.45081351013900001</v>
      </c>
      <c r="E28817">
        <v>5.4692653673163401</v>
      </c>
    </row>
    <row r="28818" spans="1:5">
      <c r="A28818" t="s">
        <v>33538</v>
      </c>
      <c r="B28818" t="s">
        <v>33543</v>
      </c>
      <c r="C28818">
        <v>0</v>
      </c>
      <c r="D28818">
        <v>0.45081351013900001</v>
      </c>
      <c r="E28818">
        <v>5.4692653673163401</v>
      </c>
    </row>
    <row r="28819" spans="1:5">
      <c r="A28819" t="s">
        <v>33544</v>
      </c>
      <c r="B28819" t="s">
        <v>33545</v>
      </c>
      <c r="C28819">
        <v>0</v>
      </c>
      <c r="D28819" t="s">
        <v>106</v>
      </c>
      <c r="E28819">
        <v>1.33133433283358</v>
      </c>
    </row>
    <row r="28820" spans="1:5">
      <c r="A28820" t="s">
        <v>33544</v>
      </c>
      <c r="B28820" t="s">
        <v>33546</v>
      </c>
      <c r="C28820">
        <v>0</v>
      </c>
      <c r="D28820" t="s">
        <v>106</v>
      </c>
      <c r="E28820">
        <v>1.33133433283358</v>
      </c>
    </row>
    <row r="28821" spans="1:5">
      <c r="A28821" t="s">
        <v>33544</v>
      </c>
      <c r="B28821" t="s">
        <v>33547</v>
      </c>
      <c r="C28821">
        <v>0</v>
      </c>
      <c r="D28821" t="s">
        <v>106</v>
      </c>
      <c r="E28821">
        <v>1.33133433283358</v>
      </c>
    </row>
    <row r="28822" spans="1:5">
      <c r="A28822" t="s">
        <v>33544</v>
      </c>
      <c r="B28822" t="s">
        <v>33548</v>
      </c>
      <c r="C28822">
        <v>0</v>
      </c>
      <c r="D28822" t="s">
        <v>106</v>
      </c>
      <c r="E28822">
        <v>1.33133433283358</v>
      </c>
    </row>
    <row r="28823" spans="1:5">
      <c r="A28823" t="s">
        <v>33544</v>
      </c>
      <c r="B28823" t="s">
        <v>33549</v>
      </c>
      <c r="C28823">
        <v>0</v>
      </c>
      <c r="D28823" t="s">
        <v>106</v>
      </c>
      <c r="E28823">
        <v>1.33133433283358</v>
      </c>
    </row>
    <row r="28824" spans="1:5">
      <c r="A28824" t="s">
        <v>33544</v>
      </c>
      <c r="B28824" t="s">
        <v>33550</v>
      </c>
      <c r="C28824">
        <v>0</v>
      </c>
      <c r="D28824" t="s">
        <v>106</v>
      </c>
      <c r="E28824">
        <v>1.33133433283358</v>
      </c>
    </row>
    <row r="28825" spans="1:5">
      <c r="A28825" t="s">
        <v>33551</v>
      </c>
      <c r="B28825" t="s">
        <v>33552</v>
      </c>
      <c r="C28825">
        <f>0</f>
        <v>0</v>
      </c>
      <c r="D28825">
        <v>0.70209739260199999</v>
      </c>
      <c r="E28825">
        <v>24</v>
      </c>
    </row>
    <row r="28826" spans="1:5">
      <c r="A28826" t="s">
        <v>33553</v>
      </c>
      <c r="B28826" t="s">
        <v>33554</v>
      </c>
      <c r="C28826">
        <v>0</v>
      </c>
      <c r="D28826">
        <v>0.97282489756699997</v>
      </c>
      <c r="E28826">
        <v>4.9055472263868003</v>
      </c>
    </row>
    <row r="28827" spans="1:5">
      <c r="A28827" t="s">
        <v>33553</v>
      </c>
      <c r="B28827" t="s">
        <v>33555</v>
      </c>
      <c r="C28827">
        <v>0</v>
      </c>
      <c r="D28827">
        <v>0.97282489756699997</v>
      </c>
      <c r="E28827">
        <v>4.9055472263868003</v>
      </c>
    </row>
    <row r="28828" spans="1:5">
      <c r="A28828" t="s">
        <v>33556</v>
      </c>
      <c r="B28828" t="s">
        <v>33557</v>
      </c>
      <c r="C28828">
        <v>0</v>
      </c>
      <c r="D28828">
        <v>0.66891225527599996</v>
      </c>
      <c r="E28828">
        <v>20.509745127436201</v>
      </c>
    </row>
    <row r="28829" spans="1:5">
      <c r="A28829" t="s">
        <v>33556</v>
      </c>
      <c r="B28829" t="s">
        <v>33558</v>
      </c>
      <c r="C28829">
        <v>0</v>
      </c>
      <c r="D28829">
        <v>0.66891225527599996</v>
      </c>
      <c r="E28829">
        <v>20.509745127436201</v>
      </c>
    </row>
    <row r="28830" spans="1:5">
      <c r="A28830" t="s">
        <v>33556</v>
      </c>
      <c r="B28830" t="s">
        <v>33559</v>
      </c>
      <c r="C28830">
        <v>4.7745276620499997E-3</v>
      </c>
      <c r="D28830">
        <v>0.66891225527599996</v>
      </c>
      <c r="E28830">
        <v>20.509745127436201</v>
      </c>
    </row>
    <row r="28831" spans="1:5">
      <c r="A28831" t="s">
        <v>33556</v>
      </c>
      <c r="B28831" t="s">
        <v>33560</v>
      </c>
      <c r="C28831">
        <v>0.11797446335300001</v>
      </c>
      <c r="D28831">
        <v>0.66891225527599996</v>
      </c>
      <c r="E28831">
        <v>20.509745127436201</v>
      </c>
    </row>
    <row r="28832" spans="1:5">
      <c r="A28832" t="s">
        <v>33556</v>
      </c>
      <c r="B28832" t="s">
        <v>33561</v>
      </c>
      <c r="C28832">
        <v>0</v>
      </c>
      <c r="D28832">
        <v>0.66891225527599996</v>
      </c>
      <c r="E28832">
        <v>20.509745127436201</v>
      </c>
    </row>
    <row r="28833" spans="1:5">
      <c r="A28833" t="s">
        <v>33556</v>
      </c>
      <c r="B28833" t="s">
        <v>33562</v>
      </c>
      <c r="C28833">
        <v>0</v>
      </c>
      <c r="D28833">
        <v>0.66891225527599996</v>
      </c>
      <c r="E28833">
        <v>20.509745127436201</v>
      </c>
    </row>
    <row r="28834" spans="1:5">
      <c r="A28834" t="s">
        <v>33563</v>
      </c>
      <c r="B28834" t="s">
        <v>33564</v>
      </c>
      <c r="C28834">
        <v>0.11218931893799999</v>
      </c>
      <c r="D28834">
        <v>0.70282098418700001</v>
      </c>
      <c r="E28834">
        <v>6.1769115442278801</v>
      </c>
    </row>
    <row r="28835" spans="1:5">
      <c r="A28835" t="s">
        <v>33563</v>
      </c>
      <c r="B28835" t="s">
        <v>33565</v>
      </c>
      <c r="C28835">
        <f>0.129894448592</f>
        <v>0.129894448592</v>
      </c>
      <c r="D28835">
        <v>0.70282098418700001</v>
      </c>
      <c r="E28835">
        <v>6.1769115442278801</v>
      </c>
    </row>
    <row r="28836" spans="1:5">
      <c r="A28836" t="s">
        <v>33566</v>
      </c>
      <c r="B28836" t="s">
        <v>33567</v>
      </c>
      <c r="C28836">
        <v>0</v>
      </c>
      <c r="D28836">
        <v>0.99519214260900002</v>
      </c>
      <c r="E28836">
        <v>4.3778110944527704</v>
      </c>
    </row>
    <row r="28837" spans="1:5">
      <c r="A28837" t="s">
        <v>33566</v>
      </c>
      <c r="B28837" t="s">
        <v>33568</v>
      </c>
      <c r="C28837">
        <v>0</v>
      </c>
      <c r="D28837">
        <v>0.99519214260900002</v>
      </c>
      <c r="E28837">
        <v>4.3778110944527704</v>
      </c>
    </row>
    <row r="28838" spans="1:5">
      <c r="A28838" t="s">
        <v>33566</v>
      </c>
      <c r="B28838" t="s">
        <v>33569</v>
      </c>
      <c r="C28838">
        <v>0.12599857898899999</v>
      </c>
      <c r="D28838">
        <v>0.99519214260900002</v>
      </c>
      <c r="E28838">
        <v>4.3778110944527704</v>
      </c>
    </row>
    <row r="28839" spans="1:5">
      <c r="A28839" t="s">
        <v>33566</v>
      </c>
      <c r="B28839" t="s">
        <v>33570</v>
      </c>
      <c r="C28839">
        <v>0</v>
      </c>
      <c r="D28839">
        <v>0.99519214260900002</v>
      </c>
      <c r="E28839">
        <v>4.3778110944527704</v>
      </c>
    </row>
    <row r="28840" spans="1:5">
      <c r="A28840" t="s">
        <v>33566</v>
      </c>
      <c r="B28840" t="s">
        <v>33571</v>
      </c>
      <c r="C28840">
        <v>1.97108422571E-2</v>
      </c>
      <c r="D28840">
        <v>0.99519214260900002</v>
      </c>
      <c r="E28840">
        <v>4.3778110944527704</v>
      </c>
    </row>
    <row r="28841" spans="1:5">
      <c r="A28841" t="s">
        <v>33566</v>
      </c>
      <c r="B28841" t="s">
        <v>33572</v>
      </c>
      <c r="C28841">
        <v>0.57607189235400003</v>
      </c>
      <c r="D28841">
        <v>0.99519214260900002</v>
      </c>
      <c r="E28841">
        <v>4.3778110944527704</v>
      </c>
    </row>
    <row r="28842" spans="1:5">
      <c r="A28842" t="s">
        <v>33573</v>
      </c>
      <c r="B28842" t="s">
        <v>33574</v>
      </c>
      <c r="C28842">
        <f>0</f>
        <v>0</v>
      </c>
      <c r="D28842" t="s">
        <v>106</v>
      </c>
      <c r="E28842">
        <v>2.96251874062968</v>
      </c>
    </row>
    <row r="28843" spans="1:5">
      <c r="A28843" t="s">
        <v>33573</v>
      </c>
      <c r="B28843" t="s">
        <v>33575</v>
      </c>
      <c r="C28843">
        <f>0</f>
        <v>0</v>
      </c>
      <c r="D28843" t="s">
        <v>106</v>
      </c>
      <c r="E28843">
        <v>2.96251874062968</v>
      </c>
    </row>
    <row r="28844" spans="1:5">
      <c r="A28844" t="s">
        <v>33576</v>
      </c>
      <c r="B28844" t="s">
        <v>33577</v>
      </c>
      <c r="C28844">
        <v>0.74937730298000005</v>
      </c>
      <c r="D28844">
        <v>0.61508488262799998</v>
      </c>
      <c r="E28844">
        <v>6.4287856071964002</v>
      </c>
    </row>
    <row r="28845" spans="1:5">
      <c r="A28845" t="s">
        <v>33576</v>
      </c>
      <c r="B28845" t="s">
        <v>33578</v>
      </c>
      <c r="C28845">
        <f>0.16168443003</f>
        <v>0.16168443002999999</v>
      </c>
      <c r="D28845">
        <v>0.61508488262799998</v>
      </c>
      <c r="E28845">
        <v>6.4287856071964002</v>
      </c>
    </row>
    <row r="28846" spans="1:5">
      <c r="A28846" t="s">
        <v>33579</v>
      </c>
      <c r="B28846" t="s">
        <v>33580</v>
      </c>
      <c r="C28846">
        <v>0.110392311237</v>
      </c>
      <c r="D28846">
        <v>0.929424975436</v>
      </c>
      <c r="E28846">
        <v>5.8170914542728598</v>
      </c>
    </row>
    <row r="28847" spans="1:5">
      <c r="A28847" t="s">
        <v>33579</v>
      </c>
      <c r="B28847" t="s">
        <v>33581</v>
      </c>
      <c r="C28847">
        <f>0.224712299879</f>
        <v>0.22471229987899999</v>
      </c>
      <c r="D28847">
        <v>0.929424975436</v>
      </c>
      <c r="E28847">
        <v>5.8170914542728598</v>
      </c>
    </row>
    <row r="28848" spans="1:5">
      <c r="A28848" t="s">
        <v>33579</v>
      </c>
      <c r="B28848" t="s">
        <v>33582</v>
      </c>
      <c r="C28848">
        <f>0</f>
        <v>0</v>
      </c>
      <c r="D28848">
        <v>0.929424975436</v>
      </c>
      <c r="E28848">
        <v>5.8170914542728598</v>
      </c>
    </row>
    <row r="28849" spans="1:5">
      <c r="A28849" t="s">
        <v>33579</v>
      </c>
      <c r="B28849" t="s">
        <v>33583</v>
      </c>
      <c r="C28849">
        <f>0</f>
        <v>0</v>
      </c>
      <c r="D28849">
        <v>0.929424975436</v>
      </c>
      <c r="E28849">
        <v>5.8170914542728598</v>
      </c>
    </row>
    <row r="28850" spans="1:5">
      <c r="A28850" t="s">
        <v>33579</v>
      </c>
      <c r="B28850" t="s">
        <v>33584</v>
      </c>
      <c r="C28850">
        <f>0</f>
        <v>0</v>
      </c>
      <c r="D28850">
        <v>0.929424975436</v>
      </c>
      <c r="E28850">
        <v>5.8170914542728598</v>
      </c>
    </row>
    <row r="28851" spans="1:5">
      <c r="A28851" t="s">
        <v>33585</v>
      </c>
      <c r="B28851" t="s">
        <v>33586</v>
      </c>
      <c r="C28851">
        <v>0</v>
      </c>
      <c r="D28851">
        <v>0.98613318719300003</v>
      </c>
      <c r="E28851">
        <v>4.1739130434782599</v>
      </c>
    </row>
    <row r="28852" spans="1:5">
      <c r="A28852" t="s">
        <v>33585</v>
      </c>
      <c r="B28852" t="s">
        <v>33587</v>
      </c>
      <c r="C28852">
        <v>0</v>
      </c>
      <c r="D28852">
        <v>0.98613318719300003</v>
      </c>
      <c r="E28852">
        <v>4.1739130434782599</v>
      </c>
    </row>
    <row r="28853" spans="1:5">
      <c r="A28853" t="s">
        <v>33585</v>
      </c>
      <c r="B28853" t="s">
        <v>33588</v>
      </c>
      <c r="C28853">
        <v>0</v>
      </c>
      <c r="D28853">
        <v>0.98613318719300003</v>
      </c>
      <c r="E28853">
        <v>4.1739130434782599</v>
      </c>
    </row>
    <row r="28854" spans="1:5">
      <c r="A28854" t="s">
        <v>33585</v>
      </c>
      <c r="B28854" t="s">
        <v>33589</v>
      </c>
      <c r="C28854">
        <v>0.459544657074</v>
      </c>
      <c r="D28854">
        <v>0.98613318719300003</v>
      </c>
      <c r="E28854">
        <v>4.1739130434782599</v>
      </c>
    </row>
    <row r="28855" spans="1:5">
      <c r="A28855" t="s">
        <v>33585</v>
      </c>
      <c r="B28855" t="s">
        <v>33590</v>
      </c>
      <c r="C28855">
        <f>0.222112206713</f>
        <v>0.222112206713</v>
      </c>
      <c r="D28855">
        <v>0.98613318719300003</v>
      </c>
      <c r="E28855">
        <v>4.1739130434782599</v>
      </c>
    </row>
    <row r="28856" spans="1:5">
      <c r="A28856" t="s">
        <v>33591</v>
      </c>
      <c r="B28856" t="s">
        <v>33592</v>
      </c>
      <c r="C28856">
        <v>0</v>
      </c>
      <c r="D28856">
        <v>0.71529673147299999</v>
      </c>
      <c r="E28856">
        <v>5.8170914542728598</v>
      </c>
    </row>
    <row r="28857" spans="1:5">
      <c r="A28857" t="s">
        <v>33591</v>
      </c>
      <c r="B28857" t="s">
        <v>33593</v>
      </c>
      <c r="C28857">
        <v>0</v>
      </c>
      <c r="D28857">
        <v>0.71529673147299999</v>
      </c>
      <c r="E28857">
        <v>5.8170914542728598</v>
      </c>
    </row>
    <row r="28858" spans="1:5">
      <c r="A28858" t="s">
        <v>33591</v>
      </c>
      <c r="B28858" t="s">
        <v>33594</v>
      </c>
      <c r="C28858">
        <v>4.7667354572999997E-2</v>
      </c>
      <c r="D28858">
        <v>0.71529673147299999</v>
      </c>
      <c r="E28858">
        <v>5.8170914542728598</v>
      </c>
    </row>
    <row r="28859" spans="1:5">
      <c r="A28859" t="s">
        <v>33595</v>
      </c>
      <c r="B28859" t="s">
        <v>33596</v>
      </c>
      <c r="C28859">
        <v>0</v>
      </c>
      <c r="D28859">
        <v>0.74142086732699997</v>
      </c>
      <c r="E28859">
        <v>5.9370314842578704</v>
      </c>
    </row>
    <row r="28860" spans="1:5">
      <c r="A28860" t="s">
        <v>33595</v>
      </c>
      <c r="B28860" t="s">
        <v>33597</v>
      </c>
      <c r="C28860">
        <v>0</v>
      </c>
      <c r="D28860">
        <v>0.74142086732699997</v>
      </c>
      <c r="E28860">
        <v>5.9370314842578704</v>
      </c>
    </row>
    <row r="28861" spans="1:5">
      <c r="A28861" t="s">
        <v>33595</v>
      </c>
      <c r="B28861" t="s">
        <v>33598</v>
      </c>
      <c r="C28861">
        <v>0</v>
      </c>
      <c r="D28861">
        <v>0.74142086732699997</v>
      </c>
      <c r="E28861">
        <v>5.9370314842578704</v>
      </c>
    </row>
    <row r="28862" spans="1:5">
      <c r="A28862" t="s">
        <v>33595</v>
      </c>
      <c r="B28862" t="s">
        <v>33599</v>
      </c>
      <c r="C28862">
        <f>0</f>
        <v>0</v>
      </c>
      <c r="D28862">
        <v>0.74142086732699997</v>
      </c>
      <c r="E28862">
        <v>5.9370314842578704</v>
      </c>
    </row>
    <row r="28863" spans="1:5">
      <c r="A28863" t="s">
        <v>33600</v>
      </c>
      <c r="B28863" t="s">
        <v>33601</v>
      </c>
      <c r="C28863">
        <f>0.0479086746032</f>
        <v>4.7908674603200002E-2</v>
      </c>
      <c r="D28863" t="s">
        <v>106</v>
      </c>
      <c r="E28863">
        <v>6.0569715142428704</v>
      </c>
    </row>
    <row r="28864" spans="1:5">
      <c r="A28864" t="s">
        <v>33600</v>
      </c>
      <c r="B28864" t="s">
        <v>33602</v>
      </c>
      <c r="C28864">
        <f>0</f>
        <v>0</v>
      </c>
      <c r="D28864" t="s">
        <v>106</v>
      </c>
      <c r="E28864">
        <v>6.0569715142428704</v>
      </c>
    </row>
    <row r="28865" spans="1:5">
      <c r="A28865" t="s">
        <v>33600</v>
      </c>
      <c r="B28865" t="s">
        <v>33603</v>
      </c>
      <c r="C28865">
        <f>0</f>
        <v>0</v>
      </c>
      <c r="D28865" t="s">
        <v>106</v>
      </c>
      <c r="E28865">
        <v>6.0569715142428704</v>
      </c>
    </row>
    <row r="28866" spans="1:5">
      <c r="A28866" t="s">
        <v>33600</v>
      </c>
      <c r="B28866" t="s">
        <v>33604</v>
      </c>
      <c r="C28866">
        <f>0</f>
        <v>0</v>
      </c>
      <c r="D28866" t="s">
        <v>106</v>
      </c>
      <c r="E28866">
        <v>6.0569715142428704</v>
      </c>
    </row>
    <row r="28867" spans="1:5">
      <c r="A28867" t="s">
        <v>33600</v>
      </c>
      <c r="B28867" t="s">
        <v>33605</v>
      </c>
      <c r="C28867">
        <f>0</f>
        <v>0</v>
      </c>
      <c r="D28867" t="s">
        <v>106</v>
      </c>
      <c r="E28867">
        <v>6.0569715142428704</v>
      </c>
    </row>
    <row r="28868" spans="1:5">
      <c r="A28868" t="s">
        <v>33600</v>
      </c>
      <c r="B28868" t="s">
        <v>33606</v>
      </c>
      <c r="C28868">
        <v>0</v>
      </c>
      <c r="D28868" t="s">
        <v>106</v>
      </c>
      <c r="E28868">
        <v>6.0569715142428704</v>
      </c>
    </row>
    <row r="28869" spans="1:5">
      <c r="A28869" t="s">
        <v>33600</v>
      </c>
      <c r="B28869" t="s">
        <v>33607</v>
      </c>
      <c r="C28869">
        <f>0</f>
        <v>0</v>
      </c>
      <c r="D28869" t="s">
        <v>106</v>
      </c>
      <c r="E28869">
        <v>6.0569715142428704</v>
      </c>
    </row>
    <row r="28870" spans="1:5">
      <c r="A28870" t="s">
        <v>33600</v>
      </c>
      <c r="B28870" t="s">
        <v>33608</v>
      </c>
      <c r="C28870">
        <f>0</f>
        <v>0</v>
      </c>
      <c r="D28870" t="s">
        <v>106</v>
      </c>
      <c r="E28870">
        <v>6.0569715142428704</v>
      </c>
    </row>
    <row r="28871" spans="1:5">
      <c r="A28871" t="s">
        <v>33600</v>
      </c>
      <c r="B28871" t="s">
        <v>33609</v>
      </c>
      <c r="C28871">
        <f>0</f>
        <v>0</v>
      </c>
      <c r="D28871" t="s">
        <v>106</v>
      </c>
      <c r="E28871">
        <v>6.0569715142428704</v>
      </c>
    </row>
    <row r="28872" spans="1:5">
      <c r="A28872" t="s">
        <v>33610</v>
      </c>
      <c r="B28872" t="s">
        <v>33611</v>
      </c>
      <c r="C28872">
        <v>0.36240728932600003</v>
      </c>
      <c r="D28872">
        <v>0.99189938005599998</v>
      </c>
      <c r="E28872">
        <v>7.1964017991004496</v>
      </c>
    </row>
    <row r="28873" spans="1:5">
      <c r="A28873" t="s">
        <v>33610</v>
      </c>
      <c r="B28873" t="s">
        <v>33612</v>
      </c>
      <c r="C28873">
        <v>0</v>
      </c>
      <c r="D28873">
        <v>0.99189938005599998</v>
      </c>
      <c r="E28873">
        <v>7.1964017991004496</v>
      </c>
    </row>
    <row r="28874" spans="1:5">
      <c r="A28874" t="s">
        <v>33610</v>
      </c>
      <c r="B28874" t="s">
        <v>33613</v>
      </c>
      <c r="C28874">
        <v>7.35183346919E-2</v>
      </c>
      <c r="D28874">
        <v>0.99189938005599998</v>
      </c>
      <c r="E28874">
        <v>7.1964017991004496</v>
      </c>
    </row>
    <row r="28875" spans="1:5">
      <c r="A28875" t="s">
        <v>33610</v>
      </c>
      <c r="B28875" t="s">
        <v>33614</v>
      </c>
      <c r="C28875">
        <f>0</f>
        <v>0</v>
      </c>
      <c r="D28875">
        <v>0.99189938005599998</v>
      </c>
      <c r="E28875">
        <v>7.1964017991004496</v>
      </c>
    </row>
    <row r="28876" spans="1:5">
      <c r="A28876" t="s">
        <v>33615</v>
      </c>
      <c r="B28876" t="s">
        <v>33616</v>
      </c>
      <c r="C28876">
        <f>0</f>
        <v>0</v>
      </c>
      <c r="D28876">
        <v>0.78712282446799997</v>
      </c>
      <c r="E28876">
        <v>21.409295352323799</v>
      </c>
    </row>
    <row r="28877" spans="1:5">
      <c r="A28877" t="s">
        <v>33615</v>
      </c>
      <c r="B28877" t="s">
        <v>33617</v>
      </c>
      <c r="C28877">
        <v>0</v>
      </c>
      <c r="D28877">
        <v>0.78712282446799997</v>
      </c>
      <c r="E28877">
        <v>21.409295352323799</v>
      </c>
    </row>
    <row r="28878" spans="1:5">
      <c r="A28878" t="s">
        <v>33615</v>
      </c>
      <c r="B28878" t="s">
        <v>33618</v>
      </c>
      <c r="C28878">
        <v>0</v>
      </c>
      <c r="D28878">
        <v>0.78712282446799997</v>
      </c>
      <c r="E28878">
        <v>21.409295352323799</v>
      </c>
    </row>
    <row r="28879" spans="1:5">
      <c r="A28879" t="s">
        <v>33615</v>
      </c>
      <c r="B28879" t="s">
        <v>33619</v>
      </c>
      <c r="C28879">
        <f>0</f>
        <v>0</v>
      </c>
      <c r="D28879">
        <v>0.78712282446799997</v>
      </c>
      <c r="E28879">
        <v>21.409295352323799</v>
      </c>
    </row>
    <row r="28880" spans="1:5">
      <c r="A28880" t="s">
        <v>33615</v>
      </c>
      <c r="B28880" t="s">
        <v>33620</v>
      </c>
      <c r="C28880">
        <v>0</v>
      </c>
      <c r="D28880">
        <v>0.78712282446799997</v>
      </c>
      <c r="E28880">
        <v>21.409295352323799</v>
      </c>
    </row>
    <row r="28881" spans="1:5">
      <c r="A28881" t="s">
        <v>33615</v>
      </c>
      <c r="B28881" t="s">
        <v>33621</v>
      </c>
      <c r="C28881">
        <f>0.0452912465221</f>
        <v>4.5291246522100002E-2</v>
      </c>
      <c r="D28881">
        <v>0.78712282446799997</v>
      </c>
      <c r="E28881">
        <v>21.409295352323799</v>
      </c>
    </row>
    <row r="28882" spans="1:5">
      <c r="A28882" t="s">
        <v>33615</v>
      </c>
      <c r="B28882" t="s">
        <v>33622</v>
      </c>
      <c r="C28882">
        <f>0.0313948193905</f>
        <v>3.1394819390499998E-2</v>
      </c>
      <c r="D28882">
        <v>0.78712282446799997</v>
      </c>
      <c r="E28882">
        <v>21.409295352323799</v>
      </c>
    </row>
    <row r="28883" spans="1:5">
      <c r="A28883" t="s">
        <v>33623</v>
      </c>
      <c r="B28883" t="s">
        <v>33624</v>
      </c>
      <c r="C28883">
        <f>0.0419686316134</f>
        <v>4.1968631613399997E-2</v>
      </c>
      <c r="D28883">
        <v>0.83059950719800002</v>
      </c>
      <c r="E28883">
        <v>19.6341829085457</v>
      </c>
    </row>
    <row r="28884" spans="1:5">
      <c r="A28884" t="s">
        <v>33623</v>
      </c>
      <c r="B28884" t="s">
        <v>33625</v>
      </c>
      <c r="C28884">
        <v>0.23040888977499999</v>
      </c>
      <c r="D28884">
        <v>0.83059950719800002</v>
      </c>
      <c r="E28884">
        <v>19.6341829085457</v>
      </c>
    </row>
    <row r="28885" spans="1:5">
      <c r="A28885" t="s">
        <v>33626</v>
      </c>
      <c r="B28885" t="s">
        <v>33627</v>
      </c>
      <c r="C28885">
        <f>0</f>
        <v>0</v>
      </c>
      <c r="D28885">
        <v>0.73835527044500004</v>
      </c>
      <c r="E28885">
        <v>1.33133433283358</v>
      </c>
    </row>
    <row r="28886" spans="1:5">
      <c r="A28886" t="s">
        <v>33626</v>
      </c>
      <c r="B28886" t="s">
        <v>33628</v>
      </c>
      <c r="C28886">
        <v>0</v>
      </c>
      <c r="D28886">
        <v>0.73835527044500004</v>
      </c>
      <c r="E28886">
        <v>1.33133433283358</v>
      </c>
    </row>
    <row r="28887" spans="1:5">
      <c r="A28887" t="s">
        <v>33626</v>
      </c>
      <c r="B28887" t="s">
        <v>33629</v>
      </c>
      <c r="C28887">
        <v>7.3375165742600001E-2</v>
      </c>
      <c r="D28887">
        <v>0.73835527044500004</v>
      </c>
      <c r="E28887">
        <v>1.33133433283358</v>
      </c>
    </row>
    <row r="28888" spans="1:5">
      <c r="A28888" t="s">
        <v>33630</v>
      </c>
      <c r="B28888" t="s">
        <v>33631</v>
      </c>
      <c r="C28888">
        <v>0.53617666694199995</v>
      </c>
      <c r="D28888">
        <v>0.97987967399200004</v>
      </c>
      <c r="E28888">
        <v>13.2653673163418</v>
      </c>
    </row>
    <row r="28889" spans="1:5">
      <c r="A28889" t="s">
        <v>33630</v>
      </c>
      <c r="B28889" t="s">
        <v>33632</v>
      </c>
      <c r="C28889">
        <f>0.00477056410178</f>
        <v>4.7705641017799999E-3</v>
      </c>
      <c r="D28889">
        <v>0.97987967399200004</v>
      </c>
      <c r="E28889">
        <v>13.2653673163418</v>
      </c>
    </row>
    <row r="28890" spans="1:5">
      <c r="A28890" t="s">
        <v>33630</v>
      </c>
      <c r="B28890" t="s">
        <v>33633</v>
      </c>
      <c r="C28890">
        <f>0.195698603327</f>
        <v>0.19569860332700001</v>
      </c>
      <c r="D28890">
        <v>0.97987967399200004</v>
      </c>
      <c r="E28890">
        <v>13.2653673163418</v>
      </c>
    </row>
    <row r="28891" spans="1:5">
      <c r="A28891" t="s">
        <v>33634</v>
      </c>
      <c r="B28891" t="s">
        <v>33635</v>
      </c>
      <c r="C28891">
        <f>0</f>
        <v>0</v>
      </c>
      <c r="D28891">
        <v>0.98305449210399998</v>
      </c>
      <c r="E28891">
        <v>6.1769115442278801</v>
      </c>
    </row>
    <row r="28892" spans="1:5">
      <c r="A28892" t="s">
        <v>33634</v>
      </c>
      <c r="B28892" t="s">
        <v>33636</v>
      </c>
      <c r="C28892">
        <f>0</f>
        <v>0</v>
      </c>
      <c r="D28892">
        <v>0.98305449210399998</v>
      </c>
      <c r="E28892">
        <v>6.1769115442278801</v>
      </c>
    </row>
    <row r="28893" spans="1:5">
      <c r="A28893" t="s">
        <v>33634</v>
      </c>
      <c r="B28893" t="s">
        <v>33637</v>
      </c>
      <c r="C28893">
        <f>0</f>
        <v>0</v>
      </c>
      <c r="D28893">
        <v>0.98305449210399998</v>
      </c>
      <c r="E28893">
        <v>6.1769115442278801</v>
      </c>
    </row>
    <row r="28894" spans="1:5">
      <c r="A28894" t="s">
        <v>33634</v>
      </c>
      <c r="B28894" t="s">
        <v>33638</v>
      </c>
      <c r="C28894">
        <v>0</v>
      </c>
      <c r="D28894">
        <v>0.98305449210399998</v>
      </c>
      <c r="E28894">
        <v>6.1769115442278801</v>
      </c>
    </row>
    <row r="28895" spans="1:5">
      <c r="A28895" t="s">
        <v>33634</v>
      </c>
      <c r="B28895" t="s">
        <v>33639</v>
      </c>
      <c r="C28895">
        <f>0</f>
        <v>0</v>
      </c>
      <c r="D28895">
        <v>0.98305449210399998</v>
      </c>
      <c r="E28895">
        <v>6.1769115442278801</v>
      </c>
    </row>
    <row r="28896" spans="1:5">
      <c r="A28896" t="s">
        <v>33634</v>
      </c>
      <c r="B28896" t="s">
        <v>33640</v>
      </c>
      <c r="C28896">
        <f>0</f>
        <v>0</v>
      </c>
      <c r="D28896">
        <v>0.98305449210399998</v>
      </c>
      <c r="E28896">
        <v>6.1769115442278801</v>
      </c>
    </row>
    <row r="28897" spans="1:5">
      <c r="A28897" t="s">
        <v>33634</v>
      </c>
      <c r="B28897" t="s">
        <v>33641</v>
      </c>
      <c r="C28897">
        <f>0</f>
        <v>0</v>
      </c>
      <c r="D28897">
        <v>0.98305449210399998</v>
      </c>
      <c r="E28897">
        <v>6.1769115442278801</v>
      </c>
    </row>
    <row r="28898" spans="1:5">
      <c r="A28898" t="s">
        <v>33642</v>
      </c>
      <c r="B28898" t="s">
        <v>33643</v>
      </c>
      <c r="C28898">
        <f>0</f>
        <v>0</v>
      </c>
      <c r="D28898">
        <v>0.95666826004200001</v>
      </c>
      <c r="E28898">
        <v>11.370314842578701</v>
      </c>
    </row>
    <row r="28899" spans="1:5">
      <c r="A28899" t="s">
        <v>33642</v>
      </c>
      <c r="B28899" t="s">
        <v>33644</v>
      </c>
      <c r="C28899">
        <v>0.20784598775599999</v>
      </c>
      <c r="D28899">
        <v>0.95666826004200001</v>
      </c>
      <c r="E28899">
        <v>11.370314842578701</v>
      </c>
    </row>
    <row r="28900" spans="1:5">
      <c r="A28900" t="s">
        <v>33642</v>
      </c>
      <c r="B28900" t="s">
        <v>33645</v>
      </c>
      <c r="C28900">
        <f>0</f>
        <v>0</v>
      </c>
      <c r="D28900">
        <v>0.95666826004200001</v>
      </c>
      <c r="E28900">
        <v>11.370314842578701</v>
      </c>
    </row>
    <row r="28901" spans="1:5">
      <c r="A28901" t="s">
        <v>33642</v>
      </c>
      <c r="B28901" t="s">
        <v>33646</v>
      </c>
      <c r="C28901">
        <v>0.100691460617</v>
      </c>
      <c r="D28901">
        <v>0.95666826004200001</v>
      </c>
      <c r="E28901">
        <v>11.370314842578701</v>
      </c>
    </row>
    <row r="28902" spans="1:5">
      <c r="A28902" t="s">
        <v>33642</v>
      </c>
      <c r="B28902" t="s">
        <v>33647</v>
      </c>
      <c r="C28902">
        <v>0</v>
      </c>
      <c r="D28902">
        <v>0.95666826004200001</v>
      </c>
      <c r="E28902">
        <v>11.370314842578701</v>
      </c>
    </row>
    <row r="28903" spans="1:5">
      <c r="A28903" t="s">
        <v>33642</v>
      </c>
      <c r="B28903" t="s">
        <v>33648</v>
      </c>
      <c r="C28903">
        <f>0</f>
        <v>0</v>
      </c>
      <c r="D28903">
        <v>0.95666826004200001</v>
      </c>
      <c r="E28903">
        <v>11.370314842578701</v>
      </c>
    </row>
    <row r="28904" spans="1:5">
      <c r="A28904" t="s">
        <v>33649</v>
      </c>
      <c r="B28904" t="s">
        <v>33650</v>
      </c>
      <c r="C28904">
        <v>0.52826103462200003</v>
      </c>
      <c r="D28904">
        <v>0.98717171714499996</v>
      </c>
      <c r="E28904">
        <v>11.7061469265367</v>
      </c>
    </row>
    <row r="28905" spans="1:5">
      <c r="A28905" t="s">
        <v>33649</v>
      </c>
      <c r="B28905" t="s">
        <v>33651</v>
      </c>
      <c r="C28905">
        <v>0</v>
      </c>
      <c r="D28905">
        <v>0.98717171714499996</v>
      </c>
      <c r="E28905">
        <v>11.7061469265367</v>
      </c>
    </row>
    <row r="28906" spans="1:5">
      <c r="A28906" t="s">
        <v>33649</v>
      </c>
      <c r="B28906" t="s">
        <v>33652</v>
      </c>
      <c r="C28906">
        <f>0</f>
        <v>0</v>
      </c>
      <c r="D28906">
        <v>0.98717171714499996</v>
      </c>
      <c r="E28906">
        <v>11.7061469265367</v>
      </c>
    </row>
    <row r="28907" spans="1:5">
      <c r="A28907" t="s">
        <v>33649</v>
      </c>
      <c r="B28907" t="s">
        <v>33653</v>
      </c>
      <c r="C28907">
        <f>0.0896629351088</f>
        <v>8.9662935108799996E-2</v>
      </c>
      <c r="D28907">
        <v>0.98717171714499996</v>
      </c>
      <c r="E28907">
        <v>11.7061469265367</v>
      </c>
    </row>
    <row r="28908" spans="1:5">
      <c r="A28908" t="s">
        <v>33654</v>
      </c>
      <c r="B28908" t="s">
        <v>33655</v>
      </c>
      <c r="C28908">
        <f>0</f>
        <v>0</v>
      </c>
      <c r="D28908">
        <v>0.98466220791400005</v>
      </c>
      <c r="E28908">
        <v>2.96251874062968</v>
      </c>
    </row>
    <row r="28909" spans="1:5">
      <c r="A28909" t="s">
        <v>33654</v>
      </c>
      <c r="B28909" t="s">
        <v>33656</v>
      </c>
      <c r="C28909">
        <f>0</f>
        <v>0</v>
      </c>
      <c r="D28909">
        <v>0.98466220791400005</v>
      </c>
      <c r="E28909">
        <v>2.96251874062968</v>
      </c>
    </row>
    <row r="28910" spans="1:5">
      <c r="A28910" t="s">
        <v>33654</v>
      </c>
      <c r="B28910" t="s">
        <v>33657</v>
      </c>
      <c r="C28910">
        <f>0</f>
        <v>0</v>
      </c>
      <c r="D28910">
        <v>0.98466220791400005</v>
      </c>
      <c r="E28910">
        <v>2.96251874062968</v>
      </c>
    </row>
    <row r="28911" spans="1:5">
      <c r="A28911" t="s">
        <v>33654</v>
      </c>
      <c r="B28911" t="s">
        <v>33658</v>
      </c>
      <c r="C28911">
        <f>0</f>
        <v>0</v>
      </c>
      <c r="D28911">
        <v>0.98466220791400005</v>
      </c>
      <c r="E28911">
        <v>2.96251874062968</v>
      </c>
    </row>
    <row r="28912" spans="1:5">
      <c r="A28912" t="s">
        <v>33654</v>
      </c>
      <c r="B28912" t="s">
        <v>33659</v>
      </c>
      <c r="C28912">
        <f>0</f>
        <v>0</v>
      </c>
      <c r="D28912">
        <v>0.98466220791400005</v>
      </c>
      <c r="E28912">
        <v>2.96251874062968</v>
      </c>
    </row>
    <row r="28913" spans="1:5">
      <c r="A28913" t="s">
        <v>33654</v>
      </c>
      <c r="B28913" t="s">
        <v>33660</v>
      </c>
      <c r="C28913">
        <f>0</f>
        <v>0</v>
      </c>
      <c r="D28913">
        <v>0.98466220791400005</v>
      </c>
      <c r="E28913">
        <v>2.96251874062968</v>
      </c>
    </row>
    <row r="28914" spans="1:5">
      <c r="A28914" t="s">
        <v>33654</v>
      </c>
      <c r="B28914" t="s">
        <v>33661</v>
      </c>
      <c r="C28914">
        <f>0</f>
        <v>0</v>
      </c>
      <c r="D28914">
        <v>0.98466220791400005</v>
      </c>
      <c r="E28914">
        <v>2.96251874062968</v>
      </c>
    </row>
    <row r="28915" spans="1:5">
      <c r="A28915" t="s">
        <v>33654</v>
      </c>
      <c r="B28915" t="s">
        <v>33662</v>
      </c>
      <c r="C28915">
        <f>0.143055097487</f>
        <v>0.14305509748699999</v>
      </c>
      <c r="D28915">
        <v>0.98466220791400005</v>
      </c>
      <c r="E28915">
        <v>2.96251874062968</v>
      </c>
    </row>
    <row r="28916" spans="1:5">
      <c r="A28916" t="s">
        <v>33654</v>
      </c>
      <c r="B28916" t="s">
        <v>33663</v>
      </c>
      <c r="C28916">
        <f>0.238529909216</f>
        <v>0.23852990921600001</v>
      </c>
      <c r="D28916">
        <v>0.98466220791400005</v>
      </c>
      <c r="E28916">
        <v>2.96251874062968</v>
      </c>
    </row>
    <row r="28917" spans="1:5">
      <c r="A28917" t="s">
        <v>33664</v>
      </c>
      <c r="B28917" t="s">
        <v>33665</v>
      </c>
      <c r="C28917">
        <f>0</f>
        <v>0</v>
      </c>
      <c r="D28917" t="s">
        <v>106</v>
      </c>
      <c r="E28917">
        <v>23.508245877061398</v>
      </c>
    </row>
    <row r="28918" spans="1:5">
      <c r="A28918" t="s">
        <v>33664</v>
      </c>
      <c r="B28918" t="s">
        <v>33666</v>
      </c>
      <c r="C28918">
        <v>1.4883357718199999E-2</v>
      </c>
      <c r="D28918" t="s">
        <v>106</v>
      </c>
      <c r="E28918">
        <v>23.508245877061398</v>
      </c>
    </row>
    <row r="28919" spans="1:5">
      <c r="A28919" t="s">
        <v>33664</v>
      </c>
      <c r="B28919" t="s">
        <v>33667</v>
      </c>
      <c r="C28919">
        <f>0.136596595959</f>
        <v>0.13659659595900001</v>
      </c>
      <c r="D28919" t="s">
        <v>106</v>
      </c>
      <c r="E28919">
        <v>23.508245877061398</v>
      </c>
    </row>
    <row r="28920" spans="1:5">
      <c r="A28920" t="s">
        <v>33664</v>
      </c>
      <c r="B28920" t="s">
        <v>33668</v>
      </c>
      <c r="C28920">
        <f>0</f>
        <v>0</v>
      </c>
      <c r="D28920" t="s">
        <v>106</v>
      </c>
      <c r="E28920">
        <v>23.508245877061398</v>
      </c>
    </row>
    <row r="28921" spans="1:5">
      <c r="A28921" t="s">
        <v>33664</v>
      </c>
      <c r="B28921" t="s">
        <v>33669</v>
      </c>
      <c r="C28921">
        <v>0</v>
      </c>
      <c r="D28921" t="s">
        <v>106</v>
      </c>
      <c r="E28921">
        <v>23.508245877061398</v>
      </c>
    </row>
    <row r="28922" spans="1:5">
      <c r="A28922" t="s">
        <v>33664</v>
      </c>
      <c r="B28922" t="s">
        <v>33670</v>
      </c>
      <c r="C28922">
        <v>0</v>
      </c>
      <c r="D28922" t="s">
        <v>106</v>
      </c>
      <c r="E28922">
        <v>23.508245877061398</v>
      </c>
    </row>
    <row r="28923" spans="1:5">
      <c r="A28923" t="s">
        <v>33664</v>
      </c>
      <c r="B28923" t="s">
        <v>33671</v>
      </c>
      <c r="C28923">
        <f>0</f>
        <v>0</v>
      </c>
      <c r="D28923" t="s">
        <v>106</v>
      </c>
      <c r="E28923">
        <v>23.508245877061398</v>
      </c>
    </row>
    <row r="28924" spans="1:5">
      <c r="A28924" t="s">
        <v>33672</v>
      </c>
      <c r="B28924" t="s">
        <v>33673</v>
      </c>
      <c r="C28924">
        <v>0.30554624515700002</v>
      </c>
      <c r="D28924">
        <v>0.78267664921199998</v>
      </c>
      <c r="E28924">
        <v>0.65967016491754105</v>
      </c>
    </row>
    <row r="28925" spans="1:5">
      <c r="A28925" t="s">
        <v>33672</v>
      </c>
      <c r="B28925" t="s">
        <v>33674</v>
      </c>
      <c r="C28925">
        <f>0</f>
        <v>0</v>
      </c>
      <c r="D28925">
        <v>0.78267664921199998</v>
      </c>
      <c r="E28925">
        <v>0.65967016491754105</v>
      </c>
    </row>
    <row r="28926" spans="1:5">
      <c r="A28926" t="s">
        <v>33672</v>
      </c>
      <c r="B28926" t="s">
        <v>33675</v>
      </c>
      <c r="C28926">
        <v>0</v>
      </c>
      <c r="D28926">
        <v>0.78267664921199998</v>
      </c>
      <c r="E28926">
        <v>0.65967016491754105</v>
      </c>
    </row>
    <row r="28927" spans="1:5">
      <c r="A28927" t="s">
        <v>33676</v>
      </c>
      <c r="B28927" t="s">
        <v>33677</v>
      </c>
      <c r="C28927">
        <f>0</f>
        <v>0</v>
      </c>
      <c r="D28927" t="s">
        <v>106</v>
      </c>
      <c r="E28927">
        <v>16.899550224887498</v>
      </c>
    </row>
    <row r="28928" spans="1:5">
      <c r="A28928" t="s">
        <v>33676</v>
      </c>
      <c r="B28928" t="s">
        <v>33678</v>
      </c>
      <c r="C28928">
        <v>0.17189641020999999</v>
      </c>
      <c r="D28928" t="s">
        <v>106</v>
      </c>
      <c r="E28928">
        <v>16.899550224887498</v>
      </c>
    </row>
    <row r="28929" spans="1:5">
      <c r="A28929" t="s">
        <v>33676</v>
      </c>
      <c r="B28929" t="s">
        <v>33679</v>
      </c>
      <c r="C28929">
        <f>0</f>
        <v>0</v>
      </c>
      <c r="D28929" t="s">
        <v>106</v>
      </c>
      <c r="E28929">
        <v>16.899550224887498</v>
      </c>
    </row>
    <row r="28930" spans="1:5">
      <c r="A28930" t="s">
        <v>33680</v>
      </c>
      <c r="B28930" t="s">
        <v>33681</v>
      </c>
      <c r="C28930">
        <f>0</f>
        <v>0</v>
      </c>
      <c r="D28930">
        <v>0.84790092230400005</v>
      </c>
      <c r="E28930">
        <v>0.86356821589205401</v>
      </c>
    </row>
    <row r="28931" spans="1:5">
      <c r="A28931" t="s">
        <v>33680</v>
      </c>
      <c r="B28931" t="s">
        <v>33682</v>
      </c>
      <c r="C28931">
        <f>0</f>
        <v>0</v>
      </c>
      <c r="D28931">
        <v>0.84790092230400005</v>
      </c>
      <c r="E28931">
        <v>0.86356821589205401</v>
      </c>
    </row>
    <row r="28932" spans="1:5">
      <c r="A28932" t="s">
        <v>33680</v>
      </c>
      <c r="B28932" t="s">
        <v>33683</v>
      </c>
      <c r="C28932">
        <f>0.145619451533</f>
        <v>0.14561945153299999</v>
      </c>
      <c r="D28932">
        <v>0.84790092230400005</v>
      </c>
      <c r="E28932">
        <v>0.86356821589205401</v>
      </c>
    </row>
    <row r="28933" spans="1:5">
      <c r="A28933" t="s">
        <v>33680</v>
      </c>
      <c r="B28933" t="s">
        <v>33684</v>
      </c>
      <c r="C28933">
        <v>0</v>
      </c>
      <c r="D28933">
        <v>0.84790092230400005</v>
      </c>
      <c r="E28933">
        <v>0.86356821589205401</v>
      </c>
    </row>
    <row r="28934" spans="1:5">
      <c r="A28934" t="s">
        <v>33680</v>
      </c>
      <c r="B28934" t="s">
        <v>33685</v>
      </c>
      <c r="C28934">
        <v>0</v>
      </c>
      <c r="D28934">
        <v>0.84790092230400005</v>
      </c>
      <c r="E28934">
        <v>0.86356821589205401</v>
      </c>
    </row>
    <row r="28935" spans="1:5">
      <c r="A28935" t="s">
        <v>33680</v>
      </c>
      <c r="B28935" t="s">
        <v>33686</v>
      </c>
      <c r="C28935">
        <v>4.1811905248399998E-2</v>
      </c>
      <c r="D28935">
        <v>0.84790092230400005</v>
      </c>
      <c r="E28935">
        <v>0.86356821589205401</v>
      </c>
    </row>
    <row r="28936" spans="1:5">
      <c r="A28936" t="s">
        <v>33680</v>
      </c>
      <c r="B28936" t="s">
        <v>33687</v>
      </c>
      <c r="C28936">
        <f>0</f>
        <v>0</v>
      </c>
      <c r="D28936">
        <v>0.84790092230400005</v>
      </c>
      <c r="E28936">
        <v>0.86356821589205401</v>
      </c>
    </row>
    <row r="28937" spans="1:5">
      <c r="A28937" t="s">
        <v>33688</v>
      </c>
      <c r="B28937" t="s">
        <v>33689</v>
      </c>
      <c r="C28937">
        <v>2.3451755622500001E-2</v>
      </c>
      <c r="D28937">
        <v>0.98147950047999999</v>
      </c>
      <c r="E28937">
        <v>16.299850074962499</v>
      </c>
    </row>
    <row r="28938" spans="1:5">
      <c r="A28938" t="s">
        <v>33688</v>
      </c>
      <c r="B28938" t="s">
        <v>33690</v>
      </c>
      <c r="C28938">
        <v>0</v>
      </c>
      <c r="D28938">
        <v>0.98147950047999999</v>
      </c>
      <c r="E28938">
        <v>16.299850074962499</v>
      </c>
    </row>
    <row r="28939" spans="1:5">
      <c r="A28939" t="s">
        <v>33688</v>
      </c>
      <c r="B28939" t="s">
        <v>33691</v>
      </c>
      <c r="C28939">
        <v>7.0154059999100002E-2</v>
      </c>
      <c r="D28939">
        <v>0.98147950047999999</v>
      </c>
      <c r="E28939">
        <v>16.299850074962499</v>
      </c>
    </row>
    <row r="28940" spans="1:5">
      <c r="A28940" t="s">
        <v>33688</v>
      </c>
      <c r="B28940" t="s">
        <v>33692</v>
      </c>
      <c r="C28940">
        <v>0</v>
      </c>
      <c r="D28940">
        <v>0.98147950047999999</v>
      </c>
      <c r="E28940">
        <v>16.299850074962499</v>
      </c>
    </row>
    <row r="28941" spans="1:5">
      <c r="A28941" t="s">
        <v>33693</v>
      </c>
      <c r="B28941" t="s">
        <v>33694</v>
      </c>
      <c r="C28941">
        <f>0</f>
        <v>0</v>
      </c>
      <c r="D28941" t="s">
        <v>106</v>
      </c>
      <c r="E28941">
        <v>16.299850074962499</v>
      </c>
    </row>
    <row r="28942" spans="1:5">
      <c r="A28942" t="s">
        <v>33693</v>
      </c>
      <c r="B28942" t="s">
        <v>33695</v>
      </c>
      <c r="C28942">
        <f>0</f>
        <v>0</v>
      </c>
      <c r="D28942" t="s">
        <v>106</v>
      </c>
      <c r="E28942">
        <v>16.299850074962499</v>
      </c>
    </row>
    <row r="28943" spans="1:5">
      <c r="A28943" t="s">
        <v>33693</v>
      </c>
      <c r="B28943" t="s">
        <v>33696</v>
      </c>
      <c r="C28943">
        <v>0</v>
      </c>
      <c r="D28943" t="s">
        <v>106</v>
      </c>
      <c r="E28943">
        <v>16.299850074962499</v>
      </c>
    </row>
    <row r="28944" spans="1:5">
      <c r="A28944" t="s">
        <v>33693</v>
      </c>
      <c r="B28944" t="s">
        <v>33697</v>
      </c>
      <c r="C28944">
        <v>0</v>
      </c>
      <c r="D28944" t="s">
        <v>106</v>
      </c>
      <c r="E28944">
        <v>16.299850074962499</v>
      </c>
    </row>
    <row r="28945" spans="1:5">
      <c r="A28945" t="s">
        <v>33693</v>
      </c>
      <c r="B28945" t="s">
        <v>33698</v>
      </c>
      <c r="C28945">
        <f>0</f>
        <v>0</v>
      </c>
      <c r="D28945" t="s">
        <v>106</v>
      </c>
      <c r="E28945">
        <v>16.299850074962499</v>
      </c>
    </row>
    <row r="28946" spans="1:5">
      <c r="A28946" t="s">
        <v>33699</v>
      </c>
      <c r="B28946" t="s">
        <v>33700</v>
      </c>
      <c r="C28946">
        <v>0</v>
      </c>
      <c r="D28946">
        <v>0.99217560847599995</v>
      </c>
      <c r="E28946">
        <v>4.1739130434782599</v>
      </c>
    </row>
    <row r="28947" spans="1:5">
      <c r="A28947" t="s">
        <v>33699</v>
      </c>
      <c r="B28947" t="s">
        <v>33701</v>
      </c>
      <c r="C28947">
        <v>0.112079167721</v>
      </c>
      <c r="D28947">
        <v>0.99217560847599995</v>
      </c>
      <c r="E28947">
        <v>4.1739130434782599</v>
      </c>
    </row>
    <row r="28948" spans="1:5">
      <c r="A28948" t="s">
        <v>33699</v>
      </c>
      <c r="B28948" t="s">
        <v>33702</v>
      </c>
      <c r="C28948">
        <f>0</f>
        <v>0</v>
      </c>
      <c r="D28948">
        <v>0.99217560847599995</v>
      </c>
      <c r="E28948">
        <v>4.1739130434782599</v>
      </c>
    </row>
    <row r="28949" spans="1:5">
      <c r="A28949" t="s">
        <v>33699</v>
      </c>
      <c r="B28949" t="s">
        <v>33703</v>
      </c>
      <c r="C28949">
        <f>0</f>
        <v>0</v>
      </c>
      <c r="D28949">
        <v>0.99217560847599995</v>
      </c>
      <c r="E28949">
        <v>4.1739130434782599</v>
      </c>
    </row>
    <row r="28950" spans="1:5">
      <c r="A28950" t="s">
        <v>33699</v>
      </c>
      <c r="B28950" t="s">
        <v>33704</v>
      </c>
      <c r="C28950">
        <v>0</v>
      </c>
      <c r="D28950">
        <v>0.99217560847599995</v>
      </c>
      <c r="E28950">
        <v>4.1739130434782599</v>
      </c>
    </row>
    <row r="28951" spans="1:5">
      <c r="A28951" t="s">
        <v>33699</v>
      </c>
      <c r="B28951" t="s">
        <v>33705</v>
      </c>
      <c r="C28951">
        <v>0.50009766494100005</v>
      </c>
      <c r="D28951">
        <v>0.99217560847599995</v>
      </c>
      <c r="E28951">
        <v>4.1739130434782599</v>
      </c>
    </row>
    <row r="28952" spans="1:5">
      <c r="A28952" t="s">
        <v>33706</v>
      </c>
      <c r="B28952" t="s">
        <v>33707</v>
      </c>
      <c r="C28952">
        <v>0.43360150296700001</v>
      </c>
      <c r="D28952">
        <v>0.98659890800299999</v>
      </c>
      <c r="E28952">
        <v>12.9175412293853</v>
      </c>
    </row>
    <row r="28953" spans="1:5">
      <c r="A28953" t="s">
        <v>33706</v>
      </c>
      <c r="B28953" t="s">
        <v>33708</v>
      </c>
      <c r="C28953">
        <f>0</f>
        <v>0</v>
      </c>
      <c r="D28953">
        <v>0.98659890800299999</v>
      </c>
      <c r="E28953">
        <v>12.9175412293853</v>
      </c>
    </row>
    <row r="28954" spans="1:5">
      <c r="A28954" t="s">
        <v>33706</v>
      </c>
      <c r="B28954" t="s">
        <v>33709</v>
      </c>
      <c r="C28954">
        <v>0</v>
      </c>
      <c r="D28954">
        <v>0.98659890800299999</v>
      </c>
      <c r="E28954">
        <v>12.9175412293853</v>
      </c>
    </row>
    <row r="28955" spans="1:5">
      <c r="A28955" t="s">
        <v>33706</v>
      </c>
      <c r="B28955" t="s">
        <v>33710</v>
      </c>
      <c r="C28955">
        <v>6.1625627790999997E-2</v>
      </c>
      <c r="D28955">
        <v>0.98659890800299999</v>
      </c>
      <c r="E28955">
        <v>12.9175412293853</v>
      </c>
    </row>
    <row r="28956" spans="1:5">
      <c r="A28956" t="s">
        <v>33706</v>
      </c>
      <c r="B28956" t="s">
        <v>33711</v>
      </c>
      <c r="C28956">
        <v>0</v>
      </c>
      <c r="D28956">
        <v>0.98659890800299999</v>
      </c>
      <c r="E28956">
        <v>12.9175412293853</v>
      </c>
    </row>
    <row r="28957" spans="1:5">
      <c r="A28957" t="s">
        <v>33706</v>
      </c>
      <c r="B28957" t="s">
        <v>33712</v>
      </c>
      <c r="C28957">
        <f>0</f>
        <v>0</v>
      </c>
      <c r="D28957">
        <v>0.98659890800299999</v>
      </c>
      <c r="E28957">
        <v>12.9175412293853</v>
      </c>
    </row>
    <row r="28958" spans="1:5">
      <c r="A28958" t="s">
        <v>33713</v>
      </c>
      <c r="B28958" t="s">
        <v>33714</v>
      </c>
      <c r="C28958">
        <v>0</v>
      </c>
      <c r="D28958">
        <v>0.84364742865800002</v>
      </c>
      <c r="E28958">
        <v>1.6311844077961</v>
      </c>
    </row>
    <row r="28959" spans="1:5">
      <c r="A28959" t="s">
        <v>33713</v>
      </c>
      <c r="B28959" t="s">
        <v>33715</v>
      </c>
      <c r="C28959">
        <f>0</f>
        <v>0</v>
      </c>
      <c r="D28959">
        <v>0.84364742865800002</v>
      </c>
      <c r="E28959">
        <v>1.6311844077961</v>
      </c>
    </row>
    <row r="28960" spans="1:5">
      <c r="A28960" t="s">
        <v>33713</v>
      </c>
      <c r="B28960" t="s">
        <v>33716</v>
      </c>
      <c r="C28960">
        <f>0.0249962458144</f>
        <v>2.4996245814399999E-2</v>
      </c>
      <c r="D28960">
        <v>0.84364742865800002</v>
      </c>
      <c r="E28960">
        <v>1.6311844077961</v>
      </c>
    </row>
    <row r="28961" spans="1:5">
      <c r="A28961" t="s">
        <v>33713</v>
      </c>
      <c r="B28961" t="s">
        <v>33717</v>
      </c>
      <c r="C28961">
        <f>0</f>
        <v>0</v>
      </c>
      <c r="D28961">
        <v>0.84364742865800002</v>
      </c>
      <c r="E28961">
        <v>1.6311844077961</v>
      </c>
    </row>
    <row r="28962" spans="1:5">
      <c r="A28962" t="s">
        <v>33713</v>
      </c>
      <c r="B28962" t="s">
        <v>33718</v>
      </c>
      <c r="C28962">
        <f>0</f>
        <v>0</v>
      </c>
      <c r="D28962">
        <v>0.84364742865800002</v>
      </c>
      <c r="E28962">
        <v>1.6311844077961</v>
      </c>
    </row>
    <row r="28963" spans="1:5">
      <c r="A28963" t="s">
        <v>33713</v>
      </c>
      <c r="B28963" t="s">
        <v>33719</v>
      </c>
      <c r="C28963">
        <v>7.1886826417000005E-2</v>
      </c>
      <c r="D28963">
        <v>0.84364742865800002</v>
      </c>
      <c r="E28963">
        <v>1.6311844077961</v>
      </c>
    </row>
    <row r="28964" spans="1:5">
      <c r="A28964" t="s">
        <v>33720</v>
      </c>
      <c r="B28964" t="s">
        <v>33721</v>
      </c>
      <c r="C28964">
        <v>0</v>
      </c>
      <c r="D28964">
        <v>0.60770272175999995</v>
      </c>
      <c r="E28964">
        <v>1.2713643178410701</v>
      </c>
    </row>
    <row r="28965" spans="1:5">
      <c r="A28965" t="s">
        <v>33720</v>
      </c>
      <c r="B28965" t="s">
        <v>33722</v>
      </c>
      <c r="C28965">
        <v>0.15327111170999999</v>
      </c>
      <c r="D28965">
        <v>0.60770272175999995</v>
      </c>
      <c r="E28965">
        <v>1.2713643178410701</v>
      </c>
    </row>
    <row r="28966" spans="1:5">
      <c r="A28966" t="s">
        <v>33720</v>
      </c>
      <c r="B28966" t="s">
        <v>33723</v>
      </c>
      <c r="C28966">
        <v>0</v>
      </c>
      <c r="D28966">
        <v>0.60770272175999995</v>
      </c>
      <c r="E28966">
        <v>1.2713643178410701</v>
      </c>
    </row>
    <row r="28967" spans="1:5">
      <c r="A28967" t="s">
        <v>33720</v>
      </c>
      <c r="B28967" t="s">
        <v>33724</v>
      </c>
      <c r="C28967">
        <f>0</f>
        <v>0</v>
      </c>
      <c r="D28967">
        <v>0.60770272175999995</v>
      </c>
      <c r="E28967">
        <v>1.2713643178410701</v>
      </c>
    </row>
    <row r="28968" spans="1:5">
      <c r="A28968" t="s">
        <v>33725</v>
      </c>
      <c r="B28968" t="s">
        <v>33726</v>
      </c>
      <c r="C28968">
        <f>0.240003570595</f>
        <v>0.24000357059499999</v>
      </c>
      <c r="D28968">
        <v>0.96365158231500003</v>
      </c>
      <c r="E28968">
        <v>23.040479760119901</v>
      </c>
    </row>
    <row r="28969" spans="1:5">
      <c r="A28969" t="s">
        <v>33725</v>
      </c>
      <c r="B28969" t="s">
        <v>33727</v>
      </c>
      <c r="C28969">
        <f>0.0420865883958</f>
        <v>4.2086588395799998E-2</v>
      </c>
      <c r="D28969">
        <v>0.96365158231500003</v>
      </c>
      <c r="E28969">
        <v>23.040479760119901</v>
      </c>
    </row>
    <row r="28970" spans="1:5">
      <c r="A28970" t="s">
        <v>33728</v>
      </c>
      <c r="B28970" t="s">
        <v>33729</v>
      </c>
      <c r="C28970">
        <f>0.0377680307868</f>
        <v>3.7768030786800001E-2</v>
      </c>
      <c r="D28970">
        <v>0.96728878689800002</v>
      </c>
      <c r="E28970">
        <v>14.740629685157399</v>
      </c>
    </row>
    <row r="28971" spans="1:5">
      <c r="A28971" t="s">
        <v>33728</v>
      </c>
      <c r="B28971" t="s">
        <v>33730</v>
      </c>
      <c r="C28971">
        <v>0</v>
      </c>
      <c r="D28971">
        <v>0.96728878689800002</v>
      </c>
      <c r="E28971">
        <v>14.740629685157399</v>
      </c>
    </row>
    <row r="28972" spans="1:5">
      <c r="A28972" t="s">
        <v>33728</v>
      </c>
      <c r="B28972" t="s">
        <v>33731</v>
      </c>
      <c r="C28972">
        <f>0.03923547425</f>
        <v>3.9235474249999999E-2</v>
      </c>
      <c r="D28972">
        <v>0.96728878689800002</v>
      </c>
      <c r="E28972">
        <v>14.740629685157399</v>
      </c>
    </row>
    <row r="28973" spans="1:5">
      <c r="A28973" t="s">
        <v>33728</v>
      </c>
      <c r="B28973" t="s">
        <v>33732</v>
      </c>
      <c r="C28973">
        <v>0</v>
      </c>
      <c r="D28973">
        <v>0.96728878689800002</v>
      </c>
      <c r="E28973">
        <v>14.740629685157399</v>
      </c>
    </row>
    <row r="28974" spans="1:5">
      <c r="A28974" t="s">
        <v>33728</v>
      </c>
      <c r="B28974" t="s">
        <v>33733</v>
      </c>
      <c r="C28974">
        <f>0</f>
        <v>0</v>
      </c>
      <c r="D28974">
        <v>0.96728878689800002</v>
      </c>
      <c r="E28974">
        <v>14.740629685157399</v>
      </c>
    </row>
    <row r="28975" spans="1:5">
      <c r="A28975" t="s">
        <v>33734</v>
      </c>
      <c r="B28975" t="s">
        <v>33735</v>
      </c>
      <c r="C28975">
        <f>0</f>
        <v>0</v>
      </c>
      <c r="D28975" t="s">
        <v>106</v>
      </c>
      <c r="E28975">
        <v>18.770614692653599</v>
      </c>
    </row>
    <row r="28976" spans="1:5">
      <c r="A28976" t="s">
        <v>33734</v>
      </c>
      <c r="B28976" t="s">
        <v>33736</v>
      </c>
      <c r="C28976">
        <f>0.0327970649867</f>
        <v>3.27970649867E-2</v>
      </c>
      <c r="D28976" t="s">
        <v>106</v>
      </c>
      <c r="E28976">
        <v>18.770614692653599</v>
      </c>
    </row>
    <row r="28977" spans="1:5">
      <c r="A28977" t="s">
        <v>33734</v>
      </c>
      <c r="B28977" t="s">
        <v>33737</v>
      </c>
      <c r="C28977">
        <v>0</v>
      </c>
      <c r="D28977" t="s">
        <v>106</v>
      </c>
      <c r="E28977">
        <v>18.770614692653599</v>
      </c>
    </row>
    <row r="28978" spans="1:5">
      <c r="A28978" t="s">
        <v>33734</v>
      </c>
      <c r="B28978" t="s">
        <v>33738</v>
      </c>
      <c r="C28978">
        <v>0.12604220723099999</v>
      </c>
      <c r="D28978" t="s">
        <v>106</v>
      </c>
      <c r="E28978">
        <v>18.770614692653599</v>
      </c>
    </row>
    <row r="28979" spans="1:5">
      <c r="A28979" t="s">
        <v>33734</v>
      </c>
      <c r="B28979" t="s">
        <v>33739</v>
      </c>
      <c r="C28979">
        <v>0</v>
      </c>
      <c r="D28979" t="s">
        <v>106</v>
      </c>
      <c r="E28979">
        <v>18.770614692653599</v>
      </c>
    </row>
    <row r="28980" spans="1:5">
      <c r="A28980" t="s">
        <v>33734</v>
      </c>
      <c r="B28980" t="s">
        <v>33740</v>
      </c>
      <c r="C28980">
        <v>0</v>
      </c>
      <c r="D28980" t="s">
        <v>106</v>
      </c>
      <c r="E28980">
        <v>18.770614692653599</v>
      </c>
    </row>
    <row r="28981" spans="1:5">
      <c r="A28981" t="s">
        <v>33734</v>
      </c>
      <c r="B28981" t="s">
        <v>33741</v>
      </c>
      <c r="C28981">
        <v>0</v>
      </c>
      <c r="D28981" t="s">
        <v>106</v>
      </c>
      <c r="E28981">
        <v>18.770614692653599</v>
      </c>
    </row>
    <row r="28982" spans="1:5">
      <c r="A28982" t="s">
        <v>33734</v>
      </c>
      <c r="B28982" t="s">
        <v>33742</v>
      </c>
      <c r="C28982">
        <f>0</f>
        <v>0</v>
      </c>
      <c r="D28982" t="s">
        <v>106</v>
      </c>
      <c r="E28982">
        <v>18.770614692653599</v>
      </c>
    </row>
    <row r="28983" spans="1:5">
      <c r="A28983" t="s">
        <v>33734</v>
      </c>
      <c r="B28983" t="s">
        <v>33743</v>
      </c>
      <c r="C28983">
        <v>0</v>
      </c>
      <c r="D28983" t="s">
        <v>106</v>
      </c>
      <c r="E28983">
        <v>18.770614692653599</v>
      </c>
    </row>
    <row r="28984" spans="1:5">
      <c r="A28984" t="s">
        <v>33744</v>
      </c>
      <c r="B28984" t="s">
        <v>33745</v>
      </c>
      <c r="C28984">
        <v>0</v>
      </c>
      <c r="D28984">
        <v>0.81158238437700003</v>
      </c>
      <c r="E28984">
        <v>5.9370314842578704</v>
      </c>
    </row>
    <row r="28985" spans="1:5">
      <c r="A28985" t="s">
        <v>33744</v>
      </c>
      <c r="B28985" t="s">
        <v>33746</v>
      </c>
      <c r="C28985">
        <f>0</f>
        <v>0</v>
      </c>
      <c r="D28985">
        <v>0.81158238437700003</v>
      </c>
      <c r="E28985">
        <v>5.9370314842578704</v>
      </c>
    </row>
    <row r="28986" spans="1:5">
      <c r="A28986" t="s">
        <v>33744</v>
      </c>
      <c r="B28986" t="s">
        <v>33747</v>
      </c>
      <c r="C28986">
        <f>0</f>
        <v>0</v>
      </c>
      <c r="D28986">
        <v>0.81158238437700003</v>
      </c>
      <c r="E28986">
        <v>5.9370314842578704</v>
      </c>
    </row>
    <row r="28987" spans="1:5">
      <c r="A28987" t="s">
        <v>33744</v>
      </c>
      <c r="B28987" t="s">
        <v>33748</v>
      </c>
      <c r="C28987">
        <v>0</v>
      </c>
      <c r="D28987">
        <v>0.81158238437700003</v>
      </c>
      <c r="E28987">
        <v>5.9370314842578704</v>
      </c>
    </row>
    <row r="28988" spans="1:5">
      <c r="A28988" t="s">
        <v>33744</v>
      </c>
      <c r="B28988" t="s">
        <v>33749</v>
      </c>
      <c r="C28988">
        <v>0</v>
      </c>
      <c r="D28988">
        <v>0.81158238437700003</v>
      </c>
      <c r="E28988">
        <v>5.9370314842578704</v>
      </c>
    </row>
    <row r="28989" spans="1:5">
      <c r="A28989" t="s">
        <v>33744</v>
      </c>
      <c r="B28989" t="s">
        <v>33750</v>
      </c>
      <c r="C28989">
        <f>0</f>
        <v>0</v>
      </c>
      <c r="D28989">
        <v>0.81158238437700003</v>
      </c>
      <c r="E28989">
        <v>5.9370314842578704</v>
      </c>
    </row>
    <row r="28990" spans="1:5">
      <c r="A28990" t="s">
        <v>33744</v>
      </c>
      <c r="B28990" t="s">
        <v>33751</v>
      </c>
      <c r="C28990">
        <v>0</v>
      </c>
      <c r="D28990">
        <v>0.81158238437700003</v>
      </c>
      <c r="E28990">
        <v>5.9370314842578704</v>
      </c>
    </row>
    <row r="28991" spans="1:5">
      <c r="A28991" t="s">
        <v>33744</v>
      </c>
      <c r="B28991" t="s">
        <v>33752</v>
      </c>
      <c r="C28991">
        <v>0</v>
      </c>
      <c r="D28991">
        <v>0.81158238437700003</v>
      </c>
      <c r="E28991">
        <v>5.9370314842578704</v>
      </c>
    </row>
    <row r="28992" spans="1:5">
      <c r="A28992" t="s">
        <v>33753</v>
      </c>
      <c r="B28992" t="s">
        <v>33754</v>
      </c>
      <c r="C28992">
        <f>0</f>
        <v>0</v>
      </c>
      <c r="D28992" t="s">
        <v>106</v>
      </c>
      <c r="E28992">
        <v>24</v>
      </c>
    </row>
    <row r="28993" spans="1:5">
      <c r="A28993" t="s">
        <v>33753</v>
      </c>
      <c r="B28993" t="s">
        <v>33755</v>
      </c>
      <c r="C28993">
        <v>0</v>
      </c>
      <c r="D28993" t="s">
        <v>106</v>
      </c>
      <c r="E28993">
        <v>24</v>
      </c>
    </row>
    <row r="28994" spans="1:5">
      <c r="A28994" t="s">
        <v>33753</v>
      </c>
      <c r="B28994" t="s">
        <v>33756</v>
      </c>
      <c r="C28994">
        <v>0</v>
      </c>
      <c r="D28994" t="s">
        <v>106</v>
      </c>
      <c r="E28994">
        <v>24</v>
      </c>
    </row>
    <row r="28995" spans="1:5">
      <c r="A28995" t="s">
        <v>33753</v>
      </c>
      <c r="B28995" t="s">
        <v>33757</v>
      </c>
      <c r="C28995">
        <v>0</v>
      </c>
      <c r="D28995" t="s">
        <v>106</v>
      </c>
      <c r="E28995">
        <v>24</v>
      </c>
    </row>
    <row r="28996" spans="1:5">
      <c r="A28996" t="s">
        <v>33753</v>
      </c>
      <c r="B28996" t="s">
        <v>33758</v>
      </c>
      <c r="C28996">
        <f>0</f>
        <v>0</v>
      </c>
      <c r="D28996" t="s">
        <v>106</v>
      </c>
      <c r="E28996">
        <v>24</v>
      </c>
    </row>
    <row r="28997" spans="1:5">
      <c r="A28997" t="s">
        <v>33753</v>
      </c>
      <c r="B28997" t="s">
        <v>33759</v>
      </c>
      <c r="C28997">
        <v>0</v>
      </c>
      <c r="D28997" t="s">
        <v>106</v>
      </c>
      <c r="E28997">
        <v>24</v>
      </c>
    </row>
    <row r="28998" spans="1:5">
      <c r="A28998" t="s">
        <v>33753</v>
      </c>
      <c r="B28998" t="s">
        <v>33760</v>
      </c>
      <c r="C28998">
        <v>0</v>
      </c>
      <c r="D28998" t="s">
        <v>106</v>
      </c>
      <c r="E28998">
        <v>24</v>
      </c>
    </row>
    <row r="28999" spans="1:5">
      <c r="A28999" t="s">
        <v>33753</v>
      </c>
      <c r="B28999" t="s">
        <v>33761</v>
      </c>
      <c r="C28999">
        <v>0</v>
      </c>
      <c r="D28999" t="s">
        <v>106</v>
      </c>
      <c r="E28999">
        <v>24</v>
      </c>
    </row>
    <row r="29000" spans="1:5">
      <c r="A29000" t="s">
        <v>33753</v>
      </c>
      <c r="B29000" t="s">
        <v>33762</v>
      </c>
      <c r="C29000">
        <f>0</f>
        <v>0</v>
      </c>
      <c r="D29000" t="s">
        <v>106</v>
      </c>
      <c r="E29000">
        <v>24</v>
      </c>
    </row>
    <row r="29001" spans="1:5">
      <c r="A29001" t="s">
        <v>33753</v>
      </c>
      <c r="B29001" t="s">
        <v>33763</v>
      </c>
      <c r="C29001">
        <f>0</f>
        <v>0</v>
      </c>
      <c r="D29001" t="s">
        <v>106</v>
      </c>
      <c r="E29001">
        <v>24</v>
      </c>
    </row>
    <row r="29002" spans="1:5">
      <c r="A29002" t="s">
        <v>33753</v>
      </c>
      <c r="B29002" t="s">
        <v>33764</v>
      </c>
      <c r="C29002">
        <f>0</f>
        <v>0</v>
      </c>
      <c r="D29002" t="s">
        <v>106</v>
      </c>
      <c r="E29002">
        <v>24</v>
      </c>
    </row>
    <row r="29003" spans="1:5">
      <c r="A29003" t="s">
        <v>33753</v>
      </c>
      <c r="B29003" t="s">
        <v>33765</v>
      </c>
      <c r="C29003">
        <f>0</f>
        <v>0</v>
      </c>
      <c r="D29003" t="s">
        <v>106</v>
      </c>
      <c r="E29003">
        <v>24</v>
      </c>
    </row>
    <row r="29004" spans="1:5">
      <c r="A29004" t="s">
        <v>33753</v>
      </c>
      <c r="B29004" t="s">
        <v>33766</v>
      </c>
      <c r="C29004">
        <f>0</f>
        <v>0</v>
      </c>
      <c r="D29004" t="s">
        <v>106</v>
      </c>
      <c r="E29004">
        <v>24</v>
      </c>
    </row>
    <row r="29005" spans="1:5">
      <c r="A29005" t="s">
        <v>33753</v>
      </c>
      <c r="B29005" t="s">
        <v>33767</v>
      </c>
      <c r="C29005">
        <f>0</f>
        <v>0</v>
      </c>
      <c r="D29005" t="s">
        <v>106</v>
      </c>
      <c r="E29005">
        <v>24</v>
      </c>
    </row>
    <row r="29006" spans="1:5">
      <c r="A29006" t="s">
        <v>33753</v>
      </c>
      <c r="B29006" t="s">
        <v>33768</v>
      </c>
      <c r="C29006">
        <f>0</f>
        <v>0</v>
      </c>
      <c r="D29006" t="s">
        <v>106</v>
      </c>
      <c r="E29006">
        <v>24</v>
      </c>
    </row>
    <row r="29007" spans="1:5">
      <c r="A29007" t="s">
        <v>33753</v>
      </c>
      <c r="B29007" t="s">
        <v>33769</v>
      </c>
      <c r="C29007">
        <f>0</f>
        <v>0</v>
      </c>
      <c r="D29007" t="s">
        <v>106</v>
      </c>
      <c r="E29007">
        <v>24</v>
      </c>
    </row>
    <row r="29008" spans="1:5">
      <c r="A29008" t="s">
        <v>33770</v>
      </c>
      <c r="B29008" t="s">
        <v>33771</v>
      </c>
      <c r="C29008">
        <f>0</f>
        <v>0</v>
      </c>
      <c r="D29008">
        <v>0.95915769616199997</v>
      </c>
      <c r="E29008">
        <v>0.61169415292353801</v>
      </c>
    </row>
    <row r="29009" spans="1:5">
      <c r="A29009" t="s">
        <v>33770</v>
      </c>
      <c r="B29009" t="s">
        <v>33772</v>
      </c>
      <c r="C29009">
        <f>0</f>
        <v>0</v>
      </c>
      <c r="D29009">
        <v>0.95915769616199997</v>
      </c>
      <c r="E29009">
        <v>0.61169415292353801</v>
      </c>
    </row>
    <row r="29010" spans="1:5">
      <c r="A29010" t="s">
        <v>33770</v>
      </c>
      <c r="B29010" t="s">
        <v>33773</v>
      </c>
      <c r="C29010">
        <v>0</v>
      </c>
      <c r="D29010">
        <v>0.95915769616199997</v>
      </c>
      <c r="E29010">
        <v>0.61169415292353801</v>
      </c>
    </row>
    <row r="29011" spans="1:5">
      <c r="A29011" t="s">
        <v>33770</v>
      </c>
      <c r="B29011" t="s">
        <v>33774</v>
      </c>
      <c r="C29011">
        <v>0</v>
      </c>
      <c r="D29011">
        <v>0.95915769616199997</v>
      </c>
      <c r="E29011">
        <v>0.61169415292353801</v>
      </c>
    </row>
    <row r="29012" spans="1:5">
      <c r="A29012" t="s">
        <v>33770</v>
      </c>
      <c r="B29012" t="s">
        <v>33775</v>
      </c>
      <c r="C29012">
        <f>0</f>
        <v>0</v>
      </c>
      <c r="D29012">
        <v>0.95915769616199997</v>
      </c>
      <c r="E29012">
        <v>0.61169415292353801</v>
      </c>
    </row>
    <row r="29013" spans="1:5">
      <c r="A29013" t="s">
        <v>33770</v>
      </c>
      <c r="B29013" t="s">
        <v>33776</v>
      </c>
      <c r="C29013">
        <v>0</v>
      </c>
      <c r="D29013">
        <v>0.95915769616199997</v>
      </c>
      <c r="E29013">
        <v>0.61169415292353801</v>
      </c>
    </row>
    <row r="29014" spans="1:5">
      <c r="A29014" t="s">
        <v>33770</v>
      </c>
      <c r="B29014" t="s">
        <v>33777</v>
      </c>
      <c r="C29014">
        <f>0.139628729026</f>
        <v>0.13962872902599999</v>
      </c>
      <c r="D29014">
        <v>0.95915769616199997</v>
      </c>
      <c r="E29014">
        <v>0.61169415292353801</v>
      </c>
    </row>
    <row r="29015" spans="1:5">
      <c r="A29015" t="s">
        <v>33770</v>
      </c>
      <c r="B29015" t="s">
        <v>33778</v>
      </c>
      <c r="C29015">
        <v>0</v>
      </c>
      <c r="D29015">
        <v>0.95915769616199997</v>
      </c>
      <c r="E29015">
        <v>0.61169415292353801</v>
      </c>
    </row>
    <row r="29016" spans="1:5">
      <c r="A29016" t="s">
        <v>33770</v>
      </c>
      <c r="B29016" t="s">
        <v>33779</v>
      </c>
      <c r="C29016">
        <f>0.0106079259461</f>
        <v>1.0607925946099999E-2</v>
      </c>
      <c r="D29016">
        <v>0.95915769616199997</v>
      </c>
      <c r="E29016">
        <v>0.61169415292353801</v>
      </c>
    </row>
    <row r="29017" spans="1:5">
      <c r="A29017" t="s">
        <v>33770</v>
      </c>
      <c r="B29017" t="s">
        <v>33780</v>
      </c>
      <c r="C29017">
        <f>0</f>
        <v>0</v>
      </c>
      <c r="D29017">
        <v>0.95915769616199997</v>
      </c>
      <c r="E29017">
        <v>0.61169415292353801</v>
      </c>
    </row>
    <row r="29018" spans="1:5">
      <c r="A29018" t="s">
        <v>33770</v>
      </c>
      <c r="B29018" t="s">
        <v>33781</v>
      </c>
      <c r="C29018">
        <f>0</f>
        <v>0</v>
      </c>
      <c r="D29018">
        <v>0.95915769616199997</v>
      </c>
      <c r="E29018">
        <v>0.61169415292353801</v>
      </c>
    </row>
    <row r="29019" spans="1:5">
      <c r="A29019" t="s">
        <v>33770</v>
      </c>
      <c r="B29019" t="s">
        <v>33782</v>
      </c>
      <c r="C29019">
        <f>0</f>
        <v>0</v>
      </c>
      <c r="D29019">
        <v>0.95915769616199997</v>
      </c>
      <c r="E29019">
        <v>0.61169415292353801</v>
      </c>
    </row>
    <row r="29020" spans="1:5">
      <c r="A29020" t="s">
        <v>33770</v>
      </c>
      <c r="B29020" t="s">
        <v>33783</v>
      </c>
      <c r="C29020">
        <f>0</f>
        <v>0</v>
      </c>
      <c r="D29020">
        <v>0.95915769616199997</v>
      </c>
      <c r="E29020">
        <v>0.61169415292353801</v>
      </c>
    </row>
    <row r="29021" spans="1:5">
      <c r="A29021" t="s">
        <v>33784</v>
      </c>
      <c r="B29021" t="s">
        <v>33785</v>
      </c>
      <c r="C29021">
        <f>0</f>
        <v>0</v>
      </c>
      <c r="D29021">
        <v>0.98572148538899995</v>
      </c>
      <c r="E29021">
        <v>12.5577211394302</v>
      </c>
    </row>
    <row r="29022" spans="1:5">
      <c r="A29022" t="s">
        <v>33784</v>
      </c>
      <c r="B29022" t="s">
        <v>33786</v>
      </c>
      <c r="C29022">
        <v>0</v>
      </c>
      <c r="D29022">
        <v>0.98572148538899995</v>
      </c>
      <c r="E29022">
        <v>12.5577211394302</v>
      </c>
    </row>
    <row r="29023" spans="1:5">
      <c r="A29023" t="s">
        <v>33784</v>
      </c>
      <c r="B29023" t="s">
        <v>33787</v>
      </c>
      <c r="C29023">
        <f>0</f>
        <v>0</v>
      </c>
      <c r="D29023">
        <v>0.98572148538899995</v>
      </c>
      <c r="E29023">
        <v>12.5577211394302</v>
      </c>
    </row>
    <row r="29024" spans="1:5">
      <c r="A29024" t="s">
        <v>33784</v>
      </c>
      <c r="B29024" t="s">
        <v>33788</v>
      </c>
      <c r="C29024">
        <v>0.268515574403</v>
      </c>
      <c r="D29024">
        <v>0.98572148538899995</v>
      </c>
      <c r="E29024">
        <v>12.5577211394302</v>
      </c>
    </row>
    <row r="29025" spans="1:5">
      <c r="A29025" t="s">
        <v>33784</v>
      </c>
      <c r="B29025" t="s">
        <v>33789</v>
      </c>
      <c r="C29025">
        <v>6.3013339089900006E-2</v>
      </c>
      <c r="D29025">
        <v>0.98572148538899995</v>
      </c>
      <c r="E29025">
        <v>12.5577211394302</v>
      </c>
    </row>
    <row r="29026" spans="1:5">
      <c r="A29026" t="s">
        <v>33784</v>
      </c>
      <c r="B29026" t="s">
        <v>33790</v>
      </c>
      <c r="C29026">
        <v>0</v>
      </c>
      <c r="D29026">
        <v>0.98572148538899995</v>
      </c>
      <c r="E29026">
        <v>12.5577211394302</v>
      </c>
    </row>
    <row r="29027" spans="1:5">
      <c r="A29027" t="s">
        <v>33784</v>
      </c>
      <c r="B29027" t="s">
        <v>33791</v>
      </c>
      <c r="C29027">
        <v>0</v>
      </c>
      <c r="D29027">
        <v>0.98572148538899995</v>
      </c>
      <c r="E29027">
        <v>12.5577211394302</v>
      </c>
    </row>
    <row r="29028" spans="1:5">
      <c r="A29028" t="s">
        <v>33784</v>
      </c>
      <c r="B29028" t="s">
        <v>33792</v>
      </c>
      <c r="C29028">
        <f>0</f>
        <v>0</v>
      </c>
      <c r="D29028">
        <v>0.98572148538899995</v>
      </c>
      <c r="E29028">
        <v>12.5577211394302</v>
      </c>
    </row>
    <row r="29029" spans="1:5">
      <c r="A29029" t="s">
        <v>33793</v>
      </c>
      <c r="B29029" t="s">
        <v>33794</v>
      </c>
      <c r="C29029">
        <f>0</f>
        <v>0</v>
      </c>
      <c r="D29029" t="s">
        <v>106</v>
      </c>
      <c r="E29029">
        <v>4.1739130434782599</v>
      </c>
    </row>
    <row r="29030" spans="1:5">
      <c r="A29030" t="s">
        <v>33793</v>
      </c>
      <c r="B29030" t="s">
        <v>33795</v>
      </c>
      <c r="C29030">
        <f>0</f>
        <v>0</v>
      </c>
      <c r="D29030" t="s">
        <v>106</v>
      </c>
      <c r="E29030">
        <v>4.1739130434782599</v>
      </c>
    </row>
    <row r="29031" spans="1:5">
      <c r="A29031" t="s">
        <v>33793</v>
      </c>
      <c r="B29031" t="s">
        <v>33796</v>
      </c>
      <c r="C29031">
        <v>0</v>
      </c>
      <c r="D29031" t="s">
        <v>106</v>
      </c>
      <c r="E29031">
        <v>4.1739130434782599</v>
      </c>
    </row>
    <row r="29032" spans="1:5">
      <c r="A29032" t="s">
        <v>33793</v>
      </c>
      <c r="B29032" t="s">
        <v>33797</v>
      </c>
      <c r="C29032">
        <v>0</v>
      </c>
      <c r="D29032" t="s">
        <v>106</v>
      </c>
      <c r="E29032">
        <v>4.1739130434782599</v>
      </c>
    </row>
    <row r="29033" spans="1:5">
      <c r="A29033" t="s">
        <v>33793</v>
      </c>
      <c r="B29033" t="s">
        <v>33798</v>
      </c>
      <c r="C29033">
        <f>0</f>
        <v>0</v>
      </c>
      <c r="D29033" t="s">
        <v>106</v>
      </c>
      <c r="E29033">
        <v>4.1739130434782599</v>
      </c>
    </row>
    <row r="29034" spans="1:5">
      <c r="A29034" t="s">
        <v>33793</v>
      </c>
      <c r="B29034" t="s">
        <v>33799</v>
      </c>
      <c r="C29034">
        <v>0</v>
      </c>
      <c r="D29034" t="s">
        <v>106</v>
      </c>
      <c r="E29034">
        <v>4.1739130434782599</v>
      </c>
    </row>
    <row r="29035" spans="1:5">
      <c r="A29035" t="s">
        <v>33793</v>
      </c>
      <c r="B29035" t="s">
        <v>33800</v>
      </c>
      <c r="C29035">
        <v>0</v>
      </c>
      <c r="D29035" t="s">
        <v>106</v>
      </c>
      <c r="E29035">
        <v>4.1739130434782599</v>
      </c>
    </row>
    <row r="29036" spans="1:5">
      <c r="A29036" t="s">
        <v>33793</v>
      </c>
      <c r="B29036" t="s">
        <v>33801</v>
      </c>
      <c r="C29036">
        <v>0</v>
      </c>
      <c r="D29036" t="s">
        <v>106</v>
      </c>
      <c r="E29036">
        <v>4.1739130434782599</v>
      </c>
    </row>
    <row r="29037" spans="1:5">
      <c r="A29037" t="s">
        <v>33802</v>
      </c>
      <c r="B29037" t="s">
        <v>33803</v>
      </c>
      <c r="C29037">
        <v>0</v>
      </c>
      <c r="D29037" t="s">
        <v>106</v>
      </c>
      <c r="E29037">
        <v>1.8230884557721101</v>
      </c>
    </row>
    <row r="29038" spans="1:5">
      <c r="A29038" t="s">
        <v>33802</v>
      </c>
      <c r="B29038" t="s">
        <v>33804</v>
      </c>
      <c r="C29038">
        <f>0</f>
        <v>0</v>
      </c>
      <c r="D29038" t="s">
        <v>106</v>
      </c>
      <c r="E29038">
        <v>1.8230884557721101</v>
      </c>
    </row>
    <row r="29039" spans="1:5">
      <c r="A29039" t="s">
        <v>33802</v>
      </c>
      <c r="B29039" t="s">
        <v>33805</v>
      </c>
      <c r="C29039">
        <f>0</f>
        <v>0</v>
      </c>
      <c r="D29039" t="s">
        <v>106</v>
      </c>
      <c r="E29039">
        <v>1.8230884557721101</v>
      </c>
    </row>
    <row r="29040" spans="1:5">
      <c r="A29040" t="s">
        <v>33802</v>
      </c>
      <c r="B29040" t="s">
        <v>33806</v>
      </c>
      <c r="C29040">
        <f>0</f>
        <v>0</v>
      </c>
      <c r="D29040" t="s">
        <v>106</v>
      </c>
      <c r="E29040">
        <v>1.8230884557721101</v>
      </c>
    </row>
    <row r="29041" spans="1:5">
      <c r="A29041" t="s">
        <v>33807</v>
      </c>
      <c r="B29041" t="s">
        <v>33808</v>
      </c>
      <c r="C29041">
        <v>0</v>
      </c>
      <c r="D29041">
        <v>0.98169854426199998</v>
      </c>
      <c r="E29041">
        <v>24</v>
      </c>
    </row>
    <row r="29042" spans="1:5">
      <c r="A29042" t="s">
        <v>33807</v>
      </c>
      <c r="B29042" t="s">
        <v>33809</v>
      </c>
      <c r="C29042">
        <v>0</v>
      </c>
      <c r="D29042">
        <v>0.98169854426199998</v>
      </c>
      <c r="E29042">
        <v>24</v>
      </c>
    </row>
    <row r="29043" spans="1:5">
      <c r="A29043" t="s">
        <v>33807</v>
      </c>
      <c r="B29043" t="s">
        <v>33810</v>
      </c>
      <c r="C29043">
        <v>0</v>
      </c>
      <c r="D29043">
        <v>0.98169854426199998</v>
      </c>
      <c r="E29043">
        <v>24</v>
      </c>
    </row>
    <row r="29044" spans="1:5">
      <c r="A29044" t="s">
        <v>33807</v>
      </c>
      <c r="B29044" t="s">
        <v>33811</v>
      </c>
      <c r="C29044">
        <f>0</f>
        <v>0</v>
      </c>
      <c r="D29044">
        <v>0.98169854426199998</v>
      </c>
      <c r="E29044">
        <v>24</v>
      </c>
    </row>
    <row r="29045" spans="1:5">
      <c r="A29045" t="s">
        <v>33812</v>
      </c>
      <c r="B29045" t="s">
        <v>33813</v>
      </c>
      <c r="C29045">
        <v>3.3787568281500001E-3</v>
      </c>
      <c r="D29045">
        <v>0.958534757899</v>
      </c>
      <c r="E29045">
        <v>1.39130434782608</v>
      </c>
    </row>
    <row r="29046" spans="1:5">
      <c r="A29046" t="s">
        <v>33812</v>
      </c>
      <c r="B29046" t="s">
        <v>33814</v>
      </c>
      <c r="C29046">
        <f>0</f>
        <v>0</v>
      </c>
      <c r="D29046">
        <v>0.958534757899</v>
      </c>
      <c r="E29046">
        <v>1.39130434782608</v>
      </c>
    </row>
    <row r="29047" spans="1:5">
      <c r="A29047" t="s">
        <v>33812</v>
      </c>
      <c r="B29047" t="s">
        <v>33815</v>
      </c>
      <c r="C29047">
        <v>0</v>
      </c>
      <c r="D29047">
        <v>0.958534757899</v>
      </c>
      <c r="E29047">
        <v>1.39130434782608</v>
      </c>
    </row>
    <row r="29048" spans="1:5">
      <c r="A29048" t="s">
        <v>33812</v>
      </c>
      <c r="B29048" t="s">
        <v>33816</v>
      </c>
      <c r="C29048">
        <v>0</v>
      </c>
      <c r="D29048">
        <v>0.958534757899</v>
      </c>
      <c r="E29048">
        <v>1.39130434782608</v>
      </c>
    </row>
    <row r="29049" spans="1:5">
      <c r="A29049" t="s">
        <v>33812</v>
      </c>
      <c r="B29049" t="s">
        <v>33817</v>
      </c>
      <c r="C29049">
        <v>0</v>
      </c>
      <c r="D29049">
        <v>0.958534757899</v>
      </c>
      <c r="E29049">
        <v>1.39130434782608</v>
      </c>
    </row>
    <row r="29050" spans="1:5">
      <c r="A29050" t="s">
        <v>33812</v>
      </c>
      <c r="B29050" t="s">
        <v>33818</v>
      </c>
      <c r="C29050">
        <f>0</f>
        <v>0</v>
      </c>
      <c r="D29050">
        <v>0.958534757899</v>
      </c>
      <c r="E29050">
        <v>1.39130434782608</v>
      </c>
    </row>
    <row r="29051" spans="1:5">
      <c r="A29051" t="s">
        <v>33812</v>
      </c>
      <c r="B29051" t="s">
        <v>33819</v>
      </c>
      <c r="C29051">
        <v>0</v>
      </c>
      <c r="D29051">
        <v>0.958534757899</v>
      </c>
      <c r="E29051">
        <v>1.39130434782608</v>
      </c>
    </row>
    <row r="29052" spans="1:5">
      <c r="A29052" t="s">
        <v>33812</v>
      </c>
      <c r="B29052" t="s">
        <v>33820</v>
      </c>
      <c r="C29052">
        <v>0</v>
      </c>
      <c r="D29052">
        <v>0.958534757899</v>
      </c>
      <c r="E29052">
        <v>1.39130434782608</v>
      </c>
    </row>
    <row r="29053" spans="1:5">
      <c r="A29053" t="s">
        <v>33812</v>
      </c>
      <c r="B29053" t="s">
        <v>33821</v>
      </c>
      <c r="C29053">
        <v>9.3590646661599997E-2</v>
      </c>
      <c r="D29053">
        <v>0.958534757899</v>
      </c>
      <c r="E29053">
        <v>1.39130434782608</v>
      </c>
    </row>
    <row r="29054" spans="1:5">
      <c r="A29054" t="s">
        <v>33812</v>
      </c>
      <c r="B29054" t="s">
        <v>33822</v>
      </c>
      <c r="C29054">
        <v>0</v>
      </c>
      <c r="D29054">
        <v>0.958534757899</v>
      </c>
      <c r="E29054">
        <v>1.39130434782608</v>
      </c>
    </row>
    <row r="29055" spans="1:5">
      <c r="A29055" t="s">
        <v>33823</v>
      </c>
      <c r="B29055" t="s">
        <v>33824</v>
      </c>
      <c r="C29055">
        <v>0.69003288871599999</v>
      </c>
      <c r="D29055">
        <v>0.99321766436199999</v>
      </c>
      <c r="E29055">
        <v>8.0119940029985006</v>
      </c>
    </row>
    <row r="29056" spans="1:5">
      <c r="A29056" t="s">
        <v>33823</v>
      </c>
      <c r="B29056" t="s">
        <v>33825</v>
      </c>
      <c r="C29056">
        <v>0</v>
      </c>
      <c r="D29056">
        <v>0.99321766436199999</v>
      </c>
      <c r="E29056">
        <v>8.0119940029985006</v>
      </c>
    </row>
    <row r="29057" spans="1:5">
      <c r="A29057" t="s">
        <v>33823</v>
      </c>
      <c r="B29057" t="s">
        <v>33826</v>
      </c>
      <c r="C29057">
        <v>0</v>
      </c>
      <c r="D29057">
        <v>0.99321766436199999</v>
      </c>
      <c r="E29057">
        <v>8.0119940029985006</v>
      </c>
    </row>
    <row r="29058" spans="1:5">
      <c r="A29058" t="s">
        <v>33823</v>
      </c>
      <c r="B29058" t="s">
        <v>33827</v>
      </c>
      <c r="C29058">
        <v>0</v>
      </c>
      <c r="D29058">
        <v>0.99321766436199999</v>
      </c>
      <c r="E29058">
        <v>8.0119940029985006</v>
      </c>
    </row>
    <row r="29059" spans="1:5">
      <c r="A29059" t="s">
        <v>33823</v>
      </c>
      <c r="B29059" t="s">
        <v>33828</v>
      </c>
      <c r="C29059">
        <v>0</v>
      </c>
      <c r="D29059">
        <v>0.99321766436199999</v>
      </c>
      <c r="E29059">
        <v>8.0119940029985006</v>
      </c>
    </row>
    <row r="29060" spans="1:5">
      <c r="A29060" t="s">
        <v>33829</v>
      </c>
      <c r="B29060" t="s">
        <v>33830</v>
      </c>
      <c r="C29060">
        <v>0</v>
      </c>
      <c r="D29060">
        <v>0.71263040696799995</v>
      </c>
      <c r="E29060">
        <v>8.0119940029985006</v>
      </c>
    </row>
    <row r="29061" spans="1:5">
      <c r="A29061" t="s">
        <v>33829</v>
      </c>
      <c r="B29061" t="s">
        <v>33831</v>
      </c>
      <c r="C29061">
        <v>3.4750847149299997E-2</v>
      </c>
      <c r="D29061">
        <v>0.71263040696799995</v>
      </c>
      <c r="E29061">
        <v>8.0119940029985006</v>
      </c>
    </row>
    <row r="29062" spans="1:5">
      <c r="A29062" t="s">
        <v>33829</v>
      </c>
      <c r="B29062" t="s">
        <v>33832</v>
      </c>
      <c r="C29062">
        <v>0</v>
      </c>
      <c r="D29062">
        <v>0.71263040696799995</v>
      </c>
      <c r="E29062">
        <v>8.0119940029985006</v>
      </c>
    </row>
    <row r="29063" spans="1:5">
      <c r="A29063" t="s">
        <v>33829</v>
      </c>
      <c r="B29063" t="s">
        <v>33833</v>
      </c>
      <c r="C29063">
        <v>0</v>
      </c>
      <c r="D29063">
        <v>0.71263040696799995</v>
      </c>
      <c r="E29063">
        <v>8.0119940029985006</v>
      </c>
    </row>
    <row r="29064" spans="1:5">
      <c r="A29064" t="s">
        <v>33829</v>
      </c>
      <c r="B29064" t="s">
        <v>33834</v>
      </c>
      <c r="C29064">
        <v>0</v>
      </c>
      <c r="D29064">
        <v>0.71263040696799995</v>
      </c>
      <c r="E29064">
        <v>8.0119940029985006</v>
      </c>
    </row>
    <row r="29065" spans="1:5">
      <c r="A29065" t="s">
        <v>33829</v>
      </c>
      <c r="B29065" t="s">
        <v>33835</v>
      </c>
      <c r="C29065">
        <v>0</v>
      </c>
      <c r="D29065">
        <v>0.71263040696799995</v>
      </c>
      <c r="E29065">
        <v>8.0119940029985006</v>
      </c>
    </row>
    <row r="29066" spans="1:5">
      <c r="A29066" t="s">
        <v>33836</v>
      </c>
      <c r="B29066" t="s">
        <v>33837</v>
      </c>
      <c r="C29066">
        <f>0.264751401146</f>
        <v>0.26475140114599999</v>
      </c>
      <c r="D29066">
        <v>0.95419345020599999</v>
      </c>
      <c r="E29066">
        <v>1.96701649175412</v>
      </c>
    </row>
    <row r="29067" spans="1:5">
      <c r="A29067" t="s">
        <v>33838</v>
      </c>
      <c r="B29067" t="s">
        <v>33839</v>
      </c>
      <c r="C29067">
        <v>0.12132335733999999</v>
      </c>
      <c r="D29067">
        <v>0.61651661536500002</v>
      </c>
      <c r="E29067">
        <v>10.710644677661101</v>
      </c>
    </row>
    <row r="29068" spans="1:5">
      <c r="A29068" t="s">
        <v>33840</v>
      </c>
      <c r="B29068" t="s">
        <v>33841</v>
      </c>
      <c r="C29068">
        <v>0.11665319360699999</v>
      </c>
      <c r="D29068">
        <v>0.85008882093899996</v>
      </c>
      <c r="E29068">
        <v>24</v>
      </c>
    </row>
    <row r="29069" spans="1:5">
      <c r="A29069" t="s">
        <v>33840</v>
      </c>
      <c r="B29069" t="s">
        <v>33842</v>
      </c>
      <c r="C29069">
        <f>0.00171840293753</f>
        <v>1.71840293753E-3</v>
      </c>
      <c r="D29069">
        <v>0.85008882093899996</v>
      </c>
      <c r="E29069">
        <v>24</v>
      </c>
    </row>
    <row r="29070" spans="1:5">
      <c r="A29070" t="s">
        <v>33840</v>
      </c>
      <c r="B29070" t="s">
        <v>33843</v>
      </c>
      <c r="C29070">
        <f>0</f>
        <v>0</v>
      </c>
      <c r="D29070">
        <v>0.85008882093899996</v>
      </c>
      <c r="E29070">
        <v>24</v>
      </c>
    </row>
    <row r="29071" spans="1:5">
      <c r="A29071" t="s">
        <v>33844</v>
      </c>
      <c r="B29071" t="s">
        <v>33845</v>
      </c>
      <c r="C29071">
        <v>0</v>
      </c>
      <c r="D29071">
        <v>0.85781601309400002</v>
      </c>
      <c r="E29071">
        <v>16.899550224887498</v>
      </c>
    </row>
    <row r="29072" spans="1:5">
      <c r="A29072" t="s">
        <v>33844</v>
      </c>
      <c r="B29072" t="s">
        <v>33846</v>
      </c>
      <c r="C29072">
        <v>0.247199468186</v>
      </c>
      <c r="D29072">
        <v>0.85781601309400002</v>
      </c>
      <c r="E29072">
        <v>16.899550224887498</v>
      </c>
    </row>
    <row r="29073" spans="1:5">
      <c r="A29073" t="s">
        <v>33847</v>
      </c>
      <c r="B29073" t="s">
        <v>33848</v>
      </c>
      <c r="C29073">
        <f>0</f>
        <v>0</v>
      </c>
      <c r="D29073" t="s">
        <v>106</v>
      </c>
      <c r="E29073">
        <v>12.3898050974512</v>
      </c>
    </row>
    <row r="29074" spans="1:5">
      <c r="A29074" t="s">
        <v>33847</v>
      </c>
      <c r="B29074" t="s">
        <v>33849</v>
      </c>
      <c r="C29074">
        <f>0</f>
        <v>0</v>
      </c>
      <c r="D29074" t="s">
        <v>106</v>
      </c>
      <c r="E29074">
        <v>12.3898050974512</v>
      </c>
    </row>
    <row r="29075" spans="1:5">
      <c r="A29075" t="s">
        <v>33850</v>
      </c>
      <c r="B29075" t="s">
        <v>33851</v>
      </c>
      <c r="C29075">
        <f>0</f>
        <v>0</v>
      </c>
      <c r="D29075">
        <v>0.91718768385299998</v>
      </c>
      <c r="E29075">
        <v>11.370314842578701</v>
      </c>
    </row>
    <row r="29076" spans="1:5">
      <c r="A29076" t="s">
        <v>33850</v>
      </c>
      <c r="B29076" t="s">
        <v>33852</v>
      </c>
      <c r="C29076">
        <v>0.139281665232</v>
      </c>
      <c r="D29076">
        <v>0.91718768385299998</v>
      </c>
      <c r="E29076">
        <v>11.370314842578701</v>
      </c>
    </row>
    <row r="29077" spans="1:5">
      <c r="A29077" t="s">
        <v>33850</v>
      </c>
      <c r="B29077" t="s">
        <v>33853</v>
      </c>
      <c r="C29077">
        <v>0</v>
      </c>
      <c r="D29077">
        <v>0.91718768385299998</v>
      </c>
      <c r="E29077">
        <v>11.370314842578701</v>
      </c>
    </row>
    <row r="29078" spans="1:5">
      <c r="A29078" t="s">
        <v>33850</v>
      </c>
      <c r="B29078" t="s">
        <v>33854</v>
      </c>
      <c r="C29078">
        <f>0</f>
        <v>0</v>
      </c>
      <c r="D29078">
        <v>0.91718768385299998</v>
      </c>
      <c r="E29078">
        <v>11.370314842578701</v>
      </c>
    </row>
    <row r="29079" spans="1:5">
      <c r="A29079" t="s">
        <v>33850</v>
      </c>
      <c r="B29079" t="s">
        <v>33855</v>
      </c>
      <c r="C29079">
        <f>0.00410771096572</f>
        <v>4.1077109657200002E-3</v>
      </c>
      <c r="D29079">
        <v>0.91718768385299998</v>
      </c>
      <c r="E29079">
        <v>11.370314842578701</v>
      </c>
    </row>
    <row r="29080" spans="1:5">
      <c r="A29080" t="s">
        <v>33850</v>
      </c>
      <c r="B29080" t="s">
        <v>33856</v>
      </c>
      <c r="C29080">
        <f>0</f>
        <v>0</v>
      </c>
      <c r="D29080">
        <v>0.91718768385299998</v>
      </c>
      <c r="E29080">
        <v>11.370314842578701</v>
      </c>
    </row>
    <row r="29081" spans="1:5">
      <c r="A29081" t="s">
        <v>33857</v>
      </c>
      <c r="B29081" t="s">
        <v>33858</v>
      </c>
      <c r="C29081">
        <v>0</v>
      </c>
      <c r="D29081" t="s">
        <v>106</v>
      </c>
      <c r="E29081">
        <v>9.6191904047975996</v>
      </c>
    </row>
    <row r="29082" spans="1:5">
      <c r="A29082" t="s">
        <v>33857</v>
      </c>
      <c r="B29082" t="s">
        <v>33859</v>
      </c>
      <c r="C29082">
        <v>0</v>
      </c>
      <c r="D29082" t="s">
        <v>106</v>
      </c>
      <c r="E29082">
        <v>9.6191904047975996</v>
      </c>
    </row>
    <row r="29083" spans="1:5">
      <c r="A29083" t="s">
        <v>33857</v>
      </c>
      <c r="B29083" t="s">
        <v>33860</v>
      </c>
      <c r="C29083">
        <v>0</v>
      </c>
      <c r="D29083" t="s">
        <v>106</v>
      </c>
      <c r="E29083">
        <v>9.6191904047975996</v>
      </c>
    </row>
    <row r="29084" spans="1:5">
      <c r="A29084" t="s">
        <v>33857</v>
      </c>
      <c r="B29084" t="s">
        <v>33861</v>
      </c>
      <c r="C29084">
        <f>0</f>
        <v>0</v>
      </c>
      <c r="D29084" t="s">
        <v>106</v>
      </c>
      <c r="E29084">
        <v>9.6191904047975996</v>
      </c>
    </row>
    <row r="29085" spans="1:5">
      <c r="A29085" t="s">
        <v>33857</v>
      </c>
      <c r="B29085" t="s">
        <v>33862</v>
      </c>
      <c r="C29085">
        <f>0</f>
        <v>0</v>
      </c>
      <c r="D29085" t="s">
        <v>106</v>
      </c>
      <c r="E29085">
        <v>9.6191904047975996</v>
      </c>
    </row>
    <row r="29086" spans="1:5">
      <c r="A29086" t="s">
        <v>33857</v>
      </c>
      <c r="B29086" t="s">
        <v>33863</v>
      </c>
      <c r="C29086">
        <v>0</v>
      </c>
      <c r="D29086" t="s">
        <v>106</v>
      </c>
      <c r="E29086">
        <v>9.6191904047975996</v>
      </c>
    </row>
    <row r="29087" spans="1:5">
      <c r="A29087" t="s">
        <v>33857</v>
      </c>
      <c r="B29087" t="s">
        <v>33864</v>
      </c>
      <c r="C29087">
        <v>0</v>
      </c>
      <c r="D29087" t="s">
        <v>106</v>
      </c>
      <c r="E29087">
        <v>9.6191904047975996</v>
      </c>
    </row>
    <row r="29088" spans="1:5">
      <c r="A29088" t="s">
        <v>33857</v>
      </c>
      <c r="B29088" t="s">
        <v>33865</v>
      </c>
      <c r="C29088">
        <v>0</v>
      </c>
      <c r="D29088" t="s">
        <v>106</v>
      </c>
      <c r="E29088">
        <v>9.6191904047975996</v>
      </c>
    </row>
    <row r="29089" spans="1:5">
      <c r="A29089" t="s">
        <v>33857</v>
      </c>
      <c r="B29089" t="s">
        <v>33866</v>
      </c>
      <c r="C29089">
        <v>0</v>
      </c>
      <c r="D29089" t="s">
        <v>106</v>
      </c>
      <c r="E29089">
        <v>9.6191904047975996</v>
      </c>
    </row>
    <row r="29090" spans="1:5">
      <c r="A29090" t="s">
        <v>33857</v>
      </c>
      <c r="B29090" t="s">
        <v>33867</v>
      </c>
      <c r="C29090">
        <v>0</v>
      </c>
      <c r="D29090" t="s">
        <v>106</v>
      </c>
      <c r="E29090">
        <v>9.6191904047975996</v>
      </c>
    </row>
    <row r="29091" spans="1:5">
      <c r="A29091" t="s">
        <v>33857</v>
      </c>
      <c r="B29091" t="s">
        <v>33868</v>
      </c>
      <c r="C29091">
        <v>0</v>
      </c>
      <c r="D29091" t="s">
        <v>106</v>
      </c>
      <c r="E29091">
        <v>9.6191904047975996</v>
      </c>
    </row>
    <row r="29092" spans="1:5">
      <c r="A29092" t="s">
        <v>33857</v>
      </c>
      <c r="B29092" t="s">
        <v>33869</v>
      </c>
      <c r="C29092">
        <f>0</f>
        <v>0</v>
      </c>
      <c r="D29092" t="s">
        <v>106</v>
      </c>
      <c r="E29092">
        <v>9.6191904047975996</v>
      </c>
    </row>
    <row r="29093" spans="1:5">
      <c r="A29093" t="s">
        <v>33870</v>
      </c>
      <c r="B29093" t="s">
        <v>33871</v>
      </c>
      <c r="C29093">
        <f>0</f>
        <v>0</v>
      </c>
      <c r="D29093" t="s">
        <v>106</v>
      </c>
      <c r="E29093">
        <v>22.332833583208298</v>
      </c>
    </row>
    <row r="29094" spans="1:5">
      <c r="A29094" t="s">
        <v>33870</v>
      </c>
      <c r="B29094" t="s">
        <v>33872</v>
      </c>
      <c r="C29094">
        <v>0</v>
      </c>
      <c r="D29094" t="s">
        <v>106</v>
      </c>
      <c r="E29094">
        <v>22.332833583208298</v>
      </c>
    </row>
    <row r="29095" spans="1:5">
      <c r="A29095" t="s">
        <v>33870</v>
      </c>
      <c r="B29095" t="s">
        <v>33873</v>
      </c>
      <c r="C29095">
        <f>0</f>
        <v>0</v>
      </c>
      <c r="D29095" t="s">
        <v>106</v>
      </c>
      <c r="E29095">
        <v>22.332833583208298</v>
      </c>
    </row>
    <row r="29096" spans="1:5">
      <c r="A29096" t="s">
        <v>33870</v>
      </c>
      <c r="B29096" t="s">
        <v>33874</v>
      </c>
      <c r="C29096">
        <f>0</f>
        <v>0</v>
      </c>
      <c r="D29096" t="s">
        <v>106</v>
      </c>
      <c r="E29096">
        <v>22.332833583208298</v>
      </c>
    </row>
    <row r="29097" spans="1:5">
      <c r="A29097" t="s">
        <v>33870</v>
      </c>
      <c r="B29097" t="s">
        <v>33875</v>
      </c>
      <c r="C29097">
        <v>0</v>
      </c>
      <c r="D29097" t="s">
        <v>106</v>
      </c>
      <c r="E29097">
        <v>22.332833583208298</v>
      </c>
    </row>
    <row r="29098" spans="1:5">
      <c r="A29098" t="s">
        <v>33870</v>
      </c>
      <c r="B29098" t="s">
        <v>33876</v>
      </c>
      <c r="C29098">
        <f>0</f>
        <v>0</v>
      </c>
      <c r="D29098" t="s">
        <v>106</v>
      </c>
      <c r="E29098">
        <v>22.332833583208298</v>
      </c>
    </row>
    <row r="29099" spans="1:5">
      <c r="A29099" t="s">
        <v>33870</v>
      </c>
      <c r="B29099" t="s">
        <v>33877</v>
      </c>
      <c r="C29099">
        <f>0</f>
        <v>0</v>
      </c>
      <c r="D29099" t="s">
        <v>106</v>
      </c>
      <c r="E29099">
        <v>22.332833583208298</v>
      </c>
    </row>
    <row r="29100" spans="1:5">
      <c r="A29100" t="s">
        <v>33870</v>
      </c>
      <c r="B29100" t="s">
        <v>33878</v>
      </c>
      <c r="C29100">
        <v>0</v>
      </c>
      <c r="D29100" t="s">
        <v>106</v>
      </c>
      <c r="E29100">
        <v>22.332833583208298</v>
      </c>
    </row>
    <row r="29101" spans="1:5">
      <c r="A29101" t="s">
        <v>33870</v>
      </c>
      <c r="B29101" t="s">
        <v>33879</v>
      </c>
      <c r="C29101">
        <v>0</v>
      </c>
      <c r="D29101" t="s">
        <v>106</v>
      </c>
      <c r="E29101">
        <v>22.332833583208298</v>
      </c>
    </row>
    <row r="29102" spans="1:5">
      <c r="A29102" t="s">
        <v>33880</v>
      </c>
      <c r="B29102" t="s">
        <v>33881</v>
      </c>
      <c r="C29102">
        <v>0.43713015771199998</v>
      </c>
      <c r="D29102">
        <v>0.98812454932899996</v>
      </c>
      <c r="E29102">
        <v>8.7196401799100407</v>
      </c>
    </row>
    <row r="29103" spans="1:5">
      <c r="A29103" t="s">
        <v>33880</v>
      </c>
      <c r="B29103" t="s">
        <v>33882</v>
      </c>
      <c r="C29103">
        <f>0</f>
        <v>0</v>
      </c>
      <c r="D29103">
        <v>0.98812454932899996</v>
      </c>
      <c r="E29103">
        <v>8.7196401799100407</v>
      </c>
    </row>
    <row r="29104" spans="1:5">
      <c r="A29104" t="s">
        <v>33880</v>
      </c>
      <c r="B29104" t="s">
        <v>33883</v>
      </c>
      <c r="C29104">
        <v>5.8149054933200002E-2</v>
      </c>
      <c r="D29104">
        <v>0.98812454932899996</v>
      </c>
      <c r="E29104">
        <v>8.7196401799100407</v>
      </c>
    </row>
    <row r="29105" spans="1:5">
      <c r="A29105" t="s">
        <v>33880</v>
      </c>
      <c r="B29105" t="s">
        <v>33884</v>
      </c>
      <c r="C29105">
        <v>0</v>
      </c>
      <c r="D29105">
        <v>0.98812454932899996</v>
      </c>
      <c r="E29105">
        <v>8.7196401799100407</v>
      </c>
    </row>
    <row r="29106" spans="1:5">
      <c r="A29106" t="s">
        <v>33880</v>
      </c>
      <c r="B29106" t="s">
        <v>33885</v>
      </c>
      <c r="C29106">
        <v>0</v>
      </c>
      <c r="D29106">
        <v>0.98812454932899996</v>
      </c>
      <c r="E29106">
        <v>8.7196401799100407</v>
      </c>
    </row>
    <row r="29107" spans="1:5">
      <c r="A29107" t="s">
        <v>33880</v>
      </c>
      <c r="B29107" t="s">
        <v>33886</v>
      </c>
      <c r="C29107">
        <f>0</f>
        <v>0</v>
      </c>
      <c r="D29107">
        <v>0.98812454932899996</v>
      </c>
      <c r="E29107">
        <v>8.7196401799100407</v>
      </c>
    </row>
    <row r="29108" spans="1:5">
      <c r="A29108" t="s">
        <v>33880</v>
      </c>
      <c r="B29108" t="s">
        <v>33887</v>
      </c>
      <c r="C29108">
        <f>0</f>
        <v>0</v>
      </c>
      <c r="D29108">
        <v>0.98812454932899996</v>
      </c>
      <c r="E29108">
        <v>8.7196401799100407</v>
      </c>
    </row>
    <row r="29109" spans="1:5">
      <c r="A29109" t="s">
        <v>33888</v>
      </c>
      <c r="B29109" t="s">
        <v>33889</v>
      </c>
      <c r="C29109">
        <v>0</v>
      </c>
      <c r="D29109">
        <v>0.98174474025500003</v>
      </c>
      <c r="E29109">
        <v>24</v>
      </c>
    </row>
    <row r="29110" spans="1:5">
      <c r="A29110" t="s">
        <v>33888</v>
      </c>
      <c r="B29110" t="s">
        <v>33890</v>
      </c>
      <c r="C29110">
        <f>0.0209537172994</f>
        <v>2.0953717299400001E-2</v>
      </c>
      <c r="D29110">
        <v>0.98174474025500003</v>
      </c>
      <c r="E29110">
        <v>24</v>
      </c>
    </row>
    <row r="29111" spans="1:5">
      <c r="A29111" t="s">
        <v>33888</v>
      </c>
      <c r="B29111" t="s">
        <v>33891</v>
      </c>
      <c r="C29111">
        <v>0.16801612970300001</v>
      </c>
      <c r="D29111">
        <v>0.98174474025500003</v>
      </c>
      <c r="E29111">
        <v>24</v>
      </c>
    </row>
    <row r="29112" spans="1:5">
      <c r="A29112" t="s">
        <v>33892</v>
      </c>
      <c r="B29112" t="s">
        <v>33893</v>
      </c>
      <c r="C29112">
        <f>0</f>
        <v>0</v>
      </c>
      <c r="D29112">
        <v>0.73131273285099996</v>
      </c>
      <c r="E29112">
        <v>12.7376311844077</v>
      </c>
    </row>
    <row r="29113" spans="1:5">
      <c r="A29113" t="s">
        <v>33892</v>
      </c>
      <c r="B29113" t="s">
        <v>33894</v>
      </c>
      <c r="C29113">
        <v>0.15971544624199999</v>
      </c>
      <c r="D29113">
        <v>0.73131273285099996</v>
      </c>
      <c r="E29113">
        <v>12.7376311844077</v>
      </c>
    </row>
    <row r="29114" spans="1:5">
      <c r="A29114" t="s">
        <v>33892</v>
      </c>
      <c r="B29114" t="s">
        <v>33895</v>
      </c>
      <c r="C29114">
        <v>0</v>
      </c>
      <c r="D29114">
        <v>0.73131273285099996</v>
      </c>
      <c r="E29114">
        <v>12.7376311844077</v>
      </c>
    </row>
    <row r="29115" spans="1:5">
      <c r="A29115" t="s">
        <v>33896</v>
      </c>
      <c r="B29115" t="s">
        <v>33897</v>
      </c>
      <c r="C29115">
        <v>0</v>
      </c>
      <c r="D29115">
        <v>0.95747003231700001</v>
      </c>
      <c r="E29115">
        <v>9.4632683658170897</v>
      </c>
    </row>
    <row r="29116" spans="1:5">
      <c r="A29116" t="s">
        <v>33896</v>
      </c>
      <c r="B29116" t="s">
        <v>33898</v>
      </c>
      <c r="C29116">
        <f>0</f>
        <v>0</v>
      </c>
      <c r="D29116">
        <v>0.95747003231700001</v>
      </c>
      <c r="E29116">
        <v>9.4632683658170897</v>
      </c>
    </row>
    <row r="29117" spans="1:5">
      <c r="A29117" t="s">
        <v>33896</v>
      </c>
      <c r="B29117" t="s">
        <v>33899</v>
      </c>
      <c r="C29117">
        <f>0.138915840858</f>
        <v>0.13891584085799999</v>
      </c>
      <c r="D29117">
        <v>0.95747003231700001</v>
      </c>
      <c r="E29117">
        <v>9.4632683658170897</v>
      </c>
    </row>
    <row r="29118" spans="1:5">
      <c r="A29118" t="s">
        <v>33896</v>
      </c>
      <c r="B29118" t="s">
        <v>33900</v>
      </c>
      <c r="C29118">
        <f>0</f>
        <v>0</v>
      </c>
      <c r="D29118">
        <v>0.95747003231700001</v>
      </c>
      <c r="E29118">
        <v>9.4632683658170897</v>
      </c>
    </row>
    <row r="29119" spans="1:5">
      <c r="A29119" t="s">
        <v>33896</v>
      </c>
      <c r="B29119" t="s">
        <v>33901</v>
      </c>
      <c r="C29119">
        <f>0.465774692491</f>
        <v>0.46577469249100001</v>
      </c>
      <c r="D29119">
        <v>0.95747003231700001</v>
      </c>
      <c r="E29119">
        <v>9.4632683658170897</v>
      </c>
    </row>
    <row r="29120" spans="1:5">
      <c r="A29120" t="s">
        <v>33896</v>
      </c>
      <c r="B29120" t="s">
        <v>33902</v>
      </c>
      <c r="C29120">
        <v>0</v>
      </c>
      <c r="D29120">
        <v>0.95747003231700001</v>
      </c>
      <c r="E29120">
        <v>9.4632683658170897</v>
      </c>
    </row>
    <row r="29121" spans="1:5">
      <c r="A29121" t="s">
        <v>33896</v>
      </c>
      <c r="B29121" t="s">
        <v>33903</v>
      </c>
      <c r="C29121">
        <v>0</v>
      </c>
      <c r="D29121">
        <v>0.95747003231700001</v>
      </c>
      <c r="E29121">
        <v>9.4632683658170897</v>
      </c>
    </row>
    <row r="29122" spans="1:5">
      <c r="A29122" t="s">
        <v>33896</v>
      </c>
      <c r="B29122" t="s">
        <v>33904</v>
      </c>
      <c r="C29122">
        <f>0</f>
        <v>0</v>
      </c>
      <c r="D29122">
        <v>0.95747003231700001</v>
      </c>
      <c r="E29122">
        <v>9.4632683658170897</v>
      </c>
    </row>
    <row r="29123" spans="1:5">
      <c r="A29123" t="s">
        <v>33896</v>
      </c>
      <c r="B29123" t="s">
        <v>33905</v>
      </c>
      <c r="C29123">
        <f>0</f>
        <v>0</v>
      </c>
      <c r="D29123">
        <v>0.95747003231700001</v>
      </c>
      <c r="E29123">
        <v>9.4632683658170897</v>
      </c>
    </row>
    <row r="29124" spans="1:5">
      <c r="A29124" t="s">
        <v>33906</v>
      </c>
      <c r="B29124" t="s">
        <v>33907</v>
      </c>
      <c r="C29124">
        <v>0</v>
      </c>
      <c r="D29124">
        <v>0.91599071762899997</v>
      </c>
      <c r="E29124">
        <v>2.0269865067466202</v>
      </c>
    </row>
    <row r="29125" spans="1:5">
      <c r="A29125" t="s">
        <v>33906</v>
      </c>
      <c r="B29125" t="s">
        <v>33908</v>
      </c>
      <c r="C29125">
        <f>0</f>
        <v>0</v>
      </c>
      <c r="D29125">
        <v>0.91599071762899997</v>
      </c>
      <c r="E29125">
        <v>2.0269865067466202</v>
      </c>
    </row>
    <row r="29126" spans="1:5">
      <c r="A29126" t="s">
        <v>33906</v>
      </c>
      <c r="B29126" t="s">
        <v>33909</v>
      </c>
      <c r="C29126">
        <f>0.0390643190747</f>
        <v>3.9064319074700003E-2</v>
      </c>
      <c r="D29126">
        <v>0.91599071762899997</v>
      </c>
      <c r="E29126">
        <v>2.0269865067466202</v>
      </c>
    </row>
    <row r="29127" spans="1:5">
      <c r="A29127" t="s">
        <v>33906</v>
      </c>
      <c r="B29127" t="s">
        <v>33910</v>
      </c>
      <c r="C29127">
        <v>0.20592307600599999</v>
      </c>
      <c r="D29127">
        <v>0.91599071762899997</v>
      </c>
      <c r="E29127">
        <v>2.0269865067466202</v>
      </c>
    </row>
    <row r="29128" spans="1:5">
      <c r="A29128" t="s">
        <v>33906</v>
      </c>
      <c r="B29128" t="s">
        <v>33911</v>
      </c>
      <c r="C29128">
        <f>0</f>
        <v>0</v>
      </c>
      <c r="D29128">
        <v>0.91599071762899997</v>
      </c>
      <c r="E29128">
        <v>2.0269865067466202</v>
      </c>
    </row>
    <row r="29129" spans="1:5">
      <c r="A29129" t="s">
        <v>33906</v>
      </c>
      <c r="B29129" t="s">
        <v>33912</v>
      </c>
      <c r="C29129">
        <f>0</f>
        <v>0</v>
      </c>
      <c r="D29129">
        <v>0.91599071762899997</v>
      </c>
      <c r="E29129">
        <v>2.0269865067466202</v>
      </c>
    </row>
    <row r="29130" spans="1:5">
      <c r="A29130" t="s">
        <v>33913</v>
      </c>
      <c r="B29130" t="s">
        <v>33914</v>
      </c>
      <c r="C29130">
        <f>0.00976124150135</f>
        <v>9.7612415013500001E-3</v>
      </c>
      <c r="D29130">
        <v>0.59429744772699999</v>
      </c>
      <c r="E29130">
        <v>1.96701649175412</v>
      </c>
    </row>
    <row r="29131" spans="1:5">
      <c r="A29131" t="s">
        <v>33915</v>
      </c>
      <c r="B29131" t="s">
        <v>33916</v>
      </c>
      <c r="C29131">
        <v>0</v>
      </c>
      <c r="D29131" t="s">
        <v>106</v>
      </c>
      <c r="E29131">
        <v>24</v>
      </c>
    </row>
    <row r="29132" spans="1:5">
      <c r="A29132" t="s">
        <v>33915</v>
      </c>
      <c r="B29132" t="s">
        <v>33917</v>
      </c>
      <c r="C29132">
        <v>0</v>
      </c>
      <c r="D29132" t="s">
        <v>106</v>
      </c>
      <c r="E29132">
        <v>24</v>
      </c>
    </row>
    <row r="29133" spans="1:5">
      <c r="A29133" t="s">
        <v>33915</v>
      </c>
      <c r="B29133" t="s">
        <v>33918</v>
      </c>
      <c r="C29133">
        <f>0</f>
        <v>0</v>
      </c>
      <c r="D29133" t="s">
        <v>106</v>
      </c>
      <c r="E29133">
        <v>24</v>
      </c>
    </row>
    <row r="29134" spans="1:5">
      <c r="A29134" t="s">
        <v>33915</v>
      </c>
      <c r="B29134" t="s">
        <v>33919</v>
      </c>
      <c r="C29134">
        <v>0</v>
      </c>
      <c r="D29134" t="s">
        <v>106</v>
      </c>
      <c r="E29134">
        <v>24</v>
      </c>
    </row>
    <row r="29135" spans="1:5">
      <c r="A29135" t="s">
        <v>33920</v>
      </c>
      <c r="B29135" t="s">
        <v>33921</v>
      </c>
      <c r="C29135">
        <v>0</v>
      </c>
      <c r="D29135">
        <v>0.99223365859799995</v>
      </c>
      <c r="E29135">
        <v>24</v>
      </c>
    </row>
    <row r="29136" spans="1:5">
      <c r="A29136" t="s">
        <v>33920</v>
      </c>
      <c r="B29136" t="s">
        <v>33922</v>
      </c>
      <c r="C29136">
        <v>0</v>
      </c>
      <c r="D29136">
        <v>0.99223365859799995</v>
      </c>
      <c r="E29136">
        <v>24</v>
      </c>
    </row>
    <row r="29137" spans="1:5">
      <c r="A29137" t="s">
        <v>33920</v>
      </c>
      <c r="B29137" t="s">
        <v>33923</v>
      </c>
      <c r="C29137">
        <v>6.1488722872800002E-2</v>
      </c>
      <c r="D29137">
        <v>0.99223365859799995</v>
      </c>
      <c r="E29137">
        <v>24</v>
      </c>
    </row>
    <row r="29138" spans="1:5">
      <c r="A29138" t="s">
        <v>33920</v>
      </c>
      <c r="B29138" t="s">
        <v>33924</v>
      </c>
      <c r="C29138">
        <v>0</v>
      </c>
      <c r="D29138">
        <v>0.99223365859799995</v>
      </c>
      <c r="E29138">
        <v>24</v>
      </c>
    </row>
    <row r="29139" spans="1:5">
      <c r="A29139" t="s">
        <v>33920</v>
      </c>
      <c r="B29139" t="s">
        <v>33925</v>
      </c>
      <c r="C29139">
        <f>0</f>
        <v>0</v>
      </c>
      <c r="D29139">
        <v>0.99223365859799995</v>
      </c>
      <c r="E29139">
        <v>24</v>
      </c>
    </row>
    <row r="29140" spans="1:5">
      <c r="A29140" t="s">
        <v>33920</v>
      </c>
      <c r="B29140" t="s">
        <v>33926</v>
      </c>
      <c r="C29140">
        <f>0.00142019973495</f>
        <v>1.42019973495E-3</v>
      </c>
      <c r="D29140">
        <v>0.99223365859799995</v>
      </c>
      <c r="E29140">
        <v>24</v>
      </c>
    </row>
    <row r="29141" spans="1:5">
      <c r="A29141" t="s">
        <v>33920</v>
      </c>
      <c r="B29141" t="s">
        <v>33927</v>
      </c>
      <c r="C29141">
        <v>0</v>
      </c>
      <c r="D29141">
        <v>0.99223365859799995</v>
      </c>
      <c r="E29141">
        <v>24</v>
      </c>
    </row>
    <row r="29142" spans="1:5">
      <c r="A29142" t="s">
        <v>33920</v>
      </c>
      <c r="B29142" t="s">
        <v>33928</v>
      </c>
      <c r="C29142">
        <f>0</f>
        <v>0</v>
      </c>
      <c r="D29142">
        <v>0.99223365859799995</v>
      </c>
      <c r="E29142">
        <v>24</v>
      </c>
    </row>
    <row r="29143" spans="1:5">
      <c r="A29143" t="s">
        <v>33920</v>
      </c>
      <c r="B29143" t="s">
        <v>33929</v>
      </c>
      <c r="C29143">
        <f>0</f>
        <v>0</v>
      </c>
      <c r="D29143">
        <v>0.99223365859799995</v>
      </c>
      <c r="E29143">
        <v>24</v>
      </c>
    </row>
    <row r="29144" spans="1:5">
      <c r="A29144" t="s">
        <v>33920</v>
      </c>
      <c r="B29144" t="s">
        <v>33930</v>
      </c>
      <c r="C29144">
        <f>0</f>
        <v>0</v>
      </c>
      <c r="D29144">
        <v>0.99223365859799995</v>
      </c>
      <c r="E29144">
        <v>24</v>
      </c>
    </row>
    <row r="29145" spans="1:5">
      <c r="A29145" t="s">
        <v>33920</v>
      </c>
      <c r="B29145" t="s">
        <v>33931</v>
      </c>
      <c r="C29145">
        <v>0</v>
      </c>
      <c r="D29145">
        <v>0.99223365859799995</v>
      </c>
      <c r="E29145">
        <v>24</v>
      </c>
    </row>
    <row r="29146" spans="1:5">
      <c r="A29146" t="s">
        <v>33920</v>
      </c>
      <c r="B29146" t="s">
        <v>33932</v>
      </c>
      <c r="C29146">
        <f>0</f>
        <v>0</v>
      </c>
      <c r="D29146">
        <v>0.99223365859799995</v>
      </c>
      <c r="E29146">
        <v>24</v>
      </c>
    </row>
    <row r="29147" spans="1:5">
      <c r="A29147" t="s">
        <v>33920</v>
      </c>
      <c r="B29147" t="s">
        <v>33933</v>
      </c>
      <c r="C29147">
        <v>0</v>
      </c>
      <c r="D29147">
        <v>0.99223365859799995</v>
      </c>
      <c r="E29147">
        <v>24</v>
      </c>
    </row>
    <row r="29148" spans="1:5">
      <c r="A29148" t="s">
        <v>33934</v>
      </c>
      <c r="B29148" t="s">
        <v>33935</v>
      </c>
      <c r="C29148">
        <v>0</v>
      </c>
      <c r="D29148">
        <v>0.99144298049400004</v>
      </c>
      <c r="E29148">
        <v>9.6191904047975996</v>
      </c>
    </row>
    <row r="29149" spans="1:5">
      <c r="A29149" t="s">
        <v>33934</v>
      </c>
      <c r="B29149" t="s">
        <v>33936</v>
      </c>
      <c r="C29149">
        <v>0.24041499921100001</v>
      </c>
      <c r="D29149">
        <v>0.99144298049400004</v>
      </c>
      <c r="E29149">
        <v>9.6191904047975996</v>
      </c>
    </row>
    <row r="29150" spans="1:5">
      <c r="A29150" t="s">
        <v>33934</v>
      </c>
      <c r="B29150" t="s">
        <v>33937</v>
      </c>
      <c r="C29150">
        <v>4.8471949271400002E-3</v>
      </c>
      <c r="D29150">
        <v>0.99144298049400004</v>
      </c>
      <c r="E29150">
        <v>9.6191904047975996</v>
      </c>
    </row>
    <row r="29151" spans="1:5">
      <c r="A29151" t="s">
        <v>33934</v>
      </c>
      <c r="B29151" t="s">
        <v>33938</v>
      </c>
      <c r="C29151">
        <v>0</v>
      </c>
      <c r="D29151">
        <v>0.99144298049400004</v>
      </c>
      <c r="E29151">
        <v>9.6191904047975996</v>
      </c>
    </row>
    <row r="29152" spans="1:5">
      <c r="A29152" t="s">
        <v>33939</v>
      </c>
      <c r="B29152" t="s">
        <v>33940</v>
      </c>
      <c r="C29152">
        <v>0.146616526296</v>
      </c>
      <c r="D29152">
        <v>0.99343857040200001</v>
      </c>
      <c r="E29152">
        <v>6.0569715142428704</v>
      </c>
    </row>
    <row r="29153" spans="1:5">
      <c r="A29153" t="s">
        <v>33939</v>
      </c>
      <c r="B29153" t="s">
        <v>33941</v>
      </c>
      <c r="C29153">
        <f>0</f>
        <v>0</v>
      </c>
      <c r="D29153">
        <v>0.99343857040200001</v>
      </c>
      <c r="E29153">
        <v>6.0569715142428704</v>
      </c>
    </row>
    <row r="29154" spans="1:5">
      <c r="A29154" t="s">
        <v>33939</v>
      </c>
      <c r="B29154" t="s">
        <v>33942</v>
      </c>
      <c r="C29154">
        <f>0</f>
        <v>0</v>
      </c>
      <c r="D29154">
        <v>0.99343857040200001</v>
      </c>
      <c r="E29154">
        <v>6.0569715142428704</v>
      </c>
    </row>
    <row r="29155" spans="1:5">
      <c r="A29155" t="s">
        <v>33939</v>
      </c>
      <c r="B29155" t="s">
        <v>33943</v>
      </c>
      <c r="C29155">
        <v>0</v>
      </c>
      <c r="D29155">
        <v>0.99343857040200001</v>
      </c>
      <c r="E29155">
        <v>6.0569715142428704</v>
      </c>
    </row>
    <row r="29156" spans="1:5">
      <c r="A29156" t="s">
        <v>33939</v>
      </c>
      <c r="B29156" t="s">
        <v>33944</v>
      </c>
      <c r="C29156">
        <v>0</v>
      </c>
      <c r="D29156">
        <v>0.99343857040200001</v>
      </c>
      <c r="E29156">
        <v>6.0569715142428704</v>
      </c>
    </row>
    <row r="29157" spans="1:5">
      <c r="A29157" t="s">
        <v>33939</v>
      </c>
      <c r="B29157" t="s">
        <v>33945</v>
      </c>
      <c r="C29157">
        <f>0</f>
        <v>0</v>
      </c>
      <c r="D29157">
        <v>0.99343857040200001</v>
      </c>
      <c r="E29157">
        <v>6.0569715142428704</v>
      </c>
    </row>
    <row r="29158" spans="1:5">
      <c r="A29158" t="s">
        <v>33946</v>
      </c>
      <c r="B29158" t="s">
        <v>33947</v>
      </c>
      <c r="C29158">
        <v>0</v>
      </c>
      <c r="D29158">
        <v>0.937611910356</v>
      </c>
      <c r="E29158">
        <v>20.2938530734632</v>
      </c>
    </row>
    <row r="29159" spans="1:5">
      <c r="A29159" t="s">
        <v>33946</v>
      </c>
      <c r="B29159" t="s">
        <v>33948</v>
      </c>
      <c r="C29159">
        <v>0</v>
      </c>
      <c r="D29159">
        <v>0.937611910356</v>
      </c>
      <c r="E29159">
        <v>20.2938530734632</v>
      </c>
    </row>
    <row r="29160" spans="1:5">
      <c r="A29160" t="s">
        <v>33946</v>
      </c>
      <c r="B29160" t="s">
        <v>33949</v>
      </c>
      <c r="C29160">
        <v>0</v>
      </c>
      <c r="D29160">
        <v>0.937611910356</v>
      </c>
      <c r="E29160">
        <v>20.2938530734632</v>
      </c>
    </row>
    <row r="29161" spans="1:5">
      <c r="A29161" t="s">
        <v>33946</v>
      </c>
      <c r="B29161" t="s">
        <v>33950</v>
      </c>
      <c r="C29161">
        <v>0</v>
      </c>
      <c r="D29161">
        <v>0.937611910356</v>
      </c>
      <c r="E29161">
        <v>20.2938530734632</v>
      </c>
    </row>
    <row r="29162" spans="1:5">
      <c r="A29162" t="s">
        <v>33946</v>
      </c>
      <c r="B29162" t="s">
        <v>33951</v>
      </c>
      <c r="C29162">
        <v>0</v>
      </c>
      <c r="D29162">
        <v>0.937611910356</v>
      </c>
      <c r="E29162">
        <v>20.2938530734632</v>
      </c>
    </row>
    <row r="29163" spans="1:5">
      <c r="A29163" t="s">
        <v>33946</v>
      </c>
      <c r="B29163" t="s">
        <v>33952</v>
      </c>
      <c r="C29163">
        <v>0</v>
      </c>
      <c r="D29163">
        <v>0.937611910356</v>
      </c>
      <c r="E29163">
        <v>20.2938530734632</v>
      </c>
    </row>
    <row r="29164" spans="1:5">
      <c r="A29164" t="s">
        <v>33953</v>
      </c>
      <c r="B29164" t="s">
        <v>33954</v>
      </c>
      <c r="C29164">
        <v>0</v>
      </c>
      <c r="D29164">
        <v>0.86265988726200005</v>
      </c>
      <c r="E29164">
        <v>4.4737631184407798</v>
      </c>
    </row>
    <row r="29165" spans="1:5">
      <c r="A29165" t="s">
        <v>33953</v>
      </c>
      <c r="B29165" t="s">
        <v>33955</v>
      </c>
      <c r="C29165">
        <f>0</f>
        <v>0</v>
      </c>
      <c r="D29165">
        <v>0.86265988726200005</v>
      </c>
      <c r="E29165">
        <v>4.4737631184407798</v>
      </c>
    </row>
    <row r="29166" spans="1:5">
      <c r="A29166" t="s">
        <v>33953</v>
      </c>
      <c r="B29166" t="s">
        <v>33956</v>
      </c>
      <c r="C29166">
        <v>0</v>
      </c>
      <c r="D29166">
        <v>0.86265988726200005</v>
      </c>
      <c r="E29166">
        <v>4.4737631184407798</v>
      </c>
    </row>
    <row r="29167" spans="1:5">
      <c r="A29167" t="s">
        <v>33953</v>
      </c>
      <c r="B29167" t="s">
        <v>33957</v>
      </c>
      <c r="C29167">
        <f>0.044844153534</f>
        <v>4.4844153534000002E-2</v>
      </c>
      <c r="D29167">
        <v>0.86265988726200005</v>
      </c>
      <c r="E29167">
        <v>4.4737631184407798</v>
      </c>
    </row>
    <row r="29168" spans="1:5">
      <c r="A29168" t="s">
        <v>33953</v>
      </c>
      <c r="B29168" t="s">
        <v>33958</v>
      </c>
      <c r="C29168">
        <f>0</f>
        <v>0</v>
      </c>
      <c r="D29168">
        <v>0.86265988726200005</v>
      </c>
      <c r="E29168">
        <v>4.4737631184407798</v>
      </c>
    </row>
    <row r="29169" spans="1:5">
      <c r="A29169" t="s">
        <v>33953</v>
      </c>
      <c r="B29169" t="s">
        <v>33959</v>
      </c>
      <c r="C29169">
        <f>0</f>
        <v>0</v>
      </c>
      <c r="D29169">
        <v>0.86265988726200005</v>
      </c>
      <c r="E29169">
        <v>4.4737631184407798</v>
      </c>
    </row>
    <row r="29170" spans="1:5">
      <c r="A29170" t="s">
        <v>33960</v>
      </c>
      <c r="B29170" t="s">
        <v>33961</v>
      </c>
      <c r="C29170">
        <f>0</f>
        <v>0</v>
      </c>
      <c r="D29170" t="s">
        <v>106</v>
      </c>
      <c r="E29170">
        <v>1.89505247376311</v>
      </c>
    </row>
    <row r="29171" spans="1:5">
      <c r="A29171" t="s">
        <v>33960</v>
      </c>
      <c r="B29171" t="s">
        <v>33962</v>
      </c>
      <c r="C29171">
        <f>0</f>
        <v>0</v>
      </c>
      <c r="D29171" t="s">
        <v>106</v>
      </c>
      <c r="E29171">
        <v>1.89505247376311</v>
      </c>
    </row>
    <row r="29172" spans="1:5">
      <c r="A29172" t="s">
        <v>33960</v>
      </c>
      <c r="B29172" t="s">
        <v>33963</v>
      </c>
      <c r="C29172">
        <f>0</f>
        <v>0</v>
      </c>
      <c r="D29172" t="s">
        <v>106</v>
      </c>
      <c r="E29172">
        <v>1.89505247376311</v>
      </c>
    </row>
    <row r="29173" spans="1:5">
      <c r="A29173" t="s">
        <v>33960</v>
      </c>
      <c r="B29173" t="s">
        <v>33964</v>
      </c>
      <c r="C29173">
        <f>0</f>
        <v>0</v>
      </c>
      <c r="D29173" t="s">
        <v>106</v>
      </c>
      <c r="E29173">
        <v>1.89505247376311</v>
      </c>
    </row>
    <row r="29174" spans="1:5">
      <c r="A29174" t="s">
        <v>33965</v>
      </c>
      <c r="B29174" t="s">
        <v>33966</v>
      </c>
      <c r="C29174">
        <v>0</v>
      </c>
      <c r="D29174">
        <v>0.96170324182400002</v>
      </c>
      <c r="E29174">
        <v>5.9370314842578704</v>
      </c>
    </row>
    <row r="29175" spans="1:5">
      <c r="A29175" t="s">
        <v>33965</v>
      </c>
      <c r="B29175" t="s">
        <v>33967</v>
      </c>
      <c r="C29175">
        <f>0</f>
        <v>0</v>
      </c>
      <c r="D29175">
        <v>0.96170324182400002</v>
      </c>
      <c r="E29175">
        <v>5.9370314842578704</v>
      </c>
    </row>
    <row r="29176" spans="1:5">
      <c r="A29176" t="s">
        <v>33965</v>
      </c>
      <c r="B29176" t="s">
        <v>33968</v>
      </c>
      <c r="C29176">
        <v>0</v>
      </c>
      <c r="D29176">
        <v>0.96170324182400002</v>
      </c>
      <c r="E29176">
        <v>5.9370314842578704</v>
      </c>
    </row>
    <row r="29177" spans="1:5">
      <c r="A29177" t="s">
        <v>33965</v>
      </c>
      <c r="B29177" t="s">
        <v>33969</v>
      </c>
      <c r="C29177">
        <f>0</f>
        <v>0</v>
      </c>
      <c r="D29177">
        <v>0.96170324182400002</v>
      </c>
      <c r="E29177">
        <v>5.9370314842578704</v>
      </c>
    </row>
    <row r="29178" spans="1:5">
      <c r="A29178" t="s">
        <v>33965</v>
      </c>
      <c r="B29178" t="s">
        <v>33970</v>
      </c>
      <c r="C29178">
        <f>0</f>
        <v>0</v>
      </c>
      <c r="D29178">
        <v>0.96170324182400002</v>
      </c>
      <c r="E29178">
        <v>5.9370314842578704</v>
      </c>
    </row>
    <row r="29179" spans="1:5">
      <c r="A29179" t="s">
        <v>33965</v>
      </c>
      <c r="B29179" t="s">
        <v>33971</v>
      </c>
      <c r="C29179">
        <f>0</f>
        <v>0</v>
      </c>
      <c r="D29179">
        <v>0.96170324182400002</v>
      </c>
      <c r="E29179">
        <v>5.9370314842578704</v>
      </c>
    </row>
    <row r="29180" spans="1:5">
      <c r="A29180" t="s">
        <v>33965</v>
      </c>
      <c r="B29180" t="s">
        <v>33972</v>
      </c>
      <c r="C29180">
        <v>0</v>
      </c>
      <c r="D29180">
        <v>0.96170324182400002</v>
      </c>
      <c r="E29180">
        <v>5.9370314842578704</v>
      </c>
    </row>
    <row r="29181" spans="1:5">
      <c r="A29181" t="s">
        <v>33973</v>
      </c>
      <c r="B29181" t="s">
        <v>33974</v>
      </c>
      <c r="C29181">
        <v>0</v>
      </c>
      <c r="D29181" t="s">
        <v>106</v>
      </c>
      <c r="E29181">
        <v>5.1214392803598203</v>
      </c>
    </row>
    <row r="29182" spans="1:5">
      <c r="A29182" t="s">
        <v>33973</v>
      </c>
      <c r="B29182" t="s">
        <v>33975</v>
      </c>
      <c r="C29182">
        <f>0</f>
        <v>0</v>
      </c>
      <c r="D29182" t="s">
        <v>106</v>
      </c>
      <c r="E29182">
        <v>5.1214392803598203</v>
      </c>
    </row>
    <row r="29183" spans="1:5">
      <c r="A29183" t="s">
        <v>33973</v>
      </c>
      <c r="B29183" t="s">
        <v>33976</v>
      </c>
      <c r="C29183">
        <f>0</f>
        <v>0</v>
      </c>
      <c r="D29183" t="s">
        <v>106</v>
      </c>
      <c r="E29183">
        <v>5.1214392803598203</v>
      </c>
    </row>
    <row r="29184" spans="1:5">
      <c r="A29184" t="s">
        <v>33973</v>
      </c>
      <c r="B29184" t="s">
        <v>33977</v>
      </c>
      <c r="C29184">
        <v>0.32507152317499999</v>
      </c>
      <c r="D29184" t="s">
        <v>106</v>
      </c>
      <c r="E29184">
        <v>5.1214392803598203</v>
      </c>
    </row>
    <row r="29185" spans="1:5">
      <c r="A29185" t="s">
        <v>33973</v>
      </c>
      <c r="B29185" t="s">
        <v>33978</v>
      </c>
      <c r="C29185">
        <f>0</f>
        <v>0</v>
      </c>
      <c r="D29185" t="s">
        <v>106</v>
      </c>
      <c r="E29185">
        <v>5.1214392803598203</v>
      </c>
    </row>
    <row r="29186" spans="1:5">
      <c r="A29186" t="s">
        <v>33979</v>
      </c>
      <c r="B29186" t="s">
        <v>33980</v>
      </c>
      <c r="C29186">
        <f>0</f>
        <v>0</v>
      </c>
      <c r="D29186">
        <v>0.73004265939900004</v>
      </c>
      <c r="E29186">
        <v>1.45127436281859</v>
      </c>
    </row>
    <row r="29187" spans="1:5">
      <c r="A29187" t="s">
        <v>33979</v>
      </c>
      <c r="B29187" t="s">
        <v>33981</v>
      </c>
      <c r="C29187">
        <v>6.4059052590200005E-2</v>
      </c>
      <c r="D29187">
        <v>0.73004265939900004</v>
      </c>
      <c r="E29187">
        <v>1.45127436281859</v>
      </c>
    </row>
    <row r="29188" spans="1:5">
      <c r="A29188" t="s">
        <v>33979</v>
      </c>
      <c r="B29188" t="s">
        <v>33982</v>
      </c>
      <c r="C29188">
        <v>0</v>
      </c>
      <c r="D29188">
        <v>0.73004265939900004</v>
      </c>
      <c r="E29188">
        <v>1.45127436281859</v>
      </c>
    </row>
    <row r="29189" spans="1:5">
      <c r="A29189" t="s">
        <v>33979</v>
      </c>
      <c r="B29189" t="s">
        <v>33983</v>
      </c>
      <c r="C29189">
        <f>0</f>
        <v>0</v>
      </c>
      <c r="D29189">
        <v>0.73004265939900004</v>
      </c>
      <c r="E29189">
        <v>1.45127436281859</v>
      </c>
    </row>
    <row r="29190" spans="1:5">
      <c r="A29190" t="s">
        <v>33979</v>
      </c>
      <c r="B29190" t="s">
        <v>33984</v>
      </c>
      <c r="C29190">
        <v>0</v>
      </c>
      <c r="D29190">
        <v>0.73004265939900004</v>
      </c>
      <c r="E29190">
        <v>1.45127436281859</v>
      </c>
    </row>
    <row r="29191" spans="1:5">
      <c r="A29191" t="s">
        <v>33985</v>
      </c>
      <c r="B29191" t="s">
        <v>33986</v>
      </c>
      <c r="C29191">
        <v>0</v>
      </c>
      <c r="D29191">
        <v>0.97715504710500001</v>
      </c>
      <c r="E29191">
        <v>0.86356821589205401</v>
      </c>
    </row>
    <row r="29192" spans="1:5">
      <c r="A29192" t="s">
        <v>33985</v>
      </c>
      <c r="B29192" t="s">
        <v>33987</v>
      </c>
      <c r="C29192">
        <f>0.138450785508</f>
        <v>0.138450785508</v>
      </c>
      <c r="D29192">
        <v>0.97715504710500001</v>
      </c>
      <c r="E29192">
        <v>0.86356821589205401</v>
      </c>
    </row>
    <row r="29193" spans="1:5">
      <c r="A29193" t="s">
        <v>33985</v>
      </c>
      <c r="B29193" t="s">
        <v>33988</v>
      </c>
      <c r="C29193">
        <v>0</v>
      </c>
      <c r="D29193">
        <v>0.97715504710500001</v>
      </c>
      <c r="E29193">
        <v>0.86356821589205401</v>
      </c>
    </row>
    <row r="29194" spans="1:5">
      <c r="A29194" t="s">
        <v>33985</v>
      </c>
      <c r="B29194" t="s">
        <v>33989</v>
      </c>
      <c r="C29194">
        <v>0.26856828864600002</v>
      </c>
      <c r="D29194">
        <v>0.97715504710500001</v>
      </c>
      <c r="E29194">
        <v>0.86356821589205401</v>
      </c>
    </row>
    <row r="29195" spans="1:5">
      <c r="A29195" t="s">
        <v>33985</v>
      </c>
      <c r="B29195" t="s">
        <v>33990</v>
      </c>
      <c r="C29195">
        <f>0</f>
        <v>0</v>
      </c>
      <c r="D29195">
        <v>0.97715504710500001</v>
      </c>
      <c r="E29195">
        <v>0.86356821589205401</v>
      </c>
    </row>
    <row r="29196" spans="1:5">
      <c r="A29196" t="s">
        <v>33985</v>
      </c>
      <c r="B29196" t="s">
        <v>33991</v>
      </c>
      <c r="C29196">
        <v>0</v>
      </c>
      <c r="D29196">
        <v>0.97715504710500001</v>
      </c>
      <c r="E29196">
        <v>0.86356821589205401</v>
      </c>
    </row>
    <row r="29197" spans="1:5">
      <c r="A29197" t="s">
        <v>33985</v>
      </c>
      <c r="B29197" t="s">
        <v>33992</v>
      </c>
      <c r="C29197">
        <f>0</f>
        <v>0</v>
      </c>
      <c r="D29197">
        <v>0.97715504710500001</v>
      </c>
      <c r="E29197">
        <v>0.86356821589205401</v>
      </c>
    </row>
    <row r="29198" spans="1:5">
      <c r="A29198" t="s">
        <v>33985</v>
      </c>
      <c r="B29198" t="s">
        <v>33993</v>
      </c>
      <c r="C29198">
        <f>0</f>
        <v>0</v>
      </c>
      <c r="D29198">
        <v>0.97715504710500001</v>
      </c>
      <c r="E29198">
        <v>0.86356821589205401</v>
      </c>
    </row>
    <row r="29199" spans="1:5">
      <c r="A29199" t="s">
        <v>33994</v>
      </c>
      <c r="B29199" t="s">
        <v>33995</v>
      </c>
      <c r="C29199">
        <v>7.3586609196300001E-2</v>
      </c>
      <c r="D29199">
        <v>0.97601581822299999</v>
      </c>
      <c r="E29199">
        <v>22.104947526236799</v>
      </c>
    </row>
    <row r="29200" spans="1:5">
      <c r="A29200" t="s">
        <v>33994</v>
      </c>
      <c r="B29200" t="s">
        <v>33996</v>
      </c>
      <c r="C29200">
        <v>0</v>
      </c>
      <c r="D29200">
        <v>0.97601581822299999</v>
      </c>
      <c r="E29200">
        <v>22.104947526236799</v>
      </c>
    </row>
    <row r="29201" spans="1:5">
      <c r="A29201" t="s">
        <v>33994</v>
      </c>
      <c r="B29201" t="s">
        <v>33997</v>
      </c>
      <c r="C29201">
        <v>0</v>
      </c>
      <c r="D29201">
        <v>0.97601581822299999</v>
      </c>
      <c r="E29201">
        <v>22.104947526236799</v>
      </c>
    </row>
    <row r="29202" spans="1:5">
      <c r="A29202" t="s">
        <v>33994</v>
      </c>
      <c r="B29202" t="s">
        <v>33998</v>
      </c>
      <c r="C29202">
        <f>0</f>
        <v>0</v>
      </c>
      <c r="D29202">
        <v>0.97601581822299999</v>
      </c>
      <c r="E29202">
        <v>22.104947526236799</v>
      </c>
    </row>
    <row r="29203" spans="1:5">
      <c r="A29203" t="s">
        <v>33994</v>
      </c>
      <c r="B29203" t="s">
        <v>33999</v>
      </c>
      <c r="C29203">
        <v>0</v>
      </c>
      <c r="D29203">
        <v>0.97601581822299999</v>
      </c>
      <c r="E29203">
        <v>22.104947526236799</v>
      </c>
    </row>
    <row r="29204" spans="1:5">
      <c r="A29204" t="s">
        <v>33994</v>
      </c>
      <c r="B29204" t="s">
        <v>34000</v>
      </c>
      <c r="C29204">
        <v>0</v>
      </c>
      <c r="D29204">
        <v>0.97601581822299999</v>
      </c>
      <c r="E29204">
        <v>22.104947526236799</v>
      </c>
    </row>
    <row r="29205" spans="1:5">
      <c r="A29205" t="s">
        <v>33994</v>
      </c>
      <c r="B29205" t="s">
        <v>34001</v>
      </c>
      <c r="C29205">
        <f>0</f>
        <v>0</v>
      </c>
      <c r="D29205">
        <v>0.97601581822299999</v>
      </c>
      <c r="E29205">
        <v>22.104947526236799</v>
      </c>
    </row>
    <row r="29206" spans="1:5">
      <c r="A29206" t="s">
        <v>33994</v>
      </c>
      <c r="B29206" t="s">
        <v>34002</v>
      </c>
      <c r="C29206">
        <v>2.3006690661200001E-2</v>
      </c>
      <c r="D29206">
        <v>0.97601581822299999</v>
      </c>
      <c r="E29206">
        <v>22.104947526236799</v>
      </c>
    </row>
    <row r="29207" spans="1:5">
      <c r="A29207" t="s">
        <v>34003</v>
      </c>
      <c r="B29207" t="s">
        <v>34004</v>
      </c>
      <c r="C29207">
        <v>7.2487202569299997E-2</v>
      </c>
      <c r="D29207">
        <v>0.94629501216099998</v>
      </c>
      <c r="E29207">
        <v>8.8635682158920499</v>
      </c>
    </row>
    <row r="29208" spans="1:5">
      <c r="A29208" t="s">
        <v>34003</v>
      </c>
      <c r="B29208" t="s">
        <v>34005</v>
      </c>
      <c r="C29208">
        <f>0</f>
        <v>0</v>
      </c>
      <c r="D29208">
        <v>0.94629501216099998</v>
      </c>
      <c r="E29208">
        <v>8.8635682158920499</v>
      </c>
    </row>
    <row r="29209" spans="1:5">
      <c r="A29209" t="s">
        <v>34003</v>
      </c>
      <c r="B29209" t="s">
        <v>34006</v>
      </c>
      <c r="C29209">
        <f>0</f>
        <v>0</v>
      </c>
      <c r="D29209">
        <v>0.94629501216099998</v>
      </c>
      <c r="E29209">
        <v>8.8635682158920499</v>
      </c>
    </row>
    <row r="29210" spans="1:5">
      <c r="A29210" t="s">
        <v>34003</v>
      </c>
      <c r="B29210" t="s">
        <v>34007</v>
      </c>
      <c r="C29210">
        <f>0</f>
        <v>0</v>
      </c>
      <c r="D29210">
        <v>0.94629501216099998</v>
      </c>
      <c r="E29210">
        <v>8.8635682158920499</v>
      </c>
    </row>
    <row r="29211" spans="1:5">
      <c r="A29211" t="s">
        <v>34003</v>
      </c>
      <c r="B29211" t="s">
        <v>34008</v>
      </c>
      <c r="C29211">
        <v>0</v>
      </c>
      <c r="D29211">
        <v>0.94629501216099998</v>
      </c>
      <c r="E29211">
        <v>8.8635682158920499</v>
      </c>
    </row>
    <row r="29212" spans="1:5">
      <c r="A29212" t="s">
        <v>34003</v>
      </c>
      <c r="B29212" t="s">
        <v>34009</v>
      </c>
      <c r="C29212">
        <v>0</v>
      </c>
      <c r="D29212">
        <v>0.94629501216099998</v>
      </c>
      <c r="E29212">
        <v>8.8635682158920499</v>
      </c>
    </row>
    <row r="29213" spans="1:5">
      <c r="A29213" t="s">
        <v>34003</v>
      </c>
      <c r="B29213" t="s">
        <v>34010</v>
      </c>
      <c r="C29213">
        <v>0.33716998358599998</v>
      </c>
      <c r="D29213">
        <v>0.94629501216099998</v>
      </c>
      <c r="E29213">
        <v>8.8635682158920499</v>
      </c>
    </row>
    <row r="29214" spans="1:5">
      <c r="A29214" t="s">
        <v>34011</v>
      </c>
      <c r="B29214" t="s">
        <v>34012</v>
      </c>
      <c r="C29214">
        <f>0</f>
        <v>0</v>
      </c>
      <c r="D29214">
        <v>0.94455875479700002</v>
      </c>
      <c r="E29214">
        <v>0</v>
      </c>
    </row>
    <row r="29215" spans="1:5">
      <c r="A29215" t="s">
        <v>34011</v>
      </c>
      <c r="B29215" t="s">
        <v>34013</v>
      </c>
      <c r="C29215">
        <f>0</f>
        <v>0</v>
      </c>
      <c r="D29215">
        <v>0.94455875479700002</v>
      </c>
      <c r="E29215">
        <v>0</v>
      </c>
    </row>
    <row r="29216" spans="1:5">
      <c r="A29216" t="s">
        <v>34011</v>
      </c>
      <c r="B29216" t="s">
        <v>34014</v>
      </c>
      <c r="C29216">
        <v>0</v>
      </c>
      <c r="D29216">
        <v>0.94455875479700002</v>
      </c>
      <c r="E29216">
        <v>0</v>
      </c>
    </row>
    <row r="29217" spans="1:5">
      <c r="A29217" t="s">
        <v>34011</v>
      </c>
      <c r="B29217" t="s">
        <v>34015</v>
      </c>
      <c r="C29217">
        <v>0.58209871506699995</v>
      </c>
      <c r="D29217">
        <v>0.94455875479700002</v>
      </c>
      <c r="E29217">
        <v>0</v>
      </c>
    </row>
    <row r="29218" spans="1:5">
      <c r="A29218" t="s">
        <v>34011</v>
      </c>
      <c r="B29218" t="s">
        <v>34016</v>
      </c>
      <c r="C29218">
        <v>0</v>
      </c>
      <c r="D29218">
        <v>0.94455875479700002</v>
      </c>
      <c r="E29218">
        <v>0</v>
      </c>
    </row>
    <row r="29219" spans="1:5">
      <c r="A29219" t="s">
        <v>34017</v>
      </c>
      <c r="B29219" t="s">
        <v>34018</v>
      </c>
      <c r="C29219">
        <v>0</v>
      </c>
      <c r="D29219">
        <v>0.98400539556599997</v>
      </c>
      <c r="E29219">
        <v>7.5922038980509701</v>
      </c>
    </row>
    <row r="29220" spans="1:5">
      <c r="A29220" t="s">
        <v>34017</v>
      </c>
      <c r="B29220" t="s">
        <v>34019</v>
      </c>
      <c r="C29220">
        <v>0</v>
      </c>
      <c r="D29220">
        <v>0.98400539556599997</v>
      </c>
      <c r="E29220">
        <v>7.5922038980509701</v>
      </c>
    </row>
    <row r="29221" spans="1:5">
      <c r="A29221" t="s">
        <v>34017</v>
      </c>
      <c r="B29221" t="s">
        <v>34020</v>
      </c>
      <c r="C29221">
        <f>0</f>
        <v>0</v>
      </c>
      <c r="D29221">
        <v>0.98400539556599997</v>
      </c>
      <c r="E29221">
        <v>7.5922038980509701</v>
      </c>
    </row>
    <row r="29222" spans="1:5">
      <c r="A29222" t="s">
        <v>34017</v>
      </c>
      <c r="B29222" t="s">
        <v>34021</v>
      </c>
      <c r="C29222">
        <f>0</f>
        <v>0</v>
      </c>
      <c r="D29222">
        <v>0.98400539556599997</v>
      </c>
      <c r="E29222">
        <v>7.5922038980509701</v>
      </c>
    </row>
    <row r="29223" spans="1:5">
      <c r="A29223" t="s">
        <v>34017</v>
      </c>
      <c r="B29223" t="s">
        <v>34022</v>
      </c>
      <c r="C29223">
        <v>0.54188368896399997</v>
      </c>
      <c r="D29223">
        <v>0.98400539556599997</v>
      </c>
      <c r="E29223">
        <v>7.5922038980509701</v>
      </c>
    </row>
    <row r="29224" spans="1:5">
      <c r="A29224" t="s">
        <v>34017</v>
      </c>
      <c r="B29224" t="s">
        <v>34023</v>
      </c>
      <c r="C29224">
        <v>0</v>
      </c>
      <c r="D29224">
        <v>0.98400539556599997</v>
      </c>
      <c r="E29224">
        <v>7.5922038980509701</v>
      </c>
    </row>
    <row r="29225" spans="1:5">
      <c r="A29225" t="s">
        <v>34017</v>
      </c>
      <c r="B29225" t="s">
        <v>34024</v>
      </c>
      <c r="C29225">
        <v>0</v>
      </c>
      <c r="D29225">
        <v>0.98400539556599997</v>
      </c>
      <c r="E29225">
        <v>7.5922038980509701</v>
      </c>
    </row>
    <row r="29226" spans="1:5">
      <c r="A29226" t="s">
        <v>34025</v>
      </c>
      <c r="B29226" t="s">
        <v>34026</v>
      </c>
      <c r="C29226">
        <v>0.43829844462299999</v>
      </c>
      <c r="D29226">
        <v>0.98485852733400003</v>
      </c>
      <c r="E29226">
        <v>4.3778110944527704</v>
      </c>
    </row>
    <row r="29227" spans="1:5">
      <c r="A29227" t="s">
        <v>34025</v>
      </c>
      <c r="B29227" t="s">
        <v>34027</v>
      </c>
      <c r="C29227">
        <v>0</v>
      </c>
      <c r="D29227">
        <v>0.98485852733400003</v>
      </c>
      <c r="E29227">
        <v>4.3778110944527704</v>
      </c>
    </row>
    <row r="29228" spans="1:5">
      <c r="A29228" t="s">
        <v>34025</v>
      </c>
      <c r="B29228" t="s">
        <v>34028</v>
      </c>
      <c r="C29228">
        <v>0</v>
      </c>
      <c r="D29228">
        <v>0.98485852733400003</v>
      </c>
      <c r="E29228">
        <v>4.3778110944527704</v>
      </c>
    </row>
    <row r="29229" spans="1:5">
      <c r="A29229" t="s">
        <v>34025</v>
      </c>
      <c r="B29229" t="s">
        <v>34029</v>
      </c>
      <c r="C29229">
        <v>0.167010249231</v>
      </c>
      <c r="D29229">
        <v>0.98485852733400003</v>
      </c>
      <c r="E29229">
        <v>4.3778110944527704</v>
      </c>
    </row>
    <row r="29230" spans="1:5">
      <c r="A29230" t="s">
        <v>34030</v>
      </c>
      <c r="B29230" t="s">
        <v>34031</v>
      </c>
      <c r="C29230">
        <f>0.0760288505129</f>
        <v>7.6028850512899995E-2</v>
      </c>
      <c r="D29230">
        <v>0.80376446661500001</v>
      </c>
      <c r="E29230">
        <v>24</v>
      </c>
    </row>
    <row r="29231" spans="1:5">
      <c r="A29231" t="s">
        <v>34030</v>
      </c>
      <c r="B29231" t="s">
        <v>34032</v>
      </c>
      <c r="C29231">
        <v>0</v>
      </c>
      <c r="D29231">
        <v>0.80376446661500001</v>
      </c>
      <c r="E29231">
        <v>24</v>
      </c>
    </row>
    <row r="29232" spans="1:5">
      <c r="A29232" t="s">
        <v>34030</v>
      </c>
      <c r="B29232" t="s">
        <v>34033</v>
      </c>
      <c r="C29232">
        <f>0</f>
        <v>0</v>
      </c>
      <c r="D29232">
        <v>0.80376446661500001</v>
      </c>
      <c r="E29232">
        <v>24</v>
      </c>
    </row>
    <row r="29233" spans="1:5">
      <c r="A29233" t="s">
        <v>34030</v>
      </c>
      <c r="B29233" t="s">
        <v>34034</v>
      </c>
      <c r="C29233">
        <f>0.0407190014066</f>
        <v>4.0719001406600001E-2</v>
      </c>
      <c r="D29233">
        <v>0.80376446661500001</v>
      </c>
      <c r="E29233">
        <v>24</v>
      </c>
    </row>
    <row r="29234" spans="1:5">
      <c r="A29234" t="s">
        <v>34030</v>
      </c>
      <c r="B29234" t="s">
        <v>34035</v>
      </c>
      <c r="C29234">
        <v>0</v>
      </c>
      <c r="D29234">
        <v>0.80376446661500001</v>
      </c>
      <c r="E29234">
        <v>24</v>
      </c>
    </row>
    <row r="29235" spans="1:5">
      <c r="A29235" t="s">
        <v>34036</v>
      </c>
      <c r="B29235" t="s">
        <v>34037</v>
      </c>
      <c r="C29235">
        <v>0.104922315686</v>
      </c>
      <c r="D29235" t="s">
        <v>106</v>
      </c>
      <c r="E29235">
        <v>24</v>
      </c>
    </row>
    <row r="29236" spans="1:5">
      <c r="A29236" t="s">
        <v>34036</v>
      </c>
      <c r="B29236" t="s">
        <v>34038</v>
      </c>
      <c r="C29236">
        <f>0</f>
        <v>0</v>
      </c>
      <c r="D29236" t="s">
        <v>106</v>
      </c>
      <c r="E29236">
        <v>24</v>
      </c>
    </row>
    <row r="29237" spans="1:5">
      <c r="A29237" t="s">
        <v>34036</v>
      </c>
      <c r="B29237" t="s">
        <v>34039</v>
      </c>
      <c r="C29237">
        <f>0</f>
        <v>0</v>
      </c>
      <c r="D29237" t="s">
        <v>106</v>
      </c>
      <c r="E29237">
        <v>24</v>
      </c>
    </row>
    <row r="29238" spans="1:5">
      <c r="A29238" t="s">
        <v>34036</v>
      </c>
      <c r="B29238" t="s">
        <v>34040</v>
      </c>
      <c r="C29238">
        <f>0</f>
        <v>0</v>
      </c>
      <c r="D29238" t="s">
        <v>106</v>
      </c>
      <c r="E29238">
        <v>24</v>
      </c>
    </row>
    <row r="29239" spans="1:5">
      <c r="A29239" t="s">
        <v>34036</v>
      </c>
      <c r="B29239" t="s">
        <v>34041</v>
      </c>
      <c r="C29239">
        <f>0.00867198561881</f>
        <v>8.6719856188099999E-3</v>
      </c>
      <c r="D29239" t="s">
        <v>106</v>
      </c>
      <c r="E29239">
        <v>24</v>
      </c>
    </row>
    <row r="29240" spans="1:5">
      <c r="A29240" t="s">
        <v>34036</v>
      </c>
      <c r="B29240" t="s">
        <v>34042</v>
      </c>
      <c r="C29240">
        <v>0</v>
      </c>
      <c r="D29240" t="s">
        <v>106</v>
      </c>
      <c r="E29240">
        <v>24</v>
      </c>
    </row>
    <row r="29241" spans="1:5">
      <c r="A29241" t="s">
        <v>34043</v>
      </c>
      <c r="B29241" t="s">
        <v>34044</v>
      </c>
      <c r="C29241">
        <f>0.0103411458261</f>
        <v>1.03411458261E-2</v>
      </c>
      <c r="D29241" t="s">
        <v>106</v>
      </c>
      <c r="E29241">
        <v>24</v>
      </c>
    </row>
    <row r="29242" spans="1:5">
      <c r="A29242" t="s">
        <v>34043</v>
      </c>
      <c r="B29242" t="s">
        <v>34045</v>
      </c>
      <c r="C29242">
        <v>0.186572360607</v>
      </c>
      <c r="D29242" t="s">
        <v>106</v>
      </c>
      <c r="E29242">
        <v>24</v>
      </c>
    </row>
    <row r="29243" spans="1:5">
      <c r="A29243" t="s">
        <v>34046</v>
      </c>
      <c r="B29243" t="s">
        <v>34047</v>
      </c>
      <c r="C29243">
        <v>1.5958101917500001</v>
      </c>
      <c r="D29243">
        <v>0.97624700377499996</v>
      </c>
      <c r="E29243">
        <v>2.0989505247376301</v>
      </c>
    </row>
    <row r="29244" spans="1:5">
      <c r="A29244" t="s">
        <v>34046</v>
      </c>
      <c r="B29244" t="s">
        <v>34048</v>
      </c>
      <c r="C29244">
        <f>0.969585577041</f>
        <v>0.96958557704100001</v>
      </c>
      <c r="D29244">
        <v>0.97624700377499996</v>
      </c>
      <c r="E29244">
        <v>2.0989505247376301</v>
      </c>
    </row>
    <row r="29245" spans="1:5">
      <c r="A29245" t="s">
        <v>34049</v>
      </c>
      <c r="B29245" t="s">
        <v>34050</v>
      </c>
      <c r="C29245">
        <f>0</f>
        <v>0</v>
      </c>
      <c r="D29245">
        <v>0.99703680771500003</v>
      </c>
      <c r="E29245">
        <v>12.2098950524737</v>
      </c>
    </row>
    <row r="29246" spans="1:5">
      <c r="A29246" t="s">
        <v>34049</v>
      </c>
      <c r="B29246" t="s">
        <v>34051</v>
      </c>
      <c r="C29246">
        <f>0.234554503557</f>
        <v>0.234554503557</v>
      </c>
      <c r="D29246">
        <v>0.99703680771500003</v>
      </c>
      <c r="E29246">
        <v>12.2098950524737</v>
      </c>
    </row>
    <row r="29247" spans="1:5">
      <c r="A29247" t="s">
        <v>34049</v>
      </c>
      <c r="B29247" t="s">
        <v>34052</v>
      </c>
      <c r="C29247">
        <v>0.53041699781399998</v>
      </c>
      <c r="D29247">
        <v>0.99703680771500003</v>
      </c>
      <c r="E29247">
        <v>12.2098950524737</v>
      </c>
    </row>
    <row r="29248" spans="1:5">
      <c r="A29248" t="s">
        <v>34049</v>
      </c>
      <c r="B29248" t="s">
        <v>34053</v>
      </c>
      <c r="C29248">
        <v>0</v>
      </c>
      <c r="D29248">
        <v>0.99703680771500003</v>
      </c>
      <c r="E29248">
        <v>12.2098950524737</v>
      </c>
    </row>
    <row r="29249" spans="1:5">
      <c r="A29249" t="s">
        <v>34054</v>
      </c>
      <c r="B29249" t="s">
        <v>34055</v>
      </c>
      <c r="C29249">
        <v>0</v>
      </c>
      <c r="D29249" t="s">
        <v>106</v>
      </c>
      <c r="E29249">
        <v>0.77961019490254801</v>
      </c>
    </row>
    <row r="29250" spans="1:5">
      <c r="A29250" t="s">
        <v>34054</v>
      </c>
      <c r="B29250" t="s">
        <v>34056</v>
      </c>
      <c r="C29250">
        <v>0</v>
      </c>
      <c r="D29250" t="s">
        <v>106</v>
      </c>
      <c r="E29250">
        <v>0.77961019490254801</v>
      </c>
    </row>
    <row r="29251" spans="1:5">
      <c r="A29251" t="s">
        <v>34054</v>
      </c>
      <c r="B29251" t="s">
        <v>34057</v>
      </c>
      <c r="C29251">
        <f>0</f>
        <v>0</v>
      </c>
      <c r="D29251" t="s">
        <v>106</v>
      </c>
      <c r="E29251">
        <v>0.77961019490254801</v>
      </c>
    </row>
    <row r="29252" spans="1:5">
      <c r="A29252" t="s">
        <v>34054</v>
      </c>
      <c r="B29252" t="s">
        <v>34058</v>
      </c>
      <c r="C29252">
        <v>0</v>
      </c>
      <c r="D29252" t="s">
        <v>106</v>
      </c>
      <c r="E29252">
        <v>0.77961019490254801</v>
      </c>
    </row>
    <row r="29253" spans="1:5">
      <c r="A29253" t="s">
        <v>34054</v>
      </c>
      <c r="B29253" t="s">
        <v>34059</v>
      </c>
      <c r="C29253">
        <v>0</v>
      </c>
      <c r="D29253" t="s">
        <v>106</v>
      </c>
      <c r="E29253">
        <v>0.77961019490254801</v>
      </c>
    </row>
    <row r="29254" spans="1:5">
      <c r="A29254" t="s">
        <v>34054</v>
      </c>
      <c r="B29254" t="s">
        <v>34060</v>
      </c>
      <c r="C29254">
        <v>0</v>
      </c>
      <c r="D29254" t="s">
        <v>106</v>
      </c>
      <c r="E29254">
        <v>0.77961019490254801</v>
      </c>
    </row>
    <row r="29255" spans="1:5">
      <c r="A29255" t="s">
        <v>34061</v>
      </c>
      <c r="B29255" t="s">
        <v>34062</v>
      </c>
      <c r="C29255">
        <v>0</v>
      </c>
      <c r="D29255">
        <v>0.58663457266300001</v>
      </c>
      <c r="E29255">
        <v>24</v>
      </c>
    </row>
    <row r="29256" spans="1:5">
      <c r="A29256" t="s">
        <v>34061</v>
      </c>
      <c r="B29256" t="s">
        <v>34063</v>
      </c>
      <c r="C29256">
        <v>9.5307815548399996E-2</v>
      </c>
      <c r="D29256">
        <v>0.58663457266300001</v>
      </c>
      <c r="E29256">
        <v>24</v>
      </c>
    </row>
    <row r="29257" spans="1:5">
      <c r="A29257" t="s">
        <v>34061</v>
      </c>
      <c r="B29257" t="s">
        <v>34064</v>
      </c>
      <c r="C29257">
        <v>0</v>
      </c>
      <c r="D29257">
        <v>0.58663457266300001</v>
      </c>
      <c r="E29257">
        <v>24</v>
      </c>
    </row>
    <row r="29258" spans="1:5">
      <c r="A29258" t="s">
        <v>34061</v>
      </c>
      <c r="B29258" t="s">
        <v>34065</v>
      </c>
      <c r="C29258">
        <v>0</v>
      </c>
      <c r="D29258">
        <v>0.58663457266300001</v>
      </c>
      <c r="E29258">
        <v>24</v>
      </c>
    </row>
    <row r="29259" spans="1:5">
      <c r="A29259" t="s">
        <v>34061</v>
      </c>
      <c r="B29259" t="s">
        <v>34066</v>
      </c>
      <c r="C29259">
        <v>0</v>
      </c>
      <c r="D29259">
        <v>0.58663457266300001</v>
      </c>
      <c r="E29259">
        <v>24</v>
      </c>
    </row>
    <row r="29260" spans="1:5">
      <c r="A29260" t="s">
        <v>34067</v>
      </c>
      <c r="B29260" t="s">
        <v>34068</v>
      </c>
      <c r="C29260">
        <v>0</v>
      </c>
      <c r="D29260">
        <v>0.84446189883599998</v>
      </c>
      <c r="E29260">
        <v>2.3268365817091401</v>
      </c>
    </row>
    <row r="29261" spans="1:5">
      <c r="A29261" t="s">
        <v>34067</v>
      </c>
      <c r="B29261" t="s">
        <v>34069</v>
      </c>
      <c r="C29261">
        <v>0.176133429703</v>
      </c>
      <c r="D29261">
        <v>0.84446189883599998</v>
      </c>
      <c r="E29261">
        <v>2.3268365817091401</v>
      </c>
    </row>
    <row r="29262" spans="1:5">
      <c r="A29262" t="s">
        <v>34067</v>
      </c>
      <c r="B29262" t="s">
        <v>34070</v>
      </c>
      <c r="C29262">
        <v>0.180707194662</v>
      </c>
      <c r="D29262">
        <v>0.84446189883599998</v>
      </c>
      <c r="E29262">
        <v>2.3268365817091401</v>
      </c>
    </row>
    <row r="29263" spans="1:5">
      <c r="A29263" t="s">
        <v>34067</v>
      </c>
      <c r="B29263" t="s">
        <v>34071</v>
      </c>
      <c r="C29263">
        <v>0</v>
      </c>
      <c r="D29263">
        <v>0.84446189883599998</v>
      </c>
      <c r="E29263">
        <v>2.3268365817091401</v>
      </c>
    </row>
    <row r="29264" spans="1:5">
      <c r="A29264" t="s">
        <v>34067</v>
      </c>
      <c r="B29264" t="s">
        <v>34072</v>
      </c>
      <c r="C29264">
        <f>0</f>
        <v>0</v>
      </c>
      <c r="D29264">
        <v>0.84446189883599998</v>
      </c>
      <c r="E29264">
        <v>2.3268365817091401</v>
      </c>
    </row>
    <row r="29265" spans="1:5">
      <c r="A29265" t="s">
        <v>34067</v>
      </c>
      <c r="B29265" t="s">
        <v>34073</v>
      </c>
      <c r="C29265">
        <f>0</f>
        <v>0</v>
      </c>
      <c r="D29265">
        <v>0.84446189883599998</v>
      </c>
      <c r="E29265">
        <v>2.3268365817091401</v>
      </c>
    </row>
    <row r="29266" spans="1:5">
      <c r="A29266" t="s">
        <v>34067</v>
      </c>
      <c r="B29266" t="s">
        <v>34074</v>
      </c>
      <c r="C29266">
        <f>0</f>
        <v>0</v>
      </c>
      <c r="D29266">
        <v>0.84446189883599998</v>
      </c>
      <c r="E29266">
        <v>2.3268365817091401</v>
      </c>
    </row>
    <row r="29267" spans="1:5">
      <c r="A29267" t="s">
        <v>34075</v>
      </c>
      <c r="B29267" t="s">
        <v>34076</v>
      </c>
      <c r="C29267">
        <v>0</v>
      </c>
      <c r="D29267" t="s">
        <v>106</v>
      </c>
      <c r="E29267">
        <v>10.398800599700101</v>
      </c>
    </row>
    <row r="29268" spans="1:5">
      <c r="A29268" t="s">
        <v>34075</v>
      </c>
      <c r="B29268" t="s">
        <v>34077</v>
      </c>
      <c r="C29268">
        <v>0</v>
      </c>
      <c r="D29268" t="s">
        <v>106</v>
      </c>
      <c r="E29268">
        <v>10.398800599700101</v>
      </c>
    </row>
    <row r="29269" spans="1:5">
      <c r="A29269" t="s">
        <v>34075</v>
      </c>
      <c r="B29269" t="s">
        <v>34078</v>
      </c>
      <c r="C29269">
        <f>0</f>
        <v>0</v>
      </c>
      <c r="D29269" t="s">
        <v>106</v>
      </c>
      <c r="E29269">
        <v>10.398800599700101</v>
      </c>
    </row>
    <row r="29270" spans="1:5">
      <c r="A29270" t="s">
        <v>34075</v>
      </c>
      <c r="B29270" t="s">
        <v>34079</v>
      </c>
      <c r="C29270">
        <f>0</f>
        <v>0</v>
      </c>
      <c r="D29270" t="s">
        <v>106</v>
      </c>
      <c r="E29270">
        <v>10.398800599700101</v>
      </c>
    </row>
    <row r="29271" spans="1:5">
      <c r="A29271" t="s">
        <v>34075</v>
      </c>
      <c r="B29271" t="s">
        <v>34080</v>
      </c>
      <c r="C29271">
        <v>0</v>
      </c>
      <c r="D29271" t="s">
        <v>106</v>
      </c>
      <c r="E29271">
        <v>10.398800599700101</v>
      </c>
    </row>
    <row r="29272" spans="1:5">
      <c r="A29272" t="s">
        <v>34075</v>
      </c>
      <c r="B29272" t="s">
        <v>34081</v>
      </c>
      <c r="C29272">
        <v>0</v>
      </c>
      <c r="D29272" t="s">
        <v>106</v>
      </c>
      <c r="E29272">
        <v>10.398800599700101</v>
      </c>
    </row>
    <row r="29273" spans="1:5">
      <c r="A29273" t="s">
        <v>34075</v>
      </c>
      <c r="B29273" t="s">
        <v>34082</v>
      </c>
      <c r="C29273">
        <f>0</f>
        <v>0</v>
      </c>
      <c r="D29273" t="s">
        <v>106</v>
      </c>
      <c r="E29273">
        <v>10.398800599700101</v>
      </c>
    </row>
    <row r="29274" spans="1:5">
      <c r="A29274" t="s">
        <v>34083</v>
      </c>
      <c r="B29274" t="s">
        <v>34084</v>
      </c>
      <c r="C29274">
        <v>0.152860455738</v>
      </c>
      <c r="D29274">
        <v>0.92996571293899999</v>
      </c>
      <c r="E29274">
        <v>16.095952023988001</v>
      </c>
    </row>
    <row r="29275" spans="1:5">
      <c r="A29275" t="s">
        <v>34083</v>
      </c>
      <c r="B29275" t="s">
        <v>34085</v>
      </c>
      <c r="C29275">
        <f>0</f>
        <v>0</v>
      </c>
      <c r="D29275">
        <v>0.92996571293899999</v>
      </c>
      <c r="E29275">
        <v>16.095952023988001</v>
      </c>
    </row>
    <row r="29276" spans="1:5">
      <c r="A29276" t="s">
        <v>34083</v>
      </c>
      <c r="B29276" t="s">
        <v>34086</v>
      </c>
      <c r="C29276">
        <v>0</v>
      </c>
      <c r="D29276">
        <v>0.92996571293899999</v>
      </c>
      <c r="E29276">
        <v>16.095952023988001</v>
      </c>
    </row>
    <row r="29277" spans="1:5">
      <c r="A29277" t="s">
        <v>34083</v>
      </c>
      <c r="B29277" t="s">
        <v>34087</v>
      </c>
      <c r="C29277">
        <f>0</f>
        <v>0</v>
      </c>
      <c r="D29277">
        <v>0.92996571293899999</v>
      </c>
      <c r="E29277">
        <v>16.095952023988001</v>
      </c>
    </row>
    <row r="29278" spans="1:5">
      <c r="A29278" t="s">
        <v>34083</v>
      </c>
      <c r="B29278" t="s">
        <v>34088</v>
      </c>
      <c r="C29278">
        <v>0</v>
      </c>
      <c r="D29278">
        <v>0.92996571293899999</v>
      </c>
      <c r="E29278">
        <v>16.095952023988001</v>
      </c>
    </row>
    <row r="29279" spans="1:5">
      <c r="A29279" t="s">
        <v>34089</v>
      </c>
      <c r="B29279" t="s">
        <v>34090</v>
      </c>
      <c r="C29279">
        <v>0</v>
      </c>
      <c r="D29279">
        <v>0.56311062725299998</v>
      </c>
      <c r="E29279">
        <v>3.68215892053973</v>
      </c>
    </row>
    <row r="29280" spans="1:5">
      <c r="A29280" t="s">
        <v>34089</v>
      </c>
      <c r="B29280" t="s">
        <v>34091</v>
      </c>
      <c r="C29280">
        <v>0</v>
      </c>
      <c r="D29280">
        <v>0.56311062725299998</v>
      </c>
      <c r="E29280">
        <v>3.68215892053973</v>
      </c>
    </row>
    <row r="29281" spans="1:5">
      <c r="A29281" t="s">
        <v>34089</v>
      </c>
      <c r="B29281" t="s">
        <v>34092</v>
      </c>
      <c r="C29281">
        <v>0</v>
      </c>
      <c r="D29281">
        <v>0.56311062725299998</v>
      </c>
      <c r="E29281">
        <v>3.68215892053973</v>
      </c>
    </row>
    <row r="29282" spans="1:5">
      <c r="A29282" t="s">
        <v>34089</v>
      </c>
      <c r="B29282" t="s">
        <v>34093</v>
      </c>
      <c r="C29282">
        <f>0</f>
        <v>0</v>
      </c>
      <c r="D29282">
        <v>0.56311062725299998</v>
      </c>
      <c r="E29282">
        <v>3.68215892053973</v>
      </c>
    </row>
    <row r="29283" spans="1:5">
      <c r="A29283" t="s">
        <v>34089</v>
      </c>
      <c r="B29283" t="s">
        <v>34094</v>
      </c>
      <c r="C29283">
        <v>0</v>
      </c>
      <c r="D29283">
        <v>0.56311062725299998</v>
      </c>
      <c r="E29283">
        <v>3.68215892053973</v>
      </c>
    </row>
    <row r="29284" spans="1:5">
      <c r="A29284" t="s">
        <v>34095</v>
      </c>
      <c r="B29284" t="s">
        <v>34096</v>
      </c>
      <c r="C29284">
        <v>0</v>
      </c>
      <c r="D29284">
        <v>0.69111411008099999</v>
      </c>
      <c r="E29284">
        <v>17.511244377811</v>
      </c>
    </row>
    <row r="29285" spans="1:5">
      <c r="A29285" t="s">
        <v>34095</v>
      </c>
      <c r="B29285" t="s">
        <v>34097</v>
      </c>
      <c r="C29285">
        <f>0</f>
        <v>0</v>
      </c>
      <c r="D29285">
        <v>0.69111411008099999</v>
      </c>
      <c r="E29285">
        <v>17.511244377811</v>
      </c>
    </row>
    <row r="29286" spans="1:5">
      <c r="A29286" t="s">
        <v>34095</v>
      </c>
      <c r="B29286" t="s">
        <v>34098</v>
      </c>
      <c r="C29286">
        <f>0</f>
        <v>0</v>
      </c>
      <c r="D29286">
        <v>0.69111411008099999</v>
      </c>
      <c r="E29286">
        <v>17.511244377811</v>
      </c>
    </row>
    <row r="29287" spans="1:5">
      <c r="A29287" t="s">
        <v>34095</v>
      </c>
      <c r="B29287" t="s">
        <v>34099</v>
      </c>
      <c r="C29287">
        <f>0</f>
        <v>0</v>
      </c>
      <c r="D29287">
        <v>0.69111411008099999</v>
      </c>
      <c r="E29287">
        <v>17.511244377811</v>
      </c>
    </row>
    <row r="29288" spans="1:5">
      <c r="A29288" t="s">
        <v>34095</v>
      </c>
      <c r="B29288" t="s">
        <v>34100</v>
      </c>
      <c r="C29288">
        <v>0</v>
      </c>
      <c r="D29288">
        <v>0.69111411008099999</v>
      </c>
      <c r="E29288">
        <v>17.511244377811</v>
      </c>
    </row>
    <row r="29289" spans="1:5">
      <c r="A29289" t="s">
        <v>34095</v>
      </c>
      <c r="B29289" t="s">
        <v>34101</v>
      </c>
      <c r="C29289">
        <f>0</f>
        <v>0</v>
      </c>
      <c r="D29289">
        <v>0.69111411008099999</v>
      </c>
      <c r="E29289">
        <v>17.511244377811</v>
      </c>
    </row>
    <row r="29290" spans="1:5">
      <c r="A29290" t="s">
        <v>34102</v>
      </c>
      <c r="B29290" t="s">
        <v>34103</v>
      </c>
      <c r="C29290">
        <v>0.34113644749299998</v>
      </c>
      <c r="D29290">
        <v>0.98387033112800004</v>
      </c>
      <c r="E29290">
        <v>0.86356821589205401</v>
      </c>
    </row>
    <row r="29291" spans="1:5">
      <c r="A29291" t="s">
        <v>34102</v>
      </c>
      <c r="B29291" t="s">
        <v>34104</v>
      </c>
      <c r="C29291">
        <v>7.04719307323E-2</v>
      </c>
      <c r="D29291">
        <v>0.98387033112800004</v>
      </c>
      <c r="E29291">
        <v>0.86356821589205401</v>
      </c>
    </row>
    <row r="29292" spans="1:5">
      <c r="A29292" t="s">
        <v>34102</v>
      </c>
      <c r="B29292" t="s">
        <v>34105</v>
      </c>
      <c r="C29292">
        <f>0</f>
        <v>0</v>
      </c>
      <c r="D29292">
        <v>0.98387033112800004</v>
      </c>
      <c r="E29292">
        <v>0.86356821589205401</v>
      </c>
    </row>
    <row r="29293" spans="1:5">
      <c r="A29293" t="s">
        <v>34106</v>
      </c>
      <c r="B29293" t="s">
        <v>34107</v>
      </c>
      <c r="C29293">
        <v>0.90234627692299996</v>
      </c>
      <c r="D29293">
        <v>0.99647353605099998</v>
      </c>
      <c r="E29293">
        <v>1.39130434782608</v>
      </c>
    </row>
    <row r="29294" spans="1:5">
      <c r="A29294" t="s">
        <v>34106</v>
      </c>
      <c r="B29294" t="s">
        <v>34108</v>
      </c>
      <c r="C29294">
        <v>4.3760000735799998E-2</v>
      </c>
      <c r="D29294">
        <v>0.99647353605099998</v>
      </c>
      <c r="E29294">
        <v>1.39130434782608</v>
      </c>
    </row>
    <row r="29295" spans="1:5">
      <c r="A29295" t="s">
        <v>34109</v>
      </c>
      <c r="B29295" t="s">
        <v>34110</v>
      </c>
      <c r="C29295">
        <v>0</v>
      </c>
      <c r="D29295" t="s">
        <v>106</v>
      </c>
      <c r="E29295">
        <v>12.9175412293853</v>
      </c>
    </row>
    <row r="29296" spans="1:5">
      <c r="A29296" t="s">
        <v>34109</v>
      </c>
      <c r="B29296" t="s">
        <v>34111</v>
      </c>
      <c r="C29296">
        <v>0</v>
      </c>
      <c r="D29296" t="s">
        <v>106</v>
      </c>
      <c r="E29296">
        <v>12.9175412293853</v>
      </c>
    </row>
    <row r="29297" spans="1:5">
      <c r="A29297" t="s">
        <v>34109</v>
      </c>
      <c r="B29297" t="s">
        <v>34112</v>
      </c>
      <c r="C29297">
        <f>0</f>
        <v>0</v>
      </c>
      <c r="D29297" t="s">
        <v>106</v>
      </c>
      <c r="E29297">
        <v>12.9175412293853</v>
      </c>
    </row>
    <row r="29298" spans="1:5">
      <c r="A29298" t="s">
        <v>34109</v>
      </c>
      <c r="B29298" t="s">
        <v>34113</v>
      </c>
      <c r="C29298">
        <v>0</v>
      </c>
      <c r="D29298" t="s">
        <v>106</v>
      </c>
      <c r="E29298">
        <v>12.9175412293853</v>
      </c>
    </row>
    <row r="29299" spans="1:5">
      <c r="A29299" t="s">
        <v>34109</v>
      </c>
      <c r="B29299" t="s">
        <v>34114</v>
      </c>
      <c r="C29299">
        <f>0</f>
        <v>0</v>
      </c>
      <c r="D29299" t="s">
        <v>106</v>
      </c>
      <c r="E29299">
        <v>12.9175412293853</v>
      </c>
    </row>
    <row r="29300" spans="1:5">
      <c r="A29300" t="s">
        <v>34115</v>
      </c>
      <c r="B29300" t="s">
        <v>34116</v>
      </c>
      <c r="C29300">
        <v>0.152004528247</v>
      </c>
      <c r="D29300">
        <v>0.99771233354</v>
      </c>
      <c r="E29300">
        <v>1.89505247376311</v>
      </c>
    </row>
    <row r="29301" spans="1:5">
      <c r="A29301" t="s">
        <v>34115</v>
      </c>
      <c r="B29301" t="s">
        <v>34117</v>
      </c>
      <c r="C29301">
        <v>0</v>
      </c>
      <c r="D29301">
        <v>0.99771233354</v>
      </c>
      <c r="E29301">
        <v>1.89505247376311</v>
      </c>
    </row>
    <row r="29302" spans="1:5">
      <c r="A29302" t="s">
        <v>34115</v>
      </c>
      <c r="B29302" t="s">
        <v>34118</v>
      </c>
      <c r="C29302">
        <v>0</v>
      </c>
      <c r="D29302">
        <v>0.99771233354</v>
      </c>
      <c r="E29302">
        <v>1.89505247376311</v>
      </c>
    </row>
    <row r="29303" spans="1:5">
      <c r="A29303" t="s">
        <v>34115</v>
      </c>
      <c r="B29303" t="s">
        <v>34119</v>
      </c>
      <c r="C29303">
        <v>0</v>
      </c>
      <c r="D29303">
        <v>0.99771233354</v>
      </c>
      <c r="E29303">
        <v>1.89505247376311</v>
      </c>
    </row>
    <row r="29304" spans="1:5">
      <c r="A29304" t="s">
        <v>34115</v>
      </c>
      <c r="B29304" t="s">
        <v>34120</v>
      </c>
      <c r="C29304">
        <v>0</v>
      </c>
      <c r="D29304">
        <v>0.99771233354</v>
      </c>
      <c r="E29304">
        <v>1.89505247376311</v>
      </c>
    </row>
    <row r="29305" spans="1:5">
      <c r="A29305" t="s">
        <v>34115</v>
      </c>
      <c r="B29305" t="s">
        <v>34121</v>
      </c>
      <c r="C29305">
        <v>0.17752317738500001</v>
      </c>
      <c r="D29305">
        <v>0.99771233354</v>
      </c>
      <c r="E29305">
        <v>1.89505247376311</v>
      </c>
    </row>
    <row r="29306" spans="1:5">
      <c r="A29306" t="s">
        <v>34115</v>
      </c>
      <c r="B29306" t="s">
        <v>34122</v>
      </c>
      <c r="C29306">
        <f>0</f>
        <v>0</v>
      </c>
      <c r="D29306">
        <v>0.99771233354</v>
      </c>
      <c r="E29306">
        <v>1.89505247376311</v>
      </c>
    </row>
    <row r="29307" spans="1:5">
      <c r="A29307" t="s">
        <v>34115</v>
      </c>
      <c r="B29307" t="s">
        <v>34123</v>
      </c>
      <c r="C29307">
        <f>0</f>
        <v>0</v>
      </c>
      <c r="D29307">
        <v>0.99771233354</v>
      </c>
      <c r="E29307">
        <v>1.89505247376311</v>
      </c>
    </row>
    <row r="29308" spans="1:5">
      <c r="A29308" t="s">
        <v>34115</v>
      </c>
      <c r="B29308" t="s">
        <v>34124</v>
      </c>
      <c r="C29308">
        <v>0</v>
      </c>
      <c r="D29308">
        <v>0.99771233354</v>
      </c>
      <c r="E29308">
        <v>1.89505247376311</v>
      </c>
    </row>
    <row r="29309" spans="1:5">
      <c r="A29309" t="s">
        <v>34115</v>
      </c>
      <c r="B29309" t="s">
        <v>34125</v>
      </c>
      <c r="C29309">
        <v>0</v>
      </c>
      <c r="D29309">
        <v>0.99771233354</v>
      </c>
      <c r="E29309">
        <v>1.89505247376311</v>
      </c>
    </row>
    <row r="29310" spans="1:5">
      <c r="A29310" t="s">
        <v>34115</v>
      </c>
      <c r="B29310" t="s">
        <v>34126</v>
      </c>
      <c r="C29310">
        <v>0</v>
      </c>
      <c r="D29310">
        <v>0.99771233354</v>
      </c>
      <c r="E29310">
        <v>1.89505247376311</v>
      </c>
    </row>
    <row r="29311" spans="1:5">
      <c r="A29311" t="s">
        <v>34115</v>
      </c>
      <c r="B29311" t="s">
        <v>34127</v>
      </c>
      <c r="C29311">
        <v>0</v>
      </c>
      <c r="D29311">
        <v>0.99771233354</v>
      </c>
      <c r="E29311">
        <v>1.89505247376311</v>
      </c>
    </row>
    <row r="29312" spans="1:5">
      <c r="A29312" t="s">
        <v>34115</v>
      </c>
      <c r="B29312" t="s">
        <v>34128</v>
      </c>
      <c r="C29312">
        <v>0</v>
      </c>
      <c r="D29312">
        <v>0.99771233354</v>
      </c>
      <c r="E29312">
        <v>1.89505247376311</v>
      </c>
    </row>
    <row r="29313" spans="1:5">
      <c r="A29313" t="s">
        <v>34115</v>
      </c>
      <c r="B29313" t="s">
        <v>34129</v>
      </c>
      <c r="C29313">
        <f>0</f>
        <v>0</v>
      </c>
      <c r="D29313">
        <v>0.99771233354</v>
      </c>
      <c r="E29313">
        <v>1.89505247376311</v>
      </c>
    </row>
    <row r="29314" spans="1:5">
      <c r="A29314" t="s">
        <v>34130</v>
      </c>
      <c r="B29314" t="s">
        <v>34131</v>
      </c>
      <c r="C29314">
        <f>0</f>
        <v>0</v>
      </c>
      <c r="D29314" t="s">
        <v>106</v>
      </c>
      <c r="E29314">
        <v>13.0854572713643</v>
      </c>
    </row>
    <row r="29315" spans="1:5">
      <c r="A29315" t="s">
        <v>34130</v>
      </c>
      <c r="B29315" t="s">
        <v>34132</v>
      </c>
      <c r="C29315">
        <f>0</f>
        <v>0</v>
      </c>
      <c r="D29315" t="s">
        <v>106</v>
      </c>
      <c r="E29315">
        <v>13.0854572713643</v>
      </c>
    </row>
    <row r="29316" spans="1:5">
      <c r="A29316" t="s">
        <v>34130</v>
      </c>
      <c r="B29316" t="s">
        <v>34133</v>
      </c>
      <c r="C29316">
        <v>0</v>
      </c>
      <c r="D29316" t="s">
        <v>106</v>
      </c>
      <c r="E29316">
        <v>13.0854572713643</v>
      </c>
    </row>
    <row r="29317" spans="1:5">
      <c r="A29317" t="s">
        <v>34130</v>
      </c>
      <c r="B29317" t="s">
        <v>34134</v>
      </c>
      <c r="C29317">
        <v>0</v>
      </c>
      <c r="D29317" t="s">
        <v>106</v>
      </c>
      <c r="E29317">
        <v>13.0854572713643</v>
      </c>
    </row>
    <row r="29318" spans="1:5">
      <c r="A29318" t="s">
        <v>34135</v>
      </c>
      <c r="B29318" t="s">
        <v>34136</v>
      </c>
      <c r="C29318">
        <v>0.187385896015</v>
      </c>
      <c r="D29318">
        <v>0.73193497334699997</v>
      </c>
      <c r="E29318">
        <v>2.96251874062968</v>
      </c>
    </row>
    <row r="29319" spans="1:5">
      <c r="A29319" t="s">
        <v>34137</v>
      </c>
      <c r="B29319" t="s">
        <v>34138</v>
      </c>
      <c r="C29319">
        <f>0</f>
        <v>0</v>
      </c>
      <c r="D29319" t="s">
        <v>106</v>
      </c>
      <c r="E29319">
        <v>9.4632683658170897</v>
      </c>
    </row>
    <row r="29320" spans="1:5">
      <c r="A29320" t="s">
        <v>34139</v>
      </c>
      <c r="B29320" t="s">
        <v>34140</v>
      </c>
      <c r="C29320">
        <v>0</v>
      </c>
      <c r="D29320" t="s">
        <v>106</v>
      </c>
      <c r="E29320">
        <v>23.508245877061398</v>
      </c>
    </row>
    <row r="29321" spans="1:5">
      <c r="A29321" t="s">
        <v>34139</v>
      </c>
      <c r="B29321" t="s">
        <v>34141</v>
      </c>
      <c r="C29321">
        <f>0</f>
        <v>0</v>
      </c>
      <c r="D29321" t="s">
        <v>106</v>
      </c>
      <c r="E29321">
        <v>23.508245877061398</v>
      </c>
    </row>
    <row r="29322" spans="1:5">
      <c r="A29322" t="s">
        <v>34139</v>
      </c>
      <c r="B29322" t="s">
        <v>34142</v>
      </c>
      <c r="C29322">
        <v>0</v>
      </c>
      <c r="D29322" t="s">
        <v>106</v>
      </c>
      <c r="E29322">
        <v>23.508245877061398</v>
      </c>
    </row>
    <row r="29323" spans="1:5">
      <c r="A29323" t="s">
        <v>34139</v>
      </c>
      <c r="B29323" t="s">
        <v>34143</v>
      </c>
      <c r="C29323">
        <v>6.7441658944099994E-2</v>
      </c>
      <c r="D29323" t="s">
        <v>106</v>
      </c>
      <c r="E29323">
        <v>23.508245877061398</v>
      </c>
    </row>
    <row r="29324" spans="1:5">
      <c r="A29324" t="s">
        <v>34139</v>
      </c>
      <c r="B29324" t="s">
        <v>34144</v>
      </c>
      <c r="C29324">
        <f>0</f>
        <v>0</v>
      </c>
      <c r="D29324" t="s">
        <v>106</v>
      </c>
      <c r="E29324">
        <v>23.508245877061398</v>
      </c>
    </row>
    <row r="29325" spans="1:5">
      <c r="A29325" t="s">
        <v>34145</v>
      </c>
      <c r="B29325" t="s">
        <v>34146</v>
      </c>
      <c r="C29325">
        <v>0</v>
      </c>
      <c r="D29325" t="s">
        <v>106</v>
      </c>
      <c r="E29325">
        <v>18.770614692653599</v>
      </c>
    </row>
    <row r="29326" spans="1:5">
      <c r="A29326" t="s">
        <v>34145</v>
      </c>
      <c r="B29326" t="s">
        <v>34147</v>
      </c>
      <c r="C29326">
        <v>0.15415466481000001</v>
      </c>
      <c r="D29326" t="s">
        <v>106</v>
      </c>
      <c r="E29326">
        <v>18.770614692653599</v>
      </c>
    </row>
    <row r="29327" spans="1:5">
      <c r="A29327" t="s">
        <v>34145</v>
      </c>
      <c r="B29327" t="s">
        <v>34148</v>
      </c>
      <c r="C29327">
        <v>0</v>
      </c>
      <c r="D29327" t="s">
        <v>106</v>
      </c>
      <c r="E29327">
        <v>18.770614692653599</v>
      </c>
    </row>
    <row r="29328" spans="1:5">
      <c r="A29328" t="s">
        <v>34145</v>
      </c>
      <c r="B29328" t="s">
        <v>34149</v>
      </c>
      <c r="C29328">
        <v>0</v>
      </c>
      <c r="D29328" t="s">
        <v>106</v>
      </c>
      <c r="E29328">
        <v>18.770614692653599</v>
      </c>
    </row>
    <row r="29329" spans="1:5">
      <c r="A29329" t="s">
        <v>34145</v>
      </c>
      <c r="B29329" t="s">
        <v>34150</v>
      </c>
      <c r="C29329">
        <v>0</v>
      </c>
      <c r="D29329" t="s">
        <v>106</v>
      </c>
      <c r="E29329">
        <v>18.770614692653599</v>
      </c>
    </row>
    <row r="29330" spans="1:5">
      <c r="A29330" t="s">
        <v>34145</v>
      </c>
      <c r="B29330" t="s">
        <v>34151</v>
      </c>
      <c r="C29330">
        <v>9.6989068164400005E-2</v>
      </c>
      <c r="D29330" t="s">
        <v>106</v>
      </c>
      <c r="E29330">
        <v>18.770614692653599</v>
      </c>
    </row>
    <row r="29331" spans="1:5">
      <c r="A29331" t="s">
        <v>34145</v>
      </c>
      <c r="B29331" t="s">
        <v>34152</v>
      </c>
      <c r="C29331">
        <f>0</f>
        <v>0</v>
      </c>
      <c r="D29331" t="s">
        <v>106</v>
      </c>
      <c r="E29331">
        <v>18.770614692653599</v>
      </c>
    </row>
    <row r="29332" spans="1:5">
      <c r="A29332" t="s">
        <v>34145</v>
      </c>
      <c r="B29332" t="s">
        <v>34153</v>
      </c>
      <c r="C29332">
        <v>0</v>
      </c>
      <c r="D29332" t="s">
        <v>106</v>
      </c>
      <c r="E29332">
        <v>18.770614692653599</v>
      </c>
    </row>
    <row r="29333" spans="1:5">
      <c r="A29333" t="s">
        <v>34145</v>
      </c>
      <c r="B29333" t="s">
        <v>34154</v>
      </c>
      <c r="C29333">
        <v>0</v>
      </c>
      <c r="D29333" t="s">
        <v>106</v>
      </c>
      <c r="E29333">
        <v>18.770614692653599</v>
      </c>
    </row>
    <row r="29334" spans="1:5">
      <c r="A29334" t="s">
        <v>34145</v>
      </c>
      <c r="B29334" t="s">
        <v>34155</v>
      </c>
      <c r="C29334">
        <v>0</v>
      </c>
      <c r="D29334" t="s">
        <v>106</v>
      </c>
      <c r="E29334">
        <v>18.770614692653599</v>
      </c>
    </row>
    <row r="29335" spans="1:5">
      <c r="A29335" t="s">
        <v>34145</v>
      </c>
      <c r="B29335" t="s">
        <v>34156</v>
      </c>
      <c r="C29335">
        <v>0</v>
      </c>
      <c r="D29335" t="s">
        <v>106</v>
      </c>
      <c r="E29335">
        <v>18.770614692653599</v>
      </c>
    </row>
    <row r="29336" spans="1:5">
      <c r="A29336" t="s">
        <v>34145</v>
      </c>
      <c r="B29336" t="s">
        <v>34157</v>
      </c>
      <c r="C29336">
        <v>0</v>
      </c>
      <c r="D29336" t="s">
        <v>106</v>
      </c>
      <c r="E29336">
        <v>18.770614692653599</v>
      </c>
    </row>
    <row r="29337" spans="1:5">
      <c r="A29337" t="s">
        <v>34145</v>
      </c>
      <c r="B29337" t="s">
        <v>34158</v>
      </c>
      <c r="C29337">
        <v>0</v>
      </c>
      <c r="D29337" t="s">
        <v>106</v>
      </c>
      <c r="E29337">
        <v>18.770614692653599</v>
      </c>
    </row>
    <row r="29338" spans="1:5">
      <c r="A29338" t="s">
        <v>34145</v>
      </c>
      <c r="B29338" t="s">
        <v>34159</v>
      </c>
      <c r="C29338">
        <v>0</v>
      </c>
      <c r="D29338" t="s">
        <v>106</v>
      </c>
      <c r="E29338">
        <v>18.770614692653599</v>
      </c>
    </row>
    <row r="29339" spans="1:5">
      <c r="A29339" t="s">
        <v>34160</v>
      </c>
      <c r="B29339" t="s">
        <v>34161</v>
      </c>
      <c r="C29339">
        <v>0.47641237406199999</v>
      </c>
      <c r="D29339">
        <v>0.86315737747300003</v>
      </c>
      <c r="E29339">
        <v>6.5487256371814002</v>
      </c>
    </row>
    <row r="29340" spans="1:5">
      <c r="A29340" t="s">
        <v>34160</v>
      </c>
      <c r="B29340" t="s">
        <v>34162</v>
      </c>
      <c r="C29340">
        <v>1.02083532008E-2</v>
      </c>
      <c r="D29340">
        <v>0.86315737747300003</v>
      </c>
      <c r="E29340">
        <v>6.5487256371814002</v>
      </c>
    </row>
    <row r="29341" spans="1:5">
      <c r="A29341" t="s">
        <v>34160</v>
      </c>
      <c r="B29341" t="s">
        <v>34163</v>
      </c>
      <c r="C29341">
        <f>0</f>
        <v>0</v>
      </c>
      <c r="D29341">
        <v>0.86315737747300003</v>
      </c>
      <c r="E29341">
        <v>6.5487256371814002</v>
      </c>
    </row>
    <row r="29342" spans="1:5">
      <c r="A29342" t="s">
        <v>34164</v>
      </c>
      <c r="B29342" t="s">
        <v>34165</v>
      </c>
      <c r="C29342">
        <v>0</v>
      </c>
      <c r="D29342" t="s">
        <v>106</v>
      </c>
      <c r="E29342">
        <v>5.8170914542728598</v>
      </c>
    </row>
    <row r="29343" spans="1:5">
      <c r="A29343" t="s">
        <v>34164</v>
      </c>
      <c r="B29343" t="s">
        <v>34166</v>
      </c>
      <c r="C29343">
        <f>0</f>
        <v>0</v>
      </c>
      <c r="D29343" t="s">
        <v>106</v>
      </c>
      <c r="E29343">
        <v>5.8170914542728598</v>
      </c>
    </row>
    <row r="29344" spans="1:5">
      <c r="A29344" t="s">
        <v>34164</v>
      </c>
      <c r="B29344" t="s">
        <v>34167</v>
      </c>
      <c r="C29344">
        <v>0</v>
      </c>
      <c r="D29344" t="s">
        <v>106</v>
      </c>
      <c r="E29344">
        <v>5.8170914542728598</v>
      </c>
    </row>
    <row r="29345" spans="1:5">
      <c r="A29345" t="s">
        <v>34164</v>
      </c>
      <c r="B29345" t="s">
        <v>34168</v>
      </c>
      <c r="C29345">
        <v>0</v>
      </c>
      <c r="D29345" t="s">
        <v>106</v>
      </c>
      <c r="E29345">
        <v>5.8170914542728598</v>
      </c>
    </row>
    <row r="29346" spans="1:5">
      <c r="A29346" t="s">
        <v>34164</v>
      </c>
      <c r="B29346" t="s">
        <v>34169</v>
      </c>
      <c r="C29346">
        <f>0</f>
        <v>0</v>
      </c>
      <c r="D29346" t="s">
        <v>106</v>
      </c>
      <c r="E29346">
        <v>5.8170914542728598</v>
      </c>
    </row>
    <row r="29347" spans="1:5">
      <c r="A29347" t="s">
        <v>34164</v>
      </c>
      <c r="B29347" t="s">
        <v>34170</v>
      </c>
      <c r="C29347">
        <f>0</f>
        <v>0</v>
      </c>
      <c r="D29347" t="s">
        <v>106</v>
      </c>
      <c r="E29347">
        <v>5.8170914542728598</v>
      </c>
    </row>
    <row r="29348" spans="1:5">
      <c r="A29348" t="s">
        <v>34164</v>
      </c>
      <c r="B29348" t="s">
        <v>34171</v>
      </c>
      <c r="C29348">
        <v>0</v>
      </c>
      <c r="D29348" t="s">
        <v>106</v>
      </c>
      <c r="E29348">
        <v>5.8170914542728598</v>
      </c>
    </row>
    <row r="29349" spans="1:5">
      <c r="A29349" t="s">
        <v>34172</v>
      </c>
      <c r="B29349" t="s">
        <v>34173</v>
      </c>
      <c r="C29349">
        <f>0</f>
        <v>0</v>
      </c>
      <c r="D29349">
        <v>0.96544832400699998</v>
      </c>
      <c r="E29349">
        <v>23.508245877061398</v>
      </c>
    </row>
    <row r="29350" spans="1:5">
      <c r="A29350" t="s">
        <v>34172</v>
      </c>
      <c r="B29350" t="s">
        <v>34174</v>
      </c>
      <c r="C29350">
        <f>0</f>
        <v>0</v>
      </c>
      <c r="D29350">
        <v>0.96544832400699998</v>
      </c>
      <c r="E29350">
        <v>23.508245877061398</v>
      </c>
    </row>
    <row r="29351" spans="1:5">
      <c r="A29351" t="s">
        <v>34172</v>
      </c>
      <c r="B29351" t="s">
        <v>34175</v>
      </c>
      <c r="C29351">
        <f>0</f>
        <v>0</v>
      </c>
      <c r="D29351">
        <v>0.96544832400699998</v>
      </c>
      <c r="E29351">
        <v>23.508245877061398</v>
      </c>
    </row>
    <row r="29352" spans="1:5">
      <c r="A29352" t="s">
        <v>34172</v>
      </c>
      <c r="B29352" t="s">
        <v>34176</v>
      </c>
      <c r="C29352">
        <v>0</v>
      </c>
      <c r="D29352">
        <v>0.96544832400699998</v>
      </c>
      <c r="E29352">
        <v>23.508245877061398</v>
      </c>
    </row>
    <row r="29353" spans="1:5">
      <c r="A29353" t="s">
        <v>34172</v>
      </c>
      <c r="B29353" t="s">
        <v>34177</v>
      </c>
      <c r="C29353">
        <v>0</v>
      </c>
      <c r="D29353">
        <v>0.96544832400699998</v>
      </c>
      <c r="E29353">
        <v>23.508245877061398</v>
      </c>
    </row>
    <row r="29354" spans="1:5">
      <c r="A29354" t="s">
        <v>34172</v>
      </c>
      <c r="B29354" t="s">
        <v>34178</v>
      </c>
      <c r="C29354">
        <f>0</f>
        <v>0</v>
      </c>
      <c r="D29354">
        <v>0.96544832400699998</v>
      </c>
      <c r="E29354">
        <v>23.508245877061398</v>
      </c>
    </row>
    <row r="29355" spans="1:5">
      <c r="A29355" t="s">
        <v>34172</v>
      </c>
      <c r="B29355" t="s">
        <v>34179</v>
      </c>
      <c r="C29355">
        <f>0</f>
        <v>0</v>
      </c>
      <c r="D29355">
        <v>0.96544832400699998</v>
      </c>
      <c r="E29355">
        <v>23.508245877061398</v>
      </c>
    </row>
    <row r="29356" spans="1:5">
      <c r="A29356" t="s">
        <v>34172</v>
      </c>
      <c r="B29356" t="s">
        <v>34180</v>
      </c>
      <c r="C29356">
        <v>0</v>
      </c>
      <c r="D29356">
        <v>0.96544832400699998</v>
      </c>
      <c r="E29356">
        <v>23.508245877061398</v>
      </c>
    </row>
    <row r="29357" spans="1:5">
      <c r="A29357" t="s">
        <v>34172</v>
      </c>
      <c r="B29357" t="s">
        <v>34181</v>
      </c>
      <c r="C29357">
        <f>0</f>
        <v>0</v>
      </c>
      <c r="D29357">
        <v>0.96544832400699998</v>
      </c>
      <c r="E29357">
        <v>23.508245877061398</v>
      </c>
    </row>
    <row r="29358" spans="1:5">
      <c r="A29358" t="s">
        <v>34172</v>
      </c>
      <c r="B29358" t="s">
        <v>34182</v>
      </c>
      <c r="C29358">
        <v>0</v>
      </c>
      <c r="D29358">
        <v>0.96544832400699998</v>
      </c>
      <c r="E29358">
        <v>23.508245877061398</v>
      </c>
    </row>
    <row r="29359" spans="1:5">
      <c r="A29359" t="s">
        <v>34183</v>
      </c>
      <c r="B29359" t="s">
        <v>34184</v>
      </c>
      <c r="C29359">
        <v>0</v>
      </c>
      <c r="D29359">
        <v>0.973473066118</v>
      </c>
      <c r="E29359">
        <v>13.0854572713643</v>
      </c>
    </row>
    <row r="29360" spans="1:5">
      <c r="A29360" t="s">
        <v>34183</v>
      </c>
      <c r="B29360" t="s">
        <v>34185</v>
      </c>
      <c r="C29360">
        <v>0.63462202711399995</v>
      </c>
      <c r="D29360">
        <v>0.973473066118</v>
      </c>
      <c r="E29360">
        <v>13.0854572713643</v>
      </c>
    </row>
    <row r="29361" spans="1:5">
      <c r="A29361" t="s">
        <v>34183</v>
      </c>
      <c r="B29361" t="s">
        <v>34186</v>
      </c>
      <c r="C29361">
        <f>0.376328678791</f>
        <v>0.37632867879100002</v>
      </c>
      <c r="D29361">
        <v>0.973473066118</v>
      </c>
      <c r="E29361">
        <v>13.0854572713643</v>
      </c>
    </row>
    <row r="29362" spans="1:5">
      <c r="A29362" t="s">
        <v>34187</v>
      </c>
      <c r="B29362" t="s">
        <v>34188</v>
      </c>
      <c r="C29362">
        <v>0</v>
      </c>
      <c r="D29362">
        <v>0.94968920619099995</v>
      </c>
      <c r="E29362">
        <v>9.0194902548725597</v>
      </c>
    </row>
    <row r="29363" spans="1:5">
      <c r="A29363" t="s">
        <v>34187</v>
      </c>
      <c r="B29363" t="s">
        <v>34189</v>
      </c>
      <c r="C29363">
        <f>0</f>
        <v>0</v>
      </c>
      <c r="D29363">
        <v>0.94968920619099995</v>
      </c>
      <c r="E29363">
        <v>9.0194902548725597</v>
      </c>
    </row>
    <row r="29364" spans="1:5">
      <c r="A29364" t="s">
        <v>34187</v>
      </c>
      <c r="B29364" t="s">
        <v>34190</v>
      </c>
      <c r="C29364">
        <v>0.134016759259</v>
      </c>
      <c r="D29364">
        <v>0.94968920619099995</v>
      </c>
      <c r="E29364">
        <v>9.0194902548725597</v>
      </c>
    </row>
    <row r="29365" spans="1:5">
      <c r="A29365" t="s">
        <v>34187</v>
      </c>
      <c r="B29365" t="s">
        <v>34191</v>
      </c>
      <c r="C29365">
        <f>0.0341290808358</f>
        <v>3.4129080835799998E-2</v>
      </c>
      <c r="D29365">
        <v>0.94968920619099995</v>
      </c>
      <c r="E29365">
        <v>9.0194902548725597</v>
      </c>
    </row>
    <row r="29366" spans="1:5">
      <c r="A29366" t="s">
        <v>34192</v>
      </c>
      <c r="B29366" t="s">
        <v>34193</v>
      </c>
      <c r="C29366">
        <v>0.13976268014599999</v>
      </c>
      <c r="D29366" t="s">
        <v>106</v>
      </c>
      <c r="E29366">
        <v>3.3103448275862002</v>
      </c>
    </row>
    <row r="29367" spans="1:5">
      <c r="A29367" t="s">
        <v>34192</v>
      </c>
      <c r="B29367" t="s">
        <v>34194</v>
      </c>
      <c r="C29367">
        <f>0</f>
        <v>0</v>
      </c>
      <c r="D29367" t="s">
        <v>106</v>
      </c>
      <c r="E29367">
        <v>3.3103448275862002</v>
      </c>
    </row>
    <row r="29368" spans="1:5">
      <c r="A29368" t="s">
        <v>34192</v>
      </c>
      <c r="B29368" t="s">
        <v>34195</v>
      </c>
      <c r="C29368">
        <f>0</f>
        <v>0</v>
      </c>
      <c r="D29368" t="s">
        <v>106</v>
      </c>
      <c r="E29368">
        <v>3.3103448275862002</v>
      </c>
    </row>
    <row r="29369" spans="1:5">
      <c r="A29369" t="s">
        <v>34192</v>
      </c>
      <c r="B29369" t="s">
        <v>34196</v>
      </c>
      <c r="C29369">
        <f>0</f>
        <v>0</v>
      </c>
      <c r="D29369" t="s">
        <v>106</v>
      </c>
      <c r="E29369">
        <v>3.3103448275862002</v>
      </c>
    </row>
    <row r="29370" spans="1:5">
      <c r="A29370" t="s">
        <v>34197</v>
      </c>
      <c r="B29370" t="s">
        <v>34198</v>
      </c>
      <c r="C29370">
        <f>0</f>
        <v>0</v>
      </c>
      <c r="D29370">
        <v>0.91253332201600001</v>
      </c>
      <c r="E29370">
        <v>24</v>
      </c>
    </row>
    <row r="29371" spans="1:5">
      <c r="A29371" t="s">
        <v>34197</v>
      </c>
      <c r="B29371" t="s">
        <v>34199</v>
      </c>
      <c r="C29371">
        <v>0</v>
      </c>
      <c r="D29371">
        <v>0.91253332201600001</v>
      </c>
      <c r="E29371">
        <v>24</v>
      </c>
    </row>
    <row r="29372" spans="1:5">
      <c r="A29372" t="s">
        <v>34197</v>
      </c>
      <c r="B29372" t="s">
        <v>34200</v>
      </c>
      <c r="C29372">
        <f>0</f>
        <v>0</v>
      </c>
      <c r="D29372">
        <v>0.91253332201600001</v>
      </c>
      <c r="E29372">
        <v>24</v>
      </c>
    </row>
    <row r="29373" spans="1:5">
      <c r="A29373" t="s">
        <v>34197</v>
      </c>
      <c r="B29373" t="s">
        <v>34201</v>
      </c>
      <c r="C29373">
        <v>1.9275527089399998E-2</v>
      </c>
      <c r="D29373">
        <v>0.91253332201600001</v>
      </c>
      <c r="E29373">
        <v>24</v>
      </c>
    </row>
    <row r="29374" spans="1:5">
      <c r="A29374" t="s">
        <v>34197</v>
      </c>
      <c r="B29374" t="s">
        <v>34202</v>
      </c>
      <c r="C29374">
        <v>0.155170584946</v>
      </c>
      <c r="D29374">
        <v>0.91253332201600001</v>
      </c>
      <c r="E29374">
        <v>24</v>
      </c>
    </row>
    <row r="29375" spans="1:5">
      <c r="A29375" t="s">
        <v>34197</v>
      </c>
      <c r="B29375" t="s">
        <v>34203</v>
      </c>
      <c r="C29375">
        <f>0</f>
        <v>0</v>
      </c>
      <c r="D29375">
        <v>0.91253332201600001</v>
      </c>
      <c r="E29375">
        <v>24</v>
      </c>
    </row>
    <row r="29376" spans="1:5">
      <c r="A29376" t="s">
        <v>34197</v>
      </c>
      <c r="B29376" t="s">
        <v>34204</v>
      </c>
      <c r="C29376">
        <f>0</f>
        <v>0</v>
      </c>
      <c r="D29376">
        <v>0.91253332201600001</v>
      </c>
      <c r="E29376">
        <v>24</v>
      </c>
    </row>
    <row r="29377" spans="1:5">
      <c r="A29377" t="s">
        <v>34197</v>
      </c>
      <c r="B29377" t="s">
        <v>34205</v>
      </c>
      <c r="C29377">
        <f>0</f>
        <v>0</v>
      </c>
      <c r="D29377">
        <v>0.91253332201600001</v>
      </c>
      <c r="E29377">
        <v>24</v>
      </c>
    </row>
    <row r="29378" spans="1:5">
      <c r="A29378" t="s">
        <v>34206</v>
      </c>
      <c r="B29378" t="s">
        <v>34207</v>
      </c>
      <c r="C29378">
        <v>0.31434787551100002</v>
      </c>
      <c r="D29378">
        <v>0.90308354532000001</v>
      </c>
      <c r="E29378">
        <v>10.230884557721099</v>
      </c>
    </row>
    <row r="29379" spans="1:5">
      <c r="A29379" t="s">
        <v>34206</v>
      </c>
      <c r="B29379" t="s">
        <v>34208</v>
      </c>
      <c r="C29379">
        <f>0</f>
        <v>0</v>
      </c>
      <c r="D29379">
        <v>0.90308354532000001</v>
      </c>
      <c r="E29379">
        <v>10.230884557721099</v>
      </c>
    </row>
    <row r="29380" spans="1:5">
      <c r="A29380" t="s">
        <v>34209</v>
      </c>
      <c r="B29380" t="s">
        <v>34210</v>
      </c>
      <c r="C29380">
        <f>0</f>
        <v>0</v>
      </c>
      <c r="D29380">
        <v>0.77275723970800003</v>
      </c>
      <c r="E29380">
        <v>0.107946026986506</v>
      </c>
    </row>
    <row r="29381" spans="1:5">
      <c r="A29381" t="s">
        <v>34209</v>
      </c>
      <c r="B29381" t="s">
        <v>34211</v>
      </c>
      <c r="C29381">
        <f>0.52773816264</f>
        <v>0.52773816263999995</v>
      </c>
      <c r="D29381">
        <v>0.77275723970800003</v>
      </c>
      <c r="E29381">
        <v>0.107946026986506</v>
      </c>
    </row>
    <row r="29382" spans="1:5">
      <c r="A29382" t="s">
        <v>34212</v>
      </c>
      <c r="B29382" t="s">
        <v>34213</v>
      </c>
      <c r="C29382">
        <f>0.345914055878</f>
        <v>0.345914055878</v>
      </c>
      <c r="D29382">
        <v>0.996402704019</v>
      </c>
      <c r="E29382">
        <v>4.68965517241379</v>
      </c>
    </row>
    <row r="29383" spans="1:5">
      <c r="A29383" t="s">
        <v>34212</v>
      </c>
      <c r="B29383" t="s">
        <v>34214</v>
      </c>
      <c r="C29383">
        <f>0</f>
        <v>0</v>
      </c>
      <c r="D29383">
        <v>0.996402704019</v>
      </c>
      <c r="E29383">
        <v>4.68965517241379</v>
      </c>
    </row>
    <row r="29384" spans="1:5">
      <c r="A29384" t="s">
        <v>34212</v>
      </c>
      <c r="B29384" t="s">
        <v>34215</v>
      </c>
      <c r="C29384">
        <v>0.61903487371800003</v>
      </c>
      <c r="D29384">
        <v>0.996402704019</v>
      </c>
      <c r="E29384">
        <v>4.68965517241379</v>
      </c>
    </row>
    <row r="29385" spans="1:5">
      <c r="A29385" t="s">
        <v>34216</v>
      </c>
      <c r="B29385" t="s">
        <v>34217</v>
      </c>
      <c r="C29385">
        <f>0.747741622467</f>
        <v>0.74774162246700004</v>
      </c>
      <c r="D29385">
        <v>0.88891877638399996</v>
      </c>
      <c r="E29385">
        <v>0</v>
      </c>
    </row>
    <row r="29386" spans="1:5">
      <c r="A29386" t="s">
        <v>34216</v>
      </c>
      <c r="B29386" t="s">
        <v>34218</v>
      </c>
      <c r="C29386">
        <v>0</v>
      </c>
      <c r="D29386">
        <v>0.88891877638399996</v>
      </c>
      <c r="E29386">
        <v>0</v>
      </c>
    </row>
    <row r="29387" spans="1:5">
      <c r="A29387" t="s">
        <v>34219</v>
      </c>
      <c r="B29387" t="s">
        <v>34220</v>
      </c>
      <c r="C29387">
        <f>0</f>
        <v>0</v>
      </c>
      <c r="D29387" t="s">
        <v>106</v>
      </c>
      <c r="E29387">
        <v>13.997001499250301</v>
      </c>
    </row>
    <row r="29388" spans="1:5">
      <c r="A29388" t="s">
        <v>34219</v>
      </c>
      <c r="B29388" t="s">
        <v>34221</v>
      </c>
      <c r="C29388">
        <f>0</f>
        <v>0</v>
      </c>
      <c r="D29388" t="s">
        <v>106</v>
      </c>
      <c r="E29388">
        <v>13.997001499250301</v>
      </c>
    </row>
    <row r="29389" spans="1:5">
      <c r="A29389" t="s">
        <v>34219</v>
      </c>
      <c r="B29389" t="s">
        <v>34222</v>
      </c>
      <c r="C29389">
        <v>0</v>
      </c>
      <c r="D29389" t="s">
        <v>106</v>
      </c>
      <c r="E29389">
        <v>13.997001499250301</v>
      </c>
    </row>
    <row r="29390" spans="1:5">
      <c r="A29390" t="s">
        <v>34223</v>
      </c>
      <c r="B29390" t="s">
        <v>34224</v>
      </c>
      <c r="C29390">
        <f>0</f>
        <v>0</v>
      </c>
      <c r="D29390" t="s">
        <v>106</v>
      </c>
      <c r="E29390">
        <v>5.8170914542728598</v>
      </c>
    </row>
    <row r="29391" spans="1:5">
      <c r="A29391" t="s">
        <v>34223</v>
      </c>
      <c r="B29391" t="s">
        <v>34225</v>
      </c>
      <c r="C29391">
        <v>0</v>
      </c>
      <c r="D29391" t="s">
        <v>106</v>
      </c>
      <c r="E29391">
        <v>5.8170914542728598</v>
      </c>
    </row>
    <row r="29392" spans="1:5">
      <c r="A29392" t="s">
        <v>34223</v>
      </c>
      <c r="B29392" t="s">
        <v>34226</v>
      </c>
      <c r="C29392">
        <f>0</f>
        <v>0</v>
      </c>
      <c r="D29392" t="s">
        <v>106</v>
      </c>
      <c r="E29392">
        <v>5.8170914542728598</v>
      </c>
    </row>
    <row r="29393" spans="1:5">
      <c r="A29393" t="s">
        <v>34227</v>
      </c>
      <c r="B29393" t="s">
        <v>34228</v>
      </c>
      <c r="C29393">
        <f>0</f>
        <v>0</v>
      </c>
      <c r="D29393" t="s">
        <v>106</v>
      </c>
      <c r="E29393">
        <v>1.00749625187406</v>
      </c>
    </row>
    <row r="29394" spans="1:5">
      <c r="A29394" t="s">
        <v>34227</v>
      </c>
      <c r="B29394" t="s">
        <v>34229</v>
      </c>
      <c r="C29394">
        <f>0</f>
        <v>0</v>
      </c>
      <c r="D29394" t="s">
        <v>106</v>
      </c>
      <c r="E29394">
        <v>1.00749625187406</v>
      </c>
    </row>
    <row r="29395" spans="1:5">
      <c r="A29395" t="s">
        <v>34227</v>
      </c>
      <c r="B29395" t="s">
        <v>34230</v>
      </c>
      <c r="C29395">
        <f>0</f>
        <v>0</v>
      </c>
      <c r="D29395" t="s">
        <v>106</v>
      </c>
      <c r="E29395">
        <v>1.00749625187406</v>
      </c>
    </row>
    <row r="29396" spans="1:5">
      <c r="A29396" t="s">
        <v>34227</v>
      </c>
      <c r="B29396" t="s">
        <v>34231</v>
      </c>
      <c r="C29396">
        <f>0</f>
        <v>0</v>
      </c>
      <c r="D29396" t="s">
        <v>106</v>
      </c>
      <c r="E29396">
        <v>1.00749625187406</v>
      </c>
    </row>
    <row r="29397" spans="1:5">
      <c r="A29397" t="s">
        <v>34227</v>
      </c>
      <c r="B29397" t="s">
        <v>34232</v>
      </c>
      <c r="C29397">
        <v>0</v>
      </c>
      <c r="D29397" t="s">
        <v>106</v>
      </c>
      <c r="E29397">
        <v>1.00749625187406</v>
      </c>
    </row>
    <row r="29398" spans="1:5">
      <c r="A29398" t="s">
        <v>34227</v>
      </c>
      <c r="B29398" t="s">
        <v>34233</v>
      </c>
      <c r="C29398">
        <f>0</f>
        <v>0</v>
      </c>
      <c r="D29398" t="s">
        <v>106</v>
      </c>
      <c r="E29398">
        <v>1.00749625187406</v>
      </c>
    </row>
    <row r="29399" spans="1:5">
      <c r="A29399" t="s">
        <v>34234</v>
      </c>
      <c r="B29399" t="s">
        <v>34235</v>
      </c>
      <c r="C29399">
        <f>0</f>
        <v>0</v>
      </c>
      <c r="D29399">
        <v>0.850052137835</v>
      </c>
      <c r="E29399">
        <v>24</v>
      </c>
    </row>
    <row r="29400" spans="1:5">
      <c r="A29400" t="s">
        <v>34234</v>
      </c>
      <c r="B29400" t="s">
        <v>34236</v>
      </c>
      <c r="C29400">
        <v>0.117478519818</v>
      </c>
      <c r="D29400">
        <v>0.850052137835</v>
      </c>
      <c r="E29400">
        <v>24</v>
      </c>
    </row>
    <row r="29401" spans="1:5">
      <c r="A29401" t="s">
        <v>34234</v>
      </c>
      <c r="B29401" t="s">
        <v>34237</v>
      </c>
      <c r="C29401">
        <f>0</f>
        <v>0</v>
      </c>
      <c r="D29401">
        <v>0.850052137835</v>
      </c>
      <c r="E29401">
        <v>24</v>
      </c>
    </row>
    <row r="29402" spans="1:5">
      <c r="A29402" t="s">
        <v>34234</v>
      </c>
      <c r="B29402" t="s">
        <v>34238</v>
      </c>
      <c r="C29402">
        <v>0</v>
      </c>
      <c r="D29402">
        <v>0.850052137835</v>
      </c>
      <c r="E29402">
        <v>24</v>
      </c>
    </row>
    <row r="29403" spans="1:5">
      <c r="A29403" t="s">
        <v>34234</v>
      </c>
      <c r="B29403" t="s">
        <v>34239</v>
      </c>
      <c r="C29403">
        <v>1.45263026606E-2</v>
      </c>
      <c r="D29403">
        <v>0.850052137835</v>
      </c>
      <c r="E29403">
        <v>24</v>
      </c>
    </row>
    <row r="29404" spans="1:5">
      <c r="A29404" t="s">
        <v>34240</v>
      </c>
      <c r="B29404" t="s">
        <v>34241</v>
      </c>
      <c r="C29404">
        <v>0.39638728069399998</v>
      </c>
      <c r="D29404">
        <v>0.99392052069199999</v>
      </c>
      <c r="E29404">
        <v>1.6311844077961</v>
      </c>
    </row>
    <row r="29405" spans="1:5">
      <c r="A29405" t="s">
        <v>34240</v>
      </c>
      <c r="B29405" t="s">
        <v>34242</v>
      </c>
      <c r="C29405">
        <v>0</v>
      </c>
      <c r="D29405">
        <v>0.99392052069199999</v>
      </c>
      <c r="E29405">
        <v>1.6311844077961</v>
      </c>
    </row>
    <row r="29406" spans="1:5">
      <c r="A29406" t="s">
        <v>34240</v>
      </c>
      <c r="B29406" t="s">
        <v>34243</v>
      </c>
      <c r="C29406">
        <f>0.0529827112176</f>
        <v>5.2982711217600002E-2</v>
      </c>
      <c r="D29406">
        <v>0.99392052069199999</v>
      </c>
      <c r="E29406">
        <v>1.6311844077961</v>
      </c>
    </row>
    <row r="29407" spans="1:5">
      <c r="A29407" t="s">
        <v>34244</v>
      </c>
      <c r="B29407" t="s">
        <v>34245</v>
      </c>
      <c r="C29407">
        <v>3.2873026853899999E-2</v>
      </c>
      <c r="D29407">
        <v>0.97094467584099997</v>
      </c>
      <c r="E29407">
        <v>16.299850074962499</v>
      </c>
    </row>
    <row r="29408" spans="1:5">
      <c r="A29408" t="s">
        <v>34244</v>
      </c>
      <c r="B29408" t="s">
        <v>34246</v>
      </c>
      <c r="C29408">
        <v>0</v>
      </c>
      <c r="D29408">
        <v>0.97094467584099997</v>
      </c>
      <c r="E29408">
        <v>16.299850074962499</v>
      </c>
    </row>
    <row r="29409" spans="1:5">
      <c r="A29409" t="s">
        <v>34244</v>
      </c>
      <c r="B29409" t="s">
        <v>34247</v>
      </c>
      <c r="C29409">
        <v>0</v>
      </c>
      <c r="D29409">
        <v>0.97094467584099997</v>
      </c>
      <c r="E29409">
        <v>16.299850074962499</v>
      </c>
    </row>
    <row r="29410" spans="1:5">
      <c r="A29410" t="s">
        <v>34244</v>
      </c>
      <c r="B29410" t="s">
        <v>34248</v>
      </c>
      <c r="C29410">
        <v>0</v>
      </c>
      <c r="D29410">
        <v>0.97094467584099997</v>
      </c>
      <c r="E29410">
        <v>16.299850074962499</v>
      </c>
    </row>
    <row r="29411" spans="1:5">
      <c r="A29411" t="s">
        <v>34244</v>
      </c>
      <c r="B29411" t="s">
        <v>34249</v>
      </c>
      <c r="C29411">
        <v>0</v>
      </c>
      <c r="D29411">
        <v>0.97094467584099997</v>
      </c>
      <c r="E29411">
        <v>16.299850074962499</v>
      </c>
    </row>
    <row r="29412" spans="1:5">
      <c r="A29412" t="s">
        <v>34244</v>
      </c>
      <c r="B29412" t="s">
        <v>34250</v>
      </c>
      <c r="C29412">
        <f>0.0275883671235</f>
        <v>2.7588367123500001E-2</v>
      </c>
      <c r="D29412">
        <v>0.97094467584099997</v>
      </c>
      <c r="E29412">
        <v>16.299850074962499</v>
      </c>
    </row>
    <row r="29413" spans="1:5">
      <c r="A29413" t="s">
        <v>34244</v>
      </c>
      <c r="B29413" t="s">
        <v>34251</v>
      </c>
      <c r="C29413">
        <f>0</f>
        <v>0</v>
      </c>
      <c r="D29413">
        <v>0.97094467584099997</v>
      </c>
      <c r="E29413">
        <v>16.299850074962499</v>
      </c>
    </row>
    <row r="29414" spans="1:5">
      <c r="A29414" t="s">
        <v>34244</v>
      </c>
      <c r="B29414" t="s">
        <v>34252</v>
      </c>
      <c r="C29414">
        <f>0</f>
        <v>0</v>
      </c>
      <c r="D29414">
        <v>0.97094467584099997</v>
      </c>
      <c r="E29414">
        <v>16.299850074962499</v>
      </c>
    </row>
    <row r="29415" spans="1:5">
      <c r="A29415" t="s">
        <v>34244</v>
      </c>
      <c r="B29415" t="s">
        <v>34253</v>
      </c>
      <c r="C29415">
        <f>0</f>
        <v>0</v>
      </c>
      <c r="D29415">
        <v>0.97094467584099997</v>
      </c>
      <c r="E29415">
        <v>16.299850074962499</v>
      </c>
    </row>
    <row r="29416" spans="1:5">
      <c r="A29416" t="s">
        <v>34254</v>
      </c>
      <c r="B29416" t="s">
        <v>34255</v>
      </c>
      <c r="C29416">
        <f>0.280382993975</f>
        <v>0.28038299397499999</v>
      </c>
      <c r="D29416">
        <v>0.99641839572199997</v>
      </c>
      <c r="E29416">
        <v>2.0269865067466202</v>
      </c>
    </row>
    <row r="29417" spans="1:5">
      <c r="A29417" t="s">
        <v>34254</v>
      </c>
      <c r="B29417" t="s">
        <v>34256</v>
      </c>
      <c r="C29417">
        <v>0.12747903011200001</v>
      </c>
      <c r="D29417">
        <v>0.99641839572199997</v>
      </c>
      <c r="E29417">
        <v>2.0269865067466202</v>
      </c>
    </row>
    <row r="29418" spans="1:5">
      <c r="A29418" t="s">
        <v>34257</v>
      </c>
      <c r="B29418" t="s">
        <v>34258</v>
      </c>
      <c r="C29418">
        <f>0.0185111715519</f>
        <v>1.8511171551900001E-2</v>
      </c>
      <c r="D29418">
        <v>0.99215855334699998</v>
      </c>
      <c r="E29418">
        <v>24</v>
      </c>
    </row>
    <row r="29419" spans="1:5">
      <c r="A29419" t="s">
        <v>34257</v>
      </c>
      <c r="B29419" t="s">
        <v>34259</v>
      </c>
      <c r="C29419">
        <v>0</v>
      </c>
      <c r="D29419">
        <v>0.99215855334699998</v>
      </c>
      <c r="E29419">
        <v>24</v>
      </c>
    </row>
    <row r="29420" spans="1:5">
      <c r="A29420" t="s">
        <v>34257</v>
      </c>
      <c r="B29420" t="s">
        <v>34260</v>
      </c>
      <c r="C29420">
        <v>0</v>
      </c>
      <c r="D29420">
        <v>0.99215855334699998</v>
      </c>
      <c r="E29420">
        <v>24</v>
      </c>
    </row>
    <row r="29421" spans="1:5">
      <c r="A29421" t="s">
        <v>34257</v>
      </c>
      <c r="B29421" t="s">
        <v>34261</v>
      </c>
      <c r="C29421">
        <v>0</v>
      </c>
      <c r="D29421">
        <v>0.99215855334699998</v>
      </c>
      <c r="E29421">
        <v>24</v>
      </c>
    </row>
    <row r="29422" spans="1:5">
      <c r="A29422" t="s">
        <v>34257</v>
      </c>
      <c r="B29422" t="s">
        <v>34262</v>
      </c>
      <c r="C29422">
        <v>0</v>
      </c>
      <c r="D29422">
        <v>0.99215855334699998</v>
      </c>
      <c r="E29422">
        <v>24</v>
      </c>
    </row>
    <row r="29423" spans="1:5">
      <c r="A29423" t="s">
        <v>34257</v>
      </c>
      <c r="B29423" t="s">
        <v>34263</v>
      </c>
      <c r="C29423">
        <f>0</f>
        <v>0</v>
      </c>
      <c r="D29423">
        <v>0.99215855334699998</v>
      </c>
      <c r="E29423">
        <v>24</v>
      </c>
    </row>
    <row r="29424" spans="1:5">
      <c r="A29424" t="s">
        <v>34264</v>
      </c>
      <c r="B29424" t="s">
        <v>34265</v>
      </c>
      <c r="C29424">
        <v>0</v>
      </c>
      <c r="D29424">
        <v>0.65607394088399995</v>
      </c>
      <c r="E29424">
        <v>19.6341829085457</v>
      </c>
    </row>
    <row r="29425" spans="1:5">
      <c r="A29425" t="s">
        <v>34264</v>
      </c>
      <c r="B29425" t="s">
        <v>34266</v>
      </c>
      <c r="C29425">
        <v>0</v>
      </c>
      <c r="D29425">
        <v>0.65607394088399995</v>
      </c>
      <c r="E29425">
        <v>19.6341829085457</v>
      </c>
    </row>
    <row r="29426" spans="1:5">
      <c r="A29426" t="s">
        <v>34264</v>
      </c>
      <c r="B29426" t="s">
        <v>34267</v>
      </c>
      <c r="C29426">
        <f>0</f>
        <v>0</v>
      </c>
      <c r="D29426">
        <v>0.65607394088399995</v>
      </c>
      <c r="E29426">
        <v>19.6341829085457</v>
      </c>
    </row>
    <row r="29427" spans="1:5">
      <c r="A29427" t="s">
        <v>34264</v>
      </c>
      <c r="B29427" t="s">
        <v>34268</v>
      </c>
      <c r="C29427">
        <v>0</v>
      </c>
      <c r="D29427">
        <v>0.65607394088399995</v>
      </c>
      <c r="E29427">
        <v>19.6341829085457</v>
      </c>
    </row>
    <row r="29428" spans="1:5">
      <c r="A29428" t="s">
        <v>34264</v>
      </c>
      <c r="B29428" t="s">
        <v>34269</v>
      </c>
      <c r="C29428">
        <v>0</v>
      </c>
      <c r="D29428">
        <v>0.65607394088399995</v>
      </c>
      <c r="E29428">
        <v>19.6341829085457</v>
      </c>
    </row>
    <row r="29429" spans="1:5">
      <c r="A29429" t="s">
        <v>34264</v>
      </c>
      <c r="B29429" t="s">
        <v>34270</v>
      </c>
      <c r="C29429">
        <f>0</f>
        <v>0</v>
      </c>
      <c r="D29429">
        <v>0.65607394088399995</v>
      </c>
      <c r="E29429">
        <v>19.6341829085457</v>
      </c>
    </row>
    <row r="29430" spans="1:5">
      <c r="A29430" t="s">
        <v>34264</v>
      </c>
      <c r="B29430" t="s">
        <v>34271</v>
      </c>
      <c r="C29430">
        <v>2.5625053309200001E-2</v>
      </c>
      <c r="D29430">
        <v>0.65607394088399995</v>
      </c>
      <c r="E29430">
        <v>19.6341829085457</v>
      </c>
    </row>
    <row r="29431" spans="1:5">
      <c r="A29431" t="s">
        <v>34264</v>
      </c>
      <c r="B29431" t="s">
        <v>34272</v>
      </c>
      <c r="C29431">
        <v>6.1348939039299999E-2</v>
      </c>
      <c r="D29431">
        <v>0.65607394088399995</v>
      </c>
      <c r="E29431">
        <v>19.6341829085457</v>
      </c>
    </row>
    <row r="29432" spans="1:5">
      <c r="A29432" t="s">
        <v>34264</v>
      </c>
      <c r="B29432" t="s">
        <v>34273</v>
      </c>
      <c r="C29432">
        <f>0</f>
        <v>0</v>
      </c>
      <c r="D29432">
        <v>0.65607394088399995</v>
      </c>
      <c r="E29432">
        <v>19.6341829085457</v>
      </c>
    </row>
    <row r="29433" spans="1:5">
      <c r="A29433" t="s">
        <v>34274</v>
      </c>
      <c r="B29433" t="s">
        <v>34275</v>
      </c>
      <c r="C29433">
        <v>7.9226661371399998E-2</v>
      </c>
      <c r="D29433">
        <v>0.93102527774400001</v>
      </c>
      <c r="E29433">
        <v>24</v>
      </c>
    </row>
    <row r="29434" spans="1:5">
      <c r="A29434" t="s">
        <v>34274</v>
      </c>
      <c r="B29434" t="s">
        <v>34276</v>
      </c>
      <c r="C29434">
        <v>0</v>
      </c>
      <c r="D29434">
        <v>0.93102527774400001</v>
      </c>
      <c r="E29434">
        <v>24</v>
      </c>
    </row>
    <row r="29435" spans="1:5">
      <c r="A29435" t="s">
        <v>34274</v>
      </c>
      <c r="B29435" t="s">
        <v>34277</v>
      </c>
      <c r="C29435">
        <f>0</f>
        <v>0</v>
      </c>
      <c r="D29435">
        <v>0.93102527774400001</v>
      </c>
      <c r="E29435">
        <v>24</v>
      </c>
    </row>
    <row r="29436" spans="1:5">
      <c r="A29436" t="s">
        <v>34274</v>
      </c>
      <c r="B29436" t="s">
        <v>34278</v>
      </c>
      <c r="C29436">
        <v>3.01464217418E-2</v>
      </c>
      <c r="D29436">
        <v>0.93102527774400001</v>
      </c>
      <c r="E29436">
        <v>24</v>
      </c>
    </row>
    <row r="29437" spans="1:5">
      <c r="A29437" t="s">
        <v>34274</v>
      </c>
      <c r="B29437" t="s">
        <v>34279</v>
      </c>
      <c r="C29437">
        <v>0</v>
      </c>
      <c r="D29437">
        <v>0.93102527774400001</v>
      </c>
      <c r="E29437">
        <v>24</v>
      </c>
    </row>
    <row r="29438" spans="1:5">
      <c r="A29438" t="s">
        <v>34280</v>
      </c>
      <c r="B29438" t="s">
        <v>34281</v>
      </c>
      <c r="C29438">
        <v>0</v>
      </c>
      <c r="D29438">
        <v>0.94582702370799998</v>
      </c>
      <c r="E29438">
        <v>14.5487256371814</v>
      </c>
    </row>
    <row r="29439" spans="1:5">
      <c r="A29439" t="s">
        <v>34280</v>
      </c>
      <c r="B29439" t="s">
        <v>34282</v>
      </c>
      <c r="C29439">
        <v>0</v>
      </c>
      <c r="D29439">
        <v>0.94582702370799998</v>
      </c>
      <c r="E29439">
        <v>14.5487256371814</v>
      </c>
    </row>
    <row r="29440" spans="1:5">
      <c r="A29440" t="s">
        <v>34280</v>
      </c>
      <c r="B29440" t="s">
        <v>34283</v>
      </c>
      <c r="C29440">
        <v>0.153722221741</v>
      </c>
      <c r="D29440">
        <v>0.94582702370799998</v>
      </c>
      <c r="E29440">
        <v>14.5487256371814</v>
      </c>
    </row>
    <row r="29441" spans="1:5">
      <c r="A29441" t="s">
        <v>34280</v>
      </c>
      <c r="B29441" t="s">
        <v>34284</v>
      </c>
      <c r="C29441">
        <f>0.0485120275981</f>
        <v>4.8512027598099999E-2</v>
      </c>
      <c r="D29441">
        <v>0.94582702370799998</v>
      </c>
      <c r="E29441">
        <v>14.5487256371814</v>
      </c>
    </row>
    <row r="29442" spans="1:5">
      <c r="A29442" t="s">
        <v>34280</v>
      </c>
      <c r="B29442" t="s">
        <v>34285</v>
      </c>
      <c r="C29442">
        <v>0</v>
      </c>
      <c r="D29442">
        <v>0.94582702370799998</v>
      </c>
      <c r="E29442">
        <v>14.5487256371814</v>
      </c>
    </row>
    <row r="29443" spans="1:5">
      <c r="A29443" t="s">
        <v>34280</v>
      </c>
      <c r="B29443" t="s">
        <v>34286</v>
      </c>
      <c r="C29443">
        <f>0</f>
        <v>0</v>
      </c>
      <c r="D29443">
        <v>0.94582702370799998</v>
      </c>
      <c r="E29443">
        <v>14.5487256371814</v>
      </c>
    </row>
    <row r="29444" spans="1:5">
      <c r="A29444" t="s">
        <v>34287</v>
      </c>
      <c r="B29444" t="s">
        <v>34288</v>
      </c>
      <c r="C29444">
        <f>0</f>
        <v>0</v>
      </c>
      <c r="D29444">
        <v>0.96850277486400005</v>
      </c>
      <c r="E29444">
        <v>22.800599700149899</v>
      </c>
    </row>
    <row r="29445" spans="1:5">
      <c r="A29445" t="s">
        <v>34287</v>
      </c>
      <c r="B29445" t="s">
        <v>34289</v>
      </c>
      <c r="C29445">
        <v>0</v>
      </c>
      <c r="D29445">
        <v>0.96850277486400005</v>
      </c>
      <c r="E29445">
        <v>22.800599700149899</v>
      </c>
    </row>
    <row r="29446" spans="1:5">
      <c r="A29446" t="s">
        <v>34287</v>
      </c>
      <c r="B29446" t="s">
        <v>34290</v>
      </c>
      <c r="C29446">
        <v>0</v>
      </c>
      <c r="D29446">
        <v>0.96850277486400005</v>
      </c>
      <c r="E29446">
        <v>22.800599700149899</v>
      </c>
    </row>
    <row r="29447" spans="1:5">
      <c r="A29447" t="s">
        <v>34287</v>
      </c>
      <c r="B29447" t="s">
        <v>34291</v>
      </c>
      <c r="C29447">
        <f>0</f>
        <v>0</v>
      </c>
      <c r="D29447">
        <v>0.96850277486400005</v>
      </c>
      <c r="E29447">
        <v>22.800599700149899</v>
      </c>
    </row>
    <row r="29448" spans="1:5">
      <c r="A29448" t="s">
        <v>34287</v>
      </c>
      <c r="B29448" t="s">
        <v>34292</v>
      </c>
      <c r="C29448">
        <f>0</f>
        <v>0</v>
      </c>
      <c r="D29448">
        <v>0.96850277486400005</v>
      </c>
      <c r="E29448">
        <v>22.800599700149899</v>
      </c>
    </row>
    <row r="29449" spans="1:5">
      <c r="A29449" t="s">
        <v>34287</v>
      </c>
      <c r="B29449" t="s">
        <v>34293</v>
      </c>
      <c r="C29449">
        <v>0</v>
      </c>
      <c r="D29449">
        <v>0.96850277486400005</v>
      </c>
      <c r="E29449">
        <v>22.800599700149899</v>
      </c>
    </row>
    <row r="29450" spans="1:5">
      <c r="A29450" t="s">
        <v>34287</v>
      </c>
      <c r="B29450" t="s">
        <v>34294</v>
      </c>
      <c r="C29450">
        <f>0</f>
        <v>0</v>
      </c>
      <c r="D29450">
        <v>0.96850277486400005</v>
      </c>
      <c r="E29450">
        <v>22.800599700149899</v>
      </c>
    </row>
    <row r="29451" spans="1:5">
      <c r="A29451" t="s">
        <v>34287</v>
      </c>
      <c r="B29451" t="s">
        <v>34295</v>
      </c>
      <c r="C29451">
        <v>0</v>
      </c>
      <c r="D29451">
        <v>0.96850277486400005</v>
      </c>
      <c r="E29451">
        <v>22.800599700149899</v>
      </c>
    </row>
    <row r="29452" spans="1:5">
      <c r="A29452" t="s">
        <v>34296</v>
      </c>
      <c r="B29452" t="s">
        <v>34297</v>
      </c>
      <c r="C29452">
        <v>0.28653911536900001</v>
      </c>
      <c r="D29452" t="s">
        <v>106</v>
      </c>
      <c r="E29452">
        <v>3.5862068965517202</v>
      </c>
    </row>
    <row r="29453" spans="1:5">
      <c r="A29453" t="s">
        <v>34298</v>
      </c>
      <c r="B29453" t="s">
        <v>34299</v>
      </c>
      <c r="C29453">
        <f>0.114382383952</f>
        <v>0.114382383952</v>
      </c>
      <c r="D29453">
        <v>0.92193120924700001</v>
      </c>
      <c r="E29453">
        <v>4.7976011994002997E-2</v>
      </c>
    </row>
    <row r="29454" spans="1:5">
      <c r="A29454" t="s">
        <v>34298</v>
      </c>
      <c r="B29454" t="s">
        <v>34300</v>
      </c>
      <c r="C29454">
        <f>0</f>
        <v>0</v>
      </c>
      <c r="D29454">
        <v>0.92193120924700001</v>
      </c>
      <c r="E29454">
        <v>4.7976011994002997E-2</v>
      </c>
    </row>
    <row r="29455" spans="1:5">
      <c r="A29455" t="s">
        <v>34298</v>
      </c>
      <c r="B29455" t="s">
        <v>34301</v>
      </c>
      <c r="C29455">
        <f>0</f>
        <v>0</v>
      </c>
      <c r="D29455">
        <v>0.92193120924700001</v>
      </c>
      <c r="E29455">
        <v>4.7976011994002997E-2</v>
      </c>
    </row>
    <row r="29456" spans="1:5">
      <c r="A29456" t="s">
        <v>34298</v>
      </c>
      <c r="B29456" t="s">
        <v>34302</v>
      </c>
      <c r="C29456">
        <f>0</f>
        <v>0</v>
      </c>
      <c r="D29456">
        <v>0.92193120924700001</v>
      </c>
      <c r="E29456">
        <v>4.7976011994002997E-2</v>
      </c>
    </row>
    <row r="29457" spans="1:5">
      <c r="A29457" t="s">
        <v>34298</v>
      </c>
      <c r="B29457" t="s">
        <v>34303</v>
      </c>
      <c r="C29457">
        <f>0.441765944474</f>
        <v>0.44176594447400003</v>
      </c>
      <c r="D29457">
        <v>0.92193120924700001</v>
      </c>
      <c r="E29457">
        <v>4.7976011994002997E-2</v>
      </c>
    </row>
    <row r="29458" spans="1:5">
      <c r="A29458" t="s">
        <v>34304</v>
      </c>
      <c r="B29458" t="s">
        <v>34305</v>
      </c>
      <c r="C29458">
        <f>0</f>
        <v>0</v>
      </c>
      <c r="D29458" t="s">
        <v>106</v>
      </c>
      <c r="E29458">
        <v>13.8170914542728</v>
      </c>
    </row>
    <row r="29459" spans="1:5">
      <c r="A29459" t="s">
        <v>34304</v>
      </c>
      <c r="B29459" t="s">
        <v>34306</v>
      </c>
      <c r="C29459">
        <f>0</f>
        <v>0</v>
      </c>
      <c r="D29459" t="s">
        <v>106</v>
      </c>
      <c r="E29459">
        <v>13.8170914542728</v>
      </c>
    </row>
    <row r="29460" spans="1:5">
      <c r="A29460" t="s">
        <v>34304</v>
      </c>
      <c r="B29460" t="s">
        <v>34307</v>
      </c>
      <c r="C29460">
        <f>0</f>
        <v>0</v>
      </c>
      <c r="D29460" t="s">
        <v>106</v>
      </c>
      <c r="E29460">
        <v>13.8170914542728</v>
      </c>
    </row>
    <row r="29461" spans="1:5">
      <c r="A29461" t="s">
        <v>34304</v>
      </c>
      <c r="B29461" t="s">
        <v>34308</v>
      </c>
      <c r="C29461">
        <f>0</f>
        <v>0</v>
      </c>
      <c r="D29461" t="s">
        <v>106</v>
      </c>
      <c r="E29461">
        <v>13.8170914542728</v>
      </c>
    </row>
    <row r="29462" spans="1:5">
      <c r="A29462" t="s">
        <v>34304</v>
      </c>
      <c r="B29462" t="s">
        <v>34309</v>
      </c>
      <c r="C29462">
        <v>0</v>
      </c>
      <c r="D29462" t="s">
        <v>106</v>
      </c>
      <c r="E29462">
        <v>13.8170914542728</v>
      </c>
    </row>
    <row r="29463" spans="1:5">
      <c r="A29463" t="s">
        <v>34310</v>
      </c>
      <c r="B29463" t="s">
        <v>34311</v>
      </c>
      <c r="C29463">
        <f>0</f>
        <v>0</v>
      </c>
      <c r="D29463" t="s">
        <v>106</v>
      </c>
      <c r="E29463">
        <v>0.53973013493253297</v>
      </c>
    </row>
    <row r="29464" spans="1:5">
      <c r="A29464" t="s">
        <v>34310</v>
      </c>
      <c r="B29464" t="s">
        <v>34312</v>
      </c>
      <c r="C29464">
        <v>0</v>
      </c>
      <c r="D29464" t="s">
        <v>106</v>
      </c>
      <c r="E29464">
        <v>0.53973013493253297</v>
      </c>
    </row>
    <row r="29465" spans="1:5">
      <c r="A29465" t="s">
        <v>34313</v>
      </c>
      <c r="B29465" t="s">
        <v>34314</v>
      </c>
      <c r="C29465">
        <v>0</v>
      </c>
      <c r="D29465" t="s">
        <v>106</v>
      </c>
      <c r="E29465">
        <v>0.65967016491754105</v>
      </c>
    </row>
    <row r="29466" spans="1:5">
      <c r="A29466" t="s">
        <v>34313</v>
      </c>
      <c r="B29466" t="s">
        <v>34315</v>
      </c>
      <c r="C29466">
        <v>0</v>
      </c>
      <c r="D29466" t="s">
        <v>106</v>
      </c>
      <c r="E29466">
        <v>0.65967016491754105</v>
      </c>
    </row>
    <row r="29467" spans="1:5">
      <c r="A29467" t="s">
        <v>34313</v>
      </c>
      <c r="B29467" t="s">
        <v>34316</v>
      </c>
      <c r="C29467">
        <f>0</f>
        <v>0</v>
      </c>
      <c r="D29467" t="s">
        <v>106</v>
      </c>
      <c r="E29467">
        <v>0.65967016491754105</v>
      </c>
    </row>
    <row r="29468" spans="1:5">
      <c r="A29468" t="s">
        <v>34313</v>
      </c>
      <c r="B29468" t="s">
        <v>34317</v>
      </c>
      <c r="C29468">
        <v>0</v>
      </c>
      <c r="D29468" t="s">
        <v>106</v>
      </c>
      <c r="E29468">
        <v>0.65967016491754105</v>
      </c>
    </row>
    <row r="29469" spans="1:5">
      <c r="A29469" t="s">
        <v>34313</v>
      </c>
      <c r="B29469" t="s">
        <v>34318</v>
      </c>
      <c r="C29469">
        <v>0</v>
      </c>
      <c r="D29469" t="s">
        <v>106</v>
      </c>
      <c r="E29469">
        <v>0.65967016491754105</v>
      </c>
    </row>
    <row r="29470" spans="1:5">
      <c r="A29470" t="s">
        <v>34313</v>
      </c>
      <c r="B29470" t="s">
        <v>34319</v>
      </c>
      <c r="C29470">
        <v>0</v>
      </c>
      <c r="D29470" t="s">
        <v>106</v>
      </c>
      <c r="E29470">
        <v>0.65967016491754105</v>
      </c>
    </row>
    <row r="29471" spans="1:5">
      <c r="A29471" t="s">
        <v>34313</v>
      </c>
      <c r="B29471" t="s">
        <v>34320</v>
      </c>
      <c r="C29471">
        <f>0</f>
        <v>0</v>
      </c>
      <c r="D29471" t="s">
        <v>106</v>
      </c>
      <c r="E29471">
        <v>0.65967016491754105</v>
      </c>
    </row>
    <row r="29472" spans="1:5">
      <c r="A29472" t="s">
        <v>34321</v>
      </c>
      <c r="B29472" t="s">
        <v>34322</v>
      </c>
      <c r="C29472">
        <v>0</v>
      </c>
      <c r="D29472" t="s">
        <v>106</v>
      </c>
      <c r="E29472">
        <v>1.33133433283358</v>
      </c>
    </row>
    <row r="29473" spans="1:5">
      <c r="A29473" t="s">
        <v>34321</v>
      </c>
      <c r="B29473" t="s">
        <v>34323</v>
      </c>
      <c r="C29473">
        <f>0</f>
        <v>0</v>
      </c>
      <c r="D29473" t="s">
        <v>106</v>
      </c>
      <c r="E29473">
        <v>1.33133433283358</v>
      </c>
    </row>
    <row r="29474" spans="1:5">
      <c r="A29474" t="s">
        <v>34321</v>
      </c>
      <c r="B29474" t="s">
        <v>34324</v>
      </c>
      <c r="C29474">
        <v>0</v>
      </c>
      <c r="D29474" t="s">
        <v>106</v>
      </c>
      <c r="E29474">
        <v>1.33133433283358</v>
      </c>
    </row>
    <row r="29475" spans="1:5">
      <c r="A29475" t="s">
        <v>34321</v>
      </c>
      <c r="B29475" t="s">
        <v>34325</v>
      </c>
      <c r="C29475">
        <v>0</v>
      </c>
      <c r="D29475" t="s">
        <v>106</v>
      </c>
      <c r="E29475">
        <v>1.33133433283358</v>
      </c>
    </row>
    <row r="29476" spans="1:5">
      <c r="A29476" t="s">
        <v>34321</v>
      </c>
      <c r="B29476" t="s">
        <v>34326</v>
      </c>
      <c r="C29476">
        <f>0</f>
        <v>0</v>
      </c>
      <c r="D29476" t="s">
        <v>106</v>
      </c>
      <c r="E29476">
        <v>1.33133433283358</v>
      </c>
    </row>
    <row r="29477" spans="1:5">
      <c r="A29477" t="s">
        <v>34321</v>
      </c>
      <c r="B29477" t="s">
        <v>34327</v>
      </c>
      <c r="C29477">
        <f>0</f>
        <v>0</v>
      </c>
      <c r="D29477" t="s">
        <v>106</v>
      </c>
      <c r="E29477">
        <v>1.33133433283358</v>
      </c>
    </row>
    <row r="29478" spans="1:5">
      <c r="A29478" t="s">
        <v>34328</v>
      </c>
      <c r="B29478" t="s">
        <v>34329</v>
      </c>
      <c r="C29478">
        <v>0.24344355708599999</v>
      </c>
      <c r="D29478">
        <v>0.93595184296199996</v>
      </c>
      <c r="E29478">
        <v>11.7061469265367</v>
      </c>
    </row>
    <row r="29479" spans="1:5">
      <c r="A29479" t="s">
        <v>34328</v>
      </c>
      <c r="B29479" t="s">
        <v>34330</v>
      </c>
      <c r="C29479">
        <f>0</f>
        <v>0</v>
      </c>
      <c r="D29479">
        <v>0.93595184296199996</v>
      </c>
      <c r="E29479">
        <v>11.7061469265367</v>
      </c>
    </row>
    <row r="29480" spans="1:5">
      <c r="A29480" t="s">
        <v>34328</v>
      </c>
      <c r="B29480" t="s">
        <v>34331</v>
      </c>
      <c r="C29480">
        <v>0</v>
      </c>
      <c r="D29480">
        <v>0.93595184296199996</v>
      </c>
      <c r="E29480">
        <v>11.7061469265367</v>
      </c>
    </row>
    <row r="29481" spans="1:5">
      <c r="A29481" t="s">
        <v>34328</v>
      </c>
      <c r="B29481" t="s">
        <v>34332</v>
      </c>
      <c r="C29481">
        <f>0</f>
        <v>0</v>
      </c>
      <c r="D29481">
        <v>0.93595184296199996</v>
      </c>
      <c r="E29481">
        <v>11.7061469265367</v>
      </c>
    </row>
    <row r="29482" spans="1:5">
      <c r="A29482" t="s">
        <v>34328</v>
      </c>
      <c r="B29482" t="s">
        <v>34333</v>
      </c>
      <c r="C29482">
        <f>0</f>
        <v>0</v>
      </c>
      <c r="D29482">
        <v>0.93595184296199996</v>
      </c>
      <c r="E29482">
        <v>11.7061469265367</v>
      </c>
    </row>
    <row r="29483" spans="1:5">
      <c r="A29483" t="s">
        <v>34328</v>
      </c>
      <c r="B29483" t="s">
        <v>34334</v>
      </c>
      <c r="C29483">
        <f>0</f>
        <v>0</v>
      </c>
      <c r="D29483">
        <v>0.93595184296199996</v>
      </c>
      <c r="E29483">
        <v>11.7061469265367</v>
      </c>
    </row>
    <row r="29484" spans="1:5">
      <c r="A29484" t="s">
        <v>34328</v>
      </c>
      <c r="B29484" t="s">
        <v>34335</v>
      </c>
      <c r="C29484">
        <v>0</v>
      </c>
      <c r="D29484">
        <v>0.93595184296199996</v>
      </c>
      <c r="E29484">
        <v>11.7061469265367</v>
      </c>
    </row>
    <row r="29485" spans="1:5">
      <c r="A29485" t="s">
        <v>34328</v>
      </c>
      <c r="B29485" t="s">
        <v>34336</v>
      </c>
      <c r="C29485">
        <v>0</v>
      </c>
      <c r="D29485">
        <v>0.93595184296199996</v>
      </c>
      <c r="E29485">
        <v>11.7061469265367</v>
      </c>
    </row>
    <row r="29486" spans="1:5">
      <c r="A29486" t="s">
        <v>34328</v>
      </c>
      <c r="B29486" t="s">
        <v>34337</v>
      </c>
      <c r="C29486">
        <v>0</v>
      </c>
      <c r="D29486">
        <v>0.93595184296199996</v>
      </c>
      <c r="E29486">
        <v>11.7061469265367</v>
      </c>
    </row>
    <row r="29487" spans="1:5">
      <c r="A29487" t="s">
        <v>34338</v>
      </c>
      <c r="B29487" t="s">
        <v>34339</v>
      </c>
      <c r="C29487">
        <v>0</v>
      </c>
      <c r="D29487">
        <v>0.97354178122099999</v>
      </c>
      <c r="E29487">
        <v>2.0269865067466202</v>
      </c>
    </row>
    <row r="29488" spans="1:5">
      <c r="A29488" t="s">
        <v>34338</v>
      </c>
      <c r="B29488" t="s">
        <v>34340</v>
      </c>
      <c r="C29488">
        <v>0</v>
      </c>
      <c r="D29488">
        <v>0.97354178122099999</v>
      </c>
      <c r="E29488">
        <v>2.0269865067466202</v>
      </c>
    </row>
    <row r="29489" spans="1:5">
      <c r="A29489" t="s">
        <v>34338</v>
      </c>
      <c r="B29489" t="s">
        <v>34341</v>
      </c>
      <c r="C29489">
        <v>0</v>
      </c>
      <c r="D29489">
        <v>0.97354178122099999</v>
      </c>
      <c r="E29489">
        <v>2.0269865067466202</v>
      </c>
    </row>
    <row r="29490" spans="1:5">
      <c r="A29490" t="s">
        <v>34338</v>
      </c>
      <c r="B29490" t="s">
        <v>34342</v>
      </c>
      <c r="C29490">
        <f>0</f>
        <v>0</v>
      </c>
      <c r="D29490">
        <v>0.97354178122099999</v>
      </c>
      <c r="E29490">
        <v>2.0269865067466202</v>
      </c>
    </row>
    <row r="29491" spans="1:5">
      <c r="A29491" t="s">
        <v>34338</v>
      </c>
      <c r="B29491" t="s">
        <v>34343</v>
      </c>
      <c r="C29491">
        <v>9.6358115500099997E-2</v>
      </c>
      <c r="D29491">
        <v>0.97354178122099999</v>
      </c>
      <c r="E29491">
        <v>2.0269865067466202</v>
      </c>
    </row>
    <row r="29492" spans="1:5">
      <c r="A29492" t="s">
        <v>34338</v>
      </c>
      <c r="B29492" t="s">
        <v>34344</v>
      </c>
      <c r="C29492">
        <v>0</v>
      </c>
      <c r="D29492">
        <v>0.97354178122099999</v>
      </c>
      <c r="E29492">
        <v>2.0269865067466202</v>
      </c>
    </row>
    <row r="29493" spans="1:5">
      <c r="A29493" t="s">
        <v>34338</v>
      </c>
      <c r="B29493" t="s">
        <v>34345</v>
      </c>
      <c r="C29493">
        <v>0</v>
      </c>
      <c r="D29493">
        <v>0.97354178122099999</v>
      </c>
      <c r="E29493">
        <v>2.0269865067466202</v>
      </c>
    </row>
    <row r="29494" spans="1:5">
      <c r="A29494" t="s">
        <v>34338</v>
      </c>
      <c r="B29494" t="s">
        <v>34346</v>
      </c>
      <c r="C29494">
        <f>0.0818309487333</f>
        <v>8.1830948733300005E-2</v>
      </c>
      <c r="D29494">
        <v>0.97354178122099999</v>
      </c>
      <c r="E29494">
        <v>2.0269865067466202</v>
      </c>
    </row>
    <row r="29495" spans="1:5">
      <c r="A29495" t="s">
        <v>34347</v>
      </c>
      <c r="B29495" t="s">
        <v>34348</v>
      </c>
      <c r="C29495">
        <v>0</v>
      </c>
      <c r="D29495" t="s">
        <v>106</v>
      </c>
      <c r="E29495">
        <v>10.5547226386806</v>
      </c>
    </row>
    <row r="29496" spans="1:5">
      <c r="A29496" t="s">
        <v>34347</v>
      </c>
      <c r="B29496" t="s">
        <v>34349</v>
      </c>
      <c r="C29496">
        <v>0</v>
      </c>
      <c r="D29496" t="s">
        <v>106</v>
      </c>
      <c r="E29496">
        <v>10.5547226386806</v>
      </c>
    </row>
    <row r="29497" spans="1:5">
      <c r="A29497" t="s">
        <v>34347</v>
      </c>
      <c r="B29497" t="s">
        <v>34350</v>
      </c>
      <c r="C29497">
        <v>0</v>
      </c>
      <c r="D29497" t="s">
        <v>106</v>
      </c>
      <c r="E29497">
        <v>10.5547226386806</v>
      </c>
    </row>
    <row r="29498" spans="1:5">
      <c r="A29498" t="s">
        <v>34347</v>
      </c>
      <c r="B29498" t="s">
        <v>34351</v>
      </c>
      <c r="C29498">
        <f>0</f>
        <v>0</v>
      </c>
      <c r="D29498" t="s">
        <v>106</v>
      </c>
      <c r="E29498">
        <v>10.5547226386806</v>
      </c>
    </row>
    <row r="29499" spans="1:5">
      <c r="A29499" t="s">
        <v>34347</v>
      </c>
      <c r="B29499" t="s">
        <v>34352</v>
      </c>
      <c r="C29499">
        <v>0</v>
      </c>
      <c r="D29499" t="s">
        <v>106</v>
      </c>
      <c r="E29499">
        <v>10.5547226386806</v>
      </c>
    </row>
    <row r="29500" spans="1:5">
      <c r="A29500" t="s">
        <v>34353</v>
      </c>
      <c r="B29500" t="s">
        <v>34354</v>
      </c>
      <c r="C29500">
        <v>0.94495432011400005</v>
      </c>
      <c r="D29500">
        <v>0.99715319466399999</v>
      </c>
      <c r="E29500">
        <v>1.00749625187406</v>
      </c>
    </row>
    <row r="29501" spans="1:5">
      <c r="A29501" t="s">
        <v>34353</v>
      </c>
      <c r="B29501" t="s">
        <v>34355</v>
      </c>
      <c r="C29501">
        <f>0.347008358368</f>
        <v>0.34700835836799998</v>
      </c>
      <c r="D29501">
        <v>0.99715319466399999</v>
      </c>
      <c r="E29501">
        <v>1.00749625187406</v>
      </c>
    </row>
    <row r="29502" spans="1:5">
      <c r="A29502" t="s">
        <v>34356</v>
      </c>
      <c r="B29502" t="s">
        <v>34357</v>
      </c>
      <c r="C29502">
        <f>0</f>
        <v>0</v>
      </c>
      <c r="D29502" t="s">
        <v>106</v>
      </c>
      <c r="E29502">
        <v>16.491754122938499</v>
      </c>
    </row>
    <row r="29503" spans="1:5">
      <c r="A29503" t="s">
        <v>34356</v>
      </c>
      <c r="B29503" t="s">
        <v>34358</v>
      </c>
      <c r="C29503">
        <v>0</v>
      </c>
      <c r="D29503" t="s">
        <v>106</v>
      </c>
      <c r="E29503">
        <v>16.491754122938499</v>
      </c>
    </row>
    <row r="29504" spans="1:5">
      <c r="A29504" t="s">
        <v>34356</v>
      </c>
      <c r="B29504" t="s">
        <v>34359</v>
      </c>
      <c r="C29504">
        <f>0</f>
        <v>0</v>
      </c>
      <c r="D29504" t="s">
        <v>106</v>
      </c>
      <c r="E29504">
        <v>16.491754122938499</v>
      </c>
    </row>
    <row r="29505" spans="1:5">
      <c r="A29505" t="s">
        <v>34356</v>
      </c>
      <c r="B29505" t="s">
        <v>34360</v>
      </c>
      <c r="C29505">
        <v>0</v>
      </c>
      <c r="D29505" t="s">
        <v>106</v>
      </c>
      <c r="E29505">
        <v>16.491754122938499</v>
      </c>
    </row>
    <row r="29506" spans="1:5">
      <c r="A29506" t="s">
        <v>34356</v>
      </c>
      <c r="B29506" t="s">
        <v>34361</v>
      </c>
      <c r="C29506">
        <v>0</v>
      </c>
      <c r="D29506" t="s">
        <v>106</v>
      </c>
      <c r="E29506">
        <v>16.491754122938499</v>
      </c>
    </row>
    <row r="29507" spans="1:5">
      <c r="A29507" t="s">
        <v>34362</v>
      </c>
      <c r="B29507" t="s">
        <v>34363</v>
      </c>
      <c r="C29507">
        <v>0.27218656703799998</v>
      </c>
      <c r="D29507">
        <v>0.97898915817599996</v>
      </c>
      <c r="E29507">
        <v>1.6311844077961</v>
      </c>
    </row>
    <row r="29508" spans="1:5">
      <c r="A29508" t="s">
        <v>34362</v>
      </c>
      <c r="B29508" t="s">
        <v>34364</v>
      </c>
      <c r="C29508">
        <v>0</v>
      </c>
      <c r="D29508">
        <v>0.97898915817599996</v>
      </c>
      <c r="E29508">
        <v>1.6311844077961</v>
      </c>
    </row>
    <row r="29509" spans="1:5">
      <c r="A29509" t="s">
        <v>34362</v>
      </c>
      <c r="B29509" t="s">
        <v>34365</v>
      </c>
      <c r="C29509">
        <v>0</v>
      </c>
      <c r="D29509">
        <v>0.97898915817599996</v>
      </c>
      <c r="E29509">
        <v>1.6311844077961</v>
      </c>
    </row>
    <row r="29510" spans="1:5">
      <c r="A29510" t="s">
        <v>34362</v>
      </c>
      <c r="B29510" t="s">
        <v>34366</v>
      </c>
      <c r="C29510">
        <v>0</v>
      </c>
      <c r="D29510">
        <v>0.97898915817599996</v>
      </c>
      <c r="E29510">
        <v>1.6311844077961</v>
      </c>
    </row>
    <row r="29511" spans="1:5">
      <c r="A29511" t="s">
        <v>34362</v>
      </c>
      <c r="B29511" t="s">
        <v>34367</v>
      </c>
      <c r="C29511">
        <v>0</v>
      </c>
      <c r="D29511">
        <v>0.97898915817599996</v>
      </c>
      <c r="E29511">
        <v>1.6311844077961</v>
      </c>
    </row>
    <row r="29512" spans="1:5">
      <c r="A29512" t="s">
        <v>34362</v>
      </c>
      <c r="B29512" t="s">
        <v>34368</v>
      </c>
      <c r="C29512">
        <v>0</v>
      </c>
      <c r="D29512">
        <v>0.97898915817599996</v>
      </c>
      <c r="E29512">
        <v>1.6311844077961</v>
      </c>
    </row>
    <row r="29513" spans="1:5">
      <c r="A29513" t="s">
        <v>34362</v>
      </c>
      <c r="B29513" t="s">
        <v>34369</v>
      </c>
      <c r="C29513">
        <v>0</v>
      </c>
      <c r="D29513">
        <v>0.97898915817599996</v>
      </c>
      <c r="E29513">
        <v>1.6311844077961</v>
      </c>
    </row>
    <row r="29514" spans="1:5">
      <c r="A29514" t="s">
        <v>34362</v>
      </c>
      <c r="B29514" t="s">
        <v>34370</v>
      </c>
      <c r="C29514">
        <v>0</v>
      </c>
      <c r="D29514">
        <v>0.97898915817599996</v>
      </c>
      <c r="E29514">
        <v>1.6311844077961</v>
      </c>
    </row>
    <row r="29515" spans="1:5">
      <c r="A29515" t="s">
        <v>34362</v>
      </c>
      <c r="B29515" t="s">
        <v>34371</v>
      </c>
      <c r="C29515">
        <v>0</v>
      </c>
      <c r="D29515">
        <v>0.97898915817599996</v>
      </c>
      <c r="E29515">
        <v>1.6311844077961</v>
      </c>
    </row>
    <row r="29516" spans="1:5">
      <c r="A29516" t="s">
        <v>34362</v>
      </c>
      <c r="B29516" t="s">
        <v>34372</v>
      </c>
      <c r="C29516">
        <v>0</v>
      </c>
      <c r="D29516">
        <v>0.97898915817599996</v>
      </c>
      <c r="E29516">
        <v>1.6311844077961</v>
      </c>
    </row>
    <row r="29517" spans="1:5">
      <c r="A29517" t="s">
        <v>34362</v>
      </c>
      <c r="B29517" t="s">
        <v>34373</v>
      </c>
      <c r="C29517">
        <v>0</v>
      </c>
      <c r="D29517">
        <v>0.97898915817599996</v>
      </c>
      <c r="E29517">
        <v>1.6311844077961</v>
      </c>
    </row>
    <row r="29518" spans="1:5">
      <c r="A29518" t="s">
        <v>34362</v>
      </c>
      <c r="B29518" t="s">
        <v>34374</v>
      </c>
      <c r="C29518">
        <v>0.46831666841800001</v>
      </c>
      <c r="D29518">
        <v>0.97898915817599996</v>
      </c>
      <c r="E29518">
        <v>1.6311844077961</v>
      </c>
    </row>
    <row r="29519" spans="1:5">
      <c r="A29519" t="s">
        <v>34362</v>
      </c>
      <c r="B29519" t="s">
        <v>34375</v>
      </c>
      <c r="C29519">
        <v>0</v>
      </c>
      <c r="D29519">
        <v>0.97898915817599996</v>
      </c>
      <c r="E29519">
        <v>1.6311844077961</v>
      </c>
    </row>
    <row r="29520" spans="1:5">
      <c r="A29520" t="s">
        <v>34362</v>
      </c>
      <c r="B29520" t="s">
        <v>34376</v>
      </c>
      <c r="C29520">
        <v>0</v>
      </c>
      <c r="D29520">
        <v>0.97898915817599996</v>
      </c>
      <c r="E29520">
        <v>1.6311844077961</v>
      </c>
    </row>
    <row r="29521" spans="1:5">
      <c r="A29521" t="s">
        <v>34377</v>
      </c>
      <c r="B29521" t="s">
        <v>34378</v>
      </c>
      <c r="C29521">
        <f>0</f>
        <v>0</v>
      </c>
      <c r="D29521">
        <v>0.89647794483700005</v>
      </c>
      <c r="E29521">
        <v>0.86356821589205401</v>
      </c>
    </row>
    <row r="29522" spans="1:5">
      <c r="A29522" t="s">
        <v>34377</v>
      </c>
      <c r="B29522" t="s">
        <v>34379</v>
      </c>
      <c r="C29522">
        <v>0</v>
      </c>
      <c r="D29522">
        <v>0.89647794483700005</v>
      </c>
      <c r="E29522">
        <v>0.86356821589205401</v>
      </c>
    </row>
    <row r="29523" spans="1:5">
      <c r="A29523" t="s">
        <v>34377</v>
      </c>
      <c r="B29523" t="s">
        <v>34380</v>
      </c>
      <c r="C29523">
        <v>0</v>
      </c>
      <c r="D29523">
        <v>0.89647794483700005</v>
      </c>
      <c r="E29523">
        <v>0.86356821589205401</v>
      </c>
    </row>
    <row r="29524" spans="1:5">
      <c r="A29524" t="s">
        <v>34377</v>
      </c>
      <c r="B29524" t="s">
        <v>34381</v>
      </c>
      <c r="C29524">
        <f>0</f>
        <v>0</v>
      </c>
      <c r="D29524">
        <v>0.89647794483700005</v>
      </c>
      <c r="E29524">
        <v>0.86356821589205401</v>
      </c>
    </row>
    <row r="29525" spans="1:5">
      <c r="A29525" t="s">
        <v>34377</v>
      </c>
      <c r="B29525" t="s">
        <v>34382</v>
      </c>
      <c r="C29525">
        <f>0</f>
        <v>0</v>
      </c>
      <c r="D29525">
        <v>0.89647794483700005</v>
      </c>
      <c r="E29525">
        <v>0.86356821589205401</v>
      </c>
    </row>
    <row r="29526" spans="1:5">
      <c r="A29526" t="s">
        <v>34377</v>
      </c>
      <c r="B29526" t="s">
        <v>34383</v>
      </c>
      <c r="C29526">
        <v>7.6087666232500003E-4</v>
      </c>
      <c r="D29526">
        <v>0.89647794483700005</v>
      </c>
      <c r="E29526">
        <v>0.86356821589205401</v>
      </c>
    </row>
    <row r="29527" spans="1:5">
      <c r="A29527" t="s">
        <v>34377</v>
      </c>
      <c r="B29527" t="s">
        <v>34384</v>
      </c>
      <c r="C29527">
        <v>0</v>
      </c>
      <c r="D29527">
        <v>0.89647794483700005</v>
      </c>
      <c r="E29527">
        <v>0.86356821589205401</v>
      </c>
    </row>
    <row r="29528" spans="1:5">
      <c r="A29528" t="s">
        <v>34377</v>
      </c>
      <c r="B29528" t="s">
        <v>34385</v>
      </c>
      <c r="C29528">
        <v>0</v>
      </c>
      <c r="D29528">
        <v>0.89647794483700005</v>
      </c>
      <c r="E29528">
        <v>0.86356821589205401</v>
      </c>
    </row>
    <row r="29529" spans="1:5">
      <c r="A29529" t="s">
        <v>34377</v>
      </c>
      <c r="B29529" t="s">
        <v>34386</v>
      </c>
      <c r="C29529">
        <v>3.0400562954399999E-2</v>
      </c>
      <c r="D29529">
        <v>0.89647794483700005</v>
      </c>
      <c r="E29529">
        <v>0.86356821589205401</v>
      </c>
    </row>
    <row r="29530" spans="1:5">
      <c r="A29530" t="s">
        <v>34377</v>
      </c>
      <c r="B29530" t="s">
        <v>34387</v>
      </c>
      <c r="C29530">
        <v>0</v>
      </c>
      <c r="D29530">
        <v>0.89647794483700005</v>
      </c>
      <c r="E29530">
        <v>0.86356821589205401</v>
      </c>
    </row>
    <row r="29531" spans="1:5">
      <c r="A29531" t="s">
        <v>34388</v>
      </c>
      <c r="B29531" t="s">
        <v>34389</v>
      </c>
      <c r="C29531">
        <v>0.165308649364</v>
      </c>
      <c r="D29531">
        <v>0.97669258217199995</v>
      </c>
      <c r="E29531">
        <v>10.0749625187406</v>
      </c>
    </row>
    <row r="29532" spans="1:5">
      <c r="A29532" t="s">
        <v>34388</v>
      </c>
      <c r="B29532" t="s">
        <v>34390</v>
      </c>
      <c r="C29532">
        <v>0</v>
      </c>
      <c r="D29532">
        <v>0.97669258217199995</v>
      </c>
      <c r="E29532">
        <v>10.0749625187406</v>
      </c>
    </row>
    <row r="29533" spans="1:5">
      <c r="A29533" t="s">
        <v>34388</v>
      </c>
      <c r="B29533" t="s">
        <v>34391</v>
      </c>
      <c r="C29533">
        <v>0</v>
      </c>
      <c r="D29533">
        <v>0.97669258217199995</v>
      </c>
      <c r="E29533">
        <v>10.0749625187406</v>
      </c>
    </row>
    <row r="29534" spans="1:5">
      <c r="A29534" t="s">
        <v>34388</v>
      </c>
      <c r="B29534" t="s">
        <v>34392</v>
      </c>
      <c r="C29534">
        <v>0</v>
      </c>
      <c r="D29534">
        <v>0.97669258217199995</v>
      </c>
      <c r="E29534">
        <v>10.0749625187406</v>
      </c>
    </row>
    <row r="29535" spans="1:5">
      <c r="A29535" t="s">
        <v>34388</v>
      </c>
      <c r="B29535" t="s">
        <v>34393</v>
      </c>
      <c r="C29535">
        <v>4.5063982629799998E-3</v>
      </c>
      <c r="D29535">
        <v>0.97669258217199995</v>
      </c>
      <c r="E29535">
        <v>10.0749625187406</v>
      </c>
    </row>
    <row r="29536" spans="1:5">
      <c r="A29536" t="s">
        <v>34388</v>
      </c>
      <c r="B29536" t="s">
        <v>34394</v>
      </c>
      <c r="C29536">
        <v>0</v>
      </c>
      <c r="D29536">
        <v>0.97669258217199995</v>
      </c>
      <c r="E29536">
        <v>10.0749625187406</v>
      </c>
    </row>
    <row r="29537" spans="1:5">
      <c r="A29537" t="s">
        <v>34395</v>
      </c>
      <c r="B29537" t="s">
        <v>34396</v>
      </c>
      <c r="C29537">
        <f>0</f>
        <v>0</v>
      </c>
      <c r="D29537">
        <v>0.94266159654299997</v>
      </c>
      <c r="E29537">
        <v>10.398800599700101</v>
      </c>
    </row>
    <row r="29538" spans="1:5">
      <c r="A29538" t="s">
        <v>34395</v>
      </c>
      <c r="B29538" t="s">
        <v>34397</v>
      </c>
      <c r="C29538">
        <v>0.422308240444</v>
      </c>
      <c r="D29538">
        <v>0.94266159654299997</v>
      </c>
      <c r="E29538">
        <v>10.398800599700101</v>
      </c>
    </row>
    <row r="29539" spans="1:5">
      <c r="A29539" t="s">
        <v>34395</v>
      </c>
      <c r="B29539" t="s">
        <v>34398</v>
      </c>
      <c r="C29539">
        <v>0</v>
      </c>
      <c r="D29539">
        <v>0.94266159654299997</v>
      </c>
      <c r="E29539">
        <v>10.398800599700101</v>
      </c>
    </row>
    <row r="29540" spans="1:5">
      <c r="A29540" t="s">
        <v>34395</v>
      </c>
      <c r="B29540" t="s">
        <v>34399</v>
      </c>
      <c r="C29540">
        <v>0</v>
      </c>
      <c r="D29540">
        <v>0.94266159654299997</v>
      </c>
      <c r="E29540">
        <v>10.398800599700101</v>
      </c>
    </row>
    <row r="29541" spans="1:5">
      <c r="A29541" t="s">
        <v>34395</v>
      </c>
      <c r="B29541" t="s">
        <v>34400</v>
      </c>
      <c r="C29541">
        <v>0</v>
      </c>
      <c r="D29541">
        <v>0.94266159654299997</v>
      </c>
      <c r="E29541">
        <v>10.398800599700101</v>
      </c>
    </row>
    <row r="29542" spans="1:5">
      <c r="A29542" t="s">
        <v>34395</v>
      </c>
      <c r="B29542" t="s">
        <v>34401</v>
      </c>
      <c r="C29542">
        <f>0</f>
        <v>0</v>
      </c>
      <c r="D29542">
        <v>0.94266159654299997</v>
      </c>
      <c r="E29542">
        <v>10.398800599700101</v>
      </c>
    </row>
    <row r="29543" spans="1:5">
      <c r="A29543" t="s">
        <v>34395</v>
      </c>
      <c r="B29543" t="s">
        <v>34402</v>
      </c>
      <c r="C29543">
        <v>0</v>
      </c>
      <c r="D29543">
        <v>0.94266159654299997</v>
      </c>
      <c r="E29543">
        <v>10.398800599700101</v>
      </c>
    </row>
    <row r="29544" spans="1:5">
      <c r="A29544" t="s">
        <v>34395</v>
      </c>
      <c r="B29544" t="s">
        <v>34403</v>
      </c>
      <c r="C29544">
        <f>0</f>
        <v>0</v>
      </c>
      <c r="D29544">
        <v>0.94266159654299997</v>
      </c>
      <c r="E29544">
        <v>10.398800599700101</v>
      </c>
    </row>
    <row r="29545" spans="1:5">
      <c r="A29545" t="s">
        <v>34395</v>
      </c>
      <c r="B29545" t="s">
        <v>34404</v>
      </c>
      <c r="C29545">
        <v>0</v>
      </c>
      <c r="D29545">
        <v>0.94266159654299997</v>
      </c>
      <c r="E29545">
        <v>10.398800599700101</v>
      </c>
    </row>
    <row r="29546" spans="1:5">
      <c r="A29546" t="s">
        <v>34395</v>
      </c>
      <c r="B29546" t="s">
        <v>34405</v>
      </c>
      <c r="C29546">
        <f>0</f>
        <v>0</v>
      </c>
      <c r="D29546">
        <v>0.94266159654299997</v>
      </c>
      <c r="E29546">
        <v>10.398800599700101</v>
      </c>
    </row>
    <row r="29547" spans="1:5">
      <c r="A29547" t="s">
        <v>34395</v>
      </c>
      <c r="B29547" t="s">
        <v>34406</v>
      </c>
      <c r="C29547">
        <f>0</f>
        <v>0</v>
      </c>
      <c r="D29547">
        <v>0.94266159654299997</v>
      </c>
      <c r="E29547">
        <v>10.398800599700101</v>
      </c>
    </row>
    <row r="29548" spans="1:5">
      <c r="A29548" t="s">
        <v>34395</v>
      </c>
      <c r="B29548" t="s">
        <v>34407</v>
      </c>
      <c r="C29548">
        <v>0</v>
      </c>
      <c r="D29548">
        <v>0.94266159654299997</v>
      </c>
      <c r="E29548">
        <v>10.398800599700101</v>
      </c>
    </row>
    <row r="29549" spans="1:5">
      <c r="A29549" t="s">
        <v>34395</v>
      </c>
      <c r="B29549" t="s">
        <v>34408</v>
      </c>
      <c r="C29549">
        <f>0</f>
        <v>0</v>
      </c>
      <c r="D29549">
        <v>0.94266159654299997</v>
      </c>
      <c r="E29549">
        <v>10.398800599700101</v>
      </c>
    </row>
    <row r="29550" spans="1:5">
      <c r="A29550" t="s">
        <v>34409</v>
      </c>
      <c r="B29550" t="s">
        <v>34410</v>
      </c>
      <c r="C29550">
        <f>0</f>
        <v>0</v>
      </c>
      <c r="D29550">
        <v>0.920981030531</v>
      </c>
      <c r="E29550">
        <v>1.39130434782608</v>
      </c>
    </row>
    <row r="29551" spans="1:5">
      <c r="A29551" t="s">
        <v>34409</v>
      </c>
      <c r="B29551" t="s">
        <v>34411</v>
      </c>
      <c r="C29551">
        <f>0</f>
        <v>0</v>
      </c>
      <c r="D29551">
        <v>0.920981030531</v>
      </c>
      <c r="E29551">
        <v>1.39130434782608</v>
      </c>
    </row>
    <row r="29552" spans="1:5">
      <c r="A29552" t="s">
        <v>34409</v>
      </c>
      <c r="B29552" t="s">
        <v>34412</v>
      </c>
      <c r="C29552">
        <f>0</f>
        <v>0</v>
      </c>
      <c r="D29552">
        <v>0.920981030531</v>
      </c>
      <c r="E29552">
        <v>1.39130434782608</v>
      </c>
    </row>
    <row r="29553" spans="1:5">
      <c r="A29553" t="s">
        <v>34409</v>
      </c>
      <c r="B29553" t="s">
        <v>34413</v>
      </c>
      <c r="C29553">
        <f>0.213046278697</f>
        <v>0.21304627869699999</v>
      </c>
      <c r="D29553">
        <v>0.920981030531</v>
      </c>
      <c r="E29553">
        <v>1.39130434782608</v>
      </c>
    </row>
    <row r="29554" spans="1:5">
      <c r="A29554" t="s">
        <v>34409</v>
      </c>
      <c r="B29554" t="s">
        <v>34414</v>
      </c>
      <c r="C29554">
        <v>0</v>
      </c>
      <c r="D29554">
        <v>0.920981030531</v>
      </c>
      <c r="E29554">
        <v>1.39130434782608</v>
      </c>
    </row>
    <row r="29555" spans="1:5">
      <c r="A29555" t="s">
        <v>34415</v>
      </c>
      <c r="B29555" t="s">
        <v>34416</v>
      </c>
      <c r="C29555">
        <v>4.4866261760300001E-2</v>
      </c>
      <c r="D29555">
        <v>0.89040627941100003</v>
      </c>
      <c r="E29555">
        <v>24</v>
      </c>
    </row>
    <row r="29556" spans="1:5">
      <c r="A29556" t="s">
        <v>34417</v>
      </c>
      <c r="B29556" t="s">
        <v>34418</v>
      </c>
      <c r="C29556">
        <f>0.439726139962</f>
        <v>0.439726139962</v>
      </c>
      <c r="D29556">
        <v>0.91192863378</v>
      </c>
      <c r="E29556">
        <v>2.7106446776611599</v>
      </c>
    </row>
    <row r="29557" spans="1:5">
      <c r="A29557" t="s">
        <v>34417</v>
      </c>
      <c r="B29557" t="s">
        <v>34419</v>
      </c>
      <c r="C29557">
        <f>0</f>
        <v>0</v>
      </c>
      <c r="D29557">
        <v>0.91192863378</v>
      </c>
      <c r="E29557">
        <v>2.7106446776611599</v>
      </c>
    </row>
    <row r="29558" spans="1:5">
      <c r="A29558" t="s">
        <v>34417</v>
      </c>
      <c r="B29558" t="s">
        <v>34420</v>
      </c>
      <c r="C29558">
        <f>0.199941951729</f>
        <v>0.19994195172900001</v>
      </c>
      <c r="D29558">
        <v>0.91192863378</v>
      </c>
      <c r="E29558">
        <v>2.7106446776611599</v>
      </c>
    </row>
    <row r="29559" spans="1:5">
      <c r="A29559" t="s">
        <v>34417</v>
      </c>
      <c r="B29559" t="s">
        <v>34421</v>
      </c>
      <c r="C29559">
        <f>0</f>
        <v>0</v>
      </c>
      <c r="D29559">
        <v>0.91192863378</v>
      </c>
      <c r="E29559">
        <v>2.7106446776611599</v>
      </c>
    </row>
    <row r="29560" spans="1:5">
      <c r="A29560" t="s">
        <v>34417</v>
      </c>
      <c r="B29560" t="s">
        <v>34422</v>
      </c>
      <c r="C29560">
        <f>0</f>
        <v>0</v>
      </c>
      <c r="D29560">
        <v>0.91192863378</v>
      </c>
      <c r="E29560">
        <v>2.7106446776611599</v>
      </c>
    </row>
    <row r="29561" spans="1:5">
      <c r="A29561" t="s">
        <v>34423</v>
      </c>
      <c r="B29561" t="s">
        <v>34424</v>
      </c>
      <c r="C29561">
        <v>1.27450024812E-3</v>
      </c>
      <c r="D29561" t="s">
        <v>106</v>
      </c>
      <c r="E29561">
        <v>24</v>
      </c>
    </row>
    <row r="29562" spans="1:5">
      <c r="A29562" t="s">
        <v>34423</v>
      </c>
      <c r="B29562" t="s">
        <v>34425</v>
      </c>
      <c r="C29562">
        <v>2.8067057133699998E-2</v>
      </c>
      <c r="D29562" t="s">
        <v>106</v>
      </c>
      <c r="E29562">
        <v>24</v>
      </c>
    </row>
    <row r="29563" spans="1:5">
      <c r="A29563" t="s">
        <v>34423</v>
      </c>
      <c r="B29563" t="s">
        <v>34426</v>
      </c>
      <c r="C29563">
        <v>0</v>
      </c>
      <c r="D29563" t="s">
        <v>106</v>
      </c>
      <c r="E29563">
        <v>24</v>
      </c>
    </row>
    <row r="29564" spans="1:5">
      <c r="A29564" t="s">
        <v>34423</v>
      </c>
      <c r="B29564" t="s">
        <v>34427</v>
      </c>
      <c r="C29564">
        <f>0</f>
        <v>0</v>
      </c>
      <c r="D29564" t="s">
        <v>106</v>
      </c>
      <c r="E29564">
        <v>24</v>
      </c>
    </row>
    <row r="29565" spans="1:5">
      <c r="A29565" t="s">
        <v>34423</v>
      </c>
      <c r="B29565" t="s">
        <v>34428</v>
      </c>
      <c r="C29565">
        <v>0</v>
      </c>
      <c r="D29565" t="s">
        <v>106</v>
      </c>
      <c r="E29565">
        <v>24</v>
      </c>
    </row>
    <row r="29566" spans="1:5">
      <c r="A29566" t="s">
        <v>34423</v>
      </c>
      <c r="B29566" t="s">
        <v>34429</v>
      </c>
      <c r="C29566">
        <f>0</f>
        <v>0</v>
      </c>
      <c r="D29566" t="s">
        <v>106</v>
      </c>
      <c r="E29566">
        <v>24</v>
      </c>
    </row>
    <row r="29567" spans="1:5">
      <c r="A29567" t="s">
        <v>34423</v>
      </c>
      <c r="B29567" t="s">
        <v>34430</v>
      </c>
      <c r="C29567">
        <f>0</f>
        <v>0</v>
      </c>
      <c r="D29567" t="s">
        <v>106</v>
      </c>
      <c r="E29567">
        <v>24</v>
      </c>
    </row>
    <row r="29568" spans="1:5">
      <c r="A29568" t="s">
        <v>34431</v>
      </c>
      <c r="B29568" t="s">
        <v>34432</v>
      </c>
      <c r="C29568">
        <f>0</f>
        <v>0</v>
      </c>
      <c r="D29568">
        <v>0.863378660982</v>
      </c>
      <c r="E29568">
        <v>2.0269865067466202</v>
      </c>
    </row>
    <row r="29569" spans="1:5">
      <c r="A29569" t="s">
        <v>34431</v>
      </c>
      <c r="B29569" t="s">
        <v>34433</v>
      </c>
      <c r="C29569">
        <f>0.0421117165635</f>
        <v>4.2111716563499997E-2</v>
      </c>
      <c r="D29569">
        <v>0.863378660982</v>
      </c>
      <c r="E29569">
        <v>2.0269865067466202</v>
      </c>
    </row>
    <row r="29570" spans="1:5">
      <c r="A29570" t="s">
        <v>34431</v>
      </c>
      <c r="B29570" t="s">
        <v>34434</v>
      </c>
      <c r="C29570">
        <f>0.16815316842</f>
        <v>0.16815316842</v>
      </c>
      <c r="D29570">
        <v>0.863378660982</v>
      </c>
      <c r="E29570">
        <v>2.0269865067466202</v>
      </c>
    </row>
    <row r="29571" spans="1:5">
      <c r="A29571" t="s">
        <v>34431</v>
      </c>
      <c r="B29571" t="s">
        <v>34435</v>
      </c>
      <c r="C29571">
        <v>0</v>
      </c>
      <c r="D29571">
        <v>0.863378660982</v>
      </c>
      <c r="E29571">
        <v>2.0269865067466202</v>
      </c>
    </row>
    <row r="29572" spans="1:5">
      <c r="A29572" t="s">
        <v>34436</v>
      </c>
      <c r="B29572" t="s">
        <v>34437</v>
      </c>
      <c r="C29572">
        <f>0</f>
        <v>0</v>
      </c>
      <c r="D29572" t="s">
        <v>106</v>
      </c>
      <c r="E29572">
        <v>20.7376311844077</v>
      </c>
    </row>
    <row r="29573" spans="1:5">
      <c r="A29573" t="s">
        <v>34436</v>
      </c>
      <c r="B29573" t="s">
        <v>34438</v>
      </c>
      <c r="C29573">
        <v>0</v>
      </c>
      <c r="D29573" t="s">
        <v>106</v>
      </c>
      <c r="E29573">
        <v>20.7376311844077</v>
      </c>
    </row>
    <row r="29574" spans="1:5">
      <c r="A29574" t="s">
        <v>34436</v>
      </c>
      <c r="B29574" t="s">
        <v>34439</v>
      </c>
      <c r="C29574">
        <f>0</f>
        <v>0</v>
      </c>
      <c r="D29574" t="s">
        <v>106</v>
      </c>
      <c r="E29574">
        <v>20.7376311844077</v>
      </c>
    </row>
    <row r="29575" spans="1:5">
      <c r="A29575" t="s">
        <v>34436</v>
      </c>
      <c r="B29575" t="s">
        <v>34440</v>
      </c>
      <c r="C29575">
        <f>0</f>
        <v>0</v>
      </c>
      <c r="D29575" t="s">
        <v>106</v>
      </c>
      <c r="E29575">
        <v>20.7376311844077</v>
      </c>
    </row>
    <row r="29576" spans="1:5">
      <c r="A29576" t="s">
        <v>34436</v>
      </c>
      <c r="B29576" t="s">
        <v>34441</v>
      </c>
      <c r="C29576">
        <f>0</f>
        <v>0</v>
      </c>
      <c r="D29576" t="s">
        <v>106</v>
      </c>
      <c r="E29576">
        <v>20.7376311844077</v>
      </c>
    </row>
    <row r="29577" spans="1:5">
      <c r="A29577" t="s">
        <v>34442</v>
      </c>
      <c r="B29577" t="s">
        <v>34443</v>
      </c>
      <c r="C29577">
        <v>0</v>
      </c>
      <c r="D29577" t="s">
        <v>106</v>
      </c>
      <c r="E29577">
        <v>5.69715142428785</v>
      </c>
    </row>
    <row r="29578" spans="1:5">
      <c r="A29578" t="s">
        <v>34442</v>
      </c>
      <c r="B29578" t="s">
        <v>34444</v>
      </c>
      <c r="C29578">
        <v>0</v>
      </c>
      <c r="D29578" t="s">
        <v>106</v>
      </c>
      <c r="E29578">
        <v>5.69715142428785</v>
      </c>
    </row>
    <row r="29579" spans="1:5">
      <c r="A29579" t="s">
        <v>34442</v>
      </c>
      <c r="B29579" t="s">
        <v>34445</v>
      </c>
      <c r="C29579">
        <v>0</v>
      </c>
      <c r="D29579" t="s">
        <v>106</v>
      </c>
      <c r="E29579">
        <v>5.69715142428785</v>
      </c>
    </row>
    <row r="29580" spans="1:5">
      <c r="A29580" t="s">
        <v>34442</v>
      </c>
      <c r="B29580" t="s">
        <v>34446</v>
      </c>
      <c r="C29580">
        <v>0</v>
      </c>
      <c r="D29580" t="s">
        <v>106</v>
      </c>
      <c r="E29580">
        <v>5.69715142428785</v>
      </c>
    </row>
    <row r="29581" spans="1:5">
      <c r="A29581" t="s">
        <v>34442</v>
      </c>
      <c r="B29581" t="s">
        <v>34447</v>
      </c>
      <c r="C29581">
        <f>0</f>
        <v>0</v>
      </c>
      <c r="D29581" t="s">
        <v>106</v>
      </c>
      <c r="E29581">
        <v>5.69715142428785</v>
      </c>
    </row>
    <row r="29582" spans="1:5">
      <c r="A29582" t="s">
        <v>34442</v>
      </c>
      <c r="B29582" t="s">
        <v>34448</v>
      </c>
      <c r="C29582">
        <v>0</v>
      </c>
      <c r="D29582" t="s">
        <v>106</v>
      </c>
      <c r="E29582">
        <v>5.69715142428785</v>
      </c>
    </row>
    <row r="29583" spans="1:5">
      <c r="A29583" t="s">
        <v>34442</v>
      </c>
      <c r="B29583" t="s">
        <v>34449</v>
      </c>
      <c r="C29583">
        <f>0</f>
        <v>0</v>
      </c>
      <c r="D29583" t="s">
        <v>106</v>
      </c>
      <c r="E29583">
        <v>5.69715142428785</v>
      </c>
    </row>
    <row r="29584" spans="1:5">
      <c r="A29584" t="s">
        <v>34442</v>
      </c>
      <c r="B29584" t="s">
        <v>34450</v>
      </c>
      <c r="C29584">
        <v>0</v>
      </c>
      <c r="D29584" t="s">
        <v>106</v>
      </c>
      <c r="E29584">
        <v>5.69715142428785</v>
      </c>
    </row>
    <row r="29585" spans="1:5">
      <c r="A29585" t="s">
        <v>34442</v>
      </c>
      <c r="B29585" t="s">
        <v>34451</v>
      </c>
      <c r="C29585">
        <v>0</v>
      </c>
      <c r="D29585" t="s">
        <v>106</v>
      </c>
      <c r="E29585">
        <v>5.69715142428785</v>
      </c>
    </row>
    <row r="29586" spans="1:5">
      <c r="A29586" t="s">
        <v>34452</v>
      </c>
      <c r="B29586" t="s">
        <v>34453</v>
      </c>
      <c r="C29586">
        <v>0</v>
      </c>
      <c r="D29586">
        <v>0.95935860566999998</v>
      </c>
      <c r="E29586">
        <v>18.770614692653599</v>
      </c>
    </row>
    <row r="29587" spans="1:5">
      <c r="A29587" t="s">
        <v>34452</v>
      </c>
      <c r="B29587" t="s">
        <v>34454</v>
      </c>
      <c r="C29587">
        <f>0.125980318366</f>
        <v>0.12598031836599999</v>
      </c>
      <c r="D29587">
        <v>0.95935860566999998</v>
      </c>
      <c r="E29587">
        <v>18.770614692653599</v>
      </c>
    </row>
    <row r="29588" spans="1:5">
      <c r="A29588" t="s">
        <v>34452</v>
      </c>
      <c r="B29588" t="s">
        <v>34455</v>
      </c>
      <c r="C29588">
        <v>0</v>
      </c>
      <c r="D29588">
        <v>0.95935860566999998</v>
      </c>
      <c r="E29588">
        <v>18.770614692653599</v>
      </c>
    </row>
    <row r="29589" spans="1:5">
      <c r="A29589" t="s">
        <v>34452</v>
      </c>
      <c r="B29589" t="s">
        <v>34456</v>
      </c>
      <c r="C29589">
        <v>0</v>
      </c>
      <c r="D29589">
        <v>0.95935860566999998</v>
      </c>
      <c r="E29589">
        <v>18.770614692653599</v>
      </c>
    </row>
    <row r="29590" spans="1:5">
      <c r="A29590" t="s">
        <v>34452</v>
      </c>
      <c r="B29590" t="s">
        <v>34457</v>
      </c>
      <c r="C29590">
        <v>0</v>
      </c>
      <c r="D29590">
        <v>0.95935860566999998</v>
      </c>
      <c r="E29590">
        <v>18.770614692653599</v>
      </c>
    </row>
    <row r="29591" spans="1:5">
      <c r="A29591" t="s">
        <v>34458</v>
      </c>
      <c r="B29591" t="s">
        <v>34459</v>
      </c>
      <c r="C29591">
        <v>0</v>
      </c>
      <c r="D29591">
        <v>0.99108002492400005</v>
      </c>
      <c r="E29591">
        <v>10.5547226386806</v>
      </c>
    </row>
    <row r="29592" spans="1:5">
      <c r="A29592" t="s">
        <v>34458</v>
      </c>
      <c r="B29592" t="s">
        <v>34460</v>
      </c>
      <c r="C29592">
        <v>0</v>
      </c>
      <c r="D29592">
        <v>0.99108002492400005</v>
      </c>
      <c r="E29592">
        <v>10.5547226386806</v>
      </c>
    </row>
    <row r="29593" spans="1:5">
      <c r="A29593" t="s">
        <v>34458</v>
      </c>
      <c r="B29593" t="s">
        <v>34461</v>
      </c>
      <c r="C29593">
        <v>0</v>
      </c>
      <c r="D29593">
        <v>0.99108002492400005</v>
      </c>
      <c r="E29593">
        <v>10.5547226386806</v>
      </c>
    </row>
    <row r="29594" spans="1:5">
      <c r="A29594" t="s">
        <v>34458</v>
      </c>
      <c r="B29594" t="s">
        <v>34462</v>
      </c>
      <c r="C29594">
        <f>0</f>
        <v>0</v>
      </c>
      <c r="D29594">
        <v>0.99108002492400005</v>
      </c>
      <c r="E29594">
        <v>10.5547226386806</v>
      </c>
    </row>
    <row r="29595" spans="1:5">
      <c r="A29595" t="s">
        <v>34458</v>
      </c>
      <c r="B29595" t="s">
        <v>34463</v>
      </c>
      <c r="C29595">
        <v>0</v>
      </c>
      <c r="D29595">
        <v>0.99108002492400005</v>
      </c>
      <c r="E29595">
        <v>10.5547226386806</v>
      </c>
    </row>
    <row r="29596" spans="1:5">
      <c r="A29596" t="s">
        <v>34458</v>
      </c>
      <c r="B29596" t="s">
        <v>34464</v>
      </c>
      <c r="C29596">
        <f>0</f>
        <v>0</v>
      </c>
      <c r="D29596">
        <v>0.99108002492400005</v>
      </c>
      <c r="E29596">
        <v>10.5547226386806</v>
      </c>
    </row>
    <row r="29597" spans="1:5">
      <c r="A29597" t="s">
        <v>34458</v>
      </c>
      <c r="B29597" t="s">
        <v>34465</v>
      </c>
      <c r="C29597">
        <v>0.100681954064</v>
      </c>
      <c r="D29597">
        <v>0.99108002492400005</v>
      </c>
      <c r="E29597">
        <v>10.5547226386806</v>
      </c>
    </row>
    <row r="29598" spans="1:5">
      <c r="A29598" t="s">
        <v>34458</v>
      </c>
      <c r="B29598" t="s">
        <v>34466</v>
      </c>
      <c r="C29598">
        <v>0.318665923282</v>
      </c>
      <c r="D29598">
        <v>0.99108002492400005</v>
      </c>
      <c r="E29598">
        <v>10.5547226386806</v>
      </c>
    </row>
    <row r="29599" spans="1:5">
      <c r="A29599" t="s">
        <v>34458</v>
      </c>
      <c r="B29599" t="s">
        <v>34467</v>
      </c>
      <c r="C29599">
        <v>0</v>
      </c>
      <c r="D29599">
        <v>0.99108002492400005</v>
      </c>
      <c r="E29599">
        <v>10.5547226386806</v>
      </c>
    </row>
    <row r="29600" spans="1:5">
      <c r="A29600" t="s">
        <v>34458</v>
      </c>
      <c r="B29600" t="s">
        <v>34468</v>
      </c>
      <c r="C29600">
        <v>0</v>
      </c>
      <c r="D29600">
        <v>0.99108002492400005</v>
      </c>
      <c r="E29600">
        <v>10.5547226386806</v>
      </c>
    </row>
    <row r="29601" spans="1:5">
      <c r="A29601" t="s">
        <v>34458</v>
      </c>
      <c r="B29601" t="s">
        <v>34469</v>
      </c>
      <c r="C29601">
        <v>0</v>
      </c>
      <c r="D29601">
        <v>0.99108002492400005</v>
      </c>
      <c r="E29601">
        <v>10.5547226386806</v>
      </c>
    </row>
    <row r="29602" spans="1:5">
      <c r="A29602" t="s">
        <v>34458</v>
      </c>
      <c r="B29602" t="s">
        <v>34470</v>
      </c>
      <c r="C29602">
        <f>0</f>
        <v>0</v>
      </c>
      <c r="D29602">
        <v>0.99108002492400005</v>
      </c>
      <c r="E29602">
        <v>10.5547226386806</v>
      </c>
    </row>
    <row r="29603" spans="1:5">
      <c r="A29603" t="s">
        <v>34471</v>
      </c>
      <c r="B29603" t="s">
        <v>34472</v>
      </c>
      <c r="C29603">
        <v>0</v>
      </c>
      <c r="D29603" t="s">
        <v>106</v>
      </c>
      <c r="E29603">
        <v>24</v>
      </c>
    </row>
    <row r="29604" spans="1:5">
      <c r="A29604" t="s">
        <v>34471</v>
      </c>
      <c r="B29604" t="s">
        <v>34473</v>
      </c>
      <c r="C29604">
        <f>0</f>
        <v>0</v>
      </c>
      <c r="D29604" t="s">
        <v>106</v>
      </c>
      <c r="E29604">
        <v>24</v>
      </c>
    </row>
    <row r="29605" spans="1:5">
      <c r="A29605" t="s">
        <v>34474</v>
      </c>
      <c r="B29605" t="s">
        <v>34475</v>
      </c>
      <c r="C29605">
        <f>0</f>
        <v>0</v>
      </c>
      <c r="D29605" t="s">
        <v>106</v>
      </c>
      <c r="E29605">
        <v>1.16341829085457</v>
      </c>
    </row>
    <row r="29606" spans="1:5">
      <c r="A29606" t="s">
        <v>34476</v>
      </c>
      <c r="B29606" t="s">
        <v>34477</v>
      </c>
      <c r="C29606">
        <v>9.2755251534899996E-2</v>
      </c>
      <c r="D29606">
        <v>0.85717153847899996</v>
      </c>
      <c r="E29606">
        <v>18.986506746626599</v>
      </c>
    </row>
    <row r="29607" spans="1:5">
      <c r="A29607" t="s">
        <v>34476</v>
      </c>
      <c r="B29607" t="s">
        <v>34478</v>
      </c>
      <c r="C29607">
        <v>0</v>
      </c>
      <c r="D29607">
        <v>0.85717153847899996</v>
      </c>
      <c r="E29607">
        <v>18.986506746626599</v>
      </c>
    </row>
    <row r="29608" spans="1:5">
      <c r="A29608" t="s">
        <v>34479</v>
      </c>
      <c r="B29608" t="s">
        <v>34480</v>
      </c>
      <c r="C29608">
        <v>0</v>
      </c>
      <c r="D29608">
        <v>0.71151918273899994</v>
      </c>
      <c r="E29608">
        <v>14.3688155922038</v>
      </c>
    </row>
    <row r="29609" spans="1:5">
      <c r="A29609" t="s">
        <v>34479</v>
      </c>
      <c r="B29609" t="s">
        <v>34481</v>
      </c>
      <c r="C29609">
        <f>0.0841991447266</f>
        <v>8.4199144726600006E-2</v>
      </c>
      <c r="D29609">
        <v>0.71151918273899994</v>
      </c>
      <c r="E29609">
        <v>14.3688155922038</v>
      </c>
    </row>
    <row r="29610" spans="1:5">
      <c r="A29610" t="s">
        <v>34479</v>
      </c>
      <c r="B29610" t="s">
        <v>34482</v>
      </c>
      <c r="C29610">
        <f>0</f>
        <v>0</v>
      </c>
      <c r="D29610">
        <v>0.71151918273899994</v>
      </c>
      <c r="E29610">
        <v>14.3688155922038</v>
      </c>
    </row>
    <row r="29611" spans="1:5">
      <c r="A29611" t="s">
        <v>34479</v>
      </c>
      <c r="B29611" t="s">
        <v>34483</v>
      </c>
      <c r="C29611">
        <f>0</f>
        <v>0</v>
      </c>
      <c r="D29611">
        <v>0.71151918273899994</v>
      </c>
      <c r="E29611">
        <v>14.3688155922038</v>
      </c>
    </row>
    <row r="29612" spans="1:5">
      <c r="A29612" t="s">
        <v>34479</v>
      </c>
      <c r="B29612" t="s">
        <v>34484</v>
      </c>
      <c r="C29612">
        <v>0</v>
      </c>
      <c r="D29612">
        <v>0.71151918273899994</v>
      </c>
      <c r="E29612">
        <v>14.3688155922038</v>
      </c>
    </row>
    <row r="29613" spans="1:5">
      <c r="A29613" t="s">
        <v>34485</v>
      </c>
      <c r="B29613" t="s">
        <v>34486</v>
      </c>
      <c r="C29613">
        <v>0</v>
      </c>
      <c r="D29613">
        <v>0.99499304994399995</v>
      </c>
      <c r="E29613">
        <v>24</v>
      </c>
    </row>
    <row r="29614" spans="1:5">
      <c r="A29614" t="s">
        <v>34485</v>
      </c>
      <c r="B29614" t="s">
        <v>34487</v>
      </c>
      <c r="C29614">
        <f>0</f>
        <v>0</v>
      </c>
      <c r="D29614">
        <v>0.99499304994399995</v>
      </c>
      <c r="E29614">
        <v>24</v>
      </c>
    </row>
    <row r="29615" spans="1:5">
      <c r="A29615" t="s">
        <v>34485</v>
      </c>
      <c r="B29615" t="s">
        <v>34488</v>
      </c>
      <c r="C29615">
        <f>0</f>
        <v>0</v>
      </c>
      <c r="D29615">
        <v>0.99499304994399995</v>
      </c>
      <c r="E29615">
        <v>24</v>
      </c>
    </row>
    <row r="29616" spans="1:5">
      <c r="A29616" t="s">
        <v>34485</v>
      </c>
      <c r="B29616" t="s">
        <v>34489</v>
      </c>
      <c r="C29616">
        <f>0.0991388082299</f>
        <v>9.9138808229899997E-2</v>
      </c>
      <c r="D29616">
        <v>0.99499304994399995</v>
      </c>
      <c r="E29616">
        <v>24</v>
      </c>
    </row>
    <row r="29617" spans="1:5">
      <c r="A29617" t="s">
        <v>34485</v>
      </c>
      <c r="B29617" t="s">
        <v>34490</v>
      </c>
      <c r="C29617">
        <f>0</f>
        <v>0</v>
      </c>
      <c r="D29617">
        <v>0.99499304994399995</v>
      </c>
      <c r="E29617">
        <v>24</v>
      </c>
    </row>
    <row r="29618" spans="1:5">
      <c r="A29618" t="s">
        <v>34485</v>
      </c>
      <c r="B29618" t="s">
        <v>34491</v>
      </c>
      <c r="C29618">
        <f>0</f>
        <v>0</v>
      </c>
      <c r="D29618">
        <v>0.99499304994399995</v>
      </c>
      <c r="E29618">
        <v>24</v>
      </c>
    </row>
    <row r="29619" spans="1:5">
      <c r="A29619" t="s">
        <v>34485</v>
      </c>
      <c r="B29619" t="s">
        <v>34492</v>
      </c>
      <c r="C29619">
        <f>0</f>
        <v>0</v>
      </c>
      <c r="D29619">
        <v>0.99499304994399995</v>
      </c>
      <c r="E29619">
        <v>24</v>
      </c>
    </row>
    <row r="29620" spans="1:5">
      <c r="A29620" t="s">
        <v>34485</v>
      </c>
      <c r="B29620" t="s">
        <v>34493</v>
      </c>
      <c r="C29620">
        <f>0.0406231639383</f>
        <v>4.0623163938299997E-2</v>
      </c>
      <c r="D29620">
        <v>0.99499304994399995</v>
      </c>
      <c r="E29620">
        <v>24</v>
      </c>
    </row>
    <row r="29621" spans="1:5">
      <c r="A29621" t="s">
        <v>34494</v>
      </c>
      <c r="B29621" t="s">
        <v>34495</v>
      </c>
      <c r="C29621">
        <v>0.20303031229499999</v>
      </c>
      <c r="D29621" t="s">
        <v>106</v>
      </c>
      <c r="E29621">
        <v>19.850074962518701</v>
      </c>
    </row>
    <row r="29622" spans="1:5">
      <c r="A29622" t="s">
        <v>34494</v>
      </c>
      <c r="B29622" t="s">
        <v>34496</v>
      </c>
      <c r="C29622">
        <v>0</v>
      </c>
      <c r="D29622" t="s">
        <v>106</v>
      </c>
      <c r="E29622">
        <v>19.850074962518701</v>
      </c>
    </row>
    <row r="29623" spans="1:5">
      <c r="A29623" t="s">
        <v>34494</v>
      </c>
      <c r="B29623" t="s">
        <v>34497</v>
      </c>
      <c r="C29623">
        <f>0</f>
        <v>0</v>
      </c>
      <c r="D29623" t="s">
        <v>106</v>
      </c>
      <c r="E29623">
        <v>19.850074962518701</v>
      </c>
    </row>
    <row r="29624" spans="1:5">
      <c r="A29624" t="s">
        <v>34494</v>
      </c>
      <c r="B29624" t="s">
        <v>34498</v>
      </c>
      <c r="C29624">
        <f>0.0460008253569</f>
        <v>4.6000825356899998E-2</v>
      </c>
      <c r="D29624" t="s">
        <v>106</v>
      </c>
      <c r="E29624">
        <v>19.850074962518701</v>
      </c>
    </row>
    <row r="29625" spans="1:5">
      <c r="A29625" t="s">
        <v>34494</v>
      </c>
      <c r="B29625" t="s">
        <v>34499</v>
      </c>
      <c r="C29625">
        <f>0</f>
        <v>0</v>
      </c>
      <c r="D29625" t="s">
        <v>106</v>
      </c>
      <c r="E29625">
        <v>19.850074962518701</v>
      </c>
    </row>
    <row r="29626" spans="1:5">
      <c r="A29626" t="s">
        <v>34494</v>
      </c>
      <c r="B29626" t="s">
        <v>34500</v>
      </c>
      <c r="C29626">
        <f>0</f>
        <v>0</v>
      </c>
      <c r="D29626" t="s">
        <v>106</v>
      </c>
      <c r="E29626">
        <v>19.850074962518701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5DF5F-A61B-4D42-8DF0-BE0EE11581AC}">
  <dimension ref="A1:E23111"/>
  <sheetViews>
    <sheetView workbookViewId="0">
      <selection activeCell="E1" sqref="A1:E1"/>
    </sheetView>
  </sheetViews>
  <sheetFormatPr defaultRowHeight="15"/>
  <cols>
    <col min="1" max="1" width="16.42578125" bestFit="1" customWidth="1"/>
    <col min="2" max="2" width="16.140625" bestFit="1" customWidth="1"/>
  </cols>
  <sheetData>
    <row r="1" spans="1:5">
      <c r="A1" s="2" t="s">
        <v>5</v>
      </c>
      <c r="B1" s="2" t="s">
        <v>6</v>
      </c>
      <c r="C1" s="2" t="s">
        <v>7</v>
      </c>
      <c r="D1" s="2" t="s">
        <v>34501</v>
      </c>
      <c r="E1" s="2" t="s">
        <v>9</v>
      </c>
    </row>
    <row r="2" spans="1:5">
      <c r="A2" t="s">
        <v>34502</v>
      </c>
      <c r="B2" t="s">
        <v>2369</v>
      </c>
      <c r="C2">
        <f>0</f>
        <v>0</v>
      </c>
      <c r="D2" t="s">
        <v>106</v>
      </c>
      <c r="E2">
        <v>2.1779999999999999</v>
      </c>
    </row>
    <row r="3" spans="1:5">
      <c r="A3" t="s">
        <v>34502</v>
      </c>
      <c r="B3" t="s">
        <v>2370</v>
      </c>
      <c r="C3">
        <f>0</f>
        <v>0</v>
      </c>
      <c r="D3" t="s">
        <v>106</v>
      </c>
      <c r="E3">
        <v>2.1779999999999999</v>
      </c>
    </row>
    <row r="4" spans="1:5">
      <c r="A4" t="s">
        <v>34502</v>
      </c>
      <c r="B4" t="s">
        <v>2367</v>
      </c>
      <c r="C4">
        <f>0</f>
        <v>0</v>
      </c>
      <c r="D4" t="s">
        <v>106</v>
      </c>
      <c r="E4">
        <v>2.1779999999999999</v>
      </c>
    </row>
    <row r="5" spans="1:5">
      <c r="A5" t="s">
        <v>34503</v>
      </c>
      <c r="B5" t="s">
        <v>34504</v>
      </c>
      <c r="C5">
        <f>0.5169581515</f>
        <v>0.51695815150000002</v>
      </c>
      <c r="D5">
        <v>0.64656815150000002</v>
      </c>
      <c r="E5">
        <v>24</v>
      </c>
    </row>
    <row r="6" spans="1:5">
      <c r="A6" t="s">
        <v>34503</v>
      </c>
      <c r="B6" t="s">
        <v>34505</v>
      </c>
      <c r="C6">
        <v>0</v>
      </c>
      <c r="D6">
        <v>0.64656815150000002</v>
      </c>
      <c r="E6">
        <v>24</v>
      </c>
    </row>
    <row r="7" spans="1:5">
      <c r="A7" t="s">
        <v>34506</v>
      </c>
      <c r="B7" t="s">
        <v>9860</v>
      </c>
      <c r="C7">
        <v>0.32563104974700002</v>
      </c>
      <c r="D7">
        <v>0.90141066602700004</v>
      </c>
      <c r="E7">
        <v>0.26400000000000001</v>
      </c>
    </row>
    <row r="8" spans="1:5">
      <c r="A8" t="s">
        <v>34506</v>
      </c>
      <c r="B8" t="s">
        <v>9858</v>
      </c>
      <c r="C8">
        <v>0.181190532254</v>
      </c>
      <c r="D8">
        <v>0.90141066602700004</v>
      </c>
      <c r="E8">
        <v>0.26400000000000001</v>
      </c>
    </row>
    <row r="9" spans="1:5">
      <c r="A9" t="s">
        <v>34506</v>
      </c>
      <c r="B9" t="s">
        <v>9865</v>
      </c>
      <c r="C9">
        <v>0</v>
      </c>
      <c r="D9">
        <v>0.90141066602700004</v>
      </c>
      <c r="E9">
        <v>0.26400000000000001</v>
      </c>
    </row>
    <row r="10" spans="1:5">
      <c r="A10" t="s">
        <v>34506</v>
      </c>
      <c r="B10" t="s">
        <v>9861</v>
      </c>
      <c r="C10">
        <v>0.11179132948499999</v>
      </c>
      <c r="D10">
        <v>0.90141066602700004</v>
      </c>
      <c r="E10">
        <v>0.26400000000000001</v>
      </c>
    </row>
    <row r="11" spans="1:5">
      <c r="A11" t="s">
        <v>34506</v>
      </c>
      <c r="B11" t="s">
        <v>9859</v>
      </c>
      <c r="C11">
        <v>0</v>
      </c>
      <c r="D11">
        <v>0.90141066602700004</v>
      </c>
      <c r="E11">
        <v>0.26400000000000001</v>
      </c>
    </row>
    <row r="12" spans="1:5">
      <c r="A12" t="s">
        <v>34506</v>
      </c>
      <c r="B12" t="s">
        <v>9864</v>
      </c>
      <c r="C12">
        <v>0</v>
      </c>
      <c r="D12">
        <v>0.90141066602700004</v>
      </c>
      <c r="E12">
        <v>0.26400000000000001</v>
      </c>
    </row>
    <row r="13" spans="1:5">
      <c r="A13" t="s">
        <v>34506</v>
      </c>
      <c r="B13" t="s">
        <v>9863</v>
      </c>
      <c r="C13">
        <v>0.19392097127300001</v>
      </c>
      <c r="D13">
        <v>0.90141066602700004</v>
      </c>
      <c r="E13">
        <v>0.26400000000000001</v>
      </c>
    </row>
    <row r="14" spans="1:5">
      <c r="A14" t="s">
        <v>34507</v>
      </c>
      <c r="B14" t="s">
        <v>34508</v>
      </c>
      <c r="C14">
        <f>0</f>
        <v>0</v>
      </c>
      <c r="D14" t="s">
        <v>106</v>
      </c>
      <c r="E14">
        <v>24</v>
      </c>
    </row>
    <row r="15" spans="1:5">
      <c r="A15" t="s">
        <v>34507</v>
      </c>
      <c r="B15" t="s">
        <v>34509</v>
      </c>
      <c r="C15">
        <f>0</f>
        <v>0</v>
      </c>
      <c r="D15" t="s">
        <v>106</v>
      </c>
      <c r="E15">
        <v>24</v>
      </c>
    </row>
    <row r="16" spans="1:5">
      <c r="A16" t="s">
        <v>34510</v>
      </c>
      <c r="B16" t="s">
        <v>34511</v>
      </c>
      <c r="C16">
        <f>0.462048203712</f>
        <v>0.46204820371200001</v>
      </c>
      <c r="D16">
        <v>0.84640545654199995</v>
      </c>
      <c r="E16">
        <v>0</v>
      </c>
    </row>
    <row r="17" spans="1:5">
      <c r="A17" t="s">
        <v>34510</v>
      </c>
      <c r="B17" t="s">
        <v>34512</v>
      </c>
      <c r="C17">
        <v>0.33087550100200003</v>
      </c>
      <c r="D17">
        <v>0.84640545654199995</v>
      </c>
      <c r="E17">
        <v>0</v>
      </c>
    </row>
    <row r="18" spans="1:5">
      <c r="A18" t="s">
        <v>34510</v>
      </c>
      <c r="B18" t="s">
        <v>34513</v>
      </c>
      <c r="C18">
        <f>0.850366210827</f>
        <v>0.85036621082700004</v>
      </c>
      <c r="D18">
        <v>0.84640545654199995</v>
      </c>
      <c r="E18">
        <v>0</v>
      </c>
    </row>
    <row r="19" spans="1:5">
      <c r="A19" t="s">
        <v>34514</v>
      </c>
      <c r="B19" t="s">
        <v>31427</v>
      </c>
      <c r="C19">
        <f>0.433488022711</f>
        <v>0.43348802271100001</v>
      </c>
      <c r="D19">
        <v>0.66389802271099996</v>
      </c>
      <c r="E19">
        <v>24</v>
      </c>
    </row>
    <row r="20" spans="1:5">
      <c r="A20" t="s">
        <v>34514</v>
      </c>
      <c r="B20" t="s">
        <v>31429</v>
      </c>
      <c r="C20">
        <f>0</f>
        <v>0</v>
      </c>
      <c r="D20">
        <v>0.66389802271099996</v>
      </c>
      <c r="E20">
        <v>24</v>
      </c>
    </row>
    <row r="21" spans="1:5">
      <c r="A21" t="s">
        <v>34515</v>
      </c>
      <c r="B21" t="s">
        <v>34516</v>
      </c>
      <c r="C21">
        <v>0</v>
      </c>
      <c r="D21" t="s">
        <v>106</v>
      </c>
      <c r="E21">
        <v>20.513999999999999</v>
      </c>
    </row>
    <row r="22" spans="1:5">
      <c r="A22" t="s">
        <v>34515</v>
      </c>
      <c r="B22" t="s">
        <v>34517</v>
      </c>
      <c r="C22">
        <f>0</f>
        <v>0</v>
      </c>
      <c r="D22" t="s">
        <v>106</v>
      </c>
      <c r="E22">
        <v>20.513999999999999</v>
      </c>
    </row>
    <row r="23" spans="1:5">
      <c r="A23" t="s">
        <v>34515</v>
      </c>
      <c r="B23" t="s">
        <v>34518</v>
      </c>
      <c r="C23">
        <f>0</f>
        <v>0</v>
      </c>
      <c r="D23" t="s">
        <v>106</v>
      </c>
      <c r="E23">
        <v>20.513999999999999</v>
      </c>
    </row>
    <row r="24" spans="1:5">
      <c r="A24" t="s">
        <v>34519</v>
      </c>
      <c r="B24" t="s">
        <v>640</v>
      </c>
      <c r="C24">
        <v>0</v>
      </c>
      <c r="D24" t="s">
        <v>106</v>
      </c>
      <c r="E24">
        <v>24</v>
      </c>
    </row>
    <row r="25" spans="1:5">
      <c r="A25" t="s">
        <v>34519</v>
      </c>
      <c r="B25" t="s">
        <v>639</v>
      </c>
      <c r="C25">
        <f>0</f>
        <v>0</v>
      </c>
      <c r="D25" t="s">
        <v>106</v>
      </c>
      <c r="E25">
        <v>24</v>
      </c>
    </row>
    <row r="26" spans="1:5">
      <c r="A26" t="s">
        <v>34519</v>
      </c>
      <c r="B26" t="s">
        <v>641</v>
      </c>
      <c r="C26">
        <v>0</v>
      </c>
      <c r="D26" t="s">
        <v>106</v>
      </c>
      <c r="E26">
        <v>24</v>
      </c>
    </row>
    <row r="27" spans="1:5">
      <c r="A27" t="s">
        <v>34519</v>
      </c>
      <c r="B27" t="s">
        <v>637</v>
      </c>
      <c r="C27">
        <f>0</f>
        <v>0</v>
      </c>
      <c r="D27" t="s">
        <v>106</v>
      </c>
      <c r="E27">
        <v>24</v>
      </c>
    </row>
    <row r="28" spans="1:5">
      <c r="A28" t="s">
        <v>34520</v>
      </c>
      <c r="B28" t="s">
        <v>34521</v>
      </c>
      <c r="C28">
        <v>0</v>
      </c>
      <c r="D28" t="s">
        <v>106</v>
      </c>
      <c r="E28">
        <v>19.632000000000001</v>
      </c>
    </row>
    <row r="29" spans="1:5">
      <c r="A29" t="s">
        <v>34520</v>
      </c>
      <c r="B29" t="s">
        <v>34522</v>
      </c>
      <c r="C29">
        <v>0</v>
      </c>
      <c r="D29" t="s">
        <v>106</v>
      </c>
      <c r="E29">
        <v>19.632000000000001</v>
      </c>
    </row>
    <row r="30" spans="1:5">
      <c r="A30" t="s">
        <v>34523</v>
      </c>
      <c r="B30" t="s">
        <v>34524</v>
      </c>
      <c r="C30">
        <f>0</f>
        <v>0</v>
      </c>
      <c r="D30">
        <v>0.565338196949</v>
      </c>
      <c r="E30">
        <v>6.8040000000000003</v>
      </c>
    </row>
    <row r="31" spans="1:5">
      <c r="A31" t="s">
        <v>34523</v>
      </c>
      <c r="B31" t="s">
        <v>34525</v>
      </c>
      <c r="C31">
        <f>0</f>
        <v>0</v>
      </c>
      <c r="D31">
        <v>0.565338196949</v>
      </c>
      <c r="E31">
        <v>6.8040000000000003</v>
      </c>
    </row>
    <row r="32" spans="1:5">
      <c r="A32" t="s">
        <v>34523</v>
      </c>
      <c r="B32" t="s">
        <v>34526</v>
      </c>
      <c r="C32">
        <v>0</v>
      </c>
      <c r="D32">
        <v>0.565338196949</v>
      </c>
      <c r="E32">
        <v>6.8040000000000003</v>
      </c>
    </row>
    <row r="33" spans="1:5">
      <c r="A33" t="s">
        <v>34523</v>
      </c>
      <c r="B33" t="s">
        <v>34527</v>
      </c>
      <c r="C33">
        <v>0.35641054960599999</v>
      </c>
      <c r="D33">
        <v>0.565338196949</v>
      </c>
      <c r="E33">
        <v>6.8040000000000003</v>
      </c>
    </row>
    <row r="34" spans="1:5">
      <c r="A34" t="s">
        <v>34523</v>
      </c>
      <c r="B34" t="s">
        <v>34528</v>
      </c>
      <c r="C34">
        <f>0.0197369283042</f>
        <v>1.9736928304199999E-2</v>
      </c>
      <c r="D34">
        <v>0.565338196949</v>
      </c>
      <c r="E34">
        <v>6.8040000000000003</v>
      </c>
    </row>
    <row r="35" spans="1:5">
      <c r="A35" t="s">
        <v>34529</v>
      </c>
      <c r="B35" t="s">
        <v>34530</v>
      </c>
      <c r="C35">
        <v>0.41426394966800001</v>
      </c>
      <c r="D35">
        <v>0.802258696361</v>
      </c>
      <c r="E35">
        <v>0.47399999999999998</v>
      </c>
    </row>
    <row r="36" spans="1:5">
      <c r="A36" t="s">
        <v>34529</v>
      </c>
      <c r="B36" t="s">
        <v>34531</v>
      </c>
      <c r="C36">
        <v>0.29749186561399998</v>
      </c>
      <c r="D36">
        <v>0.802258696361</v>
      </c>
      <c r="E36">
        <v>0.47399999999999998</v>
      </c>
    </row>
    <row r="37" spans="1:5">
      <c r="A37" t="s">
        <v>34532</v>
      </c>
      <c r="B37" t="s">
        <v>34323</v>
      </c>
      <c r="C37">
        <f>0</f>
        <v>0</v>
      </c>
      <c r="D37" t="s">
        <v>106</v>
      </c>
      <c r="E37">
        <v>1.5720000000000001</v>
      </c>
    </row>
    <row r="38" spans="1:5">
      <c r="A38" t="s">
        <v>34532</v>
      </c>
      <c r="B38" t="s">
        <v>34322</v>
      </c>
      <c r="C38">
        <f>0</f>
        <v>0</v>
      </c>
      <c r="D38" t="s">
        <v>106</v>
      </c>
      <c r="E38">
        <v>1.5720000000000001</v>
      </c>
    </row>
    <row r="39" spans="1:5">
      <c r="A39" t="s">
        <v>34533</v>
      </c>
      <c r="B39" t="s">
        <v>15860</v>
      </c>
      <c r="C39">
        <f>0</f>
        <v>0</v>
      </c>
      <c r="D39" t="s">
        <v>106</v>
      </c>
      <c r="E39">
        <v>24</v>
      </c>
    </row>
    <row r="40" spans="1:5">
      <c r="A40" t="s">
        <v>34533</v>
      </c>
      <c r="B40" t="s">
        <v>15864</v>
      </c>
      <c r="C40">
        <v>0</v>
      </c>
      <c r="D40" t="s">
        <v>106</v>
      </c>
      <c r="E40">
        <v>24</v>
      </c>
    </row>
    <row r="41" spans="1:5">
      <c r="A41" t="s">
        <v>34533</v>
      </c>
      <c r="B41" t="s">
        <v>15863</v>
      </c>
      <c r="C41">
        <f>0</f>
        <v>0</v>
      </c>
      <c r="D41" t="s">
        <v>106</v>
      </c>
      <c r="E41">
        <v>24</v>
      </c>
    </row>
    <row r="42" spans="1:5">
      <c r="A42" t="s">
        <v>34533</v>
      </c>
      <c r="B42" t="s">
        <v>15862</v>
      </c>
      <c r="C42">
        <v>0</v>
      </c>
      <c r="D42" t="s">
        <v>106</v>
      </c>
      <c r="E42">
        <v>24</v>
      </c>
    </row>
    <row r="43" spans="1:5">
      <c r="A43" t="s">
        <v>34534</v>
      </c>
      <c r="B43" t="s">
        <v>6876</v>
      </c>
      <c r="C43">
        <f>0.0264495870952</f>
        <v>2.6449587095200001E-2</v>
      </c>
      <c r="D43">
        <v>0.99181748754300003</v>
      </c>
      <c r="E43">
        <v>4.9080000000000004</v>
      </c>
    </row>
    <row r="44" spans="1:5">
      <c r="A44" t="s">
        <v>34534</v>
      </c>
      <c r="B44" t="s">
        <v>6877</v>
      </c>
      <c r="C44">
        <f>-1.30133047781</f>
        <v>-1.3013304778100001</v>
      </c>
      <c r="D44">
        <v>0.99181748754300003</v>
      </c>
      <c r="E44">
        <v>4.9080000000000004</v>
      </c>
    </row>
    <row r="45" spans="1:5">
      <c r="A45" t="s">
        <v>34534</v>
      </c>
      <c r="B45" t="s">
        <v>6881</v>
      </c>
      <c r="C45">
        <f>0.16293869949</f>
        <v>0.16293869949000001</v>
      </c>
      <c r="D45">
        <v>0.99181748754300003</v>
      </c>
      <c r="E45">
        <v>4.9080000000000004</v>
      </c>
    </row>
    <row r="46" spans="1:5">
      <c r="A46" t="s">
        <v>34534</v>
      </c>
      <c r="B46" t="s">
        <v>6882</v>
      </c>
      <c r="C46">
        <v>1.04966943221</v>
      </c>
      <c r="D46">
        <v>0.99181748754300003</v>
      </c>
      <c r="E46">
        <v>4.9080000000000004</v>
      </c>
    </row>
    <row r="47" spans="1:5">
      <c r="A47" t="s">
        <v>34534</v>
      </c>
      <c r="B47" t="s">
        <v>6885</v>
      </c>
      <c r="C47">
        <v>0.74083967138899998</v>
      </c>
      <c r="D47">
        <v>0.99181748754300003</v>
      </c>
      <c r="E47">
        <v>4.9080000000000004</v>
      </c>
    </row>
    <row r="48" spans="1:5">
      <c r="A48" t="s">
        <v>34534</v>
      </c>
      <c r="B48" t="s">
        <v>6879</v>
      </c>
      <c r="C48">
        <v>0.98631404330899997</v>
      </c>
      <c r="D48">
        <v>0.99181748754300003</v>
      </c>
      <c r="E48">
        <v>4.9080000000000004</v>
      </c>
    </row>
    <row r="49" spans="1:5">
      <c r="A49" t="s">
        <v>34534</v>
      </c>
      <c r="B49" t="s">
        <v>6880</v>
      </c>
      <c r="C49">
        <f>-1.14140775279</f>
        <v>-1.14140775279</v>
      </c>
      <c r="D49">
        <v>0.99181748754300003</v>
      </c>
      <c r="E49">
        <v>4.9080000000000004</v>
      </c>
    </row>
    <row r="50" spans="1:5">
      <c r="A50" t="s">
        <v>34535</v>
      </c>
      <c r="B50" t="s">
        <v>23770</v>
      </c>
      <c r="C50">
        <v>0.42534628169100003</v>
      </c>
      <c r="D50">
        <v>0.99999628051599998</v>
      </c>
      <c r="E50">
        <v>16.295999999999999</v>
      </c>
    </row>
    <row r="51" spans="1:5">
      <c r="A51" t="s">
        <v>34535</v>
      </c>
      <c r="B51" t="s">
        <v>23774</v>
      </c>
      <c r="C51">
        <v>0.43993686075299998</v>
      </c>
      <c r="D51">
        <v>0.99999628051599998</v>
      </c>
      <c r="E51">
        <v>16.295999999999999</v>
      </c>
    </row>
    <row r="52" spans="1:5">
      <c r="A52" t="s">
        <v>34535</v>
      </c>
      <c r="B52" t="s">
        <v>23769</v>
      </c>
      <c r="C52">
        <v>4.0093980614399997E-2</v>
      </c>
      <c r="D52">
        <v>0.99999628051599998</v>
      </c>
      <c r="E52">
        <v>16.295999999999999</v>
      </c>
    </row>
    <row r="53" spans="1:5">
      <c r="A53" t="s">
        <v>34535</v>
      </c>
      <c r="B53" t="s">
        <v>23773</v>
      </c>
      <c r="C53">
        <f>0.496840823117</f>
        <v>0.49684082311700001</v>
      </c>
      <c r="D53">
        <v>0.99999628051599998</v>
      </c>
      <c r="E53">
        <v>16.295999999999999</v>
      </c>
    </row>
    <row r="54" spans="1:5">
      <c r="A54" t="s">
        <v>34535</v>
      </c>
      <c r="B54" t="s">
        <v>23776</v>
      </c>
      <c r="C54">
        <v>0.19343190817200001</v>
      </c>
      <c r="D54">
        <v>0.99999628051599998</v>
      </c>
      <c r="E54">
        <v>16.295999999999999</v>
      </c>
    </row>
    <row r="55" spans="1:5">
      <c r="A55" t="s">
        <v>34535</v>
      </c>
      <c r="B55" t="s">
        <v>23775</v>
      </c>
      <c r="C55">
        <v>6.0901260168400001E-2</v>
      </c>
      <c r="D55">
        <v>0.99999628051599998</v>
      </c>
      <c r="E55">
        <v>16.295999999999999</v>
      </c>
    </row>
    <row r="56" spans="1:5">
      <c r="A56" t="s">
        <v>34535</v>
      </c>
      <c r="B56" t="s">
        <v>23777</v>
      </c>
      <c r="C56">
        <f>0.914128412596</f>
        <v>0.91412841259599997</v>
      </c>
      <c r="D56">
        <v>0.99999628051599998</v>
      </c>
      <c r="E56">
        <v>16.295999999999999</v>
      </c>
    </row>
    <row r="57" spans="1:5">
      <c r="A57" t="s">
        <v>34536</v>
      </c>
      <c r="B57" t="s">
        <v>19492</v>
      </c>
      <c r="C57">
        <v>0</v>
      </c>
      <c r="D57">
        <v>0.511229202105</v>
      </c>
      <c r="E57">
        <v>12.048</v>
      </c>
    </row>
    <row r="58" spans="1:5">
      <c r="A58" t="s">
        <v>34536</v>
      </c>
      <c r="B58" t="s">
        <v>19488</v>
      </c>
      <c r="C58">
        <v>0.280819202105</v>
      </c>
      <c r="D58">
        <v>0.511229202105</v>
      </c>
      <c r="E58">
        <v>12.048</v>
      </c>
    </row>
    <row r="59" spans="1:5">
      <c r="A59" t="s">
        <v>34536</v>
      </c>
      <c r="B59" t="s">
        <v>19493</v>
      </c>
      <c r="C59">
        <v>0</v>
      </c>
      <c r="D59">
        <v>0.511229202105</v>
      </c>
      <c r="E59">
        <v>12.048</v>
      </c>
    </row>
    <row r="60" spans="1:5">
      <c r="A60" t="s">
        <v>34537</v>
      </c>
      <c r="B60" t="s">
        <v>10934</v>
      </c>
      <c r="C60">
        <v>0</v>
      </c>
      <c r="D60" t="s">
        <v>106</v>
      </c>
      <c r="E60">
        <v>24</v>
      </c>
    </row>
    <row r="61" spans="1:5">
      <c r="A61" t="s">
        <v>34537</v>
      </c>
      <c r="B61" t="s">
        <v>10946</v>
      </c>
      <c r="C61">
        <v>0</v>
      </c>
      <c r="D61" t="s">
        <v>106</v>
      </c>
      <c r="E61">
        <v>24</v>
      </c>
    </row>
    <row r="62" spans="1:5">
      <c r="A62" t="s">
        <v>34537</v>
      </c>
      <c r="B62" t="s">
        <v>10944</v>
      </c>
      <c r="C62">
        <v>0</v>
      </c>
      <c r="D62" t="s">
        <v>106</v>
      </c>
      <c r="E62">
        <v>24</v>
      </c>
    </row>
    <row r="63" spans="1:5">
      <c r="A63" t="s">
        <v>34537</v>
      </c>
      <c r="B63" t="s">
        <v>10954</v>
      </c>
      <c r="C63">
        <v>0</v>
      </c>
      <c r="D63" t="s">
        <v>106</v>
      </c>
      <c r="E63">
        <v>24</v>
      </c>
    </row>
    <row r="64" spans="1:5">
      <c r="A64" t="s">
        <v>34537</v>
      </c>
      <c r="B64" t="s">
        <v>10937</v>
      </c>
      <c r="C64">
        <f>0</f>
        <v>0</v>
      </c>
      <c r="D64" t="s">
        <v>106</v>
      </c>
      <c r="E64">
        <v>24</v>
      </c>
    </row>
    <row r="65" spans="1:5">
      <c r="A65" t="s">
        <v>34537</v>
      </c>
      <c r="B65" t="s">
        <v>10935</v>
      </c>
      <c r="C65">
        <v>0</v>
      </c>
      <c r="D65" t="s">
        <v>106</v>
      </c>
      <c r="E65">
        <v>24</v>
      </c>
    </row>
    <row r="66" spans="1:5">
      <c r="A66" t="s">
        <v>34537</v>
      </c>
      <c r="B66" t="s">
        <v>10957</v>
      </c>
      <c r="C66">
        <v>0</v>
      </c>
      <c r="D66" t="s">
        <v>106</v>
      </c>
      <c r="E66">
        <v>24</v>
      </c>
    </row>
    <row r="67" spans="1:5">
      <c r="A67" t="s">
        <v>34537</v>
      </c>
      <c r="B67" t="s">
        <v>10947</v>
      </c>
      <c r="C67">
        <v>0</v>
      </c>
      <c r="D67" t="s">
        <v>106</v>
      </c>
      <c r="E67">
        <v>24</v>
      </c>
    </row>
    <row r="68" spans="1:5">
      <c r="A68" t="s">
        <v>34537</v>
      </c>
      <c r="B68" t="s">
        <v>10956</v>
      </c>
      <c r="C68">
        <v>0</v>
      </c>
      <c r="D68" t="s">
        <v>106</v>
      </c>
      <c r="E68">
        <v>24</v>
      </c>
    </row>
    <row r="69" spans="1:5">
      <c r="A69" t="s">
        <v>34537</v>
      </c>
      <c r="B69" t="s">
        <v>10952</v>
      </c>
      <c r="C69">
        <v>0</v>
      </c>
      <c r="D69" t="s">
        <v>106</v>
      </c>
      <c r="E69">
        <v>24</v>
      </c>
    </row>
    <row r="70" spans="1:5">
      <c r="A70" t="s">
        <v>34537</v>
      </c>
      <c r="B70" t="s">
        <v>10949</v>
      </c>
      <c r="C70">
        <v>0</v>
      </c>
      <c r="D70" t="s">
        <v>106</v>
      </c>
      <c r="E70">
        <v>24</v>
      </c>
    </row>
    <row r="71" spans="1:5">
      <c r="A71" t="s">
        <v>34537</v>
      </c>
      <c r="B71" t="s">
        <v>10955</v>
      </c>
      <c r="C71">
        <v>0</v>
      </c>
      <c r="D71" t="s">
        <v>106</v>
      </c>
      <c r="E71">
        <v>24</v>
      </c>
    </row>
    <row r="72" spans="1:5">
      <c r="A72" t="s">
        <v>34537</v>
      </c>
      <c r="B72" t="s">
        <v>10950</v>
      </c>
      <c r="C72">
        <v>0</v>
      </c>
      <c r="D72" t="s">
        <v>106</v>
      </c>
      <c r="E72">
        <v>24</v>
      </c>
    </row>
    <row r="73" spans="1:5">
      <c r="A73" t="s">
        <v>34537</v>
      </c>
      <c r="B73" t="s">
        <v>10953</v>
      </c>
      <c r="C73">
        <v>0</v>
      </c>
      <c r="D73" t="s">
        <v>106</v>
      </c>
      <c r="E73">
        <v>24</v>
      </c>
    </row>
    <row r="74" spans="1:5">
      <c r="A74" t="s">
        <v>34537</v>
      </c>
      <c r="B74" t="s">
        <v>10951</v>
      </c>
      <c r="C74">
        <v>0</v>
      </c>
      <c r="D74" t="s">
        <v>106</v>
      </c>
      <c r="E74">
        <v>24</v>
      </c>
    </row>
    <row r="75" spans="1:5">
      <c r="A75" t="s">
        <v>34537</v>
      </c>
      <c r="B75" t="s">
        <v>10945</v>
      </c>
      <c r="C75">
        <v>0</v>
      </c>
      <c r="D75" t="s">
        <v>106</v>
      </c>
      <c r="E75">
        <v>24</v>
      </c>
    </row>
    <row r="76" spans="1:5">
      <c r="A76" t="s">
        <v>34538</v>
      </c>
      <c r="B76" t="s">
        <v>13256</v>
      </c>
      <c r="C76">
        <f>0</f>
        <v>0</v>
      </c>
      <c r="D76" t="s">
        <v>106</v>
      </c>
      <c r="E76">
        <v>15.125999999999999</v>
      </c>
    </row>
    <row r="77" spans="1:5">
      <c r="A77" t="s">
        <v>34538</v>
      </c>
      <c r="B77" t="s">
        <v>13259</v>
      </c>
      <c r="C77">
        <f>0</f>
        <v>0</v>
      </c>
      <c r="D77" t="s">
        <v>106</v>
      </c>
      <c r="E77">
        <v>15.125999999999999</v>
      </c>
    </row>
    <row r="78" spans="1:5">
      <c r="A78" t="s">
        <v>34538</v>
      </c>
      <c r="B78" t="s">
        <v>13260</v>
      </c>
      <c r="C78">
        <v>0</v>
      </c>
      <c r="D78" t="s">
        <v>106</v>
      </c>
      <c r="E78">
        <v>15.125999999999999</v>
      </c>
    </row>
    <row r="79" spans="1:5">
      <c r="A79" t="s">
        <v>34538</v>
      </c>
      <c r="B79" t="s">
        <v>13261</v>
      </c>
      <c r="C79">
        <f>0</f>
        <v>0</v>
      </c>
      <c r="D79" t="s">
        <v>106</v>
      </c>
      <c r="E79">
        <v>15.125999999999999</v>
      </c>
    </row>
    <row r="80" spans="1:5">
      <c r="A80" t="s">
        <v>34538</v>
      </c>
      <c r="B80" t="s">
        <v>13258</v>
      </c>
      <c r="C80">
        <f>0</f>
        <v>0</v>
      </c>
      <c r="D80" t="s">
        <v>106</v>
      </c>
      <c r="E80">
        <v>15.125999999999999</v>
      </c>
    </row>
    <row r="81" spans="1:5">
      <c r="A81" t="s">
        <v>34539</v>
      </c>
      <c r="B81" t="s">
        <v>34540</v>
      </c>
      <c r="C81">
        <f>0</f>
        <v>0</v>
      </c>
      <c r="D81" t="s">
        <v>106</v>
      </c>
      <c r="E81">
        <v>11.208</v>
      </c>
    </row>
    <row r="82" spans="1:5">
      <c r="A82" t="s">
        <v>34539</v>
      </c>
      <c r="B82" t="s">
        <v>34541</v>
      </c>
      <c r="C82">
        <v>0</v>
      </c>
      <c r="D82" t="s">
        <v>106</v>
      </c>
      <c r="E82">
        <v>11.208</v>
      </c>
    </row>
    <row r="83" spans="1:5">
      <c r="A83" t="s">
        <v>34539</v>
      </c>
      <c r="B83" t="s">
        <v>34542</v>
      </c>
      <c r="C83">
        <f>0</f>
        <v>0</v>
      </c>
      <c r="D83" t="s">
        <v>106</v>
      </c>
      <c r="E83">
        <v>11.208</v>
      </c>
    </row>
    <row r="84" spans="1:5">
      <c r="A84" t="s">
        <v>34539</v>
      </c>
      <c r="B84" t="s">
        <v>34543</v>
      </c>
      <c r="C84">
        <v>0</v>
      </c>
      <c r="D84" t="s">
        <v>106</v>
      </c>
      <c r="E84">
        <v>11.208</v>
      </c>
    </row>
    <row r="85" spans="1:5">
      <c r="A85" t="s">
        <v>34544</v>
      </c>
      <c r="B85" t="s">
        <v>7892</v>
      </c>
      <c r="C85">
        <f>0.262691609017</f>
        <v>0.26269160901700001</v>
      </c>
      <c r="D85">
        <v>0.49310160901700001</v>
      </c>
      <c r="E85">
        <v>2.0339999999999998</v>
      </c>
    </row>
    <row r="86" spans="1:5">
      <c r="A86" t="s">
        <v>34544</v>
      </c>
      <c r="B86" t="s">
        <v>7893</v>
      </c>
      <c r="C86">
        <f>0</f>
        <v>0</v>
      </c>
      <c r="D86">
        <v>0.49310160901700001</v>
      </c>
      <c r="E86">
        <v>2.0339999999999998</v>
      </c>
    </row>
    <row r="87" spans="1:5">
      <c r="A87" t="s">
        <v>34544</v>
      </c>
      <c r="B87" t="s">
        <v>7894</v>
      </c>
      <c r="C87">
        <f>0</f>
        <v>0</v>
      </c>
      <c r="D87">
        <v>0.49310160901700001</v>
      </c>
      <c r="E87">
        <v>2.0339999999999998</v>
      </c>
    </row>
    <row r="88" spans="1:5">
      <c r="A88" t="s">
        <v>34545</v>
      </c>
      <c r="B88" t="s">
        <v>13674</v>
      </c>
      <c r="C88">
        <v>0</v>
      </c>
      <c r="D88" t="s">
        <v>106</v>
      </c>
      <c r="E88">
        <v>18.768000000000001</v>
      </c>
    </row>
    <row r="89" spans="1:5">
      <c r="A89" t="s">
        <v>34545</v>
      </c>
      <c r="B89" t="s">
        <v>13673</v>
      </c>
      <c r="C89">
        <f>0</f>
        <v>0</v>
      </c>
      <c r="D89" t="s">
        <v>106</v>
      </c>
      <c r="E89">
        <v>18.768000000000001</v>
      </c>
    </row>
    <row r="90" spans="1:5">
      <c r="A90" t="s">
        <v>34545</v>
      </c>
      <c r="B90" t="s">
        <v>13671</v>
      </c>
      <c r="C90">
        <f>0</f>
        <v>0</v>
      </c>
      <c r="D90" t="s">
        <v>106</v>
      </c>
      <c r="E90">
        <v>18.768000000000001</v>
      </c>
    </row>
    <row r="91" spans="1:5">
      <c r="A91" t="s">
        <v>34546</v>
      </c>
      <c r="B91" t="s">
        <v>2229</v>
      </c>
      <c r="C91">
        <v>0</v>
      </c>
      <c r="D91">
        <v>0.72458251831700005</v>
      </c>
      <c r="E91">
        <v>10.878</v>
      </c>
    </row>
    <row r="92" spans="1:5">
      <c r="A92" t="s">
        <v>34546</v>
      </c>
      <c r="B92" t="s">
        <v>2232</v>
      </c>
      <c r="C92">
        <v>0</v>
      </c>
      <c r="D92">
        <v>0.72458251831700005</v>
      </c>
      <c r="E92">
        <v>10.878</v>
      </c>
    </row>
    <row r="93" spans="1:5">
      <c r="A93" t="s">
        <v>34546</v>
      </c>
      <c r="B93" t="s">
        <v>2233</v>
      </c>
      <c r="C93">
        <f>0</f>
        <v>0</v>
      </c>
      <c r="D93">
        <v>0.72458251831700005</v>
      </c>
      <c r="E93">
        <v>10.878</v>
      </c>
    </row>
    <row r="94" spans="1:5">
      <c r="A94" t="s">
        <v>34546</v>
      </c>
      <c r="B94" t="s">
        <v>2234</v>
      </c>
      <c r="C94">
        <f>0.410972518317</f>
        <v>0.41097251831699999</v>
      </c>
      <c r="D94">
        <v>0.72458251831700005</v>
      </c>
      <c r="E94">
        <v>10.878</v>
      </c>
    </row>
    <row r="95" spans="1:5">
      <c r="A95" t="s">
        <v>34547</v>
      </c>
      <c r="B95" t="s">
        <v>12991</v>
      </c>
      <c r="C95">
        <v>0</v>
      </c>
      <c r="D95" t="s">
        <v>106</v>
      </c>
      <c r="E95">
        <v>24</v>
      </c>
    </row>
    <row r="96" spans="1:5">
      <c r="A96" t="s">
        <v>34547</v>
      </c>
      <c r="B96" t="s">
        <v>13005</v>
      </c>
      <c r="C96">
        <v>0</v>
      </c>
      <c r="D96" t="s">
        <v>106</v>
      </c>
      <c r="E96">
        <v>24</v>
      </c>
    </row>
    <row r="97" spans="1:5">
      <c r="A97" t="s">
        <v>34547</v>
      </c>
      <c r="B97" t="s">
        <v>12994</v>
      </c>
      <c r="C97">
        <v>0</v>
      </c>
      <c r="D97" t="s">
        <v>106</v>
      </c>
      <c r="E97">
        <v>24</v>
      </c>
    </row>
    <row r="98" spans="1:5">
      <c r="A98" t="s">
        <v>34547</v>
      </c>
      <c r="B98" t="s">
        <v>13004</v>
      </c>
      <c r="C98">
        <v>0</v>
      </c>
      <c r="D98" t="s">
        <v>106</v>
      </c>
      <c r="E98">
        <v>24</v>
      </c>
    </row>
    <row r="99" spans="1:5">
      <c r="A99" t="s">
        <v>34547</v>
      </c>
      <c r="B99" t="s">
        <v>13002</v>
      </c>
      <c r="C99">
        <v>0</v>
      </c>
      <c r="D99" t="s">
        <v>106</v>
      </c>
      <c r="E99">
        <v>24</v>
      </c>
    </row>
    <row r="100" spans="1:5">
      <c r="A100" t="s">
        <v>34547</v>
      </c>
      <c r="B100" t="s">
        <v>13003</v>
      </c>
      <c r="C100">
        <v>0</v>
      </c>
      <c r="D100" t="s">
        <v>106</v>
      </c>
      <c r="E100">
        <v>24</v>
      </c>
    </row>
    <row r="101" spans="1:5">
      <c r="A101" t="s">
        <v>34548</v>
      </c>
      <c r="B101" t="s">
        <v>9595</v>
      </c>
      <c r="C101">
        <v>0.40960569830400001</v>
      </c>
      <c r="D101">
        <v>0.94294804650700004</v>
      </c>
      <c r="E101">
        <v>24</v>
      </c>
    </row>
    <row r="102" spans="1:5">
      <c r="A102" t="s">
        <v>34548</v>
      </c>
      <c r="B102" t="s">
        <v>9594</v>
      </c>
      <c r="C102">
        <f>0.85736976667</f>
        <v>0.85736976666999998</v>
      </c>
      <c r="D102">
        <v>0.94294804650700004</v>
      </c>
      <c r="E102">
        <v>24</v>
      </c>
    </row>
    <row r="103" spans="1:5">
      <c r="A103" t="s">
        <v>34549</v>
      </c>
      <c r="B103" t="s">
        <v>25231</v>
      </c>
      <c r="C103">
        <f>0</f>
        <v>0</v>
      </c>
      <c r="D103" t="s">
        <v>106</v>
      </c>
      <c r="E103">
        <v>8.58</v>
      </c>
    </row>
    <row r="104" spans="1:5">
      <c r="A104" t="s">
        <v>34549</v>
      </c>
      <c r="B104" t="s">
        <v>25232</v>
      </c>
      <c r="C104">
        <f>0</f>
        <v>0</v>
      </c>
      <c r="D104" t="s">
        <v>106</v>
      </c>
      <c r="E104">
        <v>8.58</v>
      </c>
    </row>
    <row r="105" spans="1:5">
      <c r="A105" t="s">
        <v>34549</v>
      </c>
      <c r="B105" t="s">
        <v>25242</v>
      </c>
      <c r="C105">
        <v>0</v>
      </c>
      <c r="D105" t="s">
        <v>106</v>
      </c>
      <c r="E105">
        <v>8.58</v>
      </c>
    </row>
    <row r="106" spans="1:5">
      <c r="A106" t="s">
        <v>34549</v>
      </c>
      <c r="B106" t="s">
        <v>25238</v>
      </c>
      <c r="C106">
        <f>0</f>
        <v>0</v>
      </c>
      <c r="D106" t="s">
        <v>106</v>
      </c>
      <c r="E106">
        <v>8.58</v>
      </c>
    </row>
    <row r="107" spans="1:5">
      <c r="A107" t="s">
        <v>34549</v>
      </c>
      <c r="B107" t="s">
        <v>25243</v>
      </c>
      <c r="C107">
        <f>0</f>
        <v>0</v>
      </c>
      <c r="D107" t="s">
        <v>106</v>
      </c>
      <c r="E107">
        <v>8.58</v>
      </c>
    </row>
    <row r="108" spans="1:5">
      <c r="A108" t="s">
        <v>34549</v>
      </c>
      <c r="B108" t="s">
        <v>25240</v>
      </c>
      <c r="C108">
        <f>0</f>
        <v>0</v>
      </c>
      <c r="D108" t="s">
        <v>106</v>
      </c>
      <c r="E108">
        <v>8.58</v>
      </c>
    </row>
    <row r="109" spans="1:5">
      <c r="A109" t="s">
        <v>34549</v>
      </c>
      <c r="B109" t="s">
        <v>25241</v>
      </c>
      <c r="C109">
        <v>0</v>
      </c>
      <c r="D109" t="s">
        <v>106</v>
      </c>
      <c r="E109">
        <v>8.58</v>
      </c>
    </row>
    <row r="110" spans="1:5">
      <c r="A110" t="s">
        <v>34549</v>
      </c>
      <c r="B110" t="s">
        <v>25239</v>
      </c>
      <c r="C110">
        <f>0</f>
        <v>0</v>
      </c>
      <c r="D110" t="s">
        <v>106</v>
      </c>
      <c r="E110">
        <v>8.58</v>
      </c>
    </row>
    <row r="111" spans="1:5">
      <c r="A111" t="s">
        <v>34549</v>
      </c>
      <c r="B111" t="s">
        <v>25234</v>
      </c>
      <c r="C111">
        <f>0</f>
        <v>0</v>
      </c>
      <c r="D111" t="s">
        <v>106</v>
      </c>
      <c r="E111">
        <v>8.58</v>
      </c>
    </row>
    <row r="112" spans="1:5">
      <c r="A112" t="s">
        <v>34550</v>
      </c>
      <c r="B112" t="s">
        <v>778</v>
      </c>
      <c r="C112">
        <f>0</f>
        <v>0</v>
      </c>
      <c r="D112">
        <v>0.60507568340600004</v>
      </c>
      <c r="E112">
        <v>3.78</v>
      </c>
    </row>
    <row r="113" spans="1:5">
      <c r="A113" t="s">
        <v>34550</v>
      </c>
      <c r="B113" t="s">
        <v>781</v>
      </c>
      <c r="C113">
        <f>0</f>
        <v>0</v>
      </c>
      <c r="D113">
        <v>0.60507568340600004</v>
      </c>
      <c r="E113">
        <v>3.78</v>
      </c>
    </row>
    <row r="114" spans="1:5">
      <c r="A114" t="s">
        <v>34550</v>
      </c>
      <c r="B114" t="s">
        <v>780</v>
      </c>
      <c r="C114">
        <f>0.245065683406</f>
        <v>0.24506568340599999</v>
      </c>
      <c r="D114">
        <v>0.60507568340600004</v>
      </c>
      <c r="E114">
        <v>3.78</v>
      </c>
    </row>
    <row r="115" spans="1:5">
      <c r="A115" t="s">
        <v>34551</v>
      </c>
      <c r="B115" t="s">
        <v>32221</v>
      </c>
      <c r="C115">
        <f>0</f>
        <v>0</v>
      </c>
      <c r="D115" t="s">
        <v>106</v>
      </c>
      <c r="E115">
        <v>24</v>
      </c>
    </row>
    <row r="116" spans="1:5">
      <c r="A116" t="s">
        <v>34551</v>
      </c>
      <c r="B116" t="s">
        <v>32220</v>
      </c>
      <c r="C116">
        <f>0</f>
        <v>0</v>
      </c>
      <c r="D116" t="s">
        <v>106</v>
      </c>
      <c r="E116">
        <v>24</v>
      </c>
    </row>
    <row r="117" spans="1:5">
      <c r="A117" t="s">
        <v>34552</v>
      </c>
      <c r="B117" t="s">
        <v>8052</v>
      </c>
      <c r="C117">
        <v>0</v>
      </c>
      <c r="D117" t="s">
        <v>106</v>
      </c>
      <c r="E117">
        <v>0.78</v>
      </c>
    </row>
    <row r="118" spans="1:5">
      <c r="A118" t="s">
        <v>34552</v>
      </c>
      <c r="B118" t="s">
        <v>8055</v>
      </c>
      <c r="C118">
        <f>0</f>
        <v>0</v>
      </c>
      <c r="D118" t="s">
        <v>106</v>
      </c>
      <c r="E118">
        <v>0.78</v>
      </c>
    </row>
    <row r="119" spans="1:5">
      <c r="A119" t="s">
        <v>34552</v>
      </c>
      <c r="B119" t="s">
        <v>8054</v>
      </c>
      <c r="C119">
        <v>0</v>
      </c>
      <c r="D119" t="s">
        <v>106</v>
      </c>
      <c r="E119">
        <v>0.78</v>
      </c>
    </row>
    <row r="120" spans="1:5">
      <c r="A120" t="s">
        <v>34553</v>
      </c>
      <c r="B120" t="s">
        <v>11125</v>
      </c>
      <c r="C120">
        <f>0.299756866447</f>
        <v>0.299756866447</v>
      </c>
      <c r="D120">
        <v>0.89908783244099999</v>
      </c>
      <c r="E120">
        <v>6.3</v>
      </c>
    </row>
    <row r="121" spans="1:5">
      <c r="A121" t="s">
        <v>34553</v>
      </c>
      <c r="B121" t="s">
        <v>11126</v>
      </c>
      <c r="C121">
        <v>1.0207936531899999</v>
      </c>
      <c r="D121">
        <v>0.89908783244099999</v>
      </c>
      <c r="E121">
        <v>6.3</v>
      </c>
    </row>
    <row r="122" spans="1:5">
      <c r="A122" t="s">
        <v>34554</v>
      </c>
      <c r="B122" t="s">
        <v>825</v>
      </c>
      <c r="C122">
        <f>0.0768311625241</f>
        <v>7.6831162524099994E-2</v>
      </c>
      <c r="D122">
        <v>0.98792373557000002</v>
      </c>
      <c r="E122">
        <v>2.3279999999999998</v>
      </c>
    </row>
    <row r="123" spans="1:5">
      <c r="A123" t="s">
        <v>34554</v>
      </c>
      <c r="B123" t="s">
        <v>835</v>
      </c>
      <c r="C123">
        <f>0</f>
        <v>0</v>
      </c>
      <c r="D123">
        <v>0.98792373557000002</v>
      </c>
      <c r="E123">
        <v>2.3279999999999998</v>
      </c>
    </row>
    <row r="124" spans="1:5">
      <c r="A124" t="s">
        <v>34554</v>
      </c>
      <c r="B124" t="s">
        <v>826</v>
      </c>
      <c r="C124">
        <f>0.967073084774</f>
        <v>0.967073084774</v>
      </c>
      <c r="D124">
        <v>0.98792373557000002</v>
      </c>
      <c r="E124">
        <v>2.3279999999999998</v>
      </c>
    </row>
    <row r="125" spans="1:5">
      <c r="A125" t="s">
        <v>34554</v>
      </c>
      <c r="B125" t="s">
        <v>833</v>
      </c>
      <c r="C125">
        <v>0</v>
      </c>
      <c r="D125">
        <v>0.98792373557000002</v>
      </c>
      <c r="E125">
        <v>2.3279999999999998</v>
      </c>
    </row>
    <row r="126" spans="1:5">
      <c r="A126" t="s">
        <v>34554</v>
      </c>
      <c r="B126" t="s">
        <v>828</v>
      </c>
      <c r="C126">
        <f>0</f>
        <v>0</v>
      </c>
      <c r="D126">
        <v>0.98792373557000002</v>
      </c>
      <c r="E126">
        <v>2.3279999999999998</v>
      </c>
    </row>
    <row r="127" spans="1:5">
      <c r="A127" t="s">
        <v>34554</v>
      </c>
      <c r="B127" t="s">
        <v>830</v>
      </c>
      <c r="C127">
        <v>0.126843101805</v>
      </c>
      <c r="D127">
        <v>0.98792373557000002</v>
      </c>
      <c r="E127">
        <v>2.3279999999999998</v>
      </c>
    </row>
    <row r="128" spans="1:5">
      <c r="A128" t="s">
        <v>34554</v>
      </c>
      <c r="B128" t="s">
        <v>837</v>
      </c>
      <c r="C128">
        <f>0.274707739777</f>
        <v>0.27470773977700003</v>
      </c>
      <c r="D128">
        <v>0.98792373557000002</v>
      </c>
      <c r="E128">
        <v>2.3279999999999998</v>
      </c>
    </row>
    <row r="129" spans="1:5">
      <c r="A129" t="s">
        <v>34554</v>
      </c>
      <c r="B129" t="s">
        <v>827</v>
      </c>
      <c r="C129">
        <v>1.1081454311700001</v>
      </c>
      <c r="D129">
        <v>0.98792373557000002</v>
      </c>
      <c r="E129">
        <v>2.3279999999999998</v>
      </c>
    </row>
    <row r="130" spans="1:5">
      <c r="A130" t="s">
        <v>34554</v>
      </c>
      <c r="B130" t="s">
        <v>834</v>
      </c>
      <c r="C130">
        <v>8.9440941438400007E-2</v>
      </c>
      <c r="D130">
        <v>0.98792373557000002</v>
      </c>
      <c r="E130">
        <v>2.3279999999999998</v>
      </c>
    </row>
    <row r="131" spans="1:5">
      <c r="A131" t="s">
        <v>34555</v>
      </c>
      <c r="B131" t="s">
        <v>34556</v>
      </c>
      <c r="C131">
        <v>0.57457859455600002</v>
      </c>
      <c r="D131">
        <v>0.99833475597999999</v>
      </c>
      <c r="E131">
        <v>23.754000000000001</v>
      </c>
    </row>
    <row r="132" spans="1:5">
      <c r="A132" t="s">
        <v>34555</v>
      </c>
      <c r="B132" t="s">
        <v>34557</v>
      </c>
      <c r="C132">
        <v>0.96895772628599997</v>
      </c>
      <c r="D132">
        <v>0.99833475597999999</v>
      </c>
      <c r="E132">
        <v>23.754000000000001</v>
      </c>
    </row>
    <row r="133" spans="1:5">
      <c r="A133" t="s">
        <v>34555</v>
      </c>
      <c r="B133" t="s">
        <v>34558</v>
      </c>
      <c r="C133">
        <f>0.516010601424</f>
        <v>0.51601060142400001</v>
      </c>
      <c r="D133">
        <v>0.99833475597999999</v>
      </c>
      <c r="E133">
        <v>23.754000000000001</v>
      </c>
    </row>
    <row r="134" spans="1:5">
      <c r="A134" t="s">
        <v>34555</v>
      </c>
      <c r="B134" t="s">
        <v>34559</v>
      </c>
      <c r="C134">
        <v>0.714058479656</v>
      </c>
      <c r="D134">
        <v>0.99833475597999999</v>
      </c>
      <c r="E134">
        <v>23.754000000000001</v>
      </c>
    </row>
    <row r="135" spans="1:5">
      <c r="A135" t="s">
        <v>34555</v>
      </c>
      <c r="B135" t="s">
        <v>34560</v>
      </c>
      <c r="C135">
        <v>0.59141971721800002</v>
      </c>
      <c r="D135">
        <v>0.99833475597999999</v>
      </c>
      <c r="E135">
        <v>23.754000000000001</v>
      </c>
    </row>
    <row r="136" spans="1:5">
      <c r="A136" t="s">
        <v>34555</v>
      </c>
      <c r="B136" t="s">
        <v>34561</v>
      </c>
      <c r="C136">
        <v>4.9950985898399997E-2</v>
      </c>
      <c r="D136">
        <v>0.99833475597999999</v>
      </c>
      <c r="E136">
        <v>23.754000000000001</v>
      </c>
    </row>
    <row r="137" spans="1:5">
      <c r="A137" t="s">
        <v>34562</v>
      </c>
      <c r="B137" t="s">
        <v>4455</v>
      </c>
      <c r="C137">
        <f>0.0940494790125</f>
        <v>9.4049479012500006E-2</v>
      </c>
      <c r="D137">
        <v>0.931193560581</v>
      </c>
      <c r="E137">
        <v>23.754000000000001</v>
      </c>
    </row>
    <row r="138" spans="1:5">
      <c r="A138" t="s">
        <v>34562</v>
      </c>
      <c r="B138" t="s">
        <v>4458</v>
      </c>
      <c r="C138">
        <f>0</f>
        <v>0</v>
      </c>
      <c r="D138">
        <v>0.931193560581</v>
      </c>
      <c r="E138">
        <v>23.754000000000001</v>
      </c>
    </row>
    <row r="139" spans="1:5">
      <c r="A139" t="s">
        <v>34562</v>
      </c>
      <c r="B139" t="s">
        <v>4457</v>
      </c>
      <c r="C139">
        <v>0.944884030983</v>
      </c>
      <c r="D139">
        <v>0.931193560581</v>
      </c>
      <c r="E139">
        <v>23.754000000000001</v>
      </c>
    </row>
    <row r="140" spans="1:5">
      <c r="A140" t="s">
        <v>34563</v>
      </c>
      <c r="B140" t="s">
        <v>30636</v>
      </c>
      <c r="C140">
        <f>0</f>
        <v>0</v>
      </c>
      <c r="D140" t="s">
        <v>106</v>
      </c>
      <c r="E140">
        <v>9.0180000000000007</v>
      </c>
    </row>
    <row r="141" spans="1:5">
      <c r="A141" t="s">
        <v>34563</v>
      </c>
      <c r="B141" t="s">
        <v>30638</v>
      </c>
      <c r="C141">
        <f>0</f>
        <v>0</v>
      </c>
      <c r="D141" t="s">
        <v>106</v>
      </c>
      <c r="E141">
        <v>9.0180000000000007</v>
      </c>
    </row>
    <row r="142" spans="1:5">
      <c r="A142" t="s">
        <v>34563</v>
      </c>
      <c r="B142" t="s">
        <v>30640</v>
      </c>
      <c r="C142">
        <f>0</f>
        <v>0</v>
      </c>
      <c r="D142" t="s">
        <v>106</v>
      </c>
      <c r="E142">
        <v>9.0180000000000007</v>
      </c>
    </row>
    <row r="143" spans="1:5">
      <c r="A143" t="s">
        <v>34563</v>
      </c>
      <c r="B143" t="s">
        <v>30639</v>
      </c>
      <c r="C143">
        <f>0</f>
        <v>0</v>
      </c>
      <c r="D143" t="s">
        <v>106</v>
      </c>
      <c r="E143">
        <v>9.0180000000000007</v>
      </c>
    </row>
    <row r="144" spans="1:5">
      <c r="A144" t="s">
        <v>34564</v>
      </c>
      <c r="B144" t="s">
        <v>28711</v>
      </c>
      <c r="C144">
        <f>0.402024128204</f>
        <v>0.40202412820400002</v>
      </c>
      <c r="D144">
        <v>0.56203412820400001</v>
      </c>
      <c r="E144">
        <v>15.125999999999999</v>
      </c>
    </row>
    <row r="145" spans="1:5">
      <c r="A145" t="s">
        <v>34564</v>
      </c>
      <c r="B145" t="s">
        <v>28714</v>
      </c>
      <c r="C145">
        <f>0</f>
        <v>0</v>
      </c>
      <c r="D145">
        <v>0.56203412820400001</v>
      </c>
      <c r="E145">
        <v>15.125999999999999</v>
      </c>
    </row>
    <row r="146" spans="1:5">
      <c r="A146" t="s">
        <v>34565</v>
      </c>
      <c r="B146" t="s">
        <v>34566</v>
      </c>
      <c r="C146">
        <v>0</v>
      </c>
      <c r="D146" t="s">
        <v>106</v>
      </c>
      <c r="E146">
        <v>10.715999999999999</v>
      </c>
    </row>
    <row r="147" spans="1:5">
      <c r="A147" t="s">
        <v>34565</v>
      </c>
      <c r="B147" t="s">
        <v>34567</v>
      </c>
      <c r="C147">
        <v>0</v>
      </c>
      <c r="D147" t="s">
        <v>106</v>
      </c>
      <c r="E147">
        <v>10.715999999999999</v>
      </c>
    </row>
    <row r="148" spans="1:5">
      <c r="A148" t="s">
        <v>34565</v>
      </c>
      <c r="B148" t="s">
        <v>34568</v>
      </c>
      <c r="C148">
        <v>0</v>
      </c>
      <c r="D148" t="s">
        <v>106</v>
      </c>
      <c r="E148">
        <v>10.715999999999999</v>
      </c>
    </row>
    <row r="149" spans="1:5">
      <c r="A149" t="s">
        <v>34565</v>
      </c>
      <c r="B149" t="s">
        <v>34569</v>
      </c>
      <c r="C149">
        <v>0</v>
      </c>
      <c r="D149" t="s">
        <v>106</v>
      </c>
      <c r="E149">
        <v>10.715999999999999</v>
      </c>
    </row>
    <row r="150" spans="1:5">
      <c r="A150" t="s">
        <v>34565</v>
      </c>
      <c r="B150" t="s">
        <v>34570</v>
      </c>
      <c r="C150">
        <v>0</v>
      </c>
      <c r="D150" t="s">
        <v>106</v>
      </c>
      <c r="E150">
        <v>10.715999999999999</v>
      </c>
    </row>
    <row r="151" spans="1:5">
      <c r="A151" t="s">
        <v>34565</v>
      </c>
      <c r="B151" t="s">
        <v>34571</v>
      </c>
      <c r="C151">
        <v>0</v>
      </c>
      <c r="D151" t="s">
        <v>106</v>
      </c>
      <c r="E151">
        <v>10.715999999999999</v>
      </c>
    </row>
    <row r="152" spans="1:5">
      <c r="A152" t="s">
        <v>34565</v>
      </c>
      <c r="B152" t="s">
        <v>34572</v>
      </c>
      <c r="C152">
        <v>0</v>
      </c>
      <c r="D152" t="s">
        <v>106</v>
      </c>
      <c r="E152">
        <v>10.715999999999999</v>
      </c>
    </row>
    <row r="153" spans="1:5">
      <c r="A153" t="s">
        <v>34565</v>
      </c>
      <c r="B153" t="s">
        <v>34573</v>
      </c>
      <c r="C153">
        <v>0</v>
      </c>
      <c r="D153" t="s">
        <v>106</v>
      </c>
      <c r="E153">
        <v>10.715999999999999</v>
      </c>
    </row>
    <row r="154" spans="1:5">
      <c r="A154" t="s">
        <v>34574</v>
      </c>
      <c r="B154" t="s">
        <v>28739</v>
      </c>
      <c r="C154">
        <f>0.606055755084</f>
        <v>0.606055755084</v>
      </c>
      <c r="D154">
        <v>0.76876220690800001</v>
      </c>
      <c r="E154">
        <v>3.5999999999999997E-2</v>
      </c>
    </row>
    <row r="155" spans="1:5">
      <c r="A155" t="s">
        <v>34574</v>
      </c>
      <c r="B155" t="s">
        <v>28743</v>
      </c>
      <c r="C155">
        <v>0.11266658587</v>
      </c>
      <c r="D155">
        <v>0.76876220690800001</v>
      </c>
      <c r="E155">
        <v>3.5999999999999997E-2</v>
      </c>
    </row>
    <row r="156" spans="1:5">
      <c r="A156" t="s">
        <v>34574</v>
      </c>
      <c r="B156" t="s">
        <v>28741</v>
      </c>
      <c r="C156">
        <v>0</v>
      </c>
      <c r="D156">
        <v>0.76876220690800001</v>
      </c>
      <c r="E156">
        <v>3.5999999999999997E-2</v>
      </c>
    </row>
    <row r="157" spans="1:5">
      <c r="A157" t="s">
        <v>34574</v>
      </c>
      <c r="B157" t="s">
        <v>28744</v>
      </c>
      <c r="C157">
        <v>0</v>
      </c>
      <c r="D157">
        <v>0.76876220690800001</v>
      </c>
      <c r="E157">
        <v>3.5999999999999997E-2</v>
      </c>
    </row>
    <row r="158" spans="1:5">
      <c r="A158" t="s">
        <v>34575</v>
      </c>
      <c r="B158" t="s">
        <v>34576</v>
      </c>
      <c r="C158">
        <v>0.39952198462799998</v>
      </c>
      <c r="D158">
        <v>0.60185022660300003</v>
      </c>
      <c r="E158">
        <v>0.06</v>
      </c>
    </row>
    <row r="159" spans="1:5">
      <c r="A159" t="s">
        <v>34575</v>
      </c>
      <c r="B159" t="s">
        <v>34577</v>
      </c>
      <c r="C159">
        <v>0.28566751735899998</v>
      </c>
      <c r="D159">
        <v>0.60185022660300003</v>
      </c>
      <c r="E159">
        <v>0.06</v>
      </c>
    </row>
    <row r="160" spans="1:5">
      <c r="A160" t="s">
        <v>34578</v>
      </c>
      <c r="B160" t="s">
        <v>34579</v>
      </c>
      <c r="C160">
        <f>0</f>
        <v>0</v>
      </c>
      <c r="D160" t="s">
        <v>106</v>
      </c>
      <c r="E160">
        <v>0.378</v>
      </c>
    </row>
    <row r="161" spans="1:5">
      <c r="A161" t="s">
        <v>34578</v>
      </c>
      <c r="B161" t="s">
        <v>34580</v>
      </c>
      <c r="C161">
        <v>0</v>
      </c>
      <c r="D161" t="s">
        <v>106</v>
      </c>
      <c r="E161">
        <v>0.378</v>
      </c>
    </row>
    <row r="162" spans="1:5">
      <c r="A162" t="s">
        <v>34578</v>
      </c>
      <c r="B162" t="s">
        <v>34581</v>
      </c>
      <c r="C162">
        <v>0</v>
      </c>
      <c r="D162" t="s">
        <v>106</v>
      </c>
      <c r="E162">
        <v>0.378</v>
      </c>
    </row>
    <row r="163" spans="1:5">
      <c r="A163" t="s">
        <v>34578</v>
      </c>
      <c r="B163" t="s">
        <v>34582</v>
      </c>
      <c r="C163">
        <v>0</v>
      </c>
      <c r="D163" t="s">
        <v>106</v>
      </c>
      <c r="E163">
        <v>0.378</v>
      </c>
    </row>
    <row r="164" spans="1:5">
      <c r="A164" t="s">
        <v>34583</v>
      </c>
      <c r="B164" t="s">
        <v>34584</v>
      </c>
      <c r="C164">
        <f>0.0412587442666</f>
        <v>4.1258744266599999E-2</v>
      </c>
      <c r="D164">
        <v>0.99988643663900001</v>
      </c>
      <c r="E164">
        <v>3.6840000000000002</v>
      </c>
    </row>
    <row r="165" spans="1:5">
      <c r="A165" t="s">
        <v>34583</v>
      </c>
      <c r="B165" t="s">
        <v>34585</v>
      </c>
      <c r="C165">
        <v>0</v>
      </c>
      <c r="D165">
        <v>0.99988643663900001</v>
      </c>
      <c r="E165">
        <v>3.6840000000000002</v>
      </c>
    </row>
    <row r="166" spans="1:5">
      <c r="A166" t="s">
        <v>34583</v>
      </c>
      <c r="B166" t="s">
        <v>34586</v>
      </c>
      <c r="C166">
        <f>0.148379962323</f>
        <v>0.14837996232299999</v>
      </c>
      <c r="D166">
        <v>0.99988643663900001</v>
      </c>
      <c r="E166">
        <v>3.6840000000000002</v>
      </c>
    </row>
    <row r="167" spans="1:5">
      <c r="A167" t="s">
        <v>34583</v>
      </c>
      <c r="B167" t="s">
        <v>34587</v>
      </c>
      <c r="C167">
        <v>0.40761538460699998</v>
      </c>
      <c r="D167">
        <v>0.99988643663900001</v>
      </c>
      <c r="E167">
        <v>3.6840000000000002</v>
      </c>
    </row>
    <row r="168" spans="1:5">
      <c r="A168" t="s">
        <v>34583</v>
      </c>
      <c r="B168" t="s">
        <v>34588</v>
      </c>
      <c r="C168">
        <v>0.32699809897900001</v>
      </c>
      <c r="D168">
        <v>0.99988643663900001</v>
      </c>
      <c r="E168">
        <v>3.6840000000000002</v>
      </c>
    </row>
    <row r="169" spans="1:5">
      <c r="A169" t="s">
        <v>34583</v>
      </c>
      <c r="B169" t="s">
        <v>34589</v>
      </c>
      <c r="C169">
        <f>0.0694162069619</f>
        <v>6.9416206961899998E-2</v>
      </c>
      <c r="D169">
        <v>0.99988643663900001</v>
      </c>
      <c r="E169">
        <v>3.6840000000000002</v>
      </c>
    </row>
    <row r="170" spans="1:5">
      <c r="A170" t="s">
        <v>34583</v>
      </c>
      <c r="B170" t="s">
        <v>34590</v>
      </c>
      <c r="C170">
        <v>0.226349897218</v>
      </c>
      <c r="D170">
        <v>0.99988643663900001</v>
      </c>
      <c r="E170">
        <v>3.6840000000000002</v>
      </c>
    </row>
    <row r="171" spans="1:5">
      <c r="A171" t="s">
        <v>34583</v>
      </c>
      <c r="B171" t="s">
        <v>34591</v>
      </c>
      <c r="C171">
        <v>0</v>
      </c>
      <c r="D171">
        <v>0.99988643663900001</v>
      </c>
      <c r="E171">
        <v>3.6840000000000002</v>
      </c>
    </row>
    <row r="172" spans="1:5">
      <c r="A172" t="s">
        <v>34583</v>
      </c>
      <c r="B172" t="s">
        <v>34592</v>
      </c>
      <c r="C172">
        <f>0.09854936879</f>
        <v>9.8549368789999994E-2</v>
      </c>
      <c r="D172">
        <v>0.99988643663900001</v>
      </c>
      <c r="E172">
        <v>3.6840000000000002</v>
      </c>
    </row>
    <row r="173" spans="1:5">
      <c r="A173" t="s">
        <v>34593</v>
      </c>
      <c r="B173" t="s">
        <v>23671</v>
      </c>
      <c r="C173">
        <f>0</f>
        <v>0</v>
      </c>
      <c r="D173">
        <v>0.91891478836899998</v>
      </c>
      <c r="E173">
        <v>4.8</v>
      </c>
    </row>
    <row r="174" spans="1:5">
      <c r="A174" t="s">
        <v>34593</v>
      </c>
      <c r="B174" t="s">
        <v>23673</v>
      </c>
      <c r="C174">
        <v>0</v>
      </c>
      <c r="D174">
        <v>0.91891478836899998</v>
      </c>
      <c r="E174">
        <v>4.8</v>
      </c>
    </row>
    <row r="175" spans="1:5">
      <c r="A175" t="s">
        <v>34593</v>
      </c>
      <c r="B175" t="s">
        <v>23681</v>
      </c>
      <c r="C175">
        <v>0.51102494542499999</v>
      </c>
      <c r="D175">
        <v>0.91891478836899998</v>
      </c>
      <c r="E175">
        <v>4.8</v>
      </c>
    </row>
    <row r="176" spans="1:5">
      <c r="A176" t="s">
        <v>34593</v>
      </c>
      <c r="B176" t="s">
        <v>23679</v>
      </c>
      <c r="C176">
        <v>0</v>
      </c>
      <c r="D176">
        <v>0.91891478836899998</v>
      </c>
      <c r="E176">
        <v>4.8</v>
      </c>
    </row>
    <row r="177" spans="1:5">
      <c r="A177" t="s">
        <v>34593</v>
      </c>
      <c r="B177" t="s">
        <v>23677</v>
      </c>
      <c r="C177">
        <v>0</v>
      </c>
      <c r="D177">
        <v>0.91891478836899998</v>
      </c>
      <c r="E177">
        <v>4.8</v>
      </c>
    </row>
    <row r="178" spans="1:5">
      <c r="A178" t="s">
        <v>34593</v>
      </c>
      <c r="B178" t="s">
        <v>23676</v>
      </c>
      <c r="C178">
        <v>0.18079849313900001</v>
      </c>
      <c r="D178">
        <v>0.91891478836899998</v>
      </c>
      <c r="E178">
        <v>4.8</v>
      </c>
    </row>
    <row r="179" spans="1:5">
      <c r="A179" t="s">
        <v>34593</v>
      </c>
      <c r="B179" t="s">
        <v>23678</v>
      </c>
      <c r="C179">
        <v>0</v>
      </c>
      <c r="D179">
        <v>0.91891478836899998</v>
      </c>
      <c r="E179">
        <v>4.8</v>
      </c>
    </row>
    <row r="180" spans="1:5">
      <c r="A180" t="s">
        <v>34593</v>
      </c>
      <c r="B180" t="s">
        <v>23674</v>
      </c>
      <c r="C180">
        <v>0</v>
      </c>
      <c r="D180">
        <v>0.91891478836899998</v>
      </c>
      <c r="E180">
        <v>4.8</v>
      </c>
    </row>
    <row r="181" spans="1:5">
      <c r="A181" t="s">
        <v>34593</v>
      </c>
      <c r="B181" t="s">
        <v>23680</v>
      </c>
      <c r="C181">
        <v>7.6286940338299997E-2</v>
      </c>
      <c r="D181">
        <v>0.91891478836899998</v>
      </c>
      <c r="E181">
        <v>4.8</v>
      </c>
    </row>
    <row r="182" spans="1:5">
      <c r="A182" t="s">
        <v>34594</v>
      </c>
      <c r="B182" t="s">
        <v>34595</v>
      </c>
      <c r="C182">
        <v>0.96943446206200001</v>
      </c>
      <c r="D182">
        <v>0.97254469235800001</v>
      </c>
      <c r="E182">
        <v>6.4260000000000002</v>
      </c>
    </row>
    <row r="183" spans="1:5">
      <c r="A183" t="s">
        <v>34594</v>
      </c>
      <c r="B183" t="s">
        <v>34596</v>
      </c>
      <c r="C183">
        <v>1.8836239116199999E-2</v>
      </c>
      <c r="D183">
        <v>0.97254469235800001</v>
      </c>
      <c r="E183">
        <v>6.4260000000000002</v>
      </c>
    </row>
    <row r="184" spans="1:5">
      <c r="A184" t="s">
        <v>34594</v>
      </c>
      <c r="B184" t="s">
        <v>34597</v>
      </c>
      <c r="C184">
        <f>0.00652084539991</f>
        <v>6.52084539991E-3</v>
      </c>
      <c r="D184">
        <v>0.97254469235800001</v>
      </c>
      <c r="E184">
        <v>6.4260000000000002</v>
      </c>
    </row>
    <row r="185" spans="1:5">
      <c r="A185" t="s">
        <v>34598</v>
      </c>
      <c r="B185" t="s">
        <v>34599</v>
      </c>
      <c r="C185">
        <f>0.322951156949</f>
        <v>0.32295115694900001</v>
      </c>
      <c r="D185">
        <v>0.880252646395</v>
      </c>
      <c r="E185">
        <v>1.014</v>
      </c>
    </row>
    <row r="186" spans="1:5">
      <c r="A186" t="s">
        <v>34598</v>
      </c>
      <c r="B186" t="s">
        <v>34600</v>
      </c>
      <c r="C186">
        <v>0</v>
      </c>
      <c r="D186">
        <v>0.880252646395</v>
      </c>
      <c r="E186">
        <v>1.014</v>
      </c>
    </row>
    <row r="187" spans="1:5">
      <c r="A187" t="s">
        <v>34598</v>
      </c>
      <c r="B187" t="s">
        <v>34601</v>
      </c>
      <c r="C187">
        <v>0</v>
      </c>
      <c r="D187">
        <v>0.880252646395</v>
      </c>
      <c r="E187">
        <v>1.014</v>
      </c>
    </row>
    <row r="188" spans="1:5">
      <c r="A188" t="s">
        <v>34598</v>
      </c>
      <c r="B188" t="s">
        <v>34602</v>
      </c>
      <c r="C188">
        <f>0</f>
        <v>0</v>
      </c>
      <c r="D188">
        <v>0.880252646395</v>
      </c>
      <c r="E188">
        <v>1.014</v>
      </c>
    </row>
    <row r="189" spans="1:5">
      <c r="A189" t="s">
        <v>34598</v>
      </c>
      <c r="B189" t="s">
        <v>34603</v>
      </c>
      <c r="C189">
        <f>0.405095531356</f>
        <v>0.40509553135600002</v>
      </c>
      <c r="D189">
        <v>0.880252646395</v>
      </c>
      <c r="E189">
        <v>1.014</v>
      </c>
    </row>
    <row r="190" spans="1:5">
      <c r="A190" t="s">
        <v>34598</v>
      </c>
      <c r="B190" t="s">
        <v>34604</v>
      </c>
      <c r="C190">
        <f>0</f>
        <v>0</v>
      </c>
      <c r="D190">
        <v>0.880252646395</v>
      </c>
      <c r="E190">
        <v>1.014</v>
      </c>
    </row>
    <row r="191" spans="1:5">
      <c r="A191" t="s">
        <v>34598</v>
      </c>
      <c r="B191" t="s">
        <v>34605</v>
      </c>
      <c r="C191">
        <f>0.00582730630133</f>
        <v>5.82730630133E-3</v>
      </c>
      <c r="D191">
        <v>0.880252646395</v>
      </c>
      <c r="E191">
        <v>1.014</v>
      </c>
    </row>
    <row r="192" spans="1:5">
      <c r="A192" t="s">
        <v>34606</v>
      </c>
      <c r="B192" t="s">
        <v>31388</v>
      </c>
      <c r="C192">
        <f>0.56384081801</f>
        <v>0.56384081800999997</v>
      </c>
      <c r="D192">
        <v>0.78696240410499996</v>
      </c>
      <c r="E192">
        <v>5.2380000000000004</v>
      </c>
    </row>
    <row r="193" spans="1:5">
      <c r="A193" t="s">
        <v>34606</v>
      </c>
      <c r="B193" t="s">
        <v>31393</v>
      </c>
      <c r="C193">
        <f>0</f>
        <v>0</v>
      </c>
      <c r="D193">
        <v>0.78696240410499996</v>
      </c>
      <c r="E193">
        <v>5.2380000000000004</v>
      </c>
    </row>
    <row r="194" spans="1:5">
      <c r="A194" t="s">
        <v>34606</v>
      </c>
      <c r="B194" t="s">
        <v>31390</v>
      </c>
      <c r="C194">
        <f>0.0668776764384</f>
        <v>6.6877676438399994E-2</v>
      </c>
      <c r="D194">
        <v>0.78696240410499996</v>
      </c>
      <c r="E194">
        <v>5.2380000000000004</v>
      </c>
    </row>
    <row r="195" spans="1:5">
      <c r="A195" t="s">
        <v>34606</v>
      </c>
      <c r="B195" t="s">
        <v>31389</v>
      </c>
      <c r="C195">
        <f>0.322560815073</f>
        <v>0.322560815073</v>
      </c>
      <c r="D195">
        <v>0.78696240410499996</v>
      </c>
      <c r="E195">
        <v>5.2380000000000004</v>
      </c>
    </row>
    <row r="196" spans="1:5">
      <c r="A196" t="s">
        <v>34607</v>
      </c>
      <c r="B196" t="s">
        <v>34608</v>
      </c>
      <c r="C196">
        <v>0</v>
      </c>
      <c r="D196">
        <v>0.92923742017599997</v>
      </c>
      <c r="E196">
        <v>9.0180000000000007</v>
      </c>
    </row>
    <row r="197" spans="1:5">
      <c r="A197" t="s">
        <v>34607</v>
      </c>
      <c r="B197" t="s">
        <v>34609</v>
      </c>
      <c r="C197">
        <v>1.1020024920500001E-2</v>
      </c>
      <c r="D197">
        <v>0.92923742017599997</v>
      </c>
      <c r="E197">
        <v>9.0180000000000007</v>
      </c>
    </row>
    <row r="198" spans="1:5">
      <c r="A198" t="s">
        <v>34607</v>
      </c>
      <c r="B198" t="s">
        <v>34610</v>
      </c>
      <c r="C198">
        <f>0.825391710027</f>
        <v>0.82539171002699996</v>
      </c>
      <c r="D198">
        <v>0.92923742017599997</v>
      </c>
      <c r="E198">
        <v>9.0180000000000007</v>
      </c>
    </row>
    <row r="199" spans="1:5">
      <c r="A199" t="s">
        <v>34607</v>
      </c>
      <c r="B199" t="s">
        <v>34611</v>
      </c>
      <c r="C199">
        <v>9.4753358307199994E-3</v>
      </c>
      <c r="D199">
        <v>0.92923742017599997</v>
      </c>
      <c r="E199">
        <v>9.0180000000000007</v>
      </c>
    </row>
    <row r="200" spans="1:5">
      <c r="A200" t="s">
        <v>34607</v>
      </c>
      <c r="B200" t="s">
        <v>34612</v>
      </c>
      <c r="C200">
        <f>0</f>
        <v>0</v>
      </c>
      <c r="D200">
        <v>0.92923742017599997</v>
      </c>
      <c r="E200">
        <v>9.0180000000000007</v>
      </c>
    </row>
    <row r="201" spans="1:5">
      <c r="A201" t="s">
        <v>34607</v>
      </c>
      <c r="B201" t="s">
        <v>34613</v>
      </c>
      <c r="C201">
        <f>0.213324408802</f>
        <v>0.21332440880199999</v>
      </c>
      <c r="D201">
        <v>0.92923742017599997</v>
      </c>
      <c r="E201">
        <v>9.0180000000000007</v>
      </c>
    </row>
    <row r="202" spans="1:5">
      <c r="A202" t="s">
        <v>34614</v>
      </c>
      <c r="B202" t="s">
        <v>34615</v>
      </c>
      <c r="C202">
        <f>0.4269469325</f>
        <v>0.42694693249999999</v>
      </c>
      <c r="D202">
        <v>0.97987231661300001</v>
      </c>
      <c r="E202">
        <v>24</v>
      </c>
    </row>
    <row r="203" spans="1:5">
      <c r="A203" t="s">
        <v>34614</v>
      </c>
      <c r="B203" t="s">
        <v>34616</v>
      </c>
      <c r="C203">
        <f>0</f>
        <v>0</v>
      </c>
      <c r="D203">
        <v>0.97987231661300001</v>
      </c>
      <c r="E203">
        <v>24</v>
      </c>
    </row>
    <row r="204" spans="1:5">
      <c r="A204" t="s">
        <v>34614</v>
      </c>
      <c r="B204" t="s">
        <v>34617</v>
      </c>
      <c r="C204">
        <f>0.0652472669903</f>
        <v>6.5247266990300007E-2</v>
      </c>
      <c r="D204">
        <v>0.97987231661300001</v>
      </c>
      <c r="E204">
        <v>24</v>
      </c>
    </row>
    <row r="205" spans="1:5">
      <c r="A205" t="s">
        <v>34614</v>
      </c>
      <c r="B205" t="s">
        <v>34618</v>
      </c>
      <c r="C205">
        <f>0.815072315119</f>
        <v>0.81507231511900002</v>
      </c>
      <c r="D205">
        <v>0.97987231661300001</v>
      </c>
      <c r="E205">
        <v>24</v>
      </c>
    </row>
    <row r="206" spans="1:5">
      <c r="A206" t="s">
        <v>34614</v>
      </c>
      <c r="B206" t="s">
        <v>34619</v>
      </c>
      <c r="C206">
        <f>0.0824641899596</f>
        <v>8.2464189959600004E-2</v>
      </c>
      <c r="D206">
        <v>0.97987231661300001</v>
      </c>
      <c r="E206">
        <v>24</v>
      </c>
    </row>
    <row r="207" spans="1:5">
      <c r="A207" t="s">
        <v>34620</v>
      </c>
      <c r="B207" t="s">
        <v>32432</v>
      </c>
      <c r="C207">
        <v>0</v>
      </c>
      <c r="D207" t="s">
        <v>106</v>
      </c>
      <c r="E207">
        <v>0.87</v>
      </c>
    </row>
    <row r="208" spans="1:5">
      <c r="A208" t="s">
        <v>34620</v>
      </c>
      <c r="B208" t="s">
        <v>32431</v>
      </c>
      <c r="C208">
        <v>0</v>
      </c>
      <c r="D208" t="s">
        <v>106</v>
      </c>
      <c r="E208">
        <v>0.87</v>
      </c>
    </row>
    <row r="209" spans="1:5">
      <c r="A209" t="s">
        <v>34620</v>
      </c>
      <c r="B209" t="s">
        <v>32428</v>
      </c>
      <c r="C209">
        <f>0</f>
        <v>0</v>
      </c>
      <c r="D209" t="s">
        <v>106</v>
      </c>
      <c r="E209">
        <v>0.87</v>
      </c>
    </row>
    <row r="210" spans="1:5">
      <c r="A210" t="s">
        <v>34620</v>
      </c>
      <c r="B210" t="s">
        <v>32429</v>
      </c>
      <c r="C210">
        <v>0</v>
      </c>
      <c r="D210" t="s">
        <v>106</v>
      </c>
      <c r="E210">
        <v>0.87</v>
      </c>
    </row>
    <row r="211" spans="1:5">
      <c r="A211" t="s">
        <v>34620</v>
      </c>
      <c r="B211" t="s">
        <v>32430</v>
      </c>
      <c r="C211">
        <v>0</v>
      </c>
      <c r="D211" t="s">
        <v>106</v>
      </c>
      <c r="E211">
        <v>0.87</v>
      </c>
    </row>
    <row r="212" spans="1:5">
      <c r="A212" t="s">
        <v>34621</v>
      </c>
      <c r="B212" t="s">
        <v>6898</v>
      </c>
      <c r="C212">
        <f>0</f>
        <v>0</v>
      </c>
      <c r="D212">
        <v>0.99985296141900004</v>
      </c>
      <c r="E212">
        <v>0.10199999999999999</v>
      </c>
    </row>
    <row r="213" spans="1:5">
      <c r="A213" t="s">
        <v>34621</v>
      </c>
      <c r="B213" t="s">
        <v>6912</v>
      </c>
      <c r="C213">
        <v>0.93344545016500002</v>
      </c>
      <c r="D213">
        <v>0.99985296141900004</v>
      </c>
      <c r="E213">
        <v>0.10199999999999999</v>
      </c>
    </row>
    <row r="214" spans="1:5">
      <c r="A214" t="s">
        <v>34621</v>
      </c>
      <c r="B214" t="s">
        <v>6899</v>
      </c>
      <c r="C214">
        <f>0.0880514902936</f>
        <v>8.8051490293600002E-2</v>
      </c>
      <c r="D214">
        <v>0.99985296141900004</v>
      </c>
      <c r="E214">
        <v>0.10199999999999999</v>
      </c>
    </row>
    <row r="215" spans="1:5">
      <c r="A215" t="s">
        <v>34621</v>
      </c>
      <c r="B215" t="s">
        <v>6907</v>
      </c>
      <c r="C215">
        <f>0.298512579979</f>
        <v>0.29851257997899999</v>
      </c>
      <c r="D215">
        <v>0.99985296141900004</v>
      </c>
      <c r="E215">
        <v>0.10199999999999999</v>
      </c>
    </row>
    <row r="216" spans="1:5">
      <c r="A216" t="s">
        <v>34621</v>
      </c>
      <c r="B216" t="s">
        <v>6904</v>
      </c>
      <c r="C216">
        <v>0.31979868180499998</v>
      </c>
      <c r="D216">
        <v>0.99985296141900004</v>
      </c>
      <c r="E216">
        <v>0.10199999999999999</v>
      </c>
    </row>
    <row r="217" spans="1:5">
      <c r="A217" t="s">
        <v>34621</v>
      </c>
      <c r="B217" t="s">
        <v>6913</v>
      </c>
      <c r="C217">
        <f>0.163081327177</f>
        <v>0.163081327177</v>
      </c>
      <c r="D217">
        <v>0.99985296141900004</v>
      </c>
      <c r="E217">
        <v>0.10199999999999999</v>
      </c>
    </row>
    <row r="218" spans="1:5">
      <c r="A218" t="s">
        <v>34621</v>
      </c>
      <c r="B218" t="s">
        <v>6908</v>
      </c>
      <c r="C218">
        <v>0.74970601936400005</v>
      </c>
      <c r="D218">
        <v>0.99985296141900004</v>
      </c>
      <c r="E218">
        <v>0.10199999999999999</v>
      </c>
    </row>
    <row r="219" spans="1:5">
      <c r="A219" t="s">
        <v>34621</v>
      </c>
      <c r="B219" t="s">
        <v>6906</v>
      </c>
      <c r="C219">
        <v>0</v>
      </c>
      <c r="D219">
        <v>0.99985296141900004</v>
      </c>
      <c r="E219">
        <v>0.10199999999999999</v>
      </c>
    </row>
    <row r="220" spans="1:5">
      <c r="A220" t="s">
        <v>34621</v>
      </c>
      <c r="B220" t="s">
        <v>6911</v>
      </c>
      <c r="C220">
        <v>0.53734439777999998</v>
      </c>
      <c r="D220">
        <v>0.99985296141900004</v>
      </c>
      <c r="E220">
        <v>0.10199999999999999</v>
      </c>
    </row>
    <row r="221" spans="1:5">
      <c r="A221" t="s">
        <v>34621</v>
      </c>
      <c r="B221" t="s">
        <v>6900</v>
      </c>
      <c r="C221">
        <v>0</v>
      </c>
      <c r="D221">
        <v>0.99985296141900004</v>
      </c>
      <c r="E221">
        <v>0.10199999999999999</v>
      </c>
    </row>
    <row r="222" spans="1:5">
      <c r="A222" t="s">
        <v>34621</v>
      </c>
      <c r="B222" t="s">
        <v>6905</v>
      </c>
      <c r="C222">
        <f>0.581057237142</f>
        <v>0.58105723714199997</v>
      </c>
      <c r="D222">
        <v>0.99985296141900004</v>
      </c>
      <c r="E222">
        <v>0.10199999999999999</v>
      </c>
    </row>
    <row r="223" spans="1:5">
      <c r="A223" t="s">
        <v>34622</v>
      </c>
      <c r="B223" t="s">
        <v>34623</v>
      </c>
      <c r="C223">
        <v>0</v>
      </c>
      <c r="D223" t="s">
        <v>106</v>
      </c>
      <c r="E223">
        <v>4.2720000000000002</v>
      </c>
    </row>
    <row r="224" spans="1:5">
      <c r="A224" t="s">
        <v>34622</v>
      </c>
      <c r="B224" t="s">
        <v>34624</v>
      </c>
      <c r="C224">
        <f>0</f>
        <v>0</v>
      </c>
      <c r="D224" t="s">
        <v>106</v>
      </c>
      <c r="E224">
        <v>4.2720000000000002</v>
      </c>
    </row>
    <row r="225" spans="1:5">
      <c r="A225" t="s">
        <v>34622</v>
      </c>
      <c r="B225" t="s">
        <v>34625</v>
      </c>
      <c r="C225">
        <v>0</v>
      </c>
      <c r="D225" t="s">
        <v>106</v>
      </c>
      <c r="E225">
        <v>4.2720000000000002</v>
      </c>
    </row>
    <row r="226" spans="1:5">
      <c r="A226" t="s">
        <v>34622</v>
      </c>
      <c r="B226" t="s">
        <v>34626</v>
      </c>
      <c r="C226">
        <v>0</v>
      </c>
      <c r="D226" t="s">
        <v>106</v>
      </c>
      <c r="E226">
        <v>4.2720000000000002</v>
      </c>
    </row>
    <row r="227" spans="1:5">
      <c r="A227" t="s">
        <v>34622</v>
      </c>
      <c r="B227" t="s">
        <v>34627</v>
      </c>
      <c r="C227">
        <v>0</v>
      </c>
      <c r="D227" t="s">
        <v>106</v>
      </c>
      <c r="E227">
        <v>4.2720000000000002</v>
      </c>
    </row>
    <row r="228" spans="1:5">
      <c r="A228" t="s">
        <v>34622</v>
      </c>
      <c r="B228" t="s">
        <v>34628</v>
      </c>
      <c r="C228">
        <v>0</v>
      </c>
      <c r="D228" t="s">
        <v>106</v>
      </c>
      <c r="E228">
        <v>4.2720000000000002</v>
      </c>
    </row>
    <row r="229" spans="1:5">
      <c r="A229" t="s">
        <v>34622</v>
      </c>
      <c r="B229" t="s">
        <v>34629</v>
      </c>
      <c r="C229">
        <v>0</v>
      </c>
      <c r="D229" t="s">
        <v>106</v>
      </c>
      <c r="E229">
        <v>4.2720000000000002</v>
      </c>
    </row>
    <row r="230" spans="1:5">
      <c r="A230" t="s">
        <v>34622</v>
      </c>
      <c r="B230" t="s">
        <v>34630</v>
      </c>
      <c r="C230">
        <v>0</v>
      </c>
      <c r="D230" t="s">
        <v>106</v>
      </c>
      <c r="E230">
        <v>4.2720000000000002</v>
      </c>
    </row>
    <row r="231" spans="1:5">
      <c r="A231" t="s">
        <v>34631</v>
      </c>
      <c r="B231" t="s">
        <v>34632</v>
      </c>
      <c r="C231">
        <v>0.20620000143600001</v>
      </c>
      <c r="D231">
        <v>0.43661000143599998</v>
      </c>
      <c r="E231">
        <v>6.4260000000000002</v>
      </c>
    </row>
    <row r="232" spans="1:5">
      <c r="A232" t="s">
        <v>34631</v>
      </c>
      <c r="B232" t="s">
        <v>34633</v>
      </c>
      <c r="C232">
        <f>0</f>
        <v>0</v>
      </c>
      <c r="D232">
        <v>0.43661000143599998</v>
      </c>
      <c r="E232">
        <v>6.4260000000000002</v>
      </c>
    </row>
    <row r="233" spans="1:5">
      <c r="A233" t="s">
        <v>34634</v>
      </c>
      <c r="B233" t="s">
        <v>34635</v>
      </c>
      <c r="C233">
        <v>0.61201066090199996</v>
      </c>
      <c r="D233">
        <v>0.79272138163700001</v>
      </c>
      <c r="E233">
        <v>3.0539999999999998</v>
      </c>
    </row>
    <row r="234" spans="1:5">
      <c r="A234" t="s">
        <v>34634</v>
      </c>
      <c r="B234" t="s">
        <v>34636</v>
      </c>
      <c r="C234">
        <f>0</f>
        <v>0</v>
      </c>
      <c r="D234">
        <v>0.79272138163700001</v>
      </c>
      <c r="E234">
        <v>3.0539999999999998</v>
      </c>
    </row>
    <row r="235" spans="1:5">
      <c r="A235" t="s">
        <v>34634</v>
      </c>
      <c r="B235" t="s">
        <v>34637</v>
      </c>
      <c r="C235">
        <f>0.208500556787</f>
        <v>0.208500556787</v>
      </c>
      <c r="D235">
        <v>0.79272138163700001</v>
      </c>
      <c r="E235">
        <v>3.0539999999999998</v>
      </c>
    </row>
    <row r="236" spans="1:5">
      <c r="A236" t="s">
        <v>34638</v>
      </c>
      <c r="B236" t="s">
        <v>31075</v>
      </c>
      <c r="C236">
        <v>0.36185228815699999</v>
      </c>
      <c r="D236">
        <v>0.82426228815699998</v>
      </c>
      <c r="E236">
        <v>22.103999999999999</v>
      </c>
    </row>
    <row r="237" spans="1:5">
      <c r="A237" t="s">
        <v>34638</v>
      </c>
      <c r="B237" t="s">
        <v>31076</v>
      </c>
      <c r="C237">
        <v>0</v>
      </c>
      <c r="D237">
        <v>0.82426228815699998</v>
      </c>
      <c r="E237">
        <v>22.103999999999999</v>
      </c>
    </row>
    <row r="238" spans="1:5">
      <c r="A238" t="s">
        <v>34638</v>
      </c>
      <c r="B238" t="s">
        <v>31078</v>
      </c>
      <c r="C238">
        <v>0</v>
      </c>
      <c r="D238">
        <v>0.82426228815699998</v>
      </c>
      <c r="E238">
        <v>22.103999999999999</v>
      </c>
    </row>
    <row r="239" spans="1:5">
      <c r="A239" t="s">
        <v>34639</v>
      </c>
      <c r="B239" t="s">
        <v>34640</v>
      </c>
      <c r="C239">
        <v>0</v>
      </c>
      <c r="D239">
        <v>0.80788002640599998</v>
      </c>
      <c r="E239">
        <v>6.8040000000000003</v>
      </c>
    </row>
    <row r="240" spans="1:5">
      <c r="A240" t="s">
        <v>34639</v>
      </c>
      <c r="B240" t="s">
        <v>34641</v>
      </c>
      <c r="C240">
        <f>0</f>
        <v>0</v>
      </c>
      <c r="D240">
        <v>0.80788002640599998</v>
      </c>
      <c r="E240">
        <v>6.8040000000000003</v>
      </c>
    </row>
    <row r="241" spans="1:5">
      <c r="A241" t="s">
        <v>34639</v>
      </c>
      <c r="B241" t="s">
        <v>34642</v>
      </c>
      <c r="C241">
        <v>0.647870026406</v>
      </c>
      <c r="D241">
        <v>0.80788002640599998</v>
      </c>
      <c r="E241">
        <v>6.8040000000000003</v>
      </c>
    </row>
    <row r="242" spans="1:5">
      <c r="A242" t="s">
        <v>34643</v>
      </c>
      <c r="B242" t="s">
        <v>34644</v>
      </c>
      <c r="C242">
        <v>0.91300273700599999</v>
      </c>
      <c r="D242">
        <v>0.95056410372400002</v>
      </c>
      <c r="E242">
        <v>19.2</v>
      </c>
    </row>
    <row r="243" spans="1:5">
      <c r="A243" t="s">
        <v>34643</v>
      </c>
      <c r="B243" t="s">
        <v>34645</v>
      </c>
      <c r="C243">
        <f>0.0567706885807</f>
        <v>5.6770688580700002E-2</v>
      </c>
      <c r="D243">
        <v>0.95056410372400002</v>
      </c>
      <c r="E243">
        <v>19.2</v>
      </c>
    </row>
    <row r="244" spans="1:5">
      <c r="A244" t="s">
        <v>34646</v>
      </c>
      <c r="B244" t="s">
        <v>17387</v>
      </c>
      <c r="C244">
        <v>0</v>
      </c>
      <c r="D244" t="s">
        <v>106</v>
      </c>
      <c r="E244">
        <v>24</v>
      </c>
    </row>
    <row r="245" spans="1:5">
      <c r="A245" t="s">
        <v>34646</v>
      </c>
      <c r="B245" t="s">
        <v>17388</v>
      </c>
      <c r="C245">
        <v>0</v>
      </c>
      <c r="D245" t="s">
        <v>106</v>
      </c>
      <c r="E245">
        <v>24</v>
      </c>
    </row>
    <row r="246" spans="1:5">
      <c r="A246" t="s">
        <v>34646</v>
      </c>
      <c r="B246" t="s">
        <v>17392</v>
      </c>
      <c r="C246">
        <v>0</v>
      </c>
      <c r="D246" t="s">
        <v>106</v>
      </c>
      <c r="E246">
        <v>24</v>
      </c>
    </row>
    <row r="247" spans="1:5">
      <c r="A247" t="s">
        <v>34646</v>
      </c>
      <c r="B247" t="s">
        <v>17389</v>
      </c>
      <c r="C247">
        <v>0</v>
      </c>
      <c r="D247" t="s">
        <v>106</v>
      </c>
      <c r="E247">
        <v>24</v>
      </c>
    </row>
    <row r="248" spans="1:5">
      <c r="A248" t="s">
        <v>34647</v>
      </c>
      <c r="B248" t="s">
        <v>2585</v>
      </c>
      <c r="C248">
        <f>0.69843706313</f>
        <v>0.69843706312999998</v>
      </c>
      <c r="D248">
        <v>0.66567429403599998</v>
      </c>
      <c r="E248">
        <v>1.512</v>
      </c>
    </row>
    <row r="249" spans="1:5">
      <c r="A249" t="s">
        <v>34647</v>
      </c>
      <c r="B249" t="s">
        <v>2582</v>
      </c>
      <c r="C249">
        <v>0.104077984613</v>
      </c>
      <c r="D249">
        <v>0.66567429403599998</v>
      </c>
      <c r="E249">
        <v>1.512</v>
      </c>
    </row>
    <row r="250" spans="1:5">
      <c r="A250" t="s">
        <v>34647</v>
      </c>
      <c r="B250" t="s">
        <v>2584</v>
      </c>
      <c r="C250">
        <v>0.122318183553</v>
      </c>
      <c r="D250">
        <v>0.66567429403599998</v>
      </c>
      <c r="E250">
        <v>1.512</v>
      </c>
    </row>
    <row r="251" spans="1:5">
      <c r="A251" t="s">
        <v>34648</v>
      </c>
      <c r="B251" t="s">
        <v>34649</v>
      </c>
      <c r="C251">
        <f>0</f>
        <v>0</v>
      </c>
      <c r="D251" t="s">
        <v>106</v>
      </c>
      <c r="E251">
        <v>7.2</v>
      </c>
    </row>
    <row r="252" spans="1:5">
      <c r="A252" t="s">
        <v>34648</v>
      </c>
      <c r="B252" t="s">
        <v>34650</v>
      </c>
      <c r="C252">
        <v>0</v>
      </c>
      <c r="D252" t="s">
        <v>106</v>
      </c>
      <c r="E252">
        <v>7.2</v>
      </c>
    </row>
    <row r="253" spans="1:5">
      <c r="A253" t="s">
        <v>34648</v>
      </c>
      <c r="B253" t="s">
        <v>34651</v>
      </c>
      <c r="C253">
        <v>0</v>
      </c>
      <c r="D253" t="s">
        <v>106</v>
      </c>
      <c r="E253">
        <v>7.2</v>
      </c>
    </row>
    <row r="254" spans="1:5">
      <c r="A254" t="s">
        <v>34648</v>
      </c>
      <c r="B254" t="s">
        <v>34652</v>
      </c>
      <c r="C254">
        <f>0</f>
        <v>0</v>
      </c>
      <c r="D254" t="s">
        <v>106</v>
      </c>
      <c r="E254">
        <v>7.2</v>
      </c>
    </row>
    <row r="255" spans="1:5">
      <c r="A255" t="s">
        <v>34653</v>
      </c>
      <c r="B255" t="s">
        <v>26465</v>
      </c>
      <c r="C255">
        <f>0.254999748189</f>
        <v>0.25499974818900001</v>
      </c>
      <c r="D255">
        <v>0.99999879839799999</v>
      </c>
      <c r="E255">
        <v>16.896000000000001</v>
      </c>
    </row>
    <row r="256" spans="1:5">
      <c r="A256" t="s">
        <v>34653</v>
      </c>
      <c r="B256" t="s">
        <v>26466</v>
      </c>
      <c r="C256">
        <v>0.19572735920199999</v>
      </c>
      <c r="D256">
        <v>0.99999879839799999</v>
      </c>
      <c r="E256">
        <v>16.896000000000001</v>
      </c>
    </row>
    <row r="257" spans="1:5">
      <c r="A257" t="s">
        <v>34653</v>
      </c>
      <c r="B257" t="s">
        <v>26461</v>
      </c>
      <c r="C257">
        <v>0.355236125146</v>
      </c>
      <c r="D257">
        <v>0.99999879839799999</v>
      </c>
      <c r="E257">
        <v>16.896000000000001</v>
      </c>
    </row>
    <row r="258" spans="1:5">
      <c r="A258" t="s">
        <v>34653</v>
      </c>
      <c r="B258" t="s">
        <v>26463</v>
      </c>
      <c r="C258">
        <v>0.18498009567699999</v>
      </c>
      <c r="D258">
        <v>0.99999879839799999</v>
      </c>
      <c r="E258">
        <v>16.896000000000001</v>
      </c>
    </row>
    <row r="259" spans="1:5">
      <c r="A259" t="s">
        <v>34653</v>
      </c>
      <c r="B259" t="s">
        <v>26467</v>
      </c>
      <c r="C259">
        <f>0.175294544843</f>
        <v>0.175294544843</v>
      </c>
      <c r="D259">
        <v>0.99999879839799999</v>
      </c>
      <c r="E259">
        <v>16.896000000000001</v>
      </c>
    </row>
    <row r="260" spans="1:5">
      <c r="A260" t="s">
        <v>34653</v>
      </c>
      <c r="B260" t="s">
        <v>26462</v>
      </c>
      <c r="C260">
        <f>0.495879883301</f>
        <v>0.49587988330100002</v>
      </c>
      <c r="D260">
        <v>0.99999879839799999</v>
      </c>
      <c r="E260">
        <v>16.896000000000001</v>
      </c>
    </row>
    <row r="261" spans="1:5">
      <c r="A261" t="s">
        <v>34653</v>
      </c>
      <c r="B261" t="s">
        <v>26469</v>
      </c>
      <c r="C261">
        <v>0.84920046528799997</v>
      </c>
      <c r="D261">
        <v>0.99999879839799999</v>
      </c>
      <c r="E261">
        <v>16.896000000000001</v>
      </c>
    </row>
    <row r="262" spans="1:5">
      <c r="A262" t="s">
        <v>34653</v>
      </c>
      <c r="B262" t="s">
        <v>26471</v>
      </c>
      <c r="C262">
        <f>0.044028032494</f>
        <v>4.4028032494000002E-2</v>
      </c>
      <c r="D262">
        <v>0.99999879839799999</v>
      </c>
      <c r="E262">
        <v>16.896000000000001</v>
      </c>
    </row>
    <row r="263" spans="1:5">
      <c r="A263" t="s">
        <v>34654</v>
      </c>
      <c r="B263" t="s">
        <v>24429</v>
      </c>
      <c r="C263">
        <v>0.98319070506200001</v>
      </c>
      <c r="D263">
        <v>0.91122305829899997</v>
      </c>
      <c r="E263">
        <v>6.18</v>
      </c>
    </row>
    <row r="264" spans="1:5">
      <c r="A264" t="s">
        <v>34654</v>
      </c>
      <c r="B264" t="s">
        <v>24432</v>
      </c>
      <c r="C264">
        <v>0.15383154448</v>
      </c>
      <c r="D264">
        <v>0.91122305829899997</v>
      </c>
      <c r="E264">
        <v>6.18</v>
      </c>
    </row>
    <row r="265" spans="1:5">
      <c r="A265" t="s">
        <v>34654</v>
      </c>
      <c r="B265" t="s">
        <v>24430</v>
      </c>
      <c r="C265">
        <f>0.361407788489</f>
        <v>0.36140778848900001</v>
      </c>
      <c r="D265">
        <v>0.91122305829899997</v>
      </c>
      <c r="E265">
        <v>6.18</v>
      </c>
    </row>
    <row r="266" spans="1:5">
      <c r="A266" t="s">
        <v>34655</v>
      </c>
      <c r="B266" t="s">
        <v>9451</v>
      </c>
      <c r="C266">
        <f>0.245015401444</f>
        <v>0.245015401444</v>
      </c>
      <c r="D266">
        <v>0.99972043469500005</v>
      </c>
      <c r="E266">
        <v>24</v>
      </c>
    </row>
    <row r="267" spans="1:5">
      <c r="A267" t="s">
        <v>34655</v>
      </c>
      <c r="B267" t="s">
        <v>9453</v>
      </c>
      <c r="C267">
        <v>0.274545978533</v>
      </c>
      <c r="D267">
        <v>0.99972043469500005</v>
      </c>
      <c r="E267">
        <v>24</v>
      </c>
    </row>
    <row r="268" spans="1:5">
      <c r="A268" t="s">
        <v>34655</v>
      </c>
      <c r="B268" t="s">
        <v>9456</v>
      </c>
      <c r="C268">
        <f>-1.02879616898</f>
        <v>-1.02879616898</v>
      </c>
      <c r="D268">
        <v>0.99972043469500005</v>
      </c>
      <c r="E268">
        <v>24</v>
      </c>
    </row>
    <row r="269" spans="1:5">
      <c r="A269" t="s">
        <v>34655</v>
      </c>
      <c r="B269" t="s">
        <v>9458</v>
      </c>
      <c r="C269">
        <v>1.3338905124</v>
      </c>
      <c r="D269">
        <v>0.99972043469500005</v>
      </c>
      <c r="E269">
        <v>24</v>
      </c>
    </row>
    <row r="270" spans="1:5">
      <c r="A270" t="s">
        <v>34655</v>
      </c>
      <c r="B270" t="s">
        <v>9454</v>
      </c>
      <c r="C270">
        <v>0.11180475394</v>
      </c>
      <c r="D270">
        <v>0.99972043469500005</v>
      </c>
      <c r="E270">
        <v>24</v>
      </c>
    </row>
    <row r="271" spans="1:5">
      <c r="A271" t="s">
        <v>34655</v>
      </c>
      <c r="B271" t="s">
        <v>9459</v>
      </c>
      <c r="C271">
        <v>0.24412757904400001</v>
      </c>
      <c r="D271">
        <v>0.99972043469500005</v>
      </c>
      <c r="E271">
        <v>24</v>
      </c>
    </row>
    <row r="272" spans="1:5">
      <c r="A272" t="s">
        <v>34655</v>
      </c>
      <c r="B272" t="s">
        <v>9455</v>
      </c>
      <c r="C272">
        <f>0.0431655544233</f>
        <v>4.3165554423300001E-2</v>
      </c>
      <c r="D272">
        <v>0.99972043469500005</v>
      </c>
      <c r="E272">
        <v>24</v>
      </c>
    </row>
    <row r="273" spans="1:5">
      <c r="A273" t="s">
        <v>34656</v>
      </c>
      <c r="B273" t="s">
        <v>34657</v>
      </c>
      <c r="C273">
        <v>2.3043210794699998E-3</v>
      </c>
      <c r="D273">
        <v>0.81166970512000003</v>
      </c>
      <c r="E273">
        <v>1.6379999999999999</v>
      </c>
    </row>
    <row r="274" spans="1:5">
      <c r="A274" t="s">
        <v>34656</v>
      </c>
      <c r="B274" t="s">
        <v>34658</v>
      </c>
      <c r="C274">
        <v>0.67964300517300003</v>
      </c>
      <c r="D274">
        <v>0.81166970512000003</v>
      </c>
      <c r="E274">
        <v>1.6379999999999999</v>
      </c>
    </row>
    <row r="275" spans="1:5">
      <c r="A275" t="s">
        <v>34656</v>
      </c>
      <c r="B275" t="s">
        <v>34659</v>
      </c>
      <c r="C275">
        <f>0.395810668624</f>
        <v>0.39581066862399999</v>
      </c>
      <c r="D275">
        <v>0.81166970512000003</v>
      </c>
      <c r="E275">
        <v>1.6379999999999999</v>
      </c>
    </row>
    <row r="276" spans="1:5">
      <c r="A276" t="s">
        <v>34660</v>
      </c>
      <c r="B276" t="s">
        <v>25731</v>
      </c>
      <c r="C276">
        <f>0.833874123786</f>
        <v>0.83387412378600001</v>
      </c>
      <c r="D276">
        <v>0.92483844716999997</v>
      </c>
      <c r="E276">
        <v>10.554</v>
      </c>
    </row>
    <row r="277" spans="1:5">
      <c r="A277" t="s">
        <v>34660</v>
      </c>
      <c r="B277" t="s">
        <v>25728</v>
      </c>
      <c r="C277">
        <f>0</f>
        <v>0</v>
      </c>
      <c r="D277">
        <v>0.92483844716999997</v>
      </c>
      <c r="E277">
        <v>10.554</v>
      </c>
    </row>
    <row r="278" spans="1:5">
      <c r="A278" t="s">
        <v>34660</v>
      </c>
      <c r="B278" t="s">
        <v>25729</v>
      </c>
      <c r="C278">
        <v>0</v>
      </c>
      <c r="D278">
        <v>0.92483844716999997</v>
      </c>
      <c r="E278">
        <v>10.554</v>
      </c>
    </row>
    <row r="279" spans="1:5">
      <c r="A279" t="s">
        <v>34660</v>
      </c>
      <c r="B279" t="s">
        <v>25730</v>
      </c>
      <c r="C279">
        <f>0.0209604061292</f>
        <v>2.0960406129199999E-2</v>
      </c>
      <c r="D279">
        <v>0.92483844716999997</v>
      </c>
      <c r="E279">
        <v>10.554</v>
      </c>
    </row>
    <row r="280" spans="1:5">
      <c r="A280" t="s">
        <v>34661</v>
      </c>
      <c r="B280" t="s">
        <v>30439</v>
      </c>
      <c r="C280">
        <v>0</v>
      </c>
      <c r="D280" t="s">
        <v>106</v>
      </c>
      <c r="E280">
        <v>4.3739999999999997</v>
      </c>
    </row>
    <row r="281" spans="1:5">
      <c r="A281" t="s">
        <v>34661</v>
      </c>
      <c r="B281" t="s">
        <v>30437</v>
      </c>
      <c r="C281">
        <f>0</f>
        <v>0</v>
      </c>
      <c r="D281" t="s">
        <v>106</v>
      </c>
      <c r="E281">
        <v>4.3739999999999997</v>
      </c>
    </row>
    <row r="282" spans="1:5">
      <c r="A282" t="s">
        <v>34661</v>
      </c>
      <c r="B282" t="s">
        <v>34662</v>
      </c>
      <c r="C282">
        <v>0</v>
      </c>
      <c r="D282" t="s">
        <v>106</v>
      </c>
      <c r="E282">
        <v>4.3739999999999997</v>
      </c>
    </row>
    <row r="283" spans="1:5">
      <c r="A283" t="s">
        <v>34661</v>
      </c>
      <c r="B283" t="s">
        <v>30441</v>
      </c>
      <c r="C283">
        <v>0</v>
      </c>
      <c r="D283" t="s">
        <v>106</v>
      </c>
      <c r="E283">
        <v>4.3739999999999997</v>
      </c>
    </row>
    <row r="284" spans="1:5">
      <c r="A284" t="s">
        <v>34663</v>
      </c>
      <c r="B284" t="s">
        <v>6873</v>
      </c>
      <c r="C284">
        <v>0</v>
      </c>
      <c r="D284">
        <v>0.77746748103200003</v>
      </c>
      <c r="E284">
        <v>24</v>
      </c>
    </row>
    <row r="285" spans="1:5">
      <c r="A285" t="s">
        <v>34663</v>
      </c>
      <c r="B285" t="s">
        <v>6874</v>
      </c>
      <c r="C285">
        <f>0.367857481032</f>
        <v>0.367857481032</v>
      </c>
      <c r="D285">
        <v>0.77746748103200003</v>
      </c>
      <c r="E285">
        <v>24</v>
      </c>
    </row>
    <row r="286" spans="1:5">
      <c r="A286" t="s">
        <v>34664</v>
      </c>
      <c r="B286" t="s">
        <v>34665</v>
      </c>
      <c r="C286">
        <v>0.35596944440599998</v>
      </c>
      <c r="D286">
        <v>0.97027578207099996</v>
      </c>
      <c r="E286">
        <v>20.963999999999999</v>
      </c>
    </row>
    <row r="287" spans="1:5">
      <c r="A287" t="s">
        <v>34664</v>
      </c>
      <c r="B287" t="s">
        <v>34666</v>
      </c>
      <c r="C287">
        <f>0.308984047017</f>
        <v>0.308984047017</v>
      </c>
      <c r="D287">
        <v>0.97027578207099996</v>
      </c>
      <c r="E287">
        <v>20.963999999999999</v>
      </c>
    </row>
    <row r="288" spans="1:5">
      <c r="A288" t="s">
        <v>34664</v>
      </c>
      <c r="B288" t="s">
        <v>34667</v>
      </c>
      <c r="C288">
        <f>0</f>
        <v>0</v>
      </c>
      <c r="D288">
        <v>0.97027578207099996</v>
      </c>
      <c r="E288">
        <v>20.963999999999999</v>
      </c>
    </row>
    <row r="289" spans="1:5">
      <c r="A289" t="s">
        <v>34664</v>
      </c>
      <c r="B289" t="s">
        <v>34668</v>
      </c>
      <c r="C289">
        <v>6.4504095397E-2</v>
      </c>
      <c r="D289">
        <v>0.97027578207099996</v>
      </c>
      <c r="E289">
        <v>20.963999999999999</v>
      </c>
    </row>
    <row r="290" spans="1:5">
      <c r="A290" t="s">
        <v>34664</v>
      </c>
      <c r="B290" t="s">
        <v>34669</v>
      </c>
      <c r="C290">
        <v>0</v>
      </c>
      <c r="D290">
        <v>0.97027578207099996</v>
      </c>
      <c r="E290">
        <v>20.963999999999999</v>
      </c>
    </row>
    <row r="291" spans="1:5">
      <c r="A291" t="s">
        <v>34664</v>
      </c>
      <c r="B291" t="s">
        <v>34670</v>
      </c>
      <c r="C291">
        <f>0.417678326937</f>
        <v>0.41767832693700002</v>
      </c>
      <c r="D291">
        <v>0.97027578207099996</v>
      </c>
      <c r="E291">
        <v>20.963999999999999</v>
      </c>
    </row>
    <row r="292" spans="1:5">
      <c r="A292" t="s">
        <v>34664</v>
      </c>
      <c r="B292" t="s">
        <v>34671</v>
      </c>
      <c r="C292">
        <f>0.225703314794</f>
        <v>0.22570331479399999</v>
      </c>
      <c r="D292">
        <v>0.97027578207099996</v>
      </c>
      <c r="E292">
        <v>20.963999999999999</v>
      </c>
    </row>
    <row r="293" spans="1:5">
      <c r="A293" t="s">
        <v>34664</v>
      </c>
      <c r="B293" t="s">
        <v>34672</v>
      </c>
      <c r="C293">
        <v>0</v>
      </c>
      <c r="D293">
        <v>0.97027578207099996</v>
      </c>
      <c r="E293">
        <v>20.963999999999999</v>
      </c>
    </row>
    <row r="294" spans="1:5">
      <c r="A294" t="s">
        <v>34673</v>
      </c>
      <c r="B294" t="s">
        <v>2170</v>
      </c>
      <c r="C294">
        <f>0</f>
        <v>0</v>
      </c>
      <c r="D294" t="s">
        <v>106</v>
      </c>
      <c r="E294">
        <v>24</v>
      </c>
    </row>
    <row r="295" spans="1:5">
      <c r="A295" t="s">
        <v>34673</v>
      </c>
      <c r="B295" t="s">
        <v>2171</v>
      </c>
      <c r="C295">
        <f>0</f>
        <v>0</v>
      </c>
      <c r="D295" t="s">
        <v>106</v>
      </c>
      <c r="E295">
        <v>24</v>
      </c>
    </row>
    <row r="296" spans="1:5">
      <c r="A296" t="s">
        <v>34673</v>
      </c>
      <c r="B296" t="s">
        <v>2175</v>
      </c>
      <c r="C296">
        <v>0</v>
      </c>
      <c r="D296" t="s">
        <v>106</v>
      </c>
      <c r="E296">
        <v>24</v>
      </c>
    </row>
    <row r="297" spans="1:5">
      <c r="A297" t="s">
        <v>34673</v>
      </c>
      <c r="B297" t="s">
        <v>2177</v>
      </c>
      <c r="C297">
        <f>0</f>
        <v>0</v>
      </c>
      <c r="D297" t="s">
        <v>106</v>
      </c>
      <c r="E297">
        <v>24</v>
      </c>
    </row>
    <row r="298" spans="1:5">
      <c r="A298" t="s">
        <v>34673</v>
      </c>
      <c r="B298" t="s">
        <v>2183</v>
      </c>
      <c r="C298">
        <v>0</v>
      </c>
      <c r="D298" t="s">
        <v>106</v>
      </c>
      <c r="E298">
        <v>24</v>
      </c>
    </row>
    <row r="299" spans="1:5">
      <c r="A299" t="s">
        <v>34673</v>
      </c>
      <c r="B299" t="s">
        <v>2173</v>
      </c>
      <c r="C299">
        <v>0</v>
      </c>
      <c r="D299" t="s">
        <v>106</v>
      </c>
      <c r="E299">
        <v>24</v>
      </c>
    </row>
    <row r="300" spans="1:5">
      <c r="A300" t="s">
        <v>34673</v>
      </c>
      <c r="B300" t="s">
        <v>2174</v>
      </c>
      <c r="C300">
        <f>0</f>
        <v>0</v>
      </c>
      <c r="D300" t="s">
        <v>106</v>
      </c>
      <c r="E300">
        <v>24</v>
      </c>
    </row>
    <row r="301" spans="1:5">
      <c r="A301" t="s">
        <v>34673</v>
      </c>
      <c r="B301" t="s">
        <v>2180</v>
      </c>
      <c r="C301">
        <f>0</f>
        <v>0</v>
      </c>
      <c r="D301" t="s">
        <v>106</v>
      </c>
      <c r="E301">
        <v>24</v>
      </c>
    </row>
    <row r="302" spans="1:5">
      <c r="A302" t="s">
        <v>34673</v>
      </c>
      <c r="B302" t="s">
        <v>2184</v>
      </c>
      <c r="C302">
        <v>0</v>
      </c>
      <c r="D302" t="s">
        <v>106</v>
      </c>
      <c r="E302">
        <v>24</v>
      </c>
    </row>
    <row r="303" spans="1:5">
      <c r="A303" t="s">
        <v>34673</v>
      </c>
      <c r="B303" t="s">
        <v>2172</v>
      </c>
      <c r="C303">
        <f>0</f>
        <v>0</v>
      </c>
      <c r="D303" t="s">
        <v>106</v>
      </c>
      <c r="E303">
        <v>24</v>
      </c>
    </row>
    <row r="304" spans="1:5">
      <c r="A304" t="s">
        <v>34674</v>
      </c>
      <c r="B304" t="s">
        <v>34675</v>
      </c>
      <c r="C304">
        <f>0</f>
        <v>0</v>
      </c>
      <c r="D304" t="s">
        <v>106</v>
      </c>
      <c r="E304">
        <v>5.82</v>
      </c>
    </row>
    <row r="305" spans="1:5">
      <c r="A305" t="s">
        <v>34674</v>
      </c>
      <c r="B305" t="s">
        <v>34676</v>
      </c>
      <c r="C305">
        <f>0</f>
        <v>0</v>
      </c>
      <c r="D305" t="s">
        <v>106</v>
      </c>
      <c r="E305">
        <v>5.82</v>
      </c>
    </row>
    <row r="306" spans="1:5">
      <c r="A306" t="s">
        <v>34677</v>
      </c>
      <c r="B306" t="s">
        <v>34678</v>
      </c>
      <c r="C306">
        <f>0</f>
        <v>0</v>
      </c>
      <c r="D306" t="s">
        <v>106</v>
      </c>
      <c r="E306">
        <v>4.8000000000000001E-2</v>
      </c>
    </row>
    <row r="307" spans="1:5">
      <c r="A307" t="s">
        <v>34677</v>
      </c>
      <c r="B307" t="s">
        <v>34679</v>
      </c>
      <c r="C307">
        <f>0</f>
        <v>0</v>
      </c>
      <c r="D307" t="s">
        <v>106</v>
      </c>
      <c r="E307">
        <v>4.8000000000000001E-2</v>
      </c>
    </row>
    <row r="308" spans="1:5">
      <c r="A308" t="s">
        <v>34677</v>
      </c>
      <c r="B308" t="s">
        <v>34680</v>
      </c>
      <c r="C308">
        <f>0</f>
        <v>0</v>
      </c>
      <c r="D308" t="s">
        <v>106</v>
      </c>
      <c r="E308">
        <v>4.8000000000000001E-2</v>
      </c>
    </row>
    <row r="309" spans="1:5">
      <c r="A309" t="s">
        <v>34681</v>
      </c>
      <c r="B309" t="s">
        <v>34682</v>
      </c>
      <c r="C309">
        <f>0</f>
        <v>0</v>
      </c>
      <c r="D309">
        <v>0.989199469542</v>
      </c>
      <c r="E309">
        <v>3.972</v>
      </c>
    </row>
    <row r="310" spans="1:5">
      <c r="A310" t="s">
        <v>34681</v>
      </c>
      <c r="B310" t="s">
        <v>34683</v>
      </c>
      <c r="C310">
        <f>0.0251457454199</f>
        <v>2.5145745419900001E-2</v>
      </c>
      <c r="D310">
        <v>0.989199469542</v>
      </c>
      <c r="E310">
        <v>3.972</v>
      </c>
    </row>
    <row r="311" spans="1:5">
      <c r="A311" t="s">
        <v>34681</v>
      </c>
      <c r="B311" t="s">
        <v>34684</v>
      </c>
      <c r="C311">
        <f>0</f>
        <v>0</v>
      </c>
      <c r="D311">
        <v>0.989199469542</v>
      </c>
      <c r="E311">
        <v>3.972</v>
      </c>
    </row>
    <row r="312" spans="1:5">
      <c r="A312" t="s">
        <v>34681</v>
      </c>
      <c r="B312" t="s">
        <v>34685</v>
      </c>
      <c r="C312">
        <f>0.284776350004</f>
        <v>0.28477635000399998</v>
      </c>
      <c r="D312">
        <v>0.989199469542</v>
      </c>
      <c r="E312">
        <v>3.972</v>
      </c>
    </row>
    <row r="313" spans="1:5">
      <c r="A313" t="s">
        <v>34681</v>
      </c>
      <c r="B313" t="s">
        <v>34686</v>
      </c>
      <c r="C313">
        <f>0</f>
        <v>0</v>
      </c>
      <c r="D313">
        <v>0.989199469542</v>
      </c>
      <c r="E313">
        <v>3.972</v>
      </c>
    </row>
    <row r="314" spans="1:5">
      <c r="A314" t="s">
        <v>34681</v>
      </c>
      <c r="B314" t="s">
        <v>34687</v>
      </c>
      <c r="C314">
        <f>0.618857232037</f>
        <v>0.61885723203700005</v>
      </c>
      <c r="D314">
        <v>0.989199469542</v>
      </c>
      <c r="E314">
        <v>3.972</v>
      </c>
    </row>
    <row r="315" spans="1:5">
      <c r="A315" t="s">
        <v>34681</v>
      </c>
      <c r="B315" t="s">
        <v>34688</v>
      </c>
      <c r="C315">
        <v>3.9564101382300002E-2</v>
      </c>
      <c r="D315">
        <v>0.989199469542</v>
      </c>
      <c r="E315">
        <v>3.972</v>
      </c>
    </row>
    <row r="316" spans="1:5">
      <c r="A316" t="s">
        <v>34681</v>
      </c>
      <c r="B316" t="s">
        <v>34689</v>
      </c>
      <c r="C316">
        <v>0</v>
      </c>
      <c r="D316">
        <v>0.989199469542</v>
      </c>
      <c r="E316">
        <v>3.972</v>
      </c>
    </row>
    <row r="317" spans="1:5">
      <c r="A317" t="s">
        <v>34681</v>
      </c>
      <c r="B317" t="s">
        <v>34690</v>
      </c>
      <c r="C317">
        <v>0</v>
      </c>
      <c r="D317">
        <v>0.989199469542</v>
      </c>
      <c r="E317">
        <v>3.972</v>
      </c>
    </row>
    <row r="318" spans="1:5">
      <c r="A318" t="s">
        <v>34681</v>
      </c>
      <c r="B318" t="s">
        <v>34691</v>
      </c>
      <c r="C318">
        <f>0.33748980549</f>
        <v>0.33748980549000002</v>
      </c>
      <c r="D318">
        <v>0.989199469542</v>
      </c>
      <c r="E318">
        <v>3.972</v>
      </c>
    </row>
    <row r="319" spans="1:5">
      <c r="A319" t="s">
        <v>34681</v>
      </c>
      <c r="B319" t="s">
        <v>34692</v>
      </c>
      <c r="C319">
        <v>0</v>
      </c>
      <c r="D319">
        <v>0.989199469542</v>
      </c>
      <c r="E319">
        <v>3.972</v>
      </c>
    </row>
    <row r="320" spans="1:5">
      <c r="A320" t="s">
        <v>34693</v>
      </c>
      <c r="B320" t="s">
        <v>31404</v>
      </c>
      <c r="C320">
        <f>0.920808482697</f>
        <v>0.920808482697</v>
      </c>
      <c r="D320">
        <v>0.90455186728699999</v>
      </c>
      <c r="E320">
        <v>24</v>
      </c>
    </row>
    <row r="321" spans="1:5">
      <c r="A321" t="s">
        <v>34693</v>
      </c>
      <c r="B321" t="s">
        <v>31406</v>
      </c>
      <c r="C321">
        <f>0.501883140864</f>
        <v>0.50188314086399999</v>
      </c>
      <c r="D321">
        <v>0.90455186728699999</v>
      </c>
      <c r="E321">
        <v>24</v>
      </c>
    </row>
    <row r="322" spans="1:5">
      <c r="A322" t="s">
        <v>34693</v>
      </c>
      <c r="B322" t="s">
        <v>31405</v>
      </c>
      <c r="C322">
        <v>0.81084788298499999</v>
      </c>
      <c r="D322">
        <v>0.90455186728699999</v>
      </c>
      <c r="E322">
        <v>24</v>
      </c>
    </row>
    <row r="323" spans="1:5">
      <c r="A323" t="s">
        <v>34693</v>
      </c>
      <c r="B323" t="s">
        <v>31407</v>
      </c>
      <c r="C323">
        <f>0.303070531095</f>
        <v>0.30307053109499998</v>
      </c>
      <c r="D323">
        <v>0.90455186728699999</v>
      </c>
      <c r="E323">
        <v>24</v>
      </c>
    </row>
    <row r="324" spans="1:5">
      <c r="A324" t="s">
        <v>34694</v>
      </c>
      <c r="B324" t="s">
        <v>25984</v>
      </c>
      <c r="C324">
        <f>0.439445713442</f>
        <v>0.43944571344200001</v>
      </c>
      <c r="D324">
        <v>0.95707795281700003</v>
      </c>
      <c r="E324">
        <v>24</v>
      </c>
    </row>
    <row r="325" spans="1:5">
      <c r="A325" t="s">
        <v>34694</v>
      </c>
      <c r="B325" t="s">
        <v>25990</v>
      </c>
      <c r="C325">
        <v>0.54549372047800004</v>
      </c>
      <c r="D325">
        <v>0.95707795281700003</v>
      </c>
      <c r="E325">
        <v>24</v>
      </c>
    </row>
    <row r="326" spans="1:5">
      <c r="A326" t="s">
        <v>34694</v>
      </c>
      <c r="B326" t="s">
        <v>25991</v>
      </c>
      <c r="C326">
        <v>0.37249974138300002</v>
      </c>
      <c r="D326">
        <v>0.95707795281700003</v>
      </c>
      <c r="E326">
        <v>24</v>
      </c>
    </row>
    <row r="327" spans="1:5">
      <c r="A327" t="s">
        <v>34694</v>
      </c>
      <c r="B327" t="s">
        <v>25993</v>
      </c>
      <c r="C327">
        <f>0</f>
        <v>0</v>
      </c>
      <c r="D327">
        <v>0.95707795281700003</v>
      </c>
      <c r="E327">
        <v>24</v>
      </c>
    </row>
    <row r="328" spans="1:5">
      <c r="A328" t="s">
        <v>34694</v>
      </c>
      <c r="B328" t="s">
        <v>25988</v>
      </c>
      <c r="C328">
        <f>0</f>
        <v>0</v>
      </c>
      <c r="D328">
        <v>0.95707795281700003</v>
      </c>
      <c r="E328">
        <v>24</v>
      </c>
    </row>
    <row r="329" spans="1:5">
      <c r="A329" t="s">
        <v>34695</v>
      </c>
      <c r="B329" t="s">
        <v>11848</v>
      </c>
      <c r="C329">
        <f>0</f>
        <v>0</v>
      </c>
      <c r="D329" t="s">
        <v>106</v>
      </c>
      <c r="E329">
        <v>16.097999999999999</v>
      </c>
    </row>
    <row r="330" spans="1:5">
      <c r="A330" t="s">
        <v>34695</v>
      </c>
      <c r="B330" t="s">
        <v>11858</v>
      </c>
      <c r="C330">
        <v>0</v>
      </c>
      <c r="D330" t="s">
        <v>106</v>
      </c>
      <c r="E330">
        <v>16.097999999999999</v>
      </c>
    </row>
    <row r="331" spans="1:5">
      <c r="A331" t="s">
        <v>34695</v>
      </c>
      <c r="B331" t="s">
        <v>11855</v>
      </c>
      <c r="C331">
        <v>0</v>
      </c>
      <c r="D331" t="s">
        <v>106</v>
      </c>
      <c r="E331">
        <v>16.097999999999999</v>
      </c>
    </row>
    <row r="332" spans="1:5">
      <c r="A332" t="s">
        <v>34695</v>
      </c>
      <c r="B332" t="s">
        <v>11857</v>
      </c>
      <c r="C332">
        <v>0</v>
      </c>
      <c r="D332" t="s">
        <v>106</v>
      </c>
      <c r="E332">
        <v>16.097999999999999</v>
      </c>
    </row>
    <row r="333" spans="1:5">
      <c r="A333" t="s">
        <v>34695</v>
      </c>
      <c r="B333" t="s">
        <v>11851</v>
      </c>
      <c r="C333">
        <v>0</v>
      </c>
      <c r="D333" t="s">
        <v>106</v>
      </c>
      <c r="E333">
        <v>16.097999999999999</v>
      </c>
    </row>
    <row r="334" spans="1:5">
      <c r="A334" t="s">
        <v>34695</v>
      </c>
      <c r="B334" t="s">
        <v>11856</v>
      </c>
      <c r="C334">
        <v>0</v>
      </c>
      <c r="D334" t="s">
        <v>106</v>
      </c>
      <c r="E334">
        <v>16.097999999999999</v>
      </c>
    </row>
    <row r="335" spans="1:5">
      <c r="A335" t="s">
        <v>34695</v>
      </c>
      <c r="B335" t="s">
        <v>11849</v>
      </c>
      <c r="C335">
        <v>0</v>
      </c>
      <c r="D335" t="s">
        <v>106</v>
      </c>
      <c r="E335">
        <v>16.097999999999999</v>
      </c>
    </row>
    <row r="336" spans="1:5">
      <c r="A336" t="s">
        <v>34695</v>
      </c>
      <c r="B336" t="s">
        <v>11850</v>
      </c>
      <c r="C336">
        <v>0</v>
      </c>
      <c r="D336" t="s">
        <v>106</v>
      </c>
      <c r="E336">
        <v>16.097999999999999</v>
      </c>
    </row>
    <row r="337" spans="1:5">
      <c r="A337" t="s">
        <v>34696</v>
      </c>
      <c r="B337" t="s">
        <v>2830</v>
      </c>
      <c r="C337">
        <v>0</v>
      </c>
      <c r="D337" t="s">
        <v>106</v>
      </c>
      <c r="E337">
        <v>0.34799999999999998</v>
      </c>
    </row>
    <row r="338" spans="1:5">
      <c r="A338" t="s">
        <v>34696</v>
      </c>
      <c r="B338" t="s">
        <v>2831</v>
      </c>
      <c r="C338">
        <f>0</f>
        <v>0</v>
      </c>
      <c r="D338" t="s">
        <v>106</v>
      </c>
      <c r="E338">
        <v>0.34799999999999998</v>
      </c>
    </row>
    <row r="339" spans="1:5">
      <c r="A339" t="s">
        <v>34696</v>
      </c>
      <c r="B339" t="s">
        <v>2829</v>
      </c>
      <c r="C339">
        <f>0</f>
        <v>0</v>
      </c>
      <c r="D339" t="s">
        <v>106</v>
      </c>
      <c r="E339">
        <v>0.34799999999999998</v>
      </c>
    </row>
    <row r="340" spans="1:5">
      <c r="A340" t="s">
        <v>34696</v>
      </c>
      <c r="B340" t="s">
        <v>2839</v>
      </c>
      <c r="C340">
        <v>0</v>
      </c>
      <c r="D340" t="s">
        <v>106</v>
      </c>
      <c r="E340">
        <v>0.34799999999999998</v>
      </c>
    </row>
    <row r="341" spans="1:5">
      <c r="A341" t="s">
        <v>34696</v>
      </c>
      <c r="B341" t="s">
        <v>2835</v>
      </c>
      <c r="C341">
        <f>0</f>
        <v>0</v>
      </c>
      <c r="D341" t="s">
        <v>106</v>
      </c>
      <c r="E341">
        <v>0.34799999999999998</v>
      </c>
    </row>
    <row r="342" spans="1:5">
      <c r="A342" t="s">
        <v>34696</v>
      </c>
      <c r="B342" t="s">
        <v>2841</v>
      </c>
      <c r="C342">
        <f>0</f>
        <v>0</v>
      </c>
      <c r="D342" t="s">
        <v>106</v>
      </c>
      <c r="E342">
        <v>0.34799999999999998</v>
      </c>
    </row>
    <row r="343" spans="1:5">
      <c r="A343" t="s">
        <v>34696</v>
      </c>
      <c r="B343" t="s">
        <v>2834</v>
      </c>
      <c r="C343">
        <v>0</v>
      </c>
      <c r="D343" t="s">
        <v>106</v>
      </c>
      <c r="E343">
        <v>0.34799999999999998</v>
      </c>
    </row>
    <row r="344" spans="1:5">
      <c r="A344" t="s">
        <v>34696</v>
      </c>
      <c r="B344" t="s">
        <v>2838</v>
      </c>
      <c r="C344">
        <f>0</f>
        <v>0</v>
      </c>
      <c r="D344" t="s">
        <v>106</v>
      </c>
      <c r="E344">
        <v>0.34799999999999998</v>
      </c>
    </row>
    <row r="345" spans="1:5">
      <c r="A345" t="s">
        <v>34696</v>
      </c>
      <c r="B345" t="s">
        <v>2837</v>
      </c>
      <c r="C345">
        <f>0</f>
        <v>0</v>
      </c>
      <c r="D345" t="s">
        <v>106</v>
      </c>
      <c r="E345">
        <v>0.34799999999999998</v>
      </c>
    </row>
    <row r="346" spans="1:5">
      <c r="A346" t="s">
        <v>34697</v>
      </c>
      <c r="B346" t="s">
        <v>16364</v>
      </c>
      <c r="C346">
        <f>0.23183632423</f>
        <v>0.23183632423</v>
      </c>
      <c r="D346">
        <v>0.99862693211599995</v>
      </c>
      <c r="E346">
        <v>23.754000000000001</v>
      </c>
    </row>
    <row r="347" spans="1:5">
      <c r="A347" t="s">
        <v>34697</v>
      </c>
      <c r="B347" t="s">
        <v>16366</v>
      </c>
      <c r="C347">
        <v>0.89840592500500005</v>
      </c>
      <c r="D347">
        <v>0.99862693211599995</v>
      </c>
      <c r="E347">
        <v>23.754000000000001</v>
      </c>
    </row>
    <row r="348" spans="1:5">
      <c r="A348" t="s">
        <v>34697</v>
      </c>
      <c r="B348" t="s">
        <v>16367</v>
      </c>
      <c r="C348">
        <f>-1.14283522363</f>
        <v>-1.1428352236299999</v>
      </c>
      <c r="D348">
        <v>0.99862693211599995</v>
      </c>
      <c r="E348">
        <v>23.754000000000001</v>
      </c>
    </row>
    <row r="349" spans="1:5">
      <c r="A349" t="s">
        <v>34697</v>
      </c>
      <c r="B349" t="s">
        <v>16370</v>
      </c>
      <c r="C349">
        <v>0.210051192213</v>
      </c>
      <c r="D349">
        <v>0.99862693211599995</v>
      </c>
      <c r="E349">
        <v>23.754000000000001</v>
      </c>
    </row>
    <row r="350" spans="1:5">
      <c r="A350" t="s">
        <v>34697</v>
      </c>
      <c r="B350" t="s">
        <v>16369</v>
      </c>
      <c r="C350">
        <v>0.55238770908599999</v>
      </c>
      <c r="D350">
        <v>0.99862693211599995</v>
      </c>
      <c r="E350">
        <v>23.754000000000001</v>
      </c>
    </row>
    <row r="351" spans="1:5">
      <c r="A351" t="s">
        <v>34697</v>
      </c>
      <c r="B351" t="s">
        <v>16368</v>
      </c>
      <c r="C351">
        <f>0.660715249166</f>
        <v>0.660715249166</v>
      </c>
      <c r="D351">
        <v>0.99862693211599995</v>
      </c>
      <c r="E351">
        <v>23.754000000000001</v>
      </c>
    </row>
    <row r="352" spans="1:5">
      <c r="A352" t="s">
        <v>34698</v>
      </c>
      <c r="B352" t="s">
        <v>22341</v>
      </c>
      <c r="C352">
        <v>0.81678822949800001</v>
      </c>
      <c r="D352">
        <v>0.83699786304199997</v>
      </c>
      <c r="E352">
        <v>3.4980000000000002</v>
      </c>
    </row>
    <row r="353" spans="1:5">
      <c r="A353" t="s">
        <v>34698</v>
      </c>
      <c r="B353" t="s">
        <v>22342</v>
      </c>
      <c r="C353">
        <v>0.26982579817399999</v>
      </c>
      <c r="D353">
        <v>0.83699786304199997</v>
      </c>
      <c r="E353">
        <v>3.4980000000000002</v>
      </c>
    </row>
    <row r="354" spans="1:5">
      <c r="A354" t="s">
        <v>34699</v>
      </c>
      <c r="B354" t="s">
        <v>33044</v>
      </c>
      <c r="C354">
        <f>0</f>
        <v>0</v>
      </c>
      <c r="D354" t="s">
        <v>106</v>
      </c>
      <c r="E354">
        <v>24</v>
      </c>
    </row>
    <row r="355" spans="1:5">
      <c r="A355" t="s">
        <v>34699</v>
      </c>
      <c r="B355" t="s">
        <v>33045</v>
      </c>
      <c r="C355">
        <v>0</v>
      </c>
      <c r="D355" t="s">
        <v>106</v>
      </c>
      <c r="E355">
        <v>24</v>
      </c>
    </row>
    <row r="356" spans="1:5">
      <c r="A356" t="s">
        <v>34699</v>
      </c>
      <c r="B356" t="s">
        <v>33043</v>
      </c>
      <c r="C356">
        <f>0</f>
        <v>0</v>
      </c>
      <c r="D356" t="s">
        <v>106</v>
      </c>
      <c r="E356">
        <v>24</v>
      </c>
    </row>
    <row r="357" spans="1:5">
      <c r="A357" t="s">
        <v>34699</v>
      </c>
      <c r="B357" t="s">
        <v>33051</v>
      </c>
      <c r="C357">
        <v>0</v>
      </c>
      <c r="D357" t="s">
        <v>106</v>
      </c>
      <c r="E357">
        <v>24</v>
      </c>
    </row>
    <row r="358" spans="1:5">
      <c r="A358" t="s">
        <v>34699</v>
      </c>
      <c r="B358" t="s">
        <v>33053</v>
      </c>
      <c r="C358">
        <v>0</v>
      </c>
      <c r="D358" t="s">
        <v>106</v>
      </c>
      <c r="E358">
        <v>24</v>
      </c>
    </row>
    <row r="359" spans="1:5">
      <c r="A359" t="s">
        <v>34699</v>
      </c>
      <c r="B359" t="s">
        <v>33050</v>
      </c>
      <c r="C359">
        <f>0</f>
        <v>0</v>
      </c>
      <c r="D359" t="s">
        <v>106</v>
      </c>
      <c r="E359">
        <v>24</v>
      </c>
    </row>
    <row r="360" spans="1:5">
      <c r="A360" t="s">
        <v>34699</v>
      </c>
      <c r="B360" t="s">
        <v>33048</v>
      </c>
      <c r="C360">
        <v>0</v>
      </c>
      <c r="D360" t="s">
        <v>106</v>
      </c>
      <c r="E360">
        <v>24</v>
      </c>
    </row>
    <row r="361" spans="1:5">
      <c r="A361" t="s">
        <v>34700</v>
      </c>
      <c r="B361" t="s">
        <v>29621</v>
      </c>
      <c r="C361">
        <v>0</v>
      </c>
      <c r="D361" t="s">
        <v>106</v>
      </c>
      <c r="E361">
        <v>11.208</v>
      </c>
    </row>
    <row r="362" spans="1:5">
      <c r="A362" t="s">
        <v>34700</v>
      </c>
      <c r="B362" t="s">
        <v>29622</v>
      </c>
      <c r="C362">
        <v>0</v>
      </c>
      <c r="D362" t="s">
        <v>106</v>
      </c>
      <c r="E362">
        <v>11.208</v>
      </c>
    </row>
    <row r="363" spans="1:5">
      <c r="A363" t="s">
        <v>34701</v>
      </c>
      <c r="B363" t="s">
        <v>34702</v>
      </c>
      <c r="C363">
        <f>0</f>
        <v>0</v>
      </c>
      <c r="D363" t="s">
        <v>106</v>
      </c>
      <c r="E363">
        <v>24</v>
      </c>
    </row>
    <row r="364" spans="1:5">
      <c r="A364" t="s">
        <v>34701</v>
      </c>
      <c r="B364" t="s">
        <v>34703</v>
      </c>
      <c r="C364">
        <v>0</v>
      </c>
      <c r="D364" t="s">
        <v>106</v>
      </c>
      <c r="E364">
        <v>24</v>
      </c>
    </row>
    <row r="365" spans="1:5">
      <c r="A365" t="s">
        <v>34701</v>
      </c>
      <c r="B365" t="s">
        <v>34704</v>
      </c>
      <c r="C365">
        <v>0</v>
      </c>
      <c r="D365" t="s">
        <v>106</v>
      </c>
      <c r="E365">
        <v>24</v>
      </c>
    </row>
    <row r="366" spans="1:5">
      <c r="A366" t="s">
        <v>34705</v>
      </c>
      <c r="B366" t="s">
        <v>25771</v>
      </c>
      <c r="C366">
        <v>0</v>
      </c>
      <c r="D366">
        <v>0.790359611169</v>
      </c>
      <c r="E366">
        <v>0</v>
      </c>
    </row>
    <row r="367" spans="1:5">
      <c r="A367" t="s">
        <v>34705</v>
      </c>
      <c r="B367" t="s">
        <v>25772</v>
      </c>
      <c r="C367">
        <f>0.519949611169</f>
        <v>0.51994961116899996</v>
      </c>
      <c r="D367">
        <v>0.790359611169</v>
      </c>
      <c r="E367">
        <v>0</v>
      </c>
    </row>
    <row r="368" spans="1:5">
      <c r="A368" t="s">
        <v>34706</v>
      </c>
      <c r="B368" t="s">
        <v>21552</v>
      </c>
      <c r="C368">
        <f>0</f>
        <v>0</v>
      </c>
      <c r="D368" t="s">
        <v>106</v>
      </c>
      <c r="E368">
        <v>24</v>
      </c>
    </row>
    <row r="369" spans="1:5">
      <c r="A369" t="s">
        <v>34706</v>
      </c>
      <c r="B369" t="s">
        <v>21551</v>
      </c>
      <c r="C369">
        <v>0</v>
      </c>
      <c r="D369" t="s">
        <v>106</v>
      </c>
      <c r="E369">
        <v>24</v>
      </c>
    </row>
    <row r="370" spans="1:5">
      <c r="A370" t="s">
        <v>34706</v>
      </c>
      <c r="B370" t="s">
        <v>21556</v>
      </c>
      <c r="C370">
        <v>0</v>
      </c>
      <c r="D370" t="s">
        <v>106</v>
      </c>
      <c r="E370">
        <v>24</v>
      </c>
    </row>
    <row r="371" spans="1:5">
      <c r="A371" t="s">
        <v>34706</v>
      </c>
      <c r="B371" t="s">
        <v>21555</v>
      </c>
      <c r="C371">
        <v>0</v>
      </c>
      <c r="D371" t="s">
        <v>106</v>
      </c>
      <c r="E371">
        <v>24</v>
      </c>
    </row>
    <row r="372" spans="1:5">
      <c r="A372" t="s">
        <v>34707</v>
      </c>
      <c r="B372" t="s">
        <v>34708</v>
      </c>
      <c r="C372">
        <v>0</v>
      </c>
      <c r="D372" t="s">
        <v>106</v>
      </c>
      <c r="E372">
        <v>0.504</v>
      </c>
    </row>
    <row r="373" spans="1:5">
      <c r="A373" t="s">
        <v>34707</v>
      </c>
      <c r="B373" t="s">
        <v>34709</v>
      </c>
      <c r="C373">
        <v>0</v>
      </c>
      <c r="D373" t="s">
        <v>106</v>
      </c>
      <c r="E373">
        <v>0.504</v>
      </c>
    </row>
    <row r="374" spans="1:5">
      <c r="A374" t="s">
        <v>34707</v>
      </c>
      <c r="B374" t="s">
        <v>34710</v>
      </c>
      <c r="C374">
        <v>0</v>
      </c>
      <c r="D374" t="s">
        <v>106</v>
      </c>
      <c r="E374">
        <v>0.504</v>
      </c>
    </row>
    <row r="375" spans="1:5">
      <c r="A375" t="s">
        <v>34707</v>
      </c>
      <c r="B375" t="s">
        <v>34711</v>
      </c>
      <c r="C375">
        <v>0</v>
      </c>
      <c r="D375" t="s">
        <v>106</v>
      </c>
      <c r="E375">
        <v>0.504</v>
      </c>
    </row>
    <row r="376" spans="1:5">
      <c r="A376" t="s">
        <v>34707</v>
      </c>
      <c r="B376" t="s">
        <v>34712</v>
      </c>
      <c r="C376">
        <v>0</v>
      </c>
      <c r="D376" t="s">
        <v>106</v>
      </c>
      <c r="E376">
        <v>0.504</v>
      </c>
    </row>
    <row r="377" spans="1:5">
      <c r="A377" t="s">
        <v>34707</v>
      </c>
      <c r="B377" t="s">
        <v>34713</v>
      </c>
      <c r="C377">
        <v>0</v>
      </c>
      <c r="D377" t="s">
        <v>106</v>
      </c>
      <c r="E377">
        <v>0.504</v>
      </c>
    </row>
    <row r="378" spans="1:5">
      <c r="A378" t="s">
        <v>34707</v>
      </c>
      <c r="B378" t="s">
        <v>34714</v>
      </c>
      <c r="C378">
        <f>0</f>
        <v>0</v>
      </c>
      <c r="D378" t="s">
        <v>106</v>
      </c>
      <c r="E378">
        <v>0.504</v>
      </c>
    </row>
    <row r="379" spans="1:5">
      <c r="A379" t="s">
        <v>34707</v>
      </c>
      <c r="B379" t="s">
        <v>34715</v>
      </c>
      <c r="C379">
        <v>0</v>
      </c>
      <c r="D379" t="s">
        <v>106</v>
      </c>
      <c r="E379">
        <v>0.504</v>
      </c>
    </row>
    <row r="380" spans="1:5">
      <c r="A380" t="s">
        <v>34707</v>
      </c>
      <c r="B380" t="s">
        <v>34716</v>
      </c>
      <c r="C380">
        <v>0</v>
      </c>
      <c r="D380" t="s">
        <v>106</v>
      </c>
      <c r="E380">
        <v>0.504</v>
      </c>
    </row>
    <row r="381" spans="1:5">
      <c r="A381" t="s">
        <v>34717</v>
      </c>
      <c r="B381" t="s">
        <v>8331</v>
      </c>
      <c r="C381">
        <f>0</f>
        <v>0</v>
      </c>
      <c r="D381">
        <v>0.99134479343000004</v>
      </c>
      <c r="E381">
        <v>23.04</v>
      </c>
    </row>
    <row r="382" spans="1:5">
      <c r="A382" t="s">
        <v>34717</v>
      </c>
      <c r="B382" t="s">
        <v>8326</v>
      </c>
      <c r="C382">
        <f>0.623915691547</f>
        <v>0.623915691547</v>
      </c>
      <c r="D382">
        <v>0.99134479343000004</v>
      </c>
      <c r="E382">
        <v>23.04</v>
      </c>
    </row>
    <row r="383" spans="1:5">
      <c r="A383" t="s">
        <v>34717</v>
      </c>
      <c r="B383" t="s">
        <v>8333</v>
      </c>
      <c r="C383">
        <v>0.33263820776699998</v>
      </c>
      <c r="D383">
        <v>0.99134479343000004</v>
      </c>
      <c r="E383">
        <v>23.04</v>
      </c>
    </row>
    <row r="384" spans="1:5">
      <c r="A384" t="s">
        <v>34717</v>
      </c>
      <c r="B384" t="s">
        <v>8328</v>
      </c>
      <c r="C384">
        <v>0</v>
      </c>
      <c r="D384">
        <v>0.99134479343000004</v>
      </c>
      <c r="E384">
        <v>23.04</v>
      </c>
    </row>
    <row r="385" spans="1:5">
      <c r="A385" t="s">
        <v>34717</v>
      </c>
      <c r="B385" t="s">
        <v>8332</v>
      </c>
      <c r="C385">
        <f>0.745670326763</f>
        <v>0.74567032676300005</v>
      </c>
      <c r="D385">
        <v>0.99134479343000004</v>
      </c>
      <c r="E385">
        <v>23.04</v>
      </c>
    </row>
    <row r="386" spans="1:5">
      <c r="A386" t="s">
        <v>34718</v>
      </c>
      <c r="B386" t="s">
        <v>7000</v>
      </c>
      <c r="C386">
        <v>0</v>
      </c>
      <c r="D386" t="s">
        <v>106</v>
      </c>
      <c r="E386">
        <v>23.754000000000001</v>
      </c>
    </row>
    <row r="387" spans="1:5">
      <c r="A387" t="s">
        <v>34718</v>
      </c>
      <c r="B387" t="s">
        <v>6999</v>
      </c>
      <c r="C387">
        <f>0</f>
        <v>0</v>
      </c>
      <c r="D387" t="s">
        <v>106</v>
      </c>
      <c r="E387">
        <v>23.754000000000001</v>
      </c>
    </row>
    <row r="388" spans="1:5">
      <c r="A388" t="s">
        <v>34719</v>
      </c>
      <c r="B388" t="s">
        <v>16033</v>
      </c>
      <c r="C388">
        <v>5.47736572601E-2</v>
      </c>
      <c r="D388">
        <v>0.99910496305300001</v>
      </c>
      <c r="E388">
        <v>4.2720000000000002</v>
      </c>
    </row>
    <row r="389" spans="1:5">
      <c r="A389" t="s">
        <v>34719</v>
      </c>
      <c r="B389" t="s">
        <v>16040</v>
      </c>
      <c r="C389">
        <v>1.10201280013</v>
      </c>
      <c r="D389">
        <v>0.99910496305300001</v>
      </c>
      <c r="E389">
        <v>4.2720000000000002</v>
      </c>
    </row>
    <row r="390" spans="1:5">
      <c r="A390" t="s">
        <v>34719</v>
      </c>
      <c r="B390" t="s">
        <v>16035</v>
      </c>
      <c r="C390">
        <v>0.89512220259599995</v>
      </c>
      <c r="D390">
        <v>0.99910496305300001</v>
      </c>
      <c r="E390">
        <v>4.2720000000000002</v>
      </c>
    </row>
    <row r="391" spans="1:5">
      <c r="A391" t="s">
        <v>34719</v>
      </c>
      <c r="B391" t="s">
        <v>16039</v>
      </c>
      <c r="C391">
        <v>0.27965791612599999</v>
      </c>
      <c r="D391">
        <v>0.99910496305300001</v>
      </c>
      <c r="E391">
        <v>4.2720000000000002</v>
      </c>
    </row>
    <row r="392" spans="1:5">
      <c r="A392" t="s">
        <v>34719</v>
      </c>
      <c r="B392" t="s">
        <v>16034</v>
      </c>
      <c r="C392">
        <f>0.880702541424</f>
        <v>0.88070254142399995</v>
      </c>
      <c r="D392">
        <v>0.99910496305300001</v>
      </c>
      <c r="E392">
        <v>4.2720000000000002</v>
      </c>
    </row>
    <row r="393" spans="1:5">
      <c r="A393" t="s">
        <v>34719</v>
      </c>
      <c r="B393" t="s">
        <v>16037</v>
      </c>
      <c r="C393">
        <f>0.403766852943</f>
        <v>0.40376685294300002</v>
      </c>
      <c r="D393">
        <v>0.99910496305300001</v>
      </c>
      <c r="E393">
        <v>4.2720000000000002</v>
      </c>
    </row>
    <row r="394" spans="1:5">
      <c r="A394" t="s">
        <v>34720</v>
      </c>
      <c r="B394" t="s">
        <v>33233</v>
      </c>
      <c r="C394">
        <v>0</v>
      </c>
      <c r="D394" t="s">
        <v>106</v>
      </c>
      <c r="E394">
        <v>24</v>
      </c>
    </row>
    <row r="395" spans="1:5">
      <c r="A395" t="s">
        <v>34720</v>
      </c>
      <c r="B395" t="s">
        <v>33234</v>
      </c>
      <c r="C395">
        <v>0</v>
      </c>
      <c r="D395" t="s">
        <v>106</v>
      </c>
      <c r="E395">
        <v>24</v>
      </c>
    </row>
    <row r="396" spans="1:5">
      <c r="A396" t="s">
        <v>34720</v>
      </c>
      <c r="B396" t="s">
        <v>33226</v>
      </c>
      <c r="C396">
        <v>0</v>
      </c>
      <c r="D396" t="s">
        <v>106</v>
      </c>
      <c r="E396">
        <v>24</v>
      </c>
    </row>
    <row r="397" spans="1:5">
      <c r="A397" t="s">
        <v>34720</v>
      </c>
      <c r="B397" t="s">
        <v>33229</v>
      </c>
      <c r="C397">
        <f>0</f>
        <v>0</v>
      </c>
      <c r="D397" t="s">
        <v>106</v>
      </c>
      <c r="E397">
        <v>24</v>
      </c>
    </row>
    <row r="398" spans="1:5">
      <c r="A398" t="s">
        <v>34720</v>
      </c>
      <c r="B398" t="s">
        <v>33228</v>
      </c>
      <c r="C398">
        <f>0</f>
        <v>0</v>
      </c>
      <c r="D398" t="s">
        <v>106</v>
      </c>
      <c r="E398">
        <v>24</v>
      </c>
    </row>
    <row r="399" spans="1:5">
      <c r="A399" t="s">
        <v>34720</v>
      </c>
      <c r="B399" t="s">
        <v>33225</v>
      </c>
      <c r="C399">
        <f>0</f>
        <v>0</v>
      </c>
      <c r="D399" t="s">
        <v>106</v>
      </c>
      <c r="E399">
        <v>24</v>
      </c>
    </row>
    <row r="400" spans="1:5">
      <c r="A400" t="s">
        <v>34720</v>
      </c>
      <c r="B400" t="s">
        <v>33227</v>
      </c>
      <c r="C400">
        <v>0</v>
      </c>
      <c r="D400" t="s">
        <v>106</v>
      </c>
      <c r="E400">
        <v>24</v>
      </c>
    </row>
    <row r="401" spans="1:5">
      <c r="A401" t="s">
        <v>34720</v>
      </c>
      <c r="B401" t="s">
        <v>33223</v>
      </c>
      <c r="C401">
        <v>0</v>
      </c>
      <c r="D401" t="s">
        <v>106</v>
      </c>
      <c r="E401">
        <v>24</v>
      </c>
    </row>
    <row r="402" spans="1:5">
      <c r="A402" t="s">
        <v>34721</v>
      </c>
      <c r="B402" t="s">
        <v>34722</v>
      </c>
      <c r="C402">
        <v>0</v>
      </c>
      <c r="D402">
        <v>0.71155625986299997</v>
      </c>
      <c r="E402">
        <v>18.768000000000001</v>
      </c>
    </row>
    <row r="403" spans="1:5">
      <c r="A403" t="s">
        <v>34721</v>
      </c>
      <c r="B403" t="s">
        <v>34723</v>
      </c>
      <c r="C403">
        <f>0.574354891477</f>
        <v>0.57435489147700003</v>
      </c>
      <c r="D403">
        <v>0.71155625986299997</v>
      </c>
      <c r="E403">
        <v>18.768000000000001</v>
      </c>
    </row>
    <row r="404" spans="1:5">
      <c r="A404" t="s">
        <v>34721</v>
      </c>
      <c r="B404" t="s">
        <v>34724</v>
      </c>
      <c r="C404">
        <f>0</f>
        <v>0</v>
      </c>
      <c r="D404">
        <v>0.71155625986299997</v>
      </c>
      <c r="E404">
        <v>18.768000000000001</v>
      </c>
    </row>
    <row r="405" spans="1:5">
      <c r="A405" t="s">
        <v>34721</v>
      </c>
      <c r="B405" t="s">
        <v>34725</v>
      </c>
      <c r="C405">
        <v>0.117363548636</v>
      </c>
      <c r="D405">
        <v>0.71155625986299997</v>
      </c>
      <c r="E405">
        <v>18.768000000000001</v>
      </c>
    </row>
    <row r="406" spans="1:5">
      <c r="A406" t="s">
        <v>34721</v>
      </c>
      <c r="B406" t="s">
        <v>34726</v>
      </c>
      <c r="C406">
        <v>1.6030931746399999E-2</v>
      </c>
      <c r="D406">
        <v>0.71155625986299997</v>
      </c>
      <c r="E406">
        <v>18.768000000000001</v>
      </c>
    </row>
    <row r="407" spans="1:5">
      <c r="A407" t="s">
        <v>34727</v>
      </c>
      <c r="B407" t="s">
        <v>34728</v>
      </c>
      <c r="C407">
        <v>0</v>
      </c>
      <c r="D407">
        <v>0.81759740351700005</v>
      </c>
      <c r="E407">
        <v>0</v>
      </c>
    </row>
    <row r="408" spans="1:5">
      <c r="A408" t="s">
        <v>34727</v>
      </c>
      <c r="B408" t="s">
        <v>34729</v>
      </c>
      <c r="C408">
        <v>0</v>
      </c>
      <c r="D408">
        <v>0.81759740351700005</v>
      </c>
      <c r="E408">
        <v>0</v>
      </c>
    </row>
    <row r="409" spans="1:5">
      <c r="A409" t="s">
        <v>34727</v>
      </c>
      <c r="B409" t="s">
        <v>34730</v>
      </c>
      <c r="C409">
        <v>0.50244624983700004</v>
      </c>
      <c r="D409">
        <v>0.81759740351700005</v>
      </c>
      <c r="E409">
        <v>0</v>
      </c>
    </row>
    <row r="410" spans="1:5">
      <c r="A410" t="s">
        <v>34727</v>
      </c>
      <c r="B410" t="s">
        <v>34731</v>
      </c>
      <c r="C410">
        <v>0.29077911862900002</v>
      </c>
      <c r="D410">
        <v>0.81759740351700005</v>
      </c>
      <c r="E410">
        <v>0</v>
      </c>
    </row>
    <row r="411" spans="1:5">
      <c r="A411" t="s">
        <v>34732</v>
      </c>
      <c r="B411" t="s">
        <v>4181</v>
      </c>
      <c r="C411">
        <f>0</f>
        <v>0</v>
      </c>
      <c r="D411">
        <v>0.52711414855500005</v>
      </c>
      <c r="E411">
        <v>2.88</v>
      </c>
    </row>
    <row r="412" spans="1:5">
      <c r="A412" t="s">
        <v>34732</v>
      </c>
      <c r="B412" t="s">
        <v>4189</v>
      </c>
      <c r="C412">
        <v>0.29670414855499999</v>
      </c>
      <c r="D412">
        <v>0.52711414855500005</v>
      </c>
      <c r="E412">
        <v>2.88</v>
      </c>
    </row>
    <row r="413" spans="1:5">
      <c r="A413" t="s">
        <v>34732</v>
      </c>
      <c r="B413" t="s">
        <v>4188</v>
      </c>
      <c r="C413">
        <v>0</v>
      </c>
      <c r="D413">
        <v>0.52711414855500005</v>
      </c>
      <c r="E413">
        <v>2.88</v>
      </c>
    </row>
    <row r="414" spans="1:5">
      <c r="A414" t="s">
        <v>34733</v>
      </c>
      <c r="B414" t="s">
        <v>15531</v>
      </c>
      <c r="C414">
        <v>0</v>
      </c>
      <c r="D414" t="s">
        <v>106</v>
      </c>
      <c r="E414">
        <v>15.318</v>
      </c>
    </row>
    <row r="415" spans="1:5">
      <c r="A415" t="s">
        <v>34733</v>
      </c>
      <c r="B415" t="s">
        <v>15533</v>
      </c>
      <c r="C415">
        <f>0</f>
        <v>0</v>
      </c>
      <c r="D415" t="s">
        <v>106</v>
      </c>
      <c r="E415">
        <v>15.318</v>
      </c>
    </row>
    <row r="416" spans="1:5">
      <c r="A416" t="s">
        <v>34734</v>
      </c>
      <c r="B416" t="s">
        <v>3626</v>
      </c>
      <c r="C416">
        <v>0.65467379933600001</v>
      </c>
      <c r="D416">
        <v>0.65535552351399995</v>
      </c>
      <c r="E416">
        <v>1.3380000000000001</v>
      </c>
    </row>
    <row r="417" spans="1:5">
      <c r="A417" t="s">
        <v>34734</v>
      </c>
      <c r="B417" t="s">
        <v>3624</v>
      </c>
      <c r="C417">
        <v>0</v>
      </c>
      <c r="D417">
        <v>0.65535552351399995</v>
      </c>
      <c r="E417">
        <v>1.3380000000000001</v>
      </c>
    </row>
    <row r="418" spans="1:5">
      <c r="A418" t="s">
        <v>34734</v>
      </c>
      <c r="B418" t="s">
        <v>3623</v>
      </c>
      <c r="C418">
        <f>0.76809624925</f>
        <v>0.76809624924999997</v>
      </c>
      <c r="D418">
        <v>0.65535552351399995</v>
      </c>
      <c r="E418">
        <v>1.3380000000000001</v>
      </c>
    </row>
    <row r="419" spans="1:5">
      <c r="A419" t="s">
        <v>34735</v>
      </c>
      <c r="B419" t="s">
        <v>34736</v>
      </c>
      <c r="C419">
        <f>0</f>
        <v>0</v>
      </c>
      <c r="D419" t="s">
        <v>106</v>
      </c>
      <c r="E419">
        <v>24</v>
      </c>
    </row>
    <row r="420" spans="1:5">
      <c r="A420" t="s">
        <v>34735</v>
      </c>
      <c r="B420" t="s">
        <v>34737</v>
      </c>
      <c r="C420">
        <f>0</f>
        <v>0</v>
      </c>
      <c r="D420" t="s">
        <v>106</v>
      </c>
      <c r="E420">
        <v>24</v>
      </c>
    </row>
    <row r="421" spans="1:5">
      <c r="A421" t="s">
        <v>34735</v>
      </c>
      <c r="B421" t="s">
        <v>34738</v>
      </c>
      <c r="C421">
        <f>0</f>
        <v>0</v>
      </c>
      <c r="D421" t="s">
        <v>106</v>
      </c>
      <c r="E421">
        <v>24</v>
      </c>
    </row>
    <row r="422" spans="1:5">
      <c r="A422" t="s">
        <v>34735</v>
      </c>
      <c r="B422" t="s">
        <v>34739</v>
      </c>
      <c r="C422">
        <f>0</f>
        <v>0</v>
      </c>
      <c r="D422" t="s">
        <v>106</v>
      </c>
      <c r="E422">
        <v>24</v>
      </c>
    </row>
    <row r="423" spans="1:5">
      <c r="A423" t="s">
        <v>34735</v>
      </c>
      <c r="B423" t="s">
        <v>34740</v>
      </c>
      <c r="C423">
        <v>0</v>
      </c>
      <c r="D423" t="s">
        <v>106</v>
      </c>
      <c r="E423">
        <v>24</v>
      </c>
    </row>
    <row r="424" spans="1:5">
      <c r="A424" t="s">
        <v>34735</v>
      </c>
      <c r="B424" t="s">
        <v>34741</v>
      </c>
      <c r="C424">
        <v>0</v>
      </c>
      <c r="D424" t="s">
        <v>106</v>
      </c>
      <c r="E424">
        <v>24</v>
      </c>
    </row>
    <row r="425" spans="1:5">
      <c r="A425" t="s">
        <v>34735</v>
      </c>
      <c r="B425" t="s">
        <v>34742</v>
      </c>
      <c r="C425">
        <f>0</f>
        <v>0</v>
      </c>
      <c r="D425" t="s">
        <v>106</v>
      </c>
      <c r="E425">
        <v>24</v>
      </c>
    </row>
    <row r="426" spans="1:5">
      <c r="A426" t="s">
        <v>34735</v>
      </c>
      <c r="B426" t="s">
        <v>34743</v>
      </c>
      <c r="C426">
        <f>0</f>
        <v>0</v>
      </c>
      <c r="D426" t="s">
        <v>106</v>
      </c>
      <c r="E426">
        <v>24</v>
      </c>
    </row>
    <row r="427" spans="1:5">
      <c r="A427" t="s">
        <v>34735</v>
      </c>
      <c r="B427" t="s">
        <v>34744</v>
      </c>
      <c r="C427">
        <f>0</f>
        <v>0</v>
      </c>
      <c r="D427" t="s">
        <v>106</v>
      </c>
      <c r="E427">
        <v>24</v>
      </c>
    </row>
    <row r="428" spans="1:5">
      <c r="A428" t="s">
        <v>34745</v>
      </c>
      <c r="B428" t="s">
        <v>34746</v>
      </c>
      <c r="C428">
        <f>0</f>
        <v>0</v>
      </c>
      <c r="D428">
        <v>0.83840588388000004</v>
      </c>
      <c r="E428">
        <v>9.6180000000000003</v>
      </c>
    </row>
    <row r="429" spans="1:5">
      <c r="A429" t="s">
        <v>34745</v>
      </c>
      <c r="B429" t="s">
        <v>34747</v>
      </c>
      <c r="C429">
        <v>0.66018810288300001</v>
      </c>
      <c r="D429">
        <v>0.83840588388000004</v>
      </c>
      <c r="E429">
        <v>9.6180000000000003</v>
      </c>
    </row>
    <row r="430" spans="1:5">
      <c r="A430" t="s">
        <v>34745</v>
      </c>
      <c r="B430" t="s">
        <v>34748</v>
      </c>
      <c r="C430">
        <v>0</v>
      </c>
      <c r="D430">
        <v>0.83840588388000004</v>
      </c>
      <c r="E430">
        <v>9.6180000000000003</v>
      </c>
    </row>
    <row r="431" spans="1:5">
      <c r="A431" t="s">
        <v>34745</v>
      </c>
      <c r="B431" t="s">
        <v>34749</v>
      </c>
      <c r="C431">
        <f>0</f>
        <v>0</v>
      </c>
      <c r="D431">
        <v>0.83840588388000004</v>
      </c>
      <c r="E431">
        <v>9.6180000000000003</v>
      </c>
    </row>
    <row r="432" spans="1:5">
      <c r="A432" t="s">
        <v>34745</v>
      </c>
      <c r="B432" t="s">
        <v>34750</v>
      </c>
      <c r="C432">
        <f>0</f>
        <v>0</v>
      </c>
      <c r="D432">
        <v>0.83840588388000004</v>
      </c>
      <c r="E432">
        <v>9.6180000000000003</v>
      </c>
    </row>
    <row r="433" spans="1:5">
      <c r="A433" t="s">
        <v>34745</v>
      </c>
      <c r="B433" t="s">
        <v>34751</v>
      </c>
      <c r="C433">
        <f>0.134170770264</f>
        <v>0.13417077026400001</v>
      </c>
      <c r="D433">
        <v>0.83840588388000004</v>
      </c>
      <c r="E433">
        <v>9.6180000000000003</v>
      </c>
    </row>
    <row r="434" spans="1:5">
      <c r="A434" t="s">
        <v>34745</v>
      </c>
      <c r="B434" t="s">
        <v>34752</v>
      </c>
      <c r="C434">
        <v>0</v>
      </c>
      <c r="D434">
        <v>0.83840588388000004</v>
      </c>
      <c r="E434">
        <v>9.6180000000000003</v>
      </c>
    </row>
    <row r="435" spans="1:5">
      <c r="A435" t="s">
        <v>34753</v>
      </c>
      <c r="B435" t="s">
        <v>32692</v>
      </c>
      <c r="C435">
        <v>0.729607325207</v>
      </c>
      <c r="D435">
        <v>0.94214548825</v>
      </c>
      <c r="E435">
        <v>1.452</v>
      </c>
    </row>
    <row r="436" spans="1:5">
      <c r="A436" t="s">
        <v>34753</v>
      </c>
      <c r="B436" t="s">
        <v>32696</v>
      </c>
      <c r="C436">
        <v>0</v>
      </c>
      <c r="D436">
        <v>0.94214548825</v>
      </c>
      <c r="E436">
        <v>1.452</v>
      </c>
    </row>
    <row r="437" spans="1:5">
      <c r="A437" t="s">
        <v>34753</v>
      </c>
      <c r="B437" t="s">
        <v>32701</v>
      </c>
      <c r="C437">
        <f>0.418146953273</f>
        <v>0.418146953273</v>
      </c>
      <c r="D437">
        <v>0.94214548825</v>
      </c>
      <c r="E437">
        <v>1.452</v>
      </c>
    </row>
    <row r="438" spans="1:5">
      <c r="A438" t="s">
        <v>34753</v>
      </c>
      <c r="B438" t="s">
        <v>32695</v>
      </c>
      <c r="C438">
        <v>0</v>
      </c>
      <c r="D438">
        <v>0.94214548825</v>
      </c>
      <c r="E438">
        <v>1.452</v>
      </c>
    </row>
    <row r="439" spans="1:5">
      <c r="A439" t="s">
        <v>34753</v>
      </c>
      <c r="B439" t="s">
        <v>32703</v>
      </c>
      <c r="C439">
        <f>0</f>
        <v>0</v>
      </c>
      <c r="D439">
        <v>0.94214548825</v>
      </c>
      <c r="E439">
        <v>1.452</v>
      </c>
    </row>
    <row r="440" spans="1:5">
      <c r="A440" t="s">
        <v>34753</v>
      </c>
      <c r="B440" t="s">
        <v>32700</v>
      </c>
      <c r="C440">
        <f>0</f>
        <v>0</v>
      </c>
      <c r="D440">
        <v>0.94214548825</v>
      </c>
      <c r="E440">
        <v>1.452</v>
      </c>
    </row>
    <row r="441" spans="1:5">
      <c r="A441" t="s">
        <v>34753</v>
      </c>
      <c r="B441" t="s">
        <v>32707</v>
      </c>
      <c r="C441">
        <v>0</v>
      </c>
      <c r="D441">
        <v>0.94214548825</v>
      </c>
      <c r="E441">
        <v>1.452</v>
      </c>
    </row>
    <row r="442" spans="1:5">
      <c r="A442" t="s">
        <v>34754</v>
      </c>
      <c r="B442" t="s">
        <v>34004</v>
      </c>
      <c r="C442">
        <v>0</v>
      </c>
      <c r="D442" t="s">
        <v>106</v>
      </c>
      <c r="E442">
        <v>15.51</v>
      </c>
    </row>
    <row r="443" spans="1:5">
      <c r="A443" t="s">
        <v>34754</v>
      </c>
      <c r="B443" t="s">
        <v>34007</v>
      </c>
      <c r="C443">
        <v>0</v>
      </c>
      <c r="D443" t="s">
        <v>106</v>
      </c>
      <c r="E443">
        <v>15.51</v>
      </c>
    </row>
    <row r="444" spans="1:5">
      <c r="A444" t="s">
        <v>34755</v>
      </c>
      <c r="B444" t="s">
        <v>34756</v>
      </c>
      <c r="C444">
        <f>0.830615438207</f>
        <v>0.83061543820700001</v>
      </c>
      <c r="D444">
        <v>0.74452166957900001</v>
      </c>
      <c r="E444">
        <v>4.2720000000000002</v>
      </c>
    </row>
    <row r="445" spans="1:5">
      <c r="A445" t="s">
        <v>34755</v>
      </c>
      <c r="B445" t="s">
        <v>34757</v>
      </c>
      <c r="C445">
        <v>0.64400858358799995</v>
      </c>
      <c r="D445">
        <v>0.74452166957900001</v>
      </c>
      <c r="E445">
        <v>4.2720000000000002</v>
      </c>
    </row>
    <row r="446" spans="1:5">
      <c r="A446" t="s">
        <v>34758</v>
      </c>
      <c r="B446" t="s">
        <v>18338</v>
      </c>
      <c r="C446">
        <f>0</f>
        <v>0</v>
      </c>
      <c r="D446" t="s">
        <v>106</v>
      </c>
      <c r="E446">
        <v>24</v>
      </c>
    </row>
    <row r="447" spans="1:5">
      <c r="A447" t="s">
        <v>34758</v>
      </c>
      <c r="B447" t="s">
        <v>18343</v>
      </c>
      <c r="C447">
        <f>0</f>
        <v>0</v>
      </c>
      <c r="D447" t="s">
        <v>106</v>
      </c>
      <c r="E447">
        <v>24</v>
      </c>
    </row>
    <row r="448" spans="1:5">
      <c r="A448" t="s">
        <v>34758</v>
      </c>
      <c r="B448" t="s">
        <v>18339</v>
      </c>
      <c r="C448">
        <v>0</v>
      </c>
      <c r="D448" t="s">
        <v>106</v>
      </c>
      <c r="E448">
        <v>24</v>
      </c>
    </row>
    <row r="449" spans="1:5">
      <c r="A449" t="s">
        <v>34758</v>
      </c>
      <c r="B449" t="s">
        <v>18345</v>
      </c>
      <c r="C449">
        <f>0</f>
        <v>0</v>
      </c>
      <c r="D449" t="s">
        <v>106</v>
      </c>
      <c r="E449">
        <v>24</v>
      </c>
    </row>
    <row r="450" spans="1:5">
      <c r="A450" t="s">
        <v>34759</v>
      </c>
      <c r="B450" t="s">
        <v>7612</v>
      </c>
      <c r="C450">
        <f>0</f>
        <v>0</v>
      </c>
      <c r="D450" t="s">
        <v>106</v>
      </c>
      <c r="E450">
        <v>1.5720000000000001</v>
      </c>
    </row>
    <row r="451" spans="1:5">
      <c r="A451" t="s">
        <v>34759</v>
      </c>
      <c r="B451" t="s">
        <v>7623</v>
      </c>
      <c r="C451">
        <v>0</v>
      </c>
      <c r="D451" t="s">
        <v>106</v>
      </c>
      <c r="E451">
        <v>1.5720000000000001</v>
      </c>
    </row>
    <row r="452" spans="1:5">
      <c r="A452" t="s">
        <v>34759</v>
      </c>
      <c r="B452" t="s">
        <v>7610</v>
      </c>
      <c r="C452">
        <f>0</f>
        <v>0</v>
      </c>
      <c r="D452" t="s">
        <v>106</v>
      </c>
      <c r="E452">
        <v>1.5720000000000001</v>
      </c>
    </row>
    <row r="453" spans="1:5">
      <c r="A453" t="s">
        <v>34759</v>
      </c>
      <c r="B453" t="s">
        <v>7616</v>
      </c>
      <c r="C453">
        <f>0</f>
        <v>0</v>
      </c>
      <c r="D453" t="s">
        <v>106</v>
      </c>
      <c r="E453">
        <v>1.5720000000000001</v>
      </c>
    </row>
    <row r="454" spans="1:5">
      <c r="A454" t="s">
        <v>34759</v>
      </c>
      <c r="B454" t="s">
        <v>7617</v>
      </c>
      <c r="C454">
        <v>0</v>
      </c>
      <c r="D454" t="s">
        <v>106</v>
      </c>
      <c r="E454">
        <v>1.5720000000000001</v>
      </c>
    </row>
    <row r="455" spans="1:5">
      <c r="A455" t="s">
        <v>34759</v>
      </c>
      <c r="B455" t="s">
        <v>7620</v>
      </c>
      <c r="C455">
        <f>0</f>
        <v>0</v>
      </c>
      <c r="D455" t="s">
        <v>106</v>
      </c>
      <c r="E455">
        <v>1.5720000000000001</v>
      </c>
    </row>
    <row r="456" spans="1:5">
      <c r="A456" t="s">
        <v>34759</v>
      </c>
      <c r="B456" t="s">
        <v>7613</v>
      </c>
      <c r="C456">
        <v>0</v>
      </c>
      <c r="D456" t="s">
        <v>106</v>
      </c>
      <c r="E456">
        <v>1.5720000000000001</v>
      </c>
    </row>
    <row r="457" spans="1:5">
      <c r="A457" t="s">
        <v>34759</v>
      </c>
      <c r="B457" t="s">
        <v>7619</v>
      </c>
      <c r="C457">
        <f>0</f>
        <v>0</v>
      </c>
      <c r="D457" t="s">
        <v>106</v>
      </c>
      <c r="E457">
        <v>1.5720000000000001</v>
      </c>
    </row>
    <row r="458" spans="1:5">
      <c r="A458" t="s">
        <v>34759</v>
      </c>
      <c r="B458" t="s">
        <v>7625</v>
      </c>
      <c r="C458">
        <f>0</f>
        <v>0</v>
      </c>
      <c r="D458" t="s">
        <v>106</v>
      </c>
      <c r="E458">
        <v>1.5720000000000001</v>
      </c>
    </row>
    <row r="459" spans="1:5">
      <c r="A459" t="s">
        <v>34759</v>
      </c>
      <c r="B459" t="s">
        <v>7615</v>
      </c>
      <c r="C459">
        <f>0</f>
        <v>0</v>
      </c>
      <c r="D459" t="s">
        <v>106</v>
      </c>
      <c r="E459">
        <v>1.5720000000000001</v>
      </c>
    </row>
    <row r="460" spans="1:5">
      <c r="A460" t="s">
        <v>34759</v>
      </c>
      <c r="B460" t="s">
        <v>7622</v>
      </c>
      <c r="C460">
        <v>0</v>
      </c>
      <c r="D460" t="s">
        <v>106</v>
      </c>
      <c r="E460">
        <v>1.5720000000000001</v>
      </c>
    </row>
    <row r="461" spans="1:5">
      <c r="A461" t="s">
        <v>34759</v>
      </c>
      <c r="B461" t="s">
        <v>7614</v>
      </c>
      <c r="C461">
        <f>0</f>
        <v>0</v>
      </c>
      <c r="D461" t="s">
        <v>106</v>
      </c>
      <c r="E461">
        <v>1.5720000000000001</v>
      </c>
    </row>
    <row r="462" spans="1:5">
      <c r="A462" t="s">
        <v>34760</v>
      </c>
      <c r="B462" t="s">
        <v>33687</v>
      </c>
      <c r="C462">
        <v>1.25207812584</v>
      </c>
      <c r="D462">
        <v>0.92617152316399998</v>
      </c>
      <c r="E462">
        <v>0</v>
      </c>
    </row>
    <row r="463" spans="1:5">
      <c r="A463" t="s">
        <v>34760</v>
      </c>
      <c r="B463" t="s">
        <v>33685</v>
      </c>
      <c r="C463">
        <f>0.190998743962</f>
        <v>0.19099874396200001</v>
      </c>
      <c r="D463">
        <v>0.92617152316399998</v>
      </c>
      <c r="E463">
        <v>0</v>
      </c>
    </row>
    <row r="464" spans="1:5">
      <c r="A464" t="s">
        <v>34760</v>
      </c>
      <c r="B464" t="s">
        <v>33686</v>
      </c>
      <c r="C464">
        <f>-1.1813678514</f>
        <v>-1.1813678513999999</v>
      </c>
      <c r="D464">
        <v>0.92617152316399998</v>
      </c>
      <c r="E464">
        <v>0</v>
      </c>
    </row>
    <row r="465" spans="1:5">
      <c r="A465" t="s">
        <v>34761</v>
      </c>
      <c r="B465" t="s">
        <v>11006</v>
      </c>
      <c r="C465">
        <v>0</v>
      </c>
      <c r="D465" t="s">
        <v>106</v>
      </c>
      <c r="E465">
        <v>0</v>
      </c>
    </row>
    <row r="466" spans="1:5">
      <c r="A466" t="s">
        <v>34761</v>
      </c>
      <c r="B466" t="s">
        <v>11009</v>
      </c>
      <c r="C466">
        <v>0</v>
      </c>
      <c r="D466" t="s">
        <v>106</v>
      </c>
      <c r="E466">
        <v>0</v>
      </c>
    </row>
    <row r="467" spans="1:5">
      <c r="A467" t="s">
        <v>34761</v>
      </c>
      <c r="B467" t="s">
        <v>11016</v>
      </c>
      <c r="C467">
        <v>0</v>
      </c>
      <c r="D467" t="s">
        <v>106</v>
      </c>
      <c r="E467">
        <v>0</v>
      </c>
    </row>
    <row r="468" spans="1:5">
      <c r="A468" t="s">
        <v>34761</v>
      </c>
      <c r="B468" t="s">
        <v>11011</v>
      </c>
      <c r="C468">
        <v>0</v>
      </c>
      <c r="D468" t="s">
        <v>106</v>
      </c>
      <c r="E468">
        <v>0</v>
      </c>
    </row>
    <row r="469" spans="1:5">
      <c r="A469" t="s">
        <v>34761</v>
      </c>
      <c r="B469" t="s">
        <v>11018</v>
      </c>
      <c r="C469">
        <f>0</f>
        <v>0</v>
      </c>
      <c r="D469" t="s">
        <v>106</v>
      </c>
      <c r="E469">
        <v>0</v>
      </c>
    </row>
    <row r="470" spans="1:5">
      <c r="A470" t="s">
        <v>34761</v>
      </c>
      <c r="B470" t="s">
        <v>11010</v>
      </c>
      <c r="C470">
        <v>0</v>
      </c>
      <c r="D470" t="s">
        <v>106</v>
      </c>
      <c r="E470">
        <v>0</v>
      </c>
    </row>
    <row r="471" spans="1:5">
      <c r="A471" t="s">
        <v>34761</v>
      </c>
      <c r="B471" t="s">
        <v>11014</v>
      </c>
      <c r="C471">
        <f>0</f>
        <v>0</v>
      </c>
      <c r="D471" t="s">
        <v>106</v>
      </c>
      <c r="E471">
        <v>0</v>
      </c>
    </row>
    <row r="472" spans="1:5">
      <c r="A472" t="s">
        <v>34761</v>
      </c>
      <c r="B472" t="s">
        <v>11019</v>
      </c>
      <c r="C472">
        <f>0</f>
        <v>0</v>
      </c>
      <c r="D472" t="s">
        <v>106</v>
      </c>
      <c r="E472">
        <v>0</v>
      </c>
    </row>
    <row r="473" spans="1:5">
      <c r="A473" t="s">
        <v>34761</v>
      </c>
      <c r="B473" t="s">
        <v>11012</v>
      </c>
      <c r="C473">
        <f>0</f>
        <v>0</v>
      </c>
      <c r="D473" t="s">
        <v>106</v>
      </c>
      <c r="E473">
        <v>0</v>
      </c>
    </row>
    <row r="474" spans="1:5">
      <c r="A474" t="s">
        <v>34761</v>
      </c>
      <c r="B474" t="s">
        <v>11013</v>
      </c>
      <c r="C474">
        <f>0</f>
        <v>0</v>
      </c>
      <c r="D474" t="s">
        <v>106</v>
      </c>
      <c r="E474">
        <v>0</v>
      </c>
    </row>
    <row r="475" spans="1:5">
      <c r="A475" t="s">
        <v>34761</v>
      </c>
      <c r="B475" t="s">
        <v>11015</v>
      </c>
      <c r="C475">
        <f>0</f>
        <v>0</v>
      </c>
      <c r="D475" t="s">
        <v>106</v>
      </c>
      <c r="E475">
        <v>0</v>
      </c>
    </row>
    <row r="476" spans="1:5">
      <c r="A476" t="s">
        <v>34761</v>
      </c>
      <c r="B476" t="s">
        <v>11017</v>
      </c>
      <c r="C476">
        <v>0</v>
      </c>
      <c r="D476" t="s">
        <v>106</v>
      </c>
      <c r="E476">
        <v>0</v>
      </c>
    </row>
    <row r="477" spans="1:5">
      <c r="A477" t="s">
        <v>34762</v>
      </c>
      <c r="B477" t="s">
        <v>4881</v>
      </c>
      <c r="C477">
        <f>0.16971877314</f>
        <v>0.16971877314</v>
      </c>
      <c r="D477">
        <v>0.93901092774399997</v>
      </c>
      <c r="E477">
        <v>0</v>
      </c>
    </row>
    <row r="478" spans="1:5">
      <c r="A478" t="s">
        <v>34762</v>
      </c>
      <c r="B478" t="s">
        <v>4882</v>
      </c>
      <c r="C478">
        <f>0</f>
        <v>0</v>
      </c>
      <c r="D478">
        <v>0.93901092774399997</v>
      </c>
      <c r="E478">
        <v>0</v>
      </c>
    </row>
    <row r="479" spans="1:5">
      <c r="A479" t="s">
        <v>34762</v>
      </c>
      <c r="B479" t="s">
        <v>4886</v>
      </c>
      <c r="C479">
        <f>0.611521611023</f>
        <v>0.61152161102299996</v>
      </c>
      <c r="D479">
        <v>0.93901092774399997</v>
      </c>
      <c r="E479">
        <v>0</v>
      </c>
    </row>
    <row r="480" spans="1:5">
      <c r="A480" t="s">
        <v>34762</v>
      </c>
      <c r="B480" t="s">
        <v>4880</v>
      </c>
      <c r="C480">
        <f>0</f>
        <v>0</v>
      </c>
      <c r="D480">
        <v>0.93901092774399997</v>
      </c>
      <c r="E480">
        <v>0</v>
      </c>
    </row>
    <row r="481" spans="1:5">
      <c r="A481" t="s">
        <v>34762</v>
      </c>
      <c r="B481" t="s">
        <v>4891</v>
      </c>
      <c r="C481">
        <f>0</f>
        <v>0</v>
      </c>
      <c r="D481">
        <v>0.93901092774399997</v>
      </c>
      <c r="E481">
        <v>0</v>
      </c>
    </row>
    <row r="482" spans="1:5">
      <c r="A482" t="s">
        <v>34762</v>
      </c>
      <c r="B482" t="s">
        <v>4892</v>
      </c>
      <c r="C482">
        <f>0.135697342316</f>
        <v>0.135697342316</v>
      </c>
      <c r="D482">
        <v>0.93901092774399997</v>
      </c>
      <c r="E482">
        <v>0</v>
      </c>
    </row>
    <row r="483" spans="1:5">
      <c r="A483" t="s">
        <v>34762</v>
      </c>
      <c r="B483" t="s">
        <v>4884</v>
      </c>
      <c r="C483">
        <v>0</v>
      </c>
      <c r="D483">
        <v>0.93901092774399997</v>
      </c>
      <c r="E483">
        <v>0</v>
      </c>
    </row>
    <row r="484" spans="1:5">
      <c r="A484" t="s">
        <v>34763</v>
      </c>
      <c r="B484" t="s">
        <v>34764</v>
      </c>
      <c r="C484">
        <f>0</f>
        <v>0</v>
      </c>
      <c r="D484">
        <v>0.67317147627100005</v>
      </c>
      <c r="E484">
        <v>1.83</v>
      </c>
    </row>
    <row r="485" spans="1:5">
      <c r="A485" t="s">
        <v>34763</v>
      </c>
      <c r="B485" t="s">
        <v>34765</v>
      </c>
      <c r="C485">
        <f>0.402761476271</f>
        <v>0.40276147627100001</v>
      </c>
      <c r="D485">
        <v>0.67317147627100005</v>
      </c>
      <c r="E485">
        <v>1.83</v>
      </c>
    </row>
    <row r="486" spans="1:5">
      <c r="A486" t="s">
        <v>34766</v>
      </c>
      <c r="B486" t="s">
        <v>33853</v>
      </c>
      <c r="C486">
        <v>0</v>
      </c>
      <c r="D486" t="s">
        <v>106</v>
      </c>
      <c r="E486">
        <v>24</v>
      </c>
    </row>
    <row r="487" spans="1:5">
      <c r="A487" t="s">
        <v>34766</v>
      </c>
      <c r="B487" t="s">
        <v>33854</v>
      </c>
      <c r="C487">
        <v>0</v>
      </c>
      <c r="D487" t="s">
        <v>106</v>
      </c>
      <c r="E487">
        <v>24</v>
      </c>
    </row>
    <row r="488" spans="1:5">
      <c r="A488" t="s">
        <v>34766</v>
      </c>
      <c r="B488" t="s">
        <v>33851</v>
      </c>
      <c r="C488">
        <f>0</f>
        <v>0</v>
      </c>
      <c r="D488" t="s">
        <v>106</v>
      </c>
      <c r="E488">
        <v>24</v>
      </c>
    </row>
    <row r="489" spans="1:5">
      <c r="A489" t="s">
        <v>34767</v>
      </c>
      <c r="B489" t="s">
        <v>9538</v>
      </c>
      <c r="C489">
        <v>6.18967438326E-2</v>
      </c>
      <c r="D489">
        <v>0.96280468869900004</v>
      </c>
      <c r="E489">
        <v>5.016</v>
      </c>
    </row>
    <row r="490" spans="1:5">
      <c r="A490" t="s">
        <v>34767</v>
      </c>
      <c r="B490" t="s">
        <v>9540</v>
      </c>
      <c r="C490">
        <v>0.81431602217400001</v>
      </c>
      <c r="D490">
        <v>0.96280468869900004</v>
      </c>
      <c r="E490">
        <v>5.016</v>
      </c>
    </row>
    <row r="491" spans="1:5">
      <c r="A491" t="s">
        <v>34767</v>
      </c>
      <c r="B491" t="s">
        <v>9541</v>
      </c>
      <c r="C491">
        <f>0.540144514966</f>
        <v>0.54014451496600002</v>
      </c>
      <c r="D491">
        <v>0.96280468869900004</v>
      </c>
      <c r="E491">
        <v>5.016</v>
      </c>
    </row>
    <row r="492" spans="1:5">
      <c r="A492" t="s">
        <v>34767</v>
      </c>
      <c r="B492" t="s">
        <v>9542</v>
      </c>
      <c r="C492">
        <f>0.63444857212</f>
        <v>0.63444857212000005</v>
      </c>
      <c r="D492">
        <v>0.96280468869900004</v>
      </c>
      <c r="E492">
        <v>5.016</v>
      </c>
    </row>
    <row r="493" spans="1:5">
      <c r="A493" t="s">
        <v>34768</v>
      </c>
      <c r="B493" t="s">
        <v>34769</v>
      </c>
      <c r="C493">
        <v>0</v>
      </c>
      <c r="D493">
        <v>0.30398365840699998</v>
      </c>
      <c r="E493">
        <v>24</v>
      </c>
    </row>
    <row r="494" spans="1:5">
      <c r="A494" t="s">
        <v>34768</v>
      </c>
      <c r="B494" t="s">
        <v>34770</v>
      </c>
      <c r="C494">
        <v>0.110373658407</v>
      </c>
      <c r="D494">
        <v>0.30398365840699998</v>
      </c>
      <c r="E494">
        <v>24</v>
      </c>
    </row>
    <row r="495" spans="1:5">
      <c r="A495" t="s">
        <v>34771</v>
      </c>
      <c r="B495" t="s">
        <v>15809</v>
      </c>
      <c r="C495">
        <v>0</v>
      </c>
      <c r="D495">
        <v>0.71017219773399998</v>
      </c>
      <c r="E495">
        <v>0.24</v>
      </c>
    </row>
    <row r="496" spans="1:5">
      <c r="A496" t="s">
        <v>34771</v>
      </c>
      <c r="B496" t="s">
        <v>15806</v>
      </c>
      <c r="C496">
        <v>0</v>
      </c>
      <c r="D496">
        <v>0.71017219773399998</v>
      </c>
      <c r="E496">
        <v>0.24</v>
      </c>
    </row>
    <row r="497" spans="1:5">
      <c r="A497" t="s">
        <v>34771</v>
      </c>
      <c r="B497" t="s">
        <v>15808</v>
      </c>
      <c r="C497">
        <v>0</v>
      </c>
      <c r="D497">
        <v>0.71017219773399998</v>
      </c>
      <c r="E497">
        <v>0.24</v>
      </c>
    </row>
    <row r="498" spans="1:5">
      <c r="A498" t="s">
        <v>34771</v>
      </c>
      <c r="B498" t="s">
        <v>15815</v>
      </c>
      <c r="C498">
        <v>0</v>
      </c>
      <c r="D498">
        <v>0.71017219773399998</v>
      </c>
      <c r="E498">
        <v>0.24</v>
      </c>
    </row>
    <row r="499" spans="1:5">
      <c r="A499" t="s">
        <v>34771</v>
      </c>
      <c r="B499" t="s">
        <v>15814</v>
      </c>
      <c r="C499">
        <v>0</v>
      </c>
      <c r="D499">
        <v>0.71017219773399998</v>
      </c>
      <c r="E499">
        <v>0.24</v>
      </c>
    </row>
    <row r="500" spans="1:5">
      <c r="A500" t="s">
        <v>34771</v>
      </c>
      <c r="B500" t="s">
        <v>15807</v>
      </c>
      <c r="C500">
        <f>0.479762197734</f>
        <v>0.47976219773399997</v>
      </c>
      <c r="D500">
        <v>0.71017219773399998</v>
      </c>
      <c r="E500">
        <v>0.24</v>
      </c>
    </row>
    <row r="501" spans="1:5">
      <c r="A501" t="s">
        <v>34772</v>
      </c>
      <c r="B501" t="s">
        <v>34773</v>
      </c>
      <c r="C501">
        <v>0</v>
      </c>
      <c r="D501">
        <v>0.82094329770499996</v>
      </c>
      <c r="E501">
        <v>17.513999999999999</v>
      </c>
    </row>
    <row r="502" spans="1:5">
      <c r="A502" t="s">
        <v>34772</v>
      </c>
      <c r="B502" t="s">
        <v>34774</v>
      </c>
      <c r="C502">
        <f>0</f>
        <v>0</v>
      </c>
      <c r="D502">
        <v>0.82094329770499996</v>
      </c>
      <c r="E502">
        <v>17.513999999999999</v>
      </c>
    </row>
    <row r="503" spans="1:5">
      <c r="A503" t="s">
        <v>34772</v>
      </c>
      <c r="B503" t="s">
        <v>34775</v>
      </c>
      <c r="C503">
        <v>0.24333329770500001</v>
      </c>
      <c r="D503">
        <v>0.82094329770499996</v>
      </c>
      <c r="E503">
        <v>17.513999999999999</v>
      </c>
    </row>
    <row r="504" spans="1:5">
      <c r="A504" t="s">
        <v>34772</v>
      </c>
      <c r="B504" t="s">
        <v>34776</v>
      </c>
      <c r="C504">
        <v>0</v>
      </c>
      <c r="D504">
        <v>0.82094329770499996</v>
      </c>
      <c r="E504">
        <v>17.513999999999999</v>
      </c>
    </row>
    <row r="505" spans="1:5">
      <c r="A505" t="s">
        <v>34772</v>
      </c>
      <c r="B505" t="s">
        <v>34777</v>
      </c>
      <c r="C505">
        <v>0</v>
      </c>
      <c r="D505">
        <v>0.82094329770499996</v>
      </c>
      <c r="E505">
        <v>17.513999999999999</v>
      </c>
    </row>
    <row r="506" spans="1:5">
      <c r="A506" t="s">
        <v>34772</v>
      </c>
      <c r="B506" t="s">
        <v>34778</v>
      </c>
      <c r="C506">
        <v>0</v>
      </c>
      <c r="D506">
        <v>0.82094329770499996</v>
      </c>
      <c r="E506">
        <v>17.513999999999999</v>
      </c>
    </row>
    <row r="507" spans="1:5">
      <c r="A507" t="s">
        <v>34772</v>
      </c>
      <c r="B507" t="s">
        <v>34779</v>
      </c>
      <c r="C507">
        <f>0</f>
        <v>0</v>
      </c>
      <c r="D507">
        <v>0.82094329770499996</v>
      </c>
      <c r="E507">
        <v>17.513999999999999</v>
      </c>
    </row>
    <row r="508" spans="1:5">
      <c r="A508" t="s">
        <v>34780</v>
      </c>
      <c r="B508" t="s">
        <v>3678</v>
      </c>
      <c r="C508">
        <v>0</v>
      </c>
      <c r="D508" t="s">
        <v>106</v>
      </c>
      <c r="E508">
        <v>19.416</v>
      </c>
    </row>
    <row r="509" spans="1:5">
      <c r="A509" t="s">
        <v>34780</v>
      </c>
      <c r="B509" t="s">
        <v>3675</v>
      </c>
      <c r="C509">
        <v>0</v>
      </c>
      <c r="D509" t="s">
        <v>106</v>
      </c>
      <c r="E509">
        <v>19.416</v>
      </c>
    </row>
    <row r="510" spans="1:5">
      <c r="A510" t="s">
        <v>34780</v>
      </c>
      <c r="B510" t="s">
        <v>3680</v>
      </c>
      <c r="C510">
        <f>0</f>
        <v>0</v>
      </c>
      <c r="D510" t="s">
        <v>106</v>
      </c>
      <c r="E510">
        <v>19.416</v>
      </c>
    </row>
    <row r="511" spans="1:5">
      <c r="A511" t="s">
        <v>34780</v>
      </c>
      <c r="B511" t="s">
        <v>3679</v>
      </c>
      <c r="C511">
        <f>0</f>
        <v>0</v>
      </c>
      <c r="D511" t="s">
        <v>106</v>
      </c>
      <c r="E511">
        <v>19.416</v>
      </c>
    </row>
    <row r="512" spans="1:5">
      <c r="A512" t="s">
        <v>34781</v>
      </c>
      <c r="B512" t="s">
        <v>10247</v>
      </c>
      <c r="C512">
        <v>0</v>
      </c>
      <c r="D512">
        <v>0.80933604272299997</v>
      </c>
      <c r="E512">
        <v>5.016</v>
      </c>
    </row>
    <row r="513" spans="1:5">
      <c r="A513" t="s">
        <v>34781</v>
      </c>
      <c r="B513" t="s">
        <v>10252</v>
      </c>
      <c r="C513">
        <v>0.46394391742800001</v>
      </c>
      <c r="D513">
        <v>0.80933604272299997</v>
      </c>
      <c r="E513">
        <v>5.016</v>
      </c>
    </row>
    <row r="514" spans="1:5">
      <c r="A514" t="s">
        <v>34781</v>
      </c>
      <c r="B514" t="s">
        <v>10253</v>
      </c>
      <c r="C514">
        <v>0</v>
      </c>
      <c r="D514">
        <v>0.80933604272299997</v>
      </c>
      <c r="E514">
        <v>5.016</v>
      </c>
    </row>
    <row r="515" spans="1:5">
      <c r="A515" t="s">
        <v>34781</v>
      </c>
      <c r="B515" t="s">
        <v>10249</v>
      </c>
      <c r="C515">
        <v>0</v>
      </c>
      <c r="D515">
        <v>0.80933604272299997</v>
      </c>
      <c r="E515">
        <v>5.016</v>
      </c>
    </row>
    <row r="516" spans="1:5">
      <c r="A516" t="s">
        <v>34781</v>
      </c>
      <c r="B516" t="s">
        <v>10255</v>
      </c>
      <c r="C516">
        <v>0</v>
      </c>
      <c r="D516">
        <v>0.80933604272299997</v>
      </c>
      <c r="E516">
        <v>5.016</v>
      </c>
    </row>
    <row r="517" spans="1:5">
      <c r="A517" t="s">
        <v>34781</v>
      </c>
      <c r="B517" t="s">
        <v>10254</v>
      </c>
      <c r="C517">
        <v>8.3383497385599997E-2</v>
      </c>
      <c r="D517">
        <v>0.80933604272299997</v>
      </c>
      <c r="E517">
        <v>5.016</v>
      </c>
    </row>
    <row r="518" spans="1:5">
      <c r="A518" t="s">
        <v>34781</v>
      </c>
      <c r="B518" t="s">
        <v>10248</v>
      </c>
      <c r="C518">
        <v>0</v>
      </c>
      <c r="D518">
        <v>0.80933604272299997</v>
      </c>
      <c r="E518">
        <v>5.016</v>
      </c>
    </row>
    <row r="519" spans="1:5">
      <c r="A519" t="s">
        <v>34781</v>
      </c>
      <c r="B519" t="s">
        <v>10251</v>
      </c>
      <c r="C519">
        <v>0</v>
      </c>
      <c r="D519">
        <v>0.80933604272299997</v>
      </c>
      <c r="E519">
        <v>5.016</v>
      </c>
    </row>
    <row r="520" spans="1:5">
      <c r="A520" t="s">
        <v>34781</v>
      </c>
      <c r="B520" t="s">
        <v>10259</v>
      </c>
      <c r="C520">
        <v>0</v>
      </c>
      <c r="D520">
        <v>0.80933604272299997</v>
      </c>
      <c r="E520">
        <v>5.016</v>
      </c>
    </row>
    <row r="521" spans="1:5">
      <c r="A521" t="s">
        <v>34781</v>
      </c>
      <c r="B521" t="s">
        <v>10257</v>
      </c>
      <c r="C521">
        <v>0</v>
      </c>
      <c r="D521">
        <v>0.80933604272299997</v>
      </c>
      <c r="E521">
        <v>5.016</v>
      </c>
    </row>
    <row r="522" spans="1:5">
      <c r="A522" t="s">
        <v>34782</v>
      </c>
      <c r="B522" t="s">
        <v>31703</v>
      </c>
      <c r="C522">
        <f>0</f>
        <v>0</v>
      </c>
      <c r="D522" t="s">
        <v>106</v>
      </c>
      <c r="E522">
        <v>20.963999999999999</v>
      </c>
    </row>
    <row r="523" spans="1:5">
      <c r="A523" t="s">
        <v>34782</v>
      </c>
      <c r="B523" t="s">
        <v>31701</v>
      </c>
      <c r="C523">
        <f>0</f>
        <v>0</v>
      </c>
      <c r="D523" t="s">
        <v>106</v>
      </c>
      <c r="E523">
        <v>20.963999999999999</v>
      </c>
    </row>
    <row r="524" spans="1:5">
      <c r="A524" t="s">
        <v>34783</v>
      </c>
      <c r="B524" t="s">
        <v>34784</v>
      </c>
      <c r="C524">
        <f>0</f>
        <v>0</v>
      </c>
      <c r="D524" t="s">
        <v>106</v>
      </c>
      <c r="E524">
        <v>17.718</v>
      </c>
    </row>
    <row r="525" spans="1:5">
      <c r="A525" t="s">
        <v>34783</v>
      </c>
      <c r="B525" t="s">
        <v>34785</v>
      </c>
      <c r="C525">
        <f>0</f>
        <v>0</v>
      </c>
      <c r="D525" t="s">
        <v>106</v>
      </c>
      <c r="E525">
        <v>17.718</v>
      </c>
    </row>
    <row r="526" spans="1:5">
      <c r="A526" t="s">
        <v>34783</v>
      </c>
      <c r="B526" t="s">
        <v>34786</v>
      </c>
      <c r="C526">
        <f>0</f>
        <v>0</v>
      </c>
      <c r="D526" t="s">
        <v>106</v>
      </c>
      <c r="E526">
        <v>17.718</v>
      </c>
    </row>
    <row r="527" spans="1:5">
      <c r="A527" t="s">
        <v>34783</v>
      </c>
      <c r="B527" t="s">
        <v>34787</v>
      </c>
      <c r="C527">
        <v>0</v>
      </c>
      <c r="D527" t="s">
        <v>106</v>
      </c>
      <c r="E527">
        <v>17.718</v>
      </c>
    </row>
    <row r="528" spans="1:5">
      <c r="A528" t="s">
        <v>34783</v>
      </c>
      <c r="B528" t="s">
        <v>34788</v>
      </c>
      <c r="C528">
        <f>0</f>
        <v>0</v>
      </c>
      <c r="D528" t="s">
        <v>106</v>
      </c>
      <c r="E528">
        <v>17.718</v>
      </c>
    </row>
    <row r="529" spans="1:5">
      <c r="A529" t="s">
        <v>34783</v>
      </c>
      <c r="B529" t="s">
        <v>34789</v>
      </c>
      <c r="C529">
        <v>0</v>
      </c>
      <c r="D529" t="s">
        <v>106</v>
      </c>
      <c r="E529">
        <v>17.718</v>
      </c>
    </row>
    <row r="530" spans="1:5">
      <c r="A530" t="s">
        <v>34783</v>
      </c>
      <c r="B530" t="s">
        <v>34790</v>
      </c>
      <c r="C530">
        <f>0</f>
        <v>0</v>
      </c>
      <c r="D530" t="s">
        <v>106</v>
      </c>
      <c r="E530">
        <v>17.718</v>
      </c>
    </row>
    <row r="531" spans="1:5">
      <c r="A531" t="s">
        <v>34783</v>
      </c>
      <c r="B531" t="s">
        <v>34791</v>
      </c>
      <c r="C531">
        <f>0</f>
        <v>0</v>
      </c>
      <c r="D531" t="s">
        <v>106</v>
      </c>
      <c r="E531">
        <v>17.718</v>
      </c>
    </row>
    <row r="532" spans="1:5">
      <c r="A532" t="s">
        <v>34783</v>
      </c>
      <c r="B532" t="s">
        <v>34792</v>
      </c>
      <c r="C532">
        <f>0</f>
        <v>0</v>
      </c>
      <c r="D532" t="s">
        <v>106</v>
      </c>
      <c r="E532">
        <v>17.718</v>
      </c>
    </row>
    <row r="533" spans="1:5">
      <c r="A533" t="s">
        <v>34793</v>
      </c>
      <c r="B533" t="s">
        <v>30050</v>
      </c>
      <c r="C533">
        <f>0.33370431679</f>
        <v>0.33370431679000001</v>
      </c>
      <c r="D533">
        <v>0.504067250144</v>
      </c>
      <c r="E533">
        <v>23.754000000000001</v>
      </c>
    </row>
    <row r="534" spans="1:5">
      <c r="A534" t="s">
        <v>34793</v>
      </c>
      <c r="B534" t="s">
        <v>30051</v>
      </c>
      <c r="C534">
        <f>0.0564133178159</f>
        <v>5.6413317815899998E-2</v>
      </c>
      <c r="D534">
        <v>0.504067250144</v>
      </c>
      <c r="E534">
        <v>23.754000000000001</v>
      </c>
    </row>
    <row r="535" spans="1:5">
      <c r="A535" t="s">
        <v>34794</v>
      </c>
      <c r="B535" t="s">
        <v>34795</v>
      </c>
      <c r="C535">
        <v>0.233096459162</v>
      </c>
      <c r="D535">
        <v>0.99999977395100004</v>
      </c>
      <c r="E535">
        <v>4.3739999999999997</v>
      </c>
    </row>
    <row r="536" spans="1:5">
      <c r="A536" t="s">
        <v>34794</v>
      </c>
      <c r="B536" t="s">
        <v>34796</v>
      </c>
      <c r="C536">
        <v>0.609516187376</v>
      </c>
      <c r="D536">
        <v>0.99999977395100004</v>
      </c>
      <c r="E536">
        <v>4.3739999999999997</v>
      </c>
    </row>
    <row r="537" spans="1:5">
      <c r="A537" t="s">
        <v>34794</v>
      </c>
      <c r="B537" t="s">
        <v>34797</v>
      </c>
      <c r="C537">
        <f>0.0590315144462</f>
        <v>5.9031514446200001E-2</v>
      </c>
      <c r="D537">
        <v>0.99999977395100004</v>
      </c>
      <c r="E537">
        <v>4.3739999999999997</v>
      </c>
    </row>
    <row r="538" spans="1:5">
      <c r="A538" t="s">
        <v>34794</v>
      </c>
      <c r="B538" t="s">
        <v>34798</v>
      </c>
      <c r="C538">
        <v>6.0421778581999999E-2</v>
      </c>
      <c r="D538">
        <v>0.99999977395100004</v>
      </c>
      <c r="E538">
        <v>4.3739999999999997</v>
      </c>
    </row>
    <row r="539" spans="1:5">
      <c r="A539" t="s">
        <v>34794</v>
      </c>
      <c r="B539" t="s">
        <v>34799</v>
      </c>
      <c r="C539">
        <v>0.427889303336</v>
      </c>
      <c r="D539">
        <v>0.99999977395100004</v>
      </c>
      <c r="E539">
        <v>4.3739999999999997</v>
      </c>
    </row>
    <row r="540" spans="1:5">
      <c r="A540" t="s">
        <v>34794</v>
      </c>
      <c r="B540" t="s">
        <v>34800</v>
      </c>
      <c r="C540">
        <f>0.0276023180043</f>
        <v>2.7602318004299999E-2</v>
      </c>
      <c r="D540">
        <v>0.99999977395100004</v>
      </c>
      <c r="E540">
        <v>4.3739999999999997</v>
      </c>
    </row>
    <row r="541" spans="1:5">
      <c r="A541" t="s">
        <v>34794</v>
      </c>
      <c r="B541" t="s">
        <v>34801</v>
      </c>
      <c r="C541">
        <v>0.29804261657100001</v>
      </c>
      <c r="D541">
        <v>0.99999977395100004</v>
      </c>
      <c r="E541">
        <v>4.3739999999999997</v>
      </c>
    </row>
    <row r="542" spans="1:5">
      <c r="A542" t="s">
        <v>34794</v>
      </c>
      <c r="B542" t="s">
        <v>34802</v>
      </c>
      <c r="C542">
        <v>0.15225899976599999</v>
      </c>
      <c r="D542">
        <v>0.99999977395100004</v>
      </c>
      <c r="E542">
        <v>4.3739999999999997</v>
      </c>
    </row>
    <row r="543" spans="1:5">
      <c r="A543" t="s">
        <v>34794</v>
      </c>
      <c r="B543" t="s">
        <v>34803</v>
      </c>
      <c r="C543">
        <f>0.376614394855</f>
        <v>0.37661439485499998</v>
      </c>
      <c r="D543">
        <v>0.99999977395100004</v>
      </c>
      <c r="E543">
        <v>4.3739999999999997</v>
      </c>
    </row>
    <row r="544" spans="1:5">
      <c r="A544" t="s">
        <v>34794</v>
      </c>
      <c r="B544" t="s">
        <v>34804</v>
      </c>
      <c r="C544">
        <f>0.083419543978</f>
        <v>8.3419543977999999E-2</v>
      </c>
      <c r="D544">
        <v>0.99999977395100004</v>
      </c>
      <c r="E544">
        <v>4.3739999999999997</v>
      </c>
    </row>
    <row r="545" spans="1:5">
      <c r="A545" t="s">
        <v>34805</v>
      </c>
      <c r="B545" t="s">
        <v>34268</v>
      </c>
      <c r="C545">
        <v>0.24449218291499999</v>
      </c>
      <c r="D545">
        <v>0.86557558539000001</v>
      </c>
      <c r="E545">
        <v>1.17</v>
      </c>
    </row>
    <row r="546" spans="1:5">
      <c r="A546" t="s">
        <v>34805</v>
      </c>
      <c r="B546" t="s">
        <v>34267</v>
      </c>
      <c r="C546">
        <f>0.280256678945</f>
        <v>0.280256678945</v>
      </c>
      <c r="D546">
        <v>0.86557558539000001</v>
      </c>
      <c r="E546">
        <v>1.17</v>
      </c>
    </row>
    <row r="547" spans="1:5">
      <c r="A547" t="s">
        <v>34805</v>
      </c>
      <c r="B547" t="s">
        <v>34270</v>
      </c>
      <c r="C547">
        <f>0</f>
        <v>0</v>
      </c>
      <c r="D547">
        <v>0.86557558539000001</v>
      </c>
      <c r="E547">
        <v>1.17</v>
      </c>
    </row>
    <row r="548" spans="1:5">
      <c r="A548" t="s">
        <v>34805</v>
      </c>
      <c r="B548" t="s">
        <v>34266</v>
      </c>
      <c r="C548">
        <f>0</f>
        <v>0</v>
      </c>
      <c r="D548">
        <v>0.86557558539000001</v>
      </c>
      <c r="E548">
        <v>1.17</v>
      </c>
    </row>
    <row r="549" spans="1:5">
      <c r="A549" t="s">
        <v>34805</v>
      </c>
      <c r="B549" t="s">
        <v>34271</v>
      </c>
      <c r="C549">
        <v>0.31850717935700001</v>
      </c>
      <c r="D549">
        <v>0.86557558539000001</v>
      </c>
      <c r="E549">
        <v>1.17</v>
      </c>
    </row>
    <row r="550" spans="1:5">
      <c r="A550" t="s">
        <v>34806</v>
      </c>
      <c r="B550" t="s">
        <v>15489</v>
      </c>
      <c r="C550">
        <v>0.53074491303899995</v>
      </c>
      <c r="D550">
        <v>0.99949677486699995</v>
      </c>
      <c r="E550">
        <v>23.754000000000001</v>
      </c>
    </row>
    <row r="551" spans="1:5">
      <c r="A551" t="s">
        <v>34806</v>
      </c>
      <c r="B551" t="s">
        <v>15492</v>
      </c>
      <c r="C551">
        <f>0.574375775127</f>
        <v>0.574375775127</v>
      </c>
      <c r="D551">
        <v>0.99949677486699995</v>
      </c>
      <c r="E551">
        <v>23.754000000000001</v>
      </c>
    </row>
    <row r="552" spans="1:5">
      <c r="A552" t="s">
        <v>34806</v>
      </c>
      <c r="B552" t="s">
        <v>15494</v>
      </c>
      <c r="C552">
        <f>-1.16482744687</f>
        <v>-1.1648274468699999</v>
      </c>
      <c r="D552">
        <v>0.99949677486699995</v>
      </c>
      <c r="E552">
        <v>23.754000000000001</v>
      </c>
    </row>
    <row r="553" spans="1:5">
      <c r="A553" t="s">
        <v>34806</v>
      </c>
      <c r="B553" t="s">
        <v>15493</v>
      </c>
      <c r="C553">
        <v>4.56451234916E-2</v>
      </c>
      <c r="D553">
        <v>0.99949677486699995</v>
      </c>
      <c r="E553">
        <v>23.754000000000001</v>
      </c>
    </row>
    <row r="554" spans="1:5">
      <c r="A554" t="s">
        <v>34806</v>
      </c>
      <c r="B554" t="s">
        <v>15491</v>
      </c>
      <c r="C554">
        <v>0.37764031303700002</v>
      </c>
      <c r="D554">
        <v>0.99949677486699995</v>
      </c>
      <c r="E554">
        <v>23.754000000000001</v>
      </c>
    </row>
    <row r="555" spans="1:5">
      <c r="A555" t="s">
        <v>34806</v>
      </c>
      <c r="B555" t="s">
        <v>15495</v>
      </c>
      <c r="C555">
        <v>1.24508246633</v>
      </c>
      <c r="D555">
        <v>0.99949677486699995</v>
      </c>
      <c r="E555">
        <v>23.754000000000001</v>
      </c>
    </row>
    <row r="556" spans="1:5">
      <c r="A556" t="s">
        <v>34807</v>
      </c>
      <c r="B556" t="s">
        <v>4758</v>
      </c>
      <c r="C556">
        <f>0.553401117668</f>
        <v>0.55340111766800004</v>
      </c>
      <c r="D556">
        <v>0.99997732232699998</v>
      </c>
      <c r="E556">
        <v>4.17</v>
      </c>
    </row>
    <row r="557" spans="1:5">
      <c r="A557" t="s">
        <v>34807</v>
      </c>
      <c r="B557" t="s">
        <v>4762</v>
      </c>
      <c r="C557">
        <f>0.579571735217</f>
        <v>0.57957173521700001</v>
      </c>
      <c r="D557">
        <v>0.99997732232699998</v>
      </c>
      <c r="E557">
        <v>4.17</v>
      </c>
    </row>
    <row r="558" spans="1:5">
      <c r="A558" t="s">
        <v>34807</v>
      </c>
      <c r="B558" t="s">
        <v>4761</v>
      </c>
      <c r="C558">
        <v>0.29972812152299999</v>
      </c>
      <c r="D558">
        <v>0.99997732232699998</v>
      </c>
      <c r="E558">
        <v>4.17</v>
      </c>
    </row>
    <row r="559" spans="1:5">
      <c r="A559" t="s">
        <v>34807</v>
      </c>
      <c r="B559" t="s">
        <v>4766</v>
      </c>
      <c r="C559">
        <f>0.0577458027469</f>
        <v>5.7745802746899999E-2</v>
      </c>
      <c r="D559">
        <v>0.99997732232699998</v>
      </c>
      <c r="E559">
        <v>4.17</v>
      </c>
    </row>
    <row r="560" spans="1:5">
      <c r="A560" t="s">
        <v>34807</v>
      </c>
      <c r="B560" t="s">
        <v>4772</v>
      </c>
      <c r="C560">
        <f>0</f>
        <v>0</v>
      </c>
      <c r="D560">
        <v>0.99997732232699998</v>
      </c>
      <c r="E560">
        <v>4.17</v>
      </c>
    </row>
    <row r="561" spans="1:5">
      <c r="A561" t="s">
        <v>34807</v>
      </c>
      <c r="B561" t="s">
        <v>4765</v>
      </c>
      <c r="C561">
        <v>0.12803790567100001</v>
      </c>
      <c r="D561">
        <v>0.99997732232699998</v>
      </c>
      <c r="E561">
        <v>4.17</v>
      </c>
    </row>
    <row r="562" spans="1:5">
      <c r="A562" t="s">
        <v>34807</v>
      </c>
      <c r="B562" t="s">
        <v>4760</v>
      </c>
      <c r="C562">
        <v>0.115202630645</v>
      </c>
      <c r="D562">
        <v>0.99997732232699998</v>
      </c>
      <c r="E562">
        <v>4.17</v>
      </c>
    </row>
    <row r="563" spans="1:5">
      <c r="A563" t="s">
        <v>34807</v>
      </c>
      <c r="B563" t="s">
        <v>4767</v>
      </c>
      <c r="C563">
        <f>0</f>
        <v>0</v>
      </c>
      <c r="D563">
        <v>0.99997732232699998</v>
      </c>
      <c r="E563">
        <v>4.17</v>
      </c>
    </row>
    <row r="564" spans="1:5">
      <c r="A564" t="s">
        <v>34807</v>
      </c>
      <c r="B564" t="s">
        <v>4773</v>
      </c>
      <c r="C564">
        <f>0.166466314286</f>
        <v>0.16646631428600001</v>
      </c>
      <c r="D564">
        <v>0.99997732232699998</v>
      </c>
      <c r="E564">
        <v>4.17</v>
      </c>
    </row>
    <row r="565" spans="1:5">
      <c r="A565" t="s">
        <v>34808</v>
      </c>
      <c r="B565" t="s">
        <v>9096</v>
      </c>
      <c r="C565">
        <f>0</f>
        <v>0</v>
      </c>
      <c r="D565">
        <v>0.97734584819899994</v>
      </c>
      <c r="E565">
        <v>5.2380000000000004</v>
      </c>
    </row>
    <row r="566" spans="1:5">
      <c r="A566" t="s">
        <v>34808</v>
      </c>
      <c r="B566" t="s">
        <v>9086</v>
      </c>
      <c r="C566">
        <f>0.274171020115</f>
        <v>0.274171020115</v>
      </c>
      <c r="D566">
        <v>0.97734584819899994</v>
      </c>
      <c r="E566">
        <v>5.2380000000000004</v>
      </c>
    </row>
    <row r="567" spans="1:5">
      <c r="A567" t="s">
        <v>34808</v>
      </c>
      <c r="B567" t="s">
        <v>9091</v>
      </c>
      <c r="C567">
        <f>0</f>
        <v>0</v>
      </c>
      <c r="D567">
        <v>0.97734584819899994</v>
      </c>
      <c r="E567">
        <v>5.2380000000000004</v>
      </c>
    </row>
    <row r="568" spans="1:5">
      <c r="A568" t="s">
        <v>34808</v>
      </c>
      <c r="B568" t="s">
        <v>9095</v>
      </c>
      <c r="C568">
        <f>0</f>
        <v>0</v>
      </c>
      <c r="D568">
        <v>0.97734584819899994</v>
      </c>
      <c r="E568">
        <v>5.2380000000000004</v>
      </c>
    </row>
    <row r="569" spans="1:5">
      <c r="A569" t="s">
        <v>34808</v>
      </c>
      <c r="B569" t="s">
        <v>9092</v>
      </c>
      <c r="C569">
        <v>4.9882606070899996E-4</v>
      </c>
      <c r="D569">
        <v>0.97734584819899994</v>
      </c>
      <c r="E569">
        <v>5.2380000000000004</v>
      </c>
    </row>
    <row r="570" spans="1:5">
      <c r="A570" t="s">
        <v>34808</v>
      </c>
      <c r="B570" t="s">
        <v>9093</v>
      </c>
      <c r="C570">
        <v>2.4586340615999999E-2</v>
      </c>
      <c r="D570">
        <v>0.97734584819899994</v>
      </c>
      <c r="E570">
        <v>5.2380000000000004</v>
      </c>
    </row>
    <row r="571" spans="1:5">
      <c r="A571" t="s">
        <v>34808</v>
      </c>
      <c r="B571" t="s">
        <v>9094</v>
      </c>
      <c r="C571">
        <v>0.69506359242500004</v>
      </c>
      <c r="D571">
        <v>0.97734584819899994</v>
      </c>
      <c r="E571">
        <v>5.2380000000000004</v>
      </c>
    </row>
    <row r="572" spans="1:5">
      <c r="A572" t="s">
        <v>34808</v>
      </c>
      <c r="B572" t="s">
        <v>9097</v>
      </c>
      <c r="C572">
        <f>0</f>
        <v>0</v>
      </c>
      <c r="D572">
        <v>0.97734584819899994</v>
      </c>
      <c r="E572">
        <v>5.2380000000000004</v>
      </c>
    </row>
    <row r="573" spans="1:5">
      <c r="A573" t="s">
        <v>34809</v>
      </c>
      <c r="B573" t="s">
        <v>18934</v>
      </c>
      <c r="C573">
        <f>0.608812869371</f>
        <v>0.60881286937099999</v>
      </c>
      <c r="D573">
        <v>0.88672179246100002</v>
      </c>
      <c r="E573">
        <v>0.73799999999999999</v>
      </c>
    </row>
    <row r="574" spans="1:5">
      <c r="A574" t="s">
        <v>34809</v>
      </c>
      <c r="B574" t="s">
        <v>18937</v>
      </c>
      <c r="C574">
        <v>0.17173431757999999</v>
      </c>
      <c r="D574">
        <v>0.88672179246100002</v>
      </c>
      <c r="E574">
        <v>0.73799999999999999</v>
      </c>
    </row>
    <row r="575" spans="1:5">
      <c r="A575" t="s">
        <v>34809</v>
      </c>
      <c r="B575" t="s">
        <v>18936</v>
      </c>
      <c r="C575">
        <f>0.794553562148</f>
        <v>0.79455356214799999</v>
      </c>
      <c r="D575">
        <v>0.88672179246100002</v>
      </c>
      <c r="E575">
        <v>0.73799999999999999</v>
      </c>
    </row>
    <row r="576" spans="1:5">
      <c r="A576" t="s">
        <v>34810</v>
      </c>
      <c r="B576" t="s">
        <v>34811</v>
      </c>
      <c r="C576">
        <f>0</f>
        <v>0</v>
      </c>
      <c r="D576">
        <v>0.79396295618799995</v>
      </c>
      <c r="E576">
        <v>23.52</v>
      </c>
    </row>
    <row r="577" spans="1:5">
      <c r="A577" t="s">
        <v>34810</v>
      </c>
      <c r="B577" t="s">
        <v>34812</v>
      </c>
      <c r="C577">
        <v>0.23175666665799999</v>
      </c>
      <c r="D577">
        <v>0.79396295618799995</v>
      </c>
      <c r="E577">
        <v>23.52</v>
      </c>
    </row>
    <row r="578" spans="1:5">
      <c r="A578" t="s">
        <v>34810</v>
      </c>
      <c r="B578" t="s">
        <v>34813</v>
      </c>
      <c r="C578">
        <v>0.43919381152600001</v>
      </c>
      <c r="D578">
        <v>0.79396295618799995</v>
      </c>
      <c r="E578">
        <v>23.52</v>
      </c>
    </row>
    <row r="579" spans="1:5">
      <c r="A579" t="s">
        <v>34814</v>
      </c>
      <c r="B579" t="s">
        <v>20807</v>
      </c>
      <c r="C579">
        <v>0</v>
      </c>
      <c r="D579">
        <v>0.90792891725699998</v>
      </c>
      <c r="E579">
        <v>3.1379999999999999</v>
      </c>
    </row>
    <row r="580" spans="1:5">
      <c r="A580" t="s">
        <v>34814</v>
      </c>
      <c r="B580" t="s">
        <v>20816</v>
      </c>
      <c r="C580">
        <v>0.69670386929100003</v>
      </c>
      <c r="D580">
        <v>0.90792891725699998</v>
      </c>
      <c r="E580">
        <v>3.1379999999999999</v>
      </c>
    </row>
    <row r="581" spans="1:5">
      <c r="A581" t="s">
        <v>34814</v>
      </c>
      <c r="B581" t="s">
        <v>20815</v>
      </c>
      <c r="C581">
        <v>0.42923149517499998</v>
      </c>
      <c r="D581">
        <v>0.90792891725699998</v>
      </c>
      <c r="E581">
        <v>3.1379999999999999</v>
      </c>
    </row>
    <row r="582" spans="1:5">
      <c r="A582" t="s">
        <v>34815</v>
      </c>
      <c r="B582" t="s">
        <v>34816</v>
      </c>
      <c r="C582">
        <v>0.82964846235800005</v>
      </c>
      <c r="D582">
        <v>0.845675972858</v>
      </c>
      <c r="E582">
        <v>24</v>
      </c>
    </row>
    <row r="583" spans="1:5">
      <c r="A583" t="s">
        <v>34815</v>
      </c>
      <c r="B583" t="s">
        <v>34817</v>
      </c>
      <c r="C583">
        <f>0.359512128416</f>
        <v>0.359512128416</v>
      </c>
      <c r="D583">
        <v>0.845675972858</v>
      </c>
      <c r="E583">
        <v>24</v>
      </c>
    </row>
    <row r="584" spans="1:5">
      <c r="A584" t="s">
        <v>34815</v>
      </c>
      <c r="B584" t="s">
        <v>34818</v>
      </c>
      <c r="C584">
        <v>2.7956670076100001E-2</v>
      </c>
      <c r="D584">
        <v>0.845675972858</v>
      </c>
      <c r="E584">
        <v>24</v>
      </c>
    </row>
    <row r="585" spans="1:5">
      <c r="A585" t="s">
        <v>34815</v>
      </c>
      <c r="B585" t="s">
        <v>34819</v>
      </c>
      <c r="C585">
        <f>0.0227872164052</f>
        <v>2.2787216405200001E-2</v>
      </c>
      <c r="D585">
        <v>0.845675972858</v>
      </c>
      <c r="E585">
        <v>24</v>
      </c>
    </row>
    <row r="586" spans="1:5">
      <c r="A586" t="s">
        <v>34820</v>
      </c>
      <c r="B586" t="s">
        <v>9419</v>
      </c>
      <c r="C586">
        <f>0</f>
        <v>0</v>
      </c>
      <c r="D586" t="s">
        <v>106</v>
      </c>
      <c r="E586">
        <v>0</v>
      </c>
    </row>
    <row r="587" spans="1:5">
      <c r="A587" t="s">
        <v>34820</v>
      </c>
      <c r="B587" t="s">
        <v>9423</v>
      </c>
      <c r="C587">
        <f>0</f>
        <v>0</v>
      </c>
      <c r="D587" t="s">
        <v>106</v>
      </c>
      <c r="E587">
        <v>0</v>
      </c>
    </row>
    <row r="588" spans="1:5">
      <c r="A588" t="s">
        <v>34820</v>
      </c>
      <c r="B588" t="s">
        <v>9422</v>
      </c>
      <c r="C588">
        <v>0</v>
      </c>
      <c r="D588" t="s">
        <v>106</v>
      </c>
      <c r="E588">
        <v>0</v>
      </c>
    </row>
    <row r="589" spans="1:5">
      <c r="A589" t="s">
        <v>34820</v>
      </c>
      <c r="B589" t="s">
        <v>9421</v>
      </c>
      <c r="C589">
        <f>0</f>
        <v>0</v>
      </c>
      <c r="D589" t="s">
        <v>106</v>
      </c>
      <c r="E589">
        <v>0</v>
      </c>
    </row>
    <row r="590" spans="1:5">
      <c r="A590" t="s">
        <v>34821</v>
      </c>
      <c r="B590" t="s">
        <v>11550</v>
      </c>
      <c r="C590">
        <v>0</v>
      </c>
      <c r="D590" t="s">
        <v>106</v>
      </c>
      <c r="E590">
        <v>11.874000000000001</v>
      </c>
    </row>
    <row r="591" spans="1:5">
      <c r="A591" t="s">
        <v>34821</v>
      </c>
      <c r="B591" t="s">
        <v>11552</v>
      </c>
      <c r="C591">
        <v>0</v>
      </c>
      <c r="D591" t="s">
        <v>106</v>
      </c>
      <c r="E591">
        <v>11.874000000000001</v>
      </c>
    </row>
    <row r="592" spans="1:5">
      <c r="A592" t="s">
        <v>34822</v>
      </c>
      <c r="B592" t="s">
        <v>34823</v>
      </c>
      <c r="C592">
        <v>0.92033997236599996</v>
      </c>
      <c r="D592">
        <v>0.97457565447700001</v>
      </c>
      <c r="E592">
        <v>1.698</v>
      </c>
    </row>
    <row r="593" spans="1:5">
      <c r="A593" t="s">
        <v>34822</v>
      </c>
      <c r="B593" t="s">
        <v>34824</v>
      </c>
      <c r="C593">
        <v>1.24623509742</v>
      </c>
      <c r="D593">
        <v>0.97457565447700001</v>
      </c>
      <c r="E593">
        <v>1.698</v>
      </c>
    </row>
    <row r="594" spans="1:5">
      <c r="A594" t="s">
        <v>34822</v>
      </c>
      <c r="B594" t="s">
        <v>34825</v>
      </c>
      <c r="C594">
        <f>0.779283870036</f>
        <v>0.77928387003599997</v>
      </c>
      <c r="D594">
        <v>0.97457565447700001</v>
      </c>
      <c r="E594">
        <v>1.698</v>
      </c>
    </row>
    <row r="595" spans="1:5">
      <c r="A595" t="s">
        <v>34826</v>
      </c>
      <c r="B595" t="s">
        <v>20541</v>
      </c>
      <c r="C595">
        <f>0</f>
        <v>0</v>
      </c>
      <c r="D595" t="s">
        <v>106</v>
      </c>
      <c r="E595">
        <v>24</v>
      </c>
    </row>
    <row r="596" spans="1:5">
      <c r="A596" t="s">
        <v>34826</v>
      </c>
      <c r="B596" t="s">
        <v>20544</v>
      </c>
      <c r="C596">
        <v>0</v>
      </c>
      <c r="D596" t="s">
        <v>106</v>
      </c>
      <c r="E596">
        <v>24</v>
      </c>
    </row>
    <row r="597" spans="1:5">
      <c r="A597" t="s">
        <v>34826</v>
      </c>
      <c r="B597" t="s">
        <v>20540</v>
      </c>
      <c r="C597">
        <f>0</f>
        <v>0</v>
      </c>
      <c r="D597" t="s">
        <v>106</v>
      </c>
      <c r="E597">
        <v>24</v>
      </c>
    </row>
    <row r="598" spans="1:5">
      <c r="A598" t="s">
        <v>34826</v>
      </c>
      <c r="B598" t="s">
        <v>34827</v>
      </c>
      <c r="C598">
        <v>0</v>
      </c>
      <c r="D598" t="s">
        <v>106</v>
      </c>
      <c r="E598">
        <v>24</v>
      </c>
    </row>
    <row r="599" spans="1:5">
      <c r="A599" t="s">
        <v>34828</v>
      </c>
      <c r="B599" t="s">
        <v>34829</v>
      </c>
      <c r="C599">
        <v>0</v>
      </c>
      <c r="D599">
        <v>0.85026050384100005</v>
      </c>
      <c r="E599">
        <v>0</v>
      </c>
    </row>
    <row r="600" spans="1:5">
      <c r="A600" t="s">
        <v>34828</v>
      </c>
      <c r="B600" t="s">
        <v>34830</v>
      </c>
      <c r="C600">
        <f>0</f>
        <v>0</v>
      </c>
      <c r="D600">
        <v>0.85026050384100005</v>
      </c>
      <c r="E600">
        <v>0</v>
      </c>
    </row>
    <row r="601" spans="1:5">
      <c r="A601" t="s">
        <v>34828</v>
      </c>
      <c r="B601" t="s">
        <v>34831</v>
      </c>
      <c r="C601">
        <v>0</v>
      </c>
      <c r="D601">
        <v>0.85026050384100005</v>
      </c>
      <c r="E601">
        <v>0</v>
      </c>
    </row>
    <row r="602" spans="1:5">
      <c r="A602" t="s">
        <v>34828</v>
      </c>
      <c r="B602" t="s">
        <v>34832</v>
      </c>
      <c r="C602">
        <f>0</f>
        <v>0</v>
      </c>
      <c r="D602">
        <v>0.85026050384100005</v>
      </c>
      <c r="E602">
        <v>0</v>
      </c>
    </row>
    <row r="603" spans="1:5">
      <c r="A603" t="s">
        <v>34828</v>
      </c>
      <c r="B603" t="s">
        <v>34833</v>
      </c>
      <c r="C603">
        <v>0.53852401404100003</v>
      </c>
      <c r="D603">
        <v>0.85026050384100005</v>
      </c>
      <c r="E603">
        <v>0</v>
      </c>
    </row>
    <row r="604" spans="1:5">
      <c r="A604" t="s">
        <v>34828</v>
      </c>
      <c r="B604" t="s">
        <v>34834</v>
      </c>
      <c r="C604">
        <v>0.16716550354099999</v>
      </c>
      <c r="D604">
        <v>0.85026050384100005</v>
      </c>
      <c r="E604">
        <v>0</v>
      </c>
    </row>
    <row r="605" spans="1:5">
      <c r="A605" t="s">
        <v>34835</v>
      </c>
      <c r="B605" t="s">
        <v>246</v>
      </c>
      <c r="C605">
        <f>0</f>
        <v>0</v>
      </c>
      <c r="D605" t="s">
        <v>106</v>
      </c>
      <c r="E605">
        <v>24</v>
      </c>
    </row>
    <row r="606" spans="1:5">
      <c r="A606" t="s">
        <v>34835</v>
      </c>
      <c r="B606" t="s">
        <v>247</v>
      </c>
      <c r="C606">
        <f>0</f>
        <v>0</v>
      </c>
      <c r="D606" t="s">
        <v>106</v>
      </c>
      <c r="E606">
        <v>24</v>
      </c>
    </row>
    <row r="607" spans="1:5">
      <c r="A607" t="s">
        <v>34836</v>
      </c>
      <c r="B607" t="s">
        <v>34837</v>
      </c>
      <c r="C607">
        <f>0.0700644655069</f>
        <v>7.0064465506900001E-2</v>
      </c>
      <c r="D607">
        <v>0.73638318539900005</v>
      </c>
      <c r="E607">
        <v>4.0739999999999998</v>
      </c>
    </row>
    <row r="608" spans="1:5">
      <c r="A608" t="s">
        <v>34836</v>
      </c>
      <c r="B608" t="s">
        <v>34838</v>
      </c>
      <c r="C608">
        <v>0.33409623485599999</v>
      </c>
      <c r="D608">
        <v>0.73638318539900005</v>
      </c>
      <c r="E608">
        <v>4.0739999999999998</v>
      </c>
    </row>
    <row r="609" spans="1:5">
      <c r="A609" t="s">
        <v>34836</v>
      </c>
      <c r="B609" t="s">
        <v>34839</v>
      </c>
      <c r="C609">
        <v>0</v>
      </c>
      <c r="D609">
        <v>0.73638318539900005</v>
      </c>
      <c r="E609">
        <v>4.0739999999999998</v>
      </c>
    </row>
    <row r="610" spans="1:5">
      <c r="A610" t="s">
        <v>34836</v>
      </c>
      <c r="B610" t="s">
        <v>34840</v>
      </c>
      <c r="C610">
        <v>0</v>
      </c>
      <c r="D610">
        <v>0.73638318539900005</v>
      </c>
      <c r="E610">
        <v>4.0739999999999998</v>
      </c>
    </row>
    <row r="611" spans="1:5">
      <c r="A611" t="s">
        <v>34836</v>
      </c>
      <c r="B611" t="s">
        <v>34841</v>
      </c>
      <c r="C611">
        <v>0</v>
      </c>
      <c r="D611">
        <v>0.73638318539900005</v>
      </c>
      <c r="E611">
        <v>4.0739999999999998</v>
      </c>
    </row>
    <row r="612" spans="1:5">
      <c r="A612" t="s">
        <v>34836</v>
      </c>
      <c r="B612" t="s">
        <v>34842</v>
      </c>
      <c r="C612">
        <f>0</f>
        <v>0</v>
      </c>
      <c r="D612">
        <v>0.73638318539900005</v>
      </c>
      <c r="E612">
        <v>4.0739999999999998</v>
      </c>
    </row>
    <row r="613" spans="1:5">
      <c r="A613" t="s">
        <v>34836</v>
      </c>
      <c r="B613" t="s">
        <v>34843</v>
      </c>
      <c r="C613">
        <v>0.27343688124299997</v>
      </c>
      <c r="D613">
        <v>0.73638318539900005</v>
      </c>
      <c r="E613">
        <v>4.0739999999999998</v>
      </c>
    </row>
    <row r="614" spans="1:5">
      <c r="A614" t="s">
        <v>34844</v>
      </c>
      <c r="B614" t="s">
        <v>34845</v>
      </c>
      <c r="C614">
        <v>0.69849926631799997</v>
      </c>
      <c r="D614">
        <v>0.95194573778900005</v>
      </c>
      <c r="E614">
        <v>24</v>
      </c>
    </row>
    <row r="615" spans="1:5">
      <c r="A615" t="s">
        <v>34844</v>
      </c>
      <c r="B615" t="s">
        <v>34846</v>
      </c>
      <c r="C615">
        <v>1.3747013329</v>
      </c>
      <c r="D615">
        <v>0.95194573778900005</v>
      </c>
      <c r="E615">
        <v>24</v>
      </c>
    </row>
    <row r="616" spans="1:5">
      <c r="A616" t="s">
        <v>34844</v>
      </c>
      <c r="B616" t="s">
        <v>34847</v>
      </c>
      <c r="C616">
        <f>0.117245770994</f>
        <v>0.11724577099400001</v>
      </c>
      <c r="D616">
        <v>0.95194573778900005</v>
      </c>
      <c r="E616">
        <v>24</v>
      </c>
    </row>
    <row r="617" spans="1:5">
      <c r="A617" t="s">
        <v>34848</v>
      </c>
      <c r="B617" t="s">
        <v>34849</v>
      </c>
      <c r="C617">
        <v>0</v>
      </c>
      <c r="D617" t="s">
        <v>106</v>
      </c>
      <c r="E617">
        <v>24</v>
      </c>
    </row>
    <row r="618" spans="1:5">
      <c r="A618" t="s">
        <v>34848</v>
      </c>
      <c r="B618" t="s">
        <v>34850</v>
      </c>
      <c r="C618">
        <f>0</f>
        <v>0</v>
      </c>
      <c r="D618" t="s">
        <v>106</v>
      </c>
      <c r="E618">
        <v>24</v>
      </c>
    </row>
    <row r="619" spans="1:5">
      <c r="A619" t="s">
        <v>34851</v>
      </c>
      <c r="B619" t="s">
        <v>34852</v>
      </c>
      <c r="C619">
        <v>0</v>
      </c>
      <c r="D619" t="s">
        <v>106</v>
      </c>
      <c r="E619">
        <v>16.896000000000001</v>
      </c>
    </row>
    <row r="620" spans="1:5">
      <c r="A620" t="s">
        <v>34851</v>
      </c>
      <c r="B620" t="s">
        <v>34853</v>
      </c>
      <c r="C620">
        <v>0</v>
      </c>
      <c r="D620" t="s">
        <v>106</v>
      </c>
      <c r="E620">
        <v>16.896000000000001</v>
      </c>
    </row>
    <row r="621" spans="1:5">
      <c r="A621" t="s">
        <v>34851</v>
      </c>
      <c r="B621" t="s">
        <v>34854</v>
      </c>
      <c r="C621">
        <v>0</v>
      </c>
      <c r="D621" t="s">
        <v>106</v>
      </c>
      <c r="E621">
        <v>16.896000000000001</v>
      </c>
    </row>
    <row r="622" spans="1:5">
      <c r="A622" t="s">
        <v>34855</v>
      </c>
      <c r="B622" t="s">
        <v>15205</v>
      </c>
      <c r="C622">
        <v>0.81774853504800005</v>
      </c>
      <c r="D622">
        <v>0.90142630158799997</v>
      </c>
      <c r="E622">
        <v>9.0180000000000007</v>
      </c>
    </row>
    <row r="623" spans="1:5">
      <c r="A623" t="s">
        <v>34855</v>
      </c>
      <c r="B623" t="s">
        <v>15206</v>
      </c>
      <c r="C623">
        <v>0.98646710811799998</v>
      </c>
      <c r="D623">
        <v>0.90142630158799997</v>
      </c>
      <c r="E623">
        <v>9.0180000000000007</v>
      </c>
    </row>
    <row r="624" spans="1:5">
      <c r="A624" t="s">
        <v>34856</v>
      </c>
      <c r="B624" t="s">
        <v>10333</v>
      </c>
      <c r="C624">
        <f>0</f>
        <v>0</v>
      </c>
      <c r="D624" t="s">
        <v>106</v>
      </c>
      <c r="E624">
        <v>3.6840000000000002</v>
      </c>
    </row>
    <row r="625" spans="1:5">
      <c r="A625" t="s">
        <v>34856</v>
      </c>
      <c r="B625" t="s">
        <v>10337</v>
      </c>
      <c r="C625">
        <f>0</f>
        <v>0</v>
      </c>
      <c r="D625" t="s">
        <v>106</v>
      </c>
      <c r="E625">
        <v>3.6840000000000002</v>
      </c>
    </row>
    <row r="626" spans="1:5">
      <c r="A626" t="s">
        <v>34857</v>
      </c>
      <c r="B626" t="s">
        <v>34858</v>
      </c>
      <c r="C626">
        <v>0.215863242092</v>
      </c>
      <c r="D626">
        <v>0.89773236154000002</v>
      </c>
      <c r="E626">
        <v>2.718</v>
      </c>
    </row>
    <row r="627" spans="1:5">
      <c r="A627" t="s">
        <v>34857</v>
      </c>
      <c r="B627" t="s">
        <v>34859</v>
      </c>
      <c r="C627">
        <f>0</f>
        <v>0</v>
      </c>
      <c r="D627">
        <v>0.89773236154000002</v>
      </c>
      <c r="E627">
        <v>2.718</v>
      </c>
    </row>
    <row r="628" spans="1:5">
      <c r="A628" t="s">
        <v>34857</v>
      </c>
      <c r="B628" t="s">
        <v>34860</v>
      </c>
      <c r="C628">
        <f>0</f>
        <v>0</v>
      </c>
      <c r="D628">
        <v>0.89773236154000002</v>
      </c>
      <c r="E628">
        <v>2.718</v>
      </c>
    </row>
    <row r="629" spans="1:5">
      <c r="A629" t="s">
        <v>34857</v>
      </c>
      <c r="B629" t="s">
        <v>34861</v>
      </c>
      <c r="C629">
        <v>0</v>
      </c>
      <c r="D629">
        <v>0.89773236154000002</v>
      </c>
      <c r="E629">
        <v>2.718</v>
      </c>
    </row>
    <row r="630" spans="1:5">
      <c r="A630" t="s">
        <v>34857</v>
      </c>
      <c r="B630" t="s">
        <v>34862</v>
      </c>
      <c r="C630">
        <v>0</v>
      </c>
      <c r="D630">
        <v>0.89773236154000002</v>
      </c>
      <c r="E630">
        <v>2.718</v>
      </c>
    </row>
    <row r="631" spans="1:5">
      <c r="A631" t="s">
        <v>34857</v>
      </c>
      <c r="B631" t="s">
        <v>34863</v>
      </c>
      <c r="C631">
        <v>0</v>
      </c>
      <c r="D631">
        <v>0.89773236154000002</v>
      </c>
      <c r="E631">
        <v>2.718</v>
      </c>
    </row>
    <row r="632" spans="1:5">
      <c r="A632" t="s">
        <v>34857</v>
      </c>
      <c r="B632" t="s">
        <v>34864</v>
      </c>
      <c r="C632">
        <v>0.617110947769</v>
      </c>
      <c r="D632">
        <v>0.89773236154000002</v>
      </c>
      <c r="E632">
        <v>2.718</v>
      </c>
    </row>
    <row r="633" spans="1:5">
      <c r="A633" t="s">
        <v>34865</v>
      </c>
      <c r="B633" t="s">
        <v>2209</v>
      </c>
      <c r="C633">
        <f>0</f>
        <v>0</v>
      </c>
      <c r="D633">
        <v>0.81528145828900001</v>
      </c>
      <c r="E633">
        <v>24</v>
      </c>
    </row>
    <row r="634" spans="1:5">
      <c r="A634" t="s">
        <v>34865</v>
      </c>
      <c r="B634" t="s">
        <v>2210</v>
      </c>
      <c r="C634">
        <v>0</v>
      </c>
      <c r="D634">
        <v>0.81528145828900001</v>
      </c>
      <c r="E634">
        <v>24</v>
      </c>
    </row>
    <row r="635" spans="1:5">
      <c r="A635" t="s">
        <v>34865</v>
      </c>
      <c r="B635" t="s">
        <v>2212</v>
      </c>
      <c r="C635">
        <v>0.27464460380099998</v>
      </c>
      <c r="D635">
        <v>0.81528145828900001</v>
      </c>
      <c r="E635">
        <v>24</v>
      </c>
    </row>
    <row r="636" spans="1:5">
      <c r="A636" t="s">
        <v>34865</v>
      </c>
      <c r="B636" t="s">
        <v>2213</v>
      </c>
      <c r="C636">
        <v>0.41423559578699998</v>
      </c>
      <c r="D636">
        <v>0.81528145828900001</v>
      </c>
      <c r="E636">
        <v>24</v>
      </c>
    </row>
    <row r="637" spans="1:5">
      <c r="A637" t="s">
        <v>34865</v>
      </c>
      <c r="B637" t="s">
        <v>2214</v>
      </c>
      <c r="C637">
        <v>0</v>
      </c>
      <c r="D637">
        <v>0.81528145828900001</v>
      </c>
      <c r="E637">
        <v>24</v>
      </c>
    </row>
    <row r="638" spans="1:5">
      <c r="A638" t="s">
        <v>34865</v>
      </c>
      <c r="B638" t="s">
        <v>2211</v>
      </c>
      <c r="C638">
        <v>0</v>
      </c>
      <c r="D638">
        <v>0.81528145828900001</v>
      </c>
      <c r="E638">
        <v>24</v>
      </c>
    </row>
    <row r="639" spans="1:5">
      <c r="A639" t="s">
        <v>34866</v>
      </c>
      <c r="B639" t="s">
        <v>34867</v>
      </c>
      <c r="C639">
        <f>0.302376421706</f>
        <v>0.30237642170599999</v>
      </c>
      <c r="D639">
        <v>0.91479742348899995</v>
      </c>
      <c r="E639">
        <v>23.754000000000001</v>
      </c>
    </row>
    <row r="640" spans="1:5">
      <c r="A640" t="s">
        <v>34866</v>
      </c>
      <c r="B640" t="s">
        <v>34868</v>
      </c>
      <c r="C640">
        <f>0.194777785749</f>
        <v>0.19477778574900001</v>
      </c>
      <c r="D640">
        <v>0.91479742348899995</v>
      </c>
      <c r="E640">
        <v>23.754000000000001</v>
      </c>
    </row>
    <row r="641" spans="1:5">
      <c r="A641" t="s">
        <v>34866</v>
      </c>
      <c r="B641" t="s">
        <v>34869</v>
      </c>
      <c r="C641">
        <f>0.868169761151</f>
        <v>0.86816976115099997</v>
      </c>
      <c r="D641">
        <v>0.91479742348899995</v>
      </c>
      <c r="E641">
        <v>23.754000000000001</v>
      </c>
    </row>
    <row r="642" spans="1:5">
      <c r="A642" t="s">
        <v>34870</v>
      </c>
      <c r="B642" t="s">
        <v>27510</v>
      </c>
      <c r="C642">
        <v>0</v>
      </c>
      <c r="D642" t="s">
        <v>106</v>
      </c>
      <c r="E642">
        <v>1.6379999999999999</v>
      </c>
    </row>
    <row r="643" spans="1:5">
      <c r="A643" t="s">
        <v>34870</v>
      </c>
      <c r="B643" t="s">
        <v>27512</v>
      </c>
      <c r="C643">
        <v>0</v>
      </c>
      <c r="D643" t="s">
        <v>106</v>
      </c>
      <c r="E643">
        <v>1.6379999999999999</v>
      </c>
    </row>
    <row r="644" spans="1:5">
      <c r="A644" t="s">
        <v>34870</v>
      </c>
      <c r="B644" t="s">
        <v>27513</v>
      </c>
      <c r="C644">
        <v>0</v>
      </c>
      <c r="D644" t="s">
        <v>106</v>
      </c>
      <c r="E644">
        <v>1.6379999999999999</v>
      </c>
    </row>
    <row r="645" spans="1:5">
      <c r="A645" t="s">
        <v>34870</v>
      </c>
      <c r="B645" t="s">
        <v>27508</v>
      </c>
      <c r="C645">
        <v>0</v>
      </c>
      <c r="D645" t="s">
        <v>106</v>
      </c>
      <c r="E645">
        <v>1.6379999999999999</v>
      </c>
    </row>
    <row r="646" spans="1:5">
      <c r="A646" t="s">
        <v>34871</v>
      </c>
      <c r="B646" t="s">
        <v>21444</v>
      </c>
      <c r="C646">
        <v>0</v>
      </c>
      <c r="D646">
        <v>0.93749366967500003</v>
      </c>
      <c r="E646">
        <v>6.9359999999999999</v>
      </c>
    </row>
    <row r="647" spans="1:5">
      <c r="A647" t="s">
        <v>34871</v>
      </c>
      <c r="B647" t="s">
        <v>21454</v>
      </c>
      <c r="C647">
        <f>0.282252998878</f>
        <v>0.28225299887799998</v>
      </c>
      <c r="D647">
        <v>0.93749366967500003</v>
      </c>
      <c r="E647">
        <v>6.9359999999999999</v>
      </c>
    </row>
    <row r="648" spans="1:5">
      <c r="A648" t="s">
        <v>34871</v>
      </c>
      <c r="B648" t="s">
        <v>21446</v>
      </c>
      <c r="C648">
        <v>0.715420028333</v>
      </c>
      <c r="D648">
        <v>0.93749366967500003</v>
      </c>
      <c r="E648">
        <v>6.9359999999999999</v>
      </c>
    </row>
    <row r="649" spans="1:5">
      <c r="A649" t="s">
        <v>34871</v>
      </c>
      <c r="B649" t="s">
        <v>21448</v>
      </c>
      <c r="C649">
        <f>0</f>
        <v>0</v>
      </c>
      <c r="D649">
        <v>0.93749366967500003</v>
      </c>
      <c r="E649">
        <v>6.9359999999999999</v>
      </c>
    </row>
    <row r="650" spans="1:5">
      <c r="A650" t="s">
        <v>34871</v>
      </c>
      <c r="B650" t="s">
        <v>34872</v>
      </c>
      <c r="C650">
        <f>0.18058490762</f>
        <v>0.18058490762000001</v>
      </c>
      <c r="D650">
        <v>0.93749366967500003</v>
      </c>
      <c r="E650">
        <v>6.9359999999999999</v>
      </c>
    </row>
    <row r="651" spans="1:5">
      <c r="A651" t="s">
        <v>34871</v>
      </c>
      <c r="B651" t="s">
        <v>21452</v>
      </c>
      <c r="C651">
        <f>0</f>
        <v>0</v>
      </c>
      <c r="D651">
        <v>0.93749366967500003</v>
      </c>
      <c r="E651">
        <v>6.9359999999999999</v>
      </c>
    </row>
    <row r="652" spans="1:5">
      <c r="A652" t="s">
        <v>34871</v>
      </c>
      <c r="B652" t="s">
        <v>21451</v>
      </c>
      <c r="C652">
        <f>0</f>
        <v>0</v>
      </c>
      <c r="D652">
        <v>0.93749366967500003</v>
      </c>
      <c r="E652">
        <v>6.9359999999999999</v>
      </c>
    </row>
    <row r="653" spans="1:5">
      <c r="A653" t="s">
        <v>34871</v>
      </c>
      <c r="B653" t="s">
        <v>21459</v>
      </c>
      <c r="C653">
        <f>0</f>
        <v>0</v>
      </c>
      <c r="D653">
        <v>0.93749366967500003</v>
      </c>
      <c r="E653">
        <v>6.9359999999999999</v>
      </c>
    </row>
    <row r="654" spans="1:5">
      <c r="A654" t="s">
        <v>34871</v>
      </c>
      <c r="B654" t="s">
        <v>21447</v>
      </c>
      <c r="C654">
        <v>2.4280951962099999E-2</v>
      </c>
      <c r="D654">
        <v>0.93749366967500003</v>
      </c>
      <c r="E654">
        <v>6.9359999999999999</v>
      </c>
    </row>
    <row r="655" spans="1:5">
      <c r="A655" t="s">
        <v>34871</v>
      </c>
      <c r="B655" t="s">
        <v>21460</v>
      </c>
      <c r="C655">
        <f>0</f>
        <v>0</v>
      </c>
      <c r="D655">
        <v>0.93749366967500003</v>
      </c>
      <c r="E655">
        <v>6.9359999999999999</v>
      </c>
    </row>
    <row r="656" spans="1:5">
      <c r="A656" t="s">
        <v>34873</v>
      </c>
      <c r="B656" t="s">
        <v>34874</v>
      </c>
      <c r="C656">
        <v>0</v>
      </c>
      <c r="D656" t="s">
        <v>106</v>
      </c>
      <c r="E656">
        <v>7.2</v>
      </c>
    </row>
    <row r="657" spans="1:5">
      <c r="A657" t="s">
        <v>34873</v>
      </c>
      <c r="B657" t="s">
        <v>34875</v>
      </c>
      <c r="C657">
        <f>0</f>
        <v>0</v>
      </c>
      <c r="D657" t="s">
        <v>106</v>
      </c>
      <c r="E657">
        <v>7.2</v>
      </c>
    </row>
    <row r="658" spans="1:5">
      <c r="A658" t="s">
        <v>34876</v>
      </c>
      <c r="B658" t="s">
        <v>34877</v>
      </c>
      <c r="C658">
        <v>0.36963156732300001</v>
      </c>
      <c r="D658">
        <v>0.83541521072299996</v>
      </c>
      <c r="E658">
        <v>4.8</v>
      </c>
    </row>
    <row r="659" spans="1:5">
      <c r="A659" t="s">
        <v>34876</v>
      </c>
      <c r="B659" t="s">
        <v>34878</v>
      </c>
      <c r="C659">
        <v>0.61782624235000005</v>
      </c>
      <c r="D659">
        <v>0.83541521072299996</v>
      </c>
      <c r="E659">
        <v>4.8</v>
      </c>
    </row>
    <row r="660" spans="1:5">
      <c r="A660" t="s">
        <v>34876</v>
      </c>
      <c r="B660" t="s">
        <v>34879</v>
      </c>
      <c r="C660">
        <f>0.244760690459</f>
        <v>0.24476069045900001</v>
      </c>
      <c r="D660">
        <v>0.83541521072299996</v>
      </c>
      <c r="E660">
        <v>4.8</v>
      </c>
    </row>
    <row r="661" spans="1:5">
      <c r="A661" t="s">
        <v>34880</v>
      </c>
      <c r="B661" t="s">
        <v>14999</v>
      </c>
      <c r="C661">
        <v>0</v>
      </c>
      <c r="D661">
        <v>0.79280031356500003</v>
      </c>
      <c r="E661">
        <v>0.15</v>
      </c>
    </row>
    <row r="662" spans="1:5">
      <c r="A662" t="s">
        <v>34880</v>
      </c>
      <c r="B662" t="s">
        <v>15003</v>
      </c>
      <c r="C662">
        <v>4.9716323610299998E-2</v>
      </c>
      <c r="D662">
        <v>0.79280031356500003</v>
      </c>
      <c r="E662">
        <v>0.15</v>
      </c>
    </row>
    <row r="663" spans="1:5">
      <c r="A663" t="s">
        <v>34880</v>
      </c>
      <c r="B663" t="s">
        <v>15001</v>
      </c>
      <c r="C663">
        <v>0.56824398235600004</v>
      </c>
      <c r="D663">
        <v>0.79280031356500003</v>
      </c>
      <c r="E663">
        <v>0.15</v>
      </c>
    </row>
    <row r="664" spans="1:5">
      <c r="A664" t="s">
        <v>34881</v>
      </c>
      <c r="B664" t="s">
        <v>33460</v>
      </c>
      <c r="C664">
        <f>0</f>
        <v>0</v>
      </c>
      <c r="D664">
        <v>0.80295260820900005</v>
      </c>
      <c r="E664">
        <v>24</v>
      </c>
    </row>
    <row r="665" spans="1:5">
      <c r="A665" t="s">
        <v>34881</v>
      </c>
      <c r="B665" t="s">
        <v>33461</v>
      </c>
      <c r="C665">
        <v>0.442942608209</v>
      </c>
      <c r="D665">
        <v>0.80295260820900005</v>
      </c>
      <c r="E665">
        <v>24</v>
      </c>
    </row>
    <row r="666" spans="1:5">
      <c r="A666" t="s">
        <v>34881</v>
      </c>
      <c r="B666" t="s">
        <v>33462</v>
      </c>
      <c r="C666">
        <v>0</v>
      </c>
      <c r="D666">
        <v>0.80295260820900005</v>
      </c>
      <c r="E666">
        <v>24</v>
      </c>
    </row>
    <row r="667" spans="1:5">
      <c r="A667" t="s">
        <v>34882</v>
      </c>
      <c r="B667" t="s">
        <v>33648</v>
      </c>
      <c r="C667">
        <v>0</v>
      </c>
      <c r="D667" t="s">
        <v>106</v>
      </c>
      <c r="E667">
        <v>24</v>
      </c>
    </row>
    <row r="668" spans="1:5">
      <c r="A668" t="s">
        <v>34882</v>
      </c>
      <c r="B668" t="s">
        <v>33644</v>
      </c>
      <c r="C668">
        <f>0</f>
        <v>0</v>
      </c>
      <c r="D668" t="s">
        <v>106</v>
      </c>
      <c r="E668">
        <v>24</v>
      </c>
    </row>
    <row r="669" spans="1:5">
      <c r="A669" t="s">
        <v>34882</v>
      </c>
      <c r="B669" t="s">
        <v>33645</v>
      </c>
      <c r="C669">
        <v>0</v>
      </c>
      <c r="D669" t="s">
        <v>106</v>
      </c>
      <c r="E669">
        <v>24</v>
      </c>
    </row>
    <row r="670" spans="1:5">
      <c r="A670" t="s">
        <v>34882</v>
      </c>
      <c r="B670" t="s">
        <v>33646</v>
      </c>
      <c r="C670">
        <f>0</f>
        <v>0</v>
      </c>
      <c r="D670" t="s">
        <v>106</v>
      </c>
      <c r="E670">
        <v>24</v>
      </c>
    </row>
    <row r="671" spans="1:5">
      <c r="A671" t="s">
        <v>34883</v>
      </c>
      <c r="B671" t="s">
        <v>28587</v>
      </c>
      <c r="C671">
        <v>0.41035773000600001</v>
      </c>
      <c r="D671">
        <v>0.57981537379799997</v>
      </c>
      <c r="E671">
        <v>0.87</v>
      </c>
    </row>
    <row r="672" spans="1:5">
      <c r="A672" t="s">
        <v>34883</v>
      </c>
      <c r="B672" t="s">
        <v>28589</v>
      </c>
      <c r="C672">
        <f>0.230834473146</f>
        <v>0.230834473146</v>
      </c>
      <c r="D672">
        <v>0.57981537379799997</v>
      </c>
      <c r="E672">
        <v>0.87</v>
      </c>
    </row>
    <row r="673" spans="1:5">
      <c r="A673" t="s">
        <v>34884</v>
      </c>
      <c r="B673" t="s">
        <v>34885</v>
      </c>
      <c r="C673">
        <v>0.508627492066</v>
      </c>
      <c r="D673">
        <v>0.890938610942</v>
      </c>
      <c r="E673">
        <v>2.964</v>
      </c>
    </row>
    <row r="674" spans="1:5">
      <c r="A674" t="s">
        <v>34884</v>
      </c>
      <c r="B674" t="s">
        <v>34886</v>
      </c>
      <c r="C674">
        <v>9.3852223051700004E-2</v>
      </c>
      <c r="D674">
        <v>0.890938610942</v>
      </c>
      <c r="E674">
        <v>2.964</v>
      </c>
    </row>
    <row r="675" spans="1:5">
      <c r="A675" t="s">
        <v>34884</v>
      </c>
      <c r="B675" t="s">
        <v>34887</v>
      </c>
      <c r="C675">
        <v>0.26645603293199999</v>
      </c>
      <c r="D675">
        <v>0.890938610942</v>
      </c>
      <c r="E675">
        <v>2.964</v>
      </c>
    </row>
    <row r="676" spans="1:5">
      <c r="A676" t="s">
        <v>34884</v>
      </c>
      <c r="B676" t="s">
        <v>34888</v>
      </c>
      <c r="C676">
        <v>3.5813080320099999E-2</v>
      </c>
      <c r="D676">
        <v>0.890938610942</v>
      </c>
      <c r="E676">
        <v>2.964</v>
      </c>
    </row>
    <row r="677" spans="1:5">
      <c r="A677" t="s">
        <v>34884</v>
      </c>
      <c r="B677" t="s">
        <v>34889</v>
      </c>
      <c r="C677">
        <v>0</v>
      </c>
      <c r="D677">
        <v>0.890938610942</v>
      </c>
      <c r="E677">
        <v>2.964</v>
      </c>
    </row>
    <row r="678" spans="1:5">
      <c r="A678" t="s">
        <v>34890</v>
      </c>
      <c r="B678" t="s">
        <v>34891</v>
      </c>
      <c r="C678">
        <f>0.587770687065</f>
        <v>0.58777068706500002</v>
      </c>
      <c r="D678">
        <v>0.86760286489100003</v>
      </c>
      <c r="E678">
        <v>1.512</v>
      </c>
    </row>
    <row r="679" spans="1:5">
      <c r="A679" t="s">
        <v>34890</v>
      </c>
      <c r="B679" t="s">
        <v>34892</v>
      </c>
      <c r="C679">
        <f>0.665650241762</f>
        <v>0.66565024176200005</v>
      </c>
      <c r="D679">
        <v>0.86760286489100003</v>
      </c>
      <c r="E679">
        <v>1.512</v>
      </c>
    </row>
    <row r="680" spans="1:5">
      <c r="A680" t="s">
        <v>34893</v>
      </c>
      <c r="B680" t="s">
        <v>34894</v>
      </c>
      <c r="C680">
        <f>0</f>
        <v>0</v>
      </c>
      <c r="D680" t="s">
        <v>106</v>
      </c>
      <c r="E680">
        <v>23.754000000000001</v>
      </c>
    </row>
    <row r="681" spans="1:5">
      <c r="A681" t="s">
        <v>34893</v>
      </c>
      <c r="B681" t="s">
        <v>34895</v>
      </c>
      <c r="C681">
        <v>0</v>
      </c>
      <c r="D681" t="s">
        <v>106</v>
      </c>
      <c r="E681">
        <v>23.754000000000001</v>
      </c>
    </row>
    <row r="682" spans="1:5">
      <c r="A682" t="s">
        <v>34893</v>
      </c>
      <c r="B682" t="s">
        <v>34896</v>
      </c>
      <c r="C682">
        <f>0</f>
        <v>0</v>
      </c>
      <c r="D682" t="s">
        <v>106</v>
      </c>
      <c r="E682">
        <v>23.754000000000001</v>
      </c>
    </row>
    <row r="683" spans="1:5">
      <c r="A683" t="s">
        <v>34893</v>
      </c>
      <c r="B683" t="s">
        <v>34897</v>
      </c>
      <c r="C683">
        <f>0</f>
        <v>0</v>
      </c>
      <c r="D683" t="s">
        <v>106</v>
      </c>
      <c r="E683">
        <v>23.754000000000001</v>
      </c>
    </row>
    <row r="684" spans="1:5">
      <c r="A684" t="s">
        <v>34893</v>
      </c>
      <c r="B684" t="s">
        <v>34898</v>
      </c>
      <c r="C684">
        <v>0</v>
      </c>
      <c r="D684" t="s">
        <v>106</v>
      </c>
      <c r="E684">
        <v>23.754000000000001</v>
      </c>
    </row>
    <row r="685" spans="1:5">
      <c r="A685" t="s">
        <v>34899</v>
      </c>
      <c r="B685" t="s">
        <v>5004</v>
      </c>
      <c r="C685">
        <v>0</v>
      </c>
      <c r="D685" t="s">
        <v>106</v>
      </c>
      <c r="E685">
        <v>0</v>
      </c>
    </row>
    <row r="686" spans="1:5">
      <c r="A686" t="s">
        <v>34899</v>
      </c>
      <c r="B686" t="s">
        <v>5008</v>
      </c>
      <c r="C686">
        <v>0</v>
      </c>
      <c r="D686" t="s">
        <v>106</v>
      </c>
      <c r="E686">
        <v>0</v>
      </c>
    </row>
    <row r="687" spans="1:5">
      <c r="A687" t="s">
        <v>34899</v>
      </c>
      <c r="B687" t="s">
        <v>5007</v>
      </c>
      <c r="C687">
        <v>0</v>
      </c>
      <c r="D687" t="s">
        <v>106</v>
      </c>
      <c r="E687">
        <v>0</v>
      </c>
    </row>
    <row r="688" spans="1:5">
      <c r="A688" t="s">
        <v>34899</v>
      </c>
      <c r="B688" t="s">
        <v>5006</v>
      </c>
      <c r="C688">
        <v>0</v>
      </c>
      <c r="D688" t="s">
        <v>106</v>
      </c>
      <c r="E688">
        <v>0</v>
      </c>
    </row>
    <row r="689" spans="1:5">
      <c r="A689" t="s">
        <v>34899</v>
      </c>
      <c r="B689" t="s">
        <v>5005</v>
      </c>
      <c r="C689">
        <v>0</v>
      </c>
      <c r="D689" t="s">
        <v>106</v>
      </c>
      <c r="E689">
        <v>0</v>
      </c>
    </row>
    <row r="690" spans="1:5">
      <c r="A690" t="s">
        <v>34899</v>
      </c>
      <c r="B690" t="s">
        <v>5009</v>
      </c>
      <c r="C690">
        <v>0</v>
      </c>
      <c r="D690" t="s">
        <v>106</v>
      </c>
      <c r="E690">
        <v>0</v>
      </c>
    </row>
    <row r="691" spans="1:5">
      <c r="A691" t="s">
        <v>34900</v>
      </c>
      <c r="B691" t="s">
        <v>694</v>
      </c>
      <c r="C691">
        <v>0</v>
      </c>
      <c r="D691">
        <v>0.769796428453</v>
      </c>
      <c r="E691">
        <v>9.6180000000000003</v>
      </c>
    </row>
    <row r="692" spans="1:5">
      <c r="A692" t="s">
        <v>34900</v>
      </c>
      <c r="B692" t="s">
        <v>691</v>
      </c>
      <c r="C692">
        <v>0</v>
      </c>
      <c r="D692">
        <v>0.769796428453</v>
      </c>
      <c r="E692">
        <v>9.6180000000000003</v>
      </c>
    </row>
    <row r="693" spans="1:5">
      <c r="A693" t="s">
        <v>34900</v>
      </c>
      <c r="B693" t="s">
        <v>696</v>
      </c>
      <c r="C693">
        <v>0</v>
      </c>
      <c r="D693">
        <v>0.769796428453</v>
      </c>
      <c r="E693">
        <v>9.6180000000000003</v>
      </c>
    </row>
    <row r="694" spans="1:5">
      <c r="A694" t="s">
        <v>34900</v>
      </c>
      <c r="B694" t="s">
        <v>688</v>
      </c>
      <c r="C694">
        <f>0</f>
        <v>0</v>
      </c>
      <c r="D694">
        <v>0.769796428453</v>
      </c>
      <c r="E694">
        <v>9.6180000000000003</v>
      </c>
    </row>
    <row r="695" spans="1:5">
      <c r="A695" t="s">
        <v>34900</v>
      </c>
      <c r="B695" t="s">
        <v>693</v>
      </c>
      <c r="C695">
        <v>0.17963792426</v>
      </c>
      <c r="D695">
        <v>0.769796428453</v>
      </c>
      <c r="E695">
        <v>9.6180000000000003</v>
      </c>
    </row>
    <row r="696" spans="1:5">
      <c r="A696" t="s">
        <v>34900</v>
      </c>
      <c r="B696" t="s">
        <v>689</v>
      </c>
      <c r="C696">
        <v>0.148765222521</v>
      </c>
      <c r="D696">
        <v>0.769796428453</v>
      </c>
      <c r="E696">
        <v>9.6180000000000003</v>
      </c>
    </row>
    <row r="697" spans="1:5">
      <c r="A697" t="s">
        <v>34900</v>
      </c>
      <c r="B697" t="s">
        <v>695</v>
      </c>
      <c r="C697">
        <v>0.34788455933599999</v>
      </c>
      <c r="D697">
        <v>0.769796428453</v>
      </c>
      <c r="E697">
        <v>9.6180000000000003</v>
      </c>
    </row>
    <row r="698" spans="1:5">
      <c r="A698" t="s">
        <v>34901</v>
      </c>
      <c r="B698" t="s">
        <v>34902</v>
      </c>
      <c r="C698">
        <v>0</v>
      </c>
      <c r="D698">
        <v>0.780885050686</v>
      </c>
      <c r="E698">
        <v>0</v>
      </c>
    </row>
    <row r="699" spans="1:5">
      <c r="A699" t="s">
        <v>34901</v>
      </c>
      <c r="B699" t="s">
        <v>34903</v>
      </c>
      <c r="C699">
        <v>0</v>
      </c>
      <c r="D699">
        <v>0.780885050686</v>
      </c>
      <c r="E699">
        <v>0</v>
      </c>
    </row>
    <row r="700" spans="1:5">
      <c r="A700" t="s">
        <v>34901</v>
      </c>
      <c r="B700" t="s">
        <v>34904</v>
      </c>
      <c r="C700">
        <v>0.10944599652000001</v>
      </c>
      <c r="D700">
        <v>0.780885050686</v>
      </c>
      <c r="E700">
        <v>0</v>
      </c>
    </row>
    <row r="701" spans="1:5">
      <c r="A701" t="s">
        <v>34901</v>
      </c>
      <c r="B701" t="s">
        <v>34905</v>
      </c>
      <c r="C701">
        <f>0</f>
        <v>0</v>
      </c>
      <c r="D701">
        <v>0.780885050686</v>
      </c>
      <c r="E701">
        <v>0</v>
      </c>
    </row>
    <row r="702" spans="1:5">
      <c r="A702" t="s">
        <v>34901</v>
      </c>
      <c r="B702" t="s">
        <v>34906</v>
      </c>
      <c r="C702">
        <v>0</v>
      </c>
      <c r="D702">
        <v>0.780885050686</v>
      </c>
      <c r="E702">
        <v>0</v>
      </c>
    </row>
    <row r="703" spans="1:5">
      <c r="A703" t="s">
        <v>34901</v>
      </c>
      <c r="B703" t="s">
        <v>34907</v>
      </c>
      <c r="C703">
        <v>0</v>
      </c>
      <c r="D703">
        <v>0.780885050686</v>
      </c>
      <c r="E703">
        <v>0</v>
      </c>
    </row>
    <row r="704" spans="1:5">
      <c r="A704" t="s">
        <v>34901</v>
      </c>
      <c r="B704" t="s">
        <v>34908</v>
      </c>
      <c r="C704">
        <v>0</v>
      </c>
      <c r="D704">
        <v>0.780885050686</v>
      </c>
      <c r="E704">
        <v>0</v>
      </c>
    </row>
    <row r="705" spans="1:5">
      <c r="A705" t="s">
        <v>34901</v>
      </c>
      <c r="B705" t="s">
        <v>34909</v>
      </c>
      <c r="C705">
        <v>0</v>
      </c>
      <c r="D705">
        <v>0.780885050686</v>
      </c>
      <c r="E705">
        <v>0</v>
      </c>
    </row>
    <row r="706" spans="1:5">
      <c r="A706" t="s">
        <v>34901</v>
      </c>
      <c r="B706" t="s">
        <v>34910</v>
      </c>
      <c r="C706">
        <v>0</v>
      </c>
      <c r="D706">
        <v>0.780885050686</v>
      </c>
      <c r="E706">
        <v>0</v>
      </c>
    </row>
    <row r="707" spans="1:5">
      <c r="A707" t="s">
        <v>34901</v>
      </c>
      <c r="B707" t="s">
        <v>34911</v>
      </c>
      <c r="C707">
        <v>0</v>
      </c>
      <c r="D707">
        <v>0.780885050686</v>
      </c>
      <c r="E707">
        <v>0</v>
      </c>
    </row>
    <row r="708" spans="1:5">
      <c r="A708" t="s">
        <v>34901</v>
      </c>
      <c r="B708" t="s">
        <v>34912</v>
      </c>
      <c r="C708">
        <v>0.49521065709099998</v>
      </c>
      <c r="D708">
        <v>0.780885050686</v>
      </c>
      <c r="E708">
        <v>0</v>
      </c>
    </row>
    <row r="709" spans="1:5">
      <c r="A709" t="s">
        <v>34901</v>
      </c>
      <c r="B709" t="s">
        <v>34913</v>
      </c>
      <c r="C709">
        <v>0</v>
      </c>
      <c r="D709">
        <v>0.780885050686</v>
      </c>
      <c r="E709">
        <v>0</v>
      </c>
    </row>
    <row r="710" spans="1:5">
      <c r="A710" t="s">
        <v>34901</v>
      </c>
      <c r="B710" t="s">
        <v>34914</v>
      </c>
      <c r="C710">
        <v>0</v>
      </c>
      <c r="D710">
        <v>0.780885050686</v>
      </c>
      <c r="E710">
        <v>0</v>
      </c>
    </row>
    <row r="711" spans="1:5">
      <c r="A711" t="s">
        <v>34901</v>
      </c>
      <c r="B711" t="s">
        <v>34915</v>
      </c>
      <c r="C711">
        <v>0</v>
      </c>
      <c r="D711">
        <v>0.780885050686</v>
      </c>
      <c r="E711">
        <v>0</v>
      </c>
    </row>
    <row r="712" spans="1:5">
      <c r="A712" t="s">
        <v>34901</v>
      </c>
      <c r="B712" t="s">
        <v>34916</v>
      </c>
      <c r="C712">
        <v>0</v>
      </c>
      <c r="D712">
        <v>0.780885050686</v>
      </c>
      <c r="E712">
        <v>0</v>
      </c>
    </row>
    <row r="713" spans="1:5">
      <c r="A713" t="s">
        <v>34917</v>
      </c>
      <c r="B713" t="s">
        <v>571</v>
      </c>
      <c r="C713">
        <v>0</v>
      </c>
      <c r="D713">
        <v>0.539249363403</v>
      </c>
      <c r="E713">
        <v>6.5519999999999996</v>
      </c>
    </row>
    <row r="714" spans="1:5">
      <c r="A714" t="s">
        <v>34917</v>
      </c>
      <c r="B714" t="s">
        <v>576</v>
      </c>
      <c r="C714">
        <v>0.436839363403</v>
      </c>
      <c r="D714">
        <v>0.539249363403</v>
      </c>
      <c r="E714">
        <v>6.5519999999999996</v>
      </c>
    </row>
    <row r="715" spans="1:5">
      <c r="A715" t="s">
        <v>34918</v>
      </c>
      <c r="B715" t="s">
        <v>26283</v>
      </c>
      <c r="C715">
        <f>0</f>
        <v>0</v>
      </c>
      <c r="D715" t="s">
        <v>106</v>
      </c>
      <c r="E715">
        <v>24</v>
      </c>
    </row>
    <row r="716" spans="1:5">
      <c r="A716" t="s">
        <v>34918</v>
      </c>
      <c r="B716" t="s">
        <v>26282</v>
      </c>
      <c r="C716">
        <f>0</f>
        <v>0</v>
      </c>
      <c r="D716" t="s">
        <v>106</v>
      </c>
      <c r="E716">
        <v>24</v>
      </c>
    </row>
    <row r="717" spans="1:5">
      <c r="A717" t="s">
        <v>34919</v>
      </c>
      <c r="B717" t="s">
        <v>7345</v>
      </c>
      <c r="C717">
        <f>0.295227116012</f>
        <v>0.29522711601200002</v>
      </c>
      <c r="D717">
        <v>0.87272980480700002</v>
      </c>
      <c r="E717">
        <v>0</v>
      </c>
    </row>
    <row r="718" spans="1:5">
      <c r="A718" t="s">
        <v>34919</v>
      </c>
      <c r="B718" t="s">
        <v>7355</v>
      </c>
      <c r="C718">
        <v>0.99292509092799996</v>
      </c>
      <c r="D718">
        <v>0.87272980480700002</v>
      </c>
      <c r="E718">
        <v>0</v>
      </c>
    </row>
    <row r="719" spans="1:5">
      <c r="A719" t="s">
        <v>34920</v>
      </c>
      <c r="B719" t="s">
        <v>34921</v>
      </c>
      <c r="C719">
        <v>0</v>
      </c>
      <c r="D719" t="s">
        <v>106</v>
      </c>
      <c r="E719">
        <v>1.17</v>
      </c>
    </row>
    <row r="720" spans="1:5">
      <c r="A720" t="s">
        <v>34920</v>
      </c>
      <c r="B720" t="s">
        <v>34922</v>
      </c>
      <c r="C720">
        <v>0</v>
      </c>
      <c r="D720" t="s">
        <v>106</v>
      </c>
      <c r="E720">
        <v>1.17</v>
      </c>
    </row>
    <row r="721" spans="1:5">
      <c r="A721" t="s">
        <v>34920</v>
      </c>
      <c r="B721" t="s">
        <v>34923</v>
      </c>
      <c r="C721">
        <v>0</v>
      </c>
      <c r="D721" t="s">
        <v>106</v>
      </c>
      <c r="E721">
        <v>1.17</v>
      </c>
    </row>
    <row r="722" spans="1:5">
      <c r="A722" t="s">
        <v>34920</v>
      </c>
      <c r="B722" t="s">
        <v>34924</v>
      </c>
      <c r="C722">
        <v>0</v>
      </c>
      <c r="D722" t="s">
        <v>106</v>
      </c>
      <c r="E722">
        <v>1.17</v>
      </c>
    </row>
    <row r="723" spans="1:5">
      <c r="A723" t="s">
        <v>34920</v>
      </c>
      <c r="B723" t="s">
        <v>34925</v>
      </c>
      <c r="C723">
        <v>0</v>
      </c>
      <c r="D723" t="s">
        <v>106</v>
      </c>
      <c r="E723">
        <v>1.17</v>
      </c>
    </row>
    <row r="724" spans="1:5">
      <c r="A724" t="s">
        <v>34926</v>
      </c>
      <c r="B724" t="s">
        <v>34927</v>
      </c>
      <c r="C724">
        <v>0</v>
      </c>
      <c r="D724">
        <v>0.61979186591299995</v>
      </c>
      <c r="E724">
        <v>20.07</v>
      </c>
    </row>
    <row r="725" spans="1:5">
      <c r="A725" t="s">
        <v>34926</v>
      </c>
      <c r="B725" t="s">
        <v>34928</v>
      </c>
      <c r="C725">
        <v>1.64322159037E-2</v>
      </c>
      <c r="D725">
        <v>0.61979186591299995</v>
      </c>
      <c r="E725">
        <v>20.07</v>
      </c>
    </row>
    <row r="726" spans="1:5">
      <c r="A726" t="s">
        <v>34926</v>
      </c>
      <c r="B726" t="s">
        <v>34929</v>
      </c>
      <c r="C726">
        <v>0</v>
      </c>
      <c r="D726">
        <v>0.61979186591299995</v>
      </c>
      <c r="E726">
        <v>20.07</v>
      </c>
    </row>
    <row r="727" spans="1:5">
      <c r="A727" t="s">
        <v>34926</v>
      </c>
      <c r="B727" t="s">
        <v>34930</v>
      </c>
      <c r="C727">
        <v>0</v>
      </c>
      <c r="D727">
        <v>0.61979186591299995</v>
      </c>
      <c r="E727">
        <v>20.07</v>
      </c>
    </row>
    <row r="728" spans="1:5">
      <c r="A728" t="s">
        <v>34926</v>
      </c>
      <c r="B728" t="s">
        <v>34931</v>
      </c>
      <c r="C728">
        <v>0.18218993952099999</v>
      </c>
      <c r="D728">
        <v>0.61979186591299995</v>
      </c>
      <c r="E728">
        <v>20.07</v>
      </c>
    </row>
    <row r="729" spans="1:5">
      <c r="A729" t="s">
        <v>34926</v>
      </c>
      <c r="B729" t="s">
        <v>34932</v>
      </c>
      <c r="C729">
        <v>0</v>
      </c>
      <c r="D729">
        <v>0.61979186591299995</v>
      </c>
      <c r="E729">
        <v>20.07</v>
      </c>
    </row>
    <row r="730" spans="1:5">
      <c r="A730" t="s">
        <v>34933</v>
      </c>
      <c r="B730" t="s">
        <v>15115</v>
      </c>
      <c r="C730">
        <f>0.508013294717</f>
        <v>0.50801329471699996</v>
      </c>
      <c r="D730">
        <v>0.73842329471699997</v>
      </c>
      <c r="E730">
        <v>1.512</v>
      </c>
    </row>
    <row r="731" spans="1:5">
      <c r="A731" t="s">
        <v>34933</v>
      </c>
      <c r="B731" t="s">
        <v>15119</v>
      </c>
      <c r="C731">
        <v>0</v>
      </c>
      <c r="D731">
        <v>0.73842329471699997</v>
      </c>
      <c r="E731">
        <v>1.512</v>
      </c>
    </row>
    <row r="732" spans="1:5">
      <c r="A732" t="s">
        <v>34933</v>
      </c>
      <c r="B732" t="s">
        <v>15121</v>
      </c>
      <c r="C732">
        <f>0</f>
        <v>0</v>
      </c>
      <c r="D732">
        <v>0.73842329471699997</v>
      </c>
      <c r="E732">
        <v>1.512</v>
      </c>
    </row>
    <row r="733" spans="1:5">
      <c r="A733" t="s">
        <v>34933</v>
      </c>
      <c r="B733" t="s">
        <v>15118</v>
      </c>
      <c r="C733">
        <f>0</f>
        <v>0</v>
      </c>
      <c r="D733">
        <v>0.73842329471699997</v>
      </c>
      <c r="E733">
        <v>1.512</v>
      </c>
    </row>
    <row r="734" spans="1:5">
      <c r="A734" t="s">
        <v>34933</v>
      </c>
      <c r="B734" t="s">
        <v>15120</v>
      </c>
      <c r="C734">
        <f>0</f>
        <v>0</v>
      </c>
      <c r="D734">
        <v>0.73842329471699997</v>
      </c>
      <c r="E734">
        <v>1.512</v>
      </c>
    </row>
    <row r="735" spans="1:5">
      <c r="A735" t="s">
        <v>34934</v>
      </c>
      <c r="B735" t="s">
        <v>34935</v>
      </c>
      <c r="C735">
        <f>0</f>
        <v>0</v>
      </c>
      <c r="D735">
        <v>0.82481070114800004</v>
      </c>
      <c r="E735">
        <v>0.318</v>
      </c>
    </row>
    <row r="736" spans="1:5">
      <c r="A736" t="s">
        <v>34934</v>
      </c>
      <c r="B736" t="s">
        <v>34936</v>
      </c>
      <c r="C736">
        <v>0.69520070114800003</v>
      </c>
      <c r="D736">
        <v>0.82481070114800004</v>
      </c>
      <c r="E736">
        <v>0.318</v>
      </c>
    </row>
    <row r="737" spans="1:5">
      <c r="A737" t="s">
        <v>34937</v>
      </c>
      <c r="B737" t="s">
        <v>23002</v>
      </c>
      <c r="C737">
        <v>0.55440543093399997</v>
      </c>
      <c r="D737">
        <v>0.81875263849000002</v>
      </c>
      <c r="E737">
        <v>23.754000000000001</v>
      </c>
    </row>
    <row r="738" spans="1:5">
      <c r="A738" t="s">
        <v>34937</v>
      </c>
      <c r="B738" t="s">
        <v>23005</v>
      </c>
      <c r="C738">
        <v>0.54541626404999999</v>
      </c>
      <c r="D738">
        <v>0.81875263849000002</v>
      </c>
      <c r="E738">
        <v>23.754000000000001</v>
      </c>
    </row>
    <row r="739" spans="1:5">
      <c r="A739" t="s">
        <v>34938</v>
      </c>
      <c r="B739" t="s">
        <v>16289</v>
      </c>
      <c r="C739">
        <f>0</f>
        <v>0</v>
      </c>
      <c r="D739">
        <v>0.67114550218900004</v>
      </c>
      <c r="E739">
        <v>10.878</v>
      </c>
    </row>
    <row r="740" spans="1:5">
      <c r="A740" t="s">
        <v>34938</v>
      </c>
      <c r="B740" t="s">
        <v>16287</v>
      </c>
      <c r="C740">
        <f>0.477535502189</f>
        <v>0.47753550218899998</v>
      </c>
      <c r="D740">
        <v>0.67114550218900004</v>
      </c>
      <c r="E740">
        <v>10.878</v>
      </c>
    </row>
    <row r="741" spans="1:5">
      <c r="A741" t="s">
        <v>34939</v>
      </c>
      <c r="B741" t="s">
        <v>14235</v>
      </c>
      <c r="C741">
        <f>0</f>
        <v>0</v>
      </c>
      <c r="D741">
        <v>0.971154546615</v>
      </c>
      <c r="E741">
        <v>6.06</v>
      </c>
    </row>
    <row r="742" spans="1:5">
      <c r="A742" t="s">
        <v>34939</v>
      </c>
      <c r="B742" t="s">
        <v>14243</v>
      </c>
      <c r="C742">
        <f>0.428319973989</f>
        <v>0.42831997398900001</v>
      </c>
      <c r="D742">
        <v>0.971154546615</v>
      </c>
      <c r="E742">
        <v>6.06</v>
      </c>
    </row>
    <row r="743" spans="1:5">
      <c r="A743" t="s">
        <v>34939</v>
      </c>
      <c r="B743" t="s">
        <v>14240</v>
      </c>
      <c r="C743">
        <f>0.135181557896</f>
        <v>0.135181557896</v>
      </c>
      <c r="D743">
        <v>0.971154546615</v>
      </c>
      <c r="E743">
        <v>6.06</v>
      </c>
    </row>
    <row r="744" spans="1:5">
      <c r="A744" t="s">
        <v>34939</v>
      </c>
      <c r="B744" t="s">
        <v>14236</v>
      </c>
      <c r="C744">
        <v>0</v>
      </c>
      <c r="D744">
        <v>0.971154546615</v>
      </c>
      <c r="E744">
        <v>6.06</v>
      </c>
    </row>
    <row r="745" spans="1:5">
      <c r="A745" t="s">
        <v>34939</v>
      </c>
      <c r="B745" t="s">
        <v>14239</v>
      </c>
      <c r="C745">
        <v>0</v>
      </c>
      <c r="D745">
        <v>0.971154546615</v>
      </c>
      <c r="E745">
        <v>6.06</v>
      </c>
    </row>
    <row r="746" spans="1:5">
      <c r="A746" t="s">
        <v>34939</v>
      </c>
      <c r="B746" t="s">
        <v>14241</v>
      </c>
      <c r="C746">
        <v>2.4811680109699998E-3</v>
      </c>
      <c r="D746">
        <v>0.971154546615</v>
      </c>
      <c r="E746">
        <v>6.06</v>
      </c>
    </row>
    <row r="747" spans="1:5">
      <c r="A747" t="s">
        <v>34939</v>
      </c>
      <c r="B747" t="s">
        <v>14242</v>
      </c>
      <c r="C747">
        <f>0.25607720879</f>
        <v>0.25607720879000001</v>
      </c>
      <c r="D747">
        <v>0.971154546615</v>
      </c>
      <c r="E747">
        <v>6.06</v>
      </c>
    </row>
    <row r="748" spans="1:5">
      <c r="A748" t="s">
        <v>34939</v>
      </c>
      <c r="B748" t="s">
        <v>14238</v>
      </c>
      <c r="C748">
        <f>0.601347497119</f>
        <v>0.60134749711900004</v>
      </c>
      <c r="D748">
        <v>0.971154546615</v>
      </c>
      <c r="E748">
        <v>6.06</v>
      </c>
    </row>
    <row r="749" spans="1:5">
      <c r="A749" t="s">
        <v>34939</v>
      </c>
      <c r="B749" t="s">
        <v>14237</v>
      </c>
      <c r="C749">
        <f>0</f>
        <v>0</v>
      </c>
      <c r="D749">
        <v>0.971154546615</v>
      </c>
      <c r="E749">
        <v>6.06</v>
      </c>
    </row>
    <row r="750" spans="1:5">
      <c r="A750" t="s">
        <v>34940</v>
      </c>
      <c r="B750" t="s">
        <v>7887</v>
      </c>
      <c r="C750">
        <v>0.35843913201400002</v>
      </c>
      <c r="D750">
        <v>0.98042159601000001</v>
      </c>
      <c r="E750">
        <v>1.698</v>
      </c>
    </row>
    <row r="751" spans="1:5">
      <c r="A751" t="s">
        <v>34940</v>
      </c>
      <c r="B751" t="s">
        <v>7886</v>
      </c>
      <c r="C751">
        <v>0.94918512274699995</v>
      </c>
      <c r="D751">
        <v>0.98042159601000001</v>
      </c>
      <c r="E751">
        <v>1.698</v>
      </c>
    </row>
    <row r="752" spans="1:5">
      <c r="A752" t="s">
        <v>34940</v>
      </c>
      <c r="B752" t="s">
        <v>7888</v>
      </c>
      <c r="C752">
        <f>0</f>
        <v>0</v>
      </c>
      <c r="D752">
        <v>0.98042159601000001</v>
      </c>
      <c r="E752">
        <v>1.698</v>
      </c>
    </row>
    <row r="753" spans="1:5">
      <c r="A753" t="s">
        <v>34940</v>
      </c>
      <c r="B753" t="s">
        <v>7883</v>
      </c>
      <c r="C753">
        <f>0.0788762697676</f>
        <v>7.8876269767599996E-2</v>
      </c>
      <c r="D753">
        <v>0.98042159601000001</v>
      </c>
      <c r="E753">
        <v>1.698</v>
      </c>
    </row>
    <row r="754" spans="1:5">
      <c r="A754" t="s">
        <v>34940</v>
      </c>
      <c r="B754" t="s">
        <v>7882</v>
      </c>
      <c r="C754">
        <f>0.202389006338</f>
        <v>0.202389006338</v>
      </c>
      <c r="D754">
        <v>0.98042159601000001</v>
      </c>
      <c r="E754">
        <v>1.698</v>
      </c>
    </row>
    <row r="755" spans="1:5">
      <c r="A755" t="s">
        <v>34941</v>
      </c>
      <c r="B755" t="s">
        <v>10145</v>
      </c>
      <c r="C755">
        <v>0</v>
      </c>
      <c r="D755" t="s">
        <v>106</v>
      </c>
      <c r="E755">
        <v>24</v>
      </c>
    </row>
    <row r="756" spans="1:5">
      <c r="A756" t="s">
        <v>34941</v>
      </c>
      <c r="B756" t="s">
        <v>10150</v>
      </c>
      <c r="C756">
        <v>0</v>
      </c>
      <c r="D756" t="s">
        <v>106</v>
      </c>
      <c r="E756">
        <v>24</v>
      </c>
    </row>
    <row r="757" spans="1:5">
      <c r="A757" t="s">
        <v>34941</v>
      </c>
      <c r="B757" t="s">
        <v>10146</v>
      </c>
      <c r="C757">
        <v>0</v>
      </c>
      <c r="D757" t="s">
        <v>106</v>
      </c>
      <c r="E757">
        <v>24</v>
      </c>
    </row>
    <row r="758" spans="1:5">
      <c r="A758" t="s">
        <v>34941</v>
      </c>
      <c r="B758" t="s">
        <v>10148</v>
      </c>
      <c r="C758">
        <v>0</v>
      </c>
      <c r="D758" t="s">
        <v>106</v>
      </c>
      <c r="E758">
        <v>24</v>
      </c>
    </row>
    <row r="759" spans="1:5">
      <c r="A759" t="s">
        <v>34941</v>
      </c>
      <c r="B759" t="s">
        <v>10147</v>
      </c>
      <c r="C759">
        <v>0</v>
      </c>
      <c r="D759" t="s">
        <v>106</v>
      </c>
      <c r="E759">
        <v>24</v>
      </c>
    </row>
    <row r="760" spans="1:5">
      <c r="A760" t="s">
        <v>34942</v>
      </c>
      <c r="B760" t="s">
        <v>28783</v>
      </c>
      <c r="C760">
        <f>0</f>
        <v>0</v>
      </c>
      <c r="D760">
        <v>0.77166463591400003</v>
      </c>
      <c r="E760">
        <v>23.04</v>
      </c>
    </row>
    <row r="761" spans="1:5">
      <c r="A761" t="s">
        <v>34942</v>
      </c>
      <c r="B761" t="s">
        <v>28800</v>
      </c>
      <c r="C761">
        <v>0</v>
      </c>
      <c r="D761">
        <v>0.77166463591400003</v>
      </c>
      <c r="E761">
        <v>23.04</v>
      </c>
    </row>
    <row r="762" spans="1:5">
      <c r="A762" t="s">
        <v>34942</v>
      </c>
      <c r="B762" t="s">
        <v>28786</v>
      </c>
      <c r="C762">
        <v>0.30542642016999999</v>
      </c>
      <c r="D762">
        <v>0.77166463591400003</v>
      </c>
      <c r="E762">
        <v>23.04</v>
      </c>
    </row>
    <row r="763" spans="1:5">
      <c r="A763" t="s">
        <v>34942</v>
      </c>
      <c r="B763" t="s">
        <v>28794</v>
      </c>
      <c r="C763">
        <v>0</v>
      </c>
      <c r="D763">
        <v>0.77166463591400003</v>
      </c>
      <c r="E763">
        <v>23.04</v>
      </c>
    </row>
    <row r="764" spans="1:5">
      <c r="A764" t="s">
        <v>34942</v>
      </c>
      <c r="B764" t="s">
        <v>28782</v>
      </c>
      <c r="C764">
        <v>0</v>
      </c>
      <c r="D764">
        <v>0.77166463591400003</v>
      </c>
      <c r="E764">
        <v>23.04</v>
      </c>
    </row>
    <row r="765" spans="1:5">
      <c r="A765" t="s">
        <v>34942</v>
      </c>
      <c r="B765" t="s">
        <v>28797</v>
      </c>
      <c r="C765">
        <f>0</f>
        <v>0</v>
      </c>
      <c r="D765">
        <v>0.77166463591400003</v>
      </c>
      <c r="E765">
        <v>23.04</v>
      </c>
    </row>
    <row r="766" spans="1:5">
      <c r="A766" t="s">
        <v>34942</v>
      </c>
      <c r="B766" t="s">
        <v>28789</v>
      </c>
      <c r="C766">
        <f>0</f>
        <v>0</v>
      </c>
      <c r="D766">
        <v>0.77166463591400003</v>
      </c>
      <c r="E766">
        <v>23.04</v>
      </c>
    </row>
    <row r="767" spans="1:5">
      <c r="A767" t="s">
        <v>34942</v>
      </c>
      <c r="B767" t="s">
        <v>28791</v>
      </c>
      <c r="C767">
        <v>0</v>
      </c>
      <c r="D767">
        <v>0.77166463591400003</v>
      </c>
      <c r="E767">
        <v>23.04</v>
      </c>
    </row>
    <row r="768" spans="1:5">
      <c r="A768" t="s">
        <v>34942</v>
      </c>
      <c r="B768" t="s">
        <v>28801</v>
      </c>
      <c r="C768">
        <f>0.100050281019</f>
        <v>0.100050281019</v>
      </c>
      <c r="D768">
        <v>0.77166463591400003</v>
      </c>
      <c r="E768">
        <v>23.04</v>
      </c>
    </row>
    <row r="769" spans="1:5">
      <c r="A769" t="s">
        <v>34943</v>
      </c>
      <c r="B769" t="s">
        <v>17402</v>
      </c>
      <c r="C769">
        <f>0</f>
        <v>0</v>
      </c>
      <c r="D769">
        <v>0.70287857082000005</v>
      </c>
      <c r="E769">
        <v>11.706</v>
      </c>
    </row>
    <row r="770" spans="1:5">
      <c r="A770" t="s">
        <v>34943</v>
      </c>
      <c r="B770" t="s">
        <v>17409</v>
      </c>
      <c r="C770">
        <v>0.24966271620399999</v>
      </c>
      <c r="D770">
        <v>0.70287857082000005</v>
      </c>
      <c r="E770">
        <v>11.706</v>
      </c>
    </row>
    <row r="771" spans="1:5">
      <c r="A771" t="s">
        <v>34943</v>
      </c>
      <c r="B771" t="s">
        <v>17408</v>
      </c>
      <c r="C771">
        <v>0.26692830826800001</v>
      </c>
      <c r="D771">
        <v>0.70287857082000005</v>
      </c>
      <c r="E771">
        <v>11.706</v>
      </c>
    </row>
    <row r="772" spans="1:5">
      <c r="A772" t="s">
        <v>34943</v>
      </c>
      <c r="B772" t="s">
        <v>17406</v>
      </c>
      <c r="C772">
        <v>0</v>
      </c>
      <c r="D772">
        <v>0.70287857082000005</v>
      </c>
      <c r="E772">
        <v>11.706</v>
      </c>
    </row>
    <row r="773" spans="1:5">
      <c r="A773" t="s">
        <v>34943</v>
      </c>
      <c r="B773" t="s">
        <v>17405</v>
      </c>
      <c r="C773">
        <f>0</f>
        <v>0</v>
      </c>
      <c r="D773">
        <v>0.70287857082000005</v>
      </c>
      <c r="E773">
        <v>11.706</v>
      </c>
    </row>
    <row r="774" spans="1:5">
      <c r="A774" t="s">
        <v>34944</v>
      </c>
      <c r="B774" t="s">
        <v>34945</v>
      </c>
      <c r="C774">
        <v>0</v>
      </c>
      <c r="D774">
        <v>0.93969188361</v>
      </c>
      <c r="E774">
        <v>7.0679999999999996</v>
      </c>
    </row>
    <row r="775" spans="1:5">
      <c r="A775" t="s">
        <v>34944</v>
      </c>
      <c r="B775" t="s">
        <v>34946</v>
      </c>
      <c r="C775">
        <f>0.26369296358</f>
        <v>0.26369296357999999</v>
      </c>
      <c r="D775">
        <v>0.93969188361</v>
      </c>
      <c r="E775">
        <v>7.0679999999999996</v>
      </c>
    </row>
    <row r="776" spans="1:5">
      <c r="A776" t="s">
        <v>34944</v>
      </c>
      <c r="B776" t="s">
        <v>34947</v>
      </c>
      <c r="C776">
        <f>0.0360906177322</f>
        <v>3.60906177322E-2</v>
      </c>
      <c r="D776">
        <v>0.93969188361</v>
      </c>
      <c r="E776">
        <v>7.0679999999999996</v>
      </c>
    </row>
    <row r="777" spans="1:5">
      <c r="A777" t="s">
        <v>34944</v>
      </c>
      <c r="B777" t="s">
        <v>34948</v>
      </c>
      <c r="C777">
        <f>0.453483426702</f>
        <v>0.45348342670199998</v>
      </c>
      <c r="D777">
        <v>0.93969188361</v>
      </c>
      <c r="E777">
        <v>7.0679999999999996</v>
      </c>
    </row>
    <row r="778" spans="1:5">
      <c r="A778" t="s">
        <v>34944</v>
      </c>
      <c r="B778" t="s">
        <v>34949</v>
      </c>
      <c r="C778">
        <f>0.290926578357</f>
        <v>0.29092657835699998</v>
      </c>
      <c r="D778">
        <v>0.93969188361</v>
      </c>
      <c r="E778">
        <v>7.0679999999999996</v>
      </c>
    </row>
    <row r="779" spans="1:5">
      <c r="A779" t="s">
        <v>34944</v>
      </c>
      <c r="B779" t="s">
        <v>34950</v>
      </c>
      <c r="C779">
        <f>0</f>
        <v>0</v>
      </c>
      <c r="D779">
        <v>0.93969188361</v>
      </c>
      <c r="E779">
        <v>7.0679999999999996</v>
      </c>
    </row>
    <row r="780" spans="1:5">
      <c r="A780" t="s">
        <v>34944</v>
      </c>
      <c r="B780" t="s">
        <v>34951</v>
      </c>
      <c r="C780">
        <v>0</v>
      </c>
      <c r="D780">
        <v>0.93969188361</v>
      </c>
      <c r="E780">
        <v>7.0679999999999996</v>
      </c>
    </row>
    <row r="781" spans="1:5">
      <c r="A781" t="s">
        <v>34944</v>
      </c>
      <c r="B781" t="s">
        <v>34952</v>
      </c>
      <c r="C781">
        <f>0.0565217782919</f>
        <v>5.6521778291899999E-2</v>
      </c>
      <c r="D781">
        <v>0.93969188361</v>
      </c>
      <c r="E781">
        <v>7.0679999999999996</v>
      </c>
    </row>
    <row r="782" spans="1:5">
      <c r="A782" t="s">
        <v>34944</v>
      </c>
      <c r="B782" t="s">
        <v>34953</v>
      </c>
      <c r="C782">
        <v>0.10485133982600001</v>
      </c>
      <c r="D782">
        <v>0.93969188361</v>
      </c>
      <c r="E782">
        <v>7.0679999999999996</v>
      </c>
    </row>
    <row r="783" spans="1:5">
      <c r="A783" t="s">
        <v>34954</v>
      </c>
      <c r="B783" t="s">
        <v>18549</v>
      </c>
      <c r="C783">
        <v>0</v>
      </c>
      <c r="D783">
        <v>0.97771558487099997</v>
      </c>
      <c r="E783">
        <v>1.3919999999999999</v>
      </c>
    </row>
    <row r="784" spans="1:5">
      <c r="A784" t="s">
        <v>34954</v>
      </c>
      <c r="B784" t="s">
        <v>18545</v>
      </c>
      <c r="C784">
        <v>1.1114495020299999</v>
      </c>
      <c r="D784">
        <v>0.97771558487099997</v>
      </c>
      <c r="E784">
        <v>1.3919999999999999</v>
      </c>
    </row>
    <row r="785" spans="1:5">
      <c r="A785" t="s">
        <v>34954</v>
      </c>
      <c r="B785" t="s">
        <v>18548</v>
      </c>
      <c r="C785">
        <f>0.0698322798677</f>
        <v>6.9832279867700006E-2</v>
      </c>
      <c r="D785">
        <v>0.97771558487099997</v>
      </c>
      <c r="E785">
        <v>1.3919999999999999</v>
      </c>
    </row>
    <row r="786" spans="1:5">
      <c r="A786" t="s">
        <v>34954</v>
      </c>
      <c r="B786" t="s">
        <v>18550</v>
      </c>
      <c r="C786">
        <v>0.34927506030799998</v>
      </c>
      <c r="D786">
        <v>0.97771558487099997</v>
      </c>
      <c r="E786">
        <v>1.3919999999999999</v>
      </c>
    </row>
    <row r="787" spans="1:5">
      <c r="A787" t="s">
        <v>34954</v>
      </c>
      <c r="B787" t="s">
        <v>18551</v>
      </c>
      <c r="C787">
        <f>0.0378658819746</f>
        <v>3.7865881974600002E-2</v>
      </c>
      <c r="D787">
        <v>0.97771558487099997</v>
      </c>
      <c r="E787">
        <v>1.3919999999999999</v>
      </c>
    </row>
    <row r="788" spans="1:5">
      <c r="A788" t="s">
        <v>34954</v>
      </c>
      <c r="B788" t="s">
        <v>18546</v>
      </c>
      <c r="C788">
        <f>-1.14675633172</f>
        <v>-1.14675633172</v>
      </c>
      <c r="D788">
        <v>0.97771558487099997</v>
      </c>
      <c r="E788">
        <v>1.3919999999999999</v>
      </c>
    </row>
    <row r="789" spans="1:5">
      <c r="A789" t="s">
        <v>34955</v>
      </c>
      <c r="B789" t="s">
        <v>31844</v>
      </c>
      <c r="C789">
        <v>0</v>
      </c>
      <c r="D789" t="s">
        <v>106</v>
      </c>
      <c r="E789">
        <v>19.2</v>
      </c>
    </row>
    <row r="790" spans="1:5">
      <c r="A790" t="s">
        <v>34955</v>
      </c>
      <c r="B790" t="s">
        <v>31845</v>
      </c>
      <c r="C790">
        <v>0</v>
      </c>
      <c r="D790" t="s">
        <v>106</v>
      </c>
      <c r="E790">
        <v>19.2</v>
      </c>
    </row>
    <row r="791" spans="1:5">
      <c r="A791" t="s">
        <v>34955</v>
      </c>
      <c r="B791" t="s">
        <v>31846</v>
      </c>
      <c r="C791">
        <v>0</v>
      </c>
      <c r="D791" t="s">
        <v>106</v>
      </c>
      <c r="E791">
        <v>19.2</v>
      </c>
    </row>
    <row r="792" spans="1:5">
      <c r="A792" t="s">
        <v>34956</v>
      </c>
      <c r="B792" t="s">
        <v>15</v>
      </c>
      <c r="C792">
        <v>0</v>
      </c>
      <c r="D792">
        <v>0.785168793802</v>
      </c>
      <c r="E792">
        <v>24</v>
      </c>
    </row>
    <row r="793" spans="1:5">
      <c r="A793" t="s">
        <v>34956</v>
      </c>
      <c r="B793" t="s">
        <v>16</v>
      </c>
      <c r="C793">
        <f>0</f>
        <v>0</v>
      </c>
      <c r="D793">
        <v>0.785168793802</v>
      </c>
      <c r="E793">
        <v>24</v>
      </c>
    </row>
    <row r="794" spans="1:5">
      <c r="A794" t="s">
        <v>34956</v>
      </c>
      <c r="B794" t="s">
        <v>17</v>
      </c>
      <c r="C794">
        <f>0</f>
        <v>0</v>
      </c>
      <c r="D794">
        <v>0.785168793802</v>
      </c>
      <c r="E794">
        <v>24</v>
      </c>
    </row>
    <row r="795" spans="1:5">
      <c r="A795" t="s">
        <v>34956</v>
      </c>
      <c r="B795" t="s">
        <v>18</v>
      </c>
      <c r="C795">
        <v>0.20755879380200001</v>
      </c>
      <c r="D795">
        <v>0.785168793802</v>
      </c>
      <c r="E795">
        <v>24</v>
      </c>
    </row>
    <row r="796" spans="1:5">
      <c r="A796" t="s">
        <v>34957</v>
      </c>
      <c r="B796" t="s">
        <v>3098</v>
      </c>
      <c r="C796">
        <v>0.14685717235099999</v>
      </c>
      <c r="D796">
        <v>0.72085966869600004</v>
      </c>
      <c r="E796">
        <v>8.4000000000000005E-2</v>
      </c>
    </row>
    <row r="797" spans="1:5">
      <c r="A797" t="s">
        <v>34957</v>
      </c>
      <c r="B797" t="s">
        <v>3102</v>
      </c>
      <c r="C797">
        <v>0.45369250907000003</v>
      </c>
      <c r="D797">
        <v>0.72085966869600004</v>
      </c>
      <c r="E797">
        <v>8.4000000000000005E-2</v>
      </c>
    </row>
    <row r="798" spans="1:5">
      <c r="A798" t="s">
        <v>34957</v>
      </c>
      <c r="B798" t="s">
        <v>3101</v>
      </c>
      <c r="C798">
        <f>0</f>
        <v>0</v>
      </c>
      <c r="D798">
        <v>0.72085966869600004</v>
      </c>
      <c r="E798">
        <v>8.4000000000000005E-2</v>
      </c>
    </row>
    <row r="799" spans="1:5">
      <c r="A799" t="s">
        <v>34958</v>
      </c>
      <c r="B799" t="s">
        <v>9624</v>
      </c>
      <c r="C799">
        <v>1.0065806855799999</v>
      </c>
      <c r="D799">
        <v>0.96330461666099998</v>
      </c>
      <c r="E799">
        <v>8.2919999999999998</v>
      </c>
    </row>
    <row r="800" spans="1:5">
      <c r="A800" t="s">
        <v>34958</v>
      </c>
      <c r="B800" t="s">
        <v>9625</v>
      </c>
      <c r="C800">
        <v>0.32323240473699999</v>
      </c>
      <c r="D800">
        <v>0.96330461666099998</v>
      </c>
      <c r="E800">
        <v>8.2919999999999998</v>
      </c>
    </row>
    <row r="801" spans="1:5">
      <c r="A801" t="s">
        <v>34958</v>
      </c>
      <c r="B801" t="s">
        <v>9627</v>
      </c>
      <c r="C801">
        <v>1.0547614080800001</v>
      </c>
      <c r="D801">
        <v>0.96330461666099998</v>
      </c>
      <c r="E801">
        <v>8.2919999999999998</v>
      </c>
    </row>
    <row r="802" spans="1:5">
      <c r="A802" t="s">
        <v>34959</v>
      </c>
      <c r="B802" t="s">
        <v>34960</v>
      </c>
      <c r="C802">
        <v>0.49994768304499998</v>
      </c>
      <c r="D802">
        <v>0.71507750970200001</v>
      </c>
      <c r="E802">
        <v>6.06</v>
      </c>
    </row>
    <row r="803" spans="1:5">
      <c r="A803" t="s">
        <v>34959</v>
      </c>
      <c r="B803" t="s">
        <v>34961</v>
      </c>
      <c r="C803">
        <f>0.292103850427</f>
        <v>0.29210385042699999</v>
      </c>
      <c r="D803">
        <v>0.71507750970200001</v>
      </c>
      <c r="E803">
        <v>6.06</v>
      </c>
    </row>
    <row r="804" spans="1:5">
      <c r="A804" t="s">
        <v>34962</v>
      </c>
      <c r="B804" t="s">
        <v>11668</v>
      </c>
      <c r="C804">
        <f>0</f>
        <v>0</v>
      </c>
      <c r="D804" t="s">
        <v>106</v>
      </c>
      <c r="E804">
        <v>1.17</v>
      </c>
    </row>
    <row r="805" spans="1:5">
      <c r="A805" t="s">
        <v>34962</v>
      </c>
      <c r="B805" t="s">
        <v>11670</v>
      </c>
      <c r="C805">
        <f>0</f>
        <v>0</v>
      </c>
      <c r="D805" t="s">
        <v>106</v>
      </c>
      <c r="E805">
        <v>1.17</v>
      </c>
    </row>
    <row r="806" spans="1:5">
      <c r="A806" t="s">
        <v>34963</v>
      </c>
      <c r="B806" t="s">
        <v>11802</v>
      </c>
      <c r="C806">
        <v>0.64508745762999997</v>
      </c>
      <c r="D806">
        <v>0.79618681231300004</v>
      </c>
      <c r="E806">
        <v>2.88</v>
      </c>
    </row>
    <row r="807" spans="1:5">
      <c r="A807" t="s">
        <v>34963</v>
      </c>
      <c r="B807" t="s">
        <v>11803</v>
      </c>
      <c r="C807">
        <v>0</v>
      </c>
      <c r="D807">
        <v>0.79618681231300004</v>
      </c>
      <c r="E807">
        <v>2.88</v>
      </c>
    </row>
    <row r="808" spans="1:5">
      <c r="A808" t="s">
        <v>34963</v>
      </c>
      <c r="B808" t="s">
        <v>11804</v>
      </c>
      <c r="C808">
        <f>0.918689509437</f>
        <v>0.91868950943700001</v>
      </c>
      <c r="D808">
        <v>0.79618681231300004</v>
      </c>
      <c r="E808">
        <v>2.88</v>
      </c>
    </row>
    <row r="809" spans="1:5">
      <c r="A809" t="s">
        <v>34964</v>
      </c>
      <c r="B809" t="s">
        <v>24330</v>
      </c>
      <c r="C809">
        <f>0</f>
        <v>0</v>
      </c>
      <c r="D809" t="s">
        <v>106</v>
      </c>
      <c r="E809">
        <v>24</v>
      </c>
    </row>
    <row r="810" spans="1:5">
      <c r="A810" t="s">
        <v>34964</v>
      </c>
      <c r="B810" t="s">
        <v>24334</v>
      </c>
      <c r="C810">
        <f>0</f>
        <v>0</v>
      </c>
      <c r="D810" t="s">
        <v>106</v>
      </c>
      <c r="E810">
        <v>24</v>
      </c>
    </row>
    <row r="811" spans="1:5">
      <c r="A811" t="s">
        <v>34964</v>
      </c>
      <c r="B811" t="s">
        <v>24335</v>
      </c>
      <c r="C811">
        <f>0</f>
        <v>0</v>
      </c>
      <c r="D811" t="s">
        <v>106</v>
      </c>
      <c r="E811">
        <v>24</v>
      </c>
    </row>
    <row r="812" spans="1:5">
      <c r="A812" t="s">
        <v>34965</v>
      </c>
      <c r="B812" t="s">
        <v>23545</v>
      </c>
      <c r="C812">
        <v>0</v>
      </c>
      <c r="D812" t="s">
        <v>106</v>
      </c>
      <c r="E812">
        <v>0.96599999999999997</v>
      </c>
    </row>
    <row r="813" spans="1:5">
      <c r="A813" t="s">
        <v>34965</v>
      </c>
      <c r="B813" t="s">
        <v>23547</v>
      </c>
      <c r="C813">
        <v>0</v>
      </c>
      <c r="D813" t="s">
        <v>106</v>
      </c>
      <c r="E813">
        <v>0.96599999999999997</v>
      </c>
    </row>
    <row r="814" spans="1:5">
      <c r="A814" t="s">
        <v>34965</v>
      </c>
      <c r="B814" t="s">
        <v>23555</v>
      </c>
      <c r="C814">
        <v>0</v>
      </c>
      <c r="D814" t="s">
        <v>106</v>
      </c>
      <c r="E814">
        <v>0.96599999999999997</v>
      </c>
    </row>
    <row r="815" spans="1:5">
      <c r="A815" t="s">
        <v>34965</v>
      </c>
      <c r="B815" t="s">
        <v>23550</v>
      </c>
      <c r="C815">
        <v>0</v>
      </c>
      <c r="D815" t="s">
        <v>106</v>
      </c>
      <c r="E815">
        <v>0.96599999999999997</v>
      </c>
    </row>
    <row r="816" spans="1:5">
      <c r="A816" t="s">
        <v>34965</v>
      </c>
      <c r="B816" t="s">
        <v>23558</v>
      </c>
      <c r="C816">
        <v>0</v>
      </c>
      <c r="D816" t="s">
        <v>106</v>
      </c>
      <c r="E816">
        <v>0.96599999999999997</v>
      </c>
    </row>
    <row r="817" spans="1:5">
      <c r="A817" t="s">
        <v>34965</v>
      </c>
      <c r="B817" t="s">
        <v>23551</v>
      </c>
      <c r="C817">
        <v>0</v>
      </c>
      <c r="D817" t="s">
        <v>106</v>
      </c>
      <c r="E817">
        <v>0.96599999999999997</v>
      </c>
    </row>
    <row r="818" spans="1:5">
      <c r="A818" t="s">
        <v>34965</v>
      </c>
      <c r="B818" t="s">
        <v>23552</v>
      </c>
      <c r="C818">
        <v>0</v>
      </c>
      <c r="D818" t="s">
        <v>106</v>
      </c>
      <c r="E818">
        <v>0.96599999999999997</v>
      </c>
    </row>
    <row r="819" spans="1:5">
      <c r="A819" t="s">
        <v>34965</v>
      </c>
      <c r="B819" t="s">
        <v>23553</v>
      </c>
      <c r="C819">
        <v>0</v>
      </c>
      <c r="D819" t="s">
        <v>106</v>
      </c>
      <c r="E819">
        <v>0.96599999999999997</v>
      </c>
    </row>
    <row r="820" spans="1:5">
      <c r="A820" t="s">
        <v>34965</v>
      </c>
      <c r="B820" t="s">
        <v>23557</v>
      </c>
      <c r="C820">
        <f>0</f>
        <v>0</v>
      </c>
      <c r="D820" t="s">
        <v>106</v>
      </c>
      <c r="E820">
        <v>0.96599999999999997</v>
      </c>
    </row>
    <row r="821" spans="1:5">
      <c r="A821" t="s">
        <v>34966</v>
      </c>
      <c r="B821" t="s">
        <v>8128</v>
      </c>
      <c r="C821">
        <f>0</f>
        <v>0</v>
      </c>
      <c r="D821">
        <v>0.76059259890399999</v>
      </c>
      <c r="E821">
        <v>4.2720000000000002</v>
      </c>
    </row>
    <row r="822" spans="1:5">
      <c r="A822" t="s">
        <v>34966</v>
      </c>
      <c r="B822" t="s">
        <v>8130</v>
      </c>
      <c r="C822">
        <f>0</f>
        <v>0</v>
      </c>
      <c r="D822">
        <v>0.76059259890399999</v>
      </c>
      <c r="E822">
        <v>4.2720000000000002</v>
      </c>
    </row>
    <row r="823" spans="1:5">
      <c r="A823" t="s">
        <v>34966</v>
      </c>
      <c r="B823" t="s">
        <v>8129</v>
      </c>
      <c r="C823">
        <f>0.446982598904</f>
        <v>0.44698259890399999</v>
      </c>
      <c r="D823">
        <v>0.76059259890399999</v>
      </c>
      <c r="E823">
        <v>4.2720000000000002</v>
      </c>
    </row>
    <row r="824" spans="1:5">
      <c r="A824" t="s">
        <v>34967</v>
      </c>
      <c r="B824" t="s">
        <v>34968</v>
      </c>
      <c r="C824">
        <v>0.588139281949</v>
      </c>
      <c r="D824">
        <v>0.94457508972100002</v>
      </c>
      <c r="E824">
        <v>24</v>
      </c>
    </row>
    <row r="825" spans="1:5">
      <c r="A825" t="s">
        <v>34967</v>
      </c>
      <c r="B825" t="s">
        <v>34969</v>
      </c>
      <c r="C825">
        <f>0.579511089106</f>
        <v>0.57951108910600002</v>
      </c>
      <c r="D825">
        <v>0.94457508972100002</v>
      </c>
      <c r="E825">
        <v>24</v>
      </c>
    </row>
    <row r="826" spans="1:5">
      <c r="A826" t="s">
        <v>34967</v>
      </c>
      <c r="B826" t="s">
        <v>34970</v>
      </c>
      <c r="C826">
        <v>0.40557328160799999</v>
      </c>
      <c r="D826">
        <v>0.94457508972100002</v>
      </c>
      <c r="E826">
        <v>24</v>
      </c>
    </row>
    <row r="827" spans="1:5">
      <c r="A827" t="s">
        <v>34967</v>
      </c>
      <c r="B827" t="s">
        <v>34971</v>
      </c>
      <c r="C827">
        <v>0.291462197343</v>
      </c>
      <c r="D827">
        <v>0.94457508972100002</v>
      </c>
      <c r="E827">
        <v>24</v>
      </c>
    </row>
    <row r="828" spans="1:5">
      <c r="A828" t="s">
        <v>34967</v>
      </c>
      <c r="B828" t="s">
        <v>34972</v>
      </c>
      <c r="C828">
        <v>4.2148902534999998E-2</v>
      </c>
      <c r="D828">
        <v>0.94457508972100002</v>
      </c>
      <c r="E828">
        <v>24</v>
      </c>
    </row>
    <row r="829" spans="1:5">
      <c r="A829" t="s">
        <v>34973</v>
      </c>
      <c r="B829" t="s">
        <v>34974</v>
      </c>
      <c r="C829">
        <v>0</v>
      </c>
      <c r="D829">
        <v>0.93357221606600005</v>
      </c>
      <c r="E829">
        <v>10.715999999999999</v>
      </c>
    </row>
    <row r="830" spans="1:5">
      <c r="A830" t="s">
        <v>34973</v>
      </c>
      <c r="B830" t="s">
        <v>34975</v>
      </c>
      <c r="C830">
        <v>0.46308272129599998</v>
      </c>
      <c r="D830">
        <v>0.93357221606600005</v>
      </c>
      <c r="E830">
        <v>10.715999999999999</v>
      </c>
    </row>
    <row r="831" spans="1:5">
      <c r="A831" t="s">
        <v>34973</v>
      </c>
      <c r="B831" t="s">
        <v>34976</v>
      </c>
      <c r="C831">
        <f>0.0603431541115</f>
        <v>6.03431541115E-2</v>
      </c>
      <c r="D831">
        <v>0.93357221606600005</v>
      </c>
      <c r="E831">
        <v>10.715999999999999</v>
      </c>
    </row>
    <row r="832" spans="1:5">
      <c r="A832" t="s">
        <v>34973</v>
      </c>
      <c r="B832" t="s">
        <v>34977</v>
      </c>
      <c r="C832">
        <f>0</f>
        <v>0</v>
      </c>
      <c r="D832">
        <v>0.93357221606600005</v>
      </c>
      <c r="E832">
        <v>10.715999999999999</v>
      </c>
    </row>
    <row r="833" spans="1:5">
      <c r="A833" t="s">
        <v>34973</v>
      </c>
      <c r="B833" t="s">
        <v>34978</v>
      </c>
      <c r="C833">
        <f>0.647185214786</f>
        <v>0.647185214786</v>
      </c>
      <c r="D833">
        <v>0.93357221606600005</v>
      </c>
      <c r="E833">
        <v>10.715999999999999</v>
      </c>
    </row>
    <row r="834" spans="1:5">
      <c r="A834" t="s">
        <v>34979</v>
      </c>
      <c r="B834" t="s">
        <v>34980</v>
      </c>
      <c r="C834">
        <v>0</v>
      </c>
      <c r="D834">
        <v>0.81400607817199999</v>
      </c>
      <c r="E834">
        <v>0</v>
      </c>
    </row>
    <row r="835" spans="1:5">
      <c r="A835" t="s">
        <v>34979</v>
      </c>
      <c r="B835" t="s">
        <v>34981</v>
      </c>
      <c r="C835">
        <v>0.427012261615</v>
      </c>
      <c r="D835">
        <v>0.81400607817199999</v>
      </c>
      <c r="E835">
        <v>0</v>
      </c>
    </row>
    <row r="836" spans="1:5">
      <c r="A836" t="s">
        <v>34979</v>
      </c>
      <c r="B836" t="s">
        <v>34982</v>
      </c>
      <c r="C836">
        <f>0</f>
        <v>0</v>
      </c>
      <c r="D836">
        <v>0.81400607817199999</v>
      </c>
      <c r="E836">
        <v>0</v>
      </c>
    </row>
    <row r="837" spans="1:5">
      <c r="A837" t="s">
        <v>34979</v>
      </c>
      <c r="B837" t="s">
        <v>34983</v>
      </c>
      <c r="C837">
        <v>0.23015675021599999</v>
      </c>
      <c r="D837">
        <v>0.81400607817199999</v>
      </c>
      <c r="E837">
        <v>0</v>
      </c>
    </row>
    <row r="838" spans="1:5">
      <c r="A838" t="s">
        <v>34979</v>
      </c>
      <c r="B838" t="s">
        <v>34984</v>
      </c>
      <c r="C838">
        <v>0</v>
      </c>
      <c r="D838">
        <v>0.81400607817199999</v>
      </c>
      <c r="E838">
        <v>0</v>
      </c>
    </row>
    <row r="839" spans="1:5">
      <c r="A839" t="s">
        <v>34979</v>
      </c>
      <c r="B839" t="s">
        <v>34985</v>
      </c>
      <c r="C839">
        <v>0</v>
      </c>
      <c r="D839">
        <v>0.81400607817199999</v>
      </c>
      <c r="E839">
        <v>0</v>
      </c>
    </row>
    <row r="840" spans="1:5">
      <c r="A840" t="s">
        <v>34986</v>
      </c>
      <c r="B840" t="s">
        <v>34987</v>
      </c>
      <c r="C840">
        <v>0.79298209866900005</v>
      </c>
      <c r="D840">
        <v>0.89539209866900005</v>
      </c>
      <c r="E840">
        <v>5.58</v>
      </c>
    </row>
    <row r="841" spans="1:5">
      <c r="A841" t="s">
        <v>34986</v>
      </c>
      <c r="B841" t="s">
        <v>34988</v>
      </c>
      <c r="C841">
        <v>0</v>
      </c>
      <c r="D841">
        <v>0.89539209866900005</v>
      </c>
      <c r="E841">
        <v>5.58</v>
      </c>
    </row>
    <row r="842" spans="1:5">
      <c r="A842" t="s">
        <v>34986</v>
      </c>
      <c r="B842" t="s">
        <v>34989</v>
      </c>
      <c r="C842">
        <f>0</f>
        <v>0</v>
      </c>
      <c r="D842">
        <v>0.89539209866900005</v>
      </c>
      <c r="E842">
        <v>5.58</v>
      </c>
    </row>
    <row r="843" spans="1:5">
      <c r="A843" t="s">
        <v>34990</v>
      </c>
      <c r="B843" t="s">
        <v>14126</v>
      </c>
      <c r="C843">
        <f>0.261917182432</f>
        <v>0.26191718243200002</v>
      </c>
      <c r="D843">
        <v>0.93938206875300001</v>
      </c>
      <c r="E843">
        <v>0</v>
      </c>
    </row>
    <row r="844" spans="1:5">
      <c r="A844" t="s">
        <v>34990</v>
      </c>
      <c r="B844" t="s">
        <v>14128</v>
      </c>
      <c r="C844">
        <v>0.19942996872900001</v>
      </c>
      <c r="D844">
        <v>0.93938206875300001</v>
      </c>
      <c r="E844">
        <v>0</v>
      </c>
    </row>
    <row r="845" spans="1:5">
      <c r="A845" t="s">
        <v>34990</v>
      </c>
      <c r="B845" t="s">
        <v>14131</v>
      </c>
      <c r="C845">
        <v>0</v>
      </c>
      <c r="D845">
        <v>0.93938206875300001</v>
      </c>
      <c r="E845">
        <v>0</v>
      </c>
    </row>
    <row r="846" spans="1:5">
      <c r="A846" t="s">
        <v>34990</v>
      </c>
      <c r="B846" t="s">
        <v>14129</v>
      </c>
      <c r="C846">
        <f>0</f>
        <v>0</v>
      </c>
      <c r="D846">
        <v>0.93938206875300001</v>
      </c>
      <c r="E846">
        <v>0</v>
      </c>
    </row>
    <row r="847" spans="1:5">
      <c r="A847" t="s">
        <v>34990</v>
      </c>
      <c r="B847" t="s">
        <v>14127</v>
      </c>
      <c r="C847">
        <v>0.39213237378799998</v>
      </c>
      <c r="D847">
        <v>0.93938206875300001</v>
      </c>
      <c r="E847">
        <v>0</v>
      </c>
    </row>
    <row r="848" spans="1:5">
      <c r="A848" t="s">
        <v>34990</v>
      </c>
      <c r="B848" t="s">
        <v>14130</v>
      </c>
      <c r="C848">
        <v>0.50597943573600002</v>
      </c>
      <c r="D848">
        <v>0.93938206875300001</v>
      </c>
      <c r="E848">
        <v>0</v>
      </c>
    </row>
    <row r="849" spans="1:5">
      <c r="A849" t="s">
        <v>34991</v>
      </c>
      <c r="B849" t="s">
        <v>34992</v>
      </c>
      <c r="C849">
        <v>0.56769884332499998</v>
      </c>
      <c r="D849">
        <v>0.84763389301100001</v>
      </c>
      <c r="E849">
        <v>24</v>
      </c>
    </row>
    <row r="850" spans="1:5">
      <c r="A850" t="s">
        <v>34991</v>
      </c>
      <c r="B850" t="s">
        <v>34993</v>
      </c>
      <c r="C850">
        <v>7.1516216707399993E-2</v>
      </c>
      <c r="D850">
        <v>0.84763389301100001</v>
      </c>
      <c r="E850">
        <v>24</v>
      </c>
    </row>
    <row r="851" spans="1:5">
      <c r="A851" t="s">
        <v>34991</v>
      </c>
      <c r="B851" t="s">
        <v>34994</v>
      </c>
      <c r="C851">
        <v>0</v>
      </c>
      <c r="D851">
        <v>0.84763389301100001</v>
      </c>
      <c r="E851">
        <v>24</v>
      </c>
    </row>
    <row r="852" spans="1:5">
      <c r="A852" t="s">
        <v>34995</v>
      </c>
      <c r="B852" t="s">
        <v>31643</v>
      </c>
      <c r="C852">
        <f>0</f>
        <v>0</v>
      </c>
      <c r="D852" t="s">
        <v>106</v>
      </c>
      <c r="E852">
        <v>0.06</v>
      </c>
    </row>
    <row r="853" spans="1:5">
      <c r="A853" t="s">
        <v>34995</v>
      </c>
      <c r="B853" t="s">
        <v>31644</v>
      </c>
      <c r="C853">
        <f>0</f>
        <v>0</v>
      </c>
      <c r="D853" t="s">
        <v>106</v>
      </c>
      <c r="E853">
        <v>0.06</v>
      </c>
    </row>
    <row r="854" spans="1:5">
      <c r="A854" t="s">
        <v>34996</v>
      </c>
      <c r="B854" t="s">
        <v>34997</v>
      </c>
      <c r="C854">
        <v>0</v>
      </c>
      <c r="D854" t="s">
        <v>106</v>
      </c>
      <c r="E854">
        <v>6.06</v>
      </c>
    </row>
    <row r="855" spans="1:5">
      <c r="A855" t="s">
        <v>34996</v>
      </c>
      <c r="B855" t="s">
        <v>34998</v>
      </c>
      <c r="C855">
        <v>0</v>
      </c>
      <c r="D855" t="s">
        <v>106</v>
      </c>
      <c r="E855">
        <v>6.06</v>
      </c>
    </row>
    <row r="856" spans="1:5">
      <c r="A856" t="s">
        <v>34999</v>
      </c>
      <c r="B856" t="s">
        <v>22080</v>
      </c>
      <c r="C856">
        <f>0</f>
        <v>0</v>
      </c>
      <c r="D856">
        <v>0.73393907497900002</v>
      </c>
      <c r="E856">
        <v>2.802</v>
      </c>
    </row>
    <row r="857" spans="1:5">
      <c r="A857" t="s">
        <v>34999</v>
      </c>
      <c r="B857" t="s">
        <v>22083</v>
      </c>
      <c r="C857">
        <v>0</v>
      </c>
      <c r="D857">
        <v>0.73393907497900002</v>
      </c>
      <c r="E857">
        <v>2.802</v>
      </c>
    </row>
    <row r="858" spans="1:5">
      <c r="A858" t="s">
        <v>34999</v>
      </c>
      <c r="B858" t="s">
        <v>22082</v>
      </c>
      <c r="C858">
        <v>0.32485361674399998</v>
      </c>
      <c r="D858">
        <v>0.73393907497900002</v>
      </c>
      <c r="E858">
        <v>2.802</v>
      </c>
    </row>
    <row r="859" spans="1:5">
      <c r="A859" t="s">
        <v>34999</v>
      </c>
      <c r="B859" t="s">
        <v>22084</v>
      </c>
      <c r="C859">
        <v>0</v>
      </c>
      <c r="D859">
        <v>0.73393907497900002</v>
      </c>
      <c r="E859">
        <v>2.802</v>
      </c>
    </row>
    <row r="860" spans="1:5">
      <c r="A860" t="s">
        <v>34999</v>
      </c>
      <c r="B860" t="s">
        <v>22085</v>
      </c>
      <c r="C860">
        <v>0.35970252677600001</v>
      </c>
      <c r="D860">
        <v>0.73393907497900002</v>
      </c>
      <c r="E860">
        <v>2.802</v>
      </c>
    </row>
    <row r="861" spans="1:5">
      <c r="A861" t="s">
        <v>34999</v>
      </c>
      <c r="B861" t="s">
        <v>22081</v>
      </c>
      <c r="C861">
        <v>0</v>
      </c>
      <c r="D861">
        <v>0.73393907497900002</v>
      </c>
      <c r="E861">
        <v>2.802</v>
      </c>
    </row>
    <row r="862" spans="1:5">
      <c r="A862" t="s">
        <v>35000</v>
      </c>
      <c r="B862" t="s">
        <v>31130</v>
      </c>
      <c r="C862">
        <v>0.18884145112299999</v>
      </c>
      <c r="D862">
        <v>0.89775637064299996</v>
      </c>
      <c r="E862">
        <v>6.5519999999999996</v>
      </c>
    </row>
    <row r="863" spans="1:5">
      <c r="A863" t="s">
        <v>35000</v>
      </c>
      <c r="B863" t="s">
        <v>31133</v>
      </c>
      <c r="C863">
        <f>0</f>
        <v>0</v>
      </c>
      <c r="D863">
        <v>0.89775637064299996</v>
      </c>
      <c r="E863">
        <v>6.5519999999999996</v>
      </c>
    </row>
    <row r="864" spans="1:5">
      <c r="A864" t="s">
        <v>35000</v>
      </c>
      <c r="B864" t="s">
        <v>31131</v>
      </c>
      <c r="C864">
        <v>3.5753628758700001E-3</v>
      </c>
      <c r="D864">
        <v>0.89775637064299996</v>
      </c>
      <c r="E864">
        <v>6.5519999999999996</v>
      </c>
    </row>
    <row r="865" spans="1:5">
      <c r="A865" t="s">
        <v>35000</v>
      </c>
      <c r="B865" t="s">
        <v>31132</v>
      </c>
      <c r="C865">
        <f>0</f>
        <v>0</v>
      </c>
      <c r="D865">
        <v>0.89775637064299996</v>
      </c>
      <c r="E865">
        <v>6.5519999999999996</v>
      </c>
    </row>
    <row r="866" spans="1:5">
      <c r="A866" t="s">
        <v>35000</v>
      </c>
      <c r="B866" t="s">
        <v>31136</v>
      </c>
      <c r="C866">
        <v>0.74059731886799995</v>
      </c>
      <c r="D866">
        <v>0.89775637064299996</v>
      </c>
      <c r="E866">
        <v>6.5519999999999996</v>
      </c>
    </row>
    <row r="867" spans="1:5">
      <c r="A867" t="s">
        <v>35001</v>
      </c>
      <c r="B867" t="s">
        <v>18649</v>
      </c>
      <c r="C867">
        <f>0</f>
        <v>0</v>
      </c>
      <c r="D867">
        <v>0.633092176497</v>
      </c>
      <c r="E867">
        <v>19.853999999999999</v>
      </c>
    </row>
    <row r="868" spans="1:5">
      <c r="A868" t="s">
        <v>35001</v>
      </c>
      <c r="B868" t="s">
        <v>18652</v>
      </c>
      <c r="C868">
        <v>0.223482176497</v>
      </c>
      <c r="D868">
        <v>0.633092176497</v>
      </c>
      <c r="E868">
        <v>19.853999999999999</v>
      </c>
    </row>
    <row r="869" spans="1:5">
      <c r="A869" t="s">
        <v>35001</v>
      </c>
      <c r="B869" t="s">
        <v>18655</v>
      </c>
      <c r="C869">
        <f>0</f>
        <v>0</v>
      </c>
      <c r="D869">
        <v>0.633092176497</v>
      </c>
      <c r="E869">
        <v>19.853999999999999</v>
      </c>
    </row>
    <row r="870" spans="1:5">
      <c r="A870" t="s">
        <v>35001</v>
      </c>
      <c r="B870" t="s">
        <v>18651</v>
      </c>
      <c r="C870">
        <f>0</f>
        <v>0</v>
      </c>
      <c r="D870">
        <v>0.633092176497</v>
      </c>
      <c r="E870">
        <v>19.853999999999999</v>
      </c>
    </row>
    <row r="871" spans="1:5">
      <c r="A871" t="s">
        <v>35001</v>
      </c>
      <c r="B871" t="s">
        <v>18661</v>
      </c>
      <c r="C871">
        <f>0</f>
        <v>0</v>
      </c>
      <c r="D871">
        <v>0.633092176497</v>
      </c>
      <c r="E871">
        <v>19.853999999999999</v>
      </c>
    </row>
    <row r="872" spans="1:5">
      <c r="A872" t="s">
        <v>35001</v>
      </c>
      <c r="B872" t="s">
        <v>18660</v>
      </c>
      <c r="C872">
        <v>0</v>
      </c>
      <c r="D872">
        <v>0.633092176497</v>
      </c>
      <c r="E872">
        <v>19.853999999999999</v>
      </c>
    </row>
    <row r="873" spans="1:5">
      <c r="A873" t="s">
        <v>35001</v>
      </c>
      <c r="B873" t="s">
        <v>18653</v>
      </c>
      <c r="C873">
        <f>0</f>
        <v>0</v>
      </c>
      <c r="D873">
        <v>0.633092176497</v>
      </c>
      <c r="E873">
        <v>19.853999999999999</v>
      </c>
    </row>
    <row r="874" spans="1:5">
      <c r="A874" t="s">
        <v>35001</v>
      </c>
      <c r="B874" t="s">
        <v>18659</v>
      </c>
      <c r="C874">
        <f>0</f>
        <v>0</v>
      </c>
      <c r="D874">
        <v>0.633092176497</v>
      </c>
      <c r="E874">
        <v>19.853999999999999</v>
      </c>
    </row>
    <row r="875" spans="1:5">
      <c r="A875" t="s">
        <v>35001</v>
      </c>
      <c r="B875" t="s">
        <v>18658</v>
      </c>
      <c r="C875">
        <f>0</f>
        <v>0</v>
      </c>
      <c r="D875">
        <v>0.633092176497</v>
      </c>
      <c r="E875">
        <v>19.853999999999999</v>
      </c>
    </row>
    <row r="876" spans="1:5">
      <c r="A876" t="s">
        <v>35002</v>
      </c>
      <c r="B876" t="s">
        <v>16959</v>
      </c>
      <c r="C876">
        <v>0</v>
      </c>
      <c r="D876" t="s">
        <v>106</v>
      </c>
      <c r="E876">
        <v>24</v>
      </c>
    </row>
    <row r="877" spans="1:5">
      <c r="A877" t="s">
        <v>35002</v>
      </c>
      <c r="B877" t="s">
        <v>16963</v>
      </c>
      <c r="C877">
        <f>0</f>
        <v>0</v>
      </c>
      <c r="D877" t="s">
        <v>106</v>
      </c>
      <c r="E877">
        <v>24</v>
      </c>
    </row>
    <row r="878" spans="1:5">
      <c r="A878" t="s">
        <v>35003</v>
      </c>
      <c r="B878" t="s">
        <v>9292</v>
      </c>
      <c r="C878">
        <v>0.28240359032000001</v>
      </c>
      <c r="D878">
        <v>0.93503944560800001</v>
      </c>
      <c r="E878">
        <v>6.9359999999999999</v>
      </c>
    </row>
    <row r="879" spans="1:5">
      <c r="A879" t="s">
        <v>35003</v>
      </c>
      <c r="B879" t="s">
        <v>9296</v>
      </c>
      <c r="C879">
        <f>-1.0665623504</f>
        <v>-1.0665623503999999</v>
      </c>
      <c r="D879">
        <v>0.93503944560800001</v>
      </c>
      <c r="E879">
        <v>6.9359999999999999</v>
      </c>
    </row>
    <row r="880" spans="1:5">
      <c r="A880" t="s">
        <v>35003</v>
      </c>
      <c r="B880" t="s">
        <v>9295</v>
      </c>
      <c r="C880">
        <v>0.26772406677499999</v>
      </c>
      <c r="D880">
        <v>0.93503944560800001</v>
      </c>
      <c r="E880">
        <v>6.9359999999999999</v>
      </c>
    </row>
    <row r="881" spans="1:5">
      <c r="A881" t="s">
        <v>35004</v>
      </c>
      <c r="B881" t="s">
        <v>35005</v>
      </c>
      <c r="C881">
        <f>0.472995609353</f>
        <v>0.472995609353</v>
      </c>
      <c r="D881">
        <v>0.86153631571099998</v>
      </c>
      <c r="E881">
        <v>1.452</v>
      </c>
    </row>
    <row r="882" spans="1:5">
      <c r="A882" t="s">
        <v>35004</v>
      </c>
      <c r="B882" t="s">
        <v>35006</v>
      </c>
      <c r="C882">
        <f>0.520023444327</f>
        <v>0.52002344432699998</v>
      </c>
      <c r="D882">
        <v>0.86153631571099998</v>
      </c>
      <c r="E882">
        <v>1.452</v>
      </c>
    </row>
    <row r="883" spans="1:5">
      <c r="A883" t="s">
        <v>35004</v>
      </c>
      <c r="B883" t="s">
        <v>35007</v>
      </c>
      <c r="C883">
        <f>0</f>
        <v>0</v>
      </c>
      <c r="D883">
        <v>0.86153631571099998</v>
      </c>
      <c r="E883">
        <v>1.452</v>
      </c>
    </row>
    <row r="884" spans="1:5">
      <c r="A884" t="s">
        <v>35008</v>
      </c>
      <c r="B884" t="s">
        <v>25902</v>
      </c>
      <c r="C884">
        <f>0.716152831927</f>
        <v>0.71615283192699997</v>
      </c>
      <c r="D884">
        <v>0.95739882630999995</v>
      </c>
      <c r="E884">
        <v>1.5720000000000001</v>
      </c>
    </row>
    <row r="885" spans="1:5">
      <c r="A885" t="s">
        <v>35008</v>
      </c>
      <c r="B885" t="s">
        <v>25901</v>
      </c>
      <c r="C885">
        <f>0.457096211779</f>
        <v>0.45709621177900001</v>
      </c>
      <c r="D885">
        <v>0.95739882630999995</v>
      </c>
      <c r="E885">
        <v>1.5720000000000001</v>
      </c>
    </row>
    <row r="886" spans="1:5">
      <c r="A886" t="s">
        <v>35008</v>
      </c>
      <c r="B886" t="s">
        <v>25906</v>
      </c>
      <c r="C886">
        <v>5.4162766761500003E-2</v>
      </c>
      <c r="D886">
        <v>0.95739882630999995</v>
      </c>
      <c r="E886">
        <v>1.5720000000000001</v>
      </c>
    </row>
    <row r="887" spans="1:5">
      <c r="A887" t="s">
        <v>35008</v>
      </c>
      <c r="B887" t="s">
        <v>25899</v>
      </c>
      <c r="C887">
        <v>0.20157516110900001</v>
      </c>
      <c r="D887">
        <v>0.95739882630999995</v>
      </c>
      <c r="E887">
        <v>1.5720000000000001</v>
      </c>
    </row>
    <row r="888" spans="1:5">
      <c r="A888" t="s">
        <v>35008</v>
      </c>
      <c r="B888" t="s">
        <v>25903</v>
      </c>
      <c r="C888">
        <f>0.0421133007011</f>
        <v>4.2113300701099997E-2</v>
      </c>
      <c r="D888">
        <v>0.95739882630999995</v>
      </c>
      <c r="E888">
        <v>1.5720000000000001</v>
      </c>
    </row>
    <row r="889" spans="1:5">
      <c r="A889" t="s">
        <v>35009</v>
      </c>
      <c r="B889" t="s">
        <v>35010</v>
      </c>
      <c r="C889">
        <f>0</f>
        <v>0</v>
      </c>
      <c r="D889">
        <v>0.76370044435899997</v>
      </c>
      <c r="E889">
        <v>13.818</v>
      </c>
    </row>
    <row r="890" spans="1:5">
      <c r="A890" t="s">
        <v>35009</v>
      </c>
      <c r="B890" t="s">
        <v>35011</v>
      </c>
      <c r="C890">
        <v>0.53329044435899997</v>
      </c>
      <c r="D890">
        <v>0.76370044435899997</v>
      </c>
      <c r="E890">
        <v>13.818</v>
      </c>
    </row>
    <row r="891" spans="1:5">
      <c r="A891" t="s">
        <v>35009</v>
      </c>
      <c r="B891" t="s">
        <v>35012</v>
      </c>
      <c r="C891">
        <f>0</f>
        <v>0</v>
      </c>
      <c r="D891">
        <v>0.76370044435899997</v>
      </c>
      <c r="E891">
        <v>13.818</v>
      </c>
    </row>
    <row r="892" spans="1:5">
      <c r="A892" t="s">
        <v>35013</v>
      </c>
      <c r="B892" t="s">
        <v>35014</v>
      </c>
      <c r="C892">
        <v>0.57465194713099998</v>
      </c>
      <c r="D892">
        <v>0.87577475595700005</v>
      </c>
      <c r="E892">
        <v>10.715999999999999</v>
      </c>
    </row>
    <row r="893" spans="1:5">
      <c r="A893" t="s">
        <v>35013</v>
      </c>
      <c r="B893" t="s">
        <v>35015</v>
      </c>
      <c r="C893">
        <f>0</f>
        <v>0</v>
      </c>
      <c r="D893">
        <v>0.87577475595700005</v>
      </c>
      <c r="E893">
        <v>10.715999999999999</v>
      </c>
    </row>
    <row r="894" spans="1:5">
      <c r="A894" t="s">
        <v>35013</v>
      </c>
      <c r="B894" t="s">
        <v>35016</v>
      </c>
      <c r="C894">
        <v>0</v>
      </c>
      <c r="D894">
        <v>0.87577475595700005</v>
      </c>
      <c r="E894">
        <v>10.715999999999999</v>
      </c>
    </row>
    <row r="895" spans="1:5">
      <c r="A895" t="s">
        <v>35013</v>
      </c>
      <c r="B895" t="s">
        <v>35017</v>
      </c>
      <c r="C895">
        <v>3.6024053454399997E-2</v>
      </c>
      <c r="D895">
        <v>0.87577475595700005</v>
      </c>
      <c r="E895">
        <v>10.715999999999999</v>
      </c>
    </row>
    <row r="896" spans="1:5">
      <c r="A896" t="s">
        <v>35013</v>
      </c>
      <c r="B896" t="s">
        <v>35018</v>
      </c>
      <c r="C896">
        <v>0</v>
      </c>
      <c r="D896">
        <v>0.87577475595700005</v>
      </c>
      <c r="E896">
        <v>10.715999999999999</v>
      </c>
    </row>
    <row r="897" spans="1:5">
      <c r="A897" t="s">
        <v>35013</v>
      </c>
      <c r="B897" t="s">
        <v>35019</v>
      </c>
      <c r="C897">
        <v>0</v>
      </c>
      <c r="D897">
        <v>0.87577475595700005</v>
      </c>
      <c r="E897">
        <v>10.715999999999999</v>
      </c>
    </row>
    <row r="898" spans="1:5">
      <c r="A898" t="s">
        <v>35020</v>
      </c>
      <c r="B898" t="s">
        <v>35021</v>
      </c>
      <c r="C898">
        <v>0</v>
      </c>
      <c r="D898" t="s">
        <v>106</v>
      </c>
      <c r="E898">
        <v>23.52</v>
      </c>
    </row>
    <row r="899" spans="1:5">
      <c r="A899" t="s">
        <v>35020</v>
      </c>
      <c r="B899" t="s">
        <v>35022</v>
      </c>
      <c r="C899">
        <v>0</v>
      </c>
      <c r="D899" t="s">
        <v>106</v>
      </c>
      <c r="E899">
        <v>23.52</v>
      </c>
    </row>
    <row r="900" spans="1:5">
      <c r="A900" t="s">
        <v>35020</v>
      </c>
      <c r="B900" t="s">
        <v>35023</v>
      </c>
      <c r="C900">
        <f>0</f>
        <v>0</v>
      </c>
      <c r="D900" t="s">
        <v>106</v>
      </c>
      <c r="E900">
        <v>23.52</v>
      </c>
    </row>
    <row r="901" spans="1:5">
      <c r="A901" t="s">
        <v>35024</v>
      </c>
      <c r="B901" t="s">
        <v>7488</v>
      </c>
      <c r="C901">
        <v>0.67578888764099998</v>
      </c>
      <c r="D901">
        <v>0.91623701365200005</v>
      </c>
      <c r="E901">
        <v>9.468</v>
      </c>
    </row>
    <row r="902" spans="1:5">
      <c r="A902" t="s">
        <v>35024</v>
      </c>
      <c r="B902" t="s">
        <v>7501</v>
      </c>
      <c r="C902">
        <v>0</v>
      </c>
      <c r="D902">
        <v>0.91623701365200005</v>
      </c>
      <c r="E902">
        <v>9.468</v>
      </c>
    </row>
    <row r="903" spans="1:5">
      <c r="A903" t="s">
        <v>35024</v>
      </c>
      <c r="B903" t="s">
        <v>7489</v>
      </c>
      <c r="C903">
        <v>0</v>
      </c>
      <c r="D903">
        <v>0.91623701365200005</v>
      </c>
      <c r="E903">
        <v>9.468</v>
      </c>
    </row>
    <row r="904" spans="1:5">
      <c r="A904" t="s">
        <v>35024</v>
      </c>
      <c r="B904" t="s">
        <v>7493</v>
      </c>
      <c r="C904">
        <v>5.4079394934699997E-3</v>
      </c>
      <c r="D904">
        <v>0.91623701365200005</v>
      </c>
      <c r="E904">
        <v>9.468</v>
      </c>
    </row>
    <row r="905" spans="1:5">
      <c r="A905" t="s">
        <v>35024</v>
      </c>
      <c r="B905" t="s">
        <v>7500</v>
      </c>
      <c r="C905">
        <v>0.25366685098699998</v>
      </c>
      <c r="D905">
        <v>0.91623701365200005</v>
      </c>
      <c r="E905">
        <v>9.468</v>
      </c>
    </row>
    <row r="906" spans="1:5">
      <c r="A906" t="s">
        <v>35024</v>
      </c>
      <c r="B906" t="s">
        <v>7492</v>
      </c>
      <c r="C906">
        <f>0</f>
        <v>0</v>
      </c>
      <c r="D906">
        <v>0.91623701365200005</v>
      </c>
      <c r="E906">
        <v>9.468</v>
      </c>
    </row>
    <row r="907" spans="1:5">
      <c r="A907" t="s">
        <v>35024</v>
      </c>
      <c r="B907" t="s">
        <v>7502</v>
      </c>
      <c r="C907">
        <v>0</v>
      </c>
      <c r="D907">
        <v>0.91623701365200005</v>
      </c>
      <c r="E907">
        <v>9.468</v>
      </c>
    </row>
    <row r="908" spans="1:5">
      <c r="A908" t="s">
        <v>35024</v>
      </c>
      <c r="B908" t="s">
        <v>7504</v>
      </c>
      <c r="C908">
        <f>0</f>
        <v>0</v>
      </c>
      <c r="D908">
        <v>0.91623701365200005</v>
      </c>
      <c r="E908">
        <v>9.468</v>
      </c>
    </row>
    <row r="909" spans="1:5">
      <c r="A909" t="s">
        <v>35024</v>
      </c>
      <c r="B909" t="s">
        <v>7499</v>
      </c>
      <c r="C909">
        <f>0</f>
        <v>0</v>
      </c>
      <c r="D909">
        <v>0.91623701365200005</v>
      </c>
      <c r="E909">
        <v>9.468</v>
      </c>
    </row>
    <row r="910" spans="1:5">
      <c r="A910" t="s">
        <v>35024</v>
      </c>
      <c r="B910" t="s">
        <v>7496</v>
      </c>
      <c r="C910">
        <v>0</v>
      </c>
      <c r="D910">
        <v>0.91623701365200005</v>
      </c>
      <c r="E910">
        <v>9.468</v>
      </c>
    </row>
    <row r="911" spans="1:5">
      <c r="A911" t="s">
        <v>35025</v>
      </c>
      <c r="B911" t="s">
        <v>28027</v>
      </c>
      <c r="C911">
        <v>0</v>
      </c>
      <c r="D911" t="s">
        <v>106</v>
      </c>
      <c r="E911">
        <v>20.292000000000002</v>
      </c>
    </row>
    <row r="912" spans="1:5">
      <c r="A912" t="s">
        <v>35025</v>
      </c>
      <c r="B912" t="s">
        <v>28033</v>
      </c>
      <c r="C912">
        <v>0</v>
      </c>
      <c r="D912" t="s">
        <v>106</v>
      </c>
      <c r="E912">
        <v>20.292000000000002</v>
      </c>
    </row>
    <row r="913" spans="1:5">
      <c r="A913" t="s">
        <v>35025</v>
      </c>
      <c r="B913" t="s">
        <v>28030</v>
      </c>
      <c r="C913">
        <f>0</f>
        <v>0</v>
      </c>
      <c r="D913" t="s">
        <v>106</v>
      </c>
      <c r="E913">
        <v>20.292000000000002</v>
      </c>
    </row>
    <row r="914" spans="1:5">
      <c r="A914" t="s">
        <v>35025</v>
      </c>
      <c r="B914" t="s">
        <v>28032</v>
      </c>
      <c r="C914">
        <f>0</f>
        <v>0</v>
      </c>
      <c r="D914" t="s">
        <v>106</v>
      </c>
      <c r="E914">
        <v>20.292000000000002</v>
      </c>
    </row>
    <row r="915" spans="1:5">
      <c r="A915" t="s">
        <v>35025</v>
      </c>
      <c r="B915" t="s">
        <v>28031</v>
      </c>
      <c r="C915">
        <v>0</v>
      </c>
      <c r="D915" t="s">
        <v>106</v>
      </c>
      <c r="E915">
        <v>20.292000000000002</v>
      </c>
    </row>
    <row r="916" spans="1:5">
      <c r="A916" t="s">
        <v>35026</v>
      </c>
      <c r="B916" t="s">
        <v>30350</v>
      </c>
      <c r="C916">
        <f>0</f>
        <v>0</v>
      </c>
      <c r="D916" t="s">
        <v>106</v>
      </c>
      <c r="E916">
        <v>6.0000000000000001E-3</v>
      </c>
    </row>
    <row r="917" spans="1:5">
      <c r="A917" t="s">
        <v>35026</v>
      </c>
      <c r="B917" t="s">
        <v>30345</v>
      </c>
      <c r="C917">
        <v>0</v>
      </c>
      <c r="D917" t="s">
        <v>106</v>
      </c>
      <c r="E917">
        <v>6.0000000000000001E-3</v>
      </c>
    </row>
    <row r="918" spans="1:5">
      <c r="A918" t="s">
        <v>35026</v>
      </c>
      <c r="B918" t="s">
        <v>30343</v>
      </c>
      <c r="C918">
        <v>0</v>
      </c>
      <c r="D918" t="s">
        <v>106</v>
      </c>
      <c r="E918">
        <v>6.0000000000000001E-3</v>
      </c>
    </row>
    <row r="919" spans="1:5">
      <c r="A919" t="s">
        <v>35026</v>
      </c>
      <c r="B919" t="s">
        <v>30355</v>
      </c>
      <c r="C919">
        <v>0</v>
      </c>
      <c r="D919" t="s">
        <v>106</v>
      </c>
      <c r="E919">
        <v>6.0000000000000001E-3</v>
      </c>
    </row>
    <row r="920" spans="1:5">
      <c r="A920" t="s">
        <v>35026</v>
      </c>
      <c r="B920" t="s">
        <v>30349</v>
      </c>
      <c r="C920">
        <f>0</f>
        <v>0</v>
      </c>
      <c r="D920" t="s">
        <v>106</v>
      </c>
      <c r="E920">
        <v>6.0000000000000001E-3</v>
      </c>
    </row>
    <row r="921" spans="1:5">
      <c r="A921" t="s">
        <v>35026</v>
      </c>
      <c r="B921" t="s">
        <v>30352</v>
      </c>
      <c r="C921">
        <v>0</v>
      </c>
      <c r="D921" t="s">
        <v>106</v>
      </c>
      <c r="E921">
        <v>6.0000000000000001E-3</v>
      </c>
    </row>
    <row r="922" spans="1:5">
      <c r="A922" t="s">
        <v>35026</v>
      </c>
      <c r="B922" t="s">
        <v>30353</v>
      </c>
      <c r="C922">
        <v>0</v>
      </c>
      <c r="D922" t="s">
        <v>106</v>
      </c>
      <c r="E922">
        <v>6.0000000000000001E-3</v>
      </c>
    </row>
    <row r="923" spans="1:5">
      <c r="A923" t="s">
        <v>35027</v>
      </c>
      <c r="B923" t="s">
        <v>30402</v>
      </c>
      <c r="C923">
        <v>0.87641206240900005</v>
      </c>
      <c r="D923">
        <v>0.99999871641100002</v>
      </c>
      <c r="E923">
        <v>19.853999999999999</v>
      </c>
    </row>
    <row r="924" spans="1:5">
      <c r="A924" t="s">
        <v>35027</v>
      </c>
      <c r="B924" t="s">
        <v>30407</v>
      </c>
      <c r="C924">
        <v>1.1223432477499999</v>
      </c>
      <c r="D924">
        <v>0.99999871641100002</v>
      </c>
      <c r="E924">
        <v>19.853999999999999</v>
      </c>
    </row>
    <row r="925" spans="1:5">
      <c r="A925" t="s">
        <v>35027</v>
      </c>
      <c r="B925" t="s">
        <v>30409</v>
      </c>
      <c r="C925">
        <f>-1.4156084679</f>
        <v>-1.4156084679000001</v>
      </c>
      <c r="D925">
        <v>0.99999871641100002</v>
      </c>
      <c r="E925">
        <v>19.853999999999999</v>
      </c>
    </row>
    <row r="926" spans="1:5">
      <c r="A926" t="s">
        <v>35027</v>
      </c>
      <c r="B926" t="s">
        <v>30404</v>
      </c>
      <c r="C926">
        <f>0.817801755057</f>
        <v>0.81780175505700003</v>
      </c>
      <c r="D926">
        <v>0.99999871641100002</v>
      </c>
      <c r="E926">
        <v>19.853999999999999</v>
      </c>
    </row>
    <row r="927" spans="1:5">
      <c r="A927" t="s">
        <v>35027</v>
      </c>
      <c r="B927" t="s">
        <v>30408</v>
      </c>
      <c r="C927">
        <f>0.10928342335</f>
        <v>0.10928342335000001</v>
      </c>
      <c r="D927">
        <v>0.99999871641100002</v>
      </c>
      <c r="E927">
        <v>19.853999999999999</v>
      </c>
    </row>
    <row r="928" spans="1:5">
      <c r="A928" t="s">
        <v>35027</v>
      </c>
      <c r="B928" t="s">
        <v>30405</v>
      </c>
      <c r="C928">
        <v>8.1149929984599994E-2</v>
      </c>
      <c r="D928">
        <v>0.99999871641100002</v>
      </c>
      <c r="E928">
        <v>19.853999999999999</v>
      </c>
    </row>
    <row r="929" spans="1:5">
      <c r="A929" t="s">
        <v>35027</v>
      </c>
      <c r="B929" t="s">
        <v>30406</v>
      </c>
      <c r="C929">
        <v>1.3658260439000001</v>
      </c>
      <c r="D929">
        <v>0.99999871641100002</v>
      </c>
      <c r="E929">
        <v>19.853999999999999</v>
      </c>
    </row>
    <row r="930" spans="1:5">
      <c r="A930" t="s">
        <v>35028</v>
      </c>
      <c r="B930" t="s">
        <v>18508</v>
      </c>
      <c r="C930">
        <f>0</f>
        <v>0</v>
      </c>
      <c r="D930">
        <v>0.76655861830600003</v>
      </c>
      <c r="E930">
        <v>3.78</v>
      </c>
    </row>
    <row r="931" spans="1:5">
      <c r="A931" t="s">
        <v>35028</v>
      </c>
      <c r="B931" t="s">
        <v>35029</v>
      </c>
      <c r="C931">
        <v>0</v>
      </c>
      <c r="D931">
        <v>0.76655861830600003</v>
      </c>
      <c r="E931">
        <v>3.78</v>
      </c>
    </row>
    <row r="932" spans="1:5">
      <c r="A932" t="s">
        <v>35028</v>
      </c>
      <c r="B932" t="s">
        <v>18511</v>
      </c>
      <c r="C932">
        <v>0.28842980682399999</v>
      </c>
      <c r="D932">
        <v>0.76655861830600003</v>
      </c>
      <c r="E932">
        <v>3.78</v>
      </c>
    </row>
    <row r="933" spans="1:5">
      <c r="A933" t="s">
        <v>35028</v>
      </c>
      <c r="B933" t="s">
        <v>18512</v>
      </c>
      <c r="C933">
        <v>0.103881352845</v>
      </c>
      <c r="D933">
        <v>0.76655861830600003</v>
      </c>
      <c r="E933">
        <v>3.78</v>
      </c>
    </row>
    <row r="934" spans="1:5">
      <c r="A934" t="s">
        <v>35030</v>
      </c>
      <c r="B934" t="s">
        <v>11116</v>
      </c>
      <c r="C934">
        <f>0.0620655088268</f>
        <v>6.2065508826800002E-2</v>
      </c>
      <c r="D934">
        <v>0.97118827814099995</v>
      </c>
      <c r="E934">
        <v>4.17</v>
      </c>
    </row>
    <row r="935" spans="1:5">
      <c r="A935" t="s">
        <v>35030</v>
      </c>
      <c r="B935" t="s">
        <v>11122</v>
      </c>
      <c r="C935">
        <f>0.234560609401</f>
        <v>0.23456060940099999</v>
      </c>
      <c r="D935">
        <v>0.97118827814099995</v>
      </c>
      <c r="E935">
        <v>4.17</v>
      </c>
    </row>
    <row r="936" spans="1:5">
      <c r="A936" t="s">
        <v>35030</v>
      </c>
      <c r="B936" t="s">
        <v>11119</v>
      </c>
      <c r="C936">
        <f>0.61012507825</f>
        <v>0.61012507824999995</v>
      </c>
      <c r="D936">
        <v>0.97118827814099995</v>
      </c>
      <c r="E936">
        <v>4.17</v>
      </c>
    </row>
    <row r="937" spans="1:5">
      <c r="A937" t="s">
        <v>35030</v>
      </c>
      <c r="B937" t="s">
        <v>11121</v>
      </c>
      <c r="C937">
        <v>0</v>
      </c>
      <c r="D937">
        <v>0.97118827814099995</v>
      </c>
      <c r="E937">
        <v>4.17</v>
      </c>
    </row>
    <row r="938" spans="1:5">
      <c r="A938" t="s">
        <v>35030</v>
      </c>
      <c r="B938" t="s">
        <v>11123</v>
      </c>
      <c r="C938">
        <f>0</f>
        <v>0</v>
      </c>
      <c r="D938">
        <v>0.97118827814099995</v>
      </c>
      <c r="E938">
        <v>4.17</v>
      </c>
    </row>
    <row r="939" spans="1:5">
      <c r="A939" t="s">
        <v>35030</v>
      </c>
      <c r="B939" t="s">
        <v>11120</v>
      </c>
      <c r="C939">
        <f>0</f>
        <v>0</v>
      </c>
      <c r="D939">
        <v>0.97118827814099995</v>
      </c>
      <c r="E939">
        <v>4.17</v>
      </c>
    </row>
    <row r="940" spans="1:5">
      <c r="A940" t="s">
        <v>35031</v>
      </c>
      <c r="B940" t="s">
        <v>35032</v>
      </c>
      <c r="C940">
        <v>0.345010629239</v>
      </c>
      <c r="D940">
        <v>0.82879478895900005</v>
      </c>
      <c r="E940">
        <v>8.7240000000000002</v>
      </c>
    </row>
    <row r="941" spans="1:5">
      <c r="A941" t="s">
        <v>35031</v>
      </c>
      <c r="B941" t="s">
        <v>35033</v>
      </c>
      <c r="C941">
        <v>0.61696017991499996</v>
      </c>
      <c r="D941">
        <v>0.82879478895900005</v>
      </c>
      <c r="E941">
        <v>8.7240000000000002</v>
      </c>
    </row>
    <row r="942" spans="1:5">
      <c r="A942" t="s">
        <v>35034</v>
      </c>
      <c r="B942" t="s">
        <v>14488</v>
      </c>
      <c r="C942">
        <f>0.245540712479</f>
        <v>0.245540712479</v>
      </c>
      <c r="D942">
        <v>0.99966599039600001</v>
      </c>
      <c r="E942">
        <v>4.5839999999999996</v>
      </c>
    </row>
    <row r="943" spans="1:5">
      <c r="A943" t="s">
        <v>35034</v>
      </c>
      <c r="B943" t="s">
        <v>14491</v>
      </c>
      <c r="C943">
        <f>0.959412413644</f>
        <v>0.95941241364399998</v>
      </c>
      <c r="D943">
        <v>0.99966599039600001</v>
      </c>
      <c r="E943">
        <v>4.5839999999999996</v>
      </c>
    </row>
    <row r="944" spans="1:5">
      <c r="A944" t="s">
        <v>35034</v>
      </c>
      <c r="B944" t="s">
        <v>14493</v>
      </c>
      <c r="C944">
        <v>5.4823179137000002</v>
      </c>
      <c r="D944">
        <v>0.99966599039600001</v>
      </c>
      <c r="E944">
        <v>4.5839999999999996</v>
      </c>
    </row>
    <row r="945" spans="1:5">
      <c r="A945" t="s">
        <v>35034</v>
      </c>
      <c r="B945" t="s">
        <v>14496</v>
      </c>
      <c r="C945">
        <f>0.149232304225</f>
        <v>0.149232304225</v>
      </c>
      <c r="D945">
        <v>0.99966599039600001</v>
      </c>
      <c r="E945">
        <v>4.5839999999999996</v>
      </c>
    </row>
    <row r="946" spans="1:5">
      <c r="A946" t="s">
        <v>35034</v>
      </c>
      <c r="B946" t="s">
        <v>14490</v>
      </c>
      <c r="C946">
        <f>-1.33435859304</f>
        <v>-1.3343585930399999</v>
      </c>
      <c r="D946">
        <v>0.99966599039600001</v>
      </c>
      <c r="E946">
        <v>4.5839999999999996</v>
      </c>
    </row>
    <row r="947" spans="1:5">
      <c r="A947" t="s">
        <v>35034</v>
      </c>
      <c r="B947" t="s">
        <v>14494</v>
      </c>
      <c r="C947">
        <f>0.398778122309</f>
        <v>0.398778122309</v>
      </c>
      <c r="D947">
        <v>0.99966599039600001</v>
      </c>
      <c r="E947">
        <v>4.5839999999999996</v>
      </c>
    </row>
    <row r="948" spans="1:5">
      <c r="A948" t="s">
        <v>35034</v>
      </c>
      <c r="B948" t="s">
        <v>14495</v>
      </c>
      <c r="C948">
        <f>0.257404187494</f>
        <v>0.25740418749400001</v>
      </c>
      <c r="D948">
        <v>0.99966599039600001</v>
      </c>
      <c r="E948">
        <v>4.5839999999999996</v>
      </c>
    </row>
    <row r="949" spans="1:5">
      <c r="A949" t="s">
        <v>35034</v>
      </c>
      <c r="B949" t="s">
        <v>14489</v>
      </c>
      <c r="C949">
        <f>-2.15861375979</f>
        <v>-2.1586137597900001</v>
      </c>
      <c r="D949">
        <v>0.99966599039600001</v>
      </c>
      <c r="E949">
        <v>4.5839999999999996</v>
      </c>
    </row>
    <row r="950" spans="1:5">
      <c r="A950" t="s">
        <v>35035</v>
      </c>
      <c r="B950" t="s">
        <v>35036</v>
      </c>
      <c r="C950">
        <v>0</v>
      </c>
      <c r="D950" t="s">
        <v>106</v>
      </c>
      <c r="E950">
        <v>23.754000000000001</v>
      </c>
    </row>
    <row r="951" spans="1:5">
      <c r="A951" t="s">
        <v>35035</v>
      </c>
      <c r="B951" t="s">
        <v>35037</v>
      </c>
      <c r="C951">
        <f>0</f>
        <v>0</v>
      </c>
      <c r="D951" t="s">
        <v>106</v>
      </c>
      <c r="E951">
        <v>23.754000000000001</v>
      </c>
    </row>
    <row r="952" spans="1:5">
      <c r="A952" t="s">
        <v>35035</v>
      </c>
      <c r="B952" t="s">
        <v>35038</v>
      </c>
      <c r="C952">
        <v>0</v>
      </c>
      <c r="D952" t="s">
        <v>106</v>
      </c>
      <c r="E952">
        <v>23.754000000000001</v>
      </c>
    </row>
    <row r="953" spans="1:5">
      <c r="A953" t="s">
        <v>35039</v>
      </c>
      <c r="B953" t="s">
        <v>8606</v>
      </c>
      <c r="C953">
        <v>0.77782728884399999</v>
      </c>
      <c r="D953">
        <v>0.88023728884399999</v>
      </c>
      <c r="E953">
        <v>2.964</v>
      </c>
    </row>
    <row r="954" spans="1:5">
      <c r="A954" t="s">
        <v>35039</v>
      </c>
      <c r="B954" t="s">
        <v>8614</v>
      </c>
      <c r="C954">
        <f>0</f>
        <v>0</v>
      </c>
      <c r="D954">
        <v>0.88023728884399999</v>
      </c>
      <c r="E954">
        <v>2.964</v>
      </c>
    </row>
    <row r="955" spans="1:5">
      <c r="A955" t="s">
        <v>35039</v>
      </c>
      <c r="B955" t="s">
        <v>8611</v>
      </c>
      <c r="C955">
        <f>0</f>
        <v>0</v>
      </c>
      <c r="D955">
        <v>0.88023728884399999</v>
      </c>
      <c r="E955">
        <v>2.964</v>
      </c>
    </row>
    <row r="956" spans="1:5">
      <c r="A956" t="s">
        <v>35040</v>
      </c>
      <c r="B956" t="s">
        <v>9579</v>
      </c>
      <c r="C956">
        <f>0.703415403634</f>
        <v>0.70341540363400001</v>
      </c>
      <c r="D956">
        <v>0.87067972544399996</v>
      </c>
      <c r="E956">
        <v>10.08</v>
      </c>
    </row>
    <row r="957" spans="1:5">
      <c r="A957" t="s">
        <v>35040</v>
      </c>
      <c r="B957" t="s">
        <v>9585</v>
      </c>
      <c r="C957">
        <v>0.36318867791199999</v>
      </c>
      <c r="D957">
        <v>0.87067972544399996</v>
      </c>
      <c r="E957">
        <v>10.08</v>
      </c>
    </row>
    <row r="958" spans="1:5">
      <c r="A958" t="s">
        <v>35040</v>
      </c>
      <c r="B958" t="s">
        <v>9581</v>
      </c>
      <c r="C958">
        <v>0</v>
      </c>
      <c r="D958">
        <v>0.87067972544399996</v>
      </c>
      <c r="E958">
        <v>10.08</v>
      </c>
    </row>
    <row r="959" spans="1:5">
      <c r="A959" t="s">
        <v>35040</v>
      </c>
      <c r="B959" t="s">
        <v>9583</v>
      </c>
      <c r="C959">
        <v>5.8503724423099999E-2</v>
      </c>
      <c r="D959">
        <v>0.87067972544399996</v>
      </c>
      <c r="E959">
        <v>10.08</v>
      </c>
    </row>
    <row r="960" spans="1:5">
      <c r="A960" t="s">
        <v>35040</v>
      </c>
      <c r="B960" t="s">
        <v>9580</v>
      </c>
      <c r="C960">
        <f>0</f>
        <v>0</v>
      </c>
      <c r="D960">
        <v>0.87067972544399996</v>
      </c>
      <c r="E960">
        <v>10.08</v>
      </c>
    </row>
    <row r="961" spans="1:5">
      <c r="A961" t="s">
        <v>35041</v>
      </c>
      <c r="B961" t="s">
        <v>28719</v>
      </c>
      <c r="C961">
        <v>0</v>
      </c>
      <c r="D961" t="s">
        <v>106</v>
      </c>
      <c r="E961">
        <v>23.754000000000001</v>
      </c>
    </row>
    <row r="962" spans="1:5">
      <c r="A962" t="s">
        <v>35041</v>
      </c>
      <c r="B962" t="s">
        <v>28725</v>
      </c>
      <c r="C962">
        <v>0</v>
      </c>
      <c r="D962" t="s">
        <v>106</v>
      </c>
      <c r="E962">
        <v>23.754000000000001</v>
      </c>
    </row>
    <row r="963" spans="1:5">
      <c r="A963" t="s">
        <v>35041</v>
      </c>
      <c r="B963" t="s">
        <v>28721</v>
      </c>
      <c r="C963">
        <f>0</f>
        <v>0</v>
      </c>
      <c r="D963" t="s">
        <v>106</v>
      </c>
      <c r="E963">
        <v>23.754000000000001</v>
      </c>
    </row>
    <row r="964" spans="1:5">
      <c r="A964" t="s">
        <v>35041</v>
      </c>
      <c r="B964" t="s">
        <v>28723</v>
      </c>
      <c r="C964">
        <f>0</f>
        <v>0</v>
      </c>
      <c r="D964" t="s">
        <v>106</v>
      </c>
      <c r="E964">
        <v>23.754000000000001</v>
      </c>
    </row>
    <row r="965" spans="1:5">
      <c r="A965" t="s">
        <v>35041</v>
      </c>
      <c r="B965" t="s">
        <v>28722</v>
      </c>
      <c r="C965">
        <f>0</f>
        <v>0</v>
      </c>
      <c r="D965" t="s">
        <v>106</v>
      </c>
      <c r="E965">
        <v>23.754000000000001</v>
      </c>
    </row>
    <row r="966" spans="1:5">
      <c r="A966" t="s">
        <v>35042</v>
      </c>
      <c r="B966" t="s">
        <v>35043</v>
      </c>
      <c r="C966">
        <f>0.432116417384</f>
        <v>0.43211641738399997</v>
      </c>
      <c r="D966">
        <v>0.78799091645399999</v>
      </c>
      <c r="E966">
        <v>0.504</v>
      </c>
    </row>
    <row r="967" spans="1:5">
      <c r="A967" t="s">
        <v>35042</v>
      </c>
      <c r="B967" t="s">
        <v>35044</v>
      </c>
      <c r="C967">
        <f>0.368994085751</f>
        <v>0.36899408575100001</v>
      </c>
      <c r="D967">
        <v>0.78799091645399999</v>
      </c>
      <c r="E967">
        <v>0.504</v>
      </c>
    </row>
    <row r="968" spans="1:5">
      <c r="A968" t="s">
        <v>35042</v>
      </c>
      <c r="B968" t="s">
        <v>35045</v>
      </c>
      <c r="C968">
        <f>0</f>
        <v>0</v>
      </c>
      <c r="D968">
        <v>0.78799091645399999</v>
      </c>
      <c r="E968">
        <v>0.504</v>
      </c>
    </row>
    <row r="969" spans="1:5">
      <c r="A969" t="s">
        <v>35042</v>
      </c>
      <c r="B969" t="s">
        <v>35046</v>
      </c>
      <c r="C969">
        <f>0</f>
        <v>0</v>
      </c>
      <c r="D969">
        <v>0.78799091645399999</v>
      </c>
      <c r="E969">
        <v>0.504</v>
      </c>
    </row>
    <row r="970" spans="1:5">
      <c r="A970" t="s">
        <v>35042</v>
      </c>
      <c r="B970" t="s">
        <v>35047</v>
      </c>
      <c r="C970">
        <v>0.17742021832800001</v>
      </c>
      <c r="D970">
        <v>0.78799091645399999</v>
      </c>
      <c r="E970">
        <v>0.504</v>
      </c>
    </row>
    <row r="971" spans="1:5">
      <c r="A971" t="s">
        <v>35048</v>
      </c>
      <c r="B971" t="s">
        <v>8175</v>
      </c>
      <c r="C971">
        <f>0</f>
        <v>0</v>
      </c>
      <c r="D971" t="s">
        <v>106</v>
      </c>
      <c r="E971">
        <v>15.51</v>
      </c>
    </row>
    <row r="972" spans="1:5">
      <c r="A972" t="s">
        <v>35048</v>
      </c>
      <c r="B972" t="s">
        <v>8173</v>
      </c>
      <c r="C972">
        <v>0</v>
      </c>
      <c r="D972" t="s">
        <v>106</v>
      </c>
      <c r="E972">
        <v>15.51</v>
      </c>
    </row>
    <row r="973" spans="1:5">
      <c r="A973" t="s">
        <v>35048</v>
      </c>
      <c r="B973" t="s">
        <v>8176</v>
      </c>
      <c r="C973">
        <f>0</f>
        <v>0</v>
      </c>
      <c r="D973" t="s">
        <v>106</v>
      </c>
      <c r="E973">
        <v>15.51</v>
      </c>
    </row>
    <row r="974" spans="1:5">
      <c r="A974" t="s">
        <v>35048</v>
      </c>
      <c r="B974" t="s">
        <v>8172</v>
      </c>
      <c r="C974">
        <v>0</v>
      </c>
      <c r="D974" t="s">
        <v>106</v>
      </c>
      <c r="E974">
        <v>15.51</v>
      </c>
    </row>
    <row r="975" spans="1:5">
      <c r="A975" t="s">
        <v>35048</v>
      </c>
      <c r="B975" t="s">
        <v>8174</v>
      </c>
      <c r="C975">
        <v>0</v>
      </c>
      <c r="D975" t="s">
        <v>106</v>
      </c>
      <c r="E975">
        <v>15.51</v>
      </c>
    </row>
    <row r="976" spans="1:5">
      <c r="A976" t="s">
        <v>35048</v>
      </c>
      <c r="B976" t="s">
        <v>8168</v>
      </c>
      <c r="C976">
        <f>0</f>
        <v>0</v>
      </c>
      <c r="D976" t="s">
        <v>106</v>
      </c>
      <c r="E976">
        <v>15.51</v>
      </c>
    </row>
    <row r="977" spans="1:5">
      <c r="A977" t="s">
        <v>35049</v>
      </c>
      <c r="B977" t="s">
        <v>23257</v>
      </c>
      <c r="C977">
        <v>0</v>
      </c>
      <c r="D977" t="s">
        <v>106</v>
      </c>
      <c r="E977">
        <v>2.556</v>
      </c>
    </row>
    <row r="978" spans="1:5">
      <c r="A978" t="s">
        <v>35049</v>
      </c>
      <c r="B978" t="s">
        <v>23263</v>
      </c>
      <c r="C978">
        <f>0</f>
        <v>0</v>
      </c>
      <c r="D978" t="s">
        <v>106</v>
      </c>
      <c r="E978">
        <v>2.556</v>
      </c>
    </row>
    <row r="979" spans="1:5">
      <c r="A979" t="s">
        <v>35050</v>
      </c>
      <c r="B979" t="s">
        <v>5643</v>
      </c>
      <c r="C979">
        <v>0</v>
      </c>
      <c r="D979" t="s">
        <v>106</v>
      </c>
      <c r="E979">
        <v>0</v>
      </c>
    </row>
    <row r="980" spans="1:5">
      <c r="A980" t="s">
        <v>35050</v>
      </c>
      <c r="B980" t="s">
        <v>5645</v>
      </c>
      <c r="C980">
        <f>0</f>
        <v>0</v>
      </c>
      <c r="D980" t="s">
        <v>106</v>
      </c>
      <c r="E980">
        <v>0</v>
      </c>
    </row>
    <row r="981" spans="1:5">
      <c r="A981" t="s">
        <v>35050</v>
      </c>
      <c r="B981" t="s">
        <v>5650</v>
      </c>
      <c r="C981">
        <f>0</f>
        <v>0</v>
      </c>
      <c r="D981" t="s">
        <v>106</v>
      </c>
      <c r="E981">
        <v>0</v>
      </c>
    </row>
    <row r="982" spans="1:5">
      <c r="A982" t="s">
        <v>35050</v>
      </c>
      <c r="B982" t="s">
        <v>5648</v>
      </c>
      <c r="C982">
        <f>0</f>
        <v>0</v>
      </c>
      <c r="D982" t="s">
        <v>106</v>
      </c>
      <c r="E982">
        <v>0</v>
      </c>
    </row>
    <row r="983" spans="1:5">
      <c r="A983" t="s">
        <v>35050</v>
      </c>
      <c r="B983" t="s">
        <v>5649</v>
      </c>
      <c r="C983">
        <v>0</v>
      </c>
      <c r="D983" t="s">
        <v>106</v>
      </c>
      <c r="E983">
        <v>0</v>
      </c>
    </row>
    <row r="984" spans="1:5">
      <c r="A984" t="s">
        <v>35050</v>
      </c>
      <c r="B984" t="s">
        <v>5646</v>
      </c>
      <c r="C984">
        <v>0</v>
      </c>
      <c r="D984" t="s">
        <v>106</v>
      </c>
      <c r="E984">
        <v>0</v>
      </c>
    </row>
    <row r="985" spans="1:5">
      <c r="A985" t="s">
        <v>35051</v>
      </c>
      <c r="B985" t="s">
        <v>24715</v>
      </c>
      <c r="C985">
        <f>0</f>
        <v>0</v>
      </c>
      <c r="D985" t="s">
        <v>106</v>
      </c>
      <c r="E985">
        <v>7.734</v>
      </c>
    </row>
    <row r="986" spans="1:5">
      <c r="A986" t="s">
        <v>35051</v>
      </c>
      <c r="B986" t="s">
        <v>24714</v>
      </c>
      <c r="C986">
        <v>0</v>
      </c>
      <c r="D986" t="s">
        <v>106</v>
      </c>
      <c r="E986">
        <v>7.734</v>
      </c>
    </row>
    <row r="987" spans="1:5">
      <c r="A987" t="s">
        <v>35051</v>
      </c>
      <c r="B987" t="s">
        <v>24720</v>
      </c>
      <c r="C987">
        <f>0</f>
        <v>0</v>
      </c>
      <c r="D987" t="s">
        <v>106</v>
      </c>
      <c r="E987">
        <v>7.734</v>
      </c>
    </row>
    <row r="988" spans="1:5">
      <c r="A988" t="s">
        <v>35052</v>
      </c>
      <c r="B988" t="s">
        <v>35053</v>
      </c>
      <c r="C988">
        <v>0</v>
      </c>
      <c r="D988" t="s">
        <v>106</v>
      </c>
      <c r="E988">
        <v>1.3919999999999999</v>
      </c>
    </row>
    <row r="989" spans="1:5">
      <c r="A989" t="s">
        <v>35052</v>
      </c>
      <c r="B989" t="s">
        <v>35054</v>
      </c>
      <c r="C989">
        <v>0</v>
      </c>
      <c r="D989" t="s">
        <v>106</v>
      </c>
      <c r="E989">
        <v>1.3919999999999999</v>
      </c>
    </row>
    <row r="990" spans="1:5">
      <c r="A990" t="s">
        <v>35052</v>
      </c>
      <c r="B990" t="s">
        <v>35055</v>
      </c>
      <c r="C990">
        <f>0</f>
        <v>0</v>
      </c>
      <c r="D990" t="s">
        <v>106</v>
      </c>
      <c r="E990">
        <v>1.3919999999999999</v>
      </c>
    </row>
    <row r="991" spans="1:5">
      <c r="A991" t="s">
        <v>35056</v>
      </c>
      <c r="B991" t="s">
        <v>7757</v>
      </c>
      <c r="C991">
        <v>0.28470532554700001</v>
      </c>
      <c r="D991">
        <v>0.94718581928800005</v>
      </c>
      <c r="E991">
        <v>4.5839999999999996</v>
      </c>
    </row>
    <row r="992" spans="1:5">
      <c r="A992" t="s">
        <v>35056</v>
      </c>
      <c r="B992" t="s">
        <v>7755</v>
      </c>
      <c r="C992">
        <v>0.34667758113500002</v>
      </c>
      <c r="D992">
        <v>0.94718581928800005</v>
      </c>
      <c r="E992">
        <v>4.5839999999999996</v>
      </c>
    </row>
    <row r="993" spans="1:5">
      <c r="A993" t="s">
        <v>35056</v>
      </c>
      <c r="B993" t="s">
        <v>7761</v>
      </c>
      <c r="C993">
        <f>0</f>
        <v>0</v>
      </c>
      <c r="D993">
        <v>0.94718581928800005</v>
      </c>
      <c r="E993">
        <v>4.5839999999999996</v>
      </c>
    </row>
    <row r="994" spans="1:5">
      <c r="A994" t="s">
        <v>35056</v>
      </c>
      <c r="B994" t="s">
        <v>7756</v>
      </c>
      <c r="C994">
        <v>0.62379203396899996</v>
      </c>
      <c r="D994">
        <v>0.94718581928800005</v>
      </c>
      <c r="E994">
        <v>4.5839999999999996</v>
      </c>
    </row>
    <row r="995" spans="1:5">
      <c r="A995" t="s">
        <v>35056</v>
      </c>
      <c r="B995" t="s">
        <v>7760</v>
      </c>
      <c r="C995">
        <f>0.0292152631732</f>
        <v>2.9215263173200001E-2</v>
      </c>
      <c r="D995">
        <v>0.94718581928800005</v>
      </c>
      <c r="E995">
        <v>4.5839999999999996</v>
      </c>
    </row>
    <row r="996" spans="1:5">
      <c r="A996" t="s">
        <v>35057</v>
      </c>
      <c r="B996" t="s">
        <v>35058</v>
      </c>
      <c r="C996">
        <v>0</v>
      </c>
      <c r="D996" t="s">
        <v>106</v>
      </c>
      <c r="E996">
        <v>1.452</v>
      </c>
    </row>
    <row r="997" spans="1:5">
      <c r="A997" t="s">
        <v>35057</v>
      </c>
      <c r="B997" t="s">
        <v>35059</v>
      </c>
      <c r="C997">
        <f>0</f>
        <v>0</v>
      </c>
      <c r="D997" t="s">
        <v>106</v>
      </c>
      <c r="E997">
        <v>1.452</v>
      </c>
    </row>
    <row r="998" spans="1:5">
      <c r="A998" t="s">
        <v>35057</v>
      </c>
      <c r="B998" t="s">
        <v>35060</v>
      </c>
      <c r="C998">
        <v>0</v>
      </c>
      <c r="D998" t="s">
        <v>106</v>
      </c>
      <c r="E998">
        <v>1.452</v>
      </c>
    </row>
    <row r="999" spans="1:5">
      <c r="A999" t="s">
        <v>35061</v>
      </c>
      <c r="B999" t="s">
        <v>33569</v>
      </c>
      <c r="C999">
        <v>2.5542857275399999</v>
      </c>
      <c r="D999">
        <v>0.89534804386099998</v>
      </c>
      <c r="E999">
        <v>9.0180000000000007</v>
      </c>
    </row>
    <row r="1000" spans="1:5">
      <c r="A1000" t="s">
        <v>35061</v>
      </c>
      <c r="B1000" t="s">
        <v>33571</v>
      </c>
      <c r="C1000">
        <f>-2.37737817533</f>
        <v>-2.3773781753300001</v>
      </c>
      <c r="D1000">
        <v>0.89534804386099998</v>
      </c>
      <c r="E1000">
        <v>9.0180000000000007</v>
      </c>
    </row>
    <row r="1001" spans="1:5">
      <c r="A1001" t="s">
        <v>35061</v>
      </c>
      <c r="B1001" t="s">
        <v>33572</v>
      </c>
      <c r="C1001">
        <v>0.40081802026800001</v>
      </c>
      <c r="D1001">
        <v>0.89534804386099998</v>
      </c>
      <c r="E1001">
        <v>9.0180000000000007</v>
      </c>
    </row>
    <row r="1002" spans="1:5">
      <c r="A1002" t="s">
        <v>35062</v>
      </c>
      <c r="B1002" t="s">
        <v>19579</v>
      </c>
      <c r="C1002">
        <f>0</f>
        <v>0</v>
      </c>
      <c r="D1002">
        <v>0.71045946476199995</v>
      </c>
      <c r="E1002">
        <v>10.554</v>
      </c>
    </row>
    <row r="1003" spans="1:5">
      <c r="A1003" t="s">
        <v>35062</v>
      </c>
      <c r="B1003" t="s">
        <v>19580</v>
      </c>
      <c r="C1003">
        <v>0.19204946476199999</v>
      </c>
      <c r="D1003">
        <v>0.71045946476199995</v>
      </c>
      <c r="E1003">
        <v>10.554</v>
      </c>
    </row>
    <row r="1004" spans="1:5">
      <c r="A1004" t="s">
        <v>35062</v>
      </c>
      <c r="B1004" t="s">
        <v>19582</v>
      </c>
      <c r="C1004">
        <v>0</v>
      </c>
      <c r="D1004">
        <v>0.71045946476199995</v>
      </c>
      <c r="E1004">
        <v>10.554</v>
      </c>
    </row>
    <row r="1005" spans="1:5">
      <c r="A1005" t="s">
        <v>35063</v>
      </c>
      <c r="B1005" t="s">
        <v>17034</v>
      </c>
      <c r="C1005">
        <v>0</v>
      </c>
      <c r="D1005" t="s">
        <v>106</v>
      </c>
      <c r="E1005">
        <v>24</v>
      </c>
    </row>
    <row r="1006" spans="1:5">
      <c r="A1006" t="s">
        <v>35063</v>
      </c>
      <c r="B1006" t="s">
        <v>17033</v>
      </c>
      <c r="C1006">
        <v>0</v>
      </c>
      <c r="D1006" t="s">
        <v>106</v>
      </c>
      <c r="E1006">
        <v>24</v>
      </c>
    </row>
    <row r="1007" spans="1:5">
      <c r="A1007" t="s">
        <v>35064</v>
      </c>
      <c r="B1007" t="s">
        <v>35065</v>
      </c>
      <c r="C1007">
        <v>0</v>
      </c>
      <c r="D1007" t="s">
        <v>106</v>
      </c>
      <c r="E1007">
        <v>2.802</v>
      </c>
    </row>
    <row r="1008" spans="1:5">
      <c r="A1008" t="s">
        <v>35064</v>
      </c>
      <c r="B1008" t="s">
        <v>35066</v>
      </c>
      <c r="C1008">
        <f>0</f>
        <v>0</v>
      </c>
      <c r="D1008" t="s">
        <v>106</v>
      </c>
      <c r="E1008">
        <v>2.802</v>
      </c>
    </row>
    <row r="1009" spans="1:5">
      <c r="A1009" t="s">
        <v>35064</v>
      </c>
      <c r="B1009" t="s">
        <v>35067</v>
      </c>
      <c r="C1009">
        <v>0</v>
      </c>
      <c r="D1009" t="s">
        <v>106</v>
      </c>
      <c r="E1009">
        <v>2.802</v>
      </c>
    </row>
    <row r="1010" spans="1:5">
      <c r="A1010" t="s">
        <v>35068</v>
      </c>
      <c r="B1010" t="s">
        <v>35069</v>
      </c>
      <c r="C1010">
        <f>0</f>
        <v>0</v>
      </c>
      <c r="D1010" t="s">
        <v>106</v>
      </c>
      <c r="E1010">
        <v>24</v>
      </c>
    </row>
    <row r="1011" spans="1:5">
      <c r="A1011" t="s">
        <v>35068</v>
      </c>
      <c r="B1011" t="s">
        <v>35070</v>
      </c>
      <c r="C1011">
        <v>0</v>
      </c>
      <c r="D1011" t="s">
        <v>106</v>
      </c>
      <c r="E1011">
        <v>24</v>
      </c>
    </row>
    <row r="1012" spans="1:5">
      <c r="A1012" t="s">
        <v>35071</v>
      </c>
      <c r="B1012" t="s">
        <v>31069</v>
      </c>
      <c r="C1012">
        <v>0.471786750807</v>
      </c>
      <c r="D1012">
        <v>0.75307187982099999</v>
      </c>
      <c r="E1012">
        <v>5.58</v>
      </c>
    </row>
    <row r="1013" spans="1:5">
      <c r="A1013" t="s">
        <v>35071</v>
      </c>
      <c r="B1013" t="s">
        <v>31070</v>
      </c>
      <c r="C1013">
        <v>0.31639709167899999</v>
      </c>
      <c r="D1013">
        <v>0.75307187982099999</v>
      </c>
      <c r="E1013">
        <v>5.58</v>
      </c>
    </row>
    <row r="1014" spans="1:5">
      <c r="A1014" t="s">
        <v>35071</v>
      </c>
      <c r="B1014" t="s">
        <v>31072</v>
      </c>
      <c r="C1014">
        <v>5.94401931277E-4</v>
      </c>
      <c r="D1014">
        <v>0.75307187982099999</v>
      </c>
      <c r="E1014">
        <v>5.58</v>
      </c>
    </row>
    <row r="1015" spans="1:5">
      <c r="A1015" t="s">
        <v>35072</v>
      </c>
      <c r="B1015" t="s">
        <v>35073</v>
      </c>
      <c r="C1015">
        <v>0.65276850157199995</v>
      </c>
      <c r="D1015">
        <v>0.99999832759700003</v>
      </c>
      <c r="E1015">
        <v>11.706</v>
      </c>
    </row>
    <row r="1016" spans="1:5">
      <c r="A1016" t="s">
        <v>35072</v>
      </c>
      <c r="B1016" t="s">
        <v>35074</v>
      </c>
      <c r="C1016">
        <f>0.352784909051</f>
        <v>0.35278490905100002</v>
      </c>
      <c r="D1016">
        <v>0.99999832759700003</v>
      </c>
      <c r="E1016">
        <v>11.706</v>
      </c>
    </row>
    <row r="1017" spans="1:5">
      <c r="A1017" t="s">
        <v>35072</v>
      </c>
      <c r="B1017" t="s">
        <v>35075</v>
      </c>
      <c r="C1017">
        <f>0.132162627058</f>
        <v>0.132162627058</v>
      </c>
      <c r="D1017">
        <v>0.99999832759700003</v>
      </c>
      <c r="E1017">
        <v>11.706</v>
      </c>
    </row>
    <row r="1018" spans="1:5">
      <c r="A1018" t="s">
        <v>35072</v>
      </c>
      <c r="B1018" t="s">
        <v>35076</v>
      </c>
      <c r="C1018">
        <v>0.74512613681999995</v>
      </c>
      <c r="D1018">
        <v>0.99999832759700003</v>
      </c>
      <c r="E1018">
        <v>11.706</v>
      </c>
    </row>
    <row r="1019" spans="1:5">
      <c r="A1019" t="s">
        <v>35072</v>
      </c>
      <c r="B1019" t="s">
        <v>35077</v>
      </c>
      <c r="C1019">
        <f>0.619983712893</f>
        <v>0.61998371289300003</v>
      </c>
      <c r="D1019">
        <v>0.99999832759700003</v>
      </c>
      <c r="E1019">
        <v>11.706</v>
      </c>
    </row>
    <row r="1020" spans="1:5">
      <c r="A1020" t="s">
        <v>35072</v>
      </c>
      <c r="B1020" t="s">
        <v>35078</v>
      </c>
      <c r="C1020">
        <v>0.311411396033</v>
      </c>
      <c r="D1020">
        <v>0.99999832759700003</v>
      </c>
      <c r="E1020">
        <v>11.706</v>
      </c>
    </row>
    <row r="1021" spans="1:5">
      <c r="A1021" t="s">
        <v>35072</v>
      </c>
      <c r="B1021" t="s">
        <v>35079</v>
      </c>
      <c r="C1021">
        <f>0.678927272916</f>
        <v>0.67892727291599997</v>
      </c>
      <c r="D1021">
        <v>0.99999832759700003</v>
      </c>
      <c r="E1021">
        <v>11.706</v>
      </c>
    </row>
    <row r="1022" spans="1:5">
      <c r="A1022" t="s">
        <v>35080</v>
      </c>
      <c r="B1022" t="s">
        <v>14686</v>
      </c>
      <c r="C1022">
        <v>0</v>
      </c>
      <c r="D1022" t="s">
        <v>106</v>
      </c>
      <c r="E1022">
        <v>24</v>
      </c>
    </row>
    <row r="1023" spans="1:5">
      <c r="A1023" t="s">
        <v>35080</v>
      </c>
      <c r="B1023" t="s">
        <v>14684</v>
      </c>
      <c r="C1023">
        <f>0</f>
        <v>0</v>
      </c>
      <c r="D1023" t="s">
        <v>106</v>
      </c>
      <c r="E1023">
        <v>24</v>
      </c>
    </row>
    <row r="1024" spans="1:5">
      <c r="A1024" t="s">
        <v>35081</v>
      </c>
      <c r="B1024" t="s">
        <v>16316</v>
      </c>
      <c r="C1024">
        <v>1.04745259838</v>
      </c>
      <c r="D1024">
        <v>0.760618891096</v>
      </c>
      <c r="E1024">
        <v>4.9080000000000004</v>
      </c>
    </row>
    <row r="1025" spans="1:5">
      <c r="A1025" t="s">
        <v>35081</v>
      </c>
      <c r="B1025" t="s">
        <v>16321</v>
      </c>
      <c r="C1025">
        <f>0.110097998397</f>
        <v>0.110097998397</v>
      </c>
      <c r="D1025">
        <v>0.760618891096</v>
      </c>
      <c r="E1025">
        <v>4.9080000000000004</v>
      </c>
    </row>
    <row r="1026" spans="1:5">
      <c r="A1026" t="s">
        <v>35081</v>
      </c>
      <c r="B1026" t="s">
        <v>16318</v>
      </c>
      <c r="C1026">
        <f>0.582938830365</f>
        <v>0.58293883036500005</v>
      </c>
      <c r="D1026">
        <v>0.760618891096</v>
      </c>
      <c r="E1026">
        <v>4.9080000000000004</v>
      </c>
    </row>
    <row r="1027" spans="1:5">
      <c r="A1027" t="s">
        <v>35082</v>
      </c>
      <c r="B1027" t="s">
        <v>22088</v>
      </c>
      <c r="C1027">
        <v>0.47469736596500001</v>
      </c>
      <c r="D1027">
        <v>0.74855609627099995</v>
      </c>
      <c r="E1027">
        <v>5.9340000000000002</v>
      </c>
    </row>
    <row r="1028" spans="1:5">
      <c r="A1028" t="s">
        <v>35082</v>
      </c>
      <c r="B1028" t="s">
        <v>22089</v>
      </c>
      <c r="C1028">
        <v>0.102941857607</v>
      </c>
      <c r="D1028">
        <v>0.74855609627099995</v>
      </c>
      <c r="E1028">
        <v>5.9340000000000002</v>
      </c>
    </row>
    <row r="1029" spans="1:5">
      <c r="A1029" t="s">
        <v>35082</v>
      </c>
      <c r="B1029" t="s">
        <v>22091</v>
      </c>
      <c r="C1029">
        <v>7.17847650457E-2</v>
      </c>
      <c r="D1029">
        <v>0.74855609627099995</v>
      </c>
      <c r="E1029">
        <v>5.9340000000000002</v>
      </c>
    </row>
    <row r="1030" spans="1:5">
      <c r="A1030" t="s">
        <v>35082</v>
      </c>
      <c r="B1030" t="s">
        <v>22093</v>
      </c>
      <c r="C1030">
        <v>0</v>
      </c>
      <c r="D1030">
        <v>0.74855609627099995</v>
      </c>
      <c r="E1030">
        <v>5.9340000000000002</v>
      </c>
    </row>
    <row r="1031" spans="1:5">
      <c r="A1031" t="s">
        <v>35082</v>
      </c>
      <c r="B1031" t="s">
        <v>22090</v>
      </c>
      <c r="C1031">
        <v>0</v>
      </c>
      <c r="D1031">
        <v>0.74855609627099995</v>
      </c>
      <c r="E1031">
        <v>5.9340000000000002</v>
      </c>
    </row>
    <row r="1032" spans="1:5">
      <c r="A1032" t="s">
        <v>35083</v>
      </c>
      <c r="B1032" t="s">
        <v>4784</v>
      </c>
      <c r="C1032">
        <v>0.244185923414</v>
      </c>
      <c r="D1032">
        <v>0.82983827914099995</v>
      </c>
      <c r="E1032">
        <v>1.3380000000000001</v>
      </c>
    </row>
    <row r="1033" spans="1:5">
      <c r="A1033" t="s">
        <v>35083</v>
      </c>
      <c r="B1033" t="s">
        <v>4790</v>
      </c>
      <c r="C1033">
        <v>0</v>
      </c>
      <c r="D1033">
        <v>0.82983827914099995</v>
      </c>
      <c r="E1033">
        <v>1.3380000000000001</v>
      </c>
    </row>
    <row r="1034" spans="1:5">
      <c r="A1034" t="s">
        <v>35083</v>
      </c>
      <c r="B1034" t="s">
        <v>4793</v>
      </c>
      <c r="C1034">
        <v>0</v>
      </c>
      <c r="D1034">
        <v>0.82983827914099995</v>
      </c>
      <c r="E1034">
        <v>1.3380000000000001</v>
      </c>
    </row>
    <row r="1035" spans="1:5">
      <c r="A1035" t="s">
        <v>35083</v>
      </c>
      <c r="B1035" t="s">
        <v>4787</v>
      </c>
      <c r="C1035">
        <f>0</f>
        <v>0</v>
      </c>
      <c r="D1035">
        <v>0.82983827914099995</v>
      </c>
      <c r="E1035">
        <v>1.3380000000000001</v>
      </c>
    </row>
    <row r="1036" spans="1:5">
      <c r="A1036" t="s">
        <v>35083</v>
      </c>
      <c r="B1036" t="s">
        <v>4785</v>
      </c>
      <c r="C1036">
        <v>0.286181360745</v>
      </c>
      <c r="D1036">
        <v>0.82983827914099995</v>
      </c>
      <c r="E1036">
        <v>1.3380000000000001</v>
      </c>
    </row>
    <row r="1037" spans="1:5">
      <c r="A1037" t="s">
        <v>35083</v>
      </c>
      <c r="B1037" t="s">
        <v>4789</v>
      </c>
      <c r="C1037">
        <v>0</v>
      </c>
      <c r="D1037">
        <v>0.82983827914099995</v>
      </c>
      <c r="E1037">
        <v>1.3380000000000001</v>
      </c>
    </row>
    <row r="1038" spans="1:5">
      <c r="A1038" t="s">
        <v>35083</v>
      </c>
      <c r="B1038" t="s">
        <v>4786</v>
      </c>
      <c r="C1038">
        <f>0</f>
        <v>0</v>
      </c>
      <c r="D1038">
        <v>0.82983827914099995</v>
      </c>
      <c r="E1038">
        <v>1.3380000000000001</v>
      </c>
    </row>
    <row r="1039" spans="1:5">
      <c r="A1039" t="s">
        <v>35083</v>
      </c>
      <c r="B1039" t="s">
        <v>4792</v>
      </c>
      <c r="C1039">
        <v>8.8406451094799998E-2</v>
      </c>
      <c r="D1039">
        <v>0.82983827914099995</v>
      </c>
      <c r="E1039">
        <v>1.3380000000000001</v>
      </c>
    </row>
    <row r="1040" spans="1:5">
      <c r="A1040" t="s">
        <v>35084</v>
      </c>
      <c r="B1040" t="s">
        <v>35085</v>
      </c>
      <c r="C1040">
        <v>4.3746974467699998E-3</v>
      </c>
      <c r="D1040">
        <v>0.95617771559800002</v>
      </c>
      <c r="E1040">
        <v>7.8719999999999999</v>
      </c>
    </row>
    <row r="1041" spans="1:5">
      <c r="A1041" t="s">
        <v>35084</v>
      </c>
      <c r="B1041" t="s">
        <v>35086</v>
      </c>
      <c r="C1041">
        <f>0</f>
        <v>0</v>
      </c>
      <c r="D1041">
        <v>0.95617771559800002</v>
      </c>
      <c r="E1041">
        <v>7.8719999999999999</v>
      </c>
    </row>
    <row r="1042" spans="1:5">
      <c r="A1042" t="s">
        <v>35084</v>
      </c>
      <c r="B1042" t="s">
        <v>35087</v>
      </c>
      <c r="C1042">
        <v>0.847837271344</v>
      </c>
      <c r="D1042">
        <v>0.95617771559800002</v>
      </c>
      <c r="E1042">
        <v>7.8719999999999999</v>
      </c>
    </row>
    <row r="1043" spans="1:5">
      <c r="A1043" t="s">
        <v>35084</v>
      </c>
      <c r="B1043" t="s">
        <v>35088</v>
      </c>
      <c r="C1043">
        <v>7.8255486762199997E-2</v>
      </c>
      <c r="D1043">
        <v>0.95617771559800002</v>
      </c>
      <c r="E1043">
        <v>7.8719999999999999</v>
      </c>
    </row>
    <row r="1044" spans="1:5">
      <c r="A1044" t="s">
        <v>35084</v>
      </c>
      <c r="B1044" t="s">
        <v>35089</v>
      </c>
      <c r="C1044">
        <f>0</f>
        <v>0</v>
      </c>
      <c r="D1044">
        <v>0.95617771559800002</v>
      </c>
      <c r="E1044">
        <v>7.8719999999999999</v>
      </c>
    </row>
    <row r="1045" spans="1:5">
      <c r="A1045" t="s">
        <v>35084</v>
      </c>
      <c r="B1045" t="s">
        <v>35090</v>
      </c>
      <c r="C1045">
        <v>0</v>
      </c>
      <c r="D1045">
        <v>0.95617771559800002</v>
      </c>
      <c r="E1045">
        <v>7.8719999999999999</v>
      </c>
    </row>
    <row r="1046" spans="1:5">
      <c r="A1046" t="s">
        <v>35091</v>
      </c>
      <c r="B1046" t="s">
        <v>35092</v>
      </c>
      <c r="C1046">
        <f>0</f>
        <v>0</v>
      </c>
      <c r="D1046">
        <v>0.88292413539299996</v>
      </c>
      <c r="E1046">
        <v>23.28</v>
      </c>
    </row>
    <row r="1047" spans="1:5">
      <c r="A1047" t="s">
        <v>35091</v>
      </c>
      <c r="B1047" t="s">
        <v>35093</v>
      </c>
      <c r="C1047">
        <v>0</v>
      </c>
      <c r="D1047">
        <v>0.88292413539299996</v>
      </c>
      <c r="E1047">
        <v>23.28</v>
      </c>
    </row>
    <row r="1048" spans="1:5">
      <c r="A1048" t="s">
        <v>35091</v>
      </c>
      <c r="B1048" t="s">
        <v>35094</v>
      </c>
      <c r="C1048">
        <v>0</v>
      </c>
      <c r="D1048">
        <v>0.88292413539299996</v>
      </c>
      <c r="E1048">
        <v>23.28</v>
      </c>
    </row>
    <row r="1049" spans="1:5">
      <c r="A1049" t="s">
        <v>35091</v>
      </c>
      <c r="B1049" t="s">
        <v>35095</v>
      </c>
      <c r="C1049">
        <f>0</f>
        <v>0</v>
      </c>
      <c r="D1049">
        <v>0.88292413539299996</v>
      </c>
      <c r="E1049">
        <v>23.28</v>
      </c>
    </row>
    <row r="1050" spans="1:5">
      <c r="A1050" t="s">
        <v>35091</v>
      </c>
      <c r="B1050" t="s">
        <v>35096</v>
      </c>
      <c r="C1050">
        <f>0</f>
        <v>0</v>
      </c>
      <c r="D1050">
        <v>0.88292413539299996</v>
      </c>
      <c r="E1050">
        <v>23.28</v>
      </c>
    </row>
    <row r="1051" spans="1:5">
      <c r="A1051" t="s">
        <v>35091</v>
      </c>
      <c r="B1051" t="s">
        <v>35097</v>
      </c>
      <c r="C1051">
        <f>0.243403505235</f>
        <v>0.24340350523500001</v>
      </c>
      <c r="D1051">
        <v>0.88292413539299996</v>
      </c>
      <c r="E1051">
        <v>23.28</v>
      </c>
    </row>
    <row r="1052" spans="1:5">
      <c r="A1052" t="s">
        <v>35091</v>
      </c>
      <c r="B1052" t="s">
        <v>35098</v>
      </c>
      <c r="C1052">
        <f>0.297892274688</f>
        <v>0.297892274688</v>
      </c>
      <c r="D1052">
        <v>0.88292413539299996</v>
      </c>
      <c r="E1052">
        <v>23.28</v>
      </c>
    </row>
    <row r="1053" spans="1:5">
      <c r="A1053" t="s">
        <v>35091</v>
      </c>
      <c r="B1053" t="s">
        <v>35099</v>
      </c>
      <c r="C1053">
        <f>0</f>
        <v>0</v>
      </c>
      <c r="D1053">
        <v>0.88292413539299996</v>
      </c>
      <c r="E1053">
        <v>23.28</v>
      </c>
    </row>
    <row r="1054" spans="1:5">
      <c r="A1054" t="s">
        <v>35091</v>
      </c>
      <c r="B1054" t="s">
        <v>35100</v>
      </c>
      <c r="C1054">
        <f>0</f>
        <v>0</v>
      </c>
      <c r="D1054">
        <v>0.88292413539299996</v>
      </c>
      <c r="E1054">
        <v>23.28</v>
      </c>
    </row>
    <row r="1055" spans="1:5">
      <c r="A1055" t="s">
        <v>35091</v>
      </c>
      <c r="B1055" t="s">
        <v>35101</v>
      </c>
      <c r="C1055">
        <v>0</v>
      </c>
      <c r="D1055">
        <v>0.88292413539299996</v>
      </c>
      <c r="E1055">
        <v>23.28</v>
      </c>
    </row>
    <row r="1056" spans="1:5">
      <c r="A1056" t="s">
        <v>35091</v>
      </c>
      <c r="B1056" t="s">
        <v>35102</v>
      </c>
      <c r="C1056">
        <f>0</f>
        <v>0</v>
      </c>
      <c r="D1056">
        <v>0.88292413539299996</v>
      </c>
      <c r="E1056">
        <v>23.28</v>
      </c>
    </row>
    <row r="1057" spans="1:5">
      <c r="A1057" t="s">
        <v>35091</v>
      </c>
      <c r="B1057" t="s">
        <v>35103</v>
      </c>
      <c r="C1057">
        <f>0</f>
        <v>0</v>
      </c>
      <c r="D1057">
        <v>0.88292413539299996</v>
      </c>
      <c r="E1057">
        <v>23.28</v>
      </c>
    </row>
    <row r="1058" spans="1:5">
      <c r="A1058" t="s">
        <v>35104</v>
      </c>
      <c r="B1058" t="s">
        <v>35105</v>
      </c>
      <c r="C1058">
        <f>0</f>
        <v>0</v>
      </c>
      <c r="D1058" t="s">
        <v>106</v>
      </c>
      <c r="E1058">
        <v>24</v>
      </c>
    </row>
    <row r="1059" spans="1:5">
      <c r="A1059" t="s">
        <v>35104</v>
      </c>
      <c r="B1059" t="s">
        <v>35106</v>
      </c>
      <c r="C1059">
        <f>0</f>
        <v>0</v>
      </c>
      <c r="D1059" t="s">
        <v>106</v>
      </c>
      <c r="E1059">
        <v>24</v>
      </c>
    </row>
    <row r="1060" spans="1:5">
      <c r="A1060" t="s">
        <v>35104</v>
      </c>
      <c r="B1060" t="s">
        <v>35107</v>
      </c>
      <c r="C1060">
        <f>0</f>
        <v>0</v>
      </c>
      <c r="D1060" t="s">
        <v>106</v>
      </c>
      <c r="E1060">
        <v>24</v>
      </c>
    </row>
    <row r="1061" spans="1:5">
      <c r="A1061" t="s">
        <v>35104</v>
      </c>
      <c r="B1061" t="s">
        <v>35108</v>
      </c>
      <c r="C1061">
        <v>0</v>
      </c>
      <c r="D1061" t="s">
        <v>106</v>
      </c>
      <c r="E1061">
        <v>24</v>
      </c>
    </row>
    <row r="1062" spans="1:5">
      <c r="A1062" t="s">
        <v>35104</v>
      </c>
      <c r="B1062" t="s">
        <v>35109</v>
      </c>
      <c r="C1062">
        <v>0</v>
      </c>
      <c r="D1062" t="s">
        <v>106</v>
      </c>
      <c r="E1062">
        <v>24</v>
      </c>
    </row>
    <row r="1063" spans="1:5">
      <c r="A1063" t="s">
        <v>35110</v>
      </c>
      <c r="B1063" t="s">
        <v>21476</v>
      </c>
      <c r="C1063">
        <f>0.706289576095</f>
        <v>0.70628957609499998</v>
      </c>
      <c r="D1063">
        <v>0.84797489480300003</v>
      </c>
      <c r="E1063">
        <v>23.754000000000001</v>
      </c>
    </row>
    <row r="1064" spans="1:5">
      <c r="A1064" t="s">
        <v>35110</v>
      </c>
      <c r="B1064" t="s">
        <v>21477</v>
      </c>
      <c r="C1064">
        <f>0.206234079268</f>
        <v>0.206234079268</v>
      </c>
      <c r="D1064">
        <v>0.84797489480300003</v>
      </c>
      <c r="E1064">
        <v>23.754000000000001</v>
      </c>
    </row>
    <row r="1065" spans="1:5">
      <c r="A1065" t="s">
        <v>35111</v>
      </c>
      <c r="B1065" t="s">
        <v>35112</v>
      </c>
      <c r="C1065">
        <v>0</v>
      </c>
      <c r="D1065" t="s">
        <v>106</v>
      </c>
      <c r="E1065">
        <v>24</v>
      </c>
    </row>
    <row r="1066" spans="1:5">
      <c r="A1066" t="s">
        <v>35111</v>
      </c>
      <c r="B1066" t="s">
        <v>35113</v>
      </c>
      <c r="C1066">
        <v>0</v>
      </c>
      <c r="D1066" t="s">
        <v>106</v>
      </c>
      <c r="E1066">
        <v>24</v>
      </c>
    </row>
    <row r="1067" spans="1:5">
      <c r="A1067" t="s">
        <v>35111</v>
      </c>
      <c r="B1067" t="s">
        <v>35114</v>
      </c>
      <c r="C1067">
        <v>0</v>
      </c>
      <c r="D1067" t="s">
        <v>106</v>
      </c>
      <c r="E1067">
        <v>24</v>
      </c>
    </row>
    <row r="1068" spans="1:5">
      <c r="A1068" t="s">
        <v>35111</v>
      </c>
      <c r="B1068" t="s">
        <v>35115</v>
      </c>
      <c r="C1068">
        <v>0</v>
      </c>
      <c r="D1068" t="s">
        <v>106</v>
      </c>
      <c r="E1068">
        <v>24</v>
      </c>
    </row>
    <row r="1069" spans="1:5">
      <c r="A1069" t="s">
        <v>35111</v>
      </c>
      <c r="B1069" t="s">
        <v>35116</v>
      </c>
      <c r="C1069">
        <f>0</f>
        <v>0</v>
      </c>
      <c r="D1069" t="s">
        <v>106</v>
      </c>
      <c r="E1069">
        <v>24</v>
      </c>
    </row>
    <row r="1070" spans="1:5">
      <c r="A1070" t="s">
        <v>35111</v>
      </c>
      <c r="B1070" t="s">
        <v>35117</v>
      </c>
      <c r="C1070">
        <f>0</f>
        <v>0</v>
      </c>
      <c r="D1070" t="s">
        <v>106</v>
      </c>
      <c r="E1070">
        <v>24</v>
      </c>
    </row>
    <row r="1071" spans="1:5">
      <c r="A1071" t="s">
        <v>35111</v>
      </c>
      <c r="B1071" t="s">
        <v>35118</v>
      </c>
      <c r="C1071">
        <v>0</v>
      </c>
      <c r="D1071" t="s">
        <v>106</v>
      </c>
      <c r="E1071">
        <v>24</v>
      </c>
    </row>
    <row r="1072" spans="1:5">
      <c r="A1072" t="s">
        <v>35111</v>
      </c>
      <c r="B1072" t="s">
        <v>35119</v>
      </c>
      <c r="C1072">
        <v>0</v>
      </c>
      <c r="D1072" t="s">
        <v>106</v>
      </c>
      <c r="E1072">
        <v>24</v>
      </c>
    </row>
    <row r="1073" spans="1:5">
      <c r="A1073" t="s">
        <v>35111</v>
      </c>
      <c r="B1073" t="s">
        <v>35120</v>
      </c>
      <c r="C1073">
        <v>0</v>
      </c>
      <c r="D1073" t="s">
        <v>106</v>
      </c>
      <c r="E1073">
        <v>24</v>
      </c>
    </row>
    <row r="1074" spans="1:5">
      <c r="A1074" t="s">
        <v>35111</v>
      </c>
      <c r="B1074" t="s">
        <v>35121</v>
      </c>
      <c r="C1074">
        <v>0</v>
      </c>
      <c r="D1074" t="s">
        <v>106</v>
      </c>
      <c r="E1074">
        <v>24</v>
      </c>
    </row>
    <row r="1075" spans="1:5">
      <c r="A1075" t="s">
        <v>35122</v>
      </c>
      <c r="B1075" t="s">
        <v>9312</v>
      </c>
      <c r="C1075">
        <v>0.26409222794600001</v>
      </c>
      <c r="D1075">
        <v>0.93078548668600003</v>
      </c>
      <c r="E1075">
        <v>6.18</v>
      </c>
    </row>
    <row r="1076" spans="1:5">
      <c r="A1076" t="s">
        <v>35122</v>
      </c>
      <c r="B1076" t="s">
        <v>9311</v>
      </c>
      <c r="C1076">
        <v>0.62435503881200005</v>
      </c>
      <c r="D1076">
        <v>0.93078548668600003</v>
      </c>
      <c r="E1076">
        <v>6.18</v>
      </c>
    </row>
    <row r="1077" spans="1:5">
      <c r="A1077" t="s">
        <v>35122</v>
      </c>
      <c r="B1077" t="s">
        <v>9309</v>
      </c>
      <c r="C1077">
        <v>0</v>
      </c>
      <c r="D1077">
        <v>0.93078548668600003</v>
      </c>
      <c r="E1077">
        <v>6.18</v>
      </c>
    </row>
    <row r="1078" spans="1:5">
      <c r="A1078" t="s">
        <v>35122</v>
      </c>
      <c r="B1078" t="s">
        <v>9308</v>
      </c>
      <c r="C1078">
        <f>0.331164144153</f>
        <v>0.331164144153</v>
      </c>
      <c r="D1078">
        <v>0.93078548668600003</v>
      </c>
      <c r="E1078">
        <v>6.18</v>
      </c>
    </row>
    <row r="1079" spans="1:5">
      <c r="A1079" t="s">
        <v>35123</v>
      </c>
      <c r="B1079" t="s">
        <v>35124</v>
      </c>
      <c r="C1079">
        <f>0</f>
        <v>0</v>
      </c>
      <c r="D1079">
        <v>0.84360481014499999</v>
      </c>
      <c r="E1079">
        <v>4.4820000000000002</v>
      </c>
    </row>
    <row r="1080" spans="1:5">
      <c r="A1080" t="s">
        <v>35123</v>
      </c>
      <c r="B1080" t="s">
        <v>35125</v>
      </c>
      <c r="C1080">
        <v>0.34604911489099999</v>
      </c>
      <c r="D1080">
        <v>0.84360481014499999</v>
      </c>
      <c r="E1080">
        <v>4.4820000000000002</v>
      </c>
    </row>
    <row r="1081" spans="1:5">
      <c r="A1081" t="s">
        <v>35123</v>
      </c>
      <c r="B1081" t="s">
        <v>35126</v>
      </c>
      <c r="C1081">
        <v>0.43181600065600001</v>
      </c>
      <c r="D1081">
        <v>0.84360481014499999</v>
      </c>
      <c r="E1081">
        <v>4.4820000000000002</v>
      </c>
    </row>
    <row r="1082" spans="1:5">
      <c r="A1082" t="s">
        <v>35127</v>
      </c>
      <c r="B1082" t="s">
        <v>26686</v>
      </c>
      <c r="C1082">
        <v>0</v>
      </c>
      <c r="D1082" t="s">
        <v>106</v>
      </c>
      <c r="E1082">
        <v>4.2720000000000002</v>
      </c>
    </row>
    <row r="1083" spans="1:5">
      <c r="A1083" t="s">
        <v>35127</v>
      </c>
      <c r="B1083" t="s">
        <v>26693</v>
      </c>
      <c r="C1083">
        <v>0</v>
      </c>
      <c r="D1083" t="s">
        <v>106</v>
      </c>
      <c r="E1083">
        <v>4.2720000000000002</v>
      </c>
    </row>
    <row r="1084" spans="1:5">
      <c r="A1084" t="s">
        <v>35127</v>
      </c>
      <c r="B1084" t="s">
        <v>26691</v>
      </c>
      <c r="C1084">
        <v>0</v>
      </c>
      <c r="D1084" t="s">
        <v>106</v>
      </c>
      <c r="E1084">
        <v>4.2720000000000002</v>
      </c>
    </row>
    <row r="1085" spans="1:5">
      <c r="A1085" t="s">
        <v>35128</v>
      </c>
      <c r="B1085" t="s">
        <v>17649</v>
      </c>
      <c r="C1085">
        <f>0.540382937488</f>
        <v>0.54038293748800004</v>
      </c>
      <c r="D1085">
        <v>0.81696860575600005</v>
      </c>
      <c r="E1085">
        <v>0.65400000000000003</v>
      </c>
    </row>
    <row r="1086" spans="1:5">
      <c r="A1086" t="s">
        <v>35128</v>
      </c>
      <c r="B1086" t="s">
        <v>17647</v>
      </c>
      <c r="C1086">
        <f>0.212432000349</f>
        <v>0.21243200034900001</v>
      </c>
      <c r="D1086">
        <v>0.81696860575600005</v>
      </c>
      <c r="E1086">
        <v>0.65400000000000003</v>
      </c>
    </row>
    <row r="1087" spans="1:5">
      <c r="A1087" t="s">
        <v>35128</v>
      </c>
      <c r="B1087" t="s">
        <v>17648</v>
      </c>
      <c r="C1087">
        <f>0.186953351077</f>
        <v>0.18695335107700001</v>
      </c>
      <c r="D1087">
        <v>0.81696860575600005</v>
      </c>
      <c r="E1087">
        <v>0.65400000000000003</v>
      </c>
    </row>
    <row r="1088" spans="1:5">
      <c r="A1088" t="s">
        <v>35128</v>
      </c>
      <c r="B1088" t="s">
        <v>17646</v>
      </c>
      <c r="C1088">
        <v>0</v>
      </c>
      <c r="D1088">
        <v>0.81696860575600005</v>
      </c>
      <c r="E1088">
        <v>0.65400000000000003</v>
      </c>
    </row>
    <row r="1089" spans="1:5">
      <c r="A1089" t="s">
        <v>35129</v>
      </c>
      <c r="B1089" t="s">
        <v>35130</v>
      </c>
      <c r="C1089">
        <v>0</v>
      </c>
      <c r="D1089" t="s">
        <v>106</v>
      </c>
      <c r="E1089">
        <v>1.224</v>
      </c>
    </row>
    <row r="1090" spans="1:5">
      <c r="A1090" t="s">
        <v>35129</v>
      </c>
      <c r="B1090" t="s">
        <v>35131</v>
      </c>
      <c r="C1090">
        <v>0</v>
      </c>
      <c r="D1090" t="s">
        <v>106</v>
      </c>
      <c r="E1090">
        <v>1.224</v>
      </c>
    </row>
    <row r="1091" spans="1:5">
      <c r="A1091" t="s">
        <v>35129</v>
      </c>
      <c r="B1091" t="s">
        <v>35132</v>
      </c>
      <c r="C1091">
        <f>0</f>
        <v>0</v>
      </c>
      <c r="D1091" t="s">
        <v>106</v>
      </c>
      <c r="E1091">
        <v>1.224</v>
      </c>
    </row>
    <row r="1092" spans="1:5">
      <c r="A1092" t="s">
        <v>35129</v>
      </c>
      <c r="B1092" t="s">
        <v>35133</v>
      </c>
      <c r="C1092">
        <v>0</v>
      </c>
      <c r="D1092" t="s">
        <v>106</v>
      </c>
      <c r="E1092">
        <v>1.224</v>
      </c>
    </row>
    <row r="1093" spans="1:5">
      <c r="A1093" t="s">
        <v>35129</v>
      </c>
      <c r="B1093" t="s">
        <v>35134</v>
      </c>
      <c r="C1093">
        <v>0</v>
      </c>
      <c r="D1093" t="s">
        <v>106</v>
      </c>
      <c r="E1093">
        <v>1.224</v>
      </c>
    </row>
    <row r="1094" spans="1:5">
      <c r="A1094" t="s">
        <v>35135</v>
      </c>
      <c r="B1094" t="s">
        <v>1749</v>
      </c>
      <c r="C1094">
        <f>0</f>
        <v>0</v>
      </c>
      <c r="D1094" t="s">
        <v>106</v>
      </c>
      <c r="E1094">
        <v>23.754000000000001</v>
      </c>
    </row>
    <row r="1095" spans="1:5">
      <c r="A1095" t="s">
        <v>35135</v>
      </c>
      <c r="B1095" t="s">
        <v>1750</v>
      </c>
      <c r="C1095">
        <f>0</f>
        <v>0</v>
      </c>
      <c r="D1095" t="s">
        <v>106</v>
      </c>
      <c r="E1095">
        <v>23.754000000000001</v>
      </c>
    </row>
    <row r="1096" spans="1:5">
      <c r="A1096" t="s">
        <v>35136</v>
      </c>
      <c r="B1096" t="s">
        <v>32360</v>
      </c>
      <c r="C1096">
        <v>0.37473716105600002</v>
      </c>
      <c r="D1096">
        <v>0.50434716105599997</v>
      </c>
      <c r="E1096">
        <v>4.2720000000000002</v>
      </c>
    </row>
    <row r="1097" spans="1:5">
      <c r="A1097" t="s">
        <v>35136</v>
      </c>
      <c r="B1097" t="s">
        <v>32361</v>
      </c>
      <c r="C1097">
        <f>0</f>
        <v>0</v>
      </c>
      <c r="D1097">
        <v>0.50434716105599997</v>
      </c>
      <c r="E1097">
        <v>4.2720000000000002</v>
      </c>
    </row>
    <row r="1098" spans="1:5">
      <c r="A1098" t="s">
        <v>35137</v>
      </c>
      <c r="B1098" t="s">
        <v>28158</v>
      </c>
      <c r="C1098">
        <f>0</f>
        <v>0</v>
      </c>
      <c r="D1098">
        <v>0.689535746482</v>
      </c>
      <c r="E1098">
        <v>3.4079999999999999</v>
      </c>
    </row>
    <row r="1099" spans="1:5">
      <c r="A1099" t="s">
        <v>35137</v>
      </c>
      <c r="B1099" t="s">
        <v>28162</v>
      </c>
      <c r="C1099">
        <v>0</v>
      </c>
      <c r="D1099">
        <v>0.689535746482</v>
      </c>
      <c r="E1099">
        <v>3.4079999999999999</v>
      </c>
    </row>
    <row r="1100" spans="1:5">
      <c r="A1100" t="s">
        <v>35137</v>
      </c>
      <c r="B1100" t="s">
        <v>28161</v>
      </c>
      <c r="C1100">
        <v>0.41912574648200002</v>
      </c>
      <c r="D1100">
        <v>0.689535746482</v>
      </c>
      <c r="E1100">
        <v>3.4079999999999999</v>
      </c>
    </row>
    <row r="1101" spans="1:5">
      <c r="A1101" t="s">
        <v>35138</v>
      </c>
      <c r="B1101" t="s">
        <v>35139</v>
      </c>
      <c r="C1101">
        <v>0</v>
      </c>
      <c r="D1101">
        <v>0.73576422101200001</v>
      </c>
      <c r="E1101">
        <v>1.452</v>
      </c>
    </row>
    <row r="1102" spans="1:5">
      <c r="A1102" t="s">
        <v>35138</v>
      </c>
      <c r="B1102" t="s">
        <v>35140</v>
      </c>
      <c r="C1102">
        <v>0</v>
      </c>
      <c r="D1102">
        <v>0.73576422101200001</v>
      </c>
      <c r="E1102">
        <v>1.452</v>
      </c>
    </row>
    <row r="1103" spans="1:5">
      <c r="A1103" t="s">
        <v>35138</v>
      </c>
      <c r="B1103" t="s">
        <v>35141</v>
      </c>
      <c r="C1103">
        <f>0</f>
        <v>0</v>
      </c>
      <c r="D1103">
        <v>0.73576422101200001</v>
      </c>
      <c r="E1103">
        <v>1.452</v>
      </c>
    </row>
    <row r="1104" spans="1:5">
      <c r="A1104" t="s">
        <v>35138</v>
      </c>
      <c r="B1104" t="s">
        <v>35142</v>
      </c>
      <c r="C1104">
        <f>0</f>
        <v>0</v>
      </c>
      <c r="D1104">
        <v>0.73576422101200001</v>
      </c>
      <c r="E1104">
        <v>1.452</v>
      </c>
    </row>
    <row r="1105" spans="1:5">
      <c r="A1105" t="s">
        <v>35138</v>
      </c>
      <c r="B1105" t="s">
        <v>35143</v>
      </c>
      <c r="C1105">
        <f>0.160884484442</f>
        <v>0.16088448444199999</v>
      </c>
      <c r="D1105">
        <v>0.73576422101200001</v>
      </c>
      <c r="E1105">
        <v>1.452</v>
      </c>
    </row>
    <row r="1106" spans="1:5">
      <c r="A1106" t="s">
        <v>35138</v>
      </c>
      <c r="B1106" t="s">
        <v>35144</v>
      </c>
      <c r="C1106">
        <f>0</f>
        <v>0</v>
      </c>
      <c r="D1106">
        <v>0.73576422101200001</v>
      </c>
      <c r="E1106">
        <v>1.452</v>
      </c>
    </row>
    <row r="1107" spans="1:5">
      <c r="A1107" t="s">
        <v>35138</v>
      </c>
      <c r="B1107" t="s">
        <v>35145</v>
      </c>
      <c r="C1107">
        <f>0.289638824606</f>
        <v>0.28963882460599999</v>
      </c>
      <c r="D1107">
        <v>0.73576422101200001</v>
      </c>
      <c r="E1107">
        <v>1.452</v>
      </c>
    </row>
    <row r="1108" spans="1:5">
      <c r="A1108" t="s">
        <v>35138</v>
      </c>
      <c r="B1108" t="s">
        <v>35146</v>
      </c>
      <c r="C1108">
        <f>0.137002665832</f>
        <v>0.13700266583199999</v>
      </c>
      <c r="D1108">
        <v>0.73576422101200001</v>
      </c>
      <c r="E1108">
        <v>1.452</v>
      </c>
    </row>
    <row r="1109" spans="1:5">
      <c r="A1109" t="s">
        <v>35147</v>
      </c>
      <c r="B1109" t="s">
        <v>1845</v>
      </c>
      <c r="C1109">
        <f>0</f>
        <v>0</v>
      </c>
      <c r="D1109" t="s">
        <v>106</v>
      </c>
      <c r="E1109">
        <v>1.7999999999999999E-2</v>
      </c>
    </row>
    <row r="1110" spans="1:5">
      <c r="A1110" t="s">
        <v>35147</v>
      </c>
      <c r="B1110" t="s">
        <v>1846</v>
      </c>
      <c r="C1110">
        <v>0</v>
      </c>
      <c r="D1110" t="s">
        <v>106</v>
      </c>
      <c r="E1110">
        <v>1.7999999999999999E-2</v>
      </c>
    </row>
    <row r="1111" spans="1:5">
      <c r="A1111" t="s">
        <v>35147</v>
      </c>
      <c r="B1111" t="s">
        <v>1844</v>
      </c>
      <c r="C1111">
        <f>0</f>
        <v>0</v>
      </c>
      <c r="D1111" t="s">
        <v>106</v>
      </c>
      <c r="E1111">
        <v>1.7999999999999999E-2</v>
      </c>
    </row>
    <row r="1112" spans="1:5">
      <c r="A1112" t="s">
        <v>35147</v>
      </c>
      <c r="B1112" t="s">
        <v>1843</v>
      </c>
      <c r="C1112">
        <v>0</v>
      </c>
      <c r="D1112" t="s">
        <v>106</v>
      </c>
      <c r="E1112">
        <v>1.7999999999999999E-2</v>
      </c>
    </row>
    <row r="1113" spans="1:5">
      <c r="A1113" t="s">
        <v>35147</v>
      </c>
      <c r="B1113" t="s">
        <v>1848</v>
      </c>
      <c r="C1113">
        <f>0</f>
        <v>0</v>
      </c>
      <c r="D1113" t="s">
        <v>106</v>
      </c>
      <c r="E1113">
        <v>1.7999999999999999E-2</v>
      </c>
    </row>
    <row r="1114" spans="1:5">
      <c r="A1114" t="s">
        <v>35148</v>
      </c>
      <c r="B1114" t="s">
        <v>33386</v>
      </c>
      <c r="C1114">
        <f>0.451868939844</f>
        <v>0.45186893984400001</v>
      </c>
      <c r="D1114">
        <v>0.646151529961</v>
      </c>
      <c r="E1114">
        <v>1.0680000000000001</v>
      </c>
    </row>
    <row r="1115" spans="1:5">
      <c r="A1115" t="s">
        <v>35148</v>
      </c>
      <c r="B1115" t="s">
        <v>33387</v>
      </c>
      <c r="C1115">
        <v>0.250227620383</v>
      </c>
      <c r="D1115">
        <v>0.646151529961</v>
      </c>
      <c r="E1115">
        <v>1.0680000000000001</v>
      </c>
    </row>
    <row r="1116" spans="1:5">
      <c r="A1116" t="s">
        <v>35149</v>
      </c>
      <c r="B1116" t="s">
        <v>30074</v>
      </c>
      <c r="C1116">
        <f>0.720690599742</f>
        <v>0.720690599742</v>
      </c>
      <c r="D1116">
        <v>0.89805987351899996</v>
      </c>
      <c r="E1116">
        <v>1.512</v>
      </c>
    </row>
    <row r="1117" spans="1:5">
      <c r="A1117" t="s">
        <v>35149</v>
      </c>
      <c r="B1117" t="s">
        <v>30071</v>
      </c>
      <c r="C1117">
        <v>0.26240352064799999</v>
      </c>
      <c r="D1117">
        <v>0.89805987351899996</v>
      </c>
      <c r="E1117">
        <v>1.512</v>
      </c>
    </row>
    <row r="1118" spans="1:5">
      <c r="A1118" t="s">
        <v>35149</v>
      </c>
      <c r="B1118" t="s">
        <v>30073</v>
      </c>
      <c r="C1118">
        <f>0.104001558401</f>
        <v>0.104001558401</v>
      </c>
      <c r="D1118">
        <v>0.89805987351899996</v>
      </c>
      <c r="E1118">
        <v>1.512</v>
      </c>
    </row>
    <row r="1119" spans="1:5">
      <c r="A1119" t="s">
        <v>35150</v>
      </c>
      <c r="B1119" t="s">
        <v>2236</v>
      </c>
      <c r="C1119">
        <v>0</v>
      </c>
      <c r="D1119">
        <v>0.51150572548700002</v>
      </c>
      <c r="E1119">
        <v>2.718</v>
      </c>
    </row>
    <row r="1120" spans="1:5">
      <c r="A1120" t="s">
        <v>35150</v>
      </c>
      <c r="B1120" t="s">
        <v>2237</v>
      </c>
      <c r="C1120">
        <v>0.24109572548700001</v>
      </c>
      <c r="D1120">
        <v>0.51150572548700002</v>
      </c>
      <c r="E1120">
        <v>2.718</v>
      </c>
    </row>
    <row r="1121" spans="1:5">
      <c r="A1121" t="s">
        <v>35151</v>
      </c>
      <c r="B1121" t="s">
        <v>35152</v>
      </c>
      <c r="C1121">
        <v>0</v>
      </c>
      <c r="D1121" t="s">
        <v>106</v>
      </c>
      <c r="E1121">
        <v>0</v>
      </c>
    </row>
    <row r="1122" spans="1:5">
      <c r="A1122" t="s">
        <v>35151</v>
      </c>
      <c r="B1122" t="s">
        <v>35153</v>
      </c>
      <c r="C1122">
        <f>0</f>
        <v>0</v>
      </c>
      <c r="D1122" t="s">
        <v>106</v>
      </c>
      <c r="E1122">
        <v>0</v>
      </c>
    </row>
    <row r="1123" spans="1:5">
      <c r="A1123" t="s">
        <v>35151</v>
      </c>
      <c r="B1123" t="s">
        <v>35154</v>
      </c>
      <c r="C1123">
        <v>0</v>
      </c>
      <c r="D1123" t="s">
        <v>106</v>
      </c>
      <c r="E1123">
        <v>0</v>
      </c>
    </row>
    <row r="1124" spans="1:5">
      <c r="A1124" t="s">
        <v>35155</v>
      </c>
      <c r="B1124" t="s">
        <v>23188</v>
      </c>
      <c r="C1124">
        <f>0.333578595882</f>
        <v>0.33357859588200001</v>
      </c>
      <c r="D1124">
        <v>0.86769497235899995</v>
      </c>
      <c r="E1124">
        <v>1.224</v>
      </c>
    </row>
    <row r="1125" spans="1:5">
      <c r="A1125" t="s">
        <v>35155</v>
      </c>
      <c r="B1125" t="s">
        <v>23179</v>
      </c>
      <c r="C1125">
        <f>0</f>
        <v>0</v>
      </c>
      <c r="D1125">
        <v>0.86769497235899995</v>
      </c>
      <c r="E1125">
        <v>1.224</v>
      </c>
    </row>
    <row r="1126" spans="1:5">
      <c r="A1126" t="s">
        <v>35155</v>
      </c>
      <c r="B1126" t="s">
        <v>23180</v>
      </c>
      <c r="C1126">
        <f>0</f>
        <v>0</v>
      </c>
      <c r="D1126">
        <v>0.86769497235899995</v>
      </c>
      <c r="E1126">
        <v>1.224</v>
      </c>
    </row>
    <row r="1127" spans="1:5">
      <c r="A1127" t="s">
        <v>35155</v>
      </c>
      <c r="B1127" t="s">
        <v>23187</v>
      </c>
      <c r="C1127">
        <f>0.0463289388103</f>
        <v>4.6328938810300001E-2</v>
      </c>
      <c r="D1127">
        <v>0.86769497235899995</v>
      </c>
      <c r="E1127">
        <v>1.224</v>
      </c>
    </row>
    <row r="1128" spans="1:5">
      <c r="A1128" t="s">
        <v>35155</v>
      </c>
      <c r="B1128" t="s">
        <v>23181</v>
      </c>
      <c r="C1128">
        <v>0</v>
      </c>
      <c r="D1128">
        <v>0.86769497235899995</v>
      </c>
      <c r="E1128">
        <v>1.224</v>
      </c>
    </row>
    <row r="1129" spans="1:5">
      <c r="A1129" t="s">
        <v>35155</v>
      </c>
      <c r="B1129" t="s">
        <v>23183</v>
      </c>
      <c r="C1129">
        <f>0.571339223164</f>
        <v>0.57133922316399999</v>
      </c>
      <c r="D1129">
        <v>0.86769497235899995</v>
      </c>
      <c r="E1129">
        <v>1.224</v>
      </c>
    </row>
    <row r="1130" spans="1:5">
      <c r="A1130" t="s">
        <v>35155</v>
      </c>
      <c r="B1130" t="s">
        <v>23185</v>
      </c>
      <c r="C1130">
        <v>0</v>
      </c>
      <c r="D1130">
        <v>0.86769497235899995</v>
      </c>
      <c r="E1130">
        <v>1.224</v>
      </c>
    </row>
    <row r="1131" spans="1:5">
      <c r="A1131" t="s">
        <v>35155</v>
      </c>
      <c r="B1131" t="s">
        <v>23190</v>
      </c>
      <c r="C1131">
        <v>0</v>
      </c>
      <c r="D1131">
        <v>0.86769497235899995</v>
      </c>
      <c r="E1131">
        <v>1.224</v>
      </c>
    </row>
    <row r="1132" spans="1:5">
      <c r="A1132" t="s">
        <v>35155</v>
      </c>
      <c r="B1132" t="s">
        <v>23189</v>
      </c>
      <c r="C1132">
        <f>0</f>
        <v>0</v>
      </c>
      <c r="D1132">
        <v>0.86769497235899995</v>
      </c>
      <c r="E1132">
        <v>1.224</v>
      </c>
    </row>
    <row r="1133" spans="1:5">
      <c r="A1133" t="s">
        <v>35155</v>
      </c>
      <c r="B1133" t="s">
        <v>23177</v>
      </c>
      <c r="C1133">
        <f>0</f>
        <v>0</v>
      </c>
      <c r="D1133">
        <v>0.86769497235899995</v>
      </c>
      <c r="E1133">
        <v>1.224</v>
      </c>
    </row>
    <row r="1134" spans="1:5">
      <c r="A1134" t="s">
        <v>35156</v>
      </c>
      <c r="B1134" t="s">
        <v>35157</v>
      </c>
      <c r="C1134">
        <f>0.372770757663</f>
        <v>0.372770757663</v>
      </c>
      <c r="D1134">
        <v>0.50238075766300005</v>
      </c>
      <c r="E1134">
        <v>24</v>
      </c>
    </row>
    <row r="1135" spans="1:5">
      <c r="A1135" t="s">
        <v>35156</v>
      </c>
      <c r="B1135" t="s">
        <v>35158</v>
      </c>
      <c r="C1135">
        <f>0</f>
        <v>0</v>
      </c>
      <c r="D1135">
        <v>0.50238075766300005</v>
      </c>
      <c r="E1135">
        <v>24</v>
      </c>
    </row>
    <row r="1136" spans="1:5">
      <c r="A1136" t="s">
        <v>35159</v>
      </c>
      <c r="B1136" t="s">
        <v>11234</v>
      </c>
      <c r="C1136">
        <f>0</f>
        <v>0</v>
      </c>
      <c r="D1136">
        <v>0.687831513196</v>
      </c>
      <c r="E1136">
        <v>1.2E-2</v>
      </c>
    </row>
    <row r="1137" spans="1:5">
      <c r="A1137" t="s">
        <v>35159</v>
      </c>
      <c r="B1137" t="s">
        <v>11237</v>
      </c>
      <c r="C1137">
        <f>0.457421513196</f>
        <v>0.457421513196</v>
      </c>
      <c r="D1137">
        <v>0.687831513196</v>
      </c>
      <c r="E1137">
        <v>1.2E-2</v>
      </c>
    </row>
    <row r="1138" spans="1:5">
      <c r="A1138" t="s">
        <v>35159</v>
      </c>
      <c r="B1138" t="s">
        <v>11242</v>
      </c>
      <c r="C1138">
        <f>0</f>
        <v>0</v>
      </c>
      <c r="D1138">
        <v>0.687831513196</v>
      </c>
      <c r="E1138">
        <v>1.2E-2</v>
      </c>
    </row>
    <row r="1139" spans="1:5">
      <c r="A1139" t="s">
        <v>35160</v>
      </c>
      <c r="B1139" t="s">
        <v>33407</v>
      </c>
      <c r="C1139">
        <f>0.272171282193</f>
        <v>0.27217128219300002</v>
      </c>
      <c r="D1139">
        <v>0.63218128219299996</v>
      </c>
      <c r="E1139">
        <v>0.87</v>
      </c>
    </row>
    <row r="1140" spans="1:5">
      <c r="A1140" t="s">
        <v>35160</v>
      </c>
      <c r="B1140" t="s">
        <v>33413</v>
      </c>
      <c r="C1140">
        <f>0</f>
        <v>0</v>
      </c>
      <c r="D1140">
        <v>0.63218128219299996</v>
      </c>
      <c r="E1140">
        <v>0.87</v>
      </c>
    </row>
    <row r="1141" spans="1:5">
      <c r="A1141" t="s">
        <v>35160</v>
      </c>
      <c r="B1141" t="s">
        <v>33415</v>
      </c>
      <c r="C1141">
        <f>0</f>
        <v>0</v>
      </c>
      <c r="D1141">
        <v>0.63218128219299996</v>
      </c>
      <c r="E1141">
        <v>0.87</v>
      </c>
    </row>
    <row r="1142" spans="1:5">
      <c r="A1142" t="s">
        <v>35160</v>
      </c>
      <c r="B1142" t="s">
        <v>33410</v>
      </c>
      <c r="C1142">
        <f>0</f>
        <v>0</v>
      </c>
      <c r="D1142">
        <v>0.63218128219299996</v>
      </c>
      <c r="E1142">
        <v>0.87</v>
      </c>
    </row>
    <row r="1143" spans="1:5">
      <c r="A1143" t="s">
        <v>35160</v>
      </c>
      <c r="B1143" t="s">
        <v>33411</v>
      </c>
      <c r="C1143">
        <f>0</f>
        <v>0</v>
      </c>
      <c r="D1143">
        <v>0.63218128219299996</v>
      </c>
      <c r="E1143">
        <v>0.87</v>
      </c>
    </row>
    <row r="1144" spans="1:5">
      <c r="A1144" t="s">
        <v>35161</v>
      </c>
      <c r="B1144" t="s">
        <v>35162</v>
      </c>
      <c r="C1144">
        <v>0</v>
      </c>
      <c r="D1144" t="s">
        <v>106</v>
      </c>
      <c r="E1144">
        <v>7.1999999999999995E-2</v>
      </c>
    </row>
    <row r="1145" spans="1:5">
      <c r="A1145" t="s">
        <v>35161</v>
      </c>
      <c r="B1145" t="s">
        <v>35163</v>
      </c>
      <c r="C1145">
        <f>0</f>
        <v>0</v>
      </c>
      <c r="D1145" t="s">
        <v>106</v>
      </c>
      <c r="E1145">
        <v>7.1999999999999995E-2</v>
      </c>
    </row>
    <row r="1146" spans="1:5">
      <c r="A1146" t="s">
        <v>35161</v>
      </c>
      <c r="B1146" t="s">
        <v>35164</v>
      </c>
      <c r="C1146">
        <f>0</f>
        <v>0</v>
      </c>
      <c r="D1146" t="s">
        <v>106</v>
      </c>
      <c r="E1146">
        <v>7.1999999999999995E-2</v>
      </c>
    </row>
    <row r="1147" spans="1:5">
      <c r="A1147" t="s">
        <v>35161</v>
      </c>
      <c r="B1147" t="s">
        <v>35165</v>
      </c>
      <c r="C1147">
        <f>0</f>
        <v>0</v>
      </c>
      <c r="D1147" t="s">
        <v>106</v>
      </c>
      <c r="E1147">
        <v>7.1999999999999995E-2</v>
      </c>
    </row>
    <row r="1148" spans="1:5">
      <c r="A1148" t="s">
        <v>35166</v>
      </c>
      <c r="B1148" t="s">
        <v>30090</v>
      </c>
      <c r="C1148">
        <v>0.40091729781899998</v>
      </c>
      <c r="D1148">
        <v>0.82964303881900003</v>
      </c>
      <c r="E1148">
        <v>10.08</v>
      </c>
    </row>
    <row r="1149" spans="1:5">
      <c r="A1149" t="s">
        <v>35166</v>
      </c>
      <c r="B1149" t="s">
        <v>30098</v>
      </c>
      <c r="C1149">
        <f>0.104455830997</f>
        <v>0.104455830997</v>
      </c>
      <c r="D1149">
        <v>0.82964303881900003</v>
      </c>
      <c r="E1149">
        <v>10.08</v>
      </c>
    </row>
    <row r="1150" spans="1:5">
      <c r="A1150" t="s">
        <v>35166</v>
      </c>
      <c r="B1150" t="s">
        <v>30095</v>
      </c>
      <c r="C1150">
        <v>0.24276042635299999</v>
      </c>
      <c r="D1150">
        <v>0.82964303881900003</v>
      </c>
      <c r="E1150">
        <v>10.08</v>
      </c>
    </row>
    <row r="1151" spans="1:5">
      <c r="A1151" t="s">
        <v>35166</v>
      </c>
      <c r="B1151" t="s">
        <v>30092</v>
      </c>
      <c r="C1151">
        <v>0</v>
      </c>
      <c r="D1151">
        <v>0.82964303881900003</v>
      </c>
      <c r="E1151">
        <v>10.08</v>
      </c>
    </row>
    <row r="1152" spans="1:5">
      <c r="A1152" t="s">
        <v>35167</v>
      </c>
      <c r="B1152" t="s">
        <v>35168</v>
      </c>
      <c r="C1152">
        <v>0.18184873112200001</v>
      </c>
      <c r="D1152">
        <v>0.96173083134199999</v>
      </c>
      <c r="E1152">
        <v>4.4820000000000002</v>
      </c>
    </row>
    <row r="1153" spans="1:5">
      <c r="A1153" t="s">
        <v>35167</v>
      </c>
      <c r="B1153" t="s">
        <v>35169</v>
      </c>
      <c r="C1153">
        <v>1.7348868718899998E-2</v>
      </c>
      <c r="D1153">
        <v>0.96173083134199999</v>
      </c>
      <c r="E1153">
        <v>4.4820000000000002</v>
      </c>
    </row>
    <row r="1154" spans="1:5">
      <c r="A1154" t="s">
        <v>35167</v>
      </c>
      <c r="B1154" t="s">
        <v>35170</v>
      </c>
      <c r="C1154">
        <f>0</f>
        <v>0</v>
      </c>
      <c r="D1154">
        <v>0.96173083134199999</v>
      </c>
      <c r="E1154">
        <v>4.4820000000000002</v>
      </c>
    </row>
    <row r="1155" spans="1:5">
      <c r="A1155" t="s">
        <v>35167</v>
      </c>
      <c r="B1155" t="s">
        <v>35171</v>
      </c>
      <c r="C1155">
        <v>0</v>
      </c>
      <c r="D1155">
        <v>0.96173083134199999</v>
      </c>
      <c r="E1155">
        <v>4.4820000000000002</v>
      </c>
    </row>
    <row r="1156" spans="1:5">
      <c r="A1156" t="s">
        <v>35167</v>
      </c>
      <c r="B1156" t="s">
        <v>35172</v>
      </c>
      <c r="C1156">
        <f>0</f>
        <v>0</v>
      </c>
      <c r="D1156">
        <v>0.96173083134199999</v>
      </c>
      <c r="E1156">
        <v>4.4820000000000002</v>
      </c>
    </row>
    <row r="1157" spans="1:5">
      <c r="A1157" t="s">
        <v>35167</v>
      </c>
      <c r="B1157" t="s">
        <v>35173</v>
      </c>
      <c r="C1157">
        <f>0.451962620364</f>
        <v>0.45196262036399998</v>
      </c>
      <c r="D1157">
        <v>0.96173083134199999</v>
      </c>
      <c r="E1157">
        <v>4.4820000000000002</v>
      </c>
    </row>
    <row r="1158" spans="1:5">
      <c r="A1158" t="s">
        <v>35167</v>
      </c>
      <c r="B1158" t="s">
        <v>35174</v>
      </c>
      <c r="C1158">
        <f>0</f>
        <v>0</v>
      </c>
      <c r="D1158">
        <v>0.96173083134199999</v>
      </c>
      <c r="E1158">
        <v>4.4820000000000002</v>
      </c>
    </row>
    <row r="1159" spans="1:5">
      <c r="A1159" t="s">
        <v>35167</v>
      </c>
      <c r="B1159" t="s">
        <v>35175</v>
      </c>
      <c r="C1159">
        <f>0.355151562303</f>
        <v>0.35515156230299999</v>
      </c>
      <c r="D1159">
        <v>0.96173083134199999</v>
      </c>
      <c r="E1159">
        <v>4.4820000000000002</v>
      </c>
    </row>
    <row r="1160" spans="1:5">
      <c r="A1160" t="s">
        <v>35167</v>
      </c>
      <c r="B1160" t="s">
        <v>35176</v>
      </c>
      <c r="C1160">
        <f>0.452020530114</f>
        <v>0.45202053011400001</v>
      </c>
      <c r="D1160">
        <v>0.96173083134199999</v>
      </c>
      <c r="E1160">
        <v>4.4820000000000002</v>
      </c>
    </row>
    <row r="1161" spans="1:5">
      <c r="A1161" t="s">
        <v>35177</v>
      </c>
      <c r="B1161" t="s">
        <v>30972</v>
      </c>
      <c r="C1161">
        <v>0</v>
      </c>
      <c r="D1161">
        <v>0.58164657541999998</v>
      </c>
      <c r="E1161">
        <v>2.4780000000000002</v>
      </c>
    </row>
    <row r="1162" spans="1:5">
      <c r="A1162" t="s">
        <v>35177</v>
      </c>
      <c r="B1162" t="s">
        <v>30973</v>
      </c>
      <c r="C1162">
        <v>0.35123657541999997</v>
      </c>
      <c r="D1162">
        <v>0.58164657541999998</v>
      </c>
      <c r="E1162">
        <v>2.4780000000000002</v>
      </c>
    </row>
    <row r="1163" spans="1:5">
      <c r="A1163" t="s">
        <v>35178</v>
      </c>
      <c r="B1163" t="s">
        <v>6774</v>
      </c>
      <c r="C1163">
        <v>0</v>
      </c>
      <c r="D1163" t="s">
        <v>106</v>
      </c>
      <c r="E1163">
        <v>0.73799999999999999</v>
      </c>
    </row>
    <row r="1164" spans="1:5">
      <c r="A1164" t="s">
        <v>35178</v>
      </c>
      <c r="B1164" t="s">
        <v>6777</v>
      </c>
      <c r="C1164">
        <v>0</v>
      </c>
      <c r="D1164" t="s">
        <v>106</v>
      </c>
      <c r="E1164">
        <v>0.73799999999999999</v>
      </c>
    </row>
    <row r="1165" spans="1:5">
      <c r="A1165" t="s">
        <v>35178</v>
      </c>
      <c r="B1165" t="s">
        <v>6778</v>
      </c>
      <c r="C1165">
        <f>0</f>
        <v>0</v>
      </c>
      <c r="D1165" t="s">
        <v>106</v>
      </c>
      <c r="E1165">
        <v>0.73799999999999999</v>
      </c>
    </row>
    <row r="1166" spans="1:5">
      <c r="A1166" t="s">
        <v>35179</v>
      </c>
      <c r="B1166" t="s">
        <v>31366</v>
      </c>
      <c r="C1166">
        <v>0.25263265910400001</v>
      </c>
      <c r="D1166">
        <v>0.99443565135599998</v>
      </c>
      <c r="E1166">
        <v>13.632</v>
      </c>
    </row>
    <row r="1167" spans="1:5">
      <c r="A1167" t="s">
        <v>35179</v>
      </c>
      <c r="B1167" t="s">
        <v>31358</v>
      </c>
      <c r="C1167">
        <v>0.590639582863</v>
      </c>
      <c r="D1167">
        <v>0.99443565135599998</v>
      </c>
      <c r="E1167">
        <v>13.632</v>
      </c>
    </row>
    <row r="1168" spans="1:5">
      <c r="A1168" t="s">
        <v>35179</v>
      </c>
      <c r="B1168" t="s">
        <v>31363</v>
      </c>
      <c r="C1168">
        <f>0.137358504917</f>
        <v>0.137358504917</v>
      </c>
      <c r="D1168">
        <v>0.99443565135599998</v>
      </c>
      <c r="E1168">
        <v>13.632</v>
      </c>
    </row>
    <row r="1169" spans="1:5">
      <c r="A1169" t="s">
        <v>35179</v>
      </c>
      <c r="B1169" t="s">
        <v>31361</v>
      </c>
      <c r="C1169">
        <v>2.4837784919299999E-2</v>
      </c>
      <c r="D1169">
        <v>0.99443565135599998</v>
      </c>
      <c r="E1169">
        <v>13.632</v>
      </c>
    </row>
    <row r="1170" spans="1:5">
      <c r="A1170" t="s">
        <v>35179</v>
      </c>
      <c r="B1170" t="s">
        <v>31364</v>
      </c>
      <c r="C1170">
        <v>0.67654868596600004</v>
      </c>
      <c r="D1170">
        <v>0.99443565135599998</v>
      </c>
      <c r="E1170">
        <v>13.632</v>
      </c>
    </row>
    <row r="1171" spans="1:5">
      <c r="A1171" t="s">
        <v>35179</v>
      </c>
      <c r="B1171" t="s">
        <v>31354</v>
      </c>
      <c r="C1171">
        <f>0.0194041792946</f>
        <v>1.9404179294600001E-2</v>
      </c>
      <c r="D1171">
        <v>0.99443565135599998</v>
      </c>
      <c r="E1171">
        <v>13.632</v>
      </c>
    </row>
    <row r="1172" spans="1:5">
      <c r="A1172" t="s">
        <v>35179</v>
      </c>
      <c r="B1172" t="s">
        <v>31368</v>
      </c>
      <c r="C1172">
        <v>0</v>
      </c>
      <c r="D1172">
        <v>0.99443565135599998</v>
      </c>
      <c r="E1172">
        <v>13.632</v>
      </c>
    </row>
    <row r="1173" spans="1:5">
      <c r="A1173" t="s">
        <v>35179</v>
      </c>
      <c r="B1173" t="s">
        <v>35180</v>
      </c>
      <c r="C1173">
        <f>0.055393051679</f>
        <v>5.5393051679000001E-2</v>
      </c>
      <c r="D1173">
        <v>0.99443565135599998</v>
      </c>
      <c r="E1173">
        <v>13.632</v>
      </c>
    </row>
    <row r="1174" spans="1:5">
      <c r="A1174" t="s">
        <v>35179</v>
      </c>
      <c r="B1174" t="s">
        <v>31352</v>
      </c>
      <c r="C1174">
        <v>0</v>
      </c>
      <c r="D1174">
        <v>0.99443565135599998</v>
      </c>
      <c r="E1174">
        <v>13.632</v>
      </c>
    </row>
    <row r="1175" spans="1:5">
      <c r="A1175" t="s">
        <v>35181</v>
      </c>
      <c r="B1175" t="s">
        <v>22050</v>
      </c>
      <c r="C1175">
        <v>0.48299582269500002</v>
      </c>
      <c r="D1175">
        <v>0.84433038491500001</v>
      </c>
      <c r="E1175">
        <v>6.3</v>
      </c>
    </row>
    <row r="1176" spans="1:5">
      <c r="A1176" t="s">
        <v>35181</v>
      </c>
      <c r="B1176" t="s">
        <v>22055</v>
      </c>
      <c r="C1176">
        <v>0</v>
      </c>
      <c r="D1176">
        <v>0.84433038491500001</v>
      </c>
      <c r="E1176">
        <v>6.3</v>
      </c>
    </row>
    <row r="1177" spans="1:5">
      <c r="A1177" t="s">
        <v>35181</v>
      </c>
      <c r="B1177" t="s">
        <v>22056</v>
      </c>
      <c r="C1177">
        <v>0.23490869260200001</v>
      </c>
      <c r="D1177">
        <v>0.84433038491500001</v>
      </c>
      <c r="E1177">
        <v>6.3</v>
      </c>
    </row>
    <row r="1178" spans="1:5">
      <c r="A1178" t="s">
        <v>35182</v>
      </c>
      <c r="B1178" t="s">
        <v>35183</v>
      </c>
      <c r="C1178">
        <v>0</v>
      </c>
      <c r="D1178">
        <v>0.84891764741300002</v>
      </c>
      <c r="E1178">
        <v>21.192</v>
      </c>
    </row>
    <row r="1179" spans="1:5">
      <c r="A1179" t="s">
        <v>35182</v>
      </c>
      <c r="B1179" t="s">
        <v>35184</v>
      </c>
      <c r="C1179">
        <v>0.55792103775500002</v>
      </c>
      <c r="D1179">
        <v>0.84891764741300002</v>
      </c>
      <c r="E1179">
        <v>21.192</v>
      </c>
    </row>
    <row r="1180" spans="1:5">
      <c r="A1180" t="s">
        <v>35182</v>
      </c>
      <c r="B1180" t="s">
        <v>35185</v>
      </c>
      <c r="C1180">
        <v>0</v>
      </c>
      <c r="D1180">
        <v>0.84891764741300002</v>
      </c>
      <c r="E1180">
        <v>21.192</v>
      </c>
    </row>
    <row r="1181" spans="1:5">
      <c r="A1181" t="s">
        <v>35182</v>
      </c>
      <c r="B1181" t="s">
        <v>35186</v>
      </c>
      <c r="C1181">
        <v>0</v>
      </c>
      <c r="D1181">
        <v>0.84891764741300002</v>
      </c>
      <c r="E1181">
        <v>21.192</v>
      </c>
    </row>
    <row r="1182" spans="1:5">
      <c r="A1182" t="s">
        <v>35182</v>
      </c>
      <c r="B1182" t="s">
        <v>35187</v>
      </c>
      <c r="C1182">
        <f>0.25867385602</f>
        <v>0.25867385601999998</v>
      </c>
      <c r="D1182">
        <v>0.84891764741300002</v>
      </c>
      <c r="E1182">
        <v>21.192</v>
      </c>
    </row>
    <row r="1183" spans="1:5">
      <c r="A1183" t="s">
        <v>35188</v>
      </c>
      <c r="B1183" t="s">
        <v>30714</v>
      </c>
      <c r="C1183">
        <f>0</f>
        <v>0</v>
      </c>
      <c r="D1183" t="s">
        <v>106</v>
      </c>
      <c r="E1183">
        <v>4.4820000000000002</v>
      </c>
    </row>
    <row r="1184" spans="1:5">
      <c r="A1184" t="s">
        <v>35188</v>
      </c>
      <c r="B1184" t="s">
        <v>30716</v>
      </c>
      <c r="C1184">
        <v>0</v>
      </c>
      <c r="D1184" t="s">
        <v>106</v>
      </c>
      <c r="E1184">
        <v>4.4820000000000002</v>
      </c>
    </row>
    <row r="1185" spans="1:5">
      <c r="A1185" t="s">
        <v>35188</v>
      </c>
      <c r="B1185" t="s">
        <v>30715</v>
      </c>
      <c r="C1185">
        <f>0</f>
        <v>0</v>
      </c>
      <c r="D1185" t="s">
        <v>106</v>
      </c>
      <c r="E1185">
        <v>4.4820000000000002</v>
      </c>
    </row>
    <row r="1186" spans="1:5">
      <c r="A1186" t="s">
        <v>35189</v>
      </c>
      <c r="B1186" t="s">
        <v>25344</v>
      </c>
      <c r="C1186">
        <v>0</v>
      </c>
      <c r="D1186" t="s">
        <v>106</v>
      </c>
      <c r="E1186">
        <v>12.048</v>
      </c>
    </row>
    <row r="1187" spans="1:5">
      <c r="A1187" t="s">
        <v>35189</v>
      </c>
      <c r="B1187" t="s">
        <v>25350</v>
      </c>
      <c r="C1187">
        <v>0</v>
      </c>
      <c r="D1187" t="s">
        <v>106</v>
      </c>
      <c r="E1187">
        <v>12.048</v>
      </c>
    </row>
    <row r="1188" spans="1:5">
      <c r="A1188" t="s">
        <v>35189</v>
      </c>
      <c r="B1188" t="s">
        <v>25345</v>
      </c>
      <c r="C1188">
        <v>0</v>
      </c>
      <c r="D1188" t="s">
        <v>106</v>
      </c>
      <c r="E1188">
        <v>12.048</v>
      </c>
    </row>
    <row r="1189" spans="1:5">
      <c r="A1189" t="s">
        <v>35189</v>
      </c>
      <c r="B1189" t="s">
        <v>25349</v>
      </c>
      <c r="C1189">
        <v>0</v>
      </c>
      <c r="D1189" t="s">
        <v>106</v>
      </c>
      <c r="E1189">
        <v>12.048</v>
      </c>
    </row>
    <row r="1190" spans="1:5">
      <c r="A1190" t="s">
        <v>35189</v>
      </c>
      <c r="B1190" t="s">
        <v>25347</v>
      </c>
      <c r="C1190">
        <f>0</f>
        <v>0</v>
      </c>
      <c r="D1190" t="s">
        <v>106</v>
      </c>
      <c r="E1190">
        <v>12.048</v>
      </c>
    </row>
    <row r="1191" spans="1:5">
      <c r="A1191" t="s">
        <v>35189</v>
      </c>
      <c r="B1191" t="s">
        <v>25346</v>
      </c>
      <c r="C1191">
        <f>0</f>
        <v>0</v>
      </c>
      <c r="D1191" t="s">
        <v>106</v>
      </c>
      <c r="E1191">
        <v>12.048</v>
      </c>
    </row>
    <row r="1192" spans="1:5">
      <c r="A1192" t="s">
        <v>35190</v>
      </c>
      <c r="B1192" t="s">
        <v>35191</v>
      </c>
      <c r="C1192">
        <v>0</v>
      </c>
      <c r="D1192">
        <v>0.85612924450100003</v>
      </c>
      <c r="E1192">
        <v>0</v>
      </c>
    </row>
    <row r="1193" spans="1:5">
      <c r="A1193" t="s">
        <v>35190</v>
      </c>
      <c r="B1193" t="s">
        <v>35192</v>
      </c>
      <c r="C1193">
        <f>0.11069939808</f>
        <v>0.11069939808</v>
      </c>
      <c r="D1193">
        <v>0.85612924450100003</v>
      </c>
      <c r="E1193">
        <v>0</v>
      </c>
    </row>
    <row r="1194" spans="1:5">
      <c r="A1194" t="s">
        <v>35190</v>
      </c>
      <c r="B1194" t="s">
        <v>35193</v>
      </c>
      <c r="C1194">
        <f>0.629179838865</f>
        <v>0.62917983886499995</v>
      </c>
      <c r="D1194">
        <v>0.85612924450100003</v>
      </c>
      <c r="E1194">
        <v>0</v>
      </c>
    </row>
    <row r="1195" spans="1:5">
      <c r="A1195" t="s">
        <v>35190</v>
      </c>
      <c r="B1195" t="s">
        <v>35194</v>
      </c>
      <c r="C1195">
        <v>0</v>
      </c>
      <c r="D1195">
        <v>0.85612924450100003</v>
      </c>
      <c r="E1195">
        <v>0</v>
      </c>
    </row>
    <row r="1196" spans="1:5">
      <c r="A1196" t="s">
        <v>35190</v>
      </c>
      <c r="B1196" t="s">
        <v>35195</v>
      </c>
      <c r="C1196">
        <v>0</v>
      </c>
      <c r="D1196">
        <v>0.85612924450100003</v>
      </c>
      <c r="E1196">
        <v>0</v>
      </c>
    </row>
    <row r="1197" spans="1:5">
      <c r="A1197" t="s">
        <v>35190</v>
      </c>
      <c r="B1197" t="s">
        <v>35196</v>
      </c>
      <c r="C1197">
        <f>0</f>
        <v>0</v>
      </c>
      <c r="D1197">
        <v>0.85612924450100003</v>
      </c>
      <c r="E1197">
        <v>0</v>
      </c>
    </row>
    <row r="1198" spans="1:5">
      <c r="A1198" t="s">
        <v>35190</v>
      </c>
      <c r="B1198" t="s">
        <v>35197</v>
      </c>
      <c r="C1198">
        <v>0</v>
      </c>
      <c r="D1198">
        <v>0.85612924450100003</v>
      </c>
      <c r="E1198">
        <v>0</v>
      </c>
    </row>
    <row r="1199" spans="1:5">
      <c r="A1199" t="s">
        <v>35198</v>
      </c>
      <c r="B1199" t="s">
        <v>35199</v>
      </c>
      <c r="C1199">
        <v>0.12941230824399999</v>
      </c>
      <c r="D1199">
        <v>0.53902230824399999</v>
      </c>
      <c r="E1199">
        <v>23.754000000000001</v>
      </c>
    </row>
    <row r="1200" spans="1:5">
      <c r="A1200" t="s">
        <v>35198</v>
      </c>
      <c r="B1200" t="s">
        <v>35200</v>
      </c>
      <c r="C1200">
        <v>0</v>
      </c>
      <c r="D1200">
        <v>0.53902230824399999</v>
      </c>
      <c r="E1200">
        <v>23.754000000000001</v>
      </c>
    </row>
    <row r="1201" spans="1:5">
      <c r="A1201" t="s">
        <v>35201</v>
      </c>
      <c r="B1201" t="s">
        <v>10376</v>
      </c>
      <c r="C1201">
        <v>0</v>
      </c>
      <c r="D1201" t="s">
        <v>106</v>
      </c>
      <c r="E1201">
        <v>3.6840000000000002</v>
      </c>
    </row>
    <row r="1202" spans="1:5">
      <c r="A1202" t="s">
        <v>35201</v>
      </c>
      <c r="B1202" t="s">
        <v>10378</v>
      </c>
      <c r="C1202">
        <f>0</f>
        <v>0</v>
      </c>
      <c r="D1202" t="s">
        <v>106</v>
      </c>
      <c r="E1202">
        <v>3.6840000000000002</v>
      </c>
    </row>
    <row r="1203" spans="1:5">
      <c r="A1203" t="s">
        <v>35201</v>
      </c>
      <c r="B1203" t="s">
        <v>10375</v>
      </c>
      <c r="C1203">
        <f>0</f>
        <v>0</v>
      </c>
      <c r="D1203" t="s">
        <v>106</v>
      </c>
      <c r="E1203">
        <v>3.6840000000000002</v>
      </c>
    </row>
    <row r="1204" spans="1:5">
      <c r="A1204" t="s">
        <v>35202</v>
      </c>
      <c r="B1204" t="s">
        <v>28310</v>
      </c>
      <c r="C1204">
        <v>0.56549596562600002</v>
      </c>
      <c r="D1204">
        <v>0.86261177237300002</v>
      </c>
      <c r="E1204">
        <v>1.83</v>
      </c>
    </row>
    <row r="1205" spans="1:5">
      <c r="A1205" t="s">
        <v>35202</v>
      </c>
      <c r="B1205" t="s">
        <v>28309</v>
      </c>
      <c r="C1205">
        <v>0.54323580064200006</v>
      </c>
      <c r="D1205">
        <v>0.86261177237300002</v>
      </c>
      <c r="E1205">
        <v>1.83</v>
      </c>
    </row>
    <row r="1206" spans="1:5">
      <c r="A1206" t="s">
        <v>35202</v>
      </c>
      <c r="B1206" t="s">
        <v>28308</v>
      </c>
      <c r="C1206">
        <f>0.750570275889</f>
        <v>0.75057027588900005</v>
      </c>
      <c r="D1206">
        <v>0.86261177237300002</v>
      </c>
      <c r="E1206">
        <v>1.83</v>
      </c>
    </row>
    <row r="1207" spans="1:5">
      <c r="A1207" t="s">
        <v>35202</v>
      </c>
      <c r="B1207" t="s">
        <v>28311</v>
      </c>
      <c r="C1207">
        <f>0.01959017258</f>
        <v>1.9590172579999999E-2</v>
      </c>
      <c r="D1207">
        <v>0.86261177237300002</v>
      </c>
      <c r="E1207">
        <v>1.83</v>
      </c>
    </row>
    <row r="1208" spans="1:5">
      <c r="A1208" t="s">
        <v>35203</v>
      </c>
      <c r="B1208" t="s">
        <v>27875</v>
      </c>
      <c r="C1208">
        <v>0.58851304024700002</v>
      </c>
      <c r="D1208">
        <v>0.85548519923099997</v>
      </c>
      <c r="E1208">
        <v>0.34799999999999998</v>
      </c>
    </row>
    <row r="1209" spans="1:5">
      <c r="A1209" t="s">
        <v>35203</v>
      </c>
      <c r="B1209" t="s">
        <v>27877</v>
      </c>
      <c r="C1209">
        <v>0.52119165054799999</v>
      </c>
      <c r="D1209">
        <v>0.85548519923099997</v>
      </c>
      <c r="E1209">
        <v>0.34799999999999998</v>
      </c>
    </row>
    <row r="1210" spans="1:5">
      <c r="A1210" t="s">
        <v>35204</v>
      </c>
      <c r="B1210" t="s">
        <v>35205</v>
      </c>
      <c r="C1210">
        <f>0</f>
        <v>0</v>
      </c>
      <c r="D1210" t="s">
        <v>106</v>
      </c>
      <c r="E1210">
        <v>6.06</v>
      </c>
    </row>
    <row r="1211" spans="1:5">
      <c r="A1211" t="s">
        <v>35204</v>
      </c>
      <c r="B1211" t="s">
        <v>35206</v>
      </c>
      <c r="C1211">
        <f>0</f>
        <v>0</v>
      </c>
      <c r="D1211" t="s">
        <v>106</v>
      </c>
      <c r="E1211">
        <v>6.06</v>
      </c>
    </row>
    <row r="1212" spans="1:5">
      <c r="A1212" t="s">
        <v>35204</v>
      </c>
      <c r="B1212" t="s">
        <v>35207</v>
      </c>
      <c r="C1212">
        <v>0</v>
      </c>
      <c r="D1212" t="s">
        <v>106</v>
      </c>
      <c r="E1212">
        <v>6.06</v>
      </c>
    </row>
    <row r="1213" spans="1:5">
      <c r="A1213" t="s">
        <v>35204</v>
      </c>
      <c r="B1213" t="s">
        <v>35208</v>
      </c>
      <c r="C1213">
        <f>0</f>
        <v>0</v>
      </c>
      <c r="D1213" t="s">
        <v>106</v>
      </c>
      <c r="E1213">
        <v>6.06</v>
      </c>
    </row>
    <row r="1214" spans="1:5">
      <c r="A1214" t="s">
        <v>35204</v>
      </c>
      <c r="B1214" t="s">
        <v>35209</v>
      </c>
      <c r="C1214">
        <v>0</v>
      </c>
      <c r="D1214" t="s">
        <v>106</v>
      </c>
      <c r="E1214">
        <v>6.06</v>
      </c>
    </row>
    <row r="1215" spans="1:5">
      <c r="A1215" t="s">
        <v>35204</v>
      </c>
      <c r="B1215" t="s">
        <v>35210</v>
      </c>
      <c r="C1215">
        <v>0</v>
      </c>
      <c r="D1215" t="s">
        <v>106</v>
      </c>
      <c r="E1215">
        <v>6.06</v>
      </c>
    </row>
    <row r="1216" spans="1:5">
      <c r="A1216" t="s">
        <v>35211</v>
      </c>
      <c r="B1216" t="s">
        <v>33205</v>
      </c>
      <c r="C1216">
        <f>0.628148455352</f>
        <v>0.62814845535200003</v>
      </c>
      <c r="D1216">
        <v>0.87198810528699999</v>
      </c>
      <c r="E1216">
        <v>2.718</v>
      </c>
    </row>
    <row r="1217" spans="1:5">
      <c r="A1217" t="s">
        <v>35211</v>
      </c>
      <c r="B1217" t="s">
        <v>33209</v>
      </c>
      <c r="C1217">
        <v>0.68852570869399998</v>
      </c>
      <c r="D1217">
        <v>0.87198810528699999</v>
      </c>
      <c r="E1217">
        <v>2.718</v>
      </c>
    </row>
    <row r="1218" spans="1:5">
      <c r="A1218" t="s">
        <v>35211</v>
      </c>
      <c r="B1218" t="s">
        <v>33207</v>
      </c>
      <c r="C1218">
        <v>0.86665231254499997</v>
      </c>
      <c r="D1218">
        <v>0.87198810528699999</v>
      </c>
      <c r="E1218">
        <v>2.718</v>
      </c>
    </row>
    <row r="1219" spans="1:5">
      <c r="A1219" t="s">
        <v>35211</v>
      </c>
      <c r="B1219" t="s">
        <v>33208</v>
      </c>
      <c r="C1219">
        <v>0</v>
      </c>
      <c r="D1219">
        <v>0.87198810528699999</v>
      </c>
      <c r="E1219">
        <v>2.718</v>
      </c>
    </row>
    <row r="1220" spans="1:5">
      <c r="A1220" t="s">
        <v>35212</v>
      </c>
      <c r="B1220" t="s">
        <v>12130</v>
      </c>
      <c r="C1220">
        <f>0</f>
        <v>0</v>
      </c>
      <c r="D1220" t="s">
        <v>106</v>
      </c>
      <c r="E1220">
        <v>0.28799999999999998</v>
      </c>
    </row>
    <row r="1221" spans="1:5">
      <c r="A1221" t="s">
        <v>35212</v>
      </c>
      <c r="B1221" t="s">
        <v>12133</v>
      </c>
      <c r="C1221">
        <f>0</f>
        <v>0</v>
      </c>
      <c r="D1221" t="s">
        <v>106</v>
      </c>
      <c r="E1221">
        <v>0.28799999999999998</v>
      </c>
    </row>
    <row r="1222" spans="1:5">
      <c r="A1222" t="s">
        <v>35212</v>
      </c>
      <c r="B1222" t="s">
        <v>12134</v>
      </c>
      <c r="C1222">
        <v>0</v>
      </c>
      <c r="D1222" t="s">
        <v>106</v>
      </c>
      <c r="E1222">
        <v>0.28799999999999998</v>
      </c>
    </row>
    <row r="1223" spans="1:5">
      <c r="A1223" t="s">
        <v>35213</v>
      </c>
      <c r="B1223" t="s">
        <v>35214</v>
      </c>
      <c r="C1223">
        <f>0.0280572382218</f>
        <v>2.80572382218E-2</v>
      </c>
      <c r="D1223">
        <v>0.98399239172399999</v>
      </c>
      <c r="E1223">
        <v>24</v>
      </c>
    </row>
    <row r="1224" spans="1:5">
      <c r="A1224" t="s">
        <v>35213</v>
      </c>
      <c r="B1224" t="s">
        <v>35215</v>
      </c>
      <c r="C1224">
        <f>0</f>
        <v>0</v>
      </c>
      <c r="D1224">
        <v>0.98399239172399999</v>
      </c>
      <c r="E1224">
        <v>24</v>
      </c>
    </row>
    <row r="1225" spans="1:5">
      <c r="A1225" t="s">
        <v>35213</v>
      </c>
      <c r="B1225" t="s">
        <v>35216</v>
      </c>
      <c r="C1225">
        <v>0</v>
      </c>
      <c r="D1225">
        <v>0.98399239172399999</v>
      </c>
      <c r="E1225">
        <v>24</v>
      </c>
    </row>
    <row r="1226" spans="1:5">
      <c r="A1226" t="s">
        <v>35213</v>
      </c>
      <c r="B1226" t="s">
        <v>35217</v>
      </c>
      <c r="C1226">
        <v>0</v>
      </c>
      <c r="D1226">
        <v>0.98399239172399999</v>
      </c>
      <c r="E1226">
        <v>24</v>
      </c>
    </row>
    <row r="1227" spans="1:5">
      <c r="A1227" t="s">
        <v>35213</v>
      </c>
      <c r="B1227" t="s">
        <v>35218</v>
      </c>
      <c r="C1227">
        <f>0.214562269543</f>
        <v>0.21456226954300001</v>
      </c>
      <c r="D1227">
        <v>0.98399239172399999</v>
      </c>
      <c r="E1227">
        <v>24</v>
      </c>
    </row>
    <row r="1228" spans="1:5">
      <c r="A1228" t="s">
        <v>35213</v>
      </c>
      <c r="B1228" t="s">
        <v>35219</v>
      </c>
      <c r="C1228">
        <v>0</v>
      </c>
      <c r="D1228">
        <v>0.98399239172399999</v>
      </c>
      <c r="E1228">
        <v>24</v>
      </c>
    </row>
    <row r="1229" spans="1:5">
      <c r="A1229" t="s">
        <v>35213</v>
      </c>
      <c r="B1229" t="s">
        <v>35220</v>
      </c>
      <c r="C1229">
        <v>6.9649746078199997E-3</v>
      </c>
      <c r="D1229">
        <v>0.98399239172399999</v>
      </c>
      <c r="E1229">
        <v>24</v>
      </c>
    </row>
    <row r="1230" spans="1:5">
      <c r="A1230" t="s">
        <v>35213</v>
      </c>
      <c r="B1230" t="s">
        <v>35221</v>
      </c>
      <c r="C1230">
        <v>0</v>
      </c>
      <c r="D1230">
        <v>0.98399239172399999</v>
      </c>
      <c r="E1230">
        <v>24</v>
      </c>
    </row>
    <row r="1231" spans="1:5">
      <c r="A1231" t="s">
        <v>35213</v>
      </c>
      <c r="B1231" t="s">
        <v>35222</v>
      </c>
      <c r="C1231">
        <v>0.60007545168499998</v>
      </c>
      <c r="D1231">
        <v>0.98399239172399999</v>
      </c>
      <c r="E1231">
        <v>24</v>
      </c>
    </row>
    <row r="1232" spans="1:5">
      <c r="A1232" t="s">
        <v>35213</v>
      </c>
      <c r="B1232" t="s">
        <v>35223</v>
      </c>
      <c r="C1232">
        <v>0</v>
      </c>
      <c r="D1232">
        <v>0.98399239172399999</v>
      </c>
      <c r="E1232">
        <v>24</v>
      </c>
    </row>
    <row r="1233" spans="1:5">
      <c r="A1233" t="s">
        <v>35213</v>
      </c>
      <c r="B1233" t="s">
        <v>35224</v>
      </c>
      <c r="C1233">
        <v>0</v>
      </c>
      <c r="D1233">
        <v>0.98399239172399999</v>
      </c>
      <c r="E1233">
        <v>24</v>
      </c>
    </row>
    <row r="1234" spans="1:5">
      <c r="A1234" t="s">
        <v>35213</v>
      </c>
      <c r="B1234" t="s">
        <v>35225</v>
      </c>
      <c r="C1234">
        <f>0.508354784926</f>
        <v>0.50835478492599995</v>
      </c>
      <c r="D1234">
        <v>0.98399239172399999</v>
      </c>
      <c r="E1234">
        <v>24</v>
      </c>
    </row>
    <row r="1235" spans="1:5">
      <c r="A1235" t="s">
        <v>35226</v>
      </c>
      <c r="B1235" t="s">
        <v>35227</v>
      </c>
      <c r="C1235">
        <v>0.31929972802700002</v>
      </c>
      <c r="D1235">
        <v>0.97816473843100005</v>
      </c>
      <c r="E1235">
        <v>5.1239999999999997</v>
      </c>
    </row>
    <row r="1236" spans="1:5">
      <c r="A1236" t="s">
        <v>35226</v>
      </c>
      <c r="B1236" t="s">
        <v>35228</v>
      </c>
      <c r="C1236">
        <v>0</v>
      </c>
      <c r="D1236">
        <v>0.97816473843100005</v>
      </c>
      <c r="E1236">
        <v>5.1239999999999997</v>
      </c>
    </row>
    <row r="1237" spans="1:5">
      <c r="A1237" t="s">
        <v>35226</v>
      </c>
      <c r="B1237" t="s">
        <v>35229</v>
      </c>
      <c r="C1237">
        <v>0</v>
      </c>
      <c r="D1237">
        <v>0.97816473843100005</v>
      </c>
      <c r="E1237">
        <v>5.1239999999999997</v>
      </c>
    </row>
    <row r="1238" spans="1:5">
      <c r="A1238" t="s">
        <v>35226</v>
      </c>
      <c r="B1238" t="s">
        <v>35230</v>
      </c>
      <c r="C1238">
        <f>0.730622210464</f>
        <v>0.730622210464</v>
      </c>
      <c r="D1238">
        <v>0.97816473843100005</v>
      </c>
      <c r="E1238">
        <v>5.1239999999999997</v>
      </c>
    </row>
    <row r="1239" spans="1:5">
      <c r="A1239" t="s">
        <v>35226</v>
      </c>
      <c r="B1239" t="s">
        <v>35231</v>
      </c>
      <c r="C1239">
        <f>0</f>
        <v>0</v>
      </c>
      <c r="D1239">
        <v>0.97816473843100005</v>
      </c>
      <c r="E1239">
        <v>5.1239999999999997</v>
      </c>
    </row>
    <row r="1240" spans="1:5">
      <c r="A1240" t="s">
        <v>35226</v>
      </c>
      <c r="B1240" t="s">
        <v>35232</v>
      </c>
      <c r="C1240">
        <v>0.235838811702</v>
      </c>
      <c r="D1240">
        <v>0.97816473843100005</v>
      </c>
      <c r="E1240">
        <v>5.1239999999999997</v>
      </c>
    </row>
    <row r="1241" spans="1:5">
      <c r="A1241" t="s">
        <v>35226</v>
      </c>
      <c r="B1241" t="s">
        <v>35233</v>
      </c>
      <c r="C1241">
        <v>0.48923657358900002</v>
      </c>
      <c r="D1241">
        <v>0.97816473843100005</v>
      </c>
      <c r="E1241">
        <v>5.1239999999999997</v>
      </c>
    </row>
    <row r="1242" spans="1:5">
      <c r="A1242" t="s">
        <v>35226</v>
      </c>
      <c r="B1242" t="s">
        <v>35234</v>
      </c>
      <c r="C1242">
        <v>0.88275935084799995</v>
      </c>
      <c r="D1242">
        <v>0.97816473843100005</v>
      </c>
      <c r="E1242">
        <v>5.1239999999999997</v>
      </c>
    </row>
    <row r="1243" spans="1:5">
      <c r="A1243" t="s">
        <v>35235</v>
      </c>
      <c r="B1243" t="s">
        <v>35236</v>
      </c>
      <c r="C1243">
        <v>0.48764882952799998</v>
      </c>
      <c r="D1243">
        <v>0.64765882952800002</v>
      </c>
      <c r="E1243">
        <v>5.2380000000000004</v>
      </c>
    </row>
    <row r="1244" spans="1:5">
      <c r="A1244" t="s">
        <v>35235</v>
      </c>
      <c r="B1244" t="s">
        <v>35237</v>
      </c>
      <c r="C1244">
        <f>0</f>
        <v>0</v>
      </c>
      <c r="D1244">
        <v>0.64765882952800002</v>
      </c>
      <c r="E1244">
        <v>5.2380000000000004</v>
      </c>
    </row>
    <row r="1245" spans="1:5">
      <c r="A1245" t="s">
        <v>35238</v>
      </c>
      <c r="B1245" t="s">
        <v>27248</v>
      </c>
      <c r="C1245">
        <v>1.3659466365799999</v>
      </c>
      <c r="D1245">
        <v>0.93165992216600002</v>
      </c>
      <c r="E1245">
        <v>24</v>
      </c>
    </row>
    <row r="1246" spans="1:5">
      <c r="A1246" t="s">
        <v>35238</v>
      </c>
      <c r="B1246" t="s">
        <v>27252</v>
      </c>
      <c r="C1246">
        <f>0.314962808162</f>
        <v>0.31496280816200001</v>
      </c>
      <c r="D1246">
        <v>0.93165992216600002</v>
      </c>
      <c r="E1246">
        <v>24</v>
      </c>
    </row>
    <row r="1247" spans="1:5">
      <c r="A1247" t="s">
        <v>35238</v>
      </c>
      <c r="B1247" t="s">
        <v>27249</v>
      </c>
      <c r="C1247">
        <f>0.812916775725</f>
        <v>0.81291677572499998</v>
      </c>
      <c r="D1247">
        <v>0.93165992216600002</v>
      </c>
      <c r="E1247">
        <v>24</v>
      </c>
    </row>
    <row r="1248" spans="1:5">
      <c r="A1248" t="s">
        <v>35238</v>
      </c>
      <c r="B1248" t="s">
        <v>27250</v>
      </c>
      <c r="C1248">
        <v>0.208763810818</v>
      </c>
      <c r="D1248">
        <v>0.93165992216600002</v>
      </c>
      <c r="E1248">
        <v>24</v>
      </c>
    </row>
    <row r="1249" spans="1:5">
      <c r="A1249" t="s">
        <v>35238</v>
      </c>
      <c r="B1249" t="s">
        <v>27254</v>
      </c>
      <c r="C1249">
        <v>0.93118971986800003</v>
      </c>
      <c r="D1249">
        <v>0.93165992216600002</v>
      </c>
      <c r="E1249">
        <v>24</v>
      </c>
    </row>
    <row r="1250" spans="1:5">
      <c r="A1250" t="s">
        <v>35239</v>
      </c>
      <c r="B1250" t="s">
        <v>28134</v>
      </c>
      <c r="C1250">
        <v>0</v>
      </c>
      <c r="D1250">
        <v>0.79224603763799994</v>
      </c>
      <c r="E1250">
        <v>8.01</v>
      </c>
    </row>
    <row r="1251" spans="1:5">
      <c r="A1251" t="s">
        <v>35239</v>
      </c>
      <c r="B1251" t="s">
        <v>28139</v>
      </c>
      <c r="C1251">
        <f>0.489186191487</f>
        <v>0.48918619148699999</v>
      </c>
      <c r="D1251">
        <v>0.79224603763799994</v>
      </c>
      <c r="E1251">
        <v>8.01</v>
      </c>
    </row>
    <row r="1252" spans="1:5">
      <c r="A1252" t="s">
        <v>35239</v>
      </c>
      <c r="B1252" t="s">
        <v>28142</v>
      </c>
      <c r="C1252">
        <v>0</v>
      </c>
      <c r="D1252">
        <v>0.79224603763799994</v>
      </c>
      <c r="E1252">
        <v>8.01</v>
      </c>
    </row>
    <row r="1253" spans="1:5">
      <c r="A1253" t="s">
        <v>35239</v>
      </c>
      <c r="B1253" t="s">
        <v>28140</v>
      </c>
      <c r="C1253">
        <f>0</f>
        <v>0</v>
      </c>
      <c r="D1253">
        <v>0.79224603763799994</v>
      </c>
      <c r="E1253">
        <v>8.01</v>
      </c>
    </row>
    <row r="1254" spans="1:5">
      <c r="A1254" t="s">
        <v>35239</v>
      </c>
      <c r="B1254" t="s">
        <v>28135</v>
      </c>
      <c r="C1254">
        <v>0.15840956470000001</v>
      </c>
      <c r="D1254">
        <v>0.79224603763799994</v>
      </c>
      <c r="E1254">
        <v>8.01</v>
      </c>
    </row>
    <row r="1255" spans="1:5">
      <c r="A1255" t="s">
        <v>35239</v>
      </c>
      <c r="B1255" t="s">
        <v>28137</v>
      </c>
      <c r="C1255">
        <v>0</v>
      </c>
      <c r="D1255">
        <v>0.79224603763799994</v>
      </c>
      <c r="E1255">
        <v>8.01</v>
      </c>
    </row>
    <row r="1256" spans="1:5">
      <c r="A1256" t="s">
        <v>35239</v>
      </c>
      <c r="B1256" t="s">
        <v>28141</v>
      </c>
      <c r="C1256">
        <v>0</v>
      </c>
      <c r="D1256">
        <v>0.79224603763799994</v>
      </c>
      <c r="E1256">
        <v>8.01</v>
      </c>
    </row>
    <row r="1257" spans="1:5">
      <c r="A1257" t="s">
        <v>35240</v>
      </c>
      <c r="B1257" t="s">
        <v>35241</v>
      </c>
      <c r="C1257">
        <f>-1.01909861292</f>
        <v>-1.0190986129199999</v>
      </c>
      <c r="D1257">
        <v>0.85818685937000005</v>
      </c>
      <c r="E1257">
        <v>24</v>
      </c>
    </row>
    <row r="1258" spans="1:5">
      <c r="A1258" t="s">
        <v>35240</v>
      </c>
      <c r="B1258" t="s">
        <v>35242</v>
      </c>
      <c r="C1258">
        <f>-1.99086663051</f>
        <v>-1.99086663051</v>
      </c>
      <c r="D1258">
        <v>0.85818685937000005</v>
      </c>
      <c r="E1258">
        <v>24</v>
      </c>
    </row>
    <row r="1259" spans="1:5">
      <c r="A1259" t="s">
        <v>35240</v>
      </c>
      <c r="B1259" t="s">
        <v>35243</v>
      </c>
      <c r="C1259">
        <v>1.1608821713999999</v>
      </c>
      <c r="D1259">
        <v>0.85818685937000005</v>
      </c>
      <c r="E1259">
        <v>24</v>
      </c>
    </row>
    <row r="1260" spans="1:5">
      <c r="A1260" t="s">
        <v>35244</v>
      </c>
      <c r="B1260" t="s">
        <v>3053</v>
      </c>
      <c r="C1260">
        <v>5.4904025415000002E-2</v>
      </c>
      <c r="D1260">
        <v>0.92807403418599999</v>
      </c>
      <c r="E1260">
        <v>10.08</v>
      </c>
    </row>
    <row r="1261" spans="1:5">
      <c r="A1261" t="s">
        <v>35244</v>
      </c>
      <c r="B1261" t="s">
        <v>3055</v>
      </c>
      <c r="C1261">
        <v>0.114147127374</v>
      </c>
      <c r="D1261">
        <v>0.92807403418599999</v>
      </c>
      <c r="E1261">
        <v>10.08</v>
      </c>
    </row>
    <row r="1262" spans="1:5">
      <c r="A1262" t="s">
        <v>35244</v>
      </c>
      <c r="B1262" t="s">
        <v>3054</v>
      </c>
      <c r="C1262">
        <f>0.174517622597</f>
        <v>0.17451762259699999</v>
      </c>
      <c r="D1262">
        <v>0.92807403418599999</v>
      </c>
      <c r="E1262">
        <v>10.08</v>
      </c>
    </row>
    <row r="1263" spans="1:5">
      <c r="A1263" t="s">
        <v>35244</v>
      </c>
      <c r="B1263" t="s">
        <v>3057</v>
      </c>
      <c r="C1263">
        <v>0.99924620823599997</v>
      </c>
      <c r="D1263">
        <v>0.92807403418599999</v>
      </c>
      <c r="E1263">
        <v>10.08</v>
      </c>
    </row>
    <row r="1264" spans="1:5">
      <c r="A1264" t="s">
        <v>35244</v>
      </c>
      <c r="B1264" t="s">
        <v>3058</v>
      </c>
      <c r="C1264">
        <v>0</v>
      </c>
      <c r="D1264">
        <v>0.92807403418599999</v>
      </c>
      <c r="E1264">
        <v>10.08</v>
      </c>
    </row>
    <row r="1265" spans="1:5">
      <c r="A1265" t="s">
        <v>35245</v>
      </c>
      <c r="B1265" t="s">
        <v>35246</v>
      </c>
      <c r="C1265">
        <v>0.31234225906000002</v>
      </c>
      <c r="D1265">
        <v>0.91829821584000004</v>
      </c>
      <c r="E1265">
        <v>0.504</v>
      </c>
    </row>
    <row r="1266" spans="1:5">
      <c r="A1266" t="s">
        <v>35245</v>
      </c>
      <c r="B1266" t="s">
        <v>35247</v>
      </c>
      <c r="C1266">
        <v>0.31003238392299998</v>
      </c>
      <c r="D1266">
        <v>0.91829821584000004</v>
      </c>
      <c r="E1266">
        <v>0.504</v>
      </c>
    </row>
    <row r="1267" spans="1:5">
      <c r="A1267" t="s">
        <v>35245</v>
      </c>
      <c r="B1267" t="s">
        <v>35248</v>
      </c>
      <c r="C1267">
        <v>0.28667960206600002</v>
      </c>
      <c r="D1267">
        <v>0.91829821584000004</v>
      </c>
      <c r="E1267">
        <v>0.504</v>
      </c>
    </row>
    <row r="1268" spans="1:5">
      <c r="A1268" t="s">
        <v>35245</v>
      </c>
      <c r="B1268" t="s">
        <v>35249</v>
      </c>
      <c r="C1268">
        <f>0</f>
        <v>0</v>
      </c>
      <c r="D1268">
        <v>0.91829821584000004</v>
      </c>
      <c r="E1268">
        <v>0.504</v>
      </c>
    </row>
    <row r="1269" spans="1:5">
      <c r="A1269" t="s">
        <v>35245</v>
      </c>
      <c r="B1269" t="s">
        <v>35250</v>
      </c>
      <c r="C1269">
        <f>0.033149237907</f>
        <v>3.3149237907000001E-2</v>
      </c>
      <c r="D1269">
        <v>0.91829821584000004</v>
      </c>
      <c r="E1269">
        <v>0.504</v>
      </c>
    </row>
    <row r="1270" spans="1:5">
      <c r="A1270" t="s">
        <v>35251</v>
      </c>
      <c r="B1270" t="s">
        <v>5441</v>
      </c>
      <c r="C1270">
        <f>0</f>
        <v>0</v>
      </c>
      <c r="D1270">
        <v>0.98749636037400002</v>
      </c>
      <c r="E1270">
        <v>3.8759999999999999</v>
      </c>
    </row>
    <row r="1271" spans="1:5">
      <c r="A1271" t="s">
        <v>35251</v>
      </c>
      <c r="B1271" t="s">
        <v>5444</v>
      </c>
      <c r="C1271">
        <v>0</v>
      </c>
      <c r="D1271">
        <v>0.98749636037400002</v>
      </c>
      <c r="E1271">
        <v>3.8759999999999999</v>
      </c>
    </row>
    <row r="1272" spans="1:5">
      <c r="A1272" t="s">
        <v>35251</v>
      </c>
      <c r="B1272" t="s">
        <v>5442</v>
      </c>
      <c r="C1272">
        <v>0</v>
      </c>
      <c r="D1272">
        <v>0.98749636037400002</v>
      </c>
      <c r="E1272">
        <v>3.8759999999999999</v>
      </c>
    </row>
    <row r="1273" spans="1:5">
      <c r="A1273" t="s">
        <v>35251</v>
      </c>
      <c r="B1273" t="s">
        <v>35252</v>
      </c>
      <c r="C1273">
        <v>0.14874491263799999</v>
      </c>
      <c r="D1273">
        <v>0.98749636037400002</v>
      </c>
      <c r="E1273">
        <v>3.8759999999999999</v>
      </c>
    </row>
    <row r="1274" spans="1:5">
      <c r="A1274" t="s">
        <v>35251</v>
      </c>
      <c r="B1274" t="s">
        <v>5445</v>
      </c>
      <c r="C1274">
        <v>4.3437281070300003E-2</v>
      </c>
      <c r="D1274">
        <v>0.98749636037400002</v>
      </c>
      <c r="E1274">
        <v>3.8759999999999999</v>
      </c>
    </row>
    <row r="1275" spans="1:5">
      <c r="A1275" t="s">
        <v>35251</v>
      </c>
      <c r="B1275" t="s">
        <v>5446</v>
      </c>
      <c r="C1275">
        <v>0.497057784931</v>
      </c>
      <c r="D1275">
        <v>0.98749636037400002</v>
      </c>
      <c r="E1275">
        <v>3.8759999999999999</v>
      </c>
    </row>
    <row r="1276" spans="1:5">
      <c r="A1276" t="s">
        <v>35251</v>
      </c>
      <c r="B1276" t="s">
        <v>5450</v>
      </c>
      <c r="C1276">
        <v>0</v>
      </c>
      <c r="D1276">
        <v>0.98749636037400002</v>
      </c>
      <c r="E1276">
        <v>3.8759999999999999</v>
      </c>
    </row>
    <row r="1277" spans="1:5">
      <c r="A1277" t="s">
        <v>35251</v>
      </c>
      <c r="B1277" t="s">
        <v>5443</v>
      </c>
      <c r="C1277">
        <v>0.40183862816999999</v>
      </c>
      <c r="D1277">
        <v>0.98749636037400002</v>
      </c>
      <c r="E1277">
        <v>3.8759999999999999</v>
      </c>
    </row>
    <row r="1278" spans="1:5">
      <c r="A1278" t="s">
        <v>35251</v>
      </c>
      <c r="B1278" t="s">
        <v>5447</v>
      </c>
      <c r="C1278">
        <v>0.152007869578</v>
      </c>
      <c r="D1278">
        <v>0.98749636037400002</v>
      </c>
      <c r="E1278">
        <v>3.8759999999999999</v>
      </c>
    </row>
    <row r="1279" spans="1:5">
      <c r="A1279" t="s">
        <v>35253</v>
      </c>
      <c r="B1279" t="s">
        <v>6362</v>
      </c>
      <c r="C1279">
        <v>0.84093211248599997</v>
      </c>
      <c r="D1279">
        <v>0.99998846439099998</v>
      </c>
      <c r="E1279">
        <v>12.39</v>
      </c>
    </row>
    <row r="1280" spans="1:5">
      <c r="A1280" t="s">
        <v>35253</v>
      </c>
      <c r="B1280" t="s">
        <v>6361</v>
      </c>
      <c r="C1280">
        <v>0.29966313691800001</v>
      </c>
      <c r="D1280">
        <v>0.99998846439099998</v>
      </c>
      <c r="E1280">
        <v>12.39</v>
      </c>
    </row>
    <row r="1281" spans="1:5">
      <c r="A1281" t="s">
        <v>35253</v>
      </c>
      <c r="B1281" t="s">
        <v>6366</v>
      </c>
      <c r="C1281">
        <f>0.441567313541</f>
        <v>0.44156731354099998</v>
      </c>
      <c r="D1281">
        <v>0.99998846439099998</v>
      </c>
      <c r="E1281">
        <v>12.39</v>
      </c>
    </row>
    <row r="1282" spans="1:5">
      <c r="A1282" t="s">
        <v>35253</v>
      </c>
      <c r="B1282" t="s">
        <v>6365</v>
      </c>
      <c r="C1282">
        <f>0.441710040968</f>
        <v>0.44171004096799998</v>
      </c>
      <c r="D1282">
        <v>0.99998846439099998</v>
      </c>
      <c r="E1282">
        <v>12.39</v>
      </c>
    </row>
    <row r="1283" spans="1:5">
      <c r="A1283" t="s">
        <v>35253</v>
      </c>
      <c r="B1283" t="s">
        <v>6367</v>
      </c>
      <c r="C1283">
        <v>0.58307498458100004</v>
      </c>
      <c r="D1283">
        <v>0.99998846439099998</v>
      </c>
      <c r="E1283">
        <v>12.39</v>
      </c>
    </row>
    <row r="1284" spans="1:5">
      <c r="A1284" t="s">
        <v>35253</v>
      </c>
      <c r="B1284" t="s">
        <v>6363</v>
      </c>
      <c r="C1284">
        <f>0.478113206342</f>
        <v>0.478113206342</v>
      </c>
      <c r="D1284">
        <v>0.99998846439099998</v>
      </c>
      <c r="E1284">
        <v>12.39</v>
      </c>
    </row>
    <row r="1285" spans="1:5">
      <c r="A1285" t="s">
        <v>35253</v>
      </c>
      <c r="B1285" t="s">
        <v>6364</v>
      </c>
      <c r="C1285">
        <v>0.30217643343900003</v>
      </c>
      <c r="D1285">
        <v>0.99998846439099998</v>
      </c>
      <c r="E1285">
        <v>12.39</v>
      </c>
    </row>
    <row r="1286" spans="1:5">
      <c r="A1286" t="s">
        <v>35254</v>
      </c>
      <c r="B1286" t="s">
        <v>35255</v>
      </c>
      <c r="C1286">
        <v>0</v>
      </c>
      <c r="D1286" t="s">
        <v>106</v>
      </c>
      <c r="E1286">
        <v>2.4780000000000002</v>
      </c>
    </row>
    <row r="1287" spans="1:5">
      <c r="A1287" t="s">
        <v>35254</v>
      </c>
      <c r="B1287" t="s">
        <v>35256</v>
      </c>
      <c r="C1287">
        <v>0</v>
      </c>
      <c r="D1287" t="s">
        <v>106</v>
      </c>
      <c r="E1287">
        <v>2.4780000000000002</v>
      </c>
    </row>
    <row r="1288" spans="1:5">
      <c r="A1288" t="s">
        <v>35254</v>
      </c>
      <c r="B1288" t="s">
        <v>35257</v>
      </c>
      <c r="C1288">
        <f>0</f>
        <v>0</v>
      </c>
      <c r="D1288" t="s">
        <v>106</v>
      </c>
      <c r="E1288">
        <v>2.4780000000000002</v>
      </c>
    </row>
    <row r="1289" spans="1:5">
      <c r="A1289" t="s">
        <v>35254</v>
      </c>
      <c r="B1289" t="s">
        <v>35258</v>
      </c>
      <c r="C1289">
        <f>0</f>
        <v>0</v>
      </c>
      <c r="D1289" t="s">
        <v>106</v>
      </c>
      <c r="E1289">
        <v>2.4780000000000002</v>
      </c>
    </row>
    <row r="1290" spans="1:5">
      <c r="A1290" t="s">
        <v>35254</v>
      </c>
      <c r="B1290" t="s">
        <v>35259</v>
      </c>
      <c r="C1290">
        <f>0</f>
        <v>0</v>
      </c>
      <c r="D1290" t="s">
        <v>106</v>
      </c>
      <c r="E1290">
        <v>2.4780000000000002</v>
      </c>
    </row>
    <row r="1291" spans="1:5">
      <c r="A1291" t="s">
        <v>35254</v>
      </c>
      <c r="B1291" t="s">
        <v>35260</v>
      </c>
      <c r="C1291">
        <v>0</v>
      </c>
      <c r="D1291" t="s">
        <v>106</v>
      </c>
      <c r="E1291">
        <v>2.4780000000000002</v>
      </c>
    </row>
    <row r="1292" spans="1:5">
      <c r="A1292" t="s">
        <v>35254</v>
      </c>
      <c r="B1292" t="s">
        <v>35261</v>
      </c>
      <c r="C1292">
        <v>0</v>
      </c>
      <c r="D1292" t="s">
        <v>106</v>
      </c>
      <c r="E1292">
        <v>2.4780000000000002</v>
      </c>
    </row>
    <row r="1293" spans="1:5">
      <c r="A1293" t="s">
        <v>35254</v>
      </c>
      <c r="B1293" t="s">
        <v>35262</v>
      </c>
      <c r="C1293">
        <f>0</f>
        <v>0</v>
      </c>
      <c r="D1293" t="s">
        <v>106</v>
      </c>
      <c r="E1293">
        <v>2.4780000000000002</v>
      </c>
    </row>
    <row r="1294" spans="1:5">
      <c r="A1294" t="s">
        <v>35254</v>
      </c>
      <c r="B1294" t="s">
        <v>35263</v>
      </c>
      <c r="C1294">
        <v>0</v>
      </c>
      <c r="D1294" t="s">
        <v>106</v>
      </c>
      <c r="E1294">
        <v>2.4780000000000002</v>
      </c>
    </row>
    <row r="1295" spans="1:5">
      <c r="A1295" t="s">
        <v>35254</v>
      </c>
      <c r="B1295" t="s">
        <v>35264</v>
      </c>
      <c r="C1295">
        <v>0</v>
      </c>
      <c r="D1295" t="s">
        <v>106</v>
      </c>
      <c r="E1295">
        <v>2.4780000000000002</v>
      </c>
    </row>
    <row r="1296" spans="1:5">
      <c r="A1296" t="s">
        <v>35254</v>
      </c>
      <c r="B1296" t="s">
        <v>35265</v>
      </c>
      <c r="C1296">
        <v>0</v>
      </c>
      <c r="D1296" t="s">
        <v>106</v>
      </c>
      <c r="E1296">
        <v>2.4780000000000002</v>
      </c>
    </row>
    <row r="1297" spans="1:5">
      <c r="A1297" t="s">
        <v>35254</v>
      </c>
      <c r="B1297" t="s">
        <v>35266</v>
      </c>
      <c r="C1297">
        <v>0</v>
      </c>
      <c r="D1297" t="s">
        <v>106</v>
      </c>
      <c r="E1297">
        <v>2.4780000000000002</v>
      </c>
    </row>
    <row r="1298" spans="1:5">
      <c r="A1298" t="s">
        <v>35267</v>
      </c>
      <c r="B1298" t="s">
        <v>35268</v>
      </c>
      <c r="C1298">
        <v>0.58807623124899999</v>
      </c>
      <c r="D1298">
        <v>0.86575288183300003</v>
      </c>
      <c r="E1298">
        <v>24</v>
      </c>
    </row>
    <row r="1299" spans="1:5">
      <c r="A1299" t="s">
        <v>35267</v>
      </c>
      <c r="B1299" t="s">
        <v>35269</v>
      </c>
      <c r="C1299">
        <f>0</f>
        <v>0</v>
      </c>
      <c r="D1299">
        <v>0.86575288183300003</v>
      </c>
      <c r="E1299">
        <v>24</v>
      </c>
    </row>
    <row r="1300" spans="1:5">
      <c r="A1300" t="s">
        <v>35267</v>
      </c>
      <c r="B1300" t="s">
        <v>35270</v>
      </c>
      <c r="C1300">
        <v>0.24336162072</v>
      </c>
      <c r="D1300">
        <v>0.86575288183300003</v>
      </c>
      <c r="E1300">
        <v>24</v>
      </c>
    </row>
    <row r="1301" spans="1:5">
      <c r="A1301" t="s">
        <v>35271</v>
      </c>
      <c r="B1301" t="s">
        <v>24549</v>
      </c>
      <c r="C1301">
        <v>7.2989891261100004E-2</v>
      </c>
      <c r="D1301">
        <v>0.99937233163299999</v>
      </c>
      <c r="E1301">
        <v>5.9340000000000002</v>
      </c>
    </row>
    <row r="1302" spans="1:5">
      <c r="A1302" t="s">
        <v>35271</v>
      </c>
      <c r="B1302" t="s">
        <v>24553</v>
      </c>
      <c r="C1302">
        <f>0.374324709752</f>
        <v>0.374324709752</v>
      </c>
      <c r="D1302">
        <v>0.99937233163299999</v>
      </c>
      <c r="E1302">
        <v>5.9340000000000002</v>
      </c>
    </row>
    <row r="1303" spans="1:5">
      <c r="A1303" t="s">
        <v>35271</v>
      </c>
      <c r="B1303" t="s">
        <v>24554</v>
      </c>
      <c r="C1303">
        <v>1.0420632165299999</v>
      </c>
      <c r="D1303">
        <v>0.99937233163299999</v>
      </c>
      <c r="E1303">
        <v>5.9340000000000002</v>
      </c>
    </row>
    <row r="1304" spans="1:5">
      <c r="A1304" t="s">
        <v>35271</v>
      </c>
      <c r="B1304" t="s">
        <v>24550</v>
      </c>
      <c r="C1304">
        <f>0.439038603429</f>
        <v>0.43903860342899997</v>
      </c>
      <c r="D1304">
        <v>0.99937233163299999</v>
      </c>
      <c r="E1304">
        <v>5.9340000000000002</v>
      </c>
    </row>
    <row r="1305" spans="1:5">
      <c r="A1305" t="s">
        <v>35271</v>
      </c>
      <c r="B1305" t="s">
        <v>24552</v>
      </c>
      <c r="C1305">
        <v>0.73897276167899995</v>
      </c>
      <c r="D1305">
        <v>0.99937233163299999</v>
      </c>
      <c r="E1305">
        <v>5.9340000000000002</v>
      </c>
    </row>
    <row r="1306" spans="1:5">
      <c r="A1306" t="s">
        <v>35271</v>
      </c>
      <c r="B1306" t="s">
        <v>24551</v>
      </c>
      <c r="C1306">
        <f>0.888675662107</f>
        <v>0.888675662107</v>
      </c>
      <c r="D1306">
        <v>0.99937233163299999</v>
      </c>
      <c r="E1306">
        <v>5.9340000000000002</v>
      </c>
    </row>
    <row r="1307" spans="1:5">
      <c r="A1307" t="s">
        <v>35272</v>
      </c>
      <c r="B1307" t="s">
        <v>5071</v>
      </c>
      <c r="C1307">
        <f>0</f>
        <v>0</v>
      </c>
      <c r="D1307">
        <v>0.48252961490899998</v>
      </c>
      <c r="E1307">
        <v>24</v>
      </c>
    </row>
    <row r="1308" spans="1:5">
      <c r="A1308" t="s">
        <v>35272</v>
      </c>
      <c r="B1308" t="s">
        <v>5080</v>
      </c>
      <c r="C1308">
        <f>0.168919614909</f>
        <v>0.16891961490900001</v>
      </c>
      <c r="D1308">
        <v>0.48252961490899998</v>
      </c>
      <c r="E1308">
        <v>24</v>
      </c>
    </row>
    <row r="1309" spans="1:5">
      <c r="A1309" t="s">
        <v>35272</v>
      </c>
      <c r="B1309" t="s">
        <v>5078</v>
      </c>
      <c r="C1309">
        <v>0</v>
      </c>
      <c r="D1309">
        <v>0.48252961490899998</v>
      </c>
      <c r="E1309">
        <v>24</v>
      </c>
    </row>
    <row r="1310" spans="1:5">
      <c r="A1310" t="s">
        <v>35272</v>
      </c>
      <c r="B1310" t="s">
        <v>5081</v>
      </c>
      <c r="C1310">
        <f>0</f>
        <v>0</v>
      </c>
      <c r="D1310">
        <v>0.48252961490899998</v>
      </c>
      <c r="E1310">
        <v>24</v>
      </c>
    </row>
    <row r="1311" spans="1:5">
      <c r="A1311" t="s">
        <v>35272</v>
      </c>
      <c r="B1311" t="s">
        <v>5073</v>
      </c>
      <c r="C1311">
        <f>0</f>
        <v>0</v>
      </c>
      <c r="D1311">
        <v>0.48252961490899998</v>
      </c>
      <c r="E1311">
        <v>24</v>
      </c>
    </row>
    <row r="1312" spans="1:5">
      <c r="A1312" t="s">
        <v>35272</v>
      </c>
      <c r="B1312" t="s">
        <v>5079</v>
      </c>
      <c r="C1312">
        <f>0</f>
        <v>0</v>
      </c>
      <c r="D1312">
        <v>0.48252961490899998</v>
      </c>
      <c r="E1312">
        <v>24</v>
      </c>
    </row>
    <row r="1313" spans="1:5">
      <c r="A1313" t="s">
        <v>35272</v>
      </c>
      <c r="B1313" t="s">
        <v>5083</v>
      </c>
      <c r="C1313">
        <v>0</v>
      </c>
      <c r="D1313">
        <v>0.48252961490899998</v>
      </c>
      <c r="E1313">
        <v>24</v>
      </c>
    </row>
    <row r="1314" spans="1:5">
      <c r="A1314" t="s">
        <v>35273</v>
      </c>
      <c r="B1314" t="s">
        <v>35274</v>
      </c>
      <c r="C1314">
        <f>0.449739313191</f>
        <v>0.44973931319100002</v>
      </c>
      <c r="D1314">
        <v>0.86731159945400005</v>
      </c>
      <c r="E1314">
        <v>1.224</v>
      </c>
    </row>
    <row r="1315" spans="1:5">
      <c r="A1315" t="s">
        <v>35273</v>
      </c>
      <c r="B1315" t="s">
        <v>35275</v>
      </c>
      <c r="C1315">
        <f>0</f>
        <v>0</v>
      </c>
      <c r="D1315">
        <v>0.86731159945400005</v>
      </c>
      <c r="E1315">
        <v>1.224</v>
      </c>
    </row>
    <row r="1316" spans="1:5">
      <c r="A1316" t="s">
        <v>35273</v>
      </c>
      <c r="B1316" t="s">
        <v>35276</v>
      </c>
      <c r="C1316">
        <v>0</v>
      </c>
      <c r="D1316">
        <v>0.86731159945400005</v>
      </c>
      <c r="E1316">
        <v>1.224</v>
      </c>
    </row>
    <row r="1317" spans="1:5">
      <c r="A1317" t="s">
        <v>35273</v>
      </c>
      <c r="B1317" t="s">
        <v>35277</v>
      </c>
      <c r="C1317">
        <f>0</f>
        <v>0</v>
      </c>
      <c r="D1317">
        <v>0.86731159945400005</v>
      </c>
      <c r="E1317">
        <v>1.224</v>
      </c>
    </row>
    <row r="1318" spans="1:5">
      <c r="A1318" t="s">
        <v>35273</v>
      </c>
      <c r="B1318" t="s">
        <v>35278</v>
      </c>
      <c r="C1318">
        <f>0</f>
        <v>0</v>
      </c>
      <c r="D1318">
        <v>0.86731159945400005</v>
      </c>
      <c r="E1318">
        <v>1.224</v>
      </c>
    </row>
    <row r="1319" spans="1:5">
      <c r="A1319" t="s">
        <v>35273</v>
      </c>
      <c r="B1319" t="s">
        <v>35279</v>
      </c>
      <c r="C1319">
        <v>0</v>
      </c>
      <c r="D1319">
        <v>0.86731159945400005</v>
      </c>
      <c r="E1319">
        <v>1.224</v>
      </c>
    </row>
    <row r="1320" spans="1:5">
      <c r="A1320" t="s">
        <v>35273</v>
      </c>
      <c r="B1320" t="s">
        <v>35280</v>
      </c>
      <c r="C1320">
        <f>0</f>
        <v>0</v>
      </c>
      <c r="D1320">
        <v>0.86731159945400005</v>
      </c>
      <c r="E1320">
        <v>1.224</v>
      </c>
    </row>
    <row r="1321" spans="1:5">
      <c r="A1321" t="s">
        <v>35273</v>
      </c>
      <c r="B1321" t="s">
        <v>35281</v>
      </c>
      <c r="C1321">
        <f>0.28207818431</f>
        <v>0.28207818430999998</v>
      </c>
      <c r="D1321">
        <v>0.86731159945400005</v>
      </c>
      <c r="E1321">
        <v>1.224</v>
      </c>
    </row>
    <row r="1322" spans="1:5">
      <c r="A1322" t="s">
        <v>35282</v>
      </c>
      <c r="B1322" t="s">
        <v>14297</v>
      </c>
      <c r="C1322">
        <v>0</v>
      </c>
      <c r="D1322">
        <v>0.86144798280299995</v>
      </c>
      <c r="E1322">
        <v>3.78</v>
      </c>
    </row>
    <row r="1323" spans="1:5">
      <c r="A1323" t="s">
        <v>35282</v>
      </c>
      <c r="B1323" t="s">
        <v>14290</v>
      </c>
      <c r="C1323">
        <v>0.10215491115399999</v>
      </c>
      <c r="D1323">
        <v>0.86144798280299995</v>
      </c>
      <c r="E1323">
        <v>3.78</v>
      </c>
    </row>
    <row r="1324" spans="1:5">
      <c r="A1324" t="s">
        <v>35282</v>
      </c>
      <c r="B1324" t="s">
        <v>14295</v>
      </c>
      <c r="C1324">
        <f>0</f>
        <v>0</v>
      </c>
      <c r="D1324">
        <v>0.86144798280299995</v>
      </c>
      <c r="E1324">
        <v>3.78</v>
      </c>
    </row>
    <row r="1325" spans="1:5">
      <c r="A1325" t="s">
        <v>35282</v>
      </c>
      <c r="B1325" t="s">
        <v>14293</v>
      </c>
      <c r="C1325">
        <v>9.7538657108500001E-2</v>
      </c>
      <c r="D1325">
        <v>0.86144798280299995</v>
      </c>
      <c r="E1325">
        <v>3.78</v>
      </c>
    </row>
    <row r="1326" spans="1:5">
      <c r="A1326" t="s">
        <v>35282</v>
      </c>
      <c r="B1326" t="s">
        <v>14292</v>
      </c>
      <c r="C1326">
        <f>0</f>
        <v>0</v>
      </c>
      <c r="D1326">
        <v>0.86144798280299995</v>
      </c>
      <c r="E1326">
        <v>3.78</v>
      </c>
    </row>
    <row r="1327" spans="1:5">
      <c r="A1327" t="s">
        <v>35282</v>
      </c>
      <c r="B1327" t="s">
        <v>14291</v>
      </c>
      <c r="C1327">
        <v>0</v>
      </c>
      <c r="D1327">
        <v>0.86144798280299995</v>
      </c>
      <c r="E1327">
        <v>3.78</v>
      </c>
    </row>
    <row r="1328" spans="1:5">
      <c r="A1328" t="s">
        <v>35282</v>
      </c>
      <c r="B1328" t="s">
        <v>14296</v>
      </c>
      <c r="C1328">
        <v>0</v>
      </c>
      <c r="D1328">
        <v>0.86144798280299995</v>
      </c>
      <c r="E1328">
        <v>3.78</v>
      </c>
    </row>
    <row r="1329" spans="1:5">
      <c r="A1329" t="s">
        <v>35282</v>
      </c>
      <c r="B1329" t="s">
        <v>14294</v>
      </c>
      <c r="C1329">
        <v>0.757910730867</v>
      </c>
      <c r="D1329">
        <v>0.86144798280299995</v>
      </c>
      <c r="E1329">
        <v>3.78</v>
      </c>
    </row>
    <row r="1330" spans="1:5">
      <c r="A1330" t="s">
        <v>35283</v>
      </c>
      <c r="B1330" t="s">
        <v>13973</v>
      </c>
      <c r="C1330">
        <v>0</v>
      </c>
      <c r="D1330" t="s">
        <v>106</v>
      </c>
      <c r="E1330">
        <v>2.4780000000000002</v>
      </c>
    </row>
    <row r="1331" spans="1:5">
      <c r="A1331" t="s">
        <v>35283</v>
      </c>
      <c r="B1331" t="s">
        <v>13984</v>
      </c>
      <c r="C1331">
        <v>0</v>
      </c>
      <c r="D1331" t="s">
        <v>106</v>
      </c>
      <c r="E1331">
        <v>2.4780000000000002</v>
      </c>
    </row>
    <row r="1332" spans="1:5">
      <c r="A1332" t="s">
        <v>35283</v>
      </c>
      <c r="B1332" t="s">
        <v>13986</v>
      </c>
      <c r="C1332">
        <v>0</v>
      </c>
      <c r="D1332" t="s">
        <v>106</v>
      </c>
      <c r="E1332">
        <v>2.4780000000000002</v>
      </c>
    </row>
    <row r="1333" spans="1:5">
      <c r="A1333" t="s">
        <v>35283</v>
      </c>
      <c r="B1333" t="s">
        <v>13977</v>
      </c>
      <c r="C1333">
        <f>0</f>
        <v>0</v>
      </c>
      <c r="D1333" t="s">
        <v>106</v>
      </c>
      <c r="E1333">
        <v>2.4780000000000002</v>
      </c>
    </row>
    <row r="1334" spans="1:5">
      <c r="A1334" t="s">
        <v>35284</v>
      </c>
      <c r="B1334" t="s">
        <v>20240</v>
      </c>
      <c r="C1334">
        <v>0</v>
      </c>
      <c r="D1334">
        <v>0.69294678157</v>
      </c>
      <c r="E1334">
        <v>6.6779999999999999</v>
      </c>
    </row>
    <row r="1335" spans="1:5">
      <c r="A1335" t="s">
        <v>35284</v>
      </c>
      <c r="B1335" t="s">
        <v>20245</v>
      </c>
      <c r="C1335">
        <f>0</f>
        <v>0</v>
      </c>
      <c r="D1335">
        <v>0.69294678157</v>
      </c>
      <c r="E1335">
        <v>6.6779999999999999</v>
      </c>
    </row>
    <row r="1336" spans="1:5">
      <c r="A1336" t="s">
        <v>35284</v>
      </c>
      <c r="B1336" t="s">
        <v>20241</v>
      </c>
      <c r="C1336">
        <f>0</f>
        <v>0</v>
      </c>
      <c r="D1336">
        <v>0.69294678157</v>
      </c>
      <c r="E1336">
        <v>6.6779999999999999</v>
      </c>
    </row>
    <row r="1337" spans="1:5">
      <c r="A1337" t="s">
        <v>35284</v>
      </c>
      <c r="B1337" t="s">
        <v>20242</v>
      </c>
      <c r="C1337">
        <f>0</f>
        <v>0</v>
      </c>
      <c r="D1337">
        <v>0.69294678157</v>
      </c>
      <c r="E1337">
        <v>6.6779999999999999</v>
      </c>
    </row>
    <row r="1338" spans="1:5">
      <c r="A1338" t="s">
        <v>35284</v>
      </c>
      <c r="B1338" t="s">
        <v>20238</v>
      </c>
      <c r="C1338">
        <f>0</f>
        <v>0</v>
      </c>
      <c r="D1338">
        <v>0.69294678157</v>
      </c>
      <c r="E1338">
        <v>6.6779999999999999</v>
      </c>
    </row>
    <row r="1339" spans="1:5">
      <c r="A1339" t="s">
        <v>35284</v>
      </c>
      <c r="B1339" t="s">
        <v>20244</v>
      </c>
      <c r="C1339">
        <f>0</f>
        <v>0</v>
      </c>
      <c r="D1339">
        <v>0.69294678157</v>
      </c>
      <c r="E1339">
        <v>6.6779999999999999</v>
      </c>
    </row>
    <row r="1340" spans="1:5">
      <c r="A1340" t="s">
        <v>35284</v>
      </c>
      <c r="B1340" t="s">
        <v>20243</v>
      </c>
      <c r="C1340">
        <f>0</f>
        <v>0</v>
      </c>
      <c r="D1340">
        <v>0.69294678157</v>
      </c>
      <c r="E1340">
        <v>6.6779999999999999</v>
      </c>
    </row>
    <row r="1341" spans="1:5">
      <c r="A1341" t="s">
        <v>35284</v>
      </c>
      <c r="B1341" t="s">
        <v>20239</v>
      </c>
      <c r="C1341">
        <f>0.0237599647457</f>
        <v>2.37599647457E-2</v>
      </c>
      <c r="D1341">
        <v>0.69294678157</v>
      </c>
      <c r="E1341">
        <v>6.6779999999999999</v>
      </c>
    </row>
    <row r="1342" spans="1:5">
      <c r="A1342" t="s">
        <v>35284</v>
      </c>
      <c r="B1342" t="s">
        <v>20246</v>
      </c>
      <c r="C1342">
        <f>0.400701690567</f>
        <v>0.400701690567</v>
      </c>
      <c r="D1342">
        <v>0.69294678157</v>
      </c>
      <c r="E1342">
        <v>6.6779999999999999</v>
      </c>
    </row>
    <row r="1343" spans="1:5">
      <c r="A1343" t="s">
        <v>35285</v>
      </c>
      <c r="B1343" t="s">
        <v>2678</v>
      </c>
      <c r="C1343">
        <f>0.247137540462</f>
        <v>0.24713754046200001</v>
      </c>
      <c r="D1343">
        <v>0.99424000428500003</v>
      </c>
      <c r="E1343">
        <v>1.7999999999999999E-2</v>
      </c>
    </row>
    <row r="1344" spans="1:5">
      <c r="A1344" t="s">
        <v>35285</v>
      </c>
      <c r="B1344" t="s">
        <v>2676</v>
      </c>
      <c r="C1344">
        <f>0.518646403087</f>
        <v>0.51864640308700005</v>
      </c>
      <c r="D1344">
        <v>0.99424000428500003</v>
      </c>
      <c r="E1344">
        <v>1.7999999999999999E-2</v>
      </c>
    </row>
    <row r="1345" spans="1:5">
      <c r="A1345" t="s">
        <v>35285</v>
      </c>
      <c r="B1345" t="s">
        <v>2670</v>
      </c>
      <c r="C1345">
        <f>0.186265865499</f>
        <v>0.18626586549900001</v>
      </c>
      <c r="D1345">
        <v>0.99424000428500003</v>
      </c>
      <c r="E1345">
        <v>1.7999999999999999E-2</v>
      </c>
    </row>
    <row r="1346" spans="1:5">
      <c r="A1346" t="s">
        <v>35285</v>
      </c>
      <c r="B1346" t="s">
        <v>2672</v>
      </c>
      <c r="C1346">
        <v>0</v>
      </c>
      <c r="D1346">
        <v>0.99424000428500003</v>
      </c>
      <c r="E1346">
        <v>1.7999999999999999E-2</v>
      </c>
    </row>
    <row r="1347" spans="1:5">
      <c r="A1347" t="s">
        <v>35285</v>
      </c>
      <c r="B1347" t="s">
        <v>2671</v>
      </c>
      <c r="C1347">
        <f>0.0762620871455</f>
        <v>7.6262087145499993E-2</v>
      </c>
      <c r="D1347">
        <v>0.99424000428500003</v>
      </c>
      <c r="E1347">
        <v>1.7999999999999999E-2</v>
      </c>
    </row>
    <row r="1348" spans="1:5">
      <c r="A1348" t="s">
        <v>35285</v>
      </c>
      <c r="B1348" t="s">
        <v>2677</v>
      </c>
      <c r="C1348">
        <f>0.216689910509</f>
        <v>0.21668991050899999</v>
      </c>
      <c r="D1348">
        <v>0.99424000428500003</v>
      </c>
      <c r="E1348">
        <v>1.7999999999999999E-2</v>
      </c>
    </row>
    <row r="1349" spans="1:5">
      <c r="A1349" t="s">
        <v>35285</v>
      </c>
      <c r="B1349" t="s">
        <v>2689</v>
      </c>
      <c r="C1349">
        <v>0.81624862947200005</v>
      </c>
      <c r="D1349">
        <v>0.99424000428500003</v>
      </c>
      <c r="E1349">
        <v>1.7999999999999999E-2</v>
      </c>
    </row>
    <row r="1350" spans="1:5">
      <c r="A1350" t="s">
        <v>35285</v>
      </c>
      <c r="B1350" t="s">
        <v>2674</v>
      </c>
      <c r="C1350">
        <v>0</v>
      </c>
      <c r="D1350">
        <v>0.99424000428500003</v>
      </c>
      <c r="E1350">
        <v>1.7999999999999999E-2</v>
      </c>
    </row>
    <row r="1351" spans="1:5">
      <c r="A1351" t="s">
        <v>35285</v>
      </c>
      <c r="B1351" t="s">
        <v>2675</v>
      </c>
      <c r="C1351">
        <v>0</v>
      </c>
      <c r="D1351">
        <v>0.99424000428500003</v>
      </c>
      <c r="E1351">
        <v>1.7999999999999999E-2</v>
      </c>
    </row>
    <row r="1352" spans="1:5">
      <c r="A1352" t="s">
        <v>35285</v>
      </c>
      <c r="B1352" t="s">
        <v>2683</v>
      </c>
      <c r="C1352">
        <v>1.1775654015000001</v>
      </c>
      <c r="D1352">
        <v>0.99424000428500003</v>
      </c>
      <c r="E1352">
        <v>1.7999999999999999E-2</v>
      </c>
    </row>
    <row r="1353" spans="1:5">
      <c r="A1353" t="s">
        <v>35286</v>
      </c>
      <c r="B1353" t="s">
        <v>24643</v>
      </c>
      <c r="C1353">
        <f>0</f>
        <v>0</v>
      </c>
      <c r="D1353" t="s">
        <v>106</v>
      </c>
      <c r="E1353">
        <v>5.4660000000000002</v>
      </c>
    </row>
    <row r="1354" spans="1:5">
      <c r="A1354" t="s">
        <v>35286</v>
      </c>
      <c r="B1354" t="s">
        <v>24645</v>
      </c>
      <c r="C1354">
        <f>0</f>
        <v>0</v>
      </c>
      <c r="D1354" t="s">
        <v>106</v>
      </c>
      <c r="E1354">
        <v>5.4660000000000002</v>
      </c>
    </row>
    <row r="1355" spans="1:5">
      <c r="A1355" t="s">
        <v>35286</v>
      </c>
      <c r="B1355" t="s">
        <v>24647</v>
      </c>
      <c r="C1355">
        <v>0</v>
      </c>
      <c r="D1355" t="s">
        <v>106</v>
      </c>
      <c r="E1355">
        <v>5.4660000000000002</v>
      </c>
    </row>
    <row r="1356" spans="1:5">
      <c r="A1356" t="s">
        <v>35286</v>
      </c>
      <c r="B1356" t="s">
        <v>24644</v>
      </c>
      <c r="C1356">
        <f>0</f>
        <v>0</v>
      </c>
      <c r="D1356" t="s">
        <v>106</v>
      </c>
      <c r="E1356">
        <v>5.4660000000000002</v>
      </c>
    </row>
    <row r="1357" spans="1:5">
      <c r="A1357" t="s">
        <v>35287</v>
      </c>
      <c r="B1357" t="s">
        <v>25267</v>
      </c>
      <c r="C1357">
        <f>0</f>
        <v>0</v>
      </c>
      <c r="D1357">
        <v>0.74385548528900003</v>
      </c>
      <c r="E1357">
        <v>10.554</v>
      </c>
    </row>
    <row r="1358" spans="1:5">
      <c r="A1358" t="s">
        <v>35287</v>
      </c>
      <c r="B1358" t="s">
        <v>25268</v>
      </c>
      <c r="C1358">
        <f>0.229939217708</f>
        <v>0.22993921770799999</v>
      </c>
      <c r="D1358">
        <v>0.74385548528900003</v>
      </c>
      <c r="E1358">
        <v>10.554</v>
      </c>
    </row>
    <row r="1359" spans="1:5">
      <c r="A1359" t="s">
        <v>35287</v>
      </c>
      <c r="B1359" t="s">
        <v>25270</v>
      </c>
      <c r="C1359">
        <f>0</f>
        <v>0</v>
      </c>
      <c r="D1359">
        <v>0.74385548528900003</v>
      </c>
      <c r="E1359">
        <v>10.554</v>
      </c>
    </row>
    <row r="1360" spans="1:5">
      <c r="A1360" t="s">
        <v>35287</v>
      </c>
      <c r="B1360" t="s">
        <v>25273</v>
      </c>
      <c r="C1360">
        <v>0</v>
      </c>
      <c r="D1360">
        <v>0.74385548528900003</v>
      </c>
      <c r="E1360">
        <v>10.554</v>
      </c>
    </row>
    <row r="1361" spans="1:5">
      <c r="A1361" t="s">
        <v>35287</v>
      </c>
      <c r="B1361" t="s">
        <v>25271</v>
      </c>
      <c r="C1361">
        <f>0</f>
        <v>0</v>
      </c>
      <c r="D1361">
        <v>0.74385548528900003</v>
      </c>
      <c r="E1361">
        <v>10.554</v>
      </c>
    </row>
    <row r="1362" spans="1:5">
      <c r="A1362" t="s">
        <v>35287</v>
      </c>
      <c r="B1362" t="s">
        <v>25277</v>
      </c>
      <c r="C1362">
        <f>0.181395572018</f>
        <v>0.181395572018</v>
      </c>
      <c r="D1362">
        <v>0.74385548528900003</v>
      </c>
      <c r="E1362">
        <v>10.554</v>
      </c>
    </row>
    <row r="1363" spans="1:5">
      <c r="A1363" t="s">
        <v>35287</v>
      </c>
      <c r="B1363" t="s">
        <v>25280</v>
      </c>
      <c r="C1363">
        <f>0.0865827741602</f>
        <v>8.6582774160199993E-2</v>
      </c>
      <c r="D1363">
        <v>0.74385548528900003</v>
      </c>
      <c r="E1363">
        <v>10.554</v>
      </c>
    </row>
    <row r="1364" spans="1:5">
      <c r="A1364" t="s">
        <v>35288</v>
      </c>
      <c r="B1364" t="s">
        <v>19780</v>
      </c>
      <c r="C1364">
        <f>0.325881931727</f>
        <v>0.32588193172699997</v>
      </c>
      <c r="D1364">
        <v>0.77610006284300004</v>
      </c>
      <c r="E1364">
        <v>18.138000000000002</v>
      </c>
    </row>
    <row r="1365" spans="1:5">
      <c r="A1365" t="s">
        <v>35288</v>
      </c>
      <c r="B1365" t="s">
        <v>19778</v>
      </c>
      <c r="C1365">
        <f>0</f>
        <v>0</v>
      </c>
      <c r="D1365">
        <v>0.77610006284300004</v>
      </c>
      <c r="E1365">
        <v>18.138000000000002</v>
      </c>
    </row>
    <row r="1366" spans="1:5">
      <c r="A1366" t="s">
        <v>35288</v>
      </c>
      <c r="B1366" t="s">
        <v>19779</v>
      </c>
      <c r="C1366">
        <f>0.233424413218</f>
        <v>0.233424413218</v>
      </c>
      <c r="D1366">
        <v>0.77610006284300004</v>
      </c>
      <c r="E1366">
        <v>18.138000000000002</v>
      </c>
    </row>
    <row r="1367" spans="1:5">
      <c r="A1367" t="s">
        <v>35288</v>
      </c>
      <c r="B1367" t="s">
        <v>19782</v>
      </c>
      <c r="C1367">
        <f>0</f>
        <v>0</v>
      </c>
      <c r="D1367">
        <v>0.77610006284300004</v>
      </c>
      <c r="E1367">
        <v>18.138000000000002</v>
      </c>
    </row>
    <row r="1368" spans="1:5">
      <c r="A1368" t="s">
        <v>35288</v>
      </c>
      <c r="B1368" t="s">
        <v>19781</v>
      </c>
      <c r="C1368">
        <v>0</v>
      </c>
      <c r="D1368">
        <v>0.77610006284300004</v>
      </c>
      <c r="E1368">
        <v>18.138000000000002</v>
      </c>
    </row>
    <row r="1369" spans="1:5">
      <c r="A1369" t="s">
        <v>35289</v>
      </c>
      <c r="B1369" t="s">
        <v>35290</v>
      </c>
      <c r="C1369">
        <f>0.062319513225</f>
        <v>6.2319513224999998E-2</v>
      </c>
      <c r="D1369">
        <v>0.93853309626000003</v>
      </c>
      <c r="E1369">
        <v>23.52</v>
      </c>
    </row>
    <row r="1370" spans="1:5">
      <c r="A1370" t="s">
        <v>35289</v>
      </c>
      <c r="B1370" t="s">
        <v>35291</v>
      </c>
      <c r="C1370">
        <f>0.22946914682</f>
        <v>0.22946914682</v>
      </c>
      <c r="D1370">
        <v>0.93853309626000003</v>
      </c>
      <c r="E1370">
        <v>23.52</v>
      </c>
    </row>
    <row r="1371" spans="1:5">
      <c r="A1371" t="s">
        <v>35289</v>
      </c>
      <c r="B1371" t="s">
        <v>35292</v>
      </c>
      <c r="C1371">
        <f>0.250146191865</f>
        <v>0.25014619186499998</v>
      </c>
      <c r="D1371">
        <v>0.93853309626000003</v>
      </c>
      <c r="E1371">
        <v>23.52</v>
      </c>
    </row>
    <row r="1372" spans="1:5">
      <c r="A1372" t="s">
        <v>35289</v>
      </c>
      <c r="B1372" t="s">
        <v>35293</v>
      </c>
      <c r="C1372">
        <v>0.74706722874099996</v>
      </c>
      <c r="D1372">
        <v>0.93853309626000003</v>
      </c>
      <c r="E1372">
        <v>23.52</v>
      </c>
    </row>
    <row r="1373" spans="1:5">
      <c r="A1373" t="s">
        <v>35289</v>
      </c>
      <c r="B1373" t="s">
        <v>35294</v>
      </c>
      <c r="C1373">
        <f>0.0366013853477</f>
        <v>3.6601385347700001E-2</v>
      </c>
      <c r="D1373">
        <v>0.93853309626000003</v>
      </c>
      <c r="E1373">
        <v>23.52</v>
      </c>
    </row>
    <row r="1374" spans="1:5">
      <c r="A1374" t="s">
        <v>35295</v>
      </c>
      <c r="B1374" t="s">
        <v>7226</v>
      </c>
      <c r="C1374">
        <f>0</f>
        <v>0</v>
      </c>
      <c r="D1374">
        <v>0.87198497039699996</v>
      </c>
      <c r="E1374">
        <v>13.997999999999999</v>
      </c>
    </row>
    <row r="1375" spans="1:5">
      <c r="A1375" t="s">
        <v>35295</v>
      </c>
      <c r="B1375" t="s">
        <v>7229</v>
      </c>
      <c r="C1375">
        <v>4.2827702387600003E-2</v>
      </c>
      <c r="D1375">
        <v>0.87198497039699996</v>
      </c>
      <c r="E1375">
        <v>13.997999999999999</v>
      </c>
    </row>
    <row r="1376" spans="1:5">
      <c r="A1376" t="s">
        <v>35295</v>
      </c>
      <c r="B1376" t="s">
        <v>7228</v>
      </c>
      <c r="C1376">
        <v>0.17064330283099999</v>
      </c>
      <c r="D1376">
        <v>0.87198497039699996</v>
      </c>
      <c r="E1376">
        <v>13.997999999999999</v>
      </c>
    </row>
    <row r="1377" spans="1:5">
      <c r="A1377" t="s">
        <v>35295</v>
      </c>
      <c r="B1377" t="s">
        <v>7233</v>
      </c>
      <c r="C1377">
        <v>0</v>
      </c>
      <c r="D1377">
        <v>0.87198497039699996</v>
      </c>
      <c r="E1377">
        <v>13.997999999999999</v>
      </c>
    </row>
    <row r="1378" spans="1:5">
      <c r="A1378" t="s">
        <v>35295</v>
      </c>
      <c r="B1378" t="s">
        <v>7238</v>
      </c>
      <c r="C1378">
        <v>0.39133019571400002</v>
      </c>
      <c r="D1378">
        <v>0.87198497039699996</v>
      </c>
      <c r="E1378">
        <v>13.997999999999999</v>
      </c>
    </row>
    <row r="1379" spans="1:5">
      <c r="A1379" t="s">
        <v>35295</v>
      </c>
      <c r="B1379" t="s">
        <v>7231</v>
      </c>
      <c r="C1379">
        <v>0.49753760759900001</v>
      </c>
      <c r="D1379">
        <v>0.87198497039699996</v>
      </c>
      <c r="E1379">
        <v>13.997999999999999</v>
      </c>
    </row>
    <row r="1380" spans="1:5">
      <c r="A1380" t="s">
        <v>35296</v>
      </c>
      <c r="B1380" t="s">
        <v>35297</v>
      </c>
      <c r="C1380">
        <f>0.627400084208</f>
        <v>0.62740008420799998</v>
      </c>
      <c r="D1380">
        <v>0.74935561697200004</v>
      </c>
      <c r="E1380">
        <v>24</v>
      </c>
    </row>
    <row r="1381" spans="1:5">
      <c r="A1381" t="s">
        <v>35296</v>
      </c>
      <c r="B1381" t="s">
        <v>35298</v>
      </c>
      <c r="C1381">
        <v>5.7412700233799997E-2</v>
      </c>
      <c r="D1381">
        <v>0.74935561697200004</v>
      </c>
      <c r="E1381">
        <v>24</v>
      </c>
    </row>
    <row r="1382" spans="1:5">
      <c r="A1382" t="s">
        <v>35299</v>
      </c>
      <c r="B1382" t="s">
        <v>13908</v>
      </c>
      <c r="C1382">
        <f>0.214271568152</f>
        <v>0.21427156815199999</v>
      </c>
      <c r="D1382">
        <v>0.69595710220700002</v>
      </c>
      <c r="E1382">
        <v>5.4660000000000002</v>
      </c>
    </row>
    <row r="1383" spans="1:5">
      <c r="A1383" t="s">
        <v>35299</v>
      </c>
      <c r="B1383" t="s">
        <v>13903</v>
      </c>
      <c r="C1383">
        <v>0</v>
      </c>
      <c r="D1383">
        <v>0.69595710220700002</v>
      </c>
      <c r="E1383">
        <v>5.4660000000000002</v>
      </c>
    </row>
    <row r="1384" spans="1:5">
      <c r="A1384" t="s">
        <v>35299</v>
      </c>
      <c r="B1384" t="s">
        <v>13902</v>
      </c>
      <c r="C1384">
        <f>0</f>
        <v>0</v>
      </c>
      <c r="D1384">
        <v>0.69595710220700002</v>
      </c>
      <c r="E1384">
        <v>5.4660000000000002</v>
      </c>
    </row>
    <row r="1385" spans="1:5">
      <c r="A1385" t="s">
        <v>35299</v>
      </c>
      <c r="B1385" t="s">
        <v>13896</v>
      </c>
      <c r="C1385">
        <f>0.136210449919</f>
        <v>0.136210449919</v>
      </c>
      <c r="D1385">
        <v>0.69595710220700002</v>
      </c>
      <c r="E1385">
        <v>5.4660000000000002</v>
      </c>
    </row>
    <row r="1386" spans="1:5">
      <c r="A1386" t="s">
        <v>35299</v>
      </c>
      <c r="B1386" t="s">
        <v>13907</v>
      </c>
      <c r="C1386">
        <f>0</f>
        <v>0</v>
      </c>
      <c r="D1386">
        <v>0.69595710220700002</v>
      </c>
      <c r="E1386">
        <v>5.4660000000000002</v>
      </c>
    </row>
    <row r="1387" spans="1:5">
      <c r="A1387" t="s">
        <v>35299</v>
      </c>
      <c r="B1387" t="s">
        <v>13898</v>
      </c>
      <c r="C1387">
        <f>0.0869065350835</f>
        <v>8.6906535083500006E-2</v>
      </c>
      <c r="D1387">
        <v>0.69595710220700002</v>
      </c>
      <c r="E1387">
        <v>5.4660000000000002</v>
      </c>
    </row>
    <row r="1388" spans="1:5">
      <c r="A1388" t="s">
        <v>35299</v>
      </c>
      <c r="B1388" t="s">
        <v>13900</v>
      </c>
      <c r="C1388">
        <f>0</f>
        <v>0</v>
      </c>
      <c r="D1388">
        <v>0.69595710220700002</v>
      </c>
      <c r="E1388">
        <v>5.4660000000000002</v>
      </c>
    </row>
    <row r="1389" spans="1:5">
      <c r="A1389" t="s">
        <v>35299</v>
      </c>
      <c r="B1389" t="s">
        <v>13910</v>
      </c>
      <c r="C1389">
        <f>0</f>
        <v>0</v>
      </c>
      <c r="D1389">
        <v>0.69595710220700002</v>
      </c>
      <c r="E1389">
        <v>5.4660000000000002</v>
      </c>
    </row>
    <row r="1390" spans="1:5">
      <c r="A1390" t="s">
        <v>35299</v>
      </c>
      <c r="B1390" t="s">
        <v>13905</v>
      </c>
      <c r="C1390">
        <f>0</f>
        <v>0</v>
      </c>
      <c r="D1390">
        <v>0.69595710220700002</v>
      </c>
      <c r="E1390">
        <v>5.4660000000000002</v>
      </c>
    </row>
    <row r="1391" spans="1:5">
      <c r="A1391" t="s">
        <v>35300</v>
      </c>
      <c r="B1391" t="s">
        <v>35301</v>
      </c>
      <c r="C1391">
        <f>-2.18423645759</f>
        <v>-2.18423645759</v>
      </c>
      <c r="D1391">
        <v>0.99631506299600003</v>
      </c>
      <c r="E1391">
        <v>6.9359999999999999</v>
      </c>
    </row>
    <row r="1392" spans="1:5">
      <c r="A1392" t="s">
        <v>35300</v>
      </c>
      <c r="B1392" t="s">
        <v>35302</v>
      </c>
      <c r="C1392">
        <v>2.4691070714599999</v>
      </c>
      <c r="D1392">
        <v>0.99631506299600003</v>
      </c>
      <c r="E1392">
        <v>6.9359999999999999</v>
      </c>
    </row>
    <row r="1393" spans="1:5">
      <c r="A1393" t="s">
        <v>35300</v>
      </c>
      <c r="B1393" t="s">
        <v>35303</v>
      </c>
      <c r="C1393">
        <v>1.5572495802499999</v>
      </c>
      <c r="D1393">
        <v>0.99631506299600003</v>
      </c>
      <c r="E1393">
        <v>6.9359999999999999</v>
      </c>
    </row>
    <row r="1394" spans="1:5">
      <c r="A1394" t="s">
        <v>35300</v>
      </c>
      <c r="B1394" t="s">
        <v>35304</v>
      </c>
      <c r="C1394">
        <f>0.67142171651</f>
        <v>0.67142171651000004</v>
      </c>
      <c r="D1394">
        <v>0.99631506299600003</v>
      </c>
      <c r="E1394">
        <v>6.9359999999999999</v>
      </c>
    </row>
    <row r="1395" spans="1:5">
      <c r="A1395" t="s">
        <v>35300</v>
      </c>
      <c r="B1395" t="s">
        <v>35305</v>
      </c>
      <c r="C1395">
        <v>0.251466708639</v>
      </c>
      <c r="D1395">
        <v>0.99631506299600003</v>
      </c>
      <c r="E1395">
        <v>6.9359999999999999</v>
      </c>
    </row>
    <row r="1396" spans="1:5">
      <c r="A1396" t="s">
        <v>35300</v>
      </c>
      <c r="B1396" t="s">
        <v>35306</v>
      </c>
      <c r="C1396">
        <f>0.556873746917</f>
        <v>0.55687374691699998</v>
      </c>
      <c r="D1396">
        <v>0.99631506299600003</v>
      </c>
      <c r="E1396">
        <v>6.9359999999999999</v>
      </c>
    </row>
    <row r="1397" spans="1:5">
      <c r="A1397" t="s">
        <v>35307</v>
      </c>
      <c r="B1397" t="s">
        <v>30829</v>
      </c>
      <c r="C1397">
        <v>0.70462746404099996</v>
      </c>
      <c r="D1397">
        <v>0.92278702627200004</v>
      </c>
      <c r="E1397">
        <v>24</v>
      </c>
    </row>
    <row r="1398" spans="1:5">
      <c r="A1398" t="s">
        <v>35307</v>
      </c>
      <c r="B1398" t="s">
        <v>30831</v>
      </c>
      <c r="C1398">
        <v>0.43155625383200003</v>
      </c>
      <c r="D1398">
        <v>0.92278702627200004</v>
      </c>
      <c r="E1398">
        <v>24</v>
      </c>
    </row>
    <row r="1399" spans="1:5">
      <c r="A1399" t="s">
        <v>35308</v>
      </c>
      <c r="B1399" t="s">
        <v>35309</v>
      </c>
      <c r="C1399">
        <v>0</v>
      </c>
      <c r="D1399" t="s">
        <v>106</v>
      </c>
      <c r="E1399">
        <v>11.874000000000001</v>
      </c>
    </row>
    <row r="1400" spans="1:5">
      <c r="A1400" t="s">
        <v>35308</v>
      </c>
      <c r="B1400" t="s">
        <v>35310</v>
      </c>
      <c r="C1400">
        <f>0</f>
        <v>0</v>
      </c>
      <c r="D1400" t="s">
        <v>106</v>
      </c>
      <c r="E1400">
        <v>11.874000000000001</v>
      </c>
    </row>
    <row r="1401" spans="1:5">
      <c r="A1401" t="s">
        <v>35311</v>
      </c>
      <c r="B1401" t="s">
        <v>15139</v>
      </c>
      <c r="C1401">
        <f>0</f>
        <v>0</v>
      </c>
      <c r="D1401">
        <v>0.68769082740300003</v>
      </c>
      <c r="E1401">
        <v>8.7240000000000002</v>
      </c>
    </row>
    <row r="1402" spans="1:5">
      <c r="A1402" t="s">
        <v>35311</v>
      </c>
      <c r="B1402" t="s">
        <v>15141</v>
      </c>
      <c r="C1402">
        <f>0</f>
        <v>0</v>
      </c>
      <c r="D1402">
        <v>0.68769082740300003</v>
      </c>
      <c r="E1402">
        <v>8.7240000000000002</v>
      </c>
    </row>
    <row r="1403" spans="1:5">
      <c r="A1403" t="s">
        <v>35311</v>
      </c>
      <c r="B1403" t="s">
        <v>15137</v>
      </c>
      <c r="C1403">
        <f>0.278080827403</f>
        <v>0.278080827403</v>
      </c>
      <c r="D1403">
        <v>0.68769082740300003</v>
      </c>
      <c r="E1403">
        <v>8.7240000000000002</v>
      </c>
    </row>
    <row r="1404" spans="1:5">
      <c r="A1404" t="s">
        <v>35312</v>
      </c>
      <c r="B1404" t="s">
        <v>35313</v>
      </c>
      <c r="C1404">
        <v>0.59631311473899995</v>
      </c>
      <c r="D1404">
        <v>0.92271619337599997</v>
      </c>
      <c r="E1404">
        <v>0</v>
      </c>
    </row>
    <row r="1405" spans="1:5">
      <c r="A1405" t="s">
        <v>35312</v>
      </c>
      <c r="B1405" t="s">
        <v>35314</v>
      </c>
      <c r="C1405">
        <v>0</v>
      </c>
      <c r="D1405">
        <v>0.92271619337599997</v>
      </c>
      <c r="E1405">
        <v>0</v>
      </c>
    </row>
    <row r="1406" spans="1:5">
      <c r="A1406" t="s">
        <v>35312</v>
      </c>
      <c r="B1406" t="s">
        <v>35315</v>
      </c>
      <c r="C1406">
        <v>0</v>
      </c>
      <c r="D1406">
        <v>0.92271619337599997</v>
      </c>
      <c r="E1406">
        <v>0</v>
      </c>
    </row>
    <row r="1407" spans="1:5">
      <c r="A1407" t="s">
        <v>35312</v>
      </c>
      <c r="B1407" t="s">
        <v>35316</v>
      </c>
      <c r="C1407">
        <v>0</v>
      </c>
      <c r="D1407">
        <v>0.92271619337599997</v>
      </c>
      <c r="E1407">
        <v>0</v>
      </c>
    </row>
    <row r="1408" spans="1:5">
      <c r="A1408" t="s">
        <v>35312</v>
      </c>
      <c r="B1408" t="s">
        <v>35317</v>
      </c>
      <c r="C1408">
        <v>0</v>
      </c>
      <c r="D1408">
        <v>0.92271619337599997</v>
      </c>
      <c r="E1408">
        <v>0</v>
      </c>
    </row>
    <row r="1409" spans="1:5">
      <c r="A1409" t="s">
        <v>35312</v>
      </c>
      <c r="B1409" t="s">
        <v>35318</v>
      </c>
      <c r="C1409">
        <f>0.620465887173</f>
        <v>0.620465887173</v>
      </c>
      <c r="D1409">
        <v>0.92271619337599997</v>
      </c>
      <c r="E1409">
        <v>0</v>
      </c>
    </row>
    <row r="1410" spans="1:5">
      <c r="A1410" t="s">
        <v>35319</v>
      </c>
      <c r="B1410" t="s">
        <v>35320</v>
      </c>
      <c r="C1410">
        <f>0</f>
        <v>0</v>
      </c>
      <c r="D1410" t="s">
        <v>106</v>
      </c>
      <c r="E1410">
        <v>0.13200000000000001</v>
      </c>
    </row>
    <row r="1411" spans="1:5">
      <c r="A1411" t="s">
        <v>35319</v>
      </c>
      <c r="B1411" t="s">
        <v>35321</v>
      </c>
      <c r="C1411">
        <f>0</f>
        <v>0</v>
      </c>
      <c r="D1411" t="s">
        <v>106</v>
      </c>
      <c r="E1411">
        <v>0.13200000000000001</v>
      </c>
    </row>
    <row r="1412" spans="1:5">
      <c r="A1412" t="s">
        <v>35319</v>
      </c>
      <c r="B1412" t="s">
        <v>35322</v>
      </c>
      <c r="C1412">
        <v>0</v>
      </c>
      <c r="D1412" t="s">
        <v>106</v>
      </c>
      <c r="E1412">
        <v>0.13200000000000001</v>
      </c>
    </row>
    <row r="1413" spans="1:5">
      <c r="A1413" t="s">
        <v>35319</v>
      </c>
      <c r="B1413" t="s">
        <v>35323</v>
      </c>
      <c r="C1413">
        <v>0</v>
      </c>
      <c r="D1413" t="s">
        <v>106</v>
      </c>
      <c r="E1413">
        <v>0.13200000000000001</v>
      </c>
    </row>
    <row r="1414" spans="1:5">
      <c r="A1414" t="s">
        <v>35319</v>
      </c>
      <c r="B1414" t="s">
        <v>35324</v>
      </c>
      <c r="C1414">
        <f>0</f>
        <v>0</v>
      </c>
      <c r="D1414" t="s">
        <v>106</v>
      </c>
      <c r="E1414">
        <v>0.13200000000000001</v>
      </c>
    </row>
    <row r="1415" spans="1:5">
      <c r="A1415" t="s">
        <v>35325</v>
      </c>
      <c r="B1415" t="s">
        <v>15833</v>
      </c>
      <c r="C1415">
        <v>0</v>
      </c>
      <c r="D1415">
        <v>0.72160687655900002</v>
      </c>
      <c r="E1415">
        <v>24</v>
      </c>
    </row>
    <row r="1416" spans="1:5">
      <c r="A1416" t="s">
        <v>35325</v>
      </c>
      <c r="B1416" t="s">
        <v>15841</v>
      </c>
      <c r="C1416">
        <f>0</f>
        <v>0</v>
      </c>
      <c r="D1416">
        <v>0.72160687655900002</v>
      </c>
      <c r="E1416">
        <v>24</v>
      </c>
    </row>
    <row r="1417" spans="1:5">
      <c r="A1417" t="s">
        <v>35325</v>
      </c>
      <c r="B1417" t="s">
        <v>15839</v>
      </c>
      <c r="C1417">
        <v>0</v>
      </c>
      <c r="D1417">
        <v>0.72160687655900002</v>
      </c>
      <c r="E1417">
        <v>24</v>
      </c>
    </row>
    <row r="1418" spans="1:5">
      <c r="A1418" t="s">
        <v>35325</v>
      </c>
      <c r="B1418" t="s">
        <v>15830</v>
      </c>
      <c r="C1418">
        <v>0.45119687655899998</v>
      </c>
      <c r="D1418">
        <v>0.72160687655900002</v>
      </c>
      <c r="E1418">
        <v>24</v>
      </c>
    </row>
    <row r="1419" spans="1:5">
      <c r="A1419" t="s">
        <v>35326</v>
      </c>
      <c r="B1419" t="s">
        <v>30482</v>
      </c>
      <c r="C1419">
        <f>0</f>
        <v>0</v>
      </c>
      <c r="D1419">
        <v>0.63476605158300003</v>
      </c>
      <c r="E1419">
        <v>23.04</v>
      </c>
    </row>
    <row r="1420" spans="1:5">
      <c r="A1420" t="s">
        <v>35326</v>
      </c>
      <c r="B1420" t="s">
        <v>30479</v>
      </c>
      <c r="C1420">
        <f>0</f>
        <v>0</v>
      </c>
      <c r="D1420">
        <v>0.63476605158300003</v>
      </c>
      <c r="E1420">
        <v>23.04</v>
      </c>
    </row>
    <row r="1421" spans="1:5">
      <c r="A1421" t="s">
        <v>35326</v>
      </c>
      <c r="B1421" t="s">
        <v>30481</v>
      </c>
      <c r="C1421">
        <v>0</v>
      </c>
      <c r="D1421">
        <v>0.63476605158300003</v>
      </c>
      <c r="E1421">
        <v>23.04</v>
      </c>
    </row>
    <row r="1422" spans="1:5">
      <c r="A1422" t="s">
        <v>35326</v>
      </c>
      <c r="B1422" t="s">
        <v>30483</v>
      </c>
      <c r="C1422">
        <v>0.32115605158299998</v>
      </c>
      <c r="D1422">
        <v>0.63476605158300003</v>
      </c>
      <c r="E1422">
        <v>23.04</v>
      </c>
    </row>
    <row r="1423" spans="1:5">
      <c r="A1423" t="s">
        <v>35327</v>
      </c>
      <c r="B1423" t="s">
        <v>18638</v>
      </c>
      <c r="C1423">
        <v>0.23450891857699999</v>
      </c>
      <c r="D1423">
        <v>0.752918918577</v>
      </c>
      <c r="E1423">
        <v>8.58</v>
      </c>
    </row>
    <row r="1424" spans="1:5">
      <c r="A1424" t="s">
        <v>35327</v>
      </c>
      <c r="B1424" t="s">
        <v>18644</v>
      </c>
      <c r="C1424">
        <f>0</f>
        <v>0</v>
      </c>
      <c r="D1424">
        <v>0.752918918577</v>
      </c>
      <c r="E1424">
        <v>8.58</v>
      </c>
    </row>
    <row r="1425" spans="1:5">
      <c r="A1425" t="s">
        <v>35327</v>
      </c>
      <c r="B1425" t="s">
        <v>18640</v>
      </c>
      <c r="C1425">
        <f>0</f>
        <v>0</v>
      </c>
      <c r="D1425">
        <v>0.752918918577</v>
      </c>
      <c r="E1425">
        <v>8.58</v>
      </c>
    </row>
    <row r="1426" spans="1:5">
      <c r="A1426" t="s">
        <v>35327</v>
      </c>
      <c r="B1426" t="s">
        <v>18642</v>
      </c>
      <c r="C1426">
        <f>0</f>
        <v>0</v>
      </c>
      <c r="D1426">
        <v>0.752918918577</v>
      </c>
      <c r="E1426">
        <v>8.58</v>
      </c>
    </row>
    <row r="1427" spans="1:5">
      <c r="A1427" t="s">
        <v>35328</v>
      </c>
      <c r="B1427" t="s">
        <v>34044</v>
      </c>
      <c r="C1427">
        <f>0.415583999289</f>
        <v>0.41558399928899997</v>
      </c>
      <c r="D1427">
        <v>0.54519399928900003</v>
      </c>
      <c r="E1427">
        <v>3.4079999999999999</v>
      </c>
    </row>
    <row r="1428" spans="1:5">
      <c r="A1428" t="s">
        <v>35328</v>
      </c>
      <c r="B1428" t="s">
        <v>35329</v>
      </c>
      <c r="C1428">
        <f>0</f>
        <v>0</v>
      </c>
      <c r="D1428">
        <v>0.54519399928900003</v>
      </c>
      <c r="E1428">
        <v>3.4079999999999999</v>
      </c>
    </row>
    <row r="1429" spans="1:5">
      <c r="A1429" t="s">
        <v>35330</v>
      </c>
      <c r="B1429" t="s">
        <v>24811</v>
      </c>
      <c r="C1429">
        <f>0.925836515333</f>
        <v>0.92583651533300004</v>
      </c>
      <c r="D1429">
        <v>0.96291813787299996</v>
      </c>
      <c r="E1429">
        <v>15.125999999999999</v>
      </c>
    </row>
    <row r="1430" spans="1:5">
      <c r="A1430" t="s">
        <v>35330</v>
      </c>
      <c r="B1430" t="s">
        <v>24806</v>
      </c>
      <c r="C1430">
        <v>0.14436631209199999</v>
      </c>
      <c r="D1430">
        <v>0.96291813787299996</v>
      </c>
      <c r="E1430">
        <v>15.125999999999999</v>
      </c>
    </row>
    <row r="1431" spans="1:5">
      <c r="A1431" t="s">
        <v>35330</v>
      </c>
      <c r="B1431" t="s">
        <v>24807</v>
      </c>
      <c r="C1431">
        <f>0.0145582880354</f>
        <v>1.45582880354E-2</v>
      </c>
      <c r="D1431">
        <v>0.96291813787299996</v>
      </c>
      <c r="E1431">
        <v>15.125999999999999</v>
      </c>
    </row>
    <row r="1432" spans="1:5">
      <c r="A1432" t="s">
        <v>35330</v>
      </c>
      <c r="B1432" t="s">
        <v>24810</v>
      </c>
      <c r="C1432">
        <f>0.34786395826</f>
        <v>0.34786395825999999</v>
      </c>
      <c r="D1432">
        <v>0.96291813787299996</v>
      </c>
      <c r="E1432">
        <v>15.125999999999999</v>
      </c>
    </row>
    <row r="1433" spans="1:5">
      <c r="A1433" t="s">
        <v>35331</v>
      </c>
      <c r="B1433" t="s">
        <v>35332</v>
      </c>
      <c r="C1433">
        <v>0</v>
      </c>
      <c r="D1433" t="s">
        <v>106</v>
      </c>
      <c r="E1433">
        <v>20.963999999999999</v>
      </c>
    </row>
    <row r="1434" spans="1:5">
      <c r="A1434" t="s">
        <v>35331</v>
      </c>
      <c r="B1434" t="s">
        <v>35333</v>
      </c>
      <c r="C1434">
        <v>0</v>
      </c>
      <c r="D1434" t="s">
        <v>106</v>
      </c>
      <c r="E1434">
        <v>20.963999999999999</v>
      </c>
    </row>
    <row r="1435" spans="1:5">
      <c r="A1435" t="s">
        <v>35331</v>
      </c>
      <c r="B1435" t="s">
        <v>35334</v>
      </c>
      <c r="C1435">
        <v>0</v>
      </c>
      <c r="D1435" t="s">
        <v>106</v>
      </c>
      <c r="E1435">
        <v>20.963999999999999</v>
      </c>
    </row>
    <row r="1436" spans="1:5">
      <c r="A1436" t="s">
        <v>35331</v>
      </c>
      <c r="B1436" t="s">
        <v>35335</v>
      </c>
      <c r="C1436">
        <v>0</v>
      </c>
      <c r="D1436" t="s">
        <v>106</v>
      </c>
      <c r="E1436">
        <v>20.963999999999999</v>
      </c>
    </row>
    <row r="1437" spans="1:5">
      <c r="A1437" t="s">
        <v>35331</v>
      </c>
      <c r="B1437" t="s">
        <v>35336</v>
      </c>
      <c r="C1437">
        <v>0</v>
      </c>
      <c r="D1437" t="s">
        <v>106</v>
      </c>
      <c r="E1437">
        <v>20.963999999999999</v>
      </c>
    </row>
    <row r="1438" spans="1:5">
      <c r="A1438" t="s">
        <v>35337</v>
      </c>
      <c r="B1438" t="s">
        <v>35338</v>
      </c>
      <c r="C1438">
        <f>0.236700281311</f>
        <v>0.23670028131099999</v>
      </c>
      <c r="D1438">
        <v>0.99104977581200004</v>
      </c>
      <c r="E1438">
        <v>4.3739999999999997</v>
      </c>
    </row>
    <row r="1439" spans="1:5">
      <c r="A1439" t="s">
        <v>35337</v>
      </c>
      <c r="B1439" t="s">
        <v>35339</v>
      </c>
      <c r="C1439">
        <v>0.24091784412700001</v>
      </c>
      <c r="D1439">
        <v>0.99104977581200004</v>
      </c>
      <c r="E1439">
        <v>4.3739999999999997</v>
      </c>
    </row>
    <row r="1440" spans="1:5">
      <c r="A1440" t="s">
        <v>35337</v>
      </c>
      <c r="B1440" t="s">
        <v>35340</v>
      </c>
      <c r="C1440">
        <v>0</v>
      </c>
      <c r="D1440">
        <v>0.99104977581200004</v>
      </c>
      <c r="E1440">
        <v>4.3739999999999997</v>
      </c>
    </row>
    <row r="1441" spans="1:5">
      <c r="A1441" t="s">
        <v>35337</v>
      </c>
      <c r="B1441" t="s">
        <v>35341</v>
      </c>
      <c r="C1441">
        <v>0</v>
      </c>
      <c r="D1441">
        <v>0.99104977581200004</v>
      </c>
      <c r="E1441">
        <v>4.3739999999999997</v>
      </c>
    </row>
    <row r="1442" spans="1:5">
      <c r="A1442" t="s">
        <v>35337</v>
      </c>
      <c r="B1442" t="s">
        <v>35342</v>
      </c>
      <c r="C1442">
        <f>0.0645323262673</f>
        <v>6.4532326267300003E-2</v>
      </c>
      <c r="D1442">
        <v>0.99104977581200004</v>
      </c>
      <c r="E1442">
        <v>4.3739999999999997</v>
      </c>
    </row>
    <row r="1443" spans="1:5">
      <c r="A1443" t="s">
        <v>35337</v>
      </c>
      <c r="B1443" t="s">
        <v>35343</v>
      </c>
      <c r="C1443">
        <f>0.590229085712</f>
        <v>0.59022908571199995</v>
      </c>
      <c r="D1443">
        <v>0.99104977581200004</v>
      </c>
      <c r="E1443">
        <v>4.3739999999999997</v>
      </c>
    </row>
    <row r="1444" spans="1:5">
      <c r="A1444" t="s">
        <v>35337</v>
      </c>
      <c r="B1444" t="s">
        <v>35344</v>
      </c>
      <c r="C1444">
        <v>0</v>
      </c>
      <c r="D1444">
        <v>0.99104977581200004</v>
      </c>
      <c r="E1444">
        <v>4.3739999999999997</v>
      </c>
    </row>
    <row r="1445" spans="1:5">
      <c r="A1445" t="s">
        <v>35337</v>
      </c>
      <c r="B1445" t="s">
        <v>35345</v>
      </c>
      <c r="C1445">
        <v>8.6362366319500006E-2</v>
      </c>
      <c r="D1445">
        <v>0.99104977581200004</v>
      </c>
      <c r="E1445">
        <v>4.3739999999999997</v>
      </c>
    </row>
    <row r="1446" spans="1:5">
      <c r="A1446" t="s">
        <v>35337</v>
      </c>
      <c r="B1446" t="s">
        <v>35346</v>
      </c>
      <c r="C1446">
        <v>0.90593604947100004</v>
      </c>
      <c r="D1446">
        <v>0.99104977581200004</v>
      </c>
      <c r="E1446">
        <v>4.3739999999999997</v>
      </c>
    </row>
    <row r="1447" spans="1:5">
      <c r="A1447" t="s">
        <v>35347</v>
      </c>
      <c r="B1447" t="s">
        <v>35348</v>
      </c>
      <c r="C1447">
        <f>0</f>
        <v>0</v>
      </c>
      <c r="D1447">
        <v>0.597833514028</v>
      </c>
      <c r="E1447">
        <v>0</v>
      </c>
    </row>
    <row r="1448" spans="1:5">
      <c r="A1448" t="s">
        <v>35347</v>
      </c>
      <c r="B1448" t="s">
        <v>35349</v>
      </c>
      <c r="C1448">
        <f>0</f>
        <v>0</v>
      </c>
      <c r="D1448">
        <v>0.597833514028</v>
      </c>
      <c r="E1448">
        <v>0</v>
      </c>
    </row>
    <row r="1449" spans="1:5">
      <c r="A1449" t="s">
        <v>35347</v>
      </c>
      <c r="B1449" t="s">
        <v>35350</v>
      </c>
      <c r="C1449">
        <v>0</v>
      </c>
      <c r="D1449">
        <v>0.597833514028</v>
      </c>
      <c r="E1449">
        <v>0</v>
      </c>
    </row>
    <row r="1450" spans="1:5">
      <c r="A1450" t="s">
        <v>35347</v>
      </c>
      <c r="B1450" t="s">
        <v>35351</v>
      </c>
      <c r="C1450">
        <f>0.284223514028</f>
        <v>0.284223514028</v>
      </c>
      <c r="D1450">
        <v>0.597833514028</v>
      </c>
      <c r="E1450">
        <v>0</v>
      </c>
    </row>
    <row r="1451" spans="1:5">
      <c r="A1451" t="s">
        <v>35352</v>
      </c>
      <c r="B1451" t="s">
        <v>25973</v>
      </c>
      <c r="C1451">
        <f>0</f>
        <v>0</v>
      </c>
      <c r="D1451" t="s">
        <v>106</v>
      </c>
      <c r="E1451">
        <v>2.802</v>
      </c>
    </row>
    <row r="1452" spans="1:5">
      <c r="A1452" t="s">
        <v>35352</v>
      </c>
      <c r="B1452" t="s">
        <v>25974</v>
      </c>
      <c r="C1452">
        <v>0</v>
      </c>
      <c r="D1452" t="s">
        <v>106</v>
      </c>
      <c r="E1452">
        <v>2.802</v>
      </c>
    </row>
    <row r="1453" spans="1:5">
      <c r="A1453" t="s">
        <v>35352</v>
      </c>
      <c r="B1453" t="s">
        <v>25980</v>
      </c>
      <c r="C1453">
        <f>0</f>
        <v>0</v>
      </c>
      <c r="D1453" t="s">
        <v>106</v>
      </c>
      <c r="E1453">
        <v>2.802</v>
      </c>
    </row>
    <row r="1454" spans="1:5">
      <c r="A1454" t="s">
        <v>35352</v>
      </c>
      <c r="B1454" t="s">
        <v>25977</v>
      </c>
      <c r="C1454">
        <v>0</v>
      </c>
      <c r="D1454" t="s">
        <v>106</v>
      </c>
      <c r="E1454">
        <v>2.802</v>
      </c>
    </row>
    <row r="1455" spans="1:5">
      <c r="A1455" t="s">
        <v>35352</v>
      </c>
      <c r="B1455" t="s">
        <v>25981</v>
      </c>
      <c r="C1455">
        <v>0</v>
      </c>
      <c r="D1455" t="s">
        <v>106</v>
      </c>
      <c r="E1455">
        <v>2.802</v>
      </c>
    </row>
    <row r="1456" spans="1:5">
      <c r="A1456" t="s">
        <v>35352</v>
      </c>
      <c r="B1456" t="s">
        <v>25976</v>
      </c>
      <c r="C1456">
        <f>0</f>
        <v>0</v>
      </c>
      <c r="D1456" t="s">
        <v>106</v>
      </c>
      <c r="E1456">
        <v>2.802</v>
      </c>
    </row>
    <row r="1457" spans="1:5">
      <c r="A1457" t="s">
        <v>35352</v>
      </c>
      <c r="B1457" t="s">
        <v>25979</v>
      </c>
      <c r="C1457">
        <v>0</v>
      </c>
      <c r="D1457" t="s">
        <v>106</v>
      </c>
      <c r="E1457">
        <v>2.802</v>
      </c>
    </row>
    <row r="1458" spans="1:5">
      <c r="A1458" t="s">
        <v>35352</v>
      </c>
      <c r="B1458" t="s">
        <v>25978</v>
      </c>
      <c r="C1458">
        <f>0</f>
        <v>0</v>
      </c>
      <c r="D1458" t="s">
        <v>106</v>
      </c>
      <c r="E1458">
        <v>2.802</v>
      </c>
    </row>
    <row r="1459" spans="1:5">
      <c r="A1459" t="s">
        <v>35353</v>
      </c>
      <c r="B1459" t="s">
        <v>31976</v>
      </c>
      <c r="C1459">
        <v>0</v>
      </c>
      <c r="D1459" t="s">
        <v>106</v>
      </c>
      <c r="E1459">
        <v>1.014</v>
      </c>
    </row>
    <row r="1460" spans="1:5">
      <c r="A1460" t="s">
        <v>35353</v>
      </c>
      <c r="B1460" t="s">
        <v>31977</v>
      </c>
      <c r="C1460">
        <v>0</v>
      </c>
      <c r="D1460" t="s">
        <v>106</v>
      </c>
      <c r="E1460">
        <v>1.014</v>
      </c>
    </row>
    <row r="1461" spans="1:5">
      <c r="A1461" t="s">
        <v>35353</v>
      </c>
      <c r="B1461" t="s">
        <v>35354</v>
      </c>
      <c r="C1461">
        <v>0</v>
      </c>
      <c r="D1461" t="s">
        <v>106</v>
      </c>
      <c r="E1461">
        <v>1.014</v>
      </c>
    </row>
    <row r="1462" spans="1:5">
      <c r="A1462" t="s">
        <v>35353</v>
      </c>
      <c r="B1462" t="s">
        <v>31978</v>
      </c>
      <c r="C1462">
        <f>0</f>
        <v>0</v>
      </c>
      <c r="D1462" t="s">
        <v>106</v>
      </c>
      <c r="E1462">
        <v>1.014</v>
      </c>
    </row>
    <row r="1463" spans="1:5">
      <c r="A1463" t="s">
        <v>35355</v>
      </c>
      <c r="B1463" t="s">
        <v>35356</v>
      </c>
      <c r="C1463">
        <f>0.514761236183</f>
        <v>0.51476123618299996</v>
      </c>
      <c r="D1463">
        <v>0.75167350058799998</v>
      </c>
      <c r="E1463">
        <v>1.6379999999999999</v>
      </c>
    </row>
    <row r="1464" spans="1:5">
      <c r="A1464" t="s">
        <v>35355</v>
      </c>
      <c r="B1464" t="s">
        <v>35357</v>
      </c>
      <c r="C1464">
        <f>0</f>
        <v>0</v>
      </c>
      <c r="D1464">
        <v>0.75167350058799998</v>
      </c>
      <c r="E1464">
        <v>1.6379999999999999</v>
      </c>
    </row>
    <row r="1465" spans="1:5">
      <c r="A1465" t="s">
        <v>35355</v>
      </c>
      <c r="B1465" t="s">
        <v>35358</v>
      </c>
      <c r="C1465">
        <v>9.1617777395500005E-2</v>
      </c>
      <c r="D1465">
        <v>0.75167350058799998</v>
      </c>
      <c r="E1465">
        <v>1.6379999999999999</v>
      </c>
    </row>
    <row r="1466" spans="1:5">
      <c r="A1466" t="s">
        <v>35355</v>
      </c>
      <c r="B1466" t="s">
        <v>35359</v>
      </c>
      <c r="C1466">
        <f>0</f>
        <v>0</v>
      </c>
      <c r="D1466">
        <v>0.75167350058799998</v>
      </c>
      <c r="E1466">
        <v>1.6379999999999999</v>
      </c>
    </row>
    <row r="1467" spans="1:5">
      <c r="A1467" t="s">
        <v>35360</v>
      </c>
      <c r="B1467" t="s">
        <v>35361</v>
      </c>
      <c r="C1467">
        <f>0</f>
        <v>0</v>
      </c>
      <c r="D1467" t="s">
        <v>106</v>
      </c>
      <c r="E1467">
        <v>16.097999999999999</v>
      </c>
    </row>
    <row r="1468" spans="1:5">
      <c r="A1468" t="s">
        <v>35360</v>
      </c>
      <c r="B1468" t="s">
        <v>35362</v>
      </c>
      <c r="C1468">
        <f>0</f>
        <v>0</v>
      </c>
      <c r="D1468" t="s">
        <v>106</v>
      </c>
      <c r="E1468">
        <v>16.097999999999999</v>
      </c>
    </row>
    <row r="1469" spans="1:5">
      <c r="A1469" t="s">
        <v>35360</v>
      </c>
      <c r="B1469" t="s">
        <v>35363</v>
      </c>
      <c r="C1469">
        <f>0</f>
        <v>0</v>
      </c>
      <c r="D1469" t="s">
        <v>106</v>
      </c>
      <c r="E1469">
        <v>16.097999999999999</v>
      </c>
    </row>
    <row r="1470" spans="1:5">
      <c r="A1470" t="s">
        <v>35364</v>
      </c>
      <c r="B1470" t="s">
        <v>35365</v>
      </c>
      <c r="C1470">
        <v>8.7236875096000005E-2</v>
      </c>
      <c r="D1470">
        <v>0.76553804435399997</v>
      </c>
      <c r="E1470">
        <v>9.0180000000000007</v>
      </c>
    </row>
    <row r="1471" spans="1:5">
      <c r="A1471" t="s">
        <v>35364</v>
      </c>
      <c r="B1471" t="s">
        <v>35366</v>
      </c>
      <c r="C1471">
        <v>0.45553951798100001</v>
      </c>
      <c r="D1471">
        <v>0.76553804435399997</v>
      </c>
      <c r="E1471">
        <v>9.0180000000000007</v>
      </c>
    </row>
    <row r="1472" spans="1:5">
      <c r="A1472" t="s">
        <v>35364</v>
      </c>
      <c r="B1472" t="s">
        <v>35367</v>
      </c>
      <c r="C1472">
        <f>0.0471363216005</f>
        <v>4.7136321600499999E-2</v>
      </c>
      <c r="D1472">
        <v>0.76553804435399997</v>
      </c>
      <c r="E1472">
        <v>9.0180000000000007</v>
      </c>
    </row>
    <row r="1473" spans="1:5">
      <c r="A1473" t="s">
        <v>35364</v>
      </c>
      <c r="B1473" t="s">
        <v>35368</v>
      </c>
      <c r="C1473">
        <v>0</v>
      </c>
      <c r="D1473">
        <v>0.76553804435399997</v>
      </c>
      <c r="E1473">
        <v>9.0180000000000007</v>
      </c>
    </row>
    <row r="1474" spans="1:5">
      <c r="A1474" t="s">
        <v>35364</v>
      </c>
      <c r="B1474" t="s">
        <v>35369</v>
      </c>
      <c r="C1474">
        <f>0</f>
        <v>0</v>
      </c>
      <c r="D1474">
        <v>0.76553804435399997</v>
      </c>
      <c r="E1474">
        <v>9.0180000000000007</v>
      </c>
    </row>
    <row r="1475" spans="1:5">
      <c r="A1475" t="s">
        <v>35370</v>
      </c>
      <c r="B1475" t="s">
        <v>805</v>
      </c>
      <c r="C1475">
        <f>0.216673958196</f>
        <v>0.21667395819599999</v>
      </c>
      <c r="D1475">
        <v>0.69164300731600004</v>
      </c>
      <c r="E1475">
        <v>23.754000000000001</v>
      </c>
    </row>
    <row r="1476" spans="1:5">
      <c r="A1476" t="s">
        <v>35370</v>
      </c>
      <c r="B1476" t="s">
        <v>801</v>
      </c>
      <c r="C1476">
        <v>0</v>
      </c>
      <c r="D1476">
        <v>0.69164300731600004</v>
      </c>
      <c r="E1476">
        <v>23.754000000000001</v>
      </c>
    </row>
    <row r="1477" spans="1:5">
      <c r="A1477" t="s">
        <v>35370</v>
      </c>
      <c r="B1477" t="s">
        <v>802</v>
      </c>
      <c r="C1477">
        <v>0</v>
      </c>
      <c r="D1477">
        <v>0.69164300731600004</v>
      </c>
      <c r="E1477">
        <v>23.754000000000001</v>
      </c>
    </row>
    <row r="1478" spans="1:5">
      <c r="A1478" t="s">
        <v>35370</v>
      </c>
      <c r="B1478" t="s">
        <v>810</v>
      </c>
      <c r="C1478">
        <f>0</f>
        <v>0</v>
      </c>
      <c r="D1478">
        <v>0.69164300731600004</v>
      </c>
      <c r="E1478">
        <v>23.754000000000001</v>
      </c>
    </row>
    <row r="1479" spans="1:5">
      <c r="A1479" t="s">
        <v>35370</v>
      </c>
      <c r="B1479" t="s">
        <v>811</v>
      </c>
      <c r="C1479">
        <f>0.0954542511077</f>
        <v>9.5454251107700006E-2</v>
      </c>
      <c r="D1479">
        <v>0.69164300731600004</v>
      </c>
      <c r="E1479">
        <v>23.754000000000001</v>
      </c>
    </row>
    <row r="1480" spans="1:5">
      <c r="A1480" t="s">
        <v>35370</v>
      </c>
      <c r="B1480" t="s">
        <v>803</v>
      </c>
      <c r="C1480">
        <f>0</f>
        <v>0</v>
      </c>
      <c r="D1480">
        <v>0.69164300731600004</v>
      </c>
      <c r="E1480">
        <v>23.754000000000001</v>
      </c>
    </row>
    <row r="1481" spans="1:5">
      <c r="A1481" t="s">
        <v>35371</v>
      </c>
      <c r="B1481" t="s">
        <v>35372</v>
      </c>
      <c r="C1481">
        <v>0</v>
      </c>
      <c r="D1481" t="s">
        <v>106</v>
      </c>
      <c r="E1481">
        <v>3.78</v>
      </c>
    </row>
    <row r="1482" spans="1:5">
      <c r="A1482" t="s">
        <v>35371</v>
      </c>
      <c r="B1482" t="s">
        <v>35373</v>
      </c>
      <c r="C1482">
        <f>0</f>
        <v>0</v>
      </c>
      <c r="D1482" t="s">
        <v>106</v>
      </c>
      <c r="E1482">
        <v>3.78</v>
      </c>
    </row>
    <row r="1483" spans="1:5">
      <c r="A1483" t="s">
        <v>35371</v>
      </c>
      <c r="B1483" t="s">
        <v>35374</v>
      </c>
      <c r="C1483">
        <f>0</f>
        <v>0</v>
      </c>
      <c r="D1483" t="s">
        <v>106</v>
      </c>
      <c r="E1483">
        <v>3.78</v>
      </c>
    </row>
    <row r="1484" spans="1:5">
      <c r="A1484" t="s">
        <v>35371</v>
      </c>
      <c r="B1484" t="s">
        <v>35375</v>
      </c>
      <c r="C1484">
        <v>0</v>
      </c>
      <c r="D1484" t="s">
        <v>106</v>
      </c>
      <c r="E1484">
        <v>3.78</v>
      </c>
    </row>
    <row r="1485" spans="1:5">
      <c r="A1485" t="s">
        <v>35371</v>
      </c>
      <c r="B1485" t="s">
        <v>35376</v>
      </c>
      <c r="C1485">
        <f>0</f>
        <v>0</v>
      </c>
      <c r="D1485" t="s">
        <v>106</v>
      </c>
      <c r="E1485">
        <v>3.78</v>
      </c>
    </row>
    <row r="1486" spans="1:5">
      <c r="A1486" t="s">
        <v>35371</v>
      </c>
      <c r="B1486" t="s">
        <v>35377</v>
      </c>
      <c r="C1486">
        <v>0</v>
      </c>
      <c r="D1486" t="s">
        <v>106</v>
      </c>
      <c r="E1486">
        <v>3.78</v>
      </c>
    </row>
    <row r="1487" spans="1:5">
      <c r="A1487" t="s">
        <v>35371</v>
      </c>
      <c r="B1487" t="s">
        <v>35378</v>
      </c>
      <c r="C1487">
        <v>0</v>
      </c>
      <c r="D1487" t="s">
        <v>106</v>
      </c>
      <c r="E1487">
        <v>3.78</v>
      </c>
    </row>
    <row r="1488" spans="1:5">
      <c r="A1488" t="s">
        <v>35379</v>
      </c>
      <c r="B1488" t="s">
        <v>35380</v>
      </c>
      <c r="C1488">
        <v>1.0152641246</v>
      </c>
      <c r="D1488">
        <v>0.75312661104300005</v>
      </c>
      <c r="E1488">
        <v>12.048</v>
      </c>
    </row>
    <row r="1489" spans="1:5">
      <c r="A1489" t="s">
        <v>35379</v>
      </c>
      <c r="B1489" t="s">
        <v>35381</v>
      </c>
      <c r="C1489">
        <f>0.447045938684</f>
        <v>0.447045938684</v>
      </c>
      <c r="D1489">
        <v>0.75312661104300005</v>
      </c>
      <c r="E1489">
        <v>12.048</v>
      </c>
    </row>
    <row r="1490" spans="1:5">
      <c r="A1490" t="s">
        <v>35382</v>
      </c>
      <c r="B1490" t="s">
        <v>18317</v>
      </c>
      <c r="C1490">
        <v>0</v>
      </c>
      <c r="D1490">
        <v>0.497396925662</v>
      </c>
      <c r="E1490">
        <v>0.504</v>
      </c>
    </row>
    <row r="1491" spans="1:5">
      <c r="A1491" t="s">
        <v>35382</v>
      </c>
      <c r="B1491" t="s">
        <v>18318</v>
      </c>
      <c r="C1491">
        <f>0.226986925662</f>
        <v>0.22698692566199999</v>
      </c>
      <c r="D1491">
        <v>0.497396925662</v>
      </c>
      <c r="E1491">
        <v>0.504</v>
      </c>
    </row>
    <row r="1492" spans="1:5">
      <c r="A1492" t="s">
        <v>35383</v>
      </c>
      <c r="B1492" t="s">
        <v>483</v>
      </c>
      <c r="C1492">
        <v>0.25845740469900003</v>
      </c>
      <c r="D1492">
        <v>0.99358796866400001</v>
      </c>
      <c r="E1492">
        <v>0.15</v>
      </c>
    </row>
    <row r="1493" spans="1:5">
      <c r="A1493" t="s">
        <v>35383</v>
      </c>
      <c r="B1493" t="s">
        <v>479</v>
      </c>
      <c r="C1493">
        <f>0.0326665639616</f>
        <v>3.2666563961599997E-2</v>
      </c>
      <c r="D1493">
        <v>0.99358796866400001</v>
      </c>
      <c r="E1493">
        <v>0.15</v>
      </c>
    </row>
    <row r="1494" spans="1:5">
      <c r="A1494" t="s">
        <v>35383</v>
      </c>
      <c r="B1494" t="s">
        <v>484</v>
      </c>
      <c r="C1494">
        <f>0.49226437912</f>
        <v>0.49226437911999998</v>
      </c>
      <c r="D1494">
        <v>0.99358796866400001</v>
      </c>
      <c r="E1494">
        <v>0.15</v>
      </c>
    </row>
    <row r="1495" spans="1:5">
      <c r="A1495" t="s">
        <v>35383</v>
      </c>
      <c r="B1495" t="s">
        <v>480</v>
      </c>
      <c r="C1495">
        <v>0.61434821120700001</v>
      </c>
      <c r="D1495">
        <v>0.99358796866400001</v>
      </c>
      <c r="E1495">
        <v>0.15</v>
      </c>
    </row>
    <row r="1496" spans="1:5">
      <c r="A1496" t="s">
        <v>35383</v>
      </c>
      <c r="B1496" t="s">
        <v>478</v>
      </c>
      <c r="C1496">
        <f>0.107597863687</f>
        <v>0.107597863687</v>
      </c>
      <c r="D1496">
        <v>0.99358796866400001</v>
      </c>
      <c r="E1496">
        <v>0.15</v>
      </c>
    </row>
    <row r="1497" spans="1:5">
      <c r="A1497" t="s">
        <v>35383</v>
      </c>
      <c r="B1497" t="s">
        <v>485</v>
      </c>
      <c r="C1497">
        <f>0.0270536191157</f>
        <v>2.7053619115699999E-2</v>
      </c>
      <c r="D1497">
        <v>0.99358796866400001</v>
      </c>
      <c r="E1497">
        <v>0.15</v>
      </c>
    </row>
    <row r="1498" spans="1:5">
      <c r="A1498" t="s">
        <v>35384</v>
      </c>
      <c r="B1498" t="s">
        <v>4305</v>
      </c>
      <c r="C1498">
        <f>0.116563563737</f>
        <v>0.116563563737</v>
      </c>
      <c r="D1498">
        <v>0.92609136736800002</v>
      </c>
      <c r="E1498">
        <v>16.698</v>
      </c>
    </row>
    <row r="1499" spans="1:5">
      <c r="A1499" t="s">
        <v>35384</v>
      </c>
      <c r="B1499" t="s">
        <v>4306</v>
      </c>
      <c r="C1499">
        <v>0.57310731440200002</v>
      </c>
      <c r="D1499">
        <v>0.92609136736800002</v>
      </c>
      <c r="E1499">
        <v>16.698</v>
      </c>
    </row>
    <row r="1500" spans="1:5">
      <c r="A1500" t="s">
        <v>35384</v>
      </c>
      <c r="B1500" t="s">
        <v>4308</v>
      </c>
      <c r="C1500">
        <f>-1.14536001264</f>
        <v>-1.1453600126400001</v>
      </c>
      <c r="D1500">
        <v>0.92609136736800002</v>
      </c>
      <c r="E1500">
        <v>16.698</v>
      </c>
    </row>
    <row r="1501" spans="1:5">
      <c r="A1501" t="s">
        <v>35385</v>
      </c>
      <c r="B1501" t="s">
        <v>32873</v>
      </c>
      <c r="C1501">
        <f>0</f>
        <v>0</v>
      </c>
      <c r="D1501" t="s">
        <v>106</v>
      </c>
      <c r="E1501">
        <v>24</v>
      </c>
    </row>
    <row r="1502" spans="1:5">
      <c r="A1502" t="s">
        <v>35385</v>
      </c>
      <c r="B1502" t="s">
        <v>32875</v>
      </c>
      <c r="C1502">
        <f>0</f>
        <v>0</v>
      </c>
      <c r="D1502" t="s">
        <v>106</v>
      </c>
      <c r="E1502">
        <v>24</v>
      </c>
    </row>
    <row r="1503" spans="1:5">
      <c r="A1503" t="s">
        <v>35385</v>
      </c>
      <c r="B1503" t="s">
        <v>32874</v>
      </c>
      <c r="C1503">
        <f>0</f>
        <v>0</v>
      </c>
      <c r="D1503" t="s">
        <v>106</v>
      </c>
      <c r="E1503">
        <v>24</v>
      </c>
    </row>
    <row r="1504" spans="1:5">
      <c r="A1504" t="s">
        <v>35386</v>
      </c>
      <c r="B1504" t="s">
        <v>35387</v>
      </c>
      <c r="C1504">
        <v>0.526356463966</v>
      </c>
      <c r="D1504">
        <v>0.756766463966</v>
      </c>
      <c r="E1504">
        <v>2.0339999999999998</v>
      </c>
    </row>
    <row r="1505" spans="1:5">
      <c r="A1505" t="s">
        <v>35386</v>
      </c>
      <c r="B1505" t="s">
        <v>35388</v>
      </c>
      <c r="C1505">
        <v>0</v>
      </c>
      <c r="D1505">
        <v>0.756766463966</v>
      </c>
      <c r="E1505">
        <v>2.0339999999999998</v>
      </c>
    </row>
    <row r="1506" spans="1:5">
      <c r="A1506" t="s">
        <v>35386</v>
      </c>
      <c r="B1506" t="s">
        <v>35389</v>
      </c>
      <c r="C1506">
        <v>0</v>
      </c>
      <c r="D1506">
        <v>0.756766463966</v>
      </c>
      <c r="E1506">
        <v>2.0339999999999998</v>
      </c>
    </row>
    <row r="1507" spans="1:5">
      <c r="A1507" t="s">
        <v>35390</v>
      </c>
      <c r="B1507" t="s">
        <v>27109</v>
      </c>
      <c r="C1507">
        <v>0.39662467757199998</v>
      </c>
      <c r="D1507">
        <v>0.95979455152399995</v>
      </c>
      <c r="E1507">
        <v>6.18</v>
      </c>
    </row>
    <row r="1508" spans="1:5">
      <c r="A1508" t="s">
        <v>35390</v>
      </c>
      <c r="B1508" t="s">
        <v>27107</v>
      </c>
      <c r="C1508">
        <v>0.36540342007100002</v>
      </c>
      <c r="D1508">
        <v>0.95979455152399995</v>
      </c>
      <c r="E1508">
        <v>6.18</v>
      </c>
    </row>
    <row r="1509" spans="1:5">
      <c r="A1509" t="s">
        <v>35390</v>
      </c>
      <c r="B1509" t="s">
        <v>27113</v>
      </c>
      <c r="C1509">
        <v>0.34407345683099999</v>
      </c>
      <c r="D1509">
        <v>0.95979455152399995</v>
      </c>
      <c r="E1509">
        <v>6.18</v>
      </c>
    </row>
    <row r="1510" spans="1:5">
      <c r="A1510" t="s">
        <v>35390</v>
      </c>
      <c r="B1510" t="s">
        <v>27112</v>
      </c>
      <c r="C1510">
        <v>0</v>
      </c>
      <c r="D1510">
        <v>0.95979455152399995</v>
      </c>
      <c r="E1510">
        <v>6.18</v>
      </c>
    </row>
    <row r="1511" spans="1:5">
      <c r="A1511" t="s">
        <v>35391</v>
      </c>
      <c r="B1511" t="s">
        <v>7242</v>
      </c>
      <c r="C1511">
        <v>0</v>
      </c>
      <c r="D1511">
        <v>0.94645521983000003</v>
      </c>
      <c r="E1511">
        <v>5.9340000000000002</v>
      </c>
    </row>
    <row r="1512" spans="1:5">
      <c r="A1512" t="s">
        <v>35391</v>
      </c>
      <c r="B1512" t="s">
        <v>7253</v>
      </c>
      <c r="C1512">
        <f>0</f>
        <v>0</v>
      </c>
      <c r="D1512">
        <v>0.94645521983000003</v>
      </c>
      <c r="E1512">
        <v>5.9340000000000002</v>
      </c>
    </row>
    <row r="1513" spans="1:5">
      <c r="A1513" t="s">
        <v>35391</v>
      </c>
      <c r="B1513" t="s">
        <v>7247</v>
      </c>
      <c r="C1513">
        <v>5.4885642137999999E-2</v>
      </c>
      <c r="D1513">
        <v>0.94645521983000003</v>
      </c>
      <c r="E1513">
        <v>5.9340000000000002</v>
      </c>
    </row>
    <row r="1514" spans="1:5">
      <c r="A1514" t="s">
        <v>35391</v>
      </c>
      <c r="B1514" t="s">
        <v>7273</v>
      </c>
      <c r="C1514">
        <v>0</v>
      </c>
      <c r="D1514">
        <v>0.94645521983000003</v>
      </c>
      <c r="E1514">
        <v>5.9340000000000002</v>
      </c>
    </row>
    <row r="1515" spans="1:5">
      <c r="A1515" t="s">
        <v>35391</v>
      </c>
      <c r="B1515" t="s">
        <v>7248</v>
      </c>
      <c r="C1515">
        <v>0</v>
      </c>
      <c r="D1515">
        <v>0.94645521983000003</v>
      </c>
      <c r="E1515">
        <v>5.9340000000000002</v>
      </c>
    </row>
    <row r="1516" spans="1:5">
      <c r="A1516" t="s">
        <v>35391</v>
      </c>
      <c r="B1516" t="s">
        <v>7276</v>
      </c>
      <c r="C1516">
        <v>0</v>
      </c>
      <c r="D1516">
        <v>0.94645521983000003</v>
      </c>
      <c r="E1516">
        <v>5.9340000000000002</v>
      </c>
    </row>
    <row r="1517" spans="1:5">
      <c r="A1517" t="s">
        <v>35391</v>
      </c>
      <c r="B1517" t="s">
        <v>7249</v>
      </c>
      <c r="C1517">
        <v>0.42446616474600002</v>
      </c>
      <c r="D1517">
        <v>0.94645521983000003</v>
      </c>
      <c r="E1517">
        <v>5.9340000000000002</v>
      </c>
    </row>
    <row r="1518" spans="1:5">
      <c r="A1518" t="s">
        <v>35391</v>
      </c>
      <c r="B1518" t="s">
        <v>7258</v>
      </c>
      <c r="C1518">
        <v>0</v>
      </c>
      <c r="D1518">
        <v>0.94645521983000003</v>
      </c>
      <c r="E1518">
        <v>5.9340000000000002</v>
      </c>
    </row>
    <row r="1519" spans="1:5">
      <c r="A1519" t="s">
        <v>35391</v>
      </c>
      <c r="B1519" t="s">
        <v>7269</v>
      </c>
      <c r="C1519">
        <v>0</v>
      </c>
      <c r="D1519">
        <v>0.94645521983000003</v>
      </c>
      <c r="E1519">
        <v>5.9340000000000002</v>
      </c>
    </row>
    <row r="1520" spans="1:5">
      <c r="A1520" t="s">
        <v>35391</v>
      </c>
      <c r="B1520" t="s">
        <v>7279</v>
      </c>
      <c r="C1520">
        <v>0</v>
      </c>
      <c r="D1520">
        <v>0.94645521983000003</v>
      </c>
      <c r="E1520">
        <v>5.9340000000000002</v>
      </c>
    </row>
    <row r="1521" spans="1:5">
      <c r="A1521" t="s">
        <v>35391</v>
      </c>
      <c r="B1521" t="s">
        <v>7267</v>
      </c>
      <c r="C1521">
        <v>5.33879009956E-2</v>
      </c>
      <c r="D1521">
        <v>0.94645521983000003</v>
      </c>
      <c r="E1521">
        <v>5.9340000000000002</v>
      </c>
    </row>
    <row r="1522" spans="1:5">
      <c r="A1522" t="s">
        <v>35391</v>
      </c>
      <c r="B1522" t="s">
        <v>7256</v>
      </c>
      <c r="C1522">
        <v>0</v>
      </c>
      <c r="D1522">
        <v>0.94645521983000003</v>
      </c>
      <c r="E1522">
        <v>5.9340000000000002</v>
      </c>
    </row>
    <row r="1523" spans="1:5">
      <c r="A1523" t="s">
        <v>35391</v>
      </c>
      <c r="B1523" t="s">
        <v>7246</v>
      </c>
      <c r="C1523">
        <v>0</v>
      </c>
      <c r="D1523">
        <v>0.94645521983000003</v>
      </c>
      <c r="E1523">
        <v>5.9340000000000002</v>
      </c>
    </row>
    <row r="1524" spans="1:5">
      <c r="A1524" t="s">
        <v>35391</v>
      </c>
      <c r="B1524" t="s">
        <v>7259</v>
      </c>
      <c r="C1524">
        <v>0</v>
      </c>
      <c r="D1524">
        <v>0.94645521983000003</v>
      </c>
      <c r="E1524">
        <v>5.9340000000000002</v>
      </c>
    </row>
    <row r="1525" spans="1:5">
      <c r="A1525" t="s">
        <v>35391</v>
      </c>
      <c r="B1525" t="s">
        <v>7268</v>
      </c>
      <c r="C1525">
        <v>0</v>
      </c>
      <c r="D1525">
        <v>0.94645521983000003</v>
      </c>
      <c r="E1525">
        <v>5.9340000000000002</v>
      </c>
    </row>
    <row r="1526" spans="1:5">
      <c r="A1526" t="s">
        <v>35391</v>
      </c>
      <c r="B1526" t="s">
        <v>7250</v>
      </c>
      <c r="C1526">
        <f>0</f>
        <v>0</v>
      </c>
      <c r="D1526">
        <v>0.94645521983000003</v>
      </c>
      <c r="E1526">
        <v>5.9340000000000002</v>
      </c>
    </row>
    <row r="1527" spans="1:5">
      <c r="A1527" t="s">
        <v>35391</v>
      </c>
      <c r="B1527" t="s">
        <v>7275</v>
      </c>
      <c r="C1527">
        <v>0</v>
      </c>
      <c r="D1527">
        <v>0.94645521983000003</v>
      </c>
      <c r="E1527">
        <v>5.9340000000000002</v>
      </c>
    </row>
    <row r="1528" spans="1:5">
      <c r="A1528" t="s">
        <v>35391</v>
      </c>
      <c r="B1528" t="s">
        <v>7270</v>
      </c>
      <c r="C1528">
        <v>0</v>
      </c>
      <c r="D1528">
        <v>0.94645521983000003</v>
      </c>
      <c r="E1528">
        <v>5.9340000000000002</v>
      </c>
    </row>
    <row r="1529" spans="1:5">
      <c r="A1529" t="s">
        <v>35391</v>
      </c>
      <c r="B1529" t="s">
        <v>7261</v>
      </c>
      <c r="C1529">
        <v>0.36980820145999999</v>
      </c>
      <c r="D1529">
        <v>0.94645521983000003</v>
      </c>
      <c r="E1529">
        <v>5.9340000000000002</v>
      </c>
    </row>
    <row r="1530" spans="1:5">
      <c r="A1530" t="s">
        <v>35391</v>
      </c>
      <c r="B1530" t="s">
        <v>7272</v>
      </c>
      <c r="C1530">
        <v>0</v>
      </c>
      <c r="D1530">
        <v>0.94645521983000003</v>
      </c>
      <c r="E1530">
        <v>5.9340000000000002</v>
      </c>
    </row>
    <row r="1531" spans="1:5">
      <c r="A1531" t="s">
        <v>35391</v>
      </c>
      <c r="B1531" t="s">
        <v>7265</v>
      </c>
      <c r="C1531">
        <v>0</v>
      </c>
      <c r="D1531">
        <v>0.94645521983000003</v>
      </c>
      <c r="E1531">
        <v>5.9340000000000002</v>
      </c>
    </row>
    <row r="1532" spans="1:5">
      <c r="A1532" t="s">
        <v>35391</v>
      </c>
      <c r="B1532" t="s">
        <v>35392</v>
      </c>
      <c r="C1532">
        <v>0</v>
      </c>
      <c r="D1532">
        <v>0.94645521983000003</v>
      </c>
      <c r="E1532">
        <v>5.9340000000000002</v>
      </c>
    </row>
    <row r="1533" spans="1:5">
      <c r="A1533" t="s">
        <v>35391</v>
      </c>
      <c r="B1533" t="s">
        <v>7254</v>
      </c>
      <c r="C1533">
        <v>0</v>
      </c>
      <c r="D1533">
        <v>0.94645521983000003</v>
      </c>
      <c r="E1533">
        <v>5.9340000000000002</v>
      </c>
    </row>
    <row r="1534" spans="1:5">
      <c r="A1534" t="s">
        <v>35393</v>
      </c>
      <c r="B1534" t="s">
        <v>21615</v>
      </c>
      <c r="C1534">
        <v>0</v>
      </c>
      <c r="D1534">
        <v>0.94730128412400005</v>
      </c>
      <c r="E1534">
        <v>4.6920000000000002</v>
      </c>
    </row>
    <row r="1535" spans="1:5">
      <c r="A1535" t="s">
        <v>35393</v>
      </c>
      <c r="B1535" t="s">
        <v>21621</v>
      </c>
      <c r="C1535">
        <f>0</f>
        <v>0</v>
      </c>
      <c r="D1535">
        <v>0.94730128412400005</v>
      </c>
      <c r="E1535">
        <v>4.6920000000000002</v>
      </c>
    </row>
    <row r="1536" spans="1:5">
      <c r="A1536" t="s">
        <v>35393</v>
      </c>
      <c r="B1536" t="s">
        <v>21620</v>
      </c>
      <c r="C1536">
        <v>0.13677960353499999</v>
      </c>
      <c r="D1536">
        <v>0.94730128412400005</v>
      </c>
      <c r="E1536">
        <v>4.6920000000000002</v>
      </c>
    </row>
    <row r="1537" spans="1:5">
      <c r="A1537" t="s">
        <v>35393</v>
      </c>
      <c r="B1537" t="s">
        <v>21613</v>
      </c>
      <c r="C1537">
        <v>0</v>
      </c>
      <c r="D1537">
        <v>0.94730128412400005</v>
      </c>
      <c r="E1537">
        <v>4.6920000000000002</v>
      </c>
    </row>
    <row r="1538" spans="1:5">
      <c r="A1538" t="s">
        <v>35393</v>
      </c>
      <c r="B1538" t="s">
        <v>21619</v>
      </c>
      <c r="C1538">
        <f>0</f>
        <v>0</v>
      </c>
      <c r="D1538">
        <v>0.94730128412400005</v>
      </c>
      <c r="E1538">
        <v>4.6920000000000002</v>
      </c>
    </row>
    <row r="1539" spans="1:5">
      <c r="A1539" t="s">
        <v>35393</v>
      </c>
      <c r="B1539" t="s">
        <v>21618</v>
      </c>
      <c r="C1539">
        <f>0</f>
        <v>0</v>
      </c>
      <c r="D1539">
        <v>0.94730128412400005</v>
      </c>
      <c r="E1539">
        <v>4.6920000000000002</v>
      </c>
    </row>
    <row r="1540" spans="1:5">
      <c r="A1540" t="s">
        <v>35393</v>
      </c>
      <c r="B1540" t="s">
        <v>21614</v>
      </c>
      <c r="C1540">
        <v>0.76935189779099999</v>
      </c>
      <c r="D1540">
        <v>0.94730128412400005</v>
      </c>
      <c r="E1540">
        <v>4.6920000000000002</v>
      </c>
    </row>
    <row r="1541" spans="1:5">
      <c r="A1541" t="s">
        <v>35393</v>
      </c>
      <c r="B1541" t="s">
        <v>21617</v>
      </c>
      <c r="C1541">
        <v>0</v>
      </c>
      <c r="D1541">
        <v>0.94730128412400005</v>
      </c>
      <c r="E1541">
        <v>4.6920000000000002</v>
      </c>
    </row>
    <row r="1542" spans="1:5">
      <c r="A1542" t="s">
        <v>35394</v>
      </c>
      <c r="B1542" t="s">
        <v>16099</v>
      </c>
      <c r="C1542">
        <v>0</v>
      </c>
      <c r="D1542">
        <v>0.99989382756</v>
      </c>
      <c r="E1542">
        <v>5.9340000000000002</v>
      </c>
    </row>
    <row r="1543" spans="1:5">
      <c r="A1543" t="s">
        <v>35394</v>
      </c>
      <c r="B1543" t="s">
        <v>16098</v>
      </c>
      <c r="C1543">
        <f>0.180588772496</f>
        <v>0.180588772496</v>
      </c>
      <c r="D1543">
        <v>0.99989382756</v>
      </c>
      <c r="E1543">
        <v>5.9340000000000002</v>
      </c>
    </row>
    <row r="1544" spans="1:5">
      <c r="A1544" t="s">
        <v>35394</v>
      </c>
      <c r="B1544" t="s">
        <v>16101</v>
      </c>
      <c r="C1544">
        <v>0.13575752344100001</v>
      </c>
      <c r="D1544">
        <v>0.99989382756</v>
      </c>
      <c r="E1544">
        <v>5.9340000000000002</v>
      </c>
    </row>
    <row r="1545" spans="1:5">
      <c r="A1545" t="s">
        <v>35394</v>
      </c>
      <c r="B1545" t="s">
        <v>16108</v>
      </c>
      <c r="C1545">
        <v>1.1045470129799999</v>
      </c>
      <c r="D1545">
        <v>0.99989382756</v>
      </c>
      <c r="E1545">
        <v>5.9340000000000002</v>
      </c>
    </row>
    <row r="1546" spans="1:5">
      <c r="A1546" t="s">
        <v>35394</v>
      </c>
      <c r="B1546" t="s">
        <v>16104</v>
      </c>
      <c r="C1546">
        <v>0.103299337794</v>
      </c>
      <c r="D1546">
        <v>0.99989382756</v>
      </c>
      <c r="E1546">
        <v>5.9340000000000002</v>
      </c>
    </row>
    <row r="1547" spans="1:5">
      <c r="A1547" t="s">
        <v>35394</v>
      </c>
      <c r="B1547" t="s">
        <v>16103</v>
      </c>
      <c r="C1547">
        <v>4.6292854871299999E-3</v>
      </c>
      <c r="D1547">
        <v>0.99989382756</v>
      </c>
      <c r="E1547">
        <v>5.9340000000000002</v>
      </c>
    </row>
    <row r="1548" spans="1:5">
      <c r="A1548" t="s">
        <v>35394</v>
      </c>
      <c r="B1548" t="s">
        <v>16105</v>
      </c>
      <c r="C1548">
        <f>0.154269713719</f>
        <v>0.154269713719</v>
      </c>
      <c r="D1548">
        <v>0.99989382756</v>
      </c>
      <c r="E1548">
        <v>5.9340000000000002</v>
      </c>
    </row>
    <row r="1549" spans="1:5">
      <c r="A1549" t="s">
        <v>35394</v>
      </c>
      <c r="B1549" t="s">
        <v>16109</v>
      </c>
      <c r="C1549">
        <v>0.593647166517</v>
      </c>
      <c r="D1549">
        <v>0.99989382756</v>
      </c>
      <c r="E1549">
        <v>5.9340000000000002</v>
      </c>
    </row>
    <row r="1550" spans="1:5">
      <c r="A1550" t="s">
        <v>35394</v>
      </c>
      <c r="B1550" t="s">
        <v>16102</v>
      </c>
      <c r="C1550">
        <f>0</f>
        <v>0</v>
      </c>
      <c r="D1550">
        <v>0.99989382756</v>
      </c>
      <c r="E1550">
        <v>5.9340000000000002</v>
      </c>
    </row>
    <row r="1551" spans="1:5">
      <c r="A1551" t="s">
        <v>35395</v>
      </c>
      <c r="B1551" t="s">
        <v>35396</v>
      </c>
      <c r="C1551">
        <v>0.60610163885099999</v>
      </c>
      <c r="D1551">
        <v>0.68237996564000003</v>
      </c>
      <c r="E1551">
        <v>0</v>
      </c>
    </row>
    <row r="1552" spans="1:5">
      <c r="A1552" t="s">
        <v>35395</v>
      </c>
      <c r="B1552" t="s">
        <v>35397</v>
      </c>
      <c r="C1552">
        <f>0.0555174068281</f>
        <v>5.5517406828099997E-2</v>
      </c>
      <c r="D1552">
        <v>0.68237996564000003</v>
      </c>
      <c r="E1552">
        <v>0</v>
      </c>
    </row>
    <row r="1553" spans="1:5">
      <c r="A1553" t="s">
        <v>35398</v>
      </c>
      <c r="B1553" t="s">
        <v>15642</v>
      </c>
      <c r="C1553">
        <v>0</v>
      </c>
      <c r="D1553" t="s">
        <v>106</v>
      </c>
      <c r="E1553">
        <v>3.5999999999999997E-2</v>
      </c>
    </row>
    <row r="1554" spans="1:5">
      <c r="A1554" t="s">
        <v>35398</v>
      </c>
      <c r="B1554" t="s">
        <v>15646</v>
      </c>
      <c r="C1554">
        <v>0</v>
      </c>
      <c r="D1554" t="s">
        <v>106</v>
      </c>
      <c r="E1554">
        <v>3.5999999999999997E-2</v>
      </c>
    </row>
    <row r="1555" spans="1:5">
      <c r="A1555" t="s">
        <v>35399</v>
      </c>
      <c r="B1555" t="s">
        <v>3491</v>
      </c>
      <c r="C1555">
        <f>0.724648906353</f>
        <v>0.72464890635300006</v>
      </c>
      <c r="D1555">
        <v>0.94688460014499998</v>
      </c>
      <c r="E1555">
        <v>21.648</v>
      </c>
    </row>
    <row r="1556" spans="1:5">
      <c r="A1556" t="s">
        <v>35399</v>
      </c>
      <c r="B1556" t="s">
        <v>3493</v>
      </c>
      <c r="C1556">
        <f>0</f>
        <v>0</v>
      </c>
      <c r="D1556">
        <v>0.94688460014499998</v>
      </c>
      <c r="E1556">
        <v>21.648</v>
      </c>
    </row>
    <row r="1557" spans="1:5">
      <c r="A1557" t="s">
        <v>35399</v>
      </c>
      <c r="B1557" t="s">
        <v>3492</v>
      </c>
      <c r="C1557">
        <f>0</f>
        <v>0</v>
      </c>
      <c r="D1557">
        <v>0.94688460014499998</v>
      </c>
      <c r="E1557">
        <v>21.648</v>
      </c>
    </row>
    <row r="1558" spans="1:5">
      <c r="A1558" t="s">
        <v>35399</v>
      </c>
      <c r="B1558" t="s">
        <v>3494</v>
      </c>
      <c r="C1558">
        <f>0</f>
        <v>0</v>
      </c>
      <c r="D1558">
        <v>0.94688460014499998</v>
      </c>
      <c r="E1558">
        <v>21.648</v>
      </c>
    </row>
    <row r="1559" spans="1:5">
      <c r="A1559" t="s">
        <v>35399</v>
      </c>
      <c r="B1559" t="s">
        <v>3495</v>
      </c>
      <c r="C1559">
        <v>0.21240112350599999</v>
      </c>
      <c r="D1559">
        <v>0.94688460014499998</v>
      </c>
      <c r="E1559">
        <v>21.648</v>
      </c>
    </row>
    <row r="1560" spans="1:5">
      <c r="A1560" t="s">
        <v>35400</v>
      </c>
      <c r="B1560" t="s">
        <v>25892</v>
      </c>
      <c r="C1560">
        <v>0.58132837870700005</v>
      </c>
      <c r="D1560">
        <v>0.86170465850599998</v>
      </c>
      <c r="E1560">
        <v>12.048</v>
      </c>
    </row>
    <row r="1561" spans="1:5">
      <c r="A1561" t="s">
        <v>35400</v>
      </c>
      <c r="B1561" t="s">
        <v>25895</v>
      </c>
      <c r="C1561">
        <f>0</f>
        <v>0</v>
      </c>
      <c r="D1561">
        <v>0.86170465850599998</v>
      </c>
      <c r="E1561">
        <v>12.048</v>
      </c>
    </row>
    <row r="1562" spans="1:5">
      <c r="A1562" t="s">
        <v>35400</v>
      </c>
      <c r="B1562" t="s">
        <v>25893</v>
      </c>
      <c r="C1562">
        <v>0.85255831321800002</v>
      </c>
      <c r="D1562">
        <v>0.86170465850599998</v>
      </c>
      <c r="E1562">
        <v>12.048</v>
      </c>
    </row>
    <row r="1563" spans="1:5">
      <c r="A1563" t="s">
        <v>35400</v>
      </c>
      <c r="B1563" t="s">
        <v>25896</v>
      </c>
      <c r="C1563">
        <f>0.0281961722267</f>
        <v>2.8196172226700001E-2</v>
      </c>
      <c r="D1563">
        <v>0.86170465850599998</v>
      </c>
      <c r="E1563">
        <v>12.048</v>
      </c>
    </row>
    <row r="1564" spans="1:5">
      <c r="A1564" t="s">
        <v>35401</v>
      </c>
      <c r="B1564" t="s">
        <v>22792</v>
      </c>
      <c r="C1564">
        <v>0.86183277866100005</v>
      </c>
      <c r="D1564">
        <v>0.97694732706499998</v>
      </c>
      <c r="E1564">
        <v>1.224</v>
      </c>
    </row>
    <row r="1565" spans="1:5">
      <c r="A1565" t="s">
        <v>35401</v>
      </c>
      <c r="B1565" t="s">
        <v>22795</v>
      </c>
      <c r="C1565">
        <v>0.22457651843400001</v>
      </c>
      <c r="D1565">
        <v>0.97694732706499998</v>
      </c>
      <c r="E1565">
        <v>1.224</v>
      </c>
    </row>
    <row r="1566" spans="1:5">
      <c r="A1566" t="s">
        <v>35402</v>
      </c>
      <c r="B1566" t="s">
        <v>9568</v>
      </c>
      <c r="C1566">
        <v>0.22252761382299999</v>
      </c>
      <c r="D1566">
        <v>0.79703493346499998</v>
      </c>
      <c r="E1566">
        <v>24</v>
      </c>
    </row>
    <row r="1567" spans="1:5">
      <c r="A1567" t="s">
        <v>35402</v>
      </c>
      <c r="B1567" t="s">
        <v>9572</v>
      </c>
      <c r="C1567">
        <f>0.528155193403</f>
        <v>0.52815519340299999</v>
      </c>
      <c r="D1567">
        <v>0.79703493346499998</v>
      </c>
      <c r="E1567">
        <v>24</v>
      </c>
    </row>
    <row r="1568" spans="1:5">
      <c r="A1568" t="s">
        <v>35402</v>
      </c>
      <c r="B1568" t="s">
        <v>9573</v>
      </c>
      <c r="C1568">
        <v>0.11963464988399999</v>
      </c>
      <c r="D1568">
        <v>0.79703493346499998</v>
      </c>
      <c r="E1568">
        <v>24</v>
      </c>
    </row>
    <row r="1569" spans="1:5">
      <c r="A1569" t="s">
        <v>35402</v>
      </c>
      <c r="B1569" t="s">
        <v>9570</v>
      </c>
      <c r="C1569">
        <f>0.266747987408</f>
        <v>0.26674798740799999</v>
      </c>
      <c r="D1569">
        <v>0.79703493346499998</v>
      </c>
      <c r="E1569">
        <v>24</v>
      </c>
    </row>
    <row r="1570" spans="1:5">
      <c r="A1570" t="s">
        <v>35403</v>
      </c>
      <c r="B1570" t="s">
        <v>35404</v>
      </c>
      <c r="C1570">
        <f>0</f>
        <v>0</v>
      </c>
      <c r="D1570">
        <v>0.78460749845099997</v>
      </c>
      <c r="E1570">
        <v>23.754000000000001</v>
      </c>
    </row>
    <row r="1571" spans="1:5">
      <c r="A1571" t="s">
        <v>35403</v>
      </c>
      <c r="B1571" t="s">
        <v>35405</v>
      </c>
      <c r="C1571">
        <f>0</f>
        <v>0</v>
      </c>
      <c r="D1571">
        <v>0.78460749845099997</v>
      </c>
      <c r="E1571">
        <v>23.754000000000001</v>
      </c>
    </row>
    <row r="1572" spans="1:5">
      <c r="A1572" t="s">
        <v>35403</v>
      </c>
      <c r="B1572" t="s">
        <v>35406</v>
      </c>
      <c r="C1572">
        <f>0.514197498451</f>
        <v>0.51419749845100005</v>
      </c>
      <c r="D1572">
        <v>0.78460749845099997</v>
      </c>
      <c r="E1572">
        <v>23.754000000000001</v>
      </c>
    </row>
    <row r="1573" spans="1:5">
      <c r="A1573" t="s">
        <v>35407</v>
      </c>
      <c r="B1573" t="s">
        <v>33961</v>
      </c>
      <c r="C1573">
        <f>0</f>
        <v>0</v>
      </c>
      <c r="D1573">
        <v>0.62555417844600003</v>
      </c>
      <c r="E1573">
        <v>0</v>
      </c>
    </row>
    <row r="1574" spans="1:5">
      <c r="A1574" t="s">
        <v>35407</v>
      </c>
      <c r="B1574" t="s">
        <v>33964</v>
      </c>
      <c r="C1574">
        <f>0.465544178446</f>
        <v>0.46554417844599999</v>
      </c>
      <c r="D1574">
        <v>0.62555417844600003</v>
      </c>
      <c r="E1574">
        <v>0</v>
      </c>
    </row>
    <row r="1575" spans="1:5">
      <c r="A1575" t="s">
        <v>35408</v>
      </c>
      <c r="B1575" t="s">
        <v>28044</v>
      </c>
      <c r="C1575">
        <f>0</f>
        <v>0</v>
      </c>
      <c r="D1575">
        <v>0.99213525884800002</v>
      </c>
      <c r="E1575">
        <v>5.82</v>
      </c>
    </row>
    <row r="1576" spans="1:5">
      <c r="A1576" t="s">
        <v>35408</v>
      </c>
      <c r="B1576" t="s">
        <v>28039</v>
      </c>
      <c r="C1576">
        <v>0</v>
      </c>
      <c r="D1576">
        <v>0.99213525884800002</v>
      </c>
      <c r="E1576">
        <v>5.82</v>
      </c>
    </row>
    <row r="1577" spans="1:5">
      <c r="A1577" t="s">
        <v>35408</v>
      </c>
      <c r="B1577" t="s">
        <v>28036</v>
      </c>
      <c r="C1577">
        <v>0</v>
      </c>
      <c r="D1577">
        <v>0.99213525884800002</v>
      </c>
      <c r="E1577">
        <v>5.82</v>
      </c>
    </row>
    <row r="1578" spans="1:5">
      <c r="A1578" t="s">
        <v>35408</v>
      </c>
      <c r="B1578" t="s">
        <v>28051</v>
      </c>
      <c r="C1578">
        <f>0</f>
        <v>0</v>
      </c>
      <c r="D1578">
        <v>0.99213525884800002</v>
      </c>
      <c r="E1578">
        <v>5.82</v>
      </c>
    </row>
    <row r="1579" spans="1:5">
      <c r="A1579" t="s">
        <v>35408</v>
      </c>
      <c r="B1579" t="s">
        <v>28048</v>
      </c>
      <c r="C1579">
        <f>0.291796528834</f>
        <v>0.29179652883399998</v>
      </c>
      <c r="D1579">
        <v>0.99213525884800002</v>
      </c>
      <c r="E1579">
        <v>5.82</v>
      </c>
    </row>
    <row r="1580" spans="1:5">
      <c r="A1580" t="s">
        <v>35408</v>
      </c>
      <c r="B1580" t="s">
        <v>28050</v>
      </c>
      <c r="C1580">
        <f>0</f>
        <v>0</v>
      </c>
      <c r="D1580">
        <v>0.99213525884800002</v>
      </c>
      <c r="E1580">
        <v>5.82</v>
      </c>
    </row>
    <row r="1581" spans="1:5">
      <c r="A1581" t="s">
        <v>35408</v>
      </c>
      <c r="B1581" t="s">
        <v>28043</v>
      </c>
      <c r="C1581">
        <v>0.294741808434</v>
      </c>
      <c r="D1581">
        <v>0.99213525884800002</v>
      </c>
      <c r="E1581">
        <v>5.82</v>
      </c>
    </row>
    <row r="1582" spans="1:5">
      <c r="A1582" t="s">
        <v>35408</v>
      </c>
      <c r="B1582" t="s">
        <v>28047</v>
      </c>
      <c r="C1582">
        <v>9.7991456827900003E-2</v>
      </c>
      <c r="D1582">
        <v>0.99213525884800002</v>
      </c>
      <c r="E1582">
        <v>5.82</v>
      </c>
    </row>
    <row r="1583" spans="1:5">
      <c r="A1583" t="s">
        <v>35408</v>
      </c>
      <c r="B1583" t="s">
        <v>28046</v>
      </c>
      <c r="C1583">
        <f>0</f>
        <v>0</v>
      </c>
      <c r="D1583">
        <v>0.99213525884800002</v>
      </c>
      <c r="E1583">
        <v>5.82</v>
      </c>
    </row>
    <row r="1584" spans="1:5">
      <c r="A1584" t="s">
        <v>35408</v>
      </c>
      <c r="B1584" t="s">
        <v>28045</v>
      </c>
      <c r="C1584">
        <f>0.784115903194</f>
        <v>0.78411590319400004</v>
      </c>
      <c r="D1584">
        <v>0.99213525884800002</v>
      </c>
      <c r="E1584">
        <v>5.82</v>
      </c>
    </row>
    <row r="1585" spans="1:5">
      <c r="A1585" t="s">
        <v>35408</v>
      </c>
      <c r="B1585" t="s">
        <v>28055</v>
      </c>
      <c r="C1585">
        <f>0</f>
        <v>0</v>
      </c>
      <c r="D1585">
        <v>0.99213525884800002</v>
      </c>
      <c r="E1585">
        <v>5.82</v>
      </c>
    </row>
    <row r="1586" spans="1:5">
      <c r="A1586" t="s">
        <v>35409</v>
      </c>
      <c r="B1586" t="s">
        <v>35410</v>
      </c>
      <c r="C1586">
        <f>0</f>
        <v>0</v>
      </c>
      <c r="D1586">
        <v>0.84069431474800005</v>
      </c>
      <c r="E1586">
        <v>4.9080000000000004</v>
      </c>
    </row>
    <row r="1587" spans="1:5">
      <c r="A1587" t="s">
        <v>35409</v>
      </c>
      <c r="B1587" t="s">
        <v>35411</v>
      </c>
      <c r="C1587">
        <v>0.55696373738600002</v>
      </c>
      <c r="D1587">
        <v>0.84069431474800005</v>
      </c>
      <c r="E1587">
        <v>4.9080000000000004</v>
      </c>
    </row>
    <row r="1588" spans="1:5">
      <c r="A1588" t="s">
        <v>35409</v>
      </c>
      <c r="B1588" t="s">
        <v>35412</v>
      </c>
      <c r="C1588">
        <f>0.251332624379</f>
        <v>0.251332624379</v>
      </c>
      <c r="D1588">
        <v>0.84069431474800005</v>
      </c>
      <c r="E1588">
        <v>4.9080000000000004</v>
      </c>
    </row>
    <row r="1589" spans="1:5">
      <c r="A1589" t="s">
        <v>35409</v>
      </c>
      <c r="B1589" t="s">
        <v>35413</v>
      </c>
      <c r="C1589">
        <f>0</f>
        <v>0</v>
      </c>
      <c r="D1589">
        <v>0.84069431474800005</v>
      </c>
      <c r="E1589">
        <v>4.9080000000000004</v>
      </c>
    </row>
    <row r="1590" spans="1:5">
      <c r="A1590" t="s">
        <v>35409</v>
      </c>
      <c r="B1590" t="s">
        <v>35414</v>
      </c>
      <c r="C1590">
        <f>0</f>
        <v>0</v>
      </c>
      <c r="D1590">
        <v>0.84069431474800005</v>
      </c>
      <c r="E1590">
        <v>4.9080000000000004</v>
      </c>
    </row>
    <row r="1591" spans="1:5">
      <c r="A1591" t="s">
        <v>35415</v>
      </c>
      <c r="B1591" t="s">
        <v>5904</v>
      </c>
      <c r="C1591">
        <v>0</v>
      </c>
      <c r="D1591" t="s">
        <v>106</v>
      </c>
      <c r="E1591">
        <v>24</v>
      </c>
    </row>
    <row r="1592" spans="1:5">
      <c r="A1592" t="s">
        <v>35415</v>
      </c>
      <c r="B1592" t="s">
        <v>35416</v>
      </c>
      <c r="C1592">
        <f>0</f>
        <v>0</v>
      </c>
      <c r="D1592" t="s">
        <v>106</v>
      </c>
      <c r="E1592">
        <v>24</v>
      </c>
    </row>
    <row r="1593" spans="1:5">
      <c r="A1593" t="s">
        <v>35415</v>
      </c>
      <c r="B1593" t="s">
        <v>5907</v>
      </c>
      <c r="C1593">
        <v>0</v>
      </c>
      <c r="D1593" t="s">
        <v>106</v>
      </c>
      <c r="E1593">
        <v>24</v>
      </c>
    </row>
    <row r="1594" spans="1:5">
      <c r="A1594" t="s">
        <v>35415</v>
      </c>
      <c r="B1594" t="s">
        <v>5905</v>
      </c>
      <c r="C1594">
        <f>0</f>
        <v>0</v>
      </c>
      <c r="D1594" t="s">
        <v>106</v>
      </c>
      <c r="E1594">
        <v>24</v>
      </c>
    </row>
    <row r="1595" spans="1:5">
      <c r="A1595" t="s">
        <v>35417</v>
      </c>
      <c r="B1595" t="s">
        <v>35418</v>
      </c>
      <c r="C1595">
        <f>0</f>
        <v>0</v>
      </c>
      <c r="D1595" t="s">
        <v>106</v>
      </c>
      <c r="E1595">
        <v>13.092000000000001</v>
      </c>
    </row>
    <row r="1596" spans="1:5">
      <c r="A1596" t="s">
        <v>35417</v>
      </c>
      <c r="B1596" t="s">
        <v>35419</v>
      </c>
      <c r="C1596">
        <v>0</v>
      </c>
      <c r="D1596" t="s">
        <v>106</v>
      </c>
      <c r="E1596">
        <v>13.092000000000001</v>
      </c>
    </row>
    <row r="1597" spans="1:5">
      <c r="A1597" t="s">
        <v>35420</v>
      </c>
      <c r="B1597" t="s">
        <v>12892</v>
      </c>
      <c r="C1597">
        <v>0.78594798693099999</v>
      </c>
      <c r="D1597">
        <v>0.94364690021599995</v>
      </c>
      <c r="E1597">
        <v>24</v>
      </c>
    </row>
    <row r="1598" spans="1:5">
      <c r="A1598" t="s">
        <v>35420</v>
      </c>
      <c r="B1598" t="s">
        <v>12893</v>
      </c>
      <c r="C1598">
        <f>-1.12508527416</f>
        <v>-1.1250852741599999</v>
      </c>
      <c r="D1598">
        <v>0.94364690021599995</v>
      </c>
      <c r="E1598">
        <v>24</v>
      </c>
    </row>
    <row r="1599" spans="1:5">
      <c r="A1599" t="s">
        <v>35420</v>
      </c>
      <c r="B1599" t="s">
        <v>12895</v>
      </c>
      <c r="C1599">
        <v>0.45353002790699998</v>
      </c>
      <c r="D1599">
        <v>0.94364690021599995</v>
      </c>
      <c r="E1599">
        <v>24</v>
      </c>
    </row>
    <row r="1600" spans="1:5">
      <c r="A1600" t="s">
        <v>35421</v>
      </c>
      <c r="B1600" t="s">
        <v>31343</v>
      </c>
      <c r="C1600">
        <v>0</v>
      </c>
      <c r="D1600" t="s">
        <v>106</v>
      </c>
      <c r="E1600">
        <v>24</v>
      </c>
    </row>
    <row r="1601" spans="1:5">
      <c r="A1601" t="s">
        <v>35421</v>
      </c>
      <c r="B1601" t="s">
        <v>31342</v>
      </c>
      <c r="C1601">
        <f>0</f>
        <v>0</v>
      </c>
      <c r="D1601" t="s">
        <v>106</v>
      </c>
      <c r="E1601">
        <v>24</v>
      </c>
    </row>
    <row r="1602" spans="1:5">
      <c r="A1602" t="s">
        <v>35421</v>
      </c>
      <c r="B1602" t="s">
        <v>31344</v>
      </c>
      <c r="C1602">
        <v>0</v>
      </c>
      <c r="D1602" t="s">
        <v>106</v>
      </c>
      <c r="E1602">
        <v>24</v>
      </c>
    </row>
    <row r="1603" spans="1:5">
      <c r="A1603" t="s">
        <v>35422</v>
      </c>
      <c r="B1603" t="s">
        <v>35423</v>
      </c>
      <c r="C1603">
        <v>5.2861205158000003E-2</v>
      </c>
      <c r="D1603">
        <v>0.88237438374199995</v>
      </c>
      <c r="E1603">
        <v>4.4820000000000002</v>
      </c>
    </row>
    <row r="1604" spans="1:5">
      <c r="A1604" t="s">
        <v>35422</v>
      </c>
      <c r="B1604" t="s">
        <v>35424</v>
      </c>
      <c r="C1604">
        <f>0</f>
        <v>0</v>
      </c>
      <c r="D1604">
        <v>0.88237438374199995</v>
      </c>
      <c r="E1604">
        <v>4.4820000000000002</v>
      </c>
    </row>
    <row r="1605" spans="1:5">
      <c r="A1605" t="s">
        <v>35422</v>
      </c>
      <c r="B1605" t="s">
        <v>35425</v>
      </c>
      <c r="C1605">
        <v>0</v>
      </c>
      <c r="D1605">
        <v>0.88237438374199995</v>
      </c>
      <c r="E1605">
        <v>4.4820000000000002</v>
      </c>
    </row>
    <row r="1606" spans="1:5">
      <c r="A1606" t="s">
        <v>35422</v>
      </c>
      <c r="B1606" t="s">
        <v>35426</v>
      </c>
      <c r="C1606">
        <v>0.49894643052600002</v>
      </c>
      <c r="D1606">
        <v>0.88237438374199995</v>
      </c>
      <c r="E1606">
        <v>4.4820000000000002</v>
      </c>
    </row>
    <row r="1607" spans="1:5">
      <c r="A1607" t="s">
        <v>35422</v>
      </c>
      <c r="B1607" t="s">
        <v>35427</v>
      </c>
      <c r="C1607">
        <v>0.23836733621699999</v>
      </c>
      <c r="D1607">
        <v>0.88237438374199995</v>
      </c>
      <c r="E1607">
        <v>4.4820000000000002</v>
      </c>
    </row>
    <row r="1608" spans="1:5">
      <c r="A1608" t="s">
        <v>35422</v>
      </c>
      <c r="B1608" t="s">
        <v>35428</v>
      </c>
      <c r="C1608">
        <v>0.203974880079</v>
      </c>
      <c r="D1608">
        <v>0.88237438374199995</v>
      </c>
      <c r="E1608">
        <v>4.4820000000000002</v>
      </c>
    </row>
    <row r="1609" spans="1:5">
      <c r="A1609" t="s">
        <v>35422</v>
      </c>
      <c r="B1609" t="s">
        <v>35429</v>
      </c>
      <c r="C1609">
        <f>0</f>
        <v>0</v>
      </c>
      <c r="D1609">
        <v>0.88237438374199995</v>
      </c>
      <c r="E1609">
        <v>4.4820000000000002</v>
      </c>
    </row>
    <row r="1610" spans="1:5">
      <c r="A1610" t="s">
        <v>35430</v>
      </c>
      <c r="B1610" t="s">
        <v>35431</v>
      </c>
      <c r="C1610">
        <f>0</f>
        <v>0</v>
      </c>
      <c r="D1610" t="s">
        <v>106</v>
      </c>
      <c r="E1610">
        <v>19.2</v>
      </c>
    </row>
    <row r="1611" spans="1:5">
      <c r="A1611" t="s">
        <v>35430</v>
      </c>
      <c r="B1611" t="s">
        <v>35432</v>
      </c>
      <c r="C1611">
        <v>0</v>
      </c>
      <c r="D1611" t="s">
        <v>106</v>
      </c>
      <c r="E1611">
        <v>19.2</v>
      </c>
    </row>
    <row r="1612" spans="1:5">
      <c r="A1612" t="s">
        <v>35430</v>
      </c>
      <c r="B1612" t="s">
        <v>35433</v>
      </c>
      <c r="C1612">
        <v>0</v>
      </c>
      <c r="D1612" t="s">
        <v>106</v>
      </c>
      <c r="E1612">
        <v>19.2</v>
      </c>
    </row>
    <row r="1613" spans="1:5">
      <c r="A1613" t="s">
        <v>35434</v>
      </c>
      <c r="B1613" t="s">
        <v>35435</v>
      </c>
      <c r="C1613">
        <v>0.120566821271</v>
      </c>
      <c r="D1613">
        <v>0.94823547383399998</v>
      </c>
      <c r="E1613">
        <v>5.4660000000000002</v>
      </c>
    </row>
    <row r="1614" spans="1:5">
      <c r="A1614" t="s">
        <v>35434</v>
      </c>
      <c r="B1614" t="s">
        <v>35436</v>
      </c>
      <c r="C1614">
        <v>0</v>
      </c>
      <c r="D1614">
        <v>0.94823547383399998</v>
      </c>
      <c r="E1614">
        <v>5.4660000000000002</v>
      </c>
    </row>
    <row r="1615" spans="1:5">
      <c r="A1615" t="s">
        <v>35434</v>
      </c>
      <c r="B1615" t="s">
        <v>35437</v>
      </c>
      <c r="C1615">
        <v>0.23530320486600001</v>
      </c>
      <c r="D1615">
        <v>0.94823547383399998</v>
      </c>
      <c r="E1615">
        <v>5.4660000000000002</v>
      </c>
    </row>
    <row r="1616" spans="1:5">
      <c r="A1616" t="s">
        <v>35434</v>
      </c>
      <c r="B1616" t="s">
        <v>35438</v>
      </c>
      <c r="C1616">
        <v>0</v>
      </c>
      <c r="D1616">
        <v>0.94823547383399998</v>
      </c>
      <c r="E1616">
        <v>5.4660000000000002</v>
      </c>
    </row>
    <row r="1617" spans="1:5">
      <c r="A1617" t="s">
        <v>35434</v>
      </c>
      <c r="B1617" t="s">
        <v>35439</v>
      </c>
      <c r="C1617">
        <v>0.14220984771299999</v>
      </c>
      <c r="D1617">
        <v>0.94823547383399998</v>
      </c>
      <c r="E1617">
        <v>5.4660000000000002</v>
      </c>
    </row>
    <row r="1618" spans="1:5">
      <c r="A1618" t="s">
        <v>35434</v>
      </c>
      <c r="B1618" t="s">
        <v>35440</v>
      </c>
      <c r="C1618">
        <v>0.62439815922499997</v>
      </c>
      <c r="D1618">
        <v>0.94823547383399998</v>
      </c>
      <c r="E1618">
        <v>5.4660000000000002</v>
      </c>
    </row>
    <row r="1619" spans="1:5">
      <c r="A1619" t="s">
        <v>35434</v>
      </c>
      <c r="B1619" t="s">
        <v>35441</v>
      </c>
      <c r="C1619">
        <v>0.71306857374300003</v>
      </c>
      <c r="D1619">
        <v>0.94823547383399998</v>
      </c>
      <c r="E1619">
        <v>5.4660000000000002</v>
      </c>
    </row>
    <row r="1620" spans="1:5">
      <c r="A1620" t="s">
        <v>35442</v>
      </c>
      <c r="B1620" t="s">
        <v>35443</v>
      </c>
      <c r="C1620">
        <f>0</f>
        <v>0</v>
      </c>
      <c r="D1620">
        <v>0.72220538676299995</v>
      </c>
      <c r="E1620">
        <v>5.58</v>
      </c>
    </row>
    <row r="1621" spans="1:5">
      <c r="A1621" t="s">
        <v>35442</v>
      </c>
      <c r="B1621" t="s">
        <v>35444</v>
      </c>
      <c r="C1621">
        <v>0</v>
      </c>
      <c r="D1621">
        <v>0.72220538676299995</v>
      </c>
      <c r="E1621">
        <v>5.58</v>
      </c>
    </row>
    <row r="1622" spans="1:5">
      <c r="A1622" t="s">
        <v>35442</v>
      </c>
      <c r="B1622" t="s">
        <v>35445</v>
      </c>
      <c r="C1622">
        <v>0.53285764484300002</v>
      </c>
      <c r="D1622">
        <v>0.72220538676299995</v>
      </c>
      <c r="E1622">
        <v>5.58</v>
      </c>
    </row>
    <row r="1623" spans="1:5">
      <c r="A1623" t="s">
        <v>35442</v>
      </c>
      <c r="B1623" t="s">
        <v>35446</v>
      </c>
      <c r="C1623">
        <v>7.2747025756400005E-2</v>
      </c>
      <c r="D1623">
        <v>0.72220538676299995</v>
      </c>
      <c r="E1623">
        <v>5.58</v>
      </c>
    </row>
    <row r="1624" spans="1:5">
      <c r="A1624" t="s">
        <v>35447</v>
      </c>
      <c r="B1624" t="s">
        <v>3769</v>
      </c>
      <c r="C1624">
        <f>0</f>
        <v>0</v>
      </c>
      <c r="D1624">
        <v>0.86137150520299999</v>
      </c>
      <c r="E1624">
        <v>23.754000000000001</v>
      </c>
    </row>
    <row r="1625" spans="1:5">
      <c r="A1625" t="s">
        <v>35447</v>
      </c>
      <c r="B1625" t="s">
        <v>3771</v>
      </c>
      <c r="C1625">
        <v>0</v>
      </c>
      <c r="D1625">
        <v>0.86137150520299999</v>
      </c>
      <c r="E1625">
        <v>23.754000000000001</v>
      </c>
    </row>
    <row r="1626" spans="1:5">
      <c r="A1626" t="s">
        <v>35447</v>
      </c>
      <c r="B1626" t="s">
        <v>3770</v>
      </c>
      <c r="C1626">
        <v>0.75896150520299999</v>
      </c>
      <c r="D1626">
        <v>0.86137150520299999</v>
      </c>
      <c r="E1626">
        <v>23.754000000000001</v>
      </c>
    </row>
    <row r="1627" spans="1:5">
      <c r="A1627" t="s">
        <v>35448</v>
      </c>
      <c r="B1627" t="s">
        <v>35449</v>
      </c>
      <c r="C1627">
        <v>0.76945007793300002</v>
      </c>
      <c r="D1627">
        <v>0.97510444069199997</v>
      </c>
      <c r="E1627">
        <v>24</v>
      </c>
    </row>
    <row r="1628" spans="1:5">
      <c r="A1628" t="s">
        <v>35448</v>
      </c>
      <c r="B1628" t="s">
        <v>35450</v>
      </c>
      <c r="C1628">
        <f>0.504202852571</f>
        <v>0.50420285257099995</v>
      </c>
      <c r="D1628">
        <v>0.97510444069199997</v>
      </c>
      <c r="E1628">
        <v>24</v>
      </c>
    </row>
    <row r="1629" spans="1:5">
      <c r="A1629" t="s">
        <v>35448</v>
      </c>
      <c r="B1629" t="s">
        <v>35451</v>
      </c>
      <c r="C1629">
        <v>1.17681928101</v>
      </c>
      <c r="D1629">
        <v>0.97510444069199997</v>
      </c>
      <c r="E1629">
        <v>24</v>
      </c>
    </row>
    <row r="1630" spans="1:5">
      <c r="A1630" t="s">
        <v>35448</v>
      </c>
      <c r="B1630" t="s">
        <v>35452</v>
      </c>
      <c r="C1630">
        <f>0.732352662728</f>
        <v>0.73235266272800004</v>
      </c>
      <c r="D1630">
        <v>0.97510444069199997</v>
      </c>
      <c r="E1630">
        <v>24</v>
      </c>
    </row>
    <row r="1631" spans="1:5">
      <c r="A1631" t="s">
        <v>35448</v>
      </c>
      <c r="B1631" t="s">
        <v>35453</v>
      </c>
      <c r="C1631">
        <f>0.10565707954</f>
        <v>0.10565707954</v>
      </c>
      <c r="D1631">
        <v>0.97510444069199997</v>
      </c>
      <c r="E1631">
        <v>24</v>
      </c>
    </row>
    <row r="1632" spans="1:5">
      <c r="A1632" t="s">
        <v>35448</v>
      </c>
      <c r="B1632" t="s">
        <v>35454</v>
      </c>
      <c r="C1632">
        <f>0.88483744005</f>
        <v>0.88483744004999998</v>
      </c>
      <c r="D1632">
        <v>0.97510444069199997</v>
      </c>
      <c r="E1632">
        <v>24</v>
      </c>
    </row>
    <row r="1633" spans="1:5">
      <c r="A1633" t="s">
        <v>35455</v>
      </c>
      <c r="B1633" t="s">
        <v>22359</v>
      </c>
      <c r="C1633">
        <f>0</f>
        <v>0</v>
      </c>
      <c r="D1633" t="s">
        <v>106</v>
      </c>
      <c r="E1633">
        <v>2.0339999999999998</v>
      </c>
    </row>
    <row r="1634" spans="1:5">
      <c r="A1634" t="s">
        <v>35455</v>
      </c>
      <c r="B1634" t="s">
        <v>22361</v>
      </c>
      <c r="C1634">
        <v>0</v>
      </c>
      <c r="D1634" t="s">
        <v>106</v>
      </c>
      <c r="E1634">
        <v>2.0339999999999998</v>
      </c>
    </row>
    <row r="1635" spans="1:5">
      <c r="A1635" t="s">
        <v>35456</v>
      </c>
      <c r="B1635" t="s">
        <v>35457</v>
      </c>
      <c r="C1635">
        <f>0</f>
        <v>0</v>
      </c>
      <c r="D1635" t="s">
        <v>106</v>
      </c>
      <c r="E1635">
        <v>0</v>
      </c>
    </row>
    <row r="1636" spans="1:5">
      <c r="A1636" t="s">
        <v>35456</v>
      </c>
      <c r="B1636" t="s">
        <v>35458</v>
      </c>
      <c r="C1636">
        <f>0</f>
        <v>0</v>
      </c>
      <c r="D1636" t="s">
        <v>106</v>
      </c>
      <c r="E1636">
        <v>0</v>
      </c>
    </row>
    <row r="1637" spans="1:5">
      <c r="A1637" t="s">
        <v>35459</v>
      </c>
      <c r="B1637" t="s">
        <v>30871</v>
      </c>
      <c r="C1637">
        <v>0</v>
      </c>
      <c r="D1637">
        <v>0.92213825043599995</v>
      </c>
      <c r="E1637">
        <v>4.2720000000000002</v>
      </c>
    </row>
    <row r="1638" spans="1:5">
      <c r="A1638" t="s">
        <v>35459</v>
      </c>
      <c r="B1638" t="s">
        <v>30872</v>
      </c>
      <c r="C1638">
        <f>0.125571430714</f>
        <v>0.12557143071400001</v>
      </c>
      <c r="D1638">
        <v>0.92213825043599995</v>
      </c>
      <c r="E1638">
        <v>4.2720000000000002</v>
      </c>
    </row>
    <row r="1639" spans="1:5">
      <c r="A1639" t="s">
        <v>35459</v>
      </c>
      <c r="B1639" t="s">
        <v>30874</v>
      </c>
      <c r="C1639">
        <v>0.63492417923199995</v>
      </c>
      <c r="D1639">
        <v>0.92213825043599995</v>
      </c>
      <c r="E1639">
        <v>4.2720000000000002</v>
      </c>
    </row>
    <row r="1640" spans="1:5">
      <c r="A1640" t="s">
        <v>35459</v>
      </c>
      <c r="B1640" t="s">
        <v>30873</v>
      </c>
      <c r="C1640">
        <f>0.436723644314</f>
        <v>0.43672364431400001</v>
      </c>
      <c r="D1640">
        <v>0.92213825043599995</v>
      </c>
      <c r="E1640">
        <v>4.2720000000000002</v>
      </c>
    </row>
    <row r="1641" spans="1:5">
      <c r="A1641" t="s">
        <v>35460</v>
      </c>
      <c r="B1641" t="s">
        <v>24305</v>
      </c>
      <c r="C1641">
        <f>0.864595619027</f>
        <v>0.864595619027</v>
      </c>
      <c r="D1641">
        <v>0.90460561902699999</v>
      </c>
      <c r="E1641">
        <v>24</v>
      </c>
    </row>
    <row r="1642" spans="1:5">
      <c r="A1642" t="s">
        <v>35460</v>
      </c>
      <c r="B1642" t="s">
        <v>24309</v>
      </c>
      <c r="C1642">
        <v>0</v>
      </c>
      <c r="D1642">
        <v>0.90460561902699999</v>
      </c>
      <c r="E1642">
        <v>24</v>
      </c>
    </row>
    <row r="1643" spans="1:5">
      <c r="A1643" t="s">
        <v>35460</v>
      </c>
      <c r="B1643" t="s">
        <v>24307</v>
      </c>
      <c r="C1643">
        <v>0</v>
      </c>
      <c r="D1643">
        <v>0.90460561902699999</v>
      </c>
      <c r="E1643">
        <v>24</v>
      </c>
    </row>
    <row r="1644" spans="1:5">
      <c r="A1644" t="s">
        <v>35461</v>
      </c>
      <c r="B1644" t="s">
        <v>34314</v>
      </c>
      <c r="C1644">
        <v>0.14799638068500001</v>
      </c>
      <c r="D1644">
        <v>0.99240129472799998</v>
      </c>
      <c r="E1644">
        <v>0.82799999999999996</v>
      </c>
    </row>
    <row r="1645" spans="1:5">
      <c r="A1645" t="s">
        <v>35461</v>
      </c>
      <c r="B1645" t="s">
        <v>34317</v>
      </c>
      <c r="C1645">
        <f>0.284353404192</f>
        <v>0.284353404192</v>
      </c>
      <c r="D1645">
        <v>0.99240129472799998</v>
      </c>
      <c r="E1645">
        <v>0.82799999999999996</v>
      </c>
    </row>
    <row r="1646" spans="1:5">
      <c r="A1646" t="s">
        <v>35461</v>
      </c>
      <c r="B1646" t="s">
        <v>34315</v>
      </c>
      <c r="C1646">
        <f>-1.05820202062</f>
        <v>-1.05820202062</v>
      </c>
      <c r="D1646">
        <v>0.99240129472799998</v>
      </c>
      <c r="E1646">
        <v>0.82799999999999996</v>
      </c>
    </row>
    <row r="1647" spans="1:5">
      <c r="A1647" t="s">
        <v>35461</v>
      </c>
      <c r="B1647" t="s">
        <v>34316</v>
      </c>
      <c r="C1647">
        <v>0.256076175277</v>
      </c>
      <c r="D1647">
        <v>0.99240129472799998</v>
      </c>
      <c r="E1647">
        <v>0.82799999999999996</v>
      </c>
    </row>
    <row r="1648" spans="1:5">
      <c r="A1648" t="s">
        <v>35462</v>
      </c>
      <c r="B1648" t="s">
        <v>35463</v>
      </c>
      <c r="C1648">
        <v>0</v>
      </c>
      <c r="D1648">
        <v>0.77298487280499995</v>
      </c>
      <c r="E1648">
        <v>0</v>
      </c>
    </row>
    <row r="1649" spans="1:5">
      <c r="A1649" t="s">
        <v>35462</v>
      </c>
      <c r="B1649" t="s">
        <v>35464</v>
      </c>
      <c r="C1649">
        <f>0</f>
        <v>0</v>
      </c>
      <c r="D1649">
        <v>0.77298487280499995</v>
      </c>
      <c r="E1649">
        <v>0</v>
      </c>
    </row>
    <row r="1650" spans="1:5">
      <c r="A1650" t="s">
        <v>35462</v>
      </c>
      <c r="B1650" t="s">
        <v>35465</v>
      </c>
      <c r="C1650">
        <f>0.715374872805</f>
        <v>0.71537487280500001</v>
      </c>
      <c r="D1650">
        <v>0.77298487280499995</v>
      </c>
      <c r="E1650">
        <v>0</v>
      </c>
    </row>
    <row r="1651" spans="1:5">
      <c r="A1651" t="s">
        <v>35466</v>
      </c>
      <c r="B1651" t="s">
        <v>7111</v>
      </c>
      <c r="C1651">
        <f>0</f>
        <v>0</v>
      </c>
      <c r="D1651" t="s">
        <v>106</v>
      </c>
      <c r="E1651">
        <v>12.39</v>
      </c>
    </row>
    <row r="1652" spans="1:5">
      <c r="A1652" t="s">
        <v>35466</v>
      </c>
      <c r="B1652" t="s">
        <v>7114</v>
      </c>
      <c r="C1652">
        <v>0</v>
      </c>
      <c r="D1652" t="s">
        <v>106</v>
      </c>
      <c r="E1652">
        <v>12.39</v>
      </c>
    </row>
    <row r="1653" spans="1:5">
      <c r="A1653" t="s">
        <v>35467</v>
      </c>
      <c r="B1653" t="s">
        <v>35468</v>
      </c>
      <c r="C1653">
        <v>0</v>
      </c>
      <c r="D1653" t="s">
        <v>106</v>
      </c>
      <c r="E1653">
        <v>22.571999999999999</v>
      </c>
    </row>
    <row r="1654" spans="1:5">
      <c r="A1654" t="s">
        <v>35467</v>
      </c>
      <c r="B1654" t="s">
        <v>35469</v>
      </c>
      <c r="C1654">
        <f>0</f>
        <v>0</v>
      </c>
      <c r="D1654" t="s">
        <v>106</v>
      </c>
      <c r="E1654">
        <v>22.571999999999999</v>
      </c>
    </row>
    <row r="1655" spans="1:5">
      <c r="A1655" t="s">
        <v>35467</v>
      </c>
      <c r="B1655" t="s">
        <v>35470</v>
      </c>
      <c r="C1655">
        <v>0</v>
      </c>
      <c r="D1655" t="s">
        <v>106</v>
      </c>
      <c r="E1655">
        <v>22.571999999999999</v>
      </c>
    </row>
    <row r="1656" spans="1:5">
      <c r="A1656" t="s">
        <v>35467</v>
      </c>
      <c r="B1656" t="s">
        <v>35471</v>
      </c>
      <c r="C1656">
        <f>0</f>
        <v>0</v>
      </c>
      <c r="D1656" t="s">
        <v>106</v>
      </c>
      <c r="E1656">
        <v>22.571999999999999</v>
      </c>
    </row>
    <row r="1657" spans="1:5">
      <c r="A1657" t="s">
        <v>35467</v>
      </c>
      <c r="B1657" t="s">
        <v>35472</v>
      </c>
      <c r="C1657">
        <f>0</f>
        <v>0</v>
      </c>
      <c r="D1657" t="s">
        <v>106</v>
      </c>
      <c r="E1657">
        <v>22.571999999999999</v>
      </c>
    </row>
    <row r="1658" spans="1:5">
      <c r="A1658" t="s">
        <v>35467</v>
      </c>
      <c r="B1658" t="s">
        <v>35473</v>
      </c>
      <c r="C1658">
        <f>0</f>
        <v>0</v>
      </c>
      <c r="D1658" t="s">
        <v>106</v>
      </c>
      <c r="E1658">
        <v>22.571999999999999</v>
      </c>
    </row>
    <row r="1659" spans="1:5">
      <c r="A1659" t="s">
        <v>35467</v>
      </c>
      <c r="B1659" t="s">
        <v>35474</v>
      </c>
      <c r="C1659">
        <f>0</f>
        <v>0</v>
      </c>
      <c r="D1659" t="s">
        <v>106</v>
      </c>
      <c r="E1659">
        <v>22.571999999999999</v>
      </c>
    </row>
    <row r="1660" spans="1:5">
      <c r="A1660" t="s">
        <v>35475</v>
      </c>
      <c r="B1660" t="s">
        <v>1510</v>
      </c>
      <c r="C1660">
        <v>0</v>
      </c>
      <c r="D1660" t="s">
        <v>106</v>
      </c>
      <c r="E1660">
        <v>0.13200000000000001</v>
      </c>
    </row>
    <row r="1661" spans="1:5">
      <c r="A1661" t="s">
        <v>35475</v>
      </c>
      <c r="B1661" t="s">
        <v>1515</v>
      </c>
      <c r="C1661">
        <v>0</v>
      </c>
      <c r="D1661" t="s">
        <v>106</v>
      </c>
      <c r="E1661">
        <v>0.13200000000000001</v>
      </c>
    </row>
    <row r="1662" spans="1:5">
      <c r="A1662" t="s">
        <v>35475</v>
      </c>
      <c r="B1662" t="s">
        <v>1511</v>
      </c>
      <c r="C1662">
        <v>0</v>
      </c>
      <c r="D1662" t="s">
        <v>106</v>
      </c>
      <c r="E1662">
        <v>0.13200000000000001</v>
      </c>
    </row>
    <row r="1663" spans="1:5">
      <c r="A1663" t="s">
        <v>35475</v>
      </c>
      <c r="B1663" t="s">
        <v>1513</v>
      </c>
      <c r="C1663">
        <v>0</v>
      </c>
      <c r="D1663" t="s">
        <v>106</v>
      </c>
      <c r="E1663">
        <v>0.13200000000000001</v>
      </c>
    </row>
    <row r="1664" spans="1:5">
      <c r="A1664" t="s">
        <v>35475</v>
      </c>
      <c r="B1664" t="s">
        <v>1514</v>
      </c>
      <c r="C1664">
        <f>0</f>
        <v>0</v>
      </c>
      <c r="D1664" t="s">
        <v>106</v>
      </c>
      <c r="E1664">
        <v>0.13200000000000001</v>
      </c>
    </row>
    <row r="1665" spans="1:5">
      <c r="A1665" t="s">
        <v>35475</v>
      </c>
      <c r="B1665" t="s">
        <v>1512</v>
      </c>
      <c r="C1665">
        <v>0</v>
      </c>
      <c r="D1665" t="s">
        <v>106</v>
      </c>
      <c r="E1665">
        <v>0.13200000000000001</v>
      </c>
    </row>
    <row r="1666" spans="1:5">
      <c r="A1666" t="s">
        <v>35475</v>
      </c>
      <c r="B1666" t="s">
        <v>1516</v>
      </c>
      <c r="C1666">
        <v>0</v>
      </c>
      <c r="D1666" t="s">
        <v>106</v>
      </c>
      <c r="E1666">
        <v>0.13200000000000001</v>
      </c>
    </row>
    <row r="1667" spans="1:5">
      <c r="A1667" t="s">
        <v>35476</v>
      </c>
      <c r="B1667" t="s">
        <v>13589</v>
      </c>
      <c r="C1667">
        <v>0.70647832976299996</v>
      </c>
      <c r="D1667">
        <v>0.86648832976300005</v>
      </c>
      <c r="E1667">
        <v>7.4640000000000004</v>
      </c>
    </row>
    <row r="1668" spans="1:5">
      <c r="A1668" t="s">
        <v>35476</v>
      </c>
      <c r="B1668" t="s">
        <v>13591</v>
      </c>
      <c r="C1668">
        <f>0</f>
        <v>0</v>
      </c>
      <c r="D1668">
        <v>0.86648832976300005</v>
      </c>
      <c r="E1668">
        <v>7.4640000000000004</v>
      </c>
    </row>
    <row r="1669" spans="1:5">
      <c r="A1669" t="s">
        <v>35476</v>
      </c>
      <c r="B1669" t="s">
        <v>13587</v>
      </c>
      <c r="C1669">
        <v>0</v>
      </c>
      <c r="D1669">
        <v>0.86648832976300005</v>
      </c>
      <c r="E1669">
        <v>7.4640000000000004</v>
      </c>
    </row>
    <row r="1670" spans="1:5">
      <c r="A1670" t="s">
        <v>35477</v>
      </c>
      <c r="B1670" t="s">
        <v>15312</v>
      </c>
      <c r="C1670">
        <v>0</v>
      </c>
      <c r="D1670" t="s">
        <v>106</v>
      </c>
      <c r="E1670">
        <v>4.5839999999999996</v>
      </c>
    </row>
    <row r="1671" spans="1:5">
      <c r="A1671" t="s">
        <v>35477</v>
      </c>
      <c r="B1671" t="s">
        <v>15316</v>
      </c>
      <c r="C1671">
        <v>0</v>
      </c>
      <c r="D1671" t="s">
        <v>106</v>
      </c>
      <c r="E1671">
        <v>4.5839999999999996</v>
      </c>
    </row>
    <row r="1672" spans="1:5">
      <c r="A1672" t="s">
        <v>35477</v>
      </c>
      <c r="B1672" t="s">
        <v>15313</v>
      </c>
      <c r="C1672">
        <f>0</f>
        <v>0</v>
      </c>
      <c r="D1672" t="s">
        <v>106</v>
      </c>
      <c r="E1672">
        <v>4.5839999999999996</v>
      </c>
    </row>
    <row r="1673" spans="1:5">
      <c r="A1673" t="s">
        <v>35477</v>
      </c>
      <c r="B1673" t="s">
        <v>15315</v>
      </c>
      <c r="C1673">
        <f>0</f>
        <v>0</v>
      </c>
      <c r="D1673" t="s">
        <v>106</v>
      </c>
      <c r="E1673">
        <v>4.5839999999999996</v>
      </c>
    </row>
    <row r="1674" spans="1:5">
      <c r="A1674" t="s">
        <v>35478</v>
      </c>
      <c r="B1674" t="s">
        <v>35479</v>
      </c>
      <c r="C1674">
        <v>6.0790375170700003E-2</v>
      </c>
      <c r="D1674">
        <v>0.99977546685499996</v>
      </c>
      <c r="E1674">
        <v>5.7</v>
      </c>
    </row>
    <row r="1675" spans="1:5">
      <c r="A1675" t="s">
        <v>35478</v>
      </c>
      <c r="B1675" t="s">
        <v>35480</v>
      </c>
      <c r="C1675">
        <v>2.9189768366800001E-2</v>
      </c>
      <c r="D1675">
        <v>0.99977546685499996</v>
      </c>
      <c r="E1675">
        <v>5.7</v>
      </c>
    </row>
    <row r="1676" spans="1:5">
      <c r="A1676" t="s">
        <v>35478</v>
      </c>
      <c r="B1676" t="s">
        <v>35481</v>
      </c>
      <c r="C1676">
        <v>5.33204342818E-3</v>
      </c>
      <c r="D1676">
        <v>0.99977546685499996</v>
      </c>
      <c r="E1676">
        <v>5.7</v>
      </c>
    </row>
    <row r="1677" spans="1:5">
      <c r="A1677" t="s">
        <v>35478</v>
      </c>
      <c r="B1677" t="s">
        <v>35482</v>
      </c>
      <c r="C1677">
        <v>0</v>
      </c>
      <c r="D1677">
        <v>0.99977546685499996</v>
      </c>
      <c r="E1677">
        <v>5.7</v>
      </c>
    </row>
    <row r="1678" spans="1:5">
      <c r="A1678" t="s">
        <v>35478</v>
      </c>
      <c r="B1678" t="s">
        <v>35483</v>
      </c>
      <c r="C1678">
        <f>0.124446604958</f>
        <v>0.124446604958</v>
      </c>
      <c r="D1678">
        <v>0.99977546685499996</v>
      </c>
      <c r="E1678">
        <v>5.7</v>
      </c>
    </row>
    <row r="1679" spans="1:5">
      <c r="A1679" t="s">
        <v>35478</v>
      </c>
      <c r="B1679" t="s">
        <v>35484</v>
      </c>
      <c r="C1679">
        <f>0</f>
        <v>0</v>
      </c>
      <c r="D1679">
        <v>0.99977546685499996</v>
      </c>
      <c r="E1679">
        <v>5.7</v>
      </c>
    </row>
    <row r="1680" spans="1:5">
      <c r="A1680" t="s">
        <v>35478</v>
      </c>
      <c r="B1680" t="s">
        <v>35485</v>
      </c>
      <c r="C1680">
        <v>0.70706651111399998</v>
      </c>
      <c r="D1680">
        <v>0.99977546685499996</v>
      </c>
      <c r="E1680">
        <v>5.7</v>
      </c>
    </row>
    <row r="1681" spans="1:5">
      <c r="A1681" t="s">
        <v>35478</v>
      </c>
      <c r="B1681" t="s">
        <v>35486</v>
      </c>
      <c r="C1681">
        <f>0</f>
        <v>0</v>
      </c>
      <c r="D1681">
        <v>0.99977546685499996</v>
      </c>
      <c r="E1681">
        <v>5.7</v>
      </c>
    </row>
    <row r="1682" spans="1:5">
      <c r="A1682" t="s">
        <v>35478</v>
      </c>
      <c r="B1682" t="s">
        <v>35487</v>
      </c>
      <c r="C1682">
        <v>0</v>
      </c>
      <c r="D1682">
        <v>0.99977546685499996</v>
      </c>
      <c r="E1682">
        <v>5.7</v>
      </c>
    </row>
    <row r="1683" spans="1:5">
      <c r="A1683" t="s">
        <v>35478</v>
      </c>
      <c r="B1683" t="s">
        <v>35488</v>
      </c>
      <c r="C1683">
        <v>0</v>
      </c>
      <c r="D1683">
        <v>0.99977546685499996</v>
      </c>
      <c r="E1683">
        <v>5.7</v>
      </c>
    </row>
    <row r="1684" spans="1:5">
      <c r="A1684" t="s">
        <v>35478</v>
      </c>
      <c r="B1684" t="s">
        <v>35489</v>
      </c>
      <c r="C1684">
        <f>0</f>
        <v>0</v>
      </c>
      <c r="D1684">
        <v>0.99977546685499996</v>
      </c>
      <c r="E1684">
        <v>5.7</v>
      </c>
    </row>
    <row r="1685" spans="1:5">
      <c r="A1685" t="s">
        <v>35478</v>
      </c>
      <c r="B1685" t="s">
        <v>35490</v>
      </c>
      <c r="C1685">
        <f>0</f>
        <v>0</v>
      </c>
      <c r="D1685">
        <v>0.99977546685499996</v>
      </c>
      <c r="E1685">
        <v>5.7</v>
      </c>
    </row>
    <row r="1686" spans="1:5">
      <c r="A1686" t="s">
        <v>35478</v>
      </c>
      <c r="B1686" t="s">
        <v>35491</v>
      </c>
      <c r="C1686">
        <f>0.320597976227</f>
        <v>0.32059797622699998</v>
      </c>
      <c r="D1686">
        <v>0.99977546685499996</v>
      </c>
      <c r="E1686">
        <v>5.7</v>
      </c>
    </row>
    <row r="1687" spans="1:5">
      <c r="A1687" t="s">
        <v>35492</v>
      </c>
      <c r="B1687" t="s">
        <v>5992</v>
      </c>
      <c r="C1687">
        <f>0</f>
        <v>0</v>
      </c>
      <c r="D1687">
        <v>0.91725212850500004</v>
      </c>
      <c r="E1687">
        <v>2.802</v>
      </c>
    </row>
    <row r="1688" spans="1:5">
      <c r="A1688" t="s">
        <v>35492</v>
      </c>
      <c r="B1688" t="s">
        <v>5982</v>
      </c>
      <c r="C1688">
        <f>0</f>
        <v>0</v>
      </c>
      <c r="D1688">
        <v>0.91725212850500004</v>
      </c>
      <c r="E1688">
        <v>2.802</v>
      </c>
    </row>
    <row r="1689" spans="1:5">
      <c r="A1689" t="s">
        <v>35492</v>
      </c>
      <c r="B1689" t="s">
        <v>5994</v>
      </c>
      <c r="C1689">
        <v>0</v>
      </c>
      <c r="D1689">
        <v>0.91725212850500004</v>
      </c>
      <c r="E1689">
        <v>2.802</v>
      </c>
    </row>
    <row r="1690" spans="1:5">
      <c r="A1690" t="s">
        <v>35492</v>
      </c>
      <c r="B1690" t="s">
        <v>35493</v>
      </c>
      <c r="C1690">
        <f>0</f>
        <v>0</v>
      </c>
      <c r="D1690">
        <v>0.91725212850500004</v>
      </c>
      <c r="E1690">
        <v>2.802</v>
      </c>
    </row>
    <row r="1691" spans="1:5">
      <c r="A1691" t="s">
        <v>35492</v>
      </c>
      <c r="B1691" t="s">
        <v>5989</v>
      </c>
      <c r="C1691">
        <v>0.18596228324399999</v>
      </c>
      <c r="D1691">
        <v>0.91725212850500004</v>
      </c>
      <c r="E1691">
        <v>2.802</v>
      </c>
    </row>
    <row r="1692" spans="1:5">
      <c r="A1692" t="s">
        <v>35492</v>
      </c>
      <c r="B1692" t="s">
        <v>35494</v>
      </c>
      <c r="C1692">
        <v>0</v>
      </c>
      <c r="D1692">
        <v>0.91725212850500004</v>
      </c>
      <c r="E1692">
        <v>2.802</v>
      </c>
    </row>
    <row r="1693" spans="1:5">
      <c r="A1693" t="s">
        <v>35492</v>
      </c>
      <c r="B1693" t="s">
        <v>6000</v>
      </c>
      <c r="C1693">
        <f>0</f>
        <v>0</v>
      </c>
      <c r="D1693">
        <v>0.91725212850500004</v>
      </c>
      <c r="E1693">
        <v>2.802</v>
      </c>
    </row>
    <row r="1694" spans="1:5">
      <c r="A1694" t="s">
        <v>35492</v>
      </c>
      <c r="B1694" t="s">
        <v>5993</v>
      </c>
      <c r="C1694">
        <v>0</v>
      </c>
      <c r="D1694">
        <v>0.91725212850500004</v>
      </c>
      <c r="E1694">
        <v>2.802</v>
      </c>
    </row>
    <row r="1695" spans="1:5">
      <c r="A1695" t="s">
        <v>35492</v>
      </c>
      <c r="B1695" t="s">
        <v>5988</v>
      </c>
      <c r="C1695">
        <f>0.081936521667</f>
        <v>8.1936521666999995E-2</v>
      </c>
      <c r="D1695">
        <v>0.91725212850500004</v>
      </c>
      <c r="E1695">
        <v>2.802</v>
      </c>
    </row>
    <row r="1696" spans="1:5">
      <c r="A1696" t="s">
        <v>35492</v>
      </c>
      <c r="B1696" t="s">
        <v>5998</v>
      </c>
      <c r="C1696">
        <f>0</f>
        <v>0</v>
      </c>
      <c r="D1696">
        <v>0.91725212850500004</v>
      </c>
      <c r="E1696">
        <v>2.802</v>
      </c>
    </row>
    <row r="1697" spans="1:5">
      <c r="A1697" t="s">
        <v>35492</v>
      </c>
      <c r="B1697" t="s">
        <v>5986</v>
      </c>
      <c r="C1697">
        <f>0</f>
        <v>0</v>
      </c>
      <c r="D1697">
        <v>0.91725212850500004</v>
      </c>
      <c r="E1697">
        <v>2.802</v>
      </c>
    </row>
    <row r="1698" spans="1:5">
      <c r="A1698" t="s">
        <v>35492</v>
      </c>
      <c r="B1698" t="s">
        <v>5991</v>
      </c>
      <c r="C1698">
        <v>7.6811952722800003E-2</v>
      </c>
      <c r="D1698">
        <v>0.91725212850500004</v>
      </c>
      <c r="E1698">
        <v>2.802</v>
      </c>
    </row>
    <row r="1699" spans="1:5">
      <c r="A1699" t="s">
        <v>35492</v>
      </c>
      <c r="B1699" t="s">
        <v>5996</v>
      </c>
      <c r="C1699">
        <f>0.21512412562</f>
        <v>0.21512412562</v>
      </c>
      <c r="D1699">
        <v>0.91725212850500004</v>
      </c>
      <c r="E1699">
        <v>2.802</v>
      </c>
    </row>
    <row r="1700" spans="1:5">
      <c r="A1700" t="s">
        <v>35492</v>
      </c>
      <c r="B1700" t="s">
        <v>5999</v>
      </c>
      <c r="C1700">
        <v>0</v>
      </c>
      <c r="D1700">
        <v>0.91725212850500004</v>
      </c>
      <c r="E1700">
        <v>2.802</v>
      </c>
    </row>
    <row r="1701" spans="1:5">
      <c r="A1701" t="s">
        <v>35492</v>
      </c>
      <c r="B1701" t="s">
        <v>5981</v>
      </c>
      <c r="C1701">
        <v>0.38966698304699998</v>
      </c>
      <c r="D1701">
        <v>0.91725212850500004</v>
      </c>
      <c r="E1701">
        <v>2.802</v>
      </c>
    </row>
    <row r="1702" spans="1:5">
      <c r="A1702" t="s">
        <v>35492</v>
      </c>
      <c r="B1702" t="s">
        <v>5983</v>
      </c>
      <c r="C1702">
        <f>0</f>
        <v>0</v>
      </c>
      <c r="D1702">
        <v>0.91725212850500004</v>
      </c>
      <c r="E1702">
        <v>2.802</v>
      </c>
    </row>
    <row r="1703" spans="1:5">
      <c r="A1703" t="s">
        <v>35495</v>
      </c>
      <c r="B1703" t="s">
        <v>17717</v>
      </c>
      <c r="C1703">
        <v>0.71641826775200002</v>
      </c>
      <c r="D1703">
        <v>0.81693008391499999</v>
      </c>
      <c r="E1703">
        <v>20.292000000000002</v>
      </c>
    </row>
    <row r="1704" spans="1:5">
      <c r="A1704" t="s">
        <v>35495</v>
      </c>
      <c r="B1704" t="s">
        <v>17719</v>
      </c>
      <c r="C1704">
        <f>0.736423224611</f>
        <v>0.73642322461099996</v>
      </c>
      <c r="D1704">
        <v>0.81693008391499999</v>
      </c>
      <c r="E1704">
        <v>20.292000000000002</v>
      </c>
    </row>
    <row r="1705" spans="1:5">
      <c r="A1705" t="s">
        <v>35495</v>
      </c>
      <c r="B1705" t="s">
        <v>17720</v>
      </c>
      <c r="C1705">
        <f>0.261554914236</f>
        <v>0.26155491423600002</v>
      </c>
      <c r="D1705">
        <v>0.81693008391499999</v>
      </c>
      <c r="E1705">
        <v>20.292000000000002</v>
      </c>
    </row>
    <row r="1706" spans="1:5">
      <c r="A1706" t="s">
        <v>35495</v>
      </c>
      <c r="B1706" t="s">
        <v>17718</v>
      </c>
      <c r="C1706">
        <v>0.29059274072500002</v>
      </c>
      <c r="D1706">
        <v>0.81693008391499999</v>
      </c>
      <c r="E1706">
        <v>20.292000000000002</v>
      </c>
    </row>
    <row r="1707" spans="1:5">
      <c r="A1707" t="s">
        <v>35495</v>
      </c>
      <c r="B1707" t="s">
        <v>17722</v>
      </c>
      <c r="C1707">
        <f>0</f>
        <v>0</v>
      </c>
      <c r="D1707">
        <v>0.81693008391499999</v>
      </c>
      <c r="E1707">
        <v>20.292000000000002</v>
      </c>
    </row>
    <row r="1708" spans="1:5">
      <c r="A1708" t="s">
        <v>35496</v>
      </c>
      <c r="B1708" t="s">
        <v>14332</v>
      </c>
      <c r="C1708">
        <v>0.39207817613200002</v>
      </c>
      <c r="D1708">
        <v>0.65368787405100004</v>
      </c>
      <c r="E1708">
        <v>24</v>
      </c>
    </row>
    <row r="1709" spans="1:5">
      <c r="A1709" t="s">
        <v>35496</v>
      </c>
      <c r="B1709" t="s">
        <v>14337</v>
      </c>
      <c r="C1709">
        <v>0</v>
      </c>
      <c r="D1709">
        <v>0.65368787405100004</v>
      </c>
      <c r="E1709">
        <v>24</v>
      </c>
    </row>
    <row r="1710" spans="1:5">
      <c r="A1710" t="s">
        <v>35496</v>
      </c>
      <c r="B1710" t="s">
        <v>14336</v>
      </c>
      <c r="C1710">
        <f>0</f>
        <v>0</v>
      </c>
      <c r="D1710">
        <v>0.65368787405100004</v>
      </c>
      <c r="E1710">
        <v>24</v>
      </c>
    </row>
    <row r="1711" spans="1:5">
      <c r="A1711" t="s">
        <v>35496</v>
      </c>
      <c r="B1711" t="s">
        <v>14334</v>
      </c>
      <c r="C1711">
        <f>0.0471418226555</f>
        <v>4.7141822655500001E-2</v>
      </c>
      <c r="D1711">
        <v>0.65368787405100004</v>
      </c>
      <c r="E1711">
        <v>24</v>
      </c>
    </row>
    <row r="1712" spans="1:5">
      <c r="A1712" t="s">
        <v>35497</v>
      </c>
      <c r="B1712" t="s">
        <v>12110</v>
      </c>
      <c r="C1712">
        <f>0.123417416957</f>
        <v>0.123417416957</v>
      </c>
      <c r="D1712">
        <v>0.94083290283499998</v>
      </c>
      <c r="E1712">
        <v>22.571999999999999</v>
      </c>
    </row>
    <row r="1713" spans="1:5">
      <c r="A1713" t="s">
        <v>35497</v>
      </c>
      <c r="B1713" t="s">
        <v>12111</v>
      </c>
      <c r="C1713">
        <f>0.849183676205</f>
        <v>0.84918367620500002</v>
      </c>
      <c r="D1713">
        <v>0.94083290283499998</v>
      </c>
      <c r="E1713">
        <v>22.571999999999999</v>
      </c>
    </row>
    <row r="1714" spans="1:5">
      <c r="A1714" t="s">
        <v>35498</v>
      </c>
      <c r="B1714" t="s">
        <v>15648</v>
      </c>
      <c r="C1714">
        <f>0.578874110911</f>
        <v>0.57887411091100005</v>
      </c>
      <c r="D1714">
        <v>0.73888411091100004</v>
      </c>
      <c r="E1714">
        <v>6.9359999999999999</v>
      </c>
    </row>
    <row r="1715" spans="1:5">
      <c r="A1715" t="s">
        <v>35498</v>
      </c>
      <c r="B1715" t="s">
        <v>15653</v>
      </c>
      <c r="C1715">
        <v>0</v>
      </c>
      <c r="D1715">
        <v>0.73888411091100004</v>
      </c>
      <c r="E1715">
        <v>6.9359999999999999</v>
      </c>
    </row>
    <row r="1716" spans="1:5">
      <c r="A1716" t="s">
        <v>35498</v>
      </c>
      <c r="B1716" t="s">
        <v>15650</v>
      </c>
      <c r="C1716">
        <f>0</f>
        <v>0</v>
      </c>
      <c r="D1716">
        <v>0.73888411091100004</v>
      </c>
      <c r="E1716">
        <v>6.9359999999999999</v>
      </c>
    </row>
    <row r="1717" spans="1:5">
      <c r="A1717" t="s">
        <v>35499</v>
      </c>
      <c r="B1717" t="s">
        <v>35500</v>
      </c>
      <c r="C1717">
        <v>0</v>
      </c>
      <c r="D1717" t="s">
        <v>106</v>
      </c>
      <c r="E1717">
        <v>24</v>
      </c>
    </row>
    <row r="1718" spans="1:5">
      <c r="A1718" t="s">
        <v>35499</v>
      </c>
      <c r="B1718" t="s">
        <v>35501</v>
      </c>
      <c r="C1718">
        <f>0</f>
        <v>0</v>
      </c>
      <c r="D1718" t="s">
        <v>106</v>
      </c>
      <c r="E1718">
        <v>24</v>
      </c>
    </row>
    <row r="1719" spans="1:5">
      <c r="A1719" t="s">
        <v>35502</v>
      </c>
      <c r="B1719" t="s">
        <v>35503</v>
      </c>
      <c r="C1719">
        <v>0</v>
      </c>
      <c r="D1719" t="s">
        <v>106</v>
      </c>
      <c r="E1719">
        <v>24</v>
      </c>
    </row>
    <row r="1720" spans="1:5">
      <c r="A1720" t="s">
        <v>35502</v>
      </c>
      <c r="B1720" t="s">
        <v>35504</v>
      </c>
      <c r="C1720">
        <f>0</f>
        <v>0</v>
      </c>
      <c r="D1720" t="s">
        <v>106</v>
      </c>
      <c r="E1720">
        <v>24</v>
      </c>
    </row>
    <row r="1721" spans="1:5">
      <c r="A1721" t="s">
        <v>35502</v>
      </c>
      <c r="B1721" t="s">
        <v>35505</v>
      </c>
      <c r="C1721">
        <f>0</f>
        <v>0</v>
      </c>
      <c r="D1721" t="s">
        <v>106</v>
      </c>
      <c r="E1721">
        <v>24</v>
      </c>
    </row>
    <row r="1722" spans="1:5">
      <c r="A1722" t="s">
        <v>35502</v>
      </c>
      <c r="B1722" t="s">
        <v>35506</v>
      </c>
      <c r="C1722">
        <v>0</v>
      </c>
      <c r="D1722" t="s">
        <v>106</v>
      </c>
      <c r="E1722">
        <v>24</v>
      </c>
    </row>
    <row r="1723" spans="1:5">
      <c r="A1723" t="s">
        <v>35507</v>
      </c>
      <c r="B1723" t="s">
        <v>10630</v>
      </c>
      <c r="C1723">
        <f>0</f>
        <v>0</v>
      </c>
      <c r="D1723" t="s">
        <v>106</v>
      </c>
      <c r="E1723">
        <v>4.5839999999999996</v>
      </c>
    </row>
    <row r="1724" spans="1:5">
      <c r="A1724" t="s">
        <v>35507</v>
      </c>
      <c r="B1724" t="s">
        <v>10629</v>
      </c>
      <c r="C1724">
        <f>0</f>
        <v>0</v>
      </c>
      <c r="D1724" t="s">
        <v>106</v>
      </c>
      <c r="E1724">
        <v>4.5839999999999996</v>
      </c>
    </row>
    <row r="1725" spans="1:5">
      <c r="A1725" t="s">
        <v>35507</v>
      </c>
      <c r="B1725" t="s">
        <v>10631</v>
      </c>
      <c r="C1725">
        <f>0</f>
        <v>0</v>
      </c>
      <c r="D1725" t="s">
        <v>106</v>
      </c>
      <c r="E1725">
        <v>4.5839999999999996</v>
      </c>
    </row>
    <row r="1726" spans="1:5">
      <c r="A1726" t="s">
        <v>35507</v>
      </c>
      <c r="B1726" t="s">
        <v>10636</v>
      </c>
      <c r="C1726">
        <f>0</f>
        <v>0</v>
      </c>
      <c r="D1726" t="s">
        <v>106</v>
      </c>
      <c r="E1726">
        <v>4.5839999999999996</v>
      </c>
    </row>
    <row r="1727" spans="1:5">
      <c r="A1727" t="s">
        <v>35507</v>
      </c>
      <c r="B1727" t="s">
        <v>10635</v>
      </c>
      <c r="C1727">
        <f>0</f>
        <v>0</v>
      </c>
      <c r="D1727" t="s">
        <v>106</v>
      </c>
      <c r="E1727">
        <v>4.5839999999999996</v>
      </c>
    </row>
    <row r="1728" spans="1:5">
      <c r="A1728" t="s">
        <v>35508</v>
      </c>
      <c r="B1728" t="s">
        <v>14963</v>
      </c>
      <c r="C1728">
        <v>0.74897298568600001</v>
      </c>
      <c r="D1728">
        <v>0.990396728236</v>
      </c>
      <c r="E1728">
        <v>16.698</v>
      </c>
    </row>
    <row r="1729" spans="1:5">
      <c r="A1729" t="s">
        <v>35508</v>
      </c>
      <c r="B1729" t="s">
        <v>14964</v>
      </c>
      <c r="C1729">
        <v>0.19653937661000001</v>
      </c>
      <c r="D1729">
        <v>0.990396728236</v>
      </c>
      <c r="E1729">
        <v>16.698</v>
      </c>
    </row>
    <row r="1730" spans="1:5">
      <c r="A1730" t="s">
        <v>35508</v>
      </c>
      <c r="B1730" t="s">
        <v>14967</v>
      </c>
      <c r="C1730">
        <f>0.8335979312</f>
        <v>0.83359793120000003</v>
      </c>
      <c r="D1730">
        <v>0.990396728236</v>
      </c>
      <c r="E1730">
        <v>16.698</v>
      </c>
    </row>
    <row r="1731" spans="1:5">
      <c r="A1731" t="s">
        <v>35508</v>
      </c>
      <c r="B1731" t="s">
        <v>14968</v>
      </c>
      <c r="C1731">
        <v>0.74512885616199998</v>
      </c>
      <c r="D1731">
        <v>0.990396728236</v>
      </c>
      <c r="E1731">
        <v>16.698</v>
      </c>
    </row>
    <row r="1732" spans="1:5">
      <c r="A1732" t="s">
        <v>35508</v>
      </c>
      <c r="B1732" t="s">
        <v>14966</v>
      </c>
      <c r="C1732">
        <f>0.891398102367</f>
        <v>0.89139810236700001</v>
      </c>
      <c r="D1732">
        <v>0.990396728236</v>
      </c>
      <c r="E1732">
        <v>16.698</v>
      </c>
    </row>
    <row r="1733" spans="1:5">
      <c r="A1733" t="s">
        <v>35508</v>
      </c>
      <c r="B1733" t="s">
        <v>14965</v>
      </c>
      <c r="C1733">
        <f>0.714062439297</f>
        <v>0.71406243929699997</v>
      </c>
      <c r="D1733">
        <v>0.990396728236</v>
      </c>
      <c r="E1733">
        <v>16.698</v>
      </c>
    </row>
    <row r="1734" spans="1:5">
      <c r="A1734" t="s">
        <v>35509</v>
      </c>
      <c r="B1734" t="s">
        <v>15318</v>
      </c>
      <c r="C1734">
        <f>-5.60456933323</f>
        <v>-5.6045693332299997</v>
      </c>
      <c r="D1734">
        <v>0.99871768596699995</v>
      </c>
      <c r="E1734">
        <v>19.853999999999999</v>
      </c>
    </row>
    <row r="1735" spans="1:5">
      <c r="A1735" t="s">
        <v>35509</v>
      </c>
      <c r="B1735" t="s">
        <v>15321</v>
      </c>
      <c r="C1735">
        <v>5.2453762396799997</v>
      </c>
      <c r="D1735">
        <v>0.99871768596699995</v>
      </c>
      <c r="E1735">
        <v>19.853999999999999</v>
      </c>
    </row>
    <row r="1736" spans="1:5">
      <c r="A1736" t="s">
        <v>35509</v>
      </c>
      <c r="B1736" t="s">
        <v>15319</v>
      </c>
      <c r="C1736">
        <f>-1.87345360935</f>
        <v>-1.87345360935</v>
      </c>
      <c r="D1736">
        <v>0.99871768596699995</v>
      </c>
      <c r="E1736">
        <v>19.853999999999999</v>
      </c>
    </row>
    <row r="1737" spans="1:5">
      <c r="A1737" t="s">
        <v>35509</v>
      </c>
      <c r="B1737" t="s">
        <v>15320</v>
      </c>
      <c r="C1737">
        <v>0.94912487462899997</v>
      </c>
      <c r="D1737">
        <v>0.99871768596699995</v>
      </c>
      <c r="E1737">
        <v>19.853999999999999</v>
      </c>
    </row>
    <row r="1738" spans="1:5">
      <c r="A1738" t="s">
        <v>35509</v>
      </c>
      <c r="B1738" t="s">
        <v>15323</v>
      </c>
      <c r="C1738">
        <f>-1.72551802956</f>
        <v>-1.7255180295600001</v>
      </c>
      <c r="D1738">
        <v>0.99871768596699995</v>
      </c>
      <c r="E1738">
        <v>19.853999999999999</v>
      </c>
    </row>
    <row r="1739" spans="1:5">
      <c r="A1739" t="s">
        <v>35509</v>
      </c>
      <c r="B1739" t="s">
        <v>15322</v>
      </c>
      <c r="C1739">
        <v>2.1769601058400001</v>
      </c>
      <c r="D1739">
        <v>0.99871768596699995</v>
      </c>
      <c r="E1739">
        <v>19.853999999999999</v>
      </c>
    </row>
    <row r="1740" spans="1:5">
      <c r="A1740" t="s">
        <v>35510</v>
      </c>
      <c r="B1740" t="s">
        <v>16186</v>
      </c>
      <c r="C1740">
        <f>0.204292744872</f>
        <v>0.204292744872</v>
      </c>
      <c r="D1740">
        <v>0.94198415771599997</v>
      </c>
      <c r="E1740">
        <v>0</v>
      </c>
    </row>
    <row r="1741" spans="1:5">
      <c r="A1741" t="s">
        <v>35510</v>
      </c>
      <c r="B1741" t="s">
        <v>16187</v>
      </c>
      <c r="C1741">
        <f>0.77107814393</f>
        <v>0.77107814392999996</v>
      </c>
      <c r="D1741">
        <v>0.94198415771599997</v>
      </c>
      <c r="E1741">
        <v>0</v>
      </c>
    </row>
    <row r="1742" spans="1:5">
      <c r="A1742" t="s">
        <v>35510</v>
      </c>
      <c r="B1742" t="s">
        <v>16188</v>
      </c>
      <c r="C1742">
        <v>0.58389580940499997</v>
      </c>
      <c r="D1742">
        <v>0.94198415771599997</v>
      </c>
      <c r="E1742">
        <v>0</v>
      </c>
    </row>
    <row r="1743" spans="1:5">
      <c r="A1743" t="s">
        <v>35511</v>
      </c>
      <c r="B1743" t="s">
        <v>11643</v>
      </c>
      <c r="C1743">
        <v>0.81990812744999997</v>
      </c>
      <c r="D1743">
        <v>0.81797477475900005</v>
      </c>
      <c r="E1743">
        <v>9.468</v>
      </c>
    </row>
    <row r="1744" spans="1:5">
      <c r="A1744" t="s">
        <v>35511</v>
      </c>
      <c r="B1744" t="s">
        <v>11644</v>
      </c>
      <c r="C1744">
        <f>0.683020620204</f>
        <v>0.68302062020400001</v>
      </c>
      <c r="D1744">
        <v>0.81797477475900005</v>
      </c>
      <c r="E1744">
        <v>9.468</v>
      </c>
    </row>
    <row r="1745" spans="1:5">
      <c r="A1745" t="s">
        <v>35512</v>
      </c>
      <c r="B1745" t="s">
        <v>35513</v>
      </c>
      <c r="C1745">
        <v>0.46685861286699998</v>
      </c>
      <c r="D1745">
        <v>0.90570017578200002</v>
      </c>
      <c r="E1745">
        <v>1.3380000000000001</v>
      </c>
    </row>
    <row r="1746" spans="1:5">
      <c r="A1746" t="s">
        <v>35512</v>
      </c>
      <c r="B1746" t="s">
        <v>35514</v>
      </c>
      <c r="C1746">
        <f>-1.11128056547</f>
        <v>-1.11128056547</v>
      </c>
      <c r="D1746">
        <v>0.90570017578200002</v>
      </c>
      <c r="E1746">
        <v>1.3380000000000001</v>
      </c>
    </row>
    <row r="1747" spans="1:5">
      <c r="A1747" t="s">
        <v>35515</v>
      </c>
      <c r="B1747" t="s">
        <v>13107</v>
      </c>
      <c r="C1747">
        <v>1.1426077217499999</v>
      </c>
      <c r="D1747">
        <v>0.83476632256200001</v>
      </c>
      <c r="E1747">
        <v>4.5839999999999996</v>
      </c>
    </row>
    <row r="1748" spans="1:5">
      <c r="A1748" t="s">
        <v>35515</v>
      </c>
      <c r="B1748" t="s">
        <v>13104</v>
      </c>
      <c r="C1748">
        <v>9.4216516859899999E-2</v>
      </c>
      <c r="D1748">
        <v>0.83476632256200001</v>
      </c>
      <c r="E1748">
        <v>4.5839999999999996</v>
      </c>
    </row>
    <row r="1749" spans="1:5">
      <c r="A1749" t="s">
        <v>35515</v>
      </c>
      <c r="B1749" t="s">
        <v>13105</v>
      </c>
      <c r="C1749">
        <f>0</f>
        <v>0</v>
      </c>
      <c r="D1749">
        <v>0.83476632256200001</v>
      </c>
      <c r="E1749">
        <v>4.5839999999999996</v>
      </c>
    </row>
    <row r="1750" spans="1:5">
      <c r="A1750" t="s">
        <v>35515</v>
      </c>
      <c r="B1750" t="s">
        <v>13110</v>
      </c>
      <c r="C1750">
        <f>0.72456277727</f>
        <v>0.72456277726999996</v>
      </c>
      <c r="D1750">
        <v>0.83476632256200001</v>
      </c>
      <c r="E1750">
        <v>4.5839999999999996</v>
      </c>
    </row>
    <row r="1751" spans="1:5">
      <c r="A1751" t="s">
        <v>35515</v>
      </c>
      <c r="B1751" t="s">
        <v>13111</v>
      </c>
      <c r="C1751">
        <v>0</v>
      </c>
      <c r="D1751">
        <v>0.83476632256200001</v>
      </c>
      <c r="E1751">
        <v>4.5839999999999996</v>
      </c>
    </row>
    <row r="1752" spans="1:5">
      <c r="A1752" t="s">
        <v>35515</v>
      </c>
      <c r="B1752" t="s">
        <v>13108</v>
      </c>
      <c r="C1752">
        <v>0</v>
      </c>
      <c r="D1752">
        <v>0.83476632256200001</v>
      </c>
      <c r="E1752">
        <v>4.5839999999999996</v>
      </c>
    </row>
    <row r="1753" spans="1:5">
      <c r="A1753" t="s">
        <v>35516</v>
      </c>
      <c r="B1753" t="s">
        <v>14462</v>
      </c>
      <c r="C1753">
        <v>0</v>
      </c>
      <c r="D1753">
        <v>0.72577337289800004</v>
      </c>
      <c r="E1753">
        <v>12.048</v>
      </c>
    </row>
    <row r="1754" spans="1:5">
      <c r="A1754" t="s">
        <v>35516</v>
      </c>
      <c r="B1754" t="s">
        <v>14466</v>
      </c>
      <c r="C1754">
        <f>0.489041493949</f>
        <v>0.48904149394899998</v>
      </c>
      <c r="D1754">
        <v>0.72577337289800004</v>
      </c>
      <c r="E1754">
        <v>12.048</v>
      </c>
    </row>
    <row r="1755" spans="1:5">
      <c r="A1755" t="s">
        <v>35516</v>
      </c>
      <c r="B1755" t="s">
        <v>14464</v>
      </c>
      <c r="C1755">
        <f>0.0208590866387</f>
        <v>2.0859086638700002E-2</v>
      </c>
      <c r="D1755">
        <v>0.72577337289800004</v>
      </c>
      <c r="E1755">
        <v>12.048</v>
      </c>
    </row>
    <row r="1756" spans="1:5">
      <c r="A1756" t="s">
        <v>35516</v>
      </c>
      <c r="B1756" t="s">
        <v>14465</v>
      </c>
      <c r="C1756">
        <f>0</f>
        <v>0</v>
      </c>
      <c r="D1756">
        <v>0.72577337289800004</v>
      </c>
      <c r="E1756">
        <v>12.048</v>
      </c>
    </row>
    <row r="1757" spans="1:5">
      <c r="A1757" t="s">
        <v>35517</v>
      </c>
      <c r="B1757" t="s">
        <v>35518</v>
      </c>
      <c r="C1757">
        <v>0</v>
      </c>
      <c r="D1757" t="s">
        <v>106</v>
      </c>
      <c r="E1757">
        <v>0.58199999999999996</v>
      </c>
    </row>
    <row r="1758" spans="1:5">
      <c r="A1758" t="s">
        <v>35517</v>
      </c>
      <c r="B1758" t="s">
        <v>35519</v>
      </c>
      <c r="C1758">
        <v>0</v>
      </c>
      <c r="D1758" t="s">
        <v>106</v>
      </c>
      <c r="E1758">
        <v>0.58199999999999996</v>
      </c>
    </row>
    <row r="1759" spans="1:5">
      <c r="A1759" t="s">
        <v>35517</v>
      </c>
      <c r="B1759" t="s">
        <v>35520</v>
      </c>
      <c r="C1759">
        <v>0</v>
      </c>
      <c r="D1759" t="s">
        <v>106</v>
      </c>
      <c r="E1759">
        <v>0.58199999999999996</v>
      </c>
    </row>
    <row r="1760" spans="1:5">
      <c r="A1760" t="s">
        <v>35517</v>
      </c>
      <c r="B1760" t="s">
        <v>35521</v>
      </c>
      <c r="C1760">
        <v>0</v>
      </c>
      <c r="D1760" t="s">
        <v>106</v>
      </c>
      <c r="E1760">
        <v>0.58199999999999996</v>
      </c>
    </row>
    <row r="1761" spans="1:5">
      <c r="A1761" t="s">
        <v>35522</v>
      </c>
      <c r="B1761" t="s">
        <v>35523</v>
      </c>
      <c r="C1761">
        <v>0.63833071799700003</v>
      </c>
      <c r="D1761">
        <v>0.83194071799699998</v>
      </c>
      <c r="E1761">
        <v>2.556</v>
      </c>
    </row>
    <row r="1762" spans="1:5">
      <c r="A1762" t="s">
        <v>35522</v>
      </c>
      <c r="B1762" t="s">
        <v>35524</v>
      </c>
      <c r="C1762">
        <v>0</v>
      </c>
      <c r="D1762">
        <v>0.83194071799699998</v>
      </c>
      <c r="E1762">
        <v>2.556</v>
      </c>
    </row>
    <row r="1763" spans="1:5">
      <c r="A1763" t="s">
        <v>35522</v>
      </c>
      <c r="B1763" t="s">
        <v>35525</v>
      </c>
      <c r="C1763">
        <v>0</v>
      </c>
      <c r="D1763">
        <v>0.83194071799699998</v>
      </c>
      <c r="E1763">
        <v>2.556</v>
      </c>
    </row>
    <row r="1764" spans="1:5">
      <c r="A1764" t="s">
        <v>35522</v>
      </c>
      <c r="B1764" t="s">
        <v>35526</v>
      </c>
      <c r="C1764">
        <v>0</v>
      </c>
      <c r="D1764">
        <v>0.83194071799699998</v>
      </c>
      <c r="E1764">
        <v>2.556</v>
      </c>
    </row>
    <row r="1765" spans="1:5">
      <c r="A1765" t="s">
        <v>35527</v>
      </c>
      <c r="B1765" t="s">
        <v>6782</v>
      </c>
      <c r="C1765">
        <v>0</v>
      </c>
      <c r="D1765" t="s">
        <v>106</v>
      </c>
      <c r="E1765">
        <v>0.15</v>
      </c>
    </row>
    <row r="1766" spans="1:5">
      <c r="A1766" t="s">
        <v>35527</v>
      </c>
      <c r="B1766" t="s">
        <v>6780</v>
      </c>
      <c r="C1766">
        <v>0</v>
      </c>
      <c r="D1766" t="s">
        <v>106</v>
      </c>
      <c r="E1766">
        <v>0.15</v>
      </c>
    </row>
    <row r="1767" spans="1:5">
      <c r="A1767" t="s">
        <v>35527</v>
      </c>
      <c r="B1767" t="s">
        <v>6783</v>
      </c>
      <c r="C1767">
        <v>0</v>
      </c>
      <c r="D1767" t="s">
        <v>106</v>
      </c>
      <c r="E1767">
        <v>0.15</v>
      </c>
    </row>
    <row r="1768" spans="1:5">
      <c r="A1768" t="s">
        <v>35527</v>
      </c>
      <c r="B1768" t="s">
        <v>6781</v>
      </c>
      <c r="C1768">
        <v>0</v>
      </c>
      <c r="D1768" t="s">
        <v>106</v>
      </c>
      <c r="E1768">
        <v>0.15</v>
      </c>
    </row>
    <row r="1769" spans="1:5">
      <c r="A1769" t="s">
        <v>35528</v>
      </c>
      <c r="B1769" t="s">
        <v>17141</v>
      </c>
      <c r="C1769">
        <f>0</f>
        <v>0</v>
      </c>
      <c r="D1769">
        <v>0.818342886268</v>
      </c>
      <c r="E1769">
        <v>8.4000000000000005E-2</v>
      </c>
    </row>
    <row r="1770" spans="1:5">
      <c r="A1770" t="s">
        <v>35528</v>
      </c>
      <c r="B1770" t="s">
        <v>17144</v>
      </c>
      <c r="C1770">
        <f>0.51964408432</f>
        <v>0.51964408431999998</v>
      </c>
      <c r="D1770">
        <v>0.818342886268</v>
      </c>
      <c r="E1770">
        <v>8.4000000000000005E-2</v>
      </c>
    </row>
    <row r="1771" spans="1:5">
      <c r="A1771" t="s">
        <v>35528</v>
      </c>
      <c r="B1771" t="s">
        <v>17143</v>
      </c>
      <c r="C1771">
        <f>0.457853108069</f>
        <v>0.45785310806899998</v>
      </c>
      <c r="D1771">
        <v>0.818342886268</v>
      </c>
      <c r="E1771">
        <v>8.4000000000000005E-2</v>
      </c>
    </row>
    <row r="1772" spans="1:5">
      <c r="A1772" t="s">
        <v>35529</v>
      </c>
      <c r="B1772" t="s">
        <v>35530</v>
      </c>
      <c r="C1772">
        <v>0.66111108191900003</v>
      </c>
      <c r="D1772">
        <v>0.90307160251499996</v>
      </c>
      <c r="E1772">
        <v>23.754000000000001</v>
      </c>
    </row>
    <row r="1773" spans="1:5">
      <c r="A1773" t="s">
        <v>35529</v>
      </c>
      <c r="B1773" t="s">
        <v>35531</v>
      </c>
      <c r="C1773">
        <f>0</f>
        <v>0</v>
      </c>
      <c r="D1773">
        <v>0.90307160251499996</v>
      </c>
      <c r="E1773">
        <v>23.754000000000001</v>
      </c>
    </row>
    <row r="1774" spans="1:5">
      <c r="A1774" t="s">
        <v>35529</v>
      </c>
      <c r="B1774" t="s">
        <v>35532</v>
      </c>
      <c r="C1774">
        <f>0.483032247763</f>
        <v>0.48303224776300002</v>
      </c>
      <c r="D1774">
        <v>0.90307160251499996</v>
      </c>
      <c r="E1774">
        <v>23.754000000000001</v>
      </c>
    </row>
    <row r="1775" spans="1:5">
      <c r="A1775" t="s">
        <v>35533</v>
      </c>
      <c r="B1775" t="s">
        <v>17273</v>
      </c>
      <c r="C1775">
        <f>0.0202132067614</f>
        <v>2.02132067614E-2</v>
      </c>
      <c r="D1775">
        <v>0.73045624227399997</v>
      </c>
      <c r="E1775">
        <v>12.048</v>
      </c>
    </row>
    <row r="1776" spans="1:5">
      <c r="A1776" t="s">
        <v>35533</v>
      </c>
      <c r="B1776" t="s">
        <v>17274</v>
      </c>
      <c r="C1776">
        <f>0</f>
        <v>0</v>
      </c>
      <c r="D1776">
        <v>0.73045624227399997</v>
      </c>
      <c r="E1776">
        <v>12.048</v>
      </c>
    </row>
    <row r="1777" spans="1:5">
      <c r="A1777" t="s">
        <v>35533</v>
      </c>
      <c r="B1777" t="s">
        <v>17275</v>
      </c>
      <c r="C1777">
        <f>0.508891630955</f>
        <v>0.50889163095500001</v>
      </c>
      <c r="D1777">
        <v>0.73045624227399997</v>
      </c>
      <c r="E1777">
        <v>12.048</v>
      </c>
    </row>
    <row r="1778" spans="1:5">
      <c r="A1778" t="s">
        <v>35533</v>
      </c>
      <c r="B1778" t="s">
        <v>17277</v>
      </c>
      <c r="C1778">
        <f>0.181963096888</f>
        <v>0.181963096888</v>
      </c>
      <c r="D1778">
        <v>0.73045624227399997</v>
      </c>
      <c r="E1778">
        <v>12.048</v>
      </c>
    </row>
    <row r="1779" spans="1:5">
      <c r="A1779" t="s">
        <v>35534</v>
      </c>
      <c r="B1779" t="s">
        <v>35535</v>
      </c>
      <c r="C1779">
        <f>0</f>
        <v>0</v>
      </c>
      <c r="D1779" t="s">
        <v>106</v>
      </c>
      <c r="E1779">
        <v>13.272</v>
      </c>
    </row>
    <row r="1780" spans="1:5">
      <c r="A1780" t="s">
        <v>35534</v>
      </c>
      <c r="B1780" t="s">
        <v>35536</v>
      </c>
      <c r="C1780">
        <f>0</f>
        <v>0</v>
      </c>
      <c r="D1780" t="s">
        <v>106</v>
      </c>
      <c r="E1780">
        <v>13.272</v>
      </c>
    </row>
    <row r="1781" spans="1:5">
      <c r="A1781" t="s">
        <v>35534</v>
      </c>
      <c r="B1781" t="s">
        <v>35537</v>
      </c>
      <c r="C1781">
        <f>0</f>
        <v>0</v>
      </c>
      <c r="D1781" t="s">
        <v>106</v>
      </c>
      <c r="E1781">
        <v>13.272</v>
      </c>
    </row>
    <row r="1782" spans="1:5">
      <c r="A1782" t="s">
        <v>35534</v>
      </c>
      <c r="B1782" t="s">
        <v>35538</v>
      </c>
      <c r="C1782">
        <f>0</f>
        <v>0</v>
      </c>
      <c r="D1782" t="s">
        <v>106</v>
      </c>
      <c r="E1782">
        <v>13.272</v>
      </c>
    </row>
    <row r="1783" spans="1:5">
      <c r="A1783" t="s">
        <v>35534</v>
      </c>
      <c r="B1783" t="s">
        <v>35539</v>
      </c>
      <c r="C1783">
        <v>0</v>
      </c>
      <c r="D1783" t="s">
        <v>106</v>
      </c>
      <c r="E1783">
        <v>13.272</v>
      </c>
    </row>
    <row r="1784" spans="1:5">
      <c r="A1784" t="s">
        <v>35534</v>
      </c>
      <c r="B1784" t="s">
        <v>35540</v>
      </c>
      <c r="C1784">
        <v>0</v>
      </c>
      <c r="D1784" t="s">
        <v>106</v>
      </c>
      <c r="E1784">
        <v>13.272</v>
      </c>
    </row>
    <row r="1785" spans="1:5">
      <c r="A1785" t="s">
        <v>35541</v>
      </c>
      <c r="B1785" t="s">
        <v>3751</v>
      </c>
      <c r="C1785">
        <v>6.1758744397700002E-2</v>
      </c>
      <c r="D1785">
        <v>0.73473395759100002</v>
      </c>
      <c r="E1785">
        <v>24</v>
      </c>
    </row>
    <row r="1786" spans="1:5">
      <c r="A1786" t="s">
        <v>35541</v>
      </c>
      <c r="B1786" t="s">
        <v>3753</v>
      </c>
      <c r="C1786">
        <v>0.58555887881500002</v>
      </c>
      <c r="D1786">
        <v>0.73473395759100002</v>
      </c>
      <c r="E1786">
        <v>24</v>
      </c>
    </row>
    <row r="1787" spans="1:5">
      <c r="A1787" t="s">
        <v>35541</v>
      </c>
      <c r="B1787" t="s">
        <v>3754</v>
      </c>
      <c r="C1787">
        <f>0</f>
        <v>0</v>
      </c>
      <c r="D1787">
        <v>0.73473395759100002</v>
      </c>
      <c r="E1787">
        <v>24</v>
      </c>
    </row>
    <row r="1788" spans="1:5">
      <c r="A1788" t="s">
        <v>35542</v>
      </c>
      <c r="B1788" t="s">
        <v>32651</v>
      </c>
      <c r="C1788">
        <v>0.74679596102000001</v>
      </c>
      <c r="D1788">
        <v>0.94864661516299997</v>
      </c>
      <c r="E1788">
        <v>4.0739999999999998</v>
      </c>
    </row>
    <row r="1789" spans="1:5">
      <c r="A1789" t="s">
        <v>35542</v>
      </c>
      <c r="B1789" t="s">
        <v>32657</v>
      </c>
      <c r="C1789">
        <v>0.14724718731899999</v>
      </c>
      <c r="D1789">
        <v>0.94864661516299997</v>
      </c>
      <c r="E1789">
        <v>4.0739999999999998</v>
      </c>
    </row>
    <row r="1790" spans="1:5">
      <c r="A1790" t="s">
        <v>35543</v>
      </c>
      <c r="B1790" t="s">
        <v>35544</v>
      </c>
      <c r="C1790">
        <v>0.40691636708099999</v>
      </c>
      <c r="D1790">
        <v>0.87994542815999999</v>
      </c>
      <c r="E1790">
        <v>0</v>
      </c>
    </row>
    <row r="1791" spans="1:5">
      <c r="A1791" t="s">
        <v>35543</v>
      </c>
      <c r="B1791" t="s">
        <v>35545</v>
      </c>
      <c r="C1791">
        <v>0</v>
      </c>
      <c r="D1791">
        <v>0.87994542815999999</v>
      </c>
      <c r="E1791">
        <v>0</v>
      </c>
    </row>
    <row r="1792" spans="1:5">
      <c r="A1792" t="s">
        <v>35543</v>
      </c>
      <c r="B1792" t="s">
        <v>35546</v>
      </c>
      <c r="C1792">
        <f>0.0781388697481</f>
        <v>7.8138869748099998E-2</v>
      </c>
      <c r="D1792">
        <v>0.87994542815999999</v>
      </c>
      <c r="E1792">
        <v>0</v>
      </c>
    </row>
    <row r="1793" spans="1:5">
      <c r="A1793" t="s">
        <v>35543</v>
      </c>
      <c r="B1793" t="s">
        <v>35547</v>
      </c>
      <c r="C1793">
        <f>0.286258864469</f>
        <v>0.28625886446900001</v>
      </c>
      <c r="D1793">
        <v>0.87994542815999999</v>
      </c>
      <c r="E1793">
        <v>0</v>
      </c>
    </row>
    <row r="1794" spans="1:5">
      <c r="A1794" t="s">
        <v>35543</v>
      </c>
      <c r="B1794" t="s">
        <v>35548</v>
      </c>
      <c r="C1794">
        <v>0.88997627960299996</v>
      </c>
      <c r="D1794">
        <v>0.87994542815999999</v>
      </c>
      <c r="E1794">
        <v>0</v>
      </c>
    </row>
    <row r="1795" spans="1:5">
      <c r="A1795" t="s">
        <v>35549</v>
      </c>
      <c r="B1795" t="s">
        <v>15911</v>
      </c>
      <c r="C1795">
        <v>0</v>
      </c>
      <c r="D1795" t="s">
        <v>106</v>
      </c>
      <c r="E1795">
        <v>24</v>
      </c>
    </row>
    <row r="1796" spans="1:5">
      <c r="A1796" t="s">
        <v>35549</v>
      </c>
      <c r="B1796" t="s">
        <v>15915</v>
      </c>
      <c r="C1796">
        <f>0</f>
        <v>0</v>
      </c>
      <c r="D1796" t="s">
        <v>106</v>
      </c>
      <c r="E1796">
        <v>24</v>
      </c>
    </row>
    <row r="1797" spans="1:5">
      <c r="A1797" t="s">
        <v>35549</v>
      </c>
      <c r="B1797" t="s">
        <v>35550</v>
      </c>
      <c r="C1797">
        <f>0</f>
        <v>0</v>
      </c>
      <c r="D1797" t="s">
        <v>106</v>
      </c>
      <c r="E1797">
        <v>24</v>
      </c>
    </row>
    <row r="1798" spans="1:5">
      <c r="A1798" t="s">
        <v>35549</v>
      </c>
      <c r="B1798" t="s">
        <v>15912</v>
      </c>
      <c r="C1798">
        <v>0</v>
      </c>
      <c r="D1798" t="s">
        <v>106</v>
      </c>
      <c r="E1798">
        <v>24</v>
      </c>
    </row>
    <row r="1799" spans="1:5">
      <c r="A1799" t="s">
        <v>35549</v>
      </c>
      <c r="B1799" t="s">
        <v>15913</v>
      </c>
      <c r="C1799">
        <f>0</f>
        <v>0</v>
      </c>
      <c r="D1799" t="s">
        <v>106</v>
      </c>
      <c r="E1799">
        <v>24</v>
      </c>
    </row>
    <row r="1800" spans="1:5">
      <c r="A1800" t="s">
        <v>35551</v>
      </c>
      <c r="B1800" t="s">
        <v>20755</v>
      </c>
      <c r="C1800">
        <v>0.60010904112399999</v>
      </c>
      <c r="D1800">
        <v>0.91235292657</v>
      </c>
      <c r="E1800">
        <v>4.2720000000000002</v>
      </c>
    </row>
    <row r="1801" spans="1:5">
      <c r="A1801" t="s">
        <v>35551</v>
      </c>
      <c r="B1801" t="s">
        <v>20753</v>
      </c>
      <c r="C1801">
        <f>-1.60975906916</f>
        <v>-1.6097590691599999</v>
      </c>
      <c r="D1801">
        <v>0.91235292657</v>
      </c>
      <c r="E1801">
        <v>4.2720000000000002</v>
      </c>
    </row>
    <row r="1802" spans="1:5">
      <c r="A1802" t="s">
        <v>35551</v>
      </c>
      <c r="B1802" t="s">
        <v>20751</v>
      </c>
      <c r="C1802">
        <f>0.673097706019</f>
        <v>0.67309770601899999</v>
      </c>
      <c r="D1802">
        <v>0.91235292657</v>
      </c>
      <c r="E1802">
        <v>4.2720000000000002</v>
      </c>
    </row>
    <row r="1803" spans="1:5">
      <c r="A1803" t="s">
        <v>35551</v>
      </c>
      <c r="B1803" t="s">
        <v>20758</v>
      </c>
      <c r="C1803">
        <v>1.4969794216800001</v>
      </c>
      <c r="D1803">
        <v>0.91235292657</v>
      </c>
      <c r="E1803">
        <v>4.2720000000000002</v>
      </c>
    </row>
    <row r="1804" spans="1:5">
      <c r="A1804" t="s">
        <v>35551</v>
      </c>
      <c r="B1804" t="s">
        <v>20750</v>
      </c>
      <c r="C1804">
        <v>0</v>
      </c>
      <c r="D1804">
        <v>0.91235292657</v>
      </c>
      <c r="E1804">
        <v>4.2720000000000002</v>
      </c>
    </row>
    <row r="1805" spans="1:5">
      <c r="A1805" t="s">
        <v>35552</v>
      </c>
      <c r="B1805" t="s">
        <v>35553</v>
      </c>
      <c r="C1805">
        <v>0.76531656741599996</v>
      </c>
      <c r="D1805">
        <v>0.89870901454600005</v>
      </c>
      <c r="E1805">
        <v>0.216</v>
      </c>
    </row>
    <row r="1806" spans="1:5">
      <c r="A1806" t="s">
        <v>35552</v>
      </c>
      <c r="B1806" t="s">
        <v>35554</v>
      </c>
      <c r="C1806">
        <f>0.311422606439</f>
        <v>0.31142260643899999</v>
      </c>
      <c r="D1806">
        <v>0.89870901454600005</v>
      </c>
      <c r="E1806">
        <v>0.216</v>
      </c>
    </row>
    <row r="1807" spans="1:5">
      <c r="A1807" t="s">
        <v>35555</v>
      </c>
      <c r="B1807" t="s">
        <v>22862</v>
      </c>
      <c r="C1807">
        <v>0</v>
      </c>
      <c r="D1807">
        <v>0.78390842748199996</v>
      </c>
      <c r="E1807">
        <v>12.048</v>
      </c>
    </row>
    <row r="1808" spans="1:5">
      <c r="A1808" t="s">
        <v>35555</v>
      </c>
      <c r="B1808" t="s">
        <v>22865</v>
      </c>
      <c r="C1808">
        <v>6.8835575239499999E-2</v>
      </c>
      <c r="D1808">
        <v>0.78390842748199996</v>
      </c>
      <c r="E1808">
        <v>12.048</v>
      </c>
    </row>
    <row r="1809" spans="1:5">
      <c r="A1809" t="s">
        <v>35555</v>
      </c>
      <c r="B1809" t="s">
        <v>22864</v>
      </c>
      <c r="C1809">
        <f>0.526057473771</f>
        <v>0.52605747377099998</v>
      </c>
      <c r="D1809">
        <v>0.78390842748199996</v>
      </c>
      <c r="E1809">
        <v>12.048</v>
      </c>
    </row>
    <row r="1810" spans="1:5">
      <c r="A1810" t="s">
        <v>35556</v>
      </c>
      <c r="B1810" t="s">
        <v>25620</v>
      </c>
      <c r="C1810">
        <v>0</v>
      </c>
      <c r="D1810" t="s">
        <v>106</v>
      </c>
      <c r="E1810">
        <v>10.715999999999999</v>
      </c>
    </row>
    <row r="1811" spans="1:5">
      <c r="A1811" t="s">
        <v>35556</v>
      </c>
      <c r="B1811" t="s">
        <v>25622</v>
      </c>
      <c r="C1811">
        <f>0</f>
        <v>0</v>
      </c>
      <c r="D1811" t="s">
        <v>106</v>
      </c>
      <c r="E1811">
        <v>10.715999999999999</v>
      </c>
    </row>
    <row r="1812" spans="1:5">
      <c r="A1812" t="s">
        <v>35556</v>
      </c>
      <c r="B1812" t="s">
        <v>25625</v>
      </c>
      <c r="C1812">
        <v>0</v>
      </c>
      <c r="D1812" t="s">
        <v>106</v>
      </c>
      <c r="E1812">
        <v>10.715999999999999</v>
      </c>
    </row>
    <row r="1813" spans="1:5">
      <c r="A1813" t="s">
        <v>35556</v>
      </c>
      <c r="B1813" t="s">
        <v>25623</v>
      </c>
      <c r="C1813">
        <f>0</f>
        <v>0</v>
      </c>
      <c r="D1813" t="s">
        <v>106</v>
      </c>
      <c r="E1813">
        <v>10.715999999999999</v>
      </c>
    </row>
    <row r="1814" spans="1:5">
      <c r="A1814" t="s">
        <v>35556</v>
      </c>
      <c r="B1814" t="s">
        <v>25626</v>
      </c>
      <c r="C1814">
        <v>0</v>
      </c>
      <c r="D1814" t="s">
        <v>106</v>
      </c>
      <c r="E1814">
        <v>10.715999999999999</v>
      </c>
    </row>
    <row r="1815" spans="1:5">
      <c r="A1815" t="s">
        <v>35556</v>
      </c>
      <c r="B1815" t="s">
        <v>25624</v>
      </c>
      <c r="C1815">
        <f>0</f>
        <v>0</v>
      </c>
      <c r="D1815" t="s">
        <v>106</v>
      </c>
      <c r="E1815">
        <v>10.715999999999999</v>
      </c>
    </row>
    <row r="1816" spans="1:5">
      <c r="A1816" t="s">
        <v>35557</v>
      </c>
      <c r="B1816" t="s">
        <v>2412</v>
      </c>
      <c r="C1816">
        <v>0</v>
      </c>
      <c r="D1816" t="s">
        <v>106</v>
      </c>
      <c r="E1816">
        <v>1.1160000000000001</v>
      </c>
    </row>
    <row r="1817" spans="1:5">
      <c r="A1817" t="s">
        <v>35557</v>
      </c>
      <c r="B1817" t="s">
        <v>2414</v>
      </c>
      <c r="C1817">
        <v>0</v>
      </c>
      <c r="D1817" t="s">
        <v>106</v>
      </c>
      <c r="E1817">
        <v>1.1160000000000001</v>
      </c>
    </row>
    <row r="1818" spans="1:5">
      <c r="A1818" t="s">
        <v>35558</v>
      </c>
      <c r="B1818" t="s">
        <v>14762</v>
      </c>
      <c r="C1818">
        <f>0</f>
        <v>0</v>
      </c>
      <c r="D1818" t="s">
        <v>106</v>
      </c>
      <c r="E1818">
        <v>10.08</v>
      </c>
    </row>
    <row r="1819" spans="1:5">
      <c r="A1819" t="s">
        <v>35558</v>
      </c>
      <c r="B1819" t="s">
        <v>14761</v>
      </c>
      <c r="C1819">
        <f>0</f>
        <v>0</v>
      </c>
      <c r="D1819" t="s">
        <v>106</v>
      </c>
      <c r="E1819">
        <v>10.08</v>
      </c>
    </row>
    <row r="1820" spans="1:5">
      <c r="A1820" t="s">
        <v>35558</v>
      </c>
      <c r="B1820" t="s">
        <v>14771</v>
      </c>
      <c r="C1820">
        <f>0</f>
        <v>0</v>
      </c>
      <c r="D1820" t="s">
        <v>106</v>
      </c>
      <c r="E1820">
        <v>10.08</v>
      </c>
    </row>
    <row r="1821" spans="1:5">
      <c r="A1821" t="s">
        <v>35558</v>
      </c>
      <c r="B1821" t="s">
        <v>14766</v>
      </c>
      <c r="C1821">
        <f>0</f>
        <v>0</v>
      </c>
      <c r="D1821" t="s">
        <v>106</v>
      </c>
      <c r="E1821">
        <v>10.08</v>
      </c>
    </row>
    <row r="1822" spans="1:5">
      <c r="A1822" t="s">
        <v>35558</v>
      </c>
      <c r="B1822" t="s">
        <v>14763</v>
      </c>
      <c r="C1822">
        <v>0</v>
      </c>
      <c r="D1822" t="s">
        <v>106</v>
      </c>
      <c r="E1822">
        <v>10.08</v>
      </c>
    </row>
    <row r="1823" spans="1:5">
      <c r="A1823" t="s">
        <v>35558</v>
      </c>
      <c r="B1823" t="s">
        <v>14764</v>
      </c>
      <c r="C1823">
        <f>0</f>
        <v>0</v>
      </c>
      <c r="D1823" t="s">
        <v>106</v>
      </c>
      <c r="E1823">
        <v>10.08</v>
      </c>
    </row>
    <row r="1824" spans="1:5">
      <c r="A1824" t="s">
        <v>35558</v>
      </c>
      <c r="B1824" t="s">
        <v>14774</v>
      </c>
      <c r="C1824">
        <v>0</v>
      </c>
      <c r="D1824" t="s">
        <v>106</v>
      </c>
      <c r="E1824">
        <v>10.08</v>
      </c>
    </row>
    <row r="1825" spans="1:5">
      <c r="A1825" t="s">
        <v>35558</v>
      </c>
      <c r="B1825" t="s">
        <v>14765</v>
      </c>
      <c r="C1825">
        <f>0</f>
        <v>0</v>
      </c>
      <c r="D1825" t="s">
        <v>106</v>
      </c>
      <c r="E1825">
        <v>10.08</v>
      </c>
    </row>
    <row r="1826" spans="1:5">
      <c r="A1826" t="s">
        <v>35558</v>
      </c>
      <c r="B1826" t="s">
        <v>14760</v>
      </c>
      <c r="C1826">
        <v>0</v>
      </c>
      <c r="D1826" t="s">
        <v>106</v>
      </c>
      <c r="E1826">
        <v>10.08</v>
      </c>
    </row>
    <row r="1827" spans="1:5">
      <c r="A1827" t="s">
        <v>35558</v>
      </c>
      <c r="B1827" t="s">
        <v>14767</v>
      </c>
      <c r="C1827">
        <v>0</v>
      </c>
      <c r="D1827" t="s">
        <v>106</v>
      </c>
      <c r="E1827">
        <v>10.08</v>
      </c>
    </row>
    <row r="1828" spans="1:5">
      <c r="A1828" t="s">
        <v>35558</v>
      </c>
      <c r="B1828" t="s">
        <v>14772</v>
      </c>
      <c r="C1828">
        <f>0</f>
        <v>0</v>
      </c>
      <c r="D1828" t="s">
        <v>106</v>
      </c>
      <c r="E1828">
        <v>10.08</v>
      </c>
    </row>
    <row r="1829" spans="1:5">
      <c r="A1829" t="s">
        <v>35558</v>
      </c>
      <c r="B1829" t="s">
        <v>14759</v>
      </c>
      <c r="C1829">
        <f>0</f>
        <v>0</v>
      </c>
      <c r="D1829" t="s">
        <v>106</v>
      </c>
      <c r="E1829">
        <v>10.08</v>
      </c>
    </row>
    <row r="1830" spans="1:5">
      <c r="A1830" t="s">
        <v>35558</v>
      </c>
      <c r="B1830" t="s">
        <v>14758</v>
      </c>
      <c r="C1830">
        <f>0</f>
        <v>0</v>
      </c>
      <c r="D1830" t="s">
        <v>106</v>
      </c>
      <c r="E1830">
        <v>10.08</v>
      </c>
    </row>
    <row r="1831" spans="1:5">
      <c r="A1831" t="s">
        <v>35559</v>
      </c>
      <c r="B1831" t="s">
        <v>35560</v>
      </c>
      <c r="C1831">
        <f>0</f>
        <v>0</v>
      </c>
      <c r="D1831">
        <v>0.99929163125200005</v>
      </c>
      <c r="E1831">
        <v>22.338000000000001</v>
      </c>
    </row>
    <row r="1832" spans="1:5">
      <c r="A1832" t="s">
        <v>35559</v>
      </c>
      <c r="B1832" t="s">
        <v>35561</v>
      </c>
      <c r="C1832">
        <f>0.149325740727</f>
        <v>0.149325740727</v>
      </c>
      <c r="D1832">
        <v>0.99929163125200005</v>
      </c>
      <c r="E1832">
        <v>22.338000000000001</v>
      </c>
    </row>
    <row r="1833" spans="1:5">
      <c r="A1833" t="s">
        <v>35559</v>
      </c>
      <c r="B1833" t="s">
        <v>35562</v>
      </c>
      <c r="C1833">
        <v>0</v>
      </c>
      <c r="D1833">
        <v>0.99929163125200005</v>
      </c>
      <c r="E1833">
        <v>22.338000000000001</v>
      </c>
    </row>
    <row r="1834" spans="1:5">
      <c r="A1834" t="s">
        <v>35559</v>
      </c>
      <c r="B1834" t="s">
        <v>35563</v>
      </c>
      <c r="C1834">
        <v>0</v>
      </c>
      <c r="D1834">
        <v>0.99929163125200005</v>
      </c>
      <c r="E1834">
        <v>22.338000000000001</v>
      </c>
    </row>
    <row r="1835" spans="1:5">
      <c r="A1835" t="s">
        <v>35559</v>
      </c>
      <c r="B1835" t="s">
        <v>35564</v>
      </c>
      <c r="C1835">
        <v>0</v>
      </c>
      <c r="D1835">
        <v>0.99929163125200005</v>
      </c>
      <c r="E1835">
        <v>22.338000000000001</v>
      </c>
    </row>
    <row r="1836" spans="1:5">
      <c r="A1836" t="s">
        <v>35559</v>
      </c>
      <c r="B1836" t="s">
        <v>35565</v>
      </c>
      <c r="C1836">
        <f>0.470729668728</f>
        <v>0.47072966872799998</v>
      </c>
      <c r="D1836">
        <v>0.99929163125200005</v>
      </c>
      <c r="E1836">
        <v>22.338000000000001</v>
      </c>
    </row>
    <row r="1837" spans="1:5">
      <c r="A1837" t="s">
        <v>35559</v>
      </c>
      <c r="B1837" t="s">
        <v>35566</v>
      </c>
      <c r="C1837">
        <v>0.174146341146</v>
      </c>
      <c r="D1837">
        <v>0.99929163125200005</v>
      </c>
      <c r="E1837">
        <v>22.338000000000001</v>
      </c>
    </row>
    <row r="1838" spans="1:5">
      <c r="A1838" t="s">
        <v>35559</v>
      </c>
      <c r="B1838" t="s">
        <v>35567</v>
      </c>
      <c r="C1838">
        <v>0.100734246015</v>
      </c>
      <c r="D1838">
        <v>0.99929163125200005</v>
      </c>
      <c r="E1838">
        <v>22.338000000000001</v>
      </c>
    </row>
    <row r="1839" spans="1:5">
      <c r="A1839" t="s">
        <v>35559</v>
      </c>
      <c r="B1839" t="s">
        <v>35568</v>
      </c>
      <c r="C1839">
        <v>0</v>
      </c>
      <c r="D1839">
        <v>0.99929163125200005</v>
      </c>
      <c r="E1839">
        <v>22.338000000000001</v>
      </c>
    </row>
    <row r="1840" spans="1:5">
      <c r="A1840" t="s">
        <v>35559</v>
      </c>
      <c r="B1840" t="s">
        <v>35569</v>
      </c>
      <c r="C1840">
        <v>8.5653465702699993E-3</v>
      </c>
      <c r="D1840">
        <v>0.99929163125200005</v>
      </c>
      <c r="E1840">
        <v>22.338000000000001</v>
      </c>
    </row>
    <row r="1841" spans="1:5">
      <c r="A1841" t="s">
        <v>35559</v>
      </c>
      <c r="B1841" t="s">
        <v>35570</v>
      </c>
      <c r="C1841">
        <v>0.32854821313999999</v>
      </c>
      <c r="D1841">
        <v>0.99929163125200005</v>
      </c>
      <c r="E1841">
        <v>22.338000000000001</v>
      </c>
    </row>
    <row r="1842" spans="1:5">
      <c r="A1842" t="s">
        <v>35559</v>
      </c>
      <c r="B1842" t="s">
        <v>35571</v>
      </c>
      <c r="C1842">
        <v>0.32718404261400003</v>
      </c>
      <c r="D1842">
        <v>0.99929163125200005</v>
      </c>
      <c r="E1842">
        <v>22.338000000000001</v>
      </c>
    </row>
    <row r="1843" spans="1:5">
      <c r="A1843" t="s">
        <v>35572</v>
      </c>
      <c r="B1843" t="s">
        <v>11219</v>
      </c>
      <c r="C1843">
        <f>0</f>
        <v>0</v>
      </c>
      <c r="D1843" t="s">
        <v>106</v>
      </c>
      <c r="E1843">
        <v>24</v>
      </c>
    </row>
    <row r="1844" spans="1:5">
      <c r="A1844" t="s">
        <v>35572</v>
      </c>
      <c r="B1844" t="s">
        <v>11222</v>
      </c>
      <c r="C1844">
        <f>0</f>
        <v>0</v>
      </c>
      <c r="D1844" t="s">
        <v>106</v>
      </c>
      <c r="E1844">
        <v>24</v>
      </c>
    </row>
    <row r="1845" spans="1:5">
      <c r="A1845" t="s">
        <v>35572</v>
      </c>
      <c r="B1845" t="s">
        <v>11223</v>
      </c>
      <c r="C1845">
        <f>0</f>
        <v>0</v>
      </c>
      <c r="D1845" t="s">
        <v>106</v>
      </c>
      <c r="E1845">
        <v>24</v>
      </c>
    </row>
    <row r="1846" spans="1:5">
      <c r="A1846" t="s">
        <v>35572</v>
      </c>
      <c r="B1846" t="s">
        <v>11224</v>
      </c>
      <c r="C1846">
        <v>0</v>
      </c>
      <c r="D1846" t="s">
        <v>106</v>
      </c>
      <c r="E1846">
        <v>24</v>
      </c>
    </row>
    <row r="1847" spans="1:5">
      <c r="A1847" t="s">
        <v>35573</v>
      </c>
      <c r="B1847" t="s">
        <v>35574</v>
      </c>
      <c r="C1847">
        <f>0</f>
        <v>0</v>
      </c>
      <c r="D1847" t="s">
        <v>106</v>
      </c>
      <c r="E1847">
        <v>1.278</v>
      </c>
    </row>
    <row r="1848" spans="1:5">
      <c r="A1848" t="s">
        <v>35573</v>
      </c>
      <c r="B1848" t="s">
        <v>35575</v>
      </c>
      <c r="C1848">
        <v>0</v>
      </c>
      <c r="D1848" t="s">
        <v>106</v>
      </c>
      <c r="E1848">
        <v>1.278</v>
      </c>
    </row>
    <row r="1849" spans="1:5">
      <c r="A1849" t="s">
        <v>35576</v>
      </c>
      <c r="B1849" t="s">
        <v>10573</v>
      </c>
      <c r="C1849">
        <f>0</f>
        <v>0</v>
      </c>
      <c r="D1849" t="s">
        <v>106</v>
      </c>
      <c r="E1849">
        <v>21.876000000000001</v>
      </c>
    </row>
    <row r="1850" spans="1:5">
      <c r="A1850" t="s">
        <v>35576</v>
      </c>
      <c r="B1850" t="s">
        <v>10576</v>
      </c>
      <c r="C1850">
        <v>0</v>
      </c>
      <c r="D1850" t="s">
        <v>106</v>
      </c>
      <c r="E1850">
        <v>21.876000000000001</v>
      </c>
    </row>
    <row r="1851" spans="1:5">
      <c r="A1851" t="s">
        <v>35576</v>
      </c>
      <c r="B1851" t="s">
        <v>10572</v>
      </c>
      <c r="C1851">
        <f>0</f>
        <v>0</v>
      </c>
      <c r="D1851" t="s">
        <v>106</v>
      </c>
      <c r="E1851">
        <v>21.876000000000001</v>
      </c>
    </row>
    <row r="1852" spans="1:5">
      <c r="A1852" t="s">
        <v>35577</v>
      </c>
      <c r="B1852" t="s">
        <v>35578</v>
      </c>
      <c r="C1852">
        <f>0.505546960024</f>
        <v>0.50554696002400001</v>
      </c>
      <c r="D1852">
        <v>0.63276091485700003</v>
      </c>
      <c r="E1852">
        <v>9.6180000000000003</v>
      </c>
    </row>
    <row r="1853" spans="1:5">
      <c r="A1853" t="s">
        <v>35577</v>
      </c>
      <c r="B1853" t="s">
        <v>35579</v>
      </c>
      <c r="C1853">
        <v>1.5620027705300001E-2</v>
      </c>
      <c r="D1853">
        <v>0.63276091485700003</v>
      </c>
      <c r="E1853">
        <v>9.6180000000000003</v>
      </c>
    </row>
    <row r="1854" spans="1:5">
      <c r="A1854" t="s">
        <v>35577</v>
      </c>
      <c r="B1854" t="s">
        <v>35580</v>
      </c>
      <c r="C1854">
        <v>0</v>
      </c>
      <c r="D1854">
        <v>0.63276091485700003</v>
      </c>
      <c r="E1854">
        <v>9.6180000000000003</v>
      </c>
    </row>
    <row r="1855" spans="1:5">
      <c r="A1855" t="s">
        <v>35581</v>
      </c>
      <c r="B1855" t="s">
        <v>23825</v>
      </c>
      <c r="C1855">
        <f>0.762616459628</f>
        <v>0.76261645962799995</v>
      </c>
      <c r="D1855">
        <v>0.88966507736900002</v>
      </c>
      <c r="E1855">
        <v>0</v>
      </c>
    </row>
    <row r="1856" spans="1:5">
      <c r="A1856" t="s">
        <v>35581</v>
      </c>
      <c r="B1856" t="s">
        <v>23828</v>
      </c>
      <c r="C1856">
        <f>0.741722948582</f>
        <v>0.74172294858200005</v>
      </c>
      <c r="D1856">
        <v>0.88966507736900002</v>
      </c>
      <c r="E1856">
        <v>0</v>
      </c>
    </row>
    <row r="1857" spans="1:5">
      <c r="A1857" t="s">
        <v>35581</v>
      </c>
      <c r="B1857" t="s">
        <v>23831</v>
      </c>
      <c r="C1857">
        <v>0.59668925873500001</v>
      </c>
      <c r="D1857">
        <v>0.88966507736900002</v>
      </c>
      <c r="E1857">
        <v>0</v>
      </c>
    </row>
    <row r="1858" spans="1:5">
      <c r="A1858" t="s">
        <v>35582</v>
      </c>
      <c r="B1858" t="s">
        <v>32756</v>
      </c>
      <c r="C1858">
        <v>0.87929626961399998</v>
      </c>
      <c r="D1858">
        <v>0.96989867935600005</v>
      </c>
      <c r="E1858">
        <v>4.5839999999999996</v>
      </c>
    </row>
    <row r="1859" spans="1:5">
      <c r="A1859" t="s">
        <v>35582</v>
      </c>
      <c r="B1859" t="s">
        <v>32758</v>
      </c>
      <c r="C1859">
        <v>1.0518609321900001</v>
      </c>
      <c r="D1859">
        <v>0.96989867935600005</v>
      </c>
      <c r="E1859">
        <v>4.5839999999999996</v>
      </c>
    </row>
    <row r="1860" spans="1:5">
      <c r="A1860" t="s">
        <v>35582</v>
      </c>
      <c r="B1860" t="s">
        <v>32757</v>
      </c>
      <c r="C1860">
        <f>0.442367472529</f>
        <v>0.44236747252899999</v>
      </c>
      <c r="D1860">
        <v>0.96989867935600005</v>
      </c>
      <c r="E1860">
        <v>4.5839999999999996</v>
      </c>
    </row>
    <row r="1861" spans="1:5">
      <c r="A1861" t="s">
        <v>35582</v>
      </c>
      <c r="B1861" t="s">
        <v>32759</v>
      </c>
      <c r="C1861">
        <f>0.182778497057</f>
        <v>0.182778497057</v>
      </c>
      <c r="D1861">
        <v>0.96989867935600005</v>
      </c>
      <c r="E1861">
        <v>4.5839999999999996</v>
      </c>
    </row>
    <row r="1862" spans="1:5">
      <c r="A1862" t="s">
        <v>35583</v>
      </c>
      <c r="B1862" t="s">
        <v>20082</v>
      </c>
      <c r="C1862">
        <f>0.611193332155</f>
        <v>0.61119333215500005</v>
      </c>
      <c r="D1862">
        <v>0.90243071841300004</v>
      </c>
      <c r="E1862">
        <v>0.24</v>
      </c>
    </row>
    <row r="1863" spans="1:5">
      <c r="A1863" t="s">
        <v>35583</v>
      </c>
      <c r="B1863" t="s">
        <v>20073</v>
      </c>
      <c r="C1863">
        <f>0</f>
        <v>0</v>
      </c>
      <c r="D1863">
        <v>0.90243071841300004</v>
      </c>
      <c r="E1863">
        <v>0.24</v>
      </c>
    </row>
    <row r="1864" spans="1:5">
      <c r="A1864" t="s">
        <v>35583</v>
      </c>
      <c r="B1864" t="s">
        <v>20080</v>
      </c>
      <c r="C1864">
        <f>0</f>
        <v>0</v>
      </c>
      <c r="D1864">
        <v>0.90243071841300004</v>
      </c>
      <c r="E1864">
        <v>0.24</v>
      </c>
    </row>
    <row r="1865" spans="1:5">
      <c r="A1865" t="s">
        <v>35583</v>
      </c>
      <c r="B1865" t="s">
        <v>20077</v>
      </c>
      <c r="C1865">
        <v>0.173556790519</v>
      </c>
      <c r="D1865">
        <v>0.90243071841300004</v>
      </c>
      <c r="E1865">
        <v>0.24</v>
      </c>
    </row>
    <row r="1866" spans="1:5">
      <c r="A1866" t="s">
        <v>35584</v>
      </c>
      <c r="B1866" t="s">
        <v>548</v>
      </c>
      <c r="C1866">
        <f>0.77907645924</f>
        <v>0.77907645924000002</v>
      </c>
      <c r="D1866">
        <v>0.94989129071900003</v>
      </c>
      <c r="E1866">
        <v>1.512</v>
      </c>
    </row>
    <row r="1867" spans="1:5">
      <c r="A1867" t="s">
        <v>35584</v>
      </c>
      <c r="B1867" t="s">
        <v>552</v>
      </c>
      <c r="C1867">
        <f>0.360054559231</f>
        <v>0.36005455923099999</v>
      </c>
      <c r="D1867">
        <v>0.94989129071900003</v>
      </c>
      <c r="E1867">
        <v>1.512</v>
      </c>
    </row>
    <row r="1868" spans="1:5">
      <c r="A1868" t="s">
        <v>35584</v>
      </c>
      <c r="B1868" t="s">
        <v>549</v>
      </c>
      <c r="C1868">
        <v>0</v>
      </c>
      <c r="D1868">
        <v>0.94989129071900003</v>
      </c>
      <c r="E1868">
        <v>1.512</v>
      </c>
    </row>
    <row r="1869" spans="1:5">
      <c r="A1869" t="s">
        <v>35584</v>
      </c>
      <c r="B1869" t="s">
        <v>551</v>
      </c>
      <c r="C1869">
        <v>0.75626519013399995</v>
      </c>
      <c r="D1869">
        <v>0.94989129071900003</v>
      </c>
      <c r="E1869">
        <v>1.512</v>
      </c>
    </row>
    <row r="1870" spans="1:5">
      <c r="A1870" t="s">
        <v>35584</v>
      </c>
      <c r="B1870" t="s">
        <v>547</v>
      </c>
      <c r="C1870">
        <f>0.305162442484</f>
        <v>0.30516244248399998</v>
      </c>
      <c r="D1870">
        <v>0.94989129071900003</v>
      </c>
      <c r="E1870">
        <v>1.512</v>
      </c>
    </row>
    <row r="1871" spans="1:5">
      <c r="A1871" t="s">
        <v>35585</v>
      </c>
      <c r="B1871" t="s">
        <v>35586</v>
      </c>
      <c r="C1871">
        <v>0</v>
      </c>
      <c r="D1871" t="s">
        <v>106</v>
      </c>
      <c r="E1871">
        <v>0.378</v>
      </c>
    </row>
    <row r="1872" spans="1:5">
      <c r="A1872" t="s">
        <v>35585</v>
      </c>
      <c r="B1872" t="s">
        <v>35587</v>
      </c>
      <c r="C1872">
        <f>0</f>
        <v>0</v>
      </c>
      <c r="D1872" t="s">
        <v>106</v>
      </c>
      <c r="E1872">
        <v>0.378</v>
      </c>
    </row>
    <row r="1873" spans="1:5">
      <c r="A1873" t="s">
        <v>35585</v>
      </c>
      <c r="B1873" t="s">
        <v>35588</v>
      </c>
      <c r="C1873">
        <f>0</f>
        <v>0</v>
      </c>
      <c r="D1873" t="s">
        <v>106</v>
      </c>
      <c r="E1873">
        <v>0.378</v>
      </c>
    </row>
    <row r="1874" spans="1:5">
      <c r="A1874" t="s">
        <v>35585</v>
      </c>
      <c r="B1874" t="s">
        <v>35589</v>
      </c>
      <c r="C1874">
        <f>0</f>
        <v>0</v>
      </c>
      <c r="D1874" t="s">
        <v>106</v>
      </c>
      <c r="E1874">
        <v>0.378</v>
      </c>
    </row>
    <row r="1875" spans="1:5">
      <c r="A1875" t="s">
        <v>35585</v>
      </c>
      <c r="B1875" t="s">
        <v>35590</v>
      </c>
      <c r="C1875">
        <v>0</v>
      </c>
      <c r="D1875" t="s">
        <v>106</v>
      </c>
      <c r="E1875">
        <v>0.378</v>
      </c>
    </row>
    <row r="1876" spans="1:5">
      <c r="A1876" t="s">
        <v>35591</v>
      </c>
      <c r="B1876" t="s">
        <v>26129</v>
      </c>
      <c r="C1876">
        <v>0.75121578554299995</v>
      </c>
      <c r="D1876">
        <v>0.80867659872700004</v>
      </c>
      <c r="E1876">
        <v>19.853999999999999</v>
      </c>
    </row>
    <row r="1877" spans="1:5">
      <c r="A1877" t="s">
        <v>35591</v>
      </c>
      <c r="B1877" t="s">
        <v>26132</v>
      </c>
      <c r="C1877">
        <f>0.198813796979</f>
        <v>0.19881379697900001</v>
      </c>
      <c r="D1877">
        <v>0.80867659872700004</v>
      </c>
      <c r="E1877">
        <v>19.853999999999999</v>
      </c>
    </row>
    <row r="1878" spans="1:5">
      <c r="A1878" t="s">
        <v>35591</v>
      </c>
      <c r="B1878" t="s">
        <v>26133</v>
      </c>
      <c r="C1878">
        <f>0</f>
        <v>0</v>
      </c>
      <c r="D1878">
        <v>0.80867659872700004</v>
      </c>
      <c r="E1878">
        <v>19.853999999999999</v>
      </c>
    </row>
    <row r="1879" spans="1:5">
      <c r="A1879" t="s">
        <v>35592</v>
      </c>
      <c r="B1879" t="s">
        <v>35593</v>
      </c>
      <c r="C1879">
        <v>0.35758806820400002</v>
      </c>
      <c r="D1879">
        <v>0.75491058688000001</v>
      </c>
      <c r="E1879">
        <v>23.754000000000001</v>
      </c>
    </row>
    <row r="1880" spans="1:5">
      <c r="A1880" t="s">
        <v>35592</v>
      </c>
      <c r="B1880" t="s">
        <v>35594</v>
      </c>
      <c r="C1880">
        <v>0.32969191626299998</v>
      </c>
      <c r="D1880">
        <v>0.75491058688000001</v>
      </c>
      <c r="E1880">
        <v>23.754000000000001</v>
      </c>
    </row>
    <row r="1881" spans="1:5">
      <c r="A1881" t="s">
        <v>35595</v>
      </c>
      <c r="B1881" t="s">
        <v>4626</v>
      </c>
      <c r="C1881">
        <v>0</v>
      </c>
      <c r="D1881">
        <v>0.88936890374999999</v>
      </c>
      <c r="E1881">
        <v>9.468</v>
      </c>
    </row>
    <row r="1882" spans="1:5">
      <c r="A1882" t="s">
        <v>35595</v>
      </c>
      <c r="B1882" t="s">
        <v>4631</v>
      </c>
      <c r="C1882">
        <v>0.33813265160599998</v>
      </c>
      <c r="D1882">
        <v>0.88936890374999999</v>
      </c>
      <c r="E1882">
        <v>9.468</v>
      </c>
    </row>
    <row r="1883" spans="1:5">
      <c r="A1883" t="s">
        <v>35595</v>
      </c>
      <c r="B1883" t="s">
        <v>4629</v>
      </c>
      <c r="C1883">
        <v>0.30279696192599997</v>
      </c>
      <c r="D1883">
        <v>0.88936890374999999</v>
      </c>
      <c r="E1883">
        <v>9.468</v>
      </c>
    </row>
    <row r="1884" spans="1:5">
      <c r="A1884" t="s">
        <v>35595</v>
      </c>
      <c r="B1884" t="s">
        <v>4635</v>
      </c>
      <c r="C1884">
        <f>0.0498552620168</f>
        <v>4.9855262016800003E-2</v>
      </c>
      <c r="D1884">
        <v>0.88936890374999999</v>
      </c>
      <c r="E1884">
        <v>9.468</v>
      </c>
    </row>
    <row r="1885" spans="1:5">
      <c r="A1885" t="s">
        <v>35595</v>
      </c>
      <c r="B1885" t="s">
        <v>4630</v>
      </c>
      <c r="C1885">
        <v>0</v>
      </c>
      <c r="D1885">
        <v>0.88936890374999999</v>
      </c>
      <c r="E1885">
        <v>9.468</v>
      </c>
    </row>
    <row r="1886" spans="1:5">
      <c r="A1886" t="s">
        <v>35595</v>
      </c>
      <c r="B1886" t="s">
        <v>4637</v>
      </c>
      <c r="C1886">
        <v>0</v>
      </c>
      <c r="D1886">
        <v>0.88936890374999999</v>
      </c>
      <c r="E1886">
        <v>9.468</v>
      </c>
    </row>
    <row r="1887" spans="1:5">
      <c r="A1887" t="s">
        <v>35595</v>
      </c>
      <c r="B1887" t="s">
        <v>4634</v>
      </c>
      <c r="C1887">
        <v>0</v>
      </c>
      <c r="D1887">
        <v>0.88936890374999999</v>
      </c>
      <c r="E1887">
        <v>9.468</v>
      </c>
    </row>
    <row r="1888" spans="1:5">
      <c r="A1888" t="s">
        <v>35595</v>
      </c>
      <c r="B1888" t="s">
        <v>4633</v>
      </c>
      <c r="C1888">
        <v>2.81601580618E-2</v>
      </c>
      <c r="D1888">
        <v>0.88936890374999999</v>
      </c>
      <c r="E1888">
        <v>9.468</v>
      </c>
    </row>
    <row r="1889" spans="1:5">
      <c r="A1889" t="s">
        <v>35596</v>
      </c>
      <c r="B1889" t="s">
        <v>35597</v>
      </c>
      <c r="C1889">
        <v>0.81721614655899999</v>
      </c>
      <c r="D1889">
        <v>0.99986987286499995</v>
      </c>
      <c r="E1889">
        <v>7.0679999999999996</v>
      </c>
    </row>
    <row r="1890" spans="1:5">
      <c r="A1890" t="s">
        <v>35596</v>
      </c>
      <c r="B1890" t="s">
        <v>35598</v>
      </c>
      <c r="C1890">
        <f>-1.26008526026</f>
        <v>-1.2600852602599999</v>
      </c>
      <c r="D1890">
        <v>0.99986987286499995</v>
      </c>
      <c r="E1890">
        <v>7.0679999999999996</v>
      </c>
    </row>
    <row r="1891" spans="1:5">
      <c r="A1891" t="s">
        <v>35596</v>
      </c>
      <c r="B1891" t="s">
        <v>35599</v>
      </c>
      <c r="C1891">
        <f>0.0284387731404</f>
        <v>2.8438773140400001E-2</v>
      </c>
      <c r="D1891">
        <v>0.99986987286499995</v>
      </c>
      <c r="E1891">
        <v>7.0679999999999996</v>
      </c>
    </row>
    <row r="1892" spans="1:5">
      <c r="A1892" t="s">
        <v>35596</v>
      </c>
      <c r="B1892" t="s">
        <v>35600</v>
      </c>
      <c r="C1892">
        <v>1.04470170499</v>
      </c>
      <c r="D1892">
        <v>0.99986987286499995</v>
      </c>
      <c r="E1892">
        <v>7.0679999999999996</v>
      </c>
    </row>
    <row r="1893" spans="1:5">
      <c r="A1893" t="s">
        <v>35596</v>
      </c>
      <c r="B1893" t="s">
        <v>35601</v>
      </c>
      <c r="C1893">
        <f>0.304885611397</f>
        <v>0.30488561139699999</v>
      </c>
      <c r="D1893">
        <v>0.99986987286499995</v>
      </c>
      <c r="E1893">
        <v>7.0679999999999996</v>
      </c>
    </row>
    <row r="1894" spans="1:5">
      <c r="A1894" t="s">
        <v>35596</v>
      </c>
      <c r="B1894" t="s">
        <v>35602</v>
      </c>
      <c r="C1894">
        <f>0.2955238702</f>
        <v>0.29552387019999998</v>
      </c>
      <c r="D1894">
        <v>0.99986987286499995</v>
      </c>
      <c r="E1894">
        <v>7.0679999999999996</v>
      </c>
    </row>
    <row r="1895" spans="1:5">
      <c r="A1895" t="s">
        <v>35603</v>
      </c>
      <c r="B1895" t="s">
        <v>35604</v>
      </c>
      <c r="C1895">
        <f>0.0351028899566</f>
        <v>3.5102889956599999E-2</v>
      </c>
      <c r="D1895">
        <v>0.94993105420500001</v>
      </c>
      <c r="E1895">
        <v>19.853999999999999</v>
      </c>
    </row>
    <row r="1896" spans="1:5">
      <c r="A1896" t="s">
        <v>35603</v>
      </c>
      <c r="B1896" t="s">
        <v>35605</v>
      </c>
      <c r="C1896">
        <f>0.670462753797</f>
        <v>0.67046275379700004</v>
      </c>
      <c r="D1896">
        <v>0.94993105420500001</v>
      </c>
      <c r="E1896">
        <v>19.853999999999999</v>
      </c>
    </row>
    <row r="1897" spans="1:5">
      <c r="A1897" t="s">
        <v>35603</v>
      </c>
      <c r="B1897" t="s">
        <v>35606</v>
      </c>
      <c r="C1897">
        <f>0</f>
        <v>0</v>
      </c>
      <c r="D1897">
        <v>0.94993105420500001</v>
      </c>
      <c r="E1897">
        <v>19.853999999999999</v>
      </c>
    </row>
    <row r="1898" spans="1:5">
      <c r="A1898" t="s">
        <v>35603</v>
      </c>
      <c r="B1898" t="s">
        <v>35607</v>
      </c>
      <c r="C1898">
        <v>0.280214529682</v>
      </c>
      <c r="D1898">
        <v>0.94993105420500001</v>
      </c>
      <c r="E1898">
        <v>19.853999999999999</v>
      </c>
    </row>
    <row r="1899" spans="1:5">
      <c r="A1899" t="s">
        <v>35603</v>
      </c>
      <c r="B1899" t="s">
        <v>35608</v>
      </c>
      <c r="C1899">
        <v>0.74362787758500004</v>
      </c>
      <c r="D1899">
        <v>0.94993105420500001</v>
      </c>
      <c r="E1899">
        <v>19.853999999999999</v>
      </c>
    </row>
    <row r="1900" spans="1:5">
      <c r="A1900" t="s">
        <v>35609</v>
      </c>
      <c r="B1900" t="s">
        <v>11103</v>
      </c>
      <c r="C1900">
        <v>0.13758640393499999</v>
      </c>
      <c r="D1900">
        <v>0.91971740706100003</v>
      </c>
      <c r="E1900">
        <v>23.754000000000001</v>
      </c>
    </row>
    <row r="1901" spans="1:5">
      <c r="A1901" t="s">
        <v>35609</v>
      </c>
      <c r="B1901" t="s">
        <v>11106</v>
      </c>
      <c r="C1901">
        <v>0.89183962607199996</v>
      </c>
      <c r="D1901">
        <v>0.91971740706100003</v>
      </c>
      <c r="E1901">
        <v>23.754000000000001</v>
      </c>
    </row>
    <row r="1902" spans="1:5">
      <c r="A1902" t="s">
        <v>35609</v>
      </c>
      <c r="B1902" t="s">
        <v>11110</v>
      </c>
      <c r="C1902">
        <v>0.25902587996400001</v>
      </c>
      <c r="D1902">
        <v>0.91971740706100003</v>
      </c>
      <c r="E1902">
        <v>23.754000000000001</v>
      </c>
    </row>
    <row r="1903" spans="1:5">
      <c r="A1903" t="s">
        <v>35609</v>
      </c>
      <c r="B1903" t="s">
        <v>11111</v>
      </c>
      <c r="C1903">
        <f>0.50397179</f>
        <v>0.50397179000000003</v>
      </c>
      <c r="D1903">
        <v>0.91971740706100003</v>
      </c>
      <c r="E1903">
        <v>23.754000000000001</v>
      </c>
    </row>
    <row r="1904" spans="1:5">
      <c r="A1904" t="s">
        <v>35610</v>
      </c>
      <c r="B1904" t="s">
        <v>5600</v>
      </c>
      <c r="C1904">
        <f>0.0716617625663</f>
        <v>7.1661762566299997E-2</v>
      </c>
      <c r="D1904">
        <v>0.99844515227200004</v>
      </c>
      <c r="E1904">
        <v>15.708</v>
      </c>
    </row>
    <row r="1905" spans="1:5">
      <c r="A1905" t="s">
        <v>35610</v>
      </c>
      <c r="B1905" t="s">
        <v>5588</v>
      </c>
      <c r="C1905">
        <f>0.936490214587</f>
        <v>0.93649021458699999</v>
      </c>
      <c r="D1905">
        <v>0.99844515227200004</v>
      </c>
      <c r="E1905">
        <v>15.708</v>
      </c>
    </row>
    <row r="1906" spans="1:5">
      <c r="A1906" t="s">
        <v>35610</v>
      </c>
      <c r="B1906" t="s">
        <v>5602</v>
      </c>
      <c r="C1906">
        <f>0</f>
        <v>0</v>
      </c>
      <c r="D1906">
        <v>0.99844515227200004</v>
      </c>
      <c r="E1906">
        <v>15.708</v>
      </c>
    </row>
    <row r="1907" spans="1:5">
      <c r="A1907" t="s">
        <v>35610</v>
      </c>
      <c r="B1907" t="s">
        <v>5603</v>
      </c>
      <c r="C1907">
        <f>0.00340909605429</f>
        <v>3.4090960542899999E-3</v>
      </c>
      <c r="D1907">
        <v>0.99844515227200004</v>
      </c>
      <c r="E1907">
        <v>15.708</v>
      </c>
    </row>
    <row r="1908" spans="1:5">
      <c r="A1908" t="s">
        <v>35610</v>
      </c>
      <c r="B1908" t="s">
        <v>5598</v>
      </c>
      <c r="C1908">
        <v>2.0003899441999999E-3</v>
      </c>
      <c r="D1908">
        <v>0.99844515227200004</v>
      </c>
      <c r="E1908">
        <v>15.708</v>
      </c>
    </row>
    <row r="1909" spans="1:5">
      <c r="A1909" t="s">
        <v>35610</v>
      </c>
      <c r="B1909" t="s">
        <v>5589</v>
      </c>
      <c r="C1909">
        <v>0.320870787888</v>
      </c>
      <c r="D1909">
        <v>0.99844515227200004</v>
      </c>
      <c r="E1909">
        <v>15.708</v>
      </c>
    </row>
    <row r="1910" spans="1:5">
      <c r="A1910" t="s">
        <v>35610</v>
      </c>
      <c r="B1910" t="s">
        <v>5596</v>
      </c>
      <c r="C1910">
        <f>0</f>
        <v>0</v>
      </c>
      <c r="D1910">
        <v>0.99844515227200004</v>
      </c>
      <c r="E1910">
        <v>15.708</v>
      </c>
    </row>
    <row r="1911" spans="1:5">
      <c r="A1911" t="s">
        <v>35610</v>
      </c>
      <c r="B1911" t="s">
        <v>5593</v>
      </c>
      <c r="C1911">
        <f>0.364336633965</f>
        <v>0.36433663396499999</v>
      </c>
      <c r="D1911">
        <v>0.99844515227200004</v>
      </c>
      <c r="E1911">
        <v>15.708</v>
      </c>
    </row>
    <row r="1912" spans="1:5">
      <c r="A1912" t="s">
        <v>35610</v>
      </c>
      <c r="B1912" t="s">
        <v>5595</v>
      </c>
      <c r="C1912">
        <f>0</f>
        <v>0</v>
      </c>
      <c r="D1912">
        <v>0.99844515227200004</v>
      </c>
      <c r="E1912">
        <v>15.708</v>
      </c>
    </row>
    <row r="1913" spans="1:5">
      <c r="A1913" t="s">
        <v>35610</v>
      </c>
      <c r="B1913" t="s">
        <v>5590</v>
      </c>
      <c r="C1913">
        <v>0.69297506351500004</v>
      </c>
      <c r="D1913">
        <v>0.99844515227200004</v>
      </c>
      <c r="E1913">
        <v>15.708</v>
      </c>
    </row>
    <row r="1914" spans="1:5">
      <c r="A1914" t="s">
        <v>35610</v>
      </c>
      <c r="B1914" t="s">
        <v>5601</v>
      </c>
      <c r="C1914">
        <f>0.887069493015</f>
        <v>0.88706949301500004</v>
      </c>
      <c r="D1914">
        <v>0.99844515227200004</v>
      </c>
      <c r="E1914">
        <v>15.708</v>
      </c>
    </row>
    <row r="1915" spans="1:5">
      <c r="A1915" t="s">
        <v>35610</v>
      </c>
      <c r="B1915" t="s">
        <v>5599</v>
      </c>
      <c r="C1915">
        <v>0.98258208405699998</v>
      </c>
      <c r="D1915">
        <v>0.99844515227200004</v>
      </c>
      <c r="E1915">
        <v>15.708</v>
      </c>
    </row>
    <row r="1916" spans="1:5">
      <c r="A1916" t="s">
        <v>35611</v>
      </c>
      <c r="B1916" t="s">
        <v>34258</v>
      </c>
      <c r="C1916">
        <v>0</v>
      </c>
      <c r="D1916" t="s">
        <v>106</v>
      </c>
      <c r="E1916">
        <v>24</v>
      </c>
    </row>
    <row r="1917" spans="1:5">
      <c r="A1917" t="s">
        <v>35611</v>
      </c>
      <c r="B1917" t="s">
        <v>34261</v>
      </c>
      <c r="C1917">
        <v>0</v>
      </c>
      <c r="D1917" t="s">
        <v>106</v>
      </c>
      <c r="E1917">
        <v>24</v>
      </c>
    </row>
    <row r="1918" spans="1:5">
      <c r="A1918" t="s">
        <v>35611</v>
      </c>
      <c r="B1918" t="s">
        <v>34262</v>
      </c>
      <c r="C1918">
        <v>0</v>
      </c>
      <c r="D1918" t="s">
        <v>106</v>
      </c>
      <c r="E1918">
        <v>24</v>
      </c>
    </row>
    <row r="1919" spans="1:5">
      <c r="A1919" t="s">
        <v>35611</v>
      </c>
      <c r="B1919" t="s">
        <v>34263</v>
      </c>
      <c r="C1919">
        <v>0</v>
      </c>
      <c r="D1919" t="s">
        <v>106</v>
      </c>
      <c r="E1919">
        <v>24</v>
      </c>
    </row>
    <row r="1920" spans="1:5">
      <c r="A1920" t="s">
        <v>35612</v>
      </c>
      <c r="B1920" t="s">
        <v>6792</v>
      </c>
      <c r="C1920">
        <v>0.75061343753900001</v>
      </c>
      <c r="D1920">
        <v>0.87457582166799996</v>
      </c>
      <c r="E1920">
        <v>6.8040000000000003</v>
      </c>
    </row>
    <row r="1921" spans="1:5">
      <c r="A1921" t="s">
        <v>35612</v>
      </c>
      <c r="B1921" t="s">
        <v>6794</v>
      </c>
      <c r="C1921">
        <v>0.113484142902</v>
      </c>
      <c r="D1921">
        <v>0.87457582166799996</v>
      </c>
      <c r="E1921">
        <v>6.8040000000000003</v>
      </c>
    </row>
    <row r="1922" spans="1:5">
      <c r="A1922" t="s">
        <v>35612</v>
      </c>
      <c r="B1922" t="s">
        <v>6793</v>
      </c>
      <c r="C1922">
        <v>0.18850034715899999</v>
      </c>
      <c r="D1922">
        <v>0.87457582166799996</v>
      </c>
      <c r="E1922">
        <v>6.8040000000000003</v>
      </c>
    </row>
    <row r="1923" spans="1:5">
      <c r="A1923" t="s">
        <v>35612</v>
      </c>
      <c r="B1923" t="s">
        <v>6795</v>
      </c>
      <c r="C1923">
        <v>0</v>
      </c>
      <c r="D1923">
        <v>0.87457582166799996</v>
      </c>
      <c r="E1923">
        <v>6.8040000000000003</v>
      </c>
    </row>
    <row r="1924" spans="1:5">
      <c r="A1924" t="s">
        <v>35613</v>
      </c>
      <c r="B1924" t="s">
        <v>29896</v>
      </c>
      <c r="C1924">
        <v>0</v>
      </c>
      <c r="D1924" t="s">
        <v>106</v>
      </c>
      <c r="E1924">
        <v>1.014</v>
      </c>
    </row>
    <row r="1925" spans="1:5">
      <c r="A1925" t="s">
        <v>35613</v>
      </c>
      <c r="B1925" t="s">
        <v>29897</v>
      </c>
      <c r="C1925">
        <v>0</v>
      </c>
      <c r="D1925" t="s">
        <v>106</v>
      </c>
      <c r="E1925">
        <v>1.014</v>
      </c>
    </row>
    <row r="1926" spans="1:5">
      <c r="A1926" t="s">
        <v>35614</v>
      </c>
      <c r="B1926" t="s">
        <v>35615</v>
      </c>
      <c r="C1926">
        <f>0.32501760496</f>
        <v>0.32501760495999998</v>
      </c>
      <c r="D1926">
        <v>0.94131262974100005</v>
      </c>
      <c r="E1926">
        <v>0.26400000000000001</v>
      </c>
    </row>
    <row r="1927" spans="1:5">
      <c r="A1927" t="s">
        <v>35614</v>
      </c>
      <c r="B1927" t="s">
        <v>35616</v>
      </c>
      <c r="C1927">
        <f>0.478781032838</f>
        <v>0.478781032838</v>
      </c>
      <c r="D1927">
        <v>0.94131262974100005</v>
      </c>
      <c r="E1927">
        <v>0.26400000000000001</v>
      </c>
    </row>
    <row r="1928" spans="1:5">
      <c r="A1928" t="s">
        <v>35614</v>
      </c>
      <c r="B1928" t="s">
        <v>35617</v>
      </c>
      <c r="C1928">
        <v>0.37061915093499997</v>
      </c>
      <c r="D1928">
        <v>0.94131262974100005</v>
      </c>
      <c r="E1928">
        <v>0.26400000000000001</v>
      </c>
    </row>
    <row r="1929" spans="1:5">
      <c r="A1929" t="s">
        <v>35614</v>
      </c>
      <c r="B1929" t="s">
        <v>35618</v>
      </c>
      <c r="C1929">
        <f>0.346854935864</f>
        <v>0.34685493586400001</v>
      </c>
      <c r="D1929">
        <v>0.94131262974100005</v>
      </c>
      <c r="E1929">
        <v>0.26400000000000001</v>
      </c>
    </row>
    <row r="1930" spans="1:5">
      <c r="A1930" t="s">
        <v>35619</v>
      </c>
      <c r="B1930" t="s">
        <v>35620</v>
      </c>
      <c r="C1930">
        <f>0</f>
        <v>0</v>
      </c>
      <c r="D1930" t="s">
        <v>106</v>
      </c>
      <c r="E1930">
        <v>1.512</v>
      </c>
    </row>
    <row r="1931" spans="1:5">
      <c r="A1931" t="s">
        <v>35619</v>
      </c>
      <c r="B1931" t="s">
        <v>35621</v>
      </c>
      <c r="C1931">
        <f>0</f>
        <v>0</v>
      </c>
      <c r="D1931" t="s">
        <v>106</v>
      </c>
      <c r="E1931">
        <v>1.512</v>
      </c>
    </row>
    <row r="1932" spans="1:5">
      <c r="A1932" t="s">
        <v>35619</v>
      </c>
      <c r="B1932" t="s">
        <v>35622</v>
      </c>
      <c r="C1932">
        <f>0</f>
        <v>0</v>
      </c>
      <c r="D1932" t="s">
        <v>106</v>
      </c>
      <c r="E1932">
        <v>1.512</v>
      </c>
    </row>
    <row r="1933" spans="1:5">
      <c r="A1933" t="s">
        <v>35623</v>
      </c>
      <c r="B1933" t="s">
        <v>30129</v>
      </c>
      <c r="C1933">
        <v>0.40908815685900002</v>
      </c>
      <c r="D1933">
        <v>0.898645885777</v>
      </c>
      <c r="E1933">
        <v>2.3279999999999998</v>
      </c>
    </row>
    <row r="1934" spans="1:5">
      <c r="A1934" t="s">
        <v>35623</v>
      </c>
      <c r="B1934" t="s">
        <v>30132</v>
      </c>
      <c r="C1934">
        <v>0</v>
      </c>
      <c r="D1934">
        <v>0.898645885777</v>
      </c>
      <c r="E1934">
        <v>2.3279999999999998</v>
      </c>
    </row>
    <row r="1935" spans="1:5">
      <c r="A1935" t="s">
        <v>35623</v>
      </c>
      <c r="B1935" t="s">
        <v>30130</v>
      </c>
      <c r="C1935">
        <f>0</f>
        <v>0</v>
      </c>
      <c r="D1935">
        <v>0.898645885777</v>
      </c>
      <c r="E1935">
        <v>2.3279999999999998</v>
      </c>
    </row>
    <row r="1936" spans="1:5">
      <c r="A1936" t="s">
        <v>35623</v>
      </c>
      <c r="B1936" t="s">
        <v>30131</v>
      </c>
      <c r="C1936">
        <v>0.45810382834800001</v>
      </c>
      <c r="D1936">
        <v>0.898645885777</v>
      </c>
      <c r="E1936">
        <v>2.3279999999999998</v>
      </c>
    </row>
    <row r="1937" spans="1:5">
      <c r="A1937" t="s">
        <v>35624</v>
      </c>
      <c r="B1937" t="s">
        <v>35625</v>
      </c>
      <c r="C1937">
        <f>0</f>
        <v>0</v>
      </c>
      <c r="D1937" t="s">
        <v>106</v>
      </c>
      <c r="E1937">
        <v>5.9340000000000002</v>
      </c>
    </row>
    <row r="1938" spans="1:5">
      <c r="A1938" t="s">
        <v>35624</v>
      </c>
      <c r="B1938" t="s">
        <v>35626</v>
      </c>
      <c r="C1938">
        <v>0</v>
      </c>
      <c r="D1938" t="s">
        <v>106</v>
      </c>
      <c r="E1938">
        <v>5.9340000000000002</v>
      </c>
    </row>
    <row r="1939" spans="1:5">
      <c r="A1939" t="s">
        <v>35624</v>
      </c>
      <c r="B1939" t="s">
        <v>35627</v>
      </c>
      <c r="C1939">
        <f>0</f>
        <v>0</v>
      </c>
      <c r="D1939" t="s">
        <v>106</v>
      </c>
      <c r="E1939">
        <v>5.9340000000000002</v>
      </c>
    </row>
    <row r="1940" spans="1:5">
      <c r="A1940" t="s">
        <v>35624</v>
      </c>
      <c r="B1940" t="s">
        <v>35628</v>
      </c>
      <c r="C1940">
        <v>0</v>
      </c>
      <c r="D1940" t="s">
        <v>106</v>
      </c>
      <c r="E1940">
        <v>5.9340000000000002</v>
      </c>
    </row>
    <row r="1941" spans="1:5">
      <c r="A1941" t="s">
        <v>35624</v>
      </c>
      <c r="B1941" t="s">
        <v>35629</v>
      </c>
      <c r="C1941">
        <f>0</f>
        <v>0</v>
      </c>
      <c r="D1941" t="s">
        <v>106</v>
      </c>
      <c r="E1941">
        <v>5.9340000000000002</v>
      </c>
    </row>
    <row r="1942" spans="1:5">
      <c r="A1942" t="s">
        <v>35624</v>
      </c>
      <c r="B1942" t="s">
        <v>35630</v>
      </c>
      <c r="C1942">
        <f>0</f>
        <v>0</v>
      </c>
      <c r="D1942" t="s">
        <v>106</v>
      </c>
      <c r="E1942">
        <v>5.9340000000000002</v>
      </c>
    </row>
    <row r="1943" spans="1:5">
      <c r="A1943" t="s">
        <v>35624</v>
      </c>
      <c r="B1943" t="s">
        <v>35631</v>
      </c>
      <c r="C1943">
        <v>0</v>
      </c>
      <c r="D1943" t="s">
        <v>106</v>
      </c>
      <c r="E1943">
        <v>5.9340000000000002</v>
      </c>
    </row>
    <row r="1944" spans="1:5">
      <c r="A1944" t="s">
        <v>35624</v>
      </c>
      <c r="B1944" t="s">
        <v>35632</v>
      </c>
      <c r="C1944">
        <f>0</f>
        <v>0</v>
      </c>
      <c r="D1944" t="s">
        <v>106</v>
      </c>
      <c r="E1944">
        <v>5.9340000000000002</v>
      </c>
    </row>
    <row r="1945" spans="1:5">
      <c r="A1945" t="s">
        <v>35633</v>
      </c>
      <c r="B1945" t="s">
        <v>1858</v>
      </c>
      <c r="C1945">
        <v>0.46508967063000001</v>
      </c>
      <c r="D1945">
        <v>0.81677934181</v>
      </c>
      <c r="E1945">
        <v>9.1679999999999993</v>
      </c>
    </row>
    <row r="1946" spans="1:5">
      <c r="A1946" t="s">
        <v>35633</v>
      </c>
      <c r="B1946" t="s">
        <v>1860</v>
      </c>
      <c r="C1946">
        <v>0.13552617577000001</v>
      </c>
      <c r="D1946">
        <v>0.81677934181</v>
      </c>
      <c r="E1946">
        <v>9.1679999999999993</v>
      </c>
    </row>
    <row r="1947" spans="1:5">
      <c r="A1947" t="s">
        <v>35633</v>
      </c>
      <c r="B1947" t="s">
        <v>1859</v>
      </c>
      <c r="C1947">
        <v>0.33321444038800002</v>
      </c>
      <c r="D1947">
        <v>0.81677934181</v>
      </c>
      <c r="E1947">
        <v>9.1679999999999993</v>
      </c>
    </row>
    <row r="1948" spans="1:5">
      <c r="A1948" t="s">
        <v>35634</v>
      </c>
      <c r="B1948" t="s">
        <v>35635</v>
      </c>
      <c r="C1948">
        <v>9.9580100829699994E-2</v>
      </c>
      <c r="D1948">
        <v>0.90684001287000005</v>
      </c>
      <c r="E1948">
        <v>1.1160000000000001</v>
      </c>
    </row>
    <row r="1949" spans="1:5">
      <c r="A1949" t="s">
        <v>35634</v>
      </c>
      <c r="B1949" t="s">
        <v>35636</v>
      </c>
      <c r="C1949">
        <v>0.48443722938599998</v>
      </c>
      <c r="D1949">
        <v>0.90684001287000005</v>
      </c>
      <c r="E1949">
        <v>1.1160000000000001</v>
      </c>
    </row>
    <row r="1950" spans="1:5">
      <c r="A1950" t="s">
        <v>35634</v>
      </c>
      <c r="B1950" t="s">
        <v>35637</v>
      </c>
      <c r="C1950">
        <v>0.71495513316600001</v>
      </c>
      <c r="D1950">
        <v>0.90684001287000005</v>
      </c>
      <c r="E1950">
        <v>1.1160000000000001</v>
      </c>
    </row>
    <row r="1951" spans="1:5">
      <c r="A1951" t="s">
        <v>35634</v>
      </c>
      <c r="B1951" t="s">
        <v>35638</v>
      </c>
      <c r="C1951">
        <f>0.0284761935814</f>
        <v>2.8476193581400001E-2</v>
      </c>
      <c r="D1951">
        <v>0.90684001287000005</v>
      </c>
      <c r="E1951">
        <v>1.1160000000000001</v>
      </c>
    </row>
    <row r="1952" spans="1:5">
      <c r="A1952" t="s">
        <v>35639</v>
      </c>
      <c r="B1952" t="s">
        <v>12587</v>
      </c>
      <c r="C1952">
        <v>4.9017055923300003E-2</v>
      </c>
      <c r="D1952">
        <v>0.96705629386199998</v>
      </c>
      <c r="E1952">
        <v>10.554</v>
      </c>
    </row>
    <row r="1953" spans="1:5">
      <c r="A1953" t="s">
        <v>35639</v>
      </c>
      <c r="B1953" t="s">
        <v>12588</v>
      </c>
      <c r="C1953">
        <v>7.1551615220000003E-2</v>
      </c>
      <c r="D1953">
        <v>0.96705629386199998</v>
      </c>
      <c r="E1953">
        <v>10.554</v>
      </c>
    </row>
    <row r="1954" spans="1:5">
      <c r="A1954" t="s">
        <v>35639</v>
      </c>
      <c r="B1954" t="s">
        <v>12589</v>
      </c>
      <c r="C1954">
        <v>0</v>
      </c>
      <c r="D1954">
        <v>0.96705629386199998</v>
      </c>
      <c r="E1954">
        <v>10.554</v>
      </c>
    </row>
    <row r="1955" spans="1:5">
      <c r="A1955" t="s">
        <v>35639</v>
      </c>
      <c r="B1955" t="s">
        <v>12591</v>
      </c>
      <c r="C1955">
        <v>0</v>
      </c>
      <c r="D1955">
        <v>0.96705629386199998</v>
      </c>
      <c r="E1955">
        <v>10.554</v>
      </c>
    </row>
    <row r="1956" spans="1:5">
      <c r="A1956" t="s">
        <v>35639</v>
      </c>
      <c r="B1956" t="s">
        <v>12594</v>
      </c>
      <c r="C1956">
        <v>0.43631788725300003</v>
      </c>
      <c r="D1956">
        <v>0.96705629386199998</v>
      </c>
      <c r="E1956">
        <v>10.554</v>
      </c>
    </row>
    <row r="1957" spans="1:5">
      <c r="A1957" t="s">
        <v>35639</v>
      </c>
      <c r="B1957" t="s">
        <v>12597</v>
      </c>
      <c r="C1957">
        <f>0.262000433311</f>
        <v>0.26200043331099998</v>
      </c>
      <c r="D1957">
        <v>0.96705629386199998</v>
      </c>
      <c r="E1957">
        <v>10.554</v>
      </c>
    </row>
    <row r="1958" spans="1:5">
      <c r="A1958" t="s">
        <v>35639</v>
      </c>
      <c r="B1958" t="s">
        <v>12593</v>
      </c>
      <c r="C1958">
        <v>0.43272638530500002</v>
      </c>
      <c r="D1958">
        <v>0.96705629386199998</v>
      </c>
      <c r="E1958">
        <v>10.554</v>
      </c>
    </row>
    <row r="1959" spans="1:5">
      <c r="A1959" t="s">
        <v>35640</v>
      </c>
      <c r="B1959" t="s">
        <v>2486</v>
      </c>
      <c r="C1959">
        <f>0</f>
        <v>0</v>
      </c>
      <c r="D1959" t="s">
        <v>106</v>
      </c>
      <c r="E1959">
        <v>0.06</v>
      </c>
    </row>
    <row r="1960" spans="1:5">
      <c r="A1960" t="s">
        <v>35640</v>
      </c>
      <c r="B1960" t="s">
        <v>2494</v>
      </c>
      <c r="C1960">
        <f>0</f>
        <v>0</v>
      </c>
      <c r="D1960" t="s">
        <v>106</v>
      </c>
      <c r="E1960">
        <v>0.06</v>
      </c>
    </row>
    <row r="1961" spans="1:5">
      <c r="A1961" t="s">
        <v>35640</v>
      </c>
      <c r="B1961" t="s">
        <v>2487</v>
      </c>
      <c r="C1961">
        <f>0</f>
        <v>0</v>
      </c>
      <c r="D1961" t="s">
        <v>106</v>
      </c>
      <c r="E1961">
        <v>0.06</v>
      </c>
    </row>
    <row r="1962" spans="1:5">
      <c r="A1962" t="s">
        <v>35640</v>
      </c>
      <c r="B1962" t="s">
        <v>2488</v>
      </c>
      <c r="C1962">
        <f>0</f>
        <v>0</v>
      </c>
      <c r="D1962" t="s">
        <v>106</v>
      </c>
      <c r="E1962">
        <v>0.06</v>
      </c>
    </row>
    <row r="1963" spans="1:5">
      <c r="A1963" t="s">
        <v>35640</v>
      </c>
      <c r="B1963" t="s">
        <v>2489</v>
      </c>
      <c r="C1963">
        <f>0</f>
        <v>0</v>
      </c>
      <c r="D1963" t="s">
        <v>106</v>
      </c>
      <c r="E1963">
        <v>0.06</v>
      </c>
    </row>
    <row r="1964" spans="1:5">
      <c r="A1964" t="s">
        <v>35640</v>
      </c>
      <c r="B1964" t="s">
        <v>2483</v>
      </c>
      <c r="C1964">
        <f>0</f>
        <v>0</v>
      </c>
      <c r="D1964" t="s">
        <v>106</v>
      </c>
      <c r="E1964">
        <v>0.06</v>
      </c>
    </row>
    <row r="1965" spans="1:5">
      <c r="A1965" t="s">
        <v>35640</v>
      </c>
      <c r="B1965" t="s">
        <v>2493</v>
      </c>
      <c r="C1965">
        <v>0</v>
      </c>
      <c r="D1965" t="s">
        <v>106</v>
      </c>
      <c r="E1965">
        <v>0.06</v>
      </c>
    </row>
    <row r="1966" spans="1:5">
      <c r="A1966" t="s">
        <v>35640</v>
      </c>
      <c r="B1966" t="s">
        <v>2490</v>
      </c>
      <c r="C1966">
        <f>0</f>
        <v>0</v>
      </c>
      <c r="D1966" t="s">
        <v>106</v>
      </c>
      <c r="E1966">
        <v>0.06</v>
      </c>
    </row>
    <row r="1967" spans="1:5">
      <c r="A1967" t="s">
        <v>35640</v>
      </c>
      <c r="B1967" t="s">
        <v>2485</v>
      </c>
      <c r="C1967">
        <f>0</f>
        <v>0</v>
      </c>
      <c r="D1967" t="s">
        <v>106</v>
      </c>
      <c r="E1967">
        <v>0.06</v>
      </c>
    </row>
    <row r="1968" spans="1:5">
      <c r="A1968" t="s">
        <v>35641</v>
      </c>
      <c r="B1968" t="s">
        <v>30887</v>
      </c>
      <c r="C1968">
        <v>0.52619942638299999</v>
      </c>
      <c r="D1968">
        <v>0.832509422221</v>
      </c>
      <c r="E1968">
        <v>23.754000000000001</v>
      </c>
    </row>
    <row r="1969" spans="1:5">
      <c r="A1969" t="s">
        <v>35641</v>
      </c>
      <c r="B1969" t="s">
        <v>30889</v>
      </c>
      <c r="C1969">
        <v>0</v>
      </c>
      <c r="D1969">
        <v>0.832509422221</v>
      </c>
      <c r="E1969">
        <v>23.754000000000001</v>
      </c>
    </row>
    <row r="1970" spans="1:5">
      <c r="A1970" t="s">
        <v>35641</v>
      </c>
      <c r="B1970" t="s">
        <v>30891</v>
      </c>
      <c r="C1970">
        <v>0.27800360704100002</v>
      </c>
      <c r="D1970">
        <v>0.832509422221</v>
      </c>
      <c r="E1970">
        <v>23.754000000000001</v>
      </c>
    </row>
    <row r="1971" spans="1:5">
      <c r="A1971" t="s">
        <v>35641</v>
      </c>
      <c r="B1971" t="s">
        <v>30890</v>
      </c>
      <c r="C1971">
        <f>0</f>
        <v>0</v>
      </c>
      <c r="D1971">
        <v>0.832509422221</v>
      </c>
      <c r="E1971">
        <v>23.754000000000001</v>
      </c>
    </row>
    <row r="1972" spans="1:5">
      <c r="A1972" t="s">
        <v>35641</v>
      </c>
      <c r="B1972" t="s">
        <v>30892</v>
      </c>
      <c r="C1972">
        <v>0</v>
      </c>
      <c r="D1972">
        <v>0.832509422221</v>
      </c>
      <c r="E1972">
        <v>23.754000000000001</v>
      </c>
    </row>
    <row r="1973" spans="1:5">
      <c r="A1973" t="s">
        <v>35642</v>
      </c>
      <c r="B1973" t="s">
        <v>1920</v>
      </c>
      <c r="C1973">
        <f>0</f>
        <v>0</v>
      </c>
      <c r="D1973" t="s">
        <v>106</v>
      </c>
      <c r="E1973">
        <v>10.242000000000001</v>
      </c>
    </row>
    <row r="1974" spans="1:5">
      <c r="A1974" t="s">
        <v>35642</v>
      </c>
      <c r="B1974" t="s">
        <v>1927</v>
      </c>
      <c r="C1974">
        <v>0</v>
      </c>
      <c r="D1974" t="s">
        <v>106</v>
      </c>
      <c r="E1974">
        <v>10.242000000000001</v>
      </c>
    </row>
    <row r="1975" spans="1:5">
      <c r="A1975" t="s">
        <v>35642</v>
      </c>
      <c r="B1975" t="s">
        <v>1932</v>
      </c>
      <c r="C1975">
        <v>0</v>
      </c>
      <c r="D1975" t="s">
        <v>106</v>
      </c>
      <c r="E1975">
        <v>10.242000000000001</v>
      </c>
    </row>
    <row r="1976" spans="1:5">
      <c r="A1976" t="s">
        <v>35642</v>
      </c>
      <c r="B1976" t="s">
        <v>1934</v>
      </c>
      <c r="C1976">
        <v>0</v>
      </c>
      <c r="D1976" t="s">
        <v>106</v>
      </c>
      <c r="E1976">
        <v>10.242000000000001</v>
      </c>
    </row>
    <row r="1977" spans="1:5">
      <c r="A1977" t="s">
        <v>35643</v>
      </c>
      <c r="B1977" t="s">
        <v>31735</v>
      </c>
      <c r="C1977">
        <f>0</f>
        <v>0</v>
      </c>
      <c r="D1977">
        <v>0.75740773234699998</v>
      </c>
      <c r="E1977">
        <v>4.4820000000000002</v>
      </c>
    </row>
    <row r="1978" spans="1:5">
      <c r="A1978" t="s">
        <v>35643</v>
      </c>
      <c r="B1978" t="s">
        <v>31736</v>
      </c>
      <c r="C1978">
        <v>0.70433106770800002</v>
      </c>
      <c r="D1978">
        <v>0.75740773234699998</v>
      </c>
      <c r="E1978">
        <v>4.4820000000000002</v>
      </c>
    </row>
    <row r="1979" spans="1:5">
      <c r="A1979" t="s">
        <v>35643</v>
      </c>
      <c r="B1979" t="s">
        <v>31739</v>
      </c>
      <c r="C1979">
        <f>0.728518482291</f>
        <v>0.72851848229100002</v>
      </c>
      <c r="D1979">
        <v>0.75740773234699998</v>
      </c>
      <c r="E1979">
        <v>4.4820000000000002</v>
      </c>
    </row>
    <row r="1980" spans="1:5">
      <c r="A1980" t="s">
        <v>35643</v>
      </c>
      <c r="B1980" t="s">
        <v>31737</v>
      </c>
      <c r="C1980">
        <f>0.444719147225</f>
        <v>0.444719147225</v>
      </c>
      <c r="D1980">
        <v>0.75740773234699998</v>
      </c>
      <c r="E1980">
        <v>4.4820000000000002</v>
      </c>
    </row>
    <row r="1981" spans="1:5">
      <c r="A1981" t="s">
        <v>35643</v>
      </c>
      <c r="B1981" t="s">
        <v>31738</v>
      </c>
      <c r="C1981">
        <f>0</f>
        <v>0</v>
      </c>
      <c r="D1981">
        <v>0.75740773234699998</v>
      </c>
      <c r="E1981">
        <v>4.4820000000000002</v>
      </c>
    </row>
    <row r="1982" spans="1:5">
      <c r="A1982" t="s">
        <v>35644</v>
      </c>
      <c r="B1982" t="s">
        <v>16670</v>
      </c>
      <c r="C1982">
        <v>0</v>
      </c>
      <c r="D1982" t="s">
        <v>106</v>
      </c>
      <c r="E1982">
        <v>0.438</v>
      </c>
    </row>
    <row r="1983" spans="1:5">
      <c r="A1983" t="s">
        <v>35644</v>
      </c>
      <c r="B1983" t="s">
        <v>16672</v>
      </c>
      <c r="C1983">
        <v>0</v>
      </c>
      <c r="D1983" t="s">
        <v>106</v>
      </c>
      <c r="E1983">
        <v>0.438</v>
      </c>
    </row>
    <row r="1984" spans="1:5">
      <c r="A1984" t="s">
        <v>35644</v>
      </c>
      <c r="B1984" t="s">
        <v>16674</v>
      </c>
      <c r="C1984">
        <v>0</v>
      </c>
      <c r="D1984" t="s">
        <v>106</v>
      </c>
      <c r="E1984">
        <v>0.438</v>
      </c>
    </row>
    <row r="1985" spans="1:5">
      <c r="A1985" t="s">
        <v>35644</v>
      </c>
      <c r="B1985" t="s">
        <v>16673</v>
      </c>
      <c r="C1985">
        <v>0</v>
      </c>
      <c r="D1985" t="s">
        <v>106</v>
      </c>
      <c r="E1985">
        <v>0.438</v>
      </c>
    </row>
    <row r="1986" spans="1:5">
      <c r="A1986" t="s">
        <v>35645</v>
      </c>
      <c r="B1986" t="s">
        <v>6213</v>
      </c>
      <c r="C1986">
        <f>0</f>
        <v>0</v>
      </c>
      <c r="D1986" t="s">
        <v>106</v>
      </c>
      <c r="E1986">
        <v>14.747999999999999</v>
      </c>
    </row>
    <row r="1987" spans="1:5">
      <c r="A1987" t="s">
        <v>35645</v>
      </c>
      <c r="B1987" t="s">
        <v>6201</v>
      </c>
      <c r="C1987">
        <f>0</f>
        <v>0</v>
      </c>
      <c r="D1987" t="s">
        <v>106</v>
      </c>
      <c r="E1987">
        <v>14.747999999999999</v>
      </c>
    </row>
    <row r="1988" spans="1:5">
      <c r="A1988" t="s">
        <v>35645</v>
      </c>
      <c r="B1988" t="s">
        <v>6206</v>
      </c>
      <c r="C1988">
        <f>0</f>
        <v>0</v>
      </c>
      <c r="D1988" t="s">
        <v>106</v>
      </c>
      <c r="E1988">
        <v>14.747999999999999</v>
      </c>
    </row>
    <row r="1989" spans="1:5">
      <c r="A1989" t="s">
        <v>35645</v>
      </c>
      <c r="B1989" t="s">
        <v>6197</v>
      </c>
      <c r="C1989">
        <f>0</f>
        <v>0</v>
      </c>
      <c r="D1989" t="s">
        <v>106</v>
      </c>
      <c r="E1989">
        <v>14.747999999999999</v>
      </c>
    </row>
    <row r="1990" spans="1:5">
      <c r="A1990" t="s">
        <v>35646</v>
      </c>
      <c r="B1990" t="s">
        <v>24670</v>
      </c>
      <c r="C1990">
        <f>0</f>
        <v>0</v>
      </c>
      <c r="D1990">
        <v>0.84621446304400005</v>
      </c>
      <c r="E1990">
        <v>2.4780000000000002</v>
      </c>
    </row>
    <row r="1991" spans="1:5">
      <c r="A1991" t="s">
        <v>35646</v>
      </c>
      <c r="B1991" t="s">
        <v>24669</v>
      </c>
      <c r="C1991">
        <f>0.599713242701</f>
        <v>0.59971324270100002</v>
      </c>
      <c r="D1991">
        <v>0.84621446304400005</v>
      </c>
      <c r="E1991">
        <v>2.4780000000000002</v>
      </c>
    </row>
    <row r="1992" spans="1:5">
      <c r="A1992" t="s">
        <v>35646</v>
      </c>
      <c r="B1992" t="s">
        <v>24678</v>
      </c>
      <c r="C1992">
        <v>0</v>
      </c>
      <c r="D1992">
        <v>0.84621446304400005</v>
      </c>
      <c r="E1992">
        <v>2.4780000000000002</v>
      </c>
    </row>
    <row r="1993" spans="1:5">
      <c r="A1993" t="s">
        <v>35646</v>
      </c>
      <c r="B1993" t="s">
        <v>24672</v>
      </c>
      <c r="C1993">
        <v>0</v>
      </c>
      <c r="D1993">
        <v>0.84621446304400005</v>
      </c>
      <c r="E1993">
        <v>2.4780000000000002</v>
      </c>
    </row>
    <row r="1994" spans="1:5">
      <c r="A1994" t="s">
        <v>35646</v>
      </c>
      <c r="B1994" t="s">
        <v>24673</v>
      </c>
      <c r="C1994">
        <v>0.39908481459200001</v>
      </c>
      <c r="D1994">
        <v>0.84621446304400005</v>
      </c>
      <c r="E1994">
        <v>2.4780000000000002</v>
      </c>
    </row>
    <row r="1995" spans="1:5">
      <c r="A1995" t="s">
        <v>35646</v>
      </c>
      <c r="B1995" t="s">
        <v>24675</v>
      </c>
      <c r="C1995">
        <v>0</v>
      </c>
      <c r="D1995">
        <v>0.84621446304400005</v>
      </c>
      <c r="E1995">
        <v>2.4780000000000002</v>
      </c>
    </row>
    <row r="1996" spans="1:5">
      <c r="A1996" t="s">
        <v>35646</v>
      </c>
      <c r="B1996" t="s">
        <v>24671</v>
      </c>
      <c r="C1996">
        <v>0.41776555770000001</v>
      </c>
      <c r="D1996">
        <v>0.84621446304400005</v>
      </c>
      <c r="E1996">
        <v>2.4780000000000002</v>
      </c>
    </row>
    <row r="1997" spans="1:5">
      <c r="A1997" t="s">
        <v>35646</v>
      </c>
      <c r="B1997" t="s">
        <v>24676</v>
      </c>
      <c r="C1997">
        <v>0</v>
      </c>
      <c r="D1997">
        <v>0.84621446304400005</v>
      </c>
      <c r="E1997">
        <v>2.4780000000000002</v>
      </c>
    </row>
    <row r="1998" spans="1:5">
      <c r="A1998" t="s">
        <v>35647</v>
      </c>
      <c r="B1998" t="s">
        <v>35648</v>
      </c>
      <c r="C1998">
        <v>0.54187894675899995</v>
      </c>
      <c r="D1998">
        <v>0.98716843839000001</v>
      </c>
      <c r="E1998">
        <v>2.4</v>
      </c>
    </row>
    <row r="1999" spans="1:5">
      <c r="A1999" t="s">
        <v>35647</v>
      </c>
      <c r="B1999" t="s">
        <v>35649</v>
      </c>
      <c r="C1999">
        <v>1.6489099865500001</v>
      </c>
      <c r="D1999">
        <v>0.98716843839000001</v>
      </c>
      <c r="E1999">
        <v>2.4</v>
      </c>
    </row>
    <row r="2000" spans="1:5">
      <c r="A2000" t="s">
        <v>35647</v>
      </c>
      <c r="B2000" t="s">
        <v>35650</v>
      </c>
      <c r="C2000">
        <f>0.23667715889</f>
        <v>0.23667715888999999</v>
      </c>
      <c r="D2000">
        <v>0.98716843839000001</v>
      </c>
      <c r="E2000">
        <v>2.4</v>
      </c>
    </row>
    <row r="2001" spans="1:5">
      <c r="A2001" t="s">
        <v>35647</v>
      </c>
      <c r="B2001" t="s">
        <v>35651</v>
      </c>
      <c r="C2001">
        <f>-1.17990803284</f>
        <v>-1.17990803284</v>
      </c>
      <c r="D2001">
        <v>0.98716843839000001</v>
      </c>
      <c r="E2001">
        <v>2.4</v>
      </c>
    </row>
    <row r="2002" spans="1:5">
      <c r="A2002" t="s">
        <v>35647</v>
      </c>
      <c r="B2002" t="s">
        <v>35652</v>
      </c>
      <c r="C2002">
        <f>0.013786403852</f>
        <v>1.3786403851999999E-2</v>
      </c>
      <c r="D2002">
        <v>0.98716843839000001</v>
      </c>
      <c r="E2002">
        <v>2.4</v>
      </c>
    </row>
    <row r="2003" spans="1:5">
      <c r="A2003" t="s">
        <v>35647</v>
      </c>
      <c r="B2003" t="s">
        <v>35653</v>
      </c>
      <c r="C2003">
        <v>4.12443633001E-2</v>
      </c>
      <c r="D2003">
        <v>0.98716843839000001</v>
      </c>
      <c r="E2003">
        <v>2.4</v>
      </c>
    </row>
    <row r="2004" spans="1:5">
      <c r="A2004" t="s">
        <v>35647</v>
      </c>
      <c r="B2004" t="s">
        <v>35654</v>
      </c>
      <c r="C2004">
        <v>0</v>
      </c>
      <c r="D2004">
        <v>0.98716843839000001</v>
      </c>
      <c r="E2004">
        <v>2.4</v>
      </c>
    </row>
    <row r="2005" spans="1:5">
      <c r="A2005" t="s">
        <v>35655</v>
      </c>
      <c r="B2005" t="s">
        <v>15630</v>
      </c>
      <c r="C2005">
        <v>0</v>
      </c>
      <c r="D2005" t="s">
        <v>106</v>
      </c>
      <c r="E2005">
        <v>24</v>
      </c>
    </row>
    <row r="2006" spans="1:5">
      <c r="A2006" t="s">
        <v>35655</v>
      </c>
      <c r="B2006" t="s">
        <v>15632</v>
      </c>
      <c r="C2006">
        <f>0</f>
        <v>0</v>
      </c>
      <c r="D2006" t="s">
        <v>106</v>
      </c>
      <c r="E2006">
        <v>24</v>
      </c>
    </row>
    <row r="2007" spans="1:5">
      <c r="A2007" t="s">
        <v>35655</v>
      </c>
      <c r="B2007" t="s">
        <v>15633</v>
      </c>
      <c r="C2007">
        <f>0</f>
        <v>0</v>
      </c>
      <c r="D2007" t="s">
        <v>106</v>
      </c>
      <c r="E2007">
        <v>24</v>
      </c>
    </row>
    <row r="2008" spans="1:5">
      <c r="A2008" t="s">
        <v>35656</v>
      </c>
      <c r="B2008" t="s">
        <v>15573</v>
      </c>
      <c r="C2008">
        <v>0</v>
      </c>
      <c r="D2008" t="s">
        <v>106</v>
      </c>
      <c r="E2008">
        <v>24</v>
      </c>
    </row>
    <row r="2009" spans="1:5">
      <c r="A2009" t="s">
        <v>35656</v>
      </c>
      <c r="B2009" t="s">
        <v>15576</v>
      </c>
      <c r="C2009">
        <f>0</f>
        <v>0</v>
      </c>
      <c r="D2009" t="s">
        <v>106</v>
      </c>
      <c r="E2009">
        <v>24</v>
      </c>
    </row>
    <row r="2010" spans="1:5">
      <c r="A2010" t="s">
        <v>35656</v>
      </c>
      <c r="B2010" t="s">
        <v>15577</v>
      </c>
      <c r="C2010">
        <f>0</f>
        <v>0</v>
      </c>
      <c r="D2010" t="s">
        <v>106</v>
      </c>
      <c r="E2010">
        <v>24</v>
      </c>
    </row>
    <row r="2011" spans="1:5">
      <c r="A2011" t="s">
        <v>35656</v>
      </c>
      <c r="B2011" t="s">
        <v>15575</v>
      </c>
      <c r="C2011">
        <f>0</f>
        <v>0</v>
      </c>
      <c r="D2011" t="s">
        <v>106</v>
      </c>
      <c r="E2011">
        <v>24</v>
      </c>
    </row>
    <row r="2012" spans="1:5">
      <c r="A2012" t="s">
        <v>35656</v>
      </c>
      <c r="B2012" t="s">
        <v>15578</v>
      </c>
      <c r="C2012">
        <v>0</v>
      </c>
      <c r="D2012" t="s">
        <v>106</v>
      </c>
      <c r="E2012">
        <v>24</v>
      </c>
    </row>
    <row r="2013" spans="1:5">
      <c r="A2013" t="s">
        <v>35657</v>
      </c>
      <c r="B2013" t="s">
        <v>35658</v>
      </c>
      <c r="C2013">
        <v>8.6130567606700001E-2</v>
      </c>
      <c r="D2013">
        <v>0.95330387807500006</v>
      </c>
      <c r="E2013">
        <v>1.278</v>
      </c>
    </row>
    <row r="2014" spans="1:5">
      <c r="A2014" t="s">
        <v>35657</v>
      </c>
      <c r="B2014" t="s">
        <v>35659</v>
      </c>
      <c r="C2014">
        <v>0</v>
      </c>
      <c r="D2014">
        <v>0.95330387807500006</v>
      </c>
      <c r="E2014">
        <v>1.278</v>
      </c>
    </row>
    <row r="2015" spans="1:5">
      <c r="A2015" t="s">
        <v>35657</v>
      </c>
      <c r="B2015" t="s">
        <v>35660</v>
      </c>
      <c r="C2015">
        <f>0.879890951782</f>
        <v>0.87989095178200005</v>
      </c>
      <c r="D2015">
        <v>0.95330387807500006</v>
      </c>
      <c r="E2015">
        <v>1.278</v>
      </c>
    </row>
    <row r="2016" spans="1:5">
      <c r="A2016" t="s">
        <v>35661</v>
      </c>
      <c r="B2016" t="s">
        <v>14199</v>
      </c>
      <c r="C2016">
        <v>0</v>
      </c>
      <c r="D2016" t="s">
        <v>106</v>
      </c>
      <c r="E2016">
        <v>6.18</v>
      </c>
    </row>
    <row r="2017" spans="1:5">
      <c r="A2017" t="s">
        <v>35661</v>
      </c>
      <c r="B2017" t="s">
        <v>14191</v>
      </c>
      <c r="C2017">
        <v>0</v>
      </c>
      <c r="D2017" t="s">
        <v>106</v>
      </c>
      <c r="E2017">
        <v>6.18</v>
      </c>
    </row>
    <row r="2018" spans="1:5">
      <c r="A2018" t="s">
        <v>35661</v>
      </c>
      <c r="B2018" t="s">
        <v>14195</v>
      </c>
      <c r="C2018">
        <v>0</v>
      </c>
      <c r="D2018" t="s">
        <v>106</v>
      </c>
      <c r="E2018">
        <v>6.18</v>
      </c>
    </row>
    <row r="2019" spans="1:5">
      <c r="A2019" t="s">
        <v>35661</v>
      </c>
      <c r="B2019" t="s">
        <v>14194</v>
      </c>
      <c r="C2019">
        <v>0</v>
      </c>
      <c r="D2019" t="s">
        <v>106</v>
      </c>
      <c r="E2019">
        <v>6.18</v>
      </c>
    </row>
    <row r="2020" spans="1:5">
      <c r="A2020" t="s">
        <v>35661</v>
      </c>
      <c r="B2020" t="s">
        <v>14192</v>
      </c>
      <c r="C2020">
        <v>0</v>
      </c>
      <c r="D2020" t="s">
        <v>106</v>
      </c>
      <c r="E2020">
        <v>6.18</v>
      </c>
    </row>
    <row r="2021" spans="1:5">
      <c r="A2021" t="s">
        <v>35661</v>
      </c>
      <c r="B2021" t="s">
        <v>14193</v>
      </c>
      <c r="C2021">
        <v>0</v>
      </c>
      <c r="D2021" t="s">
        <v>106</v>
      </c>
      <c r="E2021">
        <v>6.18</v>
      </c>
    </row>
    <row r="2022" spans="1:5">
      <c r="A2022" t="s">
        <v>35661</v>
      </c>
      <c r="B2022" t="s">
        <v>14200</v>
      </c>
      <c r="C2022">
        <v>0</v>
      </c>
      <c r="D2022" t="s">
        <v>106</v>
      </c>
      <c r="E2022">
        <v>6.18</v>
      </c>
    </row>
    <row r="2023" spans="1:5">
      <c r="A2023" t="s">
        <v>35662</v>
      </c>
      <c r="B2023" t="s">
        <v>35663</v>
      </c>
      <c r="C2023">
        <f>0.100406663784</f>
        <v>0.100406663784</v>
      </c>
      <c r="D2023">
        <v>0.97309809759599997</v>
      </c>
      <c r="E2023">
        <v>6.06</v>
      </c>
    </row>
    <row r="2024" spans="1:5">
      <c r="A2024" t="s">
        <v>35662</v>
      </c>
      <c r="B2024" t="s">
        <v>35664</v>
      </c>
      <c r="C2024">
        <f>0</f>
        <v>0</v>
      </c>
      <c r="D2024">
        <v>0.97309809759599997</v>
      </c>
      <c r="E2024">
        <v>6.06</v>
      </c>
    </row>
    <row r="2025" spans="1:5">
      <c r="A2025" t="s">
        <v>35662</v>
      </c>
      <c r="B2025" t="s">
        <v>35665</v>
      </c>
      <c r="C2025">
        <v>0.18408733489000001</v>
      </c>
      <c r="D2025">
        <v>0.97309809759599997</v>
      </c>
      <c r="E2025">
        <v>6.06</v>
      </c>
    </row>
    <row r="2026" spans="1:5">
      <c r="A2026" t="s">
        <v>35662</v>
      </c>
      <c r="B2026" t="s">
        <v>35666</v>
      </c>
      <c r="C2026">
        <f>0.917767288317</f>
        <v>0.91776728831700005</v>
      </c>
      <c r="D2026">
        <v>0.97309809759599997</v>
      </c>
      <c r="E2026">
        <v>6.06</v>
      </c>
    </row>
    <row r="2027" spans="1:5">
      <c r="A2027" t="s">
        <v>35662</v>
      </c>
      <c r="B2027" t="s">
        <v>35667</v>
      </c>
      <c r="C2027">
        <v>0.24274551972700001</v>
      </c>
      <c r="D2027">
        <v>0.97309809759599997</v>
      </c>
      <c r="E2027">
        <v>6.06</v>
      </c>
    </row>
    <row r="2028" spans="1:5">
      <c r="A2028" t="s">
        <v>35662</v>
      </c>
      <c r="B2028" t="s">
        <v>35668</v>
      </c>
      <c r="C2028">
        <v>0.14603516187400001</v>
      </c>
      <c r="D2028">
        <v>0.97309809759599997</v>
      </c>
      <c r="E2028">
        <v>6.06</v>
      </c>
    </row>
    <row r="2029" spans="1:5">
      <c r="A2029" t="s">
        <v>35662</v>
      </c>
      <c r="B2029" t="s">
        <v>35669</v>
      </c>
      <c r="C2029">
        <v>0.66498950233300003</v>
      </c>
      <c r="D2029">
        <v>0.97309809759599997</v>
      </c>
      <c r="E2029">
        <v>6.06</v>
      </c>
    </row>
    <row r="2030" spans="1:5">
      <c r="A2030" t="s">
        <v>35662</v>
      </c>
      <c r="B2030" t="s">
        <v>35670</v>
      </c>
      <c r="C2030">
        <v>0.34086550098099999</v>
      </c>
      <c r="D2030">
        <v>0.97309809759599997</v>
      </c>
      <c r="E2030">
        <v>6.06</v>
      </c>
    </row>
    <row r="2031" spans="1:5">
      <c r="A2031" t="s">
        <v>35671</v>
      </c>
      <c r="B2031" t="s">
        <v>22454</v>
      </c>
      <c r="C2031">
        <v>0</v>
      </c>
      <c r="D2031" t="s">
        <v>106</v>
      </c>
      <c r="E2031">
        <v>6.3</v>
      </c>
    </row>
    <row r="2032" spans="1:5">
      <c r="A2032" t="s">
        <v>35671</v>
      </c>
      <c r="B2032" t="s">
        <v>22455</v>
      </c>
      <c r="C2032">
        <v>0</v>
      </c>
      <c r="D2032" t="s">
        <v>106</v>
      </c>
      <c r="E2032">
        <v>6.3</v>
      </c>
    </row>
    <row r="2033" spans="1:5">
      <c r="A2033" t="s">
        <v>35671</v>
      </c>
      <c r="B2033" t="s">
        <v>22456</v>
      </c>
      <c r="C2033">
        <f>0</f>
        <v>0</v>
      </c>
      <c r="D2033" t="s">
        <v>106</v>
      </c>
      <c r="E2033">
        <v>6.3</v>
      </c>
    </row>
    <row r="2034" spans="1:5">
      <c r="A2034" t="s">
        <v>35671</v>
      </c>
      <c r="B2034" t="s">
        <v>22457</v>
      </c>
      <c r="C2034">
        <f>0</f>
        <v>0</v>
      </c>
      <c r="D2034" t="s">
        <v>106</v>
      </c>
      <c r="E2034">
        <v>6.3</v>
      </c>
    </row>
    <row r="2035" spans="1:5">
      <c r="A2035" t="s">
        <v>35672</v>
      </c>
      <c r="B2035" t="s">
        <v>6456</v>
      </c>
      <c r="C2035">
        <f>0</f>
        <v>0</v>
      </c>
      <c r="D2035" t="s">
        <v>106</v>
      </c>
      <c r="E2035">
        <v>23.754000000000001</v>
      </c>
    </row>
    <row r="2036" spans="1:5">
      <c r="A2036" t="s">
        <v>35672</v>
      </c>
      <c r="B2036" t="s">
        <v>6457</v>
      </c>
      <c r="C2036">
        <f>0</f>
        <v>0</v>
      </c>
      <c r="D2036" t="s">
        <v>106</v>
      </c>
      <c r="E2036">
        <v>23.754000000000001</v>
      </c>
    </row>
    <row r="2037" spans="1:5">
      <c r="A2037" t="s">
        <v>35672</v>
      </c>
      <c r="B2037" t="s">
        <v>6459</v>
      </c>
      <c r="C2037">
        <f>0</f>
        <v>0</v>
      </c>
      <c r="D2037" t="s">
        <v>106</v>
      </c>
      <c r="E2037">
        <v>23.754000000000001</v>
      </c>
    </row>
    <row r="2038" spans="1:5">
      <c r="A2038" t="s">
        <v>35672</v>
      </c>
      <c r="B2038" t="s">
        <v>6458</v>
      </c>
      <c r="C2038">
        <v>0</v>
      </c>
      <c r="D2038" t="s">
        <v>106</v>
      </c>
      <c r="E2038">
        <v>23.754000000000001</v>
      </c>
    </row>
    <row r="2039" spans="1:5">
      <c r="A2039" t="s">
        <v>35672</v>
      </c>
      <c r="B2039" t="s">
        <v>6461</v>
      </c>
      <c r="C2039">
        <v>0</v>
      </c>
      <c r="D2039" t="s">
        <v>106</v>
      </c>
      <c r="E2039">
        <v>23.754000000000001</v>
      </c>
    </row>
    <row r="2040" spans="1:5">
      <c r="A2040" t="s">
        <v>35673</v>
      </c>
      <c r="B2040" t="s">
        <v>5675</v>
      </c>
      <c r="C2040">
        <f>0</f>
        <v>0</v>
      </c>
      <c r="D2040" t="s">
        <v>106</v>
      </c>
      <c r="E2040">
        <v>20.07</v>
      </c>
    </row>
    <row r="2041" spans="1:5">
      <c r="A2041" t="s">
        <v>35673</v>
      </c>
      <c r="B2041" t="s">
        <v>5681</v>
      </c>
      <c r="C2041">
        <f>0</f>
        <v>0</v>
      </c>
      <c r="D2041" t="s">
        <v>106</v>
      </c>
      <c r="E2041">
        <v>20.07</v>
      </c>
    </row>
    <row r="2042" spans="1:5">
      <c r="A2042" t="s">
        <v>35673</v>
      </c>
      <c r="B2042" t="s">
        <v>5679</v>
      </c>
      <c r="C2042">
        <v>0</v>
      </c>
      <c r="D2042" t="s">
        <v>106</v>
      </c>
      <c r="E2042">
        <v>20.07</v>
      </c>
    </row>
    <row r="2043" spans="1:5">
      <c r="A2043" t="s">
        <v>35673</v>
      </c>
      <c r="B2043" t="s">
        <v>5683</v>
      </c>
      <c r="C2043">
        <v>0</v>
      </c>
      <c r="D2043" t="s">
        <v>106</v>
      </c>
      <c r="E2043">
        <v>20.07</v>
      </c>
    </row>
    <row r="2044" spans="1:5">
      <c r="A2044" t="s">
        <v>35674</v>
      </c>
      <c r="B2044" t="s">
        <v>35675</v>
      </c>
      <c r="C2044">
        <f>0</f>
        <v>0</v>
      </c>
      <c r="D2044" t="s">
        <v>106</v>
      </c>
      <c r="E2044">
        <v>0</v>
      </c>
    </row>
    <row r="2045" spans="1:5">
      <c r="A2045" t="s">
        <v>35674</v>
      </c>
      <c r="B2045" t="s">
        <v>35676</v>
      </c>
      <c r="C2045">
        <f>0</f>
        <v>0</v>
      </c>
      <c r="D2045" t="s">
        <v>106</v>
      </c>
      <c r="E2045">
        <v>0</v>
      </c>
    </row>
    <row r="2046" spans="1:5">
      <c r="A2046" t="s">
        <v>35674</v>
      </c>
      <c r="B2046" t="s">
        <v>35677</v>
      </c>
      <c r="C2046">
        <v>0</v>
      </c>
      <c r="D2046" t="s">
        <v>106</v>
      </c>
      <c r="E2046">
        <v>0</v>
      </c>
    </row>
    <row r="2047" spans="1:5">
      <c r="A2047" t="s">
        <v>35674</v>
      </c>
      <c r="B2047" t="s">
        <v>35678</v>
      </c>
      <c r="C2047">
        <f>0</f>
        <v>0</v>
      </c>
      <c r="D2047" t="s">
        <v>106</v>
      </c>
      <c r="E2047">
        <v>0</v>
      </c>
    </row>
    <row r="2048" spans="1:5">
      <c r="A2048" t="s">
        <v>35674</v>
      </c>
      <c r="B2048" t="s">
        <v>35679</v>
      </c>
      <c r="C2048">
        <f>0</f>
        <v>0</v>
      </c>
      <c r="D2048" t="s">
        <v>106</v>
      </c>
      <c r="E2048">
        <v>0</v>
      </c>
    </row>
    <row r="2049" spans="1:5">
      <c r="A2049" t="s">
        <v>35674</v>
      </c>
      <c r="B2049" t="s">
        <v>35680</v>
      </c>
      <c r="C2049">
        <f>0</f>
        <v>0</v>
      </c>
      <c r="D2049" t="s">
        <v>106</v>
      </c>
      <c r="E2049">
        <v>0</v>
      </c>
    </row>
    <row r="2050" spans="1:5">
      <c r="A2050" t="s">
        <v>35681</v>
      </c>
      <c r="B2050" t="s">
        <v>10673</v>
      </c>
      <c r="C2050">
        <f>0.353811213053</f>
        <v>0.35381121305300001</v>
      </c>
      <c r="D2050">
        <v>0.99962813515299997</v>
      </c>
      <c r="E2050">
        <v>3.5880000000000001</v>
      </c>
    </row>
    <row r="2051" spans="1:5">
      <c r="A2051" t="s">
        <v>35681</v>
      </c>
      <c r="B2051" t="s">
        <v>35682</v>
      </c>
      <c r="C2051">
        <v>0.42928687725999998</v>
      </c>
      <c r="D2051">
        <v>0.99962813515299997</v>
      </c>
      <c r="E2051">
        <v>3.5880000000000001</v>
      </c>
    </row>
    <row r="2052" spans="1:5">
      <c r="A2052" t="s">
        <v>35681</v>
      </c>
      <c r="B2052" t="s">
        <v>10678</v>
      </c>
      <c r="C2052">
        <v>0.40369539127199999</v>
      </c>
      <c r="D2052">
        <v>0.99962813515299997</v>
      </c>
      <c r="E2052">
        <v>3.5880000000000001</v>
      </c>
    </row>
    <row r="2053" spans="1:5">
      <c r="A2053" t="s">
        <v>35681</v>
      </c>
      <c r="B2053" t="s">
        <v>10675</v>
      </c>
      <c r="C2053">
        <f>0.0148359782948</f>
        <v>1.48359782948E-2</v>
      </c>
      <c r="D2053">
        <v>0.99962813515299997</v>
      </c>
      <c r="E2053">
        <v>3.5880000000000001</v>
      </c>
    </row>
    <row r="2054" spans="1:5">
      <c r="A2054" t="s">
        <v>35681</v>
      </c>
      <c r="B2054" t="s">
        <v>10676</v>
      </c>
      <c r="C2054">
        <v>0.276485180848</v>
      </c>
      <c r="D2054">
        <v>0.99962813515299997</v>
      </c>
      <c r="E2054">
        <v>3.5880000000000001</v>
      </c>
    </row>
    <row r="2055" spans="1:5">
      <c r="A2055" t="s">
        <v>35681</v>
      </c>
      <c r="B2055" t="s">
        <v>10677</v>
      </c>
      <c r="C2055">
        <f>0.676421676456</f>
        <v>0.67642167645600004</v>
      </c>
      <c r="D2055">
        <v>0.99962813515299997</v>
      </c>
      <c r="E2055">
        <v>3.5880000000000001</v>
      </c>
    </row>
    <row r="2056" spans="1:5">
      <c r="A2056" t="s">
        <v>35683</v>
      </c>
      <c r="B2056" t="s">
        <v>4216</v>
      </c>
      <c r="C2056">
        <f>0.0677941729469</f>
        <v>6.7794172946900003E-2</v>
      </c>
      <c r="D2056">
        <v>0.99999967376400001</v>
      </c>
      <c r="E2056">
        <v>24</v>
      </c>
    </row>
    <row r="2057" spans="1:5">
      <c r="A2057" t="s">
        <v>35683</v>
      </c>
      <c r="B2057" t="s">
        <v>4219</v>
      </c>
      <c r="C2057">
        <v>0.79178940432300005</v>
      </c>
      <c r="D2057">
        <v>0.99999967376400001</v>
      </c>
      <c r="E2057">
        <v>24</v>
      </c>
    </row>
    <row r="2058" spans="1:5">
      <c r="A2058" t="s">
        <v>35683</v>
      </c>
      <c r="B2058" t="s">
        <v>4224</v>
      </c>
      <c r="C2058">
        <v>0.33602664993800002</v>
      </c>
      <c r="D2058">
        <v>0.99999967376400001</v>
      </c>
      <c r="E2058">
        <v>24</v>
      </c>
    </row>
    <row r="2059" spans="1:5">
      <c r="A2059" t="s">
        <v>35683</v>
      </c>
      <c r="B2059" t="s">
        <v>4227</v>
      </c>
      <c r="C2059">
        <f>0.898971355582</f>
        <v>0.89897135558200003</v>
      </c>
      <c r="D2059">
        <v>0.99999967376400001</v>
      </c>
      <c r="E2059">
        <v>24</v>
      </c>
    </row>
    <row r="2060" spans="1:5">
      <c r="A2060" t="s">
        <v>35683</v>
      </c>
      <c r="B2060" t="s">
        <v>4220</v>
      </c>
      <c r="C2060">
        <f>0.333761668517</f>
        <v>0.33376166851700001</v>
      </c>
      <c r="D2060">
        <v>0.99999967376400001</v>
      </c>
      <c r="E2060">
        <v>24</v>
      </c>
    </row>
    <row r="2061" spans="1:5">
      <c r="A2061" t="s">
        <v>35683</v>
      </c>
      <c r="B2061" t="s">
        <v>4226</v>
      </c>
      <c r="C2061">
        <v>0.19194837081400001</v>
      </c>
      <c r="D2061">
        <v>0.99999967376400001</v>
      </c>
      <c r="E2061">
        <v>24</v>
      </c>
    </row>
    <row r="2062" spans="1:5">
      <c r="A2062" t="s">
        <v>35683</v>
      </c>
      <c r="B2062" t="s">
        <v>4225</v>
      </c>
      <c r="C2062">
        <f>0.0748216972501</f>
        <v>7.4821697250100003E-2</v>
      </c>
      <c r="D2062">
        <v>0.99999967376400001</v>
      </c>
      <c r="E2062">
        <v>24</v>
      </c>
    </row>
    <row r="2063" spans="1:5">
      <c r="A2063" t="s">
        <v>35683</v>
      </c>
      <c r="B2063" t="s">
        <v>4222</v>
      </c>
      <c r="C2063">
        <v>0.22532931675500001</v>
      </c>
      <c r="D2063">
        <v>0.99999967376400001</v>
      </c>
      <c r="E2063">
        <v>24</v>
      </c>
    </row>
    <row r="2064" spans="1:5">
      <c r="A2064" t="s">
        <v>35683</v>
      </c>
      <c r="B2064" t="s">
        <v>4228</v>
      </c>
      <c r="C2064">
        <f>0.222235625154</f>
        <v>0.222235625154</v>
      </c>
      <c r="D2064">
        <v>0.99999967376400001</v>
      </c>
      <c r="E2064">
        <v>24</v>
      </c>
    </row>
    <row r="2065" spans="1:5">
      <c r="A2065" t="s">
        <v>35684</v>
      </c>
      <c r="B2065" t="s">
        <v>15736</v>
      </c>
      <c r="C2065">
        <v>0</v>
      </c>
      <c r="D2065" t="s">
        <v>106</v>
      </c>
      <c r="E2065">
        <v>0.40799999999999997</v>
      </c>
    </row>
    <row r="2066" spans="1:5">
      <c r="A2066" t="s">
        <v>35684</v>
      </c>
      <c r="B2066" t="s">
        <v>15739</v>
      </c>
      <c r="C2066">
        <f>0</f>
        <v>0</v>
      </c>
      <c r="D2066" t="s">
        <v>106</v>
      </c>
      <c r="E2066">
        <v>0.40799999999999997</v>
      </c>
    </row>
    <row r="2067" spans="1:5">
      <c r="A2067" t="s">
        <v>35684</v>
      </c>
      <c r="B2067" t="s">
        <v>15737</v>
      </c>
      <c r="C2067">
        <f>0</f>
        <v>0</v>
      </c>
      <c r="D2067" t="s">
        <v>106</v>
      </c>
      <c r="E2067">
        <v>0.40799999999999997</v>
      </c>
    </row>
    <row r="2068" spans="1:5">
      <c r="A2068" t="s">
        <v>35685</v>
      </c>
      <c r="B2068" t="s">
        <v>26247</v>
      </c>
      <c r="C2068">
        <f>0</f>
        <v>0</v>
      </c>
      <c r="D2068" t="s">
        <v>106</v>
      </c>
      <c r="E2068">
        <v>7.2</v>
      </c>
    </row>
    <row r="2069" spans="1:5">
      <c r="A2069" t="s">
        <v>35685</v>
      </c>
      <c r="B2069" t="s">
        <v>26244</v>
      </c>
      <c r="C2069">
        <f>0</f>
        <v>0</v>
      </c>
      <c r="D2069" t="s">
        <v>106</v>
      </c>
      <c r="E2069">
        <v>7.2</v>
      </c>
    </row>
    <row r="2070" spans="1:5">
      <c r="A2070" t="s">
        <v>35686</v>
      </c>
      <c r="B2070" t="s">
        <v>35687</v>
      </c>
      <c r="C2070">
        <v>0.10468324972</v>
      </c>
      <c r="D2070">
        <v>0.95294034682999995</v>
      </c>
      <c r="E2070">
        <v>23.754000000000001</v>
      </c>
    </row>
    <row r="2071" spans="1:5">
      <c r="A2071" t="s">
        <v>35686</v>
      </c>
      <c r="B2071" t="s">
        <v>35688</v>
      </c>
      <c r="C2071">
        <v>0.35847550842100001</v>
      </c>
      <c r="D2071">
        <v>0.95294034682999995</v>
      </c>
      <c r="E2071">
        <v>23.754000000000001</v>
      </c>
    </row>
    <row r="2072" spans="1:5">
      <c r="A2072" t="s">
        <v>35686</v>
      </c>
      <c r="B2072" t="s">
        <v>35689</v>
      </c>
      <c r="C2072">
        <v>0.406962035444</v>
      </c>
      <c r="D2072">
        <v>0.95294034682999995</v>
      </c>
      <c r="E2072">
        <v>23.754000000000001</v>
      </c>
    </row>
    <row r="2073" spans="1:5">
      <c r="A2073" t="s">
        <v>35686</v>
      </c>
      <c r="B2073" t="s">
        <v>35690</v>
      </c>
      <c r="C2073">
        <v>0</v>
      </c>
      <c r="D2073">
        <v>0.95294034682999995</v>
      </c>
      <c r="E2073">
        <v>23.754000000000001</v>
      </c>
    </row>
    <row r="2074" spans="1:5">
      <c r="A2074" t="s">
        <v>35686</v>
      </c>
      <c r="B2074" t="s">
        <v>35691</v>
      </c>
      <c r="C2074">
        <f>0.323889954572</f>
        <v>0.32388995457199998</v>
      </c>
      <c r="D2074">
        <v>0.95294034682999995</v>
      </c>
      <c r="E2074">
        <v>23.754000000000001</v>
      </c>
    </row>
    <row r="2075" spans="1:5">
      <c r="A2075" t="s">
        <v>35692</v>
      </c>
      <c r="B2075" t="s">
        <v>35693</v>
      </c>
      <c r="C2075">
        <f>0.556442294243</f>
        <v>0.55644229424299996</v>
      </c>
      <c r="D2075">
        <v>0.93203345250699998</v>
      </c>
      <c r="E2075">
        <v>4.2720000000000002</v>
      </c>
    </row>
    <row r="2076" spans="1:5">
      <c r="A2076" t="s">
        <v>35692</v>
      </c>
      <c r="B2076" t="s">
        <v>35694</v>
      </c>
      <c r="C2076">
        <f>0.203519124025</f>
        <v>0.203519124025</v>
      </c>
      <c r="D2076">
        <v>0.93203345250699998</v>
      </c>
      <c r="E2076">
        <v>4.2720000000000002</v>
      </c>
    </row>
    <row r="2077" spans="1:5">
      <c r="A2077" t="s">
        <v>35692</v>
      </c>
      <c r="B2077" t="s">
        <v>35695</v>
      </c>
      <c r="C2077">
        <f>0.615589791772</f>
        <v>0.61558979177200002</v>
      </c>
      <c r="D2077">
        <v>0.93203345250699998</v>
      </c>
      <c r="E2077">
        <v>4.2720000000000002</v>
      </c>
    </row>
    <row r="2078" spans="1:5">
      <c r="A2078" t="s">
        <v>35692</v>
      </c>
      <c r="B2078" t="s">
        <v>35696</v>
      </c>
      <c r="C2078">
        <f>0.143097207662</f>
        <v>0.14309720766199999</v>
      </c>
      <c r="D2078">
        <v>0.93203345250699998</v>
      </c>
      <c r="E2078">
        <v>4.2720000000000002</v>
      </c>
    </row>
    <row r="2079" spans="1:5">
      <c r="A2079" t="s">
        <v>35692</v>
      </c>
      <c r="B2079" t="s">
        <v>35697</v>
      </c>
      <c r="C2079">
        <f>0</f>
        <v>0</v>
      </c>
      <c r="D2079">
        <v>0.93203345250699998</v>
      </c>
      <c r="E2079">
        <v>4.2720000000000002</v>
      </c>
    </row>
    <row r="2080" spans="1:5">
      <c r="A2080" t="s">
        <v>35692</v>
      </c>
      <c r="B2080" t="s">
        <v>35698</v>
      </c>
      <c r="C2080">
        <f>0</f>
        <v>0</v>
      </c>
      <c r="D2080">
        <v>0.93203345250699998</v>
      </c>
      <c r="E2080">
        <v>4.2720000000000002</v>
      </c>
    </row>
    <row r="2081" spans="1:5">
      <c r="A2081" t="s">
        <v>35699</v>
      </c>
      <c r="B2081" t="s">
        <v>14394</v>
      </c>
      <c r="C2081">
        <f>0</f>
        <v>0</v>
      </c>
      <c r="D2081">
        <v>0.96400523680600003</v>
      </c>
      <c r="E2081">
        <v>23.754000000000001</v>
      </c>
    </row>
    <row r="2082" spans="1:5">
      <c r="A2082" t="s">
        <v>35699</v>
      </c>
      <c r="B2082" t="s">
        <v>14400</v>
      </c>
      <c r="C2082">
        <v>0</v>
      </c>
      <c r="D2082">
        <v>0.96400523680600003</v>
      </c>
      <c r="E2082">
        <v>23.754000000000001</v>
      </c>
    </row>
    <row r="2083" spans="1:5">
      <c r="A2083" t="s">
        <v>35699</v>
      </c>
      <c r="B2083" t="s">
        <v>14397</v>
      </c>
      <c r="C2083">
        <f>0</f>
        <v>0</v>
      </c>
      <c r="D2083">
        <v>0.96400523680600003</v>
      </c>
      <c r="E2083">
        <v>23.754000000000001</v>
      </c>
    </row>
    <row r="2084" spans="1:5">
      <c r="A2084" t="s">
        <v>35699</v>
      </c>
      <c r="B2084" t="s">
        <v>14401</v>
      </c>
      <c r="C2084">
        <v>0</v>
      </c>
      <c r="D2084">
        <v>0.96400523680600003</v>
      </c>
      <c r="E2084">
        <v>23.754000000000001</v>
      </c>
    </row>
    <row r="2085" spans="1:5">
      <c r="A2085" t="s">
        <v>35699</v>
      </c>
      <c r="B2085" t="s">
        <v>14390</v>
      </c>
      <c r="C2085">
        <v>0.64063872858899995</v>
      </c>
      <c r="D2085">
        <v>0.96400523680600003</v>
      </c>
      <c r="E2085">
        <v>23.754000000000001</v>
      </c>
    </row>
    <row r="2086" spans="1:5">
      <c r="A2086" t="s">
        <v>35699</v>
      </c>
      <c r="B2086" t="s">
        <v>14391</v>
      </c>
      <c r="C2086">
        <v>0.51178681256299996</v>
      </c>
      <c r="D2086">
        <v>0.96400523680600003</v>
      </c>
      <c r="E2086">
        <v>23.754000000000001</v>
      </c>
    </row>
    <row r="2087" spans="1:5">
      <c r="A2087" t="s">
        <v>35699</v>
      </c>
      <c r="B2087" t="s">
        <v>14389</v>
      </c>
      <c r="C2087">
        <v>0</v>
      </c>
      <c r="D2087">
        <v>0.96400523680600003</v>
      </c>
      <c r="E2087">
        <v>23.754000000000001</v>
      </c>
    </row>
    <row r="2088" spans="1:5">
      <c r="A2088" t="s">
        <v>35699</v>
      </c>
      <c r="B2088" t="s">
        <v>14388</v>
      </c>
      <c r="C2088">
        <f>0.0228509970149</f>
        <v>2.2850997014899999E-2</v>
      </c>
      <c r="D2088">
        <v>0.96400523680600003</v>
      </c>
      <c r="E2088">
        <v>23.754000000000001</v>
      </c>
    </row>
    <row r="2089" spans="1:5">
      <c r="A2089" t="s">
        <v>35700</v>
      </c>
      <c r="B2089" t="s">
        <v>35701</v>
      </c>
      <c r="C2089">
        <v>0.19049298765600001</v>
      </c>
      <c r="D2089">
        <v>0.84647587417799997</v>
      </c>
      <c r="E2089">
        <v>0.114</v>
      </c>
    </row>
    <row r="2090" spans="1:5">
      <c r="A2090" t="s">
        <v>35700</v>
      </c>
      <c r="B2090" t="s">
        <v>35702</v>
      </c>
      <c r="C2090">
        <v>0.62327549607499999</v>
      </c>
      <c r="D2090">
        <v>0.84647587417799997</v>
      </c>
      <c r="E2090">
        <v>0.114</v>
      </c>
    </row>
    <row r="2091" spans="1:5">
      <c r="A2091" t="s">
        <v>35700</v>
      </c>
      <c r="B2091" t="s">
        <v>35703</v>
      </c>
      <c r="C2091">
        <v>0.22964215256500001</v>
      </c>
      <c r="D2091">
        <v>0.84647587417799997</v>
      </c>
      <c r="E2091">
        <v>0.114</v>
      </c>
    </row>
    <row r="2092" spans="1:5">
      <c r="A2092" t="s">
        <v>35704</v>
      </c>
      <c r="B2092" t="s">
        <v>10200</v>
      </c>
      <c r="C2092">
        <v>0</v>
      </c>
      <c r="D2092">
        <v>0.98254049035400004</v>
      </c>
      <c r="E2092">
        <v>2.4E-2</v>
      </c>
    </row>
    <row r="2093" spans="1:5">
      <c r="A2093" t="s">
        <v>35704</v>
      </c>
      <c r="B2093" t="s">
        <v>10217</v>
      </c>
      <c r="C2093">
        <f>0</f>
        <v>0</v>
      </c>
      <c r="D2093">
        <v>0.98254049035400004</v>
      </c>
      <c r="E2093">
        <v>2.4E-2</v>
      </c>
    </row>
    <row r="2094" spans="1:5">
      <c r="A2094" t="s">
        <v>35704</v>
      </c>
      <c r="B2094" t="s">
        <v>10220</v>
      </c>
      <c r="C2094">
        <v>0</v>
      </c>
      <c r="D2094">
        <v>0.98254049035400004</v>
      </c>
      <c r="E2094">
        <v>2.4E-2</v>
      </c>
    </row>
    <row r="2095" spans="1:5">
      <c r="A2095" t="s">
        <v>35704</v>
      </c>
      <c r="B2095" t="s">
        <v>10201</v>
      </c>
      <c r="C2095">
        <v>0</v>
      </c>
      <c r="D2095">
        <v>0.98254049035400004</v>
      </c>
      <c r="E2095">
        <v>2.4E-2</v>
      </c>
    </row>
    <row r="2096" spans="1:5">
      <c r="A2096" t="s">
        <v>35704</v>
      </c>
      <c r="B2096" t="s">
        <v>10206</v>
      </c>
      <c r="C2096">
        <v>0</v>
      </c>
      <c r="D2096">
        <v>0.98254049035400004</v>
      </c>
      <c r="E2096">
        <v>2.4E-2</v>
      </c>
    </row>
    <row r="2097" spans="1:5">
      <c r="A2097" t="s">
        <v>35704</v>
      </c>
      <c r="B2097" t="s">
        <v>10202</v>
      </c>
      <c r="C2097">
        <f>0</f>
        <v>0</v>
      </c>
      <c r="D2097">
        <v>0.98254049035400004</v>
      </c>
      <c r="E2097">
        <v>2.4E-2</v>
      </c>
    </row>
    <row r="2098" spans="1:5">
      <c r="A2098" t="s">
        <v>35704</v>
      </c>
      <c r="B2098" t="s">
        <v>10221</v>
      </c>
      <c r="C2098">
        <f>0</f>
        <v>0</v>
      </c>
      <c r="D2098">
        <v>0.98254049035400004</v>
      </c>
      <c r="E2098">
        <v>2.4E-2</v>
      </c>
    </row>
    <row r="2099" spans="1:5">
      <c r="A2099" t="s">
        <v>35704</v>
      </c>
      <c r="B2099" t="s">
        <v>10218</v>
      </c>
      <c r="C2099">
        <v>0</v>
      </c>
      <c r="D2099">
        <v>0.98254049035400004</v>
      </c>
      <c r="E2099">
        <v>2.4E-2</v>
      </c>
    </row>
    <row r="2100" spans="1:5">
      <c r="A2100" t="s">
        <v>35704</v>
      </c>
      <c r="B2100" t="s">
        <v>10226</v>
      </c>
      <c r="C2100">
        <v>0.60479974677000004</v>
      </c>
      <c r="D2100">
        <v>0.98254049035400004</v>
      </c>
      <c r="E2100">
        <v>2.4E-2</v>
      </c>
    </row>
    <row r="2101" spans="1:5">
      <c r="A2101" t="s">
        <v>35704</v>
      </c>
      <c r="B2101" t="s">
        <v>10223</v>
      </c>
      <c r="C2101">
        <v>0</v>
      </c>
      <c r="D2101">
        <v>0.98254049035400004</v>
      </c>
      <c r="E2101">
        <v>2.4E-2</v>
      </c>
    </row>
    <row r="2102" spans="1:5">
      <c r="A2102" t="s">
        <v>35704</v>
      </c>
      <c r="B2102" t="s">
        <v>10210</v>
      </c>
      <c r="C2102">
        <f>0</f>
        <v>0</v>
      </c>
      <c r="D2102">
        <v>0.98254049035400004</v>
      </c>
      <c r="E2102">
        <v>2.4E-2</v>
      </c>
    </row>
    <row r="2103" spans="1:5">
      <c r="A2103" t="s">
        <v>35704</v>
      </c>
      <c r="B2103" t="s">
        <v>10213</v>
      </c>
      <c r="C2103">
        <v>0</v>
      </c>
      <c r="D2103">
        <v>0.98254049035400004</v>
      </c>
      <c r="E2103">
        <v>2.4E-2</v>
      </c>
    </row>
    <row r="2104" spans="1:5">
      <c r="A2104" t="s">
        <v>35704</v>
      </c>
      <c r="B2104" t="s">
        <v>10208</v>
      </c>
      <c r="C2104">
        <v>0.31190903864300001</v>
      </c>
      <c r="D2104">
        <v>0.98254049035400004</v>
      </c>
      <c r="E2104">
        <v>2.4E-2</v>
      </c>
    </row>
    <row r="2105" spans="1:5">
      <c r="A2105" t="s">
        <v>35704</v>
      </c>
      <c r="B2105" t="s">
        <v>10216</v>
      </c>
      <c r="C2105">
        <f>0</f>
        <v>0</v>
      </c>
      <c r="D2105">
        <v>0.98254049035400004</v>
      </c>
      <c r="E2105">
        <v>2.4E-2</v>
      </c>
    </row>
    <row r="2106" spans="1:5">
      <c r="A2106" t="s">
        <v>35704</v>
      </c>
      <c r="B2106" t="s">
        <v>10209</v>
      </c>
      <c r="C2106">
        <v>0</v>
      </c>
      <c r="D2106">
        <v>0.98254049035400004</v>
      </c>
      <c r="E2106">
        <v>2.4E-2</v>
      </c>
    </row>
    <row r="2107" spans="1:5">
      <c r="A2107" t="s">
        <v>35704</v>
      </c>
      <c r="B2107" t="s">
        <v>10224</v>
      </c>
      <c r="C2107">
        <v>0</v>
      </c>
      <c r="D2107">
        <v>0.98254049035400004</v>
      </c>
      <c r="E2107">
        <v>2.4E-2</v>
      </c>
    </row>
    <row r="2108" spans="1:5">
      <c r="A2108" t="s">
        <v>35704</v>
      </c>
      <c r="B2108" t="s">
        <v>10203</v>
      </c>
      <c r="C2108">
        <v>1.9765197034800001E-2</v>
      </c>
      <c r="D2108">
        <v>0.98254049035400004</v>
      </c>
      <c r="E2108">
        <v>2.4E-2</v>
      </c>
    </row>
    <row r="2109" spans="1:5">
      <c r="A2109" t="s">
        <v>35705</v>
      </c>
      <c r="B2109" t="s">
        <v>3254</v>
      </c>
      <c r="C2109">
        <f>0</f>
        <v>0</v>
      </c>
      <c r="D2109" t="s">
        <v>106</v>
      </c>
      <c r="E2109">
        <v>0.61799999999999999</v>
      </c>
    </row>
    <row r="2110" spans="1:5">
      <c r="A2110" t="s">
        <v>35705</v>
      </c>
      <c r="B2110" t="s">
        <v>3255</v>
      </c>
      <c r="C2110">
        <f>0</f>
        <v>0</v>
      </c>
      <c r="D2110" t="s">
        <v>106</v>
      </c>
      <c r="E2110">
        <v>0.61799999999999999</v>
      </c>
    </row>
    <row r="2111" spans="1:5">
      <c r="A2111" t="s">
        <v>35705</v>
      </c>
      <c r="B2111" t="s">
        <v>3265</v>
      </c>
      <c r="C2111">
        <f>0</f>
        <v>0</v>
      </c>
      <c r="D2111" t="s">
        <v>106</v>
      </c>
      <c r="E2111">
        <v>0.61799999999999999</v>
      </c>
    </row>
    <row r="2112" spans="1:5">
      <c r="A2112" t="s">
        <v>35705</v>
      </c>
      <c r="B2112" t="s">
        <v>3259</v>
      </c>
      <c r="C2112">
        <v>0</v>
      </c>
      <c r="D2112" t="s">
        <v>106</v>
      </c>
      <c r="E2112">
        <v>0.61799999999999999</v>
      </c>
    </row>
    <row r="2113" spans="1:5">
      <c r="A2113" t="s">
        <v>35705</v>
      </c>
      <c r="B2113" t="s">
        <v>3264</v>
      </c>
      <c r="C2113">
        <f>0</f>
        <v>0</v>
      </c>
      <c r="D2113" t="s">
        <v>106</v>
      </c>
      <c r="E2113">
        <v>0.61799999999999999</v>
      </c>
    </row>
    <row r="2114" spans="1:5">
      <c r="A2114" t="s">
        <v>35705</v>
      </c>
      <c r="B2114" t="s">
        <v>3263</v>
      </c>
      <c r="C2114">
        <f>0</f>
        <v>0</v>
      </c>
      <c r="D2114" t="s">
        <v>106</v>
      </c>
      <c r="E2114">
        <v>0.61799999999999999</v>
      </c>
    </row>
    <row r="2115" spans="1:5">
      <c r="A2115" t="s">
        <v>35705</v>
      </c>
      <c r="B2115" t="s">
        <v>3256</v>
      </c>
      <c r="C2115">
        <f>0</f>
        <v>0</v>
      </c>
      <c r="D2115" t="s">
        <v>106</v>
      </c>
      <c r="E2115">
        <v>0.61799999999999999</v>
      </c>
    </row>
    <row r="2116" spans="1:5">
      <c r="A2116" t="s">
        <v>35705</v>
      </c>
      <c r="B2116" t="s">
        <v>3257</v>
      </c>
      <c r="C2116">
        <f>0</f>
        <v>0</v>
      </c>
      <c r="D2116" t="s">
        <v>106</v>
      </c>
      <c r="E2116">
        <v>0.61799999999999999</v>
      </c>
    </row>
    <row r="2117" spans="1:5">
      <c r="A2117" t="s">
        <v>35705</v>
      </c>
      <c r="B2117" t="s">
        <v>3262</v>
      </c>
      <c r="C2117">
        <f>0</f>
        <v>0</v>
      </c>
      <c r="D2117" t="s">
        <v>106</v>
      </c>
      <c r="E2117">
        <v>0.61799999999999999</v>
      </c>
    </row>
    <row r="2118" spans="1:5">
      <c r="A2118" t="s">
        <v>35706</v>
      </c>
      <c r="B2118" t="s">
        <v>35707</v>
      </c>
      <c r="C2118">
        <v>0</v>
      </c>
      <c r="D2118">
        <v>0.72080045045399999</v>
      </c>
      <c r="E2118">
        <v>9.3179999999999996</v>
      </c>
    </row>
    <row r="2119" spans="1:5">
      <c r="A2119" t="s">
        <v>35706</v>
      </c>
      <c r="B2119" t="s">
        <v>35708</v>
      </c>
      <c r="C2119">
        <v>5.29486835182E-2</v>
      </c>
      <c r="D2119">
        <v>0.72080045045399999</v>
      </c>
      <c r="E2119">
        <v>9.3179999999999996</v>
      </c>
    </row>
    <row r="2120" spans="1:5">
      <c r="A2120" t="s">
        <v>35706</v>
      </c>
      <c r="B2120" t="s">
        <v>35709</v>
      </c>
      <c r="C2120">
        <f>0.633061244197</f>
        <v>0.63306124419700005</v>
      </c>
      <c r="D2120">
        <v>0.72080045045399999</v>
      </c>
      <c r="E2120">
        <v>9.3179999999999996</v>
      </c>
    </row>
    <row r="2121" spans="1:5">
      <c r="A2121" t="s">
        <v>35710</v>
      </c>
      <c r="B2121" t="s">
        <v>16056</v>
      </c>
      <c r="C2121">
        <v>0.11098370226</v>
      </c>
      <c r="D2121">
        <v>0.75099370225999995</v>
      </c>
      <c r="E2121">
        <v>23.754000000000001</v>
      </c>
    </row>
    <row r="2122" spans="1:5">
      <c r="A2122" t="s">
        <v>35710</v>
      </c>
      <c r="B2122" t="s">
        <v>16058</v>
      </c>
      <c r="C2122">
        <v>0</v>
      </c>
      <c r="D2122">
        <v>0.75099370225999995</v>
      </c>
      <c r="E2122">
        <v>23.754000000000001</v>
      </c>
    </row>
    <row r="2123" spans="1:5">
      <c r="A2123" t="s">
        <v>35710</v>
      </c>
      <c r="B2123" t="s">
        <v>16065</v>
      </c>
      <c r="C2123">
        <v>0</v>
      </c>
      <c r="D2123">
        <v>0.75099370225999995</v>
      </c>
      <c r="E2123">
        <v>23.754000000000001</v>
      </c>
    </row>
    <row r="2124" spans="1:5">
      <c r="A2124" t="s">
        <v>35710</v>
      </c>
      <c r="B2124" t="s">
        <v>16060</v>
      </c>
      <c r="C2124">
        <v>0</v>
      </c>
      <c r="D2124">
        <v>0.75099370225999995</v>
      </c>
      <c r="E2124">
        <v>23.754000000000001</v>
      </c>
    </row>
    <row r="2125" spans="1:5">
      <c r="A2125" t="s">
        <v>35710</v>
      </c>
      <c r="B2125" t="s">
        <v>16059</v>
      </c>
      <c r="C2125">
        <v>0</v>
      </c>
      <c r="D2125">
        <v>0.75099370225999995</v>
      </c>
      <c r="E2125">
        <v>23.754000000000001</v>
      </c>
    </row>
    <row r="2126" spans="1:5">
      <c r="A2126" t="s">
        <v>35710</v>
      </c>
      <c r="B2126" t="s">
        <v>16057</v>
      </c>
      <c r="C2126">
        <v>0</v>
      </c>
      <c r="D2126">
        <v>0.75099370225999995</v>
      </c>
      <c r="E2126">
        <v>23.754000000000001</v>
      </c>
    </row>
    <row r="2127" spans="1:5">
      <c r="A2127" t="s">
        <v>35710</v>
      </c>
      <c r="B2127" t="s">
        <v>16064</v>
      </c>
      <c r="C2127">
        <f>0</f>
        <v>0</v>
      </c>
      <c r="D2127">
        <v>0.75099370225999995</v>
      </c>
      <c r="E2127">
        <v>23.754000000000001</v>
      </c>
    </row>
    <row r="2128" spans="1:5">
      <c r="A2128" t="s">
        <v>35710</v>
      </c>
      <c r="B2128" t="s">
        <v>16062</v>
      </c>
      <c r="C2128">
        <f>0</f>
        <v>0</v>
      </c>
      <c r="D2128">
        <v>0.75099370225999995</v>
      </c>
      <c r="E2128">
        <v>23.754000000000001</v>
      </c>
    </row>
    <row r="2129" spans="1:5">
      <c r="A2129" t="s">
        <v>35711</v>
      </c>
      <c r="B2129" t="s">
        <v>27471</v>
      </c>
      <c r="C2129">
        <v>0.115581706433</v>
      </c>
      <c r="D2129">
        <v>0.89641521879499997</v>
      </c>
      <c r="E2129">
        <v>0</v>
      </c>
    </row>
    <row r="2130" spans="1:5">
      <c r="A2130" t="s">
        <v>35711</v>
      </c>
      <c r="B2130" t="s">
        <v>27478</v>
      </c>
      <c r="C2130">
        <v>0</v>
      </c>
      <c r="D2130">
        <v>0.89641521879499997</v>
      </c>
      <c r="E2130">
        <v>0</v>
      </c>
    </row>
    <row r="2131" spans="1:5">
      <c r="A2131" t="s">
        <v>35711</v>
      </c>
      <c r="B2131" t="s">
        <v>27475</v>
      </c>
      <c r="C2131">
        <v>0</v>
      </c>
      <c r="D2131">
        <v>0.89641521879499997</v>
      </c>
      <c r="E2131">
        <v>0</v>
      </c>
    </row>
    <row r="2132" spans="1:5">
      <c r="A2132" t="s">
        <v>35711</v>
      </c>
      <c r="B2132" t="s">
        <v>27476</v>
      </c>
      <c r="C2132">
        <f>0.637388540041</f>
        <v>0.63738854004099998</v>
      </c>
      <c r="D2132">
        <v>0.89641521879499997</v>
      </c>
      <c r="E2132">
        <v>0</v>
      </c>
    </row>
    <row r="2133" spans="1:5">
      <c r="A2133" t="s">
        <v>35711</v>
      </c>
      <c r="B2133" t="s">
        <v>27481</v>
      </c>
      <c r="C2133">
        <v>0.68613417879600003</v>
      </c>
      <c r="D2133">
        <v>0.89641521879499997</v>
      </c>
      <c r="E2133">
        <v>0</v>
      </c>
    </row>
    <row r="2134" spans="1:5">
      <c r="A2134" t="s">
        <v>35711</v>
      </c>
      <c r="B2134" t="s">
        <v>27474</v>
      </c>
      <c r="C2134">
        <v>0</v>
      </c>
      <c r="D2134">
        <v>0.89641521879499997</v>
      </c>
      <c r="E2134">
        <v>0</v>
      </c>
    </row>
    <row r="2135" spans="1:5">
      <c r="A2135" t="s">
        <v>35711</v>
      </c>
      <c r="B2135" t="s">
        <v>27482</v>
      </c>
      <c r="C2135">
        <v>0</v>
      </c>
      <c r="D2135">
        <v>0.89641521879499997</v>
      </c>
      <c r="E2135">
        <v>0</v>
      </c>
    </row>
    <row r="2136" spans="1:5">
      <c r="A2136" t="s">
        <v>35712</v>
      </c>
      <c r="B2136" t="s">
        <v>6679</v>
      </c>
      <c r="C2136">
        <f>0.757518071896</f>
        <v>0.75751807189599996</v>
      </c>
      <c r="D2136">
        <v>0.884652734557</v>
      </c>
      <c r="E2136">
        <v>5.9340000000000002</v>
      </c>
    </row>
    <row r="2137" spans="1:5">
      <c r="A2137" t="s">
        <v>35712</v>
      </c>
      <c r="B2137" t="s">
        <v>6683</v>
      </c>
      <c r="C2137">
        <v>0.64046304083200001</v>
      </c>
      <c r="D2137">
        <v>0.884652734557</v>
      </c>
      <c r="E2137">
        <v>5.9340000000000002</v>
      </c>
    </row>
    <row r="2138" spans="1:5">
      <c r="A2138" t="s">
        <v>35712</v>
      </c>
      <c r="B2138" t="s">
        <v>6680</v>
      </c>
      <c r="C2138">
        <v>0.17123352264300001</v>
      </c>
      <c r="D2138">
        <v>0.884652734557</v>
      </c>
      <c r="E2138">
        <v>5.9340000000000002</v>
      </c>
    </row>
    <row r="2139" spans="1:5">
      <c r="A2139" t="s">
        <v>35713</v>
      </c>
      <c r="B2139" t="s">
        <v>10192</v>
      </c>
      <c r="C2139">
        <v>0</v>
      </c>
      <c r="D2139">
        <v>0.94834764419399997</v>
      </c>
      <c r="E2139">
        <v>7.1999999999999995E-2</v>
      </c>
    </row>
    <row r="2140" spans="1:5">
      <c r="A2140" t="s">
        <v>35713</v>
      </c>
      <c r="B2140" t="s">
        <v>10194</v>
      </c>
      <c r="C2140">
        <v>0</v>
      </c>
      <c r="D2140">
        <v>0.94834764419399997</v>
      </c>
      <c r="E2140">
        <v>7.1999999999999995E-2</v>
      </c>
    </row>
    <row r="2141" spans="1:5">
      <c r="A2141" t="s">
        <v>35713</v>
      </c>
      <c r="B2141" t="s">
        <v>10195</v>
      </c>
      <c r="C2141">
        <v>0.19248525051099999</v>
      </c>
      <c r="D2141">
        <v>0.94834764419399997</v>
      </c>
      <c r="E2141">
        <v>7.1999999999999995E-2</v>
      </c>
    </row>
    <row r="2142" spans="1:5">
      <c r="A2142" t="s">
        <v>35713</v>
      </c>
      <c r="B2142" t="s">
        <v>10193</v>
      </c>
      <c r="C2142">
        <v>0.63469917167699996</v>
      </c>
      <c r="D2142">
        <v>0.94834764419399997</v>
      </c>
      <c r="E2142">
        <v>7.1999999999999995E-2</v>
      </c>
    </row>
    <row r="2143" spans="1:5">
      <c r="A2143" t="s">
        <v>35714</v>
      </c>
      <c r="B2143" t="s">
        <v>8178</v>
      </c>
      <c r="C2143">
        <v>0</v>
      </c>
      <c r="D2143">
        <v>0.87899774720099999</v>
      </c>
      <c r="E2143">
        <v>23.754000000000001</v>
      </c>
    </row>
    <row r="2144" spans="1:5">
      <c r="A2144" t="s">
        <v>35714</v>
      </c>
      <c r="B2144" t="s">
        <v>8179</v>
      </c>
      <c r="C2144">
        <f>0</f>
        <v>0</v>
      </c>
      <c r="D2144">
        <v>0.87899774720099999</v>
      </c>
      <c r="E2144">
        <v>23.754000000000001</v>
      </c>
    </row>
    <row r="2145" spans="1:5">
      <c r="A2145" t="s">
        <v>35714</v>
      </c>
      <c r="B2145" t="s">
        <v>8183</v>
      </c>
      <c r="C2145">
        <f>0.360587747201</f>
        <v>0.36058774720100001</v>
      </c>
      <c r="D2145">
        <v>0.87899774720099999</v>
      </c>
      <c r="E2145">
        <v>23.754000000000001</v>
      </c>
    </row>
    <row r="2146" spans="1:5">
      <c r="A2146" t="s">
        <v>35714</v>
      </c>
      <c r="B2146" t="s">
        <v>8182</v>
      </c>
      <c r="C2146">
        <f>0</f>
        <v>0</v>
      </c>
      <c r="D2146">
        <v>0.87899774720099999</v>
      </c>
      <c r="E2146">
        <v>23.754000000000001</v>
      </c>
    </row>
    <row r="2147" spans="1:5">
      <c r="A2147" t="s">
        <v>35714</v>
      </c>
      <c r="B2147" t="s">
        <v>8186</v>
      </c>
      <c r="C2147">
        <f>0</f>
        <v>0</v>
      </c>
      <c r="D2147">
        <v>0.87899774720099999</v>
      </c>
      <c r="E2147">
        <v>23.754000000000001</v>
      </c>
    </row>
    <row r="2148" spans="1:5">
      <c r="A2148" t="s">
        <v>35714</v>
      </c>
      <c r="B2148" t="s">
        <v>8190</v>
      </c>
      <c r="C2148">
        <f>0</f>
        <v>0</v>
      </c>
      <c r="D2148">
        <v>0.87899774720099999</v>
      </c>
      <c r="E2148">
        <v>23.754000000000001</v>
      </c>
    </row>
    <row r="2149" spans="1:5">
      <c r="A2149" t="s">
        <v>35714</v>
      </c>
      <c r="B2149" t="s">
        <v>8189</v>
      </c>
      <c r="C2149">
        <f>0</f>
        <v>0</v>
      </c>
      <c r="D2149">
        <v>0.87899774720099999</v>
      </c>
      <c r="E2149">
        <v>23.754000000000001</v>
      </c>
    </row>
    <row r="2150" spans="1:5">
      <c r="A2150" t="s">
        <v>35714</v>
      </c>
      <c r="B2150" t="s">
        <v>8180</v>
      </c>
      <c r="C2150">
        <v>0</v>
      </c>
      <c r="D2150">
        <v>0.87899774720099999</v>
      </c>
      <c r="E2150">
        <v>23.754000000000001</v>
      </c>
    </row>
    <row r="2151" spans="1:5">
      <c r="A2151" t="s">
        <v>35714</v>
      </c>
      <c r="B2151" t="s">
        <v>8184</v>
      </c>
      <c r="C2151">
        <f>0</f>
        <v>0</v>
      </c>
      <c r="D2151">
        <v>0.87899774720099999</v>
      </c>
      <c r="E2151">
        <v>23.754000000000001</v>
      </c>
    </row>
    <row r="2152" spans="1:5">
      <c r="A2152" t="s">
        <v>35714</v>
      </c>
      <c r="B2152" t="s">
        <v>8187</v>
      </c>
      <c r="C2152">
        <f>0</f>
        <v>0</v>
      </c>
      <c r="D2152">
        <v>0.87899774720099999</v>
      </c>
      <c r="E2152">
        <v>23.754000000000001</v>
      </c>
    </row>
    <row r="2153" spans="1:5">
      <c r="A2153" t="s">
        <v>35715</v>
      </c>
      <c r="B2153" t="s">
        <v>35716</v>
      </c>
      <c r="C2153">
        <v>0</v>
      </c>
      <c r="D2153" t="s">
        <v>106</v>
      </c>
      <c r="E2153">
        <v>19.853999999999999</v>
      </c>
    </row>
    <row r="2154" spans="1:5">
      <c r="A2154" t="s">
        <v>35715</v>
      </c>
      <c r="B2154" t="s">
        <v>35717</v>
      </c>
      <c r="C2154">
        <f>0</f>
        <v>0</v>
      </c>
      <c r="D2154" t="s">
        <v>106</v>
      </c>
      <c r="E2154">
        <v>19.853999999999999</v>
      </c>
    </row>
    <row r="2155" spans="1:5">
      <c r="A2155" t="s">
        <v>35715</v>
      </c>
      <c r="B2155" t="s">
        <v>35718</v>
      </c>
      <c r="C2155">
        <v>0</v>
      </c>
      <c r="D2155" t="s">
        <v>106</v>
      </c>
      <c r="E2155">
        <v>19.853999999999999</v>
      </c>
    </row>
    <row r="2156" spans="1:5">
      <c r="A2156" t="s">
        <v>35715</v>
      </c>
      <c r="B2156" t="s">
        <v>35719</v>
      </c>
      <c r="C2156">
        <f>0</f>
        <v>0</v>
      </c>
      <c r="D2156" t="s">
        <v>106</v>
      </c>
      <c r="E2156">
        <v>19.853999999999999</v>
      </c>
    </row>
    <row r="2157" spans="1:5">
      <c r="A2157" t="s">
        <v>35715</v>
      </c>
      <c r="B2157" t="s">
        <v>35720</v>
      </c>
      <c r="C2157">
        <v>0</v>
      </c>
      <c r="D2157" t="s">
        <v>106</v>
      </c>
      <c r="E2157">
        <v>19.853999999999999</v>
      </c>
    </row>
    <row r="2158" spans="1:5">
      <c r="A2158" t="s">
        <v>35715</v>
      </c>
      <c r="B2158" t="s">
        <v>35721</v>
      </c>
      <c r="C2158">
        <v>0</v>
      </c>
      <c r="D2158" t="s">
        <v>106</v>
      </c>
      <c r="E2158">
        <v>19.853999999999999</v>
      </c>
    </row>
    <row r="2159" spans="1:5">
      <c r="A2159" t="s">
        <v>35715</v>
      </c>
      <c r="B2159" t="s">
        <v>35722</v>
      </c>
      <c r="C2159">
        <v>0</v>
      </c>
      <c r="D2159" t="s">
        <v>106</v>
      </c>
      <c r="E2159">
        <v>19.853999999999999</v>
      </c>
    </row>
    <row r="2160" spans="1:5">
      <c r="A2160" t="s">
        <v>35715</v>
      </c>
      <c r="B2160" t="s">
        <v>35723</v>
      </c>
      <c r="C2160">
        <v>0</v>
      </c>
      <c r="D2160" t="s">
        <v>106</v>
      </c>
      <c r="E2160">
        <v>19.853999999999999</v>
      </c>
    </row>
    <row r="2161" spans="1:5">
      <c r="A2161" t="s">
        <v>35724</v>
      </c>
      <c r="B2161" t="s">
        <v>35725</v>
      </c>
      <c r="C2161">
        <f>0</f>
        <v>0</v>
      </c>
      <c r="D2161" t="s">
        <v>106</v>
      </c>
      <c r="E2161">
        <v>5.82</v>
      </c>
    </row>
    <row r="2162" spans="1:5">
      <c r="A2162" t="s">
        <v>35724</v>
      </c>
      <c r="B2162" t="s">
        <v>35726</v>
      </c>
      <c r="C2162">
        <v>0</v>
      </c>
      <c r="D2162" t="s">
        <v>106</v>
      </c>
      <c r="E2162">
        <v>5.82</v>
      </c>
    </row>
    <row r="2163" spans="1:5">
      <c r="A2163" t="s">
        <v>35724</v>
      </c>
      <c r="B2163" t="s">
        <v>35727</v>
      </c>
      <c r="C2163">
        <f>0</f>
        <v>0</v>
      </c>
      <c r="D2163" t="s">
        <v>106</v>
      </c>
      <c r="E2163">
        <v>5.82</v>
      </c>
    </row>
    <row r="2164" spans="1:5">
      <c r="A2164" t="s">
        <v>35724</v>
      </c>
      <c r="B2164" t="s">
        <v>35728</v>
      </c>
      <c r="C2164">
        <v>0</v>
      </c>
      <c r="D2164" t="s">
        <v>106</v>
      </c>
      <c r="E2164">
        <v>5.82</v>
      </c>
    </row>
    <row r="2165" spans="1:5">
      <c r="A2165" t="s">
        <v>35729</v>
      </c>
      <c r="B2165" t="s">
        <v>35730</v>
      </c>
      <c r="C2165">
        <f>0.864631832221</f>
        <v>0.86463183222100004</v>
      </c>
      <c r="D2165">
        <v>0.97648362542099998</v>
      </c>
      <c r="E2165">
        <v>2.1779999999999999</v>
      </c>
    </row>
    <row r="2166" spans="1:5">
      <c r="A2166" t="s">
        <v>35729</v>
      </c>
      <c r="B2166" t="s">
        <v>35731</v>
      </c>
      <c r="C2166">
        <v>0</v>
      </c>
      <c r="D2166">
        <v>0.97648362542099998</v>
      </c>
      <c r="E2166">
        <v>2.1779999999999999</v>
      </c>
    </row>
    <row r="2167" spans="1:5">
      <c r="A2167" t="s">
        <v>35729</v>
      </c>
      <c r="B2167" t="s">
        <v>35732</v>
      </c>
      <c r="C2167">
        <f>0.106558985315</f>
        <v>0.10655898531499999</v>
      </c>
      <c r="D2167">
        <v>0.97648362542099998</v>
      </c>
      <c r="E2167">
        <v>2.1779999999999999</v>
      </c>
    </row>
    <row r="2168" spans="1:5">
      <c r="A2168" t="s">
        <v>35729</v>
      </c>
      <c r="B2168" t="s">
        <v>35733</v>
      </c>
      <c r="C2168">
        <f>0</f>
        <v>0</v>
      </c>
      <c r="D2168">
        <v>0.97648362542099998</v>
      </c>
      <c r="E2168">
        <v>2.1779999999999999</v>
      </c>
    </row>
    <row r="2169" spans="1:5">
      <c r="A2169" t="s">
        <v>35729</v>
      </c>
      <c r="B2169" t="s">
        <v>35734</v>
      </c>
      <c r="C2169">
        <v>0</v>
      </c>
      <c r="D2169">
        <v>0.97648362542099998</v>
      </c>
      <c r="E2169">
        <v>2.1779999999999999</v>
      </c>
    </row>
    <row r="2170" spans="1:5">
      <c r="A2170" t="s">
        <v>35729</v>
      </c>
      <c r="B2170" t="s">
        <v>35735</v>
      </c>
      <c r="C2170">
        <v>0.111621388273</v>
      </c>
      <c r="D2170">
        <v>0.97648362542099998</v>
      </c>
      <c r="E2170">
        <v>2.1779999999999999</v>
      </c>
    </row>
    <row r="2171" spans="1:5">
      <c r="A2171" t="s">
        <v>35729</v>
      </c>
      <c r="B2171" t="s">
        <v>35736</v>
      </c>
      <c r="C2171">
        <f>0</f>
        <v>0</v>
      </c>
      <c r="D2171">
        <v>0.97648362542099998</v>
      </c>
      <c r="E2171">
        <v>2.1779999999999999</v>
      </c>
    </row>
    <row r="2172" spans="1:5">
      <c r="A2172" t="s">
        <v>35729</v>
      </c>
      <c r="B2172" t="s">
        <v>35737</v>
      </c>
      <c r="C2172">
        <f>0</f>
        <v>0</v>
      </c>
      <c r="D2172">
        <v>0.97648362542099998</v>
      </c>
      <c r="E2172">
        <v>2.1779999999999999</v>
      </c>
    </row>
    <row r="2173" spans="1:5">
      <c r="A2173" t="s">
        <v>35738</v>
      </c>
      <c r="B2173" t="s">
        <v>6182</v>
      </c>
      <c r="C2173">
        <v>0.68639204820800004</v>
      </c>
      <c r="D2173">
        <v>0.99978462724799999</v>
      </c>
      <c r="E2173">
        <v>24</v>
      </c>
    </row>
    <row r="2174" spans="1:5">
      <c r="A2174" t="s">
        <v>35738</v>
      </c>
      <c r="B2174" t="s">
        <v>6192</v>
      </c>
      <c r="C2174">
        <f>0.34384195511</f>
        <v>0.34384195510999999</v>
      </c>
      <c r="D2174">
        <v>0.99978462724799999</v>
      </c>
      <c r="E2174">
        <v>24</v>
      </c>
    </row>
    <row r="2175" spans="1:5">
      <c r="A2175" t="s">
        <v>35738</v>
      </c>
      <c r="B2175" t="s">
        <v>6183</v>
      </c>
      <c r="C2175">
        <v>0.36769674548199999</v>
      </c>
      <c r="D2175">
        <v>0.99978462724799999</v>
      </c>
      <c r="E2175">
        <v>24</v>
      </c>
    </row>
    <row r="2176" spans="1:5">
      <c r="A2176" t="s">
        <v>35738</v>
      </c>
      <c r="B2176" t="s">
        <v>6184</v>
      </c>
      <c r="C2176">
        <v>2.0170782903700002</v>
      </c>
      <c r="D2176">
        <v>0.99978462724799999</v>
      </c>
      <c r="E2176">
        <v>24</v>
      </c>
    </row>
    <row r="2177" spans="1:5">
      <c r="A2177" t="s">
        <v>35738</v>
      </c>
      <c r="B2177" t="s">
        <v>6188</v>
      </c>
      <c r="C2177">
        <v>1.09651187472</v>
      </c>
      <c r="D2177">
        <v>0.99978462724799999</v>
      </c>
      <c r="E2177">
        <v>24</v>
      </c>
    </row>
    <row r="2178" spans="1:5">
      <c r="A2178" t="s">
        <v>35738</v>
      </c>
      <c r="B2178" t="s">
        <v>6191</v>
      </c>
      <c r="C2178">
        <f>0.674560218129</f>
        <v>0.67456021812900002</v>
      </c>
      <c r="D2178">
        <v>0.99978462724799999</v>
      </c>
      <c r="E2178">
        <v>24</v>
      </c>
    </row>
    <row r="2179" spans="1:5">
      <c r="A2179" t="s">
        <v>35738</v>
      </c>
      <c r="B2179" t="s">
        <v>6193</v>
      </c>
      <c r="C2179">
        <f>-2.42194703882</f>
        <v>-2.42194703882</v>
      </c>
      <c r="D2179">
        <v>0.99978462724799999</v>
      </c>
      <c r="E2179">
        <v>24</v>
      </c>
    </row>
    <row r="2180" spans="1:5">
      <c r="A2180" t="s">
        <v>35739</v>
      </c>
      <c r="B2180" t="s">
        <v>35740</v>
      </c>
      <c r="C2180">
        <v>0</v>
      </c>
      <c r="D2180">
        <v>0.99522464792400001</v>
      </c>
      <c r="E2180">
        <v>12.048</v>
      </c>
    </row>
    <row r="2181" spans="1:5">
      <c r="A2181" t="s">
        <v>35739</v>
      </c>
      <c r="B2181" t="s">
        <v>35741</v>
      </c>
      <c r="C2181">
        <v>0.35674789602599999</v>
      </c>
      <c r="D2181">
        <v>0.99522464792400001</v>
      </c>
      <c r="E2181">
        <v>12.048</v>
      </c>
    </row>
    <row r="2182" spans="1:5">
      <c r="A2182" t="s">
        <v>35739</v>
      </c>
      <c r="B2182" t="s">
        <v>35742</v>
      </c>
      <c r="C2182">
        <f>0.576564267569</f>
        <v>0.57656426756900003</v>
      </c>
      <c r="D2182">
        <v>0.99522464792400001</v>
      </c>
      <c r="E2182">
        <v>12.048</v>
      </c>
    </row>
    <row r="2183" spans="1:5">
      <c r="A2183" t="s">
        <v>35739</v>
      </c>
      <c r="B2183" t="s">
        <v>35743</v>
      </c>
      <c r="C2183">
        <v>0</v>
      </c>
      <c r="D2183">
        <v>0.99522464792400001</v>
      </c>
      <c r="E2183">
        <v>12.048</v>
      </c>
    </row>
    <row r="2184" spans="1:5">
      <c r="A2184" t="s">
        <v>35739</v>
      </c>
      <c r="B2184" t="s">
        <v>35744</v>
      </c>
      <c r="C2184">
        <f>0</f>
        <v>0</v>
      </c>
      <c r="D2184">
        <v>0.99522464792400001</v>
      </c>
      <c r="E2184">
        <v>12.048</v>
      </c>
    </row>
    <row r="2185" spans="1:5">
      <c r="A2185" t="s">
        <v>35739</v>
      </c>
      <c r="B2185" t="s">
        <v>35745</v>
      </c>
      <c r="C2185">
        <f>0</f>
        <v>0</v>
      </c>
      <c r="D2185">
        <v>0.99522464792400001</v>
      </c>
      <c r="E2185">
        <v>12.048</v>
      </c>
    </row>
    <row r="2186" spans="1:5">
      <c r="A2186" t="s">
        <v>35739</v>
      </c>
      <c r="B2186" t="s">
        <v>35746</v>
      </c>
      <c r="C2186">
        <v>0</v>
      </c>
      <c r="D2186">
        <v>0.99522464792400001</v>
      </c>
      <c r="E2186">
        <v>12.048</v>
      </c>
    </row>
    <row r="2187" spans="1:5">
      <c r="A2187" t="s">
        <v>35739</v>
      </c>
      <c r="B2187" t="s">
        <v>35747</v>
      </c>
      <c r="C2187">
        <v>0.58411937654699997</v>
      </c>
      <c r="D2187">
        <v>0.99522464792400001</v>
      </c>
      <c r="E2187">
        <v>12.048</v>
      </c>
    </row>
    <row r="2188" spans="1:5">
      <c r="A2188" t="s">
        <v>35739</v>
      </c>
      <c r="B2188" t="s">
        <v>35748</v>
      </c>
      <c r="C2188">
        <v>8.5403007384400001E-2</v>
      </c>
      <c r="D2188">
        <v>0.99522464792400001</v>
      </c>
      <c r="E2188">
        <v>12.048</v>
      </c>
    </row>
    <row r="2189" spans="1:5">
      <c r="A2189" t="s">
        <v>35739</v>
      </c>
      <c r="B2189" t="s">
        <v>35749</v>
      </c>
      <c r="C2189">
        <f>0.0636291007425</f>
        <v>6.36291007425E-2</v>
      </c>
      <c r="D2189">
        <v>0.99522464792400001</v>
      </c>
      <c r="E2189">
        <v>12.048</v>
      </c>
    </row>
    <row r="2190" spans="1:5">
      <c r="A2190" t="s">
        <v>35750</v>
      </c>
      <c r="B2190" t="s">
        <v>13170</v>
      </c>
      <c r="C2190">
        <v>0.15778432396700001</v>
      </c>
      <c r="D2190">
        <v>0.94018713881500005</v>
      </c>
      <c r="E2190">
        <v>5.1239999999999997</v>
      </c>
    </row>
    <row r="2191" spans="1:5">
      <c r="A2191" t="s">
        <v>35750</v>
      </c>
      <c r="B2191" t="s">
        <v>13171</v>
      </c>
      <c r="C2191">
        <v>0.47685833737299999</v>
      </c>
      <c r="D2191">
        <v>0.94018713881500005</v>
      </c>
      <c r="E2191">
        <v>5.1239999999999997</v>
      </c>
    </row>
    <row r="2192" spans="1:5">
      <c r="A2192" t="s">
        <v>35750</v>
      </c>
      <c r="B2192" t="s">
        <v>13172</v>
      </c>
      <c r="C2192">
        <v>0.44982769252600002</v>
      </c>
      <c r="D2192">
        <v>0.94018713881500005</v>
      </c>
      <c r="E2192">
        <v>5.1239999999999997</v>
      </c>
    </row>
    <row r="2193" spans="1:5">
      <c r="A2193" t="s">
        <v>35751</v>
      </c>
      <c r="B2193" t="s">
        <v>11171</v>
      </c>
      <c r="C2193">
        <v>0.226736594317</v>
      </c>
      <c r="D2193">
        <v>0.99953919078700004</v>
      </c>
      <c r="E2193">
        <v>10.715999999999999</v>
      </c>
    </row>
    <row r="2194" spans="1:5">
      <c r="A2194" t="s">
        <v>35751</v>
      </c>
      <c r="B2194" t="s">
        <v>11169</v>
      </c>
      <c r="C2194">
        <v>0.93055517273400001</v>
      </c>
      <c r="D2194">
        <v>0.99953919078700004</v>
      </c>
      <c r="E2194">
        <v>10.715999999999999</v>
      </c>
    </row>
    <row r="2195" spans="1:5">
      <c r="A2195" t="s">
        <v>35751</v>
      </c>
      <c r="B2195" t="s">
        <v>11175</v>
      </c>
      <c r="C2195">
        <v>0.72710175285599998</v>
      </c>
      <c r="D2195">
        <v>0.99953919078700004</v>
      </c>
      <c r="E2195">
        <v>10.715999999999999</v>
      </c>
    </row>
    <row r="2196" spans="1:5">
      <c r="A2196" t="s">
        <v>35751</v>
      </c>
      <c r="B2196" t="s">
        <v>11174</v>
      </c>
      <c r="C2196">
        <f>0.124455263553</f>
        <v>0.124455263553</v>
      </c>
      <c r="D2196">
        <v>0.99953919078700004</v>
      </c>
      <c r="E2196">
        <v>10.715999999999999</v>
      </c>
    </row>
    <row r="2197" spans="1:5">
      <c r="A2197" t="s">
        <v>35751</v>
      </c>
      <c r="B2197" t="s">
        <v>11170</v>
      </c>
      <c r="C2197">
        <v>0.56556083690600001</v>
      </c>
      <c r="D2197">
        <v>0.99953919078700004</v>
      </c>
      <c r="E2197">
        <v>10.715999999999999</v>
      </c>
    </row>
    <row r="2198" spans="1:5">
      <c r="A2198" t="s">
        <v>35751</v>
      </c>
      <c r="B2198" t="s">
        <v>11173</v>
      </c>
      <c r="C2198">
        <f>0.116733777313</f>
        <v>0.116733777313</v>
      </c>
      <c r="D2198">
        <v>0.99953919078700004</v>
      </c>
      <c r="E2198">
        <v>10.715999999999999</v>
      </c>
    </row>
    <row r="2199" spans="1:5">
      <c r="A2199" t="s">
        <v>35752</v>
      </c>
      <c r="B2199" t="s">
        <v>35753</v>
      </c>
      <c r="C2199">
        <v>1.7952881640300001E-2</v>
      </c>
      <c r="D2199">
        <v>0.99994364109099998</v>
      </c>
      <c r="E2199">
        <v>17.718</v>
      </c>
    </row>
    <row r="2200" spans="1:5">
      <c r="A2200" t="s">
        <v>35752</v>
      </c>
      <c r="B2200" t="s">
        <v>35754</v>
      </c>
      <c r="C2200">
        <v>0.86462884020499997</v>
      </c>
      <c r="D2200">
        <v>0.99994364109099998</v>
      </c>
      <c r="E2200">
        <v>17.718</v>
      </c>
    </row>
    <row r="2201" spans="1:5">
      <c r="A2201" t="s">
        <v>35752</v>
      </c>
      <c r="B2201" t="s">
        <v>35755</v>
      </c>
      <c r="C2201">
        <f>0.0103745317189</f>
        <v>1.03745317189E-2</v>
      </c>
      <c r="D2201">
        <v>0.99994364109099998</v>
      </c>
      <c r="E2201">
        <v>17.718</v>
      </c>
    </row>
    <row r="2202" spans="1:5">
      <c r="A2202" t="s">
        <v>35752</v>
      </c>
      <c r="B2202" t="s">
        <v>35756</v>
      </c>
      <c r="C2202">
        <f>0.0651705636193</f>
        <v>6.5170563619300001E-2</v>
      </c>
      <c r="D2202">
        <v>0.99994364109099998</v>
      </c>
      <c r="E2202">
        <v>17.718</v>
      </c>
    </row>
    <row r="2203" spans="1:5">
      <c r="A2203" t="s">
        <v>35752</v>
      </c>
      <c r="B2203" t="s">
        <v>35757</v>
      </c>
      <c r="C2203">
        <v>0.26630147177000002</v>
      </c>
      <c r="D2203">
        <v>0.99994364109099998</v>
      </c>
      <c r="E2203">
        <v>17.718</v>
      </c>
    </row>
    <row r="2204" spans="1:5">
      <c r="A2204" t="s">
        <v>35752</v>
      </c>
      <c r="B2204" t="s">
        <v>35758</v>
      </c>
      <c r="C2204">
        <f>0</f>
        <v>0</v>
      </c>
      <c r="D2204">
        <v>0.99994364109099998</v>
      </c>
      <c r="E2204">
        <v>17.718</v>
      </c>
    </row>
    <row r="2205" spans="1:5">
      <c r="A2205" t="s">
        <v>35752</v>
      </c>
      <c r="B2205" t="s">
        <v>35759</v>
      </c>
      <c r="C2205">
        <v>0.191238748249</v>
      </c>
      <c r="D2205">
        <v>0.99994364109099998</v>
      </c>
      <c r="E2205">
        <v>17.718</v>
      </c>
    </row>
    <row r="2206" spans="1:5">
      <c r="A2206" t="s">
        <v>35752</v>
      </c>
      <c r="B2206" t="s">
        <v>35760</v>
      </c>
      <c r="C2206">
        <f>0.345551009611</f>
        <v>0.34555100961099999</v>
      </c>
      <c r="D2206">
        <v>0.99994364109099998</v>
      </c>
      <c r="E2206">
        <v>17.718</v>
      </c>
    </row>
    <row r="2207" spans="1:5">
      <c r="A2207" t="s">
        <v>35752</v>
      </c>
      <c r="B2207" t="s">
        <v>35761</v>
      </c>
      <c r="C2207">
        <v>8.0138913397600001E-2</v>
      </c>
      <c r="D2207">
        <v>0.99994364109099998</v>
      </c>
      <c r="E2207">
        <v>17.718</v>
      </c>
    </row>
    <row r="2208" spans="1:5">
      <c r="A2208" t="s">
        <v>35762</v>
      </c>
      <c r="B2208" t="s">
        <v>26307</v>
      </c>
      <c r="C2208">
        <v>0.55646127728799999</v>
      </c>
      <c r="D2208">
        <v>0.78687127728799999</v>
      </c>
      <c r="E2208">
        <v>24</v>
      </c>
    </row>
    <row r="2209" spans="1:5">
      <c r="A2209" t="s">
        <v>35762</v>
      </c>
      <c r="B2209" t="s">
        <v>26310</v>
      </c>
      <c r="C2209">
        <f>0</f>
        <v>0</v>
      </c>
      <c r="D2209">
        <v>0.78687127728799999</v>
      </c>
      <c r="E2209">
        <v>24</v>
      </c>
    </row>
    <row r="2210" spans="1:5">
      <c r="A2210" t="s">
        <v>35762</v>
      </c>
      <c r="B2210" t="s">
        <v>26314</v>
      </c>
      <c r="C2210">
        <v>0</v>
      </c>
      <c r="D2210">
        <v>0.78687127728799999</v>
      </c>
      <c r="E2210">
        <v>24</v>
      </c>
    </row>
    <row r="2211" spans="1:5">
      <c r="A2211" t="s">
        <v>35762</v>
      </c>
      <c r="B2211" t="s">
        <v>26311</v>
      </c>
      <c r="C2211">
        <v>0</v>
      </c>
      <c r="D2211">
        <v>0.78687127728799999</v>
      </c>
      <c r="E2211">
        <v>24</v>
      </c>
    </row>
    <row r="2212" spans="1:5">
      <c r="A2212" t="s">
        <v>35763</v>
      </c>
      <c r="B2212" t="s">
        <v>35764</v>
      </c>
      <c r="C2212">
        <f>0</f>
        <v>0</v>
      </c>
      <c r="D2212" t="s">
        <v>106</v>
      </c>
      <c r="E2212">
        <v>24</v>
      </c>
    </row>
    <row r="2213" spans="1:5">
      <c r="A2213" t="s">
        <v>35763</v>
      </c>
      <c r="B2213" t="s">
        <v>35765</v>
      </c>
      <c r="C2213">
        <v>0</v>
      </c>
      <c r="D2213" t="s">
        <v>106</v>
      </c>
      <c r="E2213">
        <v>24</v>
      </c>
    </row>
    <row r="2214" spans="1:5">
      <c r="A2214" t="s">
        <v>35763</v>
      </c>
      <c r="B2214" t="s">
        <v>35766</v>
      </c>
      <c r="C2214">
        <v>0</v>
      </c>
      <c r="D2214" t="s">
        <v>106</v>
      </c>
      <c r="E2214">
        <v>24</v>
      </c>
    </row>
    <row r="2215" spans="1:5">
      <c r="A2215" t="s">
        <v>35763</v>
      </c>
      <c r="B2215" t="s">
        <v>35767</v>
      </c>
      <c r="C2215">
        <v>0</v>
      </c>
      <c r="D2215" t="s">
        <v>106</v>
      </c>
      <c r="E2215">
        <v>24</v>
      </c>
    </row>
    <row r="2216" spans="1:5">
      <c r="A2216" t="s">
        <v>35763</v>
      </c>
      <c r="B2216" t="s">
        <v>35768</v>
      </c>
      <c r="C2216">
        <v>0</v>
      </c>
      <c r="D2216" t="s">
        <v>106</v>
      </c>
      <c r="E2216">
        <v>24</v>
      </c>
    </row>
    <row r="2217" spans="1:5">
      <c r="A2217" t="s">
        <v>35763</v>
      </c>
      <c r="B2217" t="s">
        <v>35769</v>
      </c>
      <c r="C2217">
        <v>0</v>
      </c>
      <c r="D2217" t="s">
        <v>106</v>
      </c>
      <c r="E2217">
        <v>24</v>
      </c>
    </row>
    <row r="2218" spans="1:5">
      <c r="A2218" t="s">
        <v>35763</v>
      </c>
      <c r="B2218" t="s">
        <v>35770</v>
      </c>
      <c r="C2218">
        <f>0</f>
        <v>0</v>
      </c>
      <c r="D2218" t="s">
        <v>106</v>
      </c>
      <c r="E2218">
        <v>24</v>
      </c>
    </row>
    <row r="2219" spans="1:5">
      <c r="A2219" t="s">
        <v>35763</v>
      </c>
      <c r="B2219" t="s">
        <v>35771</v>
      </c>
      <c r="C2219">
        <v>0</v>
      </c>
      <c r="D2219" t="s">
        <v>106</v>
      </c>
      <c r="E2219">
        <v>24</v>
      </c>
    </row>
    <row r="2220" spans="1:5">
      <c r="A2220" t="s">
        <v>35772</v>
      </c>
      <c r="B2220" t="s">
        <v>35773</v>
      </c>
      <c r="C2220">
        <v>0</v>
      </c>
      <c r="D2220" t="s">
        <v>106</v>
      </c>
      <c r="E2220">
        <v>21.876000000000001</v>
      </c>
    </row>
    <row r="2221" spans="1:5">
      <c r="A2221" t="s">
        <v>35772</v>
      </c>
      <c r="B2221" t="s">
        <v>35774</v>
      </c>
      <c r="C2221">
        <v>0</v>
      </c>
      <c r="D2221" t="s">
        <v>106</v>
      </c>
      <c r="E2221">
        <v>21.876000000000001</v>
      </c>
    </row>
    <row r="2222" spans="1:5">
      <c r="A2222" t="s">
        <v>35772</v>
      </c>
      <c r="B2222" t="s">
        <v>35775</v>
      </c>
      <c r="C2222">
        <v>0</v>
      </c>
      <c r="D2222" t="s">
        <v>106</v>
      </c>
      <c r="E2222">
        <v>21.876000000000001</v>
      </c>
    </row>
    <row r="2223" spans="1:5">
      <c r="A2223" t="s">
        <v>35772</v>
      </c>
      <c r="B2223" t="s">
        <v>35776</v>
      </c>
      <c r="C2223">
        <v>0</v>
      </c>
      <c r="D2223" t="s">
        <v>106</v>
      </c>
      <c r="E2223">
        <v>21.876000000000001</v>
      </c>
    </row>
    <row r="2224" spans="1:5">
      <c r="A2224" t="s">
        <v>35777</v>
      </c>
      <c r="B2224" t="s">
        <v>10014</v>
      </c>
      <c r="C2224">
        <v>0.70238918828899999</v>
      </c>
      <c r="D2224">
        <v>0.90819107209000005</v>
      </c>
      <c r="E2224">
        <v>1.512</v>
      </c>
    </row>
    <row r="2225" spans="1:5">
      <c r="A2225" t="s">
        <v>35777</v>
      </c>
      <c r="B2225" t="s">
        <v>10018</v>
      </c>
      <c r="C2225">
        <f>0.365892776828</f>
        <v>0.36589277682799998</v>
      </c>
      <c r="D2225">
        <v>0.90819107209000005</v>
      </c>
      <c r="E2225">
        <v>1.512</v>
      </c>
    </row>
    <row r="2226" spans="1:5">
      <c r="A2226" t="s">
        <v>35777</v>
      </c>
      <c r="B2226" t="s">
        <v>10016</v>
      </c>
      <c r="C2226">
        <f>0.19876901812</f>
        <v>0.19876901812</v>
      </c>
      <c r="D2226">
        <v>0.90819107209000005</v>
      </c>
      <c r="E2226">
        <v>1.512</v>
      </c>
    </row>
    <row r="2227" spans="1:5">
      <c r="A2227" t="s">
        <v>35777</v>
      </c>
      <c r="B2227" t="s">
        <v>10015</v>
      </c>
      <c r="C2227">
        <f>0</f>
        <v>0</v>
      </c>
      <c r="D2227">
        <v>0.90819107209000005</v>
      </c>
      <c r="E2227">
        <v>1.512</v>
      </c>
    </row>
    <row r="2228" spans="1:5">
      <c r="A2228" t="s">
        <v>35778</v>
      </c>
      <c r="B2228" t="s">
        <v>31198</v>
      </c>
      <c r="C2228">
        <v>0</v>
      </c>
      <c r="D2228" t="s">
        <v>106</v>
      </c>
      <c r="E2228">
        <v>6.3</v>
      </c>
    </row>
    <row r="2229" spans="1:5">
      <c r="A2229" t="s">
        <v>35778</v>
      </c>
      <c r="B2229" t="s">
        <v>31194</v>
      </c>
      <c r="C2229">
        <f>0</f>
        <v>0</v>
      </c>
      <c r="D2229" t="s">
        <v>106</v>
      </c>
      <c r="E2229">
        <v>6.3</v>
      </c>
    </row>
    <row r="2230" spans="1:5">
      <c r="A2230" t="s">
        <v>35778</v>
      </c>
      <c r="B2230" t="s">
        <v>31199</v>
      </c>
      <c r="C2230">
        <f>0</f>
        <v>0</v>
      </c>
      <c r="D2230" t="s">
        <v>106</v>
      </c>
      <c r="E2230">
        <v>6.3</v>
      </c>
    </row>
    <row r="2231" spans="1:5">
      <c r="A2231" t="s">
        <v>35779</v>
      </c>
      <c r="B2231" t="s">
        <v>23131</v>
      </c>
      <c r="C2231">
        <v>0</v>
      </c>
      <c r="D2231">
        <v>0.77408888156300004</v>
      </c>
      <c r="E2231">
        <v>0.96599999999999997</v>
      </c>
    </row>
    <row r="2232" spans="1:5">
      <c r="A2232" t="s">
        <v>35779</v>
      </c>
      <c r="B2232" t="s">
        <v>23130</v>
      </c>
      <c r="C2232">
        <v>0.176410309982</v>
      </c>
      <c r="D2232">
        <v>0.77408888156300004</v>
      </c>
      <c r="E2232">
        <v>0.96599999999999997</v>
      </c>
    </row>
    <row r="2233" spans="1:5">
      <c r="A2233" t="s">
        <v>35779</v>
      </c>
      <c r="B2233" t="s">
        <v>23126</v>
      </c>
      <c r="C2233">
        <v>0</v>
      </c>
      <c r="D2233">
        <v>0.77408888156300004</v>
      </c>
      <c r="E2233">
        <v>0.96599999999999997</v>
      </c>
    </row>
    <row r="2234" spans="1:5">
      <c r="A2234" t="s">
        <v>35779</v>
      </c>
      <c r="B2234" t="s">
        <v>23127</v>
      </c>
      <c r="C2234">
        <v>0.40394555728999998</v>
      </c>
      <c r="D2234">
        <v>0.77408888156300004</v>
      </c>
      <c r="E2234">
        <v>0.96599999999999997</v>
      </c>
    </row>
    <row r="2235" spans="1:5">
      <c r="A2235" t="s">
        <v>35779</v>
      </c>
      <c r="B2235" t="s">
        <v>23128</v>
      </c>
      <c r="C2235">
        <f>0</f>
        <v>0</v>
      </c>
      <c r="D2235">
        <v>0.77408888156300004</v>
      </c>
      <c r="E2235">
        <v>0.96599999999999997</v>
      </c>
    </row>
    <row r="2236" spans="1:5">
      <c r="A2236" t="s">
        <v>35780</v>
      </c>
      <c r="B2236" t="s">
        <v>1577</v>
      </c>
      <c r="C2236">
        <f>-1.03128275725</f>
        <v>-1.0312827572500001</v>
      </c>
      <c r="D2236">
        <v>0.99945670272800002</v>
      </c>
      <c r="E2236">
        <v>10.398</v>
      </c>
    </row>
    <row r="2237" spans="1:5">
      <c r="A2237" t="s">
        <v>35780</v>
      </c>
      <c r="B2237" t="s">
        <v>1580</v>
      </c>
      <c r="C2237">
        <f>0.00805187842447</f>
        <v>8.0518784244699992E-3</v>
      </c>
      <c r="D2237">
        <v>0.99945670272800002</v>
      </c>
      <c r="E2237">
        <v>10.398</v>
      </c>
    </row>
    <row r="2238" spans="1:5">
      <c r="A2238" t="s">
        <v>35780</v>
      </c>
      <c r="B2238" t="s">
        <v>1576</v>
      </c>
      <c r="C2238">
        <f>0.549688854936</f>
        <v>0.54968885493599995</v>
      </c>
      <c r="D2238">
        <v>0.99945670272800002</v>
      </c>
      <c r="E2238">
        <v>10.398</v>
      </c>
    </row>
    <row r="2239" spans="1:5">
      <c r="A2239" t="s">
        <v>35780</v>
      </c>
      <c r="B2239" t="s">
        <v>1578</v>
      </c>
      <c r="C2239">
        <v>2.2084480548899998</v>
      </c>
      <c r="D2239">
        <v>0.99945670272800002</v>
      </c>
      <c r="E2239">
        <v>10.398</v>
      </c>
    </row>
    <row r="2240" spans="1:5">
      <c r="A2240" t="s">
        <v>35780</v>
      </c>
      <c r="B2240" t="s">
        <v>1574</v>
      </c>
      <c r="C2240">
        <f>-1.57083575758</f>
        <v>-1.57083575758</v>
      </c>
      <c r="D2240">
        <v>0.99945670272800002</v>
      </c>
      <c r="E2240">
        <v>10.398</v>
      </c>
    </row>
    <row r="2241" spans="1:5">
      <c r="A2241" t="s">
        <v>35780</v>
      </c>
      <c r="B2241" t="s">
        <v>1579</v>
      </c>
      <c r="C2241">
        <v>0.55652283936500002</v>
      </c>
      <c r="D2241">
        <v>0.99945670272800002</v>
      </c>
      <c r="E2241">
        <v>10.398</v>
      </c>
    </row>
    <row r="2242" spans="1:5">
      <c r="A2242" t="s">
        <v>35781</v>
      </c>
      <c r="B2242" t="s">
        <v>4609</v>
      </c>
      <c r="C2242">
        <f>0.0459028149744</f>
        <v>4.5902814974399998E-2</v>
      </c>
      <c r="D2242">
        <v>0.99142657940800005</v>
      </c>
      <c r="E2242">
        <v>0.54</v>
      </c>
    </row>
    <row r="2243" spans="1:5">
      <c r="A2243" t="s">
        <v>35781</v>
      </c>
      <c r="B2243" t="s">
        <v>4610</v>
      </c>
      <c r="C2243">
        <f>-1.11158193608</f>
        <v>-1.1115819360800001</v>
      </c>
      <c r="D2243">
        <v>0.99142657940800005</v>
      </c>
      <c r="E2243">
        <v>0.54</v>
      </c>
    </row>
    <row r="2244" spans="1:5">
      <c r="A2244" t="s">
        <v>35781</v>
      </c>
      <c r="B2244" t="s">
        <v>4611</v>
      </c>
      <c r="C2244">
        <v>2.0312802797499998</v>
      </c>
      <c r="D2244">
        <v>0.99142657940800005</v>
      </c>
      <c r="E2244">
        <v>0.54</v>
      </c>
    </row>
    <row r="2245" spans="1:5">
      <c r="A2245" t="s">
        <v>35781</v>
      </c>
      <c r="B2245" t="s">
        <v>4613</v>
      </c>
      <c r="C2245">
        <f>0.401670854337</f>
        <v>0.40167085433700001</v>
      </c>
      <c r="D2245">
        <v>0.99142657940800005</v>
      </c>
      <c r="E2245">
        <v>0.54</v>
      </c>
    </row>
    <row r="2246" spans="1:5">
      <c r="A2246" t="s">
        <v>35781</v>
      </c>
      <c r="B2246" t="s">
        <v>4612</v>
      </c>
      <c r="C2246">
        <v>0.48714524573200002</v>
      </c>
      <c r="D2246">
        <v>0.99142657940800005</v>
      </c>
      <c r="E2246">
        <v>0.54</v>
      </c>
    </row>
    <row r="2247" spans="1:5">
      <c r="A2247" t="s">
        <v>35782</v>
      </c>
      <c r="B2247" t="s">
        <v>23955</v>
      </c>
      <c r="C2247">
        <v>0.55484948778099996</v>
      </c>
      <c r="D2247">
        <v>0.76468798115199998</v>
      </c>
      <c r="E2247">
        <v>0</v>
      </c>
    </row>
    <row r="2248" spans="1:5">
      <c r="A2248" t="s">
        <v>35782</v>
      </c>
      <c r="B2248" t="s">
        <v>23957</v>
      </c>
      <c r="C2248">
        <f>0.277099453304</f>
        <v>0.27709945330399999</v>
      </c>
      <c r="D2248">
        <v>0.76468798115199998</v>
      </c>
      <c r="E2248">
        <v>0</v>
      </c>
    </row>
    <row r="2249" spans="1:5">
      <c r="A2249" t="s">
        <v>35782</v>
      </c>
      <c r="B2249" t="s">
        <v>23956</v>
      </c>
      <c r="C2249">
        <v>0.33719699626100003</v>
      </c>
      <c r="D2249">
        <v>0.76468798115199998</v>
      </c>
      <c r="E2249">
        <v>0</v>
      </c>
    </row>
    <row r="2250" spans="1:5">
      <c r="A2250" t="s">
        <v>35783</v>
      </c>
      <c r="B2250" t="s">
        <v>32224</v>
      </c>
      <c r="C2250">
        <v>0</v>
      </c>
      <c r="D2250">
        <v>0.77097950239900004</v>
      </c>
      <c r="E2250">
        <v>24</v>
      </c>
    </row>
    <row r="2251" spans="1:5">
      <c r="A2251" t="s">
        <v>35783</v>
      </c>
      <c r="B2251" t="s">
        <v>32227</v>
      </c>
      <c r="C2251">
        <f>0</f>
        <v>0</v>
      </c>
      <c r="D2251">
        <v>0.77097950239900004</v>
      </c>
      <c r="E2251">
        <v>24</v>
      </c>
    </row>
    <row r="2252" spans="1:5">
      <c r="A2252" t="s">
        <v>35783</v>
      </c>
      <c r="B2252" t="s">
        <v>32229</v>
      </c>
      <c r="C2252">
        <v>0.61096950239900005</v>
      </c>
      <c r="D2252">
        <v>0.77097950239900004</v>
      </c>
      <c r="E2252">
        <v>24</v>
      </c>
    </row>
    <row r="2253" spans="1:5">
      <c r="A2253" t="s">
        <v>35783</v>
      </c>
      <c r="B2253" t="s">
        <v>32223</v>
      </c>
      <c r="C2253">
        <v>0</v>
      </c>
      <c r="D2253">
        <v>0.77097950239900004</v>
      </c>
      <c r="E2253">
        <v>24</v>
      </c>
    </row>
    <row r="2254" spans="1:5">
      <c r="A2254" t="s">
        <v>35783</v>
      </c>
      <c r="B2254" t="s">
        <v>32226</v>
      </c>
      <c r="C2254">
        <v>0</v>
      </c>
      <c r="D2254">
        <v>0.77097950239900004</v>
      </c>
      <c r="E2254">
        <v>24</v>
      </c>
    </row>
    <row r="2255" spans="1:5">
      <c r="A2255" t="s">
        <v>35783</v>
      </c>
      <c r="B2255" t="s">
        <v>32228</v>
      </c>
      <c r="C2255">
        <f>0</f>
        <v>0</v>
      </c>
      <c r="D2255">
        <v>0.77097950239900004</v>
      </c>
      <c r="E2255">
        <v>24</v>
      </c>
    </row>
    <row r="2256" spans="1:5">
      <c r="A2256" t="s">
        <v>35784</v>
      </c>
      <c r="B2256" t="s">
        <v>35785</v>
      </c>
      <c r="C2256">
        <v>0</v>
      </c>
      <c r="D2256">
        <v>0.856348733945</v>
      </c>
      <c r="E2256">
        <v>0</v>
      </c>
    </row>
    <row r="2257" spans="1:5">
      <c r="A2257" t="s">
        <v>35784</v>
      </c>
      <c r="B2257" t="s">
        <v>35786</v>
      </c>
      <c r="C2257">
        <v>0.637039581603</v>
      </c>
      <c r="D2257">
        <v>0.856348733945</v>
      </c>
      <c r="E2257">
        <v>0</v>
      </c>
    </row>
    <row r="2258" spans="1:5">
      <c r="A2258" t="s">
        <v>35784</v>
      </c>
      <c r="B2258" t="s">
        <v>35787</v>
      </c>
      <c r="C2258">
        <v>0.19282398454899999</v>
      </c>
      <c r="D2258">
        <v>0.856348733945</v>
      </c>
      <c r="E2258">
        <v>0</v>
      </c>
    </row>
    <row r="2259" spans="1:5">
      <c r="A2259" t="s">
        <v>35784</v>
      </c>
      <c r="B2259" t="s">
        <v>35788</v>
      </c>
      <c r="C2259">
        <v>0</v>
      </c>
      <c r="D2259">
        <v>0.856348733945</v>
      </c>
      <c r="E2259">
        <v>0</v>
      </c>
    </row>
    <row r="2260" spans="1:5">
      <c r="A2260" t="s">
        <v>35784</v>
      </c>
      <c r="B2260" t="s">
        <v>35789</v>
      </c>
      <c r="C2260">
        <f>0</f>
        <v>0</v>
      </c>
      <c r="D2260">
        <v>0.856348733945</v>
      </c>
      <c r="E2260">
        <v>0</v>
      </c>
    </row>
    <row r="2261" spans="1:5">
      <c r="A2261" t="s">
        <v>35790</v>
      </c>
      <c r="B2261" t="s">
        <v>27860</v>
      </c>
      <c r="C2261">
        <v>0</v>
      </c>
      <c r="D2261" t="s">
        <v>106</v>
      </c>
      <c r="E2261">
        <v>12.738</v>
      </c>
    </row>
    <row r="2262" spans="1:5">
      <c r="A2262" t="s">
        <v>35790</v>
      </c>
      <c r="B2262" t="s">
        <v>27861</v>
      </c>
      <c r="C2262">
        <v>0</v>
      </c>
      <c r="D2262" t="s">
        <v>106</v>
      </c>
      <c r="E2262">
        <v>12.738</v>
      </c>
    </row>
    <row r="2263" spans="1:5">
      <c r="A2263" t="s">
        <v>35790</v>
      </c>
      <c r="B2263" t="s">
        <v>27864</v>
      </c>
      <c r="C2263">
        <v>0</v>
      </c>
      <c r="D2263" t="s">
        <v>106</v>
      </c>
      <c r="E2263">
        <v>12.738</v>
      </c>
    </row>
    <row r="2264" spans="1:5">
      <c r="A2264" t="s">
        <v>35790</v>
      </c>
      <c r="B2264" t="s">
        <v>27865</v>
      </c>
      <c r="C2264">
        <v>0</v>
      </c>
      <c r="D2264" t="s">
        <v>106</v>
      </c>
      <c r="E2264">
        <v>12.738</v>
      </c>
    </row>
    <row r="2265" spans="1:5">
      <c r="A2265" t="s">
        <v>35791</v>
      </c>
      <c r="B2265" t="s">
        <v>35792</v>
      </c>
      <c r="C2265">
        <f>0.0995889307868</f>
        <v>9.9588930786800006E-2</v>
      </c>
      <c r="D2265">
        <v>0.95906368669999997</v>
      </c>
      <c r="E2265">
        <v>24</v>
      </c>
    </row>
    <row r="2266" spans="1:5">
      <c r="A2266" t="s">
        <v>35791</v>
      </c>
      <c r="B2266" t="s">
        <v>35793</v>
      </c>
      <c r="C2266">
        <v>0.23273246044699999</v>
      </c>
      <c r="D2266">
        <v>0.95906368669999997</v>
      </c>
      <c r="E2266">
        <v>24</v>
      </c>
    </row>
    <row r="2267" spans="1:5">
      <c r="A2267" t="s">
        <v>35791</v>
      </c>
      <c r="B2267" t="s">
        <v>35794</v>
      </c>
      <c r="C2267">
        <v>0.64100668686700002</v>
      </c>
      <c r="D2267">
        <v>0.95906368669999997</v>
      </c>
      <c r="E2267">
        <v>24</v>
      </c>
    </row>
    <row r="2268" spans="1:5">
      <c r="A2268" t="s">
        <v>35791</v>
      </c>
      <c r="B2268" t="s">
        <v>35795</v>
      </c>
      <c r="C2268">
        <v>0.48240530291400002</v>
      </c>
      <c r="D2268">
        <v>0.95906368669999997</v>
      </c>
      <c r="E2268">
        <v>24</v>
      </c>
    </row>
    <row r="2269" spans="1:5">
      <c r="A2269" t="s">
        <v>35791</v>
      </c>
      <c r="B2269" t="s">
        <v>35796</v>
      </c>
      <c r="C2269">
        <v>2.1516599714399998E-2</v>
      </c>
      <c r="D2269">
        <v>0.95906368669999997</v>
      </c>
      <c r="E2269">
        <v>24</v>
      </c>
    </row>
    <row r="2270" spans="1:5">
      <c r="A2270" t="s">
        <v>35797</v>
      </c>
      <c r="B2270" t="s">
        <v>22115</v>
      </c>
      <c r="C2270">
        <f>0.234529475807</f>
        <v>0.23452947580700001</v>
      </c>
      <c r="D2270">
        <v>0.99188840788699995</v>
      </c>
      <c r="E2270">
        <v>15.708</v>
      </c>
    </row>
    <row r="2271" spans="1:5">
      <c r="A2271" t="s">
        <v>35797</v>
      </c>
      <c r="B2271" t="s">
        <v>22112</v>
      </c>
      <c r="C2271">
        <v>0.10320785265</v>
      </c>
      <c r="D2271">
        <v>0.99188840788699995</v>
      </c>
      <c r="E2271">
        <v>15.708</v>
      </c>
    </row>
    <row r="2272" spans="1:5">
      <c r="A2272" t="s">
        <v>35797</v>
      </c>
      <c r="B2272" t="s">
        <v>22114</v>
      </c>
      <c r="C2272">
        <f>0.0837058826888</f>
        <v>8.3705882688799998E-2</v>
      </c>
      <c r="D2272">
        <v>0.99188840788699995</v>
      </c>
      <c r="E2272">
        <v>15.708</v>
      </c>
    </row>
    <row r="2273" spans="1:5">
      <c r="A2273" t="s">
        <v>35797</v>
      </c>
      <c r="B2273" t="s">
        <v>22110</v>
      </c>
      <c r="C2273">
        <v>0.98950016226299997</v>
      </c>
      <c r="D2273">
        <v>0.99188840788699995</v>
      </c>
      <c r="E2273">
        <v>15.708</v>
      </c>
    </row>
    <row r="2274" spans="1:5">
      <c r="A2274" t="s">
        <v>35798</v>
      </c>
      <c r="B2274" t="s">
        <v>7358</v>
      </c>
      <c r="C2274">
        <f>0.410590750692</f>
        <v>0.41059075069200002</v>
      </c>
      <c r="D2274">
        <v>0.77758698265299997</v>
      </c>
      <c r="E2274">
        <v>1.17</v>
      </c>
    </row>
    <row r="2275" spans="1:5">
      <c r="A2275" t="s">
        <v>35798</v>
      </c>
      <c r="B2275" t="s">
        <v>7360</v>
      </c>
      <c r="C2275">
        <f>0</f>
        <v>0</v>
      </c>
      <c r="D2275">
        <v>0.77758698265299997</v>
      </c>
      <c r="E2275">
        <v>1.17</v>
      </c>
    </row>
    <row r="2276" spans="1:5">
      <c r="A2276" t="s">
        <v>35798</v>
      </c>
      <c r="B2276" t="s">
        <v>7363</v>
      </c>
      <c r="C2276">
        <f>0.0645115246496</f>
        <v>6.4511524649599999E-2</v>
      </c>
      <c r="D2276">
        <v>0.77758698265299997</v>
      </c>
      <c r="E2276">
        <v>1.17</v>
      </c>
    </row>
    <row r="2277" spans="1:5">
      <c r="A2277" t="s">
        <v>35798</v>
      </c>
      <c r="B2277" t="s">
        <v>7362</v>
      </c>
      <c r="C2277">
        <f>0</f>
        <v>0</v>
      </c>
      <c r="D2277">
        <v>0.77758698265299997</v>
      </c>
      <c r="E2277">
        <v>1.17</v>
      </c>
    </row>
    <row r="2278" spans="1:5">
      <c r="A2278" t="s">
        <v>35798</v>
      </c>
      <c r="B2278" t="s">
        <v>7367</v>
      </c>
      <c r="C2278">
        <f>0</f>
        <v>0</v>
      </c>
      <c r="D2278">
        <v>0.77758698265299997</v>
      </c>
      <c r="E2278">
        <v>1.17</v>
      </c>
    </row>
    <row r="2279" spans="1:5">
      <c r="A2279" t="s">
        <v>35798</v>
      </c>
      <c r="B2279" t="s">
        <v>7364</v>
      </c>
      <c r="C2279">
        <v>0</v>
      </c>
      <c r="D2279">
        <v>0.77758698265299997</v>
      </c>
      <c r="E2279">
        <v>1.17</v>
      </c>
    </row>
    <row r="2280" spans="1:5">
      <c r="A2280" t="s">
        <v>35798</v>
      </c>
      <c r="B2280" t="s">
        <v>7366</v>
      </c>
      <c r="C2280">
        <f>0</f>
        <v>0</v>
      </c>
      <c r="D2280">
        <v>0.77758698265299997</v>
      </c>
      <c r="E2280">
        <v>1.17</v>
      </c>
    </row>
    <row r="2281" spans="1:5">
      <c r="A2281" t="s">
        <v>35798</v>
      </c>
      <c r="B2281" t="s">
        <v>7365</v>
      </c>
      <c r="C2281">
        <f>0</f>
        <v>0</v>
      </c>
      <c r="D2281">
        <v>0.77758698265299997</v>
      </c>
      <c r="E2281">
        <v>1.17</v>
      </c>
    </row>
    <row r="2282" spans="1:5">
      <c r="A2282" t="s">
        <v>35799</v>
      </c>
      <c r="B2282" t="s">
        <v>35800</v>
      </c>
      <c r="C2282">
        <v>0</v>
      </c>
      <c r="D2282">
        <v>0.882680029551</v>
      </c>
      <c r="E2282">
        <v>3.972</v>
      </c>
    </row>
    <row r="2283" spans="1:5">
      <c r="A2283" t="s">
        <v>35799</v>
      </c>
      <c r="B2283" t="s">
        <v>35801</v>
      </c>
      <c r="C2283">
        <f>0.335838727962</f>
        <v>0.33583872796199998</v>
      </c>
      <c r="D2283">
        <v>0.882680029551</v>
      </c>
      <c r="E2283">
        <v>3.972</v>
      </c>
    </row>
    <row r="2284" spans="1:5">
      <c r="A2284" t="s">
        <v>35799</v>
      </c>
      <c r="B2284" t="s">
        <v>35802</v>
      </c>
      <c r="C2284">
        <f>0</f>
        <v>0</v>
      </c>
      <c r="D2284">
        <v>0.882680029551</v>
      </c>
      <c r="E2284">
        <v>3.972</v>
      </c>
    </row>
    <row r="2285" spans="1:5">
      <c r="A2285" t="s">
        <v>35799</v>
      </c>
      <c r="B2285" t="s">
        <v>35803</v>
      </c>
      <c r="C2285">
        <f>0</f>
        <v>0</v>
      </c>
      <c r="D2285">
        <v>0.882680029551</v>
      </c>
      <c r="E2285">
        <v>3.972</v>
      </c>
    </row>
    <row r="2286" spans="1:5">
      <c r="A2286" t="s">
        <v>35799</v>
      </c>
      <c r="B2286" t="s">
        <v>35804</v>
      </c>
      <c r="C2286">
        <f>0</f>
        <v>0</v>
      </c>
      <c r="D2286">
        <v>0.882680029551</v>
      </c>
      <c r="E2286">
        <v>3.972</v>
      </c>
    </row>
    <row r="2287" spans="1:5">
      <c r="A2287" t="s">
        <v>35799</v>
      </c>
      <c r="B2287" t="s">
        <v>35805</v>
      </c>
      <c r="C2287">
        <f>0.350127113006</f>
        <v>0.35012711300600002</v>
      </c>
      <c r="D2287">
        <v>0.882680029551</v>
      </c>
      <c r="E2287">
        <v>3.972</v>
      </c>
    </row>
    <row r="2288" spans="1:5">
      <c r="A2288" t="s">
        <v>35799</v>
      </c>
      <c r="B2288" t="s">
        <v>35806</v>
      </c>
      <c r="C2288">
        <f>0.00816572701357</f>
        <v>8.1657270135700004E-3</v>
      </c>
      <c r="D2288">
        <v>0.882680029551</v>
      </c>
      <c r="E2288">
        <v>3.972</v>
      </c>
    </row>
    <row r="2289" spans="1:5">
      <c r="A2289" t="s">
        <v>35799</v>
      </c>
      <c r="B2289" t="s">
        <v>35807</v>
      </c>
      <c r="C2289">
        <v>0</v>
      </c>
      <c r="D2289">
        <v>0.882680029551</v>
      </c>
      <c r="E2289">
        <v>3.972</v>
      </c>
    </row>
    <row r="2290" spans="1:5">
      <c r="A2290" t="s">
        <v>35799</v>
      </c>
      <c r="B2290" t="s">
        <v>35808</v>
      </c>
      <c r="C2290">
        <f>0.0508397341772</f>
        <v>5.0839734177200002E-2</v>
      </c>
      <c r="D2290">
        <v>0.882680029551</v>
      </c>
      <c r="E2290">
        <v>3.972</v>
      </c>
    </row>
    <row r="2291" spans="1:5">
      <c r="A2291" t="s">
        <v>35809</v>
      </c>
      <c r="B2291" t="s">
        <v>22425</v>
      </c>
      <c r="C2291">
        <f>0</f>
        <v>0</v>
      </c>
      <c r="D2291" t="s">
        <v>106</v>
      </c>
      <c r="E2291">
        <v>22.806000000000001</v>
      </c>
    </row>
    <row r="2292" spans="1:5">
      <c r="A2292" t="s">
        <v>35809</v>
      </c>
      <c r="B2292" t="s">
        <v>22432</v>
      </c>
      <c r="C2292">
        <f>0</f>
        <v>0</v>
      </c>
      <c r="D2292" t="s">
        <v>106</v>
      </c>
      <c r="E2292">
        <v>22.806000000000001</v>
      </c>
    </row>
    <row r="2293" spans="1:5">
      <c r="A2293" t="s">
        <v>35809</v>
      </c>
      <c r="B2293" t="s">
        <v>22430</v>
      </c>
      <c r="C2293">
        <f>0</f>
        <v>0</v>
      </c>
      <c r="D2293" t="s">
        <v>106</v>
      </c>
      <c r="E2293">
        <v>22.806000000000001</v>
      </c>
    </row>
    <row r="2294" spans="1:5">
      <c r="A2294" t="s">
        <v>35810</v>
      </c>
      <c r="B2294" t="s">
        <v>27268</v>
      </c>
      <c r="C2294">
        <v>0</v>
      </c>
      <c r="D2294">
        <v>0.70698621398899997</v>
      </c>
      <c r="E2294">
        <v>24</v>
      </c>
    </row>
    <row r="2295" spans="1:5">
      <c r="A2295" t="s">
        <v>35810</v>
      </c>
      <c r="B2295" t="s">
        <v>27271</v>
      </c>
      <c r="C2295">
        <f>0.371657150683</f>
        <v>0.37165715068299998</v>
      </c>
      <c r="D2295">
        <v>0.70698621398899997</v>
      </c>
      <c r="E2295">
        <v>24</v>
      </c>
    </row>
    <row r="2296" spans="1:5">
      <c r="A2296" t="s">
        <v>35810</v>
      </c>
      <c r="B2296" t="s">
        <v>27272</v>
      </c>
      <c r="C2296">
        <f>0</f>
        <v>0</v>
      </c>
      <c r="D2296">
        <v>0.70698621398899997</v>
      </c>
      <c r="E2296">
        <v>24</v>
      </c>
    </row>
    <row r="2297" spans="1:5">
      <c r="A2297" t="s">
        <v>35810</v>
      </c>
      <c r="B2297" t="s">
        <v>27273</v>
      </c>
      <c r="C2297">
        <f>0</f>
        <v>0</v>
      </c>
      <c r="D2297">
        <v>0.70698621398899997</v>
      </c>
      <c r="E2297">
        <v>24</v>
      </c>
    </row>
    <row r="2298" spans="1:5">
      <c r="A2298" t="s">
        <v>35810</v>
      </c>
      <c r="B2298" t="s">
        <v>27270</v>
      </c>
      <c r="C2298">
        <f>0.0902490664363</f>
        <v>9.0249066436299999E-2</v>
      </c>
      <c r="D2298">
        <v>0.70698621398899997</v>
      </c>
      <c r="E2298">
        <v>24</v>
      </c>
    </row>
    <row r="2299" spans="1:5">
      <c r="A2299" t="s">
        <v>35811</v>
      </c>
      <c r="B2299" t="s">
        <v>8734</v>
      </c>
      <c r="C2299">
        <v>0</v>
      </c>
      <c r="D2299">
        <v>0.55624284987100003</v>
      </c>
      <c r="E2299">
        <v>0.17399999999999999</v>
      </c>
    </row>
    <row r="2300" spans="1:5">
      <c r="A2300" t="s">
        <v>35811</v>
      </c>
      <c r="B2300" t="s">
        <v>8735</v>
      </c>
      <c r="C2300">
        <v>0.36263284987099997</v>
      </c>
      <c r="D2300">
        <v>0.55624284987100003</v>
      </c>
      <c r="E2300">
        <v>0.17399999999999999</v>
      </c>
    </row>
    <row r="2301" spans="1:5">
      <c r="A2301" t="s">
        <v>35812</v>
      </c>
      <c r="B2301" t="s">
        <v>35813</v>
      </c>
      <c r="C2301">
        <f>0</f>
        <v>0</v>
      </c>
      <c r="D2301">
        <v>0.963393724166</v>
      </c>
      <c r="E2301">
        <v>1.512</v>
      </c>
    </row>
    <row r="2302" spans="1:5">
      <c r="A2302" t="s">
        <v>35812</v>
      </c>
      <c r="B2302" t="s">
        <v>35814</v>
      </c>
      <c r="C2302">
        <f>0</f>
        <v>0</v>
      </c>
      <c r="D2302">
        <v>0.963393724166</v>
      </c>
      <c r="E2302">
        <v>1.512</v>
      </c>
    </row>
    <row r="2303" spans="1:5">
      <c r="A2303" t="s">
        <v>35812</v>
      </c>
      <c r="B2303" t="s">
        <v>35815</v>
      </c>
      <c r="C2303">
        <f>0.236070828732</f>
        <v>0.236070828732</v>
      </c>
      <c r="D2303">
        <v>0.963393724166</v>
      </c>
      <c r="E2303">
        <v>1.512</v>
      </c>
    </row>
    <row r="2304" spans="1:5">
      <c r="A2304" t="s">
        <v>35812</v>
      </c>
      <c r="B2304" t="s">
        <v>35816</v>
      </c>
      <c r="C2304">
        <v>0.41595497005199999</v>
      </c>
      <c r="D2304">
        <v>0.963393724166</v>
      </c>
      <c r="E2304">
        <v>1.512</v>
      </c>
    </row>
    <row r="2305" spans="1:5">
      <c r="A2305" t="s">
        <v>35812</v>
      </c>
      <c r="B2305" t="s">
        <v>35817</v>
      </c>
      <c r="C2305">
        <f>0</f>
        <v>0</v>
      </c>
      <c r="D2305">
        <v>0.963393724166</v>
      </c>
      <c r="E2305">
        <v>1.512</v>
      </c>
    </row>
    <row r="2306" spans="1:5">
      <c r="A2306" t="s">
        <v>35812</v>
      </c>
      <c r="B2306" t="s">
        <v>35818</v>
      </c>
      <c r="C2306">
        <f>0.561722284789</f>
        <v>0.56172228478899999</v>
      </c>
      <c r="D2306">
        <v>0.963393724166</v>
      </c>
      <c r="E2306">
        <v>1.512</v>
      </c>
    </row>
    <row r="2307" spans="1:5">
      <c r="A2307" t="s">
        <v>35812</v>
      </c>
      <c r="B2307" t="s">
        <v>35819</v>
      </c>
      <c r="C2307">
        <f>0</f>
        <v>0</v>
      </c>
      <c r="D2307">
        <v>0.963393724166</v>
      </c>
      <c r="E2307">
        <v>1.512</v>
      </c>
    </row>
    <row r="2308" spans="1:5">
      <c r="A2308" t="s">
        <v>35812</v>
      </c>
      <c r="B2308" t="s">
        <v>35820</v>
      </c>
      <c r="C2308">
        <f>0.0308303834088</f>
        <v>3.08303834088E-2</v>
      </c>
      <c r="D2308">
        <v>0.963393724166</v>
      </c>
      <c r="E2308">
        <v>1.512</v>
      </c>
    </row>
    <row r="2309" spans="1:5">
      <c r="A2309" t="s">
        <v>35812</v>
      </c>
      <c r="B2309" t="s">
        <v>35821</v>
      </c>
      <c r="C2309">
        <f>0.369885490431</f>
        <v>0.369885490431</v>
      </c>
      <c r="D2309">
        <v>0.963393724166</v>
      </c>
      <c r="E2309">
        <v>1.512</v>
      </c>
    </row>
    <row r="2310" spans="1:5">
      <c r="A2310" t="s">
        <v>35822</v>
      </c>
      <c r="B2310" t="s">
        <v>35823</v>
      </c>
      <c r="C2310">
        <f>0</f>
        <v>0</v>
      </c>
      <c r="D2310">
        <v>0.92916423673299997</v>
      </c>
      <c r="E2310">
        <v>8.4000000000000005E-2</v>
      </c>
    </row>
    <row r="2311" spans="1:5">
      <c r="A2311" t="s">
        <v>35822</v>
      </c>
      <c r="B2311" t="s">
        <v>35824</v>
      </c>
      <c r="C2311">
        <f>0</f>
        <v>0</v>
      </c>
      <c r="D2311">
        <v>0.92916423673299997</v>
      </c>
      <c r="E2311">
        <v>8.4000000000000005E-2</v>
      </c>
    </row>
    <row r="2312" spans="1:5">
      <c r="A2312" t="s">
        <v>35822</v>
      </c>
      <c r="B2312" t="s">
        <v>35825</v>
      </c>
      <c r="C2312">
        <f>0</f>
        <v>0</v>
      </c>
      <c r="D2312">
        <v>0.92916423673299997</v>
      </c>
      <c r="E2312">
        <v>8.4000000000000005E-2</v>
      </c>
    </row>
    <row r="2313" spans="1:5">
      <c r="A2313" t="s">
        <v>35822</v>
      </c>
      <c r="B2313" t="s">
        <v>35826</v>
      </c>
      <c r="C2313">
        <v>0</v>
      </c>
      <c r="D2313">
        <v>0.92916423673299997</v>
      </c>
      <c r="E2313">
        <v>8.4000000000000005E-2</v>
      </c>
    </row>
    <row r="2314" spans="1:5">
      <c r="A2314" t="s">
        <v>35822</v>
      </c>
      <c r="B2314" t="s">
        <v>35827</v>
      </c>
      <c r="C2314">
        <v>0</v>
      </c>
      <c r="D2314">
        <v>0.92916423673299997</v>
      </c>
      <c r="E2314">
        <v>8.4000000000000005E-2</v>
      </c>
    </row>
    <row r="2315" spans="1:5">
      <c r="A2315" t="s">
        <v>35822</v>
      </c>
      <c r="B2315" t="s">
        <v>35828</v>
      </c>
      <c r="C2315">
        <f>0</f>
        <v>0</v>
      </c>
      <c r="D2315">
        <v>0.92916423673299997</v>
      </c>
      <c r="E2315">
        <v>8.4000000000000005E-2</v>
      </c>
    </row>
    <row r="2316" spans="1:5">
      <c r="A2316" t="s">
        <v>35822</v>
      </c>
      <c r="B2316" t="s">
        <v>35829</v>
      </c>
      <c r="C2316">
        <v>0</v>
      </c>
      <c r="D2316">
        <v>0.92916423673299997</v>
      </c>
      <c r="E2316">
        <v>8.4000000000000005E-2</v>
      </c>
    </row>
    <row r="2317" spans="1:5">
      <c r="A2317" t="s">
        <v>35822</v>
      </c>
      <c r="B2317" t="s">
        <v>35830</v>
      </c>
      <c r="C2317">
        <f>0.741324348578</f>
        <v>0.741324348578</v>
      </c>
      <c r="D2317">
        <v>0.92916423673299997</v>
      </c>
      <c r="E2317">
        <v>8.4000000000000005E-2</v>
      </c>
    </row>
    <row r="2318" spans="1:5">
      <c r="A2318" t="s">
        <v>35822</v>
      </c>
      <c r="B2318" t="s">
        <v>35831</v>
      </c>
      <c r="C2318">
        <f>0</f>
        <v>0</v>
      </c>
      <c r="D2318">
        <v>0.92916423673299997</v>
      </c>
      <c r="E2318">
        <v>8.4000000000000005E-2</v>
      </c>
    </row>
    <row r="2319" spans="1:5">
      <c r="A2319" t="s">
        <v>35822</v>
      </c>
      <c r="B2319" t="s">
        <v>35832</v>
      </c>
      <c r="C2319">
        <f>0</f>
        <v>0</v>
      </c>
      <c r="D2319">
        <v>0.92916423673299997</v>
      </c>
      <c r="E2319">
        <v>8.4000000000000005E-2</v>
      </c>
    </row>
    <row r="2320" spans="1:5">
      <c r="A2320" t="s">
        <v>35822</v>
      </c>
      <c r="B2320" t="s">
        <v>35833</v>
      </c>
      <c r="C2320">
        <f>0.1395875014</f>
        <v>0.13958750140000001</v>
      </c>
      <c r="D2320">
        <v>0.92916423673299997</v>
      </c>
      <c r="E2320">
        <v>8.4000000000000005E-2</v>
      </c>
    </row>
    <row r="2321" spans="1:5">
      <c r="A2321" t="s">
        <v>35822</v>
      </c>
      <c r="B2321" t="s">
        <v>35834</v>
      </c>
      <c r="C2321">
        <v>0</v>
      </c>
      <c r="D2321">
        <v>0.92916423673299997</v>
      </c>
      <c r="E2321">
        <v>8.4000000000000005E-2</v>
      </c>
    </row>
    <row r="2322" spans="1:5">
      <c r="A2322" t="s">
        <v>35835</v>
      </c>
      <c r="B2322" t="s">
        <v>3393</v>
      </c>
      <c r="C2322">
        <v>0</v>
      </c>
      <c r="D2322">
        <v>0.94154094277199996</v>
      </c>
      <c r="E2322">
        <v>5.82</v>
      </c>
    </row>
    <row r="2323" spans="1:5">
      <c r="A2323" t="s">
        <v>35835</v>
      </c>
      <c r="B2323" t="s">
        <v>3389</v>
      </c>
      <c r="C2323">
        <f>0</f>
        <v>0</v>
      </c>
      <c r="D2323">
        <v>0.94154094277199996</v>
      </c>
      <c r="E2323">
        <v>5.82</v>
      </c>
    </row>
    <row r="2324" spans="1:5">
      <c r="A2324" t="s">
        <v>35835</v>
      </c>
      <c r="B2324" t="s">
        <v>3397</v>
      </c>
      <c r="C2324">
        <v>0</v>
      </c>
      <c r="D2324">
        <v>0.94154094277199996</v>
      </c>
      <c r="E2324">
        <v>5.82</v>
      </c>
    </row>
    <row r="2325" spans="1:5">
      <c r="A2325" t="s">
        <v>35835</v>
      </c>
      <c r="B2325" t="s">
        <v>3396</v>
      </c>
      <c r="C2325">
        <f>0</f>
        <v>0</v>
      </c>
      <c r="D2325">
        <v>0.94154094277199996</v>
      </c>
      <c r="E2325">
        <v>5.82</v>
      </c>
    </row>
    <row r="2326" spans="1:5">
      <c r="A2326" t="s">
        <v>35835</v>
      </c>
      <c r="B2326" t="s">
        <v>3387</v>
      </c>
      <c r="C2326">
        <f>0.0774489317935</f>
        <v>7.74489317935E-2</v>
      </c>
      <c r="D2326">
        <v>0.94154094277199996</v>
      </c>
      <c r="E2326">
        <v>5.82</v>
      </c>
    </row>
    <row r="2327" spans="1:5">
      <c r="A2327" t="s">
        <v>35835</v>
      </c>
      <c r="B2327" t="s">
        <v>3392</v>
      </c>
      <c r="C2327">
        <f>0.61260544955</f>
        <v>0.61260544954999996</v>
      </c>
      <c r="D2327">
        <v>0.94154094277199996</v>
      </c>
      <c r="E2327">
        <v>5.82</v>
      </c>
    </row>
    <row r="2328" spans="1:5">
      <c r="A2328" t="s">
        <v>35835</v>
      </c>
      <c r="B2328" t="s">
        <v>3391</v>
      </c>
      <c r="C2328">
        <f>0.296435465605</f>
        <v>0.296435465605</v>
      </c>
      <c r="D2328">
        <v>0.94154094277199996</v>
      </c>
      <c r="E2328">
        <v>5.82</v>
      </c>
    </row>
    <row r="2329" spans="1:5">
      <c r="A2329" t="s">
        <v>35836</v>
      </c>
      <c r="B2329" t="s">
        <v>23346</v>
      </c>
      <c r="C2329">
        <f>0.12036032169</f>
        <v>0.12036032168999999</v>
      </c>
      <c r="D2329">
        <v>0.87114340754700004</v>
      </c>
      <c r="E2329">
        <v>24</v>
      </c>
    </row>
    <row r="2330" spans="1:5">
      <c r="A2330" t="s">
        <v>35836</v>
      </c>
      <c r="B2330" t="s">
        <v>23341</v>
      </c>
      <c r="C2330">
        <v>0.55384358464399996</v>
      </c>
      <c r="D2330">
        <v>0.87114340754700004</v>
      </c>
      <c r="E2330">
        <v>24</v>
      </c>
    </row>
    <row r="2331" spans="1:5">
      <c r="A2331" t="s">
        <v>35836</v>
      </c>
      <c r="B2331" t="s">
        <v>23344</v>
      </c>
      <c r="C2331">
        <v>0</v>
      </c>
      <c r="D2331">
        <v>0.87114340754700004</v>
      </c>
      <c r="E2331">
        <v>24</v>
      </c>
    </row>
    <row r="2332" spans="1:5">
      <c r="A2332" t="s">
        <v>35836</v>
      </c>
      <c r="B2332" t="s">
        <v>23343</v>
      </c>
      <c r="C2332">
        <v>0</v>
      </c>
      <c r="D2332">
        <v>0.87114340754700004</v>
      </c>
      <c r="E2332">
        <v>24</v>
      </c>
    </row>
    <row r="2333" spans="1:5">
      <c r="A2333" t="s">
        <v>35836</v>
      </c>
      <c r="B2333" t="s">
        <v>23345</v>
      </c>
      <c r="C2333">
        <f>0</f>
        <v>0</v>
      </c>
      <c r="D2333">
        <v>0.87114340754700004</v>
      </c>
      <c r="E2333">
        <v>24</v>
      </c>
    </row>
    <row r="2334" spans="1:5">
      <c r="A2334" t="s">
        <v>35836</v>
      </c>
      <c r="B2334" t="s">
        <v>23347</v>
      </c>
      <c r="C2334">
        <f>0</f>
        <v>0</v>
      </c>
      <c r="D2334">
        <v>0.87114340754700004</v>
      </c>
      <c r="E2334">
        <v>24</v>
      </c>
    </row>
    <row r="2335" spans="1:5">
      <c r="A2335" t="s">
        <v>35837</v>
      </c>
      <c r="B2335" t="s">
        <v>35838</v>
      </c>
      <c r="C2335">
        <f>0</f>
        <v>0</v>
      </c>
      <c r="D2335">
        <v>0.84244529368900001</v>
      </c>
      <c r="E2335">
        <v>0.69599999999999995</v>
      </c>
    </row>
    <row r="2336" spans="1:5">
      <c r="A2336" t="s">
        <v>35837</v>
      </c>
      <c r="B2336" t="s">
        <v>35839</v>
      </c>
      <c r="C2336">
        <v>0</v>
      </c>
      <c r="D2336">
        <v>0.84244529368900001</v>
      </c>
      <c r="E2336">
        <v>0.69599999999999995</v>
      </c>
    </row>
    <row r="2337" spans="1:5">
      <c r="A2337" t="s">
        <v>35837</v>
      </c>
      <c r="B2337" t="s">
        <v>35840</v>
      </c>
      <c r="C2337">
        <f>0</f>
        <v>0</v>
      </c>
      <c r="D2337">
        <v>0.84244529368900001</v>
      </c>
      <c r="E2337">
        <v>0.69599999999999995</v>
      </c>
    </row>
    <row r="2338" spans="1:5">
      <c r="A2338" t="s">
        <v>35837</v>
      </c>
      <c r="B2338" t="s">
        <v>35841</v>
      </c>
      <c r="C2338">
        <f>0</f>
        <v>0</v>
      </c>
      <c r="D2338">
        <v>0.84244529368900001</v>
      </c>
      <c r="E2338">
        <v>0.69599999999999995</v>
      </c>
    </row>
    <row r="2339" spans="1:5">
      <c r="A2339" t="s">
        <v>35837</v>
      </c>
      <c r="B2339" t="s">
        <v>35842</v>
      </c>
      <c r="C2339">
        <f>0</f>
        <v>0</v>
      </c>
      <c r="D2339">
        <v>0.84244529368900001</v>
      </c>
      <c r="E2339">
        <v>0.69599999999999995</v>
      </c>
    </row>
    <row r="2340" spans="1:5">
      <c r="A2340" t="s">
        <v>35837</v>
      </c>
      <c r="B2340" t="s">
        <v>35843</v>
      </c>
      <c r="C2340">
        <v>0</v>
      </c>
      <c r="D2340">
        <v>0.84244529368900001</v>
      </c>
      <c r="E2340">
        <v>0.69599999999999995</v>
      </c>
    </row>
    <row r="2341" spans="1:5">
      <c r="A2341" t="s">
        <v>35837</v>
      </c>
      <c r="B2341" t="s">
        <v>35844</v>
      </c>
      <c r="C2341">
        <v>0</v>
      </c>
      <c r="D2341">
        <v>0.84244529368900001</v>
      </c>
      <c r="E2341">
        <v>0.69599999999999995</v>
      </c>
    </row>
    <row r="2342" spans="1:5">
      <c r="A2342" t="s">
        <v>35837</v>
      </c>
      <c r="B2342" t="s">
        <v>35845</v>
      </c>
      <c r="C2342">
        <f>0.456365373994</f>
        <v>0.45636537399400001</v>
      </c>
      <c r="D2342">
        <v>0.84244529368900001</v>
      </c>
      <c r="E2342">
        <v>0.69599999999999995</v>
      </c>
    </row>
    <row r="2343" spans="1:5">
      <c r="A2343" t="s">
        <v>35837</v>
      </c>
      <c r="B2343" t="s">
        <v>35846</v>
      </c>
      <c r="C2343">
        <v>0.23262039765699999</v>
      </c>
      <c r="D2343">
        <v>0.84244529368900001</v>
      </c>
      <c r="E2343">
        <v>0.69599999999999995</v>
      </c>
    </row>
    <row r="2344" spans="1:5">
      <c r="A2344" t="s">
        <v>35847</v>
      </c>
      <c r="B2344" t="s">
        <v>10557</v>
      </c>
      <c r="C2344">
        <f>0</f>
        <v>0</v>
      </c>
      <c r="D2344" t="s">
        <v>106</v>
      </c>
      <c r="E2344">
        <v>6.0000000000000001E-3</v>
      </c>
    </row>
    <row r="2345" spans="1:5">
      <c r="A2345" t="s">
        <v>35847</v>
      </c>
      <c r="B2345" t="s">
        <v>10563</v>
      </c>
      <c r="C2345">
        <f>0</f>
        <v>0</v>
      </c>
      <c r="D2345" t="s">
        <v>106</v>
      </c>
      <c r="E2345">
        <v>6.0000000000000001E-3</v>
      </c>
    </row>
    <row r="2346" spans="1:5">
      <c r="A2346" t="s">
        <v>35847</v>
      </c>
      <c r="B2346" t="s">
        <v>10558</v>
      </c>
      <c r="C2346">
        <f>0</f>
        <v>0</v>
      </c>
      <c r="D2346" t="s">
        <v>106</v>
      </c>
      <c r="E2346">
        <v>6.0000000000000001E-3</v>
      </c>
    </row>
    <row r="2347" spans="1:5">
      <c r="A2347" t="s">
        <v>35847</v>
      </c>
      <c r="B2347" t="s">
        <v>10562</v>
      </c>
      <c r="C2347">
        <v>0</v>
      </c>
      <c r="D2347" t="s">
        <v>106</v>
      </c>
      <c r="E2347">
        <v>6.0000000000000001E-3</v>
      </c>
    </row>
    <row r="2348" spans="1:5">
      <c r="A2348" t="s">
        <v>35847</v>
      </c>
      <c r="B2348" t="s">
        <v>10564</v>
      </c>
      <c r="C2348">
        <f>0</f>
        <v>0</v>
      </c>
      <c r="D2348" t="s">
        <v>106</v>
      </c>
      <c r="E2348">
        <v>6.0000000000000001E-3</v>
      </c>
    </row>
    <row r="2349" spans="1:5">
      <c r="A2349" t="s">
        <v>35848</v>
      </c>
      <c r="B2349" t="s">
        <v>16018</v>
      </c>
      <c r="C2349">
        <f>0</f>
        <v>0</v>
      </c>
      <c r="D2349">
        <v>0.88755853712099997</v>
      </c>
      <c r="E2349">
        <v>6.5519999999999996</v>
      </c>
    </row>
    <row r="2350" spans="1:5">
      <c r="A2350" t="s">
        <v>35848</v>
      </c>
      <c r="B2350" t="s">
        <v>16024</v>
      </c>
      <c r="C2350">
        <v>0</v>
      </c>
      <c r="D2350">
        <v>0.88755853712099997</v>
      </c>
      <c r="E2350">
        <v>6.5519999999999996</v>
      </c>
    </row>
    <row r="2351" spans="1:5">
      <c r="A2351" t="s">
        <v>35848</v>
      </c>
      <c r="B2351" t="s">
        <v>16023</v>
      </c>
      <c r="C2351">
        <f>0</f>
        <v>0</v>
      </c>
      <c r="D2351">
        <v>0.88755853712099997</v>
      </c>
      <c r="E2351">
        <v>6.5519999999999996</v>
      </c>
    </row>
    <row r="2352" spans="1:5">
      <c r="A2352" t="s">
        <v>35848</v>
      </c>
      <c r="B2352" t="s">
        <v>16028</v>
      </c>
      <c r="C2352">
        <f>0</f>
        <v>0</v>
      </c>
      <c r="D2352">
        <v>0.88755853712099997</v>
      </c>
      <c r="E2352">
        <v>6.5519999999999996</v>
      </c>
    </row>
    <row r="2353" spans="1:5">
      <c r="A2353" t="s">
        <v>35848</v>
      </c>
      <c r="B2353" t="s">
        <v>16022</v>
      </c>
      <c r="C2353">
        <f>0.301566319713</f>
        <v>0.30156631971300002</v>
      </c>
      <c r="D2353">
        <v>0.88755853712099997</v>
      </c>
      <c r="E2353">
        <v>6.5519999999999996</v>
      </c>
    </row>
    <row r="2354" spans="1:5">
      <c r="A2354" t="s">
        <v>35848</v>
      </c>
      <c r="B2354" t="s">
        <v>16026</v>
      </c>
      <c r="C2354">
        <v>0</v>
      </c>
      <c r="D2354">
        <v>0.88755853712099997</v>
      </c>
      <c r="E2354">
        <v>6.5519999999999996</v>
      </c>
    </row>
    <row r="2355" spans="1:5">
      <c r="A2355" t="s">
        <v>35848</v>
      </c>
      <c r="B2355" t="s">
        <v>16027</v>
      </c>
      <c r="C2355">
        <f>0.52326351646</f>
        <v>0.52326351646000002</v>
      </c>
      <c r="D2355">
        <v>0.88755853712099997</v>
      </c>
      <c r="E2355">
        <v>6.5519999999999996</v>
      </c>
    </row>
    <row r="2356" spans="1:5">
      <c r="A2356" t="s">
        <v>35848</v>
      </c>
      <c r="B2356" t="s">
        <v>16030</v>
      </c>
      <c r="C2356">
        <v>0</v>
      </c>
      <c r="D2356">
        <v>0.88755853712099997</v>
      </c>
      <c r="E2356">
        <v>6.5519999999999996</v>
      </c>
    </row>
    <row r="2357" spans="1:5">
      <c r="A2357" t="s">
        <v>35848</v>
      </c>
      <c r="B2357" t="s">
        <v>16020</v>
      </c>
      <c r="C2357">
        <f>0</f>
        <v>0</v>
      </c>
      <c r="D2357">
        <v>0.88755853712099997</v>
      </c>
      <c r="E2357">
        <v>6.5519999999999996</v>
      </c>
    </row>
    <row r="2358" spans="1:5">
      <c r="A2358" t="s">
        <v>35849</v>
      </c>
      <c r="B2358" t="s">
        <v>17421</v>
      </c>
      <c r="C2358">
        <v>0</v>
      </c>
      <c r="D2358">
        <v>0.79566906578300001</v>
      </c>
      <c r="E2358">
        <v>0.40799999999999997</v>
      </c>
    </row>
    <row r="2359" spans="1:5">
      <c r="A2359" t="s">
        <v>35849</v>
      </c>
      <c r="B2359" t="s">
        <v>17430</v>
      </c>
      <c r="C2359">
        <f>0</f>
        <v>0</v>
      </c>
      <c r="D2359">
        <v>0.79566906578300001</v>
      </c>
      <c r="E2359">
        <v>0.40799999999999997</v>
      </c>
    </row>
    <row r="2360" spans="1:5">
      <c r="A2360" t="s">
        <v>35849</v>
      </c>
      <c r="B2360" t="s">
        <v>17426</v>
      </c>
      <c r="C2360">
        <v>0</v>
      </c>
      <c r="D2360">
        <v>0.79566906578300001</v>
      </c>
      <c r="E2360">
        <v>0.40799999999999997</v>
      </c>
    </row>
    <row r="2361" spans="1:5">
      <c r="A2361" t="s">
        <v>35849</v>
      </c>
      <c r="B2361" t="s">
        <v>17427</v>
      </c>
      <c r="C2361">
        <v>1.71900170759E-2</v>
      </c>
      <c r="D2361">
        <v>0.79566906578300001</v>
      </c>
      <c r="E2361">
        <v>0.40799999999999997</v>
      </c>
    </row>
    <row r="2362" spans="1:5">
      <c r="A2362" t="s">
        <v>35849</v>
      </c>
      <c r="B2362" t="s">
        <v>17429</v>
      </c>
      <c r="C2362">
        <v>0.37430807137099997</v>
      </c>
      <c r="D2362">
        <v>0.79566906578300001</v>
      </c>
      <c r="E2362">
        <v>0.40799999999999997</v>
      </c>
    </row>
    <row r="2363" spans="1:5">
      <c r="A2363" t="s">
        <v>35849</v>
      </c>
      <c r="B2363" t="s">
        <v>17428</v>
      </c>
      <c r="C2363">
        <v>0</v>
      </c>
      <c r="D2363">
        <v>0.79566906578300001</v>
      </c>
      <c r="E2363">
        <v>0.40799999999999997</v>
      </c>
    </row>
    <row r="2364" spans="1:5">
      <c r="A2364" t="s">
        <v>35849</v>
      </c>
      <c r="B2364" t="s">
        <v>17424</v>
      </c>
      <c r="C2364">
        <v>0</v>
      </c>
      <c r="D2364">
        <v>0.79566906578300001</v>
      </c>
      <c r="E2364">
        <v>0.40799999999999997</v>
      </c>
    </row>
    <row r="2365" spans="1:5">
      <c r="A2365" t="s">
        <v>35849</v>
      </c>
      <c r="B2365" t="s">
        <v>35850</v>
      </c>
      <c r="C2365">
        <v>0.208277427386</v>
      </c>
      <c r="D2365">
        <v>0.79566906578300001</v>
      </c>
      <c r="E2365">
        <v>0.40799999999999997</v>
      </c>
    </row>
    <row r="2366" spans="1:5">
      <c r="A2366" t="s">
        <v>35851</v>
      </c>
      <c r="B2366" t="s">
        <v>16047</v>
      </c>
      <c r="C2366">
        <v>0</v>
      </c>
      <c r="D2366" t="s">
        <v>106</v>
      </c>
      <c r="E2366">
        <v>2.88</v>
      </c>
    </row>
    <row r="2367" spans="1:5">
      <c r="A2367" t="s">
        <v>35851</v>
      </c>
      <c r="B2367" t="s">
        <v>16050</v>
      </c>
      <c r="C2367">
        <v>0</v>
      </c>
      <c r="D2367" t="s">
        <v>106</v>
      </c>
      <c r="E2367">
        <v>2.88</v>
      </c>
    </row>
    <row r="2368" spans="1:5">
      <c r="A2368" t="s">
        <v>35851</v>
      </c>
      <c r="B2368" t="s">
        <v>16053</v>
      </c>
      <c r="C2368">
        <v>0</v>
      </c>
      <c r="D2368" t="s">
        <v>106</v>
      </c>
      <c r="E2368">
        <v>2.88</v>
      </c>
    </row>
    <row r="2369" spans="1:5">
      <c r="A2369" t="s">
        <v>35851</v>
      </c>
      <c r="B2369" t="s">
        <v>16052</v>
      </c>
      <c r="C2369">
        <v>0</v>
      </c>
      <c r="D2369" t="s">
        <v>106</v>
      </c>
      <c r="E2369">
        <v>2.88</v>
      </c>
    </row>
    <row r="2370" spans="1:5">
      <c r="A2370" t="s">
        <v>35852</v>
      </c>
      <c r="B2370" t="s">
        <v>35853</v>
      </c>
      <c r="C2370">
        <f>0</f>
        <v>0</v>
      </c>
      <c r="D2370" t="s">
        <v>106</v>
      </c>
      <c r="E2370">
        <v>21.42</v>
      </c>
    </row>
    <row r="2371" spans="1:5">
      <c r="A2371" t="s">
        <v>35852</v>
      </c>
      <c r="B2371" t="s">
        <v>35854</v>
      </c>
      <c r="C2371">
        <f>0</f>
        <v>0</v>
      </c>
      <c r="D2371" t="s">
        <v>106</v>
      </c>
      <c r="E2371">
        <v>21.42</v>
      </c>
    </row>
    <row r="2372" spans="1:5">
      <c r="A2372" t="s">
        <v>35855</v>
      </c>
      <c r="B2372" t="s">
        <v>15655</v>
      </c>
      <c r="C2372">
        <v>0.73419450757799998</v>
      </c>
      <c r="D2372">
        <v>0.77420450757799997</v>
      </c>
      <c r="E2372">
        <v>3.5880000000000001</v>
      </c>
    </row>
    <row r="2373" spans="1:5">
      <c r="A2373" t="s">
        <v>35855</v>
      </c>
      <c r="B2373" t="s">
        <v>15656</v>
      </c>
      <c r="C2373">
        <f>0</f>
        <v>0</v>
      </c>
      <c r="D2373">
        <v>0.77420450757799997</v>
      </c>
      <c r="E2373">
        <v>3.5880000000000001</v>
      </c>
    </row>
    <row r="2374" spans="1:5">
      <c r="A2374" t="s">
        <v>35856</v>
      </c>
      <c r="B2374" t="s">
        <v>35857</v>
      </c>
      <c r="C2374">
        <v>0</v>
      </c>
      <c r="D2374" t="s">
        <v>106</v>
      </c>
      <c r="E2374">
        <v>8.8680000000000003</v>
      </c>
    </row>
    <row r="2375" spans="1:5">
      <c r="A2375" t="s">
        <v>35856</v>
      </c>
      <c r="B2375" t="s">
        <v>35858</v>
      </c>
      <c r="C2375">
        <f>0</f>
        <v>0</v>
      </c>
      <c r="D2375" t="s">
        <v>106</v>
      </c>
      <c r="E2375">
        <v>8.8680000000000003</v>
      </c>
    </row>
    <row r="2376" spans="1:5">
      <c r="A2376" t="s">
        <v>35856</v>
      </c>
      <c r="B2376" t="s">
        <v>35859</v>
      </c>
      <c r="C2376">
        <v>0</v>
      </c>
      <c r="D2376" t="s">
        <v>106</v>
      </c>
      <c r="E2376">
        <v>8.8680000000000003</v>
      </c>
    </row>
    <row r="2377" spans="1:5">
      <c r="A2377" t="s">
        <v>35856</v>
      </c>
      <c r="B2377" t="s">
        <v>35860</v>
      </c>
      <c r="C2377">
        <f>0</f>
        <v>0</v>
      </c>
      <c r="D2377" t="s">
        <v>106</v>
      </c>
      <c r="E2377">
        <v>8.8680000000000003</v>
      </c>
    </row>
    <row r="2378" spans="1:5">
      <c r="A2378" t="s">
        <v>35856</v>
      </c>
      <c r="B2378" t="s">
        <v>35861</v>
      </c>
      <c r="C2378">
        <v>0</v>
      </c>
      <c r="D2378" t="s">
        <v>106</v>
      </c>
      <c r="E2378">
        <v>8.8680000000000003</v>
      </c>
    </row>
    <row r="2379" spans="1:5">
      <c r="A2379" t="s">
        <v>35856</v>
      </c>
      <c r="B2379" t="s">
        <v>35862</v>
      </c>
      <c r="C2379">
        <f>0</f>
        <v>0</v>
      </c>
      <c r="D2379" t="s">
        <v>106</v>
      </c>
      <c r="E2379">
        <v>8.8680000000000003</v>
      </c>
    </row>
    <row r="2380" spans="1:5">
      <c r="A2380" t="s">
        <v>35856</v>
      </c>
      <c r="B2380" t="s">
        <v>35863</v>
      </c>
      <c r="C2380">
        <f>0</f>
        <v>0</v>
      </c>
      <c r="D2380" t="s">
        <v>106</v>
      </c>
      <c r="E2380">
        <v>8.8680000000000003</v>
      </c>
    </row>
    <row r="2381" spans="1:5">
      <c r="A2381" t="s">
        <v>35856</v>
      </c>
      <c r="B2381" t="s">
        <v>35864</v>
      </c>
      <c r="C2381">
        <v>0</v>
      </c>
      <c r="D2381" t="s">
        <v>106</v>
      </c>
      <c r="E2381">
        <v>8.8680000000000003</v>
      </c>
    </row>
    <row r="2382" spans="1:5">
      <c r="A2382" t="s">
        <v>35865</v>
      </c>
      <c r="B2382" t="s">
        <v>35866</v>
      </c>
      <c r="C2382">
        <f>0.348502488245</f>
        <v>0.34850248824500002</v>
      </c>
      <c r="D2382">
        <v>0.99934868073700001</v>
      </c>
      <c r="E2382">
        <v>1.3919999999999999</v>
      </c>
    </row>
    <row r="2383" spans="1:5">
      <c r="A2383" t="s">
        <v>35865</v>
      </c>
      <c r="B2383" t="s">
        <v>35867</v>
      </c>
      <c r="C2383">
        <f>0.387914797883</f>
        <v>0.38791479788299998</v>
      </c>
      <c r="D2383">
        <v>0.99934868073700001</v>
      </c>
      <c r="E2383">
        <v>1.3919999999999999</v>
      </c>
    </row>
    <row r="2384" spans="1:5">
      <c r="A2384" t="s">
        <v>35865</v>
      </c>
      <c r="B2384" t="s">
        <v>35868</v>
      </c>
      <c r="C2384">
        <v>1.54429630777</v>
      </c>
      <c r="D2384">
        <v>0.99934868073700001</v>
      </c>
      <c r="E2384">
        <v>1.3919999999999999</v>
      </c>
    </row>
    <row r="2385" spans="1:5">
      <c r="A2385" t="s">
        <v>35865</v>
      </c>
      <c r="B2385" t="s">
        <v>35869</v>
      </c>
      <c r="C2385">
        <f>-1.91292734231</f>
        <v>-1.9129273423099999</v>
      </c>
      <c r="D2385">
        <v>0.99934868073700001</v>
      </c>
      <c r="E2385">
        <v>1.3919999999999999</v>
      </c>
    </row>
    <row r="2386" spans="1:5">
      <c r="A2386" t="s">
        <v>35865</v>
      </c>
      <c r="B2386" t="s">
        <v>35870</v>
      </c>
      <c r="C2386">
        <v>1.4452115380799999</v>
      </c>
      <c r="D2386">
        <v>0.99934868073700001</v>
      </c>
      <c r="E2386">
        <v>1.3919999999999999</v>
      </c>
    </row>
    <row r="2387" spans="1:5">
      <c r="A2387" t="s">
        <v>35865</v>
      </c>
      <c r="B2387" t="s">
        <v>35871</v>
      </c>
      <c r="C2387">
        <f>-1.57866273607</f>
        <v>-1.5786627360700001</v>
      </c>
      <c r="D2387">
        <v>0.99934868073700001</v>
      </c>
      <c r="E2387">
        <v>1.3919999999999999</v>
      </c>
    </row>
    <row r="2388" spans="1:5">
      <c r="A2388" t="s">
        <v>35872</v>
      </c>
      <c r="B2388" t="s">
        <v>28511</v>
      </c>
      <c r="C2388">
        <v>0.94429320721700005</v>
      </c>
      <c r="D2388">
        <v>0.91256264174500001</v>
      </c>
      <c r="E2388">
        <v>1.512</v>
      </c>
    </row>
    <row r="2389" spans="1:5">
      <c r="A2389" t="s">
        <v>35872</v>
      </c>
      <c r="B2389" t="s">
        <v>28513</v>
      </c>
      <c r="C2389">
        <f>0.328582784658</f>
        <v>0.328582784658</v>
      </c>
      <c r="D2389">
        <v>0.91256264174500001</v>
      </c>
      <c r="E2389">
        <v>1.512</v>
      </c>
    </row>
    <row r="2390" spans="1:5">
      <c r="A2390" t="s">
        <v>35872</v>
      </c>
      <c r="B2390" t="s">
        <v>28515</v>
      </c>
      <c r="C2390">
        <v>0.199700048224</v>
      </c>
      <c r="D2390">
        <v>0.91256264174500001</v>
      </c>
      <c r="E2390">
        <v>1.512</v>
      </c>
    </row>
    <row r="2391" spans="1:5">
      <c r="A2391" t="s">
        <v>35873</v>
      </c>
      <c r="B2391" t="s">
        <v>9055</v>
      </c>
      <c r="C2391">
        <v>0.29987417021700002</v>
      </c>
      <c r="D2391">
        <v>0.53028417021700003</v>
      </c>
      <c r="E2391">
        <v>1.2E-2</v>
      </c>
    </row>
    <row r="2392" spans="1:5">
      <c r="A2392" t="s">
        <v>35873</v>
      </c>
      <c r="B2392" t="s">
        <v>9057</v>
      </c>
      <c r="C2392">
        <f>0</f>
        <v>0</v>
      </c>
      <c r="D2392">
        <v>0.53028417021700003</v>
      </c>
      <c r="E2392">
        <v>1.2E-2</v>
      </c>
    </row>
    <row r="2393" spans="1:5">
      <c r="A2393" t="s">
        <v>35874</v>
      </c>
      <c r="B2393" t="s">
        <v>20904</v>
      </c>
      <c r="C2393">
        <f>0</f>
        <v>0</v>
      </c>
      <c r="D2393">
        <v>0.73288278678700003</v>
      </c>
      <c r="E2393">
        <v>6.3</v>
      </c>
    </row>
    <row r="2394" spans="1:5">
      <c r="A2394" t="s">
        <v>35874</v>
      </c>
      <c r="B2394" t="s">
        <v>20906</v>
      </c>
      <c r="C2394">
        <v>0</v>
      </c>
      <c r="D2394">
        <v>0.73288278678700003</v>
      </c>
      <c r="E2394">
        <v>6.3</v>
      </c>
    </row>
    <row r="2395" spans="1:5">
      <c r="A2395" t="s">
        <v>35874</v>
      </c>
      <c r="B2395" t="s">
        <v>20905</v>
      </c>
      <c r="C2395">
        <v>0</v>
      </c>
      <c r="D2395">
        <v>0.73288278678700003</v>
      </c>
      <c r="E2395">
        <v>6.3</v>
      </c>
    </row>
    <row r="2396" spans="1:5">
      <c r="A2396" t="s">
        <v>35874</v>
      </c>
      <c r="B2396" t="s">
        <v>20911</v>
      </c>
      <c r="C2396">
        <v>0</v>
      </c>
      <c r="D2396">
        <v>0.73288278678700003</v>
      </c>
      <c r="E2396">
        <v>6.3</v>
      </c>
    </row>
    <row r="2397" spans="1:5">
      <c r="A2397" t="s">
        <v>35874</v>
      </c>
      <c r="B2397" t="s">
        <v>20907</v>
      </c>
      <c r="C2397">
        <v>0.46585763123399998</v>
      </c>
      <c r="D2397">
        <v>0.73288278678700003</v>
      </c>
      <c r="E2397">
        <v>6.3</v>
      </c>
    </row>
    <row r="2398" spans="1:5">
      <c r="A2398" t="s">
        <v>35874</v>
      </c>
      <c r="B2398" t="s">
        <v>20910</v>
      </c>
      <c r="C2398">
        <v>0.17757682908</v>
      </c>
      <c r="D2398">
        <v>0.73288278678700003</v>
      </c>
      <c r="E2398">
        <v>6.3</v>
      </c>
    </row>
    <row r="2399" spans="1:5">
      <c r="A2399" t="s">
        <v>35875</v>
      </c>
      <c r="B2399" t="s">
        <v>35876</v>
      </c>
      <c r="C2399">
        <v>1.12976267391</v>
      </c>
      <c r="D2399">
        <v>0.98834096453300002</v>
      </c>
      <c r="E2399">
        <v>10.554</v>
      </c>
    </row>
    <row r="2400" spans="1:5">
      <c r="A2400" t="s">
        <v>35875</v>
      </c>
      <c r="B2400" t="s">
        <v>35877</v>
      </c>
      <c r="C2400">
        <f>0.107070929929</f>
        <v>0.107070929929</v>
      </c>
      <c r="D2400">
        <v>0.98834096453300002</v>
      </c>
      <c r="E2400">
        <v>10.554</v>
      </c>
    </row>
    <row r="2401" spans="1:5">
      <c r="A2401" t="s">
        <v>35875</v>
      </c>
      <c r="B2401" t="s">
        <v>35878</v>
      </c>
      <c r="C2401">
        <f>0</f>
        <v>0</v>
      </c>
      <c r="D2401">
        <v>0.98834096453300002</v>
      </c>
      <c r="E2401">
        <v>10.554</v>
      </c>
    </row>
    <row r="2402" spans="1:5">
      <c r="A2402" t="s">
        <v>35875</v>
      </c>
      <c r="B2402" t="s">
        <v>35879</v>
      </c>
      <c r="C2402">
        <f>0.335735522639</f>
        <v>0.33573552263899997</v>
      </c>
      <c r="D2402">
        <v>0.98834096453300002</v>
      </c>
      <c r="E2402">
        <v>10.554</v>
      </c>
    </row>
    <row r="2403" spans="1:5">
      <c r="A2403" t="s">
        <v>35875</v>
      </c>
      <c r="B2403" t="s">
        <v>35880</v>
      </c>
      <c r="C2403">
        <f>0</f>
        <v>0</v>
      </c>
      <c r="D2403">
        <v>0.98834096453300002</v>
      </c>
      <c r="E2403">
        <v>10.554</v>
      </c>
    </row>
    <row r="2404" spans="1:5">
      <c r="A2404" t="s">
        <v>35875</v>
      </c>
      <c r="B2404" t="s">
        <v>35881</v>
      </c>
      <c r="C2404">
        <v>0.47688436278899998</v>
      </c>
      <c r="D2404">
        <v>0.98834096453300002</v>
      </c>
      <c r="E2404">
        <v>10.554</v>
      </c>
    </row>
    <row r="2405" spans="1:5">
      <c r="A2405" t="s">
        <v>35882</v>
      </c>
      <c r="B2405" t="s">
        <v>27084</v>
      </c>
      <c r="C2405">
        <v>0</v>
      </c>
      <c r="D2405">
        <v>0.630970160645</v>
      </c>
      <c r="E2405">
        <v>8.2919999999999998</v>
      </c>
    </row>
    <row r="2406" spans="1:5">
      <c r="A2406" t="s">
        <v>35882</v>
      </c>
      <c r="B2406" t="s">
        <v>27090</v>
      </c>
      <c r="C2406">
        <v>0</v>
      </c>
      <c r="D2406">
        <v>0.630970160645</v>
      </c>
      <c r="E2406">
        <v>8.2919999999999998</v>
      </c>
    </row>
    <row r="2407" spans="1:5">
      <c r="A2407" t="s">
        <v>35882</v>
      </c>
      <c r="B2407" t="s">
        <v>27088</v>
      </c>
      <c r="C2407">
        <v>0</v>
      </c>
      <c r="D2407">
        <v>0.630970160645</v>
      </c>
      <c r="E2407">
        <v>8.2919999999999998</v>
      </c>
    </row>
    <row r="2408" spans="1:5">
      <c r="A2408" t="s">
        <v>35882</v>
      </c>
      <c r="B2408" t="s">
        <v>27086</v>
      </c>
      <c r="C2408">
        <f>0</f>
        <v>0</v>
      </c>
      <c r="D2408">
        <v>0.630970160645</v>
      </c>
      <c r="E2408">
        <v>8.2919999999999998</v>
      </c>
    </row>
    <row r="2409" spans="1:5">
      <c r="A2409" t="s">
        <v>35882</v>
      </c>
      <c r="B2409" t="s">
        <v>27093</v>
      </c>
      <c r="C2409">
        <v>0.147806995986</v>
      </c>
      <c r="D2409">
        <v>0.630970160645</v>
      </c>
      <c r="E2409">
        <v>8.2919999999999998</v>
      </c>
    </row>
    <row r="2410" spans="1:5">
      <c r="A2410" t="s">
        <v>35882</v>
      </c>
      <c r="B2410" t="s">
        <v>27092</v>
      </c>
      <c r="C2410">
        <v>5.9595910685600002E-2</v>
      </c>
      <c r="D2410">
        <v>0.630970160645</v>
      </c>
      <c r="E2410">
        <v>8.2919999999999998</v>
      </c>
    </row>
    <row r="2411" spans="1:5">
      <c r="A2411" t="s">
        <v>35882</v>
      </c>
      <c r="B2411" t="s">
        <v>27089</v>
      </c>
      <c r="C2411">
        <v>0</v>
      </c>
      <c r="D2411">
        <v>0.630970160645</v>
      </c>
      <c r="E2411">
        <v>8.2919999999999998</v>
      </c>
    </row>
    <row r="2412" spans="1:5">
      <c r="A2412" t="s">
        <v>35883</v>
      </c>
      <c r="B2412" t="s">
        <v>30631</v>
      </c>
      <c r="C2412">
        <f>0.651502622076</f>
        <v>0.65150262207599996</v>
      </c>
      <c r="D2412">
        <v>0.78111262207599996</v>
      </c>
      <c r="E2412">
        <v>24</v>
      </c>
    </row>
    <row r="2413" spans="1:5">
      <c r="A2413" t="s">
        <v>35883</v>
      </c>
      <c r="B2413" t="s">
        <v>30633</v>
      </c>
      <c r="C2413">
        <v>0</v>
      </c>
      <c r="D2413">
        <v>0.78111262207599996</v>
      </c>
      <c r="E2413">
        <v>24</v>
      </c>
    </row>
    <row r="2414" spans="1:5">
      <c r="A2414" t="s">
        <v>35883</v>
      </c>
      <c r="B2414" t="s">
        <v>30632</v>
      </c>
      <c r="C2414">
        <f>0</f>
        <v>0</v>
      </c>
      <c r="D2414">
        <v>0.78111262207599996</v>
      </c>
      <c r="E2414">
        <v>24</v>
      </c>
    </row>
    <row r="2415" spans="1:5">
      <c r="A2415" t="s">
        <v>35884</v>
      </c>
      <c r="B2415" t="s">
        <v>8486</v>
      </c>
      <c r="C2415">
        <v>0</v>
      </c>
      <c r="D2415" t="s">
        <v>106</v>
      </c>
      <c r="E2415">
        <v>9.7739999999999991</v>
      </c>
    </row>
    <row r="2416" spans="1:5">
      <c r="A2416" t="s">
        <v>35884</v>
      </c>
      <c r="B2416" t="s">
        <v>8482</v>
      </c>
      <c r="C2416">
        <v>0</v>
      </c>
      <c r="D2416" t="s">
        <v>106</v>
      </c>
      <c r="E2416">
        <v>9.7739999999999991</v>
      </c>
    </row>
    <row r="2417" spans="1:5">
      <c r="A2417" t="s">
        <v>35884</v>
      </c>
      <c r="B2417" t="s">
        <v>8480</v>
      </c>
      <c r="C2417">
        <v>0</v>
      </c>
      <c r="D2417" t="s">
        <v>106</v>
      </c>
      <c r="E2417">
        <v>9.7739999999999991</v>
      </c>
    </row>
    <row r="2418" spans="1:5">
      <c r="A2418" t="s">
        <v>35885</v>
      </c>
      <c r="B2418" t="s">
        <v>10316</v>
      </c>
      <c r="C2418">
        <v>0</v>
      </c>
      <c r="D2418">
        <v>0.75888278250499996</v>
      </c>
      <c r="E2418">
        <v>24</v>
      </c>
    </row>
    <row r="2419" spans="1:5">
      <c r="A2419" t="s">
        <v>35885</v>
      </c>
      <c r="B2419" t="s">
        <v>10321</v>
      </c>
      <c r="C2419">
        <v>0.30190797543499998</v>
      </c>
      <c r="D2419">
        <v>0.75888278250499996</v>
      </c>
      <c r="E2419">
        <v>24</v>
      </c>
    </row>
    <row r="2420" spans="1:5">
      <c r="A2420" t="s">
        <v>35885</v>
      </c>
      <c r="B2420" t="s">
        <v>10318</v>
      </c>
      <c r="C2420">
        <f>0</f>
        <v>0</v>
      </c>
      <c r="D2420">
        <v>0.75888278250499996</v>
      </c>
      <c r="E2420">
        <v>24</v>
      </c>
    </row>
    <row r="2421" spans="1:5">
      <c r="A2421" t="s">
        <v>35885</v>
      </c>
      <c r="B2421" t="s">
        <v>10322</v>
      </c>
      <c r="C2421">
        <v>0.15713175983899999</v>
      </c>
      <c r="D2421">
        <v>0.75888278250499996</v>
      </c>
      <c r="E2421">
        <v>24</v>
      </c>
    </row>
    <row r="2422" spans="1:5">
      <c r="A2422" t="s">
        <v>35885</v>
      </c>
      <c r="B2422" t="s">
        <v>10314</v>
      </c>
      <c r="C2422">
        <v>0</v>
      </c>
      <c r="D2422">
        <v>0.75888278250499996</v>
      </c>
      <c r="E2422">
        <v>24</v>
      </c>
    </row>
    <row r="2423" spans="1:5">
      <c r="A2423" t="s">
        <v>35886</v>
      </c>
      <c r="B2423" t="s">
        <v>29510</v>
      </c>
      <c r="C2423">
        <f>-1.48136763593</f>
        <v>-1.4813676359300001</v>
      </c>
      <c r="D2423">
        <v>0.93042684942700005</v>
      </c>
      <c r="E2423">
        <v>24</v>
      </c>
    </row>
    <row r="2424" spans="1:5">
      <c r="A2424" t="s">
        <v>35886</v>
      </c>
      <c r="B2424" t="s">
        <v>29511</v>
      </c>
      <c r="C2424">
        <f>0.0522576515806</f>
        <v>5.2257651580600001E-2</v>
      </c>
      <c r="D2424">
        <v>0.93042684942700005</v>
      </c>
      <c r="E2424">
        <v>24</v>
      </c>
    </row>
    <row r="2425" spans="1:5">
      <c r="A2425" t="s">
        <v>35886</v>
      </c>
      <c r="B2425" t="s">
        <v>29513</v>
      </c>
      <c r="C2425">
        <f>0.956587231858</f>
        <v>0.95658723185799999</v>
      </c>
      <c r="D2425">
        <v>0.93042684942700005</v>
      </c>
      <c r="E2425">
        <v>24</v>
      </c>
    </row>
    <row r="2426" spans="1:5">
      <c r="A2426" t="s">
        <v>35886</v>
      </c>
      <c r="B2426" t="s">
        <v>29512</v>
      </c>
      <c r="C2426">
        <v>2.3615711242400002</v>
      </c>
      <c r="D2426">
        <v>0.93042684942700005</v>
      </c>
      <c r="E2426">
        <v>24</v>
      </c>
    </row>
    <row r="2427" spans="1:5">
      <c r="A2427" t="s">
        <v>35887</v>
      </c>
      <c r="B2427" t="s">
        <v>35888</v>
      </c>
      <c r="C2427">
        <f>0.272031176837</f>
        <v>0.27203117683700001</v>
      </c>
      <c r="D2427">
        <v>0.92688197320700005</v>
      </c>
      <c r="E2427">
        <v>0.17399999999999999</v>
      </c>
    </row>
    <row r="2428" spans="1:5">
      <c r="A2428" t="s">
        <v>35887</v>
      </c>
      <c r="B2428" t="s">
        <v>35889</v>
      </c>
      <c r="C2428">
        <f>0</f>
        <v>0</v>
      </c>
      <c r="D2428">
        <v>0.92688197320700005</v>
      </c>
      <c r="E2428">
        <v>0.17399999999999999</v>
      </c>
    </row>
    <row r="2429" spans="1:5">
      <c r="A2429" t="s">
        <v>35887</v>
      </c>
      <c r="B2429" t="s">
        <v>35890</v>
      </c>
      <c r="C2429">
        <f>0</f>
        <v>0</v>
      </c>
      <c r="D2429">
        <v>0.92688197320700005</v>
      </c>
      <c r="E2429">
        <v>0.17399999999999999</v>
      </c>
    </row>
    <row r="2430" spans="1:5">
      <c r="A2430" t="s">
        <v>35887</v>
      </c>
      <c r="B2430" t="s">
        <v>35891</v>
      </c>
      <c r="C2430">
        <f>0.0743562423092</f>
        <v>7.4356242309200002E-2</v>
      </c>
      <c r="D2430">
        <v>0.92688197320700005</v>
      </c>
      <c r="E2430">
        <v>0.17399999999999999</v>
      </c>
    </row>
    <row r="2431" spans="1:5">
      <c r="A2431" t="s">
        <v>35887</v>
      </c>
      <c r="B2431" t="s">
        <v>35892</v>
      </c>
      <c r="C2431">
        <f>0</f>
        <v>0</v>
      </c>
      <c r="D2431">
        <v>0.92688197320700005</v>
      </c>
      <c r="E2431">
        <v>0.17399999999999999</v>
      </c>
    </row>
    <row r="2432" spans="1:5">
      <c r="A2432" t="s">
        <v>35887</v>
      </c>
      <c r="B2432" t="s">
        <v>35893</v>
      </c>
      <c r="C2432">
        <f>0</f>
        <v>0</v>
      </c>
      <c r="D2432">
        <v>0.92688197320700005</v>
      </c>
      <c r="E2432">
        <v>0.17399999999999999</v>
      </c>
    </row>
    <row r="2433" spans="1:5">
      <c r="A2433" t="s">
        <v>35887</v>
      </c>
      <c r="B2433" t="s">
        <v>35894</v>
      </c>
      <c r="C2433">
        <f>0</f>
        <v>0</v>
      </c>
      <c r="D2433">
        <v>0.92688197320700005</v>
      </c>
      <c r="E2433">
        <v>0.17399999999999999</v>
      </c>
    </row>
    <row r="2434" spans="1:5">
      <c r="A2434" t="s">
        <v>35887</v>
      </c>
      <c r="B2434" t="s">
        <v>35895</v>
      </c>
      <c r="C2434">
        <v>0.61300170428099998</v>
      </c>
      <c r="D2434">
        <v>0.92688197320700005</v>
      </c>
      <c r="E2434">
        <v>0.17399999999999999</v>
      </c>
    </row>
    <row r="2435" spans="1:5">
      <c r="A2435" t="s">
        <v>35887</v>
      </c>
      <c r="B2435" t="s">
        <v>35896</v>
      </c>
      <c r="C2435">
        <v>0.15505283037299999</v>
      </c>
      <c r="D2435">
        <v>0.92688197320700005</v>
      </c>
      <c r="E2435">
        <v>0.17399999999999999</v>
      </c>
    </row>
    <row r="2436" spans="1:5">
      <c r="A2436" t="s">
        <v>35897</v>
      </c>
      <c r="B2436" t="s">
        <v>35898</v>
      </c>
      <c r="C2436">
        <v>0</v>
      </c>
      <c r="D2436">
        <v>0.99989156163399995</v>
      </c>
      <c r="E2436">
        <v>10.715999999999999</v>
      </c>
    </row>
    <row r="2437" spans="1:5">
      <c r="A2437" t="s">
        <v>35897</v>
      </c>
      <c r="B2437" t="s">
        <v>35899</v>
      </c>
      <c r="C2437">
        <v>7.0260359996299995E-2</v>
      </c>
      <c r="D2437">
        <v>0.99989156163399995</v>
      </c>
      <c r="E2437">
        <v>10.715999999999999</v>
      </c>
    </row>
    <row r="2438" spans="1:5">
      <c r="A2438" t="s">
        <v>35897</v>
      </c>
      <c r="B2438" t="s">
        <v>35900</v>
      </c>
      <c r="C2438">
        <f>0.72406213414</f>
        <v>0.72406213413999998</v>
      </c>
      <c r="D2438">
        <v>0.99989156163399995</v>
      </c>
      <c r="E2438">
        <v>10.715999999999999</v>
      </c>
    </row>
    <row r="2439" spans="1:5">
      <c r="A2439" t="s">
        <v>35897</v>
      </c>
      <c r="B2439" t="s">
        <v>35901</v>
      </c>
      <c r="C2439">
        <f>0.260434364761</f>
        <v>0.26043436476100001</v>
      </c>
      <c r="D2439">
        <v>0.99989156163399995</v>
      </c>
      <c r="E2439">
        <v>10.715999999999999</v>
      </c>
    </row>
    <row r="2440" spans="1:5">
      <c r="A2440" t="s">
        <v>35897</v>
      </c>
      <c r="B2440" t="s">
        <v>35902</v>
      </c>
      <c r="C2440">
        <v>0</v>
      </c>
      <c r="D2440">
        <v>0.99989156163399995</v>
      </c>
      <c r="E2440">
        <v>10.715999999999999</v>
      </c>
    </row>
    <row r="2441" spans="1:5">
      <c r="A2441" t="s">
        <v>35897</v>
      </c>
      <c r="B2441" t="s">
        <v>35903</v>
      </c>
      <c r="C2441">
        <f>0.475728863727</f>
        <v>0.47572886372700002</v>
      </c>
      <c r="D2441">
        <v>0.99989156163399995</v>
      </c>
      <c r="E2441">
        <v>10.715999999999999</v>
      </c>
    </row>
    <row r="2442" spans="1:5">
      <c r="A2442" t="s">
        <v>35897</v>
      </c>
      <c r="B2442" t="s">
        <v>35904</v>
      </c>
      <c r="C2442">
        <f>0.166720466366</f>
        <v>0.16672046636599999</v>
      </c>
      <c r="D2442">
        <v>0.99989156163399995</v>
      </c>
      <c r="E2442">
        <v>10.715999999999999</v>
      </c>
    </row>
    <row r="2443" spans="1:5">
      <c r="A2443" t="s">
        <v>35897</v>
      </c>
      <c r="B2443" t="s">
        <v>35905</v>
      </c>
      <c r="C2443">
        <f>0</f>
        <v>0</v>
      </c>
      <c r="D2443">
        <v>0.99989156163399995</v>
      </c>
      <c r="E2443">
        <v>10.715999999999999</v>
      </c>
    </row>
    <row r="2444" spans="1:5">
      <c r="A2444" t="s">
        <v>35897</v>
      </c>
      <c r="B2444" t="s">
        <v>35906</v>
      </c>
      <c r="C2444">
        <v>0</v>
      </c>
      <c r="D2444">
        <v>0.99989156163399995</v>
      </c>
      <c r="E2444">
        <v>10.715999999999999</v>
      </c>
    </row>
    <row r="2445" spans="1:5">
      <c r="A2445" t="s">
        <v>35897</v>
      </c>
      <c r="B2445" t="s">
        <v>35907</v>
      </c>
      <c r="C2445">
        <f>0</f>
        <v>0</v>
      </c>
      <c r="D2445">
        <v>0.99989156163399995</v>
      </c>
      <c r="E2445">
        <v>10.715999999999999</v>
      </c>
    </row>
    <row r="2446" spans="1:5">
      <c r="A2446" t="s">
        <v>35897</v>
      </c>
      <c r="B2446" t="s">
        <v>35908</v>
      </c>
      <c r="C2446">
        <v>0.21600544529400001</v>
      </c>
      <c r="D2446">
        <v>0.99989156163399995</v>
      </c>
      <c r="E2446">
        <v>10.715999999999999</v>
      </c>
    </row>
    <row r="2447" spans="1:5">
      <c r="A2447" t="s">
        <v>35897</v>
      </c>
      <c r="B2447" t="s">
        <v>35909</v>
      </c>
      <c r="C2447">
        <f>0.00378573152735</f>
        <v>3.7857315273500001E-3</v>
      </c>
      <c r="D2447">
        <v>0.99989156163399995</v>
      </c>
      <c r="E2447">
        <v>10.715999999999999</v>
      </c>
    </row>
    <row r="2448" spans="1:5">
      <c r="A2448" t="s">
        <v>35897</v>
      </c>
      <c r="B2448" t="s">
        <v>35910</v>
      </c>
      <c r="C2448">
        <f>0.0468546092243</f>
        <v>4.6854609224300001E-2</v>
      </c>
      <c r="D2448">
        <v>0.99989156163399995</v>
      </c>
      <c r="E2448">
        <v>10.715999999999999</v>
      </c>
    </row>
    <row r="2449" spans="1:5">
      <c r="A2449" t="s">
        <v>35911</v>
      </c>
      <c r="B2449" t="s">
        <v>869</v>
      </c>
      <c r="C2449">
        <v>0</v>
      </c>
      <c r="D2449" t="s">
        <v>106</v>
      </c>
      <c r="E2449">
        <v>5.016</v>
      </c>
    </row>
    <row r="2450" spans="1:5">
      <c r="A2450" t="s">
        <v>35911</v>
      </c>
      <c r="B2450" t="s">
        <v>867</v>
      </c>
      <c r="C2450">
        <v>0</v>
      </c>
      <c r="D2450" t="s">
        <v>106</v>
      </c>
      <c r="E2450">
        <v>5.016</v>
      </c>
    </row>
    <row r="2451" spans="1:5">
      <c r="A2451" t="s">
        <v>35911</v>
      </c>
      <c r="B2451" t="s">
        <v>35912</v>
      </c>
      <c r="C2451">
        <v>0</v>
      </c>
      <c r="D2451" t="s">
        <v>106</v>
      </c>
      <c r="E2451">
        <v>5.016</v>
      </c>
    </row>
    <row r="2452" spans="1:5">
      <c r="A2452" t="s">
        <v>35911</v>
      </c>
      <c r="B2452" t="s">
        <v>870</v>
      </c>
      <c r="C2452">
        <v>0</v>
      </c>
      <c r="D2452" t="s">
        <v>106</v>
      </c>
      <c r="E2452">
        <v>5.016</v>
      </c>
    </row>
    <row r="2453" spans="1:5">
      <c r="A2453" t="s">
        <v>35911</v>
      </c>
      <c r="B2453" t="s">
        <v>873</v>
      </c>
      <c r="C2453">
        <v>0</v>
      </c>
      <c r="D2453" t="s">
        <v>106</v>
      </c>
      <c r="E2453">
        <v>5.016</v>
      </c>
    </row>
    <row r="2454" spans="1:5">
      <c r="A2454" t="s">
        <v>35913</v>
      </c>
      <c r="B2454" t="s">
        <v>35914</v>
      </c>
      <c r="C2454">
        <f>0.540682228313</f>
        <v>0.54068222831299995</v>
      </c>
      <c r="D2454">
        <v>0.85367488376699996</v>
      </c>
      <c r="E2454">
        <v>19.853999999999999</v>
      </c>
    </row>
    <row r="2455" spans="1:5">
      <c r="A2455" t="s">
        <v>35913</v>
      </c>
      <c r="B2455" t="s">
        <v>35915</v>
      </c>
      <c r="C2455">
        <v>4.5742850069499998E-2</v>
      </c>
      <c r="D2455">
        <v>0.85367488376699996</v>
      </c>
      <c r="E2455">
        <v>19.853999999999999</v>
      </c>
    </row>
    <row r="2456" spans="1:5">
      <c r="A2456" t="s">
        <v>35913</v>
      </c>
      <c r="B2456" t="s">
        <v>35916</v>
      </c>
      <c r="C2456">
        <v>0.37046081932699998</v>
      </c>
      <c r="D2456">
        <v>0.85367488376699996</v>
      </c>
      <c r="E2456">
        <v>19.853999999999999</v>
      </c>
    </row>
    <row r="2457" spans="1:5">
      <c r="A2457" t="s">
        <v>35913</v>
      </c>
      <c r="B2457" t="s">
        <v>35917</v>
      </c>
      <c r="C2457">
        <v>0</v>
      </c>
      <c r="D2457">
        <v>0.85367488376699996</v>
      </c>
      <c r="E2457">
        <v>19.853999999999999</v>
      </c>
    </row>
    <row r="2458" spans="1:5">
      <c r="A2458" t="s">
        <v>35913</v>
      </c>
      <c r="B2458" t="s">
        <v>35918</v>
      </c>
      <c r="C2458">
        <f>0</f>
        <v>0</v>
      </c>
      <c r="D2458">
        <v>0.85367488376699996</v>
      </c>
      <c r="E2458">
        <v>19.853999999999999</v>
      </c>
    </row>
    <row r="2459" spans="1:5">
      <c r="A2459" t="s">
        <v>35913</v>
      </c>
      <c r="B2459" t="s">
        <v>35919</v>
      </c>
      <c r="C2459">
        <f>0</f>
        <v>0</v>
      </c>
      <c r="D2459">
        <v>0.85367488376699996</v>
      </c>
      <c r="E2459">
        <v>19.853999999999999</v>
      </c>
    </row>
    <row r="2460" spans="1:5">
      <c r="A2460" t="s">
        <v>35913</v>
      </c>
      <c r="B2460" t="s">
        <v>35920</v>
      </c>
      <c r="C2460">
        <v>0</v>
      </c>
      <c r="D2460">
        <v>0.85367488376699996</v>
      </c>
      <c r="E2460">
        <v>19.853999999999999</v>
      </c>
    </row>
    <row r="2461" spans="1:5">
      <c r="A2461" t="s">
        <v>35921</v>
      </c>
      <c r="B2461" t="s">
        <v>35922</v>
      </c>
      <c r="C2461">
        <v>0</v>
      </c>
      <c r="D2461">
        <v>0.66022067789500005</v>
      </c>
      <c r="E2461">
        <v>23.754000000000001</v>
      </c>
    </row>
    <row r="2462" spans="1:5">
      <c r="A2462" t="s">
        <v>35921</v>
      </c>
      <c r="B2462" t="s">
        <v>35923</v>
      </c>
      <c r="C2462">
        <f>0.307229008747</f>
        <v>0.30722900874699999</v>
      </c>
      <c r="D2462">
        <v>0.66022067789500005</v>
      </c>
      <c r="E2462">
        <v>23.754000000000001</v>
      </c>
    </row>
    <row r="2463" spans="1:5">
      <c r="A2463" t="s">
        <v>35921</v>
      </c>
      <c r="B2463" t="s">
        <v>35924</v>
      </c>
      <c r="C2463">
        <f>0.171526491752</f>
        <v>0.17152649175199999</v>
      </c>
      <c r="D2463">
        <v>0.66022067789500005</v>
      </c>
      <c r="E2463">
        <v>23.754000000000001</v>
      </c>
    </row>
    <row r="2464" spans="1:5">
      <c r="A2464" t="s">
        <v>35921</v>
      </c>
      <c r="B2464" t="s">
        <v>35925</v>
      </c>
      <c r="C2464">
        <f>0</f>
        <v>0</v>
      </c>
      <c r="D2464">
        <v>0.66022067789500005</v>
      </c>
      <c r="E2464">
        <v>23.754000000000001</v>
      </c>
    </row>
    <row r="2465" spans="1:5">
      <c r="A2465" t="s">
        <v>35926</v>
      </c>
      <c r="B2465" t="s">
        <v>29570</v>
      </c>
      <c r="C2465">
        <f>0.915172162315</f>
        <v>0.91517216231499998</v>
      </c>
      <c r="D2465">
        <v>0.98082614421799996</v>
      </c>
      <c r="E2465">
        <v>5.7</v>
      </c>
    </row>
    <row r="2466" spans="1:5">
      <c r="A2466" t="s">
        <v>35926</v>
      </c>
      <c r="B2466" t="s">
        <v>29573</v>
      </c>
      <c r="C2466">
        <v>8.1042648080400001E-2</v>
      </c>
      <c r="D2466">
        <v>0.98082614421799996</v>
      </c>
      <c r="E2466">
        <v>5.7</v>
      </c>
    </row>
    <row r="2467" spans="1:5">
      <c r="A2467" t="s">
        <v>35926</v>
      </c>
      <c r="B2467" t="s">
        <v>29574</v>
      </c>
      <c r="C2467">
        <v>0.740659104101</v>
      </c>
      <c r="D2467">
        <v>0.98082614421799996</v>
      </c>
      <c r="E2467">
        <v>5.7</v>
      </c>
    </row>
    <row r="2468" spans="1:5">
      <c r="A2468" t="s">
        <v>35926</v>
      </c>
      <c r="B2468" t="s">
        <v>29572</v>
      </c>
      <c r="C2468">
        <f>-1.23446057825</f>
        <v>-1.23446057825</v>
      </c>
      <c r="D2468">
        <v>0.98082614421799996</v>
      </c>
      <c r="E2468">
        <v>5.7</v>
      </c>
    </row>
    <row r="2469" spans="1:5">
      <c r="A2469" t="s">
        <v>35927</v>
      </c>
      <c r="B2469" t="s">
        <v>13435</v>
      </c>
      <c r="C2469">
        <v>0</v>
      </c>
      <c r="D2469">
        <v>0.92874938628199999</v>
      </c>
      <c r="E2469">
        <v>1.17</v>
      </c>
    </row>
    <row r="2470" spans="1:5">
      <c r="A2470" t="s">
        <v>35927</v>
      </c>
      <c r="B2470" t="s">
        <v>13430</v>
      </c>
      <c r="C2470">
        <v>0.57469308593900004</v>
      </c>
      <c r="D2470">
        <v>0.92874938628199999</v>
      </c>
      <c r="E2470">
        <v>1.17</v>
      </c>
    </row>
    <row r="2471" spans="1:5">
      <c r="A2471" t="s">
        <v>35927</v>
      </c>
      <c r="B2471" t="s">
        <v>13433</v>
      </c>
      <c r="C2471">
        <f>0.286970637233</f>
        <v>0.28697063723299998</v>
      </c>
      <c r="D2471">
        <v>0.92874938628199999</v>
      </c>
      <c r="E2471">
        <v>1.17</v>
      </c>
    </row>
    <row r="2472" spans="1:5">
      <c r="A2472" t="s">
        <v>35927</v>
      </c>
      <c r="B2472" t="s">
        <v>13432</v>
      </c>
      <c r="C2472">
        <v>0</v>
      </c>
      <c r="D2472">
        <v>0.92874938628199999</v>
      </c>
      <c r="E2472">
        <v>1.17</v>
      </c>
    </row>
    <row r="2473" spans="1:5">
      <c r="A2473" t="s">
        <v>35927</v>
      </c>
      <c r="B2473" t="s">
        <v>13429</v>
      </c>
      <c r="C2473">
        <f>0.475339719551</f>
        <v>0.47533971955100002</v>
      </c>
      <c r="D2473">
        <v>0.92874938628199999</v>
      </c>
      <c r="E2473">
        <v>1.17</v>
      </c>
    </row>
    <row r="2474" spans="1:5">
      <c r="A2474" t="s">
        <v>35927</v>
      </c>
      <c r="B2474" t="s">
        <v>35928</v>
      </c>
      <c r="C2474">
        <v>0</v>
      </c>
      <c r="D2474">
        <v>0.92874938628199999</v>
      </c>
      <c r="E2474">
        <v>1.17</v>
      </c>
    </row>
    <row r="2475" spans="1:5">
      <c r="A2475" t="s">
        <v>35927</v>
      </c>
      <c r="B2475" t="s">
        <v>13434</v>
      </c>
      <c r="C2475">
        <v>0</v>
      </c>
      <c r="D2475">
        <v>0.92874938628199999</v>
      </c>
      <c r="E2475">
        <v>1.17</v>
      </c>
    </row>
    <row r="2476" spans="1:5">
      <c r="A2476" t="s">
        <v>35927</v>
      </c>
      <c r="B2476" t="s">
        <v>13431</v>
      </c>
      <c r="C2476">
        <v>0</v>
      </c>
      <c r="D2476">
        <v>0.92874938628199999</v>
      </c>
      <c r="E2476">
        <v>1.17</v>
      </c>
    </row>
    <row r="2477" spans="1:5">
      <c r="A2477" t="s">
        <v>35929</v>
      </c>
      <c r="B2477" t="s">
        <v>35930</v>
      </c>
      <c r="C2477">
        <f>0.238561423655</f>
        <v>0.23856142365499999</v>
      </c>
      <c r="D2477">
        <v>0.64448380480400003</v>
      </c>
      <c r="E2477">
        <v>1.014</v>
      </c>
    </row>
    <row r="2478" spans="1:5">
      <c r="A2478" t="s">
        <v>35929</v>
      </c>
      <c r="B2478" t="s">
        <v>35931</v>
      </c>
      <c r="C2478">
        <f>0.0429688834847</f>
        <v>4.2968883484700002E-2</v>
      </c>
      <c r="D2478">
        <v>0.64448380480400003</v>
      </c>
      <c r="E2478">
        <v>1.014</v>
      </c>
    </row>
    <row r="2479" spans="1:5">
      <c r="A2479" t="s">
        <v>35929</v>
      </c>
      <c r="B2479" t="s">
        <v>35932</v>
      </c>
      <c r="C2479">
        <f>0</f>
        <v>0</v>
      </c>
      <c r="D2479">
        <v>0.64448380480400003</v>
      </c>
      <c r="E2479">
        <v>1.014</v>
      </c>
    </row>
    <row r="2480" spans="1:5">
      <c r="A2480" t="s">
        <v>35933</v>
      </c>
      <c r="B2480" t="s">
        <v>35934</v>
      </c>
      <c r="C2480">
        <f>0.522864675936</f>
        <v>0.52286467593599995</v>
      </c>
      <c r="D2480">
        <v>0.81578510904500001</v>
      </c>
      <c r="E2480">
        <v>10.715999999999999</v>
      </c>
    </row>
    <row r="2481" spans="1:5">
      <c r="A2481" t="s">
        <v>35933</v>
      </c>
      <c r="B2481" t="s">
        <v>35935</v>
      </c>
      <c r="C2481">
        <v>0</v>
      </c>
      <c r="D2481">
        <v>0.81578510904500001</v>
      </c>
      <c r="E2481">
        <v>10.715999999999999</v>
      </c>
    </row>
    <row r="2482" spans="1:5">
      <c r="A2482" t="s">
        <v>35933</v>
      </c>
      <c r="B2482" t="s">
        <v>35936</v>
      </c>
      <c r="C2482">
        <v>2.7197644827599999E-2</v>
      </c>
      <c r="D2482">
        <v>0.81578510904500001</v>
      </c>
      <c r="E2482">
        <v>10.715999999999999</v>
      </c>
    </row>
    <row r="2483" spans="1:5">
      <c r="A2483" t="s">
        <v>35933</v>
      </c>
      <c r="B2483" t="s">
        <v>35937</v>
      </c>
      <c r="C2483">
        <f>0</f>
        <v>0</v>
      </c>
      <c r="D2483">
        <v>0.81578510904500001</v>
      </c>
      <c r="E2483">
        <v>10.715999999999999</v>
      </c>
    </row>
    <row r="2484" spans="1:5">
      <c r="A2484" t="s">
        <v>35933</v>
      </c>
      <c r="B2484" t="s">
        <v>35938</v>
      </c>
      <c r="C2484">
        <f>0</f>
        <v>0</v>
      </c>
      <c r="D2484">
        <v>0.81578510904500001</v>
      </c>
      <c r="E2484">
        <v>10.715999999999999</v>
      </c>
    </row>
    <row r="2485" spans="1:5">
      <c r="A2485" t="s">
        <v>35939</v>
      </c>
      <c r="B2485" t="s">
        <v>35940</v>
      </c>
      <c r="C2485">
        <v>6.3712106094899995E-2</v>
      </c>
      <c r="D2485">
        <v>0.99999005629100002</v>
      </c>
      <c r="E2485">
        <v>2.25</v>
      </c>
    </row>
    <row r="2486" spans="1:5">
      <c r="A2486" t="s">
        <v>35939</v>
      </c>
      <c r="B2486" t="s">
        <v>35941</v>
      </c>
      <c r="C2486">
        <v>0</v>
      </c>
      <c r="D2486">
        <v>0.99999005629100002</v>
      </c>
      <c r="E2486">
        <v>2.25</v>
      </c>
    </row>
    <row r="2487" spans="1:5">
      <c r="A2487" t="s">
        <v>35939</v>
      </c>
      <c r="B2487" t="s">
        <v>35942</v>
      </c>
      <c r="C2487">
        <f>0.585164893228</f>
        <v>0.58516489322800003</v>
      </c>
      <c r="D2487">
        <v>0.99999005629100002</v>
      </c>
      <c r="E2487">
        <v>2.25</v>
      </c>
    </row>
    <row r="2488" spans="1:5">
      <c r="A2488" t="s">
        <v>35939</v>
      </c>
      <c r="B2488" t="s">
        <v>35943</v>
      </c>
      <c r="C2488">
        <v>0</v>
      </c>
      <c r="D2488">
        <v>0.99999005629100002</v>
      </c>
      <c r="E2488">
        <v>2.25</v>
      </c>
    </row>
    <row r="2489" spans="1:5">
      <c r="A2489" t="s">
        <v>35939</v>
      </c>
      <c r="B2489" t="s">
        <v>35944</v>
      </c>
      <c r="C2489">
        <f>0.060892126</f>
        <v>6.0892125999999998E-2</v>
      </c>
      <c r="D2489">
        <v>0.99999005629100002</v>
      </c>
      <c r="E2489">
        <v>2.25</v>
      </c>
    </row>
    <row r="2490" spans="1:5">
      <c r="A2490" t="s">
        <v>35939</v>
      </c>
      <c r="B2490" t="s">
        <v>35945</v>
      </c>
      <c r="C2490">
        <v>0</v>
      </c>
      <c r="D2490">
        <v>0.99999005629100002</v>
      </c>
      <c r="E2490">
        <v>2.25</v>
      </c>
    </row>
    <row r="2491" spans="1:5">
      <c r="A2491" t="s">
        <v>35939</v>
      </c>
      <c r="B2491" t="s">
        <v>35946</v>
      </c>
      <c r="C2491">
        <v>2.5807021192E-3</v>
      </c>
      <c r="D2491">
        <v>0.99999005629100002</v>
      </c>
      <c r="E2491">
        <v>2.25</v>
      </c>
    </row>
    <row r="2492" spans="1:5">
      <c r="A2492" t="s">
        <v>35939</v>
      </c>
      <c r="B2492" t="s">
        <v>35947</v>
      </c>
      <c r="C2492">
        <f>0.0779879591568</f>
        <v>7.7987959156799999E-2</v>
      </c>
      <c r="D2492">
        <v>0.99999005629100002</v>
      </c>
      <c r="E2492">
        <v>2.25</v>
      </c>
    </row>
    <row r="2493" spans="1:5">
      <c r="A2493" t="s">
        <v>35939</v>
      </c>
      <c r="B2493" t="s">
        <v>35948</v>
      </c>
      <c r="C2493">
        <v>0.42815145394800003</v>
      </c>
      <c r="D2493">
        <v>0.99999005629100002</v>
      </c>
      <c r="E2493">
        <v>2.25</v>
      </c>
    </row>
    <row r="2494" spans="1:5">
      <c r="A2494" t="s">
        <v>35939</v>
      </c>
      <c r="B2494" t="s">
        <v>35949</v>
      </c>
      <c r="C2494">
        <f>0.577878091429</f>
        <v>0.57787809142900004</v>
      </c>
      <c r="D2494">
        <v>0.99999005629100002</v>
      </c>
      <c r="E2494">
        <v>2.25</v>
      </c>
    </row>
    <row r="2495" spans="1:5">
      <c r="A2495" t="s">
        <v>35939</v>
      </c>
      <c r="B2495" t="s">
        <v>35950</v>
      </c>
      <c r="C2495">
        <f>0.0172109009992</f>
        <v>1.7210900999200002E-2</v>
      </c>
      <c r="D2495">
        <v>0.99999005629100002</v>
      </c>
      <c r="E2495">
        <v>2.25</v>
      </c>
    </row>
    <row r="2496" spans="1:5">
      <c r="A2496" t="s">
        <v>35951</v>
      </c>
      <c r="B2496" t="s">
        <v>5052</v>
      </c>
      <c r="C2496">
        <f>0</f>
        <v>0</v>
      </c>
      <c r="D2496" t="s">
        <v>106</v>
      </c>
      <c r="E2496">
        <v>0</v>
      </c>
    </row>
    <row r="2497" spans="1:5">
      <c r="A2497" t="s">
        <v>35951</v>
      </c>
      <c r="B2497" t="s">
        <v>5055</v>
      </c>
      <c r="C2497">
        <v>0</v>
      </c>
      <c r="D2497" t="s">
        <v>106</v>
      </c>
      <c r="E2497">
        <v>0</v>
      </c>
    </row>
    <row r="2498" spans="1:5">
      <c r="A2498" t="s">
        <v>35951</v>
      </c>
      <c r="B2498" t="s">
        <v>5054</v>
      </c>
      <c r="C2498">
        <f>0</f>
        <v>0</v>
      </c>
      <c r="D2498" t="s">
        <v>106</v>
      </c>
      <c r="E2498">
        <v>0</v>
      </c>
    </row>
    <row r="2499" spans="1:5">
      <c r="A2499" t="s">
        <v>35951</v>
      </c>
      <c r="B2499" t="s">
        <v>5053</v>
      </c>
      <c r="C2499">
        <v>0</v>
      </c>
      <c r="D2499" t="s">
        <v>106</v>
      </c>
      <c r="E2499">
        <v>0</v>
      </c>
    </row>
    <row r="2500" spans="1:5">
      <c r="A2500" t="s">
        <v>35952</v>
      </c>
      <c r="B2500" t="s">
        <v>29797</v>
      </c>
      <c r="C2500">
        <f>0</f>
        <v>0</v>
      </c>
      <c r="D2500" t="s">
        <v>106</v>
      </c>
      <c r="E2500">
        <v>0.87</v>
      </c>
    </row>
    <row r="2501" spans="1:5">
      <c r="A2501" t="s">
        <v>35952</v>
      </c>
      <c r="B2501" t="s">
        <v>29798</v>
      </c>
      <c r="C2501">
        <v>0</v>
      </c>
      <c r="D2501" t="s">
        <v>106</v>
      </c>
      <c r="E2501">
        <v>0.87</v>
      </c>
    </row>
    <row r="2502" spans="1:5">
      <c r="A2502" t="s">
        <v>35953</v>
      </c>
      <c r="B2502" t="s">
        <v>35954</v>
      </c>
      <c r="C2502">
        <v>0</v>
      </c>
      <c r="D2502" t="s">
        <v>106</v>
      </c>
      <c r="E2502">
        <v>11.04</v>
      </c>
    </row>
    <row r="2503" spans="1:5">
      <c r="A2503" t="s">
        <v>35953</v>
      </c>
      <c r="B2503" t="s">
        <v>35955</v>
      </c>
      <c r="C2503">
        <f>0</f>
        <v>0</v>
      </c>
      <c r="D2503" t="s">
        <v>106</v>
      </c>
      <c r="E2503">
        <v>11.04</v>
      </c>
    </row>
    <row r="2504" spans="1:5">
      <c r="A2504" t="s">
        <v>35953</v>
      </c>
      <c r="B2504" t="s">
        <v>35956</v>
      </c>
      <c r="C2504">
        <v>0</v>
      </c>
      <c r="D2504" t="s">
        <v>106</v>
      </c>
      <c r="E2504">
        <v>11.04</v>
      </c>
    </row>
    <row r="2505" spans="1:5">
      <c r="A2505" t="s">
        <v>35953</v>
      </c>
      <c r="B2505" t="s">
        <v>35957</v>
      </c>
      <c r="C2505">
        <v>0</v>
      </c>
      <c r="D2505" t="s">
        <v>106</v>
      </c>
      <c r="E2505">
        <v>11.04</v>
      </c>
    </row>
    <row r="2506" spans="1:5">
      <c r="A2506" t="s">
        <v>35953</v>
      </c>
      <c r="B2506" t="s">
        <v>35958</v>
      </c>
      <c r="C2506">
        <v>0</v>
      </c>
      <c r="D2506" t="s">
        <v>106</v>
      </c>
      <c r="E2506">
        <v>11.04</v>
      </c>
    </row>
    <row r="2507" spans="1:5">
      <c r="A2507" t="s">
        <v>35953</v>
      </c>
      <c r="B2507" t="s">
        <v>35959</v>
      </c>
      <c r="C2507">
        <v>0</v>
      </c>
      <c r="D2507" t="s">
        <v>106</v>
      </c>
      <c r="E2507">
        <v>11.04</v>
      </c>
    </row>
    <row r="2508" spans="1:5">
      <c r="A2508" t="s">
        <v>35960</v>
      </c>
      <c r="B2508" t="s">
        <v>19784</v>
      </c>
      <c r="C2508">
        <v>0</v>
      </c>
      <c r="D2508">
        <v>0.73746866608100003</v>
      </c>
      <c r="E2508">
        <v>3.3180000000000001</v>
      </c>
    </row>
    <row r="2509" spans="1:5">
      <c r="A2509" t="s">
        <v>35960</v>
      </c>
      <c r="B2509" t="s">
        <v>19786</v>
      </c>
      <c r="C2509">
        <v>0.63505866608100003</v>
      </c>
      <c r="D2509">
        <v>0.73746866608100003</v>
      </c>
      <c r="E2509">
        <v>3.3180000000000001</v>
      </c>
    </row>
    <row r="2510" spans="1:5">
      <c r="A2510" t="s">
        <v>35961</v>
      </c>
      <c r="B2510" t="s">
        <v>2722</v>
      </c>
      <c r="C2510">
        <v>0.26064062320600001</v>
      </c>
      <c r="D2510">
        <v>0.49105062320600001</v>
      </c>
      <c r="E2510">
        <v>6.5519999999999996</v>
      </c>
    </row>
    <row r="2511" spans="1:5">
      <c r="A2511" t="s">
        <v>35961</v>
      </c>
      <c r="B2511" t="s">
        <v>2719</v>
      </c>
      <c r="C2511">
        <v>0</v>
      </c>
      <c r="D2511">
        <v>0.49105062320600001</v>
      </c>
      <c r="E2511">
        <v>6.5519999999999996</v>
      </c>
    </row>
    <row r="2512" spans="1:5">
      <c r="A2512" t="s">
        <v>35961</v>
      </c>
      <c r="B2512" t="s">
        <v>2721</v>
      </c>
      <c r="C2512">
        <v>0</v>
      </c>
      <c r="D2512">
        <v>0.49105062320600001</v>
      </c>
      <c r="E2512">
        <v>6.5519999999999996</v>
      </c>
    </row>
    <row r="2513" spans="1:5">
      <c r="A2513" t="s">
        <v>35961</v>
      </c>
      <c r="B2513" t="s">
        <v>2725</v>
      </c>
      <c r="C2513">
        <v>0</v>
      </c>
      <c r="D2513">
        <v>0.49105062320600001</v>
      </c>
      <c r="E2513">
        <v>6.5519999999999996</v>
      </c>
    </row>
    <row r="2514" spans="1:5">
      <c r="A2514" t="s">
        <v>35961</v>
      </c>
      <c r="B2514" t="s">
        <v>2726</v>
      </c>
      <c r="C2514">
        <v>0</v>
      </c>
      <c r="D2514">
        <v>0.49105062320600001</v>
      </c>
      <c r="E2514">
        <v>6.5519999999999996</v>
      </c>
    </row>
    <row r="2515" spans="1:5">
      <c r="A2515" t="s">
        <v>35961</v>
      </c>
      <c r="B2515" t="s">
        <v>2724</v>
      </c>
      <c r="C2515">
        <f>0</f>
        <v>0</v>
      </c>
      <c r="D2515">
        <v>0.49105062320600001</v>
      </c>
      <c r="E2515">
        <v>6.5519999999999996</v>
      </c>
    </row>
    <row r="2516" spans="1:5">
      <c r="A2516" t="s">
        <v>35961</v>
      </c>
      <c r="B2516" t="s">
        <v>2720</v>
      </c>
      <c r="C2516">
        <v>0</v>
      </c>
      <c r="D2516">
        <v>0.49105062320600001</v>
      </c>
      <c r="E2516">
        <v>6.5519999999999996</v>
      </c>
    </row>
    <row r="2517" spans="1:5">
      <c r="A2517" t="s">
        <v>35961</v>
      </c>
      <c r="B2517" t="s">
        <v>2723</v>
      </c>
      <c r="C2517">
        <v>0</v>
      </c>
      <c r="D2517">
        <v>0.49105062320600001</v>
      </c>
      <c r="E2517">
        <v>6.5519999999999996</v>
      </c>
    </row>
    <row r="2518" spans="1:5">
      <c r="A2518" t="s">
        <v>35962</v>
      </c>
      <c r="B2518" t="s">
        <v>17555</v>
      </c>
      <c r="C2518">
        <v>3.0506479774399999E-2</v>
      </c>
      <c r="D2518">
        <v>0.93546375675399995</v>
      </c>
      <c r="E2518">
        <v>8.4359999999999999</v>
      </c>
    </row>
    <row r="2519" spans="1:5">
      <c r="A2519" t="s">
        <v>35962</v>
      </c>
      <c r="B2519" t="s">
        <v>17556</v>
      </c>
      <c r="C2519">
        <v>0.513995389927</v>
      </c>
      <c r="D2519">
        <v>0.93546375675399995</v>
      </c>
      <c r="E2519">
        <v>8.4359999999999999</v>
      </c>
    </row>
    <row r="2520" spans="1:5">
      <c r="A2520" t="s">
        <v>35962</v>
      </c>
      <c r="B2520" t="s">
        <v>17558</v>
      </c>
      <c r="C2520">
        <f>0</f>
        <v>0</v>
      </c>
      <c r="D2520">
        <v>0.93546375675399995</v>
      </c>
      <c r="E2520">
        <v>8.4359999999999999</v>
      </c>
    </row>
    <row r="2521" spans="1:5">
      <c r="A2521" t="s">
        <v>35962</v>
      </c>
      <c r="B2521" t="s">
        <v>17564</v>
      </c>
      <c r="C2521">
        <v>0.29774419660200002</v>
      </c>
      <c r="D2521">
        <v>0.93546375675399995</v>
      </c>
      <c r="E2521">
        <v>8.4359999999999999</v>
      </c>
    </row>
    <row r="2522" spans="1:5">
      <c r="A2522" t="s">
        <v>35962</v>
      </c>
      <c r="B2522" t="s">
        <v>17562</v>
      </c>
      <c r="C2522">
        <f>0.522702406169</f>
        <v>0.52270240616899999</v>
      </c>
      <c r="D2522">
        <v>0.93546375675399995</v>
      </c>
      <c r="E2522">
        <v>8.4359999999999999</v>
      </c>
    </row>
    <row r="2523" spans="1:5">
      <c r="A2523" t="s">
        <v>35962</v>
      </c>
      <c r="B2523" t="s">
        <v>17557</v>
      </c>
      <c r="C2523">
        <f>0</f>
        <v>0</v>
      </c>
      <c r="D2523">
        <v>0.93546375675399995</v>
      </c>
      <c r="E2523">
        <v>8.4359999999999999</v>
      </c>
    </row>
    <row r="2524" spans="1:5">
      <c r="A2524" t="s">
        <v>35962</v>
      </c>
      <c r="B2524" t="s">
        <v>17559</v>
      </c>
      <c r="C2524">
        <f>0</f>
        <v>0</v>
      </c>
      <c r="D2524">
        <v>0.93546375675399995</v>
      </c>
      <c r="E2524">
        <v>8.4359999999999999</v>
      </c>
    </row>
    <row r="2525" spans="1:5">
      <c r="A2525" t="s">
        <v>35963</v>
      </c>
      <c r="B2525" t="s">
        <v>35964</v>
      </c>
      <c r="C2525">
        <v>0</v>
      </c>
      <c r="D2525" t="s">
        <v>106</v>
      </c>
      <c r="E2525">
        <v>13.452</v>
      </c>
    </row>
    <row r="2526" spans="1:5">
      <c r="A2526" t="s">
        <v>35963</v>
      </c>
      <c r="B2526" t="s">
        <v>35965</v>
      </c>
      <c r="C2526">
        <v>0</v>
      </c>
      <c r="D2526" t="s">
        <v>106</v>
      </c>
      <c r="E2526">
        <v>13.452</v>
      </c>
    </row>
    <row r="2527" spans="1:5">
      <c r="A2527" t="s">
        <v>35963</v>
      </c>
      <c r="B2527" t="s">
        <v>35966</v>
      </c>
      <c r="C2527">
        <v>0</v>
      </c>
      <c r="D2527" t="s">
        <v>106</v>
      </c>
      <c r="E2527">
        <v>13.452</v>
      </c>
    </row>
    <row r="2528" spans="1:5">
      <c r="A2528" t="s">
        <v>35963</v>
      </c>
      <c r="B2528" t="s">
        <v>35967</v>
      </c>
      <c r="C2528">
        <f>0</f>
        <v>0</v>
      </c>
      <c r="D2528" t="s">
        <v>106</v>
      </c>
      <c r="E2528">
        <v>13.452</v>
      </c>
    </row>
    <row r="2529" spans="1:5">
      <c r="A2529" t="s">
        <v>35968</v>
      </c>
      <c r="B2529" t="s">
        <v>16131</v>
      </c>
      <c r="C2529">
        <v>0</v>
      </c>
      <c r="D2529">
        <v>0.94671458718799995</v>
      </c>
      <c r="E2529">
        <v>23.754000000000001</v>
      </c>
    </row>
    <row r="2530" spans="1:5">
      <c r="A2530" t="s">
        <v>35968</v>
      </c>
      <c r="B2530" t="s">
        <v>16134</v>
      </c>
      <c r="C2530">
        <f>0.200599100631</f>
        <v>0.200599100631</v>
      </c>
      <c r="D2530">
        <v>0.94671458718799995</v>
      </c>
      <c r="E2530">
        <v>23.754000000000001</v>
      </c>
    </row>
    <row r="2531" spans="1:5">
      <c r="A2531" t="s">
        <v>35968</v>
      </c>
      <c r="B2531" t="s">
        <v>16133</v>
      </c>
      <c r="C2531">
        <v>0.83875822837699998</v>
      </c>
      <c r="D2531">
        <v>0.94671458718799995</v>
      </c>
      <c r="E2531">
        <v>23.754000000000001</v>
      </c>
    </row>
    <row r="2532" spans="1:5">
      <c r="A2532" t="s">
        <v>35969</v>
      </c>
      <c r="B2532" t="s">
        <v>35970</v>
      </c>
      <c r="C2532">
        <f>0</f>
        <v>0</v>
      </c>
      <c r="D2532">
        <v>0.68963825498300002</v>
      </c>
      <c r="E2532">
        <v>0</v>
      </c>
    </row>
    <row r="2533" spans="1:5">
      <c r="A2533" t="s">
        <v>35969</v>
      </c>
      <c r="B2533" t="s">
        <v>35971</v>
      </c>
      <c r="C2533">
        <f>0</f>
        <v>0</v>
      </c>
      <c r="D2533">
        <v>0.68963825498300002</v>
      </c>
      <c r="E2533">
        <v>0</v>
      </c>
    </row>
    <row r="2534" spans="1:5">
      <c r="A2534" t="s">
        <v>35969</v>
      </c>
      <c r="B2534" t="s">
        <v>35972</v>
      </c>
      <c r="C2534">
        <v>0</v>
      </c>
      <c r="D2534">
        <v>0.68963825498300002</v>
      </c>
      <c r="E2534">
        <v>0</v>
      </c>
    </row>
    <row r="2535" spans="1:5">
      <c r="A2535" t="s">
        <v>35969</v>
      </c>
      <c r="B2535" t="s">
        <v>35973</v>
      </c>
      <c r="C2535">
        <v>0.45922825498300002</v>
      </c>
      <c r="D2535">
        <v>0.68963825498300002</v>
      </c>
      <c r="E2535">
        <v>0</v>
      </c>
    </row>
    <row r="2536" spans="1:5">
      <c r="A2536" t="s">
        <v>35974</v>
      </c>
      <c r="B2536" t="s">
        <v>35975</v>
      </c>
      <c r="C2536">
        <v>0.166850265045</v>
      </c>
      <c r="D2536">
        <v>0.57646026504500003</v>
      </c>
      <c r="E2536">
        <v>24</v>
      </c>
    </row>
    <row r="2537" spans="1:5">
      <c r="A2537" t="s">
        <v>35974</v>
      </c>
      <c r="B2537" t="s">
        <v>35976</v>
      </c>
      <c r="C2537">
        <v>0</v>
      </c>
      <c r="D2537">
        <v>0.57646026504500003</v>
      </c>
      <c r="E2537">
        <v>24</v>
      </c>
    </row>
    <row r="2538" spans="1:5">
      <c r="A2538" t="s">
        <v>35977</v>
      </c>
      <c r="B2538" t="s">
        <v>35978</v>
      </c>
      <c r="C2538">
        <v>0</v>
      </c>
      <c r="D2538">
        <v>0.70276702911699995</v>
      </c>
      <c r="E2538">
        <v>2.25</v>
      </c>
    </row>
    <row r="2539" spans="1:5">
      <c r="A2539" t="s">
        <v>35977</v>
      </c>
      <c r="B2539" t="s">
        <v>35979</v>
      </c>
      <c r="C2539">
        <v>0.43235702911700002</v>
      </c>
      <c r="D2539">
        <v>0.70276702911699995</v>
      </c>
      <c r="E2539">
        <v>2.25</v>
      </c>
    </row>
    <row r="2540" spans="1:5">
      <c r="A2540" t="s">
        <v>35977</v>
      </c>
      <c r="B2540" t="s">
        <v>35980</v>
      </c>
      <c r="C2540">
        <f>0</f>
        <v>0</v>
      </c>
      <c r="D2540">
        <v>0.70276702911699995</v>
      </c>
      <c r="E2540">
        <v>2.25</v>
      </c>
    </row>
    <row r="2541" spans="1:5">
      <c r="A2541" t="s">
        <v>35977</v>
      </c>
      <c r="B2541" t="s">
        <v>35981</v>
      </c>
      <c r="C2541">
        <f>0</f>
        <v>0</v>
      </c>
      <c r="D2541">
        <v>0.70276702911699995</v>
      </c>
      <c r="E2541">
        <v>2.25</v>
      </c>
    </row>
    <row r="2542" spans="1:5">
      <c r="A2542" t="s">
        <v>35982</v>
      </c>
      <c r="B2542" t="s">
        <v>35983</v>
      </c>
      <c r="C2542">
        <f>0</f>
        <v>0</v>
      </c>
      <c r="D2542" t="s">
        <v>106</v>
      </c>
      <c r="E2542">
        <v>0</v>
      </c>
    </row>
    <row r="2543" spans="1:5">
      <c r="A2543" t="s">
        <v>35982</v>
      </c>
      <c r="B2543" t="s">
        <v>35984</v>
      </c>
      <c r="C2543">
        <f>0</f>
        <v>0</v>
      </c>
      <c r="D2543" t="s">
        <v>106</v>
      </c>
      <c r="E2543">
        <v>0</v>
      </c>
    </row>
    <row r="2544" spans="1:5">
      <c r="A2544" t="s">
        <v>35982</v>
      </c>
      <c r="B2544" t="s">
        <v>35985</v>
      </c>
      <c r="C2544">
        <f>0</f>
        <v>0</v>
      </c>
      <c r="D2544" t="s">
        <v>106</v>
      </c>
      <c r="E2544">
        <v>0</v>
      </c>
    </row>
    <row r="2545" spans="1:5">
      <c r="A2545" t="s">
        <v>35982</v>
      </c>
      <c r="B2545" t="s">
        <v>35986</v>
      </c>
      <c r="C2545">
        <f>0</f>
        <v>0</v>
      </c>
      <c r="D2545" t="s">
        <v>106</v>
      </c>
      <c r="E2545">
        <v>0</v>
      </c>
    </row>
    <row r="2546" spans="1:5">
      <c r="A2546" t="s">
        <v>35982</v>
      </c>
      <c r="B2546" t="s">
        <v>35987</v>
      </c>
      <c r="C2546">
        <f>0</f>
        <v>0</v>
      </c>
      <c r="D2546" t="s">
        <v>106</v>
      </c>
      <c r="E2546">
        <v>0</v>
      </c>
    </row>
    <row r="2547" spans="1:5">
      <c r="A2547" t="s">
        <v>35988</v>
      </c>
      <c r="B2547" t="s">
        <v>5339</v>
      </c>
      <c r="C2547">
        <v>0</v>
      </c>
      <c r="D2547">
        <v>0.80100258579500005</v>
      </c>
      <c r="E2547">
        <v>24</v>
      </c>
    </row>
    <row r="2548" spans="1:5">
      <c r="A2548" t="s">
        <v>35988</v>
      </c>
      <c r="B2548" t="s">
        <v>5342</v>
      </c>
      <c r="C2548">
        <v>0.58053598017200003</v>
      </c>
      <c r="D2548">
        <v>0.80100258579500005</v>
      </c>
      <c r="E2548">
        <v>24</v>
      </c>
    </row>
    <row r="2549" spans="1:5">
      <c r="A2549" t="s">
        <v>35988</v>
      </c>
      <c r="B2549" t="s">
        <v>5340</v>
      </c>
      <c r="C2549">
        <v>0.21559745409</v>
      </c>
      <c r="D2549">
        <v>0.80100258579500005</v>
      </c>
      <c r="E2549">
        <v>24</v>
      </c>
    </row>
    <row r="2550" spans="1:5">
      <c r="A2550" t="s">
        <v>35989</v>
      </c>
      <c r="B2550" t="s">
        <v>25712</v>
      </c>
      <c r="C2550">
        <f>0.518087750562</f>
        <v>0.51808775056199996</v>
      </c>
      <c r="D2550">
        <v>0.74849775056199996</v>
      </c>
      <c r="E2550">
        <v>0</v>
      </c>
    </row>
    <row r="2551" spans="1:5">
      <c r="A2551" t="s">
        <v>35989</v>
      </c>
      <c r="B2551" t="s">
        <v>25713</v>
      </c>
      <c r="C2551">
        <v>0</v>
      </c>
      <c r="D2551">
        <v>0.74849775056199996</v>
      </c>
      <c r="E2551">
        <v>0</v>
      </c>
    </row>
    <row r="2552" spans="1:5">
      <c r="A2552" t="s">
        <v>35989</v>
      </c>
      <c r="B2552" t="s">
        <v>25714</v>
      </c>
      <c r="C2552">
        <v>0</v>
      </c>
      <c r="D2552">
        <v>0.74849775056199996</v>
      </c>
      <c r="E2552">
        <v>0</v>
      </c>
    </row>
    <row r="2553" spans="1:5">
      <c r="A2553" t="s">
        <v>35990</v>
      </c>
      <c r="B2553" t="s">
        <v>11981</v>
      </c>
      <c r="C2553">
        <f>0</f>
        <v>0</v>
      </c>
      <c r="D2553" t="s">
        <v>106</v>
      </c>
      <c r="E2553">
        <v>0.10199999999999999</v>
      </c>
    </row>
    <row r="2554" spans="1:5">
      <c r="A2554" t="s">
        <v>35990</v>
      </c>
      <c r="B2554" t="s">
        <v>11982</v>
      </c>
      <c r="C2554">
        <v>0</v>
      </c>
      <c r="D2554" t="s">
        <v>106</v>
      </c>
      <c r="E2554">
        <v>0.10199999999999999</v>
      </c>
    </row>
    <row r="2555" spans="1:5">
      <c r="A2555" t="s">
        <v>35991</v>
      </c>
      <c r="B2555" t="s">
        <v>21992</v>
      </c>
      <c r="C2555">
        <v>0</v>
      </c>
      <c r="D2555">
        <v>0.99753579696000005</v>
      </c>
      <c r="E2555">
        <v>1.278</v>
      </c>
    </row>
    <row r="2556" spans="1:5">
      <c r="A2556" t="s">
        <v>35991</v>
      </c>
      <c r="B2556" t="s">
        <v>21994</v>
      </c>
      <c r="C2556">
        <v>0.57124091437699998</v>
      </c>
      <c r="D2556">
        <v>0.99753579696000005</v>
      </c>
      <c r="E2556">
        <v>1.278</v>
      </c>
    </row>
    <row r="2557" spans="1:5">
      <c r="A2557" t="s">
        <v>35991</v>
      </c>
      <c r="B2557" t="s">
        <v>22000</v>
      </c>
      <c r="C2557">
        <v>3.01793869644E-2</v>
      </c>
      <c r="D2557">
        <v>0.99753579696000005</v>
      </c>
      <c r="E2557">
        <v>1.278</v>
      </c>
    </row>
    <row r="2558" spans="1:5">
      <c r="A2558" t="s">
        <v>35991</v>
      </c>
      <c r="B2558" t="s">
        <v>22002</v>
      </c>
      <c r="C2558">
        <v>0.117294161184</v>
      </c>
      <c r="D2558">
        <v>0.99753579696000005</v>
      </c>
      <c r="E2558">
        <v>1.278</v>
      </c>
    </row>
    <row r="2559" spans="1:5">
      <c r="A2559" t="s">
        <v>35991</v>
      </c>
      <c r="B2559" t="s">
        <v>22003</v>
      </c>
      <c r="C2559">
        <f>0.774432647675</f>
        <v>0.77443264767499997</v>
      </c>
      <c r="D2559">
        <v>0.99753579696000005</v>
      </c>
      <c r="E2559">
        <v>1.278</v>
      </c>
    </row>
    <row r="2560" spans="1:5">
      <c r="A2560" t="s">
        <v>35991</v>
      </c>
      <c r="B2560" t="s">
        <v>21999</v>
      </c>
      <c r="C2560">
        <f>0.931565328917</f>
        <v>0.93156532891699995</v>
      </c>
      <c r="D2560">
        <v>0.99753579696000005</v>
      </c>
      <c r="E2560">
        <v>1.278</v>
      </c>
    </row>
    <row r="2561" spans="1:5">
      <c r="A2561" t="s">
        <v>35991</v>
      </c>
      <c r="B2561" t="s">
        <v>21998</v>
      </c>
      <c r="C2561">
        <f>0</f>
        <v>0</v>
      </c>
      <c r="D2561">
        <v>0.99753579696000005</v>
      </c>
      <c r="E2561">
        <v>1.278</v>
      </c>
    </row>
    <row r="2562" spans="1:5">
      <c r="A2562" t="s">
        <v>35991</v>
      </c>
      <c r="B2562" t="s">
        <v>21997</v>
      </c>
      <c r="C2562">
        <f>0.76517362692</f>
        <v>0.76517362692000002</v>
      </c>
      <c r="D2562">
        <v>0.99753579696000005</v>
      </c>
      <c r="E2562">
        <v>1.278</v>
      </c>
    </row>
    <row r="2563" spans="1:5">
      <c r="A2563" t="s">
        <v>35991</v>
      </c>
      <c r="B2563" t="s">
        <v>21996</v>
      </c>
      <c r="C2563">
        <f>0.141367337318</f>
        <v>0.141367337318</v>
      </c>
      <c r="D2563">
        <v>0.99753579696000005</v>
      </c>
      <c r="E2563">
        <v>1.278</v>
      </c>
    </row>
    <row r="2564" spans="1:5">
      <c r="A2564" t="s">
        <v>35992</v>
      </c>
      <c r="B2564" t="s">
        <v>1133</v>
      </c>
      <c r="C2564">
        <v>0.16329108585999999</v>
      </c>
      <c r="D2564">
        <v>0.47690108586000002</v>
      </c>
      <c r="E2564">
        <v>24</v>
      </c>
    </row>
    <row r="2565" spans="1:5">
      <c r="A2565" t="s">
        <v>35992</v>
      </c>
      <c r="B2565" t="s">
        <v>1134</v>
      </c>
      <c r="C2565">
        <v>0</v>
      </c>
      <c r="D2565">
        <v>0.47690108586000002</v>
      </c>
      <c r="E2565">
        <v>24</v>
      </c>
    </row>
    <row r="2566" spans="1:5">
      <c r="A2566" t="s">
        <v>35993</v>
      </c>
      <c r="B2566" t="s">
        <v>35994</v>
      </c>
      <c r="C2566">
        <f>0</f>
        <v>0</v>
      </c>
      <c r="D2566">
        <v>0.95404611675399997</v>
      </c>
      <c r="E2566">
        <v>5.3520000000000003</v>
      </c>
    </row>
    <row r="2567" spans="1:5">
      <c r="A2567" t="s">
        <v>35993</v>
      </c>
      <c r="B2567" t="s">
        <v>35995</v>
      </c>
      <c r="C2567">
        <f>0.064775075273</f>
        <v>6.4775075272999999E-2</v>
      </c>
      <c r="D2567">
        <v>0.95404611675399997</v>
      </c>
      <c r="E2567">
        <v>5.3520000000000003</v>
      </c>
    </row>
    <row r="2568" spans="1:5">
      <c r="A2568" t="s">
        <v>35993</v>
      </c>
      <c r="B2568" t="s">
        <v>35996</v>
      </c>
      <c r="C2568">
        <f>0</f>
        <v>0</v>
      </c>
      <c r="D2568">
        <v>0.95404611675399997</v>
      </c>
      <c r="E2568">
        <v>5.3520000000000003</v>
      </c>
    </row>
    <row r="2569" spans="1:5">
      <c r="A2569" t="s">
        <v>35993</v>
      </c>
      <c r="B2569" t="s">
        <v>35997</v>
      </c>
      <c r="C2569">
        <f>0</f>
        <v>0</v>
      </c>
      <c r="D2569">
        <v>0.95404611675399997</v>
      </c>
      <c r="E2569">
        <v>5.3520000000000003</v>
      </c>
    </row>
    <row r="2570" spans="1:5">
      <c r="A2570" t="s">
        <v>35993</v>
      </c>
      <c r="B2570" t="s">
        <v>35998</v>
      </c>
      <c r="C2570">
        <v>0</v>
      </c>
      <c r="D2570">
        <v>0.95404611675399997</v>
      </c>
      <c r="E2570">
        <v>5.3520000000000003</v>
      </c>
    </row>
    <row r="2571" spans="1:5">
      <c r="A2571" t="s">
        <v>35993</v>
      </c>
      <c r="B2571" t="s">
        <v>35999</v>
      </c>
      <c r="C2571">
        <v>0</v>
      </c>
      <c r="D2571">
        <v>0.95404611675399997</v>
      </c>
      <c r="E2571">
        <v>5.3520000000000003</v>
      </c>
    </row>
    <row r="2572" spans="1:5">
      <c r="A2572" t="s">
        <v>35993</v>
      </c>
      <c r="B2572" t="s">
        <v>36000</v>
      </c>
      <c r="C2572">
        <v>0</v>
      </c>
      <c r="D2572">
        <v>0.95404611675399997</v>
      </c>
      <c r="E2572">
        <v>5.3520000000000003</v>
      </c>
    </row>
    <row r="2573" spans="1:5">
      <c r="A2573" t="s">
        <v>35993</v>
      </c>
      <c r="B2573" t="s">
        <v>36001</v>
      </c>
      <c r="C2573">
        <f>0.160163144675</f>
        <v>0.16016314467500001</v>
      </c>
      <c r="D2573">
        <v>0.95404611675399997</v>
      </c>
      <c r="E2573">
        <v>5.3520000000000003</v>
      </c>
    </row>
    <row r="2574" spans="1:5">
      <c r="A2574" t="s">
        <v>35993</v>
      </c>
      <c r="B2574" t="s">
        <v>36002</v>
      </c>
      <c r="C2574">
        <f>0</f>
        <v>0</v>
      </c>
      <c r="D2574">
        <v>0.95404611675399997</v>
      </c>
      <c r="E2574">
        <v>5.3520000000000003</v>
      </c>
    </row>
    <row r="2575" spans="1:5">
      <c r="A2575" t="s">
        <v>35993</v>
      </c>
      <c r="B2575" t="s">
        <v>36003</v>
      </c>
      <c r="C2575">
        <f>0.382882445954</f>
        <v>0.38288244595400001</v>
      </c>
      <c r="D2575">
        <v>0.95404611675399997</v>
      </c>
      <c r="E2575">
        <v>5.3520000000000003</v>
      </c>
    </row>
    <row r="2576" spans="1:5">
      <c r="A2576" t="s">
        <v>35993</v>
      </c>
      <c r="B2576" t="s">
        <v>36004</v>
      </c>
      <c r="C2576">
        <v>0</v>
      </c>
      <c r="D2576">
        <v>0.95404611675399997</v>
      </c>
      <c r="E2576">
        <v>5.3520000000000003</v>
      </c>
    </row>
    <row r="2577" spans="1:5">
      <c r="A2577" t="s">
        <v>35993</v>
      </c>
      <c r="B2577" t="s">
        <v>36005</v>
      </c>
      <c r="C2577">
        <v>0</v>
      </c>
      <c r="D2577">
        <v>0.95404611675399997</v>
      </c>
      <c r="E2577">
        <v>5.3520000000000003</v>
      </c>
    </row>
    <row r="2578" spans="1:5">
      <c r="A2578" t="s">
        <v>35993</v>
      </c>
      <c r="B2578" t="s">
        <v>36006</v>
      </c>
      <c r="C2578">
        <f>0.538473038283</f>
        <v>0.53847303828299997</v>
      </c>
      <c r="D2578">
        <v>0.95404611675399997</v>
      </c>
      <c r="E2578">
        <v>5.3520000000000003</v>
      </c>
    </row>
    <row r="2579" spans="1:5">
      <c r="A2579" t="s">
        <v>35993</v>
      </c>
      <c r="B2579" t="s">
        <v>36007</v>
      </c>
      <c r="C2579">
        <f>0</f>
        <v>0</v>
      </c>
      <c r="D2579">
        <v>0.95404611675399997</v>
      </c>
      <c r="E2579">
        <v>5.3520000000000003</v>
      </c>
    </row>
    <row r="2580" spans="1:5">
      <c r="A2580" t="s">
        <v>35993</v>
      </c>
      <c r="B2580" t="s">
        <v>36008</v>
      </c>
      <c r="C2580">
        <f>0</f>
        <v>0</v>
      </c>
      <c r="D2580">
        <v>0.95404611675399997</v>
      </c>
      <c r="E2580">
        <v>5.3520000000000003</v>
      </c>
    </row>
    <row r="2581" spans="1:5">
      <c r="A2581" t="s">
        <v>36009</v>
      </c>
      <c r="B2581" t="s">
        <v>36010</v>
      </c>
      <c r="C2581">
        <v>0.24669567417400001</v>
      </c>
      <c r="D2581">
        <v>0.85633077644599997</v>
      </c>
      <c r="E2581">
        <v>6.8040000000000003</v>
      </c>
    </row>
    <row r="2582" spans="1:5">
      <c r="A2582" t="s">
        <v>36009</v>
      </c>
      <c r="B2582" t="s">
        <v>36011</v>
      </c>
      <c r="C2582">
        <f>0</f>
        <v>0</v>
      </c>
      <c r="D2582">
        <v>0.85633077644599997</v>
      </c>
      <c r="E2582">
        <v>6.8040000000000003</v>
      </c>
    </row>
    <row r="2583" spans="1:5">
      <c r="A2583" t="s">
        <v>36009</v>
      </c>
      <c r="B2583" t="s">
        <v>36012</v>
      </c>
      <c r="C2583">
        <v>0</v>
      </c>
      <c r="D2583">
        <v>0.85633077644599997</v>
      </c>
      <c r="E2583">
        <v>6.8040000000000003</v>
      </c>
    </row>
    <row r="2584" spans="1:5">
      <c r="A2584" t="s">
        <v>36009</v>
      </c>
      <c r="B2584" t="s">
        <v>36013</v>
      </c>
      <c r="C2584">
        <f>0.516689506803</f>
        <v>0.51668950680299996</v>
      </c>
      <c r="D2584">
        <v>0.85633077644599997</v>
      </c>
      <c r="E2584">
        <v>6.8040000000000003</v>
      </c>
    </row>
    <row r="2585" spans="1:5">
      <c r="A2585" t="s">
        <v>36014</v>
      </c>
      <c r="B2585" t="s">
        <v>11390</v>
      </c>
      <c r="C2585">
        <v>0.59812119409300002</v>
      </c>
      <c r="D2585">
        <v>0.98378731637299999</v>
      </c>
      <c r="E2585">
        <v>11.874000000000001</v>
      </c>
    </row>
    <row r="2586" spans="1:5">
      <c r="A2586" t="s">
        <v>36014</v>
      </c>
      <c r="B2586" t="s">
        <v>11386</v>
      </c>
      <c r="C2586">
        <v>0.42958761055400002</v>
      </c>
      <c r="D2586">
        <v>0.98378731637299999</v>
      </c>
      <c r="E2586">
        <v>11.874000000000001</v>
      </c>
    </row>
    <row r="2587" spans="1:5">
      <c r="A2587" t="s">
        <v>36014</v>
      </c>
      <c r="B2587" t="s">
        <v>11395</v>
      </c>
      <c r="C2587">
        <v>0.633943031032</v>
      </c>
      <c r="D2587">
        <v>0.98378731637299999</v>
      </c>
      <c r="E2587">
        <v>11.874000000000001</v>
      </c>
    </row>
    <row r="2588" spans="1:5">
      <c r="A2588" t="s">
        <v>36014</v>
      </c>
      <c r="B2588" t="s">
        <v>11393</v>
      </c>
      <c r="C2588">
        <f>0.655036413278</f>
        <v>0.655036413278</v>
      </c>
      <c r="D2588">
        <v>0.98378731637299999</v>
      </c>
      <c r="E2588">
        <v>11.874000000000001</v>
      </c>
    </row>
    <row r="2589" spans="1:5">
      <c r="A2589" t="s">
        <v>36014</v>
      </c>
      <c r="B2589" t="s">
        <v>11391</v>
      </c>
      <c r="C2589">
        <f>0.637722445146</f>
        <v>0.63772244514599996</v>
      </c>
      <c r="D2589">
        <v>0.98378731637299999</v>
      </c>
      <c r="E2589">
        <v>11.874000000000001</v>
      </c>
    </row>
    <row r="2590" spans="1:5">
      <c r="A2590" t="s">
        <v>36015</v>
      </c>
      <c r="B2590" t="s">
        <v>2053</v>
      </c>
      <c r="C2590">
        <v>0.29402875147500002</v>
      </c>
      <c r="D2590">
        <v>0.99999662593899996</v>
      </c>
      <c r="E2590">
        <v>5.016</v>
      </c>
    </row>
    <row r="2591" spans="1:5">
      <c r="A2591" t="s">
        <v>36015</v>
      </c>
      <c r="B2591" t="s">
        <v>2054</v>
      </c>
      <c r="C2591">
        <f>0.0150465853628</f>
        <v>1.50465853628E-2</v>
      </c>
      <c r="D2591">
        <v>0.99999662593899996</v>
      </c>
      <c r="E2591">
        <v>5.016</v>
      </c>
    </row>
    <row r="2592" spans="1:5">
      <c r="A2592" t="s">
        <v>36015</v>
      </c>
      <c r="B2592" t="s">
        <v>2055</v>
      </c>
      <c r="C2592">
        <v>0.28280861088499998</v>
      </c>
      <c r="D2592">
        <v>0.99999662593899996</v>
      </c>
      <c r="E2592">
        <v>5.016</v>
      </c>
    </row>
    <row r="2593" spans="1:5">
      <c r="A2593" t="s">
        <v>36015</v>
      </c>
      <c r="B2593" t="s">
        <v>2057</v>
      </c>
      <c r="C2593">
        <f>0.242251191195</f>
        <v>0.24225119119499999</v>
      </c>
      <c r="D2593">
        <v>0.99999662593899996</v>
      </c>
      <c r="E2593">
        <v>5.016</v>
      </c>
    </row>
    <row r="2594" spans="1:5">
      <c r="A2594" t="s">
        <v>36015</v>
      </c>
      <c r="B2594" t="s">
        <v>2058</v>
      </c>
      <c r="C2594">
        <v>1.7223480482600001E-2</v>
      </c>
      <c r="D2594">
        <v>0.99999662593899996</v>
      </c>
      <c r="E2594">
        <v>5.016</v>
      </c>
    </row>
    <row r="2595" spans="1:5">
      <c r="A2595" t="s">
        <v>36015</v>
      </c>
      <c r="B2595" t="s">
        <v>2056</v>
      </c>
      <c r="C2595">
        <f>0.0433592954956</f>
        <v>4.3359295495599998E-2</v>
      </c>
      <c r="D2595">
        <v>0.99999662593899996</v>
      </c>
      <c r="E2595">
        <v>5.016</v>
      </c>
    </row>
    <row r="2596" spans="1:5">
      <c r="A2596" t="s">
        <v>36015</v>
      </c>
      <c r="B2596" t="s">
        <v>2060</v>
      </c>
      <c r="C2596">
        <f>0.659306233616</f>
        <v>0.65930623361600005</v>
      </c>
      <c r="D2596">
        <v>0.99999662593899996</v>
      </c>
      <c r="E2596">
        <v>5.016</v>
      </c>
    </row>
    <row r="2597" spans="1:5">
      <c r="A2597" t="s">
        <v>36016</v>
      </c>
      <c r="B2597" t="s">
        <v>33120</v>
      </c>
      <c r="C2597">
        <f>0</f>
        <v>0</v>
      </c>
      <c r="D2597" t="s">
        <v>106</v>
      </c>
      <c r="E2597">
        <v>4.0739999999999998</v>
      </c>
    </row>
    <row r="2598" spans="1:5">
      <c r="A2598" t="s">
        <v>36016</v>
      </c>
      <c r="B2598" t="s">
        <v>33126</v>
      </c>
      <c r="C2598">
        <f>0</f>
        <v>0</v>
      </c>
      <c r="D2598" t="s">
        <v>106</v>
      </c>
      <c r="E2598">
        <v>4.0739999999999998</v>
      </c>
    </row>
    <row r="2599" spans="1:5">
      <c r="A2599" t="s">
        <v>36016</v>
      </c>
      <c r="B2599" t="s">
        <v>33128</v>
      </c>
      <c r="C2599">
        <v>0</v>
      </c>
      <c r="D2599" t="s">
        <v>106</v>
      </c>
      <c r="E2599">
        <v>4.0739999999999998</v>
      </c>
    </row>
    <row r="2600" spans="1:5">
      <c r="A2600" t="s">
        <v>36017</v>
      </c>
      <c r="B2600" t="s">
        <v>29478</v>
      </c>
      <c r="C2600">
        <f>0</f>
        <v>0</v>
      </c>
      <c r="D2600">
        <v>0.77371125959599996</v>
      </c>
      <c r="E2600">
        <v>6.06</v>
      </c>
    </row>
    <row r="2601" spans="1:5">
      <c r="A2601" t="s">
        <v>36017</v>
      </c>
      <c r="B2601" t="s">
        <v>29476</v>
      </c>
      <c r="C2601">
        <f>0</f>
        <v>0</v>
      </c>
      <c r="D2601">
        <v>0.77371125959599996</v>
      </c>
      <c r="E2601">
        <v>6.06</v>
      </c>
    </row>
    <row r="2602" spans="1:5">
      <c r="A2602" t="s">
        <v>36017</v>
      </c>
      <c r="B2602" t="s">
        <v>29479</v>
      </c>
      <c r="C2602">
        <v>0</v>
      </c>
      <c r="D2602">
        <v>0.77371125959599996</v>
      </c>
      <c r="E2602">
        <v>6.06</v>
      </c>
    </row>
    <row r="2603" spans="1:5">
      <c r="A2603" t="s">
        <v>36017</v>
      </c>
      <c r="B2603" t="s">
        <v>29480</v>
      </c>
      <c r="C2603">
        <f>0</f>
        <v>0</v>
      </c>
      <c r="D2603">
        <v>0.77371125959599996</v>
      </c>
      <c r="E2603">
        <v>6.06</v>
      </c>
    </row>
    <row r="2604" spans="1:5">
      <c r="A2604" t="s">
        <v>36017</v>
      </c>
      <c r="B2604" t="s">
        <v>29475</v>
      </c>
      <c r="C2604">
        <v>0.54330125959599995</v>
      </c>
      <c r="D2604">
        <v>0.77371125959599996</v>
      </c>
      <c r="E2604">
        <v>6.06</v>
      </c>
    </row>
    <row r="2605" spans="1:5">
      <c r="A2605" t="s">
        <v>36018</v>
      </c>
      <c r="B2605" t="s">
        <v>36019</v>
      </c>
      <c r="C2605">
        <f>0.238157148531</f>
        <v>0.23815714853100001</v>
      </c>
      <c r="D2605">
        <v>0.47616346660699999</v>
      </c>
      <c r="E2605">
        <v>0</v>
      </c>
    </row>
    <row r="2606" spans="1:5">
      <c r="A2606" t="s">
        <v>36018</v>
      </c>
      <c r="B2606" t="s">
        <v>36020</v>
      </c>
      <c r="C2606">
        <v>0.24591327690299999</v>
      </c>
      <c r="D2606">
        <v>0.47616346660699999</v>
      </c>
      <c r="E2606">
        <v>0</v>
      </c>
    </row>
    <row r="2607" spans="1:5">
      <c r="A2607" t="s">
        <v>36021</v>
      </c>
      <c r="B2607" t="s">
        <v>36022</v>
      </c>
      <c r="C2607">
        <f>0</f>
        <v>0</v>
      </c>
      <c r="D2607" t="s">
        <v>106</v>
      </c>
      <c r="E2607">
        <v>10.398</v>
      </c>
    </row>
    <row r="2608" spans="1:5">
      <c r="A2608" t="s">
        <v>36021</v>
      </c>
      <c r="B2608" t="s">
        <v>36023</v>
      </c>
      <c r="C2608">
        <f>0</f>
        <v>0</v>
      </c>
      <c r="D2608" t="s">
        <v>106</v>
      </c>
      <c r="E2608">
        <v>10.398</v>
      </c>
    </row>
    <row r="2609" spans="1:5">
      <c r="A2609" t="s">
        <v>36021</v>
      </c>
      <c r="B2609" t="s">
        <v>36024</v>
      </c>
      <c r="C2609">
        <f>0</f>
        <v>0</v>
      </c>
      <c r="D2609" t="s">
        <v>106</v>
      </c>
      <c r="E2609">
        <v>10.398</v>
      </c>
    </row>
    <row r="2610" spans="1:5">
      <c r="A2610" t="s">
        <v>36025</v>
      </c>
      <c r="B2610" t="s">
        <v>28090</v>
      </c>
      <c r="C2610">
        <v>0.63943189695199998</v>
      </c>
      <c r="D2610">
        <v>0.83304189695200004</v>
      </c>
      <c r="E2610">
        <v>12.048</v>
      </c>
    </row>
    <row r="2611" spans="1:5">
      <c r="A2611" t="s">
        <v>36025</v>
      </c>
      <c r="B2611" t="s">
        <v>28092</v>
      </c>
      <c r="C2611">
        <v>0</v>
      </c>
      <c r="D2611">
        <v>0.83304189695200004</v>
      </c>
      <c r="E2611">
        <v>12.048</v>
      </c>
    </row>
    <row r="2612" spans="1:5">
      <c r="A2612" t="s">
        <v>36025</v>
      </c>
      <c r="B2612" t="s">
        <v>28098</v>
      </c>
      <c r="C2612">
        <v>0</v>
      </c>
      <c r="D2612">
        <v>0.83304189695200004</v>
      </c>
      <c r="E2612">
        <v>12.048</v>
      </c>
    </row>
    <row r="2613" spans="1:5">
      <c r="A2613" t="s">
        <v>36026</v>
      </c>
      <c r="B2613" t="s">
        <v>24854</v>
      </c>
      <c r="C2613">
        <f>0</f>
        <v>0</v>
      </c>
      <c r="D2613">
        <v>0.99999365598800005</v>
      </c>
      <c r="E2613">
        <v>2.964</v>
      </c>
    </row>
    <row r="2614" spans="1:5">
      <c r="A2614" t="s">
        <v>36026</v>
      </c>
      <c r="B2614" t="s">
        <v>24850</v>
      </c>
      <c r="C2614">
        <f>0</f>
        <v>0</v>
      </c>
      <c r="D2614">
        <v>0.99999365598800005</v>
      </c>
      <c r="E2614">
        <v>2.964</v>
      </c>
    </row>
    <row r="2615" spans="1:5">
      <c r="A2615" t="s">
        <v>36026</v>
      </c>
      <c r="B2615" t="s">
        <v>24853</v>
      </c>
      <c r="C2615">
        <f>0</f>
        <v>0</v>
      </c>
      <c r="D2615">
        <v>0.99999365598800005</v>
      </c>
      <c r="E2615">
        <v>2.964</v>
      </c>
    </row>
    <row r="2616" spans="1:5">
      <c r="A2616" t="s">
        <v>36026</v>
      </c>
      <c r="B2616" t="s">
        <v>24849</v>
      </c>
      <c r="C2616">
        <f>0.068895191818</f>
        <v>6.8895191817999996E-2</v>
      </c>
      <c r="D2616">
        <v>0.99999365598800005</v>
      </c>
      <c r="E2616">
        <v>2.964</v>
      </c>
    </row>
    <row r="2617" spans="1:5">
      <c r="A2617" t="s">
        <v>36026</v>
      </c>
      <c r="B2617" t="s">
        <v>24863</v>
      </c>
      <c r="C2617">
        <v>0.240001671522</v>
      </c>
      <c r="D2617">
        <v>0.99999365598800005</v>
      </c>
      <c r="E2617">
        <v>2.964</v>
      </c>
    </row>
    <row r="2618" spans="1:5">
      <c r="A2618" t="s">
        <v>36026</v>
      </c>
      <c r="B2618" t="s">
        <v>24865</v>
      </c>
      <c r="C2618">
        <v>0.429374023193</v>
      </c>
      <c r="D2618">
        <v>0.99999365598800005</v>
      </c>
      <c r="E2618">
        <v>2.964</v>
      </c>
    </row>
    <row r="2619" spans="1:5">
      <c r="A2619" t="s">
        <v>36026</v>
      </c>
      <c r="B2619" t="s">
        <v>24855</v>
      </c>
      <c r="C2619">
        <f>0.160007038552</f>
        <v>0.16000703855199999</v>
      </c>
      <c r="D2619">
        <v>0.99999365598800005</v>
      </c>
      <c r="E2619">
        <v>2.964</v>
      </c>
    </row>
    <row r="2620" spans="1:5">
      <c r="A2620" t="s">
        <v>36026</v>
      </c>
      <c r="B2620" t="s">
        <v>24851</v>
      </c>
      <c r="C2620">
        <f>0</f>
        <v>0</v>
      </c>
      <c r="D2620">
        <v>0.99999365598800005</v>
      </c>
      <c r="E2620">
        <v>2.964</v>
      </c>
    </row>
    <row r="2621" spans="1:5">
      <c r="A2621" t="s">
        <v>36026</v>
      </c>
      <c r="B2621" t="s">
        <v>24864</v>
      </c>
      <c r="C2621">
        <v>0.26338521164599998</v>
      </c>
      <c r="D2621">
        <v>0.99999365598800005</v>
      </c>
      <c r="E2621">
        <v>2.964</v>
      </c>
    </row>
    <row r="2622" spans="1:5">
      <c r="A2622" t="s">
        <v>36026</v>
      </c>
      <c r="B2622" t="s">
        <v>24859</v>
      </c>
      <c r="C2622">
        <f>0</f>
        <v>0</v>
      </c>
      <c r="D2622">
        <v>0.99999365598800005</v>
      </c>
      <c r="E2622">
        <v>2.964</v>
      </c>
    </row>
    <row r="2623" spans="1:5">
      <c r="A2623" t="s">
        <v>36026</v>
      </c>
      <c r="B2623" t="s">
        <v>24861</v>
      </c>
      <c r="C2623">
        <v>0.51305321760400002</v>
      </c>
      <c r="D2623">
        <v>0.99999365598800005</v>
      </c>
      <c r="E2623">
        <v>2.964</v>
      </c>
    </row>
    <row r="2624" spans="1:5">
      <c r="A2624" t="s">
        <v>36026</v>
      </c>
      <c r="B2624" t="s">
        <v>24852</v>
      </c>
      <c r="C2624">
        <v>0.192507345775</v>
      </c>
      <c r="D2624">
        <v>0.99999365598800005</v>
      </c>
      <c r="E2624">
        <v>2.964</v>
      </c>
    </row>
    <row r="2625" spans="1:5">
      <c r="A2625" t="s">
        <v>36026</v>
      </c>
      <c r="B2625" t="s">
        <v>24858</v>
      </c>
      <c r="C2625">
        <f>0.209495319416</f>
        <v>0.209495319416</v>
      </c>
      <c r="D2625">
        <v>0.99999365598800005</v>
      </c>
      <c r="E2625">
        <v>2.964</v>
      </c>
    </row>
    <row r="2626" spans="1:5">
      <c r="A2626" t="s">
        <v>36026</v>
      </c>
      <c r="B2626" t="s">
        <v>24857</v>
      </c>
      <c r="C2626">
        <f>0</f>
        <v>0</v>
      </c>
      <c r="D2626">
        <v>0.99999365598800005</v>
      </c>
      <c r="E2626">
        <v>2.964</v>
      </c>
    </row>
    <row r="2627" spans="1:5">
      <c r="A2627" t="s">
        <v>36027</v>
      </c>
      <c r="B2627" t="s">
        <v>5709</v>
      </c>
      <c r="C2627">
        <f>0</f>
        <v>0</v>
      </c>
      <c r="D2627" t="s">
        <v>106</v>
      </c>
      <c r="E2627">
        <v>24</v>
      </c>
    </row>
    <row r="2628" spans="1:5">
      <c r="A2628" t="s">
        <v>36027</v>
      </c>
      <c r="B2628" t="s">
        <v>5713</v>
      </c>
      <c r="C2628">
        <f>0</f>
        <v>0</v>
      </c>
      <c r="D2628" t="s">
        <v>106</v>
      </c>
      <c r="E2628">
        <v>24</v>
      </c>
    </row>
    <row r="2629" spans="1:5">
      <c r="A2629" t="s">
        <v>36027</v>
      </c>
      <c r="B2629" t="s">
        <v>5711</v>
      </c>
      <c r="C2629">
        <v>0</v>
      </c>
      <c r="D2629" t="s">
        <v>106</v>
      </c>
      <c r="E2629">
        <v>24</v>
      </c>
    </row>
    <row r="2630" spans="1:5">
      <c r="A2630" t="s">
        <v>36027</v>
      </c>
      <c r="B2630" t="s">
        <v>5712</v>
      </c>
      <c r="C2630">
        <f>0</f>
        <v>0</v>
      </c>
      <c r="D2630" t="s">
        <v>106</v>
      </c>
      <c r="E2630">
        <v>24</v>
      </c>
    </row>
    <row r="2631" spans="1:5">
      <c r="A2631" t="s">
        <v>36027</v>
      </c>
      <c r="B2631" t="s">
        <v>5715</v>
      </c>
      <c r="C2631">
        <v>0</v>
      </c>
      <c r="D2631" t="s">
        <v>106</v>
      </c>
      <c r="E2631">
        <v>24</v>
      </c>
    </row>
    <row r="2632" spans="1:5">
      <c r="A2632" t="s">
        <v>36027</v>
      </c>
      <c r="B2632" t="s">
        <v>5714</v>
      </c>
      <c r="C2632">
        <v>0</v>
      </c>
      <c r="D2632" t="s">
        <v>106</v>
      </c>
      <c r="E2632">
        <v>24</v>
      </c>
    </row>
    <row r="2633" spans="1:5">
      <c r="A2633" t="s">
        <v>36027</v>
      </c>
      <c r="B2633" t="s">
        <v>5708</v>
      </c>
      <c r="C2633">
        <v>0</v>
      </c>
      <c r="D2633" t="s">
        <v>106</v>
      </c>
      <c r="E2633">
        <v>24</v>
      </c>
    </row>
    <row r="2634" spans="1:5">
      <c r="A2634" t="s">
        <v>36028</v>
      </c>
      <c r="B2634" t="s">
        <v>36029</v>
      </c>
      <c r="C2634">
        <f>0.105474728469</f>
        <v>0.105474728469</v>
      </c>
      <c r="D2634">
        <v>0.99979781030500003</v>
      </c>
      <c r="E2634">
        <v>22.571999999999999</v>
      </c>
    </row>
    <row r="2635" spans="1:5">
      <c r="A2635" t="s">
        <v>36028</v>
      </c>
      <c r="B2635" t="s">
        <v>36030</v>
      </c>
      <c r="C2635">
        <f>0.25300204982</f>
        <v>0.25300204982000002</v>
      </c>
      <c r="D2635">
        <v>0.99979781030500003</v>
      </c>
      <c r="E2635">
        <v>22.571999999999999</v>
      </c>
    </row>
    <row r="2636" spans="1:5">
      <c r="A2636" t="s">
        <v>36028</v>
      </c>
      <c r="B2636" t="s">
        <v>36031</v>
      </c>
      <c r="C2636">
        <v>0.63232729443000002</v>
      </c>
      <c r="D2636">
        <v>0.99979781030500003</v>
      </c>
      <c r="E2636">
        <v>22.571999999999999</v>
      </c>
    </row>
    <row r="2637" spans="1:5">
      <c r="A2637" t="s">
        <v>36028</v>
      </c>
      <c r="B2637" t="s">
        <v>36032</v>
      </c>
      <c r="C2637">
        <v>6.9835293633099996E-2</v>
      </c>
      <c r="D2637">
        <v>0.99979781030500003</v>
      </c>
      <c r="E2637">
        <v>22.571999999999999</v>
      </c>
    </row>
    <row r="2638" spans="1:5">
      <c r="A2638" t="s">
        <v>36028</v>
      </c>
      <c r="B2638" t="s">
        <v>36033</v>
      </c>
      <c r="C2638">
        <f>0</f>
        <v>0</v>
      </c>
      <c r="D2638">
        <v>0.99979781030500003</v>
      </c>
      <c r="E2638">
        <v>22.571999999999999</v>
      </c>
    </row>
    <row r="2639" spans="1:5">
      <c r="A2639" t="s">
        <v>36028</v>
      </c>
      <c r="B2639" t="s">
        <v>36034</v>
      </c>
      <c r="C2639">
        <v>0.118284319941</v>
      </c>
      <c r="D2639">
        <v>0.99979781030500003</v>
      </c>
      <c r="E2639">
        <v>22.571999999999999</v>
      </c>
    </row>
    <row r="2640" spans="1:5">
      <c r="A2640" t="s">
        <v>36028</v>
      </c>
      <c r="B2640" t="s">
        <v>36035</v>
      </c>
      <c r="C2640">
        <f>0.754444218734</f>
        <v>0.75444421873400003</v>
      </c>
      <c r="D2640">
        <v>0.99979781030500003</v>
      </c>
      <c r="E2640">
        <v>22.571999999999999</v>
      </c>
    </row>
    <row r="2641" spans="1:5">
      <c r="A2641" t="s">
        <v>36028</v>
      </c>
      <c r="B2641" t="s">
        <v>36036</v>
      </c>
      <c r="C2641">
        <v>0.53874818381400003</v>
      </c>
      <c r="D2641">
        <v>0.99979781030500003</v>
      </c>
      <c r="E2641">
        <v>22.571999999999999</v>
      </c>
    </row>
    <row r="2642" spans="1:5">
      <c r="A2642" t="s">
        <v>36037</v>
      </c>
      <c r="B2642" t="s">
        <v>29861</v>
      </c>
      <c r="C2642">
        <f>-1.05396144736</f>
        <v>-1.0539614473600001</v>
      </c>
      <c r="D2642">
        <v>0.99981809305500002</v>
      </c>
      <c r="E2642">
        <v>1.1160000000000001</v>
      </c>
    </row>
    <row r="2643" spans="1:5">
      <c r="A2643" t="s">
        <v>36037</v>
      </c>
      <c r="B2643" t="s">
        <v>29859</v>
      </c>
      <c r="C2643">
        <f>0.360882663793</f>
        <v>0.36088266379299999</v>
      </c>
      <c r="D2643">
        <v>0.99981809305500002</v>
      </c>
      <c r="E2643">
        <v>1.1160000000000001</v>
      </c>
    </row>
    <row r="2644" spans="1:5">
      <c r="A2644" t="s">
        <v>36037</v>
      </c>
      <c r="B2644" t="s">
        <v>29860</v>
      </c>
      <c r="C2644">
        <v>0.70565232260099997</v>
      </c>
      <c r="D2644">
        <v>0.99981809305500002</v>
      </c>
      <c r="E2644">
        <v>1.1160000000000001</v>
      </c>
    </row>
    <row r="2645" spans="1:5">
      <c r="A2645" t="s">
        <v>36037</v>
      </c>
      <c r="B2645" t="s">
        <v>29862</v>
      </c>
      <c r="C2645">
        <v>0.93486097515</v>
      </c>
      <c r="D2645">
        <v>0.99981809305500002</v>
      </c>
      <c r="E2645">
        <v>1.1160000000000001</v>
      </c>
    </row>
    <row r="2646" spans="1:5">
      <c r="A2646" t="s">
        <v>36037</v>
      </c>
      <c r="B2646" t="s">
        <v>29858</v>
      </c>
      <c r="C2646">
        <f>0.29636024635</f>
        <v>0.29636024635000002</v>
      </c>
      <c r="D2646">
        <v>0.99981809305500002</v>
      </c>
      <c r="E2646">
        <v>1.1160000000000001</v>
      </c>
    </row>
    <row r="2647" spans="1:5">
      <c r="A2647" t="s">
        <v>36037</v>
      </c>
      <c r="B2647" t="s">
        <v>29863</v>
      </c>
      <c r="C2647">
        <f>0.0475622304979</f>
        <v>4.7562230497900003E-2</v>
      </c>
      <c r="D2647">
        <v>0.99981809305500002</v>
      </c>
      <c r="E2647">
        <v>1.1160000000000001</v>
      </c>
    </row>
    <row r="2648" spans="1:5">
      <c r="A2648" t="s">
        <v>36037</v>
      </c>
      <c r="B2648" t="s">
        <v>36038</v>
      </c>
      <c r="C2648">
        <v>0.47347166749800002</v>
      </c>
      <c r="D2648">
        <v>0.99981809305500002</v>
      </c>
      <c r="E2648">
        <v>1.1160000000000001</v>
      </c>
    </row>
    <row r="2649" spans="1:5">
      <c r="A2649" t="s">
        <v>36039</v>
      </c>
      <c r="B2649" t="s">
        <v>36040</v>
      </c>
      <c r="C2649">
        <v>0</v>
      </c>
      <c r="D2649">
        <v>0.70918980601600001</v>
      </c>
      <c r="E2649">
        <v>5.9340000000000002</v>
      </c>
    </row>
    <row r="2650" spans="1:5">
      <c r="A2650" t="s">
        <v>36039</v>
      </c>
      <c r="B2650" t="s">
        <v>36041</v>
      </c>
      <c r="C2650">
        <v>1.02480587594E-2</v>
      </c>
      <c r="D2650">
        <v>0.70918980601600001</v>
      </c>
      <c r="E2650">
        <v>5.9340000000000002</v>
      </c>
    </row>
    <row r="2651" spans="1:5">
      <c r="A2651" t="s">
        <v>36039</v>
      </c>
      <c r="B2651" t="s">
        <v>36042</v>
      </c>
      <c r="C2651">
        <v>0.54214545588800001</v>
      </c>
      <c r="D2651">
        <v>0.70918980601600001</v>
      </c>
      <c r="E2651">
        <v>5.9340000000000002</v>
      </c>
    </row>
    <row r="2652" spans="1:5">
      <c r="A2652" t="s">
        <v>36039</v>
      </c>
      <c r="B2652" t="s">
        <v>36043</v>
      </c>
      <c r="C2652">
        <v>0</v>
      </c>
      <c r="D2652">
        <v>0.70918980601600001</v>
      </c>
      <c r="E2652">
        <v>5.9340000000000002</v>
      </c>
    </row>
    <row r="2653" spans="1:5">
      <c r="A2653" t="s">
        <v>36044</v>
      </c>
      <c r="B2653" t="s">
        <v>36045</v>
      </c>
      <c r="C2653">
        <f>0</f>
        <v>0</v>
      </c>
      <c r="D2653" t="s">
        <v>106</v>
      </c>
      <c r="E2653">
        <v>1.3380000000000001</v>
      </c>
    </row>
    <row r="2654" spans="1:5">
      <c r="A2654" t="s">
        <v>36044</v>
      </c>
      <c r="B2654" t="s">
        <v>36046</v>
      </c>
      <c r="C2654">
        <f>0</f>
        <v>0</v>
      </c>
      <c r="D2654" t="s">
        <v>106</v>
      </c>
      <c r="E2654">
        <v>1.3380000000000001</v>
      </c>
    </row>
    <row r="2655" spans="1:5">
      <c r="A2655" t="s">
        <v>36044</v>
      </c>
      <c r="B2655" t="s">
        <v>36047</v>
      </c>
      <c r="C2655">
        <f>0</f>
        <v>0</v>
      </c>
      <c r="D2655" t="s">
        <v>106</v>
      </c>
      <c r="E2655">
        <v>1.3380000000000001</v>
      </c>
    </row>
    <row r="2656" spans="1:5">
      <c r="A2656" t="s">
        <v>36044</v>
      </c>
      <c r="B2656" t="s">
        <v>36048</v>
      </c>
      <c r="C2656">
        <f>0</f>
        <v>0</v>
      </c>
      <c r="D2656" t="s">
        <v>106</v>
      </c>
      <c r="E2656">
        <v>1.3380000000000001</v>
      </c>
    </row>
    <row r="2657" spans="1:5">
      <c r="A2657" t="s">
        <v>36049</v>
      </c>
      <c r="B2657" t="s">
        <v>36050</v>
      </c>
      <c r="C2657">
        <v>0.45328927368999999</v>
      </c>
      <c r="D2657">
        <v>0.95709263009900003</v>
      </c>
      <c r="E2657">
        <v>24</v>
      </c>
    </row>
    <row r="2658" spans="1:5">
      <c r="A2658" t="s">
        <v>36049</v>
      </c>
      <c r="B2658" t="s">
        <v>25683</v>
      </c>
      <c r="C2658">
        <f>0.102795516744</f>
        <v>0.102795516744</v>
      </c>
      <c r="D2658">
        <v>0.95709263009900003</v>
      </c>
      <c r="E2658">
        <v>24</v>
      </c>
    </row>
    <row r="2659" spans="1:5">
      <c r="A2659" t="s">
        <v>36049</v>
      </c>
      <c r="B2659" t="s">
        <v>25681</v>
      </c>
      <c r="C2659">
        <v>0.51660586456500002</v>
      </c>
      <c r="D2659">
        <v>0.95709263009900003</v>
      </c>
      <c r="E2659">
        <v>24</v>
      </c>
    </row>
    <row r="2660" spans="1:5">
      <c r="A2660" t="s">
        <v>36049</v>
      </c>
      <c r="B2660" t="s">
        <v>25684</v>
      </c>
      <c r="C2660">
        <f>0.492540182304</f>
        <v>0.49254018230399998</v>
      </c>
      <c r="D2660">
        <v>0.95709263009900003</v>
      </c>
      <c r="E2660">
        <v>24</v>
      </c>
    </row>
    <row r="2661" spans="1:5">
      <c r="A2661" t="s">
        <v>36049</v>
      </c>
      <c r="B2661" t="s">
        <v>25679</v>
      </c>
      <c r="C2661">
        <f>0.323187466463</f>
        <v>0.32318746646300001</v>
      </c>
      <c r="D2661">
        <v>0.95709263009900003</v>
      </c>
      <c r="E2661">
        <v>24</v>
      </c>
    </row>
    <row r="2662" spans="1:5">
      <c r="A2662" t="s">
        <v>36051</v>
      </c>
      <c r="B2662" t="s">
        <v>36052</v>
      </c>
      <c r="C2662">
        <v>0</v>
      </c>
      <c r="D2662" t="s">
        <v>106</v>
      </c>
      <c r="E2662">
        <v>12.048</v>
      </c>
    </row>
    <row r="2663" spans="1:5">
      <c r="A2663" t="s">
        <v>36051</v>
      </c>
      <c r="B2663" t="s">
        <v>36053</v>
      </c>
      <c r="C2663">
        <f>0</f>
        <v>0</v>
      </c>
      <c r="D2663" t="s">
        <v>106</v>
      </c>
      <c r="E2663">
        <v>12.048</v>
      </c>
    </row>
    <row r="2664" spans="1:5">
      <c r="A2664" t="s">
        <v>36054</v>
      </c>
      <c r="B2664" t="s">
        <v>8880</v>
      </c>
      <c r="C2664">
        <f>0</f>
        <v>0</v>
      </c>
      <c r="D2664" t="s">
        <v>106</v>
      </c>
      <c r="E2664">
        <v>24</v>
      </c>
    </row>
    <row r="2665" spans="1:5">
      <c r="A2665" t="s">
        <v>36054</v>
      </c>
      <c r="B2665" t="s">
        <v>8881</v>
      </c>
      <c r="C2665">
        <f>0</f>
        <v>0</v>
      </c>
      <c r="D2665" t="s">
        <v>106</v>
      </c>
      <c r="E2665">
        <v>24</v>
      </c>
    </row>
    <row r="2666" spans="1:5">
      <c r="A2666" t="s">
        <v>36054</v>
      </c>
      <c r="B2666" t="s">
        <v>8882</v>
      </c>
      <c r="C2666">
        <f>0</f>
        <v>0</v>
      </c>
      <c r="D2666" t="s">
        <v>106</v>
      </c>
      <c r="E2666">
        <v>24</v>
      </c>
    </row>
    <row r="2667" spans="1:5">
      <c r="A2667" t="s">
        <v>36054</v>
      </c>
      <c r="B2667" t="s">
        <v>8886</v>
      </c>
      <c r="C2667">
        <f>0</f>
        <v>0</v>
      </c>
      <c r="D2667" t="s">
        <v>106</v>
      </c>
      <c r="E2667">
        <v>24</v>
      </c>
    </row>
    <row r="2668" spans="1:5">
      <c r="A2668" t="s">
        <v>36054</v>
      </c>
      <c r="B2668" t="s">
        <v>8888</v>
      </c>
      <c r="C2668">
        <v>0</v>
      </c>
      <c r="D2668" t="s">
        <v>106</v>
      </c>
      <c r="E2668">
        <v>24</v>
      </c>
    </row>
    <row r="2669" spans="1:5">
      <c r="A2669" t="s">
        <v>36054</v>
      </c>
      <c r="B2669" t="s">
        <v>8890</v>
      </c>
      <c r="C2669">
        <f>0</f>
        <v>0</v>
      </c>
      <c r="D2669" t="s">
        <v>106</v>
      </c>
      <c r="E2669">
        <v>24</v>
      </c>
    </row>
    <row r="2670" spans="1:5">
      <c r="A2670" t="s">
        <v>36054</v>
      </c>
      <c r="B2670" t="s">
        <v>8885</v>
      </c>
      <c r="C2670">
        <f>0</f>
        <v>0</v>
      </c>
      <c r="D2670" t="s">
        <v>106</v>
      </c>
      <c r="E2670">
        <v>24</v>
      </c>
    </row>
    <row r="2671" spans="1:5">
      <c r="A2671" t="s">
        <v>36054</v>
      </c>
      <c r="B2671" t="s">
        <v>8892</v>
      </c>
      <c r="C2671">
        <f>0</f>
        <v>0</v>
      </c>
      <c r="D2671" t="s">
        <v>106</v>
      </c>
      <c r="E2671">
        <v>24</v>
      </c>
    </row>
    <row r="2672" spans="1:5">
      <c r="A2672" t="s">
        <v>36054</v>
      </c>
      <c r="B2672" t="s">
        <v>8891</v>
      </c>
      <c r="C2672">
        <v>0</v>
      </c>
      <c r="D2672" t="s">
        <v>106</v>
      </c>
      <c r="E2672">
        <v>24</v>
      </c>
    </row>
    <row r="2673" spans="1:5">
      <c r="A2673" t="s">
        <v>36054</v>
      </c>
      <c r="B2673" t="s">
        <v>8884</v>
      </c>
      <c r="C2673">
        <v>0</v>
      </c>
      <c r="D2673" t="s">
        <v>106</v>
      </c>
      <c r="E2673">
        <v>24</v>
      </c>
    </row>
    <row r="2674" spans="1:5">
      <c r="A2674" t="s">
        <v>36054</v>
      </c>
      <c r="B2674" t="s">
        <v>8887</v>
      </c>
      <c r="C2674">
        <f>0</f>
        <v>0</v>
      </c>
      <c r="D2674" t="s">
        <v>106</v>
      </c>
      <c r="E2674">
        <v>24</v>
      </c>
    </row>
    <row r="2675" spans="1:5">
      <c r="A2675" t="s">
        <v>36054</v>
      </c>
      <c r="B2675" t="s">
        <v>8889</v>
      </c>
      <c r="C2675">
        <f>0</f>
        <v>0</v>
      </c>
      <c r="D2675" t="s">
        <v>106</v>
      </c>
      <c r="E2675">
        <v>24</v>
      </c>
    </row>
    <row r="2676" spans="1:5">
      <c r="A2676" t="s">
        <v>36055</v>
      </c>
      <c r="B2676" t="s">
        <v>16168</v>
      </c>
      <c r="C2676">
        <f>0</f>
        <v>0</v>
      </c>
      <c r="D2676" t="s">
        <v>106</v>
      </c>
      <c r="E2676">
        <v>9.468</v>
      </c>
    </row>
    <row r="2677" spans="1:5">
      <c r="A2677" t="s">
        <v>36055</v>
      </c>
      <c r="B2677" t="s">
        <v>16173</v>
      </c>
      <c r="C2677">
        <f>0</f>
        <v>0</v>
      </c>
      <c r="D2677" t="s">
        <v>106</v>
      </c>
      <c r="E2677">
        <v>9.468</v>
      </c>
    </row>
    <row r="2678" spans="1:5">
      <c r="A2678" t="s">
        <v>36055</v>
      </c>
      <c r="B2678" t="s">
        <v>16169</v>
      </c>
      <c r="C2678">
        <f>0</f>
        <v>0</v>
      </c>
      <c r="D2678" t="s">
        <v>106</v>
      </c>
      <c r="E2678">
        <v>9.468</v>
      </c>
    </row>
    <row r="2679" spans="1:5">
      <c r="A2679" t="s">
        <v>36056</v>
      </c>
      <c r="B2679" t="s">
        <v>36057</v>
      </c>
      <c r="C2679">
        <v>0.40866862540900001</v>
      </c>
      <c r="D2679">
        <v>0.87101949372300003</v>
      </c>
      <c r="E2679">
        <v>4.17</v>
      </c>
    </row>
    <row r="2680" spans="1:5">
      <c r="A2680" t="s">
        <v>36056</v>
      </c>
      <c r="B2680" t="s">
        <v>36058</v>
      </c>
      <c r="C2680">
        <v>0.233762879619</v>
      </c>
      <c r="D2680">
        <v>0.87101949372300003</v>
      </c>
      <c r="E2680">
        <v>4.17</v>
      </c>
    </row>
    <row r="2681" spans="1:5">
      <c r="A2681" t="s">
        <v>36056</v>
      </c>
      <c r="B2681" t="s">
        <v>36059</v>
      </c>
      <c r="C2681">
        <v>0.36572481302799997</v>
      </c>
      <c r="D2681">
        <v>0.87101949372300003</v>
      </c>
      <c r="E2681">
        <v>4.17</v>
      </c>
    </row>
    <row r="2682" spans="1:5">
      <c r="A2682" t="s">
        <v>36060</v>
      </c>
      <c r="B2682" t="s">
        <v>8812</v>
      </c>
      <c r="C2682">
        <f>0.706593050436</f>
        <v>0.70659305043599996</v>
      </c>
      <c r="D2682">
        <v>0.80900305043599996</v>
      </c>
      <c r="E2682">
        <v>1.83</v>
      </c>
    </row>
    <row r="2683" spans="1:5">
      <c r="A2683" t="s">
        <v>36060</v>
      </c>
      <c r="B2683" t="s">
        <v>8813</v>
      </c>
      <c r="C2683">
        <f>0</f>
        <v>0</v>
      </c>
      <c r="D2683">
        <v>0.80900305043599996</v>
      </c>
      <c r="E2683">
        <v>1.83</v>
      </c>
    </row>
    <row r="2684" spans="1:5">
      <c r="A2684" t="s">
        <v>36061</v>
      </c>
      <c r="B2684" t="s">
        <v>23289</v>
      </c>
      <c r="C2684">
        <f>0</f>
        <v>0</v>
      </c>
      <c r="D2684">
        <v>0.82929058593899996</v>
      </c>
      <c r="E2684">
        <v>4.4820000000000002</v>
      </c>
    </row>
    <row r="2685" spans="1:5">
      <c r="A2685" t="s">
        <v>36061</v>
      </c>
      <c r="B2685" t="s">
        <v>23290</v>
      </c>
      <c r="C2685">
        <f>0.322695070785</f>
        <v>0.32269507078499998</v>
      </c>
      <c r="D2685">
        <v>0.82929058593899996</v>
      </c>
      <c r="E2685">
        <v>4.4820000000000002</v>
      </c>
    </row>
    <row r="2686" spans="1:5">
      <c r="A2686" t="s">
        <v>36061</v>
      </c>
      <c r="B2686" t="s">
        <v>23291</v>
      </c>
      <c r="C2686">
        <v>0</v>
      </c>
      <c r="D2686">
        <v>0.82929058593899996</v>
      </c>
      <c r="E2686">
        <v>4.4820000000000002</v>
      </c>
    </row>
    <row r="2687" spans="1:5">
      <c r="A2687" t="s">
        <v>36061</v>
      </c>
      <c r="B2687" t="s">
        <v>23292</v>
      </c>
      <c r="C2687">
        <v>0.49282129796500002</v>
      </c>
      <c r="D2687">
        <v>0.82929058593899996</v>
      </c>
      <c r="E2687">
        <v>4.4820000000000002</v>
      </c>
    </row>
    <row r="2688" spans="1:5">
      <c r="A2688" t="s">
        <v>36061</v>
      </c>
      <c r="B2688" t="s">
        <v>23288</v>
      </c>
      <c r="C2688">
        <f>0</f>
        <v>0</v>
      </c>
      <c r="D2688">
        <v>0.82929058593899996</v>
      </c>
      <c r="E2688">
        <v>4.4820000000000002</v>
      </c>
    </row>
    <row r="2689" spans="1:5">
      <c r="A2689" t="s">
        <v>36062</v>
      </c>
      <c r="B2689" t="s">
        <v>36063</v>
      </c>
      <c r="C2689">
        <v>0</v>
      </c>
      <c r="D2689">
        <v>0.99119829014299998</v>
      </c>
      <c r="E2689">
        <v>3.6840000000000002</v>
      </c>
    </row>
    <row r="2690" spans="1:5">
      <c r="A2690" t="s">
        <v>36062</v>
      </c>
      <c r="B2690" t="s">
        <v>36064</v>
      </c>
      <c r="C2690">
        <f>0</f>
        <v>0</v>
      </c>
      <c r="D2690">
        <v>0.99119829014299998</v>
      </c>
      <c r="E2690">
        <v>3.6840000000000002</v>
      </c>
    </row>
    <row r="2691" spans="1:5">
      <c r="A2691" t="s">
        <v>36062</v>
      </c>
      <c r="B2691" t="s">
        <v>36065</v>
      </c>
      <c r="C2691">
        <v>0.61974385332399995</v>
      </c>
      <c r="D2691">
        <v>0.99119829014299998</v>
      </c>
      <c r="E2691">
        <v>3.6840000000000002</v>
      </c>
    </row>
    <row r="2692" spans="1:5">
      <c r="A2692" t="s">
        <v>36062</v>
      </c>
      <c r="B2692" t="s">
        <v>36066</v>
      </c>
      <c r="C2692">
        <v>0</v>
      </c>
      <c r="D2692">
        <v>0.99119829014299998</v>
      </c>
      <c r="E2692">
        <v>3.6840000000000002</v>
      </c>
    </row>
    <row r="2693" spans="1:5">
      <c r="A2693" t="s">
        <v>36062</v>
      </c>
      <c r="B2693" t="s">
        <v>36067</v>
      </c>
      <c r="C2693">
        <f>0.170787604704</f>
        <v>0.17078760470400001</v>
      </c>
      <c r="D2693">
        <v>0.99119829014299998</v>
      </c>
      <c r="E2693">
        <v>3.6840000000000002</v>
      </c>
    </row>
    <row r="2694" spans="1:5">
      <c r="A2694" t="s">
        <v>36062</v>
      </c>
      <c r="B2694" t="s">
        <v>36068</v>
      </c>
      <c r="C2694">
        <v>0</v>
      </c>
      <c r="D2694">
        <v>0.99119829014299998</v>
      </c>
      <c r="E2694">
        <v>3.6840000000000002</v>
      </c>
    </row>
    <row r="2695" spans="1:5">
      <c r="A2695" t="s">
        <v>36062</v>
      </c>
      <c r="B2695" t="s">
        <v>36069</v>
      </c>
      <c r="C2695">
        <f>0</f>
        <v>0</v>
      </c>
      <c r="D2695">
        <v>0.99119829014299998</v>
      </c>
      <c r="E2695">
        <v>3.6840000000000002</v>
      </c>
    </row>
    <row r="2696" spans="1:5">
      <c r="A2696" t="s">
        <v>36062</v>
      </c>
      <c r="B2696" t="s">
        <v>36070</v>
      </c>
      <c r="C2696">
        <f>0.354556242185</f>
        <v>0.35455624218499998</v>
      </c>
      <c r="D2696">
        <v>0.99119829014299998</v>
      </c>
      <c r="E2696">
        <v>3.6840000000000002</v>
      </c>
    </row>
    <row r="2697" spans="1:5">
      <c r="A2697" t="s">
        <v>36062</v>
      </c>
      <c r="B2697" t="s">
        <v>36071</v>
      </c>
      <c r="C2697">
        <f>0</f>
        <v>0</v>
      </c>
      <c r="D2697">
        <v>0.99119829014299998</v>
      </c>
      <c r="E2697">
        <v>3.6840000000000002</v>
      </c>
    </row>
    <row r="2698" spans="1:5">
      <c r="A2698" t="s">
        <v>36062</v>
      </c>
      <c r="B2698" t="s">
        <v>36072</v>
      </c>
      <c r="C2698">
        <f>0</f>
        <v>0</v>
      </c>
      <c r="D2698">
        <v>0.99119829014299998</v>
      </c>
      <c r="E2698">
        <v>3.6840000000000002</v>
      </c>
    </row>
    <row r="2699" spans="1:5">
      <c r="A2699" t="s">
        <v>36062</v>
      </c>
      <c r="B2699" t="s">
        <v>36073</v>
      </c>
      <c r="C2699">
        <f>0.0362457491117</f>
        <v>3.6245749111699997E-2</v>
      </c>
      <c r="D2699">
        <v>0.99119829014299998</v>
      </c>
      <c r="E2699">
        <v>3.6840000000000002</v>
      </c>
    </row>
    <row r="2700" spans="1:5">
      <c r="A2700" t="s">
        <v>36062</v>
      </c>
      <c r="B2700" t="s">
        <v>36074</v>
      </c>
      <c r="C2700">
        <f>0</f>
        <v>0</v>
      </c>
      <c r="D2700">
        <v>0.99119829014299998</v>
      </c>
      <c r="E2700">
        <v>3.6840000000000002</v>
      </c>
    </row>
    <row r="2701" spans="1:5">
      <c r="A2701" t="s">
        <v>36062</v>
      </c>
      <c r="B2701" t="s">
        <v>36075</v>
      </c>
      <c r="C2701">
        <f>0</f>
        <v>0</v>
      </c>
      <c r="D2701">
        <v>0.99119829014299998</v>
      </c>
      <c r="E2701">
        <v>3.6840000000000002</v>
      </c>
    </row>
    <row r="2702" spans="1:5">
      <c r="A2702" t="s">
        <v>36062</v>
      </c>
      <c r="B2702" t="s">
        <v>36076</v>
      </c>
      <c r="C2702">
        <f>0</f>
        <v>0</v>
      </c>
      <c r="D2702">
        <v>0.99119829014299998</v>
      </c>
      <c r="E2702">
        <v>3.6840000000000002</v>
      </c>
    </row>
    <row r="2703" spans="1:5">
      <c r="A2703" t="s">
        <v>36077</v>
      </c>
      <c r="B2703" t="s">
        <v>36078</v>
      </c>
      <c r="C2703">
        <f>0</f>
        <v>0</v>
      </c>
      <c r="D2703" t="s">
        <v>106</v>
      </c>
      <c r="E2703">
        <v>24</v>
      </c>
    </row>
    <row r="2704" spans="1:5">
      <c r="A2704" t="s">
        <v>36077</v>
      </c>
      <c r="B2704" t="s">
        <v>36079</v>
      </c>
      <c r="C2704">
        <v>0</v>
      </c>
      <c r="D2704" t="s">
        <v>106</v>
      </c>
      <c r="E2704">
        <v>24</v>
      </c>
    </row>
    <row r="2705" spans="1:5">
      <c r="A2705" t="s">
        <v>36077</v>
      </c>
      <c r="B2705" t="s">
        <v>36080</v>
      </c>
      <c r="C2705">
        <f>0</f>
        <v>0</v>
      </c>
      <c r="D2705" t="s">
        <v>106</v>
      </c>
      <c r="E2705">
        <v>24</v>
      </c>
    </row>
    <row r="2706" spans="1:5">
      <c r="A2706" t="s">
        <v>36081</v>
      </c>
      <c r="B2706" t="s">
        <v>36082</v>
      </c>
      <c r="C2706">
        <f>0.231278972535</f>
        <v>0.23127897253499999</v>
      </c>
      <c r="D2706">
        <v>0.391288972535</v>
      </c>
      <c r="E2706">
        <v>1.764</v>
      </c>
    </row>
    <row r="2707" spans="1:5">
      <c r="A2707" t="s">
        <v>36081</v>
      </c>
      <c r="B2707" t="s">
        <v>36083</v>
      </c>
      <c r="C2707">
        <v>0</v>
      </c>
      <c r="D2707">
        <v>0.391288972535</v>
      </c>
      <c r="E2707">
        <v>1.764</v>
      </c>
    </row>
    <row r="2708" spans="1:5">
      <c r="A2708" t="s">
        <v>36081</v>
      </c>
      <c r="B2708" t="s">
        <v>36084</v>
      </c>
      <c r="C2708">
        <v>0</v>
      </c>
      <c r="D2708">
        <v>0.391288972535</v>
      </c>
      <c r="E2708">
        <v>1.764</v>
      </c>
    </row>
    <row r="2709" spans="1:5">
      <c r="A2709" t="s">
        <v>36085</v>
      </c>
      <c r="B2709" t="s">
        <v>15417</v>
      </c>
      <c r="C2709">
        <f>0</f>
        <v>0</v>
      </c>
      <c r="D2709" t="s">
        <v>106</v>
      </c>
      <c r="E2709">
        <v>0.73799999999999999</v>
      </c>
    </row>
    <row r="2710" spans="1:5">
      <c r="A2710" t="s">
        <v>36085</v>
      </c>
      <c r="B2710" t="s">
        <v>15419</v>
      </c>
      <c r="C2710">
        <f>0</f>
        <v>0</v>
      </c>
      <c r="D2710" t="s">
        <v>106</v>
      </c>
      <c r="E2710">
        <v>0.73799999999999999</v>
      </c>
    </row>
    <row r="2711" spans="1:5">
      <c r="A2711" t="s">
        <v>36086</v>
      </c>
      <c r="B2711" t="s">
        <v>36087</v>
      </c>
      <c r="C2711">
        <v>0</v>
      </c>
      <c r="D2711" t="s">
        <v>106</v>
      </c>
      <c r="E2711">
        <v>23.754000000000001</v>
      </c>
    </row>
    <row r="2712" spans="1:5">
      <c r="A2712" t="s">
        <v>36086</v>
      </c>
      <c r="B2712" t="s">
        <v>36088</v>
      </c>
      <c r="C2712">
        <f>0</f>
        <v>0</v>
      </c>
      <c r="D2712" t="s">
        <v>106</v>
      </c>
      <c r="E2712">
        <v>23.754000000000001</v>
      </c>
    </row>
    <row r="2713" spans="1:5">
      <c r="A2713" t="s">
        <v>36086</v>
      </c>
      <c r="B2713" t="s">
        <v>36089</v>
      </c>
      <c r="C2713">
        <f>0</f>
        <v>0</v>
      </c>
      <c r="D2713" t="s">
        <v>106</v>
      </c>
      <c r="E2713">
        <v>23.754000000000001</v>
      </c>
    </row>
    <row r="2714" spans="1:5">
      <c r="A2714" t="s">
        <v>36086</v>
      </c>
      <c r="B2714" t="s">
        <v>36090</v>
      </c>
      <c r="C2714">
        <f>0</f>
        <v>0</v>
      </c>
      <c r="D2714" t="s">
        <v>106</v>
      </c>
      <c r="E2714">
        <v>23.754000000000001</v>
      </c>
    </row>
    <row r="2715" spans="1:5">
      <c r="A2715" t="s">
        <v>36091</v>
      </c>
      <c r="B2715" t="s">
        <v>32530</v>
      </c>
      <c r="C2715">
        <f>0.0933984111401</f>
        <v>9.3398411140100002E-2</v>
      </c>
      <c r="D2715">
        <v>0.85081661203799996</v>
      </c>
      <c r="E2715">
        <v>1.278</v>
      </c>
    </row>
    <row r="2716" spans="1:5">
      <c r="A2716" t="s">
        <v>36091</v>
      </c>
      <c r="B2716" t="s">
        <v>32531</v>
      </c>
      <c r="C2716">
        <f>-1.50787615968</f>
        <v>-1.5078761596800001</v>
      </c>
      <c r="D2716">
        <v>0.85081661203799996</v>
      </c>
      <c r="E2716">
        <v>1.278</v>
      </c>
    </row>
    <row r="2717" spans="1:5">
      <c r="A2717" t="s">
        <v>36091</v>
      </c>
      <c r="B2717" t="s">
        <v>32532</v>
      </c>
      <c r="C2717">
        <v>2.21681664788</v>
      </c>
      <c r="D2717">
        <v>0.85081661203799996</v>
      </c>
      <c r="E2717">
        <v>1.278</v>
      </c>
    </row>
    <row r="2718" spans="1:5">
      <c r="A2718" t="s">
        <v>36091</v>
      </c>
      <c r="B2718" t="s">
        <v>32533</v>
      </c>
      <c r="C2718">
        <v>1.6474574076999999</v>
      </c>
      <c r="D2718">
        <v>0.85081661203799996</v>
      </c>
      <c r="E2718">
        <v>1.278</v>
      </c>
    </row>
    <row r="2719" spans="1:5">
      <c r="A2719" t="s">
        <v>36092</v>
      </c>
      <c r="B2719" t="s">
        <v>36093</v>
      </c>
      <c r="C2719">
        <f>0.0113225162994</f>
        <v>1.1322516299400001E-2</v>
      </c>
      <c r="D2719">
        <v>0.88383750892099999</v>
      </c>
      <c r="E2719">
        <v>0</v>
      </c>
    </row>
    <row r="2720" spans="1:5">
      <c r="A2720" t="s">
        <v>36092</v>
      </c>
      <c r="B2720" t="s">
        <v>36094</v>
      </c>
      <c r="C2720">
        <v>0.83752109974199995</v>
      </c>
      <c r="D2720">
        <v>0.88383750892099999</v>
      </c>
      <c r="E2720">
        <v>0</v>
      </c>
    </row>
    <row r="2721" spans="1:5">
      <c r="A2721" t="s">
        <v>36092</v>
      </c>
      <c r="B2721" t="s">
        <v>36095</v>
      </c>
      <c r="C2721">
        <v>1.05033481211</v>
      </c>
      <c r="D2721">
        <v>0.88383750892099999</v>
      </c>
      <c r="E2721">
        <v>0</v>
      </c>
    </row>
    <row r="2722" spans="1:5">
      <c r="A2722" t="s">
        <v>36096</v>
      </c>
      <c r="B2722" t="s">
        <v>16390</v>
      </c>
      <c r="C2722">
        <f>0.654083534715</f>
        <v>0.65408353471500003</v>
      </c>
      <c r="D2722">
        <v>0.86123224249800001</v>
      </c>
      <c r="E2722">
        <v>3.0539999999999998</v>
      </c>
    </row>
    <row r="2723" spans="1:5">
      <c r="A2723" t="s">
        <v>36096</v>
      </c>
      <c r="B2723" t="s">
        <v>16389</v>
      </c>
      <c r="C2723">
        <v>0.33694753152599999</v>
      </c>
      <c r="D2723">
        <v>0.86123224249800001</v>
      </c>
      <c r="E2723">
        <v>3.0539999999999998</v>
      </c>
    </row>
    <row r="2724" spans="1:5">
      <c r="A2724" t="s">
        <v>36096</v>
      </c>
      <c r="B2724" t="s">
        <v>16391</v>
      </c>
      <c r="C2724">
        <f>0.55728079757</f>
        <v>0.55728079757000004</v>
      </c>
      <c r="D2724">
        <v>0.86123224249800001</v>
      </c>
      <c r="E2724">
        <v>3.0539999999999998</v>
      </c>
    </row>
    <row r="2725" spans="1:5">
      <c r="A2725" t="s">
        <v>36097</v>
      </c>
      <c r="B2725" t="s">
        <v>36098</v>
      </c>
      <c r="C2725">
        <v>0.19090791391600001</v>
      </c>
      <c r="D2725">
        <v>0.999997542819</v>
      </c>
      <c r="E2725">
        <v>2.556</v>
      </c>
    </row>
    <row r="2726" spans="1:5">
      <c r="A2726" t="s">
        <v>36097</v>
      </c>
      <c r="B2726" t="s">
        <v>36099</v>
      </c>
      <c r="C2726">
        <v>0.23163374680900001</v>
      </c>
      <c r="D2726">
        <v>0.999997542819</v>
      </c>
      <c r="E2726">
        <v>2.556</v>
      </c>
    </row>
    <row r="2727" spans="1:5">
      <c r="A2727" t="s">
        <v>36097</v>
      </c>
      <c r="B2727" t="s">
        <v>36100</v>
      </c>
      <c r="C2727">
        <v>1.00725305157</v>
      </c>
      <c r="D2727">
        <v>0.999997542819</v>
      </c>
      <c r="E2727">
        <v>2.556</v>
      </c>
    </row>
    <row r="2728" spans="1:5">
      <c r="A2728" t="s">
        <v>36097</v>
      </c>
      <c r="B2728" t="s">
        <v>36101</v>
      </c>
      <c r="C2728">
        <f>0.402558357553</f>
        <v>0.40255835755300001</v>
      </c>
      <c r="D2728">
        <v>0.999997542819</v>
      </c>
      <c r="E2728">
        <v>2.556</v>
      </c>
    </row>
    <row r="2729" spans="1:5">
      <c r="A2729" t="s">
        <v>36097</v>
      </c>
      <c r="B2729" t="s">
        <v>36102</v>
      </c>
      <c r="C2729">
        <f>0.121677685883</f>
        <v>0.121677685883</v>
      </c>
      <c r="D2729">
        <v>0.999997542819</v>
      </c>
      <c r="E2729">
        <v>2.556</v>
      </c>
    </row>
    <row r="2730" spans="1:5">
      <c r="A2730" t="s">
        <v>36097</v>
      </c>
      <c r="B2730" t="s">
        <v>36103</v>
      </c>
      <c r="C2730">
        <v>0.124271819548</v>
      </c>
      <c r="D2730">
        <v>0.999997542819</v>
      </c>
      <c r="E2730">
        <v>2.556</v>
      </c>
    </row>
    <row r="2731" spans="1:5">
      <c r="A2731" t="s">
        <v>36097</v>
      </c>
      <c r="B2731" t="s">
        <v>36104</v>
      </c>
      <c r="C2731">
        <f>0.373115417366</f>
        <v>0.37311541736600001</v>
      </c>
      <c r="D2731">
        <v>0.999997542819</v>
      </c>
      <c r="E2731">
        <v>2.556</v>
      </c>
    </row>
    <row r="2732" spans="1:5">
      <c r="A2732" t="s">
        <v>36105</v>
      </c>
      <c r="B2732" t="s">
        <v>8793</v>
      </c>
      <c r="C2732">
        <v>0.50035167763699995</v>
      </c>
      <c r="D2732">
        <v>0.84244676713400002</v>
      </c>
      <c r="E2732">
        <v>12.048</v>
      </c>
    </row>
    <row r="2733" spans="1:5">
      <c r="A2733" t="s">
        <v>36105</v>
      </c>
      <c r="B2733" t="s">
        <v>8794</v>
      </c>
      <c r="C2733">
        <v>0</v>
      </c>
      <c r="D2733">
        <v>0.84244676713400002</v>
      </c>
      <c r="E2733">
        <v>12.048</v>
      </c>
    </row>
    <row r="2734" spans="1:5">
      <c r="A2734" t="s">
        <v>36105</v>
      </c>
      <c r="B2734" t="s">
        <v>8795</v>
      </c>
      <c r="C2734">
        <v>0.269355791683</v>
      </c>
      <c r="D2734">
        <v>0.84244676713400002</v>
      </c>
      <c r="E2734">
        <v>12.048</v>
      </c>
    </row>
    <row r="2735" spans="1:5">
      <c r="A2735" t="s">
        <v>36106</v>
      </c>
      <c r="B2735" t="s">
        <v>4840</v>
      </c>
      <c r="C2735">
        <f>0</f>
        <v>0</v>
      </c>
      <c r="D2735" t="s">
        <v>106</v>
      </c>
      <c r="E2735">
        <v>2.718</v>
      </c>
    </row>
    <row r="2736" spans="1:5">
      <c r="A2736" t="s">
        <v>36106</v>
      </c>
      <c r="B2736" t="s">
        <v>4845</v>
      </c>
      <c r="C2736">
        <f>0</f>
        <v>0</v>
      </c>
      <c r="D2736" t="s">
        <v>106</v>
      </c>
      <c r="E2736">
        <v>2.718</v>
      </c>
    </row>
    <row r="2737" spans="1:5">
      <c r="A2737" t="s">
        <v>36106</v>
      </c>
      <c r="B2737" t="s">
        <v>4846</v>
      </c>
      <c r="C2737">
        <f>0</f>
        <v>0</v>
      </c>
      <c r="D2737" t="s">
        <v>106</v>
      </c>
      <c r="E2737">
        <v>2.718</v>
      </c>
    </row>
    <row r="2738" spans="1:5">
      <c r="A2738" t="s">
        <v>36106</v>
      </c>
      <c r="B2738" t="s">
        <v>4843</v>
      </c>
      <c r="C2738">
        <f>0</f>
        <v>0</v>
      </c>
      <c r="D2738" t="s">
        <v>106</v>
      </c>
      <c r="E2738">
        <v>2.718</v>
      </c>
    </row>
    <row r="2739" spans="1:5">
      <c r="A2739" t="s">
        <v>36106</v>
      </c>
      <c r="B2739" t="s">
        <v>4844</v>
      </c>
      <c r="C2739">
        <f>0</f>
        <v>0</v>
      </c>
      <c r="D2739" t="s">
        <v>106</v>
      </c>
      <c r="E2739">
        <v>2.718</v>
      </c>
    </row>
    <row r="2740" spans="1:5">
      <c r="A2740" t="s">
        <v>36107</v>
      </c>
      <c r="B2740" t="s">
        <v>36108</v>
      </c>
      <c r="C2740">
        <v>1.6313536487799998E-2</v>
      </c>
      <c r="D2740">
        <v>0.71898113232000005</v>
      </c>
      <c r="E2740">
        <v>0</v>
      </c>
    </row>
    <row r="2741" spans="1:5">
      <c r="A2741" t="s">
        <v>36107</v>
      </c>
      <c r="B2741" t="s">
        <v>36109</v>
      </c>
      <c r="C2741">
        <f>0.60721275833</f>
        <v>0.60721275832999999</v>
      </c>
      <c r="D2741">
        <v>0.71898113232000005</v>
      </c>
      <c r="E2741">
        <v>0</v>
      </c>
    </row>
    <row r="2742" spans="1:5">
      <c r="A2742" t="s">
        <v>36110</v>
      </c>
      <c r="B2742" t="s">
        <v>23071</v>
      </c>
      <c r="C2742">
        <v>0</v>
      </c>
      <c r="D2742">
        <v>0.93750010667399997</v>
      </c>
      <c r="E2742">
        <v>0</v>
      </c>
    </row>
    <row r="2743" spans="1:5">
      <c r="A2743" t="s">
        <v>36110</v>
      </c>
      <c r="B2743" t="s">
        <v>23077</v>
      </c>
      <c r="C2743">
        <f>0</f>
        <v>0</v>
      </c>
      <c r="D2743">
        <v>0.93750010667399997</v>
      </c>
      <c r="E2743">
        <v>0</v>
      </c>
    </row>
    <row r="2744" spans="1:5">
      <c r="A2744" t="s">
        <v>36110</v>
      </c>
      <c r="B2744" t="s">
        <v>23072</v>
      </c>
      <c r="C2744">
        <v>0.14982720063800001</v>
      </c>
      <c r="D2744">
        <v>0.93750010667399997</v>
      </c>
      <c r="E2744">
        <v>0</v>
      </c>
    </row>
    <row r="2745" spans="1:5">
      <c r="A2745" t="s">
        <v>36110</v>
      </c>
      <c r="B2745" t="s">
        <v>23074</v>
      </c>
      <c r="C2745">
        <v>0.71573463919000002</v>
      </c>
      <c r="D2745">
        <v>0.93750010667399997</v>
      </c>
      <c r="E2745">
        <v>0</v>
      </c>
    </row>
    <row r="2746" spans="1:5">
      <c r="A2746" t="s">
        <v>36110</v>
      </c>
      <c r="B2746" t="s">
        <v>23075</v>
      </c>
      <c r="C2746">
        <f>0.0140563982673</f>
        <v>1.4056398267299999E-2</v>
      </c>
      <c r="D2746">
        <v>0.93750010667399997</v>
      </c>
      <c r="E2746">
        <v>0</v>
      </c>
    </row>
    <row r="2747" spans="1:5">
      <c r="A2747" t="s">
        <v>36110</v>
      </c>
      <c r="B2747" t="s">
        <v>23073</v>
      </c>
      <c r="C2747">
        <v>0</v>
      </c>
      <c r="D2747">
        <v>0.93750010667399997</v>
      </c>
      <c r="E2747">
        <v>0</v>
      </c>
    </row>
    <row r="2748" spans="1:5">
      <c r="A2748" t="s">
        <v>36111</v>
      </c>
      <c r="B2748" t="s">
        <v>36112</v>
      </c>
      <c r="C2748">
        <v>0.64206574423499996</v>
      </c>
      <c r="D2748">
        <v>0.98695138992599996</v>
      </c>
      <c r="E2748">
        <v>0</v>
      </c>
    </row>
    <row r="2749" spans="1:5">
      <c r="A2749" t="s">
        <v>36111</v>
      </c>
      <c r="B2749" t="s">
        <v>36113</v>
      </c>
      <c r="C2749">
        <v>0.371407723445</v>
      </c>
      <c r="D2749">
        <v>0.98695138992599996</v>
      </c>
      <c r="E2749">
        <v>0</v>
      </c>
    </row>
    <row r="2750" spans="1:5">
      <c r="A2750" t="s">
        <v>36114</v>
      </c>
      <c r="B2750" t="s">
        <v>4976</v>
      </c>
      <c r="C2750">
        <v>0</v>
      </c>
      <c r="D2750">
        <v>0.96139277818500002</v>
      </c>
      <c r="E2750">
        <v>4.2720000000000002</v>
      </c>
    </row>
    <row r="2751" spans="1:5">
      <c r="A2751" t="s">
        <v>36114</v>
      </c>
      <c r="B2751" t="s">
        <v>4971</v>
      </c>
      <c r="C2751">
        <v>0.21440117387800001</v>
      </c>
      <c r="D2751">
        <v>0.96139277818500002</v>
      </c>
      <c r="E2751">
        <v>4.2720000000000002</v>
      </c>
    </row>
    <row r="2752" spans="1:5">
      <c r="A2752" t="s">
        <v>36114</v>
      </c>
      <c r="B2752" t="s">
        <v>4972</v>
      </c>
      <c r="C2752">
        <v>0</v>
      </c>
      <c r="D2752">
        <v>0.96139277818500002</v>
      </c>
      <c r="E2752">
        <v>4.2720000000000002</v>
      </c>
    </row>
    <row r="2753" spans="1:5">
      <c r="A2753" t="s">
        <v>36114</v>
      </c>
      <c r="B2753" t="s">
        <v>4968</v>
      </c>
      <c r="C2753">
        <f>0</f>
        <v>0</v>
      </c>
      <c r="D2753">
        <v>0.96139277818500002</v>
      </c>
      <c r="E2753">
        <v>4.2720000000000002</v>
      </c>
    </row>
    <row r="2754" spans="1:5">
      <c r="A2754" t="s">
        <v>36114</v>
      </c>
      <c r="B2754" t="s">
        <v>4966</v>
      </c>
      <c r="C2754">
        <f>0</f>
        <v>0</v>
      </c>
      <c r="D2754">
        <v>0.96139277818500002</v>
      </c>
      <c r="E2754">
        <v>4.2720000000000002</v>
      </c>
    </row>
    <row r="2755" spans="1:5">
      <c r="A2755" t="s">
        <v>36114</v>
      </c>
      <c r="B2755" t="s">
        <v>4967</v>
      </c>
      <c r="C2755">
        <f>0.417474267856</f>
        <v>0.417474267856</v>
      </c>
      <c r="D2755">
        <v>0.96139277818500002</v>
      </c>
      <c r="E2755">
        <v>4.2720000000000002</v>
      </c>
    </row>
    <row r="2756" spans="1:5">
      <c r="A2756" t="s">
        <v>36114</v>
      </c>
      <c r="B2756" t="s">
        <v>4969</v>
      </c>
      <c r="C2756">
        <v>0</v>
      </c>
      <c r="D2756">
        <v>0.96139277818500002</v>
      </c>
      <c r="E2756">
        <v>4.2720000000000002</v>
      </c>
    </row>
    <row r="2757" spans="1:5">
      <c r="A2757" t="s">
        <v>36114</v>
      </c>
      <c r="B2757" t="s">
        <v>4975</v>
      </c>
      <c r="C2757">
        <f>0</f>
        <v>0</v>
      </c>
      <c r="D2757">
        <v>0.96139277818500002</v>
      </c>
      <c r="E2757">
        <v>4.2720000000000002</v>
      </c>
    </row>
    <row r="2758" spans="1:5">
      <c r="A2758" t="s">
        <v>36114</v>
      </c>
      <c r="B2758" t="s">
        <v>4970</v>
      </c>
      <c r="C2758">
        <v>0</v>
      </c>
      <c r="D2758">
        <v>0.96139277818500002</v>
      </c>
      <c r="E2758">
        <v>4.2720000000000002</v>
      </c>
    </row>
    <row r="2759" spans="1:5">
      <c r="A2759" t="s">
        <v>36114</v>
      </c>
      <c r="B2759" t="s">
        <v>4973</v>
      </c>
      <c r="C2759">
        <v>0.48950291310499999</v>
      </c>
      <c r="D2759">
        <v>0.96139277818500002</v>
      </c>
      <c r="E2759">
        <v>4.2720000000000002</v>
      </c>
    </row>
    <row r="2760" spans="1:5">
      <c r="A2760" t="s">
        <v>36114</v>
      </c>
      <c r="B2760" t="s">
        <v>4974</v>
      </c>
      <c r="C2760">
        <f>0</f>
        <v>0</v>
      </c>
      <c r="D2760">
        <v>0.96139277818500002</v>
      </c>
      <c r="E2760">
        <v>4.2720000000000002</v>
      </c>
    </row>
    <row r="2761" spans="1:5">
      <c r="A2761" t="s">
        <v>36115</v>
      </c>
      <c r="B2761" t="s">
        <v>27988</v>
      </c>
      <c r="C2761">
        <f>0.803389521304</f>
        <v>0.80338952130399999</v>
      </c>
      <c r="D2761">
        <v>0.99997240434500001</v>
      </c>
      <c r="E2761">
        <v>7.3319999999999999</v>
      </c>
    </row>
    <row r="2762" spans="1:5">
      <c r="A2762" t="s">
        <v>36115</v>
      </c>
      <c r="B2762" t="s">
        <v>27989</v>
      </c>
      <c r="C2762">
        <f>0.0199812405557</f>
        <v>1.9981240555700001E-2</v>
      </c>
      <c r="D2762">
        <v>0.99997240434500001</v>
      </c>
      <c r="E2762">
        <v>7.3319999999999999</v>
      </c>
    </row>
    <row r="2763" spans="1:5">
      <c r="A2763" t="s">
        <v>36115</v>
      </c>
      <c r="B2763" t="s">
        <v>27993</v>
      </c>
      <c r="C2763">
        <f>0.0846497876546</f>
        <v>8.4649787654600003E-2</v>
      </c>
      <c r="D2763">
        <v>0.99997240434500001</v>
      </c>
      <c r="E2763">
        <v>7.3319999999999999</v>
      </c>
    </row>
    <row r="2764" spans="1:5">
      <c r="A2764" t="s">
        <v>36115</v>
      </c>
      <c r="B2764" t="s">
        <v>27991</v>
      </c>
      <c r="C2764">
        <f>0.186675137009</f>
        <v>0.18667513700899999</v>
      </c>
      <c r="D2764">
        <v>0.99997240434500001</v>
      </c>
      <c r="E2764">
        <v>7.3319999999999999</v>
      </c>
    </row>
    <row r="2765" spans="1:5">
      <c r="A2765" t="s">
        <v>36115</v>
      </c>
      <c r="B2765" t="s">
        <v>36116</v>
      </c>
      <c r="C2765">
        <f>0.469744148328</f>
        <v>0.46974414832799999</v>
      </c>
      <c r="D2765">
        <v>0.99997240434500001</v>
      </c>
      <c r="E2765">
        <v>7.3319999999999999</v>
      </c>
    </row>
    <row r="2766" spans="1:5">
      <c r="A2766" t="s">
        <v>36115</v>
      </c>
      <c r="B2766" t="s">
        <v>27990</v>
      </c>
      <c r="C2766">
        <f>0.0878348772116</f>
        <v>8.7834877211599993E-2</v>
      </c>
      <c r="D2766">
        <v>0.99997240434500001</v>
      </c>
      <c r="E2766">
        <v>7.3319999999999999</v>
      </c>
    </row>
    <row r="2767" spans="1:5">
      <c r="A2767" t="s">
        <v>36115</v>
      </c>
      <c r="B2767" t="s">
        <v>27992</v>
      </c>
      <c r="C2767">
        <v>0.47186801708600001</v>
      </c>
      <c r="D2767">
        <v>0.99997240434500001</v>
      </c>
      <c r="E2767">
        <v>7.3319999999999999</v>
      </c>
    </row>
    <row r="2768" spans="1:5">
      <c r="A2768" t="s">
        <v>36115</v>
      </c>
      <c r="B2768" t="s">
        <v>36117</v>
      </c>
      <c r="C2768">
        <f>0.0193549651826</f>
        <v>1.9354965182599999E-2</v>
      </c>
      <c r="D2768">
        <v>0.99997240434500001</v>
      </c>
      <c r="E2768">
        <v>7.3319999999999999</v>
      </c>
    </row>
    <row r="2769" spans="1:5">
      <c r="A2769" t="s">
        <v>36118</v>
      </c>
      <c r="B2769" t="s">
        <v>3237</v>
      </c>
      <c r="C2769">
        <f>0</f>
        <v>0</v>
      </c>
      <c r="D2769" t="s">
        <v>106</v>
      </c>
      <c r="E2769">
        <v>0</v>
      </c>
    </row>
    <row r="2770" spans="1:5">
      <c r="A2770" t="s">
        <v>36118</v>
      </c>
      <c r="B2770" t="s">
        <v>3241</v>
      </c>
      <c r="C2770">
        <f>0</f>
        <v>0</v>
      </c>
      <c r="D2770" t="s">
        <v>106</v>
      </c>
      <c r="E2770">
        <v>0</v>
      </c>
    </row>
    <row r="2771" spans="1:5">
      <c r="A2771" t="s">
        <v>36119</v>
      </c>
      <c r="B2771" t="s">
        <v>36120</v>
      </c>
      <c r="C2771">
        <f>0.634219203795</f>
        <v>0.63421920379499996</v>
      </c>
      <c r="D2771">
        <v>0.88235661591900005</v>
      </c>
      <c r="E2771">
        <v>0</v>
      </c>
    </row>
    <row r="2772" spans="1:5">
      <c r="A2772" t="s">
        <v>36119</v>
      </c>
      <c r="B2772" t="s">
        <v>36121</v>
      </c>
      <c r="C2772">
        <v>0.225238883719</v>
      </c>
      <c r="D2772">
        <v>0.88235661591900005</v>
      </c>
      <c r="E2772">
        <v>0</v>
      </c>
    </row>
    <row r="2773" spans="1:5">
      <c r="A2773" t="s">
        <v>36119</v>
      </c>
      <c r="B2773" t="s">
        <v>36122</v>
      </c>
      <c r="C2773">
        <f>0</f>
        <v>0</v>
      </c>
      <c r="D2773">
        <v>0.88235661591900005</v>
      </c>
      <c r="E2773">
        <v>0</v>
      </c>
    </row>
    <row r="2774" spans="1:5">
      <c r="A2774" t="s">
        <v>36119</v>
      </c>
      <c r="B2774" t="s">
        <v>36123</v>
      </c>
      <c r="C2774">
        <f>0.205219764124</f>
        <v>0.205219764124</v>
      </c>
      <c r="D2774">
        <v>0.88235661591900005</v>
      </c>
      <c r="E2774">
        <v>0</v>
      </c>
    </row>
    <row r="2775" spans="1:5">
      <c r="A2775" t="s">
        <v>36124</v>
      </c>
      <c r="B2775" t="s">
        <v>32797</v>
      </c>
      <c r="C2775">
        <f>0</f>
        <v>0</v>
      </c>
      <c r="D2775">
        <v>0.78178577603800004</v>
      </c>
      <c r="E2775">
        <v>3.972</v>
      </c>
    </row>
    <row r="2776" spans="1:5">
      <c r="A2776" t="s">
        <v>36124</v>
      </c>
      <c r="B2776" t="s">
        <v>32799</v>
      </c>
      <c r="C2776">
        <f>0.0650528714319</f>
        <v>6.50528714319E-2</v>
      </c>
      <c r="D2776">
        <v>0.78178577603800004</v>
      </c>
      <c r="E2776">
        <v>3.972</v>
      </c>
    </row>
    <row r="2777" spans="1:5">
      <c r="A2777" t="s">
        <v>36124</v>
      </c>
      <c r="B2777" t="s">
        <v>32798</v>
      </c>
      <c r="C2777">
        <f>0.602172955851</f>
        <v>0.60217295585099995</v>
      </c>
      <c r="D2777">
        <v>0.78178577603800004</v>
      </c>
      <c r="E2777">
        <v>3.972</v>
      </c>
    </row>
    <row r="2778" spans="1:5">
      <c r="A2778" t="s">
        <v>36125</v>
      </c>
      <c r="B2778" t="s">
        <v>20120</v>
      </c>
      <c r="C2778">
        <f>0</f>
        <v>0</v>
      </c>
      <c r="D2778">
        <v>0.64546391799900005</v>
      </c>
      <c r="E2778">
        <v>6.9359999999999999</v>
      </c>
    </row>
    <row r="2779" spans="1:5">
      <c r="A2779" t="s">
        <v>36125</v>
      </c>
      <c r="B2779" t="s">
        <v>20122</v>
      </c>
      <c r="C2779">
        <v>0</v>
      </c>
      <c r="D2779">
        <v>0.64546391799900005</v>
      </c>
      <c r="E2779">
        <v>6.9359999999999999</v>
      </c>
    </row>
    <row r="2780" spans="1:5">
      <c r="A2780" t="s">
        <v>36125</v>
      </c>
      <c r="B2780" t="s">
        <v>20121</v>
      </c>
      <c r="C2780">
        <v>0.23585391799899999</v>
      </c>
      <c r="D2780">
        <v>0.64546391799900005</v>
      </c>
      <c r="E2780">
        <v>6.9359999999999999</v>
      </c>
    </row>
    <row r="2781" spans="1:5">
      <c r="A2781" t="s">
        <v>36125</v>
      </c>
      <c r="B2781" t="s">
        <v>20124</v>
      </c>
      <c r="C2781">
        <v>0</v>
      </c>
      <c r="D2781">
        <v>0.64546391799900005</v>
      </c>
      <c r="E2781">
        <v>6.9359999999999999</v>
      </c>
    </row>
    <row r="2782" spans="1:5">
      <c r="A2782" t="s">
        <v>36125</v>
      </c>
      <c r="B2782" t="s">
        <v>20127</v>
      </c>
      <c r="C2782">
        <v>0</v>
      </c>
      <c r="D2782">
        <v>0.64546391799900005</v>
      </c>
      <c r="E2782">
        <v>6.9359999999999999</v>
      </c>
    </row>
    <row r="2783" spans="1:5">
      <c r="A2783" t="s">
        <v>36125</v>
      </c>
      <c r="B2783" t="s">
        <v>20123</v>
      </c>
      <c r="C2783">
        <v>0</v>
      </c>
      <c r="D2783">
        <v>0.64546391799900005</v>
      </c>
      <c r="E2783">
        <v>6.9359999999999999</v>
      </c>
    </row>
    <row r="2784" spans="1:5">
      <c r="A2784" t="s">
        <v>36125</v>
      </c>
      <c r="B2784" t="s">
        <v>20126</v>
      </c>
      <c r="C2784">
        <v>0</v>
      </c>
      <c r="D2784">
        <v>0.64546391799900005</v>
      </c>
      <c r="E2784">
        <v>6.9359999999999999</v>
      </c>
    </row>
    <row r="2785" spans="1:5">
      <c r="A2785" t="s">
        <v>36126</v>
      </c>
      <c r="B2785" t="s">
        <v>33940</v>
      </c>
      <c r="C2785">
        <v>0</v>
      </c>
      <c r="D2785">
        <v>0.767891825074</v>
      </c>
      <c r="E2785">
        <v>0.114</v>
      </c>
    </row>
    <row r="2786" spans="1:5">
      <c r="A2786" t="s">
        <v>36126</v>
      </c>
      <c r="B2786" t="s">
        <v>33945</v>
      </c>
      <c r="C2786">
        <f>0</f>
        <v>0</v>
      </c>
      <c r="D2786">
        <v>0.767891825074</v>
      </c>
      <c r="E2786">
        <v>0.114</v>
      </c>
    </row>
    <row r="2787" spans="1:5">
      <c r="A2787" t="s">
        <v>36126</v>
      </c>
      <c r="B2787" t="s">
        <v>33942</v>
      </c>
      <c r="C2787">
        <v>0.24692451982700001</v>
      </c>
      <c r="D2787">
        <v>0.767891825074</v>
      </c>
      <c r="E2787">
        <v>0.114</v>
      </c>
    </row>
    <row r="2788" spans="1:5">
      <c r="A2788" t="s">
        <v>36126</v>
      </c>
      <c r="B2788" t="s">
        <v>33941</v>
      </c>
      <c r="C2788">
        <v>0.118877508029</v>
      </c>
      <c r="D2788">
        <v>0.767891825074</v>
      </c>
      <c r="E2788">
        <v>0.114</v>
      </c>
    </row>
    <row r="2789" spans="1:5">
      <c r="A2789" t="s">
        <v>36126</v>
      </c>
      <c r="B2789" t="s">
        <v>33944</v>
      </c>
      <c r="C2789">
        <v>0.38151421867599999</v>
      </c>
      <c r="D2789">
        <v>0.767891825074</v>
      </c>
      <c r="E2789">
        <v>0.114</v>
      </c>
    </row>
    <row r="2790" spans="1:5">
      <c r="A2790" t="s">
        <v>36127</v>
      </c>
      <c r="B2790" t="s">
        <v>30600</v>
      </c>
      <c r="C2790">
        <f>0.996285679012</f>
        <v>0.99628567901200005</v>
      </c>
      <c r="D2790">
        <v>0.99243498142099995</v>
      </c>
      <c r="E2790">
        <v>17.928000000000001</v>
      </c>
    </row>
    <row r="2791" spans="1:5">
      <c r="A2791" t="s">
        <v>36127</v>
      </c>
      <c r="B2791" t="s">
        <v>30604</v>
      </c>
      <c r="C2791">
        <f>0.684801365898</f>
        <v>0.684801365898</v>
      </c>
      <c r="D2791">
        <v>0.99243498142099995</v>
      </c>
      <c r="E2791">
        <v>17.928000000000001</v>
      </c>
    </row>
    <row r="2792" spans="1:5">
      <c r="A2792" t="s">
        <v>36127</v>
      </c>
      <c r="B2792" t="s">
        <v>30601</v>
      </c>
      <c r="C2792">
        <v>0.25270307400800002</v>
      </c>
      <c r="D2792">
        <v>0.99243498142099995</v>
      </c>
      <c r="E2792">
        <v>17.928000000000001</v>
      </c>
    </row>
    <row r="2793" spans="1:5">
      <c r="A2793" t="s">
        <v>36127</v>
      </c>
      <c r="B2793" t="s">
        <v>30602</v>
      </c>
      <c r="C2793">
        <v>0.36817559063400002</v>
      </c>
      <c r="D2793">
        <v>0.99243498142099995</v>
      </c>
      <c r="E2793">
        <v>17.928000000000001</v>
      </c>
    </row>
    <row r="2794" spans="1:5">
      <c r="A2794" t="s">
        <v>36127</v>
      </c>
      <c r="B2794" t="s">
        <v>30603</v>
      </c>
      <c r="C2794">
        <v>2.1565344156100001E-2</v>
      </c>
      <c r="D2794">
        <v>0.99243498142099995</v>
      </c>
      <c r="E2794">
        <v>17.928000000000001</v>
      </c>
    </row>
    <row r="2795" spans="1:5">
      <c r="A2795" t="s">
        <v>36128</v>
      </c>
      <c r="B2795" t="s">
        <v>19387</v>
      </c>
      <c r="C2795">
        <f>0</f>
        <v>0</v>
      </c>
      <c r="D2795" t="s">
        <v>106</v>
      </c>
      <c r="E2795">
        <v>6.0000000000000001E-3</v>
      </c>
    </row>
    <row r="2796" spans="1:5">
      <c r="A2796" t="s">
        <v>36128</v>
      </c>
      <c r="B2796" t="s">
        <v>19384</v>
      </c>
      <c r="C2796">
        <v>0</v>
      </c>
      <c r="D2796" t="s">
        <v>106</v>
      </c>
      <c r="E2796">
        <v>6.0000000000000001E-3</v>
      </c>
    </row>
    <row r="2797" spans="1:5">
      <c r="A2797" t="s">
        <v>36128</v>
      </c>
      <c r="B2797" t="s">
        <v>19383</v>
      </c>
      <c r="C2797">
        <f>0</f>
        <v>0</v>
      </c>
      <c r="D2797" t="s">
        <v>106</v>
      </c>
      <c r="E2797">
        <v>6.0000000000000001E-3</v>
      </c>
    </row>
    <row r="2798" spans="1:5">
      <c r="A2798" t="s">
        <v>36128</v>
      </c>
      <c r="B2798" t="s">
        <v>19391</v>
      </c>
      <c r="C2798">
        <f>0</f>
        <v>0</v>
      </c>
      <c r="D2798" t="s">
        <v>106</v>
      </c>
      <c r="E2798">
        <v>6.0000000000000001E-3</v>
      </c>
    </row>
    <row r="2799" spans="1:5">
      <c r="A2799" t="s">
        <v>36128</v>
      </c>
      <c r="B2799" t="s">
        <v>19389</v>
      </c>
      <c r="C2799">
        <v>0</v>
      </c>
      <c r="D2799" t="s">
        <v>106</v>
      </c>
      <c r="E2799">
        <v>6.0000000000000001E-3</v>
      </c>
    </row>
    <row r="2800" spans="1:5">
      <c r="A2800" t="s">
        <v>36128</v>
      </c>
      <c r="B2800" t="s">
        <v>19385</v>
      </c>
      <c r="C2800">
        <v>0</v>
      </c>
      <c r="D2800" t="s">
        <v>106</v>
      </c>
      <c r="E2800">
        <v>6.0000000000000001E-3</v>
      </c>
    </row>
    <row r="2801" spans="1:5">
      <c r="A2801" t="s">
        <v>36128</v>
      </c>
      <c r="B2801" t="s">
        <v>19390</v>
      </c>
      <c r="C2801">
        <v>0</v>
      </c>
      <c r="D2801" t="s">
        <v>106</v>
      </c>
      <c r="E2801">
        <v>6.0000000000000001E-3</v>
      </c>
    </row>
    <row r="2802" spans="1:5">
      <c r="A2802" t="s">
        <v>36128</v>
      </c>
      <c r="B2802" t="s">
        <v>19392</v>
      </c>
      <c r="C2802">
        <f>0</f>
        <v>0</v>
      </c>
      <c r="D2802" t="s">
        <v>106</v>
      </c>
      <c r="E2802">
        <v>6.0000000000000001E-3</v>
      </c>
    </row>
    <row r="2803" spans="1:5">
      <c r="A2803" t="s">
        <v>36129</v>
      </c>
      <c r="B2803" t="s">
        <v>7145</v>
      </c>
      <c r="C2803">
        <v>0</v>
      </c>
      <c r="D2803" t="s">
        <v>106</v>
      </c>
      <c r="E2803">
        <v>1.968</v>
      </c>
    </row>
    <row r="2804" spans="1:5">
      <c r="A2804" t="s">
        <v>36129</v>
      </c>
      <c r="B2804" t="s">
        <v>7147</v>
      </c>
      <c r="C2804">
        <f>0</f>
        <v>0</v>
      </c>
      <c r="D2804" t="s">
        <v>106</v>
      </c>
      <c r="E2804">
        <v>1.968</v>
      </c>
    </row>
    <row r="2805" spans="1:5">
      <c r="A2805" t="s">
        <v>36129</v>
      </c>
      <c r="B2805" t="s">
        <v>7148</v>
      </c>
      <c r="C2805">
        <v>0</v>
      </c>
      <c r="D2805" t="s">
        <v>106</v>
      </c>
      <c r="E2805">
        <v>1.968</v>
      </c>
    </row>
    <row r="2806" spans="1:5">
      <c r="A2806" t="s">
        <v>36130</v>
      </c>
      <c r="B2806" t="s">
        <v>17206</v>
      </c>
      <c r="C2806">
        <v>0.85259490094900003</v>
      </c>
      <c r="D2806">
        <v>0.84287048143300003</v>
      </c>
      <c r="E2806">
        <v>23.754000000000001</v>
      </c>
    </row>
    <row r="2807" spans="1:5">
      <c r="A2807" t="s">
        <v>36130</v>
      </c>
      <c r="B2807" t="s">
        <v>17212</v>
      </c>
      <c r="C2807">
        <v>0</v>
      </c>
      <c r="D2807">
        <v>0.84287048143300003</v>
      </c>
      <c r="E2807">
        <v>23.754000000000001</v>
      </c>
    </row>
    <row r="2808" spans="1:5">
      <c r="A2808" t="s">
        <v>36130</v>
      </c>
      <c r="B2808" t="s">
        <v>17209</v>
      </c>
      <c r="C2808">
        <f>0.154399671141</f>
        <v>0.15439967114100001</v>
      </c>
      <c r="D2808">
        <v>0.84287048143300003</v>
      </c>
      <c r="E2808">
        <v>23.754000000000001</v>
      </c>
    </row>
    <row r="2809" spans="1:5">
      <c r="A2809" t="s">
        <v>36131</v>
      </c>
      <c r="B2809" t="s">
        <v>36132</v>
      </c>
      <c r="C2809">
        <v>0.244529071312</v>
      </c>
      <c r="D2809">
        <v>0.86194162601799995</v>
      </c>
      <c r="E2809">
        <v>13.818</v>
      </c>
    </row>
    <row r="2810" spans="1:5">
      <c r="A2810" t="s">
        <v>36131</v>
      </c>
      <c r="B2810" t="s">
        <v>36133</v>
      </c>
      <c r="C2810">
        <v>0</v>
      </c>
      <c r="D2810">
        <v>0.86194162601799995</v>
      </c>
      <c r="E2810">
        <v>13.818</v>
      </c>
    </row>
    <row r="2811" spans="1:5">
      <c r="A2811" t="s">
        <v>36131</v>
      </c>
      <c r="B2811" t="s">
        <v>36134</v>
      </c>
      <c r="C2811">
        <v>0</v>
      </c>
      <c r="D2811">
        <v>0.86194162601799995</v>
      </c>
      <c r="E2811">
        <v>13.818</v>
      </c>
    </row>
    <row r="2812" spans="1:5">
      <c r="A2812" t="s">
        <v>36131</v>
      </c>
      <c r="B2812" t="s">
        <v>36135</v>
      </c>
      <c r="C2812">
        <v>0</v>
      </c>
      <c r="D2812">
        <v>0.86194162601799995</v>
      </c>
      <c r="E2812">
        <v>13.818</v>
      </c>
    </row>
    <row r="2813" spans="1:5">
      <c r="A2813" t="s">
        <v>36131</v>
      </c>
      <c r="B2813" t="s">
        <v>36136</v>
      </c>
      <c r="C2813">
        <v>0.52051997486599999</v>
      </c>
      <c r="D2813">
        <v>0.86194162601799995</v>
      </c>
      <c r="E2813">
        <v>13.818</v>
      </c>
    </row>
    <row r="2814" spans="1:5">
      <c r="A2814" t="s">
        <v>36131</v>
      </c>
      <c r="B2814" t="s">
        <v>36137</v>
      </c>
      <c r="C2814">
        <v>7.2087176253200005E-2</v>
      </c>
      <c r="D2814">
        <v>0.86194162601799995</v>
      </c>
      <c r="E2814">
        <v>13.818</v>
      </c>
    </row>
    <row r="2815" spans="1:5">
      <c r="A2815" t="s">
        <v>36138</v>
      </c>
      <c r="B2815" t="s">
        <v>541</v>
      </c>
      <c r="C2815">
        <v>0.109637620958</v>
      </c>
      <c r="D2815">
        <v>0.81184317420700003</v>
      </c>
      <c r="E2815">
        <v>3.4980000000000002</v>
      </c>
    </row>
    <row r="2816" spans="1:5">
      <c r="A2816" t="s">
        <v>36138</v>
      </c>
      <c r="B2816" t="s">
        <v>544</v>
      </c>
      <c r="C2816">
        <v>0.41882739380700001</v>
      </c>
      <c r="D2816">
        <v>0.81184317420700003</v>
      </c>
      <c r="E2816">
        <v>3.4980000000000002</v>
      </c>
    </row>
    <row r="2817" spans="1:5">
      <c r="A2817" t="s">
        <v>36138</v>
      </c>
      <c r="B2817" t="s">
        <v>539</v>
      </c>
      <c r="C2817">
        <f>0.543733532098</f>
        <v>0.54373353209800002</v>
      </c>
      <c r="D2817">
        <v>0.81184317420700003</v>
      </c>
      <c r="E2817">
        <v>3.4980000000000002</v>
      </c>
    </row>
    <row r="2818" spans="1:5">
      <c r="A2818" t="s">
        <v>36138</v>
      </c>
      <c r="B2818" t="s">
        <v>542</v>
      </c>
      <c r="C2818">
        <f>0.596462196944</f>
        <v>0.59646219694400004</v>
      </c>
      <c r="D2818">
        <v>0.81184317420700003</v>
      </c>
      <c r="E2818">
        <v>3.4980000000000002</v>
      </c>
    </row>
    <row r="2819" spans="1:5">
      <c r="A2819" t="s">
        <v>36139</v>
      </c>
      <c r="B2819" t="s">
        <v>30682</v>
      </c>
      <c r="C2819">
        <f>0.83139116768</f>
        <v>0.83139116767999999</v>
      </c>
      <c r="D2819">
        <v>0.95616806519700004</v>
      </c>
      <c r="E2819">
        <v>20.292000000000002</v>
      </c>
    </row>
    <row r="2820" spans="1:5">
      <c r="A2820" t="s">
        <v>36139</v>
      </c>
      <c r="B2820" t="s">
        <v>30676</v>
      </c>
      <c r="C2820">
        <v>4.6948350761599998E-3</v>
      </c>
      <c r="D2820">
        <v>0.95616806519700004</v>
      </c>
      <c r="E2820">
        <v>20.292000000000002</v>
      </c>
    </row>
    <row r="2821" spans="1:5">
      <c r="A2821" t="s">
        <v>36139</v>
      </c>
      <c r="B2821" t="s">
        <v>30677</v>
      </c>
      <c r="C2821">
        <f>0</f>
        <v>0</v>
      </c>
      <c r="D2821">
        <v>0.95616806519700004</v>
      </c>
      <c r="E2821">
        <v>20.292000000000002</v>
      </c>
    </row>
    <row r="2822" spans="1:5">
      <c r="A2822" t="s">
        <v>36139</v>
      </c>
      <c r="B2822" t="s">
        <v>30679</v>
      </c>
      <c r="C2822">
        <v>0.45314823325100001</v>
      </c>
      <c r="D2822">
        <v>0.95616806519700004</v>
      </c>
      <c r="E2822">
        <v>20.292000000000002</v>
      </c>
    </row>
    <row r="2823" spans="1:5">
      <c r="A2823" t="s">
        <v>36139</v>
      </c>
      <c r="B2823" t="s">
        <v>30680</v>
      </c>
      <c r="C2823">
        <f>0.265684345465</f>
        <v>0.26568434546500003</v>
      </c>
      <c r="D2823">
        <v>0.95616806519700004</v>
      </c>
      <c r="E2823">
        <v>20.292000000000002</v>
      </c>
    </row>
    <row r="2824" spans="1:5">
      <c r="A2824" t="s">
        <v>36140</v>
      </c>
      <c r="B2824" t="s">
        <v>22644</v>
      </c>
      <c r="C2824">
        <f>0</f>
        <v>0</v>
      </c>
      <c r="D2824" t="s">
        <v>106</v>
      </c>
      <c r="E2824">
        <v>0.82799999999999996</v>
      </c>
    </row>
    <row r="2825" spans="1:5">
      <c r="A2825" t="s">
        <v>36140</v>
      </c>
      <c r="B2825" t="s">
        <v>22645</v>
      </c>
      <c r="C2825">
        <v>0</v>
      </c>
      <c r="D2825" t="s">
        <v>106</v>
      </c>
      <c r="E2825">
        <v>0.82799999999999996</v>
      </c>
    </row>
    <row r="2826" spans="1:5">
      <c r="A2826" t="s">
        <v>36140</v>
      </c>
      <c r="B2826" t="s">
        <v>22646</v>
      </c>
      <c r="C2826">
        <v>0</v>
      </c>
      <c r="D2826" t="s">
        <v>106</v>
      </c>
      <c r="E2826">
        <v>0.82799999999999996</v>
      </c>
    </row>
    <row r="2827" spans="1:5">
      <c r="A2827" t="s">
        <v>36141</v>
      </c>
      <c r="B2827" t="s">
        <v>10296</v>
      </c>
      <c r="C2827">
        <f>0.640753865854</f>
        <v>0.64075386585399996</v>
      </c>
      <c r="D2827">
        <v>0.80076386585399995</v>
      </c>
      <c r="E2827">
        <v>24</v>
      </c>
    </row>
    <row r="2828" spans="1:5">
      <c r="A2828" t="s">
        <v>36141</v>
      </c>
      <c r="B2828" t="s">
        <v>10299</v>
      </c>
      <c r="C2828">
        <v>0</v>
      </c>
      <c r="D2828">
        <v>0.80076386585399995</v>
      </c>
      <c r="E2828">
        <v>24</v>
      </c>
    </row>
    <row r="2829" spans="1:5">
      <c r="A2829" t="s">
        <v>36142</v>
      </c>
      <c r="B2829" t="s">
        <v>1070</v>
      </c>
      <c r="C2829">
        <v>0</v>
      </c>
      <c r="D2829">
        <v>0.948559550433</v>
      </c>
      <c r="E2829">
        <v>1.452</v>
      </c>
    </row>
    <row r="2830" spans="1:5">
      <c r="A2830" t="s">
        <v>36142</v>
      </c>
      <c r="B2830" t="s">
        <v>1074</v>
      </c>
      <c r="C2830">
        <v>0</v>
      </c>
      <c r="D2830">
        <v>0.948559550433</v>
      </c>
      <c r="E2830">
        <v>1.452</v>
      </c>
    </row>
    <row r="2831" spans="1:5">
      <c r="A2831" t="s">
        <v>36142</v>
      </c>
      <c r="B2831" t="s">
        <v>1083</v>
      </c>
      <c r="C2831">
        <f>0</f>
        <v>0</v>
      </c>
      <c r="D2831">
        <v>0.948559550433</v>
      </c>
      <c r="E2831">
        <v>1.452</v>
      </c>
    </row>
    <row r="2832" spans="1:5">
      <c r="A2832" t="s">
        <v>36142</v>
      </c>
      <c r="B2832" t="s">
        <v>1086</v>
      </c>
      <c r="C2832">
        <f>0.475928349188</f>
        <v>0.47592834918799998</v>
      </c>
      <c r="D2832">
        <v>0.948559550433</v>
      </c>
      <c r="E2832">
        <v>1.452</v>
      </c>
    </row>
    <row r="2833" spans="1:5">
      <c r="A2833" t="s">
        <v>36142</v>
      </c>
      <c r="B2833" t="s">
        <v>1078</v>
      </c>
      <c r="C2833">
        <f>0.0134153184255</f>
        <v>1.3415318425500001E-2</v>
      </c>
      <c r="D2833">
        <v>0.948559550433</v>
      </c>
      <c r="E2833">
        <v>1.452</v>
      </c>
    </row>
    <row r="2834" spans="1:5">
      <c r="A2834" t="s">
        <v>36142</v>
      </c>
      <c r="B2834" t="s">
        <v>1087</v>
      </c>
      <c r="C2834">
        <v>0</v>
      </c>
      <c r="D2834">
        <v>0.948559550433</v>
      </c>
      <c r="E2834">
        <v>1.452</v>
      </c>
    </row>
    <row r="2835" spans="1:5">
      <c r="A2835" t="s">
        <v>36142</v>
      </c>
      <c r="B2835" t="s">
        <v>1080</v>
      </c>
      <c r="C2835">
        <f>0</f>
        <v>0</v>
      </c>
      <c r="D2835">
        <v>0.948559550433</v>
      </c>
      <c r="E2835">
        <v>1.452</v>
      </c>
    </row>
    <row r="2836" spans="1:5">
      <c r="A2836" t="s">
        <v>36142</v>
      </c>
      <c r="B2836" t="s">
        <v>1077</v>
      </c>
      <c r="C2836">
        <f>0</f>
        <v>0</v>
      </c>
      <c r="D2836">
        <v>0.948559550433</v>
      </c>
      <c r="E2836">
        <v>1.452</v>
      </c>
    </row>
    <row r="2837" spans="1:5">
      <c r="A2837" t="s">
        <v>36142</v>
      </c>
      <c r="B2837" t="s">
        <v>1081</v>
      </c>
      <c r="C2837">
        <v>0</v>
      </c>
      <c r="D2837">
        <v>0.948559550433</v>
      </c>
      <c r="E2837">
        <v>1.452</v>
      </c>
    </row>
    <row r="2838" spans="1:5">
      <c r="A2838" t="s">
        <v>36142</v>
      </c>
      <c r="B2838" t="s">
        <v>1085</v>
      </c>
      <c r="C2838">
        <v>5.0639183003799999E-2</v>
      </c>
      <c r="D2838">
        <v>0.948559550433</v>
      </c>
      <c r="E2838">
        <v>1.452</v>
      </c>
    </row>
    <row r="2839" spans="1:5">
      <c r="A2839" t="s">
        <v>36142</v>
      </c>
      <c r="B2839" t="s">
        <v>1082</v>
      </c>
      <c r="C2839">
        <f>0</f>
        <v>0</v>
      </c>
      <c r="D2839">
        <v>0.948559550433</v>
      </c>
      <c r="E2839">
        <v>1.452</v>
      </c>
    </row>
    <row r="2840" spans="1:5">
      <c r="A2840" t="s">
        <v>36142</v>
      </c>
      <c r="B2840" t="s">
        <v>1072</v>
      </c>
      <c r="C2840">
        <f>0</f>
        <v>0</v>
      </c>
      <c r="D2840">
        <v>0.948559550433</v>
      </c>
      <c r="E2840">
        <v>1.452</v>
      </c>
    </row>
    <row r="2841" spans="1:5">
      <c r="A2841" t="s">
        <v>36142</v>
      </c>
      <c r="B2841" t="s">
        <v>1084</v>
      </c>
      <c r="C2841">
        <v>0.40889436081399999</v>
      </c>
      <c r="D2841">
        <v>0.948559550433</v>
      </c>
      <c r="E2841">
        <v>1.452</v>
      </c>
    </row>
    <row r="2842" spans="1:5">
      <c r="A2842" t="s">
        <v>36142</v>
      </c>
      <c r="B2842" t="s">
        <v>1088</v>
      </c>
      <c r="C2842">
        <f>0</f>
        <v>0</v>
      </c>
      <c r="D2842">
        <v>0.948559550433</v>
      </c>
      <c r="E2842">
        <v>1.452</v>
      </c>
    </row>
    <row r="2843" spans="1:5">
      <c r="A2843" t="s">
        <v>36143</v>
      </c>
      <c r="B2843" t="s">
        <v>1789</v>
      </c>
      <c r="C2843">
        <f>0</f>
        <v>0</v>
      </c>
      <c r="D2843">
        <v>0.49434850074999998</v>
      </c>
      <c r="E2843">
        <v>23.754000000000001</v>
      </c>
    </row>
    <row r="2844" spans="1:5">
      <c r="A2844" t="s">
        <v>36143</v>
      </c>
      <c r="B2844" t="s">
        <v>1792</v>
      </c>
      <c r="C2844">
        <v>0</v>
      </c>
      <c r="D2844">
        <v>0.49434850074999998</v>
      </c>
      <c r="E2844">
        <v>23.754000000000001</v>
      </c>
    </row>
    <row r="2845" spans="1:5">
      <c r="A2845" t="s">
        <v>36143</v>
      </c>
      <c r="B2845" t="s">
        <v>1788</v>
      </c>
      <c r="C2845">
        <v>0</v>
      </c>
      <c r="D2845">
        <v>0.49434850074999998</v>
      </c>
      <c r="E2845">
        <v>23.754000000000001</v>
      </c>
    </row>
    <row r="2846" spans="1:5">
      <c r="A2846" t="s">
        <v>36143</v>
      </c>
      <c r="B2846" t="s">
        <v>1793</v>
      </c>
      <c r="C2846">
        <v>0.13433850075000001</v>
      </c>
      <c r="D2846">
        <v>0.49434850074999998</v>
      </c>
      <c r="E2846">
        <v>23.754000000000001</v>
      </c>
    </row>
    <row r="2847" spans="1:5">
      <c r="A2847" t="s">
        <v>36144</v>
      </c>
      <c r="B2847" t="s">
        <v>23683</v>
      </c>
      <c r="C2847">
        <v>0.206339172322</v>
      </c>
      <c r="D2847">
        <v>0.98169816562300005</v>
      </c>
      <c r="E2847">
        <v>7.3319999999999999</v>
      </c>
    </row>
    <row r="2848" spans="1:5">
      <c r="A2848" t="s">
        <v>36144</v>
      </c>
      <c r="B2848" t="s">
        <v>23685</v>
      </c>
      <c r="C2848">
        <v>0</v>
      </c>
      <c r="D2848">
        <v>0.98169816562300005</v>
      </c>
      <c r="E2848">
        <v>7.3319999999999999</v>
      </c>
    </row>
    <row r="2849" spans="1:5">
      <c r="A2849" t="s">
        <v>36144</v>
      </c>
      <c r="B2849" t="s">
        <v>23686</v>
      </c>
      <c r="C2849">
        <f>0</f>
        <v>0</v>
      </c>
      <c r="D2849">
        <v>0.98169816562300005</v>
      </c>
      <c r="E2849">
        <v>7.3319999999999999</v>
      </c>
    </row>
    <row r="2850" spans="1:5">
      <c r="A2850" t="s">
        <v>36144</v>
      </c>
      <c r="B2850" t="s">
        <v>23690</v>
      </c>
      <c r="C2850">
        <v>0</v>
      </c>
      <c r="D2850">
        <v>0.98169816562300005</v>
      </c>
      <c r="E2850">
        <v>7.3319999999999999</v>
      </c>
    </row>
    <row r="2851" spans="1:5">
      <c r="A2851" t="s">
        <v>36144</v>
      </c>
      <c r="B2851" t="s">
        <v>23689</v>
      </c>
      <c r="C2851">
        <v>0</v>
      </c>
      <c r="D2851">
        <v>0.98169816562300005</v>
      </c>
      <c r="E2851">
        <v>7.3319999999999999</v>
      </c>
    </row>
    <row r="2852" spans="1:5">
      <c r="A2852" t="s">
        <v>36144</v>
      </c>
      <c r="B2852" t="s">
        <v>23688</v>
      </c>
      <c r="C2852">
        <v>0</v>
      </c>
      <c r="D2852">
        <v>0.98169816562300005</v>
      </c>
      <c r="E2852">
        <v>7.3319999999999999</v>
      </c>
    </row>
    <row r="2853" spans="1:5">
      <c r="A2853" t="s">
        <v>36144</v>
      </c>
      <c r="B2853" t="s">
        <v>23687</v>
      </c>
      <c r="C2853">
        <v>0</v>
      </c>
      <c r="D2853">
        <v>0.98169816562300005</v>
      </c>
      <c r="E2853">
        <v>7.3319999999999999</v>
      </c>
    </row>
    <row r="2854" spans="1:5">
      <c r="A2854" t="s">
        <v>36144</v>
      </c>
      <c r="B2854" t="s">
        <v>23684</v>
      </c>
      <c r="C2854">
        <v>0.75438749175800002</v>
      </c>
      <c r="D2854">
        <v>0.98169816562300005</v>
      </c>
      <c r="E2854">
        <v>7.3319999999999999</v>
      </c>
    </row>
    <row r="2855" spans="1:5">
      <c r="A2855" t="s">
        <v>36145</v>
      </c>
      <c r="B2855" t="s">
        <v>36146</v>
      </c>
      <c r="C2855">
        <f>0</f>
        <v>0</v>
      </c>
      <c r="D2855" t="s">
        <v>106</v>
      </c>
      <c r="E2855">
        <v>0</v>
      </c>
    </row>
    <row r="2856" spans="1:5">
      <c r="A2856" t="s">
        <v>36145</v>
      </c>
      <c r="B2856" t="s">
        <v>36147</v>
      </c>
      <c r="C2856">
        <f>0</f>
        <v>0</v>
      </c>
      <c r="D2856" t="s">
        <v>106</v>
      </c>
      <c r="E2856">
        <v>0</v>
      </c>
    </row>
    <row r="2857" spans="1:5">
      <c r="A2857" t="s">
        <v>36145</v>
      </c>
      <c r="B2857" t="s">
        <v>36148</v>
      </c>
      <c r="C2857">
        <v>0</v>
      </c>
      <c r="D2857" t="s">
        <v>106</v>
      </c>
      <c r="E2857">
        <v>0</v>
      </c>
    </row>
    <row r="2858" spans="1:5">
      <c r="A2858" t="s">
        <v>36145</v>
      </c>
      <c r="B2858" t="s">
        <v>36149</v>
      </c>
      <c r="C2858">
        <f>0</f>
        <v>0</v>
      </c>
      <c r="D2858" t="s">
        <v>106</v>
      </c>
      <c r="E2858">
        <v>0</v>
      </c>
    </row>
    <row r="2859" spans="1:5">
      <c r="A2859" t="s">
        <v>36150</v>
      </c>
      <c r="B2859" t="s">
        <v>36151</v>
      </c>
      <c r="C2859">
        <v>0</v>
      </c>
      <c r="D2859" t="s">
        <v>106</v>
      </c>
      <c r="E2859">
        <v>1.512</v>
      </c>
    </row>
    <row r="2860" spans="1:5">
      <c r="A2860" t="s">
        <v>36150</v>
      </c>
      <c r="B2860" t="s">
        <v>36152</v>
      </c>
      <c r="C2860">
        <f>0</f>
        <v>0</v>
      </c>
      <c r="D2860" t="s">
        <v>106</v>
      </c>
      <c r="E2860">
        <v>1.512</v>
      </c>
    </row>
    <row r="2861" spans="1:5">
      <c r="A2861" t="s">
        <v>36150</v>
      </c>
      <c r="B2861" t="s">
        <v>36153</v>
      </c>
      <c r="C2861">
        <f>0</f>
        <v>0</v>
      </c>
      <c r="D2861" t="s">
        <v>106</v>
      </c>
      <c r="E2861">
        <v>1.512</v>
      </c>
    </row>
    <row r="2862" spans="1:5">
      <c r="A2862" t="s">
        <v>36150</v>
      </c>
      <c r="B2862" t="s">
        <v>36154</v>
      </c>
      <c r="C2862">
        <f>0</f>
        <v>0</v>
      </c>
      <c r="D2862" t="s">
        <v>106</v>
      </c>
      <c r="E2862">
        <v>1.512</v>
      </c>
    </row>
    <row r="2863" spans="1:5">
      <c r="A2863" t="s">
        <v>36150</v>
      </c>
      <c r="B2863" t="s">
        <v>36155</v>
      </c>
      <c r="C2863">
        <f>0</f>
        <v>0</v>
      </c>
      <c r="D2863" t="s">
        <v>106</v>
      </c>
      <c r="E2863">
        <v>1.512</v>
      </c>
    </row>
    <row r="2864" spans="1:5">
      <c r="A2864" t="s">
        <v>36150</v>
      </c>
      <c r="B2864" t="s">
        <v>36156</v>
      </c>
      <c r="C2864">
        <v>0</v>
      </c>
      <c r="D2864" t="s">
        <v>106</v>
      </c>
      <c r="E2864">
        <v>1.512</v>
      </c>
    </row>
    <row r="2865" spans="1:5">
      <c r="A2865" t="s">
        <v>36157</v>
      </c>
      <c r="B2865" t="s">
        <v>33287</v>
      </c>
      <c r="C2865">
        <v>0.54194361377900002</v>
      </c>
      <c r="D2865">
        <v>0.70195361377900001</v>
      </c>
      <c r="E2865">
        <v>0</v>
      </c>
    </row>
    <row r="2866" spans="1:5">
      <c r="A2866" t="s">
        <v>36157</v>
      </c>
      <c r="B2866" t="s">
        <v>33288</v>
      </c>
      <c r="C2866">
        <f>0</f>
        <v>0</v>
      </c>
      <c r="D2866">
        <v>0.70195361377900001</v>
      </c>
      <c r="E2866">
        <v>0</v>
      </c>
    </row>
    <row r="2867" spans="1:5">
      <c r="A2867" t="s">
        <v>36158</v>
      </c>
      <c r="B2867" t="s">
        <v>36159</v>
      </c>
      <c r="C2867">
        <v>0.72019286014100004</v>
      </c>
      <c r="D2867">
        <v>0.90455427724699999</v>
      </c>
      <c r="E2867">
        <v>0.87</v>
      </c>
    </row>
    <row r="2868" spans="1:5">
      <c r="A2868" t="s">
        <v>36158</v>
      </c>
      <c r="B2868" t="s">
        <v>36160</v>
      </c>
      <c r="C2868">
        <f>0.436560556025</f>
        <v>0.43656055602499999</v>
      </c>
      <c r="D2868">
        <v>0.90455427724699999</v>
      </c>
      <c r="E2868">
        <v>0.87</v>
      </c>
    </row>
    <row r="2869" spans="1:5">
      <c r="A2869" t="s">
        <v>36158</v>
      </c>
      <c r="B2869" t="s">
        <v>36161</v>
      </c>
      <c r="C2869">
        <v>0.43880085960100002</v>
      </c>
      <c r="D2869">
        <v>0.90455427724699999</v>
      </c>
      <c r="E2869">
        <v>0.87</v>
      </c>
    </row>
    <row r="2870" spans="1:5">
      <c r="A2870" t="s">
        <v>36162</v>
      </c>
      <c r="B2870" t="s">
        <v>36163</v>
      </c>
      <c r="C2870">
        <v>0</v>
      </c>
      <c r="D2870">
        <v>0.82911001084799996</v>
      </c>
      <c r="E2870">
        <v>0.15</v>
      </c>
    </row>
    <row r="2871" spans="1:5">
      <c r="A2871" t="s">
        <v>36162</v>
      </c>
      <c r="B2871" t="s">
        <v>36164</v>
      </c>
      <c r="C2871">
        <v>0</v>
      </c>
      <c r="D2871">
        <v>0.82911001084799996</v>
      </c>
      <c r="E2871">
        <v>0.15</v>
      </c>
    </row>
    <row r="2872" spans="1:5">
      <c r="A2872" t="s">
        <v>36162</v>
      </c>
      <c r="B2872" t="s">
        <v>36165</v>
      </c>
      <c r="C2872">
        <v>0</v>
      </c>
      <c r="D2872">
        <v>0.82911001084799996</v>
      </c>
      <c r="E2872">
        <v>0.15</v>
      </c>
    </row>
    <row r="2873" spans="1:5">
      <c r="A2873" t="s">
        <v>36162</v>
      </c>
      <c r="B2873" t="s">
        <v>36166</v>
      </c>
      <c r="C2873">
        <v>0</v>
      </c>
      <c r="D2873">
        <v>0.82911001084799996</v>
      </c>
      <c r="E2873">
        <v>0.15</v>
      </c>
    </row>
    <row r="2874" spans="1:5">
      <c r="A2874" t="s">
        <v>36162</v>
      </c>
      <c r="B2874" t="s">
        <v>36167</v>
      </c>
      <c r="C2874">
        <v>0</v>
      </c>
      <c r="D2874">
        <v>0.82911001084799996</v>
      </c>
      <c r="E2874">
        <v>0.15</v>
      </c>
    </row>
    <row r="2875" spans="1:5">
      <c r="A2875" t="s">
        <v>36162</v>
      </c>
      <c r="B2875" t="s">
        <v>36168</v>
      </c>
      <c r="C2875">
        <v>0.305589552486</v>
      </c>
      <c r="D2875">
        <v>0.82911001084799996</v>
      </c>
      <c r="E2875">
        <v>0.15</v>
      </c>
    </row>
    <row r="2876" spans="1:5">
      <c r="A2876" t="s">
        <v>36162</v>
      </c>
      <c r="B2876" t="s">
        <v>36169</v>
      </c>
      <c r="C2876">
        <v>0.17176276068900001</v>
      </c>
      <c r="D2876">
        <v>0.82911001084799996</v>
      </c>
      <c r="E2876">
        <v>0.15</v>
      </c>
    </row>
    <row r="2877" spans="1:5">
      <c r="A2877" t="s">
        <v>36162</v>
      </c>
      <c r="B2877" t="s">
        <v>36170</v>
      </c>
      <c r="C2877">
        <v>0</v>
      </c>
      <c r="D2877">
        <v>0.82911001084799996</v>
      </c>
      <c r="E2877">
        <v>0.15</v>
      </c>
    </row>
    <row r="2878" spans="1:5">
      <c r="A2878" t="s">
        <v>36171</v>
      </c>
      <c r="B2878" t="s">
        <v>11518</v>
      </c>
      <c r="C2878">
        <v>0</v>
      </c>
      <c r="D2878" t="s">
        <v>106</v>
      </c>
      <c r="E2878">
        <v>20.07</v>
      </c>
    </row>
    <row r="2879" spans="1:5">
      <c r="A2879" t="s">
        <v>36171</v>
      </c>
      <c r="B2879" t="s">
        <v>11520</v>
      </c>
      <c r="C2879">
        <v>0</v>
      </c>
      <c r="D2879" t="s">
        <v>106</v>
      </c>
      <c r="E2879">
        <v>20.07</v>
      </c>
    </row>
    <row r="2880" spans="1:5">
      <c r="A2880" t="s">
        <v>36171</v>
      </c>
      <c r="B2880" t="s">
        <v>11519</v>
      </c>
      <c r="C2880">
        <v>0</v>
      </c>
      <c r="D2880" t="s">
        <v>106</v>
      </c>
      <c r="E2880">
        <v>20.07</v>
      </c>
    </row>
    <row r="2881" spans="1:5">
      <c r="A2881" t="s">
        <v>36172</v>
      </c>
      <c r="B2881" t="s">
        <v>36173</v>
      </c>
      <c r="C2881">
        <v>0</v>
      </c>
      <c r="D2881" t="s">
        <v>106</v>
      </c>
      <c r="E2881">
        <v>24</v>
      </c>
    </row>
    <row r="2882" spans="1:5">
      <c r="A2882" t="s">
        <v>36172</v>
      </c>
      <c r="B2882" t="s">
        <v>36174</v>
      </c>
      <c r="C2882">
        <f>0</f>
        <v>0</v>
      </c>
      <c r="D2882" t="s">
        <v>106</v>
      </c>
      <c r="E2882">
        <v>24</v>
      </c>
    </row>
    <row r="2883" spans="1:5">
      <c r="A2883" t="s">
        <v>36175</v>
      </c>
      <c r="B2883" t="s">
        <v>36176</v>
      </c>
      <c r="C2883">
        <v>0.28467293628700002</v>
      </c>
      <c r="D2883">
        <v>0.98205651861300003</v>
      </c>
      <c r="E2883">
        <v>4.5839999999999996</v>
      </c>
    </row>
    <row r="2884" spans="1:5">
      <c r="A2884" t="s">
        <v>36175</v>
      </c>
      <c r="B2884" t="s">
        <v>36177</v>
      </c>
      <c r="C2884">
        <f>0.725831611145</f>
        <v>0.72583161114500006</v>
      </c>
      <c r="D2884">
        <v>0.98205651861300003</v>
      </c>
      <c r="E2884">
        <v>4.5839999999999996</v>
      </c>
    </row>
    <row r="2885" spans="1:5">
      <c r="A2885" t="s">
        <v>36175</v>
      </c>
      <c r="B2885" t="s">
        <v>36178</v>
      </c>
      <c r="C2885">
        <v>0.156744811314</v>
      </c>
      <c r="D2885">
        <v>0.98205651861300003</v>
      </c>
      <c r="E2885">
        <v>4.5839999999999996</v>
      </c>
    </row>
    <row r="2886" spans="1:5">
      <c r="A2886" t="s">
        <v>36175</v>
      </c>
      <c r="B2886" t="s">
        <v>36179</v>
      </c>
      <c r="C2886">
        <v>0</v>
      </c>
      <c r="D2886">
        <v>0.98205651861300003</v>
      </c>
      <c r="E2886">
        <v>4.5839999999999996</v>
      </c>
    </row>
    <row r="2887" spans="1:5">
      <c r="A2887" t="s">
        <v>36175</v>
      </c>
      <c r="B2887" t="s">
        <v>36180</v>
      </c>
      <c r="C2887">
        <f>0</f>
        <v>0</v>
      </c>
      <c r="D2887">
        <v>0.98205651861300003</v>
      </c>
      <c r="E2887">
        <v>4.5839999999999996</v>
      </c>
    </row>
    <row r="2888" spans="1:5">
      <c r="A2888" t="s">
        <v>36175</v>
      </c>
      <c r="B2888" t="s">
        <v>36181</v>
      </c>
      <c r="C2888">
        <f>0.133180915422</f>
        <v>0.133180915422</v>
      </c>
      <c r="D2888">
        <v>0.98205651861300003</v>
      </c>
      <c r="E2888">
        <v>4.5839999999999996</v>
      </c>
    </row>
    <row r="2889" spans="1:5">
      <c r="A2889" t="s">
        <v>36175</v>
      </c>
      <c r="B2889" t="s">
        <v>36182</v>
      </c>
      <c r="C2889">
        <f>0.056268746738</f>
        <v>5.6268746738000003E-2</v>
      </c>
      <c r="D2889">
        <v>0.98205651861300003</v>
      </c>
      <c r="E2889">
        <v>4.5839999999999996</v>
      </c>
    </row>
    <row r="2890" spans="1:5">
      <c r="A2890" t="s">
        <v>36175</v>
      </c>
      <c r="B2890" t="s">
        <v>36183</v>
      </c>
      <c r="C2890">
        <v>0.92612658997999997</v>
      </c>
      <c r="D2890">
        <v>0.98205651861300003</v>
      </c>
      <c r="E2890">
        <v>4.5839999999999996</v>
      </c>
    </row>
    <row r="2891" spans="1:5">
      <c r="A2891" t="s">
        <v>36175</v>
      </c>
      <c r="B2891" t="s">
        <v>36184</v>
      </c>
      <c r="C2891">
        <f>0</f>
        <v>0</v>
      </c>
      <c r="D2891">
        <v>0.98205651861300003</v>
      </c>
      <c r="E2891">
        <v>4.5839999999999996</v>
      </c>
    </row>
    <row r="2892" spans="1:5">
      <c r="A2892" t="s">
        <v>36175</v>
      </c>
      <c r="B2892" t="s">
        <v>36185</v>
      </c>
      <c r="C2892">
        <v>0</v>
      </c>
      <c r="D2892">
        <v>0.98205651861300003</v>
      </c>
      <c r="E2892">
        <v>4.5839999999999996</v>
      </c>
    </row>
    <row r="2893" spans="1:5">
      <c r="A2893" t="s">
        <v>36186</v>
      </c>
      <c r="B2893" t="s">
        <v>36187</v>
      </c>
      <c r="C2893">
        <v>0</v>
      </c>
      <c r="D2893" t="s">
        <v>106</v>
      </c>
      <c r="E2893">
        <v>24</v>
      </c>
    </row>
    <row r="2894" spans="1:5">
      <c r="A2894" t="s">
        <v>36186</v>
      </c>
      <c r="B2894" t="s">
        <v>36188</v>
      </c>
      <c r="C2894">
        <f>0</f>
        <v>0</v>
      </c>
      <c r="D2894" t="s">
        <v>106</v>
      </c>
      <c r="E2894">
        <v>24</v>
      </c>
    </row>
    <row r="2895" spans="1:5">
      <c r="A2895" t="s">
        <v>36189</v>
      </c>
      <c r="B2895" t="s">
        <v>36190</v>
      </c>
      <c r="C2895">
        <f>0</f>
        <v>0</v>
      </c>
      <c r="D2895" t="s">
        <v>106</v>
      </c>
      <c r="E2895">
        <v>23.28</v>
      </c>
    </row>
    <row r="2896" spans="1:5">
      <c r="A2896" t="s">
        <v>36189</v>
      </c>
      <c r="B2896" t="s">
        <v>36191</v>
      </c>
      <c r="C2896">
        <v>0</v>
      </c>
      <c r="D2896" t="s">
        <v>106</v>
      </c>
      <c r="E2896">
        <v>23.28</v>
      </c>
    </row>
    <row r="2897" spans="1:5">
      <c r="A2897" t="s">
        <v>36189</v>
      </c>
      <c r="B2897" t="s">
        <v>36192</v>
      </c>
      <c r="C2897">
        <v>0</v>
      </c>
      <c r="D2897" t="s">
        <v>106</v>
      </c>
      <c r="E2897">
        <v>23.28</v>
      </c>
    </row>
    <row r="2898" spans="1:5">
      <c r="A2898" t="s">
        <v>36193</v>
      </c>
      <c r="B2898" t="s">
        <v>9692</v>
      </c>
      <c r="C2898">
        <f>0</f>
        <v>0</v>
      </c>
      <c r="D2898">
        <v>0.90764031821199997</v>
      </c>
      <c r="E2898">
        <v>3.4079999999999999</v>
      </c>
    </row>
    <row r="2899" spans="1:5">
      <c r="A2899" t="s">
        <v>36193</v>
      </c>
      <c r="B2899" t="s">
        <v>9696</v>
      </c>
      <c r="C2899">
        <v>0.44171944358600002</v>
      </c>
      <c r="D2899">
        <v>0.90764031821199997</v>
      </c>
      <c r="E2899">
        <v>3.4079999999999999</v>
      </c>
    </row>
    <row r="2900" spans="1:5">
      <c r="A2900" t="s">
        <v>36193</v>
      </c>
      <c r="B2900" t="s">
        <v>9694</v>
      </c>
      <c r="C2900">
        <f>0.161139754869</f>
        <v>0.16113975486900001</v>
      </c>
      <c r="D2900">
        <v>0.90764031821199997</v>
      </c>
      <c r="E2900">
        <v>3.4079999999999999</v>
      </c>
    </row>
    <row r="2901" spans="1:5">
      <c r="A2901" t="s">
        <v>36193</v>
      </c>
      <c r="B2901" t="s">
        <v>9690</v>
      </c>
      <c r="C2901">
        <v>0</v>
      </c>
      <c r="D2901">
        <v>0.90764031821199997</v>
      </c>
      <c r="E2901">
        <v>3.4079999999999999</v>
      </c>
    </row>
    <row r="2902" spans="1:5">
      <c r="A2902" t="s">
        <v>36193</v>
      </c>
      <c r="B2902" t="s">
        <v>9695</v>
      </c>
      <c r="C2902">
        <f>0.00400044200603</f>
        <v>4.0004420060300002E-3</v>
      </c>
      <c r="D2902">
        <v>0.90764031821199997</v>
      </c>
      <c r="E2902">
        <v>3.4079999999999999</v>
      </c>
    </row>
    <row r="2903" spans="1:5">
      <c r="A2903" t="s">
        <v>36193</v>
      </c>
      <c r="B2903" t="s">
        <v>9689</v>
      </c>
      <c r="C2903">
        <v>0.32846203129200002</v>
      </c>
      <c r="D2903">
        <v>0.90764031821199997</v>
      </c>
      <c r="E2903">
        <v>3.4079999999999999</v>
      </c>
    </row>
    <row r="2904" spans="1:5">
      <c r="A2904" t="s">
        <v>36194</v>
      </c>
      <c r="B2904" t="s">
        <v>33018</v>
      </c>
      <c r="C2904">
        <v>0.92966314159700003</v>
      </c>
      <c r="D2904">
        <v>0.99051180126500005</v>
      </c>
      <c r="E2904">
        <v>5.1239999999999997</v>
      </c>
    </row>
    <row r="2905" spans="1:5">
      <c r="A2905" t="s">
        <v>36194</v>
      </c>
      <c r="B2905" t="s">
        <v>33019</v>
      </c>
      <c r="C2905">
        <v>0.47475886749399998</v>
      </c>
      <c r="D2905">
        <v>0.99051180126500005</v>
      </c>
      <c r="E2905">
        <v>5.1239999999999997</v>
      </c>
    </row>
    <row r="2906" spans="1:5">
      <c r="A2906" t="s">
        <v>36195</v>
      </c>
      <c r="B2906" t="s">
        <v>22789</v>
      </c>
      <c r="C2906">
        <v>0.54540222856200005</v>
      </c>
      <c r="D2906">
        <v>0.91719183062200005</v>
      </c>
      <c r="E2906">
        <v>4.0739999999999998</v>
      </c>
    </row>
    <row r="2907" spans="1:5">
      <c r="A2907" t="s">
        <v>36195</v>
      </c>
      <c r="B2907" t="s">
        <v>22788</v>
      </c>
      <c r="C2907">
        <v>0</v>
      </c>
      <c r="D2907">
        <v>0.91719183062200005</v>
      </c>
      <c r="E2907">
        <v>4.0739999999999998</v>
      </c>
    </row>
    <row r="2908" spans="1:5">
      <c r="A2908" t="s">
        <v>36195</v>
      </c>
      <c r="B2908" t="s">
        <v>22790</v>
      </c>
      <c r="C2908">
        <v>0.18927402674800001</v>
      </c>
      <c r="D2908">
        <v>0.91719183062200005</v>
      </c>
      <c r="E2908">
        <v>4.0739999999999998</v>
      </c>
    </row>
    <row r="2909" spans="1:5">
      <c r="A2909" t="s">
        <v>36196</v>
      </c>
      <c r="B2909" t="s">
        <v>32841</v>
      </c>
      <c r="C2909">
        <v>0</v>
      </c>
      <c r="D2909" t="s">
        <v>106</v>
      </c>
      <c r="E2909">
        <v>0.06</v>
      </c>
    </row>
    <row r="2910" spans="1:5">
      <c r="A2910" t="s">
        <v>36196</v>
      </c>
      <c r="B2910" t="s">
        <v>32832</v>
      </c>
      <c r="C2910">
        <f>0</f>
        <v>0</v>
      </c>
      <c r="D2910" t="s">
        <v>106</v>
      </c>
      <c r="E2910">
        <v>0.06</v>
      </c>
    </row>
    <row r="2911" spans="1:5">
      <c r="A2911" t="s">
        <v>36196</v>
      </c>
      <c r="B2911" t="s">
        <v>32833</v>
      </c>
      <c r="C2911">
        <v>0</v>
      </c>
      <c r="D2911" t="s">
        <v>106</v>
      </c>
      <c r="E2911">
        <v>0.06</v>
      </c>
    </row>
    <row r="2912" spans="1:5">
      <c r="A2912" t="s">
        <v>36196</v>
      </c>
      <c r="B2912" t="s">
        <v>32835</v>
      </c>
      <c r="C2912">
        <f>0</f>
        <v>0</v>
      </c>
      <c r="D2912" t="s">
        <v>106</v>
      </c>
      <c r="E2912">
        <v>0.06</v>
      </c>
    </row>
    <row r="2913" spans="1:5">
      <c r="A2913" t="s">
        <v>36196</v>
      </c>
      <c r="B2913" t="s">
        <v>32842</v>
      </c>
      <c r="C2913">
        <v>0</v>
      </c>
      <c r="D2913" t="s">
        <v>106</v>
      </c>
      <c r="E2913">
        <v>0.06</v>
      </c>
    </row>
    <row r="2914" spans="1:5">
      <c r="A2914" t="s">
        <v>36196</v>
      </c>
      <c r="B2914" t="s">
        <v>32840</v>
      </c>
      <c r="C2914">
        <f>0</f>
        <v>0</v>
      </c>
      <c r="D2914" t="s">
        <v>106</v>
      </c>
      <c r="E2914">
        <v>0.06</v>
      </c>
    </row>
    <row r="2915" spans="1:5">
      <c r="A2915" t="s">
        <v>36196</v>
      </c>
      <c r="B2915" t="s">
        <v>32837</v>
      </c>
      <c r="C2915">
        <f>0</f>
        <v>0</v>
      </c>
      <c r="D2915" t="s">
        <v>106</v>
      </c>
      <c r="E2915">
        <v>0.06</v>
      </c>
    </row>
    <row r="2916" spans="1:5">
      <c r="A2916" t="s">
        <v>36196</v>
      </c>
      <c r="B2916" t="s">
        <v>32834</v>
      </c>
      <c r="C2916">
        <f>0</f>
        <v>0</v>
      </c>
      <c r="D2916" t="s">
        <v>106</v>
      </c>
      <c r="E2916">
        <v>0.06</v>
      </c>
    </row>
    <row r="2917" spans="1:5">
      <c r="A2917" t="s">
        <v>36197</v>
      </c>
      <c r="B2917" t="s">
        <v>3042</v>
      </c>
      <c r="C2917">
        <f>0</f>
        <v>0</v>
      </c>
      <c r="D2917" t="s">
        <v>106</v>
      </c>
      <c r="E2917">
        <v>9.6180000000000003</v>
      </c>
    </row>
    <row r="2918" spans="1:5">
      <c r="A2918" t="s">
        <v>36197</v>
      </c>
      <c r="B2918" t="s">
        <v>3044</v>
      </c>
      <c r="C2918">
        <f>0</f>
        <v>0</v>
      </c>
      <c r="D2918" t="s">
        <v>106</v>
      </c>
      <c r="E2918">
        <v>9.6180000000000003</v>
      </c>
    </row>
    <row r="2919" spans="1:5">
      <c r="A2919" t="s">
        <v>36198</v>
      </c>
      <c r="B2919" t="s">
        <v>29814</v>
      </c>
      <c r="C2919">
        <f>0.143506136921</f>
        <v>0.143506136921</v>
      </c>
      <c r="D2919">
        <v>0.96097932725599999</v>
      </c>
      <c r="E2919">
        <v>2.4E-2</v>
      </c>
    </row>
    <row r="2920" spans="1:5">
      <c r="A2920" t="s">
        <v>36198</v>
      </c>
      <c r="B2920" t="s">
        <v>29816</v>
      </c>
      <c r="C2920">
        <v>0.65529523655800004</v>
      </c>
      <c r="D2920">
        <v>0.96097932725599999</v>
      </c>
      <c r="E2920">
        <v>2.4E-2</v>
      </c>
    </row>
    <row r="2921" spans="1:5">
      <c r="A2921" t="s">
        <v>36198</v>
      </c>
      <c r="B2921" t="s">
        <v>29818</v>
      </c>
      <c r="C2921">
        <v>0.84422695090800004</v>
      </c>
      <c r="D2921">
        <v>0.96097932725599999</v>
      </c>
      <c r="E2921">
        <v>2.4E-2</v>
      </c>
    </row>
    <row r="2922" spans="1:5">
      <c r="A2922" t="s">
        <v>36198</v>
      </c>
      <c r="B2922" t="s">
        <v>29817</v>
      </c>
      <c r="C2922">
        <v>0.22317917258</v>
      </c>
      <c r="D2922">
        <v>0.96097932725599999</v>
      </c>
      <c r="E2922">
        <v>2.4E-2</v>
      </c>
    </row>
    <row r="2923" spans="1:5">
      <c r="A2923" t="s">
        <v>36199</v>
      </c>
      <c r="B2923" t="s">
        <v>23225</v>
      </c>
      <c r="C2923">
        <v>0</v>
      </c>
      <c r="D2923">
        <v>0.68654421839000002</v>
      </c>
      <c r="E2923">
        <v>12.048</v>
      </c>
    </row>
    <row r="2924" spans="1:5">
      <c r="A2924" t="s">
        <v>36199</v>
      </c>
      <c r="B2924" t="s">
        <v>23226</v>
      </c>
      <c r="C2924">
        <v>0</v>
      </c>
      <c r="D2924">
        <v>0.68654421839000002</v>
      </c>
      <c r="E2924">
        <v>12.048</v>
      </c>
    </row>
    <row r="2925" spans="1:5">
      <c r="A2925" t="s">
        <v>36199</v>
      </c>
      <c r="B2925" t="s">
        <v>23229</v>
      </c>
      <c r="C2925">
        <f>0</f>
        <v>0</v>
      </c>
      <c r="D2925">
        <v>0.68654421839000002</v>
      </c>
      <c r="E2925">
        <v>12.048</v>
      </c>
    </row>
    <row r="2926" spans="1:5">
      <c r="A2926" t="s">
        <v>36199</v>
      </c>
      <c r="B2926" t="s">
        <v>23227</v>
      </c>
      <c r="C2926">
        <v>0.10893421839</v>
      </c>
      <c r="D2926">
        <v>0.68654421839000002</v>
      </c>
      <c r="E2926">
        <v>12.048</v>
      </c>
    </row>
    <row r="2927" spans="1:5">
      <c r="A2927" t="s">
        <v>36200</v>
      </c>
      <c r="B2927" t="s">
        <v>5094</v>
      </c>
      <c r="C2927">
        <f>0</f>
        <v>0</v>
      </c>
      <c r="D2927" t="s">
        <v>106</v>
      </c>
      <c r="E2927">
        <v>16.494</v>
      </c>
    </row>
    <row r="2928" spans="1:5">
      <c r="A2928" t="s">
        <v>36200</v>
      </c>
      <c r="B2928" t="s">
        <v>5097</v>
      </c>
      <c r="C2928">
        <f>0</f>
        <v>0</v>
      </c>
      <c r="D2928" t="s">
        <v>106</v>
      </c>
      <c r="E2928">
        <v>16.494</v>
      </c>
    </row>
    <row r="2929" spans="1:5">
      <c r="A2929" t="s">
        <v>36200</v>
      </c>
      <c r="B2929" t="s">
        <v>5096</v>
      </c>
      <c r="C2929">
        <f>0</f>
        <v>0</v>
      </c>
      <c r="D2929" t="s">
        <v>106</v>
      </c>
      <c r="E2929">
        <v>16.494</v>
      </c>
    </row>
    <row r="2930" spans="1:5">
      <c r="A2930" t="s">
        <v>36200</v>
      </c>
      <c r="B2930" t="s">
        <v>5098</v>
      </c>
      <c r="C2930">
        <f>0</f>
        <v>0</v>
      </c>
      <c r="D2930" t="s">
        <v>106</v>
      </c>
      <c r="E2930">
        <v>16.494</v>
      </c>
    </row>
    <row r="2931" spans="1:5">
      <c r="A2931" t="s">
        <v>36200</v>
      </c>
      <c r="B2931" t="s">
        <v>5095</v>
      </c>
      <c r="C2931">
        <f>0</f>
        <v>0</v>
      </c>
      <c r="D2931" t="s">
        <v>106</v>
      </c>
      <c r="E2931">
        <v>16.494</v>
      </c>
    </row>
    <row r="2932" spans="1:5">
      <c r="A2932" t="s">
        <v>36201</v>
      </c>
      <c r="B2932" t="s">
        <v>36202</v>
      </c>
      <c r="C2932">
        <v>0</v>
      </c>
      <c r="D2932">
        <v>0.85982661749400002</v>
      </c>
      <c r="E2932">
        <v>0.114</v>
      </c>
    </row>
    <row r="2933" spans="1:5">
      <c r="A2933" t="s">
        <v>36201</v>
      </c>
      <c r="B2933" t="s">
        <v>36203</v>
      </c>
      <c r="C2933">
        <f>0</f>
        <v>0</v>
      </c>
      <c r="D2933">
        <v>0.85982661749400002</v>
      </c>
      <c r="E2933">
        <v>0.114</v>
      </c>
    </row>
    <row r="2934" spans="1:5">
      <c r="A2934" t="s">
        <v>36201</v>
      </c>
      <c r="B2934" t="s">
        <v>36204</v>
      </c>
      <c r="C2934">
        <f>0.629416617494</f>
        <v>0.62941661749400002</v>
      </c>
      <c r="D2934">
        <v>0.85982661749400002</v>
      </c>
      <c r="E2934">
        <v>0.114</v>
      </c>
    </row>
    <row r="2935" spans="1:5">
      <c r="A2935" t="s">
        <v>36201</v>
      </c>
      <c r="B2935" t="s">
        <v>36205</v>
      </c>
      <c r="C2935">
        <v>0</v>
      </c>
      <c r="D2935">
        <v>0.85982661749400002</v>
      </c>
      <c r="E2935">
        <v>0.114</v>
      </c>
    </row>
    <row r="2936" spans="1:5">
      <c r="A2936" t="s">
        <v>36201</v>
      </c>
      <c r="B2936" t="s">
        <v>36206</v>
      </c>
      <c r="C2936">
        <f>0</f>
        <v>0</v>
      </c>
      <c r="D2936">
        <v>0.85982661749400002</v>
      </c>
      <c r="E2936">
        <v>0.114</v>
      </c>
    </row>
    <row r="2937" spans="1:5">
      <c r="A2937" t="s">
        <v>36201</v>
      </c>
      <c r="B2937" t="s">
        <v>36207</v>
      </c>
      <c r="C2937">
        <f>0</f>
        <v>0</v>
      </c>
      <c r="D2937">
        <v>0.85982661749400002</v>
      </c>
      <c r="E2937">
        <v>0.114</v>
      </c>
    </row>
    <row r="2938" spans="1:5">
      <c r="A2938" t="s">
        <v>36201</v>
      </c>
      <c r="B2938" t="s">
        <v>36208</v>
      </c>
      <c r="C2938">
        <f>0</f>
        <v>0</v>
      </c>
      <c r="D2938">
        <v>0.85982661749400002</v>
      </c>
      <c r="E2938">
        <v>0.114</v>
      </c>
    </row>
    <row r="2939" spans="1:5">
      <c r="A2939" t="s">
        <v>36201</v>
      </c>
      <c r="B2939" t="s">
        <v>36209</v>
      </c>
      <c r="C2939">
        <f>0</f>
        <v>0</v>
      </c>
      <c r="D2939">
        <v>0.85982661749400002</v>
      </c>
      <c r="E2939">
        <v>0.114</v>
      </c>
    </row>
    <row r="2940" spans="1:5">
      <c r="A2940" t="s">
        <v>36210</v>
      </c>
      <c r="B2940" t="s">
        <v>33391</v>
      </c>
      <c r="C2940">
        <v>0</v>
      </c>
      <c r="D2940">
        <v>0.62187635784200002</v>
      </c>
      <c r="E2940">
        <v>0.73799999999999999</v>
      </c>
    </row>
    <row r="2941" spans="1:5">
      <c r="A2941" t="s">
        <v>36210</v>
      </c>
      <c r="B2941" t="s">
        <v>33394</v>
      </c>
      <c r="C2941">
        <v>0.26186635784200002</v>
      </c>
      <c r="D2941">
        <v>0.62187635784200002</v>
      </c>
      <c r="E2941">
        <v>0.73799999999999999</v>
      </c>
    </row>
    <row r="2942" spans="1:5">
      <c r="A2942" t="s">
        <v>36210</v>
      </c>
      <c r="B2942" t="s">
        <v>33393</v>
      </c>
      <c r="C2942">
        <f>0</f>
        <v>0</v>
      </c>
      <c r="D2942">
        <v>0.62187635784200002</v>
      </c>
      <c r="E2942">
        <v>0.73799999999999999</v>
      </c>
    </row>
    <row r="2943" spans="1:5">
      <c r="A2943" t="s">
        <v>36211</v>
      </c>
      <c r="B2943" t="s">
        <v>14797</v>
      </c>
      <c r="C2943">
        <v>1.33463279065</v>
      </c>
      <c r="D2943">
        <v>0.931106253725</v>
      </c>
      <c r="E2943">
        <v>8.58</v>
      </c>
    </row>
    <row r="2944" spans="1:5">
      <c r="A2944" t="s">
        <v>36211</v>
      </c>
      <c r="B2944" t="s">
        <v>14800</v>
      </c>
      <c r="C2944">
        <f>0.397628469703</f>
        <v>0.39762846970299998</v>
      </c>
      <c r="D2944">
        <v>0.931106253725</v>
      </c>
      <c r="E2944">
        <v>8.58</v>
      </c>
    </row>
    <row r="2945" spans="1:5">
      <c r="A2945" t="s">
        <v>36211</v>
      </c>
      <c r="B2945" t="s">
        <v>14798</v>
      </c>
      <c r="C2945">
        <f>0.517156079666</f>
        <v>0.51715607966599997</v>
      </c>
      <c r="D2945">
        <v>0.931106253725</v>
      </c>
      <c r="E2945">
        <v>8.58</v>
      </c>
    </row>
    <row r="2946" spans="1:5">
      <c r="A2946" t="s">
        <v>36211</v>
      </c>
      <c r="B2946" t="s">
        <v>14799</v>
      </c>
      <c r="C2946">
        <f>-1.11576646908</f>
        <v>-1.11576646908</v>
      </c>
      <c r="D2946">
        <v>0.931106253725</v>
      </c>
      <c r="E2946">
        <v>8.58</v>
      </c>
    </row>
    <row r="2947" spans="1:5">
      <c r="A2947" t="s">
        <v>36212</v>
      </c>
      <c r="B2947" t="s">
        <v>9020</v>
      </c>
      <c r="C2947">
        <f>0</f>
        <v>0</v>
      </c>
      <c r="D2947" t="s">
        <v>106</v>
      </c>
      <c r="E2947">
        <v>6.0000000000000001E-3</v>
      </c>
    </row>
    <row r="2948" spans="1:5">
      <c r="A2948" t="s">
        <v>36212</v>
      </c>
      <c r="B2948" t="s">
        <v>9019</v>
      </c>
      <c r="C2948">
        <v>0</v>
      </c>
      <c r="D2948" t="s">
        <v>106</v>
      </c>
      <c r="E2948">
        <v>6.0000000000000001E-3</v>
      </c>
    </row>
    <row r="2949" spans="1:5">
      <c r="A2949" t="s">
        <v>36213</v>
      </c>
      <c r="B2949" t="s">
        <v>36214</v>
      </c>
      <c r="C2949">
        <v>0.34066036350700002</v>
      </c>
      <c r="D2949">
        <v>0.97777672576399999</v>
      </c>
      <c r="E2949">
        <v>13.818</v>
      </c>
    </row>
    <row r="2950" spans="1:5">
      <c r="A2950" t="s">
        <v>36213</v>
      </c>
      <c r="B2950" t="s">
        <v>36215</v>
      </c>
      <c r="C2950">
        <f>0.0355236565501</f>
        <v>3.5523656550100001E-2</v>
      </c>
      <c r="D2950">
        <v>0.97777672576399999</v>
      </c>
      <c r="E2950">
        <v>13.818</v>
      </c>
    </row>
    <row r="2951" spans="1:5">
      <c r="A2951" t="s">
        <v>36213</v>
      </c>
      <c r="B2951" t="s">
        <v>36216</v>
      </c>
      <c r="C2951">
        <v>0.407511685447</v>
      </c>
      <c r="D2951">
        <v>0.97777672576399999</v>
      </c>
      <c r="E2951">
        <v>13.818</v>
      </c>
    </row>
    <row r="2952" spans="1:5">
      <c r="A2952" t="s">
        <v>36213</v>
      </c>
      <c r="B2952" t="s">
        <v>36217</v>
      </c>
      <c r="C2952">
        <f>0.584366610037</f>
        <v>0.58436661003699997</v>
      </c>
      <c r="D2952">
        <v>0.97777672576399999</v>
      </c>
      <c r="E2952">
        <v>13.818</v>
      </c>
    </row>
    <row r="2953" spans="1:5">
      <c r="A2953" t="s">
        <v>36213</v>
      </c>
      <c r="B2953" t="s">
        <v>36218</v>
      </c>
      <c r="C2953">
        <v>0.70220375294199999</v>
      </c>
      <c r="D2953">
        <v>0.97777672576399999</v>
      </c>
      <c r="E2953">
        <v>13.818</v>
      </c>
    </row>
    <row r="2954" spans="1:5">
      <c r="A2954" t="s">
        <v>36219</v>
      </c>
      <c r="B2954" t="s">
        <v>9115</v>
      </c>
      <c r="C2954">
        <f>0.787247531454</f>
        <v>0.78724753145399995</v>
      </c>
      <c r="D2954">
        <v>0.94242351869800001</v>
      </c>
      <c r="E2954">
        <v>0</v>
      </c>
    </row>
    <row r="2955" spans="1:5">
      <c r="A2955" t="s">
        <v>36219</v>
      </c>
      <c r="B2955" t="s">
        <v>9117</v>
      </c>
      <c r="C2955">
        <v>0.48359904984300001</v>
      </c>
      <c r="D2955">
        <v>0.94242351869800001</v>
      </c>
      <c r="E2955">
        <v>0</v>
      </c>
    </row>
    <row r="2956" spans="1:5">
      <c r="A2956" t="s">
        <v>36219</v>
      </c>
      <c r="B2956" t="s">
        <v>9116</v>
      </c>
      <c r="C2956">
        <v>0.81228013722500003</v>
      </c>
      <c r="D2956">
        <v>0.94242351869800001</v>
      </c>
      <c r="E2956">
        <v>0</v>
      </c>
    </row>
    <row r="2957" spans="1:5">
      <c r="A2957" t="s">
        <v>36220</v>
      </c>
      <c r="B2957" t="s">
        <v>7739</v>
      </c>
      <c r="C2957">
        <f>0</f>
        <v>0</v>
      </c>
      <c r="D2957">
        <v>0.57355871840600003</v>
      </c>
      <c r="E2957">
        <v>23.754000000000001</v>
      </c>
    </row>
    <row r="2958" spans="1:5">
      <c r="A2958" t="s">
        <v>36220</v>
      </c>
      <c r="B2958" t="s">
        <v>7745</v>
      </c>
      <c r="C2958">
        <f>0</f>
        <v>0</v>
      </c>
      <c r="D2958">
        <v>0.57355871840600003</v>
      </c>
      <c r="E2958">
        <v>23.754000000000001</v>
      </c>
    </row>
    <row r="2959" spans="1:5">
      <c r="A2959" t="s">
        <v>36220</v>
      </c>
      <c r="B2959" t="s">
        <v>7743</v>
      </c>
      <c r="C2959">
        <f>0.163948718406</f>
        <v>0.163948718406</v>
      </c>
      <c r="D2959">
        <v>0.57355871840600003</v>
      </c>
      <c r="E2959">
        <v>23.754000000000001</v>
      </c>
    </row>
    <row r="2960" spans="1:5">
      <c r="A2960" t="s">
        <v>36220</v>
      </c>
      <c r="B2960" t="s">
        <v>7744</v>
      </c>
      <c r="C2960">
        <f>0</f>
        <v>0</v>
      </c>
      <c r="D2960">
        <v>0.57355871840600003</v>
      </c>
      <c r="E2960">
        <v>23.754000000000001</v>
      </c>
    </row>
    <row r="2961" spans="1:5">
      <c r="A2961" t="s">
        <v>36221</v>
      </c>
      <c r="B2961" t="s">
        <v>5888</v>
      </c>
      <c r="C2961">
        <v>0.46368160349799997</v>
      </c>
      <c r="D2961">
        <v>0.75621630068199996</v>
      </c>
      <c r="E2961">
        <v>0.78</v>
      </c>
    </row>
    <row r="2962" spans="1:5">
      <c r="A2962" t="s">
        <v>36221</v>
      </c>
      <c r="B2962" t="s">
        <v>5887</v>
      </c>
      <c r="C2962">
        <f>0</f>
        <v>0</v>
      </c>
      <c r="D2962">
        <v>0.75621630068199996</v>
      </c>
      <c r="E2962">
        <v>0.78</v>
      </c>
    </row>
    <row r="2963" spans="1:5">
      <c r="A2963" t="s">
        <v>36221</v>
      </c>
      <c r="B2963" t="s">
        <v>5893</v>
      </c>
      <c r="C2963">
        <v>0</v>
      </c>
      <c r="D2963">
        <v>0.75621630068199996</v>
      </c>
      <c r="E2963">
        <v>0.78</v>
      </c>
    </row>
    <row r="2964" spans="1:5">
      <c r="A2964" t="s">
        <v>36221</v>
      </c>
      <c r="B2964" t="s">
        <v>5889</v>
      </c>
      <c r="C2964">
        <v>0</v>
      </c>
      <c r="D2964">
        <v>0.75621630068199996</v>
      </c>
      <c r="E2964">
        <v>0.78</v>
      </c>
    </row>
    <row r="2965" spans="1:5">
      <c r="A2965" t="s">
        <v>36221</v>
      </c>
      <c r="B2965" t="s">
        <v>5890</v>
      </c>
      <c r="C2965">
        <f>0.423192509837</f>
        <v>0.42319250983700002</v>
      </c>
      <c r="D2965">
        <v>0.75621630068199996</v>
      </c>
      <c r="E2965">
        <v>0.78</v>
      </c>
    </row>
    <row r="2966" spans="1:5">
      <c r="A2966" t="s">
        <v>36221</v>
      </c>
      <c r="B2966" t="s">
        <v>5891</v>
      </c>
      <c r="C2966">
        <v>0</v>
      </c>
      <c r="D2966">
        <v>0.75621630068199996</v>
      </c>
      <c r="E2966">
        <v>0.78</v>
      </c>
    </row>
    <row r="2967" spans="1:5">
      <c r="A2967" t="s">
        <v>36222</v>
      </c>
      <c r="B2967" t="s">
        <v>16781</v>
      </c>
      <c r="C2967">
        <v>0</v>
      </c>
      <c r="D2967" t="s">
        <v>106</v>
      </c>
      <c r="E2967">
        <v>22.806000000000001</v>
      </c>
    </row>
    <row r="2968" spans="1:5">
      <c r="A2968" t="s">
        <v>36222</v>
      </c>
      <c r="B2968" t="s">
        <v>16780</v>
      </c>
      <c r="C2968">
        <v>0</v>
      </c>
      <c r="D2968" t="s">
        <v>106</v>
      </c>
      <c r="E2968">
        <v>22.806000000000001</v>
      </c>
    </row>
    <row r="2969" spans="1:5">
      <c r="A2969" t="s">
        <v>36222</v>
      </c>
      <c r="B2969" t="s">
        <v>16785</v>
      </c>
      <c r="C2969">
        <v>0</v>
      </c>
      <c r="D2969" t="s">
        <v>106</v>
      </c>
      <c r="E2969">
        <v>22.806000000000001</v>
      </c>
    </row>
    <row r="2970" spans="1:5">
      <c r="A2970" t="s">
        <v>36222</v>
      </c>
      <c r="B2970" t="s">
        <v>16778</v>
      </c>
      <c r="C2970">
        <v>0</v>
      </c>
      <c r="D2970" t="s">
        <v>106</v>
      </c>
      <c r="E2970">
        <v>22.806000000000001</v>
      </c>
    </row>
    <row r="2971" spans="1:5">
      <c r="A2971" t="s">
        <v>36222</v>
      </c>
      <c r="B2971" t="s">
        <v>16779</v>
      </c>
      <c r="C2971">
        <v>0</v>
      </c>
      <c r="D2971" t="s">
        <v>106</v>
      </c>
      <c r="E2971">
        <v>22.806000000000001</v>
      </c>
    </row>
    <row r="2972" spans="1:5">
      <c r="A2972" t="s">
        <v>36223</v>
      </c>
      <c r="B2972" t="s">
        <v>36224</v>
      </c>
      <c r="C2972">
        <v>0.24028196635099999</v>
      </c>
      <c r="D2972">
        <v>0.86125391109299998</v>
      </c>
      <c r="E2972">
        <v>23.754000000000001</v>
      </c>
    </row>
    <row r="2973" spans="1:5">
      <c r="A2973" t="s">
        <v>36223</v>
      </c>
      <c r="B2973" t="s">
        <v>36225</v>
      </c>
      <c r="C2973">
        <v>0.64531422952799999</v>
      </c>
      <c r="D2973">
        <v>0.86125391109299998</v>
      </c>
      <c r="E2973">
        <v>23.754000000000001</v>
      </c>
    </row>
    <row r="2974" spans="1:5">
      <c r="A2974" t="s">
        <v>36226</v>
      </c>
      <c r="B2974" t="s">
        <v>9808</v>
      </c>
      <c r="C2974">
        <f>0.682644335902</f>
        <v>0.68264433590200002</v>
      </c>
      <c r="D2974">
        <v>0.84265433590200001</v>
      </c>
      <c r="E2974">
        <v>1.452</v>
      </c>
    </row>
    <row r="2975" spans="1:5">
      <c r="A2975" t="s">
        <v>36226</v>
      </c>
      <c r="B2975" t="s">
        <v>9809</v>
      </c>
      <c r="C2975">
        <v>0</v>
      </c>
      <c r="D2975">
        <v>0.84265433590200001</v>
      </c>
      <c r="E2975">
        <v>1.452</v>
      </c>
    </row>
    <row r="2976" spans="1:5">
      <c r="A2976" t="s">
        <v>36227</v>
      </c>
      <c r="B2976" t="s">
        <v>36228</v>
      </c>
      <c r="C2976">
        <f>0</f>
        <v>0</v>
      </c>
      <c r="D2976" t="s">
        <v>106</v>
      </c>
      <c r="E2976">
        <v>10.554</v>
      </c>
    </row>
    <row r="2977" spans="1:5">
      <c r="A2977" t="s">
        <v>36227</v>
      </c>
      <c r="B2977" t="s">
        <v>36229</v>
      </c>
      <c r="C2977">
        <f>0</f>
        <v>0</v>
      </c>
      <c r="D2977" t="s">
        <v>106</v>
      </c>
      <c r="E2977">
        <v>10.554</v>
      </c>
    </row>
    <row r="2978" spans="1:5">
      <c r="A2978" t="s">
        <v>36230</v>
      </c>
      <c r="B2978" t="s">
        <v>24611</v>
      </c>
      <c r="C2978">
        <v>0</v>
      </c>
      <c r="D2978" t="s">
        <v>106</v>
      </c>
      <c r="E2978">
        <v>24</v>
      </c>
    </row>
    <row r="2979" spans="1:5">
      <c r="A2979" t="s">
        <v>36230</v>
      </c>
      <c r="B2979" t="s">
        <v>24613</v>
      </c>
      <c r="C2979">
        <v>0</v>
      </c>
      <c r="D2979" t="s">
        <v>106</v>
      </c>
      <c r="E2979">
        <v>24</v>
      </c>
    </row>
    <row r="2980" spans="1:5">
      <c r="A2980" t="s">
        <v>36230</v>
      </c>
      <c r="B2980" t="s">
        <v>24614</v>
      </c>
      <c r="C2980">
        <v>0</v>
      </c>
      <c r="D2980" t="s">
        <v>106</v>
      </c>
      <c r="E2980">
        <v>24</v>
      </c>
    </row>
    <row r="2981" spans="1:5">
      <c r="A2981" t="s">
        <v>36230</v>
      </c>
      <c r="B2981" t="s">
        <v>24619</v>
      </c>
      <c r="C2981">
        <v>0</v>
      </c>
      <c r="D2981" t="s">
        <v>106</v>
      </c>
      <c r="E2981">
        <v>24</v>
      </c>
    </row>
    <row r="2982" spans="1:5">
      <c r="A2982" t="s">
        <v>36230</v>
      </c>
      <c r="B2982" t="s">
        <v>24617</v>
      </c>
      <c r="C2982">
        <v>0</v>
      </c>
      <c r="D2982" t="s">
        <v>106</v>
      </c>
      <c r="E2982">
        <v>24</v>
      </c>
    </row>
    <row r="2983" spans="1:5">
      <c r="A2983" t="s">
        <v>36230</v>
      </c>
      <c r="B2983" t="s">
        <v>24616</v>
      </c>
      <c r="C2983">
        <v>0</v>
      </c>
      <c r="D2983" t="s">
        <v>106</v>
      </c>
      <c r="E2983">
        <v>24</v>
      </c>
    </row>
    <row r="2984" spans="1:5">
      <c r="A2984" t="s">
        <v>36231</v>
      </c>
      <c r="B2984" t="s">
        <v>20599</v>
      </c>
      <c r="C2984">
        <v>1.0567245034699999</v>
      </c>
      <c r="D2984">
        <v>0.94045120101400004</v>
      </c>
      <c r="E2984">
        <v>8.4359999999999999</v>
      </c>
    </row>
    <row r="2985" spans="1:5">
      <c r="A2985" t="s">
        <v>36231</v>
      </c>
      <c r="B2985" t="s">
        <v>20602</v>
      </c>
      <c r="C2985">
        <v>0.32714528449000002</v>
      </c>
      <c r="D2985">
        <v>0.94045120101400004</v>
      </c>
      <c r="E2985">
        <v>8.4359999999999999</v>
      </c>
    </row>
    <row r="2986" spans="1:5">
      <c r="A2986" t="s">
        <v>36231</v>
      </c>
      <c r="B2986" t="s">
        <v>20603</v>
      </c>
      <c r="C2986">
        <f>0.31489105957</f>
        <v>0.31489105957000002</v>
      </c>
      <c r="D2986">
        <v>0.94045120101400004</v>
      </c>
      <c r="E2986">
        <v>8.4359999999999999</v>
      </c>
    </row>
    <row r="2987" spans="1:5">
      <c r="A2987" t="s">
        <v>36231</v>
      </c>
      <c r="B2987" t="s">
        <v>20601</v>
      </c>
      <c r="C2987">
        <f>0.685538598017</f>
        <v>0.68553859801700001</v>
      </c>
      <c r="D2987">
        <v>0.94045120101400004</v>
      </c>
      <c r="E2987">
        <v>8.4359999999999999</v>
      </c>
    </row>
    <row r="2988" spans="1:5">
      <c r="A2988" t="s">
        <v>36232</v>
      </c>
      <c r="B2988" t="s">
        <v>18505</v>
      </c>
      <c r="C2988">
        <f>0.441046153511</f>
        <v>0.44104615351100002</v>
      </c>
      <c r="D2988">
        <v>0.76766330290999996</v>
      </c>
      <c r="E2988">
        <v>0</v>
      </c>
    </row>
    <row r="2989" spans="1:5">
      <c r="A2989" t="s">
        <v>36232</v>
      </c>
      <c r="B2989" t="s">
        <v>18506</v>
      </c>
      <c r="C2989">
        <v>0.56256937092399995</v>
      </c>
      <c r="D2989">
        <v>0.76766330290999996</v>
      </c>
      <c r="E2989">
        <v>0</v>
      </c>
    </row>
    <row r="2990" spans="1:5">
      <c r="A2990" t="s">
        <v>36233</v>
      </c>
      <c r="B2990" t="s">
        <v>36234</v>
      </c>
      <c r="C2990">
        <f>0</f>
        <v>0</v>
      </c>
      <c r="D2990" t="s">
        <v>106</v>
      </c>
      <c r="E2990">
        <v>1.3380000000000001</v>
      </c>
    </row>
    <row r="2991" spans="1:5">
      <c r="A2991" t="s">
        <v>36233</v>
      </c>
      <c r="B2991" t="s">
        <v>36235</v>
      </c>
      <c r="C2991">
        <f>0</f>
        <v>0</v>
      </c>
      <c r="D2991" t="s">
        <v>106</v>
      </c>
      <c r="E2991">
        <v>1.3380000000000001</v>
      </c>
    </row>
    <row r="2992" spans="1:5">
      <c r="A2992" t="s">
        <v>36233</v>
      </c>
      <c r="B2992" t="s">
        <v>36236</v>
      </c>
      <c r="C2992">
        <v>0</v>
      </c>
      <c r="D2992" t="s">
        <v>106</v>
      </c>
      <c r="E2992">
        <v>1.3380000000000001</v>
      </c>
    </row>
    <row r="2993" spans="1:5">
      <c r="A2993" t="s">
        <v>36233</v>
      </c>
      <c r="B2993" t="s">
        <v>36237</v>
      </c>
      <c r="C2993">
        <f>0</f>
        <v>0</v>
      </c>
      <c r="D2993" t="s">
        <v>106</v>
      </c>
      <c r="E2993">
        <v>1.3380000000000001</v>
      </c>
    </row>
    <row r="2994" spans="1:5">
      <c r="A2994" t="s">
        <v>36233</v>
      </c>
      <c r="B2994" t="s">
        <v>36238</v>
      </c>
      <c r="C2994">
        <v>0</v>
      </c>
      <c r="D2994" t="s">
        <v>106</v>
      </c>
      <c r="E2994">
        <v>1.3380000000000001</v>
      </c>
    </row>
    <row r="2995" spans="1:5">
      <c r="A2995" t="s">
        <v>36233</v>
      </c>
      <c r="B2995" t="s">
        <v>36239</v>
      </c>
      <c r="C2995">
        <f>0</f>
        <v>0</v>
      </c>
      <c r="D2995" t="s">
        <v>106</v>
      </c>
      <c r="E2995">
        <v>1.3380000000000001</v>
      </c>
    </row>
    <row r="2996" spans="1:5">
      <c r="A2996" t="s">
        <v>36233</v>
      </c>
      <c r="B2996" t="s">
        <v>36240</v>
      </c>
      <c r="C2996">
        <f>0</f>
        <v>0</v>
      </c>
      <c r="D2996" t="s">
        <v>106</v>
      </c>
      <c r="E2996">
        <v>1.3380000000000001</v>
      </c>
    </row>
    <row r="2997" spans="1:5">
      <c r="A2997" t="s">
        <v>36241</v>
      </c>
      <c r="B2997" t="s">
        <v>6098</v>
      </c>
      <c r="C2997">
        <f>0</f>
        <v>0</v>
      </c>
      <c r="D2997">
        <v>0.84246277254400004</v>
      </c>
      <c r="E2997">
        <v>6.06</v>
      </c>
    </row>
    <row r="2998" spans="1:5">
      <c r="A2998" t="s">
        <v>36241</v>
      </c>
      <c r="B2998" t="s">
        <v>6102</v>
      </c>
      <c r="C2998">
        <v>0</v>
      </c>
      <c r="D2998">
        <v>0.84246277254400004</v>
      </c>
      <c r="E2998">
        <v>6.06</v>
      </c>
    </row>
    <row r="2999" spans="1:5">
      <c r="A2999" t="s">
        <v>36241</v>
      </c>
      <c r="B2999" t="s">
        <v>6103</v>
      </c>
      <c r="C2999">
        <v>0</v>
      </c>
      <c r="D2999">
        <v>0.84246277254400004</v>
      </c>
      <c r="E2999">
        <v>6.06</v>
      </c>
    </row>
    <row r="3000" spans="1:5">
      <c r="A3000" t="s">
        <v>36241</v>
      </c>
      <c r="B3000" t="s">
        <v>6111</v>
      </c>
      <c r="C3000">
        <f>0.148796006362</f>
        <v>0.14879600636199999</v>
      </c>
      <c r="D3000">
        <v>0.84246277254400004</v>
      </c>
      <c r="E3000">
        <v>6.06</v>
      </c>
    </row>
    <row r="3001" spans="1:5">
      <c r="A3001" t="s">
        <v>36241</v>
      </c>
      <c r="B3001" t="s">
        <v>6110</v>
      </c>
      <c r="C3001">
        <v>0.452049727314</v>
      </c>
      <c r="D3001">
        <v>0.84246277254400004</v>
      </c>
      <c r="E3001">
        <v>6.06</v>
      </c>
    </row>
    <row r="3002" spans="1:5">
      <c r="A3002" t="s">
        <v>36241</v>
      </c>
      <c r="B3002" t="s">
        <v>6108</v>
      </c>
      <c r="C3002">
        <v>0</v>
      </c>
      <c r="D3002">
        <v>0.84246277254400004</v>
      </c>
      <c r="E3002">
        <v>6.06</v>
      </c>
    </row>
    <row r="3003" spans="1:5">
      <c r="A3003" t="s">
        <v>36241</v>
      </c>
      <c r="B3003" t="s">
        <v>6105</v>
      </c>
      <c r="C3003">
        <v>0</v>
      </c>
      <c r="D3003">
        <v>0.84246277254400004</v>
      </c>
      <c r="E3003">
        <v>6.06</v>
      </c>
    </row>
    <row r="3004" spans="1:5">
      <c r="A3004" t="s">
        <v>36241</v>
      </c>
      <c r="B3004" t="s">
        <v>6099</v>
      </c>
      <c r="C3004">
        <v>0</v>
      </c>
      <c r="D3004">
        <v>0.84246277254400004</v>
      </c>
      <c r="E3004">
        <v>6.06</v>
      </c>
    </row>
    <row r="3005" spans="1:5">
      <c r="A3005" t="s">
        <v>36241</v>
      </c>
      <c r="B3005" t="s">
        <v>6101</v>
      </c>
      <c r="C3005">
        <v>6.9911857539999997E-2</v>
      </c>
      <c r="D3005">
        <v>0.84246277254400004</v>
      </c>
      <c r="E3005">
        <v>6.06</v>
      </c>
    </row>
    <row r="3006" spans="1:5">
      <c r="A3006" t="s">
        <v>36242</v>
      </c>
      <c r="B3006" t="s">
        <v>2511</v>
      </c>
      <c r="C3006">
        <v>0</v>
      </c>
      <c r="D3006">
        <v>0.38732962057300002</v>
      </c>
      <c r="E3006">
        <v>24</v>
      </c>
    </row>
    <row r="3007" spans="1:5">
      <c r="A3007" t="s">
        <v>36242</v>
      </c>
      <c r="B3007" t="s">
        <v>2512</v>
      </c>
      <c r="C3007">
        <f>0</f>
        <v>0</v>
      </c>
      <c r="D3007">
        <v>0.38732962057300002</v>
      </c>
      <c r="E3007">
        <v>24</v>
      </c>
    </row>
    <row r="3008" spans="1:5">
      <c r="A3008" t="s">
        <v>36242</v>
      </c>
      <c r="B3008" t="s">
        <v>2510</v>
      </c>
      <c r="C3008">
        <v>0</v>
      </c>
      <c r="D3008">
        <v>0.38732962057300002</v>
      </c>
      <c r="E3008">
        <v>24</v>
      </c>
    </row>
    <row r="3009" spans="1:5">
      <c r="A3009" t="s">
        <v>36242</v>
      </c>
      <c r="B3009" t="s">
        <v>2513</v>
      </c>
      <c r="C3009">
        <v>7.3719620573399994E-2</v>
      </c>
      <c r="D3009">
        <v>0.38732962057300002</v>
      </c>
      <c r="E3009">
        <v>24</v>
      </c>
    </row>
    <row r="3010" spans="1:5">
      <c r="A3010" t="s">
        <v>36243</v>
      </c>
      <c r="B3010" t="s">
        <v>9606</v>
      </c>
      <c r="C3010">
        <v>0.18822794292600001</v>
      </c>
      <c r="D3010">
        <v>0.45863794292600002</v>
      </c>
      <c r="E3010">
        <v>24</v>
      </c>
    </row>
    <row r="3011" spans="1:5">
      <c r="A3011" t="s">
        <v>36243</v>
      </c>
      <c r="B3011" t="s">
        <v>9609</v>
      </c>
      <c r="C3011">
        <f>0</f>
        <v>0</v>
      </c>
      <c r="D3011">
        <v>0.45863794292600002</v>
      </c>
      <c r="E3011">
        <v>24</v>
      </c>
    </row>
    <row r="3012" spans="1:5">
      <c r="A3012" t="s">
        <v>36243</v>
      </c>
      <c r="B3012" t="s">
        <v>9610</v>
      </c>
      <c r="C3012">
        <f>0</f>
        <v>0</v>
      </c>
      <c r="D3012">
        <v>0.45863794292600002</v>
      </c>
      <c r="E3012">
        <v>24</v>
      </c>
    </row>
    <row r="3013" spans="1:5">
      <c r="A3013" t="s">
        <v>36244</v>
      </c>
      <c r="B3013" t="s">
        <v>3295</v>
      </c>
      <c r="C3013">
        <v>0.12202150055700001</v>
      </c>
      <c r="D3013">
        <v>0.99998126707799995</v>
      </c>
      <c r="E3013">
        <v>6.4260000000000002</v>
      </c>
    </row>
    <row r="3014" spans="1:5">
      <c r="A3014" t="s">
        <v>36244</v>
      </c>
      <c r="B3014" t="s">
        <v>3297</v>
      </c>
      <c r="C3014">
        <f>0.434937466516</f>
        <v>0.43493746651600002</v>
      </c>
      <c r="D3014">
        <v>0.99998126707799995</v>
      </c>
      <c r="E3014">
        <v>6.4260000000000002</v>
      </c>
    </row>
    <row r="3015" spans="1:5">
      <c r="A3015" t="s">
        <v>36244</v>
      </c>
      <c r="B3015" t="s">
        <v>3308</v>
      </c>
      <c r="C3015">
        <v>5.7378564080199999E-2</v>
      </c>
      <c r="D3015">
        <v>0.99998126707799995</v>
      </c>
      <c r="E3015">
        <v>6.4260000000000002</v>
      </c>
    </row>
    <row r="3016" spans="1:5">
      <c r="A3016" t="s">
        <v>36244</v>
      </c>
      <c r="B3016" t="s">
        <v>3310</v>
      </c>
      <c r="C3016">
        <v>0.78237382549699996</v>
      </c>
      <c r="D3016">
        <v>0.99998126707799995</v>
      </c>
      <c r="E3016">
        <v>6.4260000000000002</v>
      </c>
    </row>
    <row r="3017" spans="1:5">
      <c r="A3017" t="s">
        <v>36244</v>
      </c>
      <c r="B3017" t="s">
        <v>3306</v>
      </c>
      <c r="C3017">
        <v>1.50741725117E-2</v>
      </c>
      <c r="D3017">
        <v>0.99998126707799995</v>
      </c>
      <c r="E3017">
        <v>6.4260000000000002</v>
      </c>
    </row>
    <row r="3018" spans="1:5">
      <c r="A3018" t="s">
        <v>36244</v>
      </c>
      <c r="B3018" t="s">
        <v>3296</v>
      </c>
      <c r="C3018">
        <v>0.101321717591</v>
      </c>
      <c r="D3018">
        <v>0.99998126707799995</v>
      </c>
      <c r="E3018">
        <v>6.4260000000000002</v>
      </c>
    </row>
    <row r="3019" spans="1:5">
      <c r="A3019" t="s">
        <v>36244</v>
      </c>
      <c r="B3019" t="s">
        <v>3298</v>
      </c>
      <c r="C3019">
        <v>0</v>
      </c>
      <c r="D3019">
        <v>0.99998126707799995</v>
      </c>
      <c r="E3019">
        <v>6.4260000000000002</v>
      </c>
    </row>
    <row r="3020" spans="1:5">
      <c r="A3020" t="s">
        <v>36244</v>
      </c>
      <c r="B3020" t="s">
        <v>3304</v>
      </c>
      <c r="C3020">
        <f>0.351211190918</f>
        <v>0.35121119091800002</v>
      </c>
      <c r="D3020">
        <v>0.99998126707799995</v>
      </c>
      <c r="E3020">
        <v>6.4260000000000002</v>
      </c>
    </row>
    <row r="3021" spans="1:5">
      <c r="A3021" t="s">
        <v>36244</v>
      </c>
      <c r="B3021" t="s">
        <v>3301</v>
      </c>
      <c r="C3021">
        <v>4.4984955471400002E-2</v>
      </c>
      <c r="D3021">
        <v>0.99998126707799995</v>
      </c>
      <c r="E3021">
        <v>6.4260000000000002</v>
      </c>
    </row>
    <row r="3022" spans="1:5">
      <c r="A3022" t="s">
        <v>36244</v>
      </c>
      <c r="B3022" t="s">
        <v>3299</v>
      </c>
      <c r="C3022">
        <f>0.0257316227845</f>
        <v>2.5731622784499999E-2</v>
      </c>
      <c r="D3022">
        <v>0.99998126707799995</v>
      </c>
      <c r="E3022">
        <v>6.4260000000000002</v>
      </c>
    </row>
    <row r="3023" spans="1:5">
      <c r="A3023" t="s">
        <v>36245</v>
      </c>
      <c r="B3023" t="s">
        <v>9340</v>
      </c>
      <c r="C3023">
        <v>0</v>
      </c>
      <c r="D3023" t="s">
        <v>106</v>
      </c>
      <c r="E3023">
        <v>4.2720000000000002</v>
      </c>
    </row>
    <row r="3024" spans="1:5">
      <c r="A3024" t="s">
        <v>36245</v>
      </c>
      <c r="B3024" t="s">
        <v>9343</v>
      </c>
      <c r="C3024">
        <f>0</f>
        <v>0</v>
      </c>
      <c r="D3024" t="s">
        <v>106</v>
      </c>
      <c r="E3024">
        <v>4.2720000000000002</v>
      </c>
    </row>
    <row r="3025" spans="1:5">
      <c r="A3025" t="s">
        <v>36245</v>
      </c>
      <c r="B3025" t="s">
        <v>9344</v>
      </c>
      <c r="C3025">
        <f>0</f>
        <v>0</v>
      </c>
      <c r="D3025" t="s">
        <v>106</v>
      </c>
      <c r="E3025">
        <v>4.2720000000000002</v>
      </c>
    </row>
    <row r="3026" spans="1:5">
      <c r="A3026" t="s">
        <v>36245</v>
      </c>
      <c r="B3026" t="s">
        <v>9342</v>
      </c>
      <c r="C3026">
        <v>0</v>
      </c>
      <c r="D3026" t="s">
        <v>106</v>
      </c>
      <c r="E3026">
        <v>4.2720000000000002</v>
      </c>
    </row>
    <row r="3027" spans="1:5">
      <c r="A3027" t="s">
        <v>36246</v>
      </c>
      <c r="B3027" t="s">
        <v>20691</v>
      </c>
      <c r="C3027">
        <v>0</v>
      </c>
      <c r="D3027" t="s">
        <v>106</v>
      </c>
      <c r="E3027">
        <v>24</v>
      </c>
    </row>
    <row r="3028" spans="1:5">
      <c r="A3028" t="s">
        <v>36246</v>
      </c>
      <c r="B3028" t="s">
        <v>20689</v>
      </c>
      <c r="C3028">
        <v>0</v>
      </c>
      <c r="D3028" t="s">
        <v>106</v>
      </c>
      <c r="E3028">
        <v>24</v>
      </c>
    </row>
    <row r="3029" spans="1:5">
      <c r="A3029" t="s">
        <v>36246</v>
      </c>
      <c r="B3029" t="s">
        <v>20694</v>
      </c>
      <c r="C3029">
        <f>0</f>
        <v>0</v>
      </c>
      <c r="D3029" t="s">
        <v>106</v>
      </c>
      <c r="E3029">
        <v>24</v>
      </c>
    </row>
    <row r="3030" spans="1:5">
      <c r="A3030" t="s">
        <v>36246</v>
      </c>
      <c r="B3030" t="s">
        <v>20695</v>
      </c>
      <c r="C3030">
        <f>0</f>
        <v>0</v>
      </c>
      <c r="D3030" t="s">
        <v>106</v>
      </c>
      <c r="E3030">
        <v>24</v>
      </c>
    </row>
    <row r="3031" spans="1:5">
      <c r="A3031" t="s">
        <v>36246</v>
      </c>
      <c r="B3031" t="s">
        <v>20692</v>
      </c>
      <c r="C3031">
        <f>0</f>
        <v>0</v>
      </c>
      <c r="D3031" t="s">
        <v>106</v>
      </c>
      <c r="E3031">
        <v>24</v>
      </c>
    </row>
    <row r="3032" spans="1:5">
      <c r="A3032" t="s">
        <v>36246</v>
      </c>
      <c r="B3032" t="s">
        <v>20693</v>
      </c>
      <c r="C3032">
        <v>0</v>
      </c>
      <c r="D3032" t="s">
        <v>106</v>
      </c>
      <c r="E3032">
        <v>24</v>
      </c>
    </row>
    <row r="3033" spans="1:5">
      <c r="A3033" t="s">
        <v>36247</v>
      </c>
      <c r="B3033" t="s">
        <v>36248</v>
      </c>
      <c r="C3033">
        <v>0</v>
      </c>
      <c r="D3033">
        <v>0.89747734021100001</v>
      </c>
      <c r="E3033">
        <v>6.18</v>
      </c>
    </row>
    <row r="3034" spans="1:5">
      <c r="A3034" t="s">
        <v>36247</v>
      </c>
      <c r="B3034" t="s">
        <v>36249</v>
      </c>
      <c r="C3034">
        <v>0.45345915516000002</v>
      </c>
      <c r="D3034">
        <v>0.89747734021100001</v>
      </c>
      <c r="E3034">
        <v>6.18</v>
      </c>
    </row>
    <row r="3035" spans="1:5">
      <c r="A3035" t="s">
        <v>36247</v>
      </c>
      <c r="B3035" t="s">
        <v>36250</v>
      </c>
      <c r="C3035">
        <f>0</f>
        <v>0</v>
      </c>
      <c r="D3035">
        <v>0.89747734021100001</v>
      </c>
      <c r="E3035">
        <v>6.18</v>
      </c>
    </row>
    <row r="3036" spans="1:5">
      <c r="A3036" t="s">
        <v>36247</v>
      </c>
      <c r="B3036" t="s">
        <v>36251</v>
      </c>
      <c r="C3036">
        <v>0.155767238448</v>
      </c>
      <c r="D3036">
        <v>0.89747734021100001</v>
      </c>
      <c r="E3036">
        <v>6.18</v>
      </c>
    </row>
    <row r="3037" spans="1:5">
      <c r="A3037" t="s">
        <v>36247</v>
      </c>
      <c r="B3037" t="s">
        <v>36252</v>
      </c>
      <c r="C3037">
        <f>0</f>
        <v>0</v>
      </c>
      <c r="D3037">
        <v>0.89747734021100001</v>
      </c>
      <c r="E3037">
        <v>6.18</v>
      </c>
    </row>
    <row r="3038" spans="1:5">
      <c r="A3038" t="s">
        <v>36247</v>
      </c>
      <c r="B3038" t="s">
        <v>36253</v>
      </c>
      <c r="C3038">
        <v>0</v>
      </c>
      <c r="D3038">
        <v>0.89747734021100001</v>
      </c>
      <c r="E3038">
        <v>6.18</v>
      </c>
    </row>
    <row r="3039" spans="1:5">
      <c r="A3039" t="s">
        <v>36247</v>
      </c>
      <c r="B3039" t="s">
        <v>36254</v>
      </c>
      <c r="C3039">
        <v>0.35596852923900002</v>
      </c>
      <c r="D3039">
        <v>0.89747734021100001</v>
      </c>
      <c r="E3039">
        <v>6.18</v>
      </c>
    </row>
    <row r="3040" spans="1:5">
      <c r="A3040" t="s">
        <v>36255</v>
      </c>
      <c r="B3040" t="s">
        <v>36256</v>
      </c>
      <c r="C3040">
        <f>0.372295024094</f>
        <v>0.372295024094</v>
      </c>
      <c r="D3040">
        <v>0.50190502409399995</v>
      </c>
      <c r="E3040">
        <v>24</v>
      </c>
    </row>
    <row r="3041" spans="1:5">
      <c r="A3041" t="s">
        <v>36255</v>
      </c>
      <c r="B3041" t="s">
        <v>36257</v>
      </c>
      <c r="C3041">
        <f>0</f>
        <v>0</v>
      </c>
      <c r="D3041">
        <v>0.50190502409399995</v>
      </c>
      <c r="E3041">
        <v>24</v>
      </c>
    </row>
    <row r="3042" spans="1:5">
      <c r="A3042" t="s">
        <v>36255</v>
      </c>
      <c r="B3042" t="s">
        <v>36258</v>
      </c>
      <c r="C3042">
        <v>0</v>
      </c>
      <c r="D3042">
        <v>0.50190502409399995</v>
      </c>
      <c r="E3042">
        <v>24</v>
      </c>
    </row>
    <row r="3043" spans="1:5">
      <c r="A3043" t="s">
        <v>36259</v>
      </c>
      <c r="B3043" t="s">
        <v>36260</v>
      </c>
      <c r="C3043">
        <v>0.113146467448</v>
      </c>
      <c r="D3043">
        <v>0.90550409366999995</v>
      </c>
      <c r="E3043">
        <v>0.54</v>
      </c>
    </row>
    <row r="3044" spans="1:5">
      <c r="A3044" t="s">
        <v>36259</v>
      </c>
      <c r="B3044" t="s">
        <v>36261</v>
      </c>
      <c r="C3044">
        <f>0.396420655604</f>
        <v>0.39642065560400003</v>
      </c>
      <c r="D3044">
        <v>0.90550409366999995</v>
      </c>
      <c r="E3044">
        <v>0.54</v>
      </c>
    </row>
    <row r="3045" spans="1:5">
      <c r="A3045" t="s">
        <v>36259</v>
      </c>
      <c r="B3045" t="s">
        <v>36262</v>
      </c>
      <c r="C3045">
        <v>0</v>
      </c>
      <c r="D3045">
        <v>0.90550409366999995</v>
      </c>
      <c r="E3045">
        <v>0.54</v>
      </c>
    </row>
    <row r="3046" spans="1:5">
      <c r="A3046" t="s">
        <v>36259</v>
      </c>
      <c r="B3046" t="s">
        <v>36263</v>
      </c>
      <c r="C3046">
        <f>0.338872615844</f>
        <v>0.33887261584400002</v>
      </c>
      <c r="D3046">
        <v>0.90550409366999995</v>
      </c>
      <c r="E3046">
        <v>0.54</v>
      </c>
    </row>
    <row r="3047" spans="1:5">
      <c r="A3047" t="s">
        <v>36259</v>
      </c>
      <c r="B3047" t="s">
        <v>36264</v>
      </c>
      <c r="C3047">
        <f>0.360197494181</f>
        <v>0.360197494181</v>
      </c>
      <c r="D3047">
        <v>0.90550409366999995</v>
      </c>
      <c r="E3047">
        <v>0.54</v>
      </c>
    </row>
    <row r="3048" spans="1:5">
      <c r="A3048" t="s">
        <v>36265</v>
      </c>
      <c r="B3048" t="s">
        <v>8267</v>
      </c>
      <c r="C3048">
        <v>0.85616711503200005</v>
      </c>
      <c r="D3048">
        <v>0.66280003782399999</v>
      </c>
      <c r="E3048">
        <v>2.6339999999999999</v>
      </c>
    </row>
    <row r="3049" spans="1:5">
      <c r="A3049" t="s">
        <v>36265</v>
      </c>
      <c r="B3049" t="s">
        <v>8268</v>
      </c>
      <c r="C3049">
        <f>0.32713268872</f>
        <v>0.32713268872000001</v>
      </c>
      <c r="D3049">
        <v>0.66280003782399999</v>
      </c>
      <c r="E3049">
        <v>2.6339999999999999</v>
      </c>
    </row>
    <row r="3050" spans="1:5">
      <c r="A3050" t="s">
        <v>36266</v>
      </c>
      <c r="B3050" t="s">
        <v>36267</v>
      </c>
      <c r="C3050">
        <v>0.74387435431399995</v>
      </c>
      <c r="D3050">
        <v>0.89652106158800005</v>
      </c>
      <c r="E3050">
        <v>1.8959999999999999</v>
      </c>
    </row>
    <row r="3051" spans="1:5">
      <c r="A3051" t="s">
        <v>36266</v>
      </c>
      <c r="B3051" t="s">
        <v>36268</v>
      </c>
      <c r="C3051">
        <v>0.412412023056</v>
      </c>
      <c r="D3051">
        <v>0.89652106158800005</v>
      </c>
      <c r="E3051">
        <v>1.8959999999999999</v>
      </c>
    </row>
    <row r="3052" spans="1:5">
      <c r="A3052" t="s">
        <v>36266</v>
      </c>
      <c r="B3052" t="s">
        <v>36269</v>
      </c>
      <c r="C3052">
        <f>0.254818146595</f>
        <v>0.25481814659500002</v>
      </c>
      <c r="D3052">
        <v>0.89652106158800005</v>
      </c>
      <c r="E3052">
        <v>1.8959999999999999</v>
      </c>
    </row>
    <row r="3053" spans="1:5">
      <c r="A3053" t="s">
        <v>36270</v>
      </c>
      <c r="B3053" t="s">
        <v>14430</v>
      </c>
      <c r="C3053">
        <v>0</v>
      </c>
      <c r="D3053">
        <v>0.75419253678999998</v>
      </c>
      <c r="E3053">
        <v>10.398</v>
      </c>
    </row>
    <row r="3054" spans="1:5">
      <c r="A3054" t="s">
        <v>36270</v>
      </c>
      <c r="B3054" t="s">
        <v>14429</v>
      </c>
      <c r="C3054">
        <f>0</f>
        <v>0</v>
      </c>
      <c r="D3054">
        <v>0.75419253678999998</v>
      </c>
      <c r="E3054">
        <v>10.398</v>
      </c>
    </row>
    <row r="3055" spans="1:5">
      <c r="A3055" t="s">
        <v>36270</v>
      </c>
      <c r="B3055" t="s">
        <v>14428</v>
      </c>
      <c r="C3055">
        <v>2.0011445241300001E-3</v>
      </c>
      <c r="D3055">
        <v>0.75419253678999998</v>
      </c>
      <c r="E3055">
        <v>10.398</v>
      </c>
    </row>
    <row r="3056" spans="1:5">
      <c r="A3056" t="s">
        <v>36270</v>
      </c>
      <c r="B3056" t="s">
        <v>14431</v>
      </c>
      <c r="C3056">
        <v>0</v>
      </c>
      <c r="D3056">
        <v>0.75419253678999998</v>
      </c>
      <c r="E3056">
        <v>10.398</v>
      </c>
    </row>
    <row r="3057" spans="1:5">
      <c r="A3057" t="s">
        <v>36270</v>
      </c>
      <c r="B3057" t="s">
        <v>14432</v>
      </c>
      <c r="C3057">
        <v>0.48245688930899999</v>
      </c>
      <c r="D3057">
        <v>0.75419253678999998</v>
      </c>
      <c r="E3057">
        <v>10.398</v>
      </c>
    </row>
    <row r="3058" spans="1:5">
      <c r="A3058" t="s">
        <v>36271</v>
      </c>
      <c r="B3058" t="s">
        <v>32845</v>
      </c>
      <c r="C3058">
        <f>0.0656391776448</f>
        <v>6.5639177644799998E-2</v>
      </c>
      <c r="D3058">
        <v>0.86869390612300001</v>
      </c>
      <c r="E3058">
        <v>4.5839999999999996</v>
      </c>
    </row>
    <row r="3059" spans="1:5">
      <c r="A3059" t="s">
        <v>36271</v>
      </c>
      <c r="B3059" t="s">
        <v>32847</v>
      </c>
      <c r="C3059">
        <f>0.538940841326</f>
        <v>0.53894084132599995</v>
      </c>
      <c r="D3059">
        <v>0.86869390612300001</v>
      </c>
      <c r="E3059">
        <v>4.5839999999999996</v>
      </c>
    </row>
    <row r="3060" spans="1:5">
      <c r="A3060" t="s">
        <v>36271</v>
      </c>
      <c r="B3060" t="s">
        <v>36272</v>
      </c>
      <c r="C3060">
        <f>0.112828138348</f>
        <v>0.112828138348</v>
      </c>
      <c r="D3060">
        <v>0.86869390612300001</v>
      </c>
      <c r="E3060">
        <v>4.5839999999999996</v>
      </c>
    </row>
    <row r="3061" spans="1:5">
      <c r="A3061" t="s">
        <v>36271</v>
      </c>
      <c r="B3061" t="s">
        <v>32846</v>
      </c>
      <c r="C3061">
        <v>0.69330654547199999</v>
      </c>
      <c r="D3061">
        <v>0.86869390612300001</v>
      </c>
      <c r="E3061">
        <v>4.5839999999999996</v>
      </c>
    </row>
    <row r="3062" spans="1:5">
      <c r="A3062" t="s">
        <v>36273</v>
      </c>
      <c r="B3062" t="s">
        <v>32075</v>
      </c>
      <c r="C3062">
        <f>0.597703881975</f>
        <v>0.59770388197500002</v>
      </c>
      <c r="D3062">
        <v>0.91566501767899999</v>
      </c>
      <c r="E3062">
        <v>24</v>
      </c>
    </row>
    <row r="3063" spans="1:5">
      <c r="A3063" t="s">
        <v>36273</v>
      </c>
      <c r="B3063" t="s">
        <v>32080</v>
      </c>
      <c r="C3063">
        <f>0.49875839702</f>
        <v>0.49875839702000002</v>
      </c>
      <c r="D3063">
        <v>0.91566501767899999</v>
      </c>
      <c r="E3063">
        <v>24</v>
      </c>
    </row>
    <row r="3064" spans="1:5">
      <c r="A3064" t="s">
        <v>36273</v>
      </c>
      <c r="B3064" t="s">
        <v>32079</v>
      </c>
      <c r="C3064">
        <v>0.74031269674800004</v>
      </c>
      <c r="D3064">
        <v>0.91566501767899999</v>
      </c>
      <c r="E3064">
        <v>24</v>
      </c>
    </row>
    <row r="3065" spans="1:5">
      <c r="A3065" t="s">
        <v>36274</v>
      </c>
      <c r="B3065" t="s">
        <v>36275</v>
      </c>
      <c r="C3065">
        <f>0</f>
        <v>0</v>
      </c>
      <c r="D3065" t="s">
        <v>106</v>
      </c>
      <c r="E3065">
        <v>24</v>
      </c>
    </row>
    <row r="3066" spans="1:5">
      <c r="A3066" t="s">
        <v>36274</v>
      </c>
      <c r="B3066" t="s">
        <v>36276</v>
      </c>
      <c r="C3066">
        <f>0</f>
        <v>0</v>
      </c>
      <c r="D3066" t="s">
        <v>106</v>
      </c>
      <c r="E3066">
        <v>24</v>
      </c>
    </row>
    <row r="3067" spans="1:5">
      <c r="A3067" t="s">
        <v>36274</v>
      </c>
      <c r="B3067" t="s">
        <v>36277</v>
      </c>
      <c r="C3067">
        <v>0</v>
      </c>
      <c r="D3067" t="s">
        <v>106</v>
      </c>
      <c r="E3067">
        <v>24</v>
      </c>
    </row>
    <row r="3068" spans="1:5">
      <c r="A3068" t="s">
        <v>36274</v>
      </c>
      <c r="B3068" t="s">
        <v>36278</v>
      </c>
      <c r="C3068">
        <v>0</v>
      </c>
      <c r="D3068" t="s">
        <v>106</v>
      </c>
      <c r="E3068">
        <v>24</v>
      </c>
    </row>
    <row r="3069" spans="1:5">
      <c r="A3069" t="s">
        <v>36274</v>
      </c>
      <c r="B3069" t="s">
        <v>36279</v>
      </c>
      <c r="C3069">
        <v>0</v>
      </c>
      <c r="D3069" t="s">
        <v>106</v>
      </c>
      <c r="E3069">
        <v>24</v>
      </c>
    </row>
    <row r="3070" spans="1:5">
      <c r="A3070" t="s">
        <v>36280</v>
      </c>
      <c r="B3070" t="s">
        <v>36281</v>
      </c>
      <c r="C3070">
        <v>0.39699122335600001</v>
      </c>
      <c r="D3070">
        <v>0.92354729933099999</v>
      </c>
      <c r="E3070">
        <v>0</v>
      </c>
    </row>
    <row r="3071" spans="1:5">
      <c r="A3071" t="s">
        <v>36280</v>
      </c>
      <c r="B3071" t="s">
        <v>36282</v>
      </c>
      <c r="C3071">
        <f>0.569066436675</f>
        <v>0.56906643667500001</v>
      </c>
      <c r="D3071">
        <v>0.92354729933099999</v>
      </c>
      <c r="E3071">
        <v>0</v>
      </c>
    </row>
    <row r="3072" spans="1:5">
      <c r="A3072" t="s">
        <v>36283</v>
      </c>
      <c r="B3072" t="s">
        <v>14480</v>
      </c>
      <c r="C3072">
        <v>0.70015451122500005</v>
      </c>
      <c r="D3072">
        <v>0.81486639070300004</v>
      </c>
      <c r="E3072">
        <v>5.82</v>
      </c>
    </row>
    <row r="3073" spans="1:5">
      <c r="A3073" t="s">
        <v>36283</v>
      </c>
      <c r="B3073" t="s">
        <v>14485</v>
      </c>
      <c r="C3073">
        <v>0.30497130723499999</v>
      </c>
      <c r="D3073">
        <v>0.81486639070300004</v>
      </c>
      <c r="E3073">
        <v>5.82</v>
      </c>
    </row>
    <row r="3074" spans="1:5">
      <c r="A3074" t="s">
        <v>36284</v>
      </c>
      <c r="B3074" t="s">
        <v>30586</v>
      </c>
      <c r="C3074">
        <v>0.51467480586000003</v>
      </c>
      <c r="D3074">
        <v>0.99591357947699999</v>
      </c>
      <c r="E3074">
        <v>1.17</v>
      </c>
    </row>
    <row r="3075" spans="1:5">
      <c r="A3075" t="s">
        <v>36284</v>
      </c>
      <c r="B3075" t="s">
        <v>30585</v>
      </c>
      <c r="C3075">
        <v>0.243295459485</v>
      </c>
      <c r="D3075">
        <v>0.99591357947699999</v>
      </c>
      <c r="E3075">
        <v>1.17</v>
      </c>
    </row>
    <row r="3076" spans="1:5">
      <c r="A3076" t="s">
        <v>36284</v>
      </c>
      <c r="B3076" t="s">
        <v>30590</v>
      </c>
      <c r="C3076">
        <v>0</v>
      </c>
      <c r="D3076">
        <v>0.99591357947699999</v>
      </c>
      <c r="E3076">
        <v>1.17</v>
      </c>
    </row>
    <row r="3077" spans="1:5">
      <c r="A3077" t="s">
        <v>36284</v>
      </c>
      <c r="B3077" t="s">
        <v>30587</v>
      </c>
      <c r="C3077">
        <v>0.51350508680200002</v>
      </c>
      <c r="D3077">
        <v>0.99591357947699999</v>
      </c>
      <c r="E3077">
        <v>1.17</v>
      </c>
    </row>
    <row r="3078" spans="1:5">
      <c r="A3078" t="s">
        <v>36284</v>
      </c>
      <c r="B3078" t="s">
        <v>30589</v>
      </c>
      <c r="C3078">
        <v>0.235853531196</v>
      </c>
      <c r="D3078">
        <v>0.99591357947699999</v>
      </c>
      <c r="E3078">
        <v>1.17</v>
      </c>
    </row>
    <row r="3079" spans="1:5">
      <c r="A3079" t="s">
        <v>36284</v>
      </c>
      <c r="B3079" t="s">
        <v>30588</v>
      </c>
      <c r="C3079">
        <v>5.0505372331699997E-3</v>
      </c>
      <c r="D3079">
        <v>0.99591357947699999</v>
      </c>
      <c r="E3079">
        <v>1.17</v>
      </c>
    </row>
    <row r="3080" spans="1:5">
      <c r="A3080" t="s">
        <v>36285</v>
      </c>
      <c r="B3080" t="s">
        <v>16333</v>
      </c>
      <c r="C3080">
        <v>0</v>
      </c>
      <c r="D3080" t="s">
        <v>106</v>
      </c>
      <c r="E3080">
        <v>4.9080000000000004</v>
      </c>
    </row>
    <row r="3081" spans="1:5">
      <c r="A3081" t="s">
        <v>36285</v>
      </c>
      <c r="B3081" t="s">
        <v>16337</v>
      </c>
      <c r="C3081">
        <f>0</f>
        <v>0</v>
      </c>
      <c r="D3081" t="s">
        <v>106</v>
      </c>
      <c r="E3081">
        <v>4.9080000000000004</v>
      </c>
    </row>
    <row r="3082" spans="1:5">
      <c r="A3082" t="s">
        <v>36285</v>
      </c>
      <c r="B3082" t="s">
        <v>16335</v>
      </c>
      <c r="C3082">
        <f>0</f>
        <v>0</v>
      </c>
      <c r="D3082" t="s">
        <v>106</v>
      </c>
      <c r="E3082">
        <v>4.9080000000000004</v>
      </c>
    </row>
    <row r="3083" spans="1:5">
      <c r="A3083" t="s">
        <v>36286</v>
      </c>
      <c r="B3083" t="s">
        <v>36287</v>
      </c>
      <c r="C3083">
        <v>0</v>
      </c>
      <c r="D3083" t="s">
        <v>106</v>
      </c>
      <c r="E3083">
        <v>14.183999999999999</v>
      </c>
    </row>
    <row r="3084" spans="1:5">
      <c r="A3084" t="s">
        <v>36286</v>
      </c>
      <c r="B3084" t="s">
        <v>36288</v>
      </c>
      <c r="C3084">
        <v>0</v>
      </c>
      <c r="D3084" t="s">
        <v>106</v>
      </c>
      <c r="E3084">
        <v>14.183999999999999</v>
      </c>
    </row>
    <row r="3085" spans="1:5">
      <c r="A3085" t="s">
        <v>36286</v>
      </c>
      <c r="B3085" t="s">
        <v>36289</v>
      </c>
      <c r="C3085">
        <f>0</f>
        <v>0</v>
      </c>
      <c r="D3085" t="s">
        <v>106</v>
      </c>
      <c r="E3085">
        <v>14.183999999999999</v>
      </c>
    </row>
    <row r="3086" spans="1:5">
      <c r="A3086" t="s">
        <v>36286</v>
      </c>
      <c r="B3086" t="s">
        <v>36290</v>
      </c>
      <c r="C3086">
        <f>0</f>
        <v>0</v>
      </c>
      <c r="D3086" t="s">
        <v>106</v>
      </c>
      <c r="E3086">
        <v>14.183999999999999</v>
      </c>
    </row>
    <row r="3087" spans="1:5">
      <c r="A3087" t="s">
        <v>36286</v>
      </c>
      <c r="B3087" t="s">
        <v>36291</v>
      </c>
      <c r="C3087">
        <v>0</v>
      </c>
      <c r="D3087" t="s">
        <v>106</v>
      </c>
      <c r="E3087">
        <v>14.183999999999999</v>
      </c>
    </row>
    <row r="3088" spans="1:5">
      <c r="A3088" t="s">
        <v>36286</v>
      </c>
      <c r="B3088" t="s">
        <v>36292</v>
      </c>
      <c r="C3088">
        <v>0</v>
      </c>
      <c r="D3088" t="s">
        <v>106</v>
      </c>
      <c r="E3088">
        <v>14.183999999999999</v>
      </c>
    </row>
    <row r="3089" spans="1:5">
      <c r="A3089" t="s">
        <v>36293</v>
      </c>
      <c r="B3089" t="s">
        <v>36294</v>
      </c>
      <c r="C3089">
        <f>0</f>
        <v>0</v>
      </c>
      <c r="D3089" t="s">
        <v>106</v>
      </c>
      <c r="E3089">
        <v>24</v>
      </c>
    </row>
    <row r="3090" spans="1:5">
      <c r="A3090" t="s">
        <v>36293</v>
      </c>
      <c r="B3090" t="s">
        <v>36295</v>
      </c>
      <c r="C3090">
        <v>0</v>
      </c>
      <c r="D3090" t="s">
        <v>106</v>
      </c>
      <c r="E3090">
        <v>24</v>
      </c>
    </row>
    <row r="3091" spans="1:5">
      <c r="A3091" t="s">
        <v>36293</v>
      </c>
      <c r="B3091" t="s">
        <v>36296</v>
      </c>
      <c r="C3091">
        <f>0</f>
        <v>0</v>
      </c>
      <c r="D3091" t="s">
        <v>106</v>
      </c>
      <c r="E3091">
        <v>24</v>
      </c>
    </row>
    <row r="3092" spans="1:5">
      <c r="A3092" t="s">
        <v>36297</v>
      </c>
      <c r="B3092" t="s">
        <v>36298</v>
      </c>
      <c r="C3092">
        <v>0</v>
      </c>
      <c r="D3092">
        <v>0.94438438813400005</v>
      </c>
      <c r="E3092">
        <v>0</v>
      </c>
    </row>
    <row r="3093" spans="1:5">
      <c r="A3093" t="s">
        <v>36297</v>
      </c>
      <c r="B3093" t="s">
        <v>36299</v>
      </c>
      <c r="C3093">
        <v>0</v>
      </c>
      <c r="D3093">
        <v>0.94438438813400005</v>
      </c>
      <c r="E3093">
        <v>0</v>
      </c>
    </row>
    <row r="3094" spans="1:5">
      <c r="A3094" t="s">
        <v>36297</v>
      </c>
      <c r="B3094" t="s">
        <v>36300</v>
      </c>
      <c r="C3094">
        <f>0.121798661952</f>
        <v>0.121798661952</v>
      </c>
      <c r="D3094">
        <v>0.94438438813400005</v>
      </c>
      <c r="E3094">
        <v>0</v>
      </c>
    </row>
    <row r="3095" spans="1:5">
      <c r="A3095" t="s">
        <v>36297</v>
      </c>
      <c r="B3095" t="s">
        <v>36301</v>
      </c>
      <c r="C3095">
        <f>0.749315831829</f>
        <v>0.74931583182899997</v>
      </c>
      <c r="D3095">
        <v>0.94438438813400005</v>
      </c>
      <c r="E3095">
        <v>0</v>
      </c>
    </row>
    <row r="3096" spans="1:5">
      <c r="A3096" t="s">
        <v>36297</v>
      </c>
      <c r="B3096" t="s">
        <v>36302</v>
      </c>
      <c r="C3096">
        <f>0.11539021445</f>
        <v>0.11539021445</v>
      </c>
      <c r="D3096">
        <v>0.94438438813400005</v>
      </c>
      <c r="E3096">
        <v>0</v>
      </c>
    </row>
    <row r="3097" spans="1:5">
      <c r="A3097" t="s">
        <v>36303</v>
      </c>
      <c r="B3097" t="s">
        <v>36304</v>
      </c>
      <c r="C3097">
        <v>0.32263322144700002</v>
      </c>
      <c r="D3097">
        <v>0.96262159674799996</v>
      </c>
      <c r="E3097">
        <v>0.54</v>
      </c>
    </row>
    <row r="3098" spans="1:5">
      <c r="A3098" t="s">
        <v>36303</v>
      </c>
      <c r="B3098" t="s">
        <v>36305</v>
      </c>
      <c r="C3098">
        <v>0.13094323343</v>
      </c>
      <c r="D3098">
        <v>0.96262159674799996</v>
      </c>
      <c r="E3098">
        <v>0.54</v>
      </c>
    </row>
    <row r="3099" spans="1:5">
      <c r="A3099" t="s">
        <v>36303</v>
      </c>
      <c r="B3099" t="s">
        <v>36306</v>
      </c>
      <c r="C3099">
        <v>5.5118622189000002E-2</v>
      </c>
      <c r="D3099">
        <v>0.96262159674799996</v>
      </c>
      <c r="E3099">
        <v>0.54</v>
      </c>
    </row>
    <row r="3100" spans="1:5">
      <c r="A3100" t="s">
        <v>36303</v>
      </c>
      <c r="B3100" t="s">
        <v>36307</v>
      </c>
      <c r="C3100">
        <v>0.31400832160300002</v>
      </c>
      <c r="D3100">
        <v>0.96262159674799996</v>
      </c>
      <c r="E3100">
        <v>0.54</v>
      </c>
    </row>
    <row r="3101" spans="1:5">
      <c r="A3101" t="s">
        <v>36303</v>
      </c>
      <c r="B3101" t="s">
        <v>36308</v>
      </c>
      <c r="C3101">
        <f>0.324560373966</f>
        <v>0.32456037396600002</v>
      </c>
      <c r="D3101">
        <v>0.96262159674799996</v>
      </c>
      <c r="E3101">
        <v>0.54</v>
      </c>
    </row>
    <row r="3102" spans="1:5">
      <c r="A3102" t="s">
        <v>36303</v>
      </c>
      <c r="B3102" t="s">
        <v>36309</v>
      </c>
      <c r="C3102">
        <v>0.87640636251000004</v>
      </c>
      <c r="D3102">
        <v>0.96262159674799996</v>
      </c>
      <c r="E3102">
        <v>0.54</v>
      </c>
    </row>
    <row r="3103" spans="1:5">
      <c r="A3103" t="s">
        <v>36310</v>
      </c>
      <c r="B3103" t="s">
        <v>25763</v>
      </c>
      <c r="C3103">
        <v>0.358309771434</v>
      </c>
      <c r="D3103">
        <v>0.76791977143400003</v>
      </c>
      <c r="E3103">
        <v>0.96599999999999997</v>
      </c>
    </row>
    <row r="3104" spans="1:5">
      <c r="A3104" t="s">
        <v>36310</v>
      </c>
      <c r="B3104" t="s">
        <v>25764</v>
      </c>
      <c r="C3104">
        <f>0</f>
        <v>0</v>
      </c>
      <c r="D3104">
        <v>0.76791977143400003</v>
      </c>
      <c r="E3104">
        <v>0.96599999999999997</v>
      </c>
    </row>
    <row r="3105" spans="1:5">
      <c r="A3105" t="s">
        <v>36310</v>
      </c>
      <c r="B3105" t="s">
        <v>25761</v>
      </c>
      <c r="C3105">
        <f>0</f>
        <v>0</v>
      </c>
      <c r="D3105">
        <v>0.76791977143400003</v>
      </c>
      <c r="E3105">
        <v>0.96599999999999997</v>
      </c>
    </row>
    <row r="3106" spans="1:5">
      <c r="A3106" t="s">
        <v>36310</v>
      </c>
      <c r="B3106" t="s">
        <v>25762</v>
      </c>
      <c r="C3106">
        <v>0</v>
      </c>
      <c r="D3106">
        <v>0.76791977143400003</v>
      </c>
      <c r="E3106">
        <v>0.96599999999999997</v>
      </c>
    </row>
    <row r="3107" spans="1:5">
      <c r="A3107" t="s">
        <v>36310</v>
      </c>
      <c r="B3107" t="s">
        <v>25767</v>
      </c>
      <c r="C3107">
        <f>0</f>
        <v>0</v>
      </c>
      <c r="D3107">
        <v>0.76791977143400003</v>
      </c>
      <c r="E3107">
        <v>0.96599999999999997</v>
      </c>
    </row>
    <row r="3108" spans="1:5">
      <c r="A3108" t="s">
        <v>36310</v>
      </c>
      <c r="B3108" t="s">
        <v>25766</v>
      </c>
      <c r="C3108">
        <f>0</f>
        <v>0</v>
      </c>
      <c r="D3108">
        <v>0.76791977143400003</v>
      </c>
      <c r="E3108">
        <v>0.96599999999999997</v>
      </c>
    </row>
    <row r="3109" spans="1:5">
      <c r="A3109" t="s">
        <v>36311</v>
      </c>
      <c r="B3109" t="s">
        <v>15918</v>
      </c>
      <c r="C3109">
        <v>0</v>
      </c>
      <c r="D3109">
        <v>0.87346394787899995</v>
      </c>
      <c r="E3109">
        <v>0.73799999999999999</v>
      </c>
    </row>
    <row r="3110" spans="1:5">
      <c r="A3110" t="s">
        <v>36311</v>
      </c>
      <c r="B3110" t="s">
        <v>15917</v>
      </c>
      <c r="C3110">
        <v>0.45147671363000003</v>
      </c>
      <c r="D3110">
        <v>0.87346394787899995</v>
      </c>
      <c r="E3110">
        <v>0.73799999999999999</v>
      </c>
    </row>
    <row r="3111" spans="1:5">
      <c r="A3111" t="s">
        <v>36311</v>
      </c>
      <c r="B3111" t="s">
        <v>15919</v>
      </c>
      <c r="C3111">
        <v>0</v>
      </c>
      <c r="D3111">
        <v>0.87346394787899995</v>
      </c>
      <c r="E3111">
        <v>0.73799999999999999</v>
      </c>
    </row>
    <row r="3112" spans="1:5">
      <c r="A3112" t="s">
        <v>36311</v>
      </c>
      <c r="B3112" t="s">
        <v>15921</v>
      </c>
      <c r="C3112">
        <v>0</v>
      </c>
      <c r="D3112">
        <v>0.87346394787899995</v>
      </c>
      <c r="E3112">
        <v>0.73799999999999999</v>
      </c>
    </row>
    <row r="3113" spans="1:5">
      <c r="A3113" t="s">
        <v>36311</v>
      </c>
      <c r="B3113" t="s">
        <v>15925</v>
      </c>
      <c r="C3113">
        <v>0</v>
      </c>
      <c r="D3113">
        <v>0.87346394787899995</v>
      </c>
      <c r="E3113">
        <v>0.73799999999999999</v>
      </c>
    </row>
    <row r="3114" spans="1:5">
      <c r="A3114" t="s">
        <v>36311</v>
      </c>
      <c r="B3114" t="s">
        <v>15922</v>
      </c>
      <c r="C3114">
        <v>0.15349060141199999</v>
      </c>
      <c r="D3114">
        <v>0.87346394787899995</v>
      </c>
      <c r="E3114">
        <v>0.73799999999999999</v>
      </c>
    </row>
    <row r="3115" spans="1:5">
      <c r="A3115" t="s">
        <v>36311</v>
      </c>
      <c r="B3115" t="s">
        <v>15927</v>
      </c>
      <c r="C3115">
        <v>0</v>
      </c>
      <c r="D3115">
        <v>0.87346394787899995</v>
      </c>
      <c r="E3115">
        <v>0.73799999999999999</v>
      </c>
    </row>
    <row r="3116" spans="1:5">
      <c r="A3116" t="s">
        <v>36311</v>
      </c>
      <c r="B3116" t="s">
        <v>15920</v>
      </c>
      <c r="C3116">
        <f>0</f>
        <v>0</v>
      </c>
      <c r="D3116">
        <v>0.87346394787899995</v>
      </c>
      <c r="E3116">
        <v>0.73799999999999999</v>
      </c>
    </row>
    <row r="3117" spans="1:5">
      <c r="A3117" t="s">
        <v>36312</v>
      </c>
      <c r="B3117" t="s">
        <v>17072</v>
      </c>
      <c r="C3117">
        <v>0.78740644325099995</v>
      </c>
      <c r="D3117">
        <v>0.88981644325099996</v>
      </c>
      <c r="E3117">
        <v>8.7240000000000002</v>
      </c>
    </row>
    <row r="3118" spans="1:5">
      <c r="A3118" t="s">
        <v>36312</v>
      </c>
      <c r="B3118" t="s">
        <v>17067</v>
      </c>
      <c r="C3118">
        <v>0</v>
      </c>
      <c r="D3118">
        <v>0.88981644325099996</v>
      </c>
      <c r="E3118">
        <v>8.7240000000000002</v>
      </c>
    </row>
    <row r="3119" spans="1:5">
      <c r="A3119" t="s">
        <v>36313</v>
      </c>
      <c r="B3119" t="s">
        <v>12233</v>
      </c>
      <c r="C3119">
        <v>0.31379253524900003</v>
      </c>
      <c r="D3119">
        <v>0.99876155393900001</v>
      </c>
      <c r="E3119">
        <v>7.1999999999999995E-2</v>
      </c>
    </row>
    <row r="3120" spans="1:5">
      <c r="A3120" t="s">
        <v>36313</v>
      </c>
      <c r="B3120" t="s">
        <v>12241</v>
      </c>
      <c r="C3120">
        <v>0.267145939542</v>
      </c>
      <c r="D3120">
        <v>0.99876155393900001</v>
      </c>
      <c r="E3120">
        <v>7.1999999999999995E-2</v>
      </c>
    </row>
    <row r="3121" spans="1:5">
      <c r="A3121" t="s">
        <v>36313</v>
      </c>
      <c r="B3121" t="s">
        <v>12237</v>
      </c>
      <c r="C3121">
        <v>0.37754627841999999</v>
      </c>
      <c r="D3121">
        <v>0.99876155393900001</v>
      </c>
      <c r="E3121">
        <v>7.1999999999999995E-2</v>
      </c>
    </row>
    <row r="3122" spans="1:5">
      <c r="A3122" t="s">
        <v>36313</v>
      </c>
      <c r="B3122" t="s">
        <v>12242</v>
      </c>
      <c r="C3122">
        <f>0.047003142467</f>
        <v>4.7003142466999999E-2</v>
      </c>
      <c r="D3122">
        <v>0.99876155393900001</v>
      </c>
      <c r="E3122">
        <v>7.1999999999999995E-2</v>
      </c>
    </row>
    <row r="3123" spans="1:5">
      <c r="A3123" t="s">
        <v>36313</v>
      </c>
      <c r="B3123" t="s">
        <v>12236</v>
      </c>
      <c r="C3123">
        <f>0.405368171101</f>
        <v>0.40536817110099999</v>
      </c>
      <c r="D3123">
        <v>0.99876155393900001</v>
      </c>
      <c r="E3123">
        <v>7.1999999999999995E-2</v>
      </c>
    </row>
    <row r="3124" spans="1:5">
      <c r="A3124" t="s">
        <v>36313</v>
      </c>
      <c r="B3124" t="s">
        <v>12239</v>
      </c>
      <c r="C3124">
        <f>0.867034181213</f>
        <v>0.86703418121300002</v>
      </c>
      <c r="D3124">
        <v>0.99876155393900001</v>
      </c>
      <c r="E3124">
        <v>7.1999999999999995E-2</v>
      </c>
    </row>
    <row r="3125" spans="1:5">
      <c r="A3125" t="s">
        <v>36313</v>
      </c>
      <c r="B3125" t="s">
        <v>12247</v>
      </c>
      <c r="C3125">
        <f>0</f>
        <v>0</v>
      </c>
      <c r="D3125">
        <v>0.99876155393900001</v>
      </c>
      <c r="E3125">
        <v>7.1999999999999995E-2</v>
      </c>
    </row>
    <row r="3126" spans="1:5">
      <c r="A3126" t="s">
        <v>36314</v>
      </c>
      <c r="B3126" t="s">
        <v>25691</v>
      </c>
      <c r="C3126">
        <v>0</v>
      </c>
      <c r="D3126">
        <v>0.78532623866200002</v>
      </c>
      <c r="E3126">
        <v>0</v>
      </c>
    </row>
    <row r="3127" spans="1:5">
      <c r="A3127" t="s">
        <v>36314</v>
      </c>
      <c r="B3127" t="s">
        <v>25690</v>
      </c>
      <c r="C3127">
        <v>0.47179745658599997</v>
      </c>
      <c r="D3127">
        <v>0.78532623866200002</v>
      </c>
      <c r="E3127">
        <v>0</v>
      </c>
    </row>
    <row r="3128" spans="1:5">
      <c r="A3128" t="s">
        <v>36314</v>
      </c>
      <c r="B3128" t="s">
        <v>25688</v>
      </c>
      <c r="C3128">
        <v>0.181342928076</v>
      </c>
      <c r="D3128">
        <v>0.78532623866200002</v>
      </c>
      <c r="E3128">
        <v>0</v>
      </c>
    </row>
    <row r="3129" spans="1:5">
      <c r="A3129" t="s">
        <v>36314</v>
      </c>
      <c r="B3129" t="s">
        <v>25686</v>
      </c>
      <c r="C3129">
        <f>0</f>
        <v>0</v>
      </c>
      <c r="D3129">
        <v>0.78532623866200002</v>
      </c>
      <c r="E3129">
        <v>0</v>
      </c>
    </row>
    <row r="3130" spans="1:5">
      <c r="A3130" t="s">
        <v>36315</v>
      </c>
      <c r="B3130" t="s">
        <v>21340</v>
      </c>
      <c r="C3130">
        <v>0</v>
      </c>
      <c r="D3130">
        <v>0.68334555433699995</v>
      </c>
      <c r="E3130">
        <v>24</v>
      </c>
    </row>
    <row r="3131" spans="1:5">
      <c r="A3131" t="s">
        <v>36315</v>
      </c>
      <c r="B3131" t="s">
        <v>21338</v>
      </c>
      <c r="C3131">
        <v>0</v>
      </c>
      <c r="D3131">
        <v>0.68334555433699995</v>
      </c>
      <c r="E3131">
        <v>24</v>
      </c>
    </row>
    <row r="3132" spans="1:5">
      <c r="A3132" t="s">
        <v>36315</v>
      </c>
      <c r="B3132" t="s">
        <v>21341</v>
      </c>
      <c r="C3132">
        <v>0</v>
      </c>
      <c r="D3132">
        <v>0.68334555433699995</v>
      </c>
      <c r="E3132">
        <v>24</v>
      </c>
    </row>
    <row r="3133" spans="1:5">
      <c r="A3133" t="s">
        <v>36315</v>
      </c>
      <c r="B3133" t="s">
        <v>21339</v>
      </c>
      <c r="C3133">
        <v>0.489735554337</v>
      </c>
      <c r="D3133">
        <v>0.68334555433699995</v>
      </c>
      <c r="E3133">
        <v>24</v>
      </c>
    </row>
    <row r="3134" spans="1:5">
      <c r="A3134" t="s">
        <v>36316</v>
      </c>
      <c r="B3134" t="s">
        <v>12963</v>
      </c>
      <c r="C3134">
        <f>0.952007679918</f>
        <v>0.95200767991799995</v>
      </c>
      <c r="D3134">
        <v>0.93209287585199996</v>
      </c>
      <c r="E3134">
        <v>15.708</v>
      </c>
    </row>
    <row r="3135" spans="1:5">
      <c r="A3135" t="s">
        <v>36316</v>
      </c>
      <c r="B3135" t="s">
        <v>12954</v>
      </c>
      <c r="C3135">
        <v>0.14455399993099999</v>
      </c>
      <c r="D3135">
        <v>0.93209287585199996</v>
      </c>
      <c r="E3135">
        <v>15.708</v>
      </c>
    </row>
    <row r="3136" spans="1:5">
      <c r="A3136" t="s">
        <v>36317</v>
      </c>
      <c r="B3136" t="s">
        <v>36318</v>
      </c>
      <c r="C3136">
        <v>0.286966390736</v>
      </c>
      <c r="D3136">
        <v>0.99999996994700002</v>
      </c>
      <c r="E3136">
        <v>23.754000000000001</v>
      </c>
    </row>
    <row r="3137" spans="1:5">
      <c r="A3137" t="s">
        <v>36317</v>
      </c>
      <c r="B3137" t="s">
        <v>36319</v>
      </c>
      <c r="C3137">
        <v>0.18798364552800001</v>
      </c>
      <c r="D3137">
        <v>0.99999996994700002</v>
      </c>
      <c r="E3137">
        <v>23.754000000000001</v>
      </c>
    </row>
    <row r="3138" spans="1:5">
      <c r="A3138" t="s">
        <v>36317</v>
      </c>
      <c r="B3138" t="s">
        <v>36320</v>
      </c>
      <c r="C3138">
        <f>0.00398429839125</f>
        <v>3.9842983912500001E-3</v>
      </c>
      <c r="D3138">
        <v>0.99999996994700002</v>
      </c>
      <c r="E3138">
        <v>23.754000000000001</v>
      </c>
    </row>
    <row r="3139" spans="1:5">
      <c r="A3139" t="s">
        <v>36317</v>
      </c>
      <c r="B3139" t="s">
        <v>36321</v>
      </c>
      <c r="C3139">
        <f>0.127289782178</f>
        <v>0.12728978217799999</v>
      </c>
      <c r="D3139">
        <v>0.99999996994700002</v>
      </c>
      <c r="E3139">
        <v>23.754000000000001</v>
      </c>
    </row>
    <row r="3140" spans="1:5">
      <c r="A3140" t="s">
        <v>36317</v>
      </c>
      <c r="B3140" t="s">
        <v>36322</v>
      </c>
      <c r="C3140">
        <f>0.849770926152</f>
        <v>0.84977092615200001</v>
      </c>
      <c r="D3140">
        <v>0.99999996994700002</v>
      </c>
      <c r="E3140">
        <v>23.754000000000001</v>
      </c>
    </row>
    <row r="3141" spans="1:5">
      <c r="A3141" t="s">
        <v>36317</v>
      </c>
      <c r="B3141" t="s">
        <v>36323</v>
      </c>
      <c r="C3141">
        <v>0.21184024689799999</v>
      </c>
      <c r="D3141">
        <v>0.99999996994700002</v>
      </c>
      <c r="E3141">
        <v>23.754000000000001</v>
      </c>
    </row>
    <row r="3142" spans="1:5">
      <c r="A3142" t="s">
        <v>36317</v>
      </c>
      <c r="B3142" t="s">
        <v>36324</v>
      </c>
      <c r="C3142">
        <f>0.139129260263</f>
        <v>0.13912926026299999</v>
      </c>
      <c r="D3142">
        <v>0.99999996994700002</v>
      </c>
      <c r="E3142">
        <v>23.754000000000001</v>
      </c>
    </row>
    <row r="3143" spans="1:5">
      <c r="A3143" t="s">
        <v>36317</v>
      </c>
      <c r="B3143" t="s">
        <v>36325</v>
      </c>
      <c r="C3143">
        <v>0.121966077336</v>
      </c>
      <c r="D3143">
        <v>0.99999996994700002</v>
      </c>
      <c r="E3143">
        <v>23.754000000000001</v>
      </c>
    </row>
    <row r="3144" spans="1:5">
      <c r="A3144" t="s">
        <v>36317</v>
      </c>
      <c r="B3144" t="s">
        <v>36326</v>
      </c>
      <c r="C3144">
        <v>0.21500472294799999</v>
      </c>
      <c r="D3144">
        <v>0.99999996994700002</v>
      </c>
      <c r="E3144">
        <v>23.754000000000001</v>
      </c>
    </row>
    <row r="3145" spans="1:5">
      <c r="A3145" t="s">
        <v>36317</v>
      </c>
      <c r="B3145" t="s">
        <v>36327</v>
      </c>
      <c r="C3145">
        <f>0.145826352134</f>
        <v>0.145826352134</v>
      </c>
      <c r="D3145">
        <v>0.99999996994700002</v>
      </c>
      <c r="E3145">
        <v>23.754000000000001</v>
      </c>
    </row>
    <row r="3146" spans="1:5">
      <c r="A3146" t="s">
        <v>36317</v>
      </c>
      <c r="B3146" t="s">
        <v>36328</v>
      </c>
      <c r="C3146">
        <v>8.2236908879099999E-2</v>
      </c>
      <c r="D3146">
        <v>0.99999996994700002</v>
      </c>
      <c r="E3146">
        <v>23.754000000000001</v>
      </c>
    </row>
    <row r="3147" spans="1:5">
      <c r="A3147" t="s">
        <v>36317</v>
      </c>
      <c r="B3147" t="s">
        <v>36329</v>
      </c>
      <c r="C3147">
        <f>0.17156423212</f>
        <v>0.17156423211999999</v>
      </c>
      <c r="D3147">
        <v>0.99999996994700002</v>
      </c>
      <c r="E3147">
        <v>23.754000000000001</v>
      </c>
    </row>
    <row r="3148" spans="1:5">
      <c r="A3148" t="s">
        <v>36317</v>
      </c>
      <c r="B3148" t="s">
        <v>36330</v>
      </c>
      <c r="C3148">
        <v>6.0915121937000001E-2</v>
      </c>
      <c r="D3148">
        <v>0.99999996994700002</v>
      </c>
      <c r="E3148">
        <v>23.754000000000001</v>
      </c>
    </row>
    <row r="3149" spans="1:5">
      <c r="A3149" t="s">
        <v>36317</v>
      </c>
      <c r="B3149" t="s">
        <v>36331</v>
      </c>
      <c r="C3149">
        <v>0.183586819475</v>
      </c>
      <c r="D3149">
        <v>0.99999996994700002</v>
      </c>
      <c r="E3149">
        <v>23.754000000000001</v>
      </c>
    </row>
    <row r="3150" spans="1:5">
      <c r="A3150" t="s">
        <v>36317</v>
      </c>
      <c r="B3150" t="s">
        <v>36332</v>
      </c>
      <c r="C3150">
        <f>0.188102016854</f>
        <v>0.18810201685399999</v>
      </c>
      <c r="D3150">
        <v>0.99999996994700002</v>
      </c>
      <c r="E3150">
        <v>23.754000000000001</v>
      </c>
    </row>
    <row r="3151" spans="1:5">
      <c r="A3151" t="s">
        <v>36333</v>
      </c>
      <c r="B3151" t="s">
        <v>33035</v>
      </c>
      <c r="C3151">
        <f>-1.20454054183</f>
        <v>-1.2045405418299999</v>
      </c>
      <c r="D3151">
        <v>0.94193306485200001</v>
      </c>
      <c r="E3151">
        <v>5.2380000000000004</v>
      </c>
    </row>
    <row r="3152" spans="1:5">
      <c r="A3152" t="s">
        <v>36333</v>
      </c>
      <c r="B3152" t="s">
        <v>33038</v>
      </c>
      <c r="C3152">
        <v>1.6358010701800001</v>
      </c>
      <c r="D3152">
        <v>0.94193306485200001</v>
      </c>
      <c r="E3152">
        <v>5.2380000000000004</v>
      </c>
    </row>
    <row r="3153" spans="1:5">
      <c r="A3153" t="s">
        <v>36333</v>
      </c>
      <c r="B3153" t="s">
        <v>33039</v>
      </c>
      <c r="C3153">
        <f>0.291827552374</f>
        <v>0.29182755237399999</v>
      </c>
      <c r="D3153">
        <v>0.94193306485200001</v>
      </c>
      <c r="E3153">
        <v>5.2380000000000004</v>
      </c>
    </row>
    <row r="3154" spans="1:5">
      <c r="A3154" t="s">
        <v>36333</v>
      </c>
      <c r="B3154" t="s">
        <v>33037</v>
      </c>
      <c r="C3154">
        <f>0.0836436548387</f>
        <v>8.3643654838699996E-2</v>
      </c>
      <c r="D3154">
        <v>0.94193306485200001</v>
      </c>
      <c r="E3154">
        <v>5.2380000000000004</v>
      </c>
    </row>
    <row r="3155" spans="1:5">
      <c r="A3155" t="s">
        <v>36334</v>
      </c>
      <c r="B3155" t="s">
        <v>14918</v>
      </c>
      <c r="C3155">
        <f>0</f>
        <v>0</v>
      </c>
      <c r="D3155">
        <v>0.99997585221999996</v>
      </c>
      <c r="E3155">
        <v>24</v>
      </c>
    </row>
    <row r="3156" spans="1:5">
      <c r="A3156" t="s">
        <v>36334</v>
      </c>
      <c r="B3156" t="s">
        <v>14920</v>
      </c>
      <c r="C3156">
        <f>0</f>
        <v>0</v>
      </c>
      <c r="D3156">
        <v>0.99997585221999996</v>
      </c>
      <c r="E3156">
        <v>24</v>
      </c>
    </row>
    <row r="3157" spans="1:5">
      <c r="A3157" t="s">
        <v>36334</v>
      </c>
      <c r="B3157" t="s">
        <v>14929</v>
      </c>
      <c r="C3157">
        <f>0.0862300570252</f>
        <v>8.6230057025199994E-2</v>
      </c>
      <c r="D3157">
        <v>0.99997585221999996</v>
      </c>
      <c r="E3157">
        <v>24</v>
      </c>
    </row>
    <row r="3158" spans="1:5">
      <c r="A3158" t="s">
        <v>36334</v>
      </c>
      <c r="B3158" t="s">
        <v>14927</v>
      </c>
      <c r="C3158">
        <f>0.511744154233</f>
        <v>0.51174415423300001</v>
      </c>
      <c r="D3158">
        <v>0.99997585221999996</v>
      </c>
      <c r="E3158">
        <v>24</v>
      </c>
    </row>
    <row r="3159" spans="1:5">
      <c r="A3159" t="s">
        <v>36334</v>
      </c>
      <c r="B3159" t="s">
        <v>14928</v>
      </c>
      <c r="C3159">
        <v>0.69570609020800001</v>
      </c>
      <c r="D3159">
        <v>0.99997585221999996</v>
      </c>
      <c r="E3159">
        <v>24</v>
      </c>
    </row>
    <row r="3160" spans="1:5">
      <c r="A3160" t="s">
        <v>36334</v>
      </c>
      <c r="B3160" t="s">
        <v>14925</v>
      </c>
      <c r="C3160">
        <f>0.0402423553028</f>
        <v>4.0242355302800001E-2</v>
      </c>
      <c r="D3160">
        <v>0.99997585221999996</v>
      </c>
      <c r="E3160">
        <v>24</v>
      </c>
    </row>
    <row r="3161" spans="1:5">
      <c r="A3161" t="s">
        <v>36334</v>
      </c>
      <c r="B3161" t="s">
        <v>14919</v>
      </c>
      <c r="C3161">
        <f>0.108936278527</f>
        <v>0.108936278527</v>
      </c>
      <c r="D3161">
        <v>0.99997585221999996</v>
      </c>
      <c r="E3161">
        <v>24</v>
      </c>
    </row>
    <row r="3162" spans="1:5">
      <c r="A3162" t="s">
        <v>36334</v>
      </c>
      <c r="B3162" t="s">
        <v>14922</v>
      </c>
      <c r="C3162">
        <f>0.337100472141</f>
        <v>0.33710047214099997</v>
      </c>
      <c r="D3162">
        <v>0.99997585221999996</v>
      </c>
      <c r="E3162">
        <v>24</v>
      </c>
    </row>
    <row r="3163" spans="1:5">
      <c r="A3163" t="s">
        <v>36334</v>
      </c>
      <c r="B3163" t="s">
        <v>14921</v>
      </c>
      <c r="C3163">
        <f>0</f>
        <v>0</v>
      </c>
      <c r="D3163">
        <v>0.99997585221999996</v>
      </c>
      <c r="E3163">
        <v>24</v>
      </c>
    </row>
    <row r="3164" spans="1:5">
      <c r="A3164" t="s">
        <v>36334</v>
      </c>
      <c r="B3164" t="s">
        <v>14924</v>
      </c>
      <c r="C3164">
        <f>0.394067604345</f>
        <v>0.39406760434499999</v>
      </c>
      <c r="D3164">
        <v>0.99997585221999996</v>
      </c>
      <c r="E3164">
        <v>24</v>
      </c>
    </row>
    <row r="3165" spans="1:5">
      <c r="A3165" t="s">
        <v>36334</v>
      </c>
      <c r="B3165" t="s">
        <v>14930</v>
      </c>
      <c r="C3165">
        <v>0.17485185586800001</v>
      </c>
      <c r="D3165">
        <v>0.99997585221999996</v>
      </c>
      <c r="E3165">
        <v>24</v>
      </c>
    </row>
    <row r="3166" spans="1:5">
      <c r="A3166" t="s">
        <v>36335</v>
      </c>
      <c r="B3166" t="s">
        <v>36336</v>
      </c>
      <c r="C3166">
        <v>0</v>
      </c>
      <c r="D3166">
        <v>0.664417805975</v>
      </c>
      <c r="E3166">
        <v>0.96599999999999997</v>
      </c>
    </row>
    <row r="3167" spans="1:5">
      <c r="A3167" t="s">
        <v>36335</v>
      </c>
      <c r="B3167" t="s">
        <v>36337</v>
      </c>
      <c r="C3167">
        <f>0</f>
        <v>0</v>
      </c>
      <c r="D3167">
        <v>0.664417805975</v>
      </c>
      <c r="E3167">
        <v>0.96599999999999997</v>
      </c>
    </row>
    <row r="3168" spans="1:5">
      <c r="A3168" t="s">
        <v>36335</v>
      </c>
      <c r="B3168" t="s">
        <v>36338</v>
      </c>
      <c r="C3168">
        <f>0</f>
        <v>0</v>
      </c>
      <c r="D3168">
        <v>0.664417805975</v>
      </c>
      <c r="E3168">
        <v>0.96599999999999997</v>
      </c>
    </row>
    <row r="3169" spans="1:5">
      <c r="A3169" t="s">
        <v>36335</v>
      </c>
      <c r="B3169" t="s">
        <v>36339</v>
      </c>
      <c r="C3169">
        <f>0</f>
        <v>0</v>
      </c>
      <c r="D3169">
        <v>0.664417805975</v>
      </c>
      <c r="E3169">
        <v>0.96599999999999997</v>
      </c>
    </row>
    <row r="3170" spans="1:5">
      <c r="A3170" t="s">
        <v>36335</v>
      </c>
      <c r="B3170" t="s">
        <v>36340</v>
      </c>
      <c r="C3170">
        <f>0</f>
        <v>0</v>
      </c>
      <c r="D3170">
        <v>0.664417805975</v>
      </c>
      <c r="E3170">
        <v>0.96599999999999997</v>
      </c>
    </row>
    <row r="3171" spans="1:5">
      <c r="A3171" t="s">
        <v>36335</v>
      </c>
      <c r="B3171" t="s">
        <v>36341</v>
      </c>
      <c r="C3171">
        <f>0</f>
        <v>0</v>
      </c>
      <c r="D3171">
        <v>0.664417805975</v>
      </c>
      <c r="E3171">
        <v>0.96599999999999997</v>
      </c>
    </row>
    <row r="3172" spans="1:5">
      <c r="A3172" t="s">
        <v>36335</v>
      </c>
      <c r="B3172" t="s">
        <v>36342</v>
      </c>
      <c r="C3172">
        <f>0</f>
        <v>0</v>
      </c>
      <c r="D3172">
        <v>0.664417805975</v>
      </c>
      <c r="E3172">
        <v>0.96599999999999997</v>
      </c>
    </row>
    <row r="3173" spans="1:5">
      <c r="A3173" t="s">
        <v>36335</v>
      </c>
      <c r="B3173" t="s">
        <v>36343</v>
      </c>
      <c r="C3173">
        <f>0</f>
        <v>0</v>
      </c>
      <c r="D3173">
        <v>0.664417805975</v>
      </c>
      <c r="E3173">
        <v>0.96599999999999997</v>
      </c>
    </row>
    <row r="3174" spans="1:5">
      <c r="A3174" t="s">
        <v>36335</v>
      </c>
      <c r="B3174" t="s">
        <v>36344</v>
      </c>
      <c r="C3174">
        <f>0.202007805975</f>
        <v>0.20200780597500001</v>
      </c>
      <c r="D3174">
        <v>0.664417805975</v>
      </c>
      <c r="E3174">
        <v>0.96599999999999997</v>
      </c>
    </row>
    <row r="3175" spans="1:5">
      <c r="A3175" t="s">
        <v>36335</v>
      </c>
      <c r="B3175" t="s">
        <v>36345</v>
      </c>
      <c r="C3175">
        <f>0</f>
        <v>0</v>
      </c>
      <c r="D3175">
        <v>0.664417805975</v>
      </c>
      <c r="E3175">
        <v>0.96599999999999997</v>
      </c>
    </row>
    <row r="3176" spans="1:5">
      <c r="A3176" t="s">
        <v>36346</v>
      </c>
      <c r="B3176" t="s">
        <v>25704</v>
      </c>
      <c r="C3176">
        <f>0</f>
        <v>0</v>
      </c>
      <c r="D3176" t="s">
        <v>106</v>
      </c>
      <c r="E3176">
        <v>8.7240000000000002</v>
      </c>
    </row>
    <row r="3177" spans="1:5">
      <c r="A3177" t="s">
        <v>36346</v>
      </c>
      <c r="B3177" t="s">
        <v>25706</v>
      </c>
      <c r="C3177">
        <f>0</f>
        <v>0</v>
      </c>
      <c r="D3177" t="s">
        <v>106</v>
      </c>
      <c r="E3177">
        <v>8.7240000000000002</v>
      </c>
    </row>
    <row r="3178" spans="1:5">
      <c r="A3178" t="s">
        <v>36347</v>
      </c>
      <c r="B3178" t="s">
        <v>36348</v>
      </c>
      <c r="C3178">
        <v>0.726641872721</v>
      </c>
      <c r="D3178">
        <v>0.98411681089400005</v>
      </c>
      <c r="E3178">
        <v>0.61799999999999999</v>
      </c>
    </row>
    <row r="3179" spans="1:5">
      <c r="A3179" t="s">
        <v>36347</v>
      </c>
      <c r="B3179" t="s">
        <v>36349</v>
      </c>
      <c r="C3179">
        <f>0.286977504589</f>
        <v>0.28697750458900001</v>
      </c>
      <c r="D3179">
        <v>0.98411681089400005</v>
      </c>
      <c r="E3179">
        <v>0.61799999999999999</v>
      </c>
    </row>
    <row r="3180" spans="1:5">
      <c r="A3180" t="s">
        <v>36347</v>
      </c>
      <c r="B3180" t="s">
        <v>36350</v>
      </c>
      <c r="C3180">
        <v>0.75659898896599997</v>
      </c>
      <c r="D3180">
        <v>0.98411681089400005</v>
      </c>
      <c r="E3180">
        <v>0.61799999999999999</v>
      </c>
    </row>
    <row r="3181" spans="1:5">
      <c r="A3181" t="s">
        <v>36347</v>
      </c>
      <c r="B3181" t="s">
        <v>36351</v>
      </c>
      <c r="C3181">
        <f>0.343053863284</f>
        <v>0.343053863284</v>
      </c>
      <c r="D3181">
        <v>0.98411681089400005</v>
      </c>
      <c r="E3181">
        <v>0.61799999999999999</v>
      </c>
    </row>
    <row r="3182" spans="1:5">
      <c r="A3182" t="s">
        <v>36352</v>
      </c>
      <c r="B3182" t="s">
        <v>30489</v>
      </c>
      <c r="C3182">
        <v>0</v>
      </c>
      <c r="D3182" t="s">
        <v>106</v>
      </c>
      <c r="E3182">
        <v>17.718</v>
      </c>
    </row>
    <row r="3183" spans="1:5">
      <c r="A3183" t="s">
        <v>36352</v>
      </c>
      <c r="B3183" t="s">
        <v>30494</v>
      </c>
      <c r="C3183">
        <v>0</v>
      </c>
      <c r="D3183" t="s">
        <v>106</v>
      </c>
      <c r="E3183">
        <v>17.718</v>
      </c>
    </row>
    <row r="3184" spans="1:5">
      <c r="A3184" t="s">
        <v>36352</v>
      </c>
      <c r="B3184" t="s">
        <v>30493</v>
      </c>
      <c r="C3184">
        <v>0</v>
      </c>
      <c r="D3184" t="s">
        <v>106</v>
      </c>
      <c r="E3184">
        <v>17.718</v>
      </c>
    </row>
    <row r="3185" spans="1:5">
      <c r="A3185" t="s">
        <v>36352</v>
      </c>
      <c r="B3185" t="s">
        <v>30491</v>
      </c>
      <c r="C3185">
        <v>0</v>
      </c>
      <c r="D3185" t="s">
        <v>106</v>
      </c>
      <c r="E3185">
        <v>17.718</v>
      </c>
    </row>
    <row r="3186" spans="1:5">
      <c r="A3186" t="s">
        <v>36353</v>
      </c>
      <c r="B3186" t="s">
        <v>23863</v>
      </c>
      <c r="C3186">
        <v>1.120224356</v>
      </c>
      <c r="D3186">
        <v>0.99646896377000005</v>
      </c>
      <c r="E3186">
        <v>1.7999999999999999E-2</v>
      </c>
    </row>
    <row r="3187" spans="1:5">
      <c r="A3187" t="s">
        <v>36353</v>
      </c>
      <c r="B3187" t="s">
        <v>23864</v>
      </c>
      <c r="C3187">
        <f>0.443407946167</f>
        <v>0.44340794616700002</v>
      </c>
      <c r="D3187">
        <v>0.99646896377000005</v>
      </c>
      <c r="E3187">
        <v>1.7999999999999999E-2</v>
      </c>
    </row>
    <row r="3188" spans="1:5">
      <c r="A3188" t="s">
        <v>36353</v>
      </c>
      <c r="B3188" t="s">
        <v>23873</v>
      </c>
      <c r="C3188">
        <v>1.1836655946800001</v>
      </c>
      <c r="D3188">
        <v>0.99646896377000005</v>
      </c>
      <c r="E3188">
        <v>1.7999999999999999E-2</v>
      </c>
    </row>
    <row r="3189" spans="1:5">
      <c r="A3189" t="s">
        <v>36353</v>
      </c>
      <c r="B3189" t="s">
        <v>23872</v>
      </c>
      <c r="C3189">
        <f>0.0776928854109</f>
        <v>7.7692885410899998E-2</v>
      </c>
      <c r="D3189">
        <v>0.99646896377000005</v>
      </c>
      <c r="E3189">
        <v>1.7999999999999999E-2</v>
      </c>
    </row>
    <row r="3190" spans="1:5">
      <c r="A3190" t="s">
        <v>36353</v>
      </c>
      <c r="B3190" t="s">
        <v>23866</v>
      </c>
      <c r="C3190">
        <f>-1.20497113763</f>
        <v>-1.2049711376300001</v>
      </c>
      <c r="D3190">
        <v>0.99646896377000005</v>
      </c>
      <c r="E3190">
        <v>1.7999999999999999E-2</v>
      </c>
    </row>
    <row r="3191" spans="1:5">
      <c r="A3191" t="s">
        <v>36353</v>
      </c>
      <c r="B3191" t="s">
        <v>23868</v>
      </c>
      <c r="C3191">
        <v>0.394555526381</v>
      </c>
      <c r="D3191">
        <v>0.99646896377000005</v>
      </c>
      <c r="E3191">
        <v>1.7999999999999999E-2</v>
      </c>
    </row>
    <row r="3192" spans="1:5">
      <c r="A3192" t="s">
        <v>36353</v>
      </c>
      <c r="B3192" t="s">
        <v>23870</v>
      </c>
      <c r="C3192">
        <v>0.129952411574</v>
      </c>
      <c r="D3192">
        <v>0.99646896377000005</v>
      </c>
      <c r="E3192">
        <v>1.7999999999999999E-2</v>
      </c>
    </row>
    <row r="3193" spans="1:5">
      <c r="A3193" t="s">
        <v>36354</v>
      </c>
      <c r="B3193" t="s">
        <v>36355</v>
      </c>
      <c r="C3193">
        <f>0</f>
        <v>0</v>
      </c>
      <c r="D3193" t="s">
        <v>106</v>
      </c>
      <c r="E3193">
        <v>24</v>
      </c>
    </row>
    <row r="3194" spans="1:5">
      <c r="A3194" t="s">
        <v>36354</v>
      </c>
      <c r="B3194" t="s">
        <v>36356</v>
      </c>
      <c r="C3194">
        <v>0</v>
      </c>
      <c r="D3194" t="s">
        <v>106</v>
      </c>
      <c r="E3194">
        <v>24</v>
      </c>
    </row>
    <row r="3195" spans="1:5">
      <c r="A3195" t="s">
        <v>36354</v>
      </c>
      <c r="B3195" t="s">
        <v>36357</v>
      </c>
      <c r="C3195">
        <v>0</v>
      </c>
      <c r="D3195" t="s">
        <v>106</v>
      </c>
      <c r="E3195">
        <v>24</v>
      </c>
    </row>
    <row r="3196" spans="1:5">
      <c r="A3196" t="s">
        <v>36354</v>
      </c>
      <c r="B3196" t="s">
        <v>36358</v>
      </c>
      <c r="C3196">
        <f>0</f>
        <v>0</v>
      </c>
      <c r="D3196" t="s">
        <v>106</v>
      </c>
      <c r="E3196">
        <v>24</v>
      </c>
    </row>
    <row r="3197" spans="1:5">
      <c r="A3197" t="s">
        <v>36354</v>
      </c>
      <c r="B3197" t="s">
        <v>36359</v>
      </c>
      <c r="C3197">
        <f>0</f>
        <v>0</v>
      </c>
      <c r="D3197" t="s">
        <v>106</v>
      </c>
      <c r="E3197">
        <v>24</v>
      </c>
    </row>
    <row r="3198" spans="1:5">
      <c r="A3198" t="s">
        <v>36354</v>
      </c>
      <c r="B3198" t="s">
        <v>36360</v>
      </c>
      <c r="C3198">
        <f>0</f>
        <v>0</v>
      </c>
      <c r="D3198" t="s">
        <v>106</v>
      </c>
      <c r="E3198">
        <v>24</v>
      </c>
    </row>
    <row r="3199" spans="1:5">
      <c r="A3199" t="s">
        <v>36361</v>
      </c>
      <c r="B3199" t="s">
        <v>30878</v>
      </c>
      <c r="C3199">
        <f>0</f>
        <v>0</v>
      </c>
      <c r="D3199" t="s">
        <v>106</v>
      </c>
      <c r="E3199">
        <v>10.554</v>
      </c>
    </row>
    <row r="3200" spans="1:5">
      <c r="A3200" t="s">
        <v>36361</v>
      </c>
      <c r="B3200" t="s">
        <v>30885</v>
      </c>
      <c r="C3200">
        <f>0</f>
        <v>0</v>
      </c>
      <c r="D3200" t="s">
        <v>106</v>
      </c>
      <c r="E3200">
        <v>10.554</v>
      </c>
    </row>
    <row r="3201" spans="1:5">
      <c r="A3201" t="s">
        <v>36361</v>
      </c>
      <c r="B3201" t="s">
        <v>30879</v>
      </c>
      <c r="C3201">
        <f>0</f>
        <v>0</v>
      </c>
      <c r="D3201" t="s">
        <v>106</v>
      </c>
      <c r="E3201">
        <v>10.554</v>
      </c>
    </row>
    <row r="3202" spans="1:5">
      <c r="A3202" t="s">
        <v>36362</v>
      </c>
      <c r="B3202" t="s">
        <v>36363</v>
      </c>
      <c r="C3202">
        <v>0.19295216287</v>
      </c>
      <c r="D3202">
        <v>0.649135921871</v>
      </c>
      <c r="E3202">
        <v>11.04</v>
      </c>
    </row>
    <row r="3203" spans="1:5">
      <c r="A3203" t="s">
        <v>36362</v>
      </c>
      <c r="B3203" t="s">
        <v>36364</v>
      </c>
      <c r="C3203">
        <v>0.48366797465099998</v>
      </c>
      <c r="D3203">
        <v>0.649135921871</v>
      </c>
      <c r="E3203">
        <v>11.04</v>
      </c>
    </row>
    <row r="3204" spans="1:5">
      <c r="A3204" t="s">
        <v>36365</v>
      </c>
      <c r="B3204" t="s">
        <v>2577</v>
      </c>
      <c r="C3204">
        <v>0.96765669586699998</v>
      </c>
      <c r="D3204">
        <v>0.95393169502999997</v>
      </c>
      <c r="E3204">
        <v>16.896000000000001</v>
      </c>
    </row>
    <row r="3205" spans="1:5">
      <c r="A3205" t="s">
        <v>36365</v>
      </c>
      <c r="B3205" t="s">
        <v>2575</v>
      </c>
      <c r="C3205">
        <f>0.108521063311</f>
        <v>0.108521063311</v>
      </c>
      <c r="D3205">
        <v>0.95393169502999997</v>
      </c>
      <c r="E3205">
        <v>16.896000000000001</v>
      </c>
    </row>
    <row r="3206" spans="1:5">
      <c r="A3206" t="s">
        <v>36365</v>
      </c>
      <c r="B3206" t="s">
        <v>2576</v>
      </c>
      <c r="C3206">
        <f>0.192720513353</f>
        <v>0.192720513353</v>
      </c>
      <c r="D3206">
        <v>0.95393169502999997</v>
      </c>
      <c r="E3206">
        <v>16.896000000000001</v>
      </c>
    </row>
    <row r="3207" spans="1:5">
      <c r="A3207" t="s">
        <v>36365</v>
      </c>
      <c r="B3207" t="s">
        <v>36366</v>
      </c>
      <c r="C3207">
        <f>0.810135428045</f>
        <v>0.81013542804500005</v>
      </c>
      <c r="D3207">
        <v>0.95393169502999997</v>
      </c>
      <c r="E3207">
        <v>16.896000000000001</v>
      </c>
    </row>
    <row r="3208" spans="1:5">
      <c r="A3208" t="s">
        <v>36365</v>
      </c>
      <c r="B3208" t="s">
        <v>2578</v>
      </c>
      <c r="C3208">
        <v>0</v>
      </c>
      <c r="D3208">
        <v>0.95393169502999997</v>
      </c>
      <c r="E3208">
        <v>16.896000000000001</v>
      </c>
    </row>
    <row r="3209" spans="1:5">
      <c r="A3209" t="s">
        <v>36365</v>
      </c>
      <c r="B3209" t="s">
        <v>2579</v>
      </c>
      <c r="C3209">
        <v>0</v>
      </c>
      <c r="D3209">
        <v>0.95393169502999997</v>
      </c>
      <c r="E3209">
        <v>16.896000000000001</v>
      </c>
    </row>
    <row r="3210" spans="1:5">
      <c r="A3210" t="s">
        <v>36365</v>
      </c>
      <c r="B3210" t="s">
        <v>2580</v>
      </c>
      <c r="C3210">
        <f>0.487015279591</f>
        <v>0.48701527959099999</v>
      </c>
      <c r="D3210">
        <v>0.95393169502999997</v>
      </c>
      <c r="E3210">
        <v>16.896000000000001</v>
      </c>
    </row>
    <row r="3211" spans="1:5">
      <c r="A3211" t="s">
        <v>36367</v>
      </c>
      <c r="B3211" t="s">
        <v>36368</v>
      </c>
      <c r="C3211">
        <v>0.12965481425</v>
      </c>
      <c r="D3211">
        <v>0.94605065613999995</v>
      </c>
      <c r="E3211">
        <v>6.3</v>
      </c>
    </row>
    <row r="3212" spans="1:5">
      <c r="A3212" t="s">
        <v>36367</v>
      </c>
      <c r="B3212" t="s">
        <v>36369</v>
      </c>
      <c r="C3212">
        <f>0.0125654109025</f>
        <v>1.2565410902499999E-2</v>
      </c>
      <c r="D3212">
        <v>0.94605065613999995</v>
      </c>
      <c r="E3212">
        <v>6.3</v>
      </c>
    </row>
    <row r="3213" spans="1:5">
      <c r="A3213" t="s">
        <v>36367</v>
      </c>
      <c r="B3213" t="s">
        <v>36370</v>
      </c>
      <c r="C3213">
        <v>0.80346527107400001</v>
      </c>
      <c r="D3213">
        <v>0.94605065613999995</v>
      </c>
      <c r="E3213">
        <v>6.3</v>
      </c>
    </row>
    <row r="3214" spans="1:5">
      <c r="A3214" t="s">
        <v>36367</v>
      </c>
      <c r="B3214" t="s">
        <v>36371</v>
      </c>
      <c r="C3214">
        <v>0.243176461944</v>
      </c>
      <c r="D3214">
        <v>0.94605065613999995</v>
      </c>
      <c r="E3214">
        <v>6.3</v>
      </c>
    </row>
    <row r="3215" spans="1:5">
      <c r="A3215" t="s">
        <v>36367</v>
      </c>
      <c r="B3215" t="s">
        <v>36372</v>
      </c>
      <c r="C3215">
        <v>0.55459820824700001</v>
      </c>
      <c r="D3215">
        <v>0.94605065613999995</v>
      </c>
      <c r="E3215">
        <v>6.3</v>
      </c>
    </row>
    <row r="3216" spans="1:5">
      <c r="A3216" t="s">
        <v>36373</v>
      </c>
      <c r="B3216" t="s">
        <v>12641</v>
      </c>
      <c r="C3216">
        <v>0</v>
      </c>
      <c r="D3216" t="s">
        <v>106</v>
      </c>
      <c r="E3216">
        <v>24</v>
      </c>
    </row>
    <row r="3217" spans="1:5">
      <c r="A3217" t="s">
        <v>36373</v>
      </c>
      <c r="B3217" t="s">
        <v>12640</v>
      </c>
      <c r="C3217">
        <f>0</f>
        <v>0</v>
      </c>
      <c r="D3217" t="s">
        <v>106</v>
      </c>
      <c r="E3217">
        <v>24</v>
      </c>
    </row>
    <row r="3218" spans="1:5">
      <c r="A3218" t="s">
        <v>36373</v>
      </c>
      <c r="B3218" t="s">
        <v>12639</v>
      </c>
      <c r="C3218">
        <f>0</f>
        <v>0</v>
      </c>
      <c r="D3218" t="s">
        <v>106</v>
      </c>
      <c r="E3218">
        <v>24</v>
      </c>
    </row>
    <row r="3219" spans="1:5">
      <c r="A3219" t="s">
        <v>36373</v>
      </c>
      <c r="B3219" t="s">
        <v>12638</v>
      </c>
      <c r="C3219">
        <f>0</f>
        <v>0</v>
      </c>
      <c r="D3219" t="s">
        <v>106</v>
      </c>
      <c r="E3219">
        <v>24</v>
      </c>
    </row>
    <row r="3220" spans="1:5">
      <c r="A3220" t="s">
        <v>36374</v>
      </c>
      <c r="B3220" t="s">
        <v>32885</v>
      </c>
      <c r="C3220">
        <v>0</v>
      </c>
      <c r="D3220" t="s">
        <v>106</v>
      </c>
      <c r="E3220">
        <v>0.438</v>
      </c>
    </row>
    <row r="3221" spans="1:5">
      <c r="A3221" t="s">
        <v>36374</v>
      </c>
      <c r="B3221" t="s">
        <v>32882</v>
      </c>
      <c r="C3221">
        <v>0</v>
      </c>
      <c r="D3221" t="s">
        <v>106</v>
      </c>
      <c r="E3221">
        <v>0.438</v>
      </c>
    </row>
    <row r="3222" spans="1:5">
      <c r="A3222" t="s">
        <v>36374</v>
      </c>
      <c r="B3222" t="s">
        <v>32884</v>
      </c>
      <c r="C3222">
        <f>0</f>
        <v>0</v>
      </c>
      <c r="D3222" t="s">
        <v>106</v>
      </c>
      <c r="E3222">
        <v>0.438</v>
      </c>
    </row>
    <row r="3223" spans="1:5">
      <c r="A3223" t="s">
        <v>36374</v>
      </c>
      <c r="B3223" t="s">
        <v>32889</v>
      </c>
      <c r="C3223">
        <v>0</v>
      </c>
      <c r="D3223" t="s">
        <v>106</v>
      </c>
      <c r="E3223">
        <v>0.438</v>
      </c>
    </row>
    <row r="3224" spans="1:5">
      <c r="A3224" t="s">
        <v>36374</v>
      </c>
      <c r="B3224" t="s">
        <v>32888</v>
      </c>
      <c r="C3224">
        <v>0</v>
      </c>
      <c r="D3224" t="s">
        <v>106</v>
      </c>
      <c r="E3224">
        <v>0.438</v>
      </c>
    </row>
    <row r="3225" spans="1:5">
      <c r="A3225" t="s">
        <v>36375</v>
      </c>
      <c r="B3225" t="s">
        <v>12773</v>
      </c>
      <c r="C3225">
        <v>3.5273323329800002E-2</v>
      </c>
      <c r="D3225">
        <v>0.92600652616400003</v>
      </c>
      <c r="E3225">
        <v>2.4</v>
      </c>
    </row>
    <row r="3226" spans="1:5">
      <c r="A3226" t="s">
        <v>36375</v>
      </c>
      <c r="B3226" t="s">
        <v>12776</v>
      </c>
      <c r="C3226">
        <v>8.8999851299499999E-2</v>
      </c>
      <c r="D3226">
        <v>0.92600652616400003</v>
      </c>
      <c r="E3226">
        <v>2.4</v>
      </c>
    </row>
    <row r="3227" spans="1:5">
      <c r="A3227" t="s">
        <v>36375</v>
      </c>
      <c r="B3227" t="s">
        <v>12774</v>
      </c>
      <c r="C3227">
        <f>0</f>
        <v>0</v>
      </c>
      <c r="D3227">
        <v>0.92600652616400003</v>
      </c>
      <c r="E3227">
        <v>2.4</v>
      </c>
    </row>
    <row r="3228" spans="1:5">
      <c r="A3228" t="s">
        <v>36375</v>
      </c>
      <c r="B3228" t="s">
        <v>12779</v>
      </c>
      <c r="C3228">
        <v>0.59155477568100001</v>
      </c>
      <c r="D3228">
        <v>0.92600652616400003</v>
      </c>
      <c r="E3228">
        <v>2.4</v>
      </c>
    </row>
    <row r="3229" spans="1:5">
      <c r="A3229" t="s">
        <v>36375</v>
      </c>
      <c r="B3229" t="s">
        <v>12780</v>
      </c>
      <c r="C3229">
        <f>0</f>
        <v>0</v>
      </c>
      <c r="D3229">
        <v>0.92600652616400003</v>
      </c>
      <c r="E3229">
        <v>2.4</v>
      </c>
    </row>
    <row r="3230" spans="1:5">
      <c r="A3230" t="s">
        <v>36375</v>
      </c>
      <c r="B3230" t="s">
        <v>12778</v>
      </c>
      <c r="C3230">
        <v>0.64729662908100005</v>
      </c>
      <c r="D3230">
        <v>0.92600652616400003</v>
      </c>
      <c r="E3230">
        <v>2.4</v>
      </c>
    </row>
    <row r="3231" spans="1:5">
      <c r="A3231" t="s">
        <v>36375</v>
      </c>
      <c r="B3231" t="s">
        <v>12781</v>
      </c>
      <c r="C3231">
        <f>0</f>
        <v>0</v>
      </c>
      <c r="D3231">
        <v>0.92600652616400003</v>
      </c>
      <c r="E3231">
        <v>2.4</v>
      </c>
    </row>
    <row r="3232" spans="1:5">
      <c r="A3232" t="s">
        <v>36376</v>
      </c>
      <c r="B3232" t="s">
        <v>34146</v>
      </c>
      <c r="C3232">
        <v>0.20979271231800001</v>
      </c>
      <c r="D3232">
        <v>0.61940271231800004</v>
      </c>
      <c r="E3232">
        <v>4.5839999999999996</v>
      </c>
    </row>
    <row r="3233" spans="1:5">
      <c r="A3233" t="s">
        <v>36376</v>
      </c>
      <c r="B3233" t="s">
        <v>34153</v>
      </c>
      <c r="C3233">
        <v>0</v>
      </c>
      <c r="D3233">
        <v>0.61940271231800004</v>
      </c>
      <c r="E3233">
        <v>4.5839999999999996</v>
      </c>
    </row>
    <row r="3234" spans="1:5">
      <c r="A3234" t="s">
        <v>36376</v>
      </c>
      <c r="B3234" t="s">
        <v>34158</v>
      </c>
      <c r="C3234">
        <f>0</f>
        <v>0</v>
      </c>
      <c r="D3234">
        <v>0.61940271231800004</v>
      </c>
      <c r="E3234">
        <v>4.5839999999999996</v>
      </c>
    </row>
    <row r="3235" spans="1:5">
      <c r="A3235" t="s">
        <v>36376</v>
      </c>
      <c r="B3235" t="s">
        <v>34149</v>
      </c>
      <c r="C3235">
        <v>0</v>
      </c>
      <c r="D3235">
        <v>0.61940271231800004</v>
      </c>
      <c r="E3235">
        <v>4.5839999999999996</v>
      </c>
    </row>
    <row r="3236" spans="1:5">
      <c r="A3236" t="s">
        <v>36376</v>
      </c>
      <c r="B3236" t="s">
        <v>34150</v>
      </c>
      <c r="C3236">
        <f>0</f>
        <v>0</v>
      </c>
      <c r="D3236">
        <v>0.61940271231800004</v>
      </c>
      <c r="E3236">
        <v>4.5839999999999996</v>
      </c>
    </row>
    <row r="3237" spans="1:5">
      <c r="A3237" t="s">
        <v>36376</v>
      </c>
      <c r="B3237" t="s">
        <v>34157</v>
      </c>
      <c r="C3237">
        <v>0</v>
      </c>
      <c r="D3237">
        <v>0.61940271231800004</v>
      </c>
      <c r="E3237">
        <v>4.5839999999999996</v>
      </c>
    </row>
    <row r="3238" spans="1:5">
      <c r="A3238" t="s">
        <v>36377</v>
      </c>
      <c r="B3238" t="s">
        <v>13702</v>
      </c>
      <c r="C3238">
        <f>0.268941601067</f>
        <v>0.26894160106699999</v>
      </c>
      <c r="D3238">
        <v>0.99995954890000005</v>
      </c>
      <c r="E3238">
        <v>10.08</v>
      </c>
    </row>
    <row r="3239" spans="1:5">
      <c r="A3239" t="s">
        <v>36377</v>
      </c>
      <c r="B3239" t="s">
        <v>13691</v>
      </c>
      <c r="C3239">
        <v>5.3475675593800003E-2</v>
      </c>
      <c r="D3239">
        <v>0.99995954890000005</v>
      </c>
      <c r="E3239">
        <v>10.08</v>
      </c>
    </row>
    <row r="3240" spans="1:5">
      <c r="A3240" t="s">
        <v>36377</v>
      </c>
      <c r="B3240" t="s">
        <v>13692</v>
      </c>
      <c r="C3240">
        <v>0.35051019429199998</v>
      </c>
      <c r="D3240">
        <v>0.99995954890000005</v>
      </c>
      <c r="E3240">
        <v>10.08</v>
      </c>
    </row>
    <row r="3241" spans="1:5">
      <c r="A3241" t="s">
        <v>36377</v>
      </c>
      <c r="B3241" t="s">
        <v>13693</v>
      </c>
      <c r="C3241">
        <f>0</f>
        <v>0</v>
      </c>
      <c r="D3241">
        <v>0.99995954890000005</v>
      </c>
      <c r="E3241">
        <v>10.08</v>
      </c>
    </row>
    <row r="3242" spans="1:5">
      <c r="A3242" t="s">
        <v>36377</v>
      </c>
      <c r="B3242" t="s">
        <v>13697</v>
      </c>
      <c r="C3242">
        <v>0</v>
      </c>
      <c r="D3242">
        <v>0.99995954890000005</v>
      </c>
      <c r="E3242">
        <v>10.08</v>
      </c>
    </row>
    <row r="3243" spans="1:5">
      <c r="A3243" t="s">
        <v>36377</v>
      </c>
      <c r="B3243" t="s">
        <v>13699</v>
      </c>
      <c r="C3243">
        <f>0.053078522034</f>
        <v>5.3078522034E-2</v>
      </c>
      <c r="D3243">
        <v>0.99995954890000005</v>
      </c>
      <c r="E3243">
        <v>10.08</v>
      </c>
    </row>
    <row r="3244" spans="1:5">
      <c r="A3244" t="s">
        <v>36377</v>
      </c>
      <c r="B3244" t="s">
        <v>13698</v>
      </c>
      <c r="C3244">
        <v>0.765544995108</v>
      </c>
      <c r="D3244">
        <v>0.99995954890000005</v>
      </c>
      <c r="E3244">
        <v>10.08</v>
      </c>
    </row>
    <row r="3245" spans="1:5">
      <c r="A3245" t="s">
        <v>36377</v>
      </c>
      <c r="B3245" t="s">
        <v>13696</v>
      </c>
      <c r="C3245">
        <v>0</v>
      </c>
      <c r="D3245">
        <v>0.99995954890000005</v>
      </c>
      <c r="E3245">
        <v>10.08</v>
      </c>
    </row>
    <row r="3246" spans="1:5">
      <c r="A3246" t="s">
        <v>36377</v>
      </c>
      <c r="B3246" t="s">
        <v>13695</v>
      </c>
      <c r="C3246">
        <v>0.33737003289299999</v>
      </c>
      <c r="D3246">
        <v>0.99995954890000005</v>
      </c>
      <c r="E3246">
        <v>10.08</v>
      </c>
    </row>
    <row r="3247" spans="1:5">
      <c r="A3247" t="s">
        <v>36377</v>
      </c>
      <c r="B3247" t="s">
        <v>13694</v>
      </c>
      <c r="C3247">
        <v>0.63966895140199997</v>
      </c>
      <c r="D3247">
        <v>0.99995954890000005</v>
      </c>
      <c r="E3247">
        <v>10.08</v>
      </c>
    </row>
    <row r="3248" spans="1:5">
      <c r="A3248" t="s">
        <v>36378</v>
      </c>
      <c r="B3248" t="s">
        <v>32267</v>
      </c>
      <c r="C3248">
        <f>0.532851610067</f>
        <v>0.53285161006699999</v>
      </c>
      <c r="D3248">
        <v>0.84646161006700005</v>
      </c>
      <c r="E3248">
        <v>8.7240000000000002</v>
      </c>
    </row>
    <row r="3249" spans="1:5">
      <c r="A3249" t="s">
        <v>36378</v>
      </c>
      <c r="B3249" t="s">
        <v>32272</v>
      </c>
      <c r="C3249">
        <f>0</f>
        <v>0</v>
      </c>
      <c r="D3249">
        <v>0.84646161006700005</v>
      </c>
      <c r="E3249">
        <v>8.7240000000000002</v>
      </c>
    </row>
    <row r="3250" spans="1:5">
      <c r="A3250" t="s">
        <v>36378</v>
      </c>
      <c r="B3250" t="s">
        <v>32275</v>
      </c>
      <c r="C3250">
        <v>0</v>
      </c>
      <c r="D3250">
        <v>0.84646161006700005</v>
      </c>
      <c r="E3250">
        <v>8.7240000000000002</v>
      </c>
    </row>
    <row r="3251" spans="1:5">
      <c r="A3251" t="s">
        <v>36378</v>
      </c>
      <c r="B3251" t="s">
        <v>32268</v>
      </c>
      <c r="C3251">
        <v>0</v>
      </c>
      <c r="D3251">
        <v>0.84646161006700005</v>
      </c>
      <c r="E3251">
        <v>8.7240000000000002</v>
      </c>
    </row>
    <row r="3252" spans="1:5">
      <c r="A3252" t="s">
        <v>36378</v>
      </c>
      <c r="B3252" t="s">
        <v>32278</v>
      </c>
      <c r="C3252">
        <v>0</v>
      </c>
      <c r="D3252">
        <v>0.84646161006700005</v>
      </c>
      <c r="E3252">
        <v>8.7240000000000002</v>
      </c>
    </row>
    <row r="3253" spans="1:5">
      <c r="A3253" t="s">
        <v>36378</v>
      </c>
      <c r="B3253" t="s">
        <v>32265</v>
      </c>
      <c r="C3253">
        <v>0</v>
      </c>
      <c r="D3253">
        <v>0.84646161006700005</v>
      </c>
      <c r="E3253">
        <v>8.7240000000000002</v>
      </c>
    </row>
    <row r="3254" spans="1:5">
      <c r="A3254" t="s">
        <v>36378</v>
      </c>
      <c r="B3254" t="s">
        <v>32271</v>
      </c>
      <c r="C3254">
        <v>0</v>
      </c>
      <c r="D3254">
        <v>0.84646161006700005</v>
      </c>
      <c r="E3254">
        <v>8.7240000000000002</v>
      </c>
    </row>
    <row r="3255" spans="1:5">
      <c r="A3255" t="s">
        <v>36378</v>
      </c>
      <c r="B3255" t="s">
        <v>32266</v>
      </c>
      <c r="C3255">
        <f>0</f>
        <v>0</v>
      </c>
      <c r="D3255">
        <v>0.84646161006700005</v>
      </c>
      <c r="E3255">
        <v>8.7240000000000002</v>
      </c>
    </row>
    <row r="3256" spans="1:5">
      <c r="A3256" t="s">
        <v>36378</v>
      </c>
      <c r="B3256" t="s">
        <v>32274</v>
      </c>
      <c r="C3256">
        <f>0</f>
        <v>0</v>
      </c>
      <c r="D3256">
        <v>0.84646161006700005</v>
      </c>
      <c r="E3256">
        <v>8.7240000000000002</v>
      </c>
    </row>
    <row r="3257" spans="1:5">
      <c r="A3257" t="s">
        <v>36378</v>
      </c>
      <c r="B3257" t="s">
        <v>32273</v>
      </c>
      <c r="C3257">
        <f>0</f>
        <v>0</v>
      </c>
      <c r="D3257">
        <v>0.84646161006700005</v>
      </c>
      <c r="E3257">
        <v>8.7240000000000002</v>
      </c>
    </row>
    <row r="3258" spans="1:5">
      <c r="A3258" t="s">
        <v>36378</v>
      </c>
      <c r="B3258" t="s">
        <v>32277</v>
      </c>
      <c r="C3258">
        <v>0</v>
      </c>
      <c r="D3258">
        <v>0.84646161006700005</v>
      </c>
      <c r="E3258">
        <v>8.7240000000000002</v>
      </c>
    </row>
    <row r="3259" spans="1:5">
      <c r="A3259" t="s">
        <v>36378</v>
      </c>
      <c r="B3259" t="s">
        <v>32280</v>
      </c>
      <c r="C3259">
        <v>0</v>
      </c>
      <c r="D3259">
        <v>0.84646161006700005</v>
      </c>
      <c r="E3259">
        <v>8.7240000000000002</v>
      </c>
    </row>
    <row r="3260" spans="1:5">
      <c r="A3260" t="s">
        <v>36378</v>
      </c>
      <c r="B3260" t="s">
        <v>32282</v>
      </c>
      <c r="C3260">
        <v>0</v>
      </c>
      <c r="D3260">
        <v>0.84646161006700005</v>
      </c>
      <c r="E3260">
        <v>8.7240000000000002</v>
      </c>
    </row>
    <row r="3261" spans="1:5">
      <c r="A3261" t="s">
        <v>36379</v>
      </c>
      <c r="B3261" t="s">
        <v>36380</v>
      </c>
      <c r="C3261">
        <f>0</f>
        <v>0</v>
      </c>
      <c r="D3261" t="s">
        <v>106</v>
      </c>
      <c r="E3261">
        <v>24</v>
      </c>
    </row>
    <row r="3262" spans="1:5">
      <c r="A3262" t="s">
        <v>36379</v>
      </c>
      <c r="B3262" t="s">
        <v>36381</v>
      </c>
      <c r="C3262">
        <v>0</v>
      </c>
      <c r="D3262" t="s">
        <v>106</v>
      </c>
      <c r="E3262">
        <v>24</v>
      </c>
    </row>
    <row r="3263" spans="1:5">
      <c r="A3263" t="s">
        <v>36379</v>
      </c>
      <c r="B3263" t="s">
        <v>36382</v>
      </c>
      <c r="C3263">
        <v>0</v>
      </c>
      <c r="D3263" t="s">
        <v>106</v>
      </c>
      <c r="E3263">
        <v>24</v>
      </c>
    </row>
    <row r="3264" spans="1:5">
      <c r="A3264" t="s">
        <v>36383</v>
      </c>
      <c r="B3264" t="s">
        <v>23492</v>
      </c>
      <c r="C3264">
        <f>0</f>
        <v>0</v>
      </c>
      <c r="D3264" t="s">
        <v>106</v>
      </c>
      <c r="E3264">
        <v>1.968</v>
      </c>
    </row>
    <row r="3265" spans="1:5">
      <c r="A3265" t="s">
        <v>36383</v>
      </c>
      <c r="B3265" t="s">
        <v>23497</v>
      </c>
      <c r="C3265">
        <f>0</f>
        <v>0</v>
      </c>
      <c r="D3265" t="s">
        <v>106</v>
      </c>
      <c r="E3265">
        <v>1.968</v>
      </c>
    </row>
    <row r="3266" spans="1:5">
      <c r="A3266" t="s">
        <v>36383</v>
      </c>
      <c r="B3266" t="s">
        <v>23493</v>
      </c>
      <c r="C3266">
        <v>0</v>
      </c>
      <c r="D3266" t="s">
        <v>106</v>
      </c>
      <c r="E3266">
        <v>1.968</v>
      </c>
    </row>
    <row r="3267" spans="1:5">
      <c r="A3267" t="s">
        <v>36383</v>
      </c>
      <c r="B3267" t="s">
        <v>23495</v>
      </c>
      <c r="C3267">
        <f>0</f>
        <v>0</v>
      </c>
      <c r="D3267" t="s">
        <v>106</v>
      </c>
      <c r="E3267">
        <v>1.968</v>
      </c>
    </row>
    <row r="3268" spans="1:5">
      <c r="A3268" t="s">
        <v>36383</v>
      </c>
      <c r="B3268" t="s">
        <v>23500</v>
      </c>
      <c r="C3268">
        <v>0</v>
      </c>
      <c r="D3268" t="s">
        <v>106</v>
      </c>
      <c r="E3268">
        <v>1.968</v>
      </c>
    </row>
    <row r="3269" spans="1:5">
      <c r="A3269" t="s">
        <v>36383</v>
      </c>
      <c r="B3269" t="s">
        <v>23494</v>
      </c>
      <c r="C3269">
        <v>0</v>
      </c>
      <c r="D3269" t="s">
        <v>106</v>
      </c>
      <c r="E3269">
        <v>1.968</v>
      </c>
    </row>
    <row r="3270" spans="1:5">
      <c r="A3270" t="s">
        <v>36383</v>
      </c>
      <c r="B3270" t="s">
        <v>23498</v>
      </c>
      <c r="C3270">
        <v>0</v>
      </c>
      <c r="D3270" t="s">
        <v>106</v>
      </c>
      <c r="E3270">
        <v>1.968</v>
      </c>
    </row>
    <row r="3271" spans="1:5">
      <c r="A3271" t="s">
        <v>36383</v>
      </c>
      <c r="B3271" t="s">
        <v>23499</v>
      </c>
      <c r="C3271">
        <v>0</v>
      </c>
      <c r="D3271" t="s">
        <v>106</v>
      </c>
      <c r="E3271">
        <v>1.968</v>
      </c>
    </row>
    <row r="3272" spans="1:5">
      <c r="A3272" t="s">
        <v>36383</v>
      </c>
      <c r="B3272" t="s">
        <v>23496</v>
      </c>
      <c r="C3272">
        <f>0</f>
        <v>0</v>
      </c>
      <c r="D3272" t="s">
        <v>106</v>
      </c>
      <c r="E3272">
        <v>1.968</v>
      </c>
    </row>
    <row r="3273" spans="1:5">
      <c r="A3273" t="s">
        <v>36384</v>
      </c>
      <c r="B3273" t="s">
        <v>36385</v>
      </c>
      <c r="C3273">
        <v>0.36595159463400001</v>
      </c>
      <c r="D3273">
        <v>0.99997698986100003</v>
      </c>
      <c r="E3273">
        <v>0.82799999999999996</v>
      </c>
    </row>
    <row r="3274" spans="1:5">
      <c r="A3274" t="s">
        <v>36384</v>
      </c>
      <c r="B3274" t="s">
        <v>36386</v>
      </c>
      <c r="C3274">
        <v>0</v>
      </c>
      <c r="D3274">
        <v>0.99997698986100003</v>
      </c>
      <c r="E3274">
        <v>0.82799999999999996</v>
      </c>
    </row>
    <row r="3275" spans="1:5">
      <c r="A3275" t="s">
        <v>36384</v>
      </c>
      <c r="B3275" t="s">
        <v>36387</v>
      </c>
      <c r="C3275">
        <v>0</v>
      </c>
      <c r="D3275">
        <v>0.99997698986100003</v>
      </c>
      <c r="E3275">
        <v>0.82799999999999996</v>
      </c>
    </row>
    <row r="3276" spans="1:5">
      <c r="A3276" t="s">
        <v>36384</v>
      </c>
      <c r="B3276" t="s">
        <v>36388</v>
      </c>
      <c r="C3276">
        <v>0</v>
      </c>
      <c r="D3276">
        <v>0.99997698986100003</v>
      </c>
      <c r="E3276">
        <v>0.82799999999999996</v>
      </c>
    </row>
    <row r="3277" spans="1:5">
      <c r="A3277" t="s">
        <v>36384</v>
      </c>
      <c r="B3277" t="s">
        <v>36389</v>
      </c>
      <c r="C3277">
        <v>6.7999646935899993E-2</v>
      </c>
      <c r="D3277">
        <v>0.99997698986100003</v>
      </c>
      <c r="E3277">
        <v>0.82799999999999996</v>
      </c>
    </row>
    <row r="3278" spans="1:5">
      <c r="A3278" t="s">
        <v>36384</v>
      </c>
      <c r="B3278" t="s">
        <v>36390</v>
      </c>
      <c r="C3278">
        <f>0.0161966593556</f>
        <v>1.61966593556E-2</v>
      </c>
      <c r="D3278">
        <v>0.99997698986100003</v>
      </c>
      <c r="E3278">
        <v>0.82799999999999996</v>
      </c>
    </row>
    <row r="3279" spans="1:5">
      <c r="A3279" t="s">
        <v>36384</v>
      </c>
      <c r="B3279" t="s">
        <v>36391</v>
      </c>
      <c r="C3279">
        <f>0.314117750671</f>
        <v>0.31411775067100001</v>
      </c>
      <c r="D3279">
        <v>0.99997698986100003</v>
      </c>
      <c r="E3279">
        <v>0.82799999999999996</v>
      </c>
    </row>
    <row r="3280" spans="1:5">
      <c r="A3280" t="s">
        <v>36384</v>
      </c>
      <c r="B3280" t="s">
        <v>36392</v>
      </c>
      <c r="C3280">
        <v>0</v>
      </c>
      <c r="D3280">
        <v>0.99997698986100003</v>
      </c>
      <c r="E3280">
        <v>0.82799999999999996</v>
      </c>
    </row>
    <row r="3281" spans="1:5">
      <c r="A3281" t="s">
        <v>36384</v>
      </c>
      <c r="B3281" t="s">
        <v>36393</v>
      </c>
      <c r="C3281">
        <v>0</v>
      </c>
      <c r="D3281">
        <v>0.99997698986100003</v>
      </c>
      <c r="E3281">
        <v>0.82799999999999996</v>
      </c>
    </row>
    <row r="3282" spans="1:5">
      <c r="A3282" t="s">
        <v>36384</v>
      </c>
      <c r="B3282" t="s">
        <v>36394</v>
      </c>
      <c r="C3282">
        <v>0.44735464675999997</v>
      </c>
      <c r="D3282">
        <v>0.99997698986100003</v>
      </c>
      <c r="E3282">
        <v>0.82799999999999996</v>
      </c>
    </row>
    <row r="3283" spans="1:5">
      <c r="A3283" t="s">
        <v>36384</v>
      </c>
      <c r="B3283" t="s">
        <v>36395</v>
      </c>
      <c r="C3283">
        <v>0</v>
      </c>
      <c r="D3283">
        <v>0.99997698986100003</v>
      </c>
      <c r="E3283">
        <v>0.82799999999999996</v>
      </c>
    </row>
    <row r="3284" spans="1:5">
      <c r="A3284" t="s">
        <v>36384</v>
      </c>
      <c r="B3284" t="s">
        <v>36396</v>
      </c>
      <c r="C3284">
        <v>0.28483839887599999</v>
      </c>
      <c r="D3284">
        <v>0.99997698986100003</v>
      </c>
      <c r="E3284">
        <v>0.82799999999999996</v>
      </c>
    </row>
    <row r="3285" spans="1:5">
      <c r="A3285" t="s">
        <v>36384</v>
      </c>
      <c r="B3285" t="s">
        <v>36397</v>
      </c>
      <c r="C3285">
        <f>0.0396591526912</f>
        <v>3.9659152691200003E-2</v>
      </c>
      <c r="D3285">
        <v>0.99997698986100003</v>
      </c>
      <c r="E3285">
        <v>0.82799999999999996</v>
      </c>
    </row>
    <row r="3286" spans="1:5">
      <c r="A3286" t="s">
        <v>36384</v>
      </c>
      <c r="B3286" t="s">
        <v>36398</v>
      </c>
      <c r="C3286">
        <f>0</f>
        <v>0</v>
      </c>
      <c r="D3286">
        <v>0.99997698986100003</v>
      </c>
      <c r="E3286">
        <v>0.82799999999999996</v>
      </c>
    </row>
    <row r="3287" spans="1:5">
      <c r="A3287" t="s">
        <v>36384</v>
      </c>
      <c r="B3287" t="s">
        <v>36399</v>
      </c>
      <c r="C3287">
        <f>0</f>
        <v>0</v>
      </c>
      <c r="D3287">
        <v>0.99997698986100003</v>
      </c>
      <c r="E3287">
        <v>0.82799999999999996</v>
      </c>
    </row>
    <row r="3288" spans="1:5">
      <c r="A3288" t="s">
        <v>36384</v>
      </c>
      <c r="B3288" t="s">
        <v>36400</v>
      </c>
      <c r="C3288">
        <f>0</f>
        <v>0</v>
      </c>
      <c r="D3288">
        <v>0.99997698986100003</v>
      </c>
      <c r="E3288">
        <v>0.82799999999999996</v>
      </c>
    </row>
    <row r="3289" spans="1:5">
      <c r="A3289" t="s">
        <v>36384</v>
      </c>
      <c r="B3289" t="s">
        <v>36401</v>
      </c>
      <c r="C3289">
        <v>0.16262839254100001</v>
      </c>
      <c r="D3289">
        <v>0.99997698986100003</v>
      </c>
      <c r="E3289">
        <v>0.82799999999999996</v>
      </c>
    </row>
    <row r="3290" spans="1:5">
      <c r="A3290" t="s">
        <v>36384</v>
      </c>
      <c r="B3290" t="s">
        <v>36402</v>
      </c>
      <c r="C3290">
        <v>0</v>
      </c>
      <c r="D3290">
        <v>0.99997698986100003</v>
      </c>
      <c r="E3290">
        <v>0.82799999999999996</v>
      </c>
    </row>
    <row r="3291" spans="1:5">
      <c r="A3291" t="s">
        <v>36384</v>
      </c>
      <c r="B3291" t="s">
        <v>36403</v>
      </c>
      <c r="C3291">
        <v>0</v>
      </c>
      <c r="D3291">
        <v>0.99997698986100003</v>
      </c>
      <c r="E3291">
        <v>0.82799999999999996</v>
      </c>
    </row>
    <row r="3292" spans="1:5">
      <c r="A3292" t="s">
        <v>36404</v>
      </c>
      <c r="B3292" t="s">
        <v>32195</v>
      </c>
      <c r="C3292">
        <v>0</v>
      </c>
      <c r="D3292" t="s">
        <v>106</v>
      </c>
      <c r="E3292">
        <v>6.9359999999999999</v>
      </c>
    </row>
    <row r="3293" spans="1:5">
      <c r="A3293" t="s">
        <v>36404</v>
      </c>
      <c r="B3293" t="s">
        <v>32192</v>
      </c>
      <c r="C3293">
        <v>0</v>
      </c>
      <c r="D3293" t="s">
        <v>106</v>
      </c>
      <c r="E3293">
        <v>6.9359999999999999</v>
      </c>
    </row>
    <row r="3294" spans="1:5">
      <c r="A3294" t="s">
        <v>36405</v>
      </c>
      <c r="B3294" t="s">
        <v>19764</v>
      </c>
      <c r="C3294">
        <v>0.42797060337699999</v>
      </c>
      <c r="D3294">
        <v>0.54639756410700002</v>
      </c>
      <c r="E3294">
        <v>24</v>
      </c>
    </row>
    <row r="3295" spans="1:5">
      <c r="A3295" t="s">
        <v>36405</v>
      </c>
      <c r="B3295" t="s">
        <v>19765</v>
      </c>
      <c r="C3295">
        <f>0.0694221803718</f>
        <v>6.9422180371799994E-2</v>
      </c>
      <c r="D3295">
        <v>0.54639756410700002</v>
      </c>
      <c r="E3295">
        <v>24</v>
      </c>
    </row>
    <row r="3296" spans="1:5">
      <c r="A3296" t="s">
        <v>36406</v>
      </c>
      <c r="B3296" t="s">
        <v>7978</v>
      </c>
      <c r="C3296">
        <v>0.477105360782</v>
      </c>
      <c r="D3296">
        <v>0.90829901487300002</v>
      </c>
      <c r="E3296">
        <v>3.4980000000000002</v>
      </c>
    </row>
    <row r="3297" spans="1:5">
      <c r="A3297" t="s">
        <v>36406</v>
      </c>
      <c r="B3297" t="s">
        <v>7979</v>
      </c>
      <c r="C3297">
        <v>0</v>
      </c>
      <c r="D3297">
        <v>0.90829901487300002</v>
      </c>
      <c r="E3297">
        <v>3.4980000000000002</v>
      </c>
    </row>
    <row r="3298" spans="1:5">
      <c r="A3298" t="s">
        <v>36406</v>
      </c>
      <c r="B3298" t="s">
        <v>7982</v>
      </c>
      <c r="C3298">
        <v>0.41670488656900001</v>
      </c>
      <c r="D3298">
        <v>0.90829901487300002</v>
      </c>
      <c r="E3298">
        <v>3.4980000000000002</v>
      </c>
    </row>
    <row r="3299" spans="1:5">
      <c r="A3299" t="s">
        <v>36406</v>
      </c>
      <c r="B3299" t="s">
        <v>7981</v>
      </c>
      <c r="C3299">
        <v>0</v>
      </c>
      <c r="D3299">
        <v>0.90829901487300002</v>
      </c>
      <c r="E3299">
        <v>3.4980000000000002</v>
      </c>
    </row>
    <row r="3300" spans="1:5">
      <c r="A3300" t="s">
        <v>36406</v>
      </c>
      <c r="B3300" t="s">
        <v>7980</v>
      </c>
      <c r="C3300">
        <v>0</v>
      </c>
      <c r="D3300">
        <v>0.90829901487300002</v>
      </c>
      <c r="E3300">
        <v>3.4980000000000002</v>
      </c>
    </row>
    <row r="3301" spans="1:5">
      <c r="A3301" t="s">
        <v>36407</v>
      </c>
      <c r="B3301" t="s">
        <v>36408</v>
      </c>
      <c r="C3301">
        <v>0</v>
      </c>
      <c r="D3301" t="s">
        <v>106</v>
      </c>
      <c r="E3301">
        <v>24</v>
      </c>
    </row>
    <row r="3302" spans="1:5">
      <c r="A3302" t="s">
        <v>36407</v>
      </c>
      <c r="B3302" t="s">
        <v>36409</v>
      </c>
      <c r="C3302">
        <v>0</v>
      </c>
      <c r="D3302" t="s">
        <v>106</v>
      </c>
      <c r="E3302">
        <v>24</v>
      </c>
    </row>
    <row r="3303" spans="1:5">
      <c r="A3303" t="s">
        <v>36410</v>
      </c>
      <c r="B3303" t="s">
        <v>36411</v>
      </c>
      <c r="C3303">
        <f>0</f>
        <v>0</v>
      </c>
      <c r="D3303">
        <v>0.57367806454000003</v>
      </c>
      <c r="E3303">
        <v>5.82</v>
      </c>
    </row>
    <row r="3304" spans="1:5">
      <c r="A3304" t="s">
        <v>36410</v>
      </c>
      <c r="B3304" t="s">
        <v>36412</v>
      </c>
      <c r="C3304">
        <v>0</v>
      </c>
      <c r="D3304">
        <v>0.57367806454000003</v>
      </c>
      <c r="E3304">
        <v>5.82</v>
      </c>
    </row>
    <row r="3305" spans="1:5">
      <c r="A3305" t="s">
        <v>36410</v>
      </c>
      <c r="B3305" t="s">
        <v>36413</v>
      </c>
      <c r="C3305">
        <v>0</v>
      </c>
      <c r="D3305">
        <v>0.57367806454000003</v>
      </c>
      <c r="E3305">
        <v>5.82</v>
      </c>
    </row>
    <row r="3306" spans="1:5">
      <c r="A3306" t="s">
        <v>36410</v>
      </c>
      <c r="B3306" t="s">
        <v>36414</v>
      </c>
      <c r="C3306">
        <f>0</f>
        <v>0</v>
      </c>
      <c r="D3306">
        <v>0.57367806454000003</v>
      </c>
      <c r="E3306">
        <v>5.82</v>
      </c>
    </row>
    <row r="3307" spans="1:5">
      <c r="A3307" t="s">
        <v>36410</v>
      </c>
      <c r="B3307" t="s">
        <v>36415</v>
      </c>
      <c r="C3307">
        <f>0</f>
        <v>0</v>
      </c>
      <c r="D3307">
        <v>0.57367806454000003</v>
      </c>
      <c r="E3307">
        <v>5.82</v>
      </c>
    </row>
    <row r="3308" spans="1:5">
      <c r="A3308" t="s">
        <v>36410</v>
      </c>
      <c r="B3308" t="s">
        <v>36416</v>
      </c>
      <c r="C3308">
        <f>0</f>
        <v>0</v>
      </c>
      <c r="D3308">
        <v>0.57367806454000003</v>
      </c>
      <c r="E3308">
        <v>5.82</v>
      </c>
    </row>
    <row r="3309" spans="1:5">
      <c r="A3309" t="s">
        <v>36410</v>
      </c>
      <c r="B3309" t="s">
        <v>36417</v>
      </c>
      <c r="C3309">
        <f>0.05526806454</f>
        <v>5.5268064540000002E-2</v>
      </c>
      <c r="D3309">
        <v>0.57367806454000003</v>
      </c>
      <c r="E3309">
        <v>5.82</v>
      </c>
    </row>
    <row r="3310" spans="1:5">
      <c r="A3310" t="s">
        <v>36418</v>
      </c>
      <c r="B3310" t="s">
        <v>36419</v>
      </c>
      <c r="C3310">
        <f>0</f>
        <v>0</v>
      </c>
      <c r="D3310">
        <v>0.89173005566600005</v>
      </c>
      <c r="E3310">
        <v>2.3279999999999998</v>
      </c>
    </row>
    <row r="3311" spans="1:5">
      <c r="A3311" t="s">
        <v>36418</v>
      </c>
      <c r="B3311" t="s">
        <v>36420</v>
      </c>
      <c r="C3311">
        <f>0.592420285067</f>
        <v>0.59242028506699995</v>
      </c>
      <c r="D3311">
        <v>0.89173005566600005</v>
      </c>
      <c r="E3311">
        <v>2.3279999999999998</v>
      </c>
    </row>
    <row r="3312" spans="1:5">
      <c r="A3312" t="s">
        <v>36418</v>
      </c>
      <c r="B3312" t="s">
        <v>36421</v>
      </c>
      <c r="C3312">
        <v>0.21950745882100001</v>
      </c>
      <c r="D3312">
        <v>0.89173005566600005</v>
      </c>
      <c r="E3312">
        <v>2.3279999999999998</v>
      </c>
    </row>
    <row r="3313" spans="1:5">
      <c r="A3313" t="s">
        <v>36418</v>
      </c>
      <c r="B3313" t="s">
        <v>36422</v>
      </c>
      <c r="C3313">
        <f>0</f>
        <v>0</v>
      </c>
      <c r="D3313">
        <v>0.89173005566600005</v>
      </c>
      <c r="E3313">
        <v>2.3279999999999998</v>
      </c>
    </row>
    <row r="3314" spans="1:5">
      <c r="A3314" t="s">
        <v>36418</v>
      </c>
      <c r="B3314" t="s">
        <v>36423</v>
      </c>
      <c r="C3314">
        <v>0.72570535922400004</v>
      </c>
      <c r="D3314">
        <v>0.89173005566600005</v>
      </c>
      <c r="E3314">
        <v>2.3279999999999998</v>
      </c>
    </row>
    <row r="3315" spans="1:5">
      <c r="A3315" t="s">
        <v>36418</v>
      </c>
      <c r="B3315" t="s">
        <v>36424</v>
      </c>
      <c r="C3315">
        <v>0</v>
      </c>
      <c r="D3315">
        <v>0.89173005566600005</v>
      </c>
      <c r="E3315">
        <v>2.3279999999999998</v>
      </c>
    </row>
    <row r="3316" spans="1:5">
      <c r="A3316" t="s">
        <v>36425</v>
      </c>
      <c r="B3316" t="s">
        <v>31281</v>
      </c>
      <c r="C3316">
        <v>0</v>
      </c>
      <c r="D3316" t="s">
        <v>106</v>
      </c>
      <c r="E3316">
        <v>22.338000000000001</v>
      </c>
    </row>
    <row r="3317" spans="1:5">
      <c r="A3317" t="s">
        <v>36425</v>
      </c>
      <c r="B3317" t="s">
        <v>31286</v>
      </c>
      <c r="C3317">
        <v>0</v>
      </c>
      <c r="D3317" t="s">
        <v>106</v>
      </c>
      <c r="E3317">
        <v>22.338000000000001</v>
      </c>
    </row>
    <row r="3318" spans="1:5">
      <c r="A3318" t="s">
        <v>36426</v>
      </c>
      <c r="B3318" t="s">
        <v>16631</v>
      </c>
      <c r="C3318">
        <v>0</v>
      </c>
      <c r="D3318">
        <v>0.75332771673900001</v>
      </c>
      <c r="E3318">
        <v>4.9080000000000004</v>
      </c>
    </row>
    <row r="3319" spans="1:5">
      <c r="A3319" t="s">
        <v>36426</v>
      </c>
      <c r="B3319" t="s">
        <v>16636</v>
      </c>
      <c r="C3319">
        <v>5.54652794433E-2</v>
      </c>
      <c r="D3319">
        <v>0.75332771673900001</v>
      </c>
      <c r="E3319">
        <v>4.9080000000000004</v>
      </c>
    </row>
    <row r="3320" spans="1:5">
      <c r="A3320" t="s">
        <v>36426</v>
      </c>
      <c r="B3320" t="s">
        <v>16637</v>
      </c>
      <c r="C3320">
        <v>0</v>
      </c>
      <c r="D3320">
        <v>0.75332771673900001</v>
      </c>
      <c r="E3320">
        <v>4.9080000000000004</v>
      </c>
    </row>
    <row r="3321" spans="1:5">
      <c r="A3321" t="s">
        <v>36426</v>
      </c>
      <c r="B3321" t="s">
        <v>16638</v>
      </c>
      <c r="C3321">
        <v>0</v>
      </c>
      <c r="D3321">
        <v>0.75332771673900001</v>
      </c>
      <c r="E3321">
        <v>4.9080000000000004</v>
      </c>
    </row>
    <row r="3322" spans="1:5">
      <c r="A3322" t="s">
        <v>36426</v>
      </c>
      <c r="B3322" t="s">
        <v>16633</v>
      </c>
      <c r="C3322">
        <v>0.49912921892000001</v>
      </c>
      <c r="D3322">
        <v>0.75332771673900001</v>
      </c>
      <c r="E3322">
        <v>4.9080000000000004</v>
      </c>
    </row>
    <row r="3323" spans="1:5">
      <c r="A3323" t="s">
        <v>36426</v>
      </c>
      <c r="B3323" t="s">
        <v>16634</v>
      </c>
      <c r="C3323">
        <v>0</v>
      </c>
      <c r="D3323">
        <v>0.75332771673900001</v>
      </c>
      <c r="E3323">
        <v>4.9080000000000004</v>
      </c>
    </row>
    <row r="3324" spans="1:5">
      <c r="A3324" t="s">
        <v>36426</v>
      </c>
      <c r="B3324" t="s">
        <v>16632</v>
      </c>
      <c r="C3324">
        <f>0</f>
        <v>0</v>
      </c>
      <c r="D3324">
        <v>0.75332771673900001</v>
      </c>
      <c r="E3324">
        <v>4.9080000000000004</v>
      </c>
    </row>
    <row r="3325" spans="1:5">
      <c r="A3325" t="s">
        <v>36427</v>
      </c>
      <c r="B3325" t="s">
        <v>36428</v>
      </c>
      <c r="C3325">
        <f>0</f>
        <v>0</v>
      </c>
      <c r="D3325" t="s">
        <v>106</v>
      </c>
      <c r="E3325">
        <v>0.192</v>
      </c>
    </row>
    <row r="3326" spans="1:5">
      <c r="A3326" t="s">
        <v>36427</v>
      </c>
      <c r="B3326" t="s">
        <v>36429</v>
      </c>
      <c r="C3326">
        <v>0</v>
      </c>
      <c r="D3326" t="s">
        <v>106</v>
      </c>
      <c r="E3326">
        <v>0.192</v>
      </c>
    </row>
    <row r="3327" spans="1:5">
      <c r="A3327" t="s">
        <v>36427</v>
      </c>
      <c r="B3327" t="s">
        <v>36430</v>
      </c>
      <c r="C3327">
        <f>0</f>
        <v>0</v>
      </c>
      <c r="D3327" t="s">
        <v>106</v>
      </c>
      <c r="E3327">
        <v>0.192</v>
      </c>
    </row>
    <row r="3328" spans="1:5">
      <c r="A3328" t="s">
        <v>36427</v>
      </c>
      <c r="B3328" t="s">
        <v>36431</v>
      </c>
      <c r="C3328">
        <v>0</v>
      </c>
      <c r="D3328" t="s">
        <v>106</v>
      </c>
      <c r="E3328">
        <v>0.192</v>
      </c>
    </row>
    <row r="3329" spans="1:5">
      <c r="A3329" t="s">
        <v>36427</v>
      </c>
      <c r="B3329" t="s">
        <v>36432</v>
      </c>
      <c r="C3329">
        <v>0</v>
      </c>
      <c r="D3329" t="s">
        <v>106</v>
      </c>
      <c r="E3329">
        <v>0.192</v>
      </c>
    </row>
    <row r="3330" spans="1:5">
      <c r="A3330" t="s">
        <v>36433</v>
      </c>
      <c r="B3330" t="s">
        <v>13316</v>
      </c>
      <c r="C3330">
        <v>0</v>
      </c>
      <c r="D3330">
        <v>0.82395522925700004</v>
      </c>
      <c r="E3330">
        <v>16.295999999999999</v>
      </c>
    </row>
    <row r="3331" spans="1:5">
      <c r="A3331" t="s">
        <v>36433</v>
      </c>
      <c r="B3331" t="s">
        <v>13314</v>
      </c>
      <c r="C3331">
        <f>0</f>
        <v>0</v>
      </c>
      <c r="D3331">
        <v>0.82395522925700004</v>
      </c>
      <c r="E3331">
        <v>16.295999999999999</v>
      </c>
    </row>
    <row r="3332" spans="1:5">
      <c r="A3332" t="s">
        <v>36433</v>
      </c>
      <c r="B3332" t="s">
        <v>13328</v>
      </c>
      <c r="C3332">
        <f>0</f>
        <v>0</v>
      </c>
      <c r="D3332">
        <v>0.82395522925700004</v>
      </c>
      <c r="E3332">
        <v>16.295999999999999</v>
      </c>
    </row>
    <row r="3333" spans="1:5">
      <c r="A3333" t="s">
        <v>36433</v>
      </c>
      <c r="B3333" t="s">
        <v>13330</v>
      </c>
      <c r="C3333">
        <f>0.361545229257</f>
        <v>0.361545229257</v>
      </c>
      <c r="D3333">
        <v>0.82395522925700004</v>
      </c>
      <c r="E3333">
        <v>16.295999999999999</v>
      </c>
    </row>
    <row r="3334" spans="1:5">
      <c r="A3334" t="s">
        <v>36433</v>
      </c>
      <c r="B3334" t="s">
        <v>13329</v>
      </c>
      <c r="C3334">
        <f>0</f>
        <v>0</v>
      </c>
      <c r="D3334">
        <v>0.82395522925700004</v>
      </c>
      <c r="E3334">
        <v>16.295999999999999</v>
      </c>
    </row>
    <row r="3335" spans="1:5">
      <c r="A3335" t="s">
        <v>36433</v>
      </c>
      <c r="B3335" t="s">
        <v>13326</v>
      </c>
      <c r="C3335">
        <v>0</v>
      </c>
      <c r="D3335">
        <v>0.82395522925700004</v>
      </c>
      <c r="E3335">
        <v>16.295999999999999</v>
      </c>
    </row>
    <row r="3336" spans="1:5">
      <c r="A3336" t="s">
        <v>36433</v>
      </c>
      <c r="B3336" t="s">
        <v>13327</v>
      </c>
      <c r="C3336">
        <f>0</f>
        <v>0</v>
      </c>
      <c r="D3336">
        <v>0.82395522925700004</v>
      </c>
      <c r="E3336">
        <v>16.295999999999999</v>
      </c>
    </row>
    <row r="3337" spans="1:5">
      <c r="A3337" t="s">
        <v>36433</v>
      </c>
      <c r="B3337" t="s">
        <v>13324</v>
      </c>
      <c r="C3337">
        <v>0</v>
      </c>
      <c r="D3337">
        <v>0.82395522925700004</v>
      </c>
      <c r="E3337">
        <v>16.295999999999999</v>
      </c>
    </row>
    <row r="3338" spans="1:5">
      <c r="A3338" t="s">
        <v>36434</v>
      </c>
      <c r="B3338" t="s">
        <v>36435</v>
      </c>
      <c r="C3338">
        <f>0.26346986826</f>
        <v>0.26346986826000002</v>
      </c>
      <c r="D3338">
        <v>0.89892021395999999</v>
      </c>
      <c r="E3338">
        <v>16.698</v>
      </c>
    </row>
    <row r="3339" spans="1:5">
      <c r="A3339" t="s">
        <v>36434</v>
      </c>
      <c r="B3339" t="s">
        <v>36436</v>
      </c>
      <c r="C3339">
        <v>0.72677885007900001</v>
      </c>
      <c r="D3339">
        <v>0.89892021395999999</v>
      </c>
      <c r="E3339">
        <v>16.698</v>
      </c>
    </row>
    <row r="3340" spans="1:5">
      <c r="A3340" t="s">
        <v>36437</v>
      </c>
      <c r="B3340" t="s">
        <v>32405</v>
      </c>
      <c r="C3340">
        <v>2.4628001790199999E-2</v>
      </c>
      <c r="D3340">
        <v>0.68806966065300001</v>
      </c>
      <c r="E3340">
        <v>0.58199999999999996</v>
      </c>
    </row>
    <row r="3341" spans="1:5">
      <c r="A3341" t="s">
        <v>36437</v>
      </c>
      <c r="B3341" t="s">
        <v>32406</v>
      </c>
      <c r="C3341">
        <f>0.400663259445</f>
        <v>0.40066325944499998</v>
      </c>
      <c r="D3341">
        <v>0.68806966065300001</v>
      </c>
      <c r="E3341">
        <v>0.58199999999999996</v>
      </c>
    </row>
    <row r="3342" spans="1:5">
      <c r="A3342" t="s">
        <v>36437</v>
      </c>
      <c r="B3342" t="s">
        <v>32407</v>
      </c>
      <c r="C3342">
        <f>0</f>
        <v>0</v>
      </c>
      <c r="D3342">
        <v>0.68806966065300001</v>
      </c>
      <c r="E3342">
        <v>0.58199999999999996</v>
      </c>
    </row>
    <row r="3343" spans="1:5">
      <c r="A3343" t="s">
        <v>36438</v>
      </c>
      <c r="B3343" t="s">
        <v>7998</v>
      </c>
      <c r="C3343">
        <f>-1.09396210275</f>
        <v>-1.0939621027499999</v>
      </c>
      <c r="D3343">
        <v>0.92019556313100004</v>
      </c>
      <c r="E3343">
        <v>1.5720000000000001</v>
      </c>
    </row>
    <row r="3344" spans="1:5">
      <c r="A3344" t="s">
        <v>36438</v>
      </c>
      <c r="B3344" t="s">
        <v>8000</v>
      </c>
      <c r="C3344">
        <v>0.49746838992600001</v>
      </c>
      <c r="D3344">
        <v>0.92019556313100004</v>
      </c>
      <c r="E3344">
        <v>1.5720000000000001</v>
      </c>
    </row>
    <row r="3345" spans="1:5">
      <c r="A3345" t="s">
        <v>36439</v>
      </c>
      <c r="B3345" t="s">
        <v>1353</v>
      </c>
      <c r="C3345">
        <v>0.70391602508700002</v>
      </c>
      <c r="D3345">
        <v>0.94928746552700005</v>
      </c>
      <c r="E3345">
        <v>0.26400000000000001</v>
      </c>
    </row>
    <row r="3346" spans="1:5">
      <c r="A3346" t="s">
        <v>36439</v>
      </c>
      <c r="B3346" t="s">
        <v>1356</v>
      </c>
      <c r="C3346">
        <f>0.515968474237</f>
        <v>0.51596847423699999</v>
      </c>
      <c r="D3346">
        <v>0.94928746552700005</v>
      </c>
      <c r="E3346">
        <v>0.26400000000000001</v>
      </c>
    </row>
    <row r="3347" spans="1:5">
      <c r="A3347" t="s">
        <v>36439</v>
      </c>
      <c r="B3347" t="s">
        <v>1354</v>
      </c>
      <c r="C3347">
        <v>0.33269205160199999</v>
      </c>
      <c r="D3347">
        <v>0.94928746552700005</v>
      </c>
      <c r="E3347">
        <v>0.26400000000000001</v>
      </c>
    </row>
    <row r="3348" spans="1:5">
      <c r="A3348" t="s">
        <v>36439</v>
      </c>
      <c r="B3348" t="s">
        <v>1357</v>
      </c>
      <c r="C3348">
        <f>0</f>
        <v>0</v>
      </c>
      <c r="D3348">
        <v>0.94928746552700005</v>
      </c>
      <c r="E3348">
        <v>0.26400000000000001</v>
      </c>
    </row>
    <row r="3349" spans="1:5">
      <c r="A3349" t="s">
        <v>36439</v>
      </c>
      <c r="B3349" t="s">
        <v>1355</v>
      </c>
      <c r="C3349">
        <f>0.558619027782</f>
        <v>0.55861902778200001</v>
      </c>
      <c r="D3349">
        <v>0.94928746552700005</v>
      </c>
      <c r="E3349">
        <v>0.26400000000000001</v>
      </c>
    </row>
    <row r="3350" spans="1:5">
      <c r="A3350" t="s">
        <v>36440</v>
      </c>
      <c r="B3350" t="s">
        <v>10506</v>
      </c>
      <c r="C3350">
        <f>0</f>
        <v>0</v>
      </c>
      <c r="D3350" t="s">
        <v>106</v>
      </c>
      <c r="E3350">
        <v>0.15</v>
      </c>
    </row>
    <row r="3351" spans="1:5">
      <c r="A3351" t="s">
        <v>36440</v>
      </c>
      <c r="B3351" t="s">
        <v>10523</v>
      </c>
      <c r="C3351">
        <f>0</f>
        <v>0</v>
      </c>
      <c r="D3351" t="s">
        <v>106</v>
      </c>
      <c r="E3351">
        <v>0.15</v>
      </c>
    </row>
    <row r="3352" spans="1:5">
      <c r="A3352" t="s">
        <v>36440</v>
      </c>
      <c r="B3352" t="s">
        <v>10525</v>
      </c>
      <c r="C3352">
        <v>0</v>
      </c>
      <c r="D3352" t="s">
        <v>106</v>
      </c>
      <c r="E3352">
        <v>0.15</v>
      </c>
    </row>
    <row r="3353" spans="1:5">
      <c r="A3353" t="s">
        <v>36440</v>
      </c>
      <c r="B3353" t="s">
        <v>10507</v>
      </c>
      <c r="C3353">
        <f>0</f>
        <v>0</v>
      </c>
      <c r="D3353" t="s">
        <v>106</v>
      </c>
      <c r="E3353">
        <v>0.15</v>
      </c>
    </row>
    <row r="3354" spans="1:5">
      <c r="A3354" t="s">
        <v>36440</v>
      </c>
      <c r="B3354" t="s">
        <v>10518</v>
      </c>
      <c r="C3354">
        <f>0</f>
        <v>0</v>
      </c>
      <c r="D3354" t="s">
        <v>106</v>
      </c>
      <c r="E3354">
        <v>0.15</v>
      </c>
    </row>
    <row r="3355" spans="1:5">
      <c r="A3355" t="s">
        <v>36440</v>
      </c>
      <c r="B3355" t="s">
        <v>36441</v>
      </c>
      <c r="C3355">
        <v>0</v>
      </c>
      <c r="D3355" t="s">
        <v>106</v>
      </c>
      <c r="E3355">
        <v>0.15</v>
      </c>
    </row>
    <row r="3356" spans="1:5">
      <c r="A3356" t="s">
        <v>36440</v>
      </c>
      <c r="B3356" t="s">
        <v>10514</v>
      </c>
      <c r="C3356">
        <v>0</v>
      </c>
      <c r="D3356" t="s">
        <v>106</v>
      </c>
      <c r="E3356">
        <v>0.15</v>
      </c>
    </row>
    <row r="3357" spans="1:5">
      <c r="A3357" t="s">
        <v>36440</v>
      </c>
      <c r="B3357" t="s">
        <v>10513</v>
      </c>
      <c r="C3357">
        <v>0</v>
      </c>
      <c r="D3357" t="s">
        <v>106</v>
      </c>
      <c r="E3357">
        <v>0.15</v>
      </c>
    </row>
    <row r="3358" spans="1:5">
      <c r="A3358" t="s">
        <v>36440</v>
      </c>
      <c r="B3358" t="s">
        <v>10512</v>
      </c>
      <c r="C3358">
        <f>0</f>
        <v>0</v>
      </c>
      <c r="D3358" t="s">
        <v>106</v>
      </c>
      <c r="E3358">
        <v>0.15</v>
      </c>
    </row>
    <row r="3359" spans="1:5">
      <c r="A3359" t="s">
        <v>36440</v>
      </c>
      <c r="B3359" t="s">
        <v>10522</v>
      </c>
      <c r="C3359">
        <v>0</v>
      </c>
      <c r="D3359" t="s">
        <v>106</v>
      </c>
      <c r="E3359">
        <v>0.15</v>
      </c>
    </row>
    <row r="3360" spans="1:5">
      <c r="A3360" t="s">
        <v>36440</v>
      </c>
      <c r="B3360" t="s">
        <v>10517</v>
      </c>
      <c r="C3360">
        <f>0</f>
        <v>0</v>
      </c>
      <c r="D3360" t="s">
        <v>106</v>
      </c>
      <c r="E3360">
        <v>0.15</v>
      </c>
    </row>
    <row r="3361" spans="1:5">
      <c r="A3361" t="s">
        <v>36440</v>
      </c>
      <c r="B3361" t="s">
        <v>10519</v>
      </c>
      <c r="C3361">
        <v>0</v>
      </c>
      <c r="D3361" t="s">
        <v>106</v>
      </c>
      <c r="E3361">
        <v>0.15</v>
      </c>
    </row>
    <row r="3362" spans="1:5">
      <c r="A3362" t="s">
        <v>36440</v>
      </c>
      <c r="B3362" t="s">
        <v>10511</v>
      </c>
      <c r="C3362">
        <f>0</f>
        <v>0</v>
      </c>
      <c r="D3362" t="s">
        <v>106</v>
      </c>
      <c r="E3362">
        <v>0.15</v>
      </c>
    </row>
    <row r="3363" spans="1:5">
      <c r="A3363" t="s">
        <v>36440</v>
      </c>
      <c r="B3363" t="s">
        <v>10520</v>
      </c>
      <c r="C3363">
        <f>0</f>
        <v>0</v>
      </c>
      <c r="D3363" t="s">
        <v>106</v>
      </c>
      <c r="E3363">
        <v>0.15</v>
      </c>
    </row>
    <row r="3364" spans="1:5">
      <c r="A3364" t="s">
        <v>36440</v>
      </c>
      <c r="B3364" t="s">
        <v>10509</v>
      </c>
      <c r="C3364">
        <f>0</f>
        <v>0</v>
      </c>
      <c r="D3364" t="s">
        <v>106</v>
      </c>
      <c r="E3364">
        <v>0.15</v>
      </c>
    </row>
    <row r="3365" spans="1:5">
      <c r="A3365" t="s">
        <v>36440</v>
      </c>
      <c r="B3365" t="s">
        <v>10516</v>
      </c>
      <c r="C3365">
        <f>0</f>
        <v>0</v>
      </c>
      <c r="D3365" t="s">
        <v>106</v>
      </c>
      <c r="E3365">
        <v>0.15</v>
      </c>
    </row>
    <row r="3366" spans="1:5">
      <c r="A3366" t="s">
        <v>36442</v>
      </c>
      <c r="B3366" t="s">
        <v>3081</v>
      </c>
      <c r="C3366">
        <f>0</f>
        <v>0</v>
      </c>
      <c r="D3366">
        <v>0.94774803026099996</v>
      </c>
      <c r="E3366">
        <v>24</v>
      </c>
    </row>
    <row r="3367" spans="1:5">
      <c r="A3367" t="s">
        <v>36442</v>
      </c>
      <c r="B3367" t="s">
        <v>3082</v>
      </c>
      <c r="C3367">
        <f>0</f>
        <v>0</v>
      </c>
      <c r="D3367">
        <v>0.94774803026099996</v>
      </c>
      <c r="E3367">
        <v>24</v>
      </c>
    </row>
    <row r="3368" spans="1:5">
      <c r="A3368" t="s">
        <v>36442</v>
      </c>
      <c r="B3368" t="s">
        <v>3087</v>
      </c>
      <c r="C3368">
        <v>0.28126395639099999</v>
      </c>
      <c r="D3368">
        <v>0.94774803026099996</v>
      </c>
      <c r="E3368">
        <v>24</v>
      </c>
    </row>
    <row r="3369" spans="1:5">
      <c r="A3369" t="s">
        <v>36442</v>
      </c>
      <c r="B3369" t="s">
        <v>3085</v>
      </c>
      <c r="C3369">
        <f>0.32638702279</f>
        <v>0.32638702278999998</v>
      </c>
      <c r="D3369">
        <v>0.94774803026099996</v>
      </c>
      <c r="E3369">
        <v>24</v>
      </c>
    </row>
    <row r="3370" spans="1:5">
      <c r="A3370" t="s">
        <v>36442</v>
      </c>
      <c r="B3370" t="s">
        <v>3083</v>
      </c>
      <c r="C3370">
        <f>0.463341600898</f>
        <v>0.46334160089799997</v>
      </c>
      <c r="D3370">
        <v>0.94774803026099996</v>
      </c>
      <c r="E3370">
        <v>24</v>
      </c>
    </row>
    <row r="3371" spans="1:5">
      <c r="A3371" t="s">
        <v>36443</v>
      </c>
      <c r="B3371" t="s">
        <v>36444</v>
      </c>
      <c r="C3371">
        <v>0.27543346071500002</v>
      </c>
      <c r="D3371">
        <v>0.98129522006900005</v>
      </c>
      <c r="E3371">
        <v>0</v>
      </c>
    </row>
    <row r="3372" spans="1:5">
      <c r="A3372" t="s">
        <v>36443</v>
      </c>
      <c r="B3372" t="s">
        <v>36445</v>
      </c>
      <c r="C3372">
        <v>4.13784959291E-2</v>
      </c>
      <c r="D3372">
        <v>0.98129522006900005</v>
      </c>
      <c r="E3372">
        <v>0</v>
      </c>
    </row>
    <row r="3373" spans="1:5">
      <c r="A3373" t="s">
        <v>36443</v>
      </c>
      <c r="B3373" t="s">
        <v>36446</v>
      </c>
      <c r="C3373">
        <v>8.4667676880100004E-2</v>
      </c>
      <c r="D3373">
        <v>0.98129522006900005</v>
      </c>
      <c r="E3373">
        <v>0</v>
      </c>
    </row>
    <row r="3374" spans="1:5">
      <c r="A3374" t="s">
        <v>36443</v>
      </c>
      <c r="B3374" t="s">
        <v>36447</v>
      </c>
      <c r="C3374">
        <v>0</v>
      </c>
      <c r="D3374">
        <v>0.98129522006900005</v>
      </c>
      <c r="E3374">
        <v>0</v>
      </c>
    </row>
    <row r="3375" spans="1:5">
      <c r="A3375" t="s">
        <v>36443</v>
      </c>
      <c r="B3375" t="s">
        <v>36448</v>
      </c>
      <c r="C3375">
        <v>0.56903197251100002</v>
      </c>
      <c r="D3375">
        <v>0.98129522006900005</v>
      </c>
      <c r="E3375">
        <v>0</v>
      </c>
    </row>
    <row r="3376" spans="1:5">
      <c r="A3376" t="s">
        <v>36449</v>
      </c>
      <c r="B3376" t="s">
        <v>33156</v>
      </c>
      <c r="C3376">
        <v>0.62245708090200003</v>
      </c>
      <c r="D3376">
        <v>0.82547660311799997</v>
      </c>
      <c r="E3376">
        <v>7.0679999999999996</v>
      </c>
    </row>
    <row r="3377" spans="1:5">
      <c r="A3377" t="s">
        <v>36449</v>
      </c>
      <c r="B3377" t="s">
        <v>33157</v>
      </c>
      <c r="C3377">
        <v>1.8571511686199998E-2</v>
      </c>
      <c r="D3377">
        <v>0.82547660311799997</v>
      </c>
      <c r="E3377">
        <v>7.0679999999999996</v>
      </c>
    </row>
    <row r="3378" spans="1:5">
      <c r="A3378" t="s">
        <v>36449</v>
      </c>
      <c r="B3378" t="s">
        <v>33158</v>
      </c>
      <c r="C3378">
        <f>0</f>
        <v>0</v>
      </c>
      <c r="D3378">
        <v>0.82547660311799997</v>
      </c>
      <c r="E3378">
        <v>7.0679999999999996</v>
      </c>
    </row>
    <row r="3379" spans="1:5">
      <c r="A3379" t="s">
        <v>36449</v>
      </c>
      <c r="B3379" t="s">
        <v>33162</v>
      </c>
      <c r="C3379">
        <f>0</f>
        <v>0</v>
      </c>
      <c r="D3379">
        <v>0.82547660311799997</v>
      </c>
      <c r="E3379">
        <v>7.0679999999999996</v>
      </c>
    </row>
    <row r="3380" spans="1:5">
      <c r="A3380" t="s">
        <v>36449</v>
      </c>
      <c r="B3380" t="s">
        <v>33161</v>
      </c>
      <c r="C3380">
        <f>0</f>
        <v>0</v>
      </c>
      <c r="D3380">
        <v>0.82547660311799997</v>
      </c>
      <c r="E3380">
        <v>7.0679999999999996</v>
      </c>
    </row>
    <row r="3381" spans="1:5">
      <c r="A3381" t="s">
        <v>36450</v>
      </c>
      <c r="B3381" t="s">
        <v>33106</v>
      </c>
      <c r="C3381">
        <f>0</f>
        <v>0</v>
      </c>
      <c r="D3381" t="s">
        <v>106</v>
      </c>
      <c r="E3381">
        <v>24</v>
      </c>
    </row>
    <row r="3382" spans="1:5">
      <c r="A3382" t="s">
        <v>36450</v>
      </c>
      <c r="B3382" t="s">
        <v>33103</v>
      </c>
      <c r="C3382">
        <f>0</f>
        <v>0</v>
      </c>
      <c r="D3382" t="s">
        <v>106</v>
      </c>
      <c r="E3382">
        <v>24</v>
      </c>
    </row>
    <row r="3383" spans="1:5">
      <c r="A3383" t="s">
        <v>36451</v>
      </c>
      <c r="B3383" t="s">
        <v>19540</v>
      </c>
      <c r="C3383">
        <v>0</v>
      </c>
      <c r="D3383">
        <v>0.79749493723099996</v>
      </c>
      <c r="E3383">
        <v>12.048</v>
      </c>
    </row>
    <row r="3384" spans="1:5">
      <c r="A3384" t="s">
        <v>36451</v>
      </c>
      <c r="B3384" t="s">
        <v>19546</v>
      </c>
      <c r="C3384">
        <v>0</v>
      </c>
      <c r="D3384">
        <v>0.79749493723099996</v>
      </c>
      <c r="E3384">
        <v>12.048</v>
      </c>
    </row>
    <row r="3385" spans="1:5">
      <c r="A3385" t="s">
        <v>36451</v>
      </c>
      <c r="B3385" t="s">
        <v>19545</v>
      </c>
      <c r="C3385">
        <f>0.107151735915</f>
        <v>0.107151735915</v>
      </c>
      <c r="D3385">
        <v>0.79749493723099996</v>
      </c>
      <c r="E3385">
        <v>12.048</v>
      </c>
    </row>
    <row r="3386" spans="1:5">
      <c r="A3386" t="s">
        <v>36451</v>
      </c>
      <c r="B3386" t="s">
        <v>19541</v>
      </c>
      <c r="C3386">
        <v>0.421322049521</v>
      </c>
      <c r="D3386">
        <v>0.79749493723099996</v>
      </c>
      <c r="E3386">
        <v>12.048</v>
      </c>
    </row>
    <row r="3387" spans="1:5">
      <c r="A3387" t="s">
        <v>36451</v>
      </c>
      <c r="B3387" t="s">
        <v>19553</v>
      </c>
      <c r="C3387">
        <f>0.31741588947</f>
        <v>0.31741588946999999</v>
      </c>
      <c r="D3387">
        <v>0.79749493723099996</v>
      </c>
      <c r="E3387">
        <v>12.048</v>
      </c>
    </row>
    <row r="3388" spans="1:5">
      <c r="A3388" t="s">
        <v>36452</v>
      </c>
      <c r="B3388" t="s">
        <v>4486</v>
      </c>
      <c r="C3388">
        <v>0.93099724087400004</v>
      </c>
      <c r="D3388">
        <v>0.97100724087400003</v>
      </c>
      <c r="E3388">
        <v>2.802</v>
      </c>
    </row>
    <row r="3389" spans="1:5">
      <c r="A3389" t="s">
        <v>36452</v>
      </c>
      <c r="B3389" t="s">
        <v>4487</v>
      </c>
      <c r="C3389">
        <v>0</v>
      </c>
      <c r="D3389">
        <v>0.97100724087400003</v>
      </c>
      <c r="E3389">
        <v>2.802</v>
      </c>
    </row>
    <row r="3390" spans="1:5">
      <c r="A3390" t="s">
        <v>36453</v>
      </c>
      <c r="B3390" t="s">
        <v>30003</v>
      </c>
      <c r="C3390">
        <f>0</f>
        <v>0</v>
      </c>
      <c r="D3390" t="s">
        <v>106</v>
      </c>
      <c r="E3390">
        <v>0</v>
      </c>
    </row>
    <row r="3391" spans="1:5">
      <c r="A3391" t="s">
        <v>36453</v>
      </c>
      <c r="B3391" t="s">
        <v>30004</v>
      </c>
      <c r="C3391">
        <v>0</v>
      </c>
      <c r="D3391" t="s">
        <v>106</v>
      </c>
      <c r="E3391">
        <v>0</v>
      </c>
    </row>
    <row r="3392" spans="1:5">
      <c r="A3392" t="s">
        <v>36453</v>
      </c>
      <c r="B3392" t="s">
        <v>30017</v>
      </c>
      <c r="C3392">
        <v>0</v>
      </c>
      <c r="D3392" t="s">
        <v>106</v>
      </c>
      <c r="E3392">
        <v>0</v>
      </c>
    </row>
    <row r="3393" spans="1:5">
      <c r="A3393" t="s">
        <v>36453</v>
      </c>
      <c r="B3393" t="s">
        <v>30006</v>
      </c>
      <c r="C3393">
        <v>0</v>
      </c>
      <c r="D3393" t="s">
        <v>106</v>
      </c>
      <c r="E3393">
        <v>0</v>
      </c>
    </row>
    <row r="3394" spans="1:5">
      <c r="A3394" t="s">
        <v>36453</v>
      </c>
      <c r="B3394" t="s">
        <v>30015</v>
      </c>
      <c r="C3394">
        <v>0</v>
      </c>
      <c r="D3394" t="s">
        <v>106</v>
      </c>
      <c r="E3394">
        <v>0</v>
      </c>
    </row>
    <row r="3395" spans="1:5">
      <c r="A3395" t="s">
        <v>36453</v>
      </c>
      <c r="B3395" t="s">
        <v>30016</v>
      </c>
      <c r="C3395">
        <v>0</v>
      </c>
      <c r="D3395" t="s">
        <v>106</v>
      </c>
      <c r="E3395">
        <v>0</v>
      </c>
    </row>
    <row r="3396" spans="1:5">
      <c r="A3396" t="s">
        <v>36453</v>
      </c>
      <c r="B3396" t="s">
        <v>30012</v>
      </c>
      <c r="C3396">
        <v>0</v>
      </c>
      <c r="D3396" t="s">
        <v>106</v>
      </c>
      <c r="E3396">
        <v>0</v>
      </c>
    </row>
    <row r="3397" spans="1:5">
      <c r="A3397" t="s">
        <v>36453</v>
      </c>
      <c r="B3397" t="s">
        <v>30013</v>
      </c>
      <c r="C3397">
        <v>0</v>
      </c>
      <c r="D3397" t="s">
        <v>106</v>
      </c>
      <c r="E3397">
        <v>0</v>
      </c>
    </row>
    <row r="3398" spans="1:5">
      <c r="A3398" t="s">
        <v>36453</v>
      </c>
      <c r="B3398" t="s">
        <v>30008</v>
      </c>
      <c r="C3398">
        <v>0</v>
      </c>
      <c r="D3398" t="s">
        <v>106</v>
      </c>
      <c r="E3398">
        <v>0</v>
      </c>
    </row>
    <row r="3399" spans="1:5">
      <c r="A3399" t="s">
        <v>36454</v>
      </c>
      <c r="B3399" t="s">
        <v>13565</v>
      </c>
      <c r="C3399">
        <f>0.524656371427</f>
        <v>0.52465637142699995</v>
      </c>
      <c r="D3399">
        <v>0.85244481995599997</v>
      </c>
      <c r="E3399">
        <v>0</v>
      </c>
    </row>
    <row r="3400" spans="1:5">
      <c r="A3400" t="s">
        <v>36454</v>
      </c>
      <c r="B3400" t="s">
        <v>13564</v>
      </c>
      <c r="C3400">
        <v>1.20163919765</v>
      </c>
      <c r="D3400">
        <v>0.85244481995599997</v>
      </c>
      <c r="E3400">
        <v>0</v>
      </c>
    </row>
    <row r="3401" spans="1:5">
      <c r="A3401" t="s">
        <v>36454</v>
      </c>
      <c r="B3401" t="s">
        <v>13563</v>
      </c>
      <c r="C3401">
        <f>0.389131052575</f>
        <v>0.38913105257500002</v>
      </c>
      <c r="D3401">
        <v>0.85244481995599997</v>
      </c>
      <c r="E3401">
        <v>0</v>
      </c>
    </row>
    <row r="3402" spans="1:5">
      <c r="A3402" t="s">
        <v>36455</v>
      </c>
      <c r="B3402" t="s">
        <v>21630</v>
      </c>
      <c r="C3402">
        <v>0.91064882173499995</v>
      </c>
      <c r="D3402">
        <v>0.95024693689299999</v>
      </c>
      <c r="E3402">
        <v>24</v>
      </c>
    </row>
    <row r="3403" spans="1:5">
      <c r="A3403" t="s">
        <v>36455</v>
      </c>
      <c r="B3403" t="s">
        <v>21631</v>
      </c>
      <c r="C3403">
        <v>0.19841844012500001</v>
      </c>
      <c r="D3403">
        <v>0.95024693689299999</v>
      </c>
      <c r="E3403">
        <v>24</v>
      </c>
    </row>
    <row r="3404" spans="1:5">
      <c r="A3404" t="s">
        <v>36456</v>
      </c>
      <c r="B3404" t="s">
        <v>36457</v>
      </c>
      <c r="C3404">
        <v>0.39652296384199998</v>
      </c>
      <c r="D3404">
        <v>0.52613296384200003</v>
      </c>
      <c r="E3404">
        <v>13.092000000000001</v>
      </c>
    </row>
    <row r="3405" spans="1:5">
      <c r="A3405" t="s">
        <v>36456</v>
      </c>
      <c r="B3405" t="s">
        <v>36458</v>
      </c>
      <c r="C3405">
        <f>0</f>
        <v>0</v>
      </c>
      <c r="D3405">
        <v>0.52613296384200003</v>
      </c>
      <c r="E3405">
        <v>13.092000000000001</v>
      </c>
    </row>
    <row r="3406" spans="1:5">
      <c r="A3406" t="s">
        <v>36459</v>
      </c>
      <c r="B3406" t="s">
        <v>31696</v>
      </c>
      <c r="C3406">
        <f>-2.76445808779</f>
        <v>-2.76445808779</v>
      </c>
      <c r="D3406">
        <v>0.98147765928700004</v>
      </c>
      <c r="E3406">
        <v>0.40799999999999997</v>
      </c>
    </row>
    <row r="3407" spans="1:5">
      <c r="A3407" t="s">
        <v>36459</v>
      </c>
      <c r="B3407" t="s">
        <v>31697</v>
      </c>
      <c r="C3407">
        <v>1.4808061240899999</v>
      </c>
      <c r="D3407">
        <v>0.98147765928700004</v>
      </c>
      <c r="E3407">
        <v>0.40799999999999997</v>
      </c>
    </row>
    <row r="3408" spans="1:5">
      <c r="A3408" t="s">
        <v>36459</v>
      </c>
      <c r="B3408" t="s">
        <v>31694</v>
      </c>
      <c r="C3408">
        <v>1.27308905991</v>
      </c>
      <c r="D3408">
        <v>0.98147765928700004</v>
      </c>
      <c r="E3408">
        <v>0.40799999999999997</v>
      </c>
    </row>
    <row r="3409" spans="1:5">
      <c r="A3409" t="s">
        <v>36459</v>
      </c>
      <c r="B3409" t="s">
        <v>31698</v>
      </c>
      <c r="C3409">
        <v>0.36365520971900001</v>
      </c>
      <c r="D3409">
        <v>0.98147765928700004</v>
      </c>
      <c r="E3409">
        <v>0.40799999999999997</v>
      </c>
    </row>
    <row r="3410" spans="1:5">
      <c r="A3410" t="s">
        <v>36460</v>
      </c>
      <c r="B3410" t="s">
        <v>14039</v>
      </c>
      <c r="C3410">
        <f>0</f>
        <v>0</v>
      </c>
      <c r="D3410">
        <v>0.71508387022700004</v>
      </c>
      <c r="E3410">
        <v>10.878</v>
      </c>
    </row>
    <row r="3411" spans="1:5">
      <c r="A3411" t="s">
        <v>36460</v>
      </c>
      <c r="B3411" t="s">
        <v>14042</v>
      </c>
      <c r="C3411">
        <f>0.484673870227</f>
        <v>0.48467387022699998</v>
      </c>
      <c r="D3411">
        <v>0.71508387022700004</v>
      </c>
      <c r="E3411">
        <v>10.878</v>
      </c>
    </row>
    <row r="3412" spans="1:5">
      <c r="A3412" t="s">
        <v>36460</v>
      </c>
      <c r="B3412" t="s">
        <v>14043</v>
      </c>
      <c r="C3412">
        <f>0</f>
        <v>0</v>
      </c>
      <c r="D3412">
        <v>0.71508387022700004</v>
      </c>
      <c r="E3412">
        <v>10.878</v>
      </c>
    </row>
    <row r="3413" spans="1:5">
      <c r="A3413" t="s">
        <v>36461</v>
      </c>
      <c r="B3413" t="s">
        <v>20103</v>
      </c>
      <c r="C3413">
        <v>0.109050666846</v>
      </c>
      <c r="D3413">
        <v>0.66227816185599997</v>
      </c>
      <c r="E3413">
        <v>24</v>
      </c>
    </row>
    <row r="3414" spans="1:5">
      <c r="A3414" t="s">
        <v>36461</v>
      </c>
      <c r="B3414" t="s">
        <v>20110</v>
      </c>
      <c r="C3414">
        <f>0</f>
        <v>0</v>
      </c>
      <c r="D3414">
        <v>0.66227816185599997</v>
      </c>
      <c r="E3414">
        <v>24</v>
      </c>
    </row>
    <row r="3415" spans="1:5">
      <c r="A3415" t="s">
        <v>36461</v>
      </c>
      <c r="B3415" t="s">
        <v>20109</v>
      </c>
      <c r="C3415">
        <f>0</f>
        <v>0</v>
      </c>
      <c r="D3415">
        <v>0.66227816185599997</v>
      </c>
      <c r="E3415">
        <v>24</v>
      </c>
    </row>
    <row r="3416" spans="1:5">
      <c r="A3416" t="s">
        <v>36461</v>
      </c>
      <c r="B3416" t="s">
        <v>20107</v>
      </c>
      <c r="C3416">
        <f>0.296050449048</f>
        <v>0.29605044904799999</v>
      </c>
      <c r="D3416">
        <v>0.66227816185599997</v>
      </c>
      <c r="E3416">
        <v>24</v>
      </c>
    </row>
    <row r="3417" spans="1:5">
      <c r="A3417" t="s">
        <v>36461</v>
      </c>
      <c r="B3417" t="s">
        <v>20111</v>
      </c>
      <c r="C3417">
        <v>0</v>
      </c>
      <c r="D3417">
        <v>0.66227816185599997</v>
      </c>
      <c r="E3417">
        <v>24</v>
      </c>
    </row>
    <row r="3418" spans="1:5">
      <c r="A3418" t="s">
        <v>36462</v>
      </c>
      <c r="B3418" t="s">
        <v>10138</v>
      </c>
      <c r="C3418">
        <v>0.92750942630599997</v>
      </c>
      <c r="D3418">
        <v>0.98909518776200001</v>
      </c>
      <c r="E3418">
        <v>2.3279999999999998</v>
      </c>
    </row>
    <row r="3419" spans="1:5">
      <c r="A3419" t="s">
        <v>36462</v>
      </c>
      <c r="B3419" t="s">
        <v>10143</v>
      </c>
      <c r="C3419">
        <v>0.93808763488400004</v>
      </c>
      <c r="D3419">
        <v>0.98909518776200001</v>
      </c>
      <c r="E3419">
        <v>2.3279999999999998</v>
      </c>
    </row>
    <row r="3420" spans="1:5">
      <c r="A3420" t="s">
        <v>36462</v>
      </c>
      <c r="B3420" t="s">
        <v>10140</v>
      </c>
      <c r="C3420">
        <v>0.439776608969</v>
      </c>
      <c r="D3420">
        <v>0.98909518776200001</v>
      </c>
      <c r="E3420">
        <v>2.3279999999999998</v>
      </c>
    </row>
    <row r="3421" spans="1:5">
      <c r="A3421" t="s">
        <v>36462</v>
      </c>
      <c r="B3421" t="s">
        <v>10142</v>
      </c>
      <c r="C3421">
        <f>-1.25341953452</f>
        <v>-1.2534195345200001</v>
      </c>
      <c r="D3421">
        <v>0.98909518776200001</v>
      </c>
      <c r="E3421">
        <v>2.3279999999999998</v>
      </c>
    </row>
    <row r="3422" spans="1:5">
      <c r="A3422" t="s">
        <v>36462</v>
      </c>
      <c r="B3422" t="s">
        <v>10141</v>
      </c>
      <c r="C3422">
        <f>0.816450831759</f>
        <v>0.81645083175900002</v>
      </c>
      <c r="D3422">
        <v>0.98909518776200001</v>
      </c>
      <c r="E3422">
        <v>2.3279999999999998</v>
      </c>
    </row>
    <row r="3423" spans="1:5">
      <c r="A3423" t="s">
        <v>36463</v>
      </c>
      <c r="B3423" t="s">
        <v>23833</v>
      </c>
      <c r="C3423">
        <v>0</v>
      </c>
      <c r="D3423">
        <v>0.88935100862700001</v>
      </c>
      <c r="E3423">
        <v>0.58199999999999996</v>
      </c>
    </row>
    <row r="3424" spans="1:5">
      <c r="A3424" t="s">
        <v>36463</v>
      </c>
      <c r="B3424" t="s">
        <v>23834</v>
      </c>
      <c r="C3424">
        <v>0</v>
      </c>
      <c r="D3424">
        <v>0.88935100862700001</v>
      </c>
      <c r="E3424">
        <v>0.58199999999999996</v>
      </c>
    </row>
    <row r="3425" spans="1:5">
      <c r="A3425" t="s">
        <v>36463</v>
      </c>
      <c r="B3425" t="s">
        <v>23836</v>
      </c>
      <c r="C3425">
        <v>0.17352828640099999</v>
      </c>
      <c r="D3425">
        <v>0.88935100862700001</v>
      </c>
      <c r="E3425">
        <v>0.58199999999999996</v>
      </c>
    </row>
    <row r="3426" spans="1:5">
      <c r="A3426" t="s">
        <v>36463</v>
      </c>
      <c r="B3426" t="s">
        <v>23835</v>
      </c>
      <c r="C3426">
        <v>0</v>
      </c>
      <c r="D3426">
        <v>0.88935100862700001</v>
      </c>
      <c r="E3426">
        <v>0.58199999999999996</v>
      </c>
    </row>
    <row r="3427" spans="1:5">
      <c r="A3427" t="s">
        <v>36463</v>
      </c>
      <c r="B3427" t="s">
        <v>23839</v>
      </c>
      <c r="C3427">
        <v>0.518045198574</v>
      </c>
      <c r="D3427">
        <v>0.88935100862700001</v>
      </c>
      <c r="E3427">
        <v>0.58199999999999996</v>
      </c>
    </row>
    <row r="3428" spans="1:5">
      <c r="A3428" t="s">
        <v>36463</v>
      </c>
      <c r="B3428" t="s">
        <v>23838</v>
      </c>
      <c r="C3428">
        <v>0</v>
      </c>
      <c r="D3428">
        <v>0.88935100862700001</v>
      </c>
      <c r="E3428">
        <v>0.58199999999999996</v>
      </c>
    </row>
    <row r="3429" spans="1:5">
      <c r="A3429" t="s">
        <v>36463</v>
      </c>
      <c r="B3429" t="s">
        <v>23840</v>
      </c>
      <c r="C3429">
        <v>0</v>
      </c>
      <c r="D3429">
        <v>0.88935100862700001</v>
      </c>
      <c r="E3429">
        <v>0.58199999999999996</v>
      </c>
    </row>
    <row r="3430" spans="1:5">
      <c r="A3430" t="s">
        <v>36463</v>
      </c>
      <c r="B3430" t="s">
        <v>23841</v>
      </c>
      <c r="C3430">
        <v>0</v>
      </c>
      <c r="D3430">
        <v>0.88935100862700001</v>
      </c>
      <c r="E3430">
        <v>0.58199999999999996</v>
      </c>
    </row>
    <row r="3431" spans="1:5">
      <c r="A3431" t="s">
        <v>36464</v>
      </c>
      <c r="B3431" t="s">
        <v>36465</v>
      </c>
      <c r="C3431">
        <v>0.64535406149600005</v>
      </c>
      <c r="D3431">
        <v>0.98889035132799996</v>
      </c>
      <c r="E3431">
        <v>0</v>
      </c>
    </row>
    <row r="3432" spans="1:5">
      <c r="A3432" t="s">
        <v>36464</v>
      </c>
      <c r="B3432" t="s">
        <v>36466</v>
      </c>
      <c r="C3432">
        <f>0</f>
        <v>0</v>
      </c>
      <c r="D3432">
        <v>0.98889035132799996</v>
      </c>
      <c r="E3432">
        <v>0</v>
      </c>
    </row>
    <row r="3433" spans="1:5">
      <c r="A3433" t="s">
        <v>36464</v>
      </c>
      <c r="B3433" t="s">
        <v>36467</v>
      </c>
      <c r="C3433">
        <f>-1.06239671736</f>
        <v>-1.06239671736</v>
      </c>
      <c r="D3433">
        <v>0.98889035132799996</v>
      </c>
      <c r="E3433">
        <v>0</v>
      </c>
    </row>
    <row r="3434" spans="1:5">
      <c r="A3434" t="s">
        <v>36464</v>
      </c>
      <c r="B3434" t="s">
        <v>36468</v>
      </c>
      <c r="C3434">
        <v>5.8173740708500003E-2</v>
      </c>
      <c r="D3434">
        <v>0.98889035132799996</v>
      </c>
      <c r="E3434">
        <v>0</v>
      </c>
    </row>
    <row r="3435" spans="1:5">
      <c r="A3435" t="s">
        <v>36464</v>
      </c>
      <c r="B3435" t="s">
        <v>36469</v>
      </c>
      <c r="C3435">
        <f>0.269117649526</f>
        <v>0.26911764952599998</v>
      </c>
      <c r="D3435">
        <v>0.98889035132799996</v>
      </c>
      <c r="E3435">
        <v>0</v>
      </c>
    </row>
    <row r="3436" spans="1:5">
      <c r="A3436" t="s">
        <v>36464</v>
      </c>
      <c r="B3436" t="s">
        <v>36470</v>
      </c>
      <c r="C3436">
        <f>0</f>
        <v>0</v>
      </c>
      <c r="D3436">
        <v>0.98889035132799996</v>
      </c>
      <c r="E3436">
        <v>0</v>
      </c>
    </row>
    <row r="3437" spans="1:5">
      <c r="A3437" t="s">
        <v>36464</v>
      </c>
      <c r="B3437" t="s">
        <v>36471</v>
      </c>
      <c r="C3437">
        <v>0</v>
      </c>
      <c r="D3437">
        <v>0.98889035132799996</v>
      </c>
      <c r="E3437">
        <v>0</v>
      </c>
    </row>
    <row r="3438" spans="1:5">
      <c r="A3438" t="s">
        <v>36464</v>
      </c>
      <c r="B3438" t="s">
        <v>36472</v>
      </c>
      <c r="C3438">
        <v>7.0664802652399994E-2</v>
      </c>
      <c r="D3438">
        <v>0.98889035132799996</v>
      </c>
      <c r="E3438">
        <v>0</v>
      </c>
    </row>
    <row r="3439" spans="1:5">
      <c r="A3439" t="s">
        <v>36464</v>
      </c>
      <c r="B3439" t="s">
        <v>36473</v>
      </c>
      <c r="C3439">
        <f>0.270885817979</f>
        <v>0.27088581797900002</v>
      </c>
      <c r="D3439">
        <v>0.98889035132799996</v>
      </c>
      <c r="E3439">
        <v>0</v>
      </c>
    </row>
    <row r="3440" spans="1:5">
      <c r="A3440" t="s">
        <v>36474</v>
      </c>
      <c r="B3440" t="s">
        <v>36475</v>
      </c>
      <c r="C3440">
        <f>0.628727874926</f>
        <v>0.62872787492600002</v>
      </c>
      <c r="D3440">
        <v>0.82233787492599997</v>
      </c>
      <c r="E3440">
        <v>0.91800000000000004</v>
      </c>
    </row>
    <row r="3441" spans="1:5">
      <c r="A3441" t="s">
        <v>36474</v>
      </c>
      <c r="B3441" t="s">
        <v>36476</v>
      </c>
      <c r="C3441">
        <f>0</f>
        <v>0</v>
      </c>
      <c r="D3441">
        <v>0.82233787492599997</v>
      </c>
      <c r="E3441">
        <v>0.91800000000000004</v>
      </c>
    </row>
    <row r="3442" spans="1:5">
      <c r="A3442" t="s">
        <v>36474</v>
      </c>
      <c r="B3442" t="s">
        <v>36477</v>
      </c>
      <c r="C3442">
        <f>0</f>
        <v>0</v>
      </c>
      <c r="D3442">
        <v>0.82233787492599997</v>
      </c>
      <c r="E3442">
        <v>0.91800000000000004</v>
      </c>
    </row>
    <row r="3443" spans="1:5">
      <c r="A3443" t="s">
        <v>36478</v>
      </c>
      <c r="B3443" t="s">
        <v>36479</v>
      </c>
      <c r="C3443">
        <f>0.473976657563</f>
        <v>0.473976657563</v>
      </c>
      <c r="D3443">
        <v>0.96894360844500005</v>
      </c>
      <c r="E3443">
        <v>23.28</v>
      </c>
    </row>
    <row r="3444" spans="1:5">
      <c r="A3444" t="s">
        <v>36478</v>
      </c>
      <c r="B3444" t="s">
        <v>36480</v>
      </c>
      <c r="C3444">
        <v>0.63647833004099996</v>
      </c>
      <c r="D3444">
        <v>0.96894360844500005</v>
      </c>
      <c r="E3444">
        <v>23.28</v>
      </c>
    </row>
    <row r="3445" spans="1:5">
      <c r="A3445" t="s">
        <v>36478</v>
      </c>
      <c r="B3445" t="s">
        <v>36481</v>
      </c>
      <c r="C3445">
        <f>0</f>
        <v>0</v>
      </c>
      <c r="D3445">
        <v>0.96894360844500005</v>
      </c>
      <c r="E3445">
        <v>23.28</v>
      </c>
    </row>
    <row r="3446" spans="1:5">
      <c r="A3446" t="s">
        <v>36478</v>
      </c>
      <c r="B3446" t="s">
        <v>36482</v>
      </c>
      <c r="C3446">
        <v>0</v>
      </c>
      <c r="D3446">
        <v>0.96894360844500005</v>
      </c>
      <c r="E3446">
        <v>23.28</v>
      </c>
    </row>
    <row r="3447" spans="1:5">
      <c r="A3447" t="s">
        <v>36478</v>
      </c>
      <c r="B3447" t="s">
        <v>36483</v>
      </c>
      <c r="C3447">
        <f>0</f>
        <v>0</v>
      </c>
      <c r="D3447">
        <v>0.96894360844500005</v>
      </c>
      <c r="E3447">
        <v>23.28</v>
      </c>
    </row>
    <row r="3448" spans="1:5">
      <c r="A3448" t="s">
        <v>36478</v>
      </c>
      <c r="B3448" t="s">
        <v>36484</v>
      </c>
      <c r="C3448">
        <f>0</f>
        <v>0</v>
      </c>
      <c r="D3448">
        <v>0.96894360844500005</v>
      </c>
      <c r="E3448">
        <v>23.28</v>
      </c>
    </row>
    <row r="3449" spans="1:5">
      <c r="A3449" t="s">
        <v>36478</v>
      </c>
      <c r="B3449" t="s">
        <v>36485</v>
      </c>
      <c r="C3449">
        <f>0</f>
        <v>0</v>
      </c>
      <c r="D3449">
        <v>0.96894360844500005</v>
      </c>
      <c r="E3449">
        <v>23.28</v>
      </c>
    </row>
    <row r="3450" spans="1:5">
      <c r="A3450" t="s">
        <v>36478</v>
      </c>
      <c r="B3450" t="s">
        <v>36486</v>
      </c>
      <c r="C3450">
        <f>0.478815302256</f>
        <v>0.478815302256</v>
      </c>
      <c r="D3450">
        <v>0.96894360844500005</v>
      </c>
      <c r="E3450">
        <v>23.28</v>
      </c>
    </row>
    <row r="3451" spans="1:5">
      <c r="A3451" t="s">
        <v>36487</v>
      </c>
      <c r="B3451" t="s">
        <v>31461</v>
      </c>
      <c r="C3451">
        <f>0</f>
        <v>0</v>
      </c>
      <c r="D3451" t="s">
        <v>106</v>
      </c>
      <c r="E3451">
        <v>12.39</v>
      </c>
    </row>
    <row r="3452" spans="1:5">
      <c r="A3452" t="s">
        <v>36487</v>
      </c>
      <c r="B3452" t="s">
        <v>31463</v>
      </c>
      <c r="C3452">
        <f>0</f>
        <v>0</v>
      </c>
      <c r="D3452" t="s">
        <v>106</v>
      </c>
      <c r="E3452">
        <v>12.39</v>
      </c>
    </row>
    <row r="3453" spans="1:5">
      <c r="A3453" t="s">
        <v>36488</v>
      </c>
      <c r="B3453" t="s">
        <v>27708</v>
      </c>
      <c r="C3453">
        <v>0.16668448280299999</v>
      </c>
      <c r="D3453">
        <v>0.99698400152699995</v>
      </c>
      <c r="E3453">
        <v>23.754000000000001</v>
      </c>
    </row>
    <row r="3454" spans="1:5">
      <c r="A3454" t="s">
        <v>36488</v>
      </c>
      <c r="B3454" t="s">
        <v>27707</v>
      </c>
      <c r="C3454">
        <f>0.71963641151</f>
        <v>0.71963641151000002</v>
      </c>
      <c r="D3454">
        <v>0.99698400152699995</v>
      </c>
      <c r="E3454">
        <v>23.754000000000001</v>
      </c>
    </row>
    <row r="3455" spans="1:5">
      <c r="A3455" t="s">
        <v>36488</v>
      </c>
      <c r="B3455" t="s">
        <v>27709</v>
      </c>
      <c r="C3455">
        <f>0.329907657447</f>
        <v>0.32990765744700001</v>
      </c>
      <c r="D3455">
        <v>0.99698400152699995</v>
      </c>
      <c r="E3455">
        <v>23.754000000000001</v>
      </c>
    </row>
    <row r="3456" spans="1:5">
      <c r="A3456" t="s">
        <v>36488</v>
      </c>
      <c r="B3456" t="s">
        <v>27712</v>
      </c>
      <c r="C3456">
        <f>0</f>
        <v>0</v>
      </c>
      <c r="D3456">
        <v>0.99698400152699995</v>
      </c>
      <c r="E3456">
        <v>23.754000000000001</v>
      </c>
    </row>
    <row r="3457" spans="1:5">
      <c r="A3457" t="s">
        <v>36488</v>
      </c>
      <c r="B3457" t="s">
        <v>27710</v>
      </c>
      <c r="C3457">
        <v>1.36255881603</v>
      </c>
      <c r="D3457">
        <v>0.99698400152699995</v>
      </c>
      <c r="E3457">
        <v>23.754000000000001</v>
      </c>
    </row>
    <row r="3458" spans="1:5">
      <c r="A3458" t="s">
        <v>36488</v>
      </c>
      <c r="B3458" t="s">
        <v>27718</v>
      </c>
      <c r="C3458">
        <f>0.0605489645625</f>
        <v>6.0548964562500002E-2</v>
      </c>
      <c r="D3458">
        <v>0.99698400152699995</v>
      </c>
      <c r="E3458">
        <v>23.754000000000001</v>
      </c>
    </row>
    <row r="3459" spans="1:5">
      <c r="A3459" t="s">
        <v>36488</v>
      </c>
      <c r="B3459" t="s">
        <v>27713</v>
      </c>
      <c r="C3459">
        <f>0.232322354644</f>
        <v>0.232322354644</v>
      </c>
      <c r="D3459">
        <v>0.99698400152699995</v>
      </c>
      <c r="E3459">
        <v>23.754000000000001</v>
      </c>
    </row>
    <row r="3460" spans="1:5">
      <c r="A3460" t="s">
        <v>36488</v>
      </c>
      <c r="B3460" t="s">
        <v>27715</v>
      </c>
      <c r="C3460">
        <f>0</f>
        <v>0</v>
      </c>
      <c r="D3460">
        <v>0.99698400152699995</v>
      </c>
      <c r="E3460">
        <v>23.754000000000001</v>
      </c>
    </row>
    <row r="3461" spans="1:5">
      <c r="A3461" t="s">
        <v>36488</v>
      </c>
      <c r="B3461" t="s">
        <v>27719</v>
      </c>
      <c r="C3461">
        <f>0.924106443762</f>
        <v>0.92410644376200002</v>
      </c>
      <c r="D3461">
        <v>0.99698400152699995</v>
      </c>
      <c r="E3461">
        <v>23.754000000000001</v>
      </c>
    </row>
    <row r="3462" spans="1:5">
      <c r="A3462" t="s">
        <v>36489</v>
      </c>
      <c r="B3462" t="s">
        <v>25558</v>
      </c>
      <c r="C3462">
        <f>0</f>
        <v>0</v>
      </c>
      <c r="D3462" t="s">
        <v>106</v>
      </c>
      <c r="E3462">
        <v>20.292000000000002</v>
      </c>
    </row>
    <row r="3463" spans="1:5">
      <c r="A3463" t="s">
        <v>36489</v>
      </c>
      <c r="B3463" t="s">
        <v>25560</v>
      </c>
      <c r="C3463">
        <v>0</v>
      </c>
      <c r="D3463" t="s">
        <v>106</v>
      </c>
      <c r="E3463">
        <v>20.292000000000002</v>
      </c>
    </row>
    <row r="3464" spans="1:5">
      <c r="A3464" t="s">
        <v>36489</v>
      </c>
      <c r="B3464" t="s">
        <v>25561</v>
      </c>
      <c r="C3464">
        <f>0</f>
        <v>0</v>
      </c>
      <c r="D3464" t="s">
        <v>106</v>
      </c>
      <c r="E3464">
        <v>20.292000000000002</v>
      </c>
    </row>
    <row r="3465" spans="1:5">
      <c r="A3465" t="s">
        <v>36490</v>
      </c>
      <c r="B3465" t="s">
        <v>5152</v>
      </c>
      <c r="C3465">
        <f>0.691126265291</f>
        <v>0.69112626529099996</v>
      </c>
      <c r="D3465">
        <v>0.82828544528699999</v>
      </c>
      <c r="E3465">
        <v>0.82799999999999996</v>
      </c>
    </row>
    <row r="3466" spans="1:5">
      <c r="A3466" t="s">
        <v>36490</v>
      </c>
      <c r="B3466" t="s">
        <v>5156</v>
      </c>
      <c r="C3466">
        <f>0</f>
        <v>0</v>
      </c>
      <c r="D3466">
        <v>0.82828544528699999</v>
      </c>
      <c r="E3466">
        <v>0.82799999999999996</v>
      </c>
    </row>
    <row r="3467" spans="1:5">
      <c r="A3467" t="s">
        <v>36490</v>
      </c>
      <c r="B3467" t="s">
        <v>5154</v>
      </c>
      <c r="C3467">
        <v>0</v>
      </c>
      <c r="D3467">
        <v>0.82828544528699999</v>
      </c>
      <c r="E3467">
        <v>0.82799999999999996</v>
      </c>
    </row>
    <row r="3468" spans="1:5">
      <c r="A3468" t="s">
        <v>36490</v>
      </c>
      <c r="B3468" t="s">
        <v>5155</v>
      </c>
      <c r="C3468">
        <v>0.36426436496499998</v>
      </c>
      <c r="D3468">
        <v>0.82828544528699999</v>
      </c>
      <c r="E3468">
        <v>0.82799999999999996</v>
      </c>
    </row>
    <row r="3469" spans="1:5">
      <c r="A3469" t="s">
        <v>36490</v>
      </c>
      <c r="B3469" t="s">
        <v>5157</v>
      </c>
      <c r="C3469">
        <v>0.172923460892</v>
      </c>
      <c r="D3469">
        <v>0.82828544528699999</v>
      </c>
      <c r="E3469">
        <v>0.82799999999999996</v>
      </c>
    </row>
    <row r="3470" spans="1:5">
      <c r="A3470" t="s">
        <v>36491</v>
      </c>
      <c r="B3470" t="s">
        <v>36492</v>
      </c>
      <c r="C3470">
        <f>0.992411701572</f>
        <v>0.99241170157199998</v>
      </c>
      <c r="D3470">
        <v>0.98512250469200002</v>
      </c>
      <c r="E3470">
        <v>1.512</v>
      </c>
    </row>
    <row r="3471" spans="1:5">
      <c r="A3471" t="s">
        <v>36491</v>
      </c>
      <c r="B3471" t="s">
        <v>36493</v>
      </c>
      <c r="C3471">
        <v>0.214356903003</v>
      </c>
      <c r="D3471">
        <v>0.98512250469200002</v>
      </c>
      <c r="E3471">
        <v>1.512</v>
      </c>
    </row>
    <row r="3472" spans="1:5">
      <c r="A3472" t="s">
        <v>36491</v>
      </c>
      <c r="B3472" t="s">
        <v>36494</v>
      </c>
      <c r="C3472">
        <v>0.16638951878700001</v>
      </c>
      <c r="D3472">
        <v>0.98512250469200002</v>
      </c>
      <c r="E3472">
        <v>1.512</v>
      </c>
    </row>
    <row r="3473" spans="1:5">
      <c r="A3473" t="s">
        <v>36495</v>
      </c>
      <c r="B3473" t="s">
        <v>1687</v>
      </c>
      <c r="C3473">
        <v>0</v>
      </c>
      <c r="D3473" t="s">
        <v>106</v>
      </c>
      <c r="E3473">
        <v>1.512</v>
      </c>
    </row>
    <row r="3474" spans="1:5">
      <c r="A3474" t="s">
        <v>36495</v>
      </c>
      <c r="B3474" t="s">
        <v>1691</v>
      </c>
      <c r="C3474">
        <f>0</f>
        <v>0</v>
      </c>
      <c r="D3474" t="s">
        <v>106</v>
      </c>
      <c r="E3474">
        <v>1.512</v>
      </c>
    </row>
    <row r="3475" spans="1:5">
      <c r="A3475" t="s">
        <v>36495</v>
      </c>
      <c r="B3475" t="s">
        <v>1689</v>
      </c>
      <c r="C3475">
        <v>0</v>
      </c>
      <c r="D3475" t="s">
        <v>106</v>
      </c>
      <c r="E3475">
        <v>1.512</v>
      </c>
    </row>
    <row r="3476" spans="1:5">
      <c r="A3476" t="s">
        <v>36496</v>
      </c>
      <c r="B3476" t="s">
        <v>30843</v>
      </c>
      <c r="C3476">
        <v>0.76941987333700002</v>
      </c>
      <c r="D3476">
        <v>0.93036636322300004</v>
      </c>
      <c r="E3476">
        <v>1.512</v>
      </c>
    </row>
    <row r="3477" spans="1:5">
      <c r="A3477" t="s">
        <v>36496</v>
      </c>
      <c r="B3477" t="s">
        <v>30844</v>
      </c>
      <c r="C3477">
        <v>0.34304328181100002</v>
      </c>
      <c r="D3477">
        <v>0.93036636322300004</v>
      </c>
      <c r="E3477">
        <v>1.512</v>
      </c>
    </row>
    <row r="3478" spans="1:5">
      <c r="A3478" t="s">
        <v>36496</v>
      </c>
      <c r="B3478" t="s">
        <v>30845</v>
      </c>
      <c r="C3478">
        <v>0.14443849602100001</v>
      </c>
      <c r="D3478">
        <v>0.93036636322300004</v>
      </c>
      <c r="E3478">
        <v>1.512</v>
      </c>
    </row>
    <row r="3479" spans="1:5">
      <c r="A3479" t="s">
        <v>36497</v>
      </c>
      <c r="B3479" t="s">
        <v>36498</v>
      </c>
      <c r="C3479">
        <v>9.51371838824E-2</v>
      </c>
      <c r="D3479">
        <v>0.91001474190300002</v>
      </c>
      <c r="E3479">
        <v>5.016</v>
      </c>
    </row>
    <row r="3480" spans="1:5">
      <c r="A3480" t="s">
        <v>36497</v>
      </c>
      <c r="B3480" t="s">
        <v>36499</v>
      </c>
      <c r="C3480">
        <v>9.8248257003099998E-2</v>
      </c>
      <c r="D3480">
        <v>0.91001474190300002</v>
      </c>
      <c r="E3480">
        <v>5.016</v>
      </c>
    </row>
    <row r="3481" spans="1:5">
      <c r="A3481" t="s">
        <v>36497</v>
      </c>
      <c r="B3481" t="s">
        <v>36500</v>
      </c>
      <c r="C3481">
        <v>0</v>
      </c>
      <c r="D3481">
        <v>0.91001474190300002</v>
      </c>
      <c r="E3481">
        <v>5.016</v>
      </c>
    </row>
    <row r="3482" spans="1:5">
      <c r="A3482" t="s">
        <v>36497</v>
      </c>
      <c r="B3482" t="s">
        <v>36501</v>
      </c>
      <c r="C3482">
        <v>0.67366278576000005</v>
      </c>
      <c r="D3482">
        <v>0.91001474190300002</v>
      </c>
      <c r="E3482">
        <v>5.016</v>
      </c>
    </row>
    <row r="3483" spans="1:5">
      <c r="A3483" t="s">
        <v>36497</v>
      </c>
      <c r="B3483" t="s">
        <v>36502</v>
      </c>
      <c r="C3483">
        <v>3.9390039181399997E-3</v>
      </c>
      <c r="D3483">
        <v>0.91001474190300002</v>
      </c>
      <c r="E3483">
        <v>5.016</v>
      </c>
    </row>
    <row r="3484" spans="1:5">
      <c r="A3484" t="s">
        <v>36503</v>
      </c>
      <c r="B3484" t="s">
        <v>36504</v>
      </c>
      <c r="C3484">
        <v>0</v>
      </c>
      <c r="D3484" t="s">
        <v>106</v>
      </c>
      <c r="E3484">
        <v>3.3180000000000001</v>
      </c>
    </row>
    <row r="3485" spans="1:5">
      <c r="A3485" t="s">
        <v>36503</v>
      </c>
      <c r="B3485" t="s">
        <v>36505</v>
      </c>
      <c r="C3485">
        <v>0</v>
      </c>
      <c r="D3485" t="s">
        <v>106</v>
      </c>
      <c r="E3485">
        <v>3.3180000000000001</v>
      </c>
    </row>
    <row r="3486" spans="1:5">
      <c r="A3486" t="s">
        <v>36506</v>
      </c>
      <c r="B3486" t="s">
        <v>32508</v>
      </c>
      <c r="C3486">
        <v>0.61770853475700005</v>
      </c>
      <c r="D3486">
        <v>0.61815667361000004</v>
      </c>
      <c r="E3486">
        <v>23.754000000000001</v>
      </c>
    </row>
    <row r="3487" spans="1:5">
      <c r="A3487" t="s">
        <v>36506</v>
      </c>
      <c r="B3487" t="s">
        <v>32510</v>
      </c>
      <c r="C3487">
        <f>0.166947440059</f>
        <v>0.166947440059</v>
      </c>
      <c r="D3487">
        <v>0.61815667361000004</v>
      </c>
      <c r="E3487">
        <v>23.754000000000001</v>
      </c>
    </row>
    <row r="3488" spans="1:5">
      <c r="A3488" t="s">
        <v>36507</v>
      </c>
      <c r="B3488" t="s">
        <v>18745</v>
      </c>
      <c r="C3488">
        <v>0.45676053138900002</v>
      </c>
      <c r="D3488">
        <v>0.58637053138899997</v>
      </c>
      <c r="E3488">
        <v>24</v>
      </c>
    </row>
    <row r="3489" spans="1:5">
      <c r="A3489" t="s">
        <v>36507</v>
      </c>
      <c r="B3489" t="s">
        <v>18746</v>
      </c>
      <c r="C3489">
        <v>0</v>
      </c>
      <c r="D3489">
        <v>0.58637053138899997</v>
      </c>
      <c r="E3489">
        <v>24</v>
      </c>
    </row>
    <row r="3490" spans="1:5">
      <c r="A3490" t="s">
        <v>36508</v>
      </c>
      <c r="B3490" t="s">
        <v>36509</v>
      </c>
      <c r="C3490">
        <v>0.36444403300099998</v>
      </c>
      <c r="D3490">
        <v>0.63485403300099996</v>
      </c>
      <c r="E3490">
        <v>7.734</v>
      </c>
    </row>
    <row r="3491" spans="1:5">
      <c r="A3491" t="s">
        <v>36508</v>
      </c>
      <c r="B3491" t="s">
        <v>36510</v>
      </c>
      <c r="C3491">
        <v>0</v>
      </c>
      <c r="D3491">
        <v>0.63485403300099996</v>
      </c>
      <c r="E3491">
        <v>7.734</v>
      </c>
    </row>
    <row r="3492" spans="1:5">
      <c r="A3492" t="s">
        <v>36508</v>
      </c>
      <c r="B3492" t="s">
        <v>36511</v>
      </c>
      <c r="C3492">
        <v>0</v>
      </c>
      <c r="D3492">
        <v>0.63485403300099996</v>
      </c>
      <c r="E3492">
        <v>7.734</v>
      </c>
    </row>
    <row r="3493" spans="1:5">
      <c r="A3493" t="s">
        <v>36508</v>
      </c>
      <c r="B3493" t="s">
        <v>36512</v>
      </c>
      <c r="C3493">
        <v>0</v>
      </c>
      <c r="D3493">
        <v>0.63485403300099996</v>
      </c>
      <c r="E3493">
        <v>7.734</v>
      </c>
    </row>
    <row r="3494" spans="1:5">
      <c r="A3494" t="s">
        <v>36513</v>
      </c>
      <c r="B3494" t="s">
        <v>2697</v>
      </c>
      <c r="C3494">
        <v>0</v>
      </c>
      <c r="D3494" t="s">
        <v>106</v>
      </c>
      <c r="E3494">
        <v>24</v>
      </c>
    </row>
    <row r="3495" spans="1:5">
      <c r="A3495" t="s">
        <v>36513</v>
      </c>
      <c r="B3495" t="s">
        <v>2691</v>
      </c>
      <c r="C3495">
        <f>0</f>
        <v>0</v>
      </c>
      <c r="D3495" t="s">
        <v>106</v>
      </c>
      <c r="E3495">
        <v>24</v>
      </c>
    </row>
    <row r="3496" spans="1:5">
      <c r="A3496" t="s">
        <v>36513</v>
      </c>
      <c r="B3496" t="s">
        <v>2695</v>
      </c>
      <c r="C3496">
        <v>0</v>
      </c>
      <c r="D3496" t="s">
        <v>106</v>
      </c>
      <c r="E3496">
        <v>24</v>
      </c>
    </row>
    <row r="3497" spans="1:5">
      <c r="A3497" t="s">
        <v>36513</v>
      </c>
      <c r="B3497" t="s">
        <v>2694</v>
      </c>
      <c r="C3497">
        <v>0</v>
      </c>
      <c r="D3497" t="s">
        <v>106</v>
      </c>
      <c r="E3497">
        <v>24</v>
      </c>
    </row>
    <row r="3498" spans="1:5">
      <c r="A3498" t="s">
        <v>36513</v>
      </c>
      <c r="B3498" t="s">
        <v>2696</v>
      </c>
      <c r="C3498">
        <v>0</v>
      </c>
      <c r="D3498" t="s">
        <v>106</v>
      </c>
      <c r="E3498">
        <v>24</v>
      </c>
    </row>
    <row r="3499" spans="1:5">
      <c r="A3499" t="s">
        <v>36513</v>
      </c>
      <c r="B3499" t="s">
        <v>2693</v>
      </c>
      <c r="C3499">
        <v>0</v>
      </c>
      <c r="D3499" t="s">
        <v>106</v>
      </c>
      <c r="E3499">
        <v>24</v>
      </c>
    </row>
    <row r="3500" spans="1:5">
      <c r="A3500" t="s">
        <v>36514</v>
      </c>
      <c r="B3500" t="s">
        <v>20216</v>
      </c>
      <c r="C3500">
        <f>0.221491537953</f>
        <v>0.221491537953</v>
      </c>
      <c r="D3500">
        <v>0.68760450409499996</v>
      </c>
      <c r="E3500">
        <v>4.2720000000000002</v>
      </c>
    </row>
    <row r="3501" spans="1:5">
      <c r="A3501" t="s">
        <v>36514</v>
      </c>
      <c r="B3501" t="s">
        <v>20219</v>
      </c>
      <c r="C3501">
        <f>0.569716760461</f>
        <v>0.56971676046099995</v>
      </c>
      <c r="D3501">
        <v>0.68760450409499996</v>
      </c>
      <c r="E3501">
        <v>4.2720000000000002</v>
      </c>
    </row>
    <row r="3502" spans="1:5">
      <c r="A3502" t="s">
        <v>36515</v>
      </c>
      <c r="B3502" t="s">
        <v>36516</v>
      </c>
      <c r="C3502">
        <f>-1.12507921455</f>
        <v>-1.1250792145499999</v>
      </c>
      <c r="D3502">
        <v>0.99726328722699997</v>
      </c>
      <c r="E3502">
        <v>17.928000000000001</v>
      </c>
    </row>
    <row r="3503" spans="1:5">
      <c r="A3503" t="s">
        <v>36515</v>
      </c>
      <c r="B3503" t="s">
        <v>36517</v>
      </c>
      <c r="C3503">
        <v>1.36945964755</v>
      </c>
      <c r="D3503">
        <v>0.99726328722699997</v>
      </c>
      <c r="E3503">
        <v>17.928000000000001</v>
      </c>
    </row>
    <row r="3504" spans="1:5">
      <c r="A3504" t="s">
        <v>36515</v>
      </c>
      <c r="B3504" t="s">
        <v>36518</v>
      </c>
      <c r="C3504">
        <v>0.74989432318299998</v>
      </c>
      <c r="D3504">
        <v>0.99726328722699997</v>
      </c>
      <c r="E3504">
        <v>17.928000000000001</v>
      </c>
    </row>
    <row r="3505" spans="1:5">
      <c r="A3505" t="s">
        <v>36515</v>
      </c>
      <c r="B3505" t="s">
        <v>36519</v>
      </c>
      <c r="C3505">
        <f>-1.16305579588</f>
        <v>-1.1630557958800001</v>
      </c>
      <c r="D3505">
        <v>0.99726328722699997</v>
      </c>
      <c r="E3505">
        <v>17.928000000000001</v>
      </c>
    </row>
    <row r="3506" spans="1:5">
      <c r="A3506" t="s">
        <v>36515</v>
      </c>
      <c r="B3506" t="s">
        <v>36520</v>
      </c>
      <c r="C3506">
        <v>0</v>
      </c>
      <c r="D3506">
        <v>0.99726328722699997</v>
      </c>
      <c r="E3506">
        <v>17.928000000000001</v>
      </c>
    </row>
    <row r="3507" spans="1:5">
      <c r="A3507" t="s">
        <v>36515</v>
      </c>
      <c r="B3507" t="s">
        <v>36521</v>
      </c>
      <c r="C3507">
        <v>0.44021848007199998</v>
      </c>
      <c r="D3507">
        <v>0.99726328722699997</v>
      </c>
      <c r="E3507">
        <v>17.928000000000001</v>
      </c>
    </row>
    <row r="3508" spans="1:5">
      <c r="A3508" t="s">
        <v>36515</v>
      </c>
      <c r="B3508" t="s">
        <v>36522</v>
      </c>
      <c r="C3508">
        <f>0.6208512529</f>
        <v>0.62085125289999998</v>
      </c>
      <c r="D3508">
        <v>0.99726328722699997</v>
      </c>
      <c r="E3508">
        <v>17.928000000000001</v>
      </c>
    </row>
    <row r="3509" spans="1:5">
      <c r="A3509" t="s">
        <v>36523</v>
      </c>
      <c r="B3509" t="s">
        <v>36524</v>
      </c>
      <c r="C3509">
        <v>0.416235504448</v>
      </c>
      <c r="D3509">
        <v>0.98473038010799996</v>
      </c>
      <c r="E3509">
        <v>24</v>
      </c>
    </row>
    <row r="3510" spans="1:5">
      <c r="A3510" t="s">
        <v>36523</v>
      </c>
      <c r="B3510" t="s">
        <v>36525</v>
      </c>
      <c r="C3510">
        <v>1.0943680012200001</v>
      </c>
      <c r="D3510">
        <v>0.98473038010799996</v>
      </c>
      <c r="E3510">
        <v>24</v>
      </c>
    </row>
    <row r="3511" spans="1:5">
      <c r="A3511" t="s">
        <v>36523</v>
      </c>
      <c r="B3511" t="s">
        <v>36526</v>
      </c>
      <c r="C3511">
        <f>0.713335783625</f>
        <v>0.71333578362500005</v>
      </c>
      <c r="D3511">
        <v>0.98473038010799996</v>
      </c>
      <c r="E3511">
        <v>24</v>
      </c>
    </row>
    <row r="3512" spans="1:5">
      <c r="A3512" t="s">
        <v>36523</v>
      </c>
      <c r="B3512" t="s">
        <v>36527</v>
      </c>
      <c r="C3512">
        <v>0.36390371754700002</v>
      </c>
      <c r="D3512">
        <v>0.98473038010799996</v>
      </c>
      <c r="E3512">
        <v>24</v>
      </c>
    </row>
    <row r="3513" spans="1:5">
      <c r="A3513" t="s">
        <v>36528</v>
      </c>
      <c r="B3513" t="s">
        <v>28673</v>
      </c>
      <c r="C3513">
        <f>0.0620602269874</f>
        <v>6.2060226987399998E-2</v>
      </c>
      <c r="D3513">
        <v>0.95390874809299997</v>
      </c>
      <c r="E3513">
        <v>2.802</v>
      </c>
    </row>
    <row r="3514" spans="1:5">
      <c r="A3514" t="s">
        <v>36528</v>
      </c>
      <c r="B3514" t="s">
        <v>28685</v>
      </c>
      <c r="C3514">
        <f>0</f>
        <v>0</v>
      </c>
      <c r="D3514">
        <v>0.95390874809299997</v>
      </c>
      <c r="E3514">
        <v>2.802</v>
      </c>
    </row>
    <row r="3515" spans="1:5">
      <c r="A3515" t="s">
        <v>36528</v>
      </c>
      <c r="B3515" t="s">
        <v>28687</v>
      </c>
      <c r="C3515">
        <v>0</v>
      </c>
      <c r="D3515">
        <v>0.95390874809299997</v>
      </c>
      <c r="E3515">
        <v>2.802</v>
      </c>
    </row>
    <row r="3516" spans="1:5">
      <c r="A3516" t="s">
        <v>36528</v>
      </c>
      <c r="B3516" t="s">
        <v>28678</v>
      </c>
      <c r="C3516">
        <v>0.76595699789899996</v>
      </c>
      <c r="D3516">
        <v>0.95390874809299997</v>
      </c>
      <c r="E3516">
        <v>2.802</v>
      </c>
    </row>
    <row r="3517" spans="1:5">
      <c r="A3517" t="s">
        <v>36528</v>
      </c>
      <c r="B3517" t="s">
        <v>28684</v>
      </c>
      <c r="C3517">
        <f>0.0706373466599</f>
        <v>7.0637346659899999E-2</v>
      </c>
      <c r="D3517">
        <v>0.95390874809299997</v>
      </c>
      <c r="E3517">
        <v>2.802</v>
      </c>
    </row>
    <row r="3518" spans="1:5">
      <c r="A3518" t="s">
        <v>36528</v>
      </c>
      <c r="B3518" t="s">
        <v>28682</v>
      </c>
      <c r="C3518">
        <f>0</f>
        <v>0</v>
      </c>
      <c r="D3518">
        <v>0.95390874809299997</v>
      </c>
      <c r="E3518">
        <v>2.802</v>
      </c>
    </row>
    <row r="3519" spans="1:5">
      <c r="A3519" t="s">
        <v>36528</v>
      </c>
      <c r="B3519" t="s">
        <v>28677</v>
      </c>
      <c r="C3519">
        <v>0.16135724617700001</v>
      </c>
      <c r="D3519">
        <v>0.95390874809299997</v>
      </c>
      <c r="E3519">
        <v>2.802</v>
      </c>
    </row>
    <row r="3520" spans="1:5">
      <c r="A3520" t="s">
        <v>36528</v>
      </c>
      <c r="B3520" t="s">
        <v>28676</v>
      </c>
      <c r="C3520">
        <v>0</v>
      </c>
      <c r="D3520">
        <v>0.95390874809299997</v>
      </c>
      <c r="E3520">
        <v>2.802</v>
      </c>
    </row>
    <row r="3521" spans="1:5">
      <c r="A3521" t="s">
        <v>36529</v>
      </c>
      <c r="B3521" t="s">
        <v>29694</v>
      </c>
      <c r="C3521">
        <f>0.132217767297</f>
        <v>0.13221776729699999</v>
      </c>
      <c r="D3521">
        <v>0.99765594749999997</v>
      </c>
      <c r="E3521">
        <v>19.632000000000001</v>
      </c>
    </row>
    <row r="3522" spans="1:5">
      <c r="A3522" t="s">
        <v>36529</v>
      </c>
      <c r="B3522" t="s">
        <v>29687</v>
      </c>
      <c r="C3522">
        <v>0.11412321714199999</v>
      </c>
      <c r="D3522">
        <v>0.99765594749999997</v>
      </c>
      <c r="E3522">
        <v>19.632000000000001</v>
      </c>
    </row>
    <row r="3523" spans="1:5">
      <c r="A3523" t="s">
        <v>36529</v>
      </c>
      <c r="B3523" t="s">
        <v>29696</v>
      </c>
      <c r="C3523">
        <f>0.658318874055</f>
        <v>0.658318874055</v>
      </c>
      <c r="D3523">
        <v>0.99765594749999997</v>
      </c>
      <c r="E3523">
        <v>19.632000000000001</v>
      </c>
    </row>
    <row r="3524" spans="1:5">
      <c r="A3524" t="s">
        <v>36529</v>
      </c>
      <c r="B3524" t="s">
        <v>29688</v>
      </c>
      <c r="C3524">
        <v>0.61813825700299996</v>
      </c>
      <c r="D3524">
        <v>0.99765594749999997</v>
      </c>
      <c r="E3524">
        <v>19.632000000000001</v>
      </c>
    </row>
    <row r="3525" spans="1:5">
      <c r="A3525" t="s">
        <v>36529</v>
      </c>
      <c r="B3525" t="s">
        <v>29690</v>
      </c>
      <c r="C3525">
        <f>0.107025721399</f>
        <v>0.107025721399</v>
      </c>
      <c r="D3525">
        <v>0.99765594749999997</v>
      </c>
      <c r="E3525">
        <v>19.632000000000001</v>
      </c>
    </row>
    <row r="3526" spans="1:5">
      <c r="A3526" t="s">
        <v>36529</v>
      </c>
      <c r="B3526" t="s">
        <v>29692</v>
      </c>
      <c r="C3526">
        <v>0.28526638334100002</v>
      </c>
      <c r="D3526">
        <v>0.99765594749999997</v>
      </c>
      <c r="E3526">
        <v>19.632000000000001</v>
      </c>
    </row>
    <row r="3527" spans="1:5">
      <c r="A3527" t="s">
        <v>36529</v>
      </c>
      <c r="B3527" t="s">
        <v>29698</v>
      </c>
      <c r="C3527">
        <f>0.33779997979</f>
        <v>0.33779997978999998</v>
      </c>
      <c r="D3527">
        <v>0.99765594749999997</v>
      </c>
      <c r="E3527">
        <v>19.632000000000001</v>
      </c>
    </row>
    <row r="3528" spans="1:5">
      <c r="A3528" t="s">
        <v>36530</v>
      </c>
      <c r="B3528" t="s">
        <v>24654</v>
      </c>
      <c r="C3528">
        <v>0.174488130957</v>
      </c>
      <c r="D3528">
        <v>0.917998193721</v>
      </c>
      <c r="E3528">
        <v>0.192</v>
      </c>
    </row>
    <row r="3529" spans="1:5">
      <c r="A3529" t="s">
        <v>36530</v>
      </c>
      <c r="B3529" t="s">
        <v>24664</v>
      </c>
      <c r="C3529">
        <f>0.69648798348</f>
        <v>0.69648798347999996</v>
      </c>
      <c r="D3529">
        <v>0.917998193721</v>
      </c>
      <c r="E3529">
        <v>0.192</v>
      </c>
    </row>
    <row r="3530" spans="1:5">
      <c r="A3530" t="s">
        <v>36530</v>
      </c>
      <c r="B3530" t="s">
        <v>24659</v>
      </c>
      <c r="C3530">
        <v>0.40249529657400002</v>
      </c>
      <c r="D3530">
        <v>0.917998193721</v>
      </c>
      <c r="E3530">
        <v>0.192</v>
      </c>
    </row>
    <row r="3531" spans="1:5">
      <c r="A3531" t="s">
        <v>36530</v>
      </c>
      <c r="B3531" t="s">
        <v>24666</v>
      </c>
      <c r="C3531">
        <f>0</f>
        <v>0</v>
      </c>
      <c r="D3531">
        <v>0.917998193721</v>
      </c>
      <c r="E3531">
        <v>0.192</v>
      </c>
    </row>
    <row r="3532" spans="1:5">
      <c r="A3532" t="s">
        <v>36530</v>
      </c>
      <c r="B3532" t="s">
        <v>24657</v>
      </c>
      <c r="C3532">
        <v>0</v>
      </c>
      <c r="D3532">
        <v>0.917998193721</v>
      </c>
      <c r="E3532">
        <v>0.192</v>
      </c>
    </row>
    <row r="3533" spans="1:5">
      <c r="A3533" t="s">
        <v>36530</v>
      </c>
      <c r="B3533" t="s">
        <v>24662</v>
      </c>
      <c r="C3533">
        <v>0</v>
      </c>
      <c r="D3533">
        <v>0.917998193721</v>
      </c>
      <c r="E3533">
        <v>0.192</v>
      </c>
    </row>
    <row r="3534" spans="1:5">
      <c r="A3534" t="s">
        <v>36530</v>
      </c>
      <c r="B3534" t="s">
        <v>24665</v>
      </c>
      <c r="C3534">
        <f>0</f>
        <v>0</v>
      </c>
      <c r="D3534">
        <v>0.917998193721</v>
      </c>
      <c r="E3534">
        <v>0.192</v>
      </c>
    </row>
    <row r="3535" spans="1:5">
      <c r="A3535" t="s">
        <v>36531</v>
      </c>
      <c r="B3535" t="s">
        <v>23015</v>
      </c>
      <c r="C3535">
        <f>0</f>
        <v>0</v>
      </c>
      <c r="D3535" t="s">
        <v>106</v>
      </c>
      <c r="E3535">
        <v>3.78</v>
      </c>
    </row>
    <row r="3536" spans="1:5">
      <c r="A3536" t="s">
        <v>36531</v>
      </c>
      <c r="B3536" t="s">
        <v>23026</v>
      </c>
      <c r="C3536">
        <v>0</v>
      </c>
      <c r="D3536" t="s">
        <v>106</v>
      </c>
      <c r="E3536">
        <v>3.78</v>
      </c>
    </row>
    <row r="3537" spans="1:5">
      <c r="A3537" t="s">
        <v>36531</v>
      </c>
      <c r="B3537" t="s">
        <v>23028</v>
      </c>
      <c r="C3537">
        <v>0</v>
      </c>
      <c r="D3537" t="s">
        <v>106</v>
      </c>
      <c r="E3537">
        <v>3.78</v>
      </c>
    </row>
    <row r="3538" spans="1:5">
      <c r="A3538" t="s">
        <v>36531</v>
      </c>
      <c r="B3538" t="s">
        <v>23018</v>
      </c>
      <c r="C3538">
        <v>0</v>
      </c>
      <c r="D3538" t="s">
        <v>106</v>
      </c>
      <c r="E3538">
        <v>3.78</v>
      </c>
    </row>
    <row r="3539" spans="1:5">
      <c r="A3539" t="s">
        <v>36531</v>
      </c>
      <c r="B3539" t="s">
        <v>23024</v>
      </c>
      <c r="C3539">
        <v>0</v>
      </c>
      <c r="D3539" t="s">
        <v>106</v>
      </c>
      <c r="E3539">
        <v>3.78</v>
      </c>
    </row>
    <row r="3540" spans="1:5">
      <c r="A3540" t="s">
        <v>36531</v>
      </c>
      <c r="B3540" t="s">
        <v>23027</v>
      </c>
      <c r="C3540">
        <v>0</v>
      </c>
      <c r="D3540" t="s">
        <v>106</v>
      </c>
      <c r="E3540">
        <v>3.78</v>
      </c>
    </row>
    <row r="3541" spans="1:5">
      <c r="A3541" t="s">
        <v>36531</v>
      </c>
      <c r="B3541" t="s">
        <v>23025</v>
      </c>
      <c r="C3541">
        <v>0</v>
      </c>
      <c r="D3541" t="s">
        <v>106</v>
      </c>
      <c r="E3541">
        <v>3.78</v>
      </c>
    </row>
    <row r="3542" spans="1:5">
      <c r="A3542" t="s">
        <v>36531</v>
      </c>
      <c r="B3542" t="s">
        <v>23023</v>
      </c>
      <c r="C3542">
        <v>0</v>
      </c>
      <c r="D3542" t="s">
        <v>106</v>
      </c>
      <c r="E3542">
        <v>3.78</v>
      </c>
    </row>
    <row r="3543" spans="1:5">
      <c r="A3543" t="s">
        <v>36531</v>
      </c>
      <c r="B3543" t="s">
        <v>23019</v>
      </c>
      <c r="C3543">
        <f>0</f>
        <v>0</v>
      </c>
      <c r="D3543" t="s">
        <v>106</v>
      </c>
      <c r="E3543">
        <v>3.78</v>
      </c>
    </row>
    <row r="3544" spans="1:5">
      <c r="A3544" t="s">
        <v>36532</v>
      </c>
      <c r="B3544" t="s">
        <v>32666</v>
      </c>
      <c r="C3544">
        <v>0</v>
      </c>
      <c r="D3544">
        <v>0.86229465544600004</v>
      </c>
      <c r="E3544">
        <v>3.3180000000000001</v>
      </c>
    </row>
    <row r="3545" spans="1:5">
      <c r="A3545" t="s">
        <v>36532</v>
      </c>
      <c r="B3545" t="s">
        <v>32668</v>
      </c>
      <c r="C3545">
        <f>0</f>
        <v>0</v>
      </c>
      <c r="D3545">
        <v>0.86229465544600004</v>
      </c>
      <c r="E3545">
        <v>3.3180000000000001</v>
      </c>
    </row>
    <row r="3546" spans="1:5">
      <c r="A3546" t="s">
        <v>36532</v>
      </c>
      <c r="B3546" t="s">
        <v>32661</v>
      </c>
      <c r="C3546">
        <f>0</f>
        <v>0</v>
      </c>
      <c r="D3546">
        <v>0.86229465544600004</v>
      </c>
      <c r="E3546">
        <v>3.3180000000000001</v>
      </c>
    </row>
    <row r="3547" spans="1:5">
      <c r="A3547" t="s">
        <v>36532</v>
      </c>
      <c r="B3547" t="s">
        <v>32671</v>
      </c>
      <c r="C3547">
        <f>0</f>
        <v>0</v>
      </c>
      <c r="D3547">
        <v>0.86229465544600004</v>
      </c>
      <c r="E3547">
        <v>3.3180000000000001</v>
      </c>
    </row>
    <row r="3548" spans="1:5">
      <c r="A3548" t="s">
        <v>36532</v>
      </c>
      <c r="B3548" t="s">
        <v>32675</v>
      </c>
      <c r="C3548">
        <f>0</f>
        <v>0</v>
      </c>
      <c r="D3548">
        <v>0.86229465544600004</v>
      </c>
      <c r="E3548">
        <v>3.3180000000000001</v>
      </c>
    </row>
    <row r="3549" spans="1:5">
      <c r="A3549" t="s">
        <v>36532</v>
      </c>
      <c r="B3549" t="s">
        <v>32667</v>
      </c>
      <c r="C3549">
        <v>0</v>
      </c>
      <c r="D3549">
        <v>0.86229465544600004</v>
      </c>
      <c r="E3549">
        <v>3.3180000000000001</v>
      </c>
    </row>
    <row r="3550" spans="1:5">
      <c r="A3550" t="s">
        <v>36532</v>
      </c>
      <c r="B3550" t="s">
        <v>32662</v>
      </c>
      <c r="C3550">
        <f>0</f>
        <v>0</v>
      </c>
      <c r="D3550">
        <v>0.86229465544600004</v>
      </c>
      <c r="E3550">
        <v>3.3180000000000001</v>
      </c>
    </row>
    <row r="3551" spans="1:5">
      <c r="A3551" t="s">
        <v>36532</v>
      </c>
      <c r="B3551" t="s">
        <v>32673</v>
      </c>
      <c r="C3551">
        <f>0.548684655446</f>
        <v>0.54868465544599998</v>
      </c>
      <c r="D3551">
        <v>0.86229465544600004</v>
      </c>
      <c r="E3551">
        <v>3.3180000000000001</v>
      </c>
    </row>
    <row r="3552" spans="1:5">
      <c r="A3552" t="s">
        <v>36532</v>
      </c>
      <c r="B3552" t="s">
        <v>32663</v>
      </c>
      <c r="C3552">
        <v>0</v>
      </c>
      <c r="D3552">
        <v>0.86229465544600004</v>
      </c>
      <c r="E3552">
        <v>3.3180000000000001</v>
      </c>
    </row>
    <row r="3553" spans="1:5">
      <c r="A3553" t="s">
        <v>36532</v>
      </c>
      <c r="B3553" t="s">
        <v>32669</v>
      </c>
      <c r="C3553">
        <f>0</f>
        <v>0</v>
      </c>
      <c r="D3553">
        <v>0.86229465544600004</v>
      </c>
      <c r="E3553">
        <v>3.3180000000000001</v>
      </c>
    </row>
    <row r="3554" spans="1:5">
      <c r="A3554" t="s">
        <v>36532</v>
      </c>
      <c r="B3554" t="s">
        <v>32665</v>
      </c>
      <c r="C3554">
        <v>0</v>
      </c>
      <c r="D3554">
        <v>0.86229465544600004</v>
      </c>
      <c r="E3554">
        <v>3.3180000000000001</v>
      </c>
    </row>
    <row r="3555" spans="1:5">
      <c r="A3555" t="s">
        <v>36532</v>
      </c>
      <c r="B3555" t="s">
        <v>32670</v>
      </c>
      <c r="C3555">
        <f>0</f>
        <v>0</v>
      </c>
      <c r="D3555">
        <v>0.86229465544600004</v>
      </c>
      <c r="E3555">
        <v>3.3180000000000001</v>
      </c>
    </row>
    <row r="3556" spans="1:5">
      <c r="A3556" t="s">
        <v>36532</v>
      </c>
      <c r="B3556" t="s">
        <v>32664</v>
      </c>
      <c r="C3556">
        <v>0</v>
      </c>
      <c r="D3556">
        <v>0.86229465544600004</v>
      </c>
      <c r="E3556">
        <v>3.3180000000000001</v>
      </c>
    </row>
    <row r="3557" spans="1:5">
      <c r="A3557" t="s">
        <v>36532</v>
      </c>
      <c r="B3557" t="s">
        <v>32660</v>
      </c>
      <c r="C3557">
        <f>0</f>
        <v>0</v>
      </c>
      <c r="D3557">
        <v>0.86229465544600004</v>
      </c>
      <c r="E3557">
        <v>3.3180000000000001</v>
      </c>
    </row>
    <row r="3558" spans="1:5">
      <c r="A3558" t="s">
        <v>36532</v>
      </c>
      <c r="B3558" t="s">
        <v>32659</v>
      </c>
      <c r="C3558">
        <f>0</f>
        <v>0</v>
      </c>
      <c r="D3558">
        <v>0.86229465544600004</v>
      </c>
      <c r="E3558">
        <v>3.3180000000000001</v>
      </c>
    </row>
    <row r="3559" spans="1:5">
      <c r="A3559" t="s">
        <v>36533</v>
      </c>
      <c r="B3559" t="s">
        <v>36534</v>
      </c>
      <c r="C3559">
        <v>0</v>
      </c>
      <c r="D3559">
        <v>0.99998946837900005</v>
      </c>
      <c r="E3559">
        <v>0</v>
      </c>
    </row>
    <row r="3560" spans="1:5">
      <c r="A3560" t="s">
        <v>36533</v>
      </c>
      <c r="B3560" t="s">
        <v>36535</v>
      </c>
      <c r="C3560">
        <v>0</v>
      </c>
      <c r="D3560">
        <v>0.99998946837900005</v>
      </c>
      <c r="E3560">
        <v>0</v>
      </c>
    </row>
    <row r="3561" spans="1:5">
      <c r="A3561" t="s">
        <v>36533</v>
      </c>
      <c r="B3561" t="s">
        <v>36536</v>
      </c>
      <c r="C3561">
        <v>0.65282598589999996</v>
      </c>
      <c r="D3561">
        <v>0.99998946837900005</v>
      </c>
      <c r="E3561">
        <v>0</v>
      </c>
    </row>
    <row r="3562" spans="1:5">
      <c r="A3562" t="s">
        <v>36533</v>
      </c>
      <c r="B3562" t="s">
        <v>36537</v>
      </c>
      <c r="C3562">
        <v>0</v>
      </c>
      <c r="D3562">
        <v>0.99998946837900005</v>
      </c>
      <c r="E3562">
        <v>0</v>
      </c>
    </row>
    <row r="3563" spans="1:5">
      <c r="A3563" t="s">
        <v>36533</v>
      </c>
      <c r="B3563" t="s">
        <v>36538</v>
      </c>
      <c r="C3563">
        <v>0</v>
      </c>
      <c r="D3563">
        <v>0.99998946837900005</v>
      </c>
      <c r="E3563">
        <v>0</v>
      </c>
    </row>
    <row r="3564" spans="1:5">
      <c r="A3564" t="s">
        <v>36533</v>
      </c>
      <c r="B3564" t="s">
        <v>36539</v>
      </c>
      <c r="C3564">
        <v>0</v>
      </c>
      <c r="D3564">
        <v>0.99998946837900005</v>
      </c>
      <c r="E3564">
        <v>0</v>
      </c>
    </row>
    <row r="3565" spans="1:5">
      <c r="A3565" t="s">
        <v>36533</v>
      </c>
      <c r="B3565" t="s">
        <v>36540</v>
      </c>
      <c r="C3565">
        <f>0.0397451607542</f>
        <v>3.9745160754200003E-2</v>
      </c>
      <c r="D3565">
        <v>0.99998946837900005</v>
      </c>
      <c r="E3565">
        <v>0</v>
      </c>
    </row>
    <row r="3566" spans="1:5">
      <c r="A3566" t="s">
        <v>36533</v>
      </c>
      <c r="B3566" t="s">
        <v>36541</v>
      </c>
      <c r="C3566">
        <f>0</f>
        <v>0</v>
      </c>
      <c r="D3566">
        <v>0.99998946837900005</v>
      </c>
      <c r="E3566">
        <v>0</v>
      </c>
    </row>
    <row r="3567" spans="1:5">
      <c r="A3567" t="s">
        <v>36533</v>
      </c>
      <c r="B3567" t="s">
        <v>36542</v>
      </c>
      <c r="C3567">
        <v>0</v>
      </c>
      <c r="D3567">
        <v>0.99998946837900005</v>
      </c>
      <c r="E3567">
        <v>0</v>
      </c>
    </row>
    <row r="3568" spans="1:5">
      <c r="A3568" t="s">
        <v>36533</v>
      </c>
      <c r="B3568" t="s">
        <v>36543</v>
      </c>
      <c r="C3568" s="1">
        <v>6.4135511926400002E-5</v>
      </c>
      <c r="D3568">
        <v>0.99998946837900005</v>
      </c>
      <c r="E3568">
        <v>0</v>
      </c>
    </row>
    <row r="3569" spans="1:5">
      <c r="A3569" t="s">
        <v>36533</v>
      </c>
      <c r="B3569" t="s">
        <v>36544</v>
      </c>
      <c r="C3569">
        <v>0.39844829064100001</v>
      </c>
      <c r="D3569">
        <v>0.99998946837900005</v>
      </c>
      <c r="E3569">
        <v>0</v>
      </c>
    </row>
    <row r="3570" spans="1:5">
      <c r="A3570" t="s">
        <v>36533</v>
      </c>
      <c r="B3570" t="s">
        <v>36545</v>
      </c>
      <c r="C3570">
        <v>0</v>
      </c>
      <c r="D3570">
        <v>0.99998946837900005</v>
      </c>
      <c r="E3570">
        <v>0</v>
      </c>
    </row>
    <row r="3571" spans="1:5">
      <c r="A3571" t="s">
        <v>36533</v>
      </c>
      <c r="B3571" t="s">
        <v>36546</v>
      </c>
      <c r="C3571">
        <v>0</v>
      </c>
      <c r="D3571">
        <v>0.99998946837900005</v>
      </c>
      <c r="E3571">
        <v>0</v>
      </c>
    </row>
    <row r="3572" spans="1:5">
      <c r="A3572" t="s">
        <v>36533</v>
      </c>
      <c r="B3572" t="s">
        <v>36547</v>
      </c>
      <c r="C3572">
        <f>0.117140896029</f>
        <v>0.11714089602900001</v>
      </c>
      <c r="D3572">
        <v>0.99998946837900005</v>
      </c>
      <c r="E3572">
        <v>0</v>
      </c>
    </row>
    <row r="3573" spans="1:5">
      <c r="A3573" t="s">
        <v>36533</v>
      </c>
      <c r="B3573" t="s">
        <v>36548</v>
      </c>
      <c r="C3573">
        <f>0</f>
        <v>0</v>
      </c>
      <c r="D3573">
        <v>0.99998946837900005</v>
      </c>
      <c r="E3573">
        <v>0</v>
      </c>
    </row>
    <row r="3574" spans="1:5">
      <c r="A3574" t="s">
        <v>36533</v>
      </c>
      <c r="B3574" t="s">
        <v>36549</v>
      </c>
      <c r="C3574">
        <v>2.1754667427E-2</v>
      </c>
      <c r="D3574">
        <v>0.99998946837900005</v>
      </c>
      <c r="E3574">
        <v>0</v>
      </c>
    </row>
    <row r="3575" spans="1:5">
      <c r="A3575" t="s">
        <v>36533</v>
      </c>
      <c r="B3575" t="s">
        <v>36550</v>
      </c>
      <c r="C3575">
        <f>0</f>
        <v>0</v>
      </c>
      <c r="D3575">
        <v>0.99998946837900005</v>
      </c>
      <c r="E3575">
        <v>0</v>
      </c>
    </row>
    <row r="3576" spans="1:5">
      <c r="A3576" t="s">
        <v>36533</v>
      </c>
      <c r="B3576" t="s">
        <v>36551</v>
      </c>
      <c r="C3576">
        <f>0.250044568171</f>
        <v>0.25004456817100001</v>
      </c>
      <c r="D3576">
        <v>0.99998946837900005</v>
      </c>
      <c r="E3576">
        <v>0</v>
      </c>
    </row>
    <row r="3577" spans="1:5">
      <c r="A3577" t="s">
        <v>36533</v>
      </c>
      <c r="B3577" t="s">
        <v>36552</v>
      </c>
      <c r="C3577">
        <f>0.0571977327567</f>
        <v>5.7197732756700002E-2</v>
      </c>
      <c r="D3577">
        <v>0.99998946837900005</v>
      </c>
      <c r="E3577">
        <v>0</v>
      </c>
    </row>
    <row r="3578" spans="1:5">
      <c r="A3578" t="s">
        <v>36533</v>
      </c>
      <c r="B3578" t="s">
        <v>36553</v>
      </c>
      <c r="C3578">
        <f>0</f>
        <v>0</v>
      </c>
      <c r="D3578">
        <v>0.99998946837900005</v>
      </c>
      <c r="E3578">
        <v>0</v>
      </c>
    </row>
    <row r="3579" spans="1:5">
      <c r="A3579" t="s">
        <v>36533</v>
      </c>
      <c r="B3579" t="s">
        <v>36554</v>
      </c>
      <c r="C3579">
        <f>0</f>
        <v>0</v>
      </c>
      <c r="D3579">
        <v>0.99998946837900005</v>
      </c>
      <c r="E3579">
        <v>0</v>
      </c>
    </row>
    <row r="3580" spans="1:5">
      <c r="A3580" t="s">
        <v>36533</v>
      </c>
      <c r="B3580" t="s">
        <v>36555</v>
      </c>
      <c r="C3580">
        <v>0</v>
      </c>
      <c r="D3580">
        <v>0.99998946837900005</v>
      </c>
      <c r="E3580">
        <v>0</v>
      </c>
    </row>
    <row r="3581" spans="1:5">
      <c r="A3581" t="s">
        <v>36533</v>
      </c>
      <c r="B3581" t="s">
        <v>36556</v>
      </c>
      <c r="C3581">
        <v>0</v>
      </c>
      <c r="D3581">
        <v>0.99998946837900005</v>
      </c>
      <c r="E3581">
        <v>0</v>
      </c>
    </row>
    <row r="3582" spans="1:5">
      <c r="A3582" t="s">
        <v>36533</v>
      </c>
      <c r="B3582" t="s">
        <v>36557</v>
      </c>
      <c r="C3582">
        <f>0</f>
        <v>0</v>
      </c>
      <c r="D3582">
        <v>0.99998946837900005</v>
      </c>
      <c r="E3582">
        <v>0</v>
      </c>
    </row>
    <row r="3583" spans="1:5">
      <c r="A3583" t="s">
        <v>36558</v>
      </c>
      <c r="B3583" t="s">
        <v>33995</v>
      </c>
      <c r="C3583">
        <v>0</v>
      </c>
      <c r="D3583" t="s">
        <v>106</v>
      </c>
      <c r="E3583">
        <v>24</v>
      </c>
    </row>
    <row r="3584" spans="1:5">
      <c r="A3584" t="s">
        <v>36558</v>
      </c>
      <c r="B3584" t="s">
        <v>34001</v>
      </c>
      <c r="C3584">
        <f>0</f>
        <v>0</v>
      </c>
      <c r="D3584" t="s">
        <v>106</v>
      </c>
      <c r="E3584">
        <v>24</v>
      </c>
    </row>
    <row r="3585" spans="1:5">
      <c r="A3585" t="s">
        <v>36558</v>
      </c>
      <c r="B3585" t="s">
        <v>33996</v>
      </c>
      <c r="C3585">
        <v>0</v>
      </c>
      <c r="D3585" t="s">
        <v>106</v>
      </c>
      <c r="E3585">
        <v>24</v>
      </c>
    </row>
    <row r="3586" spans="1:5">
      <c r="A3586" t="s">
        <v>36558</v>
      </c>
      <c r="B3586" t="s">
        <v>34000</v>
      </c>
      <c r="C3586">
        <v>0</v>
      </c>
      <c r="D3586" t="s">
        <v>106</v>
      </c>
      <c r="E3586">
        <v>24</v>
      </c>
    </row>
    <row r="3587" spans="1:5">
      <c r="A3587" t="s">
        <v>36558</v>
      </c>
      <c r="B3587" t="s">
        <v>33999</v>
      </c>
      <c r="C3587">
        <f>0</f>
        <v>0</v>
      </c>
      <c r="D3587" t="s">
        <v>106</v>
      </c>
      <c r="E3587">
        <v>24</v>
      </c>
    </row>
    <row r="3588" spans="1:5">
      <c r="A3588" t="s">
        <v>36558</v>
      </c>
      <c r="B3588" t="s">
        <v>33998</v>
      </c>
      <c r="C3588">
        <v>0</v>
      </c>
      <c r="D3588" t="s">
        <v>106</v>
      </c>
      <c r="E3588">
        <v>24</v>
      </c>
    </row>
    <row r="3589" spans="1:5">
      <c r="A3589" t="s">
        <v>36559</v>
      </c>
      <c r="B3589" t="s">
        <v>36560</v>
      </c>
      <c r="C3589">
        <v>0.47307510556799998</v>
      </c>
      <c r="D3589">
        <v>0.70348510556800004</v>
      </c>
      <c r="E3589">
        <v>4.3739999999999997</v>
      </c>
    </row>
    <row r="3590" spans="1:5">
      <c r="A3590" t="s">
        <v>36559</v>
      </c>
      <c r="B3590" t="s">
        <v>36561</v>
      </c>
      <c r="C3590">
        <v>0</v>
      </c>
      <c r="D3590">
        <v>0.70348510556800004</v>
      </c>
      <c r="E3590">
        <v>4.3739999999999997</v>
      </c>
    </row>
    <row r="3591" spans="1:5">
      <c r="A3591" t="s">
        <v>36559</v>
      </c>
      <c r="B3591" t="s">
        <v>36562</v>
      </c>
      <c r="C3591">
        <f>0</f>
        <v>0</v>
      </c>
      <c r="D3591">
        <v>0.70348510556800004</v>
      </c>
      <c r="E3591">
        <v>4.3739999999999997</v>
      </c>
    </row>
    <row r="3592" spans="1:5">
      <c r="A3592" t="s">
        <v>36563</v>
      </c>
      <c r="B3592" t="s">
        <v>36564</v>
      </c>
      <c r="C3592">
        <v>0</v>
      </c>
      <c r="D3592" t="s">
        <v>106</v>
      </c>
      <c r="E3592">
        <v>0.192</v>
      </c>
    </row>
    <row r="3593" spans="1:5">
      <c r="A3593" t="s">
        <v>36563</v>
      </c>
      <c r="B3593" t="s">
        <v>36565</v>
      </c>
      <c r="C3593">
        <f>0</f>
        <v>0</v>
      </c>
      <c r="D3593" t="s">
        <v>106</v>
      </c>
      <c r="E3593">
        <v>0.192</v>
      </c>
    </row>
    <row r="3594" spans="1:5">
      <c r="A3594" t="s">
        <v>36563</v>
      </c>
      <c r="B3594" t="s">
        <v>36566</v>
      </c>
      <c r="C3594">
        <v>0</v>
      </c>
      <c r="D3594" t="s">
        <v>106</v>
      </c>
      <c r="E3594">
        <v>0.192</v>
      </c>
    </row>
    <row r="3595" spans="1:5">
      <c r="A3595" t="s">
        <v>36563</v>
      </c>
      <c r="B3595" t="s">
        <v>36567</v>
      </c>
      <c r="C3595">
        <f>0</f>
        <v>0</v>
      </c>
      <c r="D3595" t="s">
        <v>106</v>
      </c>
      <c r="E3595">
        <v>0.192</v>
      </c>
    </row>
    <row r="3596" spans="1:5">
      <c r="A3596" t="s">
        <v>36568</v>
      </c>
      <c r="B3596" t="s">
        <v>36569</v>
      </c>
      <c r="C3596">
        <v>1.05575351643</v>
      </c>
      <c r="D3596">
        <v>0.98491202861100002</v>
      </c>
      <c r="E3596">
        <v>19.632000000000001</v>
      </c>
    </row>
    <row r="3597" spans="1:5">
      <c r="A3597" t="s">
        <v>36568</v>
      </c>
      <c r="B3597" t="s">
        <v>36570</v>
      </c>
      <c r="C3597">
        <v>2.0427652103999998</v>
      </c>
      <c r="D3597">
        <v>0.98491202861100002</v>
      </c>
      <c r="E3597">
        <v>19.632000000000001</v>
      </c>
    </row>
    <row r="3598" spans="1:5">
      <c r="A3598" t="s">
        <v>36568</v>
      </c>
      <c r="B3598" t="s">
        <v>36571</v>
      </c>
      <c r="C3598">
        <f>-1.03303377748</f>
        <v>-1.03303377748</v>
      </c>
      <c r="D3598">
        <v>0.98491202861100002</v>
      </c>
      <c r="E3598">
        <v>19.632000000000001</v>
      </c>
    </row>
    <row r="3599" spans="1:5">
      <c r="A3599" t="s">
        <v>36568</v>
      </c>
      <c r="B3599" t="s">
        <v>36572</v>
      </c>
      <c r="C3599">
        <v>0.67463508733499999</v>
      </c>
      <c r="D3599">
        <v>0.98491202861100002</v>
      </c>
      <c r="E3599">
        <v>19.632000000000001</v>
      </c>
    </row>
    <row r="3600" spans="1:5">
      <c r="A3600" t="s">
        <v>36568</v>
      </c>
      <c r="B3600" t="s">
        <v>36573</v>
      </c>
      <c r="C3600">
        <f>-1.97373448968</f>
        <v>-1.97373448968</v>
      </c>
      <c r="D3600">
        <v>0.98491202861100002</v>
      </c>
      <c r="E3600">
        <v>19.632000000000001</v>
      </c>
    </row>
    <row r="3601" spans="1:5">
      <c r="A3601" t="s">
        <v>36568</v>
      </c>
      <c r="B3601" t="s">
        <v>36574</v>
      </c>
      <c r="C3601">
        <f>-2.32737523808</f>
        <v>-2.3273752380800001</v>
      </c>
      <c r="D3601">
        <v>0.98491202861100002</v>
      </c>
      <c r="E3601">
        <v>19.632000000000001</v>
      </c>
    </row>
    <row r="3602" spans="1:5">
      <c r="A3602" t="s">
        <v>36575</v>
      </c>
      <c r="B3602" t="s">
        <v>293</v>
      </c>
      <c r="C3602">
        <f>0</f>
        <v>0</v>
      </c>
      <c r="D3602" t="s">
        <v>106</v>
      </c>
      <c r="E3602">
        <v>3.1379999999999999</v>
      </c>
    </row>
    <row r="3603" spans="1:5">
      <c r="A3603" t="s">
        <v>36575</v>
      </c>
      <c r="B3603" t="s">
        <v>297</v>
      </c>
      <c r="C3603">
        <f>0</f>
        <v>0</v>
      </c>
      <c r="D3603" t="s">
        <v>106</v>
      </c>
      <c r="E3603">
        <v>3.1379999999999999</v>
      </c>
    </row>
    <row r="3604" spans="1:5">
      <c r="A3604" t="s">
        <v>36575</v>
      </c>
      <c r="B3604" t="s">
        <v>298</v>
      </c>
      <c r="C3604">
        <f>0</f>
        <v>0</v>
      </c>
      <c r="D3604" t="s">
        <v>106</v>
      </c>
      <c r="E3604">
        <v>3.1379999999999999</v>
      </c>
    </row>
    <row r="3605" spans="1:5">
      <c r="A3605" t="s">
        <v>36575</v>
      </c>
      <c r="B3605" t="s">
        <v>302</v>
      </c>
      <c r="C3605">
        <f>0</f>
        <v>0</v>
      </c>
      <c r="D3605" t="s">
        <v>106</v>
      </c>
      <c r="E3605">
        <v>3.1379999999999999</v>
      </c>
    </row>
    <row r="3606" spans="1:5">
      <c r="A3606" t="s">
        <v>36575</v>
      </c>
      <c r="B3606" t="s">
        <v>296</v>
      </c>
      <c r="C3606">
        <f>0</f>
        <v>0</v>
      </c>
      <c r="D3606" t="s">
        <v>106</v>
      </c>
      <c r="E3606">
        <v>3.1379999999999999</v>
      </c>
    </row>
    <row r="3607" spans="1:5">
      <c r="A3607" t="s">
        <v>36576</v>
      </c>
      <c r="B3607" t="s">
        <v>1605</v>
      </c>
      <c r="C3607">
        <v>0.467585416867</v>
      </c>
      <c r="D3607">
        <v>0.98732956753099999</v>
      </c>
      <c r="E3607">
        <v>0</v>
      </c>
    </row>
    <row r="3608" spans="1:5">
      <c r="A3608" t="s">
        <v>36576</v>
      </c>
      <c r="B3608" t="s">
        <v>1601</v>
      </c>
      <c r="C3608">
        <v>0.57570050516100002</v>
      </c>
      <c r="D3608">
        <v>0.98732956753099999</v>
      </c>
      <c r="E3608">
        <v>0</v>
      </c>
    </row>
    <row r="3609" spans="1:5">
      <c r="A3609" t="s">
        <v>36576</v>
      </c>
      <c r="B3609" t="s">
        <v>1600</v>
      </c>
      <c r="C3609">
        <v>0.44582233825599998</v>
      </c>
      <c r="D3609">
        <v>0.98732956753099999</v>
      </c>
      <c r="E3609">
        <v>0</v>
      </c>
    </row>
    <row r="3610" spans="1:5">
      <c r="A3610" t="s">
        <v>36576</v>
      </c>
      <c r="B3610" t="s">
        <v>1603</v>
      </c>
      <c r="C3610">
        <f>0.321806205575</f>
        <v>0.321806205575</v>
      </c>
      <c r="D3610">
        <v>0.98732956753099999</v>
      </c>
      <c r="E3610">
        <v>0</v>
      </c>
    </row>
    <row r="3611" spans="1:5">
      <c r="A3611" t="s">
        <v>36576</v>
      </c>
      <c r="B3611" t="s">
        <v>1604</v>
      </c>
      <c r="C3611">
        <f>0.284720247332</f>
        <v>0.28472024733200002</v>
      </c>
      <c r="D3611">
        <v>0.98732956753099999</v>
      </c>
      <c r="E3611">
        <v>0</v>
      </c>
    </row>
    <row r="3612" spans="1:5">
      <c r="A3612" t="s">
        <v>36577</v>
      </c>
      <c r="B3612" t="s">
        <v>6135</v>
      </c>
      <c r="C3612">
        <v>0.53712539075700005</v>
      </c>
      <c r="D3612">
        <v>0.66466605273799995</v>
      </c>
      <c r="E3612">
        <v>1.512</v>
      </c>
    </row>
    <row r="3613" spans="1:5">
      <c r="A3613" t="s">
        <v>36577</v>
      </c>
      <c r="B3613" t="s">
        <v>6136</v>
      </c>
      <c r="C3613">
        <v>0.14463027624200001</v>
      </c>
      <c r="D3613">
        <v>0.66466605273799995</v>
      </c>
      <c r="E3613">
        <v>1.512</v>
      </c>
    </row>
    <row r="3614" spans="1:5">
      <c r="A3614" t="s">
        <v>36578</v>
      </c>
      <c r="B3614" t="s">
        <v>36579</v>
      </c>
      <c r="C3614">
        <f>0.385079231979</f>
        <v>0.38507923197900001</v>
      </c>
      <c r="D3614">
        <v>0.99999003174500001</v>
      </c>
      <c r="E3614">
        <v>1.224</v>
      </c>
    </row>
    <row r="3615" spans="1:5">
      <c r="A3615" t="s">
        <v>36578</v>
      </c>
      <c r="B3615" t="s">
        <v>36580</v>
      </c>
      <c r="C3615">
        <f>0.000295260716195</f>
        <v>2.95260716195E-4</v>
      </c>
      <c r="D3615">
        <v>0.99999003174500001</v>
      </c>
      <c r="E3615">
        <v>1.224</v>
      </c>
    </row>
    <row r="3616" spans="1:5">
      <c r="A3616" t="s">
        <v>36578</v>
      </c>
      <c r="B3616" t="s">
        <v>36581</v>
      </c>
      <c r="C3616">
        <f>0</f>
        <v>0</v>
      </c>
      <c r="D3616">
        <v>0.99999003174500001</v>
      </c>
      <c r="E3616">
        <v>1.224</v>
      </c>
    </row>
    <row r="3617" spans="1:5">
      <c r="A3617" t="s">
        <v>36578</v>
      </c>
      <c r="B3617" t="s">
        <v>36582</v>
      </c>
      <c r="C3617">
        <f>0.0580730325993</f>
        <v>5.8073032599300002E-2</v>
      </c>
      <c r="D3617">
        <v>0.99999003174500001</v>
      </c>
      <c r="E3617">
        <v>1.224</v>
      </c>
    </row>
    <row r="3618" spans="1:5">
      <c r="A3618" t="s">
        <v>36578</v>
      </c>
      <c r="B3618" t="s">
        <v>36583</v>
      </c>
      <c r="C3618">
        <f>0.358874507282</f>
        <v>0.35887450728199999</v>
      </c>
      <c r="D3618">
        <v>0.99999003174500001</v>
      </c>
      <c r="E3618">
        <v>1.224</v>
      </c>
    </row>
    <row r="3619" spans="1:5">
      <c r="A3619" t="s">
        <v>36578</v>
      </c>
      <c r="B3619" t="s">
        <v>36584</v>
      </c>
      <c r="C3619">
        <f>0</f>
        <v>0</v>
      </c>
      <c r="D3619">
        <v>0.99999003174500001</v>
      </c>
      <c r="E3619">
        <v>1.224</v>
      </c>
    </row>
    <row r="3620" spans="1:5">
      <c r="A3620" t="s">
        <v>36578</v>
      </c>
      <c r="B3620" t="s">
        <v>36585</v>
      </c>
      <c r="C3620">
        <f>0</f>
        <v>0</v>
      </c>
      <c r="D3620">
        <v>0.99999003174500001</v>
      </c>
      <c r="E3620">
        <v>1.224</v>
      </c>
    </row>
    <row r="3621" spans="1:5">
      <c r="A3621" t="s">
        <v>36578</v>
      </c>
      <c r="B3621" t="s">
        <v>36586</v>
      </c>
      <c r="C3621">
        <f>0.108883117473</f>
        <v>0.108883117473</v>
      </c>
      <c r="D3621">
        <v>0.99999003174500001</v>
      </c>
      <c r="E3621">
        <v>1.224</v>
      </c>
    </row>
    <row r="3622" spans="1:5">
      <c r="A3622" t="s">
        <v>36578</v>
      </c>
      <c r="B3622" t="s">
        <v>36587</v>
      </c>
      <c r="C3622">
        <f>0</f>
        <v>0</v>
      </c>
      <c r="D3622">
        <v>0.99999003174500001</v>
      </c>
      <c r="E3622">
        <v>1.224</v>
      </c>
    </row>
    <row r="3623" spans="1:5">
      <c r="A3623" t="s">
        <v>36578</v>
      </c>
      <c r="B3623" t="s">
        <v>36588</v>
      </c>
      <c r="C3623">
        <f>0</f>
        <v>0</v>
      </c>
      <c r="D3623">
        <v>0.99999003174500001</v>
      </c>
      <c r="E3623">
        <v>1.224</v>
      </c>
    </row>
    <row r="3624" spans="1:5">
      <c r="A3624" t="s">
        <v>36578</v>
      </c>
      <c r="B3624" t="s">
        <v>36589</v>
      </c>
      <c r="C3624">
        <f>0.261781682665</f>
        <v>0.26178168266500002</v>
      </c>
      <c r="D3624">
        <v>0.99999003174500001</v>
      </c>
      <c r="E3624">
        <v>1.224</v>
      </c>
    </row>
    <row r="3625" spans="1:5">
      <c r="A3625" t="s">
        <v>36578</v>
      </c>
      <c r="B3625" t="s">
        <v>36590</v>
      </c>
      <c r="C3625">
        <f>0.0280314802281</f>
        <v>2.8031480228100002E-2</v>
      </c>
      <c r="D3625">
        <v>0.99999003174500001</v>
      </c>
      <c r="E3625">
        <v>1.224</v>
      </c>
    </row>
    <row r="3626" spans="1:5">
      <c r="A3626" t="s">
        <v>36578</v>
      </c>
      <c r="B3626" t="s">
        <v>36591</v>
      </c>
      <c r="C3626">
        <f>0</f>
        <v>0</v>
      </c>
      <c r="D3626">
        <v>0.99999003174500001</v>
      </c>
      <c r="E3626">
        <v>1.224</v>
      </c>
    </row>
    <row r="3627" spans="1:5">
      <c r="A3627" t="s">
        <v>36578</v>
      </c>
      <c r="B3627" t="s">
        <v>36592</v>
      </c>
      <c r="C3627">
        <f>0</f>
        <v>0</v>
      </c>
      <c r="D3627">
        <v>0.99999003174500001</v>
      </c>
      <c r="E3627">
        <v>1.224</v>
      </c>
    </row>
    <row r="3628" spans="1:5">
      <c r="A3628" t="s">
        <v>36578</v>
      </c>
      <c r="B3628" t="s">
        <v>36593</v>
      </c>
      <c r="C3628">
        <f>0.0776215008404</f>
        <v>7.7621500840399996E-2</v>
      </c>
      <c r="D3628">
        <v>0.99999003174500001</v>
      </c>
      <c r="E3628">
        <v>1.224</v>
      </c>
    </row>
    <row r="3629" spans="1:5">
      <c r="A3629" t="s">
        <v>36578</v>
      </c>
      <c r="B3629" t="s">
        <v>36594</v>
      </c>
      <c r="C3629">
        <f>0</f>
        <v>0</v>
      </c>
      <c r="D3629">
        <v>0.99999003174500001</v>
      </c>
      <c r="E3629">
        <v>1.224</v>
      </c>
    </row>
    <row r="3630" spans="1:5">
      <c r="A3630" t="s">
        <v>36595</v>
      </c>
      <c r="B3630" t="s">
        <v>19262</v>
      </c>
      <c r="C3630">
        <v>0</v>
      </c>
      <c r="D3630" t="s">
        <v>106</v>
      </c>
      <c r="E3630">
        <v>0.17399999999999999</v>
      </c>
    </row>
    <row r="3631" spans="1:5">
      <c r="A3631" t="s">
        <v>36595</v>
      </c>
      <c r="B3631" t="s">
        <v>19268</v>
      </c>
      <c r="C3631">
        <v>0</v>
      </c>
      <c r="D3631" t="s">
        <v>106</v>
      </c>
      <c r="E3631">
        <v>0.17399999999999999</v>
      </c>
    </row>
    <row r="3632" spans="1:5">
      <c r="A3632" t="s">
        <v>36595</v>
      </c>
      <c r="B3632" t="s">
        <v>19269</v>
      </c>
      <c r="C3632">
        <v>0</v>
      </c>
      <c r="D3632" t="s">
        <v>106</v>
      </c>
      <c r="E3632">
        <v>0.17399999999999999</v>
      </c>
    </row>
    <row r="3633" spans="1:5">
      <c r="A3633" t="s">
        <v>36595</v>
      </c>
      <c r="B3633" t="s">
        <v>19270</v>
      </c>
      <c r="C3633">
        <v>0</v>
      </c>
      <c r="D3633" t="s">
        <v>106</v>
      </c>
      <c r="E3633">
        <v>0.17399999999999999</v>
      </c>
    </row>
    <row r="3634" spans="1:5">
      <c r="A3634" t="s">
        <v>36595</v>
      </c>
      <c r="B3634" t="s">
        <v>19267</v>
      </c>
      <c r="C3634">
        <v>0</v>
      </c>
      <c r="D3634" t="s">
        <v>106</v>
      </c>
      <c r="E3634">
        <v>0.17399999999999999</v>
      </c>
    </row>
    <row r="3635" spans="1:5">
      <c r="A3635" t="s">
        <v>36595</v>
      </c>
      <c r="B3635" t="s">
        <v>19263</v>
      </c>
      <c r="C3635">
        <f>0</f>
        <v>0</v>
      </c>
      <c r="D3635" t="s">
        <v>106</v>
      </c>
      <c r="E3635">
        <v>0.17399999999999999</v>
      </c>
    </row>
    <row r="3636" spans="1:5">
      <c r="A3636" t="s">
        <v>36595</v>
      </c>
      <c r="B3636" t="s">
        <v>19265</v>
      </c>
      <c r="C3636">
        <v>0</v>
      </c>
      <c r="D3636" t="s">
        <v>106</v>
      </c>
      <c r="E3636">
        <v>0.17399999999999999</v>
      </c>
    </row>
    <row r="3637" spans="1:5">
      <c r="A3637" t="s">
        <v>36596</v>
      </c>
      <c r="B3637" t="s">
        <v>32491</v>
      </c>
      <c r="C3637">
        <v>0.105759178772</v>
      </c>
      <c r="D3637">
        <v>0.99708759164000005</v>
      </c>
      <c r="E3637">
        <v>3.2280000000000002</v>
      </c>
    </row>
    <row r="3638" spans="1:5">
      <c r="A3638" t="s">
        <v>36596</v>
      </c>
      <c r="B3638" t="s">
        <v>32506</v>
      </c>
      <c r="C3638">
        <v>1.4489286506200001</v>
      </c>
      <c r="D3638">
        <v>0.99708759164000005</v>
      </c>
      <c r="E3638">
        <v>3.2280000000000002</v>
      </c>
    </row>
    <row r="3639" spans="1:5">
      <c r="A3639" t="s">
        <v>36596</v>
      </c>
      <c r="B3639" t="s">
        <v>32499</v>
      </c>
      <c r="C3639">
        <v>0.391633579289</v>
      </c>
      <c r="D3639">
        <v>0.99708759164000005</v>
      </c>
      <c r="E3639">
        <v>3.2280000000000002</v>
      </c>
    </row>
    <row r="3640" spans="1:5">
      <c r="A3640" t="s">
        <v>36596</v>
      </c>
      <c r="B3640" t="s">
        <v>32503</v>
      </c>
      <c r="C3640">
        <f>0.240973684417</f>
        <v>0.24097368441700001</v>
      </c>
      <c r="D3640">
        <v>0.99708759164000005</v>
      </c>
      <c r="E3640">
        <v>3.2280000000000002</v>
      </c>
    </row>
    <row r="3641" spans="1:5">
      <c r="A3641" t="s">
        <v>36596</v>
      </c>
      <c r="B3641" t="s">
        <v>32504</v>
      </c>
      <c r="C3641">
        <f>0.480992622724</f>
        <v>0.48099262272400001</v>
      </c>
      <c r="D3641">
        <v>0.99708759164000005</v>
      </c>
      <c r="E3641">
        <v>3.2280000000000002</v>
      </c>
    </row>
    <row r="3642" spans="1:5">
      <c r="A3642" t="s">
        <v>36596</v>
      </c>
      <c r="B3642" t="s">
        <v>32502</v>
      </c>
      <c r="C3642">
        <f>0.664205107862</f>
        <v>0.66420510786200004</v>
      </c>
      <c r="D3642">
        <v>0.99708759164000005</v>
      </c>
      <c r="E3642">
        <v>3.2280000000000002</v>
      </c>
    </row>
    <row r="3643" spans="1:5">
      <c r="A3643" t="s">
        <v>36597</v>
      </c>
      <c r="B3643" t="s">
        <v>36598</v>
      </c>
      <c r="C3643">
        <v>0</v>
      </c>
      <c r="D3643" t="s">
        <v>106</v>
      </c>
      <c r="E3643">
        <v>1.3380000000000001</v>
      </c>
    </row>
    <row r="3644" spans="1:5">
      <c r="A3644" t="s">
        <v>36597</v>
      </c>
      <c r="B3644" t="s">
        <v>36599</v>
      </c>
      <c r="C3644">
        <f>0</f>
        <v>0</v>
      </c>
      <c r="D3644" t="s">
        <v>106</v>
      </c>
      <c r="E3644">
        <v>1.3380000000000001</v>
      </c>
    </row>
    <row r="3645" spans="1:5">
      <c r="A3645" t="s">
        <v>36597</v>
      </c>
      <c r="B3645" t="s">
        <v>36600</v>
      </c>
      <c r="C3645">
        <v>0</v>
      </c>
      <c r="D3645" t="s">
        <v>106</v>
      </c>
      <c r="E3645">
        <v>1.3380000000000001</v>
      </c>
    </row>
    <row r="3646" spans="1:5">
      <c r="A3646" t="s">
        <v>36597</v>
      </c>
      <c r="B3646" t="s">
        <v>36601</v>
      </c>
      <c r="C3646">
        <f>0</f>
        <v>0</v>
      </c>
      <c r="D3646" t="s">
        <v>106</v>
      </c>
      <c r="E3646">
        <v>1.3380000000000001</v>
      </c>
    </row>
    <row r="3647" spans="1:5">
      <c r="A3647" t="s">
        <v>36597</v>
      </c>
      <c r="B3647" t="s">
        <v>36602</v>
      </c>
      <c r="C3647">
        <v>0</v>
      </c>
      <c r="D3647" t="s">
        <v>106</v>
      </c>
      <c r="E3647">
        <v>1.3380000000000001</v>
      </c>
    </row>
    <row r="3648" spans="1:5">
      <c r="A3648" t="s">
        <v>36597</v>
      </c>
      <c r="B3648" t="s">
        <v>36603</v>
      </c>
      <c r="C3648">
        <f>0</f>
        <v>0</v>
      </c>
      <c r="D3648" t="s">
        <v>106</v>
      </c>
      <c r="E3648">
        <v>1.3380000000000001</v>
      </c>
    </row>
    <row r="3649" spans="1:5">
      <c r="A3649" t="s">
        <v>36597</v>
      </c>
      <c r="B3649" t="s">
        <v>36604</v>
      </c>
      <c r="C3649">
        <f>0</f>
        <v>0</v>
      </c>
      <c r="D3649" t="s">
        <v>106</v>
      </c>
      <c r="E3649">
        <v>1.3380000000000001</v>
      </c>
    </row>
    <row r="3650" spans="1:5">
      <c r="A3650" t="s">
        <v>36605</v>
      </c>
      <c r="B3650" t="s">
        <v>36606</v>
      </c>
      <c r="C3650">
        <v>0.42151258973200001</v>
      </c>
      <c r="D3650">
        <v>0.992591656612</v>
      </c>
      <c r="E3650">
        <v>24</v>
      </c>
    </row>
    <row r="3651" spans="1:5">
      <c r="A3651" t="s">
        <v>36605</v>
      </c>
      <c r="B3651" t="s">
        <v>36607</v>
      </c>
      <c r="C3651">
        <f>0.449975967881</f>
        <v>0.44997596788100003</v>
      </c>
      <c r="D3651">
        <v>0.992591656612</v>
      </c>
      <c r="E3651">
        <v>24</v>
      </c>
    </row>
    <row r="3652" spans="1:5">
      <c r="A3652" t="s">
        <v>36605</v>
      </c>
      <c r="B3652" t="s">
        <v>36608</v>
      </c>
      <c r="C3652">
        <v>0.873993210375</v>
      </c>
      <c r="D3652">
        <v>0.992591656612</v>
      </c>
      <c r="E3652">
        <v>24</v>
      </c>
    </row>
    <row r="3653" spans="1:5">
      <c r="A3653" t="s">
        <v>36605</v>
      </c>
      <c r="B3653" t="s">
        <v>36609</v>
      </c>
      <c r="C3653">
        <f>0.978643981397</f>
        <v>0.97864398139700004</v>
      </c>
      <c r="D3653">
        <v>0.992591656612</v>
      </c>
      <c r="E3653">
        <v>24</v>
      </c>
    </row>
    <row r="3654" spans="1:5">
      <c r="A3654" t="s">
        <v>36605</v>
      </c>
      <c r="B3654" t="s">
        <v>36610</v>
      </c>
      <c r="C3654">
        <f>0.416065336943</f>
        <v>0.41606533694300002</v>
      </c>
      <c r="D3654">
        <v>0.992591656612</v>
      </c>
      <c r="E3654">
        <v>24</v>
      </c>
    </row>
    <row r="3655" spans="1:5">
      <c r="A3655" t="s">
        <v>36611</v>
      </c>
      <c r="B3655" t="s">
        <v>36612</v>
      </c>
      <c r="C3655">
        <v>0.178197016155</v>
      </c>
      <c r="D3655">
        <v>0.95647503428199998</v>
      </c>
      <c r="E3655">
        <v>24</v>
      </c>
    </row>
    <row r="3656" spans="1:5">
      <c r="A3656" t="s">
        <v>36611</v>
      </c>
      <c r="B3656" t="s">
        <v>36613</v>
      </c>
      <c r="C3656">
        <f>0.323133348578</f>
        <v>0.32313334857800002</v>
      </c>
      <c r="D3656">
        <v>0.95647503428199998</v>
      </c>
      <c r="E3656">
        <v>24</v>
      </c>
    </row>
    <row r="3657" spans="1:5">
      <c r="A3657" t="s">
        <v>36611</v>
      </c>
      <c r="B3657" t="s">
        <v>36614</v>
      </c>
      <c r="C3657">
        <v>0.52193565591000002</v>
      </c>
      <c r="D3657">
        <v>0.95647503428199998</v>
      </c>
      <c r="E3657">
        <v>24</v>
      </c>
    </row>
    <row r="3658" spans="1:5">
      <c r="A3658" t="s">
        <v>36611</v>
      </c>
      <c r="B3658" t="s">
        <v>36615</v>
      </c>
      <c r="C3658">
        <f>0</f>
        <v>0</v>
      </c>
      <c r="D3658">
        <v>0.95647503428199998</v>
      </c>
      <c r="E3658">
        <v>24</v>
      </c>
    </row>
    <row r="3659" spans="1:5">
      <c r="A3659" t="s">
        <v>36611</v>
      </c>
      <c r="B3659" t="s">
        <v>36616</v>
      </c>
      <c r="C3659">
        <f>0.139793485809</f>
        <v>0.139793485809</v>
      </c>
      <c r="D3659">
        <v>0.95647503428199998</v>
      </c>
      <c r="E3659">
        <v>24</v>
      </c>
    </row>
    <row r="3660" spans="1:5">
      <c r="A3660" t="s">
        <v>36611</v>
      </c>
      <c r="B3660" t="s">
        <v>36617</v>
      </c>
      <c r="C3660">
        <v>0</v>
      </c>
      <c r="D3660">
        <v>0.95647503428199998</v>
      </c>
      <c r="E3660">
        <v>24</v>
      </c>
    </row>
    <row r="3661" spans="1:5">
      <c r="A3661" t="s">
        <v>36611</v>
      </c>
      <c r="B3661" t="s">
        <v>36618</v>
      </c>
      <c r="C3661">
        <f>0.0988682262668</f>
        <v>9.8868226266800002E-2</v>
      </c>
      <c r="D3661">
        <v>0.95647503428199998</v>
      </c>
      <c r="E3661">
        <v>24</v>
      </c>
    </row>
    <row r="3662" spans="1:5">
      <c r="A3662" t="s">
        <v>36619</v>
      </c>
      <c r="B3662" t="s">
        <v>31621</v>
      </c>
      <c r="C3662">
        <v>3.4631905049200003E-2</v>
      </c>
      <c r="D3662">
        <v>0.99992954900200004</v>
      </c>
      <c r="E3662">
        <v>0.192</v>
      </c>
    </row>
    <row r="3663" spans="1:5">
      <c r="A3663" t="s">
        <v>36619</v>
      </c>
      <c r="B3663" t="s">
        <v>31628</v>
      </c>
      <c r="C3663">
        <f>0.0578823656918</f>
        <v>5.7882365691799997E-2</v>
      </c>
      <c r="D3663">
        <v>0.99992954900200004</v>
      </c>
      <c r="E3663">
        <v>0.192</v>
      </c>
    </row>
    <row r="3664" spans="1:5">
      <c r="A3664" t="s">
        <v>36619</v>
      </c>
      <c r="B3664" t="s">
        <v>31639</v>
      </c>
      <c r="C3664">
        <v>0.13506920949199999</v>
      </c>
      <c r="D3664">
        <v>0.99992954900200004</v>
      </c>
      <c r="E3664">
        <v>0.192</v>
      </c>
    </row>
    <row r="3665" spans="1:5">
      <c r="A3665" t="s">
        <v>36619</v>
      </c>
      <c r="B3665" t="s">
        <v>31624</v>
      </c>
      <c r="C3665">
        <f>0.235404308413</f>
        <v>0.235404308413</v>
      </c>
      <c r="D3665">
        <v>0.99992954900200004</v>
      </c>
      <c r="E3665">
        <v>0.192</v>
      </c>
    </row>
    <row r="3666" spans="1:5">
      <c r="A3666" t="s">
        <v>36619</v>
      </c>
      <c r="B3666" t="s">
        <v>31635</v>
      </c>
      <c r="C3666">
        <v>5.9709997243000003E-2</v>
      </c>
      <c r="D3666">
        <v>0.99992954900200004</v>
      </c>
      <c r="E3666">
        <v>0.192</v>
      </c>
    </row>
    <row r="3667" spans="1:5">
      <c r="A3667" t="s">
        <v>36619</v>
      </c>
      <c r="B3667" t="s">
        <v>31631</v>
      </c>
      <c r="C3667">
        <f>0.170353720909</f>
        <v>0.170353720909</v>
      </c>
      <c r="D3667">
        <v>0.99992954900200004</v>
      </c>
      <c r="E3667">
        <v>0.192</v>
      </c>
    </row>
    <row r="3668" spans="1:5">
      <c r="A3668" t="s">
        <v>36619</v>
      </c>
      <c r="B3668" t="s">
        <v>31637</v>
      </c>
      <c r="C3668">
        <v>0</v>
      </c>
      <c r="D3668">
        <v>0.99992954900200004</v>
      </c>
      <c r="E3668">
        <v>0.192</v>
      </c>
    </row>
    <row r="3669" spans="1:5">
      <c r="A3669" t="s">
        <v>36619</v>
      </c>
      <c r="B3669" t="s">
        <v>31640</v>
      </c>
      <c r="C3669">
        <v>0.74229541876100003</v>
      </c>
      <c r="D3669">
        <v>0.99992954900200004</v>
      </c>
      <c r="E3669">
        <v>0.192</v>
      </c>
    </row>
    <row r="3670" spans="1:5">
      <c r="A3670" t="s">
        <v>36619</v>
      </c>
      <c r="B3670" t="s">
        <v>31633</v>
      </c>
      <c r="C3670">
        <f>0.403599222069</f>
        <v>0.40359922206900001</v>
      </c>
      <c r="D3670">
        <v>0.99992954900200004</v>
      </c>
      <c r="E3670">
        <v>0.192</v>
      </c>
    </row>
    <row r="3671" spans="1:5">
      <c r="A3671" t="s">
        <v>36619</v>
      </c>
      <c r="B3671" t="s">
        <v>31638</v>
      </c>
      <c r="C3671">
        <f>0.112807788815</f>
        <v>0.112807788815</v>
      </c>
      <c r="D3671">
        <v>0.99992954900200004</v>
      </c>
      <c r="E3671">
        <v>0.192</v>
      </c>
    </row>
    <row r="3672" spans="1:5">
      <c r="A3672" t="s">
        <v>36619</v>
      </c>
      <c r="B3672" t="s">
        <v>31636</v>
      </c>
      <c r="C3672">
        <v>0.59776641961800003</v>
      </c>
      <c r="D3672">
        <v>0.99992954900200004</v>
      </c>
      <c r="E3672">
        <v>0.192</v>
      </c>
    </row>
    <row r="3673" spans="1:5">
      <c r="A3673" t="s">
        <v>36620</v>
      </c>
      <c r="B3673" t="s">
        <v>32259</v>
      </c>
      <c r="C3673">
        <v>0</v>
      </c>
      <c r="D3673" t="s">
        <v>106</v>
      </c>
      <c r="E3673">
        <v>23.754000000000001</v>
      </c>
    </row>
    <row r="3674" spans="1:5">
      <c r="A3674" t="s">
        <v>36620</v>
      </c>
      <c r="B3674" t="s">
        <v>32260</v>
      </c>
      <c r="C3674">
        <f>0</f>
        <v>0</v>
      </c>
      <c r="D3674" t="s">
        <v>106</v>
      </c>
      <c r="E3674">
        <v>23.754000000000001</v>
      </c>
    </row>
    <row r="3675" spans="1:5">
      <c r="A3675" t="s">
        <v>36620</v>
      </c>
      <c r="B3675" t="s">
        <v>32262</v>
      </c>
      <c r="C3675">
        <v>0</v>
      </c>
      <c r="D3675" t="s">
        <v>106</v>
      </c>
      <c r="E3675">
        <v>23.754000000000001</v>
      </c>
    </row>
    <row r="3676" spans="1:5">
      <c r="A3676" t="s">
        <v>36620</v>
      </c>
      <c r="B3676" t="s">
        <v>32263</v>
      </c>
      <c r="C3676">
        <v>0</v>
      </c>
      <c r="D3676" t="s">
        <v>106</v>
      </c>
      <c r="E3676">
        <v>23.754000000000001</v>
      </c>
    </row>
    <row r="3677" spans="1:5">
      <c r="A3677" t="s">
        <v>36620</v>
      </c>
      <c r="B3677" t="s">
        <v>32258</v>
      </c>
      <c r="C3677">
        <v>0</v>
      </c>
      <c r="D3677" t="s">
        <v>106</v>
      </c>
      <c r="E3677">
        <v>23.754000000000001</v>
      </c>
    </row>
    <row r="3678" spans="1:5">
      <c r="A3678" t="s">
        <v>36621</v>
      </c>
      <c r="B3678" t="s">
        <v>29964</v>
      </c>
      <c r="C3678">
        <v>0</v>
      </c>
      <c r="D3678" t="s">
        <v>106</v>
      </c>
      <c r="E3678">
        <v>0.13200000000000001</v>
      </c>
    </row>
    <row r="3679" spans="1:5">
      <c r="A3679" t="s">
        <v>36621</v>
      </c>
      <c r="B3679" t="s">
        <v>29975</v>
      </c>
      <c r="C3679">
        <v>0</v>
      </c>
      <c r="D3679" t="s">
        <v>106</v>
      </c>
      <c r="E3679">
        <v>0.13200000000000001</v>
      </c>
    </row>
    <row r="3680" spans="1:5">
      <c r="A3680" t="s">
        <v>36621</v>
      </c>
      <c r="B3680" t="s">
        <v>29970</v>
      </c>
      <c r="C3680">
        <f>0</f>
        <v>0</v>
      </c>
      <c r="D3680" t="s">
        <v>106</v>
      </c>
      <c r="E3680">
        <v>0.13200000000000001</v>
      </c>
    </row>
    <row r="3681" spans="1:5">
      <c r="A3681" t="s">
        <v>36621</v>
      </c>
      <c r="B3681" t="s">
        <v>29968</v>
      </c>
      <c r="C3681">
        <v>0</v>
      </c>
      <c r="D3681" t="s">
        <v>106</v>
      </c>
      <c r="E3681">
        <v>0.13200000000000001</v>
      </c>
    </row>
    <row r="3682" spans="1:5">
      <c r="A3682" t="s">
        <v>36621</v>
      </c>
      <c r="B3682" t="s">
        <v>29969</v>
      </c>
      <c r="C3682">
        <f>0</f>
        <v>0</v>
      </c>
      <c r="D3682" t="s">
        <v>106</v>
      </c>
      <c r="E3682">
        <v>0.13200000000000001</v>
      </c>
    </row>
    <row r="3683" spans="1:5">
      <c r="A3683" t="s">
        <v>36621</v>
      </c>
      <c r="B3683" t="s">
        <v>29977</v>
      </c>
      <c r="C3683">
        <v>0</v>
      </c>
      <c r="D3683" t="s">
        <v>106</v>
      </c>
      <c r="E3683">
        <v>0.13200000000000001</v>
      </c>
    </row>
    <row r="3684" spans="1:5">
      <c r="A3684" t="s">
        <v>36621</v>
      </c>
      <c r="B3684" t="s">
        <v>29967</v>
      </c>
      <c r="C3684">
        <f>0</f>
        <v>0</v>
      </c>
      <c r="D3684" t="s">
        <v>106</v>
      </c>
      <c r="E3684">
        <v>0.13200000000000001</v>
      </c>
    </row>
    <row r="3685" spans="1:5">
      <c r="A3685" t="s">
        <v>36621</v>
      </c>
      <c r="B3685" t="s">
        <v>29972</v>
      </c>
      <c r="C3685">
        <f>0</f>
        <v>0</v>
      </c>
      <c r="D3685" t="s">
        <v>106</v>
      </c>
      <c r="E3685">
        <v>0.13200000000000001</v>
      </c>
    </row>
    <row r="3686" spans="1:5">
      <c r="A3686" t="s">
        <v>36622</v>
      </c>
      <c r="B3686" t="s">
        <v>9565</v>
      </c>
      <c r="C3686">
        <f>0</f>
        <v>0</v>
      </c>
      <c r="D3686" t="s">
        <v>106</v>
      </c>
      <c r="E3686">
        <v>18.984000000000002</v>
      </c>
    </row>
    <row r="3687" spans="1:5">
      <c r="A3687" t="s">
        <v>36622</v>
      </c>
      <c r="B3687" t="s">
        <v>9566</v>
      </c>
      <c r="C3687">
        <v>0</v>
      </c>
      <c r="D3687" t="s">
        <v>106</v>
      </c>
      <c r="E3687">
        <v>18.984000000000002</v>
      </c>
    </row>
    <row r="3688" spans="1:5">
      <c r="A3688" t="s">
        <v>36623</v>
      </c>
      <c r="B3688" t="s">
        <v>10068</v>
      </c>
      <c r="C3688">
        <f>0.587186915614</f>
        <v>0.58718691561400005</v>
      </c>
      <c r="D3688">
        <v>0.99823898646200004</v>
      </c>
      <c r="E3688">
        <v>24</v>
      </c>
    </row>
    <row r="3689" spans="1:5">
      <c r="A3689" t="s">
        <v>36623</v>
      </c>
      <c r="B3689" t="s">
        <v>10079</v>
      </c>
      <c r="C3689">
        <f>0.439582776633</f>
        <v>0.43958277663299999</v>
      </c>
      <c r="D3689">
        <v>0.99823898646200004</v>
      </c>
      <c r="E3689">
        <v>24</v>
      </c>
    </row>
    <row r="3690" spans="1:5">
      <c r="A3690" t="s">
        <v>36623</v>
      </c>
      <c r="B3690" t="s">
        <v>10081</v>
      </c>
      <c r="C3690">
        <v>8.63692787293E-3</v>
      </c>
      <c r="D3690">
        <v>0.99823898646200004</v>
      </c>
      <c r="E3690">
        <v>24</v>
      </c>
    </row>
    <row r="3691" spans="1:5">
      <c r="A3691" t="s">
        <v>36623</v>
      </c>
      <c r="B3691" t="s">
        <v>10074</v>
      </c>
      <c r="C3691">
        <v>0.56659915869699995</v>
      </c>
      <c r="D3691">
        <v>0.99823898646200004</v>
      </c>
      <c r="E3691">
        <v>24</v>
      </c>
    </row>
    <row r="3692" spans="1:5">
      <c r="A3692" t="s">
        <v>36623</v>
      </c>
      <c r="B3692" t="s">
        <v>10071</v>
      </c>
      <c r="C3692">
        <v>0.99494135105299997</v>
      </c>
      <c r="D3692">
        <v>0.99823898646200004</v>
      </c>
      <c r="E3692">
        <v>24</v>
      </c>
    </row>
    <row r="3693" spans="1:5">
      <c r="A3693" t="s">
        <v>36623</v>
      </c>
      <c r="B3693" t="s">
        <v>10072</v>
      </c>
      <c r="C3693">
        <f>-1.62200537001</f>
        <v>-1.6220053700099999</v>
      </c>
      <c r="D3693">
        <v>0.99823898646200004</v>
      </c>
      <c r="E3693">
        <v>24</v>
      </c>
    </row>
    <row r="3694" spans="1:5">
      <c r="A3694" t="s">
        <v>36624</v>
      </c>
      <c r="B3694" t="s">
        <v>36625</v>
      </c>
      <c r="C3694">
        <v>0</v>
      </c>
      <c r="D3694" t="s">
        <v>106</v>
      </c>
      <c r="E3694">
        <v>0.34799999999999998</v>
      </c>
    </row>
    <row r="3695" spans="1:5">
      <c r="A3695" t="s">
        <v>36624</v>
      </c>
      <c r="B3695" t="s">
        <v>36626</v>
      </c>
      <c r="C3695">
        <f>0</f>
        <v>0</v>
      </c>
      <c r="D3695" t="s">
        <v>106</v>
      </c>
      <c r="E3695">
        <v>0.34799999999999998</v>
      </c>
    </row>
    <row r="3696" spans="1:5">
      <c r="A3696" t="s">
        <v>36624</v>
      </c>
      <c r="B3696" t="s">
        <v>36627</v>
      </c>
      <c r="C3696">
        <f>0</f>
        <v>0</v>
      </c>
      <c r="D3696" t="s">
        <v>106</v>
      </c>
      <c r="E3696">
        <v>0.34799999999999998</v>
      </c>
    </row>
    <row r="3697" spans="1:5">
      <c r="A3697" t="s">
        <v>36624</v>
      </c>
      <c r="B3697" t="s">
        <v>36628</v>
      </c>
      <c r="C3697">
        <v>0</v>
      </c>
      <c r="D3697" t="s">
        <v>106</v>
      </c>
      <c r="E3697">
        <v>0.34799999999999998</v>
      </c>
    </row>
    <row r="3698" spans="1:5">
      <c r="A3698" t="s">
        <v>36629</v>
      </c>
      <c r="B3698" t="s">
        <v>9837</v>
      </c>
      <c r="C3698">
        <v>0.640568079372</v>
      </c>
      <c r="D3698">
        <v>0.83417807937199995</v>
      </c>
      <c r="E3698">
        <v>0.91800000000000004</v>
      </c>
    </row>
    <row r="3699" spans="1:5">
      <c r="A3699" t="s">
        <v>36629</v>
      </c>
      <c r="B3699" t="s">
        <v>9838</v>
      </c>
      <c r="C3699">
        <v>0</v>
      </c>
      <c r="D3699">
        <v>0.83417807937199995</v>
      </c>
      <c r="E3699">
        <v>0.91800000000000004</v>
      </c>
    </row>
    <row r="3700" spans="1:5">
      <c r="A3700" t="s">
        <v>36629</v>
      </c>
      <c r="B3700" t="s">
        <v>9835</v>
      </c>
      <c r="C3700">
        <v>0</v>
      </c>
      <c r="D3700">
        <v>0.83417807937199995</v>
      </c>
      <c r="E3700">
        <v>0.91800000000000004</v>
      </c>
    </row>
    <row r="3701" spans="1:5">
      <c r="A3701" t="s">
        <v>36630</v>
      </c>
      <c r="B3701" t="s">
        <v>36631</v>
      </c>
      <c r="C3701">
        <f>0</f>
        <v>0</v>
      </c>
      <c r="D3701" t="s">
        <v>106</v>
      </c>
      <c r="E3701">
        <v>24</v>
      </c>
    </row>
    <row r="3702" spans="1:5">
      <c r="A3702" t="s">
        <v>36630</v>
      </c>
      <c r="B3702" t="s">
        <v>36632</v>
      </c>
      <c r="C3702">
        <v>0</v>
      </c>
      <c r="D3702" t="s">
        <v>106</v>
      </c>
      <c r="E3702">
        <v>24</v>
      </c>
    </row>
    <row r="3703" spans="1:5">
      <c r="A3703" t="s">
        <v>36630</v>
      </c>
      <c r="B3703" t="s">
        <v>36633</v>
      </c>
      <c r="C3703">
        <v>0</v>
      </c>
      <c r="D3703" t="s">
        <v>106</v>
      </c>
      <c r="E3703">
        <v>24</v>
      </c>
    </row>
    <row r="3704" spans="1:5">
      <c r="A3704" t="s">
        <v>36634</v>
      </c>
      <c r="B3704" t="s">
        <v>17750</v>
      </c>
      <c r="C3704">
        <f>0</f>
        <v>0</v>
      </c>
      <c r="D3704" t="s">
        <v>106</v>
      </c>
      <c r="E3704">
        <v>10.715999999999999</v>
      </c>
    </row>
    <row r="3705" spans="1:5">
      <c r="A3705" t="s">
        <v>36634</v>
      </c>
      <c r="B3705" t="s">
        <v>17759</v>
      </c>
      <c r="C3705">
        <f>0</f>
        <v>0</v>
      </c>
      <c r="D3705" t="s">
        <v>106</v>
      </c>
      <c r="E3705">
        <v>10.715999999999999</v>
      </c>
    </row>
    <row r="3706" spans="1:5">
      <c r="A3706" t="s">
        <v>36634</v>
      </c>
      <c r="B3706" t="s">
        <v>17751</v>
      </c>
      <c r="C3706">
        <f>0</f>
        <v>0</v>
      </c>
      <c r="D3706" t="s">
        <v>106</v>
      </c>
      <c r="E3706">
        <v>10.715999999999999</v>
      </c>
    </row>
    <row r="3707" spans="1:5">
      <c r="A3707" t="s">
        <v>36634</v>
      </c>
      <c r="B3707" t="s">
        <v>17752</v>
      </c>
      <c r="C3707">
        <f>0</f>
        <v>0</v>
      </c>
      <c r="D3707" t="s">
        <v>106</v>
      </c>
      <c r="E3707">
        <v>10.715999999999999</v>
      </c>
    </row>
    <row r="3708" spans="1:5">
      <c r="A3708" t="s">
        <v>36634</v>
      </c>
      <c r="B3708" t="s">
        <v>17754</v>
      </c>
      <c r="C3708">
        <f>0</f>
        <v>0</v>
      </c>
      <c r="D3708" t="s">
        <v>106</v>
      </c>
      <c r="E3708">
        <v>10.715999999999999</v>
      </c>
    </row>
    <row r="3709" spans="1:5">
      <c r="A3709" t="s">
        <v>36634</v>
      </c>
      <c r="B3709" t="s">
        <v>17757</v>
      </c>
      <c r="C3709">
        <v>0</v>
      </c>
      <c r="D3709" t="s">
        <v>106</v>
      </c>
      <c r="E3709">
        <v>10.715999999999999</v>
      </c>
    </row>
    <row r="3710" spans="1:5">
      <c r="A3710" t="s">
        <v>36634</v>
      </c>
      <c r="B3710" t="s">
        <v>17753</v>
      </c>
      <c r="C3710">
        <f>0</f>
        <v>0</v>
      </c>
      <c r="D3710" t="s">
        <v>106</v>
      </c>
      <c r="E3710">
        <v>10.715999999999999</v>
      </c>
    </row>
    <row r="3711" spans="1:5">
      <c r="A3711" t="s">
        <v>36634</v>
      </c>
      <c r="B3711" t="s">
        <v>17755</v>
      </c>
      <c r="C3711">
        <f>0</f>
        <v>0</v>
      </c>
      <c r="D3711" t="s">
        <v>106</v>
      </c>
      <c r="E3711">
        <v>10.715999999999999</v>
      </c>
    </row>
    <row r="3712" spans="1:5">
      <c r="A3712" t="s">
        <v>36634</v>
      </c>
      <c r="B3712" t="s">
        <v>17758</v>
      </c>
      <c r="C3712">
        <f>0</f>
        <v>0</v>
      </c>
      <c r="D3712" t="s">
        <v>106</v>
      </c>
      <c r="E3712">
        <v>10.715999999999999</v>
      </c>
    </row>
    <row r="3713" spans="1:5">
      <c r="A3713" t="s">
        <v>36634</v>
      </c>
      <c r="B3713" t="s">
        <v>17756</v>
      </c>
      <c r="C3713">
        <f>0</f>
        <v>0</v>
      </c>
      <c r="D3713" t="s">
        <v>106</v>
      </c>
      <c r="E3713">
        <v>10.715999999999999</v>
      </c>
    </row>
    <row r="3714" spans="1:5">
      <c r="A3714" t="s">
        <v>36635</v>
      </c>
      <c r="B3714" t="s">
        <v>21397</v>
      </c>
      <c r="C3714">
        <v>0.84769310127399999</v>
      </c>
      <c r="D3714">
        <v>0.89663633880100002</v>
      </c>
      <c r="E3714">
        <v>0.17399999999999999</v>
      </c>
    </row>
    <row r="3715" spans="1:5">
      <c r="A3715" t="s">
        <v>36635</v>
      </c>
      <c r="B3715" t="s">
        <v>21400</v>
      </c>
      <c r="C3715">
        <v>7.9848708479300007E-2</v>
      </c>
      <c r="D3715">
        <v>0.89663633880100002</v>
      </c>
      <c r="E3715">
        <v>0.17399999999999999</v>
      </c>
    </row>
    <row r="3716" spans="1:5">
      <c r="A3716" t="s">
        <v>36636</v>
      </c>
      <c r="B3716" t="s">
        <v>29879</v>
      </c>
      <c r="C3716">
        <f>0</f>
        <v>0</v>
      </c>
      <c r="D3716">
        <v>0.90524034118499996</v>
      </c>
      <c r="E3716">
        <v>24</v>
      </c>
    </row>
    <row r="3717" spans="1:5">
      <c r="A3717" t="s">
        <v>36636</v>
      </c>
      <c r="B3717" t="s">
        <v>29883</v>
      </c>
      <c r="C3717">
        <v>0.24360224124900001</v>
      </c>
      <c r="D3717">
        <v>0.90524034118499996</v>
      </c>
      <c r="E3717">
        <v>24</v>
      </c>
    </row>
    <row r="3718" spans="1:5">
      <c r="A3718" t="s">
        <v>36636</v>
      </c>
      <c r="B3718" t="s">
        <v>29882</v>
      </c>
      <c r="C3718">
        <f>0</f>
        <v>0</v>
      </c>
      <c r="D3718">
        <v>0.90524034118499996</v>
      </c>
      <c r="E3718">
        <v>24</v>
      </c>
    </row>
    <row r="3719" spans="1:5">
      <c r="A3719" t="s">
        <v>36636</v>
      </c>
      <c r="B3719" t="s">
        <v>29881</v>
      </c>
      <c r="C3719">
        <f>0.778116041116</f>
        <v>0.77811604111599997</v>
      </c>
      <c r="D3719">
        <v>0.90524034118499996</v>
      </c>
      <c r="E3719">
        <v>24</v>
      </c>
    </row>
    <row r="3720" spans="1:5">
      <c r="A3720" t="s">
        <v>36637</v>
      </c>
      <c r="B3720" t="s">
        <v>18294</v>
      </c>
      <c r="C3720">
        <f>0</f>
        <v>0</v>
      </c>
      <c r="D3720" t="s">
        <v>106</v>
      </c>
      <c r="E3720">
        <v>24</v>
      </c>
    </row>
    <row r="3721" spans="1:5">
      <c r="A3721" t="s">
        <v>36637</v>
      </c>
      <c r="B3721" t="s">
        <v>18289</v>
      </c>
      <c r="C3721">
        <f>0</f>
        <v>0</v>
      </c>
      <c r="D3721" t="s">
        <v>106</v>
      </c>
      <c r="E3721">
        <v>24</v>
      </c>
    </row>
    <row r="3722" spans="1:5">
      <c r="A3722" t="s">
        <v>36637</v>
      </c>
      <c r="B3722" t="s">
        <v>18291</v>
      </c>
      <c r="C3722">
        <v>0</v>
      </c>
      <c r="D3722" t="s">
        <v>106</v>
      </c>
      <c r="E3722">
        <v>24</v>
      </c>
    </row>
    <row r="3723" spans="1:5">
      <c r="A3723" t="s">
        <v>36637</v>
      </c>
      <c r="B3723" t="s">
        <v>18290</v>
      </c>
      <c r="C3723">
        <f>0</f>
        <v>0</v>
      </c>
      <c r="D3723" t="s">
        <v>106</v>
      </c>
      <c r="E3723">
        <v>24</v>
      </c>
    </row>
    <row r="3724" spans="1:5">
      <c r="A3724" t="s">
        <v>36637</v>
      </c>
      <c r="B3724" t="s">
        <v>18288</v>
      </c>
      <c r="C3724">
        <f>0</f>
        <v>0</v>
      </c>
      <c r="D3724" t="s">
        <v>106</v>
      </c>
      <c r="E3724">
        <v>24</v>
      </c>
    </row>
    <row r="3725" spans="1:5">
      <c r="A3725" t="s">
        <v>36638</v>
      </c>
      <c r="B3725" t="s">
        <v>1090</v>
      </c>
      <c r="C3725">
        <f>0</f>
        <v>0</v>
      </c>
      <c r="D3725" t="s">
        <v>106</v>
      </c>
      <c r="E3725">
        <v>0.318</v>
      </c>
    </row>
    <row r="3726" spans="1:5">
      <c r="A3726" t="s">
        <v>36638</v>
      </c>
      <c r="B3726" t="s">
        <v>1091</v>
      </c>
      <c r="C3726">
        <v>0</v>
      </c>
      <c r="D3726" t="s">
        <v>106</v>
      </c>
      <c r="E3726">
        <v>0.318</v>
      </c>
    </row>
    <row r="3727" spans="1:5">
      <c r="A3727" t="s">
        <v>36638</v>
      </c>
      <c r="B3727" t="s">
        <v>1092</v>
      </c>
      <c r="C3727">
        <f>0</f>
        <v>0</v>
      </c>
      <c r="D3727" t="s">
        <v>106</v>
      </c>
      <c r="E3727">
        <v>0.318</v>
      </c>
    </row>
    <row r="3728" spans="1:5">
      <c r="A3728" t="s">
        <v>36639</v>
      </c>
      <c r="B3728" t="s">
        <v>36640</v>
      </c>
      <c r="C3728">
        <v>0</v>
      </c>
      <c r="D3728" t="s">
        <v>106</v>
      </c>
      <c r="E3728">
        <v>3.8759999999999999</v>
      </c>
    </row>
    <row r="3729" spans="1:5">
      <c r="A3729" t="s">
        <v>36639</v>
      </c>
      <c r="B3729" t="s">
        <v>36641</v>
      </c>
      <c r="C3729">
        <v>0</v>
      </c>
      <c r="D3729" t="s">
        <v>106</v>
      </c>
      <c r="E3729">
        <v>3.8759999999999999</v>
      </c>
    </row>
    <row r="3730" spans="1:5">
      <c r="A3730" t="s">
        <v>36642</v>
      </c>
      <c r="B3730" t="s">
        <v>26870</v>
      </c>
      <c r="C3730">
        <v>0</v>
      </c>
      <c r="D3730" t="s">
        <v>106</v>
      </c>
      <c r="E3730">
        <v>1.3380000000000001</v>
      </c>
    </row>
    <row r="3731" spans="1:5">
      <c r="A3731" t="s">
        <v>36642</v>
      </c>
      <c r="B3731" t="s">
        <v>26867</v>
      </c>
      <c r="C3731">
        <v>0</v>
      </c>
      <c r="D3731" t="s">
        <v>106</v>
      </c>
      <c r="E3731">
        <v>1.3380000000000001</v>
      </c>
    </row>
    <row r="3732" spans="1:5">
      <c r="A3732" t="s">
        <v>36642</v>
      </c>
      <c r="B3732" t="s">
        <v>26868</v>
      </c>
      <c r="C3732">
        <f>0</f>
        <v>0</v>
      </c>
      <c r="D3732" t="s">
        <v>106</v>
      </c>
      <c r="E3732">
        <v>1.3380000000000001</v>
      </c>
    </row>
    <row r="3733" spans="1:5">
      <c r="A3733" t="s">
        <v>36642</v>
      </c>
      <c r="B3733" t="s">
        <v>26884</v>
      </c>
      <c r="C3733">
        <v>0</v>
      </c>
      <c r="D3733" t="s">
        <v>106</v>
      </c>
      <c r="E3733">
        <v>1.3380000000000001</v>
      </c>
    </row>
    <row r="3734" spans="1:5">
      <c r="A3734" t="s">
        <v>36642</v>
      </c>
      <c r="B3734" t="s">
        <v>26877</v>
      </c>
      <c r="C3734">
        <v>0</v>
      </c>
      <c r="D3734" t="s">
        <v>106</v>
      </c>
      <c r="E3734">
        <v>1.3380000000000001</v>
      </c>
    </row>
    <row r="3735" spans="1:5">
      <c r="A3735" t="s">
        <v>36642</v>
      </c>
      <c r="B3735" t="s">
        <v>26871</v>
      </c>
      <c r="C3735">
        <v>0</v>
      </c>
      <c r="D3735" t="s">
        <v>106</v>
      </c>
      <c r="E3735">
        <v>1.3380000000000001</v>
      </c>
    </row>
    <row r="3736" spans="1:5">
      <c r="A3736" t="s">
        <v>36642</v>
      </c>
      <c r="B3736" t="s">
        <v>26875</v>
      </c>
      <c r="C3736">
        <v>0</v>
      </c>
      <c r="D3736" t="s">
        <v>106</v>
      </c>
      <c r="E3736">
        <v>1.3380000000000001</v>
      </c>
    </row>
    <row r="3737" spans="1:5">
      <c r="A3737" t="s">
        <v>36642</v>
      </c>
      <c r="B3737" t="s">
        <v>26866</v>
      </c>
      <c r="C3737">
        <v>0</v>
      </c>
      <c r="D3737" t="s">
        <v>106</v>
      </c>
      <c r="E3737">
        <v>1.3380000000000001</v>
      </c>
    </row>
    <row r="3738" spans="1:5">
      <c r="A3738" t="s">
        <v>36642</v>
      </c>
      <c r="B3738" t="s">
        <v>26878</v>
      </c>
      <c r="C3738">
        <v>0</v>
      </c>
      <c r="D3738" t="s">
        <v>106</v>
      </c>
      <c r="E3738">
        <v>1.3380000000000001</v>
      </c>
    </row>
    <row r="3739" spans="1:5">
      <c r="A3739" t="s">
        <v>36642</v>
      </c>
      <c r="B3739" t="s">
        <v>26879</v>
      </c>
      <c r="C3739">
        <v>0</v>
      </c>
      <c r="D3739" t="s">
        <v>106</v>
      </c>
      <c r="E3739">
        <v>1.3380000000000001</v>
      </c>
    </row>
    <row r="3740" spans="1:5">
      <c r="A3740" t="s">
        <v>36642</v>
      </c>
      <c r="B3740" t="s">
        <v>26880</v>
      </c>
      <c r="C3740">
        <v>0</v>
      </c>
      <c r="D3740" t="s">
        <v>106</v>
      </c>
      <c r="E3740">
        <v>1.3380000000000001</v>
      </c>
    </row>
    <row r="3741" spans="1:5">
      <c r="A3741" t="s">
        <v>36643</v>
      </c>
      <c r="B3741" t="s">
        <v>36644</v>
      </c>
      <c r="C3741">
        <f>0</f>
        <v>0</v>
      </c>
      <c r="D3741">
        <v>0.99998691585300004</v>
      </c>
      <c r="E3741">
        <v>21.192</v>
      </c>
    </row>
    <row r="3742" spans="1:5">
      <c r="A3742" t="s">
        <v>36643</v>
      </c>
      <c r="B3742" t="s">
        <v>36645</v>
      </c>
      <c r="C3742">
        <v>1.0747040136899999E-2</v>
      </c>
      <c r="D3742">
        <v>0.99998691585300004</v>
      </c>
      <c r="E3742">
        <v>21.192</v>
      </c>
    </row>
    <row r="3743" spans="1:5">
      <c r="A3743" t="s">
        <v>36643</v>
      </c>
      <c r="B3743" t="s">
        <v>36646</v>
      </c>
      <c r="C3743">
        <f>0</f>
        <v>0</v>
      </c>
      <c r="D3743">
        <v>0.99998691585300004</v>
      </c>
      <c r="E3743">
        <v>21.192</v>
      </c>
    </row>
    <row r="3744" spans="1:5">
      <c r="A3744" t="s">
        <v>36643</v>
      </c>
      <c r="B3744" t="s">
        <v>36647</v>
      </c>
      <c r="C3744">
        <f>0</f>
        <v>0</v>
      </c>
      <c r="D3744">
        <v>0.99998691585300004</v>
      </c>
      <c r="E3744">
        <v>21.192</v>
      </c>
    </row>
    <row r="3745" spans="1:5">
      <c r="A3745" t="s">
        <v>36643</v>
      </c>
      <c r="B3745" t="s">
        <v>36648</v>
      </c>
      <c r="C3745">
        <v>0.236105959708</v>
      </c>
      <c r="D3745">
        <v>0.99998691585300004</v>
      </c>
      <c r="E3745">
        <v>21.192</v>
      </c>
    </row>
    <row r="3746" spans="1:5">
      <c r="A3746" t="s">
        <v>36643</v>
      </c>
      <c r="B3746" t="s">
        <v>36649</v>
      </c>
      <c r="C3746">
        <v>3.70172563257E-2</v>
      </c>
      <c r="D3746">
        <v>0.99998691585300004</v>
      </c>
      <c r="E3746">
        <v>21.192</v>
      </c>
    </row>
    <row r="3747" spans="1:5">
      <c r="A3747" t="s">
        <v>36643</v>
      </c>
      <c r="B3747" t="s">
        <v>36650</v>
      </c>
      <c r="C3747">
        <f>0.40936230761</f>
        <v>0.40936230760999998</v>
      </c>
      <c r="D3747">
        <v>0.99998691585300004</v>
      </c>
      <c r="E3747">
        <v>21.192</v>
      </c>
    </row>
    <row r="3748" spans="1:5">
      <c r="A3748" t="s">
        <v>36643</v>
      </c>
      <c r="B3748" t="s">
        <v>36651</v>
      </c>
      <c r="C3748">
        <v>0.55692663015699995</v>
      </c>
      <c r="D3748">
        <v>0.99998691585300004</v>
      </c>
      <c r="E3748">
        <v>21.192</v>
      </c>
    </row>
    <row r="3749" spans="1:5">
      <c r="A3749" t="s">
        <v>36643</v>
      </c>
      <c r="B3749" t="s">
        <v>36652</v>
      </c>
      <c r="C3749">
        <v>9.3222002584199999E-3</v>
      </c>
      <c r="D3749">
        <v>0.99998691585300004</v>
      </c>
      <c r="E3749">
        <v>21.192</v>
      </c>
    </row>
    <row r="3750" spans="1:5">
      <c r="A3750" t="s">
        <v>36643</v>
      </c>
      <c r="B3750" t="s">
        <v>36653</v>
      </c>
      <c r="C3750">
        <f>0</f>
        <v>0</v>
      </c>
      <c r="D3750">
        <v>0.99998691585300004</v>
      </c>
      <c r="E3750">
        <v>21.192</v>
      </c>
    </row>
    <row r="3751" spans="1:5">
      <c r="A3751" t="s">
        <v>36643</v>
      </c>
      <c r="B3751" t="s">
        <v>36654</v>
      </c>
      <c r="C3751">
        <v>0</v>
      </c>
      <c r="D3751">
        <v>0.99998691585300004</v>
      </c>
      <c r="E3751">
        <v>21.192</v>
      </c>
    </row>
    <row r="3752" spans="1:5">
      <c r="A3752" t="s">
        <v>36643</v>
      </c>
      <c r="B3752" t="s">
        <v>36655</v>
      </c>
      <c r="C3752">
        <v>0.14635027598299999</v>
      </c>
      <c r="D3752">
        <v>0.99998691585300004</v>
      </c>
      <c r="E3752">
        <v>21.192</v>
      </c>
    </row>
    <row r="3753" spans="1:5">
      <c r="A3753" t="s">
        <v>36643</v>
      </c>
      <c r="B3753" t="s">
        <v>36656</v>
      </c>
      <c r="C3753">
        <f>0</f>
        <v>0</v>
      </c>
      <c r="D3753">
        <v>0.99998691585300004</v>
      </c>
      <c r="E3753">
        <v>21.192</v>
      </c>
    </row>
    <row r="3754" spans="1:5">
      <c r="A3754" t="s">
        <v>36643</v>
      </c>
      <c r="B3754" t="s">
        <v>36657</v>
      </c>
      <c r="C3754">
        <v>0.116958524148</v>
      </c>
      <c r="D3754">
        <v>0.99998691585300004</v>
      </c>
      <c r="E3754">
        <v>21.192</v>
      </c>
    </row>
    <row r="3755" spans="1:5">
      <c r="A3755" t="s">
        <v>36658</v>
      </c>
      <c r="B3755" t="s">
        <v>34165</v>
      </c>
      <c r="C3755">
        <f>0.476244852753</f>
        <v>0.47624485275299999</v>
      </c>
      <c r="D3755">
        <v>0.82236513694000002</v>
      </c>
      <c r="E3755">
        <v>5.82</v>
      </c>
    </row>
    <row r="3756" spans="1:5">
      <c r="A3756" t="s">
        <v>36658</v>
      </c>
      <c r="B3756" t="s">
        <v>34171</v>
      </c>
      <c r="C3756">
        <f>0</f>
        <v>0</v>
      </c>
      <c r="D3756">
        <v>0.82236513694000002</v>
      </c>
      <c r="E3756">
        <v>5.82</v>
      </c>
    </row>
    <row r="3757" spans="1:5">
      <c r="A3757" t="s">
        <v>36658</v>
      </c>
      <c r="B3757" t="s">
        <v>34169</v>
      </c>
      <c r="C3757">
        <v>0</v>
      </c>
      <c r="D3757">
        <v>0.82236513694000002</v>
      </c>
      <c r="E3757">
        <v>5.82</v>
      </c>
    </row>
    <row r="3758" spans="1:5">
      <c r="A3758" t="s">
        <v>36658</v>
      </c>
      <c r="B3758" t="s">
        <v>36659</v>
      </c>
      <c r="C3758">
        <v>7.0387839856699996E-2</v>
      </c>
      <c r="D3758">
        <v>0.82236513694000002</v>
      </c>
      <c r="E3758">
        <v>5.82</v>
      </c>
    </row>
    <row r="3759" spans="1:5">
      <c r="A3759" t="s">
        <v>36658</v>
      </c>
      <c r="B3759" t="s">
        <v>34166</v>
      </c>
      <c r="C3759">
        <f>0.318255680312</f>
        <v>0.31825568031200002</v>
      </c>
      <c r="D3759">
        <v>0.82236513694000002</v>
      </c>
      <c r="E3759">
        <v>5.82</v>
      </c>
    </row>
    <row r="3760" spans="1:5">
      <c r="A3760" t="s">
        <v>36660</v>
      </c>
      <c r="B3760" t="s">
        <v>36661</v>
      </c>
      <c r="C3760">
        <f>0.68398079434</f>
        <v>0.68398079434000003</v>
      </c>
      <c r="D3760">
        <v>0.93210979216000001</v>
      </c>
      <c r="E3760">
        <v>20.07</v>
      </c>
    </row>
    <row r="3761" spans="1:5">
      <c r="A3761" t="s">
        <v>36660</v>
      </c>
      <c r="B3761" t="s">
        <v>36662</v>
      </c>
      <c r="C3761">
        <v>0.740942076565</v>
      </c>
      <c r="D3761">
        <v>0.93210979216000001</v>
      </c>
      <c r="E3761">
        <v>20.07</v>
      </c>
    </row>
    <row r="3762" spans="1:5">
      <c r="A3762" t="s">
        <v>36663</v>
      </c>
      <c r="B3762" t="s">
        <v>14941</v>
      </c>
      <c r="C3762">
        <v>0.21020379893300001</v>
      </c>
      <c r="D3762">
        <v>0.94713586816700002</v>
      </c>
      <c r="E3762">
        <v>1.014</v>
      </c>
    </row>
    <row r="3763" spans="1:5">
      <c r="A3763" t="s">
        <v>36663</v>
      </c>
      <c r="B3763" t="s">
        <v>14942</v>
      </c>
      <c r="C3763">
        <f>0.528861873809</f>
        <v>0.52886187380899996</v>
      </c>
      <c r="D3763">
        <v>0.94713586816700002</v>
      </c>
      <c r="E3763">
        <v>1.014</v>
      </c>
    </row>
    <row r="3764" spans="1:5">
      <c r="A3764" t="s">
        <v>36663</v>
      </c>
      <c r="B3764" t="s">
        <v>14943</v>
      </c>
      <c r="C3764">
        <v>0.63739752382500003</v>
      </c>
      <c r="D3764">
        <v>0.94713586816700002</v>
      </c>
      <c r="E3764">
        <v>1.014</v>
      </c>
    </row>
    <row r="3765" spans="1:5">
      <c r="A3765" t="s">
        <v>36664</v>
      </c>
      <c r="B3765" t="s">
        <v>25818</v>
      </c>
      <c r="C3765">
        <f>0.710184107247</f>
        <v>0.71018410724699998</v>
      </c>
      <c r="D3765">
        <v>0.97503372901399998</v>
      </c>
      <c r="E3765">
        <v>8.8680000000000003</v>
      </c>
    </row>
    <row r="3766" spans="1:5">
      <c r="A3766" t="s">
        <v>36664</v>
      </c>
      <c r="B3766" t="s">
        <v>25816</v>
      </c>
      <c r="C3766">
        <f>0.0245266087157</f>
        <v>2.4526608715700001E-2</v>
      </c>
      <c r="D3766">
        <v>0.97503372901399998</v>
      </c>
      <c r="E3766">
        <v>8.8680000000000003</v>
      </c>
    </row>
    <row r="3767" spans="1:5">
      <c r="A3767" t="s">
        <v>36664</v>
      </c>
      <c r="B3767" t="s">
        <v>25821</v>
      </c>
      <c r="C3767">
        <f>0.95127823633</f>
        <v>0.95127823632999997</v>
      </c>
      <c r="D3767">
        <v>0.97503372901399998</v>
      </c>
      <c r="E3767">
        <v>8.8680000000000003</v>
      </c>
    </row>
    <row r="3768" spans="1:5">
      <c r="A3768" t="s">
        <v>36664</v>
      </c>
      <c r="B3768" t="s">
        <v>25822</v>
      </c>
      <c r="C3768">
        <f>0.450903731879</f>
        <v>0.45090373187900001</v>
      </c>
      <c r="D3768">
        <v>0.97503372901399998</v>
      </c>
      <c r="E3768">
        <v>8.8680000000000003</v>
      </c>
    </row>
    <row r="3769" spans="1:5">
      <c r="A3769" t="s">
        <v>36664</v>
      </c>
      <c r="B3769" t="s">
        <v>25825</v>
      </c>
      <c r="C3769">
        <f>0.309073123892</f>
        <v>0.30907312389199998</v>
      </c>
      <c r="D3769">
        <v>0.97503372901399998</v>
      </c>
      <c r="E3769">
        <v>8.8680000000000003</v>
      </c>
    </row>
    <row r="3770" spans="1:5">
      <c r="A3770" t="s">
        <v>36665</v>
      </c>
      <c r="B3770" t="s">
        <v>7642</v>
      </c>
      <c r="C3770">
        <f>0</f>
        <v>0</v>
      </c>
      <c r="D3770" t="s">
        <v>106</v>
      </c>
      <c r="E3770">
        <v>1.512</v>
      </c>
    </row>
    <row r="3771" spans="1:5">
      <c r="A3771" t="s">
        <v>36665</v>
      </c>
      <c r="B3771" t="s">
        <v>7636</v>
      </c>
      <c r="C3771">
        <v>0</v>
      </c>
      <c r="D3771" t="s">
        <v>106</v>
      </c>
      <c r="E3771">
        <v>1.512</v>
      </c>
    </row>
    <row r="3772" spans="1:5">
      <c r="A3772" t="s">
        <v>36665</v>
      </c>
      <c r="B3772" t="s">
        <v>7641</v>
      </c>
      <c r="C3772">
        <f>0</f>
        <v>0</v>
      </c>
      <c r="D3772" t="s">
        <v>106</v>
      </c>
      <c r="E3772">
        <v>1.512</v>
      </c>
    </row>
    <row r="3773" spans="1:5">
      <c r="A3773" t="s">
        <v>36665</v>
      </c>
      <c r="B3773" t="s">
        <v>7644</v>
      </c>
      <c r="C3773">
        <f>0</f>
        <v>0</v>
      </c>
      <c r="D3773" t="s">
        <v>106</v>
      </c>
      <c r="E3773">
        <v>1.512</v>
      </c>
    </row>
    <row r="3774" spans="1:5">
      <c r="A3774" t="s">
        <v>36665</v>
      </c>
      <c r="B3774" t="s">
        <v>7638</v>
      </c>
      <c r="C3774">
        <v>0</v>
      </c>
      <c r="D3774" t="s">
        <v>106</v>
      </c>
      <c r="E3774">
        <v>1.512</v>
      </c>
    </row>
    <row r="3775" spans="1:5">
      <c r="A3775" t="s">
        <v>36665</v>
      </c>
      <c r="B3775" t="s">
        <v>7640</v>
      </c>
      <c r="C3775">
        <f>0</f>
        <v>0</v>
      </c>
      <c r="D3775" t="s">
        <v>106</v>
      </c>
      <c r="E3775">
        <v>1.512</v>
      </c>
    </row>
    <row r="3776" spans="1:5">
      <c r="A3776" t="s">
        <v>36665</v>
      </c>
      <c r="B3776" t="s">
        <v>7643</v>
      </c>
      <c r="C3776">
        <f>0</f>
        <v>0</v>
      </c>
      <c r="D3776" t="s">
        <v>106</v>
      </c>
      <c r="E3776">
        <v>1.512</v>
      </c>
    </row>
    <row r="3777" spans="1:5">
      <c r="A3777" t="s">
        <v>36665</v>
      </c>
      <c r="B3777" t="s">
        <v>7639</v>
      </c>
      <c r="C3777">
        <v>0</v>
      </c>
      <c r="D3777" t="s">
        <v>106</v>
      </c>
      <c r="E3777">
        <v>1.512</v>
      </c>
    </row>
    <row r="3778" spans="1:5">
      <c r="A3778" t="s">
        <v>36665</v>
      </c>
      <c r="B3778" t="s">
        <v>7648</v>
      </c>
      <c r="C3778">
        <f>0</f>
        <v>0</v>
      </c>
      <c r="D3778" t="s">
        <v>106</v>
      </c>
      <c r="E3778">
        <v>1.512</v>
      </c>
    </row>
    <row r="3779" spans="1:5">
      <c r="A3779" t="s">
        <v>36665</v>
      </c>
      <c r="B3779" t="s">
        <v>7637</v>
      </c>
      <c r="C3779">
        <v>0</v>
      </c>
      <c r="D3779" t="s">
        <v>106</v>
      </c>
      <c r="E3779">
        <v>1.512</v>
      </c>
    </row>
    <row r="3780" spans="1:5">
      <c r="A3780" t="s">
        <v>36666</v>
      </c>
      <c r="B3780" t="s">
        <v>4941</v>
      </c>
      <c r="C3780">
        <f>0</f>
        <v>0</v>
      </c>
      <c r="D3780">
        <v>0.70074331650300004</v>
      </c>
      <c r="E3780">
        <v>0.61799999999999999</v>
      </c>
    </row>
    <row r="3781" spans="1:5">
      <c r="A3781" t="s">
        <v>36666</v>
      </c>
      <c r="B3781" t="s">
        <v>4939</v>
      </c>
      <c r="C3781">
        <f>0</f>
        <v>0</v>
      </c>
      <c r="D3781">
        <v>0.70074331650300004</v>
      </c>
      <c r="E3781">
        <v>0.61799999999999999</v>
      </c>
    </row>
    <row r="3782" spans="1:5">
      <c r="A3782" t="s">
        <v>36666</v>
      </c>
      <c r="B3782" t="s">
        <v>4940</v>
      </c>
      <c r="C3782">
        <v>0.34073331650299998</v>
      </c>
      <c r="D3782">
        <v>0.70074331650300004</v>
      </c>
      <c r="E3782">
        <v>0.61799999999999999</v>
      </c>
    </row>
    <row r="3783" spans="1:5">
      <c r="A3783" t="s">
        <v>36667</v>
      </c>
      <c r="B3783" t="s">
        <v>24601</v>
      </c>
      <c r="C3783">
        <f>0.727312918775</f>
        <v>0.72731291877500004</v>
      </c>
      <c r="D3783">
        <v>0.72878547085099998</v>
      </c>
      <c r="E3783">
        <v>13.818</v>
      </c>
    </row>
    <row r="3784" spans="1:5">
      <c r="A3784" t="s">
        <v>36667</v>
      </c>
      <c r="B3784" t="s">
        <v>24602</v>
      </c>
      <c r="C3784">
        <v>0.52963412392300002</v>
      </c>
      <c r="D3784">
        <v>0.72878547085099998</v>
      </c>
      <c r="E3784">
        <v>13.818</v>
      </c>
    </row>
    <row r="3785" spans="1:5">
      <c r="A3785" t="s">
        <v>36668</v>
      </c>
      <c r="B3785" t="s">
        <v>25360</v>
      </c>
      <c r="C3785">
        <v>0</v>
      </c>
      <c r="D3785" t="s">
        <v>106</v>
      </c>
      <c r="E3785">
        <v>0</v>
      </c>
    </row>
    <row r="3786" spans="1:5">
      <c r="A3786" t="s">
        <v>36668</v>
      </c>
      <c r="B3786" t="s">
        <v>25359</v>
      </c>
      <c r="C3786">
        <f>0</f>
        <v>0</v>
      </c>
      <c r="D3786" t="s">
        <v>106</v>
      </c>
      <c r="E3786">
        <v>0</v>
      </c>
    </row>
    <row r="3787" spans="1:5">
      <c r="A3787" t="s">
        <v>36669</v>
      </c>
      <c r="B3787" t="s">
        <v>33497</v>
      </c>
      <c r="C3787">
        <v>0</v>
      </c>
      <c r="D3787">
        <v>0.50494739374499997</v>
      </c>
      <c r="E3787">
        <v>1.83</v>
      </c>
    </row>
    <row r="3788" spans="1:5">
      <c r="A3788" t="s">
        <v>36669</v>
      </c>
      <c r="B3788" t="s">
        <v>33499</v>
      </c>
      <c r="C3788">
        <v>9.5337393744800006E-2</v>
      </c>
      <c r="D3788">
        <v>0.50494739374499997</v>
      </c>
      <c r="E3788">
        <v>1.83</v>
      </c>
    </row>
    <row r="3789" spans="1:5">
      <c r="A3789" t="s">
        <v>36670</v>
      </c>
      <c r="B3789" t="s">
        <v>36671</v>
      </c>
      <c r="C3789">
        <v>0</v>
      </c>
      <c r="D3789" t="s">
        <v>106</v>
      </c>
      <c r="E3789">
        <v>24</v>
      </c>
    </row>
    <row r="3790" spans="1:5">
      <c r="A3790" t="s">
        <v>36670</v>
      </c>
      <c r="B3790" t="s">
        <v>36672</v>
      </c>
      <c r="C3790">
        <v>0</v>
      </c>
      <c r="D3790" t="s">
        <v>106</v>
      </c>
      <c r="E3790">
        <v>24</v>
      </c>
    </row>
    <row r="3791" spans="1:5">
      <c r="A3791" t="s">
        <v>36670</v>
      </c>
      <c r="B3791" t="s">
        <v>36673</v>
      </c>
      <c r="C3791">
        <v>0</v>
      </c>
      <c r="D3791" t="s">
        <v>106</v>
      </c>
      <c r="E3791">
        <v>24</v>
      </c>
    </row>
    <row r="3792" spans="1:5">
      <c r="A3792" t="s">
        <v>36670</v>
      </c>
      <c r="B3792" t="s">
        <v>36674</v>
      </c>
      <c r="C3792">
        <v>0</v>
      </c>
      <c r="D3792" t="s">
        <v>106</v>
      </c>
      <c r="E3792">
        <v>24</v>
      </c>
    </row>
    <row r="3793" spans="1:5">
      <c r="A3793" t="s">
        <v>36670</v>
      </c>
      <c r="B3793" t="s">
        <v>36675</v>
      </c>
      <c r="C3793">
        <v>0</v>
      </c>
      <c r="D3793" t="s">
        <v>106</v>
      </c>
      <c r="E3793">
        <v>24</v>
      </c>
    </row>
    <row r="3794" spans="1:5">
      <c r="A3794" t="s">
        <v>36676</v>
      </c>
      <c r="B3794" t="s">
        <v>14946</v>
      </c>
      <c r="C3794">
        <f>0.834658414612</f>
        <v>0.83465841461199997</v>
      </c>
      <c r="D3794">
        <v>0.999830938286</v>
      </c>
      <c r="E3794">
        <v>19.416</v>
      </c>
    </row>
    <row r="3795" spans="1:5">
      <c r="A3795" t="s">
        <v>36676</v>
      </c>
      <c r="B3795" t="s">
        <v>14955</v>
      </c>
      <c r="C3795">
        <v>0.93131463037700002</v>
      </c>
      <c r="D3795">
        <v>0.999830938286</v>
      </c>
      <c r="E3795">
        <v>19.416</v>
      </c>
    </row>
    <row r="3796" spans="1:5">
      <c r="A3796" t="s">
        <v>36676</v>
      </c>
      <c r="B3796" t="s">
        <v>14959</v>
      </c>
      <c r="C3796">
        <f>-1.30278217307</f>
        <v>-1.30278217307</v>
      </c>
      <c r="D3796">
        <v>0.999830938286</v>
      </c>
      <c r="E3796">
        <v>19.416</v>
      </c>
    </row>
    <row r="3797" spans="1:5">
      <c r="A3797" t="s">
        <v>36676</v>
      </c>
      <c r="B3797" t="s">
        <v>14956</v>
      </c>
      <c r="C3797">
        <v>0.17966855549300001</v>
      </c>
      <c r="D3797">
        <v>0.999830938286</v>
      </c>
      <c r="E3797">
        <v>19.416</v>
      </c>
    </row>
    <row r="3798" spans="1:5">
      <c r="A3798" t="s">
        <v>36676</v>
      </c>
      <c r="B3798" t="s">
        <v>14958</v>
      </c>
      <c r="C3798">
        <v>0.83803751730300002</v>
      </c>
      <c r="D3798">
        <v>0.999830938286</v>
      </c>
      <c r="E3798">
        <v>19.416</v>
      </c>
    </row>
    <row r="3799" spans="1:5">
      <c r="A3799" t="s">
        <v>36676</v>
      </c>
      <c r="B3799" t="s">
        <v>14957</v>
      </c>
      <c r="C3799">
        <f>-1.58243200831</f>
        <v>-1.5824320083100001</v>
      </c>
      <c r="D3799">
        <v>0.999830938286</v>
      </c>
      <c r="E3799">
        <v>19.416</v>
      </c>
    </row>
    <row r="3800" spans="1:5">
      <c r="A3800" t="s">
        <v>36676</v>
      </c>
      <c r="B3800" t="s">
        <v>14953</v>
      </c>
      <c r="C3800">
        <f>0.357494236382</f>
        <v>0.35749423638200001</v>
      </c>
      <c r="D3800">
        <v>0.999830938286</v>
      </c>
      <c r="E3800">
        <v>19.416</v>
      </c>
    </row>
    <row r="3801" spans="1:5">
      <c r="A3801" t="s">
        <v>36677</v>
      </c>
      <c r="B3801" t="s">
        <v>9891</v>
      </c>
      <c r="C3801">
        <v>0</v>
      </c>
      <c r="D3801" t="s">
        <v>106</v>
      </c>
      <c r="E3801">
        <v>17.100000000000001</v>
      </c>
    </row>
    <row r="3802" spans="1:5">
      <c r="A3802" t="s">
        <v>36677</v>
      </c>
      <c r="B3802" t="s">
        <v>9892</v>
      </c>
      <c r="C3802">
        <f>0</f>
        <v>0</v>
      </c>
      <c r="D3802" t="s">
        <v>106</v>
      </c>
      <c r="E3802">
        <v>17.100000000000001</v>
      </c>
    </row>
    <row r="3803" spans="1:5">
      <c r="A3803" t="s">
        <v>36677</v>
      </c>
      <c r="B3803" t="s">
        <v>9897</v>
      </c>
      <c r="C3803">
        <v>0</v>
      </c>
      <c r="D3803" t="s">
        <v>106</v>
      </c>
      <c r="E3803">
        <v>17.100000000000001</v>
      </c>
    </row>
    <row r="3804" spans="1:5">
      <c r="A3804" t="s">
        <v>36677</v>
      </c>
      <c r="B3804" t="s">
        <v>9896</v>
      </c>
      <c r="C3804">
        <v>0</v>
      </c>
      <c r="D3804" t="s">
        <v>106</v>
      </c>
      <c r="E3804">
        <v>17.100000000000001</v>
      </c>
    </row>
    <row r="3805" spans="1:5">
      <c r="A3805" t="s">
        <v>36677</v>
      </c>
      <c r="B3805" t="s">
        <v>9894</v>
      </c>
      <c r="C3805">
        <v>0</v>
      </c>
      <c r="D3805" t="s">
        <v>106</v>
      </c>
      <c r="E3805">
        <v>17.100000000000001</v>
      </c>
    </row>
    <row r="3806" spans="1:5">
      <c r="A3806" t="s">
        <v>36677</v>
      </c>
      <c r="B3806" t="s">
        <v>9895</v>
      </c>
      <c r="C3806">
        <v>0</v>
      </c>
      <c r="D3806" t="s">
        <v>106</v>
      </c>
      <c r="E3806">
        <v>17.100000000000001</v>
      </c>
    </row>
    <row r="3807" spans="1:5">
      <c r="A3807" t="s">
        <v>36678</v>
      </c>
      <c r="B3807" t="s">
        <v>15341</v>
      </c>
      <c r="C3807">
        <f>0.176092535141</f>
        <v>0.17609253514100001</v>
      </c>
      <c r="D3807">
        <v>0.99999611839799996</v>
      </c>
      <c r="E3807">
        <v>2.556</v>
      </c>
    </row>
    <row r="3808" spans="1:5">
      <c r="A3808" t="s">
        <v>36678</v>
      </c>
      <c r="B3808" t="s">
        <v>15357</v>
      </c>
      <c r="C3808">
        <v>0.29246528069099997</v>
      </c>
      <c r="D3808">
        <v>0.99999611839799996</v>
      </c>
      <c r="E3808">
        <v>2.556</v>
      </c>
    </row>
    <row r="3809" spans="1:5">
      <c r="A3809" t="s">
        <v>36678</v>
      </c>
      <c r="B3809" t="s">
        <v>15372</v>
      </c>
      <c r="C3809">
        <v>0.444455345572</v>
      </c>
      <c r="D3809">
        <v>0.99999611839799996</v>
      </c>
      <c r="E3809">
        <v>2.556</v>
      </c>
    </row>
    <row r="3810" spans="1:5">
      <c r="A3810" t="s">
        <v>36678</v>
      </c>
      <c r="B3810" t="s">
        <v>15370</v>
      </c>
      <c r="C3810">
        <v>6.8833900335500006E-2</v>
      </c>
      <c r="D3810">
        <v>0.99999611839799996</v>
      </c>
      <c r="E3810">
        <v>2.556</v>
      </c>
    </row>
    <row r="3811" spans="1:5">
      <c r="A3811" t="s">
        <v>36678</v>
      </c>
      <c r="B3811" t="s">
        <v>15343</v>
      </c>
      <c r="C3811">
        <f>0.0374789767132</f>
        <v>3.7478976713200003E-2</v>
      </c>
      <c r="D3811">
        <v>0.99999611839799996</v>
      </c>
      <c r="E3811">
        <v>2.556</v>
      </c>
    </row>
    <row r="3812" spans="1:5">
      <c r="A3812" t="s">
        <v>36678</v>
      </c>
      <c r="B3812" t="s">
        <v>15354</v>
      </c>
      <c r="C3812">
        <v>3.0219943183399998E-3</v>
      </c>
      <c r="D3812">
        <v>0.99999611839799996</v>
      </c>
      <c r="E3812">
        <v>2.556</v>
      </c>
    </row>
    <row r="3813" spans="1:5">
      <c r="A3813" t="s">
        <v>36678</v>
      </c>
      <c r="B3813" t="s">
        <v>15364</v>
      </c>
      <c r="C3813">
        <v>0.47441886411500001</v>
      </c>
      <c r="D3813">
        <v>0.99999611839799996</v>
      </c>
      <c r="E3813">
        <v>2.556</v>
      </c>
    </row>
    <row r="3814" spans="1:5">
      <c r="A3814" t="s">
        <v>36678</v>
      </c>
      <c r="B3814" t="s">
        <v>15350</v>
      </c>
      <c r="C3814">
        <v>0.86654010576399998</v>
      </c>
      <c r="D3814">
        <v>0.99999611839799996</v>
      </c>
      <c r="E3814">
        <v>2.556</v>
      </c>
    </row>
    <row r="3815" spans="1:5">
      <c r="A3815" t="s">
        <v>36679</v>
      </c>
      <c r="B3815" t="s">
        <v>8007</v>
      </c>
      <c r="C3815">
        <v>1.0282960623899999</v>
      </c>
      <c r="D3815">
        <v>0.99989138012199996</v>
      </c>
      <c r="E3815">
        <v>23.754000000000001</v>
      </c>
    </row>
    <row r="3816" spans="1:5">
      <c r="A3816" t="s">
        <v>36679</v>
      </c>
      <c r="B3816" t="s">
        <v>8006</v>
      </c>
      <c r="C3816">
        <f>-1.63368932959</f>
        <v>-1.6336893295899999</v>
      </c>
      <c r="D3816">
        <v>0.99989138012199996</v>
      </c>
      <c r="E3816">
        <v>23.754000000000001</v>
      </c>
    </row>
    <row r="3817" spans="1:5">
      <c r="A3817" t="s">
        <v>36679</v>
      </c>
      <c r="B3817" t="s">
        <v>8012</v>
      </c>
      <c r="C3817">
        <v>9.2101813858499998E-2</v>
      </c>
      <c r="D3817">
        <v>0.99989138012199996</v>
      </c>
      <c r="E3817">
        <v>23.754000000000001</v>
      </c>
    </row>
    <row r="3818" spans="1:5">
      <c r="A3818" t="s">
        <v>36679</v>
      </c>
      <c r="B3818" t="s">
        <v>8010</v>
      </c>
      <c r="C3818">
        <f>0.885957931419</f>
        <v>0.88595793141900003</v>
      </c>
      <c r="D3818">
        <v>0.99989138012199996</v>
      </c>
      <c r="E3818">
        <v>23.754000000000001</v>
      </c>
    </row>
    <row r="3819" spans="1:5">
      <c r="A3819" t="s">
        <v>36679</v>
      </c>
      <c r="B3819" t="s">
        <v>8008</v>
      </c>
      <c r="C3819">
        <f>0.938432164692</f>
        <v>0.93843216469199997</v>
      </c>
      <c r="D3819">
        <v>0.99989138012199996</v>
      </c>
      <c r="E3819">
        <v>23.754000000000001</v>
      </c>
    </row>
    <row r="3820" spans="1:5">
      <c r="A3820" t="s">
        <v>36679</v>
      </c>
      <c r="B3820" t="s">
        <v>8011</v>
      </c>
      <c r="C3820">
        <v>0.89657912424200004</v>
      </c>
      <c r="D3820">
        <v>0.99989138012199996</v>
      </c>
      <c r="E3820">
        <v>23.754000000000001</v>
      </c>
    </row>
    <row r="3821" spans="1:5">
      <c r="A3821" t="s">
        <v>36679</v>
      </c>
      <c r="B3821" t="s">
        <v>8009</v>
      </c>
      <c r="C3821">
        <v>1.7650938002100001</v>
      </c>
      <c r="D3821">
        <v>0.99989138012199996</v>
      </c>
      <c r="E3821">
        <v>23.754000000000001</v>
      </c>
    </row>
    <row r="3822" spans="1:5">
      <c r="A3822" t="s">
        <v>36680</v>
      </c>
      <c r="B3822" t="s">
        <v>36681</v>
      </c>
      <c r="C3822">
        <f>0.152564557749</f>
        <v>0.15256455774899999</v>
      </c>
      <c r="D3822">
        <v>0.97922064191400005</v>
      </c>
      <c r="E3822">
        <v>0.318</v>
      </c>
    </row>
    <row r="3823" spans="1:5">
      <c r="A3823" t="s">
        <v>36680</v>
      </c>
      <c r="B3823" t="s">
        <v>36682</v>
      </c>
      <c r="C3823">
        <v>0.55452587693599997</v>
      </c>
      <c r="D3823">
        <v>0.97922064191400005</v>
      </c>
      <c r="E3823">
        <v>0.318</v>
      </c>
    </row>
    <row r="3824" spans="1:5">
      <c r="A3824" t="s">
        <v>36680</v>
      </c>
      <c r="B3824" t="s">
        <v>36683</v>
      </c>
      <c r="C3824">
        <f>0</f>
        <v>0</v>
      </c>
      <c r="D3824">
        <v>0.97922064191400005</v>
      </c>
      <c r="E3824">
        <v>0.318</v>
      </c>
    </row>
    <row r="3825" spans="1:5">
      <c r="A3825" t="s">
        <v>36680</v>
      </c>
      <c r="B3825" t="s">
        <v>36684</v>
      </c>
      <c r="C3825">
        <v>0</v>
      </c>
      <c r="D3825">
        <v>0.97922064191400005</v>
      </c>
      <c r="E3825">
        <v>0.318</v>
      </c>
    </row>
    <row r="3826" spans="1:5">
      <c r="A3826" t="s">
        <v>36680</v>
      </c>
      <c r="B3826" t="s">
        <v>36685</v>
      </c>
      <c r="C3826">
        <v>0.19817871981900001</v>
      </c>
      <c r="D3826">
        <v>0.97922064191400005</v>
      </c>
      <c r="E3826">
        <v>0.318</v>
      </c>
    </row>
    <row r="3827" spans="1:5">
      <c r="A3827" t="s">
        <v>36680</v>
      </c>
      <c r="B3827" t="s">
        <v>36686</v>
      </c>
      <c r="C3827">
        <v>0</v>
      </c>
      <c r="D3827">
        <v>0.97922064191400005</v>
      </c>
      <c r="E3827">
        <v>0.318</v>
      </c>
    </row>
    <row r="3828" spans="1:5">
      <c r="A3828" t="s">
        <v>36680</v>
      </c>
      <c r="B3828" t="s">
        <v>36687</v>
      </c>
      <c r="C3828">
        <v>0</v>
      </c>
      <c r="D3828">
        <v>0.97922064191400005</v>
      </c>
      <c r="E3828">
        <v>0.318</v>
      </c>
    </row>
    <row r="3829" spans="1:5">
      <c r="A3829" t="s">
        <v>36680</v>
      </c>
      <c r="B3829" t="s">
        <v>36688</v>
      </c>
      <c r="C3829">
        <v>0.30877491117299999</v>
      </c>
      <c r="D3829">
        <v>0.97922064191400005</v>
      </c>
      <c r="E3829">
        <v>0.318</v>
      </c>
    </row>
    <row r="3830" spans="1:5">
      <c r="A3830" t="s">
        <v>36680</v>
      </c>
      <c r="B3830" t="s">
        <v>36689</v>
      </c>
      <c r="C3830">
        <v>0</v>
      </c>
      <c r="D3830">
        <v>0.97922064191400005</v>
      </c>
      <c r="E3830">
        <v>0.318</v>
      </c>
    </row>
    <row r="3831" spans="1:5">
      <c r="A3831" t="s">
        <v>36680</v>
      </c>
      <c r="B3831" t="s">
        <v>36690</v>
      </c>
      <c r="C3831">
        <v>0</v>
      </c>
      <c r="D3831">
        <v>0.97922064191400005</v>
      </c>
      <c r="E3831">
        <v>0.318</v>
      </c>
    </row>
    <row r="3832" spans="1:5">
      <c r="A3832" t="s">
        <v>36691</v>
      </c>
      <c r="B3832" t="s">
        <v>31015</v>
      </c>
      <c r="C3832">
        <v>0.60235536013500002</v>
      </c>
      <c r="D3832">
        <v>0.99995538169499998</v>
      </c>
      <c r="E3832">
        <v>24</v>
      </c>
    </row>
    <row r="3833" spans="1:5">
      <c r="A3833" t="s">
        <v>36691</v>
      </c>
      <c r="B3833" t="s">
        <v>31021</v>
      </c>
      <c r="C3833">
        <v>4.69031923426E-2</v>
      </c>
      <c r="D3833">
        <v>0.99995538169499998</v>
      </c>
      <c r="E3833">
        <v>24</v>
      </c>
    </row>
    <row r="3834" spans="1:5">
      <c r="A3834" t="s">
        <v>36691</v>
      </c>
      <c r="B3834" t="s">
        <v>31030</v>
      </c>
      <c r="C3834">
        <f>0.624122950493</f>
        <v>0.62412295049300004</v>
      </c>
      <c r="D3834">
        <v>0.99995538169499998</v>
      </c>
      <c r="E3834">
        <v>24</v>
      </c>
    </row>
    <row r="3835" spans="1:5">
      <c r="A3835" t="s">
        <v>36691</v>
      </c>
      <c r="B3835" t="s">
        <v>31023</v>
      </c>
      <c r="C3835">
        <v>0.36461046050599999</v>
      </c>
      <c r="D3835">
        <v>0.99995538169499998</v>
      </c>
      <c r="E3835">
        <v>24</v>
      </c>
    </row>
    <row r="3836" spans="1:5">
      <c r="A3836" t="s">
        <v>36691</v>
      </c>
      <c r="B3836" t="s">
        <v>31029</v>
      </c>
      <c r="C3836">
        <f>-1.0396644082</f>
        <v>-1.0396644081999999</v>
      </c>
      <c r="D3836">
        <v>0.99995538169499998</v>
      </c>
      <c r="E3836">
        <v>24</v>
      </c>
    </row>
    <row r="3837" spans="1:5">
      <c r="A3837" t="s">
        <v>36691</v>
      </c>
      <c r="B3837" t="s">
        <v>31017</v>
      </c>
      <c r="C3837">
        <v>0.42525359104100002</v>
      </c>
      <c r="D3837">
        <v>0.99995538169499998</v>
      </c>
      <c r="E3837">
        <v>24</v>
      </c>
    </row>
    <row r="3838" spans="1:5">
      <c r="A3838" t="s">
        <v>36692</v>
      </c>
      <c r="B3838" t="s">
        <v>10105</v>
      </c>
      <c r="C3838">
        <v>0.19343419109599999</v>
      </c>
      <c r="D3838">
        <v>0.73266339709399997</v>
      </c>
      <c r="E3838">
        <v>23.754000000000001</v>
      </c>
    </row>
    <row r="3839" spans="1:5">
      <c r="A3839" t="s">
        <v>36692</v>
      </c>
      <c r="B3839" t="s">
        <v>10107</v>
      </c>
      <c r="C3839">
        <v>0.61078299493099997</v>
      </c>
      <c r="D3839">
        <v>0.73266339709399997</v>
      </c>
      <c r="E3839">
        <v>23.754000000000001</v>
      </c>
    </row>
    <row r="3840" spans="1:5">
      <c r="A3840" t="s">
        <v>36692</v>
      </c>
      <c r="B3840" t="s">
        <v>10106</v>
      </c>
      <c r="C3840">
        <f>0.16770879014</f>
        <v>0.16770879014000001</v>
      </c>
      <c r="D3840">
        <v>0.73266339709399997</v>
      </c>
      <c r="E3840">
        <v>23.754000000000001</v>
      </c>
    </row>
    <row r="3841" spans="1:5">
      <c r="A3841" t="s">
        <v>36693</v>
      </c>
      <c r="B3841" t="s">
        <v>14534</v>
      </c>
      <c r="C3841">
        <f>0.590290393405</f>
        <v>0.590290393405</v>
      </c>
      <c r="D3841">
        <v>0.85946033157299995</v>
      </c>
      <c r="E3841">
        <v>24</v>
      </c>
    </row>
    <row r="3842" spans="1:5">
      <c r="A3842" t="s">
        <v>36693</v>
      </c>
      <c r="B3842" t="s">
        <v>14537</v>
      </c>
      <c r="C3842">
        <f>0.587554548241</f>
        <v>0.58755454824099995</v>
      </c>
      <c r="D3842">
        <v>0.85946033157299995</v>
      </c>
      <c r="E3842">
        <v>24</v>
      </c>
    </row>
    <row r="3843" spans="1:5">
      <c r="A3843" t="s">
        <v>36693</v>
      </c>
      <c r="B3843" t="s">
        <v>14539</v>
      </c>
      <c r="C3843">
        <f>0.137069982287</f>
        <v>0.13706998228699999</v>
      </c>
      <c r="D3843">
        <v>0.85946033157299995</v>
      </c>
      <c r="E3843">
        <v>24</v>
      </c>
    </row>
    <row r="3844" spans="1:5">
      <c r="A3844" t="s">
        <v>36694</v>
      </c>
      <c r="B3844" t="s">
        <v>6729</v>
      </c>
      <c r="C3844">
        <v>0</v>
      </c>
      <c r="D3844" t="s">
        <v>106</v>
      </c>
      <c r="E3844">
        <v>0.58199999999999996</v>
      </c>
    </row>
    <row r="3845" spans="1:5">
      <c r="A3845" t="s">
        <v>36694</v>
      </c>
      <c r="B3845" t="s">
        <v>6732</v>
      </c>
      <c r="C3845">
        <v>0</v>
      </c>
      <c r="D3845" t="s">
        <v>106</v>
      </c>
      <c r="E3845">
        <v>0.58199999999999996</v>
      </c>
    </row>
    <row r="3846" spans="1:5">
      <c r="A3846" t="s">
        <v>36694</v>
      </c>
      <c r="B3846" t="s">
        <v>6731</v>
      </c>
      <c r="C3846">
        <f>0</f>
        <v>0</v>
      </c>
      <c r="D3846" t="s">
        <v>106</v>
      </c>
      <c r="E3846">
        <v>0.58199999999999996</v>
      </c>
    </row>
    <row r="3847" spans="1:5">
      <c r="A3847" t="s">
        <v>36694</v>
      </c>
      <c r="B3847" t="s">
        <v>6734</v>
      </c>
      <c r="C3847">
        <v>0</v>
      </c>
      <c r="D3847" t="s">
        <v>106</v>
      </c>
      <c r="E3847">
        <v>0.58199999999999996</v>
      </c>
    </row>
    <row r="3848" spans="1:5">
      <c r="A3848" t="s">
        <v>36694</v>
      </c>
      <c r="B3848" t="s">
        <v>6736</v>
      </c>
      <c r="C3848">
        <v>0</v>
      </c>
      <c r="D3848" t="s">
        <v>106</v>
      </c>
      <c r="E3848">
        <v>0.58199999999999996</v>
      </c>
    </row>
    <row r="3849" spans="1:5">
      <c r="A3849" t="s">
        <v>36695</v>
      </c>
      <c r="B3849" t="s">
        <v>492</v>
      </c>
      <c r="C3849">
        <f>0</f>
        <v>0</v>
      </c>
      <c r="D3849">
        <v>0.70713703238900005</v>
      </c>
      <c r="E3849">
        <v>10.242000000000001</v>
      </c>
    </row>
    <row r="3850" spans="1:5">
      <c r="A3850" t="s">
        <v>36695</v>
      </c>
      <c r="B3850" t="s">
        <v>489</v>
      </c>
      <c r="C3850">
        <v>4.4722252679799998E-2</v>
      </c>
      <c r="D3850">
        <v>0.70713703238900005</v>
      </c>
      <c r="E3850">
        <v>10.242000000000001</v>
      </c>
    </row>
    <row r="3851" spans="1:5">
      <c r="A3851" t="s">
        <v>36695</v>
      </c>
      <c r="B3851" t="s">
        <v>488</v>
      </c>
      <c r="C3851">
        <f>0.40519901069</f>
        <v>0.40519901069000003</v>
      </c>
      <c r="D3851">
        <v>0.70713703238900005</v>
      </c>
      <c r="E3851">
        <v>10.242000000000001</v>
      </c>
    </row>
    <row r="3852" spans="1:5">
      <c r="A3852" t="s">
        <v>36695</v>
      </c>
      <c r="B3852" t="s">
        <v>36696</v>
      </c>
      <c r="C3852">
        <f>0</f>
        <v>0</v>
      </c>
      <c r="D3852">
        <v>0.70713703238900005</v>
      </c>
      <c r="E3852">
        <v>10.242000000000001</v>
      </c>
    </row>
    <row r="3853" spans="1:5">
      <c r="A3853" t="s">
        <v>36695</v>
      </c>
      <c r="B3853" t="s">
        <v>491</v>
      </c>
      <c r="C3853">
        <v>0</v>
      </c>
      <c r="D3853">
        <v>0.70713703238900005</v>
      </c>
      <c r="E3853">
        <v>10.242000000000001</v>
      </c>
    </row>
    <row r="3854" spans="1:5">
      <c r="A3854" t="s">
        <v>36697</v>
      </c>
      <c r="B3854" t="s">
        <v>36698</v>
      </c>
      <c r="C3854">
        <v>9.6293840508700004E-2</v>
      </c>
      <c r="D3854">
        <v>0.93695156669500002</v>
      </c>
      <c r="E3854">
        <v>23.28</v>
      </c>
    </row>
    <row r="3855" spans="1:5">
      <c r="A3855" t="s">
        <v>36697</v>
      </c>
      <c r="B3855" t="s">
        <v>36699</v>
      </c>
      <c r="C3855">
        <v>0</v>
      </c>
      <c r="D3855">
        <v>0.93695156669500002</v>
      </c>
      <c r="E3855">
        <v>23.28</v>
      </c>
    </row>
    <row r="3856" spans="1:5">
      <c r="A3856" t="s">
        <v>36697</v>
      </c>
      <c r="B3856" t="s">
        <v>36700</v>
      </c>
      <c r="C3856">
        <v>0</v>
      </c>
      <c r="D3856">
        <v>0.93695156669500002</v>
      </c>
      <c r="E3856">
        <v>23.28</v>
      </c>
    </row>
    <row r="3857" spans="1:5">
      <c r="A3857" t="s">
        <v>36697</v>
      </c>
      <c r="B3857" t="s">
        <v>36701</v>
      </c>
      <c r="C3857">
        <v>0.75207920420200003</v>
      </c>
      <c r="D3857">
        <v>0.93695156669500002</v>
      </c>
      <c r="E3857">
        <v>23.28</v>
      </c>
    </row>
    <row r="3858" spans="1:5">
      <c r="A3858" t="s">
        <v>36697</v>
      </c>
      <c r="B3858" t="s">
        <v>36702</v>
      </c>
      <c r="C3858">
        <f>0</f>
        <v>0</v>
      </c>
      <c r="D3858">
        <v>0.93695156669500002</v>
      </c>
      <c r="E3858">
        <v>23.28</v>
      </c>
    </row>
    <row r="3859" spans="1:5">
      <c r="A3859" t="s">
        <v>36697</v>
      </c>
      <c r="B3859" t="s">
        <v>36703</v>
      </c>
      <c r="C3859">
        <v>1.29383250377E-2</v>
      </c>
      <c r="D3859">
        <v>0.93695156669500002</v>
      </c>
      <c r="E3859">
        <v>23.28</v>
      </c>
    </row>
    <row r="3860" spans="1:5">
      <c r="A3860" t="s">
        <v>36697</v>
      </c>
      <c r="B3860" t="s">
        <v>36704</v>
      </c>
      <c r="C3860">
        <v>0</v>
      </c>
      <c r="D3860">
        <v>0.93695156669500002</v>
      </c>
      <c r="E3860">
        <v>23.28</v>
      </c>
    </row>
    <row r="3861" spans="1:5">
      <c r="A3861" t="s">
        <v>36697</v>
      </c>
      <c r="B3861" t="s">
        <v>36705</v>
      </c>
      <c r="C3861">
        <f>0</f>
        <v>0</v>
      </c>
      <c r="D3861">
        <v>0.93695156669500002</v>
      </c>
      <c r="E3861">
        <v>23.28</v>
      </c>
    </row>
    <row r="3862" spans="1:5">
      <c r="A3862" t="s">
        <v>36706</v>
      </c>
      <c r="B3862" t="s">
        <v>20913</v>
      </c>
      <c r="C3862">
        <f>0.0471103253325</f>
        <v>4.7110325332500001E-2</v>
      </c>
      <c r="D3862">
        <v>0.99999992055700004</v>
      </c>
      <c r="E3862">
        <v>2.25</v>
      </c>
    </row>
    <row r="3863" spans="1:5">
      <c r="A3863" t="s">
        <v>36706</v>
      </c>
      <c r="B3863" t="s">
        <v>20919</v>
      </c>
      <c r="C3863">
        <f>0.474995571487</f>
        <v>0.474995571487</v>
      </c>
      <c r="D3863">
        <v>0.99999992055700004</v>
      </c>
      <c r="E3863">
        <v>2.25</v>
      </c>
    </row>
    <row r="3864" spans="1:5">
      <c r="A3864" t="s">
        <v>36706</v>
      </c>
      <c r="B3864" t="s">
        <v>20921</v>
      </c>
      <c r="C3864">
        <f>0.517548440949</f>
        <v>0.51754844094899999</v>
      </c>
      <c r="D3864">
        <v>0.99999992055700004</v>
      </c>
      <c r="E3864">
        <v>2.25</v>
      </c>
    </row>
    <row r="3865" spans="1:5">
      <c r="A3865" t="s">
        <v>36706</v>
      </c>
      <c r="B3865" t="s">
        <v>20924</v>
      </c>
      <c r="C3865">
        <v>6.5373833749499996E-2</v>
      </c>
      <c r="D3865">
        <v>0.99999992055700004</v>
      </c>
      <c r="E3865">
        <v>2.25</v>
      </c>
    </row>
    <row r="3866" spans="1:5">
      <c r="A3866" t="s">
        <v>36706</v>
      </c>
      <c r="B3866" t="s">
        <v>20918</v>
      </c>
      <c r="C3866">
        <f>0.226806446433</f>
        <v>0.22680644643299999</v>
      </c>
      <c r="D3866">
        <v>0.99999992055700004</v>
      </c>
      <c r="E3866">
        <v>2.25</v>
      </c>
    </row>
    <row r="3867" spans="1:5">
      <c r="A3867" t="s">
        <v>36706</v>
      </c>
      <c r="B3867" t="s">
        <v>20923</v>
      </c>
      <c r="C3867">
        <v>0.60996673564299997</v>
      </c>
      <c r="D3867">
        <v>0.99999992055700004</v>
      </c>
      <c r="E3867">
        <v>2.25</v>
      </c>
    </row>
    <row r="3868" spans="1:5">
      <c r="A3868" t="s">
        <v>36706</v>
      </c>
      <c r="B3868" t="s">
        <v>20915</v>
      </c>
      <c r="C3868">
        <v>3.25983042298E-2</v>
      </c>
      <c r="D3868">
        <v>0.99999992055700004</v>
      </c>
      <c r="E3868">
        <v>2.25</v>
      </c>
    </row>
    <row r="3869" spans="1:5">
      <c r="A3869" t="s">
        <v>36706</v>
      </c>
      <c r="B3869" t="s">
        <v>20917</v>
      </c>
      <c r="C3869">
        <v>0.28743770750499997</v>
      </c>
      <c r="D3869">
        <v>0.99999992055700004</v>
      </c>
      <c r="E3869">
        <v>2.25</v>
      </c>
    </row>
    <row r="3870" spans="1:5">
      <c r="A3870" t="s">
        <v>36707</v>
      </c>
      <c r="B3870" t="s">
        <v>9514</v>
      </c>
      <c r="C3870">
        <f>0</f>
        <v>0</v>
      </c>
      <c r="D3870">
        <v>0.69619663795499998</v>
      </c>
      <c r="E3870">
        <v>16.698</v>
      </c>
    </row>
    <row r="3871" spans="1:5">
      <c r="A3871" t="s">
        <v>36707</v>
      </c>
      <c r="B3871" t="s">
        <v>9523</v>
      </c>
      <c r="C3871">
        <v>0.42578663795499999</v>
      </c>
      <c r="D3871">
        <v>0.69619663795499998</v>
      </c>
      <c r="E3871">
        <v>16.698</v>
      </c>
    </row>
    <row r="3872" spans="1:5">
      <c r="A3872" t="s">
        <v>36707</v>
      </c>
      <c r="B3872" t="s">
        <v>9513</v>
      </c>
      <c r="C3872">
        <v>0</v>
      </c>
      <c r="D3872">
        <v>0.69619663795499998</v>
      </c>
      <c r="E3872">
        <v>16.698</v>
      </c>
    </row>
    <row r="3873" spans="1:5">
      <c r="A3873" t="s">
        <v>36707</v>
      </c>
      <c r="B3873" t="s">
        <v>9515</v>
      </c>
      <c r="C3873">
        <v>0</v>
      </c>
      <c r="D3873">
        <v>0.69619663795499998</v>
      </c>
      <c r="E3873">
        <v>16.698</v>
      </c>
    </row>
    <row r="3874" spans="1:5">
      <c r="A3874" t="s">
        <v>36707</v>
      </c>
      <c r="B3874" t="s">
        <v>9521</v>
      </c>
      <c r="C3874">
        <f>0</f>
        <v>0</v>
      </c>
      <c r="D3874">
        <v>0.69619663795499998</v>
      </c>
      <c r="E3874">
        <v>16.698</v>
      </c>
    </row>
    <row r="3875" spans="1:5">
      <c r="A3875" t="s">
        <v>36707</v>
      </c>
      <c r="B3875" t="s">
        <v>9517</v>
      </c>
      <c r="C3875">
        <v>0</v>
      </c>
      <c r="D3875">
        <v>0.69619663795499998</v>
      </c>
      <c r="E3875">
        <v>16.698</v>
      </c>
    </row>
    <row r="3876" spans="1:5">
      <c r="A3876" t="s">
        <v>36707</v>
      </c>
      <c r="B3876" t="s">
        <v>9522</v>
      </c>
      <c r="C3876">
        <f>0</f>
        <v>0</v>
      </c>
      <c r="D3876">
        <v>0.69619663795499998</v>
      </c>
      <c r="E3876">
        <v>16.698</v>
      </c>
    </row>
    <row r="3877" spans="1:5">
      <c r="A3877" t="s">
        <v>36708</v>
      </c>
      <c r="B3877" t="s">
        <v>17379</v>
      </c>
      <c r="C3877">
        <f>0</f>
        <v>0</v>
      </c>
      <c r="D3877" t="s">
        <v>106</v>
      </c>
      <c r="E3877">
        <v>1.3919999999999999</v>
      </c>
    </row>
    <row r="3878" spans="1:5">
      <c r="A3878" t="s">
        <v>36708</v>
      </c>
      <c r="B3878" t="s">
        <v>17383</v>
      </c>
      <c r="C3878">
        <f>0</f>
        <v>0</v>
      </c>
      <c r="D3878" t="s">
        <v>106</v>
      </c>
      <c r="E3878">
        <v>1.3919999999999999</v>
      </c>
    </row>
    <row r="3879" spans="1:5">
      <c r="A3879" t="s">
        <v>36709</v>
      </c>
      <c r="B3879" t="s">
        <v>36710</v>
      </c>
      <c r="C3879">
        <f>0</f>
        <v>0</v>
      </c>
      <c r="D3879">
        <v>0.78312335330500005</v>
      </c>
      <c r="E3879">
        <v>23.754000000000001</v>
      </c>
    </row>
    <row r="3880" spans="1:5">
      <c r="A3880" t="s">
        <v>36709</v>
      </c>
      <c r="B3880" t="s">
        <v>36711</v>
      </c>
      <c r="C3880">
        <v>0.17517817591599999</v>
      </c>
      <c r="D3880">
        <v>0.78312335330500005</v>
      </c>
      <c r="E3880">
        <v>23.754000000000001</v>
      </c>
    </row>
    <row r="3881" spans="1:5">
      <c r="A3881" t="s">
        <v>36709</v>
      </c>
      <c r="B3881" t="s">
        <v>36712</v>
      </c>
      <c r="C3881">
        <v>0</v>
      </c>
      <c r="D3881">
        <v>0.78312335330500005</v>
      </c>
      <c r="E3881">
        <v>23.754000000000001</v>
      </c>
    </row>
    <row r="3882" spans="1:5">
      <c r="A3882" t="s">
        <v>36709</v>
      </c>
      <c r="B3882" t="s">
        <v>36713</v>
      </c>
      <c r="C3882">
        <f>0</f>
        <v>0</v>
      </c>
      <c r="D3882">
        <v>0.78312335330500005</v>
      </c>
      <c r="E3882">
        <v>23.754000000000001</v>
      </c>
    </row>
    <row r="3883" spans="1:5">
      <c r="A3883" t="s">
        <v>36709</v>
      </c>
      <c r="B3883" t="s">
        <v>36714</v>
      </c>
      <c r="C3883">
        <v>0</v>
      </c>
      <c r="D3883">
        <v>0.78312335330500005</v>
      </c>
      <c r="E3883">
        <v>23.754000000000001</v>
      </c>
    </row>
    <row r="3884" spans="1:5">
      <c r="A3884" t="s">
        <v>36709</v>
      </c>
      <c r="B3884" t="s">
        <v>36715</v>
      </c>
      <c r="C3884">
        <v>0</v>
      </c>
      <c r="D3884">
        <v>0.78312335330500005</v>
      </c>
      <c r="E3884">
        <v>23.754000000000001</v>
      </c>
    </row>
    <row r="3885" spans="1:5">
      <c r="A3885" t="s">
        <v>36709</v>
      </c>
      <c r="B3885" t="s">
        <v>36716</v>
      </c>
      <c r="C3885">
        <f>0</f>
        <v>0</v>
      </c>
      <c r="D3885">
        <v>0.78312335330500005</v>
      </c>
      <c r="E3885">
        <v>23.754000000000001</v>
      </c>
    </row>
    <row r="3886" spans="1:5">
      <c r="A3886" t="s">
        <v>36709</v>
      </c>
      <c r="B3886" t="s">
        <v>36717</v>
      </c>
      <c r="C3886">
        <v>0</v>
      </c>
      <c r="D3886">
        <v>0.78312335330500005</v>
      </c>
      <c r="E3886">
        <v>23.754000000000001</v>
      </c>
    </row>
    <row r="3887" spans="1:5">
      <c r="A3887" t="s">
        <v>36709</v>
      </c>
      <c r="B3887" t="s">
        <v>36718</v>
      </c>
      <c r="C3887">
        <v>0.46481949436699999</v>
      </c>
      <c r="D3887">
        <v>0.78312335330500005</v>
      </c>
      <c r="E3887">
        <v>23.754000000000001</v>
      </c>
    </row>
    <row r="3888" spans="1:5">
      <c r="A3888" t="s">
        <v>36709</v>
      </c>
      <c r="B3888" t="s">
        <v>36719</v>
      </c>
      <c r="C3888">
        <f>0</f>
        <v>0</v>
      </c>
      <c r="D3888">
        <v>0.78312335330500005</v>
      </c>
      <c r="E3888">
        <v>23.754000000000001</v>
      </c>
    </row>
    <row r="3889" spans="1:5">
      <c r="A3889" t="s">
        <v>36709</v>
      </c>
      <c r="B3889" t="s">
        <v>36720</v>
      </c>
      <c r="C3889">
        <f>0</f>
        <v>0</v>
      </c>
      <c r="D3889">
        <v>0.78312335330500005</v>
      </c>
      <c r="E3889">
        <v>23.754000000000001</v>
      </c>
    </row>
    <row r="3890" spans="1:5">
      <c r="A3890" t="s">
        <v>36709</v>
      </c>
      <c r="B3890" t="s">
        <v>36721</v>
      </c>
      <c r="C3890">
        <v>0</v>
      </c>
      <c r="D3890">
        <v>0.78312335330500005</v>
      </c>
      <c r="E3890">
        <v>23.754000000000001</v>
      </c>
    </row>
    <row r="3891" spans="1:5">
      <c r="A3891" t="s">
        <v>36722</v>
      </c>
      <c r="B3891" t="s">
        <v>3834</v>
      </c>
      <c r="C3891">
        <v>0.65760954334199995</v>
      </c>
      <c r="D3891">
        <v>0.78721954334199995</v>
      </c>
      <c r="E3891">
        <v>2.4780000000000002</v>
      </c>
    </row>
    <row r="3892" spans="1:5">
      <c r="A3892" t="s">
        <v>36722</v>
      </c>
      <c r="B3892" t="s">
        <v>3835</v>
      </c>
      <c r="C3892">
        <f>0</f>
        <v>0</v>
      </c>
      <c r="D3892">
        <v>0.78721954334199995</v>
      </c>
      <c r="E3892">
        <v>2.4780000000000002</v>
      </c>
    </row>
    <row r="3893" spans="1:5">
      <c r="A3893" t="s">
        <v>36723</v>
      </c>
      <c r="B3893" t="s">
        <v>21479</v>
      </c>
      <c r="C3893">
        <v>0</v>
      </c>
      <c r="D3893">
        <v>0.70686877087300004</v>
      </c>
      <c r="E3893">
        <v>9.1679999999999993</v>
      </c>
    </row>
    <row r="3894" spans="1:5">
      <c r="A3894" t="s">
        <v>36723</v>
      </c>
      <c r="B3894" t="s">
        <v>21488</v>
      </c>
      <c r="C3894">
        <f>0</f>
        <v>0</v>
      </c>
      <c r="D3894">
        <v>0.70686877087300004</v>
      </c>
      <c r="E3894">
        <v>9.1679999999999993</v>
      </c>
    </row>
    <row r="3895" spans="1:5">
      <c r="A3895" t="s">
        <v>36723</v>
      </c>
      <c r="B3895" t="s">
        <v>21483</v>
      </c>
      <c r="C3895">
        <f>0</f>
        <v>0</v>
      </c>
      <c r="D3895">
        <v>0.70686877087300004</v>
      </c>
      <c r="E3895">
        <v>9.1679999999999993</v>
      </c>
    </row>
    <row r="3896" spans="1:5">
      <c r="A3896" t="s">
        <v>36723</v>
      </c>
      <c r="B3896" t="s">
        <v>21489</v>
      </c>
      <c r="C3896">
        <f>0</f>
        <v>0</v>
      </c>
      <c r="D3896">
        <v>0.70686877087300004</v>
      </c>
      <c r="E3896">
        <v>9.1679999999999993</v>
      </c>
    </row>
    <row r="3897" spans="1:5">
      <c r="A3897" t="s">
        <v>36723</v>
      </c>
      <c r="B3897" t="s">
        <v>21485</v>
      </c>
      <c r="C3897">
        <f>0.346858770873</f>
        <v>0.34685877087299999</v>
      </c>
      <c r="D3897">
        <v>0.70686877087300004</v>
      </c>
      <c r="E3897">
        <v>9.1679999999999993</v>
      </c>
    </row>
    <row r="3898" spans="1:5">
      <c r="A3898" t="s">
        <v>36723</v>
      </c>
      <c r="B3898" t="s">
        <v>21484</v>
      </c>
      <c r="C3898">
        <f>0</f>
        <v>0</v>
      </c>
      <c r="D3898">
        <v>0.70686877087300004</v>
      </c>
      <c r="E3898">
        <v>9.1679999999999993</v>
      </c>
    </row>
    <row r="3899" spans="1:5">
      <c r="A3899" t="s">
        <v>36723</v>
      </c>
      <c r="B3899" t="s">
        <v>21481</v>
      </c>
      <c r="C3899">
        <f>0</f>
        <v>0</v>
      </c>
      <c r="D3899">
        <v>0.70686877087300004</v>
      </c>
      <c r="E3899">
        <v>9.1679999999999993</v>
      </c>
    </row>
    <row r="3900" spans="1:5">
      <c r="A3900" t="s">
        <v>36724</v>
      </c>
      <c r="B3900" t="s">
        <v>27439</v>
      </c>
      <c r="C3900">
        <f>0.232040340795</f>
        <v>0.23204034079499999</v>
      </c>
      <c r="D3900">
        <v>0.82066084523600002</v>
      </c>
      <c r="E3900">
        <v>9.468</v>
      </c>
    </row>
    <row r="3901" spans="1:5">
      <c r="A3901" t="s">
        <v>36724</v>
      </c>
      <c r="B3901" t="s">
        <v>27448</v>
      </c>
      <c r="C3901">
        <v>4.0124364844600002E-3</v>
      </c>
      <c r="D3901">
        <v>0.82066084523600002</v>
      </c>
      <c r="E3901">
        <v>9.468</v>
      </c>
    </row>
    <row r="3902" spans="1:5">
      <c r="A3902" t="s">
        <v>36724</v>
      </c>
      <c r="B3902" t="s">
        <v>27441</v>
      </c>
      <c r="C3902">
        <f>0.328660979233</f>
        <v>0.32866097923299997</v>
      </c>
      <c r="D3902">
        <v>0.82066084523600002</v>
      </c>
      <c r="E3902">
        <v>9.468</v>
      </c>
    </row>
    <row r="3903" spans="1:5">
      <c r="A3903" t="s">
        <v>36724</v>
      </c>
      <c r="B3903" t="s">
        <v>27446</v>
      </c>
      <c r="C3903">
        <v>0.59984803094799999</v>
      </c>
      <c r="D3903">
        <v>0.82066084523600002</v>
      </c>
      <c r="E3903">
        <v>9.468</v>
      </c>
    </row>
    <row r="3904" spans="1:5">
      <c r="A3904" t="s">
        <v>36725</v>
      </c>
      <c r="B3904" t="s">
        <v>36726</v>
      </c>
      <c r="C3904">
        <v>0.66183798453999998</v>
      </c>
      <c r="D3904">
        <v>0.79812530567700002</v>
      </c>
      <c r="E3904">
        <v>5.4660000000000002</v>
      </c>
    </row>
    <row r="3905" spans="1:5">
      <c r="A3905" t="s">
        <v>36725</v>
      </c>
      <c r="B3905" t="s">
        <v>36727</v>
      </c>
      <c r="C3905">
        <v>0</v>
      </c>
      <c r="D3905">
        <v>0.79812530567700002</v>
      </c>
      <c r="E3905">
        <v>5.4660000000000002</v>
      </c>
    </row>
    <row r="3906" spans="1:5">
      <c r="A3906" t="s">
        <v>36725</v>
      </c>
      <c r="B3906" t="s">
        <v>36728</v>
      </c>
      <c r="C3906">
        <v>0.23552038525399999</v>
      </c>
      <c r="D3906">
        <v>0.79812530567700002</v>
      </c>
      <c r="E3906">
        <v>5.4660000000000002</v>
      </c>
    </row>
    <row r="3907" spans="1:5">
      <c r="A3907" t="s">
        <v>36729</v>
      </c>
      <c r="B3907" t="s">
        <v>36730</v>
      </c>
      <c r="C3907">
        <f>0.334694418119</f>
        <v>0.33469441811900003</v>
      </c>
      <c r="D3907">
        <v>0.97354508170800003</v>
      </c>
      <c r="E3907">
        <v>12.917999999999999</v>
      </c>
    </row>
    <row r="3908" spans="1:5">
      <c r="A3908" t="s">
        <v>36729</v>
      </c>
      <c r="B3908" t="s">
        <v>36731</v>
      </c>
      <c r="C3908">
        <v>4.3490219720099997E-2</v>
      </c>
      <c r="D3908">
        <v>0.97354508170800003</v>
      </c>
      <c r="E3908">
        <v>12.917999999999999</v>
      </c>
    </row>
    <row r="3909" spans="1:5">
      <c r="A3909" t="s">
        <v>36729</v>
      </c>
      <c r="B3909" t="s">
        <v>36732</v>
      </c>
      <c r="C3909">
        <f>0.83168281731</f>
        <v>0.83168281731000004</v>
      </c>
      <c r="D3909">
        <v>0.97354508170800003</v>
      </c>
      <c r="E3909">
        <v>12.917999999999999</v>
      </c>
    </row>
    <row r="3910" spans="1:5">
      <c r="A3910" t="s">
        <v>36729</v>
      </c>
      <c r="B3910" t="s">
        <v>36733</v>
      </c>
      <c r="C3910">
        <f>0.220868701326</f>
        <v>0.22086870132600001</v>
      </c>
      <c r="D3910">
        <v>0.97354508170800003</v>
      </c>
      <c r="E3910">
        <v>12.917999999999999</v>
      </c>
    </row>
    <row r="3911" spans="1:5">
      <c r="A3911" t="s">
        <v>36734</v>
      </c>
      <c r="B3911" t="s">
        <v>27417</v>
      </c>
      <c r="C3911">
        <f>0</f>
        <v>0</v>
      </c>
      <c r="D3911" t="s">
        <v>106</v>
      </c>
      <c r="E3911">
        <v>19.632000000000001</v>
      </c>
    </row>
    <row r="3912" spans="1:5">
      <c r="A3912" t="s">
        <v>36734</v>
      </c>
      <c r="B3912" t="s">
        <v>27424</v>
      </c>
      <c r="C3912">
        <f>0</f>
        <v>0</v>
      </c>
      <c r="D3912" t="s">
        <v>106</v>
      </c>
      <c r="E3912">
        <v>19.632000000000001</v>
      </c>
    </row>
    <row r="3913" spans="1:5">
      <c r="A3913" t="s">
        <v>36734</v>
      </c>
      <c r="B3913" t="s">
        <v>27422</v>
      </c>
      <c r="C3913">
        <f>0</f>
        <v>0</v>
      </c>
      <c r="D3913" t="s">
        <v>106</v>
      </c>
      <c r="E3913">
        <v>19.632000000000001</v>
      </c>
    </row>
    <row r="3914" spans="1:5">
      <c r="A3914" t="s">
        <v>36734</v>
      </c>
      <c r="B3914" t="s">
        <v>27423</v>
      </c>
      <c r="C3914">
        <f>0</f>
        <v>0</v>
      </c>
      <c r="D3914" t="s">
        <v>106</v>
      </c>
      <c r="E3914">
        <v>19.632000000000001</v>
      </c>
    </row>
    <row r="3915" spans="1:5">
      <c r="A3915" t="s">
        <v>36735</v>
      </c>
      <c r="B3915" t="s">
        <v>16457</v>
      </c>
      <c r="C3915">
        <v>0.34857762115699997</v>
      </c>
      <c r="D3915">
        <v>0.91546566865000001</v>
      </c>
      <c r="E3915">
        <v>23.754000000000001</v>
      </c>
    </row>
    <row r="3916" spans="1:5">
      <c r="A3916" t="s">
        <v>36735</v>
      </c>
      <c r="B3916" t="s">
        <v>16458</v>
      </c>
      <c r="C3916">
        <v>0</v>
      </c>
      <c r="D3916">
        <v>0.91546566865000001</v>
      </c>
      <c r="E3916">
        <v>23.754000000000001</v>
      </c>
    </row>
    <row r="3917" spans="1:5">
      <c r="A3917" t="s">
        <v>36735</v>
      </c>
      <c r="B3917" t="s">
        <v>16463</v>
      </c>
      <c r="C3917">
        <f>0</f>
        <v>0</v>
      </c>
      <c r="D3917">
        <v>0.91546566865000001</v>
      </c>
      <c r="E3917">
        <v>23.754000000000001</v>
      </c>
    </row>
    <row r="3918" spans="1:5">
      <c r="A3918" t="s">
        <v>36735</v>
      </c>
      <c r="B3918" t="s">
        <v>16465</v>
      </c>
      <c r="C3918">
        <v>0.104241544147</v>
      </c>
      <c r="D3918">
        <v>0.91546566865000001</v>
      </c>
      <c r="E3918">
        <v>23.754000000000001</v>
      </c>
    </row>
    <row r="3919" spans="1:5">
      <c r="A3919" t="s">
        <v>36735</v>
      </c>
      <c r="B3919" t="s">
        <v>16461</v>
      </c>
      <c r="C3919">
        <v>0</v>
      </c>
      <c r="D3919">
        <v>0.91546566865000001</v>
      </c>
      <c r="E3919">
        <v>23.754000000000001</v>
      </c>
    </row>
    <row r="3920" spans="1:5">
      <c r="A3920" t="s">
        <v>36735</v>
      </c>
      <c r="B3920" t="s">
        <v>16462</v>
      </c>
      <c r="C3920">
        <v>0</v>
      </c>
      <c r="D3920">
        <v>0.91546566865000001</v>
      </c>
      <c r="E3920">
        <v>23.754000000000001</v>
      </c>
    </row>
    <row r="3921" spans="1:5">
      <c r="A3921" t="s">
        <v>36735</v>
      </c>
      <c r="B3921" t="s">
        <v>16460</v>
      </c>
      <c r="C3921">
        <v>0.16655033856900001</v>
      </c>
      <c r="D3921">
        <v>0.91546566865000001</v>
      </c>
      <c r="E3921">
        <v>23.754000000000001</v>
      </c>
    </row>
    <row r="3922" spans="1:5">
      <c r="A3922" t="s">
        <v>36735</v>
      </c>
      <c r="B3922" t="s">
        <v>16464</v>
      </c>
      <c r="C3922">
        <f>0.394304512768</f>
        <v>0.39430451276799999</v>
      </c>
      <c r="D3922">
        <v>0.91546566865000001</v>
      </c>
      <c r="E3922">
        <v>23.754000000000001</v>
      </c>
    </row>
    <row r="3923" spans="1:5">
      <c r="A3923" t="s">
        <v>36736</v>
      </c>
      <c r="B3923" t="s">
        <v>3192</v>
      </c>
      <c r="C3923">
        <v>0</v>
      </c>
      <c r="D3923" t="s">
        <v>106</v>
      </c>
      <c r="E3923">
        <v>3.8759999999999999</v>
      </c>
    </row>
    <row r="3924" spans="1:5">
      <c r="A3924" t="s">
        <v>36736</v>
      </c>
      <c r="B3924" t="s">
        <v>3195</v>
      </c>
      <c r="C3924">
        <f>0</f>
        <v>0</v>
      </c>
      <c r="D3924" t="s">
        <v>106</v>
      </c>
      <c r="E3924">
        <v>3.8759999999999999</v>
      </c>
    </row>
    <row r="3925" spans="1:5">
      <c r="A3925" t="s">
        <v>36737</v>
      </c>
      <c r="B3925" t="s">
        <v>14809</v>
      </c>
      <c r="C3925">
        <f>0.478185071276</f>
        <v>0.47818507127600002</v>
      </c>
      <c r="D3925">
        <v>0.94395185097699996</v>
      </c>
      <c r="E3925">
        <v>3.1379999999999999</v>
      </c>
    </row>
    <row r="3926" spans="1:5">
      <c r="A3926" t="s">
        <v>36737</v>
      </c>
      <c r="B3926" t="s">
        <v>14802</v>
      </c>
      <c r="C3926">
        <f>0</f>
        <v>0</v>
      </c>
      <c r="D3926">
        <v>0.94395185097699996</v>
      </c>
      <c r="E3926">
        <v>3.1379999999999999</v>
      </c>
    </row>
    <row r="3927" spans="1:5">
      <c r="A3927" t="s">
        <v>36737</v>
      </c>
      <c r="B3927" t="s">
        <v>14803</v>
      </c>
      <c r="C3927">
        <v>0.51366541213000005</v>
      </c>
      <c r="D3927">
        <v>0.94395185097699996</v>
      </c>
      <c r="E3927">
        <v>3.1379999999999999</v>
      </c>
    </row>
    <row r="3928" spans="1:5">
      <c r="A3928" t="s">
        <v>36737</v>
      </c>
      <c r="B3928" t="s">
        <v>14810</v>
      </c>
      <c r="C3928">
        <f>0.123608606773</f>
        <v>0.12360860677299999</v>
      </c>
      <c r="D3928">
        <v>0.94395185097699996</v>
      </c>
      <c r="E3928">
        <v>3.1379999999999999</v>
      </c>
    </row>
    <row r="3929" spans="1:5">
      <c r="A3929" t="s">
        <v>36737</v>
      </c>
      <c r="B3929" t="s">
        <v>14807</v>
      </c>
      <c r="C3929">
        <v>0</v>
      </c>
      <c r="D3929">
        <v>0.94395185097699996</v>
      </c>
      <c r="E3929">
        <v>3.1379999999999999</v>
      </c>
    </row>
    <row r="3930" spans="1:5">
      <c r="A3930" t="s">
        <v>36738</v>
      </c>
      <c r="B3930" t="s">
        <v>36739</v>
      </c>
      <c r="C3930">
        <v>0</v>
      </c>
      <c r="D3930" t="s">
        <v>106</v>
      </c>
      <c r="E3930">
        <v>24</v>
      </c>
    </row>
    <row r="3931" spans="1:5">
      <c r="A3931" t="s">
        <v>36738</v>
      </c>
      <c r="B3931" t="s">
        <v>36740</v>
      </c>
      <c r="C3931">
        <v>0</v>
      </c>
      <c r="D3931" t="s">
        <v>106</v>
      </c>
      <c r="E3931">
        <v>24</v>
      </c>
    </row>
    <row r="3932" spans="1:5">
      <c r="A3932" t="s">
        <v>36741</v>
      </c>
      <c r="B3932" t="s">
        <v>7855</v>
      </c>
      <c r="C3932">
        <f>0</f>
        <v>0</v>
      </c>
      <c r="D3932" t="s">
        <v>106</v>
      </c>
      <c r="E3932">
        <v>24</v>
      </c>
    </row>
    <row r="3933" spans="1:5">
      <c r="A3933" t="s">
        <v>36741</v>
      </c>
      <c r="B3933" t="s">
        <v>7857</v>
      </c>
      <c r="C3933">
        <v>0</v>
      </c>
      <c r="D3933" t="s">
        <v>106</v>
      </c>
      <c r="E3933">
        <v>24</v>
      </c>
    </row>
    <row r="3934" spans="1:5">
      <c r="A3934" t="s">
        <v>36741</v>
      </c>
      <c r="B3934" t="s">
        <v>7856</v>
      </c>
      <c r="C3934">
        <v>0</v>
      </c>
      <c r="D3934" t="s">
        <v>106</v>
      </c>
      <c r="E3934">
        <v>24</v>
      </c>
    </row>
    <row r="3935" spans="1:5">
      <c r="A3935" t="s">
        <v>36742</v>
      </c>
      <c r="B3935" t="s">
        <v>36743</v>
      </c>
      <c r="C3935">
        <v>0.85981731547100004</v>
      </c>
      <c r="D3935">
        <v>0.82736351162699995</v>
      </c>
      <c r="E3935">
        <v>1.8959999999999999</v>
      </c>
    </row>
    <row r="3936" spans="1:5">
      <c r="A3936" t="s">
        <v>36742</v>
      </c>
      <c r="B3936" t="s">
        <v>36744</v>
      </c>
      <c r="C3936">
        <f>0.695067862133</f>
        <v>0.69506786213299998</v>
      </c>
      <c r="D3936">
        <v>0.82736351162699995</v>
      </c>
      <c r="E3936">
        <v>1.8959999999999999</v>
      </c>
    </row>
    <row r="3937" spans="1:5">
      <c r="A3937" t="s">
        <v>36745</v>
      </c>
      <c r="B3937" t="s">
        <v>3953</v>
      </c>
      <c r="C3937">
        <f>0.184989614421</f>
        <v>0.18498961442100001</v>
      </c>
      <c r="D3937">
        <v>0.97914278778200003</v>
      </c>
      <c r="E3937">
        <v>12.048</v>
      </c>
    </row>
    <row r="3938" spans="1:5">
      <c r="A3938" t="s">
        <v>36745</v>
      </c>
      <c r="B3938" t="s">
        <v>3958</v>
      </c>
      <c r="C3938">
        <f>0.434985841805</f>
        <v>0.434985841805</v>
      </c>
      <c r="D3938">
        <v>0.97914278778200003</v>
      </c>
      <c r="E3938">
        <v>12.048</v>
      </c>
    </row>
    <row r="3939" spans="1:5">
      <c r="A3939" t="s">
        <v>36745</v>
      </c>
      <c r="B3939" t="s">
        <v>3960</v>
      </c>
      <c r="C3939">
        <v>0.76914064881999999</v>
      </c>
      <c r="D3939">
        <v>0.97914278778200003</v>
      </c>
      <c r="E3939">
        <v>12.048</v>
      </c>
    </row>
    <row r="3940" spans="1:5">
      <c r="A3940" t="s">
        <v>36745</v>
      </c>
      <c r="B3940" t="s">
        <v>3952</v>
      </c>
      <c r="C3940">
        <v>0.49913209872600001</v>
      </c>
      <c r="D3940">
        <v>0.97914278778200003</v>
      </c>
      <c r="E3940">
        <v>12.048</v>
      </c>
    </row>
    <row r="3941" spans="1:5">
      <c r="A3941" t="s">
        <v>36746</v>
      </c>
      <c r="B3941" t="s">
        <v>32084</v>
      </c>
      <c r="C3941">
        <v>0.591286424591</v>
      </c>
      <c r="D3941">
        <v>0.88959625634799999</v>
      </c>
      <c r="E3941">
        <v>8.4359999999999999</v>
      </c>
    </row>
    <row r="3942" spans="1:5">
      <c r="A3942" t="s">
        <v>36746</v>
      </c>
      <c r="B3942" t="s">
        <v>32091</v>
      </c>
      <c r="C3942">
        <v>0.50908009450799996</v>
      </c>
      <c r="D3942">
        <v>0.88959625634799999</v>
      </c>
      <c r="E3942">
        <v>8.4359999999999999</v>
      </c>
    </row>
    <row r="3943" spans="1:5">
      <c r="A3943" t="s">
        <v>36746</v>
      </c>
      <c r="B3943" t="s">
        <v>32092</v>
      </c>
      <c r="C3943">
        <f>0</f>
        <v>0</v>
      </c>
      <c r="D3943">
        <v>0.88959625634799999</v>
      </c>
      <c r="E3943">
        <v>8.4359999999999999</v>
      </c>
    </row>
    <row r="3944" spans="1:5">
      <c r="A3944" t="s">
        <v>36746</v>
      </c>
      <c r="B3944" t="s">
        <v>32090</v>
      </c>
      <c r="C3944">
        <v>4.2480240108500003E-2</v>
      </c>
      <c r="D3944">
        <v>0.88959625634799999</v>
      </c>
      <c r="E3944">
        <v>8.4359999999999999</v>
      </c>
    </row>
    <row r="3945" spans="1:5">
      <c r="A3945" t="s">
        <v>36747</v>
      </c>
      <c r="B3945" t="s">
        <v>24533</v>
      </c>
      <c r="C3945">
        <v>0</v>
      </c>
      <c r="D3945" t="s">
        <v>106</v>
      </c>
      <c r="E3945">
        <v>2.4E-2</v>
      </c>
    </row>
    <row r="3946" spans="1:5">
      <c r="A3946" t="s">
        <v>36747</v>
      </c>
      <c r="B3946" t="s">
        <v>24536</v>
      </c>
      <c r="C3946">
        <f>0</f>
        <v>0</v>
      </c>
      <c r="D3946" t="s">
        <v>106</v>
      </c>
      <c r="E3946">
        <v>2.4E-2</v>
      </c>
    </row>
    <row r="3947" spans="1:5">
      <c r="A3947" t="s">
        <v>36748</v>
      </c>
      <c r="B3947" t="s">
        <v>11001</v>
      </c>
      <c r="C3947">
        <v>0</v>
      </c>
      <c r="D3947" t="s">
        <v>106</v>
      </c>
      <c r="E3947">
        <v>0.61799999999999999</v>
      </c>
    </row>
    <row r="3948" spans="1:5">
      <c r="A3948" t="s">
        <v>36748</v>
      </c>
      <c r="B3948" t="s">
        <v>11003</v>
      </c>
      <c r="C3948">
        <f>0</f>
        <v>0</v>
      </c>
      <c r="D3948" t="s">
        <v>106</v>
      </c>
      <c r="E3948">
        <v>0.61799999999999999</v>
      </c>
    </row>
    <row r="3949" spans="1:5">
      <c r="A3949" t="s">
        <v>36748</v>
      </c>
      <c r="B3949" t="s">
        <v>36749</v>
      </c>
      <c r="C3949">
        <v>0</v>
      </c>
      <c r="D3949" t="s">
        <v>106</v>
      </c>
      <c r="E3949">
        <v>0.61799999999999999</v>
      </c>
    </row>
    <row r="3950" spans="1:5">
      <c r="A3950" t="s">
        <v>36750</v>
      </c>
      <c r="B3950" t="s">
        <v>36751</v>
      </c>
      <c r="C3950">
        <v>0.98643676072800002</v>
      </c>
      <c r="D3950">
        <v>0.99999922956099996</v>
      </c>
      <c r="E3950">
        <v>24</v>
      </c>
    </row>
    <row r="3951" spans="1:5">
      <c r="A3951" t="s">
        <v>36750</v>
      </c>
      <c r="B3951" t="s">
        <v>36752</v>
      </c>
      <c r="C3951">
        <v>0.72828311898999998</v>
      </c>
      <c r="D3951">
        <v>0.99999922956099996</v>
      </c>
      <c r="E3951">
        <v>24</v>
      </c>
    </row>
    <row r="3952" spans="1:5">
      <c r="A3952" t="s">
        <v>36750</v>
      </c>
      <c r="B3952" t="s">
        <v>36753</v>
      </c>
      <c r="C3952">
        <f>0.129763504343</f>
        <v>0.12976350434299999</v>
      </c>
      <c r="D3952">
        <v>0.99999922956099996</v>
      </c>
      <c r="E3952">
        <v>24</v>
      </c>
    </row>
    <row r="3953" spans="1:5">
      <c r="A3953" t="s">
        <v>36750</v>
      </c>
      <c r="B3953" t="s">
        <v>36754</v>
      </c>
      <c r="C3953">
        <f>0.552216476986</f>
        <v>0.55221647698599996</v>
      </c>
      <c r="D3953">
        <v>0.99999922956099996</v>
      </c>
      <c r="E3953">
        <v>24</v>
      </c>
    </row>
    <row r="3954" spans="1:5">
      <c r="A3954" t="s">
        <v>36750</v>
      </c>
      <c r="B3954" t="s">
        <v>36755</v>
      </c>
      <c r="C3954">
        <v>0.38456392919600002</v>
      </c>
      <c r="D3954">
        <v>0.99999922956099996</v>
      </c>
      <c r="E3954">
        <v>24</v>
      </c>
    </row>
    <row r="3955" spans="1:5">
      <c r="A3955" t="s">
        <v>36750</v>
      </c>
      <c r="B3955" t="s">
        <v>36756</v>
      </c>
      <c r="C3955">
        <v>0.37054837559600001</v>
      </c>
      <c r="D3955">
        <v>0.99999922956099996</v>
      </c>
      <c r="E3955">
        <v>24</v>
      </c>
    </row>
    <row r="3956" spans="1:5">
      <c r="A3956" t="s">
        <v>36750</v>
      </c>
      <c r="B3956" t="s">
        <v>36757</v>
      </c>
      <c r="C3956">
        <f>0.37827689218</f>
        <v>0.37827689217999999</v>
      </c>
      <c r="D3956">
        <v>0.99999922956099996</v>
      </c>
      <c r="E3956">
        <v>24</v>
      </c>
    </row>
    <row r="3957" spans="1:5">
      <c r="A3957" t="s">
        <v>36750</v>
      </c>
      <c r="B3957" t="s">
        <v>36758</v>
      </c>
      <c r="C3957">
        <v>0.100978886033</v>
      </c>
      <c r="D3957">
        <v>0.99999922956099996</v>
      </c>
      <c r="E3957">
        <v>24</v>
      </c>
    </row>
    <row r="3958" spans="1:5">
      <c r="A3958" t="s">
        <v>36759</v>
      </c>
      <c r="B3958" t="s">
        <v>33665</v>
      </c>
      <c r="C3958">
        <f>0</f>
        <v>0</v>
      </c>
      <c r="D3958">
        <v>0.831368581557</v>
      </c>
      <c r="E3958">
        <v>22.103999999999999</v>
      </c>
    </row>
    <row r="3959" spans="1:5">
      <c r="A3959" t="s">
        <v>36759</v>
      </c>
      <c r="B3959" t="s">
        <v>33670</v>
      </c>
      <c r="C3959">
        <f>0.203928794063</f>
        <v>0.20392879406299999</v>
      </c>
      <c r="D3959">
        <v>0.831368581557</v>
      </c>
      <c r="E3959">
        <v>22.103999999999999</v>
      </c>
    </row>
    <row r="3960" spans="1:5">
      <c r="A3960" t="s">
        <v>36759</v>
      </c>
      <c r="B3960" t="s">
        <v>33671</v>
      </c>
      <c r="C3960">
        <v>0</v>
      </c>
      <c r="D3960">
        <v>0.831368581557</v>
      </c>
      <c r="E3960">
        <v>22.103999999999999</v>
      </c>
    </row>
    <row r="3961" spans="1:5">
      <c r="A3961" t="s">
        <v>36759</v>
      </c>
      <c r="B3961" t="s">
        <v>33668</v>
      </c>
      <c r="C3961">
        <v>0</v>
      </c>
      <c r="D3961">
        <v>0.831368581557</v>
      </c>
      <c r="E3961">
        <v>22.103999999999999</v>
      </c>
    </row>
    <row r="3962" spans="1:5">
      <c r="A3962" t="s">
        <v>36759</v>
      </c>
      <c r="B3962" t="s">
        <v>33669</v>
      </c>
      <c r="C3962">
        <f>0.560769718589</f>
        <v>0.56076971858900004</v>
      </c>
      <c r="D3962">
        <v>0.831368581557</v>
      </c>
      <c r="E3962">
        <v>22.103999999999999</v>
      </c>
    </row>
    <row r="3963" spans="1:5">
      <c r="A3963" t="s">
        <v>36760</v>
      </c>
      <c r="B3963" t="s">
        <v>5108</v>
      </c>
      <c r="C3963">
        <v>1.6468689754100001</v>
      </c>
      <c r="D3963">
        <v>0.99817033985500003</v>
      </c>
      <c r="E3963">
        <v>1.452</v>
      </c>
    </row>
    <row r="3964" spans="1:5">
      <c r="A3964" t="s">
        <v>36760</v>
      </c>
      <c r="B3964" t="s">
        <v>5110</v>
      </c>
      <c r="C3964">
        <f>0.819939377648</f>
        <v>0.81993937764799996</v>
      </c>
      <c r="D3964">
        <v>0.99817033985500003</v>
      </c>
      <c r="E3964">
        <v>1.452</v>
      </c>
    </row>
    <row r="3965" spans="1:5">
      <c r="A3965" t="s">
        <v>36760</v>
      </c>
      <c r="B3965" t="s">
        <v>5109</v>
      </c>
      <c r="C3965">
        <v>3.9804009042299998E-2</v>
      </c>
      <c r="D3965">
        <v>0.99817033985500003</v>
      </c>
      <c r="E3965">
        <v>1.452</v>
      </c>
    </row>
    <row r="3966" spans="1:5">
      <c r="A3966" t="s">
        <v>36761</v>
      </c>
      <c r="B3966" t="s">
        <v>36762</v>
      </c>
      <c r="C3966">
        <v>0</v>
      </c>
      <c r="D3966">
        <v>0.85928329505000001</v>
      </c>
      <c r="E3966">
        <v>9.0180000000000007</v>
      </c>
    </row>
    <row r="3967" spans="1:5">
      <c r="A3967" t="s">
        <v>36761</v>
      </c>
      <c r="B3967" t="s">
        <v>36763</v>
      </c>
      <c r="C3967">
        <v>0.41205579791199998</v>
      </c>
      <c r="D3967">
        <v>0.85928329505000001</v>
      </c>
      <c r="E3967">
        <v>9.0180000000000007</v>
      </c>
    </row>
    <row r="3968" spans="1:5">
      <c r="A3968" t="s">
        <v>36761</v>
      </c>
      <c r="B3968" t="s">
        <v>36764</v>
      </c>
      <c r="C3968">
        <v>0</v>
      </c>
      <c r="D3968">
        <v>0.85928329505000001</v>
      </c>
      <c r="E3968">
        <v>9.0180000000000007</v>
      </c>
    </row>
    <row r="3969" spans="1:5">
      <c r="A3969" t="s">
        <v>36761</v>
      </c>
      <c r="B3969" t="s">
        <v>36765</v>
      </c>
      <c r="C3969">
        <v>0</v>
      </c>
      <c r="D3969">
        <v>0.85928329505000001</v>
      </c>
      <c r="E3969">
        <v>9.0180000000000007</v>
      </c>
    </row>
    <row r="3970" spans="1:5">
      <c r="A3970" t="s">
        <v>36761</v>
      </c>
      <c r="B3970" t="s">
        <v>36766</v>
      </c>
      <c r="C3970">
        <v>0.11835982833100001</v>
      </c>
      <c r="D3970">
        <v>0.85928329505000001</v>
      </c>
      <c r="E3970">
        <v>9.0180000000000007</v>
      </c>
    </row>
    <row r="3971" spans="1:5">
      <c r="A3971" t="s">
        <v>36761</v>
      </c>
      <c r="B3971" t="s">
        <v>36767</v>
      </c>
      <c r="C3971">
        <v>0.34991255445500002</v>
      </c>
      <c r="D3971">
        <v>0.85928329505000001</v>
      </c>
      <c r="E3971">
        <v>9.0180000000000007</v>
      </c>
    </row>
    <row r="3972" spans="1:5">
      <c r="A3972" t="s">
        <v>36768</v>
      </c>
      <c r="B3972" t="s">
        <v>36769</v>
      </c>
      <c r="C3972">
        <v>0.21032645412199999</v>
      </c>
      <c r="D3972">
        <v>0.94903423890399996</v>
      </c>
      <c r="E3972">
        <v>6.18</v>
      </c>
    </row>
    <row r="3973" spans="1:5">
      <c r="A3973" t="s">
        <v>36768</v>
      </c>
      <c r="B3973" t="s">
        <v>36770</v>
      </c>
      <c r="C3973">
        <v>0.87640454611800001</v>
      </c>
      <c r="D3973">
        <v>0.94903423890399996</v>
      </c>
      <c r="E3973">
        <v>6.18</v>
      </c>
    </row>
    <row r="3974" spans="1:5">
      <c r="A3974" t="s">
        <v>36768</v>
      </c>
      <c r="B3974" t="s">
        <v>36771</v>
      </c>
      <c r="C3974">
        <f>0.167038502401</f>
        <v>0.16703850240099999</v>
      </c>
      <c r="D3974">
        <v>0.94903423890399996</v>
      </c>
      <c r="E3974">
        <v>6.18</v>
      </c>
    </row>
    <row r="3975" spans="1:5">
      <c r="A3975" t="s">
        <v>36768</v>
      </c>
      <c r="B3975" t="s">
        <v>36772</v>
      </c>
      <c r="C3975">
        <v>8.2993650280399997E-2</v>
      </c>
      <c r="D3975">
        <v>0.94903423890399996</v>
      </c>
      <c r="E3975">
        <v>6.18</v>
      </c>
    </row>
    <row r="3976" spans="1:5">
      <c r="A3976" t="s">
        <v>36768</v>
      </c>
      <c r="B3976" t="s">
        <v>36773</v>
      </c>
      <c r="C3976">
        <v>0.258203636545</v>
      </c>
      <c r="D3976">
        <v>0.94903423890399996</v>
      </c>
      <c r="E3976">
        <v>6.18</v>
      </c>
    </row>
    <row r="3977" spans="1:5">
      <c r="A3977" t="s">
        <v>36774</v>
      </c>
      <c r="B3977" t="s">
        <v>36775</v>
      </c>
      <c r="C3977">
        <v>0</v>
      </c>
      <c r="D3977" t="s">
        <v>106</v>
      </c>
      <c r="E3977">
        <v>2.3279999999999998</v>
      </c>
    </row>
    <row r="3978" spans="1:5">
      <c r="A3978" t="s">
        <v>36774</v>
      </c>
      <c r="B3978" t="s">
        <v>36776</v>
      </c>
      <c r="C3978">
        <v>0</v>
      </c>
      <c r="D3978" t="s">
        <v>106</v>
      </c>
      <c r="E3978">
        <v>2.3279999999999998</v>
      </c>
    </row>
    <row r="3979" spans="1:5">
      <c r="A3979" t="s">
        <v>36774</v>
      </c>
      <c r="B3979" t="s">
        <v>36777</v>
      </c>
      <c r="C3979">
        <v>0</v>
      </c>
      <c r="D3979" t="s">
        <v>106</v>
      </c>
      <c r="E3979">
        <v>2.3279999999999998</v>
      </c>
    </row>
    <row r="3980" spans="1:5">
      <c r="A3980" t="s">
        <v>36774</v>
      </c>
      <c r="B3980" t="s">
        <v>36778</v>
      </c>
      <c r="C3980">
        <v>0</v>
      </c>
      <c r="D3980" t="s">
        <v>106</v>
      </c>
      <c r="E3980">
        <v>2.3279999999999998</v>
      </c>
    </row>
    <row r="3981" spans="1:5">
      <c r="A3981" t="s">
        <v>36779</v>
      </c>
      <c r="B3981" t="s">
        <v>31556</v>
      </c>
      <c r="C3981">
        <v>0.64140399994899999</v>
      </c>
      <c r="D3981">
        <v>0.89533041564500004</v>
      </c>
      <c r="E3981">
        <v>24</v>
      </c>
    </row>
    <row r="3982" spans="1:5">
      <c r="A3982" t="s">
        <v>36779</v>
      </c>
      <c r="B3982" t="s">
        <v>31562</v>
      </c>
      <c r="C3982">
        <v>0</v>
      </c>
      <c r="D3982">
        <v>0.89533041564500004</v>
      </c>
      <c r="E3982">
        <v>24</v>
      </c>
    </row>
    <row r="3983" spans="1:5">
      <c r="A3983" t="s">
        <v>36779</v>
      </c>
      <c r="B3983" t="s">
        <v>31555</v>
      </c>
      <c r="C3983">
        <f>0</f>
        <v>0</v>
      </c>
      <c r="D3983">
        <v>0.89533041564500004</v>
      </c>
      <c r="E3983">
        <v>24</v>
      </c>
    </row>
    <row r="3984" spans="1:5">
      <c r="A3984" t="s">
        <v>36779</v>
      </c>
      <c r="B3984" t="s">
        <v>31554</v>
      </c>
      <c r="C3984">
        <v>0</v>
      </c>
      <c r="D3984">
        <v>0.89533041564500004</v>
      </c>
      <c r="E3984">
        <v>24</v>
      </c>
    </row>
    <row r="3985" spans="1:5">
      <c r="A3985" t="s">
        <v>36779</v>
      </c>
      <c r="B3985" t="s">
        <v>31561</v>
      </c>
      <c r="C3985">
        <v>0.24571942269300001</v>
      </c>
      <c r="D3985">
        <v>0.89533041564500004</v>
      </c>
      <c r="E3985">
        <v>24</v>
      </c>
    </row>
    <row r="3986" spans="1:5">
      <c r="A3986" t="s">
        <v>36779</v>
      </c>
      <c r="B3986" t="s">
        <v>31563</v>
      </c>
      <c r="C3986">
        <v>0.31402348386700002</v>
      </c>
      <c r="D3986">
        <v>0.89533041564500004</v>
      </c>
      <c r="E3986">
        <v>24</v>
      </c>
    </row>
    <row r="3987" spans="1:5">
      <c r="A3987" t="s">
        <v>36779</v>
      </c>
      <c r="B3987" t="s">
        <v>31560</v>
      </c>
      <c r="C3987">
        <v>0</v>
      </c>
      <c r="D3987">
        <v>0.89533041564500004</v>
      </c>
      <c r="E3987">
        <v>24</v>
      </c>
    </row>
    <row r="3988" spans="1:5">
      <c r="A3988" t="s">
        <v>36779</v>
      </c>
      <c r="B3988" t="s">
        <v>31559</v>
      </c>
      <c r="C3988">
        <v>0</v>
      </c>
      <c r="D3988">
        <v>0.89533041564500004</v>
      </c>
      <c r="E3988">
        <v>24</v>
      </c>
    </row>
    <row r="3989" spans="1:5">
      <c r="A3989" t="s">
        <v>36780</v>
      </c>
      <c r="B3989" t="s">
        <v>36781</v>
      </c>
      <c r="C3989">
        <v>0</v>
      </c>
      <c r="D3989" t="s">
        <v>106</v>
      </c>
      <c r="E3989">
        <v>5.016</v>
      </c>
    </row>
    <row r="3990" spans="1:5">
      <c r="A3990" t="s">
        <v>36780</v>
      </c>
      <c r="B3990" t="s">
        <v>36782</v>
      </c>
      <c r="C3990">
        <f>0</f>
        <v>0</v>
      </c>
      <c r="D3990" t="s">
        <v>106</v>
      </c>
      <c r="E3990">
        <v>5.016</v>
      </c>
    </row>
    <row r="3991" spans="1:5">
      <c r="A3991" t="s">
        <v>36780</v>
      </c>
      <c r="B3991" t="s">
        <v>36783</v>
      </c>
      <c r="C3991">
        <f>0</f>
        <v>0</v>
      </c>
      <c r="D3991" t="s">
        <v>106</v>
      </c>
      <c r="E3991">
        <v>5.016</v>
      </c>
    </row>
    <row r="3992" spans="1:5">
      <c r="A3992" t="s">
        <v>36784</v>
      </c>
      <c r="B3992" t="s">
        <v>33079</v>
      </c>
      <c r="C3992">
        <f>0</f>
        <v>0</v>
      </c>
      <c r="D3992" t="s">
        <v>106</v>
      </c>
      <c r="E3992">
        <v>17.513999999999999</v>
      </c>
    </row>
    <row r="3993" spans="1:5">
      <c r="A3993" t="s">
        <v>36784</v>
      </c>
      <c r="B3993" t="s">
        <v>33081</v>
      </c>
      <c r="C3993">
        <f>0</f>
        <v>0</v>
      </c>
      <c r="D3993" t="s">
        <v>106</v>
      </c>
      <c r="E3993">
        <v>17.513999999999999</v>
      </c>
    </row>
    <row r="3994" spans="1:5">
      <c r="A3994" t="s">
        <v>36784</v>
      </c>
      <c r="B3994" t="s">
        <v>33087</v>
      </c>
      <c r="C3994">
        <v>0</v>
      </c>
      <c r="D3994" t="s">
        <v>106</v>
      </c>
      <c r="E3994">
        <v>17.513999999999999</v>
      </c>
    </row>
    <row r="3995" spans="1:5">
      <c r="A3995" t="s">
        <v>36784</v>
      </c>
      <c r="B3995" t="s">
        <v>33078</v>
      </c>
      <c r="C3995">
        <f>0</f>
        <v>0</v>
      </c>
      <c r="D3995" t="s">
        <v>106</v>
      </c>
      <c r="E3995">
        <v>17.513999999999999</v>
      </c>
    </row>
    <row r="3996" spans="1:5">
      <c r="A3996" t="s">
        <v>36784</v>
      </c>
      <c r="B3996" t="s">
        <v>33085</v>
      </c>
      <c r="C3996">
        <f>0</f>
        <v>0</v>
      </c>
      <c r="D3996" t="s">
        <v>106</v>
      </c>
      <c r="E3996">
        <v>17.513999999999999</v>
      </c>
    </row>
    <row r="3997" spans="1:5">
      <c r="A3997" t="s">
        <v>36784</v>
      </c>
      <c r="B3997" t="s">
        <v>33088</v>
      </c>
      <c r="C3997">
        <v>0</v>
      </c>
      <c r="D3997" t="s">
        <v>106</v>
      </c>
      <c r="E3997">
        <v>17.513999999999999</v>
      </c>
    </row>
    <row r="3998" spans="1:5">
      <c r="A3998" t="s">
        <v>36784</v>
      </c>
      <c r="B3998" t="s">
        <v>33083</v>
      </c>
      <c r="C3998">
        <v>0</v>
      </c>
      <c r="D3998" t="s">
        <v>106</v>
      </c>
      <c r="E3998">
        <v>17.513999999999999</v>
      </c>
    </row>
    <row r="3999" spans="1:5">
      <c r="A3999" t="s">
        <v>36784</v>
      </c>
      <c r="B3999" t="s">
        <v>33084</v>
      </c>
      <c r="C3999">
        <v>0</v>
      </c>
      <c r="D3999" t="s">
        <v>106</v>
      </c>
      <c r="E3999">
        <v>17.513999999999999</v>
      </c>
    </row>
    <row r="4000" spans="1:5">
      <c r="A4000" t="s">
        <v>36785</v>
      </c>
      <c r="B4000" t="s">
        <v>11485</v>
      </c>
      <c r="C4000">
        <f>0</f>
        <v>0</v>
      </c>
      <c r="D4000" t="s">
        <v>106</v>
      </c>
      <c r="E4000">
        <v>16.097999999999999</v>
      </c>
    </row>
    <row r="4001" spans="1:5">
      <c r="A4001" t="s">
        <v>36785</v>
      </c>
      <c r="B4001" t="s">
        <v>11484</v>
      </c>
      <c r="C4001">
        <f>0</f>
        <v>0</v>
      </c>
      <c r="D4001" t="s">
        <v>106</v>
      </c>
      <c r="E4001">
        <v>16.097999999999999</v>
      </c>
    </row>
    <row r="4002" spans="1:5">
      <c r="A4002" t="s">
        <v>36786</v>
      </c>
      <c r="B4002" t="s">
        <v>36787</v>
      </c>
      <c r="C4002">
        <f>0</f>
        <v>0</v>
      </c>
      <c r="D4002" t="s">
        <v>106</v>
      </c>
      <c r="E4002">
        <v>8.2919999999999998</v>
      </c>
    </row>
    <row r="4003" spans="1:5">
      <c r="A4003" t="s">
        <v>36786</v>
      </c>
      <c r="B4003" t="s">
        <v>36788</v>
      </c>
      <c r="C4003">
        <f>0</f>
        <v>0</v>
      </c>
      <c r="D4003" t="s">
        <v>106</v>
      </c>
      <c r="E4003">
        <v>8.2919999999999998</v>
      </c>
    </row>
    <row r="4004" spans="1:5">
      <c r="A4004" t="s">
        <v>36786</v>
      </c>
      <c r="B4004" t="s">
        <v>36789</v>
      </c>
      <c r="C4004">
        <f>0</f>
        <v>0</v>
      </c>
      <c r="D4004" t="s">
        <v>106</v>
      </c>
      <c r="E4004">
        <v>8.2919999999999998</v>
      </c>
    </row>
    <row r="4005" spans="1:5">
      <c r="A4005" t="s">
        <v>36786</v>
      </c>
      <c r="B4005" t="s">
        <v>36790</v>
      </c>
      <c r="C4005">
        <v>0</v>
      </c>
      <c r="D4005" t="s">
        <v>106</v>
      </c>
      <c r="E4005">
        <v>8.2919999999999998</v>
      </c>
    </row>
    <row r="4006" spans="1:5">
      <c r="A4006" t="s">
        <v>36786</v>
      </c>
      <c r="B4006" t="s">
        <v>36791</v>
      </c>
      <c r="C4006">
        <f>0</f>
        <v>0</v>
      </c>
      <c r="D4006" t="s">
        <v>106</v>
      </c>
      <c r="E4006">
        <v>8.2919999999999998</v>
      </c>
    </row>
    <row r="4007" spans="1:5">
      <c r="A4007" t="s">
        <v>36792</v>
      </c>
      <c r="B4007" t="s">
        <v>23740</v>
      </c>
      <c r="C4007">
        <f>0</f>
        <v>0</v>
      </c>
      <c r="D4007" t="s">
        <v>106</v>
      </c>
      <c r="E4007">
        <v>16.494</v>
      </c>
    </row>
    <row r="4008" spans="1:5">
      <c r="A4008" t="s">
        <v>36792</v>
      </c>
      <c r="B4008" t="s">
        <v>23742</v>
      </c>
      <c r="C4008">
        <v>0</v>
      </c>
      <c r="D4008" t="s">
        <v>106</v>
      </c>
      <c r="E4008">
        <v>16.494</v>
      </c>
    </row>
    <row r="4009" spans="1:5">
      <c r="A4009" t="s">
        <v>36792</v>
      </c>
      <c r="B4009" t="s">
        <v>23739</v>
      </c>
      <c r="C4009">
        <v>0</v>
      </c>
      <c r="D4009" t="s">
        <v>106</v>
      </c>
      <c r="E4009">
        <v>16.494</v>
      </c>
    </row>
    <row r="4010" spans="1:5">
      <c r="A4010" t="s">
        <v>36792</v>
      </c>
      <c r="B4010" t="s">
        <v>23741</v>
      </c>
      <c r="C4010">
        <f>0</f>
        <v>0</v>
      </c>
      <c r="D4010" t="s">
        <v>106</v>
      </c>
      <c r="E4010">
        <v>16.494</v>
      </c>
    </row>
    <row r="4011" spans="1:5">
      <c r="A4011" t="s">
        <v>36792</v>
      </c>
      <c r="B4011" t="s">
        <v>23747</v>
      </c>
      <c r="C4011">
        <v>0</v>
      </c>
      <c r="D4011" t="s">
        <v>106</v>
      </c>
      <c r="E4011">
        <v>16.494</v>
      </c>
    </row>
    <row r="4012" spans="1:5">
      <c r="A4012" t="s">
        <v>36792</v>
      </c>
      <c r="B4012" t="s">
        <v>23745</v>
      </c>
      <c r="C4012">
        <v>0</v>
      </c>
      <c r="D4012" t="s">
        <v>106</v>
      </c>
      <c r="E4012">
        <v>16.494</v>
      </c>
    </row>
    <row r="4013" spans="1:5">
      <c r="A4013" t="s">
        <v>36792</v>
      </c>
      <c r="B4013" t="s">
        <v>23743</v>
      </c>
      <c r="C4013">
        <v>0</v>
      </c>
      <c r="D4013" t="s">
        <v>106</v>
      </c>
      <c r="E4013">
        <v>16.494</v>
      </c>
    </row>
    <row r="4014" spans="1:5">
      <c r="A4014" t="s">
        <v>36793</v>
      </c>
      <c r="B4014" t="s">
        <v>31898</v>
      </c>
      <c r="C4014">
        <f>0</f>
        <v>0</v>
      </c>
      <c r="D4014" t="s">
        <v>106</v>
      </c>
      <c r="E4014">
        <v>1.1160000000000001</v>
      </c>
    </row>
    <row r="4015" spans="1:5">
      <c r="A4015" t="s">
        <v>36793</v>
      </c>
      <c r="B4015" t="s">
        <v>31900</v>
      </c>
      <c r="C4015">
        <f>0</f>
        <v>0</v>
      </c>
      <c r="D4015" t="s">
        <v>106</v>
      </c>
      <c r="E4015">
        <v>1.1160000000000001</v>
      </c>
    </row>
    <row r="4016" spans="1:5">
      <c r="A4016" t="s">
        <v>36794</v>
      </c>
      <c r="B4016" t="s">
        <v>30120</v>
      </c>
      <c r="C4016">
        <v>0</v>
      </c>
      <c r="D4016" t="s">
        <v>106</v>
      </c>
      <c r="E4016">
        <v>7.2</v>
      </c>
    </row>
    <row r="4017" spans="1:5">
      <c r="A4017" t="s">
        <v>36794</v>
      </c>
      <c r="B4017" t="s">
        <v>30121</v>
      </c>
      <c r="C4017">
        <v>0</v>
      </c>
      <c r="D4017" t="s">
        <v>106</v>
      </c>
      <c r="E4017">
        <v>7.2</v>
      </c>
    </row>
    <row r="4018" spans="1:5">
      <c r="A4018" t="s">
        <v>36795</v>
      </c>
      <c r="B4018" t="s">
        <v>33650</v>
      </c>
      <c r="C4018">
        <v>0.36350788072899998</v>
      </c>
      <c r="D4018">
        <v>0.90843673717999995</v>
      </c>
      <c r="E4018">
        <v>24</v>
      </c>
    </row>
    <row r="4019" spans="1:5">
      <c r="A4019" t="s">
        <v>36795</v>
      </c>
      <c r="B4019" t="s">
        <v>33653</v>
      </c>
      <c r="C4019">
        <f>0.217838653306</f>
        <v>0.217838653306</v>
      </c>
      <c r="D4019">
        <v>0.90843673717999995</v>
      </c>
      <c r="E4019">
        <v>24</v>
      </c>
    </row>
    <row r="4020" spans="1:5">
      <c r="A4020" t="s">
        <v>36795</v>
      </c>
      <c r="B4020" t="s">
        <v>33652</v>
      </c>
      <c r="C4020">
        <v>0.73458069819399996</v>
      </c>
      <c r="D4020">
        <v>0.90843673717999995</v>
      </c>
      <c r="E4020">
        <v>24</v>
      </c>
    </row>
    <row r="4021" spans="1:5">
      <c r="A4021" t="s">
        <v>36795</v>
      </c>
      <c r="B4021" t="s">
        <v>33651</v>
      </c>
      <c r="C4021">
        <f>0.0574289808964</f>
        <v>5.74289808964E-2</v>
      </c>
      <c r="D4021">
        <v>0.90843673717999995</v>
      </c>
      <c r="E4021">
        <v>24</v>
      </c>
    </row>
    <row r="4022" spans="1:5">
      <c r="A4022" t="s">
        <v>36796</v>
      </c>
      <c r="B4022" t="s">
        <v>36797</v>
      </c>
      <c r="C4022">
        <v>0.338204980037</v>
      </c>
      <c r="D4022">
        <v>0.83215268577299994</v>
      </c>
      <c r="E4022">
        <v>0.26400000000000001</v>
      </c>
    </row>
    <row r="4023" spans="1:5">
      <c r="A4023" t="s">
        <v>36796</v>
      </c>
      <c r="B4023" t="s">
        <v>36798</v>
      </c>
      <c r="C4023">
        <v>0.41407282783900001</v>
      </c>
      <c r="D4023">
        <v>0.83215268577299994</v>
      </c>
      <c r="E4023">
        <v>0.26400000000000001</v>
      </c>
    </row>
    <row r="4024" spans="1:5">
      <c r="A4024" t="s">
        <v>36799</v>
      </c>
      <c r="B4024" t="s">
        <v>33655</v>
      </c>
      <c r="C4024">
        <v>0</v>
      </c>
      <c r="D4024" t="s">
        <v>106</v>
      </c>
      <c r="E4024">
        <v>6.4260000000000002</v>
      </c>
    </row>
    <row r="4025" spans="1:5">
      <c r="A4025" t="s">
        <v>36799</v>
      </c>
      <c r="B4025" t="s">
        <v>33658</v>
      </c>
      <c r="C4025">
        <v>0</v>
      </c>
      <c r="D4025" t="s">
        <v>106</v>
      </c>
      <c r="E4025">
        <v>6.4260000000000002</v>
      </c>
    </row>
    <row r="4026" spans="1:5">
      <c r="A4026" t="s">
        <v>36799</v>
      </c>
      <c r="B4026" t="s">
        <v>33663</v>
      </c>
      <c r="C4026">
        <v>0</v>
      </c>
      <c r="D4026" t="s">
        <v>106</v>
      </c>
      <c r="E4026">
        <v>6.4260000000000002</v>
      </c>
    </row>
    <row r="4027" spans="1:5">
      <c r="A4027" t="s">
        <v>36799</v>
      </c>
      <c r="B4027" t="s">
        <v>33660</v>
      </c>
      <c r="C4027">
        <f>0</f>
        <v>0</v>
      </c>
      <c r="D4027" t="s">
        <v>106</v>
      </c>
      <c r="E4027">
        <v>6.4260000000000002</v>
      </c>
    </row>
    <row r="4028" spans="1:5">
      <c r="A4028" t="s">
        <v>36799</v>
      </c>
      <c r="B4028" t="s">
        <v>33656</v>
      </c>
      <c r="C4028">
        <v>0</v>
      </c>
      <c r="D4028" t="s">
        <v>106</v>
      </c>
      <c r="E4028">
        <v>6.4260000000000002</v>
      </c>
    </row>
    <row r="4029" spans="1:5">
      <c r="A4029" t="s">
        <v>36799</v>
      </c>
      <c r="B4029" t="s">
        <v>33662</v>
      </c>
      <c r="C4029">
        <f>0</f>
        <v>0</v>
      </c>
      <c r="D4029" t="s">
        <v>106</v>
      </c>
      <c r="E4029">
        <v>6.4260000000000002</v>
      </c>
    </row>
    <row r="4030" spans="1:5">
      <c r="A4030" t="s">
        <v>36800</v>
      </c>
      <c r="B4030" t="s">
        <v>309</v>
      </c>
      <c r="C4030">
        <v>0</v>
      </c>
      <c r="D4030">
        <v>0.54124265978800001</v>
      </c>
      <c r="E4030">
        <v>6.06</v>
      </c>
    </row>
    <row r="4031" spans="1:5">
      <c r="A4031" t="s">
        <v>36800</v>
      </c>
      <c r="B4031" t="s">
        <v>312</v>
      </c>
      <c r="C4031">
        <v>0</v>
      </c>
      <c r="D4031">
        <v>0.54124265978800001</v>
      </c>
      <c r="E4031">
        <v>6.06</v>
      </c>
    </row>
    <row r="4032" spans="1:5">
      <c r="A4032" t="s">
        <v>36800</v>
      </c>
      <c r="B4032" t="s">
        <v>315</v>
      </c>
      <c r="C4032">
        <f>0.0171610802536</f>
        <v>1.7161080253600001E-2</v>
      </c>
      <c r="D4032">
        <v>0.54124265978800001</v>
      </c>
      <c r="E4032">
        <v>6.06</v>
      </c>
    </row>
    <row r="4033" spans="1:5">
      <c r="A4033" t="s">
        <v>36800</v>
      </c>
      <c r="B4033" t="s">
        <v>313</v>
      </c>
      <c r="C4033">
        <v>9.1396338842099994E-2</v>
      </c>
      <c r="D4033">
        <v>0.54124265978800001</v>
      </c>
      <c r="E4033">
        <v>6.06</v>
      </c>
    </row>
    <row r="4034" spans="1:5">
      <c r="A4034" t="s">
        <v>36801</v>
      </c>
      <c r="B4034" t="s">
        <v>36802</v>
      </c>
      <c r="C4034">
        <v>0</v>
      </c>
      <c r="D4034">
        <v>0.812927805354</v>
      </c>
      <c r="E4034">
        <v>1.452</v>
      </c>
    </row>
    <row r="4035" spans="1:5">
      <c r="A4035" t="s">
        <v>36801</v>
      </c>
      <c r="B4035" t="s">
        <v>36803</v>
      </c>
      <c r="C4035">
        <v>3.0298560314600001E-2</v>
      </c>
      <c r="D4035">
        <v>0.812927805354</v>
      </c>
      <c r="E4035">
        <v>1.452</v>
      </c>
    </row>
    <row r="4036" spans="1:5">
      <c r="A4036" t="s">
        <v>36801</v>
      </c>
      <c r="B4036" t="s">
        <v>36804</v>
      </c>
      <c r="C4036">
        <v>1.8395949360599999E-2</v>
      </c>
      <c r="D4036">
        <v>0.812927805354</v>
      </c>
      <c r="E4036">
        <v>1.452</v>
      </c>
    </row>
    <row r="4037" spans="1:5">
      <c r="A4037" t="s">
        <v>36801</v>
      </c>
      <c r="B4037" t="s">
        <v>36805</v>
      </c>
      <c r="C4037">
        <v>0</v>
      </c>
      <c r="D4037">
        <v>0.812927805354</v>
      </c>
      <c r="E4037">
        <v>1.452</v>
      </c>
    </row>
    <row r="4038" spans="1:5">
      <c r="A4038" t="s">
        <v>36801</v>
      </c>
      <c r="B4038" t="s">
        <v>36806</v>
      </c>
      <c r="C4038">
        <v>0.63662437811299999</v>
      </c>
      <c r="D4038">
        <v>0.812927805354</v>
      </c>
      <c r="E4038">
        <v>1.452</v>
      </c>
    </row>
    <row r="4039" spans="1:5">
      <c r="A4039" t="s">
        <v>36807</v>
      </c>
      <c r="B4039" t="s">
        <v>3540</v>
      </c>
      <c r="C4039">
        <v>0.14752766583099999</v>
      </c>
      <c r="D4039">
        <v>0.86092147355799997</v>
      </c>
      <c r="E4039">
        <v>6.4260000000000002</v>
      </c>
    </row>
    <row r="4040" spans="1:5">
      <c r="A4040" t="s">
        <v>36807</v>
      </c>
      <c r="B4040" t="s">
        <v>3539</v>
      </c>
      <c r="C4040">
        <v>0.47873381684400002</v>
      </c>
      <c r="D4040">
        <v>0.86092147355799997</v>
      </c>
      <c r="E4040">
        <v>6.4260000000000002</v>
      </c>
    </row>
    <row r="4041" spans="1:5">
      <c r="A4041" t="s">
        <v>36807</v>
      </c>
      <c r="B4041" t="s">
        <v>3542</v>
      </c>
      <c r="C4041">
        <v>0</v>
      </c>
      <c r="D4041">
        <v>0.86092147355799997</v>
      </c>
      <c r="E4041">
        <v>6.4260000000000002</v>
      </c>
    </row>
    <row r="4042" spans="1:5">
      <c r="A4042" t="s">
        <v>36807</v>
      </c>
      <c r="B4042" t="s">
        <v>3543</v>
      </c>
      <c r="C4042">
        <v>8.0555887130999999E-3</v>
      </c>
      <c r="D4042">
        <v>0.86092147355799997</v>
      </c>
      <c r="E4042">
        <v>6.4260000000000002</v>
      </c>
    </row>
    <row r="4043" spans="1:5">
      <c r="A4043" t="s">
        <v>36807</v>
      </c>
      <c r="B4043" t="s">
        <v>3544</v>
      </c>
      <c r="C4043">
        <v>0</v>
      </c>
      <c r="D4043">
        <v>0.86092147355799997</v>
      </c>
      <c r="E4043">
        <v>6.4260000000000002</v>
      </c>
    </row>
    <row r="4044" spans="1:5">
      <c r="A4044" t="s">
        <v>36807</v>
      </c>
      <c r="B4044" t="s">
        <v>3545</v>
      </c>
      <c r="C4044">
        <v>0.34610654656099998</v>
      </c>
      <c r="D4044">
        <v>0.86092147355799997</v>
      </c>
      <c r="E4044">
        <v>6.4260000000000002</v>
      </c>
    </row>
    <row r="4045" spans="1:5">
      <c r="A4045" t="s">
        <v>36808</v>
      </c>
      <c r="B4045" t="s">
        <v>31928</v>
      </c>
      <c r="C4045">
        <f>0</f>
        <v>0</v>
      </c>
      <c r="D4045">
        <v>0.92237921044000004</v>
      </c>
      <c r="E4045">
        <v>0.504</v>
      </c>
    </row>
    <row r="4046" spans="1:5">
      <c r="A4046" t="s">
        <v>36808</v>
      </c>
      <c r="B4046" t="s">
        <v>31927</v>
      </c>
      <c r="C4046">
        <v>0</v>
      </c>
      <c r="D4046">
        <v>0.92237921044000004</v>
      </c>
      <c r="E4046">
        <v>0.504</v>
      </c>
    </row>
    <row r="4047" spans="1:5">
      <c r="A4047" t="s">
        <v>36808</v>
      </c>
      <c r="B4047" t="s">
        <v>31932</v>
      </c>
      <c r="C4047">
        <v>8.0426750805999998E-3</v>
      </c>
      <c r="D4047">
        <v>0.92237921044000004</v>
      </c>
      <c r="E4047">
        <v>0.504</v>
      </c>
    </row>
    <row r="4048" spans="1:5">
      <c r="A4048" t="s">
        <v>36808</v>
      </c>
      <c r="B4048" t="s">
        <v>31936</v>
      </c>
      <c r="C4048">
        <v>0.83713803917999996</v>
      </c>
      <c r="D4048">
        <v>0.92237921044000004</v>
      </c>
      <c r="E4048">
        <v>0.504</v>
      </c>
    </row>
    <row r="4049" spans="1:5">
      <c r="A4049" t="s">
        <v>36808</v>
      </c>
      <c r="B4049" t="s">
        <v>31935</v>
      </c>
      <c r="C4049">
        <f>0</f>
        <v>0</v>
      </c>
      <c r="D4049">
        <v>0.92237921044000004</v>
      </c>
      <c r="E4049">
        <v>0.504</v>
      </c>
    </row>
    <row r="4050" spans="1:5">
      <c r="A4050" t="s">
        <v>36808</v>
      </c>
      <c r="B4050" t="s">
        <v>31934</v>
      </c>
      <c r="C4050">
        <v>0</v>
      </c>
      <c r="D4050">
        <v>0.92237921044000004</v>
      </c>
      <c r="E4050">
        <v>0.504</v>
      </c>
    </row>
    <row r="4051" spans="1:5">
      <c r="A4051" t="s">
        <v>36808</v>
      </c>
      <c r="B4051" t="s">
        <v>31933</v>
      </c>
      <c r="C4051">
        <v>0</v>
      </c>
      <c r="D4051">
        <v>0.92237921044000004</v>
      </c>
      <c r="E4051">
        <v>0.504</v>
      </c>
    </row>
    <row r="4052" spans="1:5">
      <c r="A4052" t="s">
        <v>36808</v>
      </c>
      <c r="B4052" t="s">
        <v>31938</v>
      </c>
      <c r="C4052">
        <v>0</v>
      </c>
      <c r="D4052">
        <v>0.92237921044000004</v>
      </c>
      <c r="E4052">
        <v>0.504</v>
      </c>
    </row>
    <row r="4053" spans="1:5">
      <c r="A4053" t="s">
        <v>36808</v>
      </c>
      <c r="B4053" t="s">
        <v>31931</v>
      </c>
      <c r="C4053">
        <f>0</f>
        <v>0</v>
      </c>
      <c r="D4053">
        <v>0.92237921044000004</v>
      </c>
      <c r="E4053">
        <v>0.504</v>
      </c>
    </row>
    <row r="4054" spans="1:5">
      <c r="A4054" t="s">
        <v>36808</v>
      </c>
      <c r="B4054" t="s">
        <v>31939</v>
      </c>
      <c r="C4054">
        <f>0</f>
        <v>0</v>
      </c>
      <c r="D4054">
        <v>0.92237921044000004</v>
      </c>
      <c r="E4054">
        <v>0.504</v>
      </c>
    </row>
    <row r="4055" spans="1:5">
      <c r="A4055" t="s">
        <v>36809</v>
      </c>
      <c r="B4055" t="s">
        <v>36810</v>
      </c>
      <c r="C4055">
        <v>0</v>
      </c>
      <c r="D4055" t="s">
        <v>106</v>
      </c>
      <c r="E4055">
        <v>12.048</v>
      </c>
    </row>
    <row r="4056" spans="1:5">
      <c r="A4056" t="s">
        <v>36809</v>
      </c>
      <c r="B4056" t="s">
        <v>36811</v>
      </c>
      <c r="C4056">
        <f>0</f>
        <v>0</v>
      </c>
      <c r="D4056" t="s">
        <v>106</v>
      </c>
      <c r="E4056">
        <v>12.048</v>
      </c>
    </row>
    <row r="4057" spans="1:5">
      <c r="A4057" t="s">
        <v>36809</v>
      </c>
      <c r="B4057" t="s">
        <v>36812</v>
      </c>
      <c r="C4057">
        <f>0</f>
        <v>0</v>
      </c>
      <c r="D4057" t="s">
        <v>106</v>
      </c>
      <c r="E4057">
        <v>12.048</v>
      </c>
    </row>
    <row r="4058" spans="1:5">
      <c r="A4058" t="s">
        <v>36813</v>
      </c>
      <c r="B4058" t="s">
        <v>31903</v>
      </c>
      <c r="C4058">
        <v>0</v>
      </c>
      <c r="D4058" t="s">
        <v>106</v>
      </c>
      <c r="E4058">
        <v>4.9080000000000004</v>
      </c>
    </row>
    <row r="4059" spans="1:5">
      <c r="A4059" t="s">
        <v>36813</v>
      </c>
      <c r="B4059" t="s">
        <v>31904</v>
      </c>
      <c r="C4059">
        <f>0</f>
        <v>0</v>
      </c>
      <c r="D4059" t="s">
        <v>106</v>
      </c>
      <c r="E4059">
        <v>4.9080000000000004</v>
      </c>
    </row>
    <row r="4060" spans="1:5">
      <c r="A4060" t="s">
        <v>36813</v>
      </c>
      <c r="B4060" t="s">
        <v>31902</v>
      </c>
      <c r="C4060">
        <v>0</v>
      </c>
      <c r="D4060" t="s">
        <v>106</v>
      </c>
      <c r="E4060">
        <v>4.9080000000000004</v>
      </c>
    </row>
    <row r="4061" spans="1:5">
      <c r="A4061" t="s">
        <v>36813</v>
      </c>
      <c r="B4061" t="s">
        <v>31908</v>
      </c>
      <c r="C4061">
        <f>0</f>
        <v>0</v>
      </c>
      <c r="D4061" t="s">
        <v>106</v>
      </c>
      <c r="E4061">
        <v>4.9080000000000004</v>
      </c>
    </row>
    <row r="4062" spans="1:5">
      <c r="A4062" t="s">
        <v>36813</v>
      </c>
      <c r="B4062" t="s">
        <v>31905</v>
      </c>
      <c r="C4062">
        <v>0</v>
      </c>
      <c r="D4062" t="s">
        <v>106</v>
      </c>
      <c r="E4062">
        <v>4.9080000000000004</v>
      </c>
    </row>
    <row r="4063" spans="1:5">
      <c r="A4063" t="s">
        <v>36813</v>
      </c>
      <c r="B4063" t="s">
        <v>31907</v>
      </c>
      <c r="C4063">
        <f>0</f>
        <v>0</v>
      </c>
      <c r="D4063" t="s">
        <v>106</v>
      </c>
      <c r="E4063">
        <v>4.9080000000000004</v>
      </c>
    </row>
    <row r="4064" spans="1:5">
      <c r="A4064" t="s">
        <v>36814</v>
      </c>
      <c r="B4064" t="s">
        <v>36815</v>
      </c>
      <c r="C4064">
        <f>0</f>
        <v>0</v>
      </c>
      <c r="D4064" t="s">
        <v>106</v>
      </c>
      <c r="E4064">
        <v>9.1679999999999993</v>
      </c>
    </row>
    <row r="4065" spans="1:5">
      <c r="A4065" t="s">
        <v>36814</v>
      </c>
      <c r="B4065" t="s">
        <v>36816</v>
      </c>
      <c r="C4065">
        <v>0</v>
      </c>
      <c r="D4065" t="s">
        <v>106</v>
      </c>
      <c r="E4065">
        <v>9.1679999999999993</v>
      </c>
    </row>
    <row r="4066" spans="1:5">
      <c r="A4066" t="s">
        <v>36814</v>
      </c>
      <c r="B4066" t="s">
        <v>36817</v>
      </c>
      <c r="C4066">
        <v>0</v>
      </c>
      <c r="D4066" t="s">
        <v>106</v>
      </c>
      <c r="E4066">
        <v>9.1679999999999993</v>
      </c>
    </row>
    <row r="4067" spans="1:5">
      <c r="A4067" t="s">
        <v>36814</v>
      </c>
      <c r="B4067" t="s">
        <v>36818</v>
      </c>
      <c r="C4067">
        <v>0</v>
      </c>
      <c r="D4067" t="s">
        <v>106</v>
      </c>
      <c r="E4067">
        <v>9.1679999999999993</v>
      </c>
    </row>
    <row r="4068" spans="1:5">
      <c r="A4068" t="s">
        <v>36814</v>
      </c>
      <c r="B4068" t="s">
        <v>36819</v>
      </c>
      <c r="C4068">
        <v>0</v>
      </c>
      <c r="D4068" t="s">
        <v>106</v>
      </c>
      <c r="E4068">
        <v>9.1679999999999993</v>
      </c>
    </row>
    <row r="4069" spans="1:5">
      <c r="A4069" t="s">
        <v>36820</v>
      </c>
      <c r="B4069" t="s">
        <v>33068</v>
      </c>
      <c r="C4069">
        <v>0</v>
      </c>
      <c r="D4069">
        <v>0.79897919457300004</v>
      </c>
      <c r="E4069">
        <v>0.96599999999999997</v>
      </c>
    </row>
    <row r="4070" spans="1:5">
      <c r="A4070" t="s">
        <v>36820</v>
      </c>
      <c r="B4070" t="s">
        <v>33076</v>
      </c>
      <c r="C4070">
        <v>0.127274681183</v>
      </c>
      <c r="D4070">
        <v>0.79897919457300004</v>
      </c>
      <c r="E4070">
        <v>0.96599999999999997</v>
      </c>
    </row>
    <row r="4071" spans="1:5">
      <c r="A4071" t="s">
        <v>36820</v>
      </c>
      <c r="B4071" t="s">
        <v>33073</v>
      </c>
      <c r="C4071">
        <v>0</v>
      </c>
      <c r="D4071">
        <v>0.79897919457300004</v>
      </c>
      <c r="E4071">
        <v>0.96599999999999997</v>
      </c>
    </row>
    <row r="4072" spans="1:5">
      <c r="A4072" t="s">
        <v>36820</v>
      </c>
      <c r="B4072" t="s">
        <v>33071</v>
      </c>
      <c r="C4072">
        <v>0</v>
      </c>
      <c r="D4072">
        <v>0.79897919457300004</v>
      </c>
      <c r="E4072">
        <v>0.96599999999999997</v>
      </c>
    </row>
    <row r="4073" spans="1:5">
      <c r="A4073" t="s">
        <v>36820</v>
      </c>
      <c r="B4073" t="s">
        <v>33075</v>
      </c>
      <c r="C4073">
        <v>0.44253790013799998</v>
      </c>
      <c r="D4073">
        <v>0.79897919457300004</v>
      </c>
      <c r="E4073">
        <v>0.96599999999999997</v>
      </c>
    </row>
    <row r="4074" spans="1:5">
      <c r="A4074" t="s">
        <v>36820</v>
      </c>
      <c r="B4074" t="s">
        <v>33072</v>
      </c>
      <c r="C4074">
        <v>0</v>
      </c>
      <c r="D4074">
        <v>0.79897919457300004</v>
      </c>
      <c r="E4074">
        <v>0.96599999999999997</v>
      </c>
    </row>
    <row r="4075" spans="1:5">
      <c r="A4075" t="s">
        <v>36820</v>
      </c>
      <c r="B4075" t="s">
        <v>33070</v>
      </c>
      <c r="C4075">
        <v>0</v>
      </c>
      <c r="D4075">
        <v>0.79897919457300004</v>
      </c>
      <c r="E4075">
        <v>0.96599999999999997</v>
      </c>
    </row>
    <row r="4076" spans="1:5">
      <c r="A4076" t="s">
        <v>36821</v>
      </c>
      <c r="B4076" t="s">
        <v>20559</v>
      </c>
      <c r="C4076">
        <v>0</v>
      </c>
      <c r="D4076" t="s">
        <v>106</v>
      </c>
      <c r="E4076">
        <v>23.754000000000001</v>
      </c>
    </row>
    <row r="4077" spans="1:5">
      <c r="A4077" t="s">
        <v>36821</v>
      </c>
      <c r="B4077" t="s">
        <v>20562</v>
      </c>
      <c r="C4077">
        <f>0</f>
        <v>0</v>
      </c>
      <c r="D4077" t="s">
        <v>106</v>
      </c>
      <c r="E4077">
        <v>23.754000000000001</v>
      </c>
    </row>
    <row r="4078" spans="1:5">
      <c r="A4078" t="s">
        <v>36821</v>
      </c>
      <c r="B4078" t="s">
        <v>20561</v>
      </c>
      <c r="C4078">
        <f>0</f>
        <v>0</v>
      </c>
      <c r="D4078" t="s">
        <v>106</v>
      </c>
      <c r="E4078">
        <v>23.754000000000001</v>
      </c>
    </row>
    <row r="4079" spans="1:5">
      <c r="A4079" t="s">
        <v>36822</v>
      </c>
      <c r="B4079" t="s">
        <v>15235</v>
      </c>
      <c r="C4079">
        <v>0</v>
      </c>
      <c r="D4079" t="s">
        <v>106</v>
      </c>
      <c r="E4079">
        <v>24</v>
      </c>
    </row>
    <row r="4080" spans="1:5">
      <c r="A4080" t="s">
        <v>36822</v>
      </c>
      <c r="B4080" t="s">
        <v>15231</v>
      </c>
      <c r="C4080">
        <v>0</v>
      </c>
      <c r="D4080" t="s">
        <v>106</v>
      </c>
      <c r="E4080">
        <v>24</v>
      </c>
    </row>
    <row r="4081" spans="1:5">
      <c r="A4081" t="s">
        <v>36822</v>
      </c>
      <c r="B4081" t="s">
        <v>15228</v>
      </c>
      <c r="C4081">
        <v>0</v>
      </c>
      <c r="D4081" t="s">
        <v>106</v>
      </c>
      <c r="E4081">
        <v>24</v>
      </c>
    </row>
    <row r="4082" spans="1:5">
      <c r="A4082" t="s">
        <v>36822</v>
      </c>
      <c r="B4082" t="s">
        <v>15236</v>
      </c>
      <c r="C4082">
        <f>0</f>
        <v>0</v>
      </c>
      <c r="D4082" t="s">
        <v>106</v>
      </c>
      <c r="E4082">
        <v>24</v>
      </c>
    </row>
    <row r="4083" spans="1:5">
      <c r="A4083" t="s">
        <v>36822</v>
      </c>
      <c r="B4083" t="s">
        <v>15234</v>
      </c>
      <c r="C4083">
        <v>0</v>
      </c>
      <c r="D4083" t="s">
        <v>106</v>
      </c>
      <c r="E4083">
        <v>24</v>
      </c>
    </row>
    <row r="4084" spans="1:5">
      <c r="A4084" t="s">
        <v>36823</v>
      </c>
      <c r="B4084" t="s">
        <v>8542</v>
      </c>
      <c r="C4084">
        <f>0.96025861408</f>
        <v>0.96025861408000002</v>
      </c>
      <c r="D4084">
        <v>0.80233509753800003</v>
      </c>
      <c r="E4084">
        <v>0.34799999999999998</v>
      </c>
    </row>
    <row r="4085" spans="1:5">
      <c r="A4085" t="s">
        <v>36823</v>
      </c>
      <c r="B4085" t="s">
        <v>8545</v>
      </c>
      <c r="C4085">
        <v>1.4513965169</v>
      </c>
      <c r="D4085">
        <v>0.80233509753800003</v>
      </c>
      <c r="E4085">
        <v>0.34799999999999998</v>
      </c>
    </row>
    <row r="4086" spans="1:5">
      <c r="A4086" t="s">
        <v>36824</v>
      </c>
      <c r="B4086" t="s">
        <v>6133</v>
      </c>
      <c r="C4086">
        <v>0.123199932416</v>
      </c>
      <c r="D4086">
        <v>0.63603498253900004</v>
      </c>
      <c r="E4086">
        <v>10.715999999999999</v>
      </c>
    </row>
    <row r="4087" spans="1:5">
      <c r="A4087" t="s">
        <v>36824</v>
      </c>
      <c r="B4087" t="s">
        <v>6132</v>
      </c>
      <c r="C4087">
        <v>0.54585142044599999</v>
      </c>
      <c r="D4087">
        <v>0.63603498253900004</v>
      </c>
      <c r="E4087">
        <v>10.715999999999999</v>
      </c>
    </row>
    <row r="4088" spans="1:5">
      <c r="A4088" t="s">
        <v>36825</v>
      </c>
      <c r="B4088" t="s">
        <v>15484</v>
      </c>
      <c r="C4088">
        <f>0</f>
        <v>0</v>
      </c>
      <c r="D4088" t="s">
        <v>106</v>
      </c>
      <c r="E4088">
        <v>8.7240000000000002</v>
      </c>
    </row>
    <row r="4089" spans="1:5">
      <c r="A4089" t="s">
        <v>36825</v>
      </c>
      <c r="B4089" t="s">
        <v>15486</v>
      </c>
      <c r="C4089">
        <v>0</v>
      </c>
      <c r="D4089" t="s">
        <v>106</v>
      </c>
      <c r="E4089">
        <v>8.7240000000000002</v>
      </c>
    </row>
    <row r="4090" spans="1:5">
      <c r="A4090" t="s">
        <v>36826</v>
      </c>
      <c r="B4090" t="s">
        <v>36827</v>
      </c>
      <c r="C4090">
        <f>0</f>
        <v>0</v>
      </c>
      <c r="D4090" t="s">
        <v>106</v>
      </c>
      <c r="E4090">
        <v>24</v>
      </c>
    </row>
    <row r="4091" spans="1:5">
      <c r="A4091" t="s">
        <v>36826</v>
      </c>
      <c r="B4091" t="s">
        <v>36828</v>
      </c>
      <c r="C4091">
        <v>0</v>
      </c>
      <c r="D4091" t="s">
        <v>106</v>
      </c>
      <c r="E4091">
        <v>24</v>
      </c>
    </row>
    <row r="4092" spans="1:5">
      <c r="A4092" t="s">
        <v>36826</v>
      </c>
      <c r="B4092" t="s">
        <v>36829</v>
      </c>
      <c r="C4092">
        <v>0</v>
      </c>
      <c r="D4092" t="s">
        <v>106</v>
      </c>
      <c r="E4092">
        <v>24</v>
      </c>
    </row>
    <row r="4093" spans="1:5">
      <c r="A4093" t="s">
        <v>36826</v>
      </c>
      <c r="B4093" t="s">
        <v>36830</v>
      </c>
      <c r="C4093">
        <v>0</v>
      </c>
      <c r="D4093" t="s">
        <v>106</v>
      </c>
      <c r="E4093">
        <v>24</v>
      </c>
    </row>
    <row r="4094" spans="1:5">
      <c r="A4094" t="s">
        <v>36831</v>
      </c>
      <c r="B4094" t="s">
        <v>8968</v>
      </c>
      <c r="C4094">
        <v>0.51771220540200003</v>
      </c>
      <c r="D4094">
        <v>0.907008960531</v>
      </c>
      <c r="E4094">
        <v>16.896000000000001</v>
      </c>
    </row>
    <row r="4095" spans="1:5">
      <c r="A4095" t="s">
        <v>36831</v>
      </c>
      <c r="B4095" t="s">
        <v>8975</v>
      </c>
      <c r="C4095">
        <f>0</f>
        <v>0</v>
      </c>
      <c r="D4095">
        <v>0.907008960531</v>
      </c>
      <c r="E4095">
        <v>16.896000000000001</v>
      </c>
    </row>
    <row r="4096" spans="1:5">
      <c r="A4096" t="s">
        <v>36831</v>
      </c>
      <c r="B4096" t="s">
        <v>8979</v>
      </c>
      <c r="C4096">
        <f>0</f>
        <v>0</v>
      </c>
      <c r="D4096">
        <v>0.907008960531</v>
      </c>
      <c r="E4096">
        <v>16.896000000000001</v>
      </c>
    </row>
    <row r="4097" spans="1:5">
      <c r="A4097" t="s">
        <v>36831</v>
      </c>
      <c r="B4097" t="s">
        <v>8967</v>
      </c>
      <c r="C4097">
        <f>0</f>
        <v>0</v>
      </c>
      <c r="D4097">
        <v>0.907008960531</v>
      </c>
      <c r="E4097">
        <v>16.896000000000001</v>
      </c>
    </row>
    <row r="4098" spans="1:5">
      <c r="A4098" t="s">
        <v>36831</v>
      </c>
      <c r="B4098" t="s">
        <v>8977</v>
      </c>
      <c r="C4098">
        <f>0</f>
        <v>0</v>
      </c>
      <c r="D4098">
        <v>0.907008960531</v>
      </c>
      <c r="E4098">
        <v>16.896000000000001</v>
      </c>
    </row>
    <row r="4099" spans="1:5">
      <c r="A4099" t="s">
        <v>36831</v>
      </c>
      <c r="B4099" t="s">
        <v>8969</v>
      </c>
      <c r="C4099">
        <f>0</f>
        <v>0</v>
      </c>
      <c r="D4099">
        <v>0.907008960531</v>
      </c>
      <c r="E4099">
        <v>16.896000000000001</v>
      </c>
    </row>
    <row r="4100" spans="1:5">
      <c r="A4100" t="s">
        <v>36831</v>
      </c>
      <c r="B4100" t="s">
        <v>8980</v>
      </c>
      <c r="C4100">
        <v>0</v>
      </c>
      <c r="D4100">
        <v>0.907008960531</v>
      </c>
      <c r="E4100">
        <v>16.896000000000001</v>
      </c>
    </row>
    <row r="4101" spans="1:5">
      <c r="A4101" t="s">
        <v>36831</v>
      </c>
      <c r="B4101" t="s">
        <v>8981</v>
      </c>
      <c r="C4101">
        <v>0</v>
      </c>
      <c r="D4101">
        <v>0.907008960531</v>
      </c>
      <c r="E4101">
        <v>16.896000000000001</v>
      </c>
    </row>
    <row r="4102" spans="1:5">
      <c r="A4102" t="s">
        <v>36831</v>
      </c>
      <c r="B4102" t="s">
        <v>8970</v>
      </c>
      <c r="C4102">
        <v>6.8251065087400004E-2</v>
      </c>
      <c r="D4102">
        <v>0.907008960531</v>
      </c>
      <c r="E4102">
        <v>16.896000000000001</v>
      </c>
    </row>
    <row r="4103" spans="1:5">
      <c r="A4103" t="s">
        <v>36831</v>
      </c>
      <c r="B4103" t="s">
        <v>8982</v>
      </c>
      <c r="C4103">
        <v>0.16361202290599999</v>
      </c>
      <c r="D4103">
        <v>0.907008960531</v>
      </c>
      <c r="E4103">
        <v>16.896000000000001</v>
      </c>
    </row>
    <row r="4104" spans="1:5">
      <c r="A4104" t="s">
        <v>36831</v>
      </c>
      <c r="B4104" t="s">
        <v>8974</v>
      </c>
      <c r="C4104">
        <v>0.20754393680200001</v>
      </c>
      <c r="D4104">
        <v>0.907008960531</v>
      </c>
      <c r="E4104">
        <v>16.896000000000001</v>
      </c>
    </row>
    <row r="4105" spans="1:5">
      <c r="A4105" t="s">
        <v>36832</v>
      </c>
      <c r="B4105" t="s">
        <v>36833</v>
      </c>
      <c r="C4105">
        <v>0.47966188684</v>
      </c>
      <c r="D4105">
        <v>0.71007188684</v>
      </c>
      <c r="E4105">
        <v>6.06</v>
      </c>
    </row>
    <row r="4106" spans="1:5">
      <c r="A4106" t="s">
        <v>36832</v>
      </c>
      <c r="B4106" t="s">
        <v>36834</v>
      </c>
      <c r="C4106">
        <f>0</f>
        <v>0</v>
      </c>
      <c r="D4106">
        <v>0.71007188684</v>
      </c>
      <c r="E4106">
        <v>6.06</v>
      </c>
    </row>
    <row r="4107" spans="1:5">
      <c r="A4107" t="s">
        <v>36835</v>
      </c>
      <c r="B4107" t="s">
        <v>16603</v>
      </c>
      <c r="C4107">
        <v>0.461110918235</v>
      </c>
      <c r="D4107">
        <v>0.90590455246299995</v>
      </c>
      <c r="E4107">
        <v>3.972</v>
      </c>
    </row>
    <row r="4108" spans="1:5">
      <c r="A4108" t="s">
        <v>36835</v>
      </c>
      <c r="B4108" t="s">
        <v>16604</v>
      </c>
      <c r="C4108">
        <f>0</f>
        <v>0</v>
      </c>
      <c r="D4108">
        <v>0.90590455246299995</v>
      </c>
      <c r="E4108">
        <v>3.972</v>
      </c>
    </row>
    <row r="4109" spans="1:5">
      <c r="A4109" t="s">
        <v>36835</v>
      </c>
      <c r="B4109" t="s">
        <v>16607</v>
      </c>
      <c r="C4109">
        <v>0.58279166729200005</v>
      </c>
      <c r="D4109">
        <v>0.90590455246299995</v>
      </c>
      <c r="E4109">
        <v>3.972</v>
      </c>
    </row>
    <row r="4110" spans="1:5">
      <c r="A4110" t="s">
        <v>36835</v>
      </c>
      <c r="B4110" t="s">
        <v>16605</v>
      </c>
      <c r="C4110">
        <v>0</v>
      </c>
      <c r="D4110">
        <v>0.90590455246299995</v>
      </c>
      <c r="E4110">
        <v>3.972</v>
      </c>
    </row>
    <row r="4111" spans="1:5">
      <c r="A4111" t="s">
        <v>36836</v>
      </c>
      <c r="B4111" t="s">
        <v>28257</v>
      </c>
      <c r="C4111">
        <v>0.548233420827</v>
      </c>
      <c r="D4111">
        <v>0.993354200952</v>
      </c>
      <c r="E4111">
        <v>22.338000000000001</v>
      </c>
    </row>
    <row r="4112" spans="1:5">
      <c r="A4112" t="s">
        <v>36836</v>
      </c>
      <c r="B4112" t="s">
        <v>28258</v>
      </c>
      <c r="C4112">
        <f>0.222635472283</f>
        <v>0.22263547228300001</v>
      </c>
      <c r="D4112">
        <v>0.993354200952</v>
      </c>
      <c r="E4112">
        <v>22.338000000000001</v>
      </c>
    </row>
    <row r="4113" spans="1:5">
      <c r="A4113" t="s">
        <v>36836</v>
      </c>
      <c r="B4113" t="s">
        <v>28266</v>
      </c>
      <c r="C4113">
        <f>0.297992577675</f>
        <v>0.29799257767499998</v>
      </c>
      <c r="D4113">
        <v>0.993354200952</v>
      </c>
      <c r="E4113">
        <v>22.338000000000001</v>
      </c>
    </row>
    <row r="4114" spans="1:5">
      <c r="A4114" t="s">
        <v>36836</v>
      </c>
      <c r="B4114" t="s">
        <v>28265</v>
      </c>
      <c r="C4114">
        <v>0.15397451407000001</v>
      </c>
      <c r="D4114">
        <v>0.993354200952</v>
      </c>
      <c r="E4114">
        <v>22.338000000000001</v>
      </c>
    </row>
    <row r="4115" spans="1:5">
      <c r="A4115" t="s">
        <v>36836</v>
      </c>
      <c r="B4115" t="s">
        <v>28269</v>
      </c>
      <c r="C4115">
        <f>0.728613681669</f>
        <v>0.72861368166899998</v>
      </c>
      <c r="D4115">
        <v>0.993354200952</v>
      </c>
      <c r="E4115">
        <v>22.338000000000001</v>
      </c>
    </row>
    <row r="4116" spans="1:5">
      <c r="A4116" t="s">
        <v>36836</v>
      </c>
      <c r="B4116" t="s">
        <v>36837</v>
      </c>
      <c r="C4116">
        <f>0.0899181825703</f>
        <v>8.9918182570300001E-2</v>
      </c>
      <c r="D4116">
        <v>0.993354200952</v>
      </c>
      <c r="E4116">
        <v>22.338000000000001</v>
      </c>
    </row>
    <row r="4117" spans="1:5">
      <c r="A4117" t="s">
        <v>36838</v>
      </c>
      <c r="B4117" t="s">
        <v>36839</v>
      </c>
      <c r="C4117">
        <f>0</f>
        <v>0</v>
      </c>
      <c r="D4117">
        <v>0.45330173480399999</v>
      </c>
      <c r="E4117">
        <v>24</v>
      </c>
    </row>
    <row r="4118" spans="1:5">
      <c r="A4118" t="s">
        <v>36838</v>
      </c>
      <c r="B4118" t="s">
        <v>36840</v>
      </c>
      <c r="C4118">
        <v>0</v>
      </c>
      <c r="D4118">
        <v>0.45330173480399999</v>
      </c>
      <c r="E4118">
        <v>24</v>
      </c>
    </row>
    <row r="4119" spans="1:5">
      <c r="A4119" t="s">
        <v>36838</v>
      </c>
      <c r="B4119" t="s">
        <v>36841</v>
      </c>
      <c r="C4119">
        <f>0</f>
        <v>0</v>
      </c>
      <c r="D4119">
        <v>0.45330173480399999</v>
      </c>
      <c r="E4119">
        <v>24</v>
      </c>
    </row>
    <row r="4120" spans="1:5">
      <c r="A4120" t="s">
        <v>36838</v>
      </c>
      <c r="B4120" t="s">
        <v>36842</v>
      </c>
      <c r="C4120">
        <v>9.3291734803900003E-2</v>
      </c>
      <c r="D4120">
        <v>0.45330173480399999</v>
      </c>
      <c r="E4120">
        <v>24</v>
      </c>
    </row>
    <row r="4121" spans="1:5">
      <c r="A4121" t="s">
        <v>36838</v>
      </c>
      <c r="B4121" t="s">
        <v>36843</v>
      </c>
      <c r="C4121">
        <f>0</f>
        <v>0</v>
      </c>
      <c r="D4121">
        <v>0.45330173480399999</v>
      </c>
      <c r="E4121">
        <v>24</v>
      </c>
    </row>
    <row r="4122" spans="1:5">
      <c r="A4122" t="s">
        <v>36838</v>
      </c>
      <c r="B4122" t="s">
        <v>36844</v>
      </c>
      <c r="C4122">
        <f>0</f>
        <v>0</v>
      </c>
      <c r="D4122">
        <v>0.45330173480399999</v>
      </c>
      <c r="E4122">
        <v>24</v>
      </c>
    </row>
    <row r="4123" spans="1:5">
      <c r="A4123" t="s">
        <v>36845</v>
      </c>
      <c r="B4123" t="s">
        <v>29780</v>
      </c>
      <c r="C4123">
        <f>0</f>
        <v>0</v>
      </c>
      <c r="D4123">
        <v>0.79568958435100001</v>
      </c>
      <c r="E4123">
        <v>4.6920000000000002</v>
      </c>
    </row>
    <row r="4124" spans="1:5">
      <c r="A4124" t="s">
        <v>36845</v>
      </c>
      <c r="B4124" t="s">
        <v>29777</v>
      </c>
      <c r="C4124">
        <v>0</v>
      </c>
      <c r="D4124">
        <v>0.79568958435100001</v>
      </c>
      <c r="E4124">
        <v>4.6920000000000002</v>
      </c>
    </row>
    <row r="4125" spans="1:5">
      <c r="A4125" t="s">
        <v>36845</v>
      </c>
      <c r="B4125" t="s">
        <v>29783</v>
      </c>
      <c r="C4125">
        <v>0.66607958435100001</v>
      </c>
      <c r="D4125">
        <v>0.79568958435100001</v>
      </c>
      <c r="E4125">
        <v>4.6920000000000002</v>
      </c>
    </row>
    <row r="4126" spans="1:5">
      <c r="A4126" t="s">
        <v>36846</v>
      </c>
      <c r="B4126" t="s">
        <v>8716</v>
      </c>
      <c r="C4126">
        <f>0</f>
        <v>0</v>
      </c>
      <c r="D4126">
        <v>0.63664652229200003</v>
      </c>
      <c r="E4126">
        <v>0.438</v>
      </c>
    </row>
    <row r="4127" spans="1:5">
      <c r="A4127" t="s">
        <v>36846</v>
      </c>
      <c r="B4127" t="s">
        <v>8724</v>
      </c>
      <c r="C4127">
        <f>0</f>
        <v>0</v>
      </c>
      <c r="D4127">
        <v>0.63664652229200003</v>
      </c>
      <c r="E4127">
        <v>0.438</v>
      </c>
    </row>
    <row r="4128" spans="1:5">
      <c r="A4128" t="s">
        <v>36846</v>
      </c>
      <c r="B4128" t="s">
        <v>8718</v>
      </c>
      <c r="C4128">
        <f>0</f>
        <v>0</v>
      </c>
      <c r="D4128">
        <v>0.63664652229200003</v>
      </c>
      <c r="E4128">
        <v>0.438</v>
      </c>
    </row>
    <row r="4129" spans="1:5">
      <c r="A4129" t="s">
        <v>36846</v>
      </c>
      <c r="B4129" t="s">
        <v>8725</v>
      </c>
      <c r="C4129">
        <f>0.174236522292</f>
        <v>0.17423652229200001</v>
      </c>
      <c r="D4129">
        <v>0.63664652229200003</v>
      </c>
      <c r="E4129">
        <v>0.438</v>
      </c>
    </row>
    <row r="4130" spans="1:5">
      <c r="A4130" t="s">
        <v>36846</v>
      </c>
      <c r="B4130" t="s">
        <v>8721</v>
      </c>
      <c r="C4130">
        <f>0</f>
        <v>0</v>
      </c>
      <c r="D4130">
        <v>0.63664652229200003</v>
      </c>
      <c r="E4130">
        <v>0.438</v>
      </c>
    </row>
    <row r="4131" spans="1:5">
      <c r="A4131" t="s">
        <v>36846</v>
      </c>
      <c r="B4131" t="s">
        <v>8723</v>
      </c>
      <c r="C4131">
        <v>0</v>
      </c>
      <c r="D4131">
        <v>0.63664652229200003</v>
      </c>
      <c r="E4131">
        <v>0.438</v>
      </c>
    </row>
    <row r="4132" spans="1:5">
      <c r="A4132" t="s">
        <v>36846</v>
      </c>
      <c r="B4132" t="s">
        <v>8720</v>
      </c>
      <c r="C4132">
        <v>0</v>
      </c>
      <c r="D4132">
        <v>0.63664652229200003</v>
      </c>
      <c r="E4132">
        <v>0.438</v>
      </c>
    </row>
    <row r="4133" spans="1:5">
      <c r="A4133" t="s">
        <v>36847</v>
      </c>
      <c r="B4133" t="s">
        <v>33916</v>
      </c>
      <c r="C4133">
        <f>0.496969707667</f>
        <v>0.49696970766699999</v>
      </c>
      <c r="D4133">
        <v>0.91025969599199996</v>
      </c>
      <c r="E4133">
        <v>4.8</v>
      </c>
    </row>
    <row r="4134" spans="1:5">
      <c r="A4134" t="s">
        <v>36847</v>
      </c>
      <c r="B4134" t="s">
        <v>33917</v>
      </c>
      <c r="C4134">
        <f>0</f>
        <v>0</v>
      </c>
      <c r="D4134">
        <v>0.91025969599199996</v>
      </c>
      <c r="E4134">
        <v>4.8</v>
      </c>
    </row>
    <row r="4135" spans="1:5">
      <c r="A4135" t="s">
        <v>36847</v>
      </c>
      <c r="B4135" t="s">
        <v>33919</v>
      </c>
      <c r="C4135">
        <v>0.56981613234899997</v>
      </c>
      <c r="D4135">
        <v>0.91025969599199996</v>
      </c>
      <c r="E4135">
        <v>4.8</v>
      </c>
    </row>
    <row r="4136" spans="1:5">
      <c r="A4136" t="s">
        <v>36848</v>
      </c>
      <c r="B4136" t="s">
        <v>36849</v>
      </c>
      <c r="C4136">
        <v>0.30084977754999997</v>
      </c>
      <c r="D4136">
        <v>0.71483457917600002</v>
      </c>
      <c r="E4136">
        <v>1.0680000000000001</v>
      </c>
    </row>
    <row r="4137" spans="1:5">
      <c r="A4137" t="s">
        <v>36848</v>
      </c>
      <c r="B4137" t="s">
        <v>36850</v>
      </c>
      <c r="C4137">
        <v>0.63884541031300002</v>
      </c>
      <c r="D4137">
        <v>0.71483457917600002</v>
      </c>
      <c r="E4137">
        <v>1.0680000000000001</v>
      </c>
    </row>
    <row r="4138" spans="1:5">
      <c r="A4138" t="s">
        <v>36851</v>
      </c>
      <c r="B4138" t="s">
        <v>2954</v>
      </c>
      <c r="C4138">
        <v>0</v>
      </c>
      <c r="D4138" t="s">
        <v>106</v>
      </c>
      <c r="E4138">
        <v>15.318</v>
      </c>
    </row>
    <row r="4139" spans="1:5">
      <c r="A4139" t="s">
        <v>36851</v>
      </c>
      <c r="B4139" t="s">
        <v>2956</v>
      </c>
      <c r="C4139">
        <v>0</v>
      </c>
      <c r="D4139" t="s">
        <v>106</v>
      </c>
      <c r="E4139">
        <v>15.318</v>
      </c>
    </row>
    <row r="4140" spans="1:5">
      <c r="A4140" t="s">
        <v>36851</v>
      </c>
      <c r="B4140" t="s">
        <v>2958</v>
      </c>
      <c r="C4140">
        <v>0</v>
      </c>
      <c r="D4140" t="s">
        <v>106</v>
      </c>
      <c r="E4140">
        <v>15.318</v>
      </c>
    </row>
    <row r="4141" spans="1:5">
      <c r="A4141" t="s">
        <v>36851</v>
      </c>
      <c r="B4141" t="s">
        <v>2955</v>
      </c>
      <c r="C4141">
        <v>0</v>
      </c>
      <c r="D4141" t="s">
        <v>106</v>
      </c>
      <c r="E4141">
        <v>15.318</v>
      </c>
    </row>
    <row r="4142" spans="1:5">
      <c r="A4142" t="s">
        <v>36851</v>
      </c>
      <c r="B4142" t="s">
        <v>2959</v>
      </c>
      <c r="C4142">
        <v>0</v>
      </c>
      <c r="D4142" t="s">
        <v>106</v>
      </c>
      <c r="E4142">
        <v>15.318</v>
      </c>
    </row>
    <row r="4143" spans="1:5">
      <c r="A4143" t="s">
        <v>36851</v>
      </c>
      <c r="B4143" t="s">
        <v>2957</v>
      </c>
      <c r="C4143">
        <v>0</v>
      </c>
      <c r="D4143" t="s">
        <v>106</v>
      </c>
      <c r="E4143">
        <v>15.318</v>
      </c>
    </row>
    <row r="4144" spans="1:5">
      <c r="A4144" t="s">
        <v>36852</v>
      </c>
      <c r="B4144" t="s">
        <v>36853</v>
      </c>
      <c r="C4144">
        <v>0</v>
      </c>
      <c r="D4144">
        <v>0.97827979564900003</v>
      </c>
      <c r="E4144">
        <v>2.964</v>
      </c>
    </row>
    <row r="4145" spans="1:5">
      <c r="A4145" t="s">
        <v>36852</v>
      </c>
      <c r="B4145" t="s">
        <v>36854</v>
      </c>
      <c r="C4145">
        <v>0.38830697248000001</v>
      </c>
      <c r="D4145">
        <v>0.97827979564900003</v>
      </c>
      <c r="E4145">
        <v>2.964</v>
      </c>
    </row>
    <row r="4146" spans="1:5">
      <c r="A4146" t="s">
        <v>36852</v>
      </c>
      <c r="B4146" t="s">
        <v>36855</v>
      </c>
      <c r="C4146">
        <f>0</f>
        <v>0</v>
      </c>
      <c r="D4146">
        <v>0.97827979564900003</v>
      </c>
      <c r="E4146">
        <v>2.964</v>
      </c>
    </row>
    <row r="4147" spans="1:5">
      <c r="A4147" t="s">
        <v>36852</v>
      </c>
      <c r="B4147" t="s">
        <v>36856</v>
      </c>
      <c r="C4147">
        <f>0.228797591002</f>
        <v>0.22879759100200001</v>
      </c>
      <c r="D4147">
        <v>0.97827979564900003</v>
      </c>
      <c r="E4147">
        <v>2.964</v>
      </c>
    </row>
    <row r="4148" spans="1:5">
      <c r="A4148" t="s">
        <v>36852</v>
      </c>
      <c r="B4148" t="s">
        <v>36857</v>
      </c>
      <c r="C4148">
        <v>0.101677643523</v>
      </c>
      <c r="D4148">
        <v>0.97827979564900003</v>
      </c>
      <c r="E4148">
        <v>2.964</v>
      </c>
    </row>
    <row r="4149" spans="1:5">
      <c r="A4149" t="s">
        <v>36852</v>
      </c>
      <c r="B4149" t="s">
        <v>36858</v>
      </c>
      <c r="C4149">
        <f>0.475457163323</f>
        <v>0.47545716332299998</v>
      </c>
      <c r="D4149">
        <v>0.97827979564900003</v>
      </c>
      <c r="E4149">
        <v>2.964</v>
      </c>
    </row>
    <row r="4150" spans="1:5">
      <c r="A4150" t="s">
        <v>36852</v>
      </c>
      <c r="B4150" t="s">
        <v>36859</v>
      </c>
      <c r="C4150">
        <v>0</v>
      </c>
      <c r="D4150">
        <v>0.97827979564900003</v>
      </c>
      <c r="E4150">
        <v>2.964</v>
      </c>
    </row>
    <row r="4151" spans="1:5">
      <c r="A4151" t="s">
        <v>36852</v>
      </c>
      <c r="B4151" t="s">
        <v>36860</v>
      </c>
      <c r="C4151">
        <f>0.262173103444</f>
        <v>0.26217310344400002</v>
      </c>
      <c r="D4151">
        <v>0.97827979564900003</v>
      </c>
      <c r="E4151">
        <v>2.964</v>
      </c>
    </row>
    <row r="4152" spans="1:5">
      <c r="A4152" t="s">
        <v>36861</v>
      </c>
      <c r="B4152" t="s">
        <v>36862</v>
      </c>
      <c r="C4152">
        <v>0</v>
      </c>
      <c r="D4152">
        <v>0.69493461230499998</v>
      </c>
      <c r="E4152">
        <v>6.06</v>
      </c>
    </row>
    <row r="4153" spans="1:5">
      <c r="A4153" t="s">
        <v>36861</v>
      </c>
      <c r="B4153" t="s">
        <v>36863</v>
      </c>
      <c r="C4153">
        <v>0</v>
      </c>
      <c r="D4153">
        <v>0.69493461230499998</v>
      </c>
      <c r="E4153">
        <v>6.06</v>
      </c>
    </row>
    <row r="4154" spans="1:5">
      <c r="A4154" t="s">
        <v>36861</v>
      </c>
      <c r="B4154" t="s">
        <v>36864</v>
      </c>
      <c r="C4154">
        <v>0.40825507002299999</v>
      </c>
      <c r="D4154">
        <v>0.69493461230499998</v>
      </c>
      <c r="E4154">
        <v>6.06</v>
      </c>
    </row>
    <row r="4155" spans="1:5">
      <c r="A4155" t="s">
        <v>36861</v>
      </c>
      <c r="B4155" t="s">
        <v>36865</v>
      </c>
      <c r="C4155">
        <v>0.28537606304699997</v>
      </c>
      <c r="D4155">
        <v>0.69493461230499998</v>
      </c>
      <c r="E4155">
        <v>6.06</v>
      </c>
    </row>
    <row r="4156" spans="1:5">
      <c r="A4156" t="s">
        <v>36866</v>
      </c>
      <c r="B4156" t="s">
        <v>27316</v>
      </c>
      <c r="C4156">
        <f>0</f>
        <v>0</v>
      </c>
      <c r="D4156" t="s">
        <v>106</v>
      </c>
      <c r="E4156">
        <v>3.2280000000000002</v>
      </c>
    </row>
    <row r="4157" spans="1:5">
      <c r="A4157" t="s">
        <v>36866</v>
      </c>
      <c r="B4157" t="s">
        <v>27314</v>
      </c>
      <c r="C4157">
        <v>0</v>
      </c>
      <c r="D4157" t="s">
        <v>106</v>
      </c>
      <c r="E4157">
        <v>3.2280000000000002</v>
      </c>
    </row>
    <row r="4158" spans="1:5">
      <c r="A4158" t="s">
        <v>36866</v>
      </c>
      <c r="B4158" t="s">
        <v>27311</v>
      </c>
      <c r="C4158">
        <v>0</v>
      </c>
      <c r="D4158" t="s">
        <v>106</v>
      </c>
      <c r="E4158">
        <v>3.2280000000000002</v>
      </c>
    </row>
    <row r="4159" spans="1:5">
      <c r="A4159" t="s">
        <v>36867</v>
      </c>
      <c r="B4159" t="s">
        <v>36868</v>
      </c>
      <c r="C4159">
        <v>1.7392511524800001</v>
      </c>
      <c r="D4159">
        <v>0.91205361655600004</v>
      </c>
      <c r="E4159">
        <v>4.5839999999999996</v>
      </c>
    </row>
    <row r="4160" spans="1:5">
      <c r="A4160" t="s">
        <v>36867</v>
      </c>
      <c r="B4160" t="s">
        <v>36869</v>
      </c>
      <c r="C4160">
        <v>0.61782023301099998</v>
      </c>
      <c r="D4160">
        <v>0.91205361655600004</v>
      </c>
      <c r="E4160">
        <v>4.5839999999999996</v>
      </c>
    </row>
    <row r="4161" spans="1:5">
      <c r="A4161" t="s">
        <v>36867</v>
      </c>
      <c r="B4161" t="s">
        <v>36870</v>
      </c>
      <c r="C4161">
        <f>0.909339557894</f>
        <v>0.90933955789400001</v>
      </c>
      <c r="D4161">
        <v>0.91205361655600004</v>
      </c>
      <c r="E4161">
        <v>4.5839999999999996</v>
      </c>
    </row>
    <row r="4162" spans="1:5">
      <c r="A4162" t="s">
        <v>36867</v>
      </c>
      <c r="B4162" t="s">
        <v>36871</v>
      </c>
      <c r="C4162">
        <f>0.281463143161</f>
        <v>0.28146314316100002</v>
      </c>
      <c r="D4162">
        <v>0.91205361655600004</v>
      </c>
      <c r="E4162">
        <v>4.5839999999999996</v>
      </c>
    </row>
    <row r="4163" spans="1:5">
      <c r="A4163" t="s">
        <v>36872</v>
      </c>
      <c r="B4163" t="s">
        <v>36873</v>
      </c>
      <c r="C4163">
        <v>0</v>
      </c>
      <c r="D4163" t="s">
        <v>106</v>
      </c>
      <c r="E4163">
        <v>12.564</v>
      </c>
    </row>
    <row r="4164" spans="1:5">
      <c r="A4164" t="s">
        <v>36872</v>
      </c>
      <c r="B4164" t="s">
        <v>36874</v>
      </c>
      <c r="C4164">
        <v>0</v>
      </c>
      <c r="D4164" t="s">
        <v>106</v>
      </c>
      <c r="E4164">
        <v>12.564</v>
      </c>
    </row>
    <row r="4165" spans="1:5">
      <c r="A4165" t="s">
        <v>36872</v>
      </c>
      <c r="B4165" t="s">
        <v>36875</v>
      </c>
      <c r="C4165">
        <v>0</v>
      </c>
      <c r="D4165" t="s">
        <v>106</v>
      </c>
      <c r="E4165">
        <v>12.564</v>
      </c>
    </row>
    <row r="4166" spans="1:5">
      <c r="A4166" t="s">
        <v>36872</v>
      </c>
      <c r="B4166" t="s">
        <v>36876</v>
      </c>
      <c r="C4166">
        <f>0</f>
        <v>0</v>
      </c>
      <c r="D4166" t="s">
        <v>106</v>
      </c>
      <c r="E4166">
        <v>12.564</v>
      </c>
    </row>
    <row r="4167" spans="1:5">
      <c r="A4167" t="s">
        <v>36877</v>
      </c>
      <c r="B4167" t="s">
        <v>36878</v>
      </c>
      <c r="C4167">
        <v>2.4276192974999999E-2</v>
      </c>
      <c r="D4167">
        <v>0.99034307689500001</v>
      </c>
      <c r="E4167">
        <v>16.896000000000001</v>
      </c>
    </row>
    <row r="4168" spans="1:5">
      <c r="A4168" t="s">
        <v>36877</v>
      </c>
      <c r="B4168" t="s">
        <v>36879</v>
      </c>
      <c r="C4168">
        <f>0.184975847205</f>
        <v>0.18497584720499999</v>
      </c>
      <c r="D4168">
        <v>0.99034307689500001</v>
      </c>
      <c r="E4168">
        <v>16.896000000000001</v>
      </c>
    </row>
    <row r="4169" spans="1:5">
      <c r="A4169" t="s">
        <v>36877</v>
      </c>
      <c r="B4169" t="s">
        <v>36880</v>
      </c>
      <c r="C4169">
        <v>0.52954431726200002</v>
      </c>
      <c r="D4169">
        <v>0.99034307689500001</v>
      </c>
      <c r="E4169">
        <v>16.896000000000001</v>
      </c>
    </row>
    <row r="4170" spans="1:5">
      <c r="A4170" t="s">
        <v>36877</v>
      </c>
      <c r="B4170" t="s">
        <v>36881</v>
      </c>
      <c r="C4170">
        <v>0.71139526141300002</v>
      </c>
      <c r="D4170">
        <v>0.99034307689500001</v>
      </c>
      <c r="E4170">
        <v>16.896000000000001</v>
      </c>
    </row>
    <row r="4171" spans="1:5">
      <c r="A4171" t="s">
        <v>36882</v>
      </c>
      <c r="B4171" t="s">
        <v>10411</v>
      </c>
      <c r="C4171">
        <f>0.525892340836</f>
        <v>0.52589234083600001</v>
      </c>
      <c r="D4171">
        <v>0.80685720571300001</v>
      </c>
      <c r="E4171">
        <v>5.9340000000000002</v>
      </c>
    </row>
    <row r="4172" spans="1:5">
      <c r="A4172" t="s">
        <v>36882</v>
      </c>
      <c r="B4172" t="s">
        <v>10414</v>
      </c>
      <c r="C4172">
        <f>0.229633638769</f>
        <v>0.229633638769</v>
      </c>
      <c r="D4172">
        <v>0.80685720571300001</v>
      </c>
      <c r="E4172">
        <v>5.9340000000000002</v>
      </c>
    </row>
    <row r="4173" spans="1:5">
      <c r="A4173" t="s">
        <v>36883</v>
      </c>
      <c r="B4173" t="s">
        <v>36884</v>
      </c>
      <c r="C4173">
        <v>0.44511684668500001</v>
      </c>
      <c r="D4173">
        <v>0.99015729564499999</v>
      </c>
      <c r="E4173">
        <v>1.6379999999999999</v>
      </c>
    </row>
    <row r="4174" spans="1:5">
      <c r="A4174" t="s">
        <v>36883</v>
      </c>
      <c r="B4174" t="s">
        <v>36885</v>
      </c>
      <c r="C4174">
        <f>0.190112002777</f>
        <v>0.19011200277699999</v>
      </c>
      <c r="D4174">
        <v>0.99015729564499999</v>
      </c>
      <c r="E4174">
        <v>1.6379999999999999</v>
      </c>
    </row>
    <row r="4175" spans="1:5">
      <c r="A4175" t="s">
        <v>36883</v>
      </c>
      <c r="B4175" t="s">
        <v>36886</v>
      </c>
      <c r="C4175">
        <v>0.67766964924399997</v>
      </c>
      <c r="D4175">
        <v>0.99015729564499999</v>
      </c>
      <c r="E4175">
        <v>1.6379999999999999</v>
      </c>
    </row>
    <row r="4176" spans="1:5">
      <c r="A4176" t="s">
        <v>36887</v>
      </c>
      <c r="B4176" t="s">
        <v>12562</v>
      </c>
      <c r="C4176">
        <v>0.56916498728300002</v>
      </c>
      <c r="D4176">
        <v>0.87979901062200006</v>
      </c>
      <c r="E4176">
        <v>0.61799999999999999</v>
      </c>
    </row>
    <row r="4177" spans="1:5">
      <c r="A4177" t="s">
        <v>36887</v>
      </c>
      <c r="B4177" t="s">
        <v>12560</v>
      </c>
      <c r="C4177">
        <f>0.243992235133</f>
        <v>0.243992235133</v>
      </c>
      <c r="D4177">
        <v>0.87979901062200006</v>
      </c>
      <c r="E4177">
        <v>0.61799999999999999</v>
      </c>
    </row>
    <row r="4178" spans="1:5">
      <c r="A4178" t="s">
        <v>36887</v>
      </c>
      <c r="B4178" t="s">
        <v>12561</v>
      </c>
      <c r="C4178">
        <f>0</f>
        <v>0</v>
      </c>
      <c r="D4178">
        <v>0.87979901062200006</v>
      </c>
      <c r="E4178">
        <v>0.61799999999999999</v>
      </c>
    </row>
    <row r="4179" spans="1:5">
      <c r="A4179" t="s">
        <v>36888</v>
      </c>
      <c r="B4179" t="s">
        <v>9587</v>
      </c>
      <c r="C4179">
        <f>0</f>
        <v>0</v>
      </c>
      <c r="D4179">
        <v>0.325054671648</v>
      </c>
      <c r="E4179">
        <v>24</v>
      </c>
    </row>
    <row r="4180" spans="1:5">
      <c r="A4180" t="s">
        <v>36888</v>
      </c>
      <c r="B4180" t="s">
        <v>9590</v>
      </c>
      <c r="C4180">
        <v>0.246644671648</v>
      </c>
      <c r="D4180">
        <v>0.325054671648</v>
      </c>
      <c r="E4180">
        <v>24</v>
      </c>
    </row>
    <row r="4181" spans="1:5">
      <c r="A4181" t="s">
        <v>36889</v>
      </c>
      <c r="B4181" t="s">
        <v>36890</v>
      </c>
      <c r="C4181">
        <v>0</v>
      </c>
      <c r="D4181" t="s">
        <v>106</v>
      </c>
      <c r="E4181">
        <v>5.2380000000000004</v>
      </c>
    </row>
    <row r="4182" spans="1:5">
      <c r="A4182" t="s">
        <v>36889</v>
      </c>
      <c r="B4182" t="s">
        <v>36891</v>
      </c>
      <c r="C4182">
        <f>0</f>
        <v>0</v>
      </c>
      <c r="D4182" t="s">
        <v>106</v>
      </c>
      <c r="E4182">
        <v>5.2380000000000004</v>
      </c>
    </row>
    <row r="4183" spans="1:5">
      <c r="A4183" t="s">
        <v>36892</v>
      </c>
      <c r="B4183" t="s">
        <v>19602</v>
      </c>
      <c r="C4183">
        <f>0.517961120107</f>
        <v>0.51796112010700002</v>
      </c>
      <c r="D4183">
        <v>0.68464218574900004</v>
      </c>
      <c r="E4183">
        <v>6.3</v>
      </c>
    </row>
    <row r="4184" spans="1:5">
      <c r="A4184" t="s">
        <v>36892</v>
      </c>
      <c r="B4184" t="s">
        <v>19603</v>
      </c>
      <c r="C4184">
        <v>0.65364484316299998</v>
      </c>
      <c r="D4184">
        <v>0.68464218574900004</v>
      </c>
      <c r="E4184">
        <v>6.3</v>
      </c>
    </row>
    <row r="4185" spans="1:5">
      <c r="A4185" t="s">
        <v>36893</v>
      </c>
      <c r="B4185" t="s">
        <v>26286</v>
      </c>
      <c r="C4185">
        <f>0</f>
        <v>0</v>
      </c>
      <c r="D4185" t="s">
        <v>106</v>
      </c>
      <c r="E4185">
        <v>0</v>
      </c>
    </row>
    <row r="4186" spans="1:5">
      <c r="A4186" t="s">
        <v>36893</v>
      </c>
      <c r="B4186" t="s">
        <v>26290</v>
      </c>
      <c r="C4186">
        <v>0</v>
      </c>
      <c r="D4186" t="s">
        <v>106</v>
      </c>
      <c r="E4186">
        <v>0</v>
      </c>
    </row>
    <row r="4187" spans="1:5">
      <c r="A4187" t="s">
        <v>36893</v>
      </c>
      <c r="B4187" t="s">
        <v>26288</v>
      </c>
      <c r="C4187">
        <v>0</v>
      </c>
      <c r="D4187" t="s">
        <v>106</v>
      </c>
      <c r="E4187">
        <v>0</v>
      </c>
    </row>
    <row r="4188" spans="1:5">
      <c r="A4188" t="s">
        <v>36893</v>
      </c>
      <c r="B4188" t="s">
        <v>26287</v>
      </c>
      <c r="C4188">
        <f>0</f>
        <v>0</v>
      </c>
      <c r="D4188" t="s">
        <v>106</v>
      </c>
      <c r="E4188">
        <v>0</v>
      </c>
    </row>
    <row r="4189" spans="1:5">
      <c r="A4189" t="s">
        <v>36894</v>
      </c>
      <c r="B4189" t="s">
        <v>36895</v>
      </c>
      <c r="C4189">
        <v>0</v>
      </c>
      <c r="D4189" t="s">
        <v>106</v>
      </c>
      <c r="E4189">
        <v>1.224</v>
      </c>
    </row>
    <row r="4190" spans="1:5">
      <c r="A4190" t="s">
        <v>36894</v>
      </c>
      <c r="B4190" t="s">
        <v>36896</v>
      </c>
      <c r="C4190">
        <v>0</v>
      </c>
      <c r="D4190" t="s">
        <v>106</v>
      </c>
      <c r="E4190">
        <v>1.224</v>
      </c>
    </row>
    <row r="4191" spans="1:5">
      <c r="A4191" t="s">
        <v>36894</v>
      </c>
      <c r="B4191" t="s">
        <v>36897</v>
      </c>
      <c r="C4191">
        <v>0</v>
      </c>
      <c r="D4191" t="s">
        <v>106</v>
      </c>
      <c r="E4191">
        <v>1.224</v>
      </c>
    </row>
    <row r="4192" spans="1:5">
      <c r="A4192" t="s">
        <v>36898</v>
      </c>
      <c r="B4192" t="s">
        <v>36899</v>
      </c>
      <c r="C4192">
        <v>0</v>
      </c>
      <c r="D4192">
        <v>0.85556097038400003</v>
      </c>
      <c r="E4192">
        <v>2.4780000000000002</v>
      </c>
    </row>
    <row r="4193" spans="1:5">
      <c r="A4193" t="s">
        <v>36898</v>
      </c>
      <c r="B4193" t="s">
        <v>36900</v>
      </c>
      <c r="C4193">
        <v>0</v>
      </c>
      <c r="D4193">
        <v>0.85556097038400003</v>
      </c>
      <c r="E4193">
        <v>2.4780000000000002</v>
      </c>
    </row>
    <row r="4194" spans="1:5">
      <c r="A4194" t="s">
        <v>36898</v>
      </c>
      <c r="B4194" t="s">
        <v>36901</v>
      </c>
      <c r="C4194">
        <f>0.3127752478</f>
        <v>0.31277524779999999</v>
      </c>
      <c r="D4194">
        <v>0.85556097038400003</v>
      </c>
      <c r="E4194">
        <v>2.4780000000000002</v>
      </c>
    </row>
    <row r="4195" spans="1:5">
      <c r="A4195" t="s">
        <v>36898</v>
      </c>
      <c r="B4195" t="s">
        <v>36902</v>
      </c>
      <c r="C4195">
        <f>0.201134483735</f>
        <v>0.20113448373500001</v>
      </c>
      <c r="D4195">
        <v>0.85556097038400003</v>
      </c>
      <c r="E4195">
        <v>2.4780000000000002</v>
      </c>
    </row>
    <row r="4196" spans="1:5">
      <c r="A4196" t="s">
        <v>36898</v>
      </c>
      <c r="B4196" t="s">
        <v>36903</v>
      </c>
      <c r="C4196">
        <f>0.35150756462</f>
        <v>0.35150756461999999</v>
      </c>
      <c r="D4196">
        <v>0.85556097038400003</v>
      </c>
      <c r="E4196">
        <v>2.4780000000000002</v>
      </c>
    </row>
    <row r="4197" spans="1:5">
      <c r="A4197" t="s">
        <v>36904</v>
      </c>
      <c r="B4197" t="s">
        <v>23799</v>
      </c>
      <c r="C4197">
        <f>0</f>
        <v>0</v>
      </c>
      <c r="D4197">
        <v>0.62535822914000005</v>
      </c>
      <c r="E4197">
        <v>0</v>
      </c>
    </row>
    <row r="4198" spans="1:5">
      <c r="A4198" t="s">
        <v>36904</v>
      </c>
      <c r="B4198" t="s">
        <v>23801</v>
      </c>
      <c r="C4198">
        <v>0.44656081871199999</v>
      </c>
      <c r="D4198">
        <v>0.62535822914000005</v>
      </c>
      <c r="E4198">
        <v>0</v>
      </c>
    </row>
    <row r="4199" spans="1:5">
      <c r="A4199" t="s">
        <v>36904</v>
      </c>
      <c r="B4199" t="s">
        <v>23804</v>
      </c>
      <c r="C4199">
        <f>0.0765427642167</f>
        <v>7.6542764216700004E-2</v>
      </c>
      <c r="D4199">
        <v>0.62535822914000005</v>
      </c>
      <c r="E4199">
        <v>0</v>
      </c>
    </row>
    <row r="4200" spans="1:5">
      <c r="A4200" t="s">
        <v>36905</v>
      </c>
      <c r="B4200" t="s">
        <v>36906</v>
      </c>
      <c r="C4200">
        <v>0</v>
      </c>
      <c r="D4200" t="s">
        <v>106</v>
      </c>
      <c r="E4200">
        <v>12.215999999999999</v>
      </c>
    </row>
    <row r="4201" spans="1:5">
      <c r="A4201" t="s">
        <v>36905</v>
      </c>
      <c r="B4201" t="s">
        <v>36907</v>
      </c>
      <c r="C4201">
        <v>0</v>
      </c>
      <c r="D4201" t="s">
        <v>106</v>
      </c>
      <c r="E4201">
        <v>12.215999999999999</v>
      </c>
    </row>
    <row r="4202" spans="1:5">
      <c r="A4202" t="s">
        <v>36908</v>
      </c>
      <c r="B4202" t="s">
        <v>1121</v>
      </c>
      <c r="C4202">
        <v>0</v>
      </c>
      <c r="D4202">
        <v>0.72460490652499998</v>
      </c>
      <c r="E4202">
        <v>4.6920000000000002</v>
      </c>
    </row>
    <row r="4203" spans="1:5">
      <c r="A4203" t="s">
        <v>36908</v>
      </c>
      <c r="B4203" t="s">
        <v>1120</v>
      </c>
      <c r="C4203">
        <v>0.185360240388</v>
      </c>
      <c r="D4203">
        <v>0.72460490652499998</v>
      </c>
      <c r="E4203">
        <v>4.6920000000000002</v>
      </c>
    </row>
    <row r="4204" spans="1:5">
      <c r="A4204" t="s">
        <v>36908</v>
      </c>
      <c r="B4204" t="s">
        <v>1119</v>
      </c>
      <c r="C4204">
        <v>0.22565935348999999</v>
      </c>
      <c r="D4204">
        <v>0.72460490652499998</v>
      </c>
      <c r="E4204">
        <v>4.6920000000000002</v>
      </c>
    </row>
    <row r="4205" spans="1:5">
      <c r="A4205" t="s">
        <v>36909</v>
      </c>
      <c r="B4205" t="s">
        <v>13438</v>
      </c>
      <c r="C4205">
        <v>0.32419138119200003</v>
      </c>
      <c r="D4205">
        <v>0.86399042893</v>
      </c>
      <c r="E4205">
        <v>1.17</v>
      </c>
    </row>
    <row r="4206" spans="1:5">
      <c r="A4206" t="s">
        <v>36909</v>
      </c>
      <c r="B4206" t="s">
        <v>13437</v>
      </c>
      <c r="C4206">
        <f>0.730708797117</f>
        <v>0.73070879711699999</v>
      </c>
      <c r="D4206">
        <v>0.86399042893</v>
      </c>
      <c r="E4206">
        <v>1.17</v>
      </c>
    </row>
    <row r="4207" spans="1:5">
      <c r="A4207" t="s">
        <v>36910</v>
      </c>
      <c r="B4207" t="s">
        <v>36911</v>
      </c>
      <c r="C4207">
        <f>0.164415558731</f>
        <v>0.164415558731</v>
      </c>
      <c r="D4207">
        <v>0.99989773065700005</v>
      </c>
      <c r="E4207">
        <v>1.512</v>
      </c>
    </row>
    <row r="4208" spans="1:5">
      <c r="A4208" t="s">
        <v>36910</v>
      </c>
      <c r="B4208" t="s">
        <v>36912</v>
      </c>
      <c r="C4208">
        <v>0.60786608615500004</v>
      </c>
      <c r="D4208">
        <v>0.99989773065700005</v>
      </c>
      <c r="E4208">
        <v>1.512</v>
      </c>
    </row>
    <row r="4209" spans="1:5">
      <c r="A4209" t="s">
        <v>36910</v>
      </c>
      <c r="B4209" t="s">
        <v>36913</v>
      </c>
      <c r="C4209">
        <f>0.133114096794</f>
        <v>0.13311409679399999</v>
      </c>
      <c r="D4209">
        <v>0.99989773065700005</v>
      </c>
      <c r="E4209">
        <v>1.512</v>
      </c>
    </row>
    <row r="4210" spans="1:5">
      <c r="A4210" t="s">
        <v>36910</v>
      </c>
      <c r="B4210" t="s">
        <v>36914</v>
      </c>
      <c r="C4210">
        <v>1.01636115246E-2</v>
      </c>
      <c r="D4210">
        <v>0.99989773065700005</v>
      </c>
      <c r="E4210">
        <v>1.512</v>
      </c>
    </row>
    <row r="4211" spans="1:5">
      <c r="A4211" t="s">
        <v>36910</v>
      </c>
      <c r="B4211" t="s">
        <v>36915</v>
      </c>
      <c r="C4211">
        <f>0.0253126620891</f>
        <v>2.5312662089100001E-2</v>
      </c>
      <c r="D4211">
        <v>0.99989773065700005</v>
      </c>
      <c r="E4211">
        <v>1.512</v>
      </c>
    </row>
    <row r="4212" spans="1:5">
      <c r="A4212" t="s">
        <v>36910</v>
      </c>
      <c r="B4212" t="s">
        <v>36916</v>
      </c>
      <c r="C4212">
        <f>0.202709768858</f>
        <v>0.20270976885799999</v>
      </c>
      <c r="D4212">
        <v>0.99989773065700005</v>
      </c>
      <c r="E4212">
        <v>1.512</v>
      </c>
    </row>
    <row r="4213" spans="1:5">
      <c r="A4213" t="s">
        <v>36910</v>
      </c>
      <c r="B4213" t="s">
        <v>36917</v>
      </c>
      <c r="C4213">
        <f>0</f>
        <v>0</v>
      </c>
      <c r="D4213">
        <v>0.99989773065700005</v>
      </c>
      <c r="E4213">
        <v>1.512</v>
      </c>
    </row>
    <row r="4214" spans="1:5">
      <c r="A4214" t="s">
        <v>36910</v>
      </c>
      <c r="B4214" t="s">
        <v>36918</v>
      </c>
      <c r="C4214">
        <v>0.25444848232</v>
      </c>
      <c r="D4214">
        <v>0.99989773065700005</v>
      </c>
      <c r="E4214">
        <v>1.512</v>
      </c>
    </row>
    <row r="4215" spans="1:5">
      <c r="A4215" t="s">
        <v>36910</v>
      </c>
      <c r="B4215" t="s">
        <v>36919</v>
      </c>
      <c r="C4215">
        <v>0.42232191502200001</v>
      </c>
      <c r="D4215">
        <v>0.99989773065700005</v>
      </c>
      <c r="E4215">
        <v>1.512</v>
      </c>
    </row>
    <row r="4216" spans="1:5">
      <c r="A4216" t="s">
        <v>36920</v>
      </c>
      <c r="B4216" t="s">
        <v>36921</v>
      </c>
      <c r="C4216">
        <f>0.0682016886699</f>
        <v>6.8201688669900007E-2</v>
      </c>
      <c r="D4216">
        <v>0.99998529703000005</v>
      </c>
      <c r="E4216">
        <v>14.555999999999999</v>
      </c>
    </row>
    <row r="4217" spans="1:5">
      <c r="A4217" t="s">
        <v>36920</v>
      </c>
      <c r="B4217" t="s">
        <v>36922</v>
      </c>
      <c r="C4217">
        <v>0.43135114143300002</v>
      </c>
      <c r="D4217">
        <v>0.99998529703000005</v>
      </c>
      <c r="E4217">
        <v>14.555999999999999</v>
      </c>
    </row>
    <row r="4218" spans="1:5">
      <c r="A4218" t="s">
        <v>36920</v>
      </c>
      <c r="B4218" t="s">
        <v>36923</v>
      </c>
      <c r="C4218">
        <v>0.266827766646</v>
      </c>
      <c r="D4218">
        <v>0.99998529703000005</v>
      </c>
      <c r="E4218">
        <v>14.555999999999999</v>
      </c>
    </row>
    <row r="4219" spans="1:5">
      <c r="A4219" t="s">
        <v>36920</v>
      </c>
      <c r="B4219" t="s">
        <v>36924</v>
      </c>
      <c r="C4219">
        <v>0.25310675177300002</v>
      </c>
      <c r="D4219">
        <v>0.99998529703000005</v>
      </c>
      <c r="E4219">
        <v>14.555999999999999</v>
      </c>
    </row>
    <row r="4220" spans="1:5">
      <c r="A4220" t="s">
        <v>36920</v>
      </c>
      <c r="B4220" t="s">
        <v>36925</v>
      </c>
      <c r="C4220">
        <f>0</f>
        <v>0</v>
      </c>
      <c r="D4220">
        <v>0.99998529703000005</v>
      </c>
      <c r="E4220">
        <v>14.555999999999999</v>
      </c>
    </row>
    <row r="4221" spans="1:5">
      <c r="A4221" t="s">
        <v>36920</v>
      </c>
      <c r="B4221" t="s">
        <v>36926</v>
      </c>
      <c r="C4221">
        <f>0.102914891504</f>
        <v>0.102914891504</v>
      </c>
      <c r="D4221">
        <v>0.99998529703000005</v>
      </c>
      <c r="E4221">
        <v>14.555999999999999</v>
      </c>
    </row>
    <row r="4222" spans="1:5">
      <c r="A4222" t="s">
        <v>36920</v>
      </c>
      <c r="B4222" t="s">
        <v>36927</v>
      </c>
      <c r="C4222">
        <v>0</v>
      </c>
      <c r="D4222">
        <v>0.99998529703000005</v>
      </c>
      <c r="E4222">
        <v>14.555999999999999</v>
      </c>
    </row>
    <row r="4223" spans="1:5">
      <c r="A4223" t="s">
        <v>36920</v>
      </c>
      <c r="B4223" t="s">
        <v>36928</v>
      </c>
      <c r="C4223">
        <v>0.65557413619500005</v>
      </c>
      <c r="D4223">
        <v>0.99998529703000005</v>
      </c>
      <c r="E4223">
        <v>14.555999999999999</v>
      </c>
    </row>
    <row r="4224" spans="1:5">
      <c r="A4224" t="s">
        <v>36920</v>
      </c>
      <c r="B4224" t="s">
        <v>36929</v>
      </c>
      <c r="C4224">
        <v>4.8793654788999996E-3</v>
      </c>
      <c r="D4224">
        <v>0.99998529703000005</v>
      </c>
      <c r="E4224">
        <v>14.555999999999999</v>
      </c>
    </row>
    <row r="4225" spans="1:5">
      <c r="A4225" t="s">
        <v>36920</v>
      </c>
      <c r="B4225" t="s">
        <v>36930</v>
      </c>
      <c r="C4225">
        <v>0.37587279910900001</v>
      </c>
      <c r="D4225">
        <v>0.99998529703000005</v>
      </c>
      <c r="E4225">
        <v>14.555999999999999</v>
      </c>
    </row>
    <row r="4226" spans="1:5">
      <c r="A4226" t="s">
        <v>36920</v>
      </c>
      <c r="B4226" t="s">
        <v>36931</v>
      </c>
      <c r="C4226">
        <v>4.2528520487800002E-2</v>
      </c>
      <c r="D4226">
        <v>0.99998529703000005</v>
      </c>
      <c r="E4226">
        <v>14.555999999999999</v>
      </c>
    </row>
    <row r="4227" spans="1:5">
      <c r="A4227" t="s">
        <v>36932</v>
      </c>
      <c r="B4227" t="s">
        <v>890</v>
      </c>
      <c r="C4227">
        <f>0</f>
        <v>0</v>
      </c>
      <c r="D4227" t="s">
        <v>106</v>
      </c>
      <c r="E4227">
        <v>21.42</v>
      </c>
    </row>
    <row r="4228" spans="1:5">
      <c r="A4228" t="s">
        <v>36932</v>
      </c>
      <c r="B4228" t="s">
        <v>891</v>
      </c>
      <c r="C4228">
        <f>0</f>
        <v>0</v>
      </c>
      <c r="D4228" t="s">
        <v>106</v>
      </c>
      <c r="E4228">
        <v>21.42</v>
      </c>
    </row>
    <row r="4229" spans="1:5">
      <c r="A4229" t="s">
        <v>36932</v>
      </c>
      <c r="B4229" t="s">
        <v>903</v>
      </c>
      <c r="C4229">
        <f>0</f>
        <v>0</v>
      </c>
      <c r="D4229" t="s">
        <v>106</v>
      </c>
      <c r="E4229">
        <v>21.42</v>
      </c>
    </row>
    <row r="4230" spans="1:5">
      <c r="A4230" t="s">
        <v>36932</v>
      </c>
      <c r="B4230" t="s">
        <v>898</v>
      </c>
      <c r="C4230">
        <f>0</f>
        <v>0</v>
      </c>
      <c r="D4230" t="s">
        <v>106</v>
      </c>
      <c r="E4230">
        <v>21.42</v>
      </c>
    </row>
    <row r="4231" spans="1:5">
      <c r="A4231" t="s">
        <v>36932</v>
      </c>
      <c r="B4231" t="s">
        <v>894</v>
      </c>
      <c r="C4231">
        <f>0</f>
        <v>0</v>
      </c>
      <c r="D4231" t="s">
        <v>106</v>
      </c>
      <c r="E4231">
        <v>21.42</v>
      </c>
    </row>
    <row r="4232" spans="1:5">
      <c r="A4232" t="s">
        <v>36932</v>
      </c>
      <c r="B4232" t="s">
        <v>900</v>
      </c>
      <c r="C4232">
        <v>0</v>
      </c>
      <c r="D4232" t="s">
        <v>106</v>
      </c>
      <c r="E4232">
        <v>21.42</v>
      </c>
    </row>
    <row r="4233" spans="1:5">
      <c r="A4233" t="s">
        <v>36933</v>
      </c>
      <c r="B4233" t="s">
        <v>36934</v>
      </c>
      <c r="C4233">
        <v>0.52663635800999997</v>
      </c>
      <c r="D4233">
        <v>0.75704635800999998</v>
      </c>
      <c r="E4233">
        <v>1.8959999999999999</v>
      </c>
    </row>
    <row r="4234" spans="1:5">
      <c r="A4234" t="s">
        <v>36933</v>
      </c>
      <c r="B4234" t="s">
        <v>36935</v>
      </c>
      <c r="C4234">
        <v>0</v>
      </c>
      <c r="D4234">
        <v>0.75704635800999998</v>
      </c>
      <c r="E4234">
        <v>1.8959999999999999</v>
      </c>
    </row>
    <row r="4235" spans="1:5">
      <c r="A4235" t="s">
        <v>36933</v>
      </c>
      <c r="B4235" t="s">
        <v>36936</v>
      </c>
      <c r="C4235">
        <v>0</v>
      </c>
      <c r="D4235">
        <v>0.75704635800999998</v>
      </c>
      <c r="E4235">
        <v>1.8959999999999999</v>
      </c>
    </row>
    <row r="4236" spans="1:5">
      <c r="A4236" t="s">
        <v>36937</v>
      </c>
      <c r="B4236" t="s">
        <v>36938</v>
      </c>
      <c r="C4236">
        <v>0.59209229796200002</v>
      </c>
      <c r="D4236">
        <v>0.63364661529400002</v>
      </c>
      <c r="E4236">
        <v>0</v>
      </c>
    </row>
    <row r="4237" spans="1:5">
      <c r="A4237" t="s">
        <v>36937</v>
      </c>
      <c r="B4237" t="s">
        <v>36939</v>
      </c>
      <c r="C4237">
        <f>0.00841877146242</f>
        <v>8.4187714624200001E-3</v>
      </c>
      <c r="D4237">
        <v>0.63364661529400002</v>
      </c>
      <c r="E4237">
        <v>0</v>
      </c>
    </row>
    <row r="4238" spans="1:5">
      <c r="A4238" t="s">
        <v>36940</v>
      </c>
      <c r="B4238" t="s">
        <v>12396</v>
      </c>
      <c r="C4238">
        <v>0</v>
      </c>
      <c r="D4238" t="s">
        <v>106</v>
      </c>
      <c r="E4238">
        <v>4.8</v>
      </c>
    </row>
    <row r="4239" spans="1:5">
      <c r="A4239" t="s">
        <v>36940</v>
      </c>
      <c r="B4239" t="s">
        <v>12404</v>
      </c>
      <c r="C4239">
        <v>0</v>
      </c>
      <c r="D4239" t="s">
        <v>106</v>
      </c>
      <c r="E4239">
        <v>4.8</v>
      </c>
    </row>
    <row r="4240" spans="1:5">
      <c r="A4240" t="s">
        <v>36940</v>
      </c>
      <c r="B4240" t="s">
        <v>12397</v>
      </c>
      <c r="C4240">
        <f>0</f>
        <v>0</v>
      </c>
      <c r="D4240" t="s">
        <v>106</v>
      </c>
      <c r="E4240">
        <v>4.8</v>
      </c>
    </row>
    <row r="4241" spans="1:5">
      <c r="A4241" t="s">
        <v>36940</v>
      </c>
      <c r="B4241" t="s">
        <v>12402</v>
      </c>
      <c r="C4241">
        <v>0</v>
      </c>
      <c r="D4241" t="s">
        <v>106</v>
      </c>
      <c r="E4241">
        <v>4.8</v>
      </c>
    </row>
    <row r="4242" spans="1:5">
      <c r="A4242" t="s">
        <v>36940</v>
      </c>
      <c r="B4242" t="s">
        <v>12401</v>
      </c>
      <c r="C4242">
        <f>0</f>
        <v>0</v>
      </c>
      <c r="D4242" t="s">
        <v>106</v>
      </c>
      <c r="E4242">
        <v>4.8</v>
      </c>
    </row>
    <row r="4243" spans="1:5">
      <c r="A4243" t="s">
        <v>36940</v>
      </c>
      <c r="B4243" t="s">
        <v>12405</v>
      </c>
      <c r="C4243">
        <v>0</v>
      </c>
      <c r="D4243" t="s">
        <v>106</v>
      </c>
      <c r="E4243">
        <v>4.8</v>
      </c>
    </row>
    <row r="4244" spans="1:5">
      <c r="A4244" t="s">
        <v>36940</v>
      </c>
      <c r="B4244" t="s">
        <v>12398</v>
      </c>
      <c r="C4244">
        <f>0</f>
        <v>0</v>
      </c>
      <c r="D4244" t="s">
        <v>106</v>
      </c>
      <c r="E4244">
        <v>4.8</v>
      </c>
    </row>
    <row r="4245" spans="1:5">
      <c r="A4245" t="s">
        <v>36940</v>
      </c>
      <c r="B4245" t="s">
        <v>12406</v>
      </c>
      <c r="C4245">
        <f>0</f>
        <v>0</v>
      </c>
      <c r="D4245" t="s">
        <v>106</v>
      </c>
      <c r="E4245">
        <v>4.8</v>
      </c>
    </row>
    <row r="4246" spans="1:5">
      <c r="A4246" t="s">
        <v>36940</v>
      </c>
      <c r="B4246" t="s">
        <v>12407</v>
      </c>
      <c r="C4246">
        <f>0</f>
        <v>0</v>
      </c>
      <c r="D4246" t="s">
        <v>106</v>
      </c>
      <c r="E4246">
        <v>4.8</v>
      </c>
    </row>
    <row r="4247" spans="1:5">
      <c r="A4247" t="s">
        <v>36941</v>
      </c>
      <c r="B4247" t="s">
        <v>24634</v>
      </c>
      <c r="C4247">
        <v>0.36491977720399998</v>
      </c>
      <c r="D4247">
        <v>0.52492977720400003</v>
      </c>
      <c r="E4247">
        <v>17.513999999999999</v>
      </c>
    </row>
    <row r="4248" spans="1:5">
      <c r="A4248" t="s">
        <v>36941</v>
      </c>
      <c r="B4248" t="s">
        <v>24635</v>
      </c>
      <c r="C4248">
        <f>0</f>
        <v>0</v>
      </c>
      <c r="D4248">
        <v>0.52492977720400003</v>
      </c>
      <c r="E4248">
        <v>17.513999999999999</v>
      </c>
    </row>
    <row r="4249" spans="1:5">
      <c r="A4249" t="s">
        <v>36942</v>
      </c>
      <c r="B4249" t="s">
        <v>22013</v>
      </c>
      <c r="C4249">
        <v>0.60573597950299995</v>
      </c>
      <c r="D4249">
        <v>0.99991633034500005</v>
      </c>
      <c r="E4249">
        <v>0.192</v>
      </c>
    </row>
    <row r="4250" spans="1:5">
      <c r="A4250" t="s">
        <v>36942</v>
      </c>
      <c r="B4250" t="s">
        <v>22014</v>
      </c>
      <c r="C4250">
        <v>1.0676050101800001</v>
      </c>
      <c r="D4250">
        <v>0.99991633034500005</v>
      </c>
      <c r="E4250">
        <v>0.192</v>
      </c>
    </row>
    <row r="4251" spans="1:5">
      <c r="A4251" t="s">
        <v>36942</v>
      </c>
      <c r="B4251" t="s">
        <v>22019</v>
      </c>
      <c r="C4251">
        <f>0.0256214351989</f>
        <v>2.5621435198899999E-2</v>
      </c>
      <c r="D4251">
        <v>0.99991633034500005</v>
      </c>
      <c r="E4251">
        <v>0.192</v>
      </c>
    </row>
    <row r="4252" spans="1:5">
      <c r="A4252" t="s">
        <v>36942</v>
      </c>
      <c r="B4252" t="s">
        <v>22018</v>
      </c>
      <c r="C4252">
        <f>-1.39192033399</f>
        <v>-1.3919203339899999</v>
      </c>
      <c r="D4252">
        <v>0.99991633034500005</v>
      </c>
      <c r="E4252">
        <v>0.192</v>
      </c>
    </row>
    <row r="4253" spans="1:5">
      <c r="A4253" t="s">
        <v>36942</v>
      </c>
      <c r="B4253" t="s">
        <v>22017</v>
      </c>
      <c r="C4253">
        <f>-1.47196732264</f>
        <v>-1.4719673226400001</v>
      </c>
      <c r="D4253">
        <v>0.99991633034500005</v>
      </c>
      <c r="E4253">
        <v>0.192</v>
      </c>
    </row>
    <row r="4254" spans="1:5">
      <c r="A4254" t="s">
        <v>36942</v>
      </c>
      <c r="B4254" t="s">
        <v>22016</v>
      </c>
      <c r="C4254">
        <v>0.85082464148799997</v>
      </c>
      <c r="D4254">
        <v>0.99991633034500005</v>
      </c>
      <c r="E4254">
        <v>0.192</v>
      </c>
    </row>
    <row r="4255" spans="1:5">
      <c r="A4255" t="s">
        <v>36942</v>
      </c>
      <c r="B4255" t="s">
        <v>22020</v>
      </c>
      <c r="C4255">
        <v>0.44575712227100001</v>
      </c>
      <c r="D4255">
        <v>0.99991633034500005</v>
      </c>
      <c r="E4255">
        <v>0.192</v>
      </c>
    </row>
    <row r="4256" spans="1:5">
      <c r="A4256" t="s">
        <v>36943</v>
      </c>
      <c r="B4256" t="s">
        <v>34037</v>
      </c>
      <c r="C4256">
        <f>0</f>
        <v>0</v>
      </c>
      <c r="D4256" t="s">
        <v>106</v>
      </c>
      <c r="E4256">
        <v>12.048</v>
      </c>
    </row>
    <row r="4257" spans="1:5">
      <c r="A4257" t="s">
        <v>36943</v>
      </c>
      <c r="B4257" t="s">
        <v>34041</v>
      </c>
      <c r="C4257">
        <f>0</f>
        <v>0</v>
      </c>
      <c r="D4257" t="s">
        <v>106</v>
      </c>
      <c r="E4257">
        <v>12.048</v>
      </c>
    </row>
    <row r="4258" spans="1:5">
      <c r="A4258" t="s">
        <v>36943</v>
      </c>
      <c r="B4258" t="s">
        <v>34042</v>
      </c>
      <c r="C4258">
        <v>0</v>
      </c>
      <c r="D4258" t="s">
        <v>106</v>
      </c>
      <c r="E4258">
        <v>12.048</v>
      </c>
    </row>
    <row r="4259" spans="1:5">
      <c r="A4259" t="s">
        <v>36944</v>
      </c>
      <c r="B4259" t="s">
        <v>36945</v>
      </c>
      <c r="C4259">
        <f>0</f>
        <v>0</v>
      </c>
      <c r="D4259">
        <v>0.86532848771000004</v>
      </c>
      <c r="E4259">
        <v>22.571999999999999</v>
      </c>
    </row>
    <row r="4260" spans="1:5">
      <c r="A4260" t="s">
        <v>36944</v>
      </c>
      <c r="B4260" t="s">
        <v>36946</v>
      </c>
      <c r="C4260">
        <f>0.537084177929</f>
        <v>0.53708417792899998</v>
      </c>
      <c r="D4260">
        <v>0.86532848771000004</v>
      </c>
      <c r="E4260">
        <v>22.571999999999999</v>
      </c>
    </row>
    <row r="4261" spans="1:5">
      <c r="A4261" t="s">
        <v>36944</v>
      </c>
      <c r="B4261" t="s">
        <v>36947</v>
      </c>
      <c r="C4261">
        <f>0</f>
        <v>0</v>
      </c>
      <c r="D4261">
        <v>0.86532848771000004</v>
      </c>
      <c r="E4261">
        <v>22.571999999999999</v>
      </c>
    </row>
    <row r="4262" spans="1:5">
      <c r="A4262" t="s">
        <v>36944</v>
      </c>
      <c r="B4262" t="s">
        <v>36948</v>
      </c>
      <c r="C4262">
        <v>0</v>
      </c>
      <c r="D4262">
        <v>0.86532848771000004</v>
      </c>
      <c r="E4262">
        <v>22.571999999999999</v>
      </c>
    </row>
    <row r="4263" spans="1:5">
      <c r="A4263" t="s">
        <v>36944</v>
      </c>
      <c r="B4263" t="s">
        <v>36949</v>
      </c>
      <c r="C4263">
        <f>0.0962945883862</f>
        <v>9.6294588386200003E-2</v>
      </c>
      <c r="D4263">
        <v>0.86532848771000004</v>
      </c>
      <c r="E4263">
        <v>22.571999999999999</v>
      </c>
    </row>
    <row r="4264" spans="1:5">
      <c r="A4264" t="s">
        <v>36944</v>
      </c>
      <c r="B4264" t="s">
        <v>36950</v>
      </c>
      <c r="C4264">
        <v>0</v>
      </c>
      <c r="D4264">
        <v>0.86532848771000004</v>
      </c>
      <c r="E4264">
        <v>22.571999999999999</v>
      </c>
    </row>
    <row r="4265" spans="1:5">
      <c r="A4265" t="s">
        <v>36944</v>
      </c>
      <c r="B4265" t="s">
        <v>36951</v>
      </c>
      <c r="C4265">
        <f>0.439876180062</f>
        <v>0.43987618006200002</v>
      </c>
      <c r="D4265">
        <v>0.86532848771000004</v>
      </c>
      <c r="E4265">
        <v>22.571999999999999</v>
      </c>
    </row>
    <row r="4266" spans="1:5">
      <c r="A4266" t="s">
        <v>36944</v>
      </c>
      <c r="B4266" t="s">
        <v>36952</v>
      </c>
      <c r="C4266">
        <f>0</f>
        <v>0</v>
      </c>
      <c r="D4266">
        <v>0.86532848771000004</v>
      </c>
      <c r="E4266">
        <v>22.571999999999999</v>
      </c>
    </row>
    <row r="4267" spans="1:5">
      <c r="A4267" t="s">
        <v>36953</v>
      </c>
      <c r="B4267" t="s">
        <v>31807</v>
      </c>
      <c r="C4267">
        <v>0</v>
      </c>
      <c r="D4267" t="s">
        <v>106</v>
      </c>
      <c r="E4267">
        <v>24</v>
      </c>
    </row>
    <row r="4268" spans="1:5">
      <c r="A4268" t="s">
        <v>36953</v>
      </c>
      <c r="B4268" t="s">
        <v>31805</v>
      </c>
      <c r="C4268">
        <v>0</v>
      </c>
      <c r="D4268" t="s">
        <v>106</v>
      </c>
      <c r="E4268">
        <v>24</v>
      </c>
    </row>
    <row r="4269" spans="1:5">
      <c r="A4269" t="s">
        <v>36953</v>
      </c>
      <c r="B4269" t="s">
        <v>31808</v>
      </c>
      <c r="C4269">
        <v>0</v>
      </c>
      <c r="D4269" t="s">
        <v>106</v>
      </c>
      <c r="E4269">
        <v>24</v>
      </c>
    </row>
    <row r="4270" spans="1:5">
      <c r="A4270" t="s">
        <v>36954</v>
      </c>
      <c r="B4270" t="s">
        <v>34019</v>
      </c>
      <c r="C4270">
        <v>0.60714686011899999</v>
      </c>
      <c r="D4270">
        <v>0.93362863761000003</v>
      </c>
      <c r="E4270">
        <v>3.5880000000000001</v>
      </c>
    </row>
    <row r="4271" spans="1:5">
      <c r="A4271" t="s">
        <v>36954</v>
      </c>
      <c r="B4271" t="s">
        <v>34018</v>
      </c>
      <c r="C4271">
        <v>0.54390995117600005</v>
      </c>
      <c r="D4271">
        <v>0.93362863761000003</v>
      </c>
      <c r="E4271">
        <v>3.5880000000000001</v>
      </c>
    </row>
    <row r="4272" spans="1:5">
      <c r="A4272" t="s">
        <v>36954</v>
      </c>
      <c r="B4272" t="s">
        <v>34020</v>
      </c>
      <c r="C4272">
        <v>0.74897507472799996</v>
      </c>
      <c r="D4272">
        <v>0.93362863761000003</v>
      </c>
      <c r="E4272">
        <v>3.5880000000000001</v>
      </c>
    </row>
    <row r="4273" spans="1:5">
      <c r="A4273" t="s">
        <v>36954</v>
      </c>
      <c r="B4273" t="s">
        <v>34022</v>
      </c>
      <c r="C4273">
        <f>0.235950817049</f>
        <v>0.23595081704900001</v>
      </c>
      <c r="D4273">
        <v>0.93362863761000003</v>
      </c>
      <c r="E4273">
        <v>3.5880000000000001</v>
      </c>
    </row>
    <row r="4274" spans="1:5">
      <c r="A4274" t="s">
        <v>36955</v>
      </c>
      <c r="B4274" t="s">
        <v>36956</v>
      </c>
      <c r="C4274">
        <f>0</f>
        <v>0</v>
      </c>
      <c r="D4274">
        <v>0.34418363190500001</v>
      </c>
      <c r="E4274">
        <v>1.6379999999999999</v>
      </c>
    </row>
    <row r="4275" spans="1:5">
      <c r="A4275" t="s">
        <v>36955</v>
      </c>
      <c r="B4275" t="s">
        <v>36957</v>
      </c>
      <c r="C4275">
        <v>0.150573631905</v>
      </c>
      <c r="D4275">
        <v>0.34418363190500001</v>
      </c>
      <c r="E4275">
        <v>1.6379999999999999</v>
      </c>
    </row>
    <row r="4276" spans="1:5">
      <c r="A4276" t="s">
        <v>36958</v>
      </c>
      <c r="B4276" t="s">
        <v>36959</v>
      </c>
      <c r="C4276">
        <f>0.264920143739</f>
        <v>0.26492014373900002</v>
      </c>
      <c r="D4276">
        <v>0.53355340396100004</v>
      </c>
      <c r="E4276">
        <v>20.736000000000001</v>
      </c>
    </row>
    <row r="4277" spans="1:5">
      <c r="A4277" t="s">
        <v>36958</v>
      </c>
      <c r="B4277" t="s">
        <v>36960</v>
      </c>
      <c r="C4277">
        <f>0.164910923418</f>
        <v>0.16491092341800001</v>
      </c>
      <c r="D4277">
        <v>0.53355340396100004</v>
      </c>
      <c r="E4277">
        <v>20.736000000000001</v>
      </c>
    </row>
    <row r="4278" spans="1:5">
      <c r="A4278" t="s">
        <v>36961</v>
      </c>
      <c r="B4278" t="s">
        <v>3693</v>
      </c>
      <c r="C4278">
        <v>5.8084201708000001E-2</v>
      </c>
      <c r="D4278">
        <v>0.96661939683200004</v>
      </c>
      <c r="E4278">
        <v>24</v>
      </c>
    </row>
    <row r="4279" spans="1:5">
      <c r="A4279" t="s">
        <v>36961</v>
      </c>
      <c r="B4279" t="s">
        <v>3696</v>
      </c>
      <c r="C4279">
        <f>0.813497612649</f>
        <v>0.813497612649</v>
      </c>
      <c r="D4279">
        <v>0.96661939683200004</v>
      </c>
      <c r="E4279">
        <v>24</v>
      </c>
    </row>
    <row r="4280" spans="1:5">
      <c r="A4280" t="s">
        <v>36961</v>
      </c>
      <c r="B4280" t="s">
        <v>3700</v>
      </c>
      <c r="C4280">
        <v>0</v>
      </c>
      <c r="D4280">
        <v>0.96661939683200004</v>
      </c>
      <c r="E4280">
        <v>24</v>
      </c>
    </row>
    <row r="4281" spans="1:5">
      <c r="A4281" t="s">
        <v>36961</v>
      </c>
      <c r="B4281" t="s">
        <v>3703</v>
      </c>
      <c r="C4281">
        <v>0.43845824130900002</v>
      </c>
      <c r="D4281">
        <v>0.96661939683200004</v>
      </c>
      <c r="E4281">
        <v>24</v>
      </c>
    </row>
    <row r="4282" spans="1:5">
      <c r="A4282" t="s">
        <v>36961</v>
      </c>
      <c r="B4282" t="s">
        <v>3702</v>
      </c>
      <c r="C4282">
        <f>0</f>
        <v>0</v>
      </c>
      <c r="D4282">
        <v>0.96661939683200004</v>
      </c>
      <c r="E4282">
        <v>24</v>
      </c>
    </row>
    <row r="4283" spans="1:5">
      <c r="A4283" t="s">
        <v>36961</v>
      </c>
      <c r="B4283" t="s">
        <v>3695</v>
      </c>
      <c r="C4283">
        <v>0</v>
      </c>
      <c r="D4283">
        <v>0.96661939683200004</v>
      </c>
      <c r="E4283">
        <v>24</v>
      </c>
    </row>
    <row r="4284" spans="1:5">
      <c r="A4284" t="s">
        <v>36961</v>
      </c>
      <c r="B4284" t="s">
        <v>3699</v>
      </c>
      <c r="C4284">
        <v>0.53323191138199999</v>
      </c>
      <c r="D4284">
        <v>0.96661939683200004</v>
      </c>
      <c r="E4284">
        <v>24</v>
      </c>
    </row>
    <row r="4285" spans="1:5">
      <c r="A4285" t="s">
        <v>36961</v>
      </c>
      <c r="B4285" t="s">
        <v>3701</v>
      </c>
      <c r="C4285">
        <f>0.276071740226</f>
        <v>0.27607174022600001</v>
      </c>
      <c r="D4285">
        <v>0.96661939683200004</v>
      </c>
      <c r="E4285">
        <v>24</v>
      </c>
    </row>
    <row r="4286" spans="1:5">
      <c r="A4286" t="s">
        <v>36962</v>
      </c>
      <c r="B4286" t="s">
        <v>1360</v>
      </c>
      <c r="C4286">
        <f>0</f>
        <v>0</v>
      </c>
      <c r="D4286" t="s">
        <v>106</v>
      </c>
      <c r="E4286">
        <v>24</v>
      </c>
    </row>
    <row r="4287" spans="1:5">
      <c r="A4287" t="s">
        <v>36962</v>
      </c>
      <c r="B4287" t="s">
        <v>1361</v>
      </c>
      <c r="C4287">
        <v>0</v>
      </c>
      <c r="D4287" t="s">
        <v>106</v>
      </c>
      <c r="E4287">
        <v>24</v>
      </c>
    </row>
    <row r="4288" spans="1:5">
      <c r="A4288" t="s">
        <v>36962</v>
      </c>
      <c r="B4288" t="s">
        <v>1364</v>
      </c>
      <c r="C4288">
        <v>0</v>
      </c>
      <c r="D4288" t="s">
        <v>106</v>
      </c>
      <c r="E4288">
        <v>24</v>
      </c>
    </row>
    <row r="4289" spans="1:5">
      <c r="A4289" t="s">
        <v>36963</v>
      </c>
      <c r="B4289" t="s">
        <v>36964</v>
      </c>
      <c r="C4289">
        <v>0</v>
      </c>
      <c r="D4289" t="s">
        <v>106</v>
      </c>
      <c r="E4289">
        <v>24</v>
      </c>
    </row>
    <row r="4290" spans="1:5">
      <c r="A4290" t="s">
        <v>36963</v>
      </c>
      <c r="B4290" t="s">
        <v>36965</v>
      </c>
      <c r="C4290">
        <v>0</v>
      </c>
      <c r="D4290" t="s">
        <v>106</v>
      </c>
      <c r="E4290">
        <v>24</v>
      </c>
    </row>
    <row r="4291" spans="1:5">
      <c r="A4291" t="s">
        <v>36963</v>
      </c>
      <c r="B4291" t="s">
        <v>36966</v>
      </c>
      <c r="C4291">
        <v>0</v>
      </c>
      <c r="D4291" t="s">
        <v>106</v>
      </c>
      <c r="E4291">
        <v>24</v>
      </c>
    </row>
    <row r="4292" spans="1:5">
      <c r="A4292" t="s">
        <v>36963</v>
      </c>
      <c r="B4292" t="s">
        <v>36967</v>
      </c>
      <c r="C4292">
        <v>0</v>
      </c>
      <c r="D4292" t="s">
        <v>106</v>
      </c>
      <c r="E4292">
        <v>24</v>
      </c>
    </row>
    <row r="4293" spans="1:5">
      <c r="A4293" t="s">
        <v>36968</v>
      </c>
      <c r="B4293" t="s">
        <v>15082</v>
      </c>
      <c r="C4293">
        <v>0.29383393154600002</v>
      </c>
      <c r="D4293">
        <v>0.94655382800800003</v>
      </c>
      <c r="E4293">
        <v>18.138000000000002</v>
      </c>
    </row>
    <row r="4294" spans="1:5">
      <c r="A4294" t="s">
        <v>36968</v>
      </c>
      <c r="B4294" t="s">
        <v>15085</v>
      </c>
      <c r="C4294">
        <v>0.72026430642600003</v>
      </c>
      <c r="D4294">
        <v>0.94655382800800003</v>
      </c>
      <c r="E4294">
        <v>18.138000000000002</v>
      </c>
    </row>
    <row r="4295" spans="1:5">
      <c r="A4295" t="s">
        <v>36968</v>
      </c>
      <c r="B4295" t="s">
        <v>15084</v>
      </c>
      <c r="C4295">
        <v>0.32486143078599999</v>
      </c>
      <c r="D4295">
        <v>0.94655382800800003</v>
      </c>
      <c r="E4295">
        <v>18.138000000000002</v>
      </c>
    </row>
    <row r="4296" spans="1:5">
      <c r="A4296" t="s">
        <v>36968</v>
      </c>
      <c r="B4296" t="s">
        <v>15083</v>
      </c>
      <c r="C4296">
        <v>0.62382778881500001</v>
      </c>
      <c r="D4296">
        <v>0.94655382800800003</v>
      </c>
      <c r="E4296">
        <v>18.138000000000002</v>
      </c>
    </row>
    <row r="4297" spans="1:5">
      <c r="A4297" t="s">
        <v>36968</v>
      </c>
      <c r="B4297" t="s">
        <v>15086</v>
      </c>
      <c r="C4297">
        <f>0.312569949895</f>
        <v>0.31256994989499998</v>
      </c>
      <c r="D4297">
        <v>0.94655382800800003</v>
      </c>
      <c r="E4297">
        <v>18.138000000000002</v>
      </c>
    </row>
    <row r="4298" spans="1:5">
      <c r="A4298" t="s">
        <v>36969</v>
      </c>
      <c r="B4298" t="s">
        <v>36970</v>
      </c>
      <c r="C4298">
        <f>0.390635892397</f>
        <v>0.39063589239699997</v>
      </c>
      <c r="D4298">
        <v>0.71359360198300004</v>
      </c>
      <c r="E4298">
        <v>24</v>
      </c>
    </row>
    <row r="4299" spans="1:5">
      <c r="A4299" t="s">
        <v>36969</v>
      </c>
      <c r="B4299" t="s">
        <v>36971</v>
      </c>
      <c r="C4299">
        <v>7.5668238854499997E-2</v>
      </c>
      <c r="D4299">
        <v>0.71359360198300004</v>
      </c>
      <c r="E4299">
        <v>24</v>
      </c>
    </row>
    <row r="4300" spans="1:5">
      <c r="A4300" t="s">
        <v>36969</v>
      </c>
      <c r="B4300" t="s">
        <v>36972</v>
      </c>
      <c r="C4300">
        <v>0</v>
      </c>
      <c r="D4300">
        <v>0.71359360198300004</v>
      </c>
      <c r="E4300">
        <v>24</v>
      </c>
    </row>
    <row r="4301" spans="1:5">
      <c r="A4301" t="s">
        <v>36969</v>
      </c>
      <c r="B4301" t="s">
        <v>36973</v>
      </c>
      <c r="C4301">
        <f>0</f>
        <v>0</v>
      </c>
      <c r="D4301">
        <v>0.71359360198300004</v>
      </c>
      <c r="E4301">
        <v>24</v>
      </c>
    </row>
    <row r="4302" spans="1:5">
      <c r="A4302" t="s">
        <v>36969</v>
      </c>
      <c r="B4302" t="s">
        <v>36974</v>
      </c>
      <c r="C4302">
        <f>0</f>
        <v>0</v>
      </c>
      <c r="D4302">
        <v>0.71359360198300004</v>
      </c>
      <c r="E4302">
        <v>24</v>
      </c>
    </row>
    <row r="4303" spans="1:5">
      <c r="A4303" t="s">
        <v>36975</v>
      </c>
      <c r="B4303" t="s">
        <v>13265</v>
      </c>
      <c r="C4303">
        <f>0</f>
        <v>0</v>
      </c>
      <c r="D4303" t="s">
        <v>106</v>
      </c>
      <c r="E4303">
        <v>0.26400000000000001</v>
      </c>
    </row>
    <row r="4304" spans="1:5">
      <c r="A4304" t="s">
        <v>36975</v>
      </c>
      <c r="B4304" t="s">
        <v>13266</v>
      </c>
      <c r="C4304">
        <f>0</f>
        <v>0</v>
      </c>
      <c r="D4304" t="s">
        <v>106</v>
      </c>
      <c r="E4304">
        <v>0.26400000000000001</v>
      </c>
    </row>
    <row r="4305" spans="1:5">
      <c r="A4305" t="s">
        <v>36975</v>
      </c>
      <c r="B4305" t="s">
        <v>13264</v>
      </c>
      <c r="C4305">
        <v>0</v>
      </c>
      <c r="D4305" t="s">
        <v>106</v>
      </c>
      <c r="E4305">
        <v>0.26400000000000001</v>
      </c>
    </row>
    <row r="4306" spans="1:5">
      <c r="A4306" t="s">
        <v>36976</v>
      </c>
      <c r="B4306" t="s">
        <v>11269</v>
      </c>
      <c r="C4306">
        <f>0.798396213361</f>
        <v>0.79839621336099997</v>
      </c>
      <c r="D4306">
        <v>0.99999991017000001</v>
      </c>
      <c r="E4306">
        <v>10.08</v>
      </c>
    </row>
    <row r="4307" spans="1:5">
      <c r="A4307" t="s">
        <v>36976</v>
      </c>
      <c r="B4307" t="s">
        <v>11276</v>
      </c>
      <c r="C4307">
        <v>0.30653949772799999</v>
      </c>
      <c r="D4307">
        <v>0.99999991017000001</v>
      </c>
      <c r="E4307">
        <v>10.08</v>
      </c>
    </row>
    <row r="4308" spans="1:5">
      <c r="A4308" t="s">
        <v>36976</v>
      </c>
      <c r="B4308" t="s">
        <v>11278</v>
      </c>
      <c r="C4308">
        <f>0.314572173555</f>
        <v>0.314572173555</v>
      </c>
      <c r="D4308">
        <v>0.99999991017000001</v>
      </c>
      <c r="E4308">
        <v>10.08</v>
      </c>
    </row>
    <row r="4309" spans="1:5">
      <c r="A4309" t="s">
        <v>36976</v>
      </c>
      <c r="B4309" t="s">
        <v>11279</v>
      </c>
      <c r="C4309">
        <f>0.298936881369</f>
        <v>0.29893688136899998</v>
      </c>
      <c r="D4309">
        <v>0.99999991017000001</v>
      </c>
      <c r="E4309">
        <v>10.08</v>
      </c>
    </row>
    <row r="4310" spans="1:5">
      <c r="A4310" t="s">
        <v>36976</v>
      </c>
      <c r="B4310" t="s">
        <v>11272</v>
      </c>
      <c r="C4310">
        <v>0.28292202771300001</v>
      </c>
      <c r="D4310">
        <v>0.99999991017000001</v>
      </c>
      <c r="E4310">
        <v>10.08</v>
      </c>
    </row>
    <row r="4311" spans="1:5">
      <c r="A4311" t="s">
        <v>36976</v>
      </c>
      <c r="B4311" t="s">
        <v>11273</v>
      </c>
      <c r="C4311">
        <v>9.2265395148700003E-4</v>
      </c>
      <c r="D4311">
        <v>0.99999991017000001</v>
      </c>
      <c r="E4311">
        <v>10.08</v>
      </c>
    </row>
    <row r="4312" spans="1:5">
      <c r="A4312" t="s">
        <v>36976</v>
      </c>
      <c r="B4312" t="s">
        <v>11280</v>
      </c>
      <c r="C4312">
        <v>4.79423200213E-2</v>
      </c>
      <c r="D4312">
        <v>0.99999991017000001</v>
      </c>
      <c r="E4312">
        <v>10.08</v>
      </c>
    </row>
    <row r="4313" spans="1:5">
      <c r="A4313" t="s">
        <v>36976</v>
      </c>
      <c r="B4313" t="s">
        <v>11277</v>
      </c>
      <c r="C4313">
        <v>0.188067578836</v>
      </c>
      <c r="D4313">
        <v>0.99999991017000001</v>
      </c>
      <c r="E4313">
        <v>10.08</v>
      </c>
    </row>
    <row r="4314" spans="1:5">
      <c r="A4314" t="s">
        <v>36976</v>
      </c>
      <c r="B4314" t="s">
        <v>11275</v>
      </c>
      <c r="C4314">
        <f>0.151484106227</f>
        <v>0.15148410622700001</v>
      </c>
      <c r="D4314">
        <v>0.99999991017000001</v>
      </c>
      <c r="E4314">
        <v>10.08</v>
      </c>
    </row>
    <row r="4315" spans="1:5">
      <c r="A4315" t="s">
        <v>36976</v>
      </c>
      <c r="B4315" t="s">
        <v>11274</v>
      </c>
      <c r="C4315">
        <v>0.39428692956799999</v>
      </c>
      <c r="D4315">
        <v>0.99999991017000001</v>
      </c>
      <c r="E4315">
        <v>10.08</v>
      </c>
    </row>
    <row r="4316" spans="1:5">
      <c r="A4316" t="s">
        <v>36977</v>
      </c>
      <c r="B4316" t="s">
        <v>32952</v>
      </c>
      <c r="C4316">
        <f>0.547069463743</f>
        <v>0.54706946374300003</v>
      </c>
      <c r="D4316">
        <v>0.74208957318400004</v>
      </c>
      <c r="E4316">
        <v>6.5519999999999996</v>
      </c>
    </row>
    <row r="4317" spans="1:5">
      <c r="A4317" t="s">
        <v>36977</v>
      </c>
      <c r="B4317" t="s">
        <v>32956</v>
      </c>
      <c r="C4317">
        <f>0</f>
        <v>0</v>
      </c>
      <c r="D4317">
        <v>0.74208957318400004</v>
      </c>
      <c r="E4317">
        <v>6.5519999999999996</v>
      </c>
    </row>
    <row r="4318" spans="1:5">
      <c r="A4318" t="s">
        <v>36977</v>
      </c>
      <c r="B4318" t="s">
        <v>32957</v>
      </c>
      <c r="C4318">
        <f>0</f>
        <v>0</v>
      </c>
      <c r="D4318">
        <v>0.74208957318400004</v>
      </c>
      <c r="E4318">
        <v>6.5519999999999996</v>
      </c>
    </row>
    <row r="4319" spans="1:5">
      <c r="A4319" t="s">
        <v>36977</v>
      </c>
      <c r="B4319" t="s">
        <v>32959</v>
      </c>
      <c r="C4319">
        <f>0.104853634377</f>
        <v>0.104853634377</v>
      </c>
      <c r="D4319">
        <v>0.74208957318400004</v>
      </c>
      <c r="E4319">
        <v>6.5519999999999996</v>
      </c>
    </row>
    <row r="4320" spans="1:5">
      <c r="A4320" t="s">
        <v>36977</v>
      </c>
      <c r="B4320" t="s">
        <v>32949</v>
      </c>
      <c r="C4320">
        <f>0</f>
        <v>0</v>
      </c>
      <c r="D4320">
        <v>0.74208957318400004</v>
      </c>
      <c r="E4320">
        <v>6.5519999999999996</v>
      </c>
    </row>
    <row r="4321" spans="1:5">
      <c r="A4321" t="s">
        <v>36978</v>
      </c>
      <c r="B4321" t="s">
        <v>5550</v>
      </c>
      <c r="C4321">
        <f>0.0928839585054</f>
        <v>9.2883958505400002E-2</v>
      </c>
      <c r="D4321">
        <v>0.94786033909</v>
      </c>
      <c r="E4321">
        <v>6.3</v>
      </c>
    </row>
    <row r="4322" spans="1:5">
      <c r="A4322" t="s">
        <v>36978</v>
      </c>
      <c r="B4322" t="s">
        <v>5549</v>
      </c>
      <c r="C4322">
        <f>0</f>
        <v>0</v>
      </c>
      <c r="D4322">
        <v>0.94786033909</v>
      </c>
      <c r="E4322">
        <v>6.3</v>
      </c>
    </row>
    <row r="4323" spans="1:5">
      <c r="A4323" t="s">
        <v>36978</v>
      </c>
      <c r="B4323" t="s">
        <v>5544</v>
      </c>
      <c r="C4323">
        <v>0</v>
      </c>
      <c r="D4323">
        <v>0.94786033909</v>
      </c>
      <c r="E4323">
        <v>6.3</v>
      </c>
    </row>
    <row r="4324" spans="1:5">
      <c r="A4324" t="s">
        <v>36978</v>
      </c>
      <c r="B4324" t="s">
        <v>5548</v>
      </c>
      <c r="C4324">
        <f>0.0469112785279</f>
        <v>4.6911278527900002E-2</v>
      </c>
      <c r="D4324">
        <v>0.94786033909</v>
      </c>
      <c r="E4324">
        <v>6.3</v>
      </c>
    </row>
    <row r="4325" spans="1:5">
      <c r="A4325" t="s">
        <v>36978</v>
      </c>
      <c r="B4325" t="s">
        <v>5551</v>
      </c>
      <c r="C4325">
        <f>0</f>
        <v>0</v>
      </c>
      <c r="D4325">
        <v>0.94786033909</v>
      </c>
      <c r="E4325">
        <v>6.3</v>
      </c>
    </row>
    <row r="4326" spans="1:5">
      <c r="A4326" t="s">
        <v>36978</v>
      </c>
      <c r="B4326" t="s">
        <v>5553</v>
      </c>
      <c r="C4326">
        <f>0.0630911298128</f>
        <v>6.3091129812800004E-2</v>
      </c>
      <c r="D4326">
        <v>0.94786033909</v>
      </c>
      <c r="E4326">
        <v>6.3</v>
      </c>
    </row>
    <row r="4327" spans="1:5">
      <c r="A4327" t="s">
        <v>36978</v>
      </c>
      <c r="B4327" t="s">
        <v>5546</v>
      </c>
      <c r="C4327">
        <f>0</f>
        <v>0</v>
      </c>
      <c r="D4327">
        <v>0.94786033909</v>
      </c>
      <c r="E4327">
        <v>6.3</v>
      </c>
    </row>
    <row r="4328" spans="1:5">
      <c r="A4328" t="s">
        <v>36978</v>
      </c>
      <c r="B4328" t="s">
        <v>5554</v>
      </c>
      <c r="C4328">
        <v>0.841197253177</v>
      </c>
      <c r="D4328">
        <v>0.94786033909</v>
      </c>
      <c r="E4328">
        <v>6.3</v>
      </c>
    </row>
    <row r="4329" spans="1:5">
      <c r="A4329" t="s">
        <v>36978</v>
      </c>
      <c r="B4329" t="s">
        <v>5547</v>
      </c>
      <c r="C4329">
        <f>0</f>
        <v>0</v>
      </c>
      <c r="D4329">
        <v>0.94786033909</v>
      </c>
      <c r="E4329">
        <v>6.3</v>
      </c>
    </row>
    <row r="4330" spans="1:5">
      <c r="A4330" t="s">
        <v>36979</v>
      </c>
      <c r="B4330" t="s">
        <v>36980</v>
      </c>
      <c r="C4330">
        <v>0.346554994211</v>
      </c>
      <c r="D4330">
        <v>0.98112213212499999</v>
      </c>
      <c r="E4330">
        <v>5.4660000000000002</v>
      </c>
    </row>
    <row r="4331" spans="1:5">
      <c r="A4331" t="s">
        <v>36979</v>
      </c>
      <c r="B4331" t="s">
        <v>36981</v>
      </c>
      <c r="C4331">
        <f>0.575768537228</f>
        <v>0.57576853722800003</v>
      </c>
      <c r="D4331">
        <v>0.98112213212499999</v>
      </c>
      <c r="E4331">
        <v>5.4660000000000002</v>
      </c>
    </row>
    <row r="4332" spans="1:5">
      <c r="A4332" t="s">
        <v>36979</v>
      </c>
      <c r="B4332" t="s">
        <v>36982</v>
      </c>
      <c r="C4332">
        <v>0</v>
      </c>
      <c r="D4332">
        <v>0.98112213212499999</v>
      </c>
      <c r="E4332">
        <v>5.4660000000000002</v>
      </c>
    </row>
    <row r="4333" spans="1:5">
      <c r="A4333" t="s">
        <v>36979</v>
      </c>
      <c r="B4333" t="s">
        <v>36983</v>
      </c>
      <c r="C4333">
        <v>0</v>
      </c>
      <c r="D4333">
        <v>0.98112213212499999</v>
      </c>
      <c r="E4333">
        <v>5.4660000000000002</v>
      </c>
    </row>
    <row r="4334" spans="1:5">
      <c r="A4334" t="s">
        <v>36979</v>
      </c>
      <c r="B4334" t="s">
        <v>36984</v>
      </c>
      <c r="C4334">
        <v>0</v>
      </c>
      <c r="D4334">
        <v>0.98112213212499999</v>
      </c>
      <c r="E4334">
        <v>5.4660000000000002</v>
      </c>
    </row>
    <row r="4335" spans="1:5">
      <c r="A4335" t="s">
        <v>36979</v>
      </c>
      <c r="B4335" t="s">
        <v>36985</v>
      </c>
      <c r="C4335">
        <v>0.47269755274300002</v>
      </c>
      <c r="D4335">
        <v>0.98112213212499999</v>
      </c>
      <c r="E4335">
        <v>5.4660000000000002</v>
      </c>
    </row>
    <row r="4336" spans="1:5">
      <c r="A4336" t="s">
        <v>36979</v>
      </c>
      <c r="B4336" t="s">
        <v>36986</v>
      </c>
      <c r="C4336">
        <v>0</v>
      </c>
      <c r="D4336">
        <v>0.98112213212499999</v>
      </c>
      <c r="E4336">
        <v>5.4660000000000002</v>
      </c>
    </row>
    <row r="4337" spans="1:5">
      <c r="A4337" t="s">
        <v>36987</v>
      </c>
      <c r="B4337" t="s">
        <v>33881</v>
      </c>
      <c r="C4337">
        <v>0</v>
      </c>
      <c r="D4337" t="s">
        <v>106</v>
      </c>
      <c r="E4337">
        <v>24</v>
      </c>
    </row>
    <row r="4338" spans="1:5">
      <c r="A4338" t="s">
        <v>36987</v>
      </c>
      <c r="B4338" t="s">
        <v>33887</v>
      </c>
      <c r="C4338">
        <f>0</f>
        <v>0</v>
      </c>
      <c r="D4338" t="s">
        <v>106</v>
      </c>
      <c r="E4338">
        <v>24</v>
      </c>
    </row>
    <row r="4339" spans="1:5">
      <c r="A4339" t="s">
        <v>36987</v>
      </c>
      <c r="B4339" t="s">
        <v>33882</v>
      </c>
      <c r="C4339">
        <v>0</v>
      </c>
      <c r="D4339" t="s">
        <v>106</v>
      </c>
      <c r="E4339">
        <v>24</v>
      </c>
    </row>
    <row r="4340" spans="1:5">
      <c r="A4340" t="s">
        <v>36988</v>
      </c>
      <c r="B4340" t="s">
        <v>31257</v>
      </c>
      <c r="C4340">
        <f>0</f>
        <v>0</v>
      </c>
      <c r="D4340" t="s">
        <v>106</v>
      </c>
      <c r="E4340">
        <v>7.6020000000000003</v>
      </c>
    </row>
    <row r="4341" spans="1:5">
      <c r="A4341" t="s">
        <v>36988</v>
      </c>
      <c r="B4341" t="s">
        <v>31256</v>
      </c>
      <c r="C4341">
        <v>0</v>
      </c>
      <c r="D4341" t="s">
        <v>106</v>
      </c>
      <c r="E4341">
        <v>7.6020000000000003</v>
      </c>
    </row>
    <row r="4342" spans="1:5">
      <c r="A4342" t="s">
        <v>36988</v>
      </c>
      <c r="B4342" t="s">
        <v>31258</v>
      </c>
      <c r="C4342">
        <v>0</v>
      </c>
      <c r="D4342" t="s">
        <v>106</v>
      </c>
      <c r="E4342">
        <v>7.6020000000000003</v>
      </c>
    </row>
    <row r="4343" spans="1:5">
      <c r="A4343" t="s">
        <v>36988</v>
      </c>
      <c r="B4343" t="s">
        <v>31253</v>
      </c>
      <c r="C4343">
        <v>0</v>
      </c>
      <c r="D4343" t="s">
        <v>106</v>
      </c>
      <c r="E4343">
        <v>7.6020000000000003</v>
      </c>
    </row>
    <row r="4344" spans="1:5">
      <c r="A4344" t="s">
        <v>36989</v>
      </c>
      <c r="B4344" t="s">
        <v>26377</v>
      </c>
      <c r="C4344">
        <v>0.97394188948100002</v>
      </c>
      <c r="D4344">
        <v>0.87729100211400002</v>
      </c>
      <c r="E4344">
        <v>24</v>
      </c>
    </row>
    <row r="4345" spans="1:5">
      <c r="A4345" t="s">
        <v>36989</v>
      </c>
      <c r="B4345" t="s">
        <v>26379</v>
      </c>
      <c r="C4345">
        <f>0.43599916036</f>
        <v>0.43599916036000003</v>
      </c>
      <c r="D4345">
        <v>0.87729100211400002</v>
      </c>
      <c r="E4345">
        <v>24</v>
      </c>
    </row>
    <row r="4346" spans="1:5">
      <c r="A4346" t="s">
        <v>36989</v>
      </c>
      <c r="B4346" t="s">
        <v>26381</v>
      </c>
      <c r="C4346">
        <v>0.31454869291999998</v>
      </c>
      <c r="D4346">
        <v>0.87729100211400002</v>
      </c>
      <c r="E4346">
        <v>24</v>
      </c>
    </row>
    <row r="4347" spans="1:5">
      <c r="A4347" t="s">
        <v>36990</v>
      </c>
      <c r="B4347" t="s">
        <v>12228</v>
      </c>
      <c r="C4347">
        <f>0.11299525858</f>
        <v>0.11299525857999999</v>
      </c>
      <c r="D4347">
        <v>0.92591542007600003</v>
      </c>
      <c r="E4347">
        <v>1.698</v>
      </c>
    </row>
    <row r="4348" spans="1:5">
      <c r="A4348" t="s">
        <v>36990</v>
      </c>
      <c r="B4348" t="s">
        <v>12229</v>
      </c>
      <c r="C4348">
        <f>0.452808717558</f>
        <v>0.45280871755800001</v>
      </c>
      <c r="D4348">
        <v>0.92591542007600003</v>
      </c>
      <c r="E4348">
        <v>1.698</v>
      </c>
    </row>
    <row r="4349" spans="1:5">
      <c r="A4349" t="s">
        <v>36990</v>
      </c>
      <c r="B4349" t="s">
        <v>12230</v>
      </c>
      <c r="C4349">
        <v>0.680817650444</v>
      </c>
      <c r="D4349">
        <v>0.92591542007600003</v>
      </c>
      <c r="E4349">
        <v>1.698</v>
      </c>
    </row>
    <row r="4350" spans="1:5">
      <c r="A4350" t="s">
        <v>36990</v>
      </c>
      <c r="B4350" t="s">
        <v>12231</v>
      </c>
      <c r="C4350">
        <f>0.398861016109</f>
        <v>0.39886101610899999</v>
      </c>
      <c r="D4350">
        <v>0.92591542007600003</v>
      </c>
      <c r="E4350">
        <v>1.698</v>
      </c>
    </row>
    <row r="4351" spans="1:5">
      <c r="A4351" t="s">
        <v>36991</v>
      </c>
      <c r="B4351" t="s">
        <v>2861</v>
      </c>
      <c r="C4351">
        <v>9.9604187159099994E-2</v>
      </c>
      <c r="D4351">
        <v>0.89473848244599996</v>
      </c>
      <c r="E4351">
        <v>6.3</v>
      </c>
    </row>
    <row r="4352" spans="1:5">
      <c r="A4352" t="s">
        <v>36991</v>
      </c>
      <c r="B4352" t="s">
        <v>2860</v>
      </c>
      <c r="C4352">
        <v>0.76732411278699997</v>
      </c>
      <c r="D4352">
        <v>0.89473848244599996</v>
      </c>
      <c r="E4352">
        <v>6.3</v>
      </c>
    </row>
    <row r="4353" spans="1:5">
      <c r="A4353" t="s">
        <v>36992</v>
      </c>
      <c r="B4353" t="s">
        <v>18460</v>
      </c>
      <c r="C4353">
        <f>0.506974484785</f>
        <v>0.50697448478499996</v>
      </c>
      <c r="D4353">
        <v>0.75515065814399995</v>
      </c>
      <c r="E4353">
        <v>2.4780000000000002</v>
      </c>
    </row>
    <row r="4354" spans="1:5">
      <c r="A4354" t="s">
        <v>36992</v>
      </c>
      <c r="B4354" t="s">
        <v>18461</v>
      </c>
      <c r="C4354">
        <f>0</f>
        <v>0</v>
      </c>
      <c r="D4354">
        <v>0.75515065814399995</v>
      </c>
      <c r="E4354">
        <v>2.4780000000000002</v>
      </c>
    </row>
    <row r="4355" spans="1:5">
      <c r="A4355" t="s">
        <v>36992</v>
      </c>
      <c r="B4355" t="s">
        <v>18465</v>
      </c>
      <c r="C4355">
        <f>0</f>
        <v>0</v>
      </c>
      <c r="D4355">
        <v>0.75515065814399995</v>
      </c>
      <c r="E4355">
        <v>2.4780000000000002</v>
      </c>
    </row>
    <row r="4356" spans="1:5">
      <c r="A4356" t="s">
        <v>36992</v>
      </c>
      <c r="B4356" t="s">
        <v>18464</v>
      </c>
      <c r="C4356">
        <f>0</f>
        <v>0</v>
      </c>
      <c r="D4356">
        <v>0.75515065814399995</v>
      </c>
      <c r="E4356">
        <v>2.4780000000000002</v>
      </c>
    </row>
    <row r="4357" spans="1:5">
      <c r="A4357" t="s">
        <v>36992</v>
      </c>
      <c r="B4357" t="s">
        <v>18456</v>
      </c>
      <c r="C4357">
        <f>0.00851740939093</f>
        <v>8.5174093909300003E-3</v>
      </c>
      <c r="D4357">
        <v>0.75515065814399995</v>
      </c>
      <c r="E4357">
        <v>2.4780000000000002</v>
      </c>
    </row>
    <row r="4358" spans="1:5">
      <c r="A4358" t="s">
        <v>36992</v>
      </c>
      <c r="B4358" t="s">
        <v>18457</v>
      </c>
      <c r="C4358">
        <f>0.108265285047</f>
        <v>0.108265285047</v>
      </c>
      <c r="D4358">
        <v>0.75515065814399995</v>
      </c>
      <c r="E4358">
        <v>2.4780000000000002</v>
      </c>
    </row>
    <row r="4359" spans="1:5">
      <c r="A4359" t="s">
        <v>36992</v>
      </c>
      <c r="B4359" t="s">
        <v>18459</v>
      </c>
      <c r="C4359">
        <f>0</f>
        <v>0</v>
      </c>
      <c r="D4359">
        <v>0.75515065814399995</v>
      </c>
      <c r="E4359">
        <v>2.4780000000000002</v>
      </c>
    </row>
    <row r="4360" spans="1:5">
      <c r="A4360" t="s">
        <v>36993</v>
      </c>
      <c r="B4360" t="s">
        <v>7822</v>
      </c>
      <c r="C4360">
        <f>0</f>
        <v>0</v>
      </c>
      <c r="D4360" t="s">
        <v>106</v>
      </c>
      <c r="E4360">
        <v>7.734</v>
      </c>
    </row>
    <row r="4361" spans="1:5">
      <c r="A4361" t="s">
        <v>36993</v>
      </c>
      <c r="B4361" t="s">
        <v>7825</v>
      </c>
      <c r="C4361">
        <f>0</f>
        <v>0</v>
      </c>
      <c r="D4361" t="s">
        <v>106</v>
      </c>
      <c r="E4361">
        <v>7.734</v>
      </c>
    </row>
    <row r="4362" spans="1:5">
      <c r="A4362" t="s">
        <v>36994</v>
      </c>
      <c r="B4362" t="s">
        <v>7436</v>
      </c>
      <c r="C4362">
        <v>0</v>
      </c>
      <c r="D4362" t="s">
        <v>106</v>
      </c>
      <c r="E4362">
        <v>24</v>
      </c>
    </row>
    <row r="4363" spans="1:5">
      <c r="A4363" t="s">
        <v>36994</v>
      </c>
      <c r="B4363" t="s">
        <v>7438</v>
      </c>
      <c r="C4363">
        <v>0</v>
      </c>
      <c r="D4363" t="s">
        <v>106</v>
      </c>
      <c r="E4363">
        <v>24</v>
      </c>
    </row>
    <row r="4364" spans="1:5">
      <c r="A4364" t="s">
        <v>36995</v>
      </c>
      <c r="B4364" t="s">
        <v>32471</v>
      </c>
      <c r="C4364">
        <f>0</f>
        <v>0</v>
      </c>
      <c r="D4364" t="s">
        <v>106</v>
      </c>
      <c r="E4364">
        <v>5.1239999999999997</v>
      </c>
    </row>
    <row r="4365" spans="1:5">
      <c r="A4365" t="s">
        <v>36995</v>
      </c>
      <c r="B4365" t="s">
        <v>32452</v>
      </c>
      <c r="C4365">
        <f>0</f>
        <v>0</v>
      </c>
      <c r="D4365" t="s">
        <v>106</v>
      </c>
      <c r="E4365">
        <v>5.1239999999999997</v>
      </c>
    </row>
    <row r="4366" spans="1:5">
      <c r="A4366" t="s">
        <v>36995</v>
      </c>
      <c r="B4366" t="s">
        <v>32453</v>
      </c>
      <c r="C4366">
        <f>0</f>
        <v>0</v>
      </c>
      <c r="D4366" t="s">
        <v>106</v>
      </c>
      <c r="E4366">
        <v>5.1239999999999997</v>
      </c>
    </row>
    <row r="4367" spans="1:5">
      <c r="A4367" t="s">
        <v>36995</v>
      </c>
      <c r="B4367" t="s">
        <v>32472</v>
      </c>
      <c r="C4367">
        <f>0</f>
        <v>0</v>
      </c>
      <c r="D4367" t="s">
        <v>106</v>
      </c>
      <c r="E4367">
        <v>5.1239999999999997</v>
      </c>
    </row>
    <row r="4368" spans="1:5">
      <c r="A4368" t="s">
        <v>36995</v>
      </c>
      <c r="B4368" t="s">
        <v>32451</v>
      </c>
      <c r="C4368">
        <f>0</f>
        <v>0</v>
      </c>
      <c r="D4368" t="s">
        <v>106</v>
      </c>
      <c r="E4368">
        <v>5.1239999999999997</v>
      </c>
    </row>
    <row r="4369" spans="1:5">
      <c r="A4369" t="s">
        <v>36995</v>
      </c>
      <c r="B4369" t="s">
        <v>32454</v>
      </c>
      <c r="C4369">
        <f>0</f>
        <v>0</v>
      </c>
      <c r="D4369" t="s">
        <v>106</v>
      </c>
      <c r="E4369">
        <v>5.1239999999999997</v>
      </c>
    </row>
    <row r="4370" spans="1:5">
      <c r="A4370" t="s">
        <v>36995</v>
      </c>
      <c r="B4370" t="s">
        <v>32462</v>
      </c>
      <c r="C4370">
        <f>0</f>
        <v>0</v>
      </c>
      <c r="D4370" t="s">
        <v>106</v>
      </c>
      <c r="E4370">
        <v>5.1239999999999997</v>
      </c>
    </row>
    <row r="4371" spans="1:5">
      <c r="A4371" t="s">
        <v>36995</v>
      </c>
      <c r="B4371" t="s">
        <v>32465</v>
      </c>
      <c r="C4371">
        <v>0</v>
      </c>
      <c r="D4371" t="s">
        <v>106</v>
      </c>
      <c r="E4371">
        <v>5.1239999999999997</v>
      </c>
    </row>
    <row r="4372" spans="1:5">
      <c r="A4372" t="s">
        <v>36995</v>
      </c>
      <c r="B4372" t="s">
        <v>32464</v>
      </c>
      <c r="C4372">
        <v>0</v>
      </c>
      <c r="D4372" t="s">
        <v>106</v>
      </c>
      <c r="E4372">
        <v>5.1239999999999997</v>
      </c>
    </row>
    <row r="4373" spans="1:5">
      <c r="A4373" t="s">
        <v>36995</v>
      </c>
      <c r="B4373" t="s">
        <v>32459</v>
      </c>
      <c r="C4373">
        <v>0</v>
      </c>
      <c r="D4373" t="s">
        <v>106</v>
      </c>
      <c r="E4373">
        <v>5.1239999999999997</v>
      </c>
    </row>
    <row r="4374" spans="1:5">
      <c r="A4374" t="s">
        <v>36995</v>
      </c>
      <c r="B4374" t="s">
        <v>32458</v>
      </c>
      <c r="C4374">
        <v>0</v>
      </c>
      <c r="D4374" t="s">
        <v>106</v>
      </c>
      <c r="E4374">
        <v>5.1239999999999997</v>
      </c>
    </row>
    <row r="4375" spans="1:5">
      <c r="A4375" t="s">
        <v>36995</v>
      </c>
      <c r="B4375" t="s">
        <v>32468</v>
      </c>
      <c r="C4375">
        <v>0</v>
      </c>
      <c r="D4375" t="s">
        <v>106</v>
      </c>
      <c r="E4375">
        <v>5.1239999999999997</v>
      </c>
    </row>
    <row r="4376" spans="1:5">
      <c r="A4376" t="s">
        <v>36995</v>
      </c>
      <c r="B4376" t="s">
        <v>32469</v>
      </c>
      <c r="C4376">
        <v>0</v>
      </c>
      <c r="D4376" t="s">
        <v>106</v>
      </c>
      <c r="E4376">
        <v>5.1239999999999997</v>
      </c>
    </row>
    <row r="4377" spans="1:5">
      <c r="A4377" t="s">
        <v>36995</v>
      </c>
      <c r="B4377" t="s">
        <v>32467</v>
      </c>
      <c r="C4377">
        <f>0</f>
        <v>0</v>
      </c>
      <c r="D4377" t="s">
        <v>106</v>
      </c>
      <c r="E4377">
        <v>5.1239999999999997</v>
      </c>
    </row>
    <row r="4378" spans="1:5">
      <c r="A4378" t="s">
        <v>36995</v>
      </c>
      <c r="B4378" t="s">
        <v>36996</v>
      </c>
      <c r="C4378">
        <v>0</v>
      </c>
      <c r="D4378" t="s">
        <v>106</v>
      </c>
      <c r="E4378">
        <v>5.1239999999999997</v>
      </c>
    </row>
    <row r="4379" spans="1:5">
      <c r="A4379" t="s">
        <v>36995</v>
      </c>
      <c r="B4379" t="s">
        <v>32461</v>
      </c>
      <c r="C4379">
        <f>0</f>
        <v>0</v>
      </c>
      <c r="D4379" t="s">
        <v>106</v>
      </c>
      <c r="E4379">
        <v>5.1239999999999997</v>
      </c>
    </row>
    <row r="4380" spans="1:5">
      <c r="A4380" t="s">
        <v>36995</v>
      </c>
      <c r="B4380" t="s">
        <v>32460</v>
      </c>
      <c r="C4380">
        <v>0</v>
      </c>
      <c r="D4380" t="s">
        <v>106</v>
      </c>
      <c r="E4380">
        <v>5.1239999999999997</v>
      </c>
    </row>
    <row r="4381" spans="1:5">
      <c r="A4381" t="s">
        <v>36995</v>
      </c>
      <c r="B4381" t="s">
        <v>32455</v>
      </c>
      <c r="C4381">
        <f>0</f>
        <v>0</v>
      </c>
      <c r="D4381" t="s">
        <v>106</v>
      </c>
      <c r="E4381">
        <v>5.1239999999999997</v>
      </c>
    </row>
    <row r="4382" spans="1:5">
      <c r="A4382" t="s">
        <v>36997</v>
      </c>
      <c r="B4382" t="s">
        <v>7724</v>
      </c>
      <c r="C4382">
        <f>0</f>
        <v>0</v>
      </c>
      <c r="D4382">
        <v>0.83294314924199997</v>
      </c>
      <c r="E4382">
        <v>16.896000000000001</v>
      </c>
    </row>
    <row r="4383" spans="1:5">
      <c r="A4383" t="s">
        <v>36997</v>
      </c>
      <c r="B4383" t="s">
        <v>7718</v>
      </c>
      <c r="C4383">
        <f>0.0839567349911</f>
        <v>8.3956734991099999E-2</v>
      </c>
      <c r="D4383">
        <v>0.83294314924199997</v>
      </c>
      <c r="E4383">
        <v>16.896000000000001</v>
      </c>
    </row>
    <row r="4384" spans="1:5">
      <c r="A4384" t="s">
        <v>36997</v>
      </c>
      <c r="B4384" t="s">
        <v>7723</v>
      </c>
      <c r="C4384">
        <v>0.420519771993</v>
      </c>
      <c r="D4384">
        <v>0.83294314924199997</v>
      </c>
      <c r="E4384">
        <v>16.896000000000001</v>
      </c>
    </row>
    <row r="4385" spans="1:5">
      <c r="A4385" t="s">
        <v>36997</v>
      </c>
      <c r="B4385" t="s">
        <v>7720</v>
      </c>
      <c r="C4385">
        <v>0.245398024199</v>
      </c>
      <c r="D4385">
        <v>0.83294314924199997</v>
      </c>
      <c r="E4385">
        <v>16.896000000000001</v>
      </c>
    </row>
    <row r="4386" spans="1:5">
      <c r="A4386" t="s">
        <v>36997</v>
      </c>
      <c r="B4386" t="s">
        <v>7719</v>
      </c>
      <c r="C4386">
        <f>0</f>
        <v>0</v>
      </c>
      <c r="D4386">
        <v>0.83294314924199997</v>
      </c>
      <c r="E4386">
        <v>16.896000000000001</v>
      </c>
    </row>
    <row r="4387" spans="1:5">
      <c r="A4387" t="s">
        <v>36997</v>
      </c>
      <c r="B4387" t="s">
        <v>7729</v>
      </c>
      <c r="C4387">
        <f>0</f>
        <v>0</v>
      </c>
      <c r="D4387">
        <v>0.83294314924199997</v>
      </c>
      <c r="E4387">
        <v>16.896000000000001</v>
      </c>
    </row>
    <row r="4388" spans="1:5">
      <c r="A4388" t="s">
        <v>36998</v>
      </c>
      <c r="B4388" t="s">
        <v>19997</v>
      </c>
      <c r="C4388">
        <v>0</v>
      </c>
      <c r="D4388">
        <v>0.79725508139099999</v>
      </c>
      <c r="E4388">
        <v>23.754000000000001</v>
      </c>
    </row>
    <row r="4389" spans="1:5">
      <c r="A4389" t="s">
        <v>36998</v>
      </c>
      <c r="B4389" t="s">
        <v>19998</v>
      </c>
      <c r="C4389">
        <f>0</f>
        <v>0</v>
      </c>
      <c r="D4389">
        <v>0.79725508139099999</v>
      </c>
      <c r="E4389">
        <v>23.754000000000001</v>
      </c>
    </row>
    <row r="4390" spans="1:5">
      <c r="A4390" t="s">
        <v>36998</v>
      </c>
      <c r="B4390" t="s">
        <v>20003</v>
      </c>
      <c r="C4390">
        <f>0.387645081391</f>
        <v>0.38764508139100001</v>
      </c>
      <c r="D4390">
        <v>0.79725508139099999</v>
      </c>
      <c r="E4390">
        <v>23.754000000000001</v>
      </c>
    </row>
    <row r="4391" spans="1:5">
      <c r="A4391" t="s">
        <v>36998</v>
      </c>
      <c r="B4391" t="s">
        <v>20002</v>
      </c>
      <c r="C4391">
        <f>0</f>
        <v>0</v>
      </c>
      <c r="D4391">
        <v>0.79725508139099999</v>
      </c>
      <c r="E4391">
        <v>23.754000000000001</v>
      </c>
    </row>
    <row r="4392" spans="1:5">
      <c r="A4392" t="s">
        <v>36998</v>
      </c>
      <c r="B4392" t="s">
        <v>20004</v>
      </c>
      <c r="C4392">
        <v>0</v>
      </c>
      <c r="D4392">
        <v>0.79725508139099999</v>
      </c>
      <c r="E4392">
        <v>23.754000000000001</v>
      </c>
    </row>
    <row r="4393" spans="1:5">
      <c r="A4393" t="s">
        <v>36998</v>
      </c>
      <c r="B4393" t="s">
        <v>19999</v>
      </c>
      <c r="C4393">
        <v>0</v>
      </c>
      <c r="D4393">
        <v>0.79725508139099999</v>
      </c>
      <c r="E4393">
        <v>23.754000000000001</v>
      </c>
    </row>
    <row r="4394" spans="1:5">
      <c r="A4394" t="s">
        <v>36999</v>
      </c>
      <c r="B4394" t="s">
        <v>37000</v>
      </c>
      <c r="C4394">
        <v>0</v>
      </c>
      <c r="D4394" t="s">
        <v>106</v>
      </c>
      <c r="E4394">
        <v>2.556</v>
      </c>
    </row>
    <row r="4395" spans="1:5">
      <c r="A4395" t="s">
        <v>36999</v>
      </c>
      <c r="B4395" t="s">
        <v>37001</v>
      </c>
      <c r="C4395">
        <v>0</v>
      </c>
      <c r="D4395" t="s">
        <v>106</v>
      </c>
      <c r="E4395">
        <v>2.556</v>
      </c>
    </row>
    <row r="4396" spans="1:5">
      <c r="A4396" t="s">
        <v>36999</v>
      </c>
      <c r="B4396" t="s">
        <v>37002</v>
      </c>
      <c r="C4396">
        <v>0</v>
      </c>
      <c r="D4396" t="s">
        <v>106</v>
      </c>
      <c r="E4396">
        <v>2.556</v>
      </c>
    </row>
    <row r="4397" spans="1:5">
      <c r="A4397" t="s">
        <v>37003</v>
      </c>
      <c r="B4397" t="s">
        <v>27302</v>
      </c>
      <c r="C4397">
        <v>5.4324704674099999E-2</v>
      </c>
      <c r="D4397">
        <v>0.94251860263599996</v>
      </c>
      <c r="E4397">
        <v>6.3</v>
      </c>
    </row>
    <row r="4398" spans="1:5">
      <c r="A4398" t="s">
        <v>37003</v>
      </c>
      <c r="B4398" t="s">
        <v>27297</v>
      </c>
      <c r="C4398">
        <f>0.432200655823</f>
        <v>0.43220065582299999</v>
      </c>
      <c r="D4398">
        <v>0.94251860263599996</v>
      </c>
      <c r="E4398">
        <v>6.3</v>
      </c>
    </row>
    <row r="4399" spans="1:5">
      <c r="A4399" t="s">
        <v>37003</v>
      </c>
      <c r="B4399" t="s">
        <v>27299</v>
      </c>
      <c r="C4399">
        <f>0.748071921637</f>
        <v>0.74807192163699998</v>
      </c>
      <c r="D4399">
        <v>0.94251860263599996</v>
      </c>
      <c r="E4399">
        <v>6.3</v>
      </c>
    </row>
    <row r="4400" spans="1:5">
      <c r="A4400" t="s">
        <v>37004</v>
      </c>
      <c r="B4400" t="s">
        <v>11902</v>
      </c>
      <c r="C4400">
        <v>0.36785129724100002</v>
      </c>
      <c r="D4400">
        <v>0.97399094176699996</v>
      </c>
      <c r="E4400">
        <v>0</v>
      </c>
    </row>
    <row r="4401" spans="1:5">
      <c r="A4401" t="s">
        <v>37004</v>
      </c>
      <c r="B4401" t="s">
        <v>11904</v>
      </c>
      <c r="C4401">
        <f>0.32886530085</f>
        <v>0.32886530084999999</v>
      </c>
      <c r="D4401">
        <v>0.97399094176699996</v>
      </c>
      <c r="E4401">
        <v>0</v>
      </c>
    </row>
    <row r="4402" spans="1:5">
      <c r="A4402" t="s">
        <v>37004</v>
      </c>
      <c r="B4402" t="s">
        <v>11903</v>
      </c>
      <c r="C4402">
        <v>0</v>
      </c>
      <c r="D4402">
        <v>0.97399094176699996</v>
      </c>
      <c r="E4402">
        <v>0</v>
      </c>
    </row>
    <row r="4403" spans="1:5">
      <c r="A4403" t="s">
        <v>37004</v>
      </c>
      <c r="B4403" t="s">
        <v>11909</v>
      </c>
      <c r="C4403">
        <v>0.74198786866800004</v>
      </c>
      <c r="D4403">
        <v>0.97399094176699996</v>
      </c>
      <c r="E4403">
        <v>0</v>
      </c>
    </row>
    <row r="4404" spans="1:5">
      <c r="A4404" t="s">
        <v>37004</v>
      </c>
      <c r="B4404" t="s">
        <v>11910</v>
      </c>
      <c r="C4404">
        <v>0.30619020211800002</v>
      </c>
      <c r="D4404">
        <v>0.97399094176699996</v>
      </c>
      <c r="E4404">
        <v>0</v>
      </c>
    </row>
    <row r="4405" spans="1:5">
      <c r="A4405" t="s">
        <v>37004</v>
      </c>
      <c r="B4405" t="s">
        <v>11900</v>
      </c>
      <c r="C4405">
        <f>0.697771952283</f>
        <v>0.69777195228300004</v>
      </c>
      <c r="D4405">
        <v>0.97399094176699996</v>
      </c>
      <c r="E4405">
        <v>0</v>
      </c>
    </row>
    <row r="4406" spans="1:5">
      <c r="A4406" t="s">
        <v>37005</v>
      </c>
      <c r="B4406" t="s">
        <v>16886</v>
      </c>
      <c r="C4406">
        <f>0</f>
        <v>0</v>
      </c>
      <c r="D4406">
        <v>0.96232557435499999</v>
      </c>
      <c r="E4406">
        <v>21.42</v>
      </c>
    </row>
    <row r="4407" spans="1:5">
      <c r="A4407" t="s">
        <v>37005</v>
      </c>
      <c r="B4407" t="s">
        <v>16887</v>
      </c>
      <c r="C4407">
        <v>0</v>
      </c>
      <c r="D4407">
        <v>0.96232557435499999</v>
      </c>
      <c r="E4407">
        <v>21.42</v>
      </c>
    </row>
    <row r="4408" spans="1:5">
      <c r="A4408" t="s">
        <v>37005</v>
      </c>
      <c r="B4408" t="s">
        <v>16888</v>
      </c>
      <c r="C4408">
        <v>0.85991557435499999</v>
      </c>
      <c r="D4408">
        <v>0.96232557435499999</v>
      </c>
      <c r="E4408">
        <v>21.42</v>
      </c>
    </row>
    <row r="4409" spans="1:5">
      <c r="A4409" t="s">
        <v>37005</v>
      </c>
      <c r="B4409" t="s">
        <v>16889</v>
      </c>
      <c r="C4409">
        <f>0</f>
        <v>0</v>
      </c>
      <c r="D4409">
        <v>0.96232557435499999</v>
      </c>
      <c r="E4409">
        <v>21.42</v>
      </c>
    </row>
    <row r="4410" spans="1:5">
      <c r="A4410" t="s">
        <v>37006</v>
      </c>
      <c r="B4410" t="s">
        <v>37007</v>
      </c>
      <c r="C4410">
        <f>0.305715953053</f>
        <v>0.30571595305299998</v>
      </c>
      <c r="D4410">
        <v>0.99997829640400004</v>
      </c>
      <c r="E4410">
        <v>5.2380000000000004</v>
      </c>
    </row>
    <row r="4411" spans="1:5">
      <c r="A4411" t="s">
        <v>37006</v>
      </c>
      <c r="B4411" t="s">
        <v>37008</v>
      </c>
      <c r="C4411">
        <v>0.56119742532600003</v>
      </c>
      <c r="D4411">
        <v>0.99997829640400004</v>
      </c>
      <c r="E4411">
        <v>5.2380000000000004</v>
      </c>
    </row>
    <row r="4412" spans="1:5">
      <c r="A4412" t="s">
        <v>37006</v>
      </c>
      <c r="B4412" t="s">
        <v>37009</v>
      </c>
      <c r="C4412">
        <f>0.217674427614</f>
        <v>0.21767442761399999</v>
      </c>
      <c r="D4412">
        <v>0.99997829640400004</v>
      </c>
      <c r="E4412">
        <v>5.2380000000000004</v>
      </c>
    </row>
    <row r="4413" spans="1:5">
      <c r="A4413" t="s">
        <v>37006</v>
      </c>
      <c r="B4413" t="s">
        <v>37010</v>
      </c>
      <c r="C4413">
        <f>0.495222324052</f>
        <v>0.49522232405200001</v>
      </c>
      <c r="D4413">
        <v>0.99997829640400004</v>
      </c>
      <c r="E4413">
        <v>5.2380000000000004</v>
      </c>
    </row>
    <row r="4414" spans="1:5">
      <c r="A4414" t="s">
        <v>37006</v>
      </c>
      <c r="B4414" t="s">
        <v>37011</v>
      </c>
      <c r="C4414">
        <v>1.31589605697</v>
      </c>
      <c r="D4414">
        <v>0.99997829640400004</v>
      </c>
      <c r="E4414">
        <v>5.2380000000000004</v>
      </c>
    </row>
    <row r="4415" spans="1:5">
      <c r="A4415" t="s">
        <v>37006</v>
      </c>
      <c r="B4415" t="s">
        <v>37012</v>
      </c>
      <c r="C4415">
        <f>-1.74543502615</f>
        <v>-1.74543502615</v>
      </c>
      <c r="D4415">
        <v>0.99997829640400004</v>
      </c>
      <c r="E4415">
        <v>5.2380000000000004</v>
      </c>
    </row>
    <row r="4416" spans="1:5">
      <c r="A4416" t="s">
        <v>37006</v>
      </c>
      <c r="B4416" t="s">
        <v>37013</v>
      </c>
      <c r="C4416">
        <v>0.61754316186799996</v>
      </c>
      <c r="D4416">
        <v>0.99997829640400004</v>
      </c>
      <c r="E4416">
        <v>5.2380000000000004</v>
      </c>
    </row>
    <row r="4417" spans="1:5">
      <c r="A4417" t="s">
        <v>37006</v>
      </c>
      <c r="B4417" t="s">
        <v>37014</v>
      </c>
      <c r="C4417">
        <v>0.393832521943</v>
      </c>
      <c r="D4417">
        <v>0.99997829640400004</v>
      </c>
      <c r="E4417">
        <v>5.2380000000000004</v>
      </c>
    </row>
    <row r="4418" spans="1:5">
      <c r="A4418" t="s">
        <v>37015</v>
      </c>
      <c r="B4418" t="s">
        <v>11868</v>
      </c>
      <c r="C4418">
        <v>0.46425717029699998</v>
      </c>
      <c r="D4418">
        <v>0.99999948995499999</v>
      </c>
      <c r="E4418">
        <v>1.1160000000000001</v>
      </c>
    </row>
    <row r="4419" spans="1:5">
      <c r="A4419" t="s">
        <v>37015</v>
      </c>
      <c r="B4419" t="s">
        <v>11863</v>
      </c>
      <c r="C4419">
        <f>0.26585927145</f>
        <v>0.26585927144999999</v>
      </c>
      <c r="D4419">
        <v>0.99999948995499999</v>
      </c>
      <c r="E4419">
        <v>1.1160000000000001</v>
      </c>
    </row>
    <row r="4420" spans="1:5">
      <c r="A4420" t="s">
        <v>37015</v>
      </c>
      <c r="B4420" t="s">
        <v>11870</v>
      </c>
      <c r="C4420">
        <f>0.951798202369</f>
        <v>0.95179820236900003</v>
      </c>
      <c r="D4420">
        <v>0.99999948995499999</v>
      </c>
      <c r="E4420">
        <v>1.1160000000000001</v>
      </c>
    </row>
    <row r="4421" spans="1:5">
      <c r="A4421" t="s">
        <v>37015</v>
      </c>
      <c r="B4421" t="s">
        <v>11869</v>
      </c>
      <c r="C4421">
        <f>0.0436868735654</f>
        <v>4.3686873565399999E-2</v>
      </c>
      <c r="D4421">
        <v>0.99999948995499999</v>
      </c>
      <c r="E4421">
        <v>1.1160000000000001</v>
      </c>
    </row>
    <row r="4422" spans="1:5">
      <c r="A4422" t="s">
        <v>37015</v>
      </c>
      <c r="B4422" t="s">
        <v>11874</v>
      </c>
      <c r="C4422">
        <f>0.183805661013</f>
        <v>0.183805661013</v>
      </c>
      <c r="D4422">
        <v>0.99999948995499999</v>
      </c>
      <c r="E4422">
        <v>1.1160000000000001</v>
      </c>
    </row>
    <row r="4423" spans="1:5">
      <c r="A4423" t="s">
        <v>37015</v>
      </c>
      <c r="B4423" t="s">
        <v>11873</v>
      </c>
      <c r="C4423">
        <v>0.69403553668100004</v>
      </c>
      <c r="D4423">
        <v>0.99999948995499999</v>
      </c>
      <c r="E4423">
        <v>1.1160000000000001</v>
      </c>
    </row>
    <row r="4424" spans="1:5">
      <c r="A4424" t="s">
        <v>37015</v>
      </c>
      <c r="B4424" t="s">
        <v>11872</v>
      </c>
      <c r="C4424">
        <v>0.26883098485000001</v>
      </c>
      <c r="D4424">
        <v>0.99999948995499999</v>
      </c>
      <c r="E4424">
        <v>1.1160000000000001</v>
      </c>
    </row>
    <row r="4425" spans="1:5">
      <c r="A4425" t="s">
        <v>37015</v>
      </c>
      <c r="B4425" t="s">
        <v>11867</v>
      </c>
      <c r="C4425">
        <v>0.44829947227200001</v>
      </c>
      <c r="D4425">
        <v>0.99999948995499999</v>
      </c>
      <c r="E4425">
        <v>1.1160000000000001</v>
      </c>
    </row>
    <row r="4426" spans="1:5">
      <c r="A4426" t="s">
        <v>37016</v>
      </c>
      <c r="B4426" t="s">
        <v>37017</v>
      </c>
      <c r="C4426">
        <v>0</v>
      </c>
      <c r="D4426" t="s">
        <v>106</v>
      </c>
      <c r="E4426">
        <v>23.754000000000001</v>
      </c>
    </row>
    <row r="4427" spans="1:5">
      <c r="A4427" t="s">
        <v>37016</v>
      </c>
      <c r="B4427" t="s">
        <v>37018</v>
      </c>
      <c r="C4427">
        <v>0</v>
      </c>
      <c r="D4427" t="s">
        <v>106</v>
      </c>
      <c r="E4427">
        <v>23.754000000000001</v>
      </c>
    </row>
    <row r="4428" spans="1:5">
      <c r="A4428" t="s">
        <v>37016</v>
      </c>
      <c r="B4428" t="s">
        <v>37019</v>
      </c>
      <c r="C4428">
        <v>0</v>
      </c>
      <c r="D4428" t="s">
        <v>106</v>
      </c>
      <c r="E4428">
        <v>23.754000000000001</v>
      </c>
    </row>
    <row r="4429" spans="1:5">
      <c r="A4429" t="s">
        <v>37016</v>
      </c>
      <c r="B4429" t="s">
        <v>37020</v>
      </c>
      <c r="C4429">
        <v>0</v>
      </c>
      <c r="D4429" t="s">
        <v>106</v>
      </c>
      <c r="E4429">
        <v>23.754000000000001</v>
      </c>
    </row>
    <row r="4430" spans="1:5">
      <c r="A4430" t="s">
        <v>37016</v>
      </c>
      <c r="B4430" t="s">
        <v>37021</v>
      </c>
      <c r="C4430">
        <v>0</v>
      </c>
      <c r="D4430" t="s">
        <v>106</v>
      </c>
      <c r="E4430">
        <v>23.754000000000001</v>
      </c>
    </row>
    <row r="4431" spans="1:5">
      <c r="A4431" t="s">
        <v>37016</v>
      </c>
      <c r="B4431" t="s">
        <v>37022</v>
      </c>
      <c r="C4431">
        <v>0</v>
      </c>
      <c r="D4431" t="s">
        <v>106</v>
      </c>
      <c r="E4431">
        <v>23.754000000000001</v>
      </c>
    </row>
    <row r="4432" spans="1:5">
      <c r="A4432" t="s">
        <v>37016</v>
      </c>
      <c r="B4432" t="s">
        <v>37023</v>
      </c>
      <c r="C4432">
        <v>0</v>
      </c>
      <c r="D4432" t="s">
        <v>106</v>
      </c>
      <c r="E4432">
        <v>23.754000000000001</v>
      </c>
    </row>
    <row r="4433" spans="1:5">
      <c r="A4433" t="s">
        <v>37024</v>
      </c>
      <c r="B4433" t="s">
        <v>32563</v>
      </c>
      <c r="C4433">
        <v>0</v>
      </c>
      <c r="D4433" t="s">
        <v>106</v>
      </c>
      <c r="E4433">
        <v>3.1379999999999999</v>
      </c>
    </row>
    <row r="4434" spans="1:5">
      <c r="A4434" t="s">
        <v>37024</v>
      </c>
      <c r="B4434" t="s">
        <v>32559</v>
      </c>
      <c r="C4434">
        <f>0</f>
        <v>0</v>
      </c>
      <c r="D4434" t="s">
        <v>106</v>
      </c>
      <c r="E4434">
        <v>3.1379999999999999</v>
      </c>
    </row>
    <row r="4435" spans="1:5">
      <c r="A4435" t="s">
        <v>37024</v>
      </c>
      <c r="B4435" t="s">
        <v>32564</v>
      </c>
      <c r="C4435">
        <f>0</f>
        <v>0</v>
      </c>
      <c r="D4435" t="s">
        <v>106</v>
      </c>
      <c r="E4435">
        <v>3.1379999999999999</v>
      </c>
    </row>
    <row r="4436" spans="1:5">
      <c r="A4436" t="s">
        <v>37024</v>
      </c>
      <c r="B4436" t="s">
        <v>32567</v>
      </c>
      <c r="C4436">
        <f>0</f>
        <v>0</v>
      </c>
      <c r="D4436" t="s">
        <v>106</v>
      </c>
      <c r="E4436">
        <v>3.1379999999999999</v>
      </c>
    </row>
    <row r="4437" spans="1:5">
      <c r="A4437" t="s">
        <v>37024</v>
      </c>
      <c r="B4437" t="s">
        <v>32561</v>
      </c>
      <c r="C4437">
        <f>0</f>
        <v>0</v>
      </c>
      <c r="D4437" t="s">
        <v>106</v>
      </c>
      <c r="E4437">
        <v>3.1379999999999999</v>
      </c>
    </row>
    <row r="4438" spans="1:5">
      <c r="A4438" t="s">
        <v>37024</v>
      </c>
      <c r="B4438" t="s">
        <v>32562</v>
      </c>
      <c r="C4438">
        <f>0</f>
        <v>0</v>
      </c>
      <c r="D4438" t="s">
        <v>106</v>
      </c>
      <c r="E4438">
        <v>3.1379999999999999</v>
      </c>
    </row>
    <row r="4439" spans="1:5">
      <c r="A4439" t="s">
        <v>37024</v>
      </c>
      <c r="B4439" t="s">
        <v>32566</v>
      </c>
      <c r="C4439">
        <f>0</f>
        <v>0</v>
      </c>
      <c r="D4439" t="s">
        <v>106</v>
      </c>
      <c r="E4439">
        <v>3.1379999999999999</v>
      </c>
    </row>
    <row r="4440" spans="1:5">
      <c r="A4440" t="s">
        <v>37024</v>
      </c>
      <c r="B4440" t="s">
        <v>32565</v>
      </c>
      <c r="C4440">
        <f>0</f>
        <v>0</v>
      </c>
      <c r="D4440" t="s">
        <v>106</v>
      </c>
      <c r="E4440">
        <v>3.1379999999999999</v>
      </c>
    </row>
    <row r="4441" spans="1:5">
      <c r="A4441" t="s">
        <v>37024</v>
      </c>
      <c r="B4441" t="s">
        <v>32568</v>
      </c>
      <c r="C4441">
        <f>0</f>
        <v>0</v>
      </c>
      <c r="D4441" t="s">
        <v>106</v>
      </c>
      <c r="E4441">
        <v>3.1379999999999999</v>
      </c>
    </row>
    <row r="4442" spans="1:5">
      <c r="A4442" t="s">
        <v>37024</v>
      </c>
      <c r="B4442" t="s">
        <v>32571</v>
      </c>
      <c r="C4442">
        <f>0</f>
        <v>0</v>
      </c>
      <c r="D4442" t="s">
        <v>106</v>
      </c>
      <c r="E4442">
        <v>3.1379999999999999</v>
      </c>
    </row>
    <row r="4443" spans="1:5">
      <c r="A4443" t="s">
        <v>37024</v>
      </c>
      <c r="B4443" t="s">
        <v>32572</v>
      </c>
      <c r="C4443">
        <f>0</f>
        <v>0</v>
      </c>
      <c r="D4443" t="s">
        <v>106</v>
      </c>
      <c r="E4443">
        <v>3.1379999999999999</v>
      </c>
    </row>
    <row r="4444" spans="1:5">
      <c r="A4444" t="s">
        <v>37025</v>
      </c>
      <c r="B4444" t="s">
        <v>16444</v>
      </c>
      <c r="C4444">
        <v>0</v>
      </c>
      <c r="D4444" t="s">
        <v>106</v>
      </c>
      <c r="E4444">
        <v>18.138000000000002</v>
      </c>
    </row>
    <row r="4445" spans="1:5">
      <c r="A4445" t="s">
        <v>37025</v>
      </c>
      <c r="B4445" t="s">
        <v>16440</v>
      </c>
      <c r="C4445">
        <v>0</v>
      </c>
      <c r="D4445" t="s">
        <v>106</v>
      </c>
      <c r="E4445">
        <v>18.138000000000002</v>
      </c>
    </row>
    <row r="4446" spans="1:5">
      <c r="A4446" t="s">
        <v>37025</v>
      </c>
      <c r="B4446" t="s">
        <v>16445</v>
      </c>
      <c r="C4446">
        <f>0</f>
        <v>0</v>
      </c>
      <c r="D4446" t="s">
        <v>106</v>
      </c>
      <c r="E4446">
        <v>18.138000000000002</v>
      </c>
    </row>
    <row r="4447" spans="1:5">
      <c r="A4447" t="s">
        <v>37025</v>
      </c>
      <c r="B4447" t="s">
        <v>16443</v>
      </c>
      <c r="C4447">
        <f>0</f>
        <v>0</v>
      </c>
      <c r="D4447" t="s">
        <v>106</v>
      </c>
      <c r="E4447">
        <v>18.138000000000002</v>
      </c>
    </row>
    <row r="4448" spans="1:5">
      <c r="A4448" t="s">
        <v>37025</v>
      </c>
      <c r="B4448" t="s">
        <v>16446</v>
      </c>
      <c r="C4448">
        <f>0</f>
        <v>0</v>
      </c>
      <c r="D4448" t="s">
        <v>106</v>
      </c>
      <c r="E4448">
        <v>18.138000000000002</v>
      </c>
    </row>
    <row r="4449" spans="1:5">
      <c r="A4449" t="s">
        <v>37025</v>
      </c>
      <c r="B4449" t="s">
        <v>16442</v>
      </c>
      <c r="C4449">
        <v>0</v>
      </c>
      <c r="D4449" t="s">
        <v>106</v>
      </c>
      <c r="E4449">
        <v>18.138000000000002</v>
      </c>
    </row>
    <row r="4450" spans="1:5">
      <c r="A4450" t="s">
        <v>37026</v>
      </c>
      <c r="B4450" t="s">
        <v>31495</v>
      </c>
      <c r="C4450">
        <v>0</v>
      </c>
      <c r="D4450">
        <v>0.99715128240999995</v>
      </c>
      <c r="E4450">
        <v>24</v>
      </c>
    </row>
    <row r="4451" spans="1:5">
      <c r="A4451" t="s">
        <v>37026</v>
      </c>
      <c r="B4451" t="s">
        <v>31511</v>
      </c>
      <c r="C4451">
        <v>7.2271791528099996E-2</v>
      </c>
      <c r="D4451">
        <v>0.99715128240999995</v>
      </c>
      <c r="E4451">
        <v>24</v>
      </c>
    </row>
    <row r="4452" spans="1:5">
      <c r="A4452" t="s">
        <v>37026</v>
      </c>
      <c r="B4452" t="s">
        <v>31510</v>
      </c>
      <c r="C4452">
        <v>0.50590449223099998</v>
      </c>
      <c r="D4452">
        <v>0.99715128240999995</v>
      </c>
      <c r="E4452">
        <v>24</v>
      </c>
    </row>
    <row r="4453" spans="1:5">
      <c r="A4453" t="s">
        <v>37026</v>
      </c>
      <c r="B4453" t="s">
        <v>31496</v>
      </c>
      <c r="C4453">
        <v>0.124137334723</v>
      </c>
      <c r="D4453">
        <v>0.99715128240999995</v>
      </c>
      <c r="E4453">
        <v>24</v>
      </c>
    </row>
    <row r="4454" spans="1:5">
      <c r="A4454" t="s">
        <v>37026</v>
      </c>
      <c r="B4454" t="s">
        <v>31497</v>
      </c>
      <c r="C4454">
        <f>0.0110754968096</f>
        <v>1.1075496809600001E-2</v>
      </c>
      <c r="D4454">
        <v>0.99715128240999995</v>
      </c>
      <c r="E4454">
        <v>24</v>
      </c>
    </row>
    <row r="4455" spans="1:5">
      <c r="A4455" t="s">
        <v>37026</v>
      </c>
      <c r="B4455" t="s">
        <v>31498</v>
      </c>
      <c r="C4455">
        <f>0</f>
        <v>0</v>
      </c>
      <c r="D4455">
        <v>0.99715128240999995</v>
      </c>
      <c r="E4455">
        <v>24</v>
      </c>
    </row>
    <row r="4456" spans="1:5">
      <c r="A4456" t="s">
        <v>37026</v>
      </c>
      <c r="B4456" t="s">
        <v>31515</v>
      </c>
      <c r="C4456">
        <v>0.66985023720799997</v>
      </c>
      <c r="D4456">
        <v>0.99715128240999995</v>
      </c>
      <c r="E4456">
        <v>24</v>
      </c>
    </row>
    <row r="4457" spans="1:5">
      <c r="A4457" t="s">
        <v>37026</v>
      </c>
      <c r="B4457" t="s">
        <v>31499</v>
      </c>
      <c r="C4457">
        <f>0.0868993303577</f>
        <v>8.6899330357700005E-2</v>
      </c>
      <c r="D4457">
        <v>0.99715128240999995</v>
      </c>
      <c r="E4457">
        <v>24</v>
      </c>
    </row>
    <row r="4458" spans="1:5">
      <c r="A4458" t="s">
        <v>37027</v>
      </c>
      <c r="B4458" t="s">
        <v>23608</v>
      </c>
      <c r="C4458">
        <v>0</v>
      </c>
      <c r="D4458">
        <v>0.74999408925199995</v>
      </c>
      <c r="E4458">
        <v>13.632</v>
      </c>
    </row>
    <row r="4459" spans="1:5">
      <c r="A4459" t="s">
        <v>37027</v>
      </c>
      <c r="B4459" t="s">
        <v>23607</v>
      </c>
      <c r="C4459">
        <f>0</f>
        <v>0</v>
      </c>
      <c r="D4459">
        <v>0.74999408925199995</v>
      </c>
      <c r="E4459">
        <v>13.632</v>
      </c>
    </row>
    <row r="4460" spans="1:5">
      <c r="A4460" t="s">
        <v>37027</v>
      </c>
      <c r="B4460" t="s">
        <v>23611</v>
      </c>
      <c r="C4460">
        <v>0</v>
      </c>
      <c r="D4460">
        <v>0.74999408925199995</v>
      </c>
      <c r="E4460">
        <v>13.632</v>
      </c>
    </row>
    <row r="4461" spans="1:5">
      <c r="A4461" t="s">
        <v>37027</v>
      </c>
      <c r="B4461" t="s">
        <v>23615</v>
      </c>
      <c r="C4461">
        <f>0.113329067563</f>
        <v>0.113329067563</v>
      </c>
      <c r="D4461">
        <v>0.74999408925199995</v>
      </c>
      <c r="E4461">
        <v>13.632</v>
      </c>
    </row>
    <row r="4462" spans="1:5">
      <c r="A4462" t="s">
        <v>37027</v>
      </c>
      <c r="B4462" t="s">
        <v>23612</v>
      </c>
      <c r="C4462">
        <f>0.376392915128</f>
        <v>0.37639291512799999</v>
      </c>
      <c r="D4462">
        <v>0.74999408925199995</v>
      </c>
      <c r="E4462">
        <v>13.632</v>
      </c>
    </row>
    <row r="4463" spans="1:5">
      <c r="A4463" t="s">
        <v>37027</v>
      </c>
      <c r="B4463" t="s">
        <v>23618</v>
      </c>
      <c r="C4463">
        <v>0.170703066313</v>
      </c>
      <c r="D4463">
        <v>0.74999408925199995</v>
      </c>
      <c r="E4463">
        <v>13.632</v>
      </c>
    </row>
    <row r="4464" spans="1:5">
      <c r="A4464" t="s">
        <v>37028</v>
      </c>
      <c r="B4464" t="s">
        <v>28619</v>
      </c>
      <c r="C4464">
        <v>0</v>
      </c>
      <c r="D4464" t="s">
        <v>106</v>
      </c>
      <c r="E4464">
        <v>23.754000000000001</v>
      </c>
    </row>
    <row r="4465" spans="1:5">
      <c r="A4465" t="s">
        <v>37028</v>
      </c>
      <c r="B4465" t="s">
        <v>28620</v>
      </c>
      <c r="C4465">
        <v>0</v>
      </c>
      <c r="D4465" t="s">
        <v>106</v>
      </c>
      <c r="E4465">
        <v>23.754000000000001</v>
      </c>
    </row>
    <row r="4466" spans="1:5">
      <c r="A4466" t="s">
        <v>37029</v>
      </c>
      <c r="B4466" t="s">
        <v>5471</v>
      </c>
      <c r="C4466">
        <v>0.25786625940000002</v>
      </c>
      <c r="D4466">
        <v>0.63149566974500004</v>
      </c>
      <c r="E4466">
        <v>1.5720000000000001</v>
      </c>
    </row>
    <row r="4467" spans="1:5">
      <c r="A4467" t="s">
        <v>37029</v>
      </c>
      <c r="B4467" t="s">
        <v>5473</v>
      </c>
      <c r="C4467">
        <v>0.428100250031</v>
      </c>
      <c r="D4467">
        <v>0.63149566974500004</v>
      </c>
      <c r="E4467">
        <v>1.5720000000000001</v>
      </c>
    </row>
    <row r="4468" spans="1:5">
      <c r="A4468" t="s">
        <v>37030</v>
      </c>
      <c r="B4468" t="s">
        <v>21146</v>
      </c>
      <c r="C4468">
        <f>-1.42716344536</f>
        <v>-1.4271634453599999</v>
      </c>
      <c r="D4468">
        <v>0.97588605149100005</v>
      </c>
      <c r="E4468">
        <v>21.192</v>
      </c>
    </row>
    <row r="4469" spans="1:5">
      <c r="A4469" t="s">
        <v>37030</v>
      </c>
      <c r="B4469" t="s">
        <v>21150</v>
      </c>
      <c r="C4469">
        <f>-1.27750574052</f>
        <v>-1.2775057405200001</v>
      </c>
      <c r="D4469">
        <v>0.97588605149100005</v>
      </c>
      <c r="E4469">
        <v>21.192</v>
      </c>
    </row>
    <row r="4470" spans="1:5">
      <c r="A4470" t="s">
        <v>37031</v>
      </c>
      <c r="B4470" t="s">
        <v>37032</v>
      </c>
      <c r="C4470">
        <v>0</v>
      </c>
      <c r="D4470">
        <v>0.73647134874200004</v>
      </c>
      <c r="E4470">
        <v>23.754000000000001</v>
      </c>
    </row>
    <row r="4471" spans="1:5">
      <c r="A4471" t="s">
        <v>37031</v>
      </c>
      <c r="B4471" t="s">
        <v>37033</v>
      </c>
      <c r="C4471">
        <f>0</f>
        <v>0</v>
      </c>
      <c r="D4471">
        <v>0.73647134874200004</v>
      </c>
      <c r="E4471">
        <v>23.754000000000001</v>
      </c>
    </row>
    <row r="4472" spans="1:5">
      <c r="A4472" t="s">
        <v>37031</v>
      </c>
      <c r="B4472" t="s">
        <v>37034</v>
      </c>
      <c r="C4472">
        <v>0</v>
      </c>
      <c r="D4472">
        <v>0.73647134874200004</v>
      </c>
      <c r="E4472">
        <v>23.754000000000001</v>
      </c>
    </row>
    <row r="4473" spans="1:5">
      <c r="A4473" t="s">
        <v>37031</v>
      </c>
      <c r="B4473" t="s">
        <v>37035</v>
      </c>
      <c r="C4473">
        <f>0.542861348742</f>
        <v>0.54286134874199998</v>
      </c>
      <c r="D4473">
        <v>0.73647134874200004</v>
      </c>
      <c r="E4473">
        <v>23.754000000000001</v>
      </c>
    </row>
    <row r="4474" spans="1:5">
      <c r="A4474" t="s">
        <v>37036</v>
      </c>
      <c r="B4474" t="s">
        <v>37037</v>
      </c>
      <c r="C4474">
        <f>0.430199075047</f>
        <v>0.430199075047</v>
      </c>
      <c r="D4474">
        <v>0.67818878430100005</v>
      </c>
      <c r="E4474">
        <v>1.6379999999999999</v>
      </c>
    </row>
    <row r="4475" spans="1:5">
      <c r="A4475" t="s">
        <v>37036</v>
      </c>
      <c r="B4475" t="s">
        <v>37038</v>
      </c>
      <c r="C4475">
        <f>0.226852795041</f>
        <v>0.226852795041</v>
      </c>
      <c r="D4475">
        <v>0.67818878430100005</v>
      </c>
      <c r="E4475">
        <v>1.6379999999999999</v>
      </c>
    </row>
    <row r="4476" spans="1:5">
      <c r="A4476" t="s">
        <v>37039</v>
      </c>
      <c r="B4476" t="s">
        <v>37040</v>
      </c>
      <c r="C4476">
        <f>0</f>
        <v>0</v>
      </c>
      <c r="D4476">
        <v>0.94570947264000005</v>
      </c>
      <c r="E4476">
        <v>4.5839999999999996</v>
      </c>
    </row>
    <row r="4477" spans="1:5">
      <c r="A4477" t="s">
        <v>37039</v>
      </c>
      <c r="B4477" t="s">
        <v>37041</v>
      </c>
      <c r="C4477">
        <v>0.92009947264000003</v>
      </c>
      <c r="D4477">
        <v>0.94570947264000005</v>
      </c>
      <c r="E4477">
        <v>4.5839999999999996</v>
      </c>
    </row>
    <row r="4478" spans="1:5">
      <c r="A4478" t="s">
        <v>37042</v>
      </c>
      <c r="B4478" t="s">
        <v>37043</v>
      </c>
      <c r="C4478">
        <f>0.335579090933</f>
        <v>0.33557909093299998</v>
      </c>
      <c r="D4478">
        <v>0.76246309926</v>
      </c>
      <c r="E4478">
        <v>23.52</v>
      </c>
    </row>
    <row r="4479" spans="1:5">
      <c r="A4479" t="s">
        <v>37042</v>
      </c>
      <c r="B4479" t="s">
        <v>37044</v>
      </c>
      <c r="C4479">
        <v>0</v>
      </c>
      <c r="D4479">
        <v>0.76246309926</v>
      </c>
      <c r="E4479">
        <v>23.52</v>
      </c>
    </row>
    <row r="4480" spans="1:5">
      <c r="A4480" t="s">
        <v>37042</v>
      </c>
      <c r="B4480" t="s">
        <v>37045</v>
      </c>
      <c r="C4480">
        <f>0.219134934068</f>
        <v>0.219134934068</v>
      </c>
      <c r="D4480">
        <v>0.76246309926</v>
      </c>
      <c r="E4480">
        <v>23.52</v>
      </c>
    </row>
    <row r="4481" spans="1:5">
      <c r="A4481" t="s">
        <v>37046</v>
      </c>
      <c r="B4481" t="s">
        <v>14454</v>
      </c>
      <c r="C4481">
        <f>0</f>
        <v>0</v>
      </c>
      <c r="D4481">
        <v>0.95078574327300003</v>
      </c>
      <c r="E4481">
        <v>0.28799999999999998</v>
      </c>
    </row>
    <row r="4482" spans="1:5">
      <c r="A4482" t="s">
        <v>37046</v>
      </c>
      <c r="B4482" t="s">
        <v>14457</v>
      </c>
      <c r="C4482">
        <f>0.712835573312</f>
        <v>0.71283557331199998</v>
      </c>
      <c r="D4482">
        <v>0.95078574327300003</v>
      </c>
      <c r="E4482">
        <v>0.28799999999999998</v>
      </c>
    </row>
    <row r="4483" spans="1:5">
      <c r="A4483" t="s">
        <v>37046</v>
      </c>
      <c r="B4483" t="s">
        <v>14453</v>
      </c>
      <c r="C4483">
        <v>0</v>
      </c>
      <c r="D4483">
        <v>0.95078574327300003</v>
      </c>
      <c r="E4483">
        <v>0.28799999999999998</v>
      </c>
    </row>
    <row r="4484" spans="1:5">
      <c r="A4484" t="s">
        <v>37046</v>
      </c>
      <c r="B4484" t="s">
        <v>14456</v>
      </c>
      <c r="C4484">
        <v>0.196956918649</v>
      </c>
      <c r="D4484">
        <v>0.95078574327300003</v>
      </c>
      <c r="E4484">
        <v>0.28799999999999998</v>
      </c>
    </row>
    <row r="4485" spans="1:5">
      <c r="A4485" t="s">
        <v>37047</v>
      </c>
      <c r="B4485" t="s">
        <v>28417</v>
      </c>
      <c r="C4485">
        <f>0</f>
        <v>0</v>
      </c>
      <c r="D4485">
        <v>0.82195778361399996</v>
      </c>
      <c r="E4485">
        <v>23.28</v>
      </c>
    </row>
    <row r="4486" spans="1:5">
      <c r="A4486" t="s">
        <v>37047</v>
      </c>
      <c r="B4486" t="s">
        <v>28418</v>
      </c>
      <c r="C4486">
        <f>0.0974751620391</f>
        <v>9.7475162039100005E-2</v>
      </c>
      <c r="D4486">
        <v>0.82195778361399996</v>
      </c>
      <c r="E4486">
        <v>23.28</v>
      </c>
    </row>
    <row r="4487" spans="1:5">
      <c r="A4487" t="s">
        <v>37047</v>
      </c>
      <c r="B4487" t="s">
        <v>28419</v>
      </c>
      <c r="C4487">
        <v>0.73482683585599995</v>
      </c>
      <c r="D4487">
        <v>0.82195778361399996</v>
      </c>
      <c r="E4487">
        <v>23.28</v>
      </c>
    </row>
    <row r="4488" spans="1:5">
      <c r="A4488" t="s">
        <v>37047</v>
      </c>
      <c r="B4488" t="s">
        <v>28420</v>
      </c>
      <c r="C4488">
        <f>0</f>
        <v>0</v>
      </c>
      <c r="D4488">
        <v>0.82195778361399996</v>
      </c>
      <c r="E4488">
        <v>23.28</v>
      </c>
    </row>
    <row r="4489" spans="1:5">
      <c r="A4489" t="s">
        <v>37048</v>
      </c>
      <c r="B4489" t="s">
        <v>13839</v>
      </c>
      <c r="C4489">
        <f>0</f>
        <v>0</v>
      </c>
      <c r="D4489">
        <v>0.63645336504299999</v>
      </c>
      <c r="E4489">
        <v>1.17</v>
      </c>
    </row>
    <row r="4490" spans="1:5">
      <c r="A4490" t="s">
        <v>37048</v>
      </c>
      <c r="B4490" t="s">
        <v>13837</v>
      </c>
      <c r="C4490">
        <v>0.476443365043</v>
      </c>
      <c r="D4490">
        <v>0.63645336504299999</v>
      </c>
      <c r="E4490">
        <v>1.17</v>
      </c>
    </row>
    <row r="4491" spans="1:5">
      <c r="A4491" t="s">
        <v>37048</v>
      </c>
      <c r="B4491" t="s">
        <v>13836</v>
      </c>
      <c r="C4491">
        <f>0</f>
        <v>0</v>
      </c>
      <c r="D4491">
        <v>0.63645336504299999</v>
      </c>
      <c r="E4491">
        <v>1.17</v>
      </c>
    </row>
    <row r="4492" spans="1:5">
      <c r="A4492" t="s">
        <v>37049</v>
      </c>
      <c r="B4492" t="s">
        <v>13079</v>
      </c>
      <c r="C4492">
        <f>0.374942370251</f>
        <v>0.37494237025100002</v>
      </c>
      <c r="D4492">
        <v>0.91656891336299995</v>
      </c>
      <c r="E4492">
        <v>4.8000000000000001E-2</v>
      </c>
    </row>
    <row r="4493" spans="1:5">
      <c r="A4493" t="s">
        <v>37049</v>
      </c>
      <c r="B4493" t="s">
        <v>13081</v>
      </c>
      <c r="C4493">
        <f>0.712069348268</f>
        <v>0.71206934826799995</v>
      </c>
      <c r="D4493">
        <v>0.91656891336299995</v>
      </c>
      <c r="E4493">
        <v>4.8000000000000001E-2</v>
      </c>
    </row>
    <row r="4494" spans="1:5">
      <c r="A4494" t="s">
        <v>37049</v>
      </c>
      <c r="B4494" t="s">
        <v>13080</v>
      </c>
      <c r="C4494">
        <v>0.83697134950899998</v>
      </c>
      <c r="D4494">
        <v>0.91656891336299995</v>
      </c>
      <c r="E4494">
        <v>4.8000000000000001E-2</v>
      </c>
    </row>
    <row r="4495" spans="1:5">
      <c r="A4495" t="s">
        <v>37050</v>
      </c>
      <c r="B4495" t="s">
        <v>1695</v>
      </c>
      <c r="C4495">
        <v>0.142189189785</v>
      </c>
      <c r="D4495">
        <v>0.84488765061100002</v>
      </c>
      <c r="E4495">
        <v>1.1160000000000001</v>
      </c>
    </row>
    <row r="4496" spans="1:5">
      <c r="A4496" t="s">
        <v>37050</v>
      </c>
      <c r="B4496" t="s">
        <v>1696</v>
      </c>
      <c r="C4496">
        <f>0.745585654721</f>
        <v>0.74558565472100002</v>
      </c>
      <c r="D4496">
        <v>0.84488765061100002</v>
      </c>
      <c r="E4496">
        <v>1.1160000000000001</v>
      </c>
    </row>
    <row r="4497" spans="1:5">
      <c r="A4497" t="s">
        <v>37050</v>
      </c>
      <c r="B4497" t="s">
        <v>1698</v>
      </c>
      <c r="C4497">
        <v>0</v>
      </c>
      <c r="D4497">
        <v>0.84488765061100002</v>
      </c>
      <c r="E4497">
        <v>1.1160000000000001</v>
      </c>
    </row>
    <row r="4498" spans="1:5">
      <c r="A4498" t="s">
        <v>37051</v>
      </c>
      <c r="B4498" t="s">
        <v>37052</v>
      </c>
      <c r="C4498">
        <v>0.680239005748</v>
      </c>
      <c r="D4498">
        <v>0.99999997631399995</v>
      </c>
      <c r="E4498">
        <v>5.4660000000000002</v>
      </c>
    </row>
    <row r="4499" spans="1:5">
      <c r="A4499" t="s">
        <v>37051</v>
      </c>
      <c r="B4499" t="s">
        <v>37053</v>
      </c>
      <c r="C4499">
        <v>9.8268173715900006E-2</v>
      </c>
      <c r="D4499">
        <v>0.99999997631399995</v>
      </c>
      <c r="E4499">
        <v>5.4660000000000002</v>
      </c>
    </row>
    <row r="4500" spans="1:5">
      <c r="A4500" t="s">
        <v>37051</v>
      </c>
      <c r="B4500" t="s">
        <v>37054</v>
      </c>
      <c r="C4500">
        <f>0.751257329617</f>
        <v>0.75125732961699998</v>
      </c>
      <c r="D4500">
        <v>0.99999997631399995</v>
      </c>
      <c r="E4500">
        <v>5.4660000000000002</v>
      </c>
    </row>
    <row r="4501" spans="1:5">
      <c r="A4501" t="s">
        <v>37051</v>
      </c>
      <c r="B4501" t="s">
        <v>37055</v>
      </c>
      <c r="C4501">
        <v>0.12611590241000001</v>
      </c>
      <c r="D4501">
        <v>0.99999997631399995</v>
      </c>
      <c r="E4501">
        <v>5.4660000000000002</v>
      </c>
    </row>
    <row r="4502" spans="1:5">
      <c r="A4502" t="s">
        <v>37051</v>
      </c>
      <c r="B4502" t="s">
        <v>37056</v>
      </c>
      <c r="C4502">
        <v>9.4505606504E-2</v>
      </c>
      <c r="D4502">
        <v>0.99999997631399995</v>
      </c>
      <c r="E4502">
        <v>5.4660000000000002</v>
      </c>
    </row>
    <row r="4503" spans="1:5">
      <c r="A4503" t="s">
        <v>37051</v>
      </c>
      <c r="B4503" t="s">
        <v>37057</v>
      </c>
      <c r="C4503">
        <f>0.188196772933</f>
        <v>0.18819677293299999</v>
      </c>
      <c r="D4503">
        <v>0.99999997631399995</v>
      </c>
      <c r="E4503">
        <v>5.4660000000000002</v>
      </c>
    </row>
    <row r="4504" spans="1:5">
      <c r="A4504" t="s">
        <v>37051</v>
      </c>
      <c r="B4504" t="s">
        <v>37058</v>
      </c>
      <c r="C4504">
        <f>0.0169465756067</f>
        <v>1.6946575606700001E-2</v>
      </c>
      <c r="D4504">
        <v>0.99999997631399995</v>
      </c>
      <c r="E4504">
        <v>5.4660000000000002</v>
      </c>
    </row>
    <row r="4505" spans="1:5">
      <c r="A4505" t="s">
        <v>37051</v>
      </c>
      <c r="B4505" t="s">
        <v>37059</v>
      </c>
      <c r="C4505">
        <v>0.34625563389699998</v>
      </c>
      <c r="D4505">
        <v>0.99999997631399995</v>
      </c>
      <c r="E4505">
        <v>5.4660000000000002</v>
      </c>
    </row>
    <row r="4506" spans="1:5">
      <c r="A4506" t="s">
        <v>37051</v>
      </c>
      <c r="B4506" t="s">
        <v>37060</v>
      </c>
      <c r="C4506">
        <f>0.0588991869418</f>
        <v>5.8899186941799998E-2</v>
      </c>
      <c r="D4506">
        <v>0.99999997631399995</v>
      </c>
      <c r="E4506">
        <v>5.4660000000000002</v>
      </c>
    </row>
    <row r="4507" spans="1:5">
      <c r="A4507" t="s">
        <v>37061</v>
      </c>
      <c r="B4507" t="s">
        <v>31678</v>
      </c>
      <c r="C4507">
        <v>0</v>
      </c>
      <c r="D4507">
        <v>0.78909551386999999</v>
      </c>
      <c r="E4507">
        <v>9.6180000000000003</v>
      </c>
    </row>
    <row r="4508" spans="1:5">
      <c r="A4508" t="s">
        <v>37061</v>
      </c>
      <c r="B4508" t="s">
        <v>31681</v>
      </c>
      <c r="C4508">
        <v>0.27068551387000001</v>
      </c>
      <c r="D4508">
        <v>0.78909551386999999</v>
      </c>
      <c r="E4508">
        <v>9.6180000000000003</v>
      </c>
    </row>
    <row r="4509" spans="1:5">
      <c r="A4509" t="s">
        <v>37061</v>
      </c>
      <c r="B4509" t="s">
        <v>31680</v>
      </c>
      <c r="C4509">
        <v>0</v>
      </c>
      <c r="D4509">
        <v>0.78909551386999999</v>
      </c>
      <c r="E4509">
        <v>9.6180000000000003</v>
      </c>
    </row>
    <row r="4510" spans="1:5">
      <c r="A4510" t="s">
        <v>37061</v>
      </c>
      <c r="B4510" t="s">
        <v>31679</v>
      </c>
      <c r="C4510">
        <f>0</f>
        <v>0</v>
      </c>
      <c r="D4510">
        <v>0.78909551386999999</v>
      </c>
      <c r="E4510">
        <v>9.6180000000000003</v>
      </c>
    </row>
    <row r="4511" spans="1:5">
      <c r="A4511" t="s">
        <v>37062</v>
      </c>
      <c r="B4511" t="s">
        <v>37063</v>
      </c>
      <c r="C4511">
        <v>0.52792251297799997</v>
      </c>
      <c r="D4511">
        <v>0.91891572116599995</v>
      </c>
      <c r="E4511">
        <v>8.8680000000000003</v>
      </c>
    </row>
    <row r="4512" spans="1:5">
      <c r="A4512" t="s">
        <v>37062</v>
      </c>
      <c r="B4512" t="s">
        <v>37064</v>
      </c>
      <c r="C4512">
        <v>0.65212507794600005</v>
      </c>
      <c r="D4512">
        <v>0.91891572116599995</v>
      </c>
      <c r="E4512">
        <v>8.8680000000000003</v>
      </c>
    </row>
    <row r="4513" spans="1:5">
      <c r="A4513" t="s">
        <v>37062</v>
      </c>
      <c r="B4513" t="s">
        <v>37065</v>
      </c>
      <c r="C4513">
        <v>0</v>
      </c>
      <c r="D4513">
        <v>0.91891572116599995</v>
      </c>
      <c r="E4513">
        <v>8.8680000000000003</v>
      </c>
    </row>
    <row r="4514" spans="1:5">
      <c r="A4514" t="s">
        <v>37066</v>
      </c>
      <c r="B4514" t="s">
        <v>37067</v>
      </c>
      <c r="C4514">
        <v>0</v>
      </c>
      <c r="D4514">
        <v>0.76350043131300005</v>
      </c>
      <c r="E4514">
        <v>10.554</v>
      </c>
    </row>
    <row r="4515" spans="1:5">
      <c r="A4515" t="s">
        <v>37066</v>
      </c>
      <c r="B4515" t="s">
        <v>37068</v>
      </c>
      <c r="C4515">
        <v>0.62721979313099996</v>
      </c>
      <c r="D4515">
        <v>0.76350043131300005</v>
      </c>
      <c r="E4515">
        <v>10.554</v>
      </c>
    </row>
    <row r="4516" spans="1:5">
      <c r="A4516" t="s">
        <v>37066</v>
      </c>
      <c r="B4516" t="s">
        <v>37069</v>
      </c>
      <c r="C4516">
        <f>0.0821396282518</f>
        <v>8.2139628251800004E-2</v>
      </c>
      <c r="D4516">
        <v>0.76350043131300005</v>
      </c>
      <c r="E4516">
        <v>10.554</v>
      </c>
    </row>
    <row r="4517" spans="1:5">
      <c r="A4517" t="s">
        <v>37070</v>
      </c>
      <c r="B4517" t="s">
        <v>932</v>
      </c>
      <c r="C4517">
        <f>0</f>
        <v>0</v>
      </c>
      <c r="D4517" t="s">
        <v>106</v>
      </c>
      <c r="E4517">
        <v>23.754000000000001</v>
      </c>
    </row>
    <row r="4518" spans="1:5">
      <c r="A4518" t="s">
        <v>37070</v>
      </c>
      <c r="B4518" t="s">
        <v>931</v>
      </c>
      <c r="C4518">
        <f>0</f>
        <v>0</v>
      </c>
      <c r="D4518" t="s">
        <v>106</v>
      </c>
      <c r="E4518">
        <v>23.754000000000001</v>
      </c>
    </row>
    <row r="4519" spans="1:5">
      <c r="A4519" t="s">
        <v>37070</v>
      </c>
      <c r="B4519" t="s">
        <v>933</v>
      </c>
      <c r="C4519">
        <f>0</f>
        <v>0</v>
      </c>
      <c r="D4519" t="s">
        <v>106</v>
      </c>
      <c r="E4519">
        <v>23.754000000000001</v>
      </c>
    </row>
    <row r="4520" spans="1:5">
      <c r="A4520" t="s">
        <v>37070</v>
      </c>
      <c r="B4520" t="s">
        <v>934</v>
      </c>
      <c r="C4520">
        <v>0</v>
      </c>
      <c r="D4520" t="s">
        <v>106</v>
      </c>
      <c r="E4520">
        <v>23.754000000000001</v>
      </c>
    </row>
    <row r="4521" spans="1:5">
      <c r="A4521" t="s">
        <v>37070</v>
      </c>
      <c r="B4521" t="s">
        <v>929</v>
      </c>
      <c r="C4521">
        <v>0</v>
      </c>
      <c r="D4521" t="s">
        <v>106</v>
      </c>
      <c r="E4521">
        <v>23.754000000000001</v>
      </c>
    </row>
    <row r="4522" spans="1:5">
      <c r="A4522" t="s">
        <v>37071</v>
      </c>
      <c r="B4522" t="s">
        <v>26890</v>
      </c>
      <c r="C4522">
        <v>9.1184201469100001E-2</v>
      </c>
      <c r="D4522">
        <v>0.73221700584799998</v>
      </c>
      <c r="E4522">
        <v>2.88</v>
      </c>
    </row>
    <row r="4523" spans="1:5">
      <c r="A4523" t="s">
        <v>37071</v>
      </c>
      <c r="B4523" t="s">
        <v>26888</v>
      </c>
      <c r="C4523">
        <f>0.466703394927</f>
        <v>0.46670339492700003</v>
      </c>
      <c r="D4523">
        <v>0.73221700584799998</v>
      </c>
      <c r="E4523">
        <v>2.88</v>
      </c>
    </row>
    <row r="4524" spans="1:5">
      <c r="A4524" t="s">
        <v>37071</v>
      </c>
      <c r="B4524" t="s">
        <v>26887</v>
      </c>
      <c r="C4524">
        <f>0</f>
        <v>0</v>
      </c>
      <c r="D4524">
        <v>0.73221700584799998</v>
      </c>
      <c r="E4524">
        <v>2.88</v>
      </c>
    </row>
    <row r="4525" spans="1:5">
      <c r="A4525" t="s">
        <v>37072</v>
      </c>
      <c r="B4525" t="s">
        <v>21566</v>
      </c>
      <c r="C4525">
        <v>0.17409742756499999</v>
      </c>
      <c r="D4525">
        <v>0.97974858642999996</v>
      </c>
      <c r="E4525">
        <v>1.512</v>
      </c>
    </row>
    <row r="4526" spans="1:5">
      <c r="A4526" t="s">
        <v>37072</v>
      </c>
      <c r="B4526" t="s">
        <v>37073</v>
      </c>
      <c r="C4526">
        <f>0</f>
        <v>0</v>
      </c>
      <c r="D4526">
        <v>0.97974858642999996</v>
      </c>
      <c r="E4526">
        <v>1.512</v>
      </c>
    </row>
    <row r="4527" spans="1:5">
      <c r="A4527" t="s">
        <v>37072</v>
      </c>
      <c r="B4527" t="s">
        <v>21578</v>
      </c>
      <c r="C4527">
        <v>7.6930652455600004E-2</v>
      </c>
      <c r="D4527">
        <v>0.97974858642999996</v>
      </c>
      <c r="E4527">
        <v>1.512</v>
      </c>
    </row>
    <row r="4528" spans="1:5">
      <c r="A4528" t="s">
        <v>37072</v>
      </c>
      <c r="B4528" t="s">
        <v>21573</v>
      </c>
      <c r="C4528">
        <v>0</v>
      </c>
      <c r="D4528">
        <v>0.97974858642999996</v>
      </c>
      <c r="E4528">
        <v>1.512</v>
      </c>
    </row>
    <row r="4529" spans="1:5">
      <c r="A4529" t="s">
        <v>37072</v>
      </c>
      <c r="B4529" t="s">
        <v>21565</v>
      </c>
      <c r="C4529">
        <f>0.720397253771</f>
        <v>0.72039725377099995</v>
      </c>
      <c r="D4529">
        <v>0.97974858642999996</v>
      </c>
      <c r="E4529">
        <v>1.512</v>
      </c>
    </row>
    <row r="4530" spans="1:5">
      <c r="A4530" t="s">
        <v>37072</v>
      </c>
      <c r="B4530" t="s">
        <v>21572</v>
      </c>
      <c r="C4530">
        <v>0.16922219192999999</v>
      </c>
      <c r="D4530">
        <v>0.97974858642999996</v>
      </c>
      <c r="E4530">
        <v>1.512</v>
      </c>
    </row>
    <row r="4531" spans="1:5">
      <c r="A4531" t="s">
        <v>37072</v>
      </c>
      <c r="B4531" t="s">
        <v>21571</v>
      </c>
      <c r="C4531">
        <v>0.168640918798</v>
      </c>
      <c r="D4531">
        <v>0.97974858642999996</v>
      </c>
      <c r="E4531">
        <v>1.512</v>
      </c>
    </row>
    <row r="4532" spans="1:5">
      <c r="A4532" t="s">
        <v>37072</v>
      </c>
      <c r="B4532" t="s">
        <v>21570</v>
      </c>
      <c r="C4532">
        <f>0</f>
        <v>0</v>
      </c>
      <c r="D4532">
        <v>0.97974858642999996</v>
      </c>
      <c r="E4532">
        <v>1.512</v>
      </c>
    </row>
    <row r="4533" spans="1:5">
      <c r="A4533" t="s">
        <v>37074</v>
      </c>
      <c r="B4533" t="s">
        <v>32357</v>
      </c>
      <c r="C4533">
        <v>0.44718833655899998</v>
      </c>
      <c r="D4533">
        <v>0.605160481089</v>
      </c>
      <c r="E4533">
        <v>1.83</v>
      </c>
    </row>
    <row r="4534" spans="1:5">
      <c r="A4534" t="s">
        <v>37074</v>
      </c>
      <c r="B4534" t="s">
        <v>32356</v>
      </c>
      <c r="C4534">
        <v>0.39738177193500002</v>
      </c>
      <c r="D4534">
        <v>0.605160481089</v>
      </c>
      <c r="E4534">
        <v>1.83</v>
      </c>
    </row>
    <row r="4535" spans="1:5">
      <c r="A4535" t="s">
        <v>37075</v>
      </c>
      <c r="B4535" t="s">
        <v>37076</v>
      </c>
      <c r="C4535">
        <f>0</f>
        <v>0</v>
      </c>
      <c r="D4535">
        <v>0.39521813516799997</v>
      </c>
      <c r="E4535">
        <v>3.2280000000000002</v>
      </c>
    </row>
    <row r="4536" spans="1:5">
      <c r="A4536" t="s">
        <v>37075</v>
      </c>
      <c r="B4536" t="s">
        <v>37077</v>
      </c>
      <c r="C4536">
        <f>0</f>
        <v>0</v>
      </c>
      <c r="D4536">
        <v>0.39521813516799997</v>
      </c>
      <c r="E4536">
        <v>3.2280000000000002</v>
      </c>
    </row>
    <row r="4537" spans="1:5">
      <c r="A4537" t="s">
        <v>37075</v>
      </c>
      <c r="B4537" t="s">
        <v>37078</v>
      </c>
      <c r="C4537">
        <f>0.164808135168</f>
        <v>0.164808135168</v>
      </c>
      <c r="D4537">
        <v>0.39521813516799997</v>
      </c>
      <c r="E4537">
        <v>3.2280000000000002</v>
      </c>
    </row>
    <row r="4538" spans="1:5">
      <c r="A4538" t="s">
        <v>37079</v>
      </c>
      <c r="B4538" t="s">
        <v>10470</v>
      </c>
      <c r="C4538">
        <f>0</f>
        <v>0</v>
      </c>
      <c r="D4538">
        <v>0.73408002622199997</v>
      </c>
      <c r="E4538">
        <v>0</v>
      </c>
    </row>
    <row r="4539" spans="1:5">
      <c r="A4539" t="s">
        <v>37079</v>
      </c>
      <c r="B4539" t="s">
        <v>10469</v>
      </c>
      <c r="C4539">
        <v>0.37407002622199997</v>
      </c>
      <c r="D4539">
        <v>0.73408002622199997</v>
      </c>
      <c r="E4539">
        <v>0</v>
      </c>
    </row>
    <row r="4540" spans="1:5">
      <c r="A4540" t="s">
        <v>37080</v>
      </c>
      <c r="B4540" t="s">
        <v>12930</v>
      </c>
      <c r="C4540">
        <f>-2.71299314021</f>
        <v>-2.71299314021</v>
      </c>
      <c r="D4540">
        <v>0.83948650226199995</v>
      </c>
      <c r="E4540">
        <v>9.7739999999999991</v>
      </c>
    </row>
    <row r="4541" spans="1:5">
      <c r="A4541" t="s">
        <v>37080</v>
      </c>
      <c r="B4541" t="s">
        <v>12929</v>
      </c>
      <c r="C4541">
        <v>3.0403144950600001</v>
      </c>
      <c r="D4541">
        <v>0.83948650226199995</v>
      </c>
      <c r="E4541">
        <v>9.7739999999999991</v>
      </c>
    </row>
    <row r="4542" spans="1:5">
      <c r="A4542" t="s">
        <v>37080</v>
      </c>
      <c r="B4542" t="s">
        <v>12933</v>
      </c>
      <c r="C4542">
        <f>0.60418855929</f>
        <v>0.60418855929000004</v>
      </c>
      <c r="D4542">
        <v>0.83948650226199995</v>
      </c>
      <c r="E4542">
        <v>9.7739999999999991</v>
      </c>
    </row>
    <row r="4543" spans="1:5">
      <c r="A4543" t="s">
        <v>37080</v>
      </c>
      <c r="B4543" t="s">
        <v>12932</v>
      </c>
      <c r="C4543">
        <f>0.0358369132612</f>
        <v>3.5836913261199997E-2</v>
      </c>
      <c r="D4543">
        <v>0.83948650226199995</v>
      </c>
      <c r="E4543">
        <v>9.7739999999999991</v>
      </c>
    </row>
    <row r="4544" spans="1:5">
      <c r="A4544" t="s">
        <v>37081</v>
      </c>
      <c r="B4544" t="s">
        <v>3796</v>
      </c>
      <c r="C4544">
        <v>3.4792231848600003E-2</v>
      </c>
      <c r="D4544">
        <v>0.92423951150999994</v>
      </c>
      <c r="E4544">
        <v>0.58199999999999996</v>
      </c>
    </row>
    <row r="4545" spans="1:5">
      <c r="A4545" t="s">
        <v>37081</v>
      </c>
      <c r="B4545" t="s">
        <v>3798</v>
      </c>
      <c r="C4545">
        <v>0.73189368626499995</v>
      </c>
      <c r="D4545">
        <v>0.92423951150999994</v>
      </c>
      <c r="E4545">
        <v>0.58199999999999996</v>
      </c>
    </row>
    <row r="4546" spans="1:5">
      <c r="A4546" t="s">
        <v>37081</v>
      </c>
      <c r="B4546" t="s">
        <v>3799</v>
      </c>
      <c r="C4546">
        <f>0.362934746205</f>
        <v>0.36293474620499999</v>
      </c>
      <c r="D4546">
        <v>0.92423951150999994</v>
      </c>
      <c r="E4546">
        <v>0.58199999999999996</v>
      </c>
    </row>
    <row r="4547" spans="1:5">
      <c r="A4547" t="s">
        <v>37081</v>
      </c>
      <c r="B4547" t="s">
        <v>3794</v>
      </c>
      <c r="C4547">
        <v>7.6136607963099998E-2</v>
      </c>
      <c r="D4547">
        <v>0.92423951150999994</v>
      </c>
      <c r="E4547">
        <v>0.58199999999999996</v>
      </c>
    </row>
    <row r="4548" spans="1:5">
      <c r="A4548" t="s">
        <v>37082</v>
      </c>
      <c r="B4548" t="s">
        <v>16449</v>
      </c>
      <c r="C4548">
        <v>0</v>
      </c>
      <c r="D4548" t="s">
        <v>106</v>
      </c>
      <c r="E4548">
        <v>0.192</v>
      </c>
    </row>
    <row r="4549" spans="1:5">
      <c r="A4549" t="s">
        <v>37082</v>
      </c>
      <c r="B4549" t="s">
        <v>16451</v>
      </c>
      <c r="C4549">
        <f>0</f>
        <v>0</v>
      </c>
      <c r="D4549" t="s">
        <v>106</v>
      </c>
      <c r="E4549">
        <v>0.192</v>
      </c>
    </row>
    <row r="4550" spans="1:5">
      <c r="A4550" t="s">
        <v>37082</v>
      </c>
      <c r="B4550" t="s">
        <v>16455</v>
      </c>
      <c r="C4550">
        <v>0</v>
      </c>
      <c r="D4550" t="s">
        <v>106</v>
      </c>
      <c r="E4550">
        <v>0.192</v>
      </c>
    </row>
    <row r="4551" spans="1:5">
      <c r="A4551" t="s">
        <v>37083</v>
      </c>
      <c r="B4551" t="s">
        <v>23335</v>
      </c>
      <c r="C4551">
        <f>-1.05085219292</f>
        <v>-1.0508521929200001</v>
      </c>
      <c r="D4551">
        <v>0.91723877015900002</v>
      </c>
      <c r="E4551">
        <v>9.9239999999999995</v>
      </c>
    </row>
    <row r="4552" spans="1:5">
      <c r="A4552" t="s">
        <v>37083</v>
      </c>
      <c r="B4552" t="s">
        <v>23339</v>
      </c>
      <c r="C4552">
        <v>0.14717132721500001</v>
      </c>
      <c r="D4552">
        <v>0.91723877015900002</v>
      </c>
      <c r="E4552">
        <v>9.9239999999999995</v>
      </c>
    </row>
    <row r="4553" spans="1:5">
      <c r="A4553" t="s">
        <v>37083</v>
      </c>
      <c r="B4553" t="s">
        <v>23338</v>
      </c>
      <c r="C4553">
        <v>0.66266577577899999</v>
      </c>
      <c r="D4553">
        <v>0.91723877015900002</v>
      </c>
      <c r="E4553">
        <v>9.9239999999999995</v>
      </c>
    </row>
    <row r="4554" spans="1:5">
      <c r="A4554" t="s">
        <v>37084</v>
      </c>
      <c r="B4554" t="s">
        <v>37085</v>
      </c>
      <c r="C4554">
        <v>0.124783179563</v>
      </c>
      <c r="D4554">
        <v>0.93844741806700005</v>
      </c>
      <c r="E4554">
        <v>23.754000000000001</v>
      </c>
    </row>
    <row r="4555" spans="1:5">
      <c r="A4555" t="s">
        <v>37084</v>
      </c>
      <c r="B4555" t="s">
        <v>37086</v>
      </c>
      <c r="C4555">
        <v>0.91497340723300002</v>
      </c>
      <c r="D4555">
        <v>0.93844741806700005</v>
      </c>
      <c r="E4555">
        <v>23.754000000000001</v>
      </c>
    </row>
    <row r="4556" spans="1:5">
      <c r="A4556" t="s">
        <v>37084</v>
      </c>
      <c r="B4556" t="s">
        <v>37087</v>
      </c>
      <c r="C4556">
        <v>1.05021995612E-3</v>
      </c>
      <c r="D4556">
        <v>0.93844741806700005</v>
      </c>
      <c r="E4556">
        <v>23.754000000000001</v>
      </c>
    </row>
    <row r="4557" spans="1:5">
      <c r="A4557" t="s">
        <v>37088</v>
      </c>
      <c r="B4557" t="s">
        <v>28555</v>
      </c>
      <c r="C4557">
        <f>0</f>
        <v>0</v>
      </c>
      <c r="D4557" t="s">
        <v>106</v>
      </c>
      <c r="E4557">
        <v>1.83</v>
      </c>
    </row>
    <row r="4558" spans="1:5">
      <c r="A4558" t="s">
        <v>37088</v>
      </c>
      <c r="B4558" t="s">
        <v>28554</v>
      </c>
      <c r="C4558">
        <f>0</f>
        <v>0</v>
      </c>
      <c r="D4558" t="s">
        <v>106</v>
      </c>
      <c r="E4558">
        <v>1.83</v>
      </c>
    </row>
    <row r="4559" spans="1:5">
      <c r="A4559" t="s">
        <v>37088</v>
      </c>
      <c r="B4559" t="s">
        <v>28556</v>
      </c>
      <c r="C4559">
        <v>0</v>
      </c>
      <c r="D4559" t="s">
        <v>106</v>
      </c>
      <c r="E4559">
        <v>1.83</v>
      </c>
    </row>
    <row r="4560" spans="1:5">
      <c r="A4560" t="s">
        <v>37089</v>
      </c>
      <c r="B4560" t="s">
        <v>33726</v>
      </c>
      <c r="C4560">
        <v>0</v>
      </c>
      <c r="D4560">
        <v>0.71794968883999999</v>
      </c>
      <c r="E4560">
        <v>10.398</v>
      </c>
    </row>
    <row r="4561" spans="1:5">
      <c r="A4561" t="s">
        <v>37089</v>
      </c>
      <c r="B4561" t="s">
        <v>33727</v>
      </c>
      <c r="C4561">
        <v>0.58833968883999999</v>
      </c>
      <c r="D4561">
        <v>0.71794968883999999</v>
      </c>
      <c r="E4561">
        <v>10.398</v>
      </c>
    </row>
    <row r="4562" spans="1:5">
      <c r="A4562" t="s">
        <v>37090</v>
      </c>
      <c r="B4562" t="s">
        <v>664</v>
      </c>
      <c r="C4562">
        <f>0</f>
        <v>0</v>
      </c>
      <c r="D4562">
        <v>0.72038182633500003</v>
      </c>
      <c r="E4562">
        <v>1.5720000000000001</v>
      </c>
    </row>
    <row r="4563" spans="1:5">
      <c r="A4563" t="s">
        <v>37090</v>
      </c>
      <c r="B4563" t="s">
        <v>672</v>
      </c>
      <c r="C4563">
        <f>0</f>
        <v>0</v>
      </c>
      <c r="D4563">
        <v>0.72038182633500003</v>
      </c>
      <c r="E4563">
        <v>1.5720000000000001</v>
      </c>
    </row>
    <row r="4564" spans="1:5">
      <c r="A4564" t="s">
        <v>37090</v>
      </c>
      <c r="B4564" t="s">
        <v>671</v>
      </c>
      <c r="C4564">
        <f>0.360371826335</f>
        <v>0.36037182633499998</v>
      </c>
      <c r="D4564">
        <v>0.72038182633500003</v>
      </c>
      <c r="E4564">
        <v>1.5720000000000001</v>
      </c>
    </row>
    <row r="4565" spans="1:5">
      <c r="A4565" t="s">
        <v>37090</v>
      </c>
      <c r="B4565" t="s">
        <v>680</v>
      </c>
      <c r="C4565">
        <v>0</v>
      </c>
      <c r="D4565">
        <v>0.72038182633500003</v>
      </c>
      <c r="E4565">
        <v>1.5720000000000001</v>
      </c>
    </row>
    <row r="4566" spans="1:5">
      <c r="A4566" t="s">
        <v>37090</v>
      </c>
      <c r="B4566" t="s">
        <v>675</v>
      </c>
      <c r="C4566">
        <f>0</f>
        <v>0</v>
      </c>
      <c r="D4566">
        <v>0.72038182633500003</v>
      </c>
      <c r="E4566">
        <v>1.5720000000000001</v>
      </c>
    </row>
    <row r="4567" spans="1:5">
      <c r="A4567" t="s">
        <v>37090</v>
      </c>
      <c r="B4567" t="s">
        <v>676</v>
      </c>
      <c r="C4567">
        <f>0</f>
        <v>0</v>
      </c>
      <c r="D4567">
        <v>0.72038182633500003</v>
      </c>
      <c r="E4567">
        <v>1.5720000000000001</v>
      </c>
    </row>
    <row r="4568" spans="1:5">
      <c r="A4568" t="s">
        <v>37090</v>
      </c>
      <c r="B4568" t="s">
        <v>678</v>
      </c>
      <c r="C4568">
        <v>0</v>
      </c>
      <c r="D4568">
        <v>0.72038182633500003</v>
      </c>
      <c r="E4568">
        <v>1.5720000000000001</v>
      </c>
    </row>
    <row r="4569" spans="1:5">
      <c r="A4569" t="s">
        <v>37090</v>
      </c>
      <c r="B4569" t="s">
        <v>674</v>
      </c>
      <c r="C4569">
        <v>0</v>
      </c>
      <c r="D4569">
        <v>0.72038182633500003</v>
      </c>
      <c r="E4569">
        <v>1.5720000000000001</v>
      </c>
    </row>
    <row r="4570" spans="1:5">
      <c r="A4570" t="s">
        <v>37090</v>
      </c>
      <c r="B4570" t="s">
        <v>677</v>
      </c>
      <c r="C4570">
        <f>0</f>
        <v>0</v>
      </c>
      <c r="D4570">
        <v>0.72038182633500003</v>
      </c>
      <c r="E4570">
        <v>1.5720000000000001</v>
      </c>
    </row>
    <row r="4571" spans="1:5">
      <c r="A4571" t="s">
        <v>37090</v>
      </c>
      <c r="B4571" t="s">
        <v>673</v>
      </c>
      <c r="C4571">
        <f>0</f>
        <v>0</v>
      </c>
      <c r="D4571">
        <v>0.72038182633500003</v>
      </c>
      <c r="E4571">
        <v>1.5720000000000001</v>
      </c>
    </row>
    <row r="4572" spans="1:5">
      <c r="A4572" t="s">
        <v>37090</v>
      </c>
      <c r="B4572" t="s">
        <v>667</v>
      </c>
      <c r="C4572">
        <f>0</f>
        <v>0</v>
      </c>
      <c r="D4572">
        <v>0.72038182633500003</v>
      </c>
      <c r="E4572">
        <v>1.5720000000000001</v>
      </c>
    </row>
    <row r="4573" spans="1:5">
      <c r="A4573" t="s">
        <v>37090</v>
      </c>
      <c r="B4573" t="s">
        <v>670</v>
      </c>
      <c r="C4573">
        <f>0</f>
        <v>0</v>
      </c>
      <c r="D4573">
        <v>0.72038182633500003</v>
      </c>
      <c r="E4573">
        <v>1.5720000000000001</v>
      </c>
    </row>
    <row r="4574" spans="1:5">
      <c r="A4574" t="s">
        <v>37091</v>
      </c>
      <c r="B4574" t="s">
        <v>2050</v>
      </c>
      <c r="C4574">
        <v>0.46992435016</v>
      </c>
      <c r="D4574">
        <v>0.96471084575199995</v>
      </c>
      <c r="E4574">
        <v>1.8959999999999999</v>
      </c>
    </row>
    <row r="4575" spans="1:5">
      <c r="A4575" t="s">
        <v>37091</v>
      </c>
      <c r="B4575" t="s">
        <v>2044</v>
      </c>
      <c r="C4575">
        <f>0.014681465351</f>
        <v>1.4681465350999999E-2</v>
      </c>
      <c r="D4575">
        <v>0.96471084575199995</v>
      </c>
      <c r="E4575">
        <v>1.8959999999999999</v>
      </c>
    </row>
    <row r="4576" spans="1:5">
      <c r="A4576" t="s">
        <v>37091</v>
      </c>
      <c r="B4576" t="s">
        <v>2048</v>
      </c>
      <c r="C4576">
        <v>0.24696568666499999</v>
      </c>
      <c r="D4576">
        <v>0.96471084575199995</v>
      </c>
      <c r="E4576">
        <v>1.8959999999999999</v>
      </c>
    </row>
    <row r="4577" spans="1:5">
      <c r="A4577" t="s">
        <v>37091</v>
      </c>
      <c r="B4577" t="s">
        <v>2046</v>
      </c>
      <c r="C4577">
        <v>0.37536833017499999</v>
      </c>
      <c r="D4577">
        <v>0.96471084575199995</v>
      </c>
      <c r="E4577">
        <v>1.8959999999999999</v>
      </c>
    </row>
    <row r="4578" spans="1:5">
      <c r="A4578" t="s">
        <v>37091</v>
      </c>
      <c r="B4578" t="s">
        <v>2042</v>
      </c>
      <c r="C4578">
        <f>0.153466207572</f>
        <v>0.153466207572</v>
      </c>
      <c r="D4578">
        <v>0.96471084575199995</v>
      </c>
      <c r="E4578">
        <v>1.8959999999999999</v>
      </c>
    </row>
    <row r="4579" spans="1:5">
      <c r="A4579" t="s">
        <v>37091</v>
      </c>
      <c r="B4579" t="s">
        <v>2049</v>
      </c>
      <c r="C4579">
        <f>0</f>
        <v>0</v>
      </c>
      <c r="D4579">
        <v>0.96471084575199995</v>
      </c>
      <c r="E4579">
        <v>1.8959999999999999</v>
      </c>
    </row>
    <row r="4580" spans="1:5">
      <c r="A4580" t="s">
        <v>37091</v>
      </c>
      <c r="B4580" t="s">
        <v>2051</v>
      </c>
      <c r="C4580">
        <v>0</v>
      </c>
      <c r="D4580">
        <v>0.96471084575199995</v>
      </c>
      <c r="E4580">
        <v>1.8959999999999999</v>
      </c>
    </row>
    <row r="4581" spans="1:5">
      <c r="A4581" t="s">
        <v>37092</v>
      </c>
      <c r="B4581" t="s">
        <v>37093</v>
      </c>
      <c r="C4581">
        <v>0</v>
      </c>
      <c r="D4581">
        <v>0.65925093406299995</v>
      </c>
      <c r="E4581">
        <v>0</v>
      </c>
    </row>
    <row r="4582" spans="1:5">
      <c r="A4582" t="s">
        <v>37092</v>
      </c>
      <c r="B4582" t="s">
        <v>37094</v>
      </c>
      <c r="C4582">
        <f>0</f>
        <v>0</v>
      </c>
      <c r="D4582">
        <v>0.65925093406299995</v>
      </c>
      <c r="E4582">
        <v>0</v>
      </c>
    </row>
    <row r="4583" spans="1:5">
      <c r="A4583" t="s">
        <v>37092</v>
      </c>
      <c r="B4583" t="s">
        <v>37095</v>
      </c>
      <c r="C4583">
        <f>0.299240934063</f>
        <v>0.29924093406300001</v>
      </c>
      <c r="D4583">
        <v>0.65925093406299995</v>
      </c>
      <c r="E4583">
        <v>0</v>
      </c>
    </row>
    <row r="4584" spans="1:5">
      <c r="A4584" t="s">
        <v>37096</v>
      </c>
      <c r="B4584" t="s">
        <v>1582</v>
      </c>
      <c r="C4584">
        <f>0</f>
        <v>0</v>
      </c>
      <c r="D4584" t="s">
        <v>106</v>
      </c>
      <c r="E4584">
        <v>24</v>
      </c>
    </row>
    <row r="4585" spans="1:5">
      <c r="A4585" t="s">
        <v>37096</v>
      </c>
      <c r="B4585" t="s">
        <v>1584</v>
      </c>
      <c r="C4585">
        <v>0</v>
      </c>
      <c r="D4585" t="s">
        <v>106</v>
      </c>
      <c r="E4585">
        <v>24</v>
      </c>
    </row>
    <row r="4586" spans="1:5">
      <c r="A4586" t="s">
        <v>37097</v>
      </c>
      <c r="B4586" t="s">
        <v>7210</v>
      </c>
      <c r="C4586">
        <v>0</v>
      </c>
      <c r="D4586" t="s">
        <v>106</v>
      </c>
      <c r="E4586">
        <v>0.34799999999999998</v>
      </c>
    </row>
    <row r="4587" spans="1:5">
      <c r="A4587" t="s">
        <v>37097</v>
      </c>
      <c r="B4587" t="s">
        <v>7213</v>
      </c>
      <c r="C4587">
        <f>0</f>
        <v>0</v>
      </c>
      <c r="D4587" t="s">
        <v>106</v>
      </c>
      <c r="E4587">
        <v>0.34799999999999998</v>
      </c>
    </row>
    <row r="4588" spans="1:5">
      <c r="A4588" t="s">
        <v>37097</v>
      </c>
      <c r="B4588" t="s">
        <v>7214</v>
      </c>
      <c r="C4588">
        <v>0</v>
      </c>
      <c r="D4588" t="s">
        <v>106</v>
      </c>
      <c r="E4588">
        <v>0.34799999999999998</v>
      </c>
    </row>
    <row r="4589" spans="1:5">
      <c r="A4589" t="s">
        <v>37097</v>
      </c>
      <c r="B4589" t="s">
        <v>7212</v>
      </c>
      <c r="C4589">
        <f>0</f>
        <v>0</v>
      </c>
      <c r="D4589" t="s">
        <v>106</v>
      </c>
      <c r="E4589">
        <v>0.34799999999999998</v>
      </c>
    </row>
    <row r="4590" spans="1:5">
      <c r="A4590" t="s">
        <v>37098</v>
      </c>
      <c r="B4590" t="s">
        <v>28228</v>
      </c>
      <c r="C4590">
        <f>0</f>
        <v>0</v>
      </c>
      <c r="D4590">
        <v>0.65953964187699998</v>
      </c>
      <c r="E4590">
        <v>11.874000000000001</v>
      </c>
    </row>
    <row r="4591" spans="1:5">
      <c r="A4591" t="s">
        <v>37098</v>
      </c>
      <c r="B4591" t="s">
        <v>28229</v>
      </c>
      <c r="C4591">
        <v>0</v>
      </c>
      <c r="D4591">
        <v>0.65953964187699998</v>
      </c>
      <c r="E4591">
        <v>11.874000000000001</v>
      </c>
    </row>
    <row r="4592" spans="1:5">
      <c r="A4592" t="s">
        <v>37098</v>
      </c>
      <c r="B4592" t="s">
        <v>28232</v>
      </c>
      <c r="C4592">
        <v>0.34592964187699998</v>
      </c>
      <c r="D4592">
        <v>0.65953964187699998</v>
      </c>
      <c r="E4592">
        <v>11.874000000000001</v>
      </c>
    </row>
    <row r="4593" spans="1:5">
      <c r="A4593" t="s">
        <v>37099</v>
      </c>
      <c r="B4593" t="s">
        <v>37100</v>
      </c>
      <c r="C4593">
        <v>0.31176168682200001</v>
      </c>
      <c r="D4593">
        <v>0.93745797852099999</v>
      </c>
      <c r="E4593">
        <v>5.9340000000000002</v>
      </c>
    </row>
    <row r="4594" spans="1:5">
      <c r="A4594" t="s">
        <v>37099</v>
      </c>
      <c r="B4594" t="s">
        <v>37101</v>
      </c>
      <c r="C4594">
        <f>0.112795562276</f>
        <v>0.112795562276</v>
      </c>
      <c r="D4594">
        <v>0.93745797852099999</v>
      </c>
      <c r="E4594">
        <v>5.9340000000000002</v>
      </c>
    </row>
    <row r="4595" spans="1:5">
      <c r="A4595" t="s">
        <v>37099</v>
      </c>
      <c r="B4595" t="s">
        <v>37102</v>
      </c>
      <c r="C4595">
        <v>0.84679627098800003</v>
      </c>
      <c r="D4595">
        <v>0.93745797852099999</v>
      </c>
      <c r="E4595">
        <v>5.9340000000000002</v>
      </c>
    </row>
    <row r="4596" spans="1:5">
      <c r="A4596" t="s">
        <v>37103</v>
      </c>
      <c r="B4596" t="s">
        <v>37104</v>
      </c>
      <c r="C4596">
        <v>0</v>
      </c>
      <c r="D4596" t="s">
        <v>106</v>
      </c>
      <c r="E4596">
        <v>16.494</v>
      </c>
    </row>
    <row r="4597" spans="1:5">
      <c r="A4597" t="s">
        <v>37103</v>
      </c>
      <c r="B4597" t="s">
        <v>37105</v>
      </c>
      <c r="C4597">
        <v>0</v>
      </c>
      <c r="D4597" t="s">
        <v>106</v>
      </c>
      <c r="E4597">
        <v>16.494</v>
      </c>
    </row>
    <row r="4598" spans="1:5">
      <c r="A4598" t="s">
        <v>37103</v>
      </c>
      <c r="B4598" t="s">
        <v>37106</v>
      </c>
      <c r="C4598">
        <f>0</f>
        <v>0</v>
      </c>
      <c r="D4598" t="s">
        <v>106</v>
      </c>
      <c r="E4598">
        <v>16.494</v>
      </c>
    </row>
    <row r="4599" spans="1:5">
      <c r="A4599" t="s">
        <v>37107</v>
      </c>
      <c r="B4599" t="s">
        <v>11214</v>
      </c>
      <c r="C4599">
        <v>0</v>
      </c>
      <c r="D4599">
        <v>0.92161480437400001</v>
      </c>
      <c r="E4599">
        <v>9.1679999999999993</v>
      </c>
    </row>
    <row r="4600" spans="1:5">
      <c r="A4600" t="s">
        <v>37107</v>
      </c>
      <c r="B4600" t="s">
        <v>11212</v>
      </c>
      <c r="C4600">
        <f>0.536211760134</f>
        <v>0.53621176013399996</v>
      </c>
      <c r="D4600">
        <v>0.92161480437400001</v>
      </c>
      <c r="E4600">
        <v>9.1679999999999993</v>
      </c>
    </row>
    <row r="4601" spans="1:5">
      <c r="A4601" t="s">
        <v>37107</v>
      </c>
      <c r="B4601" t="s">
        <v>11210</v>
      </c>
      <c r="C4601">
        <v>0.45034686301100002</v>
      </c>
      <c r="D4601">
        <v>0.92161480437400001</v>
      </c>
      <c r="E4601">
        <v>9.1679999999999993</v>
      </c>
    </row>
    <row r="4602" spans="1:5">
      <c r="A4602" t="s">
        <v>37107</v>
      </c>
      <c r="B4602" t="s">
        <v>11211</v>
      </c>
      <c r="C4602">
        <f>0.563408460852</f>
        <v>0.56340846085200003</v>
      </c>
      <c r="D4602">
        <v>0.92161480437400001</v>
      </c>
      <c r="E4602">
        <v>9.1679999999999993</v>
      </c>
    </row>
    <row r="4603" spans="1:5">
      <c r="A4603" t="s">
        <v>37108</v>
      </c>
      <c r="B4603" t="s">
        <v>31226</v>
      </c>
      <c r="C4603">
        <f>0</f>
        <v>0</v>
      </c>
      <c r="D4603" t="s">
        <v>106</v>
      </c>
      <c r="E4603">
        <v>0.114</v>
      </c>
    </row>
    <row r="4604" spans="1:5">
      <c r="A4604" t="s">
        <v>37108</v>
      </c>
      <c r="B4604" t="s">
        <v>31228</v>
      </c>
      <c r="C4604">
        <f>0</f>
        <v>0</v>
      </c>
      <c r="D4604" t="s">
        <v>106</v>
      </c>
      <c r="E4604">
        <v>0.114</v>
      </c>
    </row>
    <row r="4605" spans="1:5">
      <c r="A4605" t="s">
        <v>37108</v>
      </c>
      <c r="B4605" t="s">
        <v>31225</v>
      </c>
      <c r="C4605">
        <v>0</v>
      </c>
      <c r="D4605" t="s">
        <v>106</v>
      </c>
      <c r="E4605">
        <v>0.114</v>
      </c>
    </row>
    <row r="4606" spans="1:5">
      <c r="A4606" t="s">
        <v>37108</v>
      </c>
      <c r="B4606" t="s">
        <v>31230</v>
      </c>
      <c r="C4606">
        <v>0</v>
      </c>
      <c r="D4606" t="s">
        <v>106</v>
      </c>
      <c r="E4606">
        <v>0.114</v>
      </c>
    </row>
    <row r="4607" spans="1:5">
      <c r="A4607" t="s">
        <v>37108</v>
      </c>
      <c r="B4607" t="s">
        <v>31229</v>
      </c>
      <c r="C4607">
        <v>0</v>
      </c>
      <c r="D4607" t="s">
        <v>106</v>
      </c>
      <c r="E4607">
        <v>0.114</v>
      </c>
    </row>
    <row r="4608" spans="1:5">
      <c r="A4608" t="s">
        <v>37108</v>
      </c>
      <c r="B4608" t="s">
        <v>31227</v>
      </c>
      <c r="C4608">
        <f>0</f>
        <v>0</v>
      </c>
      <c r="D4608" t="s">
        <v>106</v>
      </c>
      <c r="E4608">
        <v>0.114</v>
      </c>
    </row>
    <row r="4609" spans="1:5">
      <c r="A4609" t="s">
        <v>37109</v>
      </c>
      <c r="B4609" t="s">
        <v>37110</v>
      </c>
      <c r="C4609">
        <v>0</v>
      </c>
      <c r="D4609" t="s">
        <v>106</v>
      </c>
      <c r="E4609">
        <v>24</v>
      </c>
    </row>
    <row r="4610" spans="1:5">
      <c r="A4610" t="s">
        <v>37109</v>
      </c>
      <c r="B4610" t="s">
        <v>37111</v>
      </c>
      <c r="C4610">
        <v>0</v>
      </c>
      <c r="D4610" t="s">
        <v>106</v>
      </c>
      <c r="E4610">
        <v>24</v>
      </c>
    </row>
    <row r="4611" spans="1:5">
      <c r="A4611" t="s">
        <v>37109</v>
      </c>
      <c r="B4611" t="s">
        <v>37112</v>
      </c>
      <c r="C4611">
        <f>0</f>
        <v>0</v>
      </c>
      <c r="D4611" t="s">
        <v>106</v>
      </c>
      <c r="E4611">
        <v>24</v>
      </c>
    </row>
    <row r="4612" spans="1:5">
      <c r="A4612" t="s">
        <v>37113</v>
      </c>
      <c r="B4612" t="s">
        <v>134</v>
      </c>
      <c r="C4612">
        <v>0</v>
      </c>
      <c r="D4612">
        <v>0.99951123899600003</v>
      </c>
      <c r="E4612">
        <v>1.7999999999999999E-2</v>
      </c>
    </row>
    <row r="4613" spans="1:5">
      <c r="A4613" t="s">
        <v>37113</v>
      </c>
      <c r="B4613" t="s">
        <v>136</v>
      </c>
      <c r="C4613">
        <f>0.487169094996</f>
        <v>0.48716909499599997</v>
      </c>
      <c r="D4613">
        <v>0.99951123899600003</v>
      </c>
      <c r="E4613">
        <v>1.7999999999999999E-2</v>
      </c>
    </row>
    <row r="4614" spans="1:5">
      <c r="A4614" t="s">
        <v>37113</v>
      </c>
      <c r="B4614" t="s">
        <v>144</v>
      </c>
      <c r="C4614">
        <v>0.15319210243</v>
      </c>
      <c r="D4614">
        <v>0.99951123899600003</v>
      </c>
      <c r="E4614">
        <v>1.7999999999999999E-2</v>
      </c>
    </row>
    <row r="4615" spans="1:5">
      <c r="A4615" t="s">
        <v>37113</v>
      </c>
      <c r="B4615" t="s">
        <v>135</v>
      </c>
      <c r="C4615">
        <v>0</v>
      </c>
      <c r="D4615">
        <v>0.99951123899600003</v>
      </c>
      <c r="E4615">
        <v>1.7999999999999999E-2</v>
      </c>
    </row>
    <row r="4616" spans="1:5">
      <c r="A4616" t="s">
        <v>37113</v>
      </c>
      <c r="B4616" t="s">
        <v>139</v>
      </c>
      <c r="C4616">
        <f>0</f>
        <v>0</v>
      </c>
      <c r="D4616">
        <v>0.99951123899600003</v>
      </c>
      <c r="E4616">
        <v>1.7999999999999999E-2</v>
      </c>
    </row>
    <row r="4617" spans="1:5">
      <c r="A4617" t="s">
        <v>37113</v>
      </c>
      <c r="B4617" t="s">
        <v>137</v>
      </c>
      <c r="C4617">
        <v>0</v>
      </c>
      <c r="D4617">
        <v>0.99951123899600003</v>
      </c>
      <c r="E4617">
        <v>1.7999999999999999E-2</v>
      </c>
    </row>
    <row r="4618" spans="1:5">
      <c r="A4618" t="s">
        <v>37113</v>
      </c>
      <c r="B4618" t="s">
        <v>145</v>
      </c>
      <c r="C4618">
        <v>0</v>
      </c>
      <c r="D4618">
        <v>0.99951123899600003</v>
      </c>
      <c r="E4618">
        <v>1.7999999999999999E-2</v>
      </c>
    </row>
    <row r="4619" spans="1:5">
      <c r="A4619" t="s">
        <v>37113</v>
      </c>
      <c r="B4619" t="s">
        <v>138</v>
      </c>
      <c r="C4619">
        <v>6.1290435711900002E-2</v>
      </c>
      <c r="D4619">
        <v>0.99951123899600003</v>
      </c>
      <c r="E4619">
        <v>1.7999999999999999E-2</v>
      </c>
    </row>
    <row r="4620" spans="1:5">
      <c r="A4620" t="s">
        <v>37113</v>
      </c>
      <c r="B4620" t="s">
        <v>141</v>
      </c>
      <c r="C4620">
        <f>0.191209628687</f>
        <v>0.19120962868700001</v>
      </c>
      <c r="D4620">
        <v>0.99951123899600003</v>
      </c>
      <c r="E4620">
        <v>1.7999999999999999E-2</v>
      </c>
    </row>
    <row r="4621" spans="1:5">
      <c r="A4621" t="s">
        <v>37113</v>
      </c>
      <c r="B4621" t="s">
        <v>140</v>
      </c>
      <c r="C4621">
        <v>0.51322652983100003</v>
      </c>
      <c r="D4621">
        <v>0.99951123899600003</v>
      </c>
      <c r="E4621">
        <v>1.7999999999999999E-2</v>
      </c>
    </row>
    <row r="4622" spans="1:5">
      <c r="A4622" t="s">
        <v>37113</v>
      </c>
      <c r="B4622" t="s">
        <v>142</v>
      </c>
      <c r="C4622">
        <v>0.70352959981200003</v>
      </c>
      <c r="D4622">
        <v>0.99951123899600003</v>
      </c>
      <c r="E4622">
        <v>1.7999999999999999E-2</v>
      </c>
    </row>
    <row r="4623" spans="1:5">
      <c r="A4623" t="s">
        <v>37114</v>
      </c>
      <c r="B4623" t="s">
        <v>6688</v>
      </c>
      <c r="C4623">
        <v>0.59245703173700004</v>
      </c>
      <c r="D4623">
        <v>0.99994822569899999</v>
      </c>
      <c r="E4623">
        <v>2.3279999999999998</v>
      </c>
    </row>
    <row r="4624" spans="1:5">
      <c r="A4624" t="s">
        <v>37114</v>
      </c>
      <c r="B4624" t="s">
        <v>6685</v>
      </c>
      <c r="C4624">
        <f>0.660414979134</f>
        <v>0.66041497913400005</v>
      </c>
      <c r="D4624">
        <v>0.99994822569899999</v>
      </c>
      <c r="E4624">
        <v>2.3279999999999998</v>
      </c>
    </row>
    <row r="4625" spans="1:5">
      <c r="A4625" t="s">
        <v>37114</v>
      </c>
      <c r="B4625" t="s">
        <v>37115</v>
      </c>
      <c r="C4625">
        <f>0.371645682027</f>
        <v>0.37164568202699999</v>
      </c>
      <c r="D4625">
        <v>0.99994822569899999</v>
      </c>
      <c r="E4625">
        <v>2.3279999999999998</v>
      </c>
    </row>
    <row r="4626" spans="1:5">
      <c r="A4626" t="s">
        <v>37114</v>
      </c>
      <c r="B4626" t="s">
        <v>6687</v>
      </c>
      <c r="C4626">
        <f>0.083527027266</f>
        <v>8.3527027266000003E-2</v>
      </c>
      <c r="D4626">
        <v>0.99994822569899999</v>
      </c>
      <c r="E4626">
        <v>2.3279999999999998</v>
      </c>
    </row>
    <row r="4627" spans="1:5">
      <c r="A4627" t="s">
        <v>37114</v>
      </c>
      <c r="B4627" t="s">
        <v>6690</v>
      </c>
      <c r="C4627">
        <v>6.8712231373599997E-2</v>
      </c>
      <c r="D4627">
        <v>0.99994822569899999</v>
      </c>
      <c r="E4627">
        <v>2.3279999999999998</v>
      </c>
    </row>
    <row r="4628" spans="1:5">
      <c r="A4628" t="s">
        <v>37114</v>
      </c>
      <c r="B4628" t="s">
        <v>6691</v>
      </c>
      <c r="C4628">
        <v>4.2106761797E-2</v>
      </c>
      <c r="D4628">
        <v>0.99994822569899999</v>
      </c>
      <c r="E4628">
        <v>2.3279999999999998</v>
      </c>
    </row>
    <row r="4629" spans="1:5">
      <c r="A4629" t="s">
        <v>37114</v>
      </c>
      <c r="B4629" t="s">
        <v>6686</v>
      </c>
      <c r="C4629">
        <v>3.5939936597800001E-4</v>
      </c>
      <c r="D4629">
        <v>0.99994822569899999</v>
      </c>
      <c r="E4629">
        <v>2.3279999999999998</v>
      </c>
    </row>
    <row r="4630" spans="1:5">
      <c r="A4630" t="s">
        <v>37116</v>
      </c>
      <c r="B4630" t="s">
        <v>37117</v>
      </c>
      <c r="C4630">
        <v>0.31784762048600002</v>
      </c>
      <c r="D4630">
        <v>0.834088664669</v>
      </c>
      <c r="E4630">
        <v>23.28</v>
      </c>
    </row>
    <row r="4631" spans="1:5">
      <c r="A4631" t="s">
        <v>37116</v>
      </c>
      <c r="B4631" t="s">
        <v>37118</v>
      </c>
      <c r="C4631">
        <v>0.56607647951999995</v>
      </c>
      <c r="D4631">
        <v>0.834088664669</v>
      </c>
      <c r="E4631">
        <v>23.28</v>
      </c>
    </row>
    <row r="4632" spans="1:5">
      <c r="A4632" t="s">
        <v>37119</v>
      </c>
      <c r="B4632" t="s">
        <v>1565</v>
      </c>
      <c r="C4632">
        <f>0.447044148388</f>
        <v>0.447044148388</v>
      </c>
      <c r="D4632">
        <v>0.76698659108599998</v>
      </c>
      <c r="E4632">
        <v>1.17</v>
      </c>
    </row>
    <row r="4633" spans="1:5">
      <c r="A4633" t="s">
        <v>37119</v>
      </c>
      <c r="B4633" t="s">
        <v>1564</v>
      </c>
      <c r="C4633">
        <v>0</v>
      </c>
      <c r="D4633">
        <v>0.76698659108599998</v>
      </c>
      <c r="E4633">
        <v>1.17</v>
      </c>
    </row>
    <row r="4634" spans="1:5">
      <c r="A4634" t="s">
        <v>37119</v>
      </c>
      <c r="B4634" t="s">
        <v>1567</v>
      </c>
      <c r="C4634">
        <f>0</f>
        <v>0</v>
      </c>
      <c r="D4634">
        <v>0.76698659108599998</v>
      </c>
      <c r="E4634">
        <v>1.17</v>
      </c>
    </row>
    <row r="4635" spans="1:5">
      <c r="A4635" t="s">
        <v>37119</v>
      </c>
      <c r="B4635" t="s">
        <v>1566</v>
      </c>
      <c r="C4635">
        <f>0</f>
        <v>0</v>
      </c>
      <c r="D4635">
        <v>0.76698659108599998</v>
      </c>
      <c r="E4635">
        <v>1.17</v>
      </c>
    </row>
    <row r="4636" spans="1:5">
      <c r="A4636" t="s">
        <v>37119</v>
      </c>
      <c r="B4636" t="s">
        <v>1563</v>
      </c>
      <c r="C4636">
        <v>0.21219547335200001</v>
      </c>
      <c r="D4636">
        <v>0.76698659108599998</v>
      </c>
      <c r="E4636">
        <v>1.17</v>
      </c>
    </row>
    <row r="4637" spans="1:5">
      <c r="A4637" t="s">
        <v>37120</v>
      </c>
      <c r="B4637" t="s">
        <v>37121</v>
      </c>
      <c r="C4637">
        <v>0.49713177822499999</v>
      </c>
      <c r="D4637">
        <v>0.814393653035</v>
      </c>
      <c r="E4637">
        <v>10.878</v>
      </c>
    </row>
    <row r="4638" spans="1:5">
      <c r="A4638" t="s">
        <v>37120</v>
      </c>
      <c r="B4638" t="s">
        <v>37122</v>
      </c>
      <c r="C4638">
        <f>0.31299695718</f>
        <v>0.31299695717999998</v>
      </c>
      <c r="D4638">
        <v>0.814393653035</v>
      </c>
      <c r="E4638">
        <v>10.878</v>
      </c>
    </row>
    <row r="4639" spans="1:5">
      <c r="A4639" t="s">
        <v>37120</v>
      </c>
      <c r="B4639" t="s">
        <v>37123</v>
      </c>
      <c r="C4639">
        <v>0.27198147034699999</v>
      </c>
      <c r="D4639">
        <v>0.814393653035</v>
      </c>
      <c r="E4639">
        <v>10.878</v>
      </c>
    </row>
    <row r="4640" spans="1:5">
      <c r="A4640" t="s">
        <v>37124</v>
      </c>
      <c r="B4640" t="s">
        <v>20377</v>
      </c>
      <c r="C4640">
        <v>0.50619492814400002</v>
      </c>
      <c r="D4640">
        <v>0.77660492814399995</v>
      </c>
      <c r="E4640">
        <v>0</v>
      </c>
    </row>
    <row r="4641" spans="1:5">
      <c r="A4641" t="s">
        <v>37124</v>
      </c>
      <c r="B4641" t="s">
        <v>20378</v>
      </c>
      <c r="C4641">
        <v>0</v>
      </c>
      <c r="D4641">
        <v>0.77660492814399995</v>
      </c>
      <c r="E4641">
        <v>0</v>
      </c>
    </row>
    <row r="4642" spans="1:5">
      <c r="A4642" t="s">
        <v>37125</v>
      </c>
      <c r="B4642" t="s">
        <v>37126</v>
      </c>
      <c r="C4642">
        <v>0.16173060520900001</v>
      </c>
      <c r="D4642">
        <v>0.83233545143800003</v>
      </c>
      <c r="E4642">
        <v>0.114</v>
      </c>
    </row>
    <row r="4643" spans="1:5">
      <c r="A4643" t="s">
        <v>37125</v>
      </c>
      <c r="B4643" t="s">
        <v>37127</v>
      </c>
      <c r="C4643">
        <v>0.25169076242499999</v>
      </c>
      <c r="D4643">
        <v>0.83233545143800003</v>
      </c>
      <c r="E4643">
        <v>0.114</v>
      </c>
    </row>
    <row r="4644" spans="1:5">
      <c r="A4644" t="s">
        <v>37125</v>
      </c>
      <c r="B4644" t="s">
        <v>37128</v>
      </c>
      <c r="C4644">
        <v>0.463354004062</v>
      </c>
      <c r="D4644">
        <v>0.83233545143800003</v>
      </c>
      <c r="E4644">
        <v>0.114</v>
      </c>
    </row>
    <row r="4645" spans="1:5">
      <c r="A4645" t="s">
        <v>37129</v>
      </c>
      <c r="B4645" t="s">
        <v>37130</v>
      </c>
      <c r="C4645">
        <v>0</v>
      </c>
      <c r="D4645" t="s">
        <v>106</v>
      </c>
      <c r="E4645">
        <v>24</v>
      </c>
    </row>
    <row r="4646" spans="1:5">
      <c r="A4646" t="s">
        <v>37129</v>
      </c>
      <c r="B4646" t="s">
        <v>37131</v>
      </c>
      <c r="C4646">
        <v>0</v>
      </c>
      <c r="D4646" t="s">
        <v>106</v>
      </c>
      <c r="E4646">
        <v>24</v>
      </c>
    </row>
    <row r="4647" spans="1:5">
      <c r="A4647" t="s">
        <v>37129</v>
      </c>
      <c r="B4647" t="s">
        <v>37132</v>
      </c>
      <c r="C4647">
        <v>0</v>
      </c>
      <c r="D4647" t="s">
        <v>106</v>
      </c>
      <c r="E4647">
        <v>24</v>
      </c>
    </row>
    <row r="4648" spans="1:5">
      <c r="A4648" t="s">
        <v>37129</v>
      </c>
      <c r="B4648" t="s">
        <v>37133</v>
      </c>
      <c r="C4648">
        <v>0</v>
      </c>
      <c r="D4648" t="s">
        <v>106</v>
      </c>
      <c r="E4648">
        <v>24</v>
      </c>
    </row>
    <row r="4649" spans="1:5">
      <c r="A4649" t="s">
        <v>37129</v>
      </c>
      <c r="B4649" t="s">
        <v>37134</v>
      </c>
      <c r="C4649">
        <v>0</v>
      </c>
      <c r="D4649" t="s">
        <v>106</v>
      </c>
      <c r="E4649">
        <v>24</v>
      </c>
    </row>
    <row r="4650" spans="1:5">
      <c r="A4650" t="s">
        <v>37129</v>
      </c>
      <c r="B4650" t="s">
        <v>37135</v>
      </c>
      <c r="C4650">
        <f>0</f>
        <v>0</v>
      </c>
      <c r="D4650" t="s">
        <v>106</v>
      </c>
      <c r="E4650">
        <v>24</v>
      </c>
    </row>
    <row r="4651" spans="1:5">
      <c r="A4651" t="s">
        <v>37136</v>
      </c>
      <c r="B4651" t="s">
        <v>37137</v>
      </c>
      <c r="C4651">
        <v>0.34894857008399999</v>
      </c>
      <c r="D4651">
        <v>0.96287948256699996</v>
      </c>
      <c r="E4651">
        <v>9.468</v>
      </c>
    </row>
    <row r="4652" spans="1:5">
      <c r="A4652" t="s">
        <v>37136</v>
      </c>
      <c r="B4652" t="s">
        <v>37138</v>
      </c>
      <c r="C4652">
        <f>0.818585524169</f>
        <v>0.81858552416899999</v>
      </c>
      <c r="D4652">
        <v>0.96287948256699996</v>
      </c>
      <c r="E4652">
        <v>9.468</v>
      </c>
    </row>
    <row r="4653" spans="1:5">
      <c r="A4653" t="s">
        <v>37139</v>
      </c>
      <c r="B4653" t="s">
        <v>3008</v>
      </c>
      <c r="C4653">
        <f>0.642011450899</f>
        <v>0.64201145089900002</v>
      </c>
      <c r="D4653">
        <v>0.75281513353499996</v>
      </c>
      <c r="E4653">
        <v>22.571999999999999</v>
      </c>
    </row>
    <row r="4654" spans="1:5">
      <c r="A4654" t="s">
        <v>37139</v>
      </c>
      <c r="B4654" t="s">
        <v>3009</v>
      </c>
      <c r="C4654">
        <v>0.19648066513699999</v>
      </c>
      <c r="D4654">
        <v>0.75281513353499996</v>
      </c>
      <c r="E4654">
        <v>22.571999999999999</v>
      </c>
    </row>
    <row r="4655" spans="1:5">
      <c r="A4655" t="s">
        <v>37140</v>
      </c>
      <c r="B4655" t="s">
        <v>37141</v>
      </c>
      <c r="C4655">
        <f>0.963904546942</f>
        <v>0.96390454694200001</v>
      </c>
      <c r="D4655">
        <v>0.861058858639</v>
      </c>
      <c r="E4655">
        <v>24</v>
      </c>
    </row>
    <row r="4656" spans="1:5">
      <c r="A4656" t="s">
        <v>37140</v>
      </c>
      <c r="B4656" t="s">
        <v>37142</v>
      </c>
      <c r="C4656">
        <f>0.499113025307</f>
        <v>0.49911302530700002</v>
      </c>
      <c r="D4656">
        <v>0.861058858639</v>
      </c>
      <c r="E4656">
        <v>24</v>
      </c>
    </row>
    <row r="4657" spans="1:5">
      <c r="A4657" t="s">
        <v>37140</v>
      </c>
      <c r="B4657" t="s">
        <v>37143</v>
      </c>
      <c r="C4657">
        <f>0.222619334722</f>
        <v>0.22261933472199999</v>
      </c>
      <c r="D4657">
        <v>0.861058858639</v>
      </c>
      <c r="E4657">
        <v>24</v>
      </c>
    </row>
    <row r="4658" spans="1:5">
      <c r="A4658" t="s">
        <v>37144</v>
      </c>
      <c r="B4658" t="s">
        <v>37145</v>
      </c>
      <c r="C4658">
        <v>0</v>
      </c>
      <c r="D4658" t="s">
        <v>106</v>
      </c>
      <c r="E4658">
        <v>1.5720000000000001</v>
      </c>
    </row>
    <row r="4659" spans="1:5">
      <c r="A4659" t="s">
        <v>37144</v>
      </c>
      <c r="B4659" t="s">
        <v>37146</v>
      </c>
      <c r="C4659">
        <v>0</v>
      </c>
      <c r="D4659" t="s">
        <v>106</v>
      </c>
      <c r="E4659">
        <v>1.5720000000000001</v>
      </c>
    </row>
    <row r="4660" spans="1:5">
      <c r="A4660" t="s">
        <v>37147</v>
      </c>
      <c r="B4660" t="s">
        <v>37148</v>
      </c>
      <c r="C4660">
        <f>0.102640319874</f>
        <v>0.10264031987400001</v>
      </c>
      <c r="D4660">
        <v>0.58335964162300002</v>
      </c>
      <c r="E4660">
        <v>19.853999999999999</v>
      </c>
    </row>
    <row r="4661" spans="1:5">
      <c r="A4661" t="s">
        <v>37147</v>
      </c>
      <c r="B4661" t="s">
        <v>37149</v>
      </c>
      <c r="C4661">
        <f>0.263806905581</f>
        <v>0.26380690558100001</v>
      </c>
      <c r="D4661">
        <v>0.58335964162300002</v>
      </c>
      <c r="E4661">
        <v>19.853999999999999</v>
      </c>
    </row>
    <row r="4662" spans="1:5">
      <c r="A4662" t="s">
        <v>37150</v>
      </c>
      <c r="B4662" t="s">
        <v>37151</v>
      </c>
      <c r="C4662">
        <v>0.11217661000199999</v>
      </c>
      <c r="D4662">
        <v>0.99877138167799995</v>
      </c>
      <c r="E4662">
        <v>4.6920000000000002</v>
      </c>
    </row>
    <row r="4663" spans="1:5">
      <c r="A4663" t="s">
        <v>37150</v>
      </c>
      <c r="B4663" t="s">
        <v>37152</v>
      </c>
      <c r="C4663">
        <f>0.0540356284</f>
        <v>5.4035628400000001E-2</v>
      </c>
      <c r="D4663">
        <v>0.99877138167799995</v>
      </c>
      <c r="E4663">
        <v>4.6920000000000002</v>
      </c>
    </row>
    <row r="4664" spans="1:5">
      <c r="A4664" t="s">
        <v>37150</v>
      </c>
      <c r="B4664" t="s">
        <v>37153</v>
      </c>
      <c r="C4664">
        <f>0.906270147214</f>
        <v>0.90627014721400001</v>
      </c>
      <c r="D4664">
        <v>0.99877138167799995</v>
      </c>
      <c r="E4664">
        <v>4.6920000000000002</v>
      </c>
    </row>
    <row r="4665" spans="1:5">
      <c r="A4665" t="s">
        <v>37150</v>
      </c>
      <c r="B4665" t="s">
        <v>37154</v>
      </c>
      <c r="C4665">
        <v>9.1261946094900001E-2</v>
      </c>
      <c r="D4665">
        <v>0.99877138167799995</v>
      </c>
      <c r="E4665">
        <v>4.6920000000000002</v>
      </c>
    </row>
    <row r="4666" spans="1:5">
      <c r="A4666" t="s">
        <v>37150</v>
      </c>
      <c r="B4666" t="s">
        <v>37155</v>
      </c>
      <c r="C4666">
        <v>0.96203312274499997</v>
      </c>
      <c r="D4666">
        <v>0.99877138167799995</v>
      </c>
      <c r="E4666">
        <v>4.6920000000000002</v>
      </c>
    </row>
    <row r="4667" spans="1:5">
      <c r="A4667" t="s">
        <v>37150</v>
      </c>
      <c r="B4667" t="s">
        <v>37156</v>
      </c>
      <c r="C4667">
        <v>0.61976497208100001</v>
      </c>
      <c r="D4667">
        <v>0.99877138167799995</v>
      </c>
      <c r="E4667">
        <v>4.6920000000000002</v>
      </c>
    </row>
    <row r="4668" spans="1:5">
      <c r="A4668" t="s">
        <v>37150</v>
      </c>
      <c r="B4668" t="s">
        <v>37157</v>
      </c>
      <c r="C4668">
        <v>0.14938002306699999</v>
      </c>
      <c r="D4668">
        <v>0.99877138167799995</v>
      </c>
      <c r="E4668">
        <v>4.6920000000000002</v>
      </c>
    </row>
    <row r="4669" spans="1:5">
      <c r="A4669" t="s">
        <v>37158</v>
      </c>
      <c r="B4669" t="s">
        <v>5584</v>
      </c>
      <c r="C4669">
        <v>0.61171485750700005</v>
      </c>
      <c r="D4669">
        <v>0.75178863274600005</v>
      </c>
      <c r="E4669">
        <v>0.65400000000000003</v>
      </c>
    </row>
    <row r="4670" spans="1:5">
      <c r="A4670" t="s">
        <v>37158</v>
      </c>
      <c r="B4670" t="s">
        <v>5585</v>
      </c>
      <c r="C4670">
        <f>0.562227937957</f>
        <v>0.56222793795699999</v>
      </c>
      <c r="D4670">
        <v>0.75178863274600005</v>
      </c>
      <c r="E4670">
        <v>0.65400000000000003</v>
      </c>
    </row>
    <row r="4671" spans="1:5">
      <c r="A4671" t="s">
        <v>37158</v>
      </c>
      <c r="B4671" t="s">
        <v>5586</v>
      </c>
      <c r="C4671">
        <f>0.139609927921</f>
        <v>0.13960992792099999</v>
      </c>
      <c r="D4671">
        <v>0.75178863274600005</v>
      </c>
      <c r="E4671">
        <v>0.65400000000000003</v>
      </c>
    </row>
    <row r="4672" spans="1:5">
      <c r="A4672" t="s">
        <v>37159</v>
      </c>
      <c r="B4672" t="s">
        <v>37160</v>
      </c>
      <c r="C4672">
        <f>0.617905722458</f>
        <v>0.61790572245800002</v>
      </c>
      <c r="D4672">
        <v>0.85740946402499996</v>
      </c>
      <c r="E4672">
        <v>5.3520000000000003</v>
      </c>
    </row>
    <row r="4673" spans="1:5">
      <c r="A4673" t="s">
        <v>37159</v>
      </c>
      <c r="B4673" t="s">
        <v>37161</v>
      </c>
      <c r="C4673">
        <f>0.0224684500784</f>
        <v>2.2468450078399999E-2</v>
      </c>
      <c r="D4673">
        <v>0.85740946402499996</v>
      </c>
      <c r="E4673">
        <v>5.3520000000000003</v>
      </c>
    </row>
    <row r="4674" spans="1:5">
      <c r="A4674" t="s">
        <v>37159</v>
      </c>
      <c r="B4674" t="s">
        <v>37162</v>
      </c>
      <c r="C4674">
        <v>0</v>
      </c>
      <c r="D4674">
        <v>0.85740946402499996</v>
      </c>
      <c r="E4674">
        <v>5.3520000000000003</v>
      </c>
    </row>
    <row r="4675" spans="1:5">
      <c r="A4675" t="s">
        <v>37159</v>
      </c>
      <c r="B4675" t="s">
        <v>37163</v>
      </c>
      <c r="C4675">
        <f>0</f>
        <v>0</v>
      </c>
      <c r="D4675">
        <v>0.85740946402499996</v>
      </c>
      <c r="E4675">
        <v>5.3520000000000003</v>
      </c>
    </row>
    <row r="4676" spans="1:5">
      <c r="A4676" t="s">
        <v>37159</v>
      </c>
      <c r="B4676" t="s">
        <v>37164</v>
      </c>
      <c r="C4676">
        <f>0</f>
        <v>0</v>
      </c>
      <c r="D4676">
        <v>0.85740946402499996</v>
      </c>
      <c r="E4676">
        <v>5.3520000000000003</v>
      </c>
    </row>
    <row r="4677" spans="1:5">
      <c r="A4677" t="s">
        <v>37165</v>
      </c>
      <c r="B4677" t="s">
        <v>1736</v>
      </c>
      <c r="C4677">
        <v>0.49183166936900002</v>
      </c>
      <c r="D4677">
        <v>0.95422130033200003</v>
      </c>
      <c r="E4677">
        <v>1.512</v>
      </c>
    </row>
    <row r="4678" spans="1:5">
      <c r="A4678" t="s">
        <v>37165</v>
      </c>
      <c r="B4678" t="s">
        <v>1737</v>
      </c>
      <c r="C4678">
        <v>0.53777960822600002</v>
      </c>
      <c r="D4678">
        <v>0.95422130033200003</v>
      </c>
      <c r="E4678">
        <v>1.512</v>
      </c>
    </row>
    <row r="4679" spans="1:5">
      <c r="A4679" t="s">
        <v>37166</v>
      </c>
      <c r="B4679" t="s">
        <v>2380</v>
      </c>
      <c r="C4679">
        <v>0</v>
      </c>
      <c r="D4679" t="s">
        <v>106</v>
      </c>
      <c r="E4679">
        <v>0</v>
      </c>
    </row>
    <row r="4680" spans="1:5">
      <c r="A4680" t="s">
        <v>37166</v>
      </c>
      <c r="B4680" t="s">
        <v>2381</v>
      </c>
      <c r="C4680">
        <f>0</f>
        <v>0</v>
      </c>
      <c r="D4680" t="s">
        <v>106</v>
      </c>
      <c r="E4680">
        <v>0</v>
      </c>
    </row>
    <row r="4681" spans="1:5">
      <c r="A4681" t="s">
        <v>37167</v>
      </c>
      <c r="B4681" t="s">
        <v>9170</v>
      </c>
      <c r="C4681">
        <f>0.607292916821</f>
        <v>0.60729291682099995</v>
      </c>
      <c r="D4681">
        <v>0.99952875026099997</v>
      </c>
      <c r="E4681">
        <v>2.556</v>
      </c>
    </row>
    <row r="4682" spans="1:5">
      <c r="A4682" t="s">
        <v>37167</v>
      </c>
      <c r="B4682" t="s">
        <v>9176</v>
      </c>
      <c r="C4682">
        <v>0.12036554905000001</v>
      </c>
      <c r="D4682">
        <v>0.99952875026099997</v>
      </c>
      <c r="E4682">
        <v>2.556</v>
      </c>
    </row>
    <row r="4683" spans="1:5">
      <c r="A4683" t="s">
        <v>37167</v>
      </c>
      <c r="B4683" t="s">
        <v>9177</v>
      </c>
      <c r="C4683">
        <f>0.759758498952</f>
        <v>0.75975849895199998</v>
      </c>
      <c r="D4683">
        <v>0.99952875026099997</v>
      </c>
      <c r="E4683">
        <v>2.556</v>
      </c>
    </row>
    <row r="4684" spans="1:5">
      <c r="A4684" t="s">
        <v>37167</v>
      </c>
      <c r="B4684" t="s">
        <v>9169</v>
      </c>
      <c r="C4684">
        <v>0.14110511302199999</v>
      </c>
      <c r="D4684">
        <v>0.99952875026099997</v>
      </c>
      <c r="E4684">
        <v>2.556</v>
      </c>
    </row>
    <row r="4685" spans="1:5">
      <c r="A4685" t="s">
        <v>37167</v>
      </c>
      <c r="B4685" t="s">
        <v>9172</v>
      </c>
      <c r="C4685">
        <f>0.0111832348644</f>
        <v>1.11832348644E-2</v>
      </c>
      <c r="D4685">
        <v>0.99952875026099997</v>
      </c>
      <c r="E4685">
        <v>2.556</v>
      </c>
    </row>
    <row r="4686" spans="1:5">
      <c r="A4686" t="s">
        <v>37167</v>
      </c>
      <c r="B4686" t="s">
        <v>9173</v>
      </c>
      <c r="C4686">
        <v>0.116298251596</v>
      </c>
      <c r="D4686">
        <v>0.99952875026099997</v>
      </c>
      <c r="E4686">
        <v>2.556</v>
      </c>
    </row>
    <row r="4687" spans="1:5">
      <c r="A4687" t="s">
        <v>37167</v>
      </c>
      <c r="B4687" t="s">
        <v>9174</v>
      </c>
      <c r="C4687">
        <f>0.656901617976</f>
        <v>0.656901617976</v>
      </c>
      <c r="D4687">
        <v>0.99952875026099997</v>
      </c>
      <c r="E4687">
        <v>2.556</v>
      </c>
    </row>
    <row r="4688" spans="1:5">
      <c r="A4688" t="s">
        <v>37167</v>
      </c>
      <c r="B4688" t="s">
        <v>9175</v>
      </c>
      <c r="C4688">
        <v>0</v>
      </c>
      <c r="D4688">
        <v>0.99952875026099997</v>
      </c>
      <c r="E4688">
        <v>2.556</v>
      </c>
    </row>
    <row r="4689" spans="1:5">
      <c r="A4689" t="s">
        <v>37167</v>
      </c>
      <c r="B4689" t="s">
        <v>9178</v>
      </c>
      <c r="C4689">
        <v>0.75682764412699999</v>
      </c>
      <c r="D4689">
        <v>0.99952875026099997</v>
      </c>
      <c r="E4689">
        <v>2.556</v>
      </c>
    </row>
    <row r="4690" spans="1:5">
      <c r="A4690" t="s">
        <v>37168</v>
      </c>
      <c r="B4690" t="s">
        <v>16770</v>
      </c>
      <c r="C4690">
        <f>0</f>
        <v>0</v>
      </c>
      <c r="D4690">
        <v>0.65031622559799995</v>
      </c>
      <c r="E4690">
        <v>1.3919999999999999</v>
      </c>
    </row>
    <row r="4691" spans="1:5">
      <c r="A4691" t="s">
        <v>37168</v>
      </c>
      <c r="B4691" t="s">
        <v>16768</v>
      </c>
      <c r="C4691">
        <v>0</v>
      </c>
      <c r="D4691">
        <v>0.65031622559799995</v>
      </c>
      <c r="E4691">
        <v>1.3919999999999999</v>
      </c>
    </row>
    <row r="4692" spans="1:5">
      <c r="A4692" t="s">
        <v>37168</v>
      </c>
      <c r="B4692" t="s">
        <v>16775</v>
      </c>
      <c r="C4692">
        <f>0.0731662958163</f>
        <v>7.3166295816300006E-2</v>
      </c>
      <c r="D4692">
        <v>0.65031622559799995</v>
      </c>
      <c r="E4692">
        <v>1.3919999999999999</v>
      </c>
    </row>
    <row r="4693" spans="1:5">
      <c r="A4693" t="s">
        <v>37168</v>
      </c>
      <c r="B4693" t="s">
        <v>16773</v>
      </c>
      <c r="C4693">
        <f>0</f>
        <v>0</v>
      </c>
      <c r="D4693">
        <v>0.65031622559799995</v>
      </c>
      <c r="E4693">
        <v>1.3919999999999999</v>
      </c>
    </row>
    <row r="4694" spans="1:5">
      <c r="A4694" t="s">
        <v>37168</v>
      </c>
      <c r="B4694" t="s">
        <v>16776</v>
      </c>
      <c r="C4694">
        <f>0.376023849512</f>
        <v>0.37602384951200002</v>
      </c>
      <c r="D4694">
        <v>0.65031622559799995</v>
      </c>
      <c r="E4694">
        <v>1.3919999999999999</v>
      </c>
    </row>
    <row r="4695" spans="1:5">
      <c r="A4695" t="s">
        <v>37169</v>
      </c>
      <c r="B4695" t="s">
        <v>37170</v>
      </c>
      <c r="C4695">
        <v>0</v>
      </c>
      <c r="D4695">
        <v>0.87044172512499995</v>
      </c>
      <c r="E4695">
        <v>10.242000000000001</v>
      </c>
    </row>
    <row r="4696" spans="1:5">
      <c r="A4696" t="s">
        <v>37169</v>
      </c>
      <c r="B4696" t="s">
        <v>37171</v>
      </c>
      <c r="C4696">
        <v>0.41862287012100002</v>
      </c>
      <c r="D4696">
        <v>0.87044172512499995</v>
      </c>
      <c r="E4696">
        <v>10.242000000000001</v>
      </c>
    </row>
    <row r="4697" spans="1:5">
      <c r="A4697" t="s">
        <v>37169</v>
      </c>
      <c r="B4697" t="s">
        <v>37172</v>
      </c>
      <c r="C4697">
        <v>0</v>
      </c>
      <c r="D4697">
        <v>0.87044172512499995</v>
      </c>
      <c r="E4697">
        <v>10.242000000000001</v>
      </c>
    </row>
    <row r="4698" spans="1:5">
      <c r="A4698" t="s">
        <v>37169</v>
      </c>
      <c r="B4698" t="s">
        <v>37173</v>
      </c>
      <c r="C4698">
        <v>0.49666399139599998</v>
      </c>
      <c r="D4698">
        <v>0.87044172512499995</v>
      </c>
      <c r="E4698">
        <v>10.242000000000001</v>
      </c>
    </row>
    <row r="4699" spans="1:5">
      <c r="A4699" t="s">
        <v>37169</v>
      </c>
      <c r="B4699" t="s">
        <v>37174</v>
      </c>
      <c r="C4699">
        <v>0</v>
      </c>
      <c r="D4699">
        <v>0.87044172512499995</v>
      </c>
      <c r="E4699">
        <v>10.242000000000001</v>
      </c>
    </row>
    <row r="4700" spans="1:5">
      <c r="A4700" t="s">
        <v>37169</v>
      </c>
      <c r="B4700" t="s">
        <v>37175</v>
      </c>
      <c r="C4700">
        <v>0.15727776857600001</v>
      </c>
      <c r="D4700">
        <v>0.87044172512499995</v>
      </c>
      <c r="E4700">
        <v>10.242000000000001</v>
      </c>
    </row>
    <row r="4701" spans="1:5">
      <c r="A4701" t="s">
        <v>37176</v>
      </c>
      <c r="B4701" t="s">
        <v>37177</v>
      </c>
      <c r="C4701">
        <v>1.50138456077</v>
      </c>
      <c r="D4701">
        <v>0.93517154201099995</v>
      </c>
      <c r="E4701">
        <v>0.69599999999999995</v>
      </c>
    </row>
    <row r="4702" spans="1:5">
      <c r="A4702" t="s">
        <v>37176</v>
      </c>
      <c r="B4702" t="s">
        <v>37178</v>
      </c>
      <c r="C4702">
        <f>0.854975164154</f>
        <v>0.85497516415399999</v>
      </c>
      <c r="D4702">
        <v>0.93517154201099995</v>
      </c>
      <c r="E4702">
        <v>0.69599999999999995</v>
      </c>
    </row>
    <row r="4703" spans="1:5">
      <c r="A4703" t="s">
        <v>37176</v>
      </c>
      <c r="B4703" t="s">
        <v>37179</v>
      </c>
      <c r="C4703">
        <v>0.118916328864</v>
      </c>
      <c r="D4703">
        <v>0.93517154201099995</v>
      </c>
      <c r="E4703">
        <v>0.69599999999999995</v>
      </c>
    </row>
    <row r="4704" spans="1:5">
      <c r="A4704" t="s">
        <v>37180</v>
      </c>
      <c r="B4704" t="s">
        <v>37181</v>
      </c>
      <c r="C4704">
        <v>0.191427541566</v>
      </c>
      <c r="D4704">
        <v>0.98127096663500002</v>
      </c>
      <c r="E4704">
        <v>19.632000000000001</v>
      </c>
    </row>
    <row r="4705" spans="1:5">
      <c r="A4705" t="s">
        <v>37180</v>
      </c>
      <c r="B4705" t="s">
        <v>37182</v>
      </c>
      <c r="C4705">
        <v>0</v>
      </c>
      <c r="D4705">
        <v>0.98127096663500002</v>
      </c>
      <c r="E4705">
        <v>19.632000000000001</v>
      </c>
    </row>
    <row r="4706" spans="1:5">
      <c r="A4706" t="s">
        <v>37180</v>
      </c>
      <c r="B4706" t="s">
        <v>37183</v>
      </c>
      <c r="C4706">
        <v>6.5270250360500007E-2</v>
      </c>
      <c r="D4706">
        <v>0.98127096663500002</v>
      </c>
      <c r="E4706">
        <v>19.632000000000001</v>
      </c>
    </row>
    <row r="4707" spans="1:5">
      <c r="A4707" t="s">
        <v>37180</v>
      </c>
      <c r="B4707" t="s">
        <v>37184</v>
      </c>
      <c r="C4707">
        <v>0</v>
      </c>
      <c r="D4707">
        <v>0.98127096663500002</v>
      </c>
      <c r="E4707">
        <v>19.632000000000001</v>
      </c>
    </row>
    <row r="4708" spans="1:5">
      <c r="A4708" t="s">
        <v>37180</v>
      </c>
      <c r="B4708" t="s">
        <v>37185</v>
      </c>
      <c r="C4708">
        <f>0</f>
        <v>0</v>
      </c>
      <c r="D4708">
        <v>0.98127096663500002</v>
      </c>
      <c r="E4708">
        <v>19.632000000000001</v>
      </c>
    </row>
    <row r="4709" spans="1:5">
      <c r="A4709" t="s">
        <v>37180</v>
      </c>
      <c r="B4709" t="s">
        <v>37186</v>
      </c>
      <c r="C4709">
        <v>0</v>
      </c>
      <c r="D4709">
        <v>0.98127096663500002</v>
      </c>
      <c r="E4709">
        <v>19.632000000000001</v>
      </c>
    </row>
    <row r="4710" spans="1:5">
      <c r="A4710" t="s">
        <v>37180</v>
      </c>
      <c r="B4710" t="s">
        <v>37187</v>
      </c>
      <c r="C4710">
        <v>0.73918294844599997</v>
      </c>
      <c r="D4710">
        <v>0.98127096663500002</v>
      </c>
      <c r="E4710">
        <v>19.632000000000001</v>
      </c>
    </row>
    <row r="4711" spans="1:5">
      <c r="A4711" t="s">
        <v>37180</v>
      </c>
      <c r="B4711" t="s">
        <v>37188</v>
      </c>
      <c r="C4711">
        <f>0</f>
        <v>0</v>
      </c>
      <c r="D4711">
        <v>0.98127096663500002</v>
      </c>
      <c r="E4711">
        <v>19.632000000000001</v>
      </c>
    </row>
    <row r="4712" spans="1:5">
      <c r="A4712" t="s">
        <v>37180</v>
      </c>
      <c r="B4712" t="s">
        <v>37189</v>
      </c>
      <c r="C4712">
        <v>0</v>
      </c>
      <c r="D4712">
        <v>0.98127096663500002</v>
      </c>
      <c r="E4712">
        <v>19.632000000000001</v>
      </c>
    </row>
    <row r="4713" spans="1:5">
      <c r="A4713" t="s">
        <v>37180</v>
      </c>
      <c r="B4713" t="s">
        <v>37190</v>
      </c>
      <c r="C4713">
        <v>0</v>
      </c>
      <c r="D4713">
        <v>0.98127096663500002</v>
      </c>
      <c r="E4713">
        <v>19.632000000000001</v>
      </c>
    </row>
    <row r="4714" spans="1:5">
      <c r="A4714" t="s">
        <v>37180</v>
      </c>
      <c r="B4714" t="s">
        <v>37191</v>
      </c>
      <c r="C4714">
        <v>0.16388480605200001</v>
      </c>
      <c r="D4714">
        <v>0.98127096663500002</v>
      </c>
      <c r="E4714">
        <v>19.632000000000001</v>
      </c>
    </row>
    <row r="4715" spans="1:5">
      <c r="A4715" t="s">
        <v>37192</v>
      </c>
      <c r="B4715" t="s">
        <v>10381</v>
      </c>
      <c r="C4715">
        <f>0</f>
        <v>0</v>
      </c>
      <c r="D4715" t="s">
        <v>106</v>
      </c>
      <c r="E4715">
        <v>4.4820000000000002</v>
      </c>
    </row>
    <row r="4716" spans="1:5">
      <c r="A4716" t="s">
        <v>37192</v>
      </c>
      <c r="B4716" t="s">
        <v>10386</v>
      </c>
      <c r="C4716">
        <v>0</v>
      </c>
      <c r="D4716" t="s">
        <v>106</v>
      </c>
      <c r="E4716">
        <v>4.4820000000000002</v>
      </c>
    </row>
    <row r="4717" spans="1:5">
      <c r="A4717" t="s">
        <v>37192</v>
      </c>
      <c r="B4717" t="s">
        <v>10388</v>
      </c>
      <c r="C4717">
        <f>0</f>
        <v>0</v>
      </c>
      <c r="D4717" t="s">
        <v>106</v>
      </c>
      <c r="E4717">
        <v>4.4820000000000002</v>
      </c>
    </row>
    <row r="4718" spans="1:5">
      <c r="A4718" t="s">
        <v>37192</v>
      </c>
      <c r="B4718" t="s">
        <v>10383</v>
      </c>
      <c r="C4718">
        <f>0</f>
        <v>0</v>
      </c>
      <c r="D4718" t="s">
        <v>106</v>
      </c>
      <c r="E4718">
        <v>4.4820000000000002</v>
      </c>
    </row>
    <row r="4719" spans="1:5">
      <c r="A4719" t="s">
        <v>37192</v>
      </c>
      <c r="B4719" t="s">
        <v>10387</v>
      </c>
      <c r="C4719">
        <v>0</v>
      </c>
      <c r="D4719" t="s">
        <v>106</v>
      </c>
      <c r="E4719">
        <v>4.4820000000000002</v>
      </c>
    </row>
    <row r="4720" spans="1:5">
      <c r="A4720" t="s">
        <v>37192</v>
      </c>
      <c r="B4720" t="s">
        <v>10384</v>
      </c>
      <c r="C4720">
        <f>0</f>
        <v>0</v>
      </c>
      <c r="D4720" t="s">
        <v>106</v>
      </c>
      <c r="E4720">
        <v>4.4820000000000002</v>
      </c>
    </row>
    <row r="4721" spans="1:5">
      <c r="A4721" t="s">
        <v>37193</v>
      </c>
      <c r="B4721" t="s">
        <v>4116</v>
      </c>
      <c r="C4721">
        <f>-2.20376832338</f>
        <v>-2.2037683233799998</v>
      </c>
      <c r="D4721">
        <v>0.93984414317999998</v>
      </c>
      <c r="E4721">
        <v>22.571999999999999</v>
      </c>
    </row>
    <row r="4722" spans="1:5">
      <c r="A4722" t="s">
        <v>37193</v>
      </c>
      <c r="B4722" t="s">
        <v>4113</v>
      </c>
      <c r="C4722">
        <v>3.1306709024099999</v>
      </c>
      <c r="D4722">
        <v>0.93984414317999998</v>
      </c>
      <c r="E4722">
        <v>22.571999999999999</v>
      </c>
    </row>
    <row r="4723" spans="1:5">
      <c r="A4723" t="s">
        <v>37193</v>
      </c>
      <c r="B4723" t="s">
        <v>4115</v>
      </c>
      <c r="C4723">
        <f>0.499732740817</f>
        <v>0.49973274081699998</v>
      </c>
      <c r="D4723">
        <v>0.93984414317999998</v>
      </c>
      <c r="E4723">
        <v>22.571999999999999</v>
      </c>
    </row>
    <row r="4724" spans="1:5">
      <c r="A4724" t="s">
        <v>37194</v>
      </c>
      <c r="B4724" t="s">
        <v>28197</v>
      </c>
      <c r="C4724">
        <f>0</f>
        <v>0</v>
      </c>
      <c r="D4724">
        <v>0.70519885305600005</v>
      </c>
      <c r="E4724">
        <v>0</v>
      </c>
    </row>
    <row r="4725" spans="1:5">
      <c r="A4725" t="s">
        <v>37194</v>
      </c>
      <c r="B4725" t="s">
        <v>28199</v>
      </c>
      <c r="C4725">
        <v>0.57558885305600005</v>
      </c>
      <c r="D4725">
        <v>0.70519885305600005</v>
      </c>
      <c r="E4725">
        <v>0</v>
      </c>
    </row>
    <row r="4726" spans="1:5">
      <c r="A4726" t="s">
        <v>37195</v>
      </c>
      <c r="B4726" t="s">
        <v>5531</v>
      </c>
      <c r="C4726">
        <f>0</f>
        <v>0</v>
      </c>
      <c r="D4726">
        <v>0.53115253703900001</v>
      </c>
      <c r="E4726">
        <v>0.26400000000000001</v>
      </c>
    </row>
    <row r="4727" spans="1:5">
      <c r="A4727" t="s">
        <v>37195</v>
      </c>
      <c r="B4727" t="s">
        <v>5532</v>
      </c>
      <c r="C4727">
        <v>0.21754253703900001</v>
      </c>
      <c r="D4727">
        <v>0.53115253703900001</v>
      </c>
      <c r="E4727">
        <v>0.26400000000000001</v>
      </c>
    </row>
    <row r="4728" spans="1:5">
      <c r="A4728" t="s">
        <v>37195</v>
      </c>
      <c r="B4728" t="s">
        <v>5533</v>
      </c>
      <c r="C4728">
        <v>0</v>
      </c>
      <c r="D4728">
        <v>0.53115253703900001</v>
      </c>
      <c r="E4728">
        <v>0.26400000000000001</v>
      </c>
    </row>
    <row r="4729" spans="1:5">
      <c r="A4729" t="s">
        <v>37196</v>
      </c>
      <c r="B4729" t="s">
        <v>37197</v>
      </c>
      <c r="C4729">
        <v>0.28773103862900001</v>
      </c>
      <c r="D4729">
        <v>0.64109467748799998</v>
      </c>
      <c r="E4729">
        <v>7.0679999999999996</v>
      </c>
    </row>
    <row r="4730" spans="1:5">
      <c r="A4730" t="s">
        <v>37196</v>
      </c>
      <c r="B4730" t="s">
        <v>37198</v>
      </c>
      <c r="C4730">
        <f>0.761213303414</f>
        <v>0.76121330341399995</v>
      </c>
      <c r="D4730">
        <v>0.64109467748799998</v>
      </c>
      <c r="E4730">
        <v>7.0679999999999996</v>
      </c>
    </row>
    <row r="4731" spans="1:5">
      <c r="A4731" t="s">
        <v>37199</v>
      </c>
      <c r="B4731" t="s">
        <v>37200</v>
      </c>
      <c r="C4731">
        <v>0</v>
      </c>
      <c r="D4731" t="s">
        <v>106</v>
      </c>
      <c r="E4731">
        <v>0.24</v>
      </c>
    </row>
    <row r="4732" spans="1:5">
      <c r="A4732" t="s">
        <v>37199</v>
      </c>
      <c r="B4732" t="s">
        <v>37201</v>
      </c>
      <c r="C4732">
        <v>0</v>
      </c>
      <c r="D4732" t="s">
        <v>106</v>
      </c>
      <c r="E4732">
        <v>0.24</v>
      </c>
    </row>
    <row r="4733" spans="1:5">
      <c r="A4733" t="s">
        <v>37199</v>
      </c>
      <c r="B4733" t="s">
        <v>37202</v>
      </c>
      <c r="C4733">
        <v>0</v>
      </c>
      <c r="D4733" t="s">
        <v>106</v>
      </c>
      <c r="E4733">
        <v>0.24</v>
      </c>
    </row>
    <row r="4734" spans="1:5">
      <c r="A4734" t="s">
        <v>37199</v>
      </c>
      <c r="B4734" t="s">
        <v>37203</v>
      </c>
      <c r="C4734">
        <v>0</v>
      </c>
      <c r="D4734" t="s">
        <v>106</v>
      </c>
      <c r="E4734">
        <v>0.24</v>
      </c>
    </row>
    <row r="4735" spans="1:5">
      <c r="A4735" t="s">
        <v>37199</v>
      </c>
      <c r="B4735" t="s">
        <v>37204</v>
      </c>
      <c r="C4735">
        <f>0</f>
        <v>0</v>
      </c>
      <c r="D4735" t="s">
        <v>106</v>
      </c>
      <c r="E4735">
        <v>0.24</v>
      </c>
    </row>
    <row r="4736" spans="1:5">
      <c r="A4736" t="s">
        <v>37199</v>
      </c>
      <c r="B4736" t="s">
        <v>37205</v>
      </c>
      <c r="C4736">
        <v>0</v>
      </c>
      <c r="D4736" t="s">
        <v>106</v>
      </c>
      <c r="E4736">
        <v>0.24</v>
      </c>
    </row>
    <row r="4737" spans="1:5">
      <c r="A4737" t="s">
        <v>37199</v>
      </c>
      <c r="B4737" t="s">
        <v>37206</v>
      </c>
      <c r="C4737">
        <v>0</v>
      </c>
      <c r="D4737" t="s">
        <v>106</v>
      </c>
      <c r="E4737">
        <v>0.24</v>
      </c>
    </row>
    <row r="4738" spans="1:5">
      <c r="A4738" t="s">
        <v>37207</v>
      </c>
      <c r="B4738" t="s">
        <v>10732</v>
      </c>
      <c r="C4738">
        <v>0.50490227374399999</v>
      </c>
      <c r="D4738">
        <v>0.99977232675200001</v>
      </c>
      <c r="E4738">
        <v>1.698</v>
      </c>
    </row>
    <row r="4739" spans="1:5">
      <c r="A4739" t="s">
        <v>37207</v>
      </c>
      <c r="B4739" t="s">
        <v>10739</v>
      </c>
      <c r="C4739">
        <f>0.254437813041</f>
        <v>0.25443781304099999</v>
      </c>
      <c r="D4739">
        <v>0.99977232675200001</v>
      </c>
      <c r="E4739">
        <v>1.698</v>
      </c>
    </row>
    <row r="4740" spans="1:5">
      <c r="A4740" t="s">
        <v>37207</v>
      </c>
      <c r="B4740" t="s">
        <v>10738</v>
      </c>
      <c r="C4740">
        <f>0.263515955511</f>
        <v>0.26351595551099999</v>
      </c>
      <c r="D4740">
        <v>0.99977232675200001</v>
      </c>
      <c r="E4740">
        <v>1.698</v>
      </c>
    </row>
    <row r="4741" spans="1:5">
      <c r="A4741" t="s">
        <v>37207</v>
      </c>
      <c r="B4741" t="s">
        <v>10736</v>
      </c>
      <c r="C4741">
        <v>0.57218957995300002</v>
      </c>
      <c r="D4741">
        <v>0.99977232675200001</v>
      </c>
      <c r="E4741">
        <v>1.698</v>
      </c>
    </row>
    <row r="4742" spans="1:5">
      <c r="A4742" t="s">
        <v>37207</v>
      </c>
      <c r="B4742" t="s">
        <v>10737</v>
      </c>
      <c r="C4742">
        <f>0.108592893514</f>
        <v>0.10859289351400001</v>
      </c>
      <c r="D4742">
        <v>0.99977232675200001</v>
      </c>
      <c r="E4742">
        <v>1.698</v>
      </c>
    </row>
    <row r="4743" spans="1:5">
      <c r="A4743" t="s">
        <v>37207</v>
      </c>
      <c r="B4743" t="s">
        <v>10730</v>
      </c>
      <c r="C4743">
        <v>0.74773835364999997</v>
      </c>
      <c r="D4743">
        <v>0.99977232675200001</v>
      </c>
      <c r="E4743">
        <v>1.698</v>
      </c>
    </row>
    <row r="4744" spans="1:5">
      <c r="A4744" t="s">
        <v>37208</v>
      </c>
      <c r="B4744" t="s">
        <v>1948</v>
      </c>
      <c r="C4744">
        <f>0.802137804676</f>
        <v>0.80213780467600004</v>
      </c>
      <c r="D4744">
        <v>0.84006436916299998</v>
      </c>
      <c r="E4744">
        <v>5.82</v>
      </c>
    </row>
    <row r="4745" spans="1:5">
      <c r="A4745" t="s">
        <v>37208</v>
      </c>
      <c r="B4745" t="s">
        <v>1946</v>
      </c>
      <c r="C4745">
        <f>0.546014308949</f>
        <v>0.54601430894900005</v>
      </c>
      <c r="D4745">
        <v>0.84006436916299998</v>
      </c>
      <c r="E4745">
        <v>5.82</v>
      </c>
    </row>
    <row r="4746" spans="1:5">
      <c r="A4746" t="s">
        <v>37208</v>
      </c>
      <c r="B4746" t="s">
        <v>1949</v>
      </c>
      <c r="C4746">
        <f>0.880871499087</f>
        <v>0.88087149908700002</v>
      </c>
      <c r="D4746">
        <v>0.84006436916299998</v>
      </c>
      <c r="E4746">
        <v>5.82</v>
      </c>
    </row>
    <row r="4747" spans="1:5">
      <c r="A4747" t="s">
        <v>37209</v>
      </c>
      <c r="B4747" t="s">
        <v>33064</v>
      </c>
      <c r="C4747">
        <f>0</f>
        <v>0</v>
      </c>
      <c r="D4747" t="s">
        <v>106</v>
      </c>
      <c r="E4747">
        <v>24</v>
      </c>
    </row>
    <row r="4748" spans="1:5">
      <c r="A4748" t="s">
        <v>37209</v>
      </c>
      <c r="B4748" t="s">
        <v>33063</v>
      </c>
      <c r="C4748">
        <v>0</v>
      </c>
      <c r="D4748" t="s">
        <v>106</v>
      </c>
      <c r="E4748">
        <v>24</v>
      </c>
    </row>
    <row r="4749" spans="1:5">
      <c r="A4749" t="s">
        <v>37209</v>
      </c>
      <c r="B4749" t="s">
        <v>33065</v>
      </c>
      <c r="C4749">
        <v>0</v>
      </c>
      <c r="D4749" t="s">
        <v>106</v>
      </c>
      <c r="E4749">
        <v>24</v>
      </c>
    </row>
    <row r="4750" spans="1:5">
      <c r="A4750" t="s">
        <v>37210</v>
      </c>
      <c r="B4750" t="s">
        <v>32782</v>
      </c>
      <c r="C4750">
        <v>0</v>
      </c>
      <c r="D4750">
        <v>0.99980561240200005</v>
      </c>
      <c r="E4750">
        <v>10.878</v>
      </c>
    </row>
    <row r="4751" spans="1:5">
      <c r="A4751" t="s">
        <v>37210</v>
      </c>
      <c r="B4751" t="s">
        <v>32778</v>
      </c>
      <c r="C4751">
        <v>0.46979437228900001</v>
      </c>
      <c r="D4751">
        <v>0.99980561240200005</v>
      </c>
      <c r="E4751">
        <v>10.878</v>
      </c>
    </row>
    <row r="4752" spans="1:5">
      <c r="A4752" t="s">
        <v>37210</v>
      </c>
      <c r="B4752" t="s">
        <v>32780</v>
      </c>
      <c r="C4752">
        <v>0.87718421735300001</v>
      </c>
      <c r="D4752">
        <v>0.99980561240200005</v>
      </c>
      <c r="E4752">
        <v>10.878</v>
      </c>
    </row>
    <row r="4753" spans="1:5">
      <c r="A4753" t="s">
        <v>37210</v>
      </c>
      <c r="B4753" t="s">
        <v>32781</v>
      </c>
      <c r="C4753">
        <f>0</f>
        <v>0</v>
      </c>
      <c r="D4753">
        <v>0.99980561240200005</v>
      </c>
      <c r="E4753">
        <v>10.878</v>
      </c>
    </row>
    <row r="4754" spans="1:5">
      <c r="A4754" t="s">
        <v>37210</v>
      </c>
      <c r="B4754" t="s">
        <v>32784</v>
      </c>
      <c r="C4754">
        <f>0.0661924733056</f>
        <v>6.6192473305600005E-2</v>
      </c>
      <c r="D4754">
        <v>0.99980561240200005</v>
      </c>
      <c r="E4754">
        <v>10.878</v>
      </c>
    </row>
    <row r="4755" spans="1:5">
      <c r="A4755" t="s">
        <v>37210</v>
      </c>
      <c r="B4755" t="s">
        <v>32787</v>
      </c>
      <c r="C4755">
        <f>0</f>
        <v>0</v>
      </c>
      <c r="D4755">
        <v>0.99980561240200005</v>
      </c>
      <c r="E4755">
        <v>10.878</v>
      </c>
    </row>
    <row r="4756" spans="1:5">
      <c r="A4756" t="s">
        <v>37210</v>
      </c>
      <c r="B4756" t="s">
        <v>32786</v>
      </c>
      <c r="C4756">
        <f>0.230377025086</f>
        <v>0.230377025086</v>
      </c>
      <c r="D4756">
        <v>0.99980561240200005</v>
      </c>
      <c r="E4756">
        <v>10.878</v>
      </c>
    </row>
    <row r="4757" spans="1:5">
      <c r="A4757" t="s">
        <v>37210</v>
      </c>
      <c r="B4757" t="s">
        <v>32785</v>
      </c>
      <c r="C4757">
        <v>0.51613531085300002</v>
      </c>
      <c r="D4757">
        <v>0.99980561240200005</v>
      </c>
      <c r="E4757">
        <v>10.878</v>
      </c>
    </row>
    <row r="4758" spans="1:5">
      <c r="A4758" t="s">
        <v>37210</v>
      </c>
      <c r="B4758" t="s">
        <v>32779</v>
      </c>
      <c r="C4758">
        <f>0.0491210583277</f>
        <v>4.9121058327700001E-2</v>
      </c>
      <c r="D4758">
        <v>0.99980561240200005</v>
      </c>
      <c r="E4758">
        <v>10.878</v>
      </c>
    </row>
    <row r="4759" spans="1:5">
      <c r="A4759" t="s">
        <v>37210</v>
      </c>
      <c r="B4759" t="s">
        <v>32777</v>
      </c>
      <c r="C4759">
        <v>0.74657173399999999</v>
      </c>
      <c r="D4759">
        <v>0.99980561240200005</v>
      </c>
      <c r="E4759">
        <v>10.878</v>
      </c>
    </row>
    <row r="4760" spans="1:5">
      <c r="A4760" t="s">
        <v>37211</v>
      </c>
      <c r="B4760" t="s">
        <v>13341</v>
      </c>
      <c r="C4760">
        <f>0</f>
        <v>0</v>
      </c>
      <c r="D4760" t="s">
        <v>106</v>
      </c>
      <c r="E4760">
        <v>4.4820000000000002</v>
      </c>
    </row>
    <row r="4761" spans="1:5">
      <c r="A4761" t="s">
        <v>37211</v>
      </c>
      <c r="B4761" t="s">
        <v>13348</v>
      </c>
      <c r="C4761">
        <v>0</v>
      </c>
      <c r="D4761" t="s">
        <v>106</v>
      </c>
      <c r="E4761">
        <v>4.4820000000000002</v>
      </c>
    </row>
    <row r="4762" spans="1:5">
      <c r="A4762" t="s">
        <v>37211</v>
      </c>
      <c r="B4762" t="s">
        <v>13340</v>
      </c>
      <c r="C4762">
        <v>0</v>
      </c>
      <c r="D4762" t="s">
        <v>106</v>
      </c>
      <c r="E4762">
        <v>4.4820000000000002</v>
      </c>
    </row>
    <row r="4763" spans="1:5">
      <c r="A4763" t="s">
        <v>37211</v>
      </c>
      <c r="B4763" t="s">
        <v>13343</v>
      </c>
      <c r="C4763">
        <v>0</v>
      </c>
      <c r="D4763" t="s">
        <v>106</v>
      </c>
      <c r="E4763">
        <v>4.4820000000000002</v>
      </c>
    </row>
    <row r="4764" spans="1:5">
      <c r="A4764" t="s">
        <v>37211</v>
      </c>
      <c r="B4764" t="s">
        <v>13339</v>
      </c>
      <c r="C4764">
        <v>0</v>
      </c>
      <c r="D4764" t="s">
        <v>106</v>
      </c>
      <c r="E4764">
        <v>4.4820000000000002</v>
      </c>
    </row>
    <row r="4765" spans="1:5">
      <c r="A4765" t="s">
        <v>37211</v>
      </c>
      <c r="B4765" t="s">
        <v>13347</v>
      </c>
      <c r="C4765">
        <v>0</v>
      </c>
      <c r="D4765" t="s">
        <v>106</v>
      </c>
      <c r="E4765">
        <v>4.4820000000000002</v>
      </c>
    </row>
    <row r="4766" spans="1:5">
      <c r="A4766" t="s">
        <v>37211</v>
      </c>
      <c r="B4766" t="s">
        <v>13338</v>
      </c>
      <c r="C4766">
        <v>0</v>
      </c>
      <c r="D4766" t="s">
        <v>106</v>
      </c>
      <c r="E4766">
        <v>4.4820000000000002</v>
      </c>
    </row>
    <row r="4767" spans="1:5">
      <c r="A4767" t="s">
        <v>37212</v>
      </c>
      <c r="B4767" t="s">
        <v>27202</v>
      </c>
      <c r="C4767">
        <v>0</v>
      </c>
      <c r="D4767" t="s">
        <v>106</v>
      </c>
      <c r="E4767">
        <v>3.972</v>
      </c>
    </row>
    <row r="4768" spans="1:5">
      <c r="A4768" t="s">
        <v>37212</v>
      </c>
      <c r="B4768" t="s">
        <v>27201</v>
      </c>
      <c r="C4768">
        <v>0</v>
      </c>
      <c r="D4768" t="s">
        <v>106</v>
      </c>
      <c r="E4768">
        <v>3.972</v>
      </c>
    </row>
    <row r="4769" spans="1:5">
      <c r="A4769" t="s">
        <v>37213</v>
      </c>
      <c r="B4769" t="s">
        <v>4563</v>
      </c>
      <c r="C4769">
        <v>0.74849183008200004</v>
      </c>
      <c r="D4769">
        <v>0.95652276703799999</v>
      </c>
      <c r="E4769">
        <v>23.52</v>
      </c>
    </row>
    <row r="4770" spans="1:5">
      <c r="A4770" t="s">
        <v>37213</v>
      </c>
      <c r="B4770" t="s">
        <v>4564</v>
      </c>
      <c r="C4770">
        <f>0.582305009842</f>
        <v>0.58230500984199995</v>
      </c>
      <c r="D4770">
        <v>0.95652276703799999</v>
      </c>
      <c r="E4770">
        <v>23.52</v>
      </c>
    </row>
    <row r="4771" spans="1:5">
      <c r="A4771" t="s">
        <v>37213</v>
      </c>
      <c r="B4771" t="s">
        <v>4565</v>
      </c>
      <c r="C4771">
        <v>0.109417069145</v>
      </c>
      <c r="D4771">
        <v>0.95652276703799999</v>
      </c>
      <c r="E4771">
        <v>23.52</v>
      </c>
    </row>
    <row r="4772" spans="1:5">
      <c r="A4772" t="s">
        <v>37213</v>
      </c>
      <c r="B4772" t="s">
        <v>4566</v>
      </c>
      <c r="C4772">
        <f>0.480419116007</f>
        <v>0.48041911600699999</v>
      </c>
      <c r="D4772">
        <v>0.95652276703799999</v>
      </c>
      <c r="E4772">
        <v>23.52</v>
      </c>
    </row>
    <row r="4773" spans="1:5">
      <c r="A4773" t="s">
        <v>37214</v>
      </c>
      <c r="B4773" t="s">
        <v>31916</v>
      </c>
      <c r="C4773">
        <f>0.546857977925</f>
        <v>0.54685797792500002</v>
      </c>
      <c r="D4773">
        <v>0.77726797792500002</v>
      </c>
      <c r="E4773">
        <v>6.3</v>
      </c>
    </row>
    <row r="4774" spans="1:5">
      <c r="A4774" t="s">
        <v>37214</v>
      </c>
      <c r="B4774" t="s">
        <v>31918</v>
      </c>
      <c r="C4774">
        <f>0</f>
        <v>0</v>
      </c>
      <c r="D4774">
        <v>0.77726797792500002</v>
      </c>
      <c r="E4774">
        <v>6.3</v>
      </c>
    </row>
    <row r="4775" spans="1:5">
      <c r="A4775" t="s">
        <v>37214</v>
      </c>
      <c r="B4775" t="s">
        <v>31919</v>
      </c>
      <c r="C4775">
        <v>0</v>
      </c>
      <c r="D4775">
        <v>0.77726797792500002</v>
      </c>
      <c r="E4775">
        <v>6.3</v>
      </c>
    </row>
    <row r="4776" spans="1:5">
      <c r="A4776" t="s">
        <v>37215</v>
      </c>
      <c r="B4776" t="s">
        <v>37216</v>
      </c>
      <c r="C4776">
        <f>0.413104649309</f>
        <v>0.41310464930899998</v>
      </c>
      <c r="D4776">
        <v>0.86796584460299997</v>
      </c>
      <c r="E4776">
        <v>4.6920000000000002</v>
      </c>
    </row>
    <row r="4777" spans="1:5">
      <c r="A4777" t="s">
        <v>37215</v>
      </c>
      <c r="B4777" t="s">
        <v>37217</v>
      </c>
      <c r="C4777">
        <f>0.661921941854</f>
        <v>0.661921941854</v>
      </c>
      <c r="D4777">
        <v>0.86796584460299997</v>
      </c>
      <c r="E4777">
        <v>4.6920000000000002</v>
      </c>
    </row>
    <row r="4778" spans="1:5">
      <c r="A4778" t="s">
        <v>37215</v>
      </c>
      <c r="B4778" t="s">
        <v>37218</v>
      </c>
      <c r="C4778">
        <f>0.0207907144453</f>
        <v>2.07907144453E-2</v>
      </c>
      <c r="D4778">
        <v>0.86796584460299997</v>
      </c>
      <c r="E4778">
        <v>4.6920000000000002</v>
      </c>
    </row>
    <row r="4779" spans="1:5">
      <c r="A4779" t="s">
        <v>37215</v>
      </c>
      <c r="B4779" t="s">
        <v>37219</v>
      </c>
      <c r="C4779">
        <v>0</v>
      </c>
      <c r="D4779">
        <v>0.86796584460299997</v>
      </c>
      <c r="E4779">
        <v>4.6920000000000002</v>
      </c>
    </row>
    <row r="4780" spans="1:5">
      <c r="A4780" t="s">
        <v>37220</v>
      </c>
      <c r="B4780" t="s">
        <v>37221</v>
      </c>
      <c r="C4780">
        <v>0</v>
      </c>
      <c r="D4780" t="s">
        <v>106</v>
      </c>
      <c r="E4780">
        <v>24</v>
      </c>
    </row>
    <row r="4781" spans="1:5">
      <c r="A4781" t="s">
        <v>37220</v>
      </c>
      <c r="B4781" t="s">
        <v>37222</v>
      </c>
      <c r="C4781">
        <v>0</v>
      </c>
      <c r="D4781" t="s">
        <v>106</v>
      </c>
      <c r="E4781">
        <v>24</v>
      </c>
    </row>
    <row r="4782" spans="1:5">
      <c r="A4782" t="s">
        <v>37223</v>
      </c>
      <c r="B4782" t="s">
        <v>37224</v>
      </c>
      <c r="C4782">
        <v>0</v>
      </c>
      <c r="D4782">
        <v>0.81998536710100001</v>
      </c>
      <c r="E4782">
        <v>12.215999999999999</v>
      </c>
    </row>
    <row r="4783" spans="1:5">
      <c r="A4783" t="s">
        <v>37223</v>
      </c>
      <c r="B4783" t="s">
        <v>37225</v>
      </c>
      <c r="C4783">
        <v>0.27461136028599997</v>
      </c>
      <c r="D4783">
        <v>0.81998536710100001</v>
      </c>
      <c r="E4783">
        <v>12.215999999999999</v>
      </c>
    </row>
    <row r="4784" spans="1:5">
      <c r="A4784" t="s">
        <v>37223</v>
      </c>
      <c r="B4784" t="s">
        <v>37226</v>
      </c>
      <c r="C4784">
        <v>7.0509698947599994E-2</v>
      </c>
      <c r="D4784">
        <v>0.81998536710100001</v>
      </c>
      <c r="E4784">
        <v>12.215999999999999</v>
      </c>
    </row>
    <row r="4785" spans="1:5">
      <c r="A4785" t="s">
        <v>37223</v>
      </c>
      <c r="B4785" t="s">
        <v>37227</v>
      </c>
      <c r="C4785">
        <v>0.56080961860199996</v>
      </c>
      <c r="D4785">
        <v>0.81998536710100001</v>
      </c>
      <c r="E4785">
        <v>12.215999999999999</v>
      </c>
    </row>
    <row r="4786" spans="1:5">
      <c r="A4786" t="s">
        <v>37228</v>
      </c>
      <c r="B4786" t="s">
        <v>37229</v>
      </c>
      <c r="C4786">
        <f>0.524832638717</f>
        <v>0.52483263871700003</v>
      </c>
      <c r="D4786">
        <v>0.89924005341000002</v>
      </c>
      <c r="E4786">
        <v>24</v>
      </c>
    </row>
    <row r="4787" spans="1:5">
      <c r="A4787" t="s">
        <v>37228</v>
      </c>
      <c r="B4787" t="s">
        <v>37230</v>
      </c>
      <c r="C4787">
        <v>0.70546505781699997</v>
      </c>
      <c r="D4787">
        <v>0.89924005341000002</v>
      </c>
      <c r="E4787">
        <v>24</v>
      </c>
    </row>
    <row r="4788" spans="1:5">
      <c r="A4788" t="s">
        <v>37228</v>
      </c>
      <c r="B4788" t="s">
        <v>37231</v>
      </c>
      <c r="C4788">
        <v>0.13922871137100001</v>
      </c>
      <c r="D4788">
        <v>0.89924005341000002</v>
      </c>
      <c r="E4788">
        <v>24</v>
      </c>
    </row>
    <row r="4789" spans="1:5">
      <c r="A4789" t="s">
        <v>37232</v>
      </c>
      <c r="B4789" t="s">
        <v>32389</v>
      </c>
      <c r="C4789">
        <f>0</f>
        <v>0</v>
      </c>
      <c r="D4789" t="s">
        <v>106</v>
      </c>
      <c r="E4789">
        <v>24</v>
      </c>
    </row>
    <row r="4790" spans="1:5">
      <c r="A4790" t="s">
        <v>37232</v>
      </c>
      <c r="B4790" t="s">
        <v>32391</v>
      </c>
      <c r="C4790">
        <v>0</v>
      </c>
      <c r="D4790" t="s">
        <v>106</v>
      </c>
      <c r="E4790">
        <v>24</v>
      </c>
    </row>
    <row r="4791" spans="1:5">
      <c r="A4791" t="s">
        <v>37232</v>
      </c>
      <c r="B4791" t="s">
        <v>32390</v>
      </c>
      <c r="C4791">
        <f>0</f>
        <v>0</v>
      </c>
      <c r="D4791" t="s">
        <v>106</v>
      </c>
      <c r="E4791">
        <v>24</v>
      </c>
    </row>
    <row r="4792" spans="1:5">
      <c r="A4792" t="s">
        <v>37233</v>
      </c>
      <c r="B4792" t="s">
        <v>37234</v>
      </c>
      <c r="C4792">
        <v>0</v>
      </c>
      <c r="D4792">
        <v>0.89031652017200003</v>
      </c>
      <c r="E4792">
        <v>0.216</v>
      </c>
    </row>
    <row r="4793" spans="1:5">
      <c r="A4793" t="s">
        <v>37233</v>
      </c>
      <c r="B4793" t="s">
        <v>37235</v>
      </c>
      <c r="C4793">
        <v>0</v>
      </c>
      <c r="D4793">
        <v>0.89031652017200003</v>
      </c>
      <c r="E4793">
        <v>0.216</v>
      </c>
    </row>
    <row r="4794" spans="1:5">
      <c r="A4794" t="s">
        <v>37233</v>
      </c>
      <c r="B4794" t="s">
        <v>37236</v>
      </c>
      <c r="C4794">
        <f>0</f>
        <v>0</v>
      </c>
      <c r="D4794">
        <v>0.89031652017200003</v>
      </c>
      <c r="E4794">
        <v>0.216</v>
      </c>
    </row>
    <row r="4795" spans="1:5">
      <c r="A4795" t="s">
        <v>37233</v>
      </c>
      <c r="B4795" t="s">
        <v>37237</v>
      </c>
      <c r="C4795">
        <v>0.13892400637800001</v>
      </c>
      <c r="D4795">
        <v>0.89031652017200003</v>
      </c>
      <c r="E4795">
        <v>0.216</v>
      </c>
    </row>
    <row r="4796" spans="1:5">
      <c r="A4796" t="s">
        <v>37233</v>
      </c>
      <c r="B4796" t="s">
        <v>37238</v>
      </c>
      <c r="C4796">
        <f>0</f>
        <v>0</v>
      </c>
      <c r="D4796">
        <v>0.89031652017200003</v>
      </c>
      <c r="E4796">
        <v>0.216</v>
      </c>
    </row>
    <row r="4797" spans="1:5">
      <c r="A4797" t="s">
        <v>37233</v>
      </c>
      <c r="B4797" t="s">
        <v>37239</v>
      </c>
      <c r="C4797">
        <v>0.12927427221400001</v>
      </c>
      <c r="D4797">
        <v>0.89031652017200003</v>
      </c>
      <c r="E4797">
        <v>0.216</v>
      </c>
    </row>
    <row r="4798" spans="1:5">
      <c r="A4798" t="s">
        <v>37233</v>
      </c>
      <c r="B4798" t="s">
        <v>37240</v>
      </c>
      <c r="C4798">
        <v>0.50851876736599999</v>
      </c>
      <c r="D4798">
        <v>0.89031652017200003</v>
      </c>
      <c r="E4798">
        <v>0.216</v>
      </c>
    </row>
    <row r="4799" spans="1:5">
      <c r="A4799" t="s">
        <v>37233</v>
      </c>
      <c r="B4799" t="s">
        <v>37241</v>
      </c>
      <c r="C4799">
        <v>0</v>
      </c>
      <c r="D4799">
        <v>0.89031652017200003</v>
      </c>
      <c r="E4799">
        <v>0.216</v>
      </c>
    </row>
    <row r="4800" spans="1:5">
      <c r="A4800" t="s">
        <v>37233</v>
      </c>
      <c r="B4800" t="s">
        <v>37242</v>
      </c>
      <c r="C4800">
        <f>0</f>
        <v>0</v>
      </c>
      <c r="D4800">
        <v>0.89031652017200003</v>
      </c>
      <c r="E4800">
        <v>0.216</v>
      </c>
    </row>
    <row r="4801" spans="1:5">
      <c r="A4801" t="s">
        <v>37233</v>
      </c>
      <c r="B4801" t="s">
        <v>37243</v>
      </c>
      <c r="C4801">
        <v>0.18998796261100001</v>
      </c>
      <c r="D4801">
        <v>0.89031652017200003</v>
      </c>
      <c r="E4801">
        <v>0.216</v>
      </c>
    </row>
    <row r="4802" spans="1:5">
      <c r="A4802" t="s">
        <v>37233</v>
      </c>
      <c r="B4802" t="s">
        <v>37244</v>
      </c>
      <c r="C4802">
        <v>0</v>
      </c>
      <c r="D4802">
        <v>0.89031652017200003</v>
      </c>
      <c r="E4802">
        <v>0.216</v>
      </c>
    </row>
    <row r="4803" spans="1:5">
      <c r="A4803" t="s">
        <v>37233</v>
      </c>
      <c r="B4803" t="s">
        <v>37245</v>
      </c>
      <c r="C4803">
        <v>0</v>
      </c>
      <c r="D4803">
        <v>0.89031652017200003</v>
      </c>
      <c r="E4803">
        <v>0.216</v>
      </c>
    </row>
    <row r="4804" spans="1:5">
      <c r="A4804" t="s">
        <v>37246</v>
      </c>
      <c r="B4804" t="s">
        <v>23575</v>
      </c>
      <c r="C4804">
        <f>0</f>
        <v>0</v>
      </c>
      <c r="D4804" t="s">
        <v>106</v>
      </c>
      <c r="E4804">
        <v>24</v>
      </c>
    </row>
    <row r="4805" spans="1:5">
      <c r="A4805" t="s">
        <v>37246</v>
      </c>
      <c r="B4805" t="s">
        <v>23577</v>
      </c>
      <c r="C4805">
        <v>0</v>
      </c>
      <c r="D4805" t="s">
        <v>106</v>
      </c>
      <c r="E4805">
        <v>24</v>
      </c>
    </row>
    <row r="4806" spans="1:5">
      <c r="A4806" t="s">
        <v>37247</v>
      </c>
      <c r="B4806" t="s">
        <v>37248</v>
      </c>
      <c r="C4806">
        <v>0.67911018938900003</v>
      </c>
      <c r="D4806">
        <v>0.75752018938900001</v>
      </c>
      <c r="E4806">
        <v>0.47399999999999998</v>
      </c>
    </row>
    <row r="4807" spans="1:5">
      <c r="A4807" t="s">
        <v>37247</v>
      </c>
      <c r="B4807" t="s">
        <v>37249</v>
      </c>
      <c r="C4807">
        <v>0</v>
      </c>
      <c r="D4807">
        <v>0.75752018938900001</v>
      </c>
      <c r="E4807">
        <v>0.47399999999999998</v>
      </c>
    </row>
    <row r="4808" spans="1:5">
      <c r="A4808" t="s">
        <v>37250</v>
      </c>
      <c r="B4808" t="s">
        <v>37251</v>
      </c>
      <c r="C4808">
        <f>0</f>
        <v>0</v>
      </c>
      <c r="D4808" t="s">
        <v>106</v>
      </c>
      <c r="E4808">
        <v>24</v>
      </c>
    </row>
    <row r="4809" spans="1:5">
      <c r="A4809" t="s">
        <v>37250</v>
      </c>
      <c r="B4809" t="s">
        <v>37252</v>
      </c>
      <c r="C4809">
        <v>0</v>
      </c>
      <c r="D4809" t="s">
        <v>106</v>
      </c>
      <c r="E4809">
        <v>24</v>
      </c>
    </row>
    <row r="4810" spans="1:5">
      <c r="A4810" t="s">
        <v>37253</v>
      </c>
      <c r="B4810" t="s">
        <v>37254</v>
      </c>
      <c r="C4810">
        <v>0</v>
      </c>
      <c r="D4810">
        <v>0.83001690583099996</v>
      </c>
      <c r="E4810">
        <v>14.183999999999999</v>
      </c>
    </row>
    <row r="4811" spans="1:5">
      <c r="A4811" t="s">
        <v>37253</v>
      </c>
      <c r="B4811" t="s">
        <v>37255</v>
      </c>
      <c r="C4811">
        <v>0</v>
      </c>
      <c r="D4811">
        <v>0.83001690583099996</v>
      </c>
      <c r="E4811">
        <v>14.183999999999999</v>
      </c>
    </row>
    <row r="4812" spans="1:5">
      <c r="A4812" t="s">
        <v>37253</v>
      </c>
      <c r="B4812" t="s">
        <v>37256</v>
      </c>
      <c r="C4812">
        <f>0</f>
        <v>0</v>
      </c>
      <c r="D4812">
        <v>0.83001690583099996</v>
      </c>
      <c r="E4812">
        <v>14.183999999999999</v>
      </c>
    </row>
    <row r="4813" spans="1:5">
      <c r="A4813" t="s">
        <v>37253</v>
      </c>
      <c r="B4813" t="s">
        <v>37257</v>
      </c>
      <c r="C4813">
        <f>0</f>
        <v>0</v>
      </c>
      <c r="D4813">
        <v>0.83001690583099996</v>
      </c>
      <c r="E4813">
        <v>14.183999999999999</v>
      </c>
    </row>
    <row r="4814" spans="1:5">
      <c r="A4814" t="s">
        <v>37253</v>
      </c>
      <c r="B4814" t="s">
        <v>37258</v>
      </c>
      <c r="C4814">
        <v>0</v>
      </c>
      <c r="D4814">
        <v>0.83001690583099996</v>
      </c>
      <c r="E4814">
        <v>14.183999999999999</v>
      </c>
    </row>
    <row r="4815" spans="1:5">
      <c r="A4815" t="s">
        <v>37253</v>
      </c>
      <c r="B4815" t="s">
        <v>37259</v>
      </c>
      <c r="C4815">
        <f>0.599606905831</f>
        <v>0.59960690583099996</v>
      </c>
      <c r="D4815">
        <v>0.83001690583099996</v>
      </c>
      <c r="E4815">
        <v>14.183999999999999</v>
      </c>
    </row>
    <row r="4816" spans="1:5">
      <c r="A4816" t="s">
        <v>37253</v>
      </c>
      <c r="B4816" t="s">
        <v>37260</v>
      </c>
      <c r="C4816">
        <f>0</f>
        <v>0</v>
      </c>
      <c r="D4816">
        <v>0.83001690583099996</v>
      </c>
      <c r="E4816">
        <v>14.183999999999999</v>
      </c>
    </row>
    <row r="4817" spans="1:5">
      <c r="A4817" t="s">
        <v>37261</v>
      </c>
      <c r="B4817" t="s">
        <v>16579</v>
      </c>
      <c r="C4817">
        <v>0.246096375437</v>
      </c>
      <c r="D4817">
        <v>0.84432978132699998</v>
      </c>
      <c r="E4817">
        <v>4.9080000000000004</v>
      </c>
    </row>
    <row r="4818" spans="1:5">
      <c r="A4818" t="s">
        <v>37261</v>
      </c>
      <c r="B4818" t="s">
        <v>16583</v>
      </c>
      <c r="C4818">
        <v>0</v>
      </c>
      <c r="D4818">
        <v>0.84432978132699998</v>
      </c>
      <c r="E4818">
        <v>4.9080000000000004</v>
      </c>
    </row>
    <row r="4819" spans="1:5">
      <c r="A4819" t="s">
        <v>37261</v>
      </c>
      <c r="B4819" t="s">
        <v>16581</v>
      </c>
      <c r="C4819">
        <v>0.50576523014999997</v>
      </c>
      <c r="D4819">
        <v>0.84432978132699998</v>
      </c>
      <c r="E4819">
        <v>4.9080000000000004</v>
      </c>
    </row>
    <row r="4820" spans="1:5">
      <c r="A4820" t="s">
        <v>37262</v>
      </c>
      <c r="B4820" t="s">
        <v>2802</v>
      </c>
      <c r="C4820">
        <v>0.796020069868</v>
      </c>
      <c r="D4820">
        <v>0.85363006986800005</v>
      </c>
      <c r="E4820">
        <v>12.048</v>
      </c>
    </row>
    <row r="4821" spans="1:5">
      <c r="A4821" t="s">
        <v>37262</v>
      </c>
      <c r="B4821" t="s">
        <v>2803</v>
      </c>
      <c r="C4821">
        <v>0</v>
      </c>
      <c r="D4821">
        <v>0.85363006986800005</v>
      </c>
      <c r="E4821">
        <v>12.048</v>
      </c>
    </row>
    <row r="4822" spans="1:5">
      <c r="A4822" t="s">
        <v>37263</v>
      </c>
      <c r="B4822" t="s">
        <v>37264</v>
      </c>
      <c r="C4822">
        <f>0.615990562829</f>
        <v>0.615990562829</v>
      </c>
      <c r="D4822">
        <v>0.97425280408000003</v>
      </c>
      <c r="E4822">
        <v>3.3180000000000001</v>
      </c>
    </row>
    <row r="4823" spans="1:5">
      <c r="A4823" t="s">
        <v>37263</v>
      </c>
      <c r="B4823" t="s">
        <v>37265</v>
      </c>
      <c r="C4823">
        <v>0.494610132112</v>
      </c>
      <c r="D4823">
        <v>0.97425280408000003</v>
      </c>
      <c r="E4823">
        <v>3.3180000000000001</v>
      </c>
    </row>
    <row r="4824" spans="1:5">
      <c r="A4824" t="s">
        <v>37263</v>
      </c>
      <c r="B4824" t="s">
        <v>37266</v>
      </c>
      <c r="C4824">
        <v>0.70648112491600001</v>
      </c>
      <c r="D4824">
        <v>0.97425280408000003</v>
      </c>
      <c r="E4824">
        <v>3.3180000000000001</v>
      </c>
    </row>
    <row r="4825" spans="1:5">
      <c r="A4825" t="s">
        <v>37263</v>
      </c>
      <c r="B4825" t="s">
        <v>37267</v>
      </c>
      <c r="C4825">
        <v>0.16957528205899999</v>
      </c>
      <c r="D4825">
        <v>0.97425280408000003</v>
      </c>
      <c r="E4825">
        <v>3.3180000000000001</v>
      </c>
    </row>
    <row r="4826" spans="1:5">
      <c r="A4826" t="s">
        <v>37268</v>
      </c>
      <c r="B4826" t="s">
        <v>16507</v>
      </c>
      <c r="C4826">
        <f>0.0975119304719</f>
        <v>9.7511930471900002E-2</v>
      </c>
      <c r="D4826">
        <v>0.89856519185999995</v>
      </c>
      <c r="E4826">
        <v>24</v>
      </c>
    </row>
    <row r="4827" spans="1:5">
      <c r="A4827" t="s">
        <v>37268</v>
      </c>
      <c r="B4827" t="s">
        <v>16508</v>
      </c>
      <c r="C4827">
        <v>0.70226638438900002</v>
      </c>
      <c r="D4827">
        <v>0.89856519185999995</v>
      </c>
      <c r="E4827">
        <v>24</v>
      </c>
    </row>
    <row r="4828" spans="1:5">
      <c r="A4828" t="s">
        <v>37268</v>
      </c>
      <c r="B4828" t="s">
        <v>16511</v>
      </c>
      <c r="C4828">
        <f>0.231058470281</f>
        <v>0.23105847028099999</v>
      </c>
      <c r="D4828">
        <v>0.89856519185999995</v>
      </c>
      <c r="E4828">
        <v>24</v>
      </c>
    </row>
    <row r="4829" spans="1:5">
      <c r="A4829" t="s">
        <v>37269</v>
      </c>
      <c r="B4829" t="s">
        <v>8194</v>
      </c>
      <c r="C4829">
        <v>0</v>
      </c>
      <c r="D4829">
        <v>0.99996209383800005</v>
      </c>
      <c r="E4829">
        <v>3.6840000000000002</v>
      </c>
    </row>
    <row r="4830" spans="1:5">
      <c r="A4830" t="s">
        <v>37269</v>
      </c>
      <c r="B4830" t="s">
        <v>8193</v>
      </c>
      <c r="C4830">
        <f>0.751306876793</f>
        <v>0.75130687679300001</v>
      </c>
      <c r="D4830">
        <v>0.99996209383800005</v>
      </c>
      <c r="E4830">
        <v>3.6840000000000002</v>
      </c>
    </row>
    <row r="4831" spans="1:5">
      <c r="A4831" t="s">
        <v>37269</v>
      </c>
      <c r="B4831" t="s">
        <v>8202</v>
      </c>
      <c r="C4831">
        <v>9.3771985573899999E-2</v>
      </c>
      <c r="D4831">
        <v>0.99996209383800005</v>
      </c>
      <c r="E4831">
        <v>3.6840000000000002</v>
      </c>
    </row>
    <row r="4832" spans="1:5">
      <c r="A4832" t="s">
        <v>37269</v>
      </c>
      <c r="B4832" t="s">
        <v>8203</v>
      </c>
      <c r="C4832">
        <f>0.321187526209</f>
        <v>0.32118752620899998</v>
      </c>
      <c r="D4832">
        <v>0.99996209383800005</v>
      </c>
      <c r="E4832">
        <v>3.6840000000000002</v>
      </c>
    </row>
    <row r="4833" spans="1:5">
      <c r="A4833" t="s">
        <v>37269</v>
      </c>
      <c r="B4833" t="s">
        <v>8207</v>
      </c>
      <c r="C4833">
        <f>0</f>
        <v>0</v>
      </c>
      <c r="D4833">
        <v>0.99996209383800005</v>
      </c>
      <c r="E4833">
        <v>3.6840000000000002</v>
      </c>
    </row>
    <row r="4834" spans="1:5">
      <c r="A4834" t="s">
        <v>37269</v>
      </c>
      <c r="B4834" t="s">
        <v>8195</v>
      </c>
      <c r="C4834">
        <v>0.13106888481000001</v>
      </c>
      <c r="D4834">
        <v>0.99996209383800005</v>
      </c>
      <c r="E4834">
        <v>3.6840000000000002</v>
      </c>
    </row>
    <row r="4835" spans="1:5">
      <c r="A4835" t="s">
        <v>37269</v>
      </c>
      <c r="B4835" t="s">
        <v>8206</v>
      </c>
      <c r="C4835">
        <v>0.19350234553699999</v>
      </c>
      <c r="D4835">
        <v>0.99996209383800005</v>
      </c>
      <c r="E4835">
        <v>3.6840000000000002</v>
      </c>
    </row>
    <row r="4836" spans="1:5">
      <c r="A4836" t="s">
        <v>37269</v>
      </c>
      <c r="B4836" t="s">
        <v>8201</v>
      </c>
      <c r="C4836">
        <v>0.40335068131399998</v>
      </c>
      <c r="D4836">
        <v>0.99996209383800005</v>
      </c>
      <c r="E4836">
        <v>3.6840000000000002</v>
      </c>
    </row>
    <row r="4837" spans="1:5">
      <c r="A4837" t="s">
        <v>37269</v>
      </c>
      <c r="B4837" t="s">
        <v>8199</v>
      </c>
      <c r="C4837">
        <v>0.42924074943899998</v>
      </c>
      <c r="D4837">
        <v>0.99996209383800005</v>
      </c>
      <c r="E4837">
        <v>3.6840000000000002</v>
      </c>
    </row>
    <row r="4838" spans="1:5">
      <c r="A4838" t="s">
        <v>37269</v>
      </c>
      <c r="B4838" t="s">
        <v>8196</v>
      </c>
      <c r="C4838">
        <v>0</v>
      </c>
      <c r="D4838">
        <v>0.99996209383800005</v>
      </c>
      <c r="E4838">
        <v>3.6840000000000002</v>
      </c>
    </row>
    <row r="4839" spans="1:5">
      <c r="A4839" t="s">
        <v>37270</v>
      </c>
      <c r="B4839" t="s">
        <v>7680</v>
      </c>
      <c r="C4839">
        <v>0</v>
      </c>
      <c r="D4839">
        <v>0.94887911601599995</v>
      </c>
      <c r="E4839">
        <v>0</v>
      </c>
    </row>
    <row r="4840" spans="1:5">
      <c r="A4840" t="s">
        <v>37270</v>
      </c>
      <c r="B4840" t="s">
        <v>7685</v>
      </c>
      <c r="C4840">
        <f>0.468110770292</f>
        <v>0.46811077029199999</v>
      </c>
      <c r="D4840">
        <v>0.94887911601599995</v>
      </c>
      <c r="E4840">
        <v>0</v>
      </c>
    </row>
    <row r="4841" spans="1:5">
      <c r="A4841" t="s">
        <v>37270</v>
      </c>
      <c r="B4841" t="s">
        <v>7686</v>
      </c>
      <c r="C4841">
        <v>0</v>
      </c>
      <c r="D4841">
        <v>0.94887911601599995</v>
      </c>
      <c r="E4841">
        <v>0</v>
      </c>
    </row>
    <row r="4842" spans="1:5">
      <c r="A4842" t="s">
        <v>37270</v>
      </c>
      <c r="B4842" t="s">
        <v>7682</v>
      </c>
      <c r="C4842">
        <f>0.326484809558</f>
        <v>0.32648480955800002</v>
      </c>
      <c r="D4842">
        <v>0.94887911601599995</v>
      </c>
      <c r="E4842">
        <v>0</v>
      </c>
    </row>
    <row r="4843" spans="1:5">
      <c r="A4843" t="s">
        <v>37270</v>
      </c>
      <c r="B4843" t="s">
        <v>7687</v>
      </c>
      <c r="C4843">
        <f>0.061976669294</f>
        <v>6.1976669294000003E-2</v>
      </c>
      <c r="D4843">
        <v>0.94887911601599995</v>
      </c>
      <c r="E4843">
        <v>0</v>
      </c>
    </row>
    <row r="4844" spans="1:5">
      <c r="A4844" t="s">
        <v>37270</v>
      </c>
      <c r="B4844" t="s">
        <v>7683</v>
      </c>
      <c r="C4844">
        <f>0.292075989461</f>
        <v>0.292075989461</v>
      </c>
      <c r="D4844">
        <v>0.94887911601599995</v>
      </c>
      <c r="E4844">
        <v>0</v>
      </c>
    </row>
    <row r="4845" spans="1:5">
      <c r="A4845" t="s">
        <v>37270</v>
      </c>
      <c r="B4845" t="s">
        <v>7681</v>
      </c>
      <c r="C4845">
        <v>0</v>
      </c>
      <c r="D4845">
        <v>0.94887911601599995</v>
      </c>
      <c r="E4845">
        <v>0</v>
      </c>
    </row>
    <row r="4846" spans="1:5">
      <c r="A4846" t="s">
        <v>37270</v>
      </c>
      <c r="B4846" t="s">
        <v>7684</v>
      </c>
      <c r="C4846">
        <f>0</f>
        <v>0</v>
      </c>
      <c r="D4846">
        <v>0.94887911601599995</v>
      </c>
      <c r="E4846">
        <v>0</v>
      </c>
    </row>
    <row r="4847" spans="1:5">
      <c r="A4847" t="s">
        <v>37271</v>
      </c>
      <c r="B4847" t="s">
        <v>37272</v>
      </c>
      <c r="C4847">
        <f>0</f>
        <v>0</v>
      </c>
      <c r="D4847" t="s">
        <v>106</v>
      </c>
      <c r="E4847">
        <v>4.17</v>
      </c>
    </row>
    <row r="4848" spans="1:5">
      <c r="A4848" t="s">
        <v>37271</v>
      </c>
      <c r="B4848" t="s">
        <v>37273</v>
      </c>
      <c r="C4848">
        <v>0</v>
      </c>
      <c r="D4848" t="s">
        <v>106</v>
      </c>
      <c r="E4848">
        <v>4.17</v>
      </c>
    </row>
    <row r="4849" spans="1:5">
      <c r="A4849" t="s">
        <v>37271</v>
      </c>
      <c r="B4849" t="s">
        <v>37274</v>
      </c>
      <c r="C4849">
        <f>0</f>
        <v>0</v>
      </c>
      <c r="D4849" t="s">
        <v>106</v>
      </c>
      <c r="E4849">
        <v>4.17</v>
      </c>
    </row>
    <row r="4850" spans="1:5">
      <c r="A4850" t="s">
        <v>37275</v>
      </c>
      <c r="B4850" t="s">
        <v>12180</v>
      </c>
      <c r="C4850">
        <f>0.796174696171</f>
        <v>0.79617469617100001</v>
      </c>
      <c r="D4850">
        <v>0.9145655211</v>
      </c>
      <c r="E4850">
        <v>0.82799999999999996</v>
      </c>
    </row>
    <row r="4851" spans="1:5">
      <c r="A4851" t="s">
        <v>37275</v>
      </c>
      <c r="B4851" t="s">
        <v>12182</v>
      </c>
      <c r="C4851">
        <f>0</f>
        <v>0</v>
      </c>
      <c r="D4851">
        <v>0.9145655211</v>
      </c>
      <c r="E4851">
        <v>0.82799999999999996</v>
      </c>
    </row>
    <row r="4852" spans="1:5">
      <c r="A4852" t="s">
        <v>37275</v>
      </c>
      <c r="B4852" t="s">
        <v>12181</v>
      </c>
      <c r="C4852">
        <f>0</f>
        <v>0</v>
      </c>
      <c r="D4852">
        <v>0.9145655211</v>
      </c>
      <c r="E4852">
        <v>0.82799999999999996</v>
      </c>
    </row>
    <row r="4853" spans="1:5">
      <c r="A4853" t="s">
        <v>37275</v>
      </c>
      <c r="B4853" t="s">
        <v>12183</v>
      </c>
      <c r="C4853">
        <f>0.0331401985625</f>
        <v>3.3140198562500001E-2</v>
      </c>
      <c r="D4853">
        <v>0.9145655211</v>
      </c>
      <c r="E4853">
        <v>0.82799999999999996</v>
      </c>
    </row>
    <row r="4854" spans="1:5">
      <c r="A4854" t="s">
        <v>37275</v>
      </c>
      <c r="B4854" t="s">
        <v>12185</v>
      </c>
      <c r="C4854">
        <f>0.0410880202154</f>
        <v>4.1088020215399999E-2</v>
      </c>
      <c r="D4854">
        <v>0.9145655211</v>
      </c>
      <c r="E4854">
        <v>0.82799999999999996</v>
      </c>
    </row>
    <row r="4855" spans="1:5">
      <c r="A4855" t="s">
        <v>37276</v>
      </c>
      <c r="B4855" t="s">
        <v>21089</v>
      </c>
      <c r="C4855">
        <f>0</f>
        <v>0</v>
      </c>
      <c r="D4855" t="s">
        <v>106</v>
      </c>
      <c r="E4855">
        <v>11.706</v>
      </c>
    </row>
    <row r="4856" spans="1:5">
      <c r="A4856" t="s">
        <v>37276</v>
      </c>
      <c r="B4856" t="s">
        <v>21097</v>
      </c>
      <c r="C4856">
        <f>0</f>
        <v>0</v>
      </c>
      <c r="D4856" t="s">
        <v>106</v>
      </c>
      <c r="E4856">
        <v>11.706</v>
      </c>
    </row>
    <row r="4857" spans="1:5">
      <c r="A4857" t="s">
        <v>37276</v>
      </c>
      <c r="B4857" t="s">
        <v>21092</v>
      </c>
      <c r="C4857">
        <v>0</v>
      </c>
      <c r="D4857" t="s">
        <v>106</v>
      </c>
      <c r="E4857">
        <v>11.706</v>
      </c>
    </row>
    <row r="4858" spans="1:5">
      <c r="A4858" t="s">
        <v>37276</v>
      </c>
      <c r="B4858" t="s">
        <v>21091</v>
      </c>
      <c r="C4858">
        <f>0</f>
        <v>0</v>
      </c>
      <c r="D4858" t="s">
        <v>106</v>
      </c>
      <c r="E4858">
        <v>11.706</v>
      </c>
    </row>
    <row r="4859" spans="1:5">
      <c r="A4859" t="s">
        <v>37276</v>
      </c>
      <c r="B4859" t="s">
        <v>21094</v>
      </c>
      <c r="C4859">
        <f>0</f>
        <v>0</v>
      </c>
      <c r="D4859" t="s">
        <v>106</v>
      </c>
      <c r="E4859">
        <v>11.706</v>
      </c>
    </row>
    <row r="4860" spans="1:5">
      <c r="A4860" t="s">
        <v>37276</v>
      </c>
      <c r="B4860" t="s">
        <v>21095</v>
      </c>
      <c r="C4860">
        <f>0</f>
        <v>0</v>
      </c>
      <c r="D4860" t="s">
        <v>106</v>
      </c>
      <c r="E4860">
        <v>11.706</v>
      </c>
    </row>
    <row r="4861" spans="1:5">
      <c r="A4861" t="s">
        <v>37276</v>
      </c>
      <c r="B4861" t="s">
        <v>21093</v>
      </c>
      <c r="C4861">
        <f>0</f>
        <v>0</v>
      </c>
      <c r="D4861" t="s">
        <v>106</v>
      </c>
      <c r="E4861">
        <v>11.706</v>
      </c>
    </row>
    <row r="4862" spans="1:5">
      <c r="A4862" t="s">
        <v>37277</v>
      </c>
      <c r="B4862" t="s">
        <v>3406</v>
      </c>
      <c r="C4862">
        <f>0</f>
        <v>0</v>
      </c>
      <c r="D4862">
        <v>0.70166825471000005</v>
      </c>
      <c r="E4862">
        <v>6.9359999999999999</v>
      </c>
    </row>
    <row r="4863" spans="1:5">
      <c r="A4863" t="s">
        <v>37277</v>
      </c>
      <c r="B4863" t="s">
        <v>3403</v>
      </c>
      <c r="C4863">
        <f>0.50805825471</f>
        <v>0.50805825470999999</v>
      </c>
      <c r="D4863">
        <v>0.70166825471000005</v>
      </c>
      <c r="E4863">
        <v>6.9359999999999999</v>
      </c>
    </row>
    <row r="4864" spans="1:5">
      <c r="A4864" t="s">
        <v>37277</v>
      </c>
      <c r="B4864" t="s">
        <v>3407</v>
      </c>
      <c r="C4864">
        <f>0</f>
        <v>0</v>
      </c>
      <c r="D4864">
        <v>0.70166825471000005</v>
      </c>
      <c r="E4864">
        <v>6.9359999999999999</v>
      </c>
    </row>
    <row r="4865" spans="1:5">
      <c r="A4865" t="s">
        <v>37278</v>
      </c>
      <c r="B4865" t="s">
        <v>37279</v>
      </c>
      <c r="C4865">
        <f>0.76796889792</f>
        <v>0.76796889792</v>
      </c>
      <c r="D4865">
        <v>0.80824045116200005</v>
      </c>
      <c r="E4865">
        <v>24</v>
      </c>
    </row>
    <row r="4866" spans="1:5">
      <c r="A4866" t="s">
        <v>37278</v>
      </c>
      <c r="B4866" t="s">
        <v>37280</v>
      </c>
      <c r="C4866">
        <f>0.132301422868</f>
        <v>0.13230142286800001</v>
      </c>
      <c r="D4866">
        <v>0.80824045116200005</v>
      </c>
      <c r="E4866">
        <v>24</v>
      </c>
    </row>
    <row r="4867" spans="1:5">
      <c r="A4867" t="s">
        <v>37281</v>
      </c>
      <c r="B4867" t="s">
        <v>2496</v>
      </c>
      <c r="C4867">
        <v>0.67422804065300002</v>
      </c>
      <c r="D4867">
        <v>0.62389017750499998</v>
      </c>
      <c r="E4867">
        <v>2.3279999999999998</v>
      </c>
    </row>
    <row r="4868" spans="1:5">
      <c r="A4868" t="s">
        <v>37281</v>
      </c>
      <c r="B4868" t="s">
        <v>2500</v>
      </c>
      <c r="C4868">
        <f>0.0721017045639</f>
        <v>7.2101704563899999E-2</v>
      </c>
      <c r="D4868">
        <v>0.62389017750499998</v>
      </c>
      <c r="E4868">
        <v>2.3279999999999998</v>
      </c>
    </row>
    <row r="4869" spans="1:5">
      <c r="A4869" t="s">
        <v>37282</v>
      </c>
      <c r="B4869" t="s">
        <v>10187</v>
      </c>
      <c r="C4869">
        <v>0.83171947472700003</v>
      </c>
      <c r="D4869">
        <v>0.75875286024099997</v>
      </c>
      <c r="E4869">
        <v>8.4000000000000005E-2</v>
      </c>
    </row>
    <row r="4870" spans="1:5">
      <c r="A4870" t="s">
        <v>37282</v>
      </c>
      <c r="B4870" t="s">
        <v>10188</v>
      </c>
      <c r="C4870">
        <v>0.32076436913200002</v>
      </c>
      <c r="D4870">
        <v>0.75875286024099997</v>
      </c>
      <c r="E4870">
        <v>8.4000000000000005E-2</v>
      </c>
    </row>
    <row r="4871" spans="1:5">
      <c r="A4871" t="s">
        <v>37283</v>
      </c>
      <c r="B4871" t="s">
        <v>37284</v>
      </c>
      <c r="C4871">
        <f>0.550615021921</f>
        <v>0.55061502192099998</v>
      </c>
      <c r="D4871">
        <v>0.76898565049800005</v>
      </c>
      <c r="E4871">
        <v>23.754000000000001</v>
      </c>
    </row>
    <row r="4872" spans="1:5">
      <c r="A4872" t="s">
        <v>37283</v>
      </c>
      <c r="B4872" t="s">
        <v>37285</v>
      </c>
      <c r="C4872">
        <f>0</f>
        <v>0</v>
      </c>
      <c r="D4872">
        <v>0.76898565049800005</v>
      </c>
      <c r="E4872">
        <v>23.754000000000001</v>
      </c>
    </row>
    <row r="4873" spans="1:5">
      <c r="A4873" t="s">
        <v>37283</v>
      </c>
      <c r="B4873" t="s">
        <v>37286</v>
      </c>
      <c r="C4873">
        <f>0</f>
        <v>0</v>
      </c>
      <c r="D4873">
        <v>0.76898565049800005</v>
      </c>
      <c r="E4873">
        <v>23.754000000000001</v>
      </c>
    </row>
    <row r="4874" spans="1:5">
      <c r="A4874" t="s">
        <v>37283</v>
      </c>
      <c r="B4874" t="s">
        <v>37287</v>
      </c>
      <c r="C4874">
        <f>0</f>
        <v>0</v>
      </c>
      <c r="D4874">
        <v>0.76898565049800005</v>
      </c>
      <c r="E4874">
        <v>23.754000000000001</v>
      </c>
    </row>
    <row r="4875" spans="1:5">
      <c r="A4875" t="s">
        <v>37283</v>
      </c>
      <c r="B4875" t="s">
        <v>37288</v>
      </c>
      <c r="C4875">
        <v>7.6710851229399996E-2</v>
      </c>
      <c r="D4875">
        <v>0.76898565049800005</v>
      </c>
      <c r="E4875">
        <v>23.754000000000001</v>
      </c>
    </row>
    <row r="4876" spans="1:5">
      <c r="A4876" t="s">
        <v>37289</v>
      </c>
      <c r="B4876" t="s">
        <v>6720</v>
      </c>
      <c r="C4876">
        <v>0.98325941778000003</v>
      </c>
      <c r="D4876">
        <v>0.99080664571999999</v>
      </c>
      <c r="E4876">
        <v>0</v>
      </c>
    </row>
    <row r="4877" spans="1:5">
      <c r="A4877" t="s">
        <v>37289</v>
      </c>
      <c r="B4877" t="s">
        <v>6723</v>
      </c>
      <c r="C4877">
        <v>1.61243862269</v>
      </c>
      <c r="D4877">
        <v>0.99080664571999999</v>
      </c>
      <c r="E4877">
        <v>0</v>
      </c>
    </row>
    <row r="4878" spans="1:5">
      <c r="A4878" t="s">
        <v>37289</v>
      </c>
      <c r="B4878" t="s">
        <v>6722</v>
      </c>
      <c r="C4878">
        <v>0.44177070941899999</v>
      </c>
      <c r="D4878">
        <v>0.99080664571999999</v>
      </c>
      <c r="E4878">
        <v>0</v>
      </c>
    </row>
    <row r="4879" spans="1:5">
      <c r="A4879" t="s">
        <v>37289</v>
      </c>
      <c r="B4879" t="s">
        <v>6727</v>
      </c>
      <c r="C4879">
        <f>-1.53755701773</f>
        <v>-1.53755701773</v>
      </c>
      <c r="D4879">
        <v>0.99080664571999999</v>
      </c>
      <c r="E4879">
        <v>0</v>
      </c>
    </row>
    <row r="4880" spans="1:5">
      <c r="A4880" t="s">
        <v>37289</v>
      </c>
      <c r="B4880" t="s">
        <v>6725</v>
      </c>
      <c r="C4880">
        <f>0.0268321398145</f>
        <v>2.68321398145E-2</v>
      </c>
      <c r="D4880">
        <v>0.99080664571999999</v>
      </c>
      <c r="E4880">
        <v>0</v>
      </c>
    </row>
    <row r="4881" spans="1:5">
      <c r="A4881" t="s">
        <v>37289</v>
      </c>
      <c r="B4881" t="s">
        <v>6724</v>
      </c>
      <c r="C4881">
        <v>0.42933406679800001</v>
      </c>
      <c r="D4881">
        <v>0.99080664571999999</v>
      </c>
      <c r="E4881">
        <v>0</v>
      </c>
    </row>
    <row r="4882" spans="1:5">
      <c r="A4882" t="s">
        <v>37290</v>
      </c>
      <c r="B4882" t="s">
        <v>1596</v>
      </c>
      <c r="C4882">
        <v>0</v>
      </c>
      <c r="D4882" t="s">
        <v>106</v>
      </c>
      <c r="E4882">
        <v>0</v>
      </c>
    </row>
    <row r="4883" spans="1:5">
      <c r="A4883" t="s">
        <v>37290</v>
      </c>
      <c r="B4883" t="s">
        <v>1597</v>
      </c>
      <c r="C4883">
        <v>0</v>
      </c>
      <c r="D4883" t="s">
        <v>106</v>
      </c>
      <c r="E4883">
        <v>0</v>
      </c>
    </row>
    <row r="4884" spans="1:5">
      <c r="A4884" t="s">
        <v>37290</v>
      </c>
      <c r="B4884" t="s">
        <v>1598</v>
      </c>
      <c r="C4884">
        <f>0</f>
        <v>0</v>
      </c>
      <c r="D4884" t="s">
        <v>106</v>
      </c>
      <c r="E4884">
        <v>0</v>
      </c>
    </row>
    <row r="4885" spans="1:5">
      <c r="A4885" t="s">
        <v>37290</v>
      </c>
      <c r="B4885" t="s">
        <v>1595</v>
      </c>
      <c r="C4885">
        <v>0</v>
      </c>
      <c r="D4885" t="s">
        <v>106</v>
      </c>
      <c r="E4885">
        <v>0</v>
      </c>
    </row>
    <row r="4886" spans="1:5">
      <c r="A4886" t="s">
        <v>37291</v>
      </c>
      <c r="B4886" t="s">
        <v>10705</v>
      </c>
      <c r="C4886">
        <v>0</v>
      </c>
      <c r="D4886">
        <v>0.80344920534999997</v>
      </c>
      <c r="E4886">
        <v>0.318</v>
      </c>
    </row>
    <row r="4887" spans="1:5">
      <c r="A4887" t="s">
        <v>37291</v>
      </c>
      <c r="B4887" t="s">
        <v>10707</v>
      </c>
      <c r="C4887">
        <f>0.558472776933</f>
        <v>0.55847277693300001</v>
      </c>
      <c r="D4887">
        <v>0.80344920534999997</v>
      </c>
      <c r="E4887">
        <v>0.318</v>
      </c>
    </row>
    <row r="4888" spans="1:5">
      <c r="A4888" t="s">
        <v>37291</v>
      </c>
      <c r="B4888" t="s">
        <v>10708</v>
      </c>
      <c r="C4888">
        <f>0</f>
        <v>0</v>
      </c>
      <c r="D4888">
        <v>0.80344920534999997</v>
      </c>
      <c r="E4888">
        <v>0.318</v>
      </c>
    </row>
    <row r="4889" spans="1:5">
      <c r="A4889" t="s">
        <v>37291</v>
      </c>
      <c r="B4889" t="s">
        <v>10706</v>
      </c>
      <c r="C4889">
        <f>0.026497995411</f>
        <v>2.6497995411000001E-2</v>
      </c>
      <c r="D4889">
        <v>0.80344920534999997</v>
      </c>
      <c r="E4889">
        <v>0.318</v>
      </c>
    </row>
    <row r="4890" spans="1:5">
      <c r="A4890" t="s">
        <v>37292</v>
      </c>
      <c r="B4890" t="s">
        <v>14107</v>
      </c>
      <c r="C4890">
        <f>0.96834097314</f>
        <v>0.96834097314000001</v>
      </c>
      <c r="D4890">
        <v>0.93844081872700003</v>
      </c>
      <c r="E4890">
        <v>7.8719999999999999</v>
      </c>
    </row>
    <row r="4891" spans="1:5">
      <c r="A4891" t="s">
        <v>37292</v>
      </c>
      <c r="B4891" t="s">
        <v>14116</v>
      </c>
      <c r="C4891">
        <f>0</f>
        <v>0</v>
      </c>
      <c r="D4891">
        <v>0.93844081872700003</v>
      </c>
      <c r="E4891">
        <v>7.8719999999999999</v>
      </c>
    </row>
    <row r="4892" spans="1:5">
      <c r="A4892" t="s">
        <v>37292</v>
      </c>
      <c r="B4892" t="s">
        <v>14108</v>
      </c>
      <c r="C4892">
        <f>0.487000252229</f>
        <v>0.48700025222900001</v>
      </c>
      <c r="D4892">
        <v>0.93844081872700003</v>
      </c>
      <c r="E4892">
        <v>7.8719999999999999</v>
      </c>
    </row>
    <row r="4893" spans="1:5">
      <c r="A4893" t="s">
        <v>37292</v>
      </c>
      <c r="B4893" t="s">
        <v>14111</v>
      </c>
      <c r="C4893">
        <f>0</f>
        <v>0</v>
      </c>
      <c r="D4893">
        <v>0.93844081872700003</v>
      </c>
      <c r="E4893">
        <v>7.8719999999999999</v>
      </c>
    </row>
    <row r="4894" spans="1:5">
      <c r="A4894" t="s">
        <v>37292</v>
      </c>
      <c r="B4894" t="s">
        <v>14112</v>
      </c>
      <c r="C4894">
        <v>2.43388909373E-2</v>
      </c>
      <c r="D4894">
        <v>0.93844081872700003</v>
      </c>
      <c r="E4894">
        <v>7.8719999999999999</v>
      </c>
    </row>
    <row r="4895" spans="1:5">
      <c r="A4895" t="s">
        <v>37292</v>
      </c>
      <c r="B4895" t="s">
        <v>14110</v>
      </c>
      <c r="C4895">
        <v>0.21752497589200001</v>
      </c>
      <c r="D4895">
        <v>0.93844081872700003</v>
      </c>
      <c r="E4895">
        <v>7.8719999999999999</v>
      </c>
    </row>
    <row r="4896" spans="1:5">
      <c r="A4896" t="s">
        <v>37292</v>
      </c>
      <c r="B4896" t="s">
        <v>14114</v>
      </c>
      <c r="C4896">
        <v>0</v>
      </c>
      <c r="D4896">
        <v>0.93844081872700003</v>
      </c>
      <c r="E4896">
        <v>7.8719999999999999</v>
      </c>
    </row>
    <row r="4897" spans="1:5">
      <c r="A4897" t="s">
        <v>37293</v>
      </c>
      <c r="B4897" t="s">
        <v>29137</v>
      </c>
      <c r="C4897">
        <v>0</v>
      </c>
      <c r="D4897" t="s">
        <v>106</v>
      </c>
      <c r="E4897">
        <v>22.806000000000001</v>
      </c>
    </row>
    <row r="4898" spans="1:5">
      <c r="A4898" t="s">
        <v>37293</v>
      </c>
      <c r="B4898" t="s">
        <v>29139</v>
      </c>
      <c r="C4898">
        <v>0</v>
      </c>
      <c r="D4898" t="s">
        <v>106</v>
      </c>
      <c r="E4898">
        <v>22.806000000000001</v>
      </c>
    </row>
    <row r="4899" spans="1:5">
      <c r="A4899" t="s">
        <v>37293</v>
      </c>
      <c r="B4899" t="s">
        <v>29141</v>
      </c>
      <c r="C4899">
        <v>0</v>
      </c>
      <c r="D4899" t="s">
        <v>106</v>
      </c>
      <c r="E4899">
        <v>22.806000000000001</v>
      </c>
    </row>
    <row r="4900" spans="1:5">
      <c r="A4900" t="s">
        <v>37293</v>
      </c>
      <c r="B4900" t="s">
        <v>29138</v>
      </c>
      <c r="C4900">
        <v>0</v>
      </c>
      <c r="D4900" t="s">
        <v>106</v>
      </c>
      <c r="E4900">
        <v>22.806000000000001</v>
      </c>
    </row>
    <row r="4901" spans="1:5">
      <c r="A4901" t="s">
        <v>37294</v>
      </c>
      <c r="B4901" t="s">
        <v>24450</v>
      </c>
      <c r="C4901">
        <v>0.90762655749999999</v>
      </c>
      <c r="D4901">
        <v>0.94604545931600004</v>
      </c>
      <c r="E4901">
        <v>24</v>
      </c>
    </row>
    <row r="4902" spans="1:5">
      <c r="A4902" t="s">
        <v>37294</v>
      </c>
      <c r="B4902" t="s">
        <v>24452</v>
      </c>
      <c r="C4902">
        <f>0.805196770231</f>
        <v>0.805196770231</v>
      </c>
      <c r="D4902">
        <v>0.94604545931600004</v>
      </c>
      <c r="E4902">
        <v>24</v>
      </c>
    </row>
    <row r="4903" spans="1:5">
      <c r="A4903" t="s">
        <v>37294</v>
      </c>
      <c r="B4903" t="s">
        <v>24451</v>
      </c>
      <c r="C4903">
        <v>1.04159461289</v>
      </c>
      <c r="D4903">
        <v>0.94604545931600004</v>
      </c>
      <c r="E4903">
        <v>24</v>
      </c>
    </row>
    <row r="4904" spans="1:5">
      <c r="A4904" t="s">
        <v>37294</v>
      </c>
      <c r="B4904" t="s">
        <v>24454</v>
      </c>
      <c r="C4904">
        <f>0.0126361014654</f>
        <v>1.26361014654E-2</v>
      </c>
      <c r="D4904">
        <v>0.94604545931600004</v>
      </c>
      <c r="E4904">
        <v>24</v>
      </c>
    </row>
    <row r="4905" spans="1:5">
      <c r="A4905" t="s">
        <v>37295</v>
      </c>
      <c r="B4905" t="s">
        <v>18881</v>
      </c>
      <c r="C4905">
        <f>0.728714090231</f>
        <v>0.72871409023099998</v>
      </c>
      <c r="D4905">
        <v>0.99998876953799998</v>
      </c>
      <c r="E4905">
        <v>23.754000000000001</v>
      </c>
    </row>
    <row r="4906" spans="1:5">
      <c r="A4906" t="s">
        <v>37295</v>
      </c>
      <c r="B4906" t="s">
        <v>18893</v>
      </c>
      <c r="C4906">
        <f>0.034870935236</f>
        <v>3.4870935236000003E-2</v>
      </c>
      <c r="D4906">
        <v>0.99998876953799998</v>
      </c>
      <c r="E4906">
        <v>23.754000000000001</v>
      </c>
    </row>
    <row r="4907" spans="1:5">
      <c r="A4907" t="s">
        <v>37295</v>
      </c>
      <c r="B4907" t="s">
        <v>18896</v>
      </c>
      <c r="C4907">
        <v>1.13287188542E-2</v>
      </c>
      <c r="D4907">
        <v>0.99998876953799998</v>
      </c>
      <c r="E4907">
        <v>23.754000000000001</v>
      </c>
    </row>
    <row r="4908" spans="1:5">
      <c r="A4908" t="s">
        <v>37295</v>
      </c>
      <c r="B4908" t="s">
        <v>18891</v>
      </c>
      <c r="C4908">
        <f>0.141994367088</f>
        <v>0.14199436708800001</v>
      </c>
      <c r="D4908">
        <v>0.99998876953799998</v>
      </c>
      <c r="E4908">
        <v>23.754000000000001</v>
      </c>
    </row>
    <row r="4909" spans="1:5">
      <c r="A4909" t="s">
        <v>37295</v>
      </c>
      <c r="B4909" t="s">
        <v>18895</v>
      </c>
      <c r="C4909">
        <f>0.0552939163085</f>
        <v>5.5293916308500002E-2</v>
      </c>
      <c r="D4909">
        <v>0.99998876953799998</v>
      </c>
      <c r="E4909">
        <v>23.754000000000001</v>
      </c>
    </row>
    <row r="4910" spans="1:5">
      <c r="A4910" t="s">
        <v>37295</v>
      </c>
      <c r="B4910" t="s">
        <v>18887</v>
      </c>
      <c r="C4910">
        <f>0.0854177104278</f>
        <v>8.5417710427799998E-2</v>
      </c>
      <c r="D4910">
        <v>0.99998876953799998</v>
      </c>
      <c r="E4910">
        <v>23.754000000000001</v>
      </c>
    </row>
    <row r="4911" spans="1:5">
      <c r="A4911" t="s">
        <v>37295</v>
      </c>
      <c r="B4911" t="s">
        <v>18897</v>
      </c>
      <c r="C4911">
        <f>0</f>
        <v>0</v>
      </c>
      <c r="D4911">
        <v>0.99998876953799998</v>
      </c>
      <c r="E4911">
        <v>23.754000000000001</v>
      </c>
    </row>
    <row r="4912" spans="1:5">
      <c r="A4912" t="s">
        <v>37295</v>
      </c>
      <c r="B4912" t="s">
        <v>18884</v>
      </c>
      <c r="C4912">
        <f>0</f>
        <v>0</v>
      </c>
      <c r="D4912">
        <v>0.99998876953799998</v>
      </c>
      <c r="E4912">
        <v>23.754000000000001</v>
      </c>
    </row>
    <row r="4913" spans="1:5">
      <c r="A4913" t="s">
        <v>37295</v>
      </c>
      <c r="B4913" t="s">
        <v>18885</v>
      </c>
      <c r="C4913">
        <v>0.45864443904399999</v>
      </c>
      <c r="D4913">
        <v>0.99998876953799998</v>
      </c>
      <c r="E4913">
        <v>23.754000000000001</v>
      </c>
    </row>
    <row r="4914" spans="1:5">
      <c r="A4914" t="s">
        <v>37295</v>
      </c>
      <c r="B4914" t="s">
        <v>18883</v>
      </c>
      <c r="C4914">
        <f>0.15667005895</f>
        <v>0.15667005895</v>
      </c>
      <c r="D4914">
        <v>0.99998876953799998</v>
      </c>
      <c r="E4914">
        <v>23.754000000000001</v>
      </c>
    </row>
    <row r="4915" spans="1:5">
      <c r="A4915" t="s">
        <v>37296</v>
      </c>
      <c r="B4915" t="s">
        <v>19396</v>
      </c>
      <c r="C4915">
        <v>0</v>
      </c>
      <c r="D4915">
        <v>0.620331760402</v>
      </c>
      <c r="E4915">
        <v>0.318</v>
      </c>
    </row>
    <row r="4916" spans="1:5">
      <c r="A4916" t="s">
        <v>37296</v>
      </c>
      <c r="B4916" t="s">
        <v>19397</v>
      </c>
      <c r="C4916">
        <f>0.210721760402</f>
        <v>0.210721760402</v>
      </c>
      <c r="D4916">
        <v>0.620331760402</v>
      </c>
      <c r="E4916">
        <v>0.318</v>
      </c>
    </row>
    <row r="4917" spans="1:5">
      <c r="A4917" t="s">
        <v>37296</v>
      </c>
      <c r="B4917" t="s">
        <v>19400</v>
      </c>
      <c r="C4917">
        <f>0</f>
        <v>0</v>
      </c>
      <c r="D4917">
        <v>0.620331760402</v>
      </c>
      <c r="E4917">
        <v>0.318</v>
      </c>
    </row>
    <row r="4918" spans="1:5">
      <c r="A4918" t="s">
        <v>37296</v>
      </c>
      <c r="B4918" t="s">
        <v>19398</v>
      </c>
      <c r="C4918">
        <f>0</f>
        <v>0</v>
      </c>
      <c r="D4918">
        <v>0.620331760402</v>
      </c>
      <c r="E4918">
        <v>0.318</v>
      </c>
    </row>
    <row r="4919" spans="1:5">
      <c r="A4919" t="s">
        <v>37296</v>
      </c>
      <c r="B4919" t="s">
        <v>19399</v>
      </c>
      <c r="C4919">
        <v>0</v>
      </c>
      <c r="D4919">
        <v>0.620331760402</v>
      </c>
      <c r="E4919">
        <v>0.318</v>
      </c>
    </row>
    <row r="4920" spans="1:5">
      <c r="A4920" t="s">
        <v>37297</v>
      </c>
      <c r="B4920" t="s">
        <v>30023</v>
      </c>
      <c r="C4920">
        <f>0</f>
        <v>0</v>
      </c>
      <c r="D4920" t="s">
        <v>106</v>
      </c>
      <c r="E4920">
        <v>2.802</v>
      </c>
    </row>
    <row r="4921" spans="1:5">
      <c r="A4921" t="s">
        <v>37297</v>
      </c>
      <c r="B4921" t="s">
        <v>30027</v>
      </c>
      <c r="C4921">
        <f>0</f>
        <v>0</v>
      </c>
      <c r="D4921" t="s">
        <v>106</v>
      </c>
      <c r="E4921">
        <v>2.802</v>
      </c>
    </row>
    <row r="4922" spans="1:5">
      <c r="A4922" t="s">
        <v>37297</v>
      </c>
      <c r="B4922" t="s">
        <v>30038</v>
      </c>
      <c r="C4922">
        <f>0</f>
        <v>0</v>
      </c>
      <c r="D4922" t="s">
        <v>106</v>
      </c>
      <c r="E4922">
        <v>2.802</v>
      </c>
    </row>
    <row r="4923" spans="1:5">
      <c r="A4923" t="s">
        <v>37297</v>
      </c>
      <c r="B4923" t="s">
        <v>37298</v>
      </c>
      <c r="C4923">
        <v>0</v>
      </c>
      <c r="D4923" t="s">
        <v>106</v>
      </c>
      <c r="E4923">
        <v>2.802</v>
      </c>
    </row>
    <row r="4924" spans="1:5">
      <c r="A4924" t="s">
        <v>37299</v>
      </c>
      <c r="B4924" t="s">
        <v>37300</v>
      </c>
      <c r="C4924">
        <v>0.62256811890599995</v>
      </c>
      <c r="D4924">
        <v>0.80664657779000004</v>
      </c>
      <c r="E4924">
        <v>23.754000000000001</v>
      </c>
    </row>
    <row r="4925" spans="1:5">
      <c r="A4925" t="s">
        <v>37299</v>
      </c>
      <c r="B4925" t="s">
        <v>37301</v>
      </c>
      <c r="C4925">
        <v>0.147093559367</v>
      </c>
      <c r="D4925">
        <v>0.80664657779000004</v>
      </c>
      <c r="E4925">
        <v>23.754000000000001</v>
      </c>
    </row>
    <row r="4926" spans="1:5">
      <c r="A4926" t="s">
        <v>37299</v>
      </c>
      <c r="B4926" t="s">
        <v>37302</v>
      </c>
      <c r="C4926">
        <v>0</v>
      </c>
      <c r="D4926">
        <v>0.80664657779000004</v>
      </c>
      <c r="E4926">
        <v>23.754000000000001</v>
      </c>
    </row>
    <row r="4927" spans="1:5">
      <c r="A4927" t="s">
        <v>37303</v>
      </c>
      <c r="B4927" t="s">
        <v>14408</v>
      </c>
      <c r="C4927">
        <f>0.324423820857</f>
        <v>0.324423820857</v>
      </c>
      <c r="D4927">
        <v>0.518033820857</v>
      </c>
      <c r="E4927">
        <v>2.964</v>
      </c>
    </row>
    <row r="4928" spans="1:5">
      <c r="A4928" t="s">
        <v>37303</v>
      </c>
      <c r="B4928" t="s">
        <v>14409</v>
      </c>
      <c r="C4928">
        <f>0</f>
        <v>0</v>
      </c>
      <c r="D4928">
        <v>0.518033820857</v>
      </c>
      <c r="E4928">
        <v>2.964</v>
      </c>
    </row>
    <row r="4929" spans="1:5">
      <c r="A4929" t="s">
        <v>37304</v>
      </c>
      <c r="B4929" t="s">
        <v>3883</v>
      </c>
      <c r="C4929">
        <v>0</v>
      </c>
      <c r="D4929">
        <v>0.65009589159000003</v>
      </c>
      <c r="E4929">
        <v>1.6379999999999999</v>
      </c>
    </row>
    <row r="4930" spans="1:5">
      <c r="A4930" t="s">
        <v>37304</v>
      </c>
      <c r="B4930" t="s">
        <v>3884</v>
      </c>
      <c r="C4930">
        <v>0.29008589158999998</v>
      </c>
      <c r="D4930">
        <v>0.65009589159000003</v>
      </c>
      <c r="E4930">
        <v>1.6379999999999999</v>
      </c>
    </row>
    <row r="4931" spans="1:5">
      <c r="A4931" t="s">
        <v>37305</v>
      </c>
      <c r="B4931" t="s">
        <v>37306</v>
      </c>
      <c r="C4931">
        <v>0.91615610616700005</v>
      </c>
      <c r="D4931">
        <v>0.91684738122800002</v>
      </c>
      <c r="E4931">
        <v>6.06</v>
      </c>
    </row>
    <row r="4932" spans="1:5">
      <c r="A4932" t="s">
        <v>37305</v>
      </c>
      <c r="B4932" t="s">
        <v>37307</v>
      </c>
      <c r="C4932">
        <v>5.4074238322500004E-3</v>
      </c>
      <c r="D4932">
        <v>0.91684738122800002</v>
      </c>
      <c r="E4932">
        <v>6.06</v>
      </c>
    </row>
    <row r="4933" spans="1:5">
      <c r="A4933" t="s">
        <v>37308</v>
      </c>
      <c r="B4933" t="s">
        <v>17150</v>
      </c>
      <c r="C4933">
        <f>0.41217682871</f>
        <v>0.41217682871</v>
      </c>
      <c r="D4933">
        <v>0.68258682870999998</v>
      </c>
      <c r="E4933">
        <v>0</v>
      </c>
    </row>
    <row r="4934" spans="1:5">
      <c r="A4934" t="s">
        <v>37308</v>
      </c>
      <c r="B4934" t="s">
        <v>17152</v>
      </c>
      <c r="C4934">
        <v>0</v>
      </c>
      <c r="D4934">
        <v>0.68258682870999998</v>
      </c>
      <c r="E4934">
        <v>0</v>
      </c>
    </row>
    <row r="4935" spans="1:5">
      <c r="A4935" t="s">
        <v>37309</v>
      </c>
      <c r="B4935" t="s">
        <v>37310</v>
      </c>
      <c r="C4935">
        <f>0.234859656017</f>
        <v>0.23485965601700001</v>
      </c>
      <c r="D4935">
        <v>0.87520040248300002</v>
      </c>
      <c r="E4935">
        <v>23.754000000000001</v>
      </c>
    </row>
    <row r="4936" spans="1:5">
      <c r="A4936" t="s">
        <v>37309</v>
      </c>
      <c r="B4936" t="s">
        <v>37311</v>
      </c>
      <c r="C4936">
        <v>0.67295607163899995</v>
      </c>
      <c r="D4936">
        <v>0.87520040248300002</v>
      </c>
      <c r="E4936">
        <v>23.754000000000001</v>
      </c>
    </row>
    <row r="4937" spans="1:5">
      <c r="A4937" t="s">
        <v>37309</v>
      </c>
      <c r="B4937" t="s">
        <v>37312</v>
      </c>
      <c r="C4937">
        <v>0.41221995970699998</v>
      </c>
      <c r="D4937">
        <v>0.87520040248300002</v>
      </c>
      <c r="E4937">
        <v>23.754000000000001</v>
      </c>
    </row>
    <row r="4938" spans="1:5">
      <c r="A4938" t="s">
        <v>37313</v>
      </c>
      <c r="B4938" t="s">
        <v>37314</v>
      </c>
      <c r="C4938">
        <f>0</f>
        <v>0</v>
      </c>
      <c r="D4938">
        <v>0.69224189309899997</v>
      </c>
      <c r="E4938">
        <v>3.8759999999999999</v>
      </c>
    </row>
    <row r="4939" spans="1:5">
      <c r="A4939" t="s">
        <v>37313</v>
      </c>
      <c r="B4939" t="s">
        <v>37315</v>
      </c>
      <c r="C4939">
        <v>0</v>
      </c>
      <c r="D4939">
        <v>0.69224189309899997</v>
      </c>
      <c r="E4939">
        <v>3.8759999999999999</v>
      </c>
    </row>
    <row r="4940" spans="1:5">
      <c r="A4940" t="s">
        <v>37313</v>
      </c>
      <c r="B4940" t="s">
        <v>37316</v>
      </c>
      <c r="C4940">
        <v>0.42183189309899999</v>
      </c>
      <c r="D4940">
        <v>0.69224189309899997</v>
      </c>
      <c r="E4940">
        <v>3.8759999999999999</v>
      </c>
    </row>
    <row r="4941" spans="1:5">
      <c r="A4941" t="s">
        <v>37313</v>
      </c>
      <c r="B4941" t="s">
        <v>37317</v>
      </c>
      <c r="C4941">
        <v>0</v>
      </c>
      <c r="D4941">
        <v>0.69224189309899997</v>
      </c>
      <c r="E4941">
        <v>3.8759999999999999</v>
      </c>
    </row>
    <row r="4942" spans="1:5">
      <c r="A4942" t="s">
        <v>37313</v>
      </c>
      <c r="B4942" t="s">
        <v>37318</v>
      </c>
      <c r="C4942">
        <v>0</v>
      </c>
      <c r="D4942">
        <v>0.69224189309899997</v>
      </c>
      <c r="E4942">
        <v>3.8759999999999999</v>
      </c>
    </row>
    <row r="4943" spans="1:5">
      <c r="A4943" t="s">
        <v>37313</v>
      </c>
      <c r="B4943" t="s">
        <v>37319</v>
      </c>
      <c r="C4943">
        <f>0</f>
        <v>0</v>
      </c>
      <c r="D4943">
        <v>0.69224189309899997</v>
      </c>
      <c r="E4943">
        <v>3.8759999999999999</v>
      </c>
    </row>
    <row r="4944" spans="1:5">
      <c r="A4944" t="s">
        <v>37320</v>
      </c>
      <c r="B4944" t="s">
        <v>15379</v>
      </c>
      <c r="C4944">
        <v>0.31424838302199998</v>
      </c>
      <c r="D4944">
        <v>0.95842999193699996</v>
      </c>
      <c r="E4944">
        <v>24</v>
      </c>
    </row>
    <row r="4945" spans="1:5">
      <c r="A4945" t="s">
        <v>37320</v>
      </c>
      <c r="B4945" t="s">
        <v>15382</v>
      </c>
      <c r="C4945">
        <v>0.98695567071300006</v>
      </c>
      <c r="D4945">
        <v>0.95842999193699996</v>
      </c>
      <c r="E4945">
        <v>24</v>
      </c>
    </row>
    <row r="4946" spans="1:5">
      <c r="A4946" t="s">
        <v>37320</v>
      </c>
      <c r="B4946" t="s">
        <v>15380</v>
      </c>
      <c r="C4946">
        <f>0.417663459064</f>
        <v>0.41766345906399999</v>
      </c>
      <c r="D4946">
        <v>0.95842999193699996</v>
      </c>
      <c r="E4946">
        <v>24</v>
      </c>
    </row>
    <row r="4947" spans="1:5">
      <c r="A4947" t="s">
        <v>37320</v>
      </c>
      <c r="B4947" t="s">
        <v>15381</v>
      </c>
      <c r="C4947">
        <f>0</f>
        <v>0</v>
      </c>
      <c r="D4947">
        <v>0.95842999193699996</v>
      </c>
      <c r="E4947">
        <v>24</v>
      </c>
    </row>
    <row r="4948" spans="1:5">
      <c r="A4948" t="s">
        <v>37320</v>
      </c>
      <c r="B4948" t="s">
        <v>15383</v>
      </c>
      <c r="C4948">
        <f>0.545261913128</f>
        <v>0.54526191312799999</v>
      </c>
      <c r="D4948">
        <v>0.95842999193699996</v>
      </c>
      <c r="E4948">
        <v>24</v>
      </c>
    </row>
    <row r="4949" spans="1:5">
      <c r="A4949" t="s">
        <v>37321</v>
      </c>
      <c r="B4949" t="s">
        <v>15765</v>
      </c>
      <c r="C4949">
        <f>0.263203153636</f>
        <v>0.263203153636</v>
      </c>
      <c r="D4949">
        <v>0.73404109092199998</v>
      </c>
      <c r="E4949">
        <v>6.3</v>
      </c>
    </row>
    <row r="4950" spans="1:5">
      <c r="A4950" t="s">
        <v>37321</v>
      </c>
      <c r="B4950" t="s">
        <v>15771</v>
      </c>
      <c r="C4950">
        <f>0</f>
        <v>0</v>
      </c>
      <c r="D4950">
        <v>0.73404109092199998</v>
      </c>
      <c r="E4950">
        <v>6.3</v>
      </c>
    </row>
    <row r="4951" spans="1:5">
      <c r="A4951" t="s">
        <v>37321</v>
      </c>
      <c r="B4951" t="s">
        <v>15769</v>
      </c>
      <c r="C4951">
        <f>0</f>
        <v>0</v>
      </c>
      <c r="D4951">
        <v>0.73404109092199998</v>
      </c>
      <c r="E4951">
        <v>6.3</v>
      </c>
    </row>
    <row r="4952" spans="1:5">
      <c r="A4952" t="s">
        <v>37321</v>
      </c>
      <c r="B4952" t="s">
        <v>15770</v>
      </c>
      <c r="C4952">
        <f>0.315264251285</f>
        <v>0.31526425128500002</v>
      </c>
      <c r="D4952">
        <v>0.73404109092199998</v>
      </c>
      <c r="E4952">
        <v>6.3</v>
      </c>
    </row>
    <row r="4953" spans="1:5">
      <c r="A4953" t="s">
        <v>37322</v>
      </c>
      <c r="B4953" t="s">
        <v>37323</v>
      </c>
      <c r="C4953">
        <f>0.0891867269825</f>
        <v>8.9186726982500006E-2</v>
      </c>
      <c r="D4953">
        <v>0.70999489227199997</v>
      </c>
      <c r="E4953">
        <v>3.4980000000000002</v>
      </c>
    </row>
    <row r="4954" spans="1:5">
      <c r="A4954" t="s">
        <v>37322</v>
      </c>
      <c r="B4954" t="s">
        <v>37324</v>
      </c>
      <c r="C4954">
        <f>0</f>
        <v>0</v>
      </c>
      <c r="D4954">
        <v>0.70999489227199997</v>
      </c>
      <c r="E4954">
        <v>3.4980000000000002</v>
      </c>
    </row>
    <row r="4955" spans="1:5">
      <c r="A4955" t="s">
        <v>37322</v>
      </c>
      <c r="B4955" t="s">
        <v>37325</v>
      </c>
      <c r="C4955">
        <f>0.355848748321</f>
        <v>0.355848748321</v>
      </c>
      <c r="D4955">
        <v>0.70999489227199997</v>
      </c>
      <c r="E4955">
        <v>3.4980000000000002</v>
      </c>
    </row>
    <row r="4956" spans="1:5">
      <c r="A4956" t="s">
        <v>37322</v>
      </c>
      <c r="B4956" t="s">
        <v>37326</v>
      </c>
      <c r="C4956">
        <f>0</f>
        <v>0</v>
      </c>
      <c r="D4956">
        <v>0.70999489227199997</v>
      </c>
      <c r="E4956">
        <v>3.4980000000000002</v>
      </c>
    </row>
    <row r="4957" spans="1:5">
      <c r="A4957" t="s">
        <v>37322</v>
      </c>
      <c r="B4957" t="s">
        <v>37327</v>
      </c>
      <c r="C4957">
        <f>0</f>
        <v>0</v>
      </c>
      <c r="D4957">
        <v>0.70999489227199997</v>
      </c>
      <c r="E4957">
        <v>3.4980000000000002</v>
      </c>
    </row>
    <row r="4958" spans="1:5">
      <c r="A4958" t="s">
        <v>37322</v>
      </c>
      <c r="B4958" t="s">
        <v>37328</v>
      </c>
      <c r="C4958">
        <v>0</v>
      </c>
      <c r="D4958">
        <v>0.70999489227199997</v>
      </c>
      <c r="E4958">
        <v>3.4980000000000002</v>
      </c>
    </row>
    <row r="4959" spans="1:5">
      <c r="A4959" t="s">
        <v>37322</v>
      </c>
      <c r="B4959" t="s">
        <v>37329</v>
      </c>
      <c r="C4959">
        <f>0</f>
        <v>0</v>
      </c>
      <c r="D4959">
        <v>0.70999489227199997</v>
      </c>
      <c r="E4959">
        <v>3.4980000000000002</v>
      </c>
    </row>
    <row r="4960" spans="1:5">
      <c r="A4960" t="s">
        <v>37322</v>
      </c>
      <c r="B4960" t="s">
        <v>37330</v>
      </c>
      <c r="C4960">
        <f>0</f>
        <v>0</v>
      </c>
      <c r="D4960">
        <v>0.70999489227199997</v>
      </c>
      <c r="E4960">
        <v>3.4980000000000002</v>
      </c>
    </row>
    <row r="4961" spans="1:5">
      <c r="A4961" t="s">
        <v>37322</v>
      </c>
      <c r="B4961" t="s">
        <v>37331</v>
      </c>
      <c r="C4961">
        <f>0</f>
        <v>0</v>
      </c>
      <c r="D4961">
        <v>0.70999489227199997</v>
      </c>
      <c r="E4961">
        <v>3.4980000000000002</v>
      </c>
    </row>
    <row r="4962" spans="1:5">
      <c r="A4962" t="s">
        <v>37322</v>
      </c>
      <c r="B4962" t="s">
        <v>37332</v>
      </c>
      <c r="C4962">
        <v>0</v>
      </c>
      <c r="D4962">
        <v>0.70999489227199997</v>
      </c>
      <c r="E4962">
        <v>3.4980000000000002</v>
      </c>
    </row>
    <row r="4963" spans="1:5">
      <c r="A4963" t="s">
        <v>37322</v>
      </c>
      <c r="B4963" t="s">
        <v>37333</v>
      </c>
      <c r="C4963">
        <f>0</f>
        <v>0</v>
      </c>
      <c r="D4963">
        <v>0.70999489227199997</v>
      </c>
      <c r="E4963">
        <v>3.4980000000000002</v>
      </c>
    </row>
    <row r="4964" spans="1:5">
      <c r="A4964" t="s">
        <v>37334</v>
      </c>
      <c r="B4964" t="s">
        <v>37335</v>
      </c>
      <c r="C4964">
        <v>0</v>
      </c>
      <c r="D4964">
        <v>0.70339479212699996</v>
      </c>
      <c r="E4964">
        <v>21.876000000000001</v>
      </c>
    </row>
    <row r="4965" spans="1:5">
      <c r="A4965" t="s">
        <v>37334</v>
      </c>
      <c r="B4965" t="s">
        <v>37336</v>
      </c>
      <c r="C4965">
        <f>0</f>
        <v>0</v>
      </c>
      <c r="D4965">
        <v>0.70339479212699996</v>
      </c>
      <c r="E4965">
        <v>21.876000000000001</v>
      </c>
    </row>
    <row r="4966" spans="1:5">
      <c r="A4966" t="s">
        <v>37334</v>
      </c>
      <c r="B4966" t="s">
        <v>37337</v>
      </c>
      <c r="C4966">
        <f>0</f>
        <v>0</v>
      </c>
      <c r="D4966">
        <v>0.70339479212699996</v>
      </c>
      <c r="E4966">
        <v>21.876000000000001</v>
      </c>
    </row>
    <row r="4967" spans="1:5">
      <c r="A4967" t="s">
        <v>37334</v>
      </c>
      <c r="B4967" t="s">
        <v>37338</v>
      </c>
      <c r="C4967">
        <f>0</f>
        <v>0</v>
      </c>
      <c r="D4967">
        <v>0.70339479212699996</v>
      </c>
      <c r="E4967">
        <v>21.876000000000001</v>
      </c>
    </row>
    <row r="4968" spans="1:5">
      <c r="A4968" t="s">
        <v>37334</v>
      </c>
      <c r="B4968" t="s">
        <v>37339</v>
      </c>
      <c r="C4968">
        <v>0</v>
      </c>
      <c r="D4968">
        <v>0.70339479212699996</v>
      </c>
      <c r="E4968">
        <v>21.876000000000001</v>
      </c>
    </row>
    <row r="4969" spans="1:5">
      <c r="A4969" t="s">
        <v>37334</v>
      </c>
      <c r="B4969" t="s">
        <v>37340</v>
      </c>
      <c r="C4969">
        <f>0</f>
        <v>0</v>
      </c>
      <c r="D4969">
        <v>0.70339479212699996</v>
      </c>
      <c r="E4969">
        <v>21.876000000000001</v>
      </c>
    </row>
    <row r="4970" spans="1:5">
      <c r="A4970" t="s">
        <v>37334</v>
      </c>
      <c r="B4970" t="s">
        <v>37341</v>
      </c>
      <c r="C4970">
        <v>0</v>
      </c>
      <c r="D4970">
        <v>0.70339479212699996</v>
      </c>
      <c r="E4970">
        <v>21.876000000000001</v>
      </c>
    </row>
    <row r="4971" spans="1:5">
      <c r="A4971" t="s">
        <v>37334</v>
      </c>
      <c r="B4971" t="s">
        <v>37342</v>
      </c>
      <c r="C4971">
        <f>0</f>
        <v>0</v>
      </c>
      <c r="D4971">
        <v>0.70339479212699996</v>
      </c>
      <c r="E4971">
        <v>21.876000000000001</v>
      </c>
    </row>
    <row r="4972" spans="1:5">
      <c r="A4972" t="s">
        <v>37334</v>
      </c>
      <c r="B4972" t="s">
        <v>37343</v>
      </c>
      <c r="C4972">
        <v>0</v>
      </c>
      <c r="D4972">
        <v>0.70339479212699996</v>
      </c>
      <c r="E4972">
        <v>21.876000000000001</v>
      </c>
    </row>
    <row r="4973" spans="1:5">
      <c r="A4973" t="s">
        <v>37334</v>
      </c>
      <c r="B4973" t="s">
        <v>37344</v>
      </c>
      <c r="C4973">
        <f>0.240984792127</f>
        <v>0.240984792127</v>
      </c>
      <c r="D4973">
        <v>0.70339479212699996</v>
      </c>
      <c r="E4973">
        <v>21.876000000000001</v>
      </c>
    </row>
    <row r="4974" spans="1:5">
      <c r="A4974" t="s">
        <v>37345</v>
      </c>
      <c r="B4974" t="s">
        <v>37346</v>
      </c>
      <c r="C4974">
        <v>0.60613187868999996</v>
      </c>
      <c r="D4974">
        <v>0.79974187869000002</v>
      </c>
      <c r="E4974">
        <v>0</v>
      </c>
    </row>
    <row r="4975" spans="1:5">
      <c r="A4975" t="s">
        <v>37345</v>
      </c>
      <c r="B4975" t="s">
        <v>37347</v>
      </c>
      <c r="C4975">
        <v>0</v>
      </c>
      <c r="D4975">
        <v>0.79974187869000002</v>
      </c>
      <c r="E4975">
        <v>0</v>
      </c>
    </row>
    <row r="4976" spans="1:5">
      <c r="A4976" t="s">
        <v>37345</v>
      </c>
      <c r="B4976" t="s">
        <v>37348</v>
      </c>
      <c r="C4976">
        <f>0</f>
        <v>0</v>
      </c>
      <c r="D4976">
        <v>0.79974187869000002</v>
      </c>
      <c r="E4976">
        <v>0</v>
      </c>
    </row>
    <row r="4977" spans="1:5">
      <c r="A4977" t="s">
        <v>37345</v>
      </c>
      <c r="B4977" t="s">
        <v>37349</v>
      </c>
      <c r="C4977">
        <v>0</v>
      </c>
      <c r="D4977">
        <v>0.79974187869000002</v>
      </c>
      <c r="E4977">
        <v>0</v>
      </c>
    </row>
    <row r="4978" spans="1:5">
      <c r="A4978" t="s">
        <v>37350</v>
      </c>
      <c r="B4978" t="s">
        <v>37351</v>
      </c>
      <c r="C4978">
        <f>0</f>
        <v>0</v>
      </c>
      <c r="D4978" t="s">
        <v>106</v>
      </c>
      <c r="E4978">
        <v>1.83</v>
      </c>
    </row>
    <row r="4979" spans="1:5">
      <c r="A4979" t="s">
        <v>37350</v>
      </c>
      <c r="B4979" t="s">
        <v>37352</v>
      </c>
      <c r="C4979">
        <v>0</v>
      </c>
      <c r="D4979" t="s">
        <v>106</v>
      </c>
      <c r="E4979">
        <v>1.83</v>
      </c>
    </row>
    <row r="4980" spans="1:5">
      <c r="A4980" t="s">
        <v>37350</v>
      </c>
      <c r="B4980" t="s">
        <v>37353</v>
      </c>
      <c r="C4980">
        <f>0</f>
        <v>0</v>
      </c>
      <c r="D4980" t="s">
        <v>106</v>
      </c>
      <c r="E4980">
        <v>1.83</v>
      </c>
    </row>
    <row r="4981" spans="1:5">
      <c r="A4981" t="s">
        <v>37350</v>
      </c>
      <c r="B4981" t="s">
        <v>37354</v>
      </c>
      <c r="C4981">
        <v>0</v>
      </c>
      <c r="D4981" t="s">
        <v>106</v>
      </c>
      <c r="E4981">
        <v>1.83</v>
      </c>
    </row>
    <row r="4982" spans="1:5">
      <c r="A4982" t="s">
        <v>37350</v>
      </c>
      <c r="B4982" t="s">
        <v>37355</v>
      </c>
      <c r="C4982">
        <f>0</f>
        <v>0</v>
      </c>
      <c r="D4982" t="s">
        <v>106</v>
      </c>
      <c r="E4982">
        <v>1.83</v>
      </c>
    </row>
    <row r="4983" spans="1:5">
      <c r="A4983" t="s">
        <v>37350</v>
      </c>
      <c r="B4983" t="s">
        <v>37356</v>
      </c>
      <c r="C4983">
        <f>0</f>
        <v>0</v>
      </c>
      <c r="D4983" t="s">
        <v>106</v>
      </c>
      <c r="E4983">
        <v>1.83</v>
      </c>
    </row>
    <row r="4984" spans="1:5">
      <c r="A4984" t="s">
        <v>37350</v>
      </c>
      <c r="B4984" t="s">
        <v>37357</v>
      </c>
      <c r="C4984">
        <f>0</f>
        <v>0</v>
      </c>
      <c r="D4984" t="s">
        <v>106</v>
      </c>
      <c r="E4984">
        <v>1.83</v>
      </c>
    </row>
    <row r="4985" spans="1:5">
      <c r="A4985" t="s">
        <v>37350</v>
      </c>
      <c r="B4985" t="s">
        <v>37358</v>
      </c>
      <c r="C4985">
        <f>0</f>
        <v>0</v>
      </c>
      <c r="D4985" t="s">
        <v>106</v>
      </c>
      <c r="E4985">
        <v>1.83</v>
      </c>
    </row>
    <row r="4986" spans="1:5">
      <c r="A4986" t="s">
        <v>37359</v>
      </c>
      <c r="B4986" t="s">
        <v>13554</v>
      </c>
      <c r="C4986">
        <v>0</v>
      </c>
      <c r="D4986" t="s">
        <v>106</v>
      </c>
      <c r="E4986">
        <v>18.984000000000002</v>
      </c>
    </row>
    <row r="4987" spans="1:5">
      <c r="A4987" t="s">
        <v>37359</v>
      </c>
      <c r="B4987" t="s">
        <v>13555</v>
      </c>
      <c r="C4987">
        <v>0</v>
      </c>
      <c r="D4987" t="s">
        <v>106</v>
      </c>
      <c r="E4987">
        <v>18.984000000000002</v>
      </c>
    </row>
    <row r="4988" spans="1:5">
      <c r="A4988" t="s">
        <v>37360</v>
      </c>
      <c r="B4988" t="s">
        <v>32765</v>
      </c>
      <c r="C4988">
        <v>0</v>
      </c>
      <c r="D4988">
        <v>0.81679950621300002</v>
      </c>
      <c r="E4988">
        <v>8.4359999999999999</v>
      </c>
    </row>
    <row r="4989" spans="1:5">
      <c r="A4989" t="s">
        <v>37360</v>
      </c>
      <c r="B4989" t="s">
        <v>32775</v>
      </c>
      <c r="C4989">
        <f>0.277422339666</f>
        <v>0.277422339666</v>
      </c>
      <c r="D4989">
        <v>0.81679950621300002</v>
      </c>
      <c r="E4989">
        <v>8.4359999999999999</v>
      </c>
    </row>
    <row r="4990" spans="1:5">
      <c r="A4990" t="s">
        <v>37360</v>
      </c>
      <c r="B4990" t="s">
        <v>32766</v>
      </c>
      <c r="C4990">
        <f>0.0977363492934</f>
        <v>9.7736349293399999E-2</v>
      </c>
      <c r="D4990">
        <v>0.81679950621300002</v>
      </c>
      <c r="E4990">
        <v>8.4359999999999999</v>
      </c>
    </row>
    <row r="4991" spans="1:5">
      <c r="A4991" t="s">
        <v>37360</v>
      </c>
      <c r="B4991" t="s">
        <v>32768</v>
      </c>
      <c r="C4991">
        <v>0.32793252786100002</v>
      </c>
      <c r="D4991">
        <v>0.81679950621300002</v>
      </c>
      <c r="E4991">
        <v>8.4359999999999999</v>
      </c>
    </row>
    <row r="4992" spans="1:5">
      <c r="A4992" t="s">
        <v>37360</v>
      </c>
      <c r="B4992" t="s">
        <v>32772</v>
      </c>
      <c r="C4992">
        <v>0.201658388923</v>
      </c>
      <c r="D4992">
        <v>0.81679950621300002</v>
      </c>
      <c r="E4992">
        <v>8.4359999999999999</v>
      </c>
    </row>
    <row r="4993" spans="1:5">
      <c r="A4993" t="s">
        <v>37361</v>
      </c>
      <c r="B4993" t="s">
        <v>37362</v>
      </c>
      <c r="C4993">
        <v>0.37441678581499999</v>
      </c>
      <c r="D4993">
        <v>0.56802678581499999</v>
      </c>
      <c r="E4993">
        <v>2.0339999999999998</v>
      </c>
    </row>
    <row r="4994" spans="1:5">
      <c r="A4994" t="s">
        <v>37361</v>
      </c>
      <c r="B4994" t="s">
        <v>37363</v>
      </c>
      <c r="C4994">
        <v>0</v>
      </c>
      <c r="D4994">
        <v>0.56802678581499999</v>
      </c>
      <c r="E4994">
        <v>2.0339999999999998</v>
      </c>
    </row>
    <row r="4995" spans="1:5">
      <c r="A4995" t="s">
        <v>37364</v>
      </c>
      <c r="B4995" t="s">
        <v>12865</v>
      </c>
      <c r="C4995">
        <v>0.15873007288499999</v>
      </c>
      <c r="D4995">
        <v>0.99425445348700003</v>
      </c>
      <c r="E4995">
        <v>1.224</v>
      </c>
    </row>
    <row r="4996" spans="1:5">
      <c r="A4996" t="s">
        <v>37364</v>
      </c>
      <c r="B4996" t="s">
        <v>12870</v>
      </c>
      <c r="C4996">
        <f>0</f>
        <v>0</v>
      </c>
      <c r="D4996">
        <v>0.99425445348700003</v>
      </c>
      <c r="E4996">
        <v>1.224</v>
      </c>
    </row>
    <row r="4997" spans="1:5">
      <c r="A4997" t="s">
        <v>37364</v>
      </c>
      <c r="B4997" t="s">
        <v>12872</v>
      </c>
      <c r="C4997">
        <v>0.32238910032700002</v>
      </c>
      <c r="D4997">
        <v>0.99425445348700003</v>
      </c>
      <c r="E4997">
        <v>1.224</v>
      </c>
    </row>
    <row r="4998" spans="1:5">
      <c r="A4998" t="s">
        <v>37364</v>
      </c>
      <c r="B4998" t="s">
        <v>12869</v>
      </c>
      <c r="C4998">
        <f>0.0410740025486</f>
        <v>4.1074002548599997E-2</v>
      </c>
      <c r="D4998">
        <v>0.99425445348700003</v>
      </c>
      <c r="E4998">
        <v>1.224</v>
      </c>
    </row>
    <row r="4999" spans="1:5">
      <c r="A4999" t="s">
        <v>37364</v>
      </c>
      <c r="B4999" t="s">
        <v>12871</v>
      </c>
      <c r="C4999">
        <f>0</f>
        <v>0</v>
      </c>
      <c r="D4999">
        <v>0.99425445348700003</v>
      </c>
      <c r="E4999">
        <v>1.224</v>
      </c>
    </row>
    <row r="5000" spans="1:5">
      <c r="A5000" t="s">
        <v>37364</v>
      </c>
      <c r="B5000" t="s">
        <v>12876</v>
      </c>
      <c r="C5000">
        <f>0.553249801578</f>
        <v>0.55324980157799997</v>
      </c>
      <c r="D5000">
        <v>0.99425445348700003</v>
      </c>
      <c r="E5000">
        <v>1.224</v>
      </c>
    </row>
    <row r="5001" spans="1:5">
      <c r="A5001" t="s">
        <v>37364</v>
      </c>
      <c r="B5001" t="s">
        <v>12867</v>
      </c>
      <c r="C5001">
        <v>0.65376046321299996</v>
      </c>
      <c r="D5001">
        <v>0.99425445348700003</v>
      </c>
      <c r="E5001">
        <v>1.224</v>
      </c>
    </row>
    <row r="5002" spans="1:5">
      <c r="A5002" t="s">
        <v>37364</v>
      </c>
      <c r="B5002" t="s">
        <v>12873</v>
      </c>
      <c r="C5002">
        <f>0.453264375724</f>
        <v>0.45326437572400002</v>
      </c>
      <c r="D5002">
        <v>0.99425445348700003</v>
      </c>
      <c r="E5002">
        <v>1.224</v>
      </c>
    </row>
    <row r="5003" spans="1:5">
      <c r="A5003" t="s">
        <v>37364</v>
      </c>
      <c r="B5003" t="s">
        <v>12878</v>
      </c>
      <c r="C5003">
        <v>0.32725708863199998</v>
      </c>
      <c r="D5003">
        <v>0.99425445348700003</v>
      </c>
      <c r="E5003">
        <v>1.224</v>
      </c>
    </row>
    <row r="5004" spans="1:5">
      <c r="A5004" t="s">
        <v>37365</v>
      </c>
      <c r="B5004" t="s">
        <v>37366</v>
      </c>
      <c r="C5004">
        <v>0</v>
      </c>
      <c r="D5004">
        <v>0.92499266848999995</v>
      </c>
      <c r="E5004">
        <v>4.9080000000000004</v>
      </c>
    </row>
    <row r="5005" spans="1:5">
      <c r="A5005" t="s">
        <v>37365</v>
      </c>
      <c r="B5005" t="s">
        <v>37367</v>
      </c>
      <c r="C5005">
        <v>0</v>
      </c>
      <c r="D5005">
        <v>0.92499266848999995</v>
      </c>
      <c r="E5005">
        <v>4.9080000000000004</v>
      </c>
    </row>
    <row r="5006" spans="1:5">
      <c r="A5006" t="s">
        <v>37365</v>
      </c>
      <c r="B5006" t="s">
        <v>37368</v>
      </c>
      <c r="C5006">
        <v>0.442791648471</v>
      </c>
      <c r="D5006">
        <v>0.92499266848999995</v>
      </c>
      <c r="E5006">
        <v>4.9080000000000004</v>
      </c>
    </row>
    <row r="5007" spans="1:5">
      <c r="A5007" t="s">
        <v>37365</v>
      </c>
      <c r="B5007" t="s">
        <v>37369</v>
      </c>
      <c r="C5007">
        <f>0</f>
        <v>0</v>
      </c>
      <c r="D5007">
        <v>0.92499266848999995</v>
      </c>
      <c r="E5007">
        <v>4.9080000000000004</v>
      </c>
    </row>
    <row r="5008" spans="1:5">
      <c r="A5008" t="s">
        <v>37365</v>
      </c>
      <c r="B5008" t="s">
        <v>37370</v>
      </c>
      <c r="C5008">
        <f>0.522471143619</f>
        <v>0.52247114361900004</v>
      </c>
      <c r="D5008">
        <v>0.92499266848999995</v>
      </c>
      <c r="E5008">
        <v>4.9080000000000004</v>
      </c>
    </row>
    <row r="5009" spans="1:5">
      <c r="A5009" t="s">
        <v>37371</v>
      </c>
      <c r="B5009" t="s">
        <v>16571</v>
      </c>
      <c r="C5009">
        <v>0.57968464046500001</v>
      </c>
      <c r="D5009">
        <v>0.70929464046500001</v>
      </c>
      <c r="E5009">
        <v>3.2280000000000002</v>
      </c>
    </row>
    <row r="5010" spans="1:5">
      <c r="A5010" t="s">
        <v>37371</v>
      </c>
      <c r="B5010" t="s">
        <v>16574</v>
      </c>
      <c r="C5010">
        <v>0</v>
      </c>
      <c r="D5010">
        <v>0.70929464046500001</v>
      </c>
      <c r="E5010">
        <v>3.2280000000000002</v>
      </c>
    </row>
    <row r="5011" spans="1:5">
      <c r="A5011" t="s">
        <v>37372</v>
      </c>
      <c r="B5011" t="s">
        <v>783</v>
      </c>
      <c r="C5011">
        <f>0</f>
        <v>0</v>
      </c>
      <c r="D5011">
        <v>0.82655626219400002</v>
      </c>
      <c r="E5011">
        <v>1.698</v>
      </c>
    </row>
    <row r="5012" spans="1:5">
      <c r="A5012" t="s">
        <v>37372</v>
      </c>
      <c r="B5012" t="s">
        <v>787</v>
      </c>
      <c r="C5012">
        <f>0</f>
        <v>0</v>
      </c>
      <c r="D5012">
        <v>0.82655626219400002</v>
      </c>
      <c r="E5012">
        <v>1.698</v>
      </c>
    </row>
    <row r="5013" spans="1:5">
      <c r="A5013" t="s">
        <v>37372</v>
      </c>
      <c r="B5013" t="s">
        <v>789</v>
      </c>
      <c r="C5013">
        <f>0.543522408736</f>
        <v>0.543522408736</v>
      </c>
      <c r="D5013">
        <v>0.82655626219400002</v>
      </c>
      <c r="E5013">
        <v>1.698</v>
      </c>
    </row>
    <row r="5014" spans="1:5">
      <c r="A5014" t="s">
        <v>37372</v>
      </c>
      <c r="B5014" t="s">
        <v>785</v>
      </c>
      <c r="C5014">
        <f>0</f>
        <v>0</v>
      </c>
      <c r="D5014">
        <v>0.82655626219400002</v>
      </c>
      <c r="E5014">
        <v>1.698</v>
      </c>
    </row>
    <row r="5015" spans="1:5">
      <c r="A5015" t="s">
        <v>37372</v>
      </c>
      <c r="B5015" t="s">
        <v>784</v>
      </c>
      <c r="C5015">
        <f>0.195812573101</f>
        <v>0.195812573101</v>
      </c>
      <c r="D5015">
        <v>0.82655626219400002</v>
      </c>
      <c r="E5015">
        <v>1.698</v>
      </c>
    </row>
    <row r="5016" spans="1:5">
      <c r="A5016" t="s">
        <v>37372</v>
      </c>
      <c r="B5016" t="s">
        <v>786</v>
      </c>
      <c r="C5016">
        <f>0</f>
        <v>0</v>
      </c>
      <c r="D5016">
        <v>0.82655626219400002</v>
      </c>
      <c r="E5016">
        <v>1.698</v>
      </c>
    </row>
    <row r="5017" spans="1:5">
      <c r="A5017" t="s">
        <v>37373</v>
      </c>
      <c r="B5017" t="s">
        <v>17587</v>
      </c>
      <c r="C5017">
        <f>0</f>
        <v>0</v>
      </c>
      <c r="D5017" t="s">
        <v>106</v>
      </c>
      <c r="E5017">
        <v>6.06</v>
      </c>
    </row>
    <row r="5018" spans="1:5">
      <c r="A5018" t="s">
        <v>37373</v>
      </c>
      <c r="B5018" t="s">
        <v>17589</v>
      </c>
      <c r="C5018">
        <f>0</f>
        <v>0</v>
      </c>
      <c r="D5018" t="s">
        <v>106</v>
      </c>
      <c r="E5018">
        <v>6.06</v>
      </c>
    </row>
    <row r="5019" spans="1:5">
      <c r="A5019" t="s">
        <v>37373</v>
      </c>
      <c r="B5019" t="s">
        <v>17581</v>
      </c>
      <c r="C5019">
        <f>0</f>
        <v>0</v>
      </c>
      <c r="D5019" t="s">
        <v>106</v>
      </c>
      <c r="E5019">
        <v>6.06</v>
      </c>
    </row>
    <row r="5020" spans="1:5">
      <c r="A5020" t="s">
        <v>37373</v>
      </c>
      <c r="B5020" t="s">
        <v>17580</v>
      </c>
      <c r="C5020">
        <v>0</v>
      </c>
      <c r="D5020" t="s">
        <v>106</v>
      </c>
      <c r="E5020">
        <v>6.06</v>
      </c>
    </row>
    <row r="5021" spans="1:5">
      <c r="A5021" t="s">
        <v>37374</v>
      </c>
      <c r="B5021" t="s">
        <v>16353</v>
      </c>
      <c r="C5021">
        <f>0.670658658533</f>
        <v>0.670658658533</v>
      </c>
      <c r="D5021">
        <v>0.86804847142599995</v>
      </c>
      <c r="E5021">
        <v>24</v>
      </c>
    </row>
    <row r="5022" spans="1:5">
      <c r="A5022" t="s">
        <v>37374</v>
      </c>
      <c r="B5022" t="s">
        <v>16352</v>
      </c>
      <c r="C5022">
        <v>0.460093329803</v>
      </c>
      <c r="D5022">
        <v>0.86804847142599995</v>
      </c>
      <c r="E5022">
        <v>24</v>
      </c>
    </row>
    <row r="5023" spans="1:5">
      <c r="A5023" t="s">
        <v>37374</v>
      </c>
      <c r="B5023" t="s">
        <v>16355</v>
      </c>
      <c r="C5023">
        <f>0.458763173777</f>
        <v>0.45876317377699999</v>
      </c>
      <c r="D5023">
        <v>0.86804847142599995</v>
      </c>
      <c r="E5023">
        <v>24</v>
      </c>
    </row>
    <row r="5024" spans="1:5">
      <c r="A5024" t="s">
        <v>37375</v>
      </c>
      <c r="B5024" t="s">
        <v>32290</v>
      </c>
      <c r="C5024">
        <v>0.39125874874</v>
      </c>
      <c r="D5024">
        <v>0.93004943047800004</v>
      </c>
      <c r="E5024">
        <v>10.398</v>
      </c>
    </row>
    <row r="5025" spans="1:5">
      <c r="A5025" t="s">
        <v>37375</v>
      </c>
      <c r="B5025" t="s">
        <v>32298</v>
      </c>
      <c r="C5025">
        <f>0.282062919194</f>
        <v>0.28206291919400001</v>
      </c>
      <c r="D5025">
        <v>0.93004943047800004</v>
      </c>
      <c r="E5025">
        <v>10.398</v>
      </c>
    </row>
    <row r="5026" spans="1:5">
      <c r="A5026" t="s">
        <v>37375</v>
      </c>
      <c r="B5026" t="s">
        <v>32295</v>
      </c>
      <c r="C5026">
        <f>0.00169562856272</f>
        <v>1.69562856272E-3</v>
      </c>
      <c r="D5026">
        <v>0.93004943047800004</v>
      </c>
      <c r="E5026">
        <v>10.398</v>
      </c>
    </row>
    <row r="5027" spans="1:5">
      <c r="A5027" t="s">
        <v>37375</v>
      </c>
      <c r="B5027" t="s">
        <v>32297</v>
      </c>
      <c r="C5027">
        <f>0.709016364939</f>
        <v>0.709016364939</v>
      </c>
      <c r="D5027">
        <v>0.93004943047800004</v>
      </c>
      <c r="E5027">
        <v>10.398</v>
      </c>
    </row>
    <row r="5028" spans="1:5">
      <c r="A5028" t="s">
        <v>37375</v>
      </c>
      <c r="B5028" t="s">
        <v>32293</v>
      </c>
      <c r="C5028">
        <f>0.16064645714</f>
        <v>0.16064645714</v>
      </c>
      <c r="D5028">
        <v>0.93004943047800004</v>
      </c>
      <c r="E5028">
        <v>10.398</v>
      </c>
    </row>
    <row r="5029" spans="1:5">
      <c r="A5029" t="s">
        <v>37376</v>
      </c>
      <c r="B5029" t="s">
        <v>26610</v>
      </c>
      <c r="C5029">
        <v>1.02103767646</v>
      </c>
      <c r="D5029">
        <v>0.98153279819999995</v>
      </c>
      <c r="E5029">
        <v>11.706</v>
      </c>
    </row>
    <row r="5030" spans="1:5">
      <c r="A5030" t="s">
        <v>37376</v>
      </c>
      <c r="B5030" t="s">
        <v>26611</v>
      </c>
      <c r="C5030">
        <f>0.0714129899306</f>
        <v>7.1412989930599996E-2</v>
      </c>
      <c r="D5030">
        <v>0.98153279819999995</v>
      </c>
      <c r="E5030">
        <v>11.706</v>
      </c>
    </row>
    <row r="5031" spans="1:5">
      <c r="A5031" t="s">
        <v>37377</v>
      </c>
      <c r="B5031" t="s">
        <v>24733</v>
      </c>
      <c r="C5031">
        <f>0.0743070436268</f>
        <v>7.4307043626800004E-2</v>
      </c>
      <c r="D5031">
        <v>0.97740062821899998</v>
      </c>
      <c r="E5031">
        <v>3.2280000000000002</v>
      </c>
    </row>
    <row r="5032" spans="1:5">
      <c r="A5032" t="s">
        <v>37377</v>
      </c>
      <c r="B5032" t="s">
        <v>24734</v>
      </c>
      <c r="C5032">
        <f>0.00427750202067</f>
        <v>4.2775020206700003E-3</v>
      </c>
      <c r="D5032">
        <v>0.97740062821899998</v>
      </c>
      <c r="E5032">
        <v>3.2280000000000002</v>
      </c>
    </row>
    <row r="5033" spans="1:5">
      <c r="A5033" t="s">
        <v>37377</v>
      </c>
      <c r="B5033" t="s">
        <v>24739</v>
      </c>
      <c r="C5033">
        <v>0.63134276031199998</v>
      </c>
      <c r="D5033">
        <v>0.97740062821899998</v>
      </c>
      <c r="E5033">
        <v>3.2280000000000002</v>
      </c>
    </row>
    <row r="5034" spans="1:5">
      <c r="A5034" t="s">
        <v>37377</v>
      </c>
      <c r="B5034" t="s">
        <v>24736</v>
      </c>
      <c r="C5034">
        <f>0</f>
        <v>0</v>
      </c>
      <c r="D5034">
        <v>0.97740062821899998</v>
      </c>
      <c r="E5034">
        <v>3.2280000000000002</v>
      </c>
    </row>
    <row r="5035" spans="1:5">
      <c r="A5035" t="s">
        <v>37377</v>
      </c>
      <c r="B5035" t="s">
        <v>24743</v>
      </c>
      <c r="C5035">
        <v>0</v>
      </c>
      <c r="D5035">
        <v>0.97740062821899998</v>
      </c>
      <c r="E5035">
        <v>3.2280000000000002</v>
      </c>
    </row>
    <row r="5036" spans="1:5">
      <c r="A5036" t="s">
        <v>37377</v>
      </c>
      <c r="B5036" t="s">
        <v>24742</v>
      </c>
      <c r="C5036">
        <v>0.511866529746</v>
      </c>
      <c r="D5036">
        <v>0.97740062821899998</v>
      </c>
      <c r="E5036">
        <v>3.2280000000000002</v>
      </c>
    </row>
    <row r="5037" spans="1:5">
      <c r="A5037" t="s">
        <v>37378</v>
      </c>
      <c r="B5037" t="s">
        <v>14095</v>
      </c>
      <c r="C5037">
        <f>0</f>
        <v>0</v>
      </c>
      <c r="D5037">
        <v>0.68320583185999995</v>
      </c>
      <c r="E5037">
        <v>24</v>
      </c>
    </row>
    <row r="5038" spans="1:5">
      <c r="A5038" t="s">
        <v>37378</v>
      </c>
      <c r="B5038" t="s">
        <v>14098</v>
      </c>
      <c r="C5038">
        <f>0.542433334243</f>
        <v>0.542433334243</v>
      </c>
      <c r="D5038">
        <v>0.68320583185999995</v>
      </c>
      <c r="E5038">
        <v>24</v>
      </c>
    </row>
    <row r="5039" spans="1:5">
      <c r="A5039" t="s">
        <v>37378</v>
      </c>
      <c r="B5039" t="s">
        <v>14100</v>
      </c>
      <c r="C5039">
        <v>0</v>
      </c>
      <c r="D5039">
        <v>0.68320583185999995</v>
      </c>
      <c r="E5039">
        <v>24</v>
      </c>
    </row>
    <row r="5040" spans="1:5">
      <c r="A5040" t="s">
        <v>37378</v>
      </c>
      <c r="B5040" t="s">
        <v>14099</v>
      </c>
      <c r="C5040">
        <v>0</v>
      </c>
      <c r="D5040">
        <v>0.68320583185999995</v>
      </c>
      <c r="E5040">
        <v>24</v>
      </c>
    </row>
    <row r="5041" spans="1:5">
      <c r="A5041" t="s">
        <v>37378</v>
      </c>
      <c r="B5041" t="s">
        <v>14101</v>
      </c>
      <c r="C5041">
        <f>0.178054760744</f>
        <v>0.17805476074400001</v>
      </c>
      <c r="D5041">
        <v>0.68320583185999995</v>
      </c>
      <c r="E5041">
        <v>24</v>
      </c>
    </row>
    <row r="5042" spans="1:5">
      <c r="A5042" t="s">
        <v>37378</v>
      </c>
      <c r="B5042" t="s">
        <v>14097</v>
      </c>
      <c r="C5042">
        <f>0</f>
        <v>0</v>
      </c>
      <c r="D5042">
        <v>0.68320583185999995</v>
      </c>
      <c r="E5042">
        <v>24</v>
      </c>
    </row>
    <row r="5043" spans="1:5">
      <c r="A5043" t="s">
        <v>37379</v>
      </c>
      <c r="B5043" t="s">
        <v>37380</v>
      </c>
      <c r="C5043">
        <v>0.75698934227799997</v>
      </c>
      <c r="D5043">
        <v>0.91131740810799999</v>
      </c>
      <c r="E5043">
        <v>24</v>
      </c>
    </row>
    <row r="5044" spans="1:5">
      <c r="A5044" t="s">
        <v>37379</v>
      </c>
      <c r="B5044" t="s">
        <v>37381</v>
      </c>
      <c r="C5044">
        <v>0.186172881038</v>
      </c>
      <c r="D5044">
        <v>0.91131740810799999</v>
      </c>
      <c r="E5044">
        <v>24</v>
      </c>
    </row>
    <row r="5045" spans="1:5">
      <c r="A5045" t="s">
        <v>37382</v>
      </c>
      <c r="B5045" t="s">
        <v>37383</v>
      </c>
      <c r="C5045">
        <v>0</v>
      </c>
      <c r="D5045" t="s">
        <v>106</v>
      </c>
      <c r="E5045">
        <v>0</v>
      </c>
    </row>
    <row r="5046" spans="1:5">
      <c r="A5046" t="s">
        <v>37382</v>
      </c>
      <c r="B5046" t="s">
        <v>37384</v>
      </c>
      <c r="C5046">
        <v>0</v>
      </c>
      <c r="D5046" t="s">
        <v>106</v>
      </c>
      <c r="E5046">
        <v>0</v>
      </c>
    </row>
    <row r="5047" spans="1:5">
      <c r="A5047" t="s">
        <v>37382</v>
      </c>
      <c r="B5047" t="s">
        <v>37385</v>
      </c>
      <c r="C5047">
        <v>0</v>
      </c>
      <c r="D5047" t="s">
        <v>106</v>
      </c>
      <c r="E5047">
        <v>0</v>
      </c>
    </row>
    <row r="5048" spans="1:5">
      <c r="A5048" t="s">
        <v>37382</v>
      </c>
      <c r="B5048" t="s">
        <v>37386</v>
      </c>
      <c r="C5048">
        <v>0</v>
      </c>
      <c r="D5048" t="s">
        <v>106</v>
      </c>
      <c r="E5048">
        <v>0</v>
      </c>
    </row>
    <row r="5049" spans="1:5">
      <c r="A5049" t="s">
        <v>37382</v>
      </c>
      <c r="B5049" t="s">
        <v>37387</v>
      </c>
      <c r="C5049">
        <v>0</v>
      </c>
      <c r="D5049" t="s">
        <v>106</v>
      </c>
      <c r="E5049">
        <v>0</v>
      </c>
    </row>
    <row r="5050" spans="1:5">
      <c r="A5050" t="s">
        <v>37382</v>
      </c>
      <c r="B5050" t="s">
        <v>37388</v>
      </c>
      <c r="C5050">
        <v>0</v>
      </c>
      <c r="D5050" t="s">
        <v>106</v>
      </c>
      <c r="E5050">
        <v>0</v>
      </c>
    </row>
    <row r="5051" spans="1:5">
      <c r="A5051" t="s">
        <v>37382</v>
      </c>
      <c r="B5051" t="s">
        <v>37389</v>
      </c>
      <c r="C5051">
        <v>0</v>
      </c>
      <c r="D5051" t="s">
        <v>106</v>
      </c>
      <c r="E5051">
        <v>0</v>
      </c>
    </row>
    <row r="5052" spans="1:5">
      <c r="A5052" t="s">
        <v>37390</v>
      </c>
      <c r="B5052" t="s">
        <v>14269</v>
      </c>
      <c r="C5052">
        <f>0</f>
        <v>0</v>
      </c>
      <c r="D5052">
        <v>0.80000248696099996</v>
      </c>
      <c r="E5052">
        <v>20.292000000000002</v>
      </c>
    </row>
    <row r="5053" spans="1:5">
      <c r="A5053" t="s">
        <v>37390</v>
      </c>
      <c r="B5053" t="s">
        <v>14271</v>
      </c>
      <c r="C5053">
        <v>0</v>
      </c>
      <c r="D5053">
        <v>0.80000248696099996</v>
      </c>
      <c r="E5053">
        <v>20.292000000000002</v>
      </c>
    </row>
    <row r="5054" spans="1:5">
      <c r="A5054" t="s">
        <v>37390</v>
      </c>
      <c r="B5054" t="s">
        <v>14274</v>
      </c>
      <c r="C5054">
        <f>0</f>
        <v>0</v>
      </c>
      <c r="D5054">
        <v>0.80000248696099996</v>
      </c>
      <c r="E5054">
        <v>20.292000000000002</v>
      </c>
    </row>
    <row r="5055" spans="1:5">
      <c r="A5055" t="s">
        <v>37390</v>
      </c>
      <c r="B5055" t="s">
        <v>14275</v>
      </c>
      <c r="C5055">
        <f>0</f>
        <v>0</v>
      </c>
      <c r="D5055">
        <v>0.80000248696099996</v>
      </c>
      <c r="E5055">
        <v>20.292000000000002</v>
      </c>
    </row>
    <row r="5056" spans="1:5">
      <c r="A5056" t="s">
        <v>37390</v>
      </c>
      <c r="B5056" t="s">
        <v>14273</v>
      </c>
      <c r="C5056">
        <f>0.486392486961</f>
        <v>0.48639248696100001</v>
      </c>
      <c r="D5056">
        <v>0.80000248696099996</v>
      </c>
      <c r="E5056">
        <v>20.292000000000002</v>
      </c>
    </row>
    <row r="5057" spans="1:5">
      <c r="A5057" t="s">
        <v>37390</v>
      </c>
      <c r="B5057" t="s">
        <v>14279</v>
      </c>
      <c r="C5057">
        <f>0</f>
        <v>0</v>
      </c>
      <c r="D5057">
        <v>0.80000248696099996</v>
      </c>
      <c r="E5057">
        <v>20.292000000000002</v>
      </c>
    </row>
    <row r="5058" spans="1:5">
      <c r="A5058" t="s">
        <v>37391</v>
      </c>
      <c r="B5058" t="s">
        <v>37392</v>
      </c>
      <c r="C5058">
        <f>0</f>
        <v>0</v>
      </c>
      <c r="D5058" t="s">
        <v>106</v>
      </c>
      <c r="E5058">
        <v>24</v>
      </c>
    </row>
    <row r="5059" spans="1:5">
      <c r="A5059" t="s">
        <v>37391</v>
      </c>
      <c r="B5059" t="s">
        <v>37393</v>
      </c>
      <c r="C5059">
        <f>0</f>
        <v>0</v>
      </c>
      <c r="D5059" t="s">
        <v>106</v>
      </c>
      <c r="E5059">
        <v>24</v>
      </c>
    </row>
    <row r="5060" spans="1:5">
      <c r="A5060" t="s">
        <v>37391</v>
      </c>
      <c r="B5060" t="s">
        <v>37394</v>
      </c>
      <c r="C5060">
        <v>0</v>
      </c>
      <c r="D5060" t="s">
        <v>106</v>
      </c>
      <c r="E5060">
        <v>24</v>
      </c>
    </row>
    <row r="5061" spans="1:5">
      <c r="A5061" t="s">
        <v>37391</v>
      </c>
      <c r="B5061" t="s">
        <v>37395</v>
      </c>
      <c r="C5061">
        <f>0</f>
        <v>0</v>
      </c>
      <c r="D5061" t="s">
        <v>106</v>
      </c>
      <c r="E5061">
        <v>24</v>
      </c>
    </row>
    <row r="5062" spans="1:5">
      <c r="A5062" t="s">
        <v>37396</v>
      </c>
      <c r="B5062" t="s">
        <v>28889</v>
      </c>
      <c r="C5062">
        <v>0.14820640391100001</v>
      </c>
      <c r="D5062">
        <v>0.97797533989499996</v>
      </c>
      <c r="E5062">
        <v>0.82799999999999996</v>
      </c>
    </row>
    <row r="5063" spans="1:5">
      <c r="A5063" t="s">
        <v>37396</v>
      </c>
      <c r="B5063" t="s">
        <v>28892</v>
      </c>
      <c r="C5063">
        <v>0.46923784988599998</v>
      </c>
      <c r="D5063">
        <v>0.97797533989499996</v>
      </c>
      <c r="E5063">
        <v>0.82799999999999996</v>
      </c>
    </row>
    <row r="5064" spans="1:5">
      <c r="A5064" t="s">
        <v>37396</v>
      </c>
      <c r="B5064" t="s">
        <v>28891</v>
      </c>
      <c r="C5064">
        <v>0.57073262283199999</v>
      </c>
      <c r="D5064">
        <v>0.97797533989499996</v>
      </c>
      <c r="E5064">
        <v>0.82799999999999996</v>
      </c>
    </row>
    <row r="5065" spans="1:5">
      <c r="A5065" t="s">
        <v>37396</v>
      </c>
      <c r="B5065" t="s">
        <v>28890</v>
      </c>
      <c r="C5065">
        <f>0.102941349109</f>
        <v>0.102941349109</v>
      </c>
      <c r="D5065">
        <v>0.97797533989499996</v>
      </c>
      <c r="E5065">
        <v>0.82799999999999996</v>
      </c>
    </row>
    <row r="5066" spans="1:5">
      <c r="A5066" t="s">
        <v>37396</v>
      </c>
      <c r="B5066" t="s">
        <v>28894</v>
      </c>
      <c r="C5066">
        <v>0</v>
      </c>
      <c r="D5066">
        <v>0.97797533989499996</v>
      </c>
      <c r="E5066">
        <v>0.82799999999999996</v>
      </c>
    </row>
    <row r="5067" spans="1:5">
      <c r="A5067" t="s">
        <v>37396</v>
      </c>
      <c r="B5067" t="s">
        <v>28888</v>
      </c>
      <c r="C5067">
        <v>0</v>
      </c>
      <c r="D5067">
        <v>0.97797533989499996</v>
      </c>
      <c r="E5067">
        <v>0.82799999999999996</v>
      </c>
    </row>
    <row r="5068" spans="1:5">
      <c r="A5068" t="s">
        <v>37397</v>
      </c>
      <c r="B5068" t="s">
        <v>16238</v>
      </c>
      <c r="C5068">
        <v>4.4016845822299998E-2</v>
      </c>
      <c r="D5068">
        <v>0.70392393931800001</v>
      </c>
      <c r="E5068">
        <v>0.504</v>
      </c>
    </row>
    <row r="5069" spans="1:5">
      <c r="A5069" t="s">
        <v>37397</v>
      </c>
      <c r="B5069" t="s">
        <v>16240</v>
      </c>
      <c r="C5069">
        <v>0</v>
      </c>
      <c r="D5069">
        <v>0.70392393931800001</v>
      </c>
      <c r="E5069">
        <v>0.504</v>
      </c>
    </row>
    <row r="5070" spans="1:5">
      <c r="A5070" t="s">
        <v>37397</v>
      </c>
      <c r="B5070" t="s">
        <v>16239</v>
      </c>
      <c r="C5070">
        <f>0.481286949173</f>
        <v>0.48128694917300002</v>
      </c>
      <c r="D5070">
        <v>0.70392393931800001</v>
      </c>
      <c r="E5070">
        <v>0.504</v>
      </c>
    </row>
    <row r="5071" spans="1:5">
      <c r="A5071" t="s">
        <v>37398</v>
      </c>
      <c r="B5071" t="s">
        <v>37399</v>
      </c>
      <c r="C5071">
        <v>0.32645839682799999</v>
      </c>
      <c r="D5071">
        <v>0.98206564453599998</v>
      </c>
      <c r="E5071">
        <v>1.6379999999999999</v>
      </c>
    </row>
    <row r="5072" spans="1:5">
      <c r="A5072" t="s">
        <v>37398</v>
      </c>
      <c r="B5072" t="s">
        <v>37400</v>
      </c>
      <c r="C5072">
        <f>0.439944042142</f>
        <v>0.439944042142</v>
      </c>
      <c r="D5072">
        <v>0.98206564453599998</v>
      </c>
      <c r="E5072">
        <v>1.6379999999999999</v>
      </c>
    </row>
    <row r="5073" spans="1:5">
      <c r="A5073" t="s">
        <v>37398</v>
      </c>
      <c r="B5073" t="s">
        <v>37401</v>
      </c>
      <c r="C5073">
        <v>0.55032013120199996</v>
      </c>
      <c r="D5073">
        <v>0.98206564453599998</v>
      </c>
      <c r="E5073">
        <v>1.6379999999999999</v>
      </c>
    </row>
    <row r="5074" spans="1:5">
      <c r="A5074" t="s">
        <v>37398</v>
      </c>
      <c r="B5074" t="s">
        <v>37402</v>
      </c>
      <c r="C5074">
        <v>0.56048567394399995</v>
      </c>
      <c r="D5074">
        <v>0.98206564453599998</v>
      </c>
      <c r="E5074">
        <v>1.6379999999999999</v>
      </c>
    </row>
    <row r="5075" spans="1:5">
      <c r="A5075" t="s">
        <v>37403</v>
      </c>
      <c r="B5075" t="s">
        <v>19668</v>
      </c>
      <c r="C5075">
        <v>0</v>
      </c>
      <c r="D5075">
        <v>0.77901109429399995</v>
      </c>
      <c r="E5075">
        <v>0.69599999999999995</v>
      </c>
    </row>
    <row r="5076" spans="1:5">
      <c r="A5076" t="s">
        <v>37403</v>
      </c>
      <c r="B5076" t="s">
        <v>19677</v>
      </c>
      <c r="C5076">
        <v>0</v>
      </c>
      <c r="D5076">
        <v>0.77901109429399995</v>
      </c>
      <c r="E5076">
        <v>0.69599999999999995</v>
      </c>
    </row>
    <row r="5077" spans="1:5">
      <c r="A5077" t="s">
        <v>37403</v>
      </c>
      <c r="B5077" t="s">
        <v>19669</v>
      </c>
      <c r="C5077">
        <v>0</v>
      </c>
      <c r="D5077">
        <v>0.77901109429399995</v>
      </c>
      <c r="E5077">
        <v>0.69599999999999995</v>
      </c>
    </row>
    <row r="5078" spans="1:5">
      <c r="A5078" t="s">
        <v>37403</v>
      </c>
      <c r="B5078" t="s">
        <v>19676</v>
      </c>
      <c r="C5078">
        <v>0</v>
      </c>
      <c r="D5078">
        <v>0.77901109429399995</v>
      </c>
      <c r="E5078">
        <v>0.69599999999999995</v>
      </c>
    </row>
    <row r="5079" spans="1:5">
      <c r="A5079" t="s">
        <v>37403</v>
      </c>
      <c r="B5079" t="s">
        <v>19679</v>
      </c>
      <c r="C5079">
        <f>0.0786649174696</f>
        <v>7.8664917469599999E-2</v>
      </c>
      <c r="D5079">
        <v>0.77901109429399995</v>
      </c>
      <c r="E5079">
        <v>0.69599999999999995</v>
      </c>
    </row>
    <row r="5080" spans="1:5">
      <c r="A5080" t="s">
        <v>37403</v>
      </c>
      <c r="B5080" t="s">
        <v>19670</v>
      </c>
      <c r="C5080">
        <f>0.27491027223</f>
        <v>0.27491027222999997</v>
      </c>
      <c r="D5080">
        <v>0.77901109429399995</v>
      </c>
      <c r="E5080">
        <v>0.69599999999999995</v>
      </c>
    </row>
    <row r="5081" spans="1:5">
      <c r="A5081" t="s">
        <v>37403</v>
      </c>
      <c r="B5081" t="s">
        <v>19674</v>
      </c>
      <c r="C5081">
        <v>0</v>
      </c>
      <c r="D5081">
        <v>0.77901109429399995</v>
      </c>
      <c r="E5081">
        <v>0.69599999999999995</v>
      </c>
    </row>
    <row r="5082" spans="1:5">
      <c r="A5082" t="s">
        <v>37403</v>
      </c>
      <c r="B5082" t="s">
        <v>19681</v>
      </c>
      <c r="C5082">
        <f>0</f>
        <v>0</v>
      </c>
      <c r="D5082">
        <v>0.77901109429399995</v>
      </c>
      <c r="E5082">
        <v>0.69599999999999995</v>
      </c>
    </row>
    <row r="5083" spans="1:5">
      <c r="A5083" t="s">
        <v>37403</v>
      </c>
      <c r="B5083" t="s">
        <v>19667</v>
      </c>
      <c r="C5083">
        <f>0</f>
        <v>0</v>
      </c>
      <c r="D5083">
        <v>0.77901109429399995</v>
      </c>
      <c r="E5083">
        <v>0.69599999999999995</v>
      </c>
    </row>
    <row r="5084" spans="1:5">
      <c r="A5084" t="s">
        <v>37404</v>
      </c>
      <c r="B5084" t="s">
        <v>2524</v>
      </c>
      <c r="C5084">
        <v>0</v>
      </c>
      <c r="D5084" t="s">
        <v>106</v>
      </c>
      <c r="E5084">
        <v>22.338000000000001</v>
      </c>
    </row>
    <row r="5085" spans="1:5">
      <c r="A5085" t="s">
        <v>37404</v>
      </c>
      <c r="B5085" t="s">
        <v>2527</v>
      </c>
      <c r="C5085">
        <f>0</f>
        <v>0</v>
      </c>
      <c r="D5085" t="s">
        <v>106</v>
      </c>
      <c r="E5085">
        <v>22.338000000000001</v>
      </c>
    </row>
    <row r="5086" spans="1:5">
      <c r="A5086" t="s">
        <v>37404</v>
      </c>
      <c r="B5086" t="s">
        <v>2526</v>
      </c>
      <c r="C5086">
        <f>0</f>
        <v>0</v>
      </c>
      <c r="D5086" t="s">
        <v>106</v>
      </c>
      <c r="E5086">
        <v>22.338000000000001</v>
      </c>
    </row>
    <row r="5087" spans="1:5">
      <c r="A5087" t="s">
        <v>37405</v>
      </c>
      <c r="B5087" t="s">
        <v>16940</v>
      </c>
      <c r="C5087">
        <v>0.140502145927</v>
      </c>
      <c r="D5087">
        <v>0.634513753091</v>
      </c>
      <c r="E5087">
        <v>4.8</v>
      </c>
    </row>
    <row r="5088" spans="1:5">
      <c r="A5088" t="s">
        <v>37405</v>
      </c>
      <c r="B5088" t="s">
        <v>16942</v>
      </c>
      <c r="C5088">
        <v>0.56666362851399998</v>
      </c>
      <c r="D5088">
        <v>0.634513753091</v>
      </c>
      <c r="E5088">
        <v>4.8</v>
      </c>
    </row>
    <row r="5089" spans="1:5">
      <c r="A5089" t="s">
        <v>37406</v>
      </c>
      <c r="B5089" t="s">
        <v>13195</v>
      </c>
      <c r="C5089">
        <f>0</f>
        <v>0</v>
      </c>
      <c r="D5089" t="s">
        <v>106</v>
      </c>
      <c r="E5089">
        <v>7.0679999999999996</v>
      </c>
    </row>
    <row r="5090" spans="1:5">
      <c r="A5090" t="s">
        <v>37406</v>
      </c>
      <c r="B5090" t="s">
        <v>13196</v>
      </c>
      <c r="C5090">
        <f>0</f>
        <v>0</v>
      </c>
      <c r="D5090" t="s">
        <v>106</v>
      </c>
      <c r="E5090">
        <v>7.0679999999999996</v>
      </c>
    </row>
    <row r="5091" spans="1:5">
      <c r="A5091" t="s">
        <v>37406</v>
      </c>
      <c r="B5091" t="s">
        <v>13197</v>
      </c>
      <c r="C5091">
        <v>0</v>
      </c>
      <c r="D5091" t="s">
        <v>106</v>
      </c>
      <c r="E5091">
        <v>7.0679999999999996</v>
      </c>
    </row>
    <row r="5092" spans="1:5">
      <c r="A5092" t="s">
        <v>37406</v>
      </c>
      <c r="B5092" t="s">
        <v>13198</v>
      </c>
      <c r="C5092">
        <v>0</v>
      </c>
      <c r="D5092" t="s">
        <v>106</v>
      </c>
      <c r="E5092">
        <v>7.0679999999999996</v>
      </c>
    </row>
    <row r="5093" spans="1:5">
      <c r="A5093" t="s">
        <v>37407</v>
      </c>
      <c r="B5093" t="s">
        <v>9186</v>
      </c>
      <c r="C5093">
        <f>0</f>
        <v>0</v>
      </c>
      <c r="D5093" t="s">
        <v>106</v>
      </c>
      <c r="E5093">
        <v>19.853999999999999</v>
      </c>
    </row>
    <row r="5094" spans="1:5">
      <c r="A5094" t="s">
        <v>37407</v>
      </c>
      <c r="B5094" t="s">
        <v>9189</v>
      </c>
      <c r="C5094">
        <f>0</f>
        <v>0</v>
      </c>
      <c r="D5094" t="s">
        <v>106</v>
      </c>
      <c r="E5094">
        <v>19.853999999999999</v>
      </c>
    </row>
    <row r="5095" spans="1:5">
      <c r="A5095" t="s">
        <v>37407</v>
      </c>
      <c r="B5095" t="s">
        <v>9193</v>
      </c>
      <c r="C5095">
        <v>0</v>
      </c>
      <c r="D5095" t="s">
        <v>106</v>
      </c>
      <c r="E5095">
        <v>19.853999999999999</v>
      </c>
    </row>
    <row r="5096" spans="1:5">
      <c r="A5096" t="s">
        <v>37407</v>
      </c>
      <c r="B5096" t="s">
        <v>9197</v>
      </c>
      <c r="C5096">
        <v>0</v>
      </c>
      <c r="D5096" t="s">
        <v>106</v>
      </c>
      <c r="E5096">
        <v>19.853999999999999</v>
      </c>
    </row>
    <row r="5097" spans="1:5">
      <c r="A5097" t="s">
        <v>37407</v>
      </c>
      <c r="B5097" t="s">
        <v>9188</v>
      </c>
      <c r="C5097">
        <f>0</f>
        <v>0</v>
      </c>
      <c r="D5097" t="s">
        <v>106</v>
      </c>
      <c r="E5097">
        <v>19.853999999999999</v>
      </c>
    </row>
    <row r="5098" spans="1:5">
      <c r="A5098" t="s">
        <v>37407</v>
      </c>
      <c r="B5098" t="s">
        <v>9194</v>
      </c>
      <c r="C5098">
        <v>0</v>
      </c>
      <c r="D5098" t="s">
        <v>106</v>
      </c>
      <c r="E5098">
        <v>19.853999999999999</v>
      </c>
    </row>
    <row r="5099" spans="1:5">
      <c r="A5099" t="s">
        <v>37407</v>
      </c>
      <c r="B5099" t="s">
        <v>9192</v>
      </c>
      <c r="C5099">
        <v>0</v>
      </c>
      <c r="D5099" t="s">
        <v>106</v>
      </c>
      <c r="E5099">
        <v>19.853999999999999</v>
      </c>
    </row>
    <row r="5100" spans="1:5">
      <c r="A5100" t="s">
        <v>37407</v>
      </c>
      <c r="B5100" t="s">
        <v>9191</v>
      </c>
      <c r="C5100">
        <f>0</f>
        <v>0</v>
      </c>
      <c r="D5100" t="s">
        <v>106</v>
      </c>
      <c r="E5100">
        <v>19.853999999999999</v>
      </c>
    </row>
    <row r="5101" spans="1:5">
      <c r="A5101" t="s">
        <v>37407</v>
      </c>
      <c r="B5101" t="s">
        <v>9195</v>
      </c>
      <c r="C5101">
        <v>0</v>
      </c>
      <c r="D5101" t="s">
        <v>106</v>
      </c>
      <c r="E5101">
        <v>19.853999999999999</v>
      </c>
    </row>
    <row r="5102" spans="1:5">
      <c r="A5102" t="s">
        <v>37407</v>
      </c>
      <c r="B5102" t="s">
        <v>37408</v>
      </c>
      <c r="C5102">
        <f>0</f>
        <v>0</v>
      </c>
      <c r="D5102" t="s">
        <v>106</v>
      </c>
      <c r="E5102">
        <v>19.853999999999999</v>
      </c>
    </row>
    <row r="5103" spans="1:5">
      <c r="A5103" t="s">
        <v>37409</v>
      </c>
      <c r="B5103" t="s">
        <v>16609</v>
      </c>
      <c r="C5103">
        <v>0.56101505885299996</v>
      </c>
      <c r="D5103">
        <v>0.98953779141700005</v>
      </c>
      <c r="E5103">
        <v>0</v>
      </c>
    </row>
    <row r="5104" spans="1:5">
      <c r="A5104" t="s">
        <v>37409</v>
      </c>
      <c r="B5104" t="s">
        <v>16614</v>
      </c>
      <c r="C5104">
        <f>0</f>
        <v>0</v>
      </c>
      <c r="D5104">
        <v>0.98953779141700005</v>
      </c>
      <c r="E5104">
        <v>0</v>
      </c>
    </row>
    <row r="5105" spans="1:5">
      <c r="A5105" t="s">
        <v>37409</v>
      </c>
      <c r="B5105" t="s">
        <v>16618</v>
      </c>
      <c r="C5105">
        <v>0.26375733189599998</v>
      </c>
      <c r="D5105">
        <v>0.98953779141700005</v>
      </c>
      <c r="E5105">
        <v>0</v>
      </c>
    </row>
    <row r="5106" spans="1:5">
      <c r="A5106" t="s">
        <v>37409</v>
      </c>
      <c r="B5106" t="s">
        <v>16619</v>
      </c>
      <c r="C5106">
        <f>0.0886534118037</f>
        <v>8.8653411803699997E-2</v>
      </c>
      <c r="D5106">
        <v>0.98953779141700005</v>
      </c>
      <c r="E5106">
        <v>0</v>
      </c>
    </row>
    <row r="5107" spans="1:5">
      <c r="A5107" t="s">
        <v>37409</v>
      </c>
      <c r="B5107" t="s">
        <v>16612</v>
      </c>
      <c r="C5107">
        <f>-1.12891117548</f>
        <v>-1.1289111754800001</v>
      </c>
      <c r="D5107">
        <v>0.98953779141700005</v>
      </c>
      <c r="E5107">
        <v>0</v>
      </c>
    </row>
    <row r="5108" spans="1:5">
      <c r="A5108" t="s">
        <v>37409</v>
      </c>
      <c r="B5108" t="s">
        <v>16617</v>
      </c>
      <c r="C5108">
        <v>0.57092508778100004</v>
      </c>
      <c r="D5108">
        <v>0.98953779141700005</v>
      </c>
      <c r="E5108">
        <v>0</v>
      </c>
    </row>
    <row r="5109" spans="1:5">
      <c r="A5109" t="s">
        <v>37409</v>
      </c>
      <c r="B5109" t="s">
        <v>16615</v>
      </c>
      <c r="C5109">
        <v>6.1101025945899997E-3</v>
      </c>
      <c r="D5109">
        <v>0.98953779141700005</v>
      </c>
      <c r="E5109">
        <v>0</v>
      </c>
    </row>
    <row r="5110" spans="1:5">
      <c r="A5110" t="s">
        <v>37410</v>
      </c>
      <c r="B5110" t="s">
        <v>37411</v>
      </c>
      <c r="C5110">
        <v>0.17741852035</v>
      </c>
      <c r="D5110">
        <v>0.90379603481600002</v>
      </c>
      <c r="E5110">
        <v>24</v>
      </c>
    </row>
    <row r="5111" spans="1:5">
      <c r="A5111" t="s">
        <v>37410</v>
      </c>
      <c r="B5111" t="s">
        <v>37412</v>
      </c>
      <c r="C5111">
        <v>0.81729722961899998</v>
      </c>
      <c r="D5111">
        <v>0.90379603481600002</v>
      </c>
      <c r="E5111">
        <v>24</v>
      </c>
    </row>
    <row r="5112" spans="1:5">
      <c r="A5112" t="s">
        <v>37413</v>
      </c>
      <c r="B5112" t="s">
        <v>6350</v>
      </c>
      <c r="C5112">
        <v>0.84414619850100003</v>
      </c>
      <c r="D5112">
        <v>0.97526568781599998</v>
      </c>
      <c r="E5112">
        <v>23.754000000000001</v>
      </c>
    </row>
    <row r="5113" spans="1:5">
      <c r="A5113" t="s">
        <v>37413</v>
      </c>
      <c r="B5113" t="s">
        <v>6348</v>
      </c>
      <c r="C5113">
        <v>0.16734991364999999</v>
      </c>
      <c r="D5113">
        <v>0.97526568781599998</v>
      </c>
      <c r="E5113">
        <v>23.754000000000001</v>
      </c>
    </row>
    <row r="5114" spans="1:5">
      <c r="A5114" t="s">
        <v>37413</v>
      </c>
      <c r="B5114" t="s">
        <v>6349</v>
      </c>
      <c r="C5114">
        <v>0</v>
      </c>
      <c r="D5114">
        <v>0.97526568781599998</v>
      </c>
      <c r="E5114">
        <v>23.754000000000001</v>
      </c>
    </row>
    <row r="5115" spans="1:5">
      <c r="A5115" t="s">
        <v>37413</v>
      </c>
      <c r="B5115" t="s">
        <v>6352</v>
      </c>
      <c r="C5115">
        <v>0.16170405082100001</v>
      </c>
      <c r="D5115">
        <v>0.97526568781599998</v>
      </c>
      <c r="E5115">
        <v>23.754000000000001</v>
      </c>
    </row>
    <row r="5116" spans="1:5">
      <c r="A5116" t="s">
        <v>37414</v>
      </c>
      <c r="B5116" t="s">
        <v>37415</v>
      </c>
      <c r="C5116">
        <v>0</v>
      </c>
      <c r="D5116" t="s">
        <v>106</v>
      </c>
      <c r="E5116">
        <v>0.78</v>
      </c>
    </row>
    <row r="5117" spans="1:5">
      <c r="A5117" t="s">
        <v>37414</v>
      </c>
      <c r="B5117" t="s">
        <v>37416</v>
      </c>
      <c r="C5117">
        <f>0</f>
        <v>0</v>
      </c>
      <c r="D5117" t="s">
        <v>106</v>
      </c>
      <c r="E5117">
        <v>0.78</v>
      </c>
    </row>
    <row r="5118" spans="1:5">
      <c r="A5118" t="s">
        <v>37414</v>
      </c>
      <c r="B5118" t="s">
        <v>37417</v>
      </c>
      <c r="C5118">
        <f>0</f>
        <v>0</v>
      </c>
      <c r="D5118" t="s">
        <v>106</v>
      </c>
      <c r="E5118">
        <v>0.78</v>
      </c>
    </row>
    <row r="5119" spans="1:5">
      <c r="A5119" t="s">
        <v>37414</v>
      </c>
      <c r="B5119" t="s">
        <v>37418</v>
      </c>
      <c r="C5119">
        <f>0</f>
        <v>0</v>
      </c>
      <c r="D5119" t="s">
        <v>106</v>
      </c>
      <c r="E5119">
        <v>0.78</v>
      </c>
    </row>
    <row r="5120" spans="1:5">
      <c r="A5120" t="s">
        <v>37414</v>
      </c>
      <c r="B5120" t="s">
        <v>37419</v>
      </c>
      <c r="C5120">
        <f>0</f>
        <v>0</v>
      </c>
      <c r="D5120" t="s">
        <v>106</v>
      </c>
      <c r="E5120">
        <v>0.78</v>
      </c>
    </row>
    <row r="5121" spans="1:5">
      <c r="A5121" t="s">
        <v>37414</v>
      </c>
      <c r="B5121" t="s">
        <v>37420</v>
      </c>
      <c r="C5121">
        <f>0</f>
        <v>0</v>
      </c>
      <c r="D5121" t="s">
        <v>106</v>
      </c>
      <c r="E5121">
        <v>0.78</v>
      </c>
    </row>
    <row r="5122" spans="1:5">
      <c r="A5122" t="s">
        <v>37421</v>
      </c>
      <c r="B5122" t="s">
        <v>28317</v>
      </c>
      <c r="C5122">
        <v>0.44504408728900002</v>
      </c>
      <c r="D5122">
        <v>0.60505408728900001</v>
      </c>
      <c r="E5122">
        <v>0</v>
      </c>
    </row>
    <row r="5123" spans="1:5">
      <c r="A5123" t="s">
        <v>37421</v>
      </c>
      <c r="B5123" t="s">
        <v>28318</v>
      </c>
      <c r="C5123">
        <f>0</f>
        <v>0</v>
      </c>
      <c r="D5123">
        <v>0.60505408728900001</v>
      </c>
      <c r="E5123">
        <v>0</v>
      </c>
    </row>
    <row r="5124" spans="1:5">
      <c r="A5124" t="s">
        <v>37422</v>
      </c>
      <c r="B5124" t="s">
        <v>21818</v>
      </c>
      <c r="C5124">
        <v>0.644495397543</v>
      </c>
      <c r="D5124">
        <v>0.89945338437199995</v>
      </c>
      <c r="E5124">
        <v>24</v>
      </c>
    </row>
    <row r="5125" spans="1:5">
      <c r="A5125" t="s">
        <v>37422</v>
      </c>
      <c r="B5125" t="s">
        <v>21823</v>
      </c>
      <c r="C5125">
        <v>0</v>
      </c>
      <c r="D5125">
        <v>0.89945338437199995</v>
      </c>
      <c r="E5125">
        <v>24</v>
      </c>
    </row>
    <row r="5126" spans="1:5">
      <c r="A5126" t="s">
        <v>37422</v>
      </c>
      <c r="B5126" t="s">
        <v>21821</v>
      </c>
      <c r="C5126">
        <v>4.47203307701E-2</v>
      </c>
      <c r="D5126">
        <v>0.89945338437199995</v>
      </c>
      <c r="E5126">
        <v>24</v>
      </c>
    </row>
    <row r="5127" spans="1:5">
      <c r="A5127" t="s">
        <v>37422</v>
      </c>
      <c r="B5127" t="s">
        <v>21822</v>
      </c>
      <c r="C5127">
        <v>0</v>
      </c>
      <c r="D5127">
        <v>0.89945338437199995</v>
      </c>
      <c r="E5127">
        <v>24</v>
      </c>
    </row>
    <row r="5128" spans="1:5">
      <c r="A5128" t="s">
        <v>37422</v>
      </c>
      <c r="B5128" t="s">
        <v>21820</v>
      </c>
      <c r="C5128">
        <f>0</f>
        <v>0</v>
      </c>
      <c r="D5128">
        <v>0.89945338437199995</v>
      </c>
      <c r="E5128">
        <v>24</v>
      </c>
    </row>
    <row r="5129" spans="1:5">
      <c r="A5129" t="s">
        <v>37422</v>
      </c>
      <c r="B5129" t="s">
        <v>21824</v>
      </c>
      <c r="C5129">
        <v>7.9814141011299994E-2</v>
      </c>
      <c r="D5129">
        <v>0.89945338437199995</v>
      </c>
      <c r="E5129">
        <v>24</v>
      </c>
    </row>
    <row r="5130" spans="1:5">
      <c r="A5130" t="s">
        <v>37422</v>
      </c>
      <c r="B5130" t="s">
        <v>21817</v>
      </c>
      <c r="C5130">
        <v>0</v>
      </c>
      <c r="D5130">
        <v>0.89945338437199995</v>
      </c>
      <c r="E5130">
        <v>24</v>
      </c>
    </row>
    <row r="5131" spans="1:5">
      <c r="A5131" t="s">
        <v>37423</v>
      </c>
      <c r="B5131" t="s">
        <v>28441</v>
      </c>
      <c r="C5131">
        <f>0</f>
        <v>0</v>
      </c>
      <c r="D5131" t="s">
        <v>106</v>
      </c>
      <c r="E5131">
        <v>19.2</v>
      </c>
    </row>
    <row r="5132" spans="1:5">
      <c r="A5132" t="s">
        <v>37423</v>
      </c>
      <c r="B5132" t="s">
        <v>28443</v>
      </c>
      <c r="C5132">
        <v>0</v>
      </c>
      <c r="D5132" t="s">
        <v>106</v>
      </c>
      <c r="E5132">
        <v>19.2</v>
      </c>
    </row>
    <row r="5133" spans="1:5">
      <c r="A5133" t="s">
        <v>37423</v>
      </c>
      <c r="B5133" t="s">
        <v>28444</v>
      </c>
      <c r="C5133">
        <v>0</v>
      </c>
      <c r="D5133" t="s">
        <v>106</v>
      </c>
      <c r="E5133">
        <v>19.2</v>
      </c>
    </row>
    <row r="5134" spans="1:5">
      <c r="A5134" t="s">
        <v>37423</v>
      </c>
      <c r="B5134" t="s">
        <v>28446</v>
      </c>
      <c r="C5134">
        <v>0</v>
      </c>
      <c r="D5134" t="s">
        <v>106</v>
      </c>
      <c r="E5134">
        <v>19.2</v>
      </c>
    </row>
    <row r="5135" spans="1:5">
      <c r="A5135" t="s">
        <v>37423</v>
      </c>
      <c r="B5135" t="s">
        <v>28445</v>
      </c>
      <c r="C5135">
        <f>0</f>
        <v>0</v>
      </c>
      <c r="D5135" t="s">
        <v>106</v>
      </c>
      <c r="E5135">
        <v>19.2</v>
      </c>
    </row>
    <row r="5136" spans="1:5">
      <c r="A5136" t="s">
        <v>37423</v>
      </c>
      <c r="B5136" t="s">
        <v>28442</v>
      </c>
      <c r="C5136">
        <f>0</f>
        <v>0</v>
      </c>
      <c r="D5136" t="s">
        <v>106</v>
      </c>
      <c r="E5136">
        <v>19.2</v>
      </c>
    </row>
    <row r="5137" spans="1:5">
      <c r="A5137" t="s">
        <v>37424</v>
      </c>
      <c r="B5137" t="s">
        <v>37425</v>
      </c>
      <c r="C5137">
        <f>-1.3604140373</f>
        <v>-1.3604140373</v>
      </c>
      <c r="D5137">
        <v>0.99988395553099996</v>
      </c>
      <c r="E5137">
        <v>17.928000000000001</v>
      </c>
    </row>
    <row r="5138" spans="1:5">
      <c r="A5138" t="s">
        <v>37424</v>
      </c>
      <c r="B5138" t="s">
        <v>37426</v>
      </c>
      <c r="C5138">
        <f>0.812418479366</f>
        <v>0.81241847936599998</v>
      </c>
      <c r="D5138">
        <v>0.99988395553099996</v>
      </c>
      <c r="E5138">
        <v>17.928000000000001</v>
      </c>
    </row>
    <row r="5139" spans="1:5">
      <c r="A5139" t="s">
        <v>37424</v>
      </c>
      <c r="B5139" t="s">
        <v>37427</v>
      </c>
      <c r="C5139">
        <v>1.33882290709</v>
      </c>
      <c r="D5139">
        <v>0.99988395553099996</v>
      </c>
      <c r="E5139">
        <v>17.928000000000001</v>
      </c>
    </row>
    <row r="5140" spans="1:5">
      <c r="A5140" t="s">
        <v>37424</v>
      </c>
      <c r="B5140" t="s">
        <v>37428</v>
      </c>
      <c r="C5140">
        <f>0.722532663031</f>
        <v>0.72253266303100006</v>
      </c>
      <c r="D5140">
        <v>0.99988395553099996</v>
      </c>
      <c r="E5140">
        <v>17.928000000000001</v>
      </c>
    </row>
    <row r="5141" spans="1:5">
      <c r="A5141" t="s">
        <v>37424</v>
      </c>
      <c r="B5141" t="s">
        <v>37429</v>
      </c>
      <c r="C5141">
        <v>0.87875622628600003</v>
      </c>
      <c r="D5141">
        <v>0.99988395553099996</v>
      </c>
      <c r="E5141">
        <v>17.928000000000001</v>
      </c>
    </row>
    <row r="5142" spans="1:5">
      <c r="A5142" t="s">
        <v>37424</v>
      </c>
      <c r="B5142" t="s">
        <v>37430</v>
      </c>
      <c r="C5142">
        <f>0.0895921719642</f>
        <v>8.9592171964199996E-2</v>
      </c>
      <c r="D5142">
        <v>0.99988395553099996</v>
      </c>
      <c r="E5142">
        <v>17.928000000000001</v>
      </c>
    </row>
    <row r="5143" spans="1:5">
      <c r="A5143" t="s">
        <v>37424</v>
      </c>
      <c r="B5143" t="s">
        <v>37431</v>
      </c>
      <c r="C5143">
        <f>-1.28889968547</f>
        <v>-1.2888996854699999</v>
      </c>
      <c r="D5143">
        <v>0.99988395553099996</v>
      </c>
      <c r="E5143">
        <v>17.928000000000001</v>
      </c>
    </row>
    <row r="5144" spans="1:5">
      <c r="A5144" t="s">
        <v>37432</v>
      </c>
      <c r="B5144" t="s">
        <v>30468</v>
      </c>
      <c r="C5144">
        <v>0.64205418861700003</v>
      </c>
      <c r="D5144">
        <v>0.93660575440799998</v>
      </c>
      <c r="E5144">
        <v>22.806000000000001</v>
      </c>
    </row>
    <row r="5145" spans="1:5">
      <c r="A5145" t="s">
        <v>37432</v>
      </c>
      <c r="B5145" t="s">
        <v>30477</v>
      </c>
      <c r="C5145">
        <v>0.62391391129399998</v>
      </c>
      <c r="D5145">
        <v>0.93660575440799998</v>
      </c>
      <c r="E5145">
        <v>22.806000000000001</v>
      </c>
    </row>
    <row r="5146" spans="1:5">
      <c r="A5146" t="s">
        <v>37432</v>
      </c>
      <c r="B5146" t="s">
        <v>30470</v>
      </c>
      <c r="C5146">
        <v>0.16670236539</v>
      </c>
      <c r="D5146">
        <v>0.93660575440799998</v>
      </c>
      <c r="E5146">
        <v>22.806000000000001</v>
      </c>
    </row>
    <row r="5147" spans="1:5">
      <c r="A5147" t="s">
        <v>37433</v>
      </c>
      <c r="B5147" t="s">
        <v>2998</v>
      </c>
      <c r="C5147">
        <f>0.036381819218</f>
        <v>3.6381819218000003E-2</v>
      </c>
      <c r="D5147">
        <v>0.98141343459399999</v>
      </c>
      <c r="E5147">
        <v>21.42</v>
      </c>
    </row>
    <row r="5148" spans="1:5">
      <c r="A5148" t="s">
        <v>37433</v>
      </c>
      <c r="B5148" t="s">
        <v>3003</v>
      </c>
      <c r="C5148">
        <v>0.93897810856899999</v>
      </c>
      <c r="D5148">
        <v>0.98141343459399999</v>
      </c>
      <c r="E5148">
        <v>21.42</v>
      </c>
    </row>
    <row r="5149" spans="1:5">
      <c r="A5149" t="s">
        <v>37433</v>
      </c>
      <c r="B5149" t="s">
        <v>3002</v>
      </c>
      <c r="C5149">
        <v>0.39964012084</v>
      </c>
      <c r="D5149">
        <v>0.98141343459399999</v>
      </c>
      <c r="E5149">
        <v>21.42</v>
      </c>
    </row>
    <row r="5150" spans="1:5">
      <c r="A5150" t="s">
        <v>37433</v>
      </c>
      <c r="B5150" t="s">
        <v>3001</v>
      </c>
      <c r="C5150">
        <f>0.591105665933</f>
        <v>0.59110566593299996</v>
      </c>
      <c r="D5150">
        <v>0.98141343459399999</v>
      </c>
      <c r="E5150">
        <v>21.42</v>
      </c>
    </row>
    <row r="5151" spans="1:5">
      <c r="A5151" t="s">
        <v>37433</v>
      </c>
      <c r="B5151" t="s">
        <v>3004</v>
      </c>
      <c r="C5151">
        <f>0.215739765504</f>
        <v>0.21573976550400001</v>
      </c>
      <c r="D5151">
        <v>0.98141343459399999</v>
      </c>
      <c r="E5151">
        <v>21.42</v>
      </c>
    </row>
    <row r="5152" spans="1:5">
      <c r="A5152" t="s">
        <v>37434</v>
      </c>
      <c r="B5152" t="s">
        <v>25248</v>
      </c>
      <c r="C5152">
        <f>0.268787812131</f>
        <v>0.268787812131</v>
      </c>
      <c r="D5152">
        <v>0.99995498017600004</v>
      </c>
      <c r="E5152">
        <v>5.3520000000000003</v>
      </c>
    </row>
    <row r="5153" spans="1:5">
      <c r="A5153" t="s">
        <v>37434</v>
      </c>
      <c r="B5153" t="s">
        <v>25262</v>
      </c>
      <c r="C5153">
        <f>0.217238723231</f>
        <v>0.21723872323099999</v>
      </c>
      <c r="D5153">
        <v>0.99995498017600004</v>
      </c>
      <c r="E5153">
        <v>5.3520000000000003</v>
      </c>
    </row>
    <row r="5154" spans="1:5">
      <c r="A5154" t="s">
        <v>37434</v>
      </c>
      <c r="B5154" t="s">
        <v>25261</v>
      </c>
      <c r="C5154">
        <f>0.238407940765</f>
        <v>0.23840794076499999</v>
      </c>
      <c r="D5154">
        <v>0.99995498017600004</v>
      </c>
      <c r="E5154">
        <v>5.3520000000000003</v>
      </c>
    </row>
    <row r="5155" spans="1:5">
      <c r="A5155" t="s">
        <v>37434</v>
      </c>
      <c r="B5155" t="s">
        <v>25254</v>
      </c>
      <c r="C5155">
        <v>0.42048229832299999</v>
      </c>
      <c r="D5155">
        <v>0.99995498017600004</v>
      </c>
      <c r="E5155">
        <v>5.3520000000000003</v>
      </c>
    </row>
    <row r="5156" spans="1:5">
      <c r="A5156" t="s">
        <v>37434</v>
      </c>
      <c r="B5156" t="s">
        <v>25250</v>
      </c>
      <c r="C5156">
        <f>0.909461193599</f>
        <v>0.90946119359900002</v>
      </c>
      <c r="D5156">
        <v>0.99995498017600004</v>
      </c>
      <c r="E5156">
        <v>5.3520000000000003</v>
      </c>
    </row>
    <row r="5157" spans="1:5">
      <c r="A5157" t="s">
        <v>37434</v>
      </c>
      <c r="B5157" t="s">
        <v>25265</v>
      </c>
      <c r="C5157">
        <v>2.0887099667099999E-2</v>
      </c>
      <c r="D5157">
        <v>0.99995498017600004</v>
      </c>
      <c r="E5157">
        <v>5.3520000000000003</v>
      </c>
    </row>
    <row r="5158" spans="1:5">
      <c r="A5158" t="s">
        <v>37434</v>
      </c>
      <c r="B5158" t="s">
        <v>25255</v>
      </c>
      <c r="C5158">
        <f>0</f>
        <v>0</v>
      </c>
      <c r="D5158">
        <v>0.99995498017600004</v>
      </c>
      <c r="E5158">
        <v>5.3520000000000003</v>
      </c>
    </row>
    <row r="5159" spans="1:5">
      <c r="A5159" t="s">
        <v>37434</v>
      </c>
      <c r="B5159" t="s">
        <v>25251</v>
      </c>
      <c r="C5159">
        <v>0.25377942200300002</v>
      </c>
      <c r="D5159">
        <v>0.99995498017600004</v>
      </c>
      <c r="E5159">
        <v>5.3520000000000003</v>
      </c>
    </row>
    <row r="5160" spans="1:5">
      <c r="A5160" t="s">
        <v>37434</v>
      </c>
      <c r="B5160" t="s">
        <v>25256</v>
      </c>
      <c r="C5160">
        <v>0</v>
      </c>
      <c r="D5160">
        <v>0.99995498017600004</v>
      </c>
      <c r="E5160">
        <v>5.3520000000000003</v>
      </c>
    </row>
    <row r="5161" spans="1:5">
      <c r="A5161" t="s">
        <v>37434</v>
      </c>
      <c r="B5161" t="s">
        <v>25257</v>
      </c>
      <c r="C5161">
        <v>0</v>
      </c>
      <c r="D5161">
        <v>0.99995498017600004</v>
      </c>
      <c r="E5161">
        <v>5.3520000000000003</v>
      </c>
    </row>
    <row r="5162" spans="1:5">
      <c r="A5162" t="s">
        <v>37434</v>
      </c>
      <c r="B5162" t="s">
        <v>25258</v>
      </c>
      <c r="C5162">
        <v>0.20960468904999999</v>
      </c>
      <c r="D5162">
        <v>0.99995498017600004</v>
      </c>
      <c r="E5162">
        <v>5.3520000000000003</v>
      </c>
    </row>
    <row r="5163" spans="1:5">
      <c r="A5163" t="s">
        <v>37434</v>
      </c>
      <c r="B5163" t="s">
        <v>25249</v>
      </c>
      <c r="C5163">
        <f>0</f>
        <v>0</v>
      </c>
      <c r="D5163">
        <v>0.99995498017600004</v>
      </c>
      <c r="E5163">
        <v>5.3520000000000003</v>
      </c>
    </row>
    <row r="5164" spans="1:5">
      <c r="A5164" t="s">
        <v>37435</v>
      </c>
      <c r="B5164" t="s">
        <v>32545</v>
      </c>
      <c r="C5164">
        <v>4.4609181448800002E-2</v>
      </c>
      <c r="D5164">
        <v>0.97964614765900004</v>
      </c>
      <c r="E5164">
        <v>24</v>
      </c>
    </row>
    <row r="5165" spans="1:5">
      <c r="A5165" t="s">
        <v>37435</v>
      </c>
      <c r="B5165" t="s">
        <v>32552</v>
      </c>
      <c r="C5165">
        <v>0.96738768887000004</v>
      </c>
      <c r="D5165">
        <v>0.97964614765900004</v>
      </c>
      <c r="E5165">
        <v>24</v>
      </c>
    </row>
    <row r="5166" spans="1:5">
      <c r="A5166" t="s">
        <v>37435</v>
      </c>
      <c r="B5166" t="s">
        <v>32550</v>
      </c>
      <c r="C5166">
        <f>0.299491931777</f>
        <v>0.29949193177700001</v>
      </c>
      <c r="D5166">
        <v>0.97964614765900004</v>
      </c>
      <c r="E5166">
        <v>24</v>
      </c>
    </row>
    <row r="5167" spans="1:5">
      <c r="A5167" t="s">
        <v>37435</v>
      </c>
      <c r="B5167" t="s">
        <v>32553</v>
      </c>
      <c r="C5167">
        <v>0.84038022432899995</v>
      </c>
      <c r="D5167">
        <v>0.97964614765900004</v>
      </c>
      <c r="E5167">
        <v>24</v>
      </c>
    </row>
    <row r="5168" spans="1:5">
      <c r="A5168" t="s">
        <v>37436</v>
      </c>
      <c r="B5168" t="s">
        <v>37437</v>
      </c>
      <c r="C5168">
        <v>0</v>
      </c>
      <c r="D5168">
        <v>0.71034534687200002</v>
      </c>
      <c r="E5168">
        <v>7.6020000000000003</v>
      </c>
    </row>
    <row r="5169" spans="1:5">
      <c r="A5169" t="s">
        <v>37436</v>
      </c>
      <c r="B5169" t="s">
        <v>37438</v>
      </c>
      <c r="C5169">
        <f>0</f>
        <v>0</v>
      </c>
      <c r="D5169">
        <v>0.71034534687200002</v>
      </c>
      <c r="E5169">
        <v>7.6020000000000003</v>
      </c>
    </row>
    <row r="5170" spans="1:5">
      <c r="A5170" t="s">
        <v>37436</v>
      </c>
      <c r="B5170" t="s">
        <v>37439</v>
      </c>
      <c r="C5170">
        <v>0.39673534687200002</v>
      </c>
      <c r="D5170">
        <v>0.71034534687200002</v>
      </c>
      <c r="E5170">
        <v>7.6020000000000003</v>
      </c>
    </row>
    <row r="5171" spans="1:5">
      <c r="A5171" t="s">
        <v>37440</v>
      </c>
      <c r="B5171" t="s">
        <v>37441</v>
      </c>
      <c r="C5171">
        <v>0.70513704275699995</v>
      </c>
      <c r="D5171">
        <v>0.78354704275700005</v>
      </c>
      <c r="E5171">
        <v>3.972</v>
      </c>
    </row>
    <row r="5172" spans="1:5">
      <c r="A5172" t="s">
        <v>37440</v>
      </c>
      <c r="B5172" t="s">
        <v>37442</v>
      </c>
      <c r="C5172">
        <v>0</v>
      </c>
      <c r="D5172">
        <v>0.78354704275700005</v>
      </c>
      <c r="E5172">
        <v>3.972</v>
      </c>
    </row>
    <row r="5173" spans="1:5">
      <c r="A5173" t="s">
        <v>37443</v>
      </c>
      <c r="B5173" t="s">
        <v>32146</v>
      </c>
      <c r="C5173">
        <f>0</f>
        <v>0</v>
      </c>
      <c r="D5173" t="s">
        <v>106</v>
      </c>
      <c r="E5173">
        <v>9.7739999999999991</v>
      </c>
    </row>
    <row r="5174" spans="1:5">
      <c r="A5174" t="s">
        <v>37443</v>
      </c>
      <c r="B5174" t="s">
        <v>32147</v>
      </c>
      <c r="C5174">
        <f>0</f>
        <v>0</v>
      </c>
      <c r="D5174" t="s">
        <v>106</v>
      </c>
      <c r="E5174">
        <v>9.7739999999999991</v>
      </c>
    </row>
    <row r="5175" spans="1:5">
      <c r="A5175" t="s">
        <v>37444</v>
      </c>
      <c r="B5175" t="s">
        <v>37445</v>
      </c>
      <c r="C5175">
        <v>0.250662604811</v>
      </c>
      <c r="D5175">
        <v>0.56427260481099994</v>
      </c>
      <c r="E5175">
        <v>24</v>
      </c>
    </row>
    <row r="5176" spans="1:5">
      <c r="A5176" t="s">
        <v>37444</v>
      </c>
      <c r="B5176" t="s">
        <v>37446</v>
      </c>
      <c r="C5176">
        <f>0</f>
        <v>0</v>
      </c>
      <c r="D5176">
        <v>0.56427260481099994</v>
      </c>
      <c r="E5176">
        <v>24</v>
      </c>
    </row>
    <row r="5177" spans="1:5">
      <c r="A5177" t="s">
        <v>37447</v>
      </c>
      <c r="B5177" t="s">
        <v>37448</v>
      </c>
      <c r="C5177">
        <v>0</v>
      </c>
      <c r="D5177">
        <v>0.99995794199999999</v>
      </c>
      <c r="E5177">
        <v>8.8680000000000003</v>
      </c>
    </row>
    <row r="5178" spans="1:5">
      <c r="A5178" t="s">
        <v>37447</v>
      </c>
      <c r="B5178" t="s">
        <v>37449</v>
      </c>
      <c r="C5178">
        <v>0.10477734429</v>
      </c>
      <c r="D5178">
        <v>0.99995794199999999</v>
      </c>
      <c r="E5178">
        <v>8.8680000000000003</v>
      </c>
    </row>
    <row r="5179" spans="1:5">
      <c r="A5179" t="s">
        <v>37447</v>
      </c>
      <c r="B5179" t="s">
        <v>37450</v>
      </c>
      <c r="C5179">
        <f>0.00212880325419</f>
        <v>2.1288032541900001E-3</v>
      </c>
      <c r="D5179">
        <v>0.99995794199999999</v>
      </c>
      <c r="E5179">
        <v>8.8680000000000003</v>
      </c>
    </row>
    <row r="5180" spans="1:5">
      <c r="A5180" t="s">
        <v>37447</v>
      </c>
      <c r="B5180" t="s">
        <v>37451</v>
      </c>
      <c r="C5180">
        <f>0.398512288824</f>
        <v>0.39851228882400003</v>
      </c>
      <c r="D5180">
        <v>0.99995794199999999</v>
      </c>
      <c r="E5180">
        <v>8.8680000000000003</v>
      </c>
    </row>
    <row r="5181" spans="1:5">
      <c r="A5181" t="s">
        <v>37447</v>
      </c>
      <c r="B5181" t="s">
        <v>37452</v>
      </c>
      <c r="C5181">
        <v>0</v>
      </c>
      <c r="D5181">
        <v>0.99995794199999999</v>
      </c>
      <c r="E5181">
        <v>8.8680000000000003</v>
      </c>
    </row>
    <row r="5182" spans="1:5">
      <c r="A5182" t="s">
        <v>37447</v>
      </c>
      <c r="B5182" t="s">
        <v>37453</v>
      </c>
      <c r="C5182">
        <f>0.237003039414</f>
        <v>0.237003039414</v>
      </c>
      <c r="D5182">
        <v>0.99995794199999999</v>
      </c>
      <c r="E5182">
        <v>8.8680000000000003</v>
      </c>
    </row>
    <row r="5183" spans="1:5">
      <c r="A5183" t="s">
        <v>37447</v>
      </c>
      <c r="B5183" t="s">
        <v>37454</v>
      </c>
      <c r="C5183">
        <v>8.22442458967E-2</v>
      </c>
      <c r="D5183">
        <v>0.99995794199999999</v>
      </c>
      <c r="E5183">
        <v>8.8680000000000003</v>
      </c>
    </row>
    <row r="5184" spans="1:5">
      <c r="A5184" t="s">
        <v>37447</v>
      </c>
      <c r="B5184" t="s">
        <v>37455</v>
      </c>
      <c r="C5184">
        <v>1.0678650384799999</v>
      </c>
      <c r="D5184">
        <v>0.99995794199999999</v>
      </c>
      <c r="E5184">
        <v>8.8680000000000003</v>
      </c>
    </row>
    <row r="5185" spans="1:5">
      <c r="A5185" t="s">
        <v>37447</v>
      </c>
      <c r="B5185" t="s">
        <v>37456</v>
      </c>
      <c r="C5185">
        <v>0.27228058614700001</v>
      </c>
      <c r="D5185">
        <v>0.99995794199999999</v>
      </c>
      <c r="E5185">
        <v>8.8680000000000003</v>
      </c>
    </row>
    <row r="5186" spans="1:5">
      <c r="A5186" t="s">
        <v>37457</v>
      </c>
      <c r="B5186" t="s">
        <v>30380</v>
      </c>
      <c r="C5186">
        <f>0.0151432201998</f>
        <v>1.51432201998E-2</v>
      </c>
      <c r="D5186">
        <v>0.99994961414299999</v>
      </c>
      <c r="E5186">
        <v>1.278</v>
      </c>
    </row>
    <row r="5187" spans="1:5">
      <c r="A5187" t="s">
        <v>37457</v>
      </c>
      <c r="B5187" t="s">
        <v>30372</v>
      </c>
      <c r="C5187">
        <v>0</v>
      </c>
      <c r="D5187">
        <v>0.99994961414299999</v>
      </c>
      <c r="E5187">
        <v>1.278</v>
      </c>
    </row>
    <row r="5188" spans="1:5">
      <c r="A5188" t="s">
        <v>37457</v>
      </c>
      <c r="B5188" t="s">
        <v>30373</v>
      </c>
      <c r="C5188">
        <f>0.0513880992152</f>
        <v>5.1388099215200003E-2</v>
      </c>
      <c r="D5188">
        <v>0.99994961414299999</v>
      </c>
      <c r="E5188">
        <v>1.278</v>
      </c>
    </row>
    <row r="5189" spans="1:5">
      <c r="A5189" t="s">
        <v>37457</v>
      </c>
      <c r="B5189" t="s">
        <v>30377</v>
      </c>
      <c r="C5189">
        <f>0.283804110855</f>
        <v>0.28380411085500001</v>
      </c>
      <c r="D5189">
        <v>0.99994961414299999</v>
      </c>
      <c r="E5189">
        <v>1.278</v>
      </c>
    </row>
    <row r="5190" spans="1:5">
      <c r="A5190" t="s">
        <v>37457</v>
      </c>
      <c r="B5190" t="s">
        <v>30375</v>
      </c>
      <c r="C5190">
        <f>0.00920860347108</f>
        <v>9.2086034710800006E-3</v>
      </c>
      <c r="D5190">
        <v>0.99994961414299999</v>
      </c>
      <c r="E5190">
        <v>1.278</v>
      </c>
    </row>
    <row r="5191" spans="1:5">
      <c r="A5191" t="s">
        <v>37457</v>
      </c>
      <c r="B5191" t="s">
        <v>30381</v>
      </c>
      <c r="C5191">
        <f>0</f>
        <v>0</v>
      </c>
      <c r="D5191">
        <v>0.99994961414299999</v>
      </c>
      <c r="E5191">
        <v>1.278</v>
      </c>
    </row>
    <row r="5192" spans="1:5">
      <c r="A5192" t="s">
        <v>37457</v>
      </c>
      <c r="B5192" t="s">
        <v>30379</v>
      </c>
      <c r="C5192">
        <f>0.260050967354</f>
        <v>0.26005096735400002</v>
      </c>
      <c r="D5192">
        <v>0.99994961414299999</v>
      </c>
      <c r="E5192">
        <v>1.278</v>
      </c>
    </row>
    <row r="5193" spans="1:5">
      <c r="A5193" t="s">
        <v>37457</v>
      </c>
      <c r="B5193" t="s">
        <v>30382</v>
      </c>
      <c r="C5193">
        <v>1.22630082708</v>
      </c>
      <c r="D5193">
        <v>0.99994961414299999</v>
      </c>
      <c r="E5193">
        <v>1.278</v>
      </c>
    </row>
    <row r="5194" spans="1:5">
      <c r="A5194" t="s">
        <v>37457</v>
      </c>
      <c r="B5194" t="s">
        <v>30378</v>
      </c>
      <c r="C5194">
        <v>0.54839371109500001</v>
      </c>
      <c r="D5194">
        <v>0.99994961414299999</v>
      </c>
      <c r="E5194">
        <v>1.278</v>
      </c>
    </row>
    <row r="5195" spans="1:5">
      <c r="A5195" t="s">
        <v>37458</v>
      </c>
      <c r="B5195" t="s">
        <v>37459</v>
      </c>
      <c r="C5195">
        <v>0.28435036475199998</v>
      </c>
      <c r="D5195">
        <v>0.70187803862200004</v>
      </c>
      <c r="E5195">
        <v>1.7999999999999999E-2</v>
      </c>
    </row>
    <row r="5196" spans="1:5">
      <c r="A5196" t="s">
        <v>37458</v>
      </c>
      <c r="B5196" t="s">
        <v>37460</v>
      </c>
      <c r="C5196">
        <v>0.210303689287</v>
      </c>
      <c r="D5196">
        <v>0.70187803862200004</v>
      </c>
      <c r="E5196">
        <v>1.7999999999999999E-2</v>
      </c>
    </row>
    <row r="5197" spans="1:5">
      <c r="A5197" t="s">
        <v>37461</v>
      </c>
      <c r="B5197" t="s">
        <v>2452</v>
      </c>
      <c r="C5197">
        <v>0.35902649138499998</v>
      </c>
      <c r="D5197">
        <v>0.95894783137299999</v>
      </c>
      <c r="E5197">
        <v>0.192</v>
      </c>
    </row>
    <row r="5198" spans="1:5">
      <c r="A5198" t="s">
        <v>37461</v>
      </c>
      <c r="B5198" t="s">
        <v>2453</v>
      </c>
      <c r="C5198">
        <f>0.0934431004146</f>
        <v>9.3443100414599994E-2</v>
      </c>
      <c r="D5198">
        <v>0.95894783137299999</v>
      </c>
      <c r="E5198">
        <v>0.192</v>
      </c>
    </row>
    <row r="5199" spans="1:5">
      <c r="A5199" t="s">
        <v>37461</v>
      </c>
      <c r="B5199" t="s">
        <v>2454</v>
      </c>
      <c r="C5199">
        <v>0.38073767307</v>
      </c>
      <c r="D5199">
        <v>0.95894783137299999</v>
      </c>
      <c r="E5199">
        <v>0.192</v>
      </c>
    </row>
    <row r="5200" spans="1:5">
      <c r="A5200" t="s">
        <v>37461</v>
      </c>
      <c r="B5200" t="s">
        <v>2457</v>
      </c>
      <c r="C5200">
        <f>0</f>
        <v>0</v>
      </c>
      <c r="D5200">
        <v>0.95894783137299999</v>
      </c>
      <c r="E5200">
        <v>0.192</v>
      </c>
    </row>
    <row r="5201" spans="1:5">
      <c r="A5201" t="s">
        <v>37461</v>
      </c>
      <c r="B5201" t="s">
        <v>2456</v>
      </c>
      <c r="C5201">
        <f>0.617021206868</f>
        <v>0.61702120686799999</v>
      </c>
      <c r="D5201">
        <v>0.95894783137299999</v>
      </c>
      <c r="E5201">
        <v>0.192</v>
      </c>
    </row>
    <row r="5202" spans="1:5">
      <c r="A5202" t="s">
        <v>37461</v>
      </c>
      <c r="B5202" t="s">
        <v>2455</v>
      </c>
      <c r="C5202">
        <v>0</v>
      </c>
      <c r="D5202">
        <v>0.95894783137299999</v>
      </c>
      <c r="E5202">
        <v>0.192</v>
      </c>
    </row>
    <row r="5203" spans="1:5">
      <c r="A5203" t="s">
        <v>37462</v>
      </c>
      <c r="B5203" t="s">
        <v>37463</v>
      </c>
      <c r="C5203">
        <f>0.588641039675</f>
        <v>0.58864103967500003</v>
      </c>
      <c r="D5203">
        <v>0.92293202889799997</v>
      </c>
      <c r="E5203">
        <v>0.26400000000000001</v>
      </c>
    </row>
    <row r="5204" spans="1:5">
      <c r="A5204" t="s">
        <v>37462</v>
      </c>
      <c r="B5204" t="s">
        <v>37464</v>
      </c>
      <c r="C5204">
        <f>0.0108125557487</f>
        <v>1.0812555748699999E-2</v>
      </c>
      <c r="D5204">
        <v>0.92293202889799997</v>
      </c>
      <c r="E5204">
        <v>0.26400000000000001</v>
      </c>
    </row>
    <row r="5205" spans="1:5">
      <c r="A5205" t="s">
        <v>37462</v>
      </c>
      <c r="B5205" t="s">
        <v>37465</v>
      </c>
      <c r="C5205">
        <v>0</v>
      </c>
      <c r="D5205">
        <v>0.92293202889799997</v>
      </c>
      <c r="E5205">
        <v>0.26400000000000001</v>
      </c>
    </row>
    <row r="5206" spans="1:5">
      <c r="A5206" t="s">
        <v>37462</v>
      </c>
      <c r="B5206" t="s">
        <v>37466</v>
      </c>
      <c r="C5206">
        <f>0</f>
        <v>0</v>
      </c>
      <c r="D5206">
        <v>0.92293202889799997</v>
      </c>
      <c r="E5206">
        <v>0.26400000000000001</v>
      </c>
    </row>
    <row r="5207" spans="1:5">
      <c r="A5207" t="s">
        <v>37462</v>
      </c>
      <c r="B5207" t="s">
        <v>37467</v>
      </c>
      <c r="C5207">
        <f>0</f>
        <v>0</v>
      </c>
      <c r="D5207">
        <v>0.92293202889799997</v>
      </c>
      <c r="E5207">
        <v>0.26400000000000001</v>
      </c>
    </row>
    <row r="5208" spans="1:5">
      <c r="A5208" t="s">
        <v>37462</v>
      </c>
      <c r="B5208" t="s">
        <v>37468</v>
      </c>
      <c r="C5208">
        <v>0.25789484667500001</v>
      </c>
      <c r="D5208">
        <v>0.92293202889799997</v>
      </c>
      <c r="E5208">
        <v>0.26400000000000001</v>
      </c>
    </row>
    <row r="5209" spans="1:5">
      <c r="A5209" t="s">
        <v>37462</v>
      </c>
      <c r="B5209" t="s">
        <v>37469</v>
      </c>
      <c r="C5209">
        <v>0</v>
      </c>
      <c r="D5209">
        <v>0.92293202889799997</v>
      </c>
      <c r="E5209">
        <v>0.26400000000000001</v>
      </c>
    </row>
    <row r="5210" spans="1:5">
      <c r="A5210" t="s">
        <v>37462</v>
      </c>
      <c r="B5210" t="s">
        <v>37470</v>
      </c>
      <c r="C5210">
        <f>0</f>
        <v>0</v>
      </c>
      <c r="D5210">
        <v>0.92293202889799997</v>
      </c>
      <c r="E5210">
        <v>0.26400000000000001</v>
      </c>
    </row>
    <row r="5211" spans="1:5">
      <c r="A5211" t="s">
        <v>37462</v>
      </c>
      <c r="B5211" t="s">
        <v>37471</v>
      </c>
      <c r="C5211">
        <f>0</f>
        <v>0</v>
      </c>
      <c r="D5211">
        <v>0.92293202889799997</v>
      </c>
      <c r="E5211">
        <v>0.26400000000000001</v>
      </c>
    </row>
    <row r="5212" spans="1:5">
      <c r="A5212" t="s">
        <v>37472</v>
      </c>
      <c r="B5212" t="s">
        <v>30819</v>
      </c>
      <c r="C5212">
        <v>0</v>
      </c>
      <c r="D5212" t="s">
        <v>106</v>
      </c>
      <c r="E5212">
        <v>2.1059999999999999</v>
      </c>
    </row>
    <row r="5213" spans="1:5">
      <c r="A5213" t="s">
        <v>37472</v>
      </c>
      <c r="B5213" t="s">
        <v>30820</v>
      </c>
      <c r="C5213">
        <v>0</v>
      </c>
      <c r="D5213" t="s">
        <v>106</v>
      </c>
      <c r="E5213">
        <v>2.1059999999999999</v>
      </c>
    </row>
    <row r="5214" spans="1:5">
      <c r="A5214" t="s">
        <v>37473</v>
      </c>
      <c r="B5214" t="s">
        <v>24201</v>
      </c>
      <c r="C5214">
        <v>0.73888356330500005</v>
      </c>
      <c r="D5214">
        <v>0.81905838904899997</v>
      </c>
      <c r="E5214">
        <v>10.554</v>
      </c>
    </row>
    <row r="5215" spans="1:5">
      <c r="A5215" t="s">
        <v>37473</v>
      </c>
      <c r="B5215" t="s">
        <v>24203</v>
      </c>
      <c r="C5215">
        <v>3.9972003815600003E-2</v>
      </c>
      <c r="D5215">
        <v>0.81905838904899997</v>
      </c>
      <c r="E5215">
        <v>10.554</v>
      </c>
    </row>
    <row r="5216" spans="1:5">
      <c r="A5216" t="s">
        <v>37474</v>
      </c>
      <c r="B5216" t="s">
        <v>985</v>
      </c>
      <c r="C5216">
        <f>0</f>
        <v>0</v>
      </c>
      <c r="D5216">
        <v>0.66089123392399995</v>
      </c>
      <c r="E5216">
        <v>10.242000000000001</v>
      </c>
    </row>
    <row r="5217" spans="1:5">
      <c r="A5217" t="s">
        <v>37474</v>
      </c>
      <c r="B5217" t="s">
        <v>979</v>
      </c>
      <c r="C5217">
        <f>0</f>
        <v>0</v>
      </c>
      <c r="D5217">
        <v>0.66089123392399995</v>
      </c>
      <c r="E5217">
        <v>10.242000000000001</v>
      </c>
    </row>
    <row r="5218" spans="1:5">
      <c r="A5218" t="s">
        <v>37474</v>
      </c>
      <c r="B5218" t="s">
        <v>982</v>
      </c>
      <c r="C5218">
        <v>0</v>
      </c>
      <c r="D5218">
        <v>0.66089123392399995</v>
      </c>
      <c r="E5218">
        <v>10.242000000000001</v>
      </c>
    </row>
    <row r="5219" spans="1:5">
      <c r="A5219" t="s">
        <v>37474</v>
      </c>
      <c r="B5219" t="s">
        <v>978</v>
      </c>
      <c r="C5219">
        <f>0</f>
        <v>0</v>
      </c>
      <c r="D5219">
        <v>0.66089123392399995</v>
      </c>
      <c r="E5219">
        <v>10.242000000000001</v>
      </c>
    </row>
    <row r="5220" spans="1:5">
      <c r="A5220" t="s">
        <v>37474</v>
      </c>
      <c r="B5220" t="s">
        <v>990</v>
      </c>
      <c r="C5220">
        <v>0</v>
      </c>
      <c r="D5220">
        <v>0.66089123392399995</v>
      </c>
      <c r="E5220">
        <v>10.242000000000001</v>
      </c>
    </row>
    <row r="5221" spans="1:5">
      <c r="A5221" t="s">
        <v>37474</v>
      </c>
      <c r="B5221" t="s">
        <v>981</v>
      </c>
      <c r="C5221">
        <v>0</v>
      </c>
      <c r="D5221">
        <v>0.66089123392399995</v>
      </c>
      <c r="E5221">
        <v>10.242000000000001</v>
      </c>
    </row>
    <row r="5222" spans="1:5">
      <c r="A5222" t="s">
        <v>37474</v>
      </c>
      <c r="B5222" t="s">
        <v>989</v>
      </c>
      <c r="C5222">
        <f>0</f>
        <v>0</v>
      </c>
      <c r="D5222">
        <v>0.66089123392399995</v>
      </c>
      <c r="E5222">
        <v>10.242000000000001</v>
      </c>
    </row>
    <row r="5223" spans="1:5">
      <c r="A5223" t="s">
        <v>37474</v>
      </c>
      <c r="B5223" t="s">
        <v>992</v>
      </c>
      <c r="C5223">
        <v>0</v>
      </c>
      <c r="D5223">
        <v>0.66089123392399995</v>
      </c>
      <c r="E5223">
        <v>10.242000000000001</v>
      </c>
    </row>
    <row r="5224" spans="1:5">
      <c r="A5224" t="s">
        <v>37474</v>
      </c>
      <c r="B5224" t="s">
        <v>995</v>
      </c>
      <c r="C5224">
        <f>0.142481233924</f>
        <v>0.142481233924</v>
      </c>
      <c r="D5224">
        <v>0.66089123392399995</v>
      </c>
      <c r="E5224">
        <v>10.242000000000001</v>
      </c>
    </row>
    <row r="5225" spans="1:5">
      <c r="A5225" t="s">
        <v>37475</v>
      </c>
      <c r="B5225" t="s">
        <v>11776</v>
      </c>
      <c r="C5225">
        <f>0.224161731283</f>
        <v>0.22416173128299999</v>
      </c>
      <c r="D5225">
        <v>0.97041129523000003</v>
      </c>
      <c r="E5225">
        <v>3.4079999999999999</v>
      </c>
    </row>
    <row r="5226" spans="1:5">
      <c r="A5226" t="s">
        <v>37475</v>
      </c>
      <c r="B5226" t="s">
        <v>11773</v>
      </c>
      <c r="C5226">
        <v>0.19609384887199999</v>
      </c>
      <c r="D5226">
        <v>0.97041129523000003</v>
      </c>
      <c r="E5226">
        <v>3.4079999999999999</v>
      </c>
    </row>
    <row r="5227" spans="1:5">
      <c r="A5227" t="s">
        <v>37475</v>
      </c>
      <c r="B5227" t="s">
        <v>11764</v>
      </c>
      <c r="C5227">
        <v>0.215317085528</v>
      </c>
      <c r="D5227">
        <v>0.97041129523000003</v>
      </c>
      <c r="E5227">
        <v>3.4079999999999999</v>
      </c>
    </row>
    <row r="5228" spans="1:5">
      <c r="A5228" t="s">
        <v>37475</v>
      </c>
      <c r="B5228" t="s">
        <v>11772</v>
      </c>
      <c r="C5228">
        <f>0</f>
        <v>0</v>
      </c>
      <c r="D5228">
        <v>0.97041129523000003</v>
      </c>
      <c r="E5228">
        <v>3.4079999999999999</v>
      </c>
    </row>
    <row r="5229" spans="1:5">
      <c r="A5229" t="s">
        <v>37475</v>
      </c>
      <c r="B5229" t="s">
        <v>11769</v>
      </c>
      <c r="C5229">
        <f>0.10373894849</f>
        <v>0.10373894849</v>
      </c>
      <c r="D5229">
        <v>0.97041129523000003</v>
      </c>
      <c r="E5229">
        <v>3.4079999999999999</v>
      </c>
    </row>
    <row r="5230" spans="1:5">
      <c r="A5230" t="s">
        <v>37475</v>
      </c>
      <c r="B5230" t="s">
        <v>11770</v>
      </c>
      <c r="C5230">
        <f>0</f>
        <v>0</v>
      </c>
      <c r="D5230">
        <v>0.97041129523000003</v>
      </c>
      <c r="E5230">
        <v>3.4079999999999999</v>
      </c>
    </row>
    <row r="5231" spans="1:5">
      <c r="A5231" t="s">
        <v>37475</v>
      </c>
      <c r="B5231" t="s">
        <v>11774</v>
      </c>
      <c r="C5231">
        <f>0</f>
        <v>0</v>
      </c>
      <c r="D5231">
        <v>0.97041129523000003</v>
      </c>
      <c r="E5231">
        <v>3.4079999999999999</v>
      </c>
    </row>
    <row r="5232" spans="1:5">
      <c r="A5232" t="s">
        <v>37475</v>
      </c>
      <c r="B5232" t="s">
        <v>11775</v>
      </c>
      <c r="C5232">
        <f>0.592298124562</f>
        <v>0.59229812456200004</v>
      </c>
      <c r="D5232">
        <v>0.97041129523000003</v>
      </c>
      <c r="E5232">
        <v>3.4079999999999999</v>
      </c>
    </row>
    <row r="5233" spans="1:5">
      <c r="A5233" t="s">
        <v>37475</v>
      </c>
      <c r="B5233" t="s">
        <v>11771</v>
      </c>
      <c r="C5233">
        <f>0</f>
        <v>0</v>
      </c>
      <c r="D5233">
        <v>0.97041129523000003</v>
      </c>
      <c r="E5233">
        <v>3.4079999999999999</v>
      </c>
    </row>
    <row r="5234" spans="1:5">
      <c r="A5234" t="s">
        <v>37475</v>
      </c>
      <c r="B5234" t="s">
        <v>11766</v>
      </c>
      <c r="C5234">
        <v>0</v>
      </c>
      <c r="D5234">
        <v>0.97041129523000003</v>
      </c>
      <c r="E5234">
        <v>3.4079999999999999</v>
      </c>
    </row>
    <row r="5235" spans="1:5">
      <c r="A5235" t="s">
        <v>37475</v>
      </c>
      <c r="B5235" t="s">
        <v>11765</v>
      </c>
      <c r="C5235">
        <v>0.15607434484400001</v>
      </c>
      <c r="D5235">
        <v>0.97041129523000003</v>
      </c>
      <c r="E5235">
        <v>3.4079999999999999</v>
      </c>
    </row>
    <row r="5236" spans="1:5">
      <c r="A5236" t="s">
        <v>37476</v>
      </c>
      <c r="B5236" t="s">
        <v>15942</v>
      </c>
      <c r="C5236">
        <f>0</f>
        <v>0</v>
      </c>
      <c r="D5236" t="s">
        <v>106</v>
      </c>
      <c r="E5236">
        <v>24</v>
      </c>
    </row>
    <row r="5237" spans="1:5">
      <c r="A5237" t="s">
        <v>37476</v>
      </c>
      <c r="B5237" t="s">
        <v>15943</v>
      </c>
      <c r="C5237">
        <f>0</f>
        <v>0</v>
      </c>
      <c r="D5237" t="s">
        <v>106</v>
      </c>
      <c r="E5237">
        <v>24</v>
      </c>
    </row>
    <row r="5238" spans="1:5">
      <c r="A5238" t="s">
        <v>37476</v>
      </c>
      <c r="B5238" t="s">
        <v>15945</v>
      </c>
      <c r="C5238">
        <f>0</f>
        <v>0</v>
      </c>
      <c r="D5238" t="s">
        <v>106</v>
      </c>
      <c r="E5238">
        <v>24</v>
      </c>
    </row>
    <row r="5239" spans="1:5">
      <c r="A5239" t="s">
        <v>37477</v>
      </c>
      <c r="B5239" t="s">
        <v>23431</v>
      </c>
      <c r="C5239">
        <f>0</f>
        <v>0</v>
      </c>
      <c r="D5239" t="s">
        <v>106</v>
      </c>
      <c r="E5239">
        <v>17.928000000000001</v>
      </c>
    </row>
    <row r="5240" spans="1:5">
      <c r="A5240" t="s">
        <v>37477</v>
      </c>
      <c r="B5240" t="s">
        <v>37478</v>
      </c>
      <c r="C5240">
        <v>0</v>
      </c>
      <c r="D5240" t="s">
        <v>106</v>
      </c>
      <c r="E5240">
        <v>17.928000000000001</v>
      </c>
    </row>
    <row r="5241" spans="1:5">
      <c r="A5241" t="s">
        <v>37477</v>
      </c>
      <c r="B5241" t="s">
        <v>23438</v>
      </c>
      <c r="C5241">
        <v>0</v>
      </c>
      <c r="D5241" t="s">
        <v>106</v>
      </c>
      <c r="E5241">
        <v>17.928000000000001</v>
      </c>
    </row>
    <row r="5242" spans="1:5">
      <c r="A5242" t="s">
        <v>37477</v>
      </c>
      <c r="B5242" t="s">
        <v>23437</v>
      </c>
      <c r="C5242">
        <v>0</v>
      </c>
      <c r="D5242" t="s">
        <v>106</v>
      </c>
      <c r="E5242">
        <v>17.928000000000001</v>
      </c>
    </row>
    <row r="5243" spans="1:5">
      <c r="A5243" t="s">
        <v>37477</v>
      </c>
      <c r="B5243" t="s">
        <v>23443</v>
      </c>
      <c r="C5243">
        <f>0</f>
        <v>0</v>
      </c>
      <c r="D5243" t="s">
        <v>106</v>
      </c>
      <c r="E5243">
        <v>17.928000000000001</v>
      </c>
    </row>
    <row r="5244" spans="1:5">
      <c r="A5244" t="s">
        <v>37477</v>
      </c>
      <c r="B5244" t="s">
        <v>23442</v>
      </c>
      <c r="C5244">
        <f>0</f>
        <v>0</v>
      </c>
      <c r="D5244" t="s">
        <v>106</v>
      </c>
      <c r="E5244">
        <v>17.928000000000001</v>
      </c>
    </row>
    <row r="5245" spans="1:5">
      <c r="A5245" t="s">
        <v>37477</v>
      </c>
      <c r="B5245" t="s">
        <v>23441</v>
      </c>
      <c r="C5245">
        <v>0</v>
      </c>
      <c r="D5245" t="s">
        <v>106</v>
      </c>
      <c r="E5245">
        <v>17.928000000000001</v>
      </c>
    </row>
    <row r="5246" spans="1:5">
      <c r="A5246" t="s">
        <v>37477</v>
      </c>
      <c r="B5246" t="s">
        <v>23433</v>
      </c>
      <c r="C5246">
        <f>0</f>
        <v>0</v>
      </c>
      <c r="D5246" t="s">
        <v>106</v>
      </c>
      <c r="E5246">
        <v>17.928000000000001</v>
      </c>
    </row>
    <row r="5247" spans="1:5">
      <c r="A5247" t="s">
        <v>37477</v>
      </c>
      <c r="B5247" t="s">
        <v>23435</v>
      </c>
      <c r="C5247">
        <f>0</f>
        <v>0</v>
      </c>
      <c r="D5247" t="s">
        <v>106</v>
      </c>
      <c r="E5247">
        <v>17.928000000000001</v>
      </c>
    </row>
    <row r="5248" spans="1:5">
      <c r="A5248" t="s">
        <v>37477</v>
      </c>
      <c r="B5248" t="s">
        <v>23445</v>
      </c>
      <c r="C5248">
        <v>0</v>
      </c>
      <c r="D5248" t="s">
        <v>106</v>
      </c>
      <c r="E5248">
        <v>17.928000000000001</v>
      </c>
    </row>
    <row r="5249" spans="1:5">
      <c r="A5249" t="s">
        <v>37479</v>
      </c>
      <c r="B5249" t="s">
        <v>29952</v>
      </c>
      <c r="C5249">
        <f>0</f>
        <v>0</v>
      </c>
      <c r="D5249" t="s">
        <v>106</v>
      </c>
      <c r="E5249">
        <v>0.216</v>
      </c>
    </row>
    <row r="5250" spans="1:5">
      <c r="A5250" t="s">
        <v>37479</v>
      </c>
      <c r="B5250" t="s">
        <v>29954</v>
      </c>
      <c r="C5250">
        <f>0</f>
        <v>0</v>
      </c>
      <c r="D5250" t="s">
        <v>106</v>
      </c>
      <c r="E5250">
        <v>0.216</v>
      </c>
    </row>
    <row r="5251" spans="1:5">
      <c r="A5251" t="s">
        <v>37479</v>
      </c>
      <c r="B5251" t="s">
        <v>29956</v>
      </c>
      <c r="C5251">
        <f>0</f>
        <v>0</v>
      </c>
      <c r="D5251" t="s">
        <v>106</v>
      </c>
      <c r="E5251">
        <v>0.216</v>
      </c>
    </row>
    <row r="5252" spans="1:5">
      <c r="A5252" t="s">
        <v>37480</v>
      </c>
      <c r="B5252" t="s">
        <v>37481</v>
      </c>
      <c r="C5252">
        <v>3.3318100064499999E-2</v>
      </c>
      <c r="D5252">
        <v>0.97944494173899999</v>
      </c>
      <c r="E5252">
        <v>23.754000000000001</v>
      </c>
    </row>
    <row r="5253" spans="1:5">
      <c r="A5253" t="s">
        <v>37480</v>
      </c>
      <c r="B5253" t="s">
        <v>37482</v>
      </c>
      <c r="C5253">
        <v>0.48809515229700001</v>
      </c>
      <c r="D5253">
        <v>0.97944494173899999</v>
      </c>
      <c r="E5253">
        <v>23.754000000000001</v>
      </c>
    </row>
    <row r="5254" spans="1:5">
      <c r="A5254" t="s">
        <v>37480</v>
      </c>
      <c r="B5254" t="s">
        <v>37483</v>
      </c>
      <c r="C5254">
        <f>0.0280692664463</f>
        <v>2.8069266446299999E-2</v>
      </c>
      <c r="D5254">
        <v>0.97944494173899999</v>
      </c>
      <c r="E5254">
        <v>23.754000000000001</v>
      </c>
    </row>
    <row r="5255" spans="1:5">
      <c r="A5255" t="s">
        <v>37480</v>
      </c>
      <c r="B5255" t="s">
        <v>37484</v>
      </c>
      <c r="C5255">
        <v>0</v>
      </c>
      <c r="D5255">
        <v>0.97944494173899999</v>
      </c>
      <c r="E5255">
        <v>23.754000000000001</v>
      </c>
    </row>
    <row r="5256" spans="1:5">
      <c r="A5256" t="s">
        <v>37480</v>
      </c>
      <c r="B5256" t="s">
        <v>37485</v>
      </c>
      <c r="C5256">
        <f>0.460497826097</f>
        <v>0.46049782609700002</v>
      </c>
      <c r="D5256">
        <v>0.97944494173899999</v>
      </c>
      <c r="E5256">
        <v>23.754000000000001</v>
      </c>
    </row>
    <row r="5257" spans="1:5">
      <c r="A5257" t="s">
        <v>37480</v>
      </c>
      <c r="B5257" t="s">
        <v>37486</v>
      </c>
      <c r="C5257">
        <v>0.22506308921599999</v>
      </c>
      <c r="D5257">
        <v>0.97944494173899999</v>
      </c>
      <c r="E5257">
        <v>23.754000000000001</v>
      </c>
    </row>
    <row r="5258" spans="1:5">
      <c r="A5258" t="s">
        <v>37480</v>
      </c>
      <c r="B5258" t="s">
        <v>37487</v>
      </c>
      <c r="C5258">
        <v>0</v>
      </c>
      <c r="D5258">
        <v>0.97944494173899999</v>
      </c>
      <c r="E5258">
        <v>23.754000000000001</v>
      </c>
    </row>
    <row r="5259" spans="1:5">
      <c r="A5259" t="s">
        <v>37488</v>
      </c>
      <c r="B5259" t="s">
        <v>15162</v>
      </c>
      <c r="C5259">
        <v>0</v>
      </c>
      <c r="D5259">
        <v>0.54801553165100003</v>
      </c>
      <c r="E5259">
        <v>5.82</v>
      </c>
    </row>
    <row r="5260" spans="1:5">
      <c r="A5260" t="s">
        <v>37488</v>
      </c>
      <c r="B5260" t="s">
        <v>15167</v>
      </c>
      <c r="C5260">
        <f>0</f>
        <v>0</v>
      </c>
      <c r="D5260">
        <v>0.54801553165100003</v>
      </c>
      <c r="E5260">
        <v>5.82</v>
      </c>
    </row>
    <row r="5261" spans="1:5">
      <c r="A5261" t="s">
        <v>37488</v>
      </c>
      <c r="B5261" t="s">
        <v>15172</v>
      </c>
      <c r="C5261">
        <v>0</v>
      </c>
      <c r="D5261">
        <v>0.54801553165100003</v>
      </c>
      <c r="E5261">
        <v>5.82</v>
      </c>
    </row>
    <row r="5262" spans="1:5">
      <c r="A5262" t="s">
        <v>37488</v>
      </c>
      <c r="B5262" t="s">
        <v>15161</v>
      </c>
      <c r="C5262">
        <v>0</v>
      </c>
      <c r="D5262">
        <v>0.54801553165100003</v>
      </c>
      <c r="E5262">
        <v>5.82</v>
      </c>
    </row>
    <row r="5263" spans="1:5">
      <c r="A5263" t="s">
        <v>37488</v>
      </c>
      <c r="B5263" t="s">
        <v>15166</v>
      </c>
      <c r="C5263">
        <v>9.3729474954299993E-2</v>
      </c>
      <c r="D5263">
        <v>0.54801553165100003</v>
      </c>
      <c r="E5263">
        <v>5.82</v>
      </c>
    </row>
    <row r="5264" spans="1:5">
      <c r="A5264" t="s">
        <v>37488</v>
      </c>
      <c r="B5264" t="s">
        <v>15173</v>
      </c>
      <c r="C5264">
        <v>0.27592059004500002</v>
      </c>
      <c r="D5264">
        <v>0.54801553165100003</v>
      </c>
      <c r="E5264">
        <v>5.82</v>
      </c>
    </row>
    <row r="5265" spans="1:5">
      <c r="A5265" t="s">
        <v>37488</v>
      </c>
      <c r="B5265" t="s">
        <v>15165</v>
      </c>
      <c r="C5265">
        <f>0</f>
        <v>0</v>
      </c>
      <c r="D5265">
        <v>0.54801553165100003</v>
      </c>
      <c r="E5265">
        <v>5.82</v>
      </c>
    </row>
    <row r="5266" spans="1:5">
      <c r="A5266" t="s">
        <v>37488</v>
      </c>
      <c r="B5266" t="s">
        <v>15164</v>
      </c>
      <c r="C5266">
        <v>0</v>
      </c>
      <c r="D5266">
        <v>0.54801553165100003</v>
      </c>
      <c r="E5266">
        <v>5.82</v>
      </c>
    </row>
    <row r="5267" spans="1:5">
      <c r="A5267" t="s">
        <v>37488</v>
      </c>
      <c r="B5267" t="s">
        <v>15169</v>
      </c>
      <c r="C5267">
        <v>0</v>
      </c>
      <c r="D5267">
        <v>0.54801553165100003</v>
      </c>
      <c r="E5267">
        <v>5.82</v>
      </c>
    </row>
    <row r="5268" spans="1:5">
      <c r="A5268" t="s">
        <v>37488</v>
      </c>
      <c r="B5268" t="s">
        <v>15171</v>
      </c>
      <c r="C5268">
        <f>0</f>
        <v>0</v>
      </c>
      <c r="D5268">
        <v>0.54801553165100003</v>
      </c>
      <c r="E5268">
        <v>5.82</v>
      </c>
    </row>
    <row r="5269" spans="1:5">
      <c r="A5269" t="s">
        <v>37489</v>
      </c>
      <c r="B5269" t="s">
        <v>37490</v>
      </c>
      <c r="C5269">
        <v>0</v>
      </c>
      <c r="D5269">
        <v>0.93547027893699997</v>
      </c>
      <c r="E5269">
        <v>8.4359999999999999</v>
      </c>
    </row>
    <row r="5270" spans="1:5">
      <c r="A5270" t="s">
        <v>37489</v>
      </c>
      <c r="B5270" t="s">
        <v>37491</v>
      </c>
      <c r="C5270">
        <v>0</v>
      </c>
      <c r="D5270">
        <v>0.93547027893699997</v>
      </c>
      <c r="E5270">
        <v>8.4359999999999999</v>
      </c>
    </row>
    <row r="5271" spans="1:5">
      <c r="A5271" t="s">
        <v>37489</v>
      </c>
      <c r="B5271" t="s">
        <v>37492</v>
      </c>
      <c r="C5271">
        <f>0</f>
        <v>0</v>
      </c>
      <c r="D5271">
        <v>0.93547027893699997</v>
      </c>
      <c r="E5271">
        <v>8.4359999999999999</v>
      </c>
    </row>
    <row r="5272" spans="1:5">
      <c r="A5272" t="s">
        <v>37489</v>
      </c>
      <c r="B5272" t="s">
        <v>37493</v>
      </c>
      <c r="C5272">
        <v>0</v>
      </c>
      <c r="D5272">
        <v>0.93547027893699997</v>
      </c>
      <c r="E5272">
        <v>8.4359999999999999</v>
      </c>
    </row>
    <row r="5273" spans="1:5">
      <c r="A5273" t="s">
        <v>37489</v>
      </c>
      <c r="B5273" t="s">
        <v>37494</v>
      </c>
      <c r="C5273">
        <v>0.40255643776200001</v>
      </c>
      <c r="D5273">
        <v>0.93547027893699997</v>
      </c>
      <c r="E5273">
        <v>8.4359999999999999</v>
      </c>
    </row>
    <row r="5274" spans="1:5">
      <c r="A5274" t="s">
        <v>37489</v>
      </c>
      <c r="B5274" t="s">
        <v>37495</v>
      </c>
      <c r="C5274">
        <v>0</v>
      </c>
      <c r="D5274">
        <v>0.93547027893699997</v>
      </c>
      <c r="E5274">
        <v>8.4359999999999999</v>
      </c>
    </row>
    <row r="5275" spans="1:5">
      <c r="A5275" t="s">
        <v>37489</v>
      </c>
      <c r="B5275" t="s">
        <v>37496</v>
      </c>
      <c r="C5275">
        <f>0</f>
        <v>0</v>
      </c>
      <c r="D5275">
        <v>0.93547027893699997</v>
      </c>
      <c r="E5275">
        <v>8.4359999999999999</v>
      </c>
    </row>
    <row r="5276" spans="1:5">
      <c r="A5276" t="s">
        <v>37489</v>
      </c>
      <c r="B5276" t="s">
        <v>37497</v>
      </c>
      <c r="C5276">
        <f>0</f>
        <v>0</v>
      </c>
      <c r="D5276">
        <v>0.93547027893699997</v>
      </c>
      <c r="E5276">
        <v>8.4359999999999999</v>
      </c>
    </row>
    <row r="5277" spans="1:5">
      <c r="A5277" t="s">
        <v>37489</v>
      </c>
      <c r="B5277" t="s">
        <v>37498</v>
      </c>
      <c r="C5277">
        <v>0</v>
      </c>
      <c r="D5277">
        <v>0.93547027893699997</v>
      </c>
      <c r="E5277">
        <v>8.4359999999999999</v>
      </c>
    </row>
    <row r="5278" spans="1:5">
      <c r="A5278" t="s">
        <v>37489</v>
      </c>
      <c r="B5278" t="s">
        <v>37499</v>
      </c>
      <c r="C5278">
        <f>0.139988210127</f>
        <v>0.139988210127</v>
      </c>
      <c r="D5278">
        <v>0.93547027893699997</v>
      </c>
      <c r="E5278">
        <v>8.4359999999999999</v>
      </c>
    </row>
    <row r="5279" spans="1:5">
      <c r="A5279" t="s">
        <v>37489</v>
      </c>
      <c r="B5279" t="s">
        <v>37500</v>
      </c>
      <c r="C5279">
        <v>0</v>
      </c>
      <c r="D5279">
        <v>0.93547027893699997</v>
      </c>
      <c r="E5279">
        <v>8.4359999999999999</v>
      </c>
    </row>
    <row r="5280" spans="1:5">
      <c r="A5280" t="s">
        <v>37489</v>
      </c>
      <c r="B5280" t="s">
        <v>37501</v>
      </c>
      <c r="C5280">
        <f>0</f>
        <v>0</v>
      </c>
      <c r="D5280">
        <v>0.93547027893699997</v>
      </c>
      <c r="E5280">
        <v>8.4359999999999999</v>
      </c>
    </row>
    <row r="5281" spans="1:5">
      <c r="A5281" t="s">
        <v>37489</v>
      </c>
      <c r="B5281" t="s">
        <v>37502</v>
      </c>
      <c r="C5281">
        <f>0</f>
        <v>0</v>
      </c>
      <c r="D5281">
        <v>0.93547027893699997</v>
      </c>
      <c r="E5281">
        <v>8.4359999999999999</v>
      </c>
    </row>
    <row r="5282" spans="1:5">
      <c r="A5282" t="s">
        <v>37489</v>
      </c>
      <c r="B5282" t="s">
        <v>37503</v>
      </c>
      <c r="C5282">
        <f>0.0215332933016</f>
        <v>2.15332933016E-2</v>
      </c>
      <c r="D5282">
        <v>0.93547027893699997</v>
      </c>
      <c r="E5282">
        <v>8.4359999999999999</v>
      </c>
    </row>
    <row r="5283" spans="1:5">
      <c r="A5283" t="s">
        <v>37489</v>
      </c>
      <c r="B5283" t="s">
        <v>37504</v>
      </c>
      <c r="C5283">
        <v>0</v>
      </c>
      <c r="D5283">
        <v>0.93547027893699997</v>
      </c>
      <c r="E5283">
        <v>8.4359999999999999</v>
      </c>
    </row>
    <row r="5284" spans="1:5">
      <c r="A5284" t="s">
        <v>37489</v>
      </c>
      <c r="B5284" t="s">
        <v>37505</v>
      </c>
      <c r="C5284">
        <v>0</v>
      </c>
      <c r="D5284">
        <v>0.93547027893699997</v>
      </c>
      <c r="E5284">
        <v>8.4359999999999999</v>
      </c>
    </row>
    <row r="5285" spans="1:5">
      <c r="A5285" t="s">
        <v>37489</v>
      </c>
      <c r="B5285" t="s">
        <v>37506</v>
      </c>
      <c r="C5285">
        <v>0</v>
      </c>
      <c r="D5285">
        <v>0.93547027893699997</v>
      </c>
      <c r="E5285">
        <v>8.4359999999999999</v>
      </c>
    </row>
    <row r="5286" spans="1:5">
      <c r="A5286" t="s">
        <v>37489</v>
      </c>
      <c r="B5286" t="s">
        <v>37507</v>
      </c>
      <c r="C5286">
        <v>0</v>
      </c>
      <c r="D5286">
        <v>0.93547027893699997</v>
      </c>
      <c r="E5286">
        <v>8.4359999999999999</v>
      </c>
    </row>
    <row r="5287" spans="1:5">
      <c r="A5287" t="s">
        <v>37489</v>
      </c>
      <c r="B5287" t="s">
        <v>37508</v>
      </c>
      <c r="C5287">
        <v>0</v>
      </c>
      <c r="D5287">
        <v>0.93547027893699997</v>
      </c>
      <c r="E5287">
        <v>8.4359999999999999</v>
      </c>
    </row>
    <row r="5288" spans="1:5">
      <c r="A5288" t="s">
        <v>37489</v>
      </c>
      <c r="B5288" t="s">
        <v>37509</v>
      </c>
      <c r="C5288">
        <v>0</v>
      </c>
      <c r="D5288">
        <v>0.93547027893699997</v>
      </c>
      <c r="E5288">
        <v>8.4359999999999999</v>
      </c>
    </row>
    <row r="5289" spans="1:5">
      <c r="A5289" t="s">
        <v>37489</v>
      </c>
      <c r="B5289" t="s">
        <v>37510</v>
      </c>
      <c r="C5289">
        <v>0.28398880205900001</v>
      </c>
      <c r="D5289">
        <v>0.93547027893699997</v>
      </c>
      <c r="E5289">
        <v>8.4359999999999999</v>
      </c>
    </row>
    <row r="5290" spans="1:5">
      <c r="A5290" t="s">
        <v>37489</v>
      </c>
      <c r="B5290" t="s">
        <v>37511</v>
      </c>
      <c r="C5290">
        <v>0</v>
      </c>
      <c r="D5290">
        <v>0.93547027893699997</v>
      </c>
      <c r="E5290">
        <v>8.4359999999999999</v>
      </c>
    </row>
    <row r="5291" spans="1:5">
      <c r="A5291" t="s">
        <v>37489</v>
      </c>
      <c r="B5291" t="s">
        <v>37512</v>
      </c>
      <c r="C5291">
        <v>0</v>
      </c>
      <c r="D5291">
        <v>0.93547027893699997</v>
      </c>
      <c r="E5291">
        <v>8.4359999999999999</v>
      </c>
    </row>
    <row r="5292" spans="1:5">
      <c r="A5292" t="s">
        <v>37489</v>
      </c>
      <c r="B5292" t="s">
        <v>37513</v>
      </c>
      <c r="C5292">
        <v>0</v>
      </c>
      <c r="D5292">
        <v>0.93547027893699997</v>
      </c>
      <c r="E5292">
        <v>8.4359999999999999</v>
      </c>
    </row>
    <row r="5293" spans="1:5">
      <c r="A5293" t="s">
        <v>37489</v>
      </c>
      <c r="B5293" t="s">
        <v>37514</v>
      </c>
      <c r="C5293">
        <f>0</f>
        <v>0</v>
      </c>
      <c r="D5293">
        <v>0.93547027893699997</v>
      </c>
      <c r="E5293">
        <v>8.4359999999999999</v>
      </c>
    </row>
    <row r="5294" spans="1:5">
      <c r="A5294" t="s">
        <v>37515</v>
      </c>
      <c r="B5294" t="s">
        <v>15635</v>
      </c>
      <c r="C5294">
        <f>0</f>
        <v>0</v>
      </c>
      <c r="D5294" t="s">
        <v>106</v>
      </c>
      <c r="E5294">
        <v>24</v>
      </c>
    </row>
    <row r="5295" spans="1:5">
      <c r="A5295" t="s">
        <v>37515</v>
      </c>
      <c r="B5295" t="s">
        <v>15637</v>
      </c>
      <c r="C5295">
        <f>0</f>
        <v>0</v>
      </c>
      <c r="D5295" t="s">
        <v>106</v>
      </c>
      <c r="E5295">
        <v>24</v>
      </c>
    </row>
    <row r="5296" spans="1:5">
      <c r="A5296" t="s">
        <v>37515</v>
      </c>
      <c r="B5296" t="s">
        <v>15638</v>
      </c>
      <c r="C5296">
        <v>0</v>
      </c>
      <c r="D5296" t="s">
        <v>106</v>
      </c>
      <c r="E5296">
        <v>24</v>
      </c>
    </row>
    <row r="5297" spans="1:5">
      <c r="A5297" t="s">
        <v>37515</v>
      </c>
      <c r="B5297" t="s">
        <v>15636</v>
      </c>
      <c r="C5297">
        <f>0</f>
        <v>0</v>
      </c>
      <c r="D5297" t="s">
        <v>106</v>
      </c>
      <c r="E5297">
        <v>24</v>
      </c>
    </row>
    <row r="5298" spans="1:5">
      <c r="A5298" t="s">
        <v>37516</v>
      </c>
      <c r="B5298" t="s">
        <v>30505</v>
      </c>
      <c r="C5298">
        <v>0</v>
      </c>
      <c r="D5298">
        <v>0.914441798945</v>
      </c>
      <c r="E5298">
        <v>9.468</v>
      </c>
    </row>
    <row r="5299" spans="1:5">
      <c r="A5299" t="s">
        <v>37516</v>
      </c>
      <c r="B5299" t="s">
        <v>30510</v>
      </c>
      <c r="C5299">
        <v>9.7062567284899995E-2</v>
      </c>
      <c r="D5299">
        <v>0.914441798945</v>
      </c>
      <c r="E5299">
        <v>9.468</v>
      </c>
    </row>
    <row r="5300" spans="1:5">
      <c r="A5300" t="s">
        <v>37516</v>
      </c>
      <c r="B5300" t="s">
        <v>30512</v>
      </c>
      <c r="C5300">
        <f>0.527222177136</f>
        <v>0.52722217713599995</v>
      </c>
      <c r="D5300">
        <v>0.914441798945</v>
      </c>
      <c r="E5300">
        <v>9.468</v>
      </c>
    </row>
    <row r="5301" spans="1:5">
      <c r="A5301" t="s">
        <v>37516</v>
      </c>
      <c r="B5301" t="s">
        <v>30515</v>
      </c>
      <c r="C5301">
        <f>0.11312962049</f>
        <v>0.11312962049</v>
      </c>
      <c r="D5301">
        <v>0.914441798945</v>
      </c>
      <c r="E5301">
        <v>9.468</v>
      </c>
    </row>
    <row r="5302" spans="1:5">
      <c r="A5302" t="s">
        <v>37516</v>
      </c>
      <c r="B5302" t="s">
        <v>30508</v>
      </c>
      <c r="C5302">
        <v>0</v>
      </c>
      <c r="D5302">
        <v>0.914441798945</v>
      </c>
      <c r="E5302">
        <v>9.468</v>
      </c>
    </row>
    <row r="5303" spans="1:5">
      <c r="A5303" t="s">
        <v>37516</v>
      </c>
      <c r="B5303" t="s">
        <v>30518</v>
      </c>
      <c r="C5303">
        <f>0.689556614344</f>
        <v>0.68955661434399995</v>
      </c>
      <c r="D5303">
        <v>0.914441798945</v>
      </c>
      <c r="E5303">
        <v>9.468</v>
      </c>
    </row>
    <row r="5304" spans="1:5">
      <c r="A5304" t="s">
        <v>37517</v>
      </c>
      <c r="B5304" t="s">
        <v>37518</v>
      </c>
      <c r="C5304">
        <v>0.14647408344499999</v>
      </c>
      <c r="D5304">
        <v>0.416884083445</v>
      </c>
      <c r="E5304">
        <v>14.933999999999999</v>
      </c>
    </row>
    <row r="5305" spans="1:5">
      <c r="A5305" t="s">
        <v>37517</v>
      </c>
      <c r="B5305" t="s">
        <v>37519</v>
      </c>
      <c r="C5305">
        <f>0</f>
        <v>0</v>
      </c>
      <c r="D5305">
        <v>0.416884083445</v>
      </c>
      <c r="E5305">
        <v>14.933999999999999</v>
      </c>
    </row>
    <row r="5306" spans="1:5">
      <c r="A5306" t="s">
        <v>37520</v>
      </c>
      <c r="B5306" t="s">
        <v>466</v>
      </c>
      <c r="C5306">
        <f>0</f>
        <v>0</v>
      </c>
      <c r="D5306">
        <v>0.73402766962900001</v>
      </c>
      <c r="E5306">
        <v>0</v>
      </c>
    </row>
    <row r="5307" spans="1:5">
      <c r="A5307" t="s">
        <v>37520</v>
      </c>
      <c r="B5307" t="s">
        <v>470</v>
      </c>
      <c r="C5307">
        <v>0.57401766962900003</v>
      </c>
      <c r="D5307">
        <v>0.73402766962900001</v>
      </c>
      <c r="E5307">
        <v>0</v>
      </c>
    </row>
    <row r="5308" spans="1:5">
      <c r="A5308" t="s">
        <v>37520</v>
      </c>
      <c r="B5308" t="s">
        <v>468</v>
      </c>
      <c r="C5308">
        <v>0</v>
      </c>
      <c r="D5308">
        <v>0.73402766962900001</v>
      </c>
      <c r="E5308">
        <v>0</v>
      </c>
    </row>
    <row r="5309" spans="1:5">
      <c r="A5309" t="s">
        <v>37521</v>
      </c>
      <c r="B5309" t="s">
        <v>37522</v>
      </c>
      <c r="C5309">
        <v>0</v>
      </c>
      <c r="D5309" t="s">
        <v>106</v>
      </c>
      <c r="E5309">
        <v>15.708</v>
      </c>
    </row>
    <row r="5310" spans="1:5">
      <c r="A5310" t="s">
        <v>37521</v>
      </c>
      <c r="B5310" t="s">
        <v>37523</v>
      </c>
      <c r="C5310">
        <v>0</v>
      </c>
      <c r="D5310" t="s">
        <v>106</v>
      </c>
      <c r="E5310">
        <v>15.708</v>
      </c>
    </row>
    <row r="5311" spans="1:5">
      <c r="A5311" t="s">
        <v>37521</v>
      </c>
      <c r="B5311" t="s">
        <v>37524</v>
      </c>
      <c r="C5311">
        <v>0</v>
      </c>
      <c r="D5311" t="s">
        <v>106</v>
      </c>
      <c r="E5311">
        <v>15.708</v>
      </c>
    </row>
    <row r="5312" spans="1:5">
      <c r="A5312" t="s">
        <v>37521</v>
      </c>
      <c r="B5312" t="s">
        <v>37525</v>
      </c>
      <c r="C5312">
        <f>0</f>
        <v>0</v>
      </c>
      <c r="D5312" t="s">
        <v>106</v>
      </c>
      <c r="E5312">
        <v>15.708</v>
      </c>
    </row>
    <row r="5313" spans="1:5">
      <c r="A5313" t="s">
        <v>37526</v>
      </c>
      <c r="B5313" t="s">
        <v>12454</v>
      </c>
      <c r="C5313">
        <v>0</v>
      </c>
      <c r="D5313">
        <v>0.69891346313699998</v>
      </c>
      <c r="E5313">
        <v>1.968</v>
      </c>
    </row>
    <row r="5314" spans="1:5">
      <c r="A5314" t="s">
        <v>37526</v>
      </c>
      <c r="B5314" t="s">
        <v>12455</v>
      </c>
      <c r="C5314">
        <v>0</v>
      </c>
      <c r="D5314">
        <v>0.69891346313699998</v>
      </c>
      <c r="E5314">
        <v>1.968</v>
      </c>
    </row>
    <row r="5315" spans="1:5">
      <c r="A5315" t="s">
        <v>37526</v>
      </c>
      <c r="B5315" t="s">
        <v>12456</v>
      </c>
      <c r="C5315">
        <v>0.46850346313699998</v>
      </c>
      <c r="D5315">
        <v>0.69891346313699998</v>
      </c>
      <c r="E5315">
        <v>1.968</v>
      </c>
    </row>
    <row r="5316" spans="1:5">
      <c r="A5316" t="s">
        <v>37526</v>
      </c>
      <c r="B5316" t="s">
        <v>12458</v>
      </c>
      <c r="C5316">
        <v>0</v>
      </c>
      <c r="D5316">
        <v>0.69891346313699998</v>
      </c>
      <c r="E5316">
        <v>1.968</v>
      </c>
    </row>
    <row r="5317" spans="1:5">
      <c r="A5317" t="s">
        <v>37527</v>
      </c>
      <c r="B5317" t="s">
        <v>37528</v>
      </c>
      <c r="C5317">
        <f>0</f>
        <v>0</v>
      </c>
      <c r="D5317" t="s">
        <v>106</v>
      </c>
      <c r="E5317">
        <v>23.754000000000001</v>
      </c>
    </row>
    <row r="5318" spans="1:5">
      <c r="A5318" t="s">
        <v>37527</v>
      </c>
      <c r="B5318" t="s">
        <v>37529</v>
      </c>
      <c r="C5318">
        <f>0</f>
        <v>0</v>
      </c>
      <c r="D5318" t="s">
        <v>106</v>
      </c>
      <c r="E5318">
        <v>23.754000000000001</v>
      </c>
    </row>
    <row r="5319" spans="1:5">
      <c r="A5319" t="s">
        <v>37527</v>
      </c>
      <c r="B5319" t="s">
        <v>37530</v>
      </c>
      <c r="C5319">
        <f>0</f>
        <v>0</v>
      </c>
      <c r="D5319" t="s">
        <v>106</v>
      </c>
      <c r="E5319">
        <v>23.754000000000001</v>
      </c>
    </row>
    <row r="5320" spans="1:5">
      <c r="A5320" t="s">
        <v>37527</v>
      </c>
      <c r="B5320" t="s">
        <v>37531</v>
      </c>
      <c r="C5320">
        <v>0</v>
      </c>
      <c r="D5320" t="s">
        <v>106</v>
      </c>
      <c r="E5320">
        <v>23.754000000000001</v>
      </c>
    </row>
    <row r="5321" spans="1:5">
      <c r="A5321" t="s">
        <v>37532</v>
      </c>
      <c r="B5321" t="s">
        <v>8534</v>
      </c>
      <c r="C5321">
        <v>0.106856787942</v>
      </c>
      <c r="D5321">
        <v>0.99772958963299996</v>
      </c>
      <c r="E5321">
        <v>20.963999999999999</v>
      </c>
    </row>
    <row r="5322" spans="1:5">
      <c r="A5322" t="s">
        <v>37532</v>
      </c>
      <c r="B5322" t="s">
        <v>8533</v>
      </c>
      <c r="C5322">
        <f>0.0576956803767</f>
        <v>5.7695680376699997E-2</v>
      </c>
      <c r="D5322">
        <v>0.99772958963299996</v>
      </c>
      <c r="E5322">
        <v>20.963999999999999</v>
      </c>
    </row>
    <row r="5323" spans="1:5">
      <c r="A5323" t="s">
        <v>37532</v>
      </c>
      <c r="B5323" t="s">
        <v>8531</v>
      </c>
      <c r="C5323">
        <v>3.0492134253899999E-2</v>
      </c>
      <c r="D5323">
        <v>0.99772958963299996</v>
      </c>
      <c r="E5323">
        <v>20.963999999999999</v>
      </c>
    </row>
    <row r="5324" spans="1:5">
      <c r="A5324" t="s">
        <v>37532</v>
      </c>
      <c r="B5324" t="s">
        <v>8535</v>
      </c>
      <c r="C5324">
        <v>0</v>
      </c>
      <c r="D5324">
        <v>0.99772958963299996</v>
      </c>
      <c r="E5324">
        <v>20.963999999999999</v>
      </c>
    </row>
    <row r="5325" spans="1:5">
      <c r="A5325" t="s">
        <v>37532</v>
      </c>
      <c r="B5325" t="s">
        <v>8539</v>
      </c>
      <c r="C5325">
        <v>0.81938031886600005</v>
      </c>
      <c r="D5325">
        <v>0.99772958963299996</v>
      </c>
      <c r="E5325">
        <v>20.963999999999999</v>
      </c>
    </row>
    <row r="5326" spans="1:5">
      <c r="A5326" t="s">
        <v>37532</v>
      </c>
      <c r="B5326" t="s">
        <v>8538</v>
      </c>
      <c r="C5326">
        <f>0</f>
        <v>0</v>
      </c>
      <c r="D5326">
        <v>0.99772958963299996</v>
      </c>
      <c r="E5326">
        <v>20.963999999999999</v>
      </c>
    </row>
    <row r="5327" spans="1:5">
      <c r="A5327" t="s">
        <v>37532</v>
      </c>
      <c r="B5327" t="s">
        <v>8537</v>
      </c>
      <c r="C5327">
        <v>0.232440196259</v>
      </c>
      <c r="D5327">
        <v>0.99772958963299996</v>
      </c>
      <c r="E5327">
        <v>20.963999999999999</v>
      </c>
    </row>
    <row r="5328" spans="1:5">
      <c r="A5328" t="s">
        <v>37533</v>
      </c>
      <c r="B5328" t="s">
        <v>19414</v>
      </c>
      <c r="C5328">
        <v>9.5356425227799996E-2</v>
      </c>
      <c r="D5328">
        <v>0.975757586791</v>
      </c>
      <c r="E5328">
        <v>0</v>
      </c>
    </row>
    <row r="5329" spans="1:5">
      <c r="A5329" t="s">
        <v>37533</v>
      </c>
      <c r="B5329" t="s">
        <v>19418</v>
      </c>
      <c r="C5329">
        <v>0.93661877744900002</v>
      </c>
      <c r="D5329">
        <v>0.975757586791</v>
      </c>
      <c r="E5329">
        <v>0</v>
      </c>
    </row>
    <row r="5330" spans="1:5">
      <c r="A5330" t="s">
        <v>37533</v>
      </c>
      <c r="B5330" t="s">
        <v>19420</v>
      </c>
      <c r="C5330">
        <v>0.709792699059</v>
      </c>
      <c r="D5330">
        <v>0.975757586791</v>
      </c>
      <c r="E5330">
        <v>0</v>
      </c>
    </row>
    <row r="5331" spans="1:5">
      <c r="A5331" t="s">
        <v>37533</v>
      </c>
      <c r="B5331" t="s">
        <v>19419</v>
      </c>
      <c r="C5331">
        <f>0.345395334275</f>
        <v>0.34539533427500002</v>
      </c>
      <c r="D5331">
        <v>0.975757586791</v>
      </c>
      <c r="E5331">
        <v>0</v>
      </c>
    </row>
    <row r="5332" spans="1:5">
      <c r="A5332" t="s">
        <v>37534</v>
      </c>
      <c r="B5332" t="s">
        <v>15026</v>
      </c>
      <c r="C5332">
        <v>0.15619925391600001</v>
      </c>
      <c r="D5332">
        <v>0.99134777170599997</v>
      </c>
      <c r="E5332">
        <v>0.192</v>
      </c>
    </row>
    <row r="5333" spans="1:5">
      <c r="A5333" t="s">
        <v>37534</v>
      </c>
      <c r="B5333" t="s">
        <v>15031</v>
      </c>
      <c r="C5333">
        <v>2.0503734122399999</v>
      </c>
      <c r="D5333">
        <v>0.99134777170599997</v>
      </c>
      <c r="E5333">
        <v>0.192</v>
      </c>
    </row>
    <row r="5334" spans="1:5">
      <c r="A5334" t="s">
        <v>37534</v>
      </c>
      <c r="B5334" t="s">
        <v>15030</v>
      </c>
      <c r="C5334">
        <f>-1.63425228028</f>
        <v>-1.6342522802799999</v>
      </c>
      <c r="D5334">
        <v>0.99134777170599997</v>
      </c>
      <c r="E5334">
        <v>0.192</v>
      </c>
    </row>
    <row r="5335" spans="1:5">
      <c r="A5335" t="s">
        <v>37534</v>
      </c>
      <c r="B5335" t="s">
        <v>15028</v>
      </c>
      <c r="C5335">
        <f>-1.48905450692</f>
        <v>-1.4890545069200001</v>
      </c>
      <c r="D5335">
        <v>0.99134777170599997</v>
      </c>
      <c r="E5335">
        <v>0.192</v>
      </c>
    </row>
    <row r="5336" spans="1:5">
      <c r="A5336" t="s">
        <v>37534</v>
      </c>
      <c r="B5336" t="s">
        <v>15033</v>
      </c>
      <c r="C5336">
        <v>1.2662347457800001</v>
      </c>
      <c r="D5336">
        <v>0.99134777170599997</v>
      </c>
      <c r="E5336">
        <v>0.192</v>
      </c>
    </row>
    <row r="5337" spans="1:5">
      <c r="A5337" t="s">
        <v>37534</v>
      </c>
      <c r="B5337" t="s">
        <v>15029</v>
      </c>
      <c r="C5337">
        <f>0.614601066259</f>
        <v>0.61460106625900002</v>
      </c>
      <c r="D5337">
        <v>0.99134777170599997</v>
      </c>
      <c r="E5337">
        <v>0.192</v>
      </c>
    </row>
    <row r="5338" spans="1:5">
      <c r="A5338" t="s">
        <v>37535</v>
      </c>
      <c r="B5338" t="s">
        <v>724</v>
      </c>
      <c r="C5338">
        <f>0</f>
        <v>0</v>
      </c>
      <c r="D5338">
        <v>0.75865445845500001</v>
      </c>
      <c r="E5338">
        <v>18.984000000000002</v>
      </c>
    </row>
    <row r="5339" spans="1:5">
      <c r="A5339" t="s">
        <v>37535</v>
      </c>
      <c r="B5339" t="s">
        <v>725</v>
      </c>
      <c r="C5339">
        <f>0</f>
        <v>0</v>
      </c>
      <c r="D5339">
        <v>0.75865445845500001</v>
      </c>
      <c r="E5339">
        <v>18.984000000000002</v>
      </c>
    </row>
    <row r="5340" spans="1:5">
      <c r="A5340" t="s">
        <v>37535</v>
      </c>
      <c r="B5340" t="s">
        <v>720</v>
      </c>
      <c r="C5340">
        <v>0.240244458455</v>
      </c>
      <c r="D5340">
        <v>0.75865445845500001</v>
      </c>
      <c r="E5340">
        <v>18.984000000000002</v>
      </c>
    </row>
    <row r="5341" spans="1:5">
      <c r="A5341" t="s">
        <v>37535</v>
      </c>
      <c r="B5341" t="s">
        <v>726</v>
      </c>
      <c r="C5341">
        <v>0</v>
      </c>
      <c r="D5341">
        <v>0.75865445845500001</v>
      </c>
      <c r="E5341">
        <v>18.984000000000002</v>
      </c>
    </row>
    <row r="5342" spans="1:5">
      <c r="A5342" t="s">
        <v>37535</v>
      </c>
      <c r="B5342" t="s">
        <v>722</v>
      </c>
      <c r="C5342">
        <v>0</v>
      </c>
      <c r="D5342">
        <v>0.75865445845500001</v>
      </c>
      <c r="E5342">
        <v>18.984000000000002</v>
      </c>
    </row>
    <row r="5343" spans="1:5">
      <c r="A5343" t="s">
        <v>37535</v>
      </c>
      <c r="B5343" t="s">
        <v>721</v>
      </c>
      <c r="C5343">
        <v>0</v>
      </c>
      <c r="D5343">
        <v>0.75865445845500001</v>
      </c>
      <c r="E5343">
        <v>18.984000000000002</v>
      </c>
    </row>
    <row r="5344" spans="1:5">
      <c r="A5344" t="s">
        <v>37535</v>
      </c>
      <c r="B5344" t="s">
        <v>729</v>
      </c>
      <c r="C5344">
        <v>0</v>
      </c>
      <c r="D5344">
        <v>0.75865445845500001</v>
      </c>
      <c r="E5344">
        <v>18.984000000000002</v>
      </c>
    </row>
    <row r="5345" spans="1:5">
      <c r="A5345" t="s">
        <v>37536</v>
      </c>
      <c r="B5345" t="s">
        <v>13681</v>
      </c>
      <c r="C5345">
        <f>0</f>
        <v>0</v>
      </c>
      <c r="D5345">
        <v>0.49521859509999999</v>
      </c>
      <c r="E5345">
        <v>1.224</v>
      </c>
    </row>
    <row r="5346" spans="1:5">
      <c r="A5346" t="s">
        <v>37536</v>
      </c>
      <c r="B5346" t="s">
        <v>13683</v>
      </c>
      <c r="C5346">
        <v>0</v>
      </c>
      <c r="D5346">
        <v>0.49521859509999999</v>
      </c>
      <c r="E5346">
        <v>1.224</v>
      </c>
    </row>
    <row r="5347" spans="1:5">
      <c r="A5347" t="s">
        <v>37536</v>
      </c>
      <c r="B5347" t="s">
        <v>13684</v>
      </c>
      <c r="C5347">
        <v>0.30160859509999999</v>
      </c>
      <c r="D5347">
        <v>0.49521859509999999</v>
      </c>
      <c r="E5347">
        <v>1.224</v>
      </c>
    </row>
    <row r="5348" spans="1:5">
      <c r="A5348" t="s">
        <v>37536</v>
      </c>
      <c r="B5348" t="s">
        <v>13685</v>
      </c>
      <c r="C5348">
        <v>0</v>
      </c>
      <c r="D5348">
        <v>0.49521859509999999</v>
      </c>
      <c r="E5348">
        <v>1.224</v>
      </c>
    </row>
    <row r="5349" spans="1:5">
      <c r="A5349" t="s">
        <v>37536</v>
      </c>
      <c r="B5349" t="s">
        <v>13687</v>
      </c>
      <c r="C5349">
        <v>0</v>
      </c>
      <c r="D5349">
        <v>0.49521859509999999</v>
      </c>
      <c r="E5349">
        <v>1.224</v>
      </c>
    </row>
    <row r="5350" spans="1:5">
      <c r="A5350" t="s">
        <v>37537</v>
      </c>
      <c r="B5350" t="s">
        <v>37538</v>
      </c>
      <c r="C5350">
        <f>0.334435502579</f>
        <v>0.33443550257900001</v>
      </c>
      <c r="D5350">
        <v>0.96712767759700002</v>
      </c>
      <c r="E5350">
        <v>9.9239999999999995</v>
      </c>
    </row>
    <row r="5351" spans="1:5">
      <c r="A5351" t="s">
        <v>37537</v>
      </c>
      <c r="B5351" t="s">
        <v>37539</v>
      </c>
      <c r="C5351">
        <f>0.251959500687</f>
        <v>0.25195950068700002</v>
      </c>
      <c r="D5351">
        <v>0.96712767759700002</v>
      </c>
      <c r="E5351">
        <v>9.9239999999999995</v>
      </c>
    </row>
    <row r="5352" spans="1:5">
      <c r="A5352" t="s">
        <v>37537</v>
      </c>
      <c r="B5352" t="s">
        <v>37540</v>
      </c>
      <c r="C5352">
        <f>0.52317335059</f>
        <v>0.52317335059000003</v>
      </c>
      <c r="D5352">
        <v>0.96712767759700002</v>
      </c>
      <c r="E5352">
        <v>9.9239999999999995</v>
      </c>
    </row>
    <row r="5353" spans="1:5">
      <c r="A5353" t="s">
        <v>37537</v>
      </c>
      <c r="B5353" t="s">
        <v>37541</v>
      </c>
      <c r="C5353">
        <v>0.31770348492</v>
      </c>
      <c r="D5353">
        <v>0.96712767759700002</v>
      </c>
      <c r="E5353">
        <v>9.9239999999999995</v>
      </c>
    </row>
    <row r="5354" spans="1:5">
      <c r="A5354" t="s">
        <v>37537</v>
      </c>
      <c r="B5354" t="s">
        <v>37542</v>
      </c>
      <c r="C5354">
        <v>0.22430783486100001</v>
      </c>
      <c r="D5354">
        <v>0.96712767759700002</v>
      </c>
      <c r="E5354">
        <v>9.9239999999999995</v>
      </c>
    </row>
    <row r="5355" spans="1:5">
      <c r="A5355" t="s">
        <v>37543</v>
      </c>
      <c r="B5355" t="s">
        <v>37544</v>
      </c>
      <c r="C5355">
        <v>0</v>
      </c>
      <c r="D5355">
        <v>0.99998502681300006</v>
      </c>
      <c r="E5355">
        <v>1.278</v>
      </c>
    </row>
    <row r="5356" spans="1:5">
      <c r="A5356" t="s">
        <v>37543</v>
      </c>
      <c r="B5356" t="s">
        <v>37545</v>
      </c>
      <c r="C5356">
        <f>0</f>
        <v>0</v>
      </c>
      <c r="D5356">
        <v>0.99998502681300006</v>
      </c>
      <c r="E5356">
        <v>1.278</v>
      </c>
    </row>
    <row r="5357" spans="1:5">
      <c r="A5357" t="s">
        <v>37543</v>
      </c>
      <c r="B5357" t="s">
        <v>37546</v>
      </c>
      <c r="C5357">
        <v>1.10958700003E-2</v>
      </c>
      <c r="D5357">
        <v>0.99998502681300006</v>
      </c>
      <c r="E5357">
        <v>1.278</v>
      </c>
    </row>
    <row r="5358" spans="1:5">
      <c r="A5358" t="s">
        <v>37543</v>
      </c>
      <c r="B5358" t="s">
        <v>37547</v>
      </c>
      <c r="C5358">
        <v>0.39622004977500003</v>
      </c>
      <c r="D5358">
        <v>0.99998502681300006</v>
      </c>
      <c r="E5358">
        <v>1.278</v>
      </c>
    </row>
    <row r="5359" spans="1:5">
      <c r="A5359" t="s">
        <v>37543</v>
      </c>
      <c r="B5359" t="s">
        <v>37548</v>
      </c>
      <c r="C5359">
        <f>0.966576098096</f>
        <v>0.96657609809599998</v>
      </c>
      <c r="D5359">
        <v>0.99998502681300006</v>
      </c>
      <c r="E5359">
        <v>1.278</v>
      </c>
    </row>
    <row r="5360" spans="1:5">
      <c r="A5360" t="s">
        <v>37543</v>
      </c>
      <c r="B5360" t="s">
        <v>37549</v>
      </c>
      <c r="C5360">
        <v>0</v>
      </c>
      <c r="D5360">
        <v>0.99998502681300006</v>
      </c>
      <c r="E5360">
        <v>1.278</v>
      </c>
    </row>
    <row r="5361" spans="1:5">
      <c r="A5361" t="s">
        <v>37543</v>
      </c>
      <c r="B5361" t="s">
        <v>37550</v>
      </c>
      <c r="C5361">
        <f>0.670872064577</f>
        <v>0.67087206457699999</v>
      </c>
      <c r="D5361">
        <v>0.99998502681300006</v>
      </c>
      <c r="E5361">
        <v>1.278</v>
      </c>
    </row>
    <row r="5362" spans="1:5">
      <c r="A5362" t="s">
        <v>37543</v>
      </c>
      <c r="B5362" t="s">
        <v>37551</v>
      </c>
      <c r="C5362">
        <v>3.6541546970199998E-2</v>
      </c>
      <c r="D5362">
        <v>0.99998502681300006</v>
      </c>
      <c r="E5362">
        <v>1.278</v>
      </c>
    </row>
    <row r="5363" spans="1:5">
      <c r="A5363" t="s">
        <v>37543</v>
      </c>
      <c r="B5363" t="s">
        <v>37552</v>
      </c>
      <c r="C5363">
        <v>0.88342919888399996</v>
      </c>
      <c r="D5363">
        <v>0.99998502681300006</v>
      </c>
      <c r="E5363">
        <v>1.278</v>
      </c>
    </row>
    <row r="5364" spans="1:5">
      <c r="A5364" t="s">
        <v>37543</v>
      </c>
      <c r="B5364" t="s">
        <v>37553</v>
      </c>
      <c r="C5364">
        <f>0.0812100413839</f>
        <v>8.1210041383900006E-2</v>
      </c>
      <c r="D5364">
        <v>0.99998502681300006</v>
      </c>
      <c r="E5364">
        <v>1.278</v>
      </c>
    </row>
    <row r="5365" spans="1:5">
      <c r="A5365" t="s">
        <v>37543</v>
      </c>
      <c r="B5365" t="s">
        <v>37554</v>
      </c>
      <c r="C5365">
        <v>0.14188783528099999</v>
      </c>
      <c r="D5365">
        <v>0.99998502681300006</v>
      </c>
      <c r="E5365">
        <v>1.278</v>
      </c>
    </row>
    <row r="5366" spans="1:5">
      <c r="A5366" t="s">
        <v>37555</v>
      </c>
      <c r="B5366" t="s">
        <v>14451</v>
      </c>
      <c r="C5366">
        <f>0.127145591266</f>
        <v>0.127145591266</v>
      </c>
      <c r="D5366">
        <v>0.99685449929699999</v>
      </c>
      <c r="E5366">
        <v>4.8</v>
      </c>
    </row>
    <row r="5367" spans="1:5">
      <c r="A5367" t="s">
        <v>37555</v>
      </c>
      <c r="B5367" t="s">
        <v>14440</v>
      </c>
      <c r="C5367">
        <f>0</f>
        <v>0</v>
      </c>
      <c r="D5367">
        <v>0.99685449929699999</v>
      </c>
      <c r="E5367">
        <v>4.8</v>
      </c>
    </row>
    <row r="5368" spans="1:5">
      <c r="A5368" t="s">
        <v>37555</v>
      </c>
      <c r="B5368" t="s">
        <v>14447</v>
      </c>
      <c r="C5368">
        <f>0.0239060660595</f>
        <v>2.3906066059499999E-2</v>
      </c>
      <c r="D5368">
        <v>0.99685449929699999</v>
      </c>
      <c r="E5368">
        <v>4.8</v>
      </c>
    </row>
    <row r="5369" spans="1:5">
      <c r="A5369" t="s">
        <v>37555</v>
      </c>
      <c r="B5369" t="s">
        <v>14441</v>
      </c>
      <c r="C5369">
        <f>0.996131485297</f>
        <v>0.99613148529700002</v>
      </c>
      <c r="D5369">
        <v>0.99685449929699999</v>
      </c>
      <c r="E5369">
        <v>4.8</v>
      </c>
    </row>
    <row r="5370" spans="1:5">
      <c r="A5370" t="s">
        <v>37555</v>
      </c>
      <c r="B5370" t="s">
        <v>14448</v>
      </c>
      <c r="C5370">
        <v>0.14257121595300001</v>
      </c>
      <c r="D5370">
        <v>0.99685449929699999</v>
      </c>
      <c r="E5370">
        <v>4.8</v>
      </c>
    </row>
    <row r="5371" spans="1:5">
      <c r="A5371" t="s">
        <v>37555</v>
      </c>
      <c r="B5371" t="s">
        <v>14446</v>
      </c>
      <c r="C5371">
        <v>0.54082142956000001</v>
      </c>
      <c r="D5371">
        <v>0.99685449929699999</v>
      </c>
      <c r="E5371">
        <v>4.8</v>
      </c>
    </row>
    <row r="5372" spans="1:5">
      <c r="A5372" t="s">
        <v>37555</v>
      </c>
      <c r="B5372" t="s">
        <v>14443</v>
      </c>
      <c r="C5372">
        <f>0</f>
        <v>0</v>
      </c>
      <c r="D5372">
        <v>0.99685449929699999</v>
      </c>
      <c r="E5372">
        <v>4.8</v>
      </c>
    </row>
    <row r="5373" spans="1:5">
      <c r="A5373" t="s">
        <v>37555</v>
      </c>
      <c r="B5373" t="s">
        <v>14445</v>
      </c>
      <c r="C5373">
        <v>0.330259626064</v>
      </c>
      <c r="D5373">
        <v>0.99685449929699999</v>
      </c>
      <c r="E5373">
        <v>4.8</v>
      </c>
    </row>
    <row r="5374" spans="1:5">
      <c r="A5374" t="s">
        <v>37555</v>
      </c>
      <c r="B5374" t="s">
        <v>14450</v>
      </c>
      <c r="C5374">
        <v>7.8177329732899998E-3</v>
      </c>
      <c r="D5374">
        <v>0.99685449929699999</v>
      </c>
      <c r="E5374">
        <v>4.8</v>
      </c>
    </row>
    <row r="5375" spans="1:5">
      <c r="A5375" t="s">
        <v>37556</v>
      </c>
      <c r="B5375" t="s">
        <v>6040</v>
      </c>
      <c r="C5375">
        <v>0.58569495562600005</v>
      </c>
      <c r="D5375">
        <v>0.99982006414500002</v>
      </c>
      <c r="E5375">
        <v>5.7</v>
      </c>
    </row>
    <row r="5376" spans="1:5">
      <c r="A5376" t="s">
        <v>37556</v>
      </c>
      <c r="B5376" t="s">
        <v>6043</v>
      </c>
      <c r="C5376">
        <v>0.123190902202</v>
      </c>
      <c r="D5376">
        <v>0.99982006414500002</v>
      </c>
      <c r="E5376">
        <v>5.7</v>
      </c>
    </row>
    <row r="5377" spans="1:5">
      <c r="A5377" t="s">
        <v>37556</v>
      </c>
      <c r="B5377" t="s">
        <v>6044</v>
      </c>
      <c r="C5377">
        <f>0.142650258256</f>
        <v>0.142650258256</v>
      </c>
      <c r="D5377">
        <v>0.99982006414500002</v>
      </c>
      <c r="E5377">
        <v>5.7</v>
      </c>
    </row>
    <row r="5378" spans="1:5">
      <c r="A5378" t="s">
        <v>37556</v>
      </c>
      <c r="B5378" t="s">
        <v>6041</v>
      </c>
      <c r="C5378">
        <f>0</f>
        <v>0</v>
      </c>
      <c r="D5378">
        <v>0.99982006414500002</v>
      </c>
      <c r="E5378">
        <v>5.7</v>
      </c>
    </row>
    <row r="5379" spans="1:5">
      <c r="A5379" t="s">
        <v>37556</v>
      </c>
      <c r="B5379" t="s">
        <v>6042</v>
      </c>
      <c r="C5379">
        <v>0</v>
      </c>
      <c r="D5379">
        <v>0.99982006414500002</v>
      </c>
      <c r="E5379">
        <v>5.7</v>
      </c>
    </row>
    <row r="5380" spans="1:5">
      <c r="A5380" t="s">
        <v>37556</v>
      </c>
      <c r="B5380" t="s">
        <v>6045</v>
      </c>
      <c r="C5380">
        <v>0</v>
      </c>
      <c r="D5380">
        <v>0.99982006414500002</v>
      </c>
      <c r="E5380">
        <v>5.7</v>
      </c>
    </row>
    <row r="5381" spans="1:5">
      <c r="A5381" t="s">
        <v>37556</v>
      </c>
      <c r="B5381" t="s">
        <v>6049</v>
      </c>
      <c r="C5381">
        <f>0.192474330273</f>
        <v>0.19247433027300001</v>
      </c>
      <c r="D5381">
        <v>0.99982006414500002</v>
      </c>
      <c r="E5381">
        <v>5.7</v>
      </c>
    </row>
    <row r="5382" spans="1:5">
      <c r="A5382" t="s">
        <v>37556</v>
      </c>
      <c r="B5382" t="s">
        <v>6051</v>
      </c>
      <c r="C5382">
        <v>1.76255710047E-2</v>
      </c>
      <c r="D5382">
        <v>0.99982006414500002</v>
      </c>
      <c r="E5382">
        <v>5.7</v>
      </c>
    </row>
    <row r="5383" spans="1:5">
      <c r="A5383" t="s">
        <v>37556</v>
      </c>
      <c r="B5383" t="s">
        <v>6046</v>
      </c>
      <c r="C5383">
        <f>0.0717665163575</f>
        <v>7.1766516357500004E-2</v>
      </c>
      <c r="D5383">
        <v>0.99982006414500002</v>
      </c>
      <c r="E5383">
        <v>5.7</v>
      </c>
    </row>
    <row r="5384" spans="1:5">
      <c r="A5384" t="s">
        <v>37556</v>
      </c>
      <c r="B5384" t="s">
        <v>6050</v>
      </c>
      <c r="C5384">
        <v>0.67506728512400005</v>
      </c>
      <c r="D5384">
        <v>0.99982006414500002</v>
      </c>
      <c r="E5384">
        <v>5.7</v>
      </c>
    </row>
    <row r="5385" spans="1:5">
      <c r="A5385" t="s">
        <v>37556</v>
      </c>
      <c r="B5385" t="s">
        <v>6048</v>
      </c>
      <c r="C5385">
        <v>0</v>
      </c>
      <c r="D5385">
        <v>0.99982006414500002</v>
      </c>
      <c r="E5385">
        <v>5.7</v>
      </c>
    </row>
    <row r="5386" spans="1:5">
      <c r="A5386" t="s">
        <v>37557</v>
      </c>
      <c r="B5386" t="s">
        <v>37558</v>
      </c>
      <c r="C5386">
        <v>0</v>
      </c>
      <c r="D5386" t="s">
        <v>106</v>
      </c>
      <c r="E5386">
        <v>0.91800000000000004</v>
      </c>
    </row>
    <row r="5387" spans="1:5">
      <c r="A5387" t="s">
        <v>37557</v>
      </c>
      <c r="B5387" t="s">
        <v>37559</v>
      </c>
      <c r="C5387">
        <v>0</v>
      </c>
      <c r="D5387" t="s">
        <v>106</v>
      </c>
      <c r="E5387">
        <v>0.91800000000000004</v>
      </c>
    </row>
    <row r="5388" spans="1:5">
      <c r="A5388" t="s">
        <v>37557</v>
      </c>
      <c r="B5388" t="s">
        <v>37560</v>
      </c>
      <c r="C5388">
        <f>0</f>
        <v>0</v>
      </c>
      <c r="D5388" t="s">
        <v>106</v>
      </c>
      <c r="E5388">
        <v>0.91800000000000004</v>
      </c>
    </row>
    <row r="5389" spans="1:5">
      <c r="A5389" t="s">
        <v>37561</v>
      </c>
      <c r="B5389" t="s">
        <v>29627</v>
      </c>
      <c r="C5389">
        <f>0</f>
        <v>0</v>
      </c>
      <c r="D5389" t="s">
        <v>106</v>
      </c>
      <c r="E5389">
        <v>24</v>
      </c>
    </row>
    <row r="5390" spans="1:5">
      <c r="A5390" t="s">
        <v>37561</v>
      </c>
      <c r="B5390" t="s">
        <v>29624</v>
      </c>
      <c r="C5390">
        <v>0</v>
      </c>
      <c r="D5390" t="s">
        <v>106</v>
      </c>
      <c r="E5390">
        <v>24</v>
      </c>
    </row>
    <row r="5391" spans="1:5">
      <c r="A5391" t="s">
        <v>37561</v>
      </c>
      <c r="B5391" t="s">
        <v>29628</v>
      </c>
      <c r="C5391">
        <f>0</f>
        <v>0</v>
      </c>
      <c r="D5391" t="s">
        <v>106</v>
      </c>
      <c r="E5391">
        <v>24</v>
      </c>
    </row>
    <row r="5392" spans="1:5">
      <c r="A5392" t="s">
        <v>37561</v>
      </c>
      <c r="B5392" t="s">
        <v>29629</v>
      </c>
      <c r="C5392">
        <v>0</v>
      </c>
      <c r="D5392" t="s">
        <v>106</v>
      </c>
      <c r="E5392">
        <v>24</v>
      </c>
    </row>
    <row r="5393" spans="1:5">
      <c r="A5393" t="s">
        <v>37561</v>
      </c>
      <c r="B5393" t="s">
        <v>29632</v>
      </c>
      <c r="C5393">
        <v>0</v>
      </c>
      <c r="D5393" t="s">
        <v>106</v>
      </c>
      <c r="E5393">
        <v>24</v>
      </c>
    </row>
    <row r="5394" spans="1:5">
      <c r="A5394" t="s">
        <v>37561</v>
      </c>
      <c r="B5394" t="s">
        <v>29631</v>
      </c>
      <c r="C5394">
        <f>0</f>
        <v>0</v>
      </c>
      <c r="D5394" t="s">
        <v>106</v>
      </c>
      <c r="E5394">
        <v>24</v>
      </c>
    </row>
    <row r="5395" spans="1:5">
      <c r="A5395" t="s">
        <v>37561</v>
      </c>
      <c r="B5395" t="s">
        <v>29630</v>
      </c>
      <c r="C5395">
        <v>0</v>
      </c>
      <c r="D5395" t="s">
        <v>106</v>
      </c>
      <c r="E5395">
        <v>24</v>
      </c>
    </row>
    <row r="5396" spans="1:5">
      <c r="A5396" t="s">
        <v>37562</v>
      </c>
      <c r="B5396" t="s">
        <v>4987</v>
      </c>
      <c r="C5396">
        <f>0.222593338818</f>
        <v>0.222593338818</v>
      </c>
      <c r="D5396">
        <v>0.89495150849600003</v>
      </c>
      <c r="E5396">
        <v>1.512</v>
      </c>
    </row>
    <row r="5397" spans="1:5">
      <c r="A5397" t="s">
        <v>37562</v>
      </c>
      <c r="B5397" t="s">
        <v>4986</v>
      </c>
      <c r="C5397">
        <v>0</v>
      </c>
      <c r="D5397">
        <v>0.89495150849600003</v>
      </c>
      <c r="E5397">
        <v>1.512</v>
      </c>
    </row>
    <row r="5398" spans="1:5">
      <c r="A5398" t="s">
        <v>37562</v>
      </c>
      <c r="B5398" t="s">
        <v>4982</v>
      </c>
      <c r="C5398">
        <v>0</v>
      </c>
      <c r="D5398">
        <v>0.89495150849600003</v>
      </c>
      <c r="E5398">
        <v>1.512</v>
      </c>
    </row>
    <row r="5399" spans="1:5">
      <c r="A5399" t="s">
        <v>37562</v>
      </c>
      <c r="B5399" t="s">
        <v>4985</v>
      </c>
      <c r="C5399">
        <f>0</f>
        <v>0</v>
      </c>
      <c r="D5399">
        <v>0.89495150849600003</v>
      </c>
      <c r="E5399">
        <v>1.512</v>
      </c>
    </row>
    <row r="5400" spans="1:5">
      <c r="A5400" t="s">
        <v>37562</v>
      </c>
      <c r="B5400" t="s">
        <v>4989</v>
      </c>
      <c r="C5400">
        <v>4.2956656987700001E-2</v>
      </c>
      <c r="D5400">
        <v>0.89495150849600003</v>
      </c>
      <c r="E5400">
        <v>1.512</v>
      </c>
    </row>
    <row r="5401" spans="1:5">
      <c r="A5401" t="s">
        <v>37562</v>
      </c>
      <c r="B5401" t="s">
        <v>4984</v>
      </c>
      <c r="C5401">
        <v>0.48561774438299998</v>
      </c>
      <c r="D5401">
        <v>0.89495150849600003</v>
      </c>
      <c r="E5401">
        <v>1.512</v>
      </c>
    </row>
    <row r="5402" spans="1:5">
      <c r="A5402" t="s">
        <v>37563</v>
      </c>
      <c r="B5402" t="s">
        <v>3979</v>
      </c>
      <c r="C5402">
        <v>0</v>
      </c>
      <c r="D5402" t="s">
        <v>106</v>
      </c>
      <c r="E5402">
        <v>18.347999999999999</v>
      </c>
    </row>
    <row r="5403" spans="1:5">
      <c r="A5403" t="s">
        <v>37563</v>
      </c>
      <c r="B5403" t="s">
        <v>3972</v>
      </c>
      <c r="C5403">
        <f>0</f>
        <v>0</v>
      </c>
      <c r="D5403" t="s">
        <v>106</v>
      </c>
      <c r="E5403">
        <v>18.347999999999999</v>
      </c>
    </row>
    <row r="5404" spans="1:5">
      <c r="A5404" t="s">
        <v>37563</v>
      </c>
      <c r="B5404" t="s">
        <v>3977</v>
      </c>
      <c r="C5404">
        <v>0</v>
      </c>
      <c r="D5404" t="s">
        <v>106</v>
      </c>
      <c r="E5404">
        <v>18.347999999999999</v>
      </c>
    </row>
    <row r="5405" spans="1:5">
      <c r="A5405" t="s">
        <v>37563</v>
      </c>
      <c r="B5405" t="s">
        <v>3978</v>
      </c>
      <c r="C5405">
        <v>0</v>
      </c>
      <c r="D5405" t="s">
        <v>106</v>
      </c>
      <c r="E5405">
        <v>18.347999999999999</v>
      </c>
    </row>
    <row r="5406" spans="1:5">
      <c r="A5406" t="s">
        <v>37563</v>
      </c>
      <c r="B5406" t="s">
        <v>3976</v>
      </c>
      <c r="C5406">
        <v>0</v>
      </c>
      <c r="D5406" t="s">
        <v>106</v>
      </c>
      <c r="E5406">
        <v>18.347999999999999</v>
      </c>
    </row>
    <row r="5407" spans="1:5">
      <c r="A5407" t="s">
        <v>37564</v>
      </c>
      <c r="B5407" t="s">
        <v>13513</v>
      </c>
      <c r="C5407">
        <f>0</f>
        <v>0</v>
      </c>
      <c r="D5407" t="s">
        <v>106</v>
      </c>
      <c r="E5407">
        <v>4.17</v>
      </c>
    </row>
    <row r="5408" spans="1:5">
      <c r="A5408" t="s">
        <v>37564</v>
      </c>
      <c r="B5408" t="s">
        <v>13517</v>
      </c>
      <c r="C5408">
        <v>0</v>
      </c>
      <c r="D5408" t="s">
        <v>106</v>
      </c>
      <c r="E5408">
        <v>4.17</v>
      </c>
    </row>
    <row r="5409" spans="1:5">
      <c r="A5409" t="s">
        <v>37565</v>
      </c>
      <c r="B5409" t="s">
        <v>30648</v>
      </c>
      <c r="C5409">
        <v>8.7572533838200003E-2</v>
      </c>
      <c r="D5409">
        <v>0.940294558866</v>
      </c>
      <c r="E5409">
        <v>1.7999999999999999E-2</v>
      </c>
    </row>
    <row r="5410" spans="1:5">
      <c r="A5410" t="s">
        <v>37565</v>
      </c>
      <c r="B5410" t="s">
        <v>30659</v>
      </c>
      <c r="C5410">
        <f>0</f>
        <v>0</v>
      </c>
      <c r="D5410">
        <v>0.940294558866</v>
      </c>
      <c r="E5410">
        <v>1.7999999999999999E-2</v>
      </c>
    </row>
    <row r="5411" spans="1:5">
      <c r="A5411" t="s">
        <v>37565</v>
      </c>
      <c r="B5411" t="s">
        <v>30643</v>
      </c>
      <c r="C5411">
        <v>0</v>
      </c>
      <c r="D5411">
        <v>0.940294558866</v>
      </c>
      <c r="E5411">
        <v>1.7999999999999999E-2</v>
      </c>
    </row>
    <row r="5412" spans="1:5">
      <c r="A5412" t="s">
        <v>37565</v>
      </c>
      <c r="B5412" t="s">
        <v>30642</v>
      </c>
      <c r="C5412">
        <v>0.298577683102</v>
      </c>
      <c r="D5412">
        <v>0.940294558866</v>
      </c>
      <c r="E5412">
        <v>1.7999999999999999E-2</v>
      </c>
    </row>
    <row r="5413" spans="1:5">
      <c r="A5413" t="s">
        <v>37565</v>
      </c>
      <c r="B5413" t="s">
        <v>30650</v>
      </c>
      <c r="C5413">
        <v>0</v>
      </c>
      <c r="D5413">
        <v>0.940294558866</v>
      </c>
      <c r="E5413">
        <v>1.7999999999999999E-2</v>
      </c>
    </row>
    <row r="5414" spans="1:5">
      <c r="A5414" t="s">
        <v>37565</v>
      </c>
      <c r="B5414" t="s">
        <v>30644</v>
      </c>
      <c r="C5414">
        <v>0</v>
      </c>
      <c r="D5414">
        <v>0.940294558866</v>
      </c>
      <c r="E5414">
        <v>1.7999999999999999E-2</v>
      </c>
    </row>
    <row r="5415" spans="1:5">
      <c r="A5415" t="s">
        <v>37565</v>
      </c>
      <c r="B5415" t="s">
        <v>30645</v>
      </c>
      <c r="C5415">
        <v>0.34035934200500001</v>
      </c>
      <c r="D5415">
        <v>0.940294558866</v>
      </c>
      <c r="E5415">
        <v>1.7999999999999999E-2</v>
      </c>
    </row>
    <row r="5416" spans="1:5">
      <c r="A5416" t="s">
        <v>37565</v>
      </c>
      <c r="B5416" t="s">
        <v>30656</v>
      </c>
      <c r="C5416">
        <f>0</f>
        <v>0</v>
      </c>
      <c r="D5416">
        <v>0.940294558866</v>
      </c>
      <c r="E5416">
        <v>1.7999999999999999E-2</v>
      </c>
    </row>
    <row r="5417" spans="1:5">
      <c r="A5417" t="s">
        <v>37565</v>
      </c>
      <c r="B5417" t="s">
        <v>30647</v>
      </c>
      <c r="C5417">
        <v>0.36443669694899999</v>
      </c>
      <c r="D5417">
        <v>0.940294558866</v>
      </c>
      <c r="E5417">
        <v>1.7999999999999999E-2</v>
      </c>
    </row>
    <row r="5418" spans="1:5">
      <c r="A5418" t="s">
        <v>37566</v>
      </c>
      <c r="B5418" t="s">
        <v>19169</v>
      </c>
      <c r="C5418">
        <v>8.4705250157199995E-3</v>
      </c>
      <c r="D5418">
        <v>0.79769711569900004</v>
      </c>
      <c r="E5418">
        <v>0</v>
      </c>
    </row>
    <row r="5419" spans="1:5">
      <c r="A5419" t="s">
        <v>37566</v>
      </c>
      <c r="B5419" t="s">
        <v>19171</v>
      </c>
      <c r="C5419">
        <v>0.66150646172700001</v>
      </c>
      <c r="D5419">
        <v>0.79769711569900004</v>
      </c>
      <c r="E5419">
        <v>0</v>
      </c>
    </row>
    <row r="5420" spans="1:5">
      <c r="A5420" t="s">
        <v>37567</v>
      </c>
      <c r="B5420" t="s">
        <v>6574</v>
      </c>
      <c r="C5420">
        <f>0</f>
        <v>0</v>
      </c>
      <c r="D5420" t="s">
        <v>106</v>
      </c>
      <c r="E5420">
        <v>24</v>
      </c>
    </row>
    <row r="5421" spans="1:5">
      <c r="A5421" t="s">
        <v>37567</v>
      </c>
      <c r="B5421" t="s">
        <v>6577</v>
      </c>
      <c r="C5421">
        <v>0</v>
      </c>
      <c r="D5421" t="s">
        <v>106</v>
      </c>
      <c r="E5421">
        <v>24</v>
      </c>
    </row>
    <row r="5422" spans="1:5">
      <c r="A5422" t="s">
        <v>37568</v>
      </c>
      <c r="B5422" t="s">
        <v>37569</v>
      </c>
      <c r="C5422">
        <f>0</f>
        <v>0</v>
      </c>
      <c r="D5422" t="s">
        <v>106</v>
      </c>
      <c r="E5422">
        <v>24</v>
      </c>
    </row>
    <row r="5423" spans="1:5">
      <c r="A5423" t="s">
        <v>37568</v>
      </c>
      <c r="B5423" t="s">
        <v>37570</v>
      </c>
      <c r="C5423">
        <v>0</v>
      </c>
      <c r="D5423" t="s">
        <v>106</v>
      </c>
      <c r="E5423">
        <v>24</v>
      </c>
    </row>
    <row r="5424" spans="1:5">
      <c r="A5424" t="s">
        <v>37568</v>
      </c>
      <c r="B5424" t="s">
        <v>37571</v>
      </c>
      <c r="C5424">
        <f>0</f>
        <v>0</v>
      </c>
      <c r="D5424" t="s">
        <v>106</v>
      </c>
      <c r="E5424">
        <v>24</v>
      </c>
    </row>
    <row r="5425" spans="1:5">
      <c r="A5425" t="s">
        <v>37572</v>
      </c>
      <c r="B5425" t="s">
        <v>2961</v>
      </c>
      <c r="C5425">
        <v>0</v>
      </c>
      <c r="D5425">
        <v>0.645645167485</v>
      </c>
      <c r="E5425">
        <v>4.17</v>
      </c>
    </row>
    <row r="5426" spans="1:5">
      <c r="A5426" t="s">
        <v>37572</v>
      </c>
      <c r="B5426" t="s">
        <v>2964</v>
      </c>
      <c r="C5426">
        <f>0</f>
        <v>0</v>
      </c>
      <c r="D5426">
        <v>0.645645167485</v>
      </c>
      <c r="E5426">
        <v>4.17</v>
      </c>
    </row>
    <row r="5427" spans="1:5">
      <c r="A5427" t="s">
        <v>37572</v>
      </c>
      <c r="B5427" t="s">
        <v>2962</v>
      </c>
      <c r="C5427">
        <v>0</v>
      </c>
      <c r="D5427">
        <v>0.645645167485</v>
      </c>
      <c r="E5427">
        <v>4.17</v>
      </c>
    </row>
    <row r="5428" spans="1:5">
      <c r="A5428" t="s">
        <v>37572</v>
      </c>
      <c r="B5428" t="s">
        <v>2963</v>
      </c>
      <c r="C5428">
        <v>0.28563516748500001</v>
      </c>
      <c r="D5428">
        <v>0.645645167485</v>
      </c>
      <c r="E5428">
        <v>4.17</v>
      </c>
    </row>
    <row r="5429" spans="1:5">
      <c r="A5429" t="s">
        <v>37573</v>
      </c>
      <c r="B5429" t="s">
        <v>16417</v>
      </c>
      <c r="C5429">
        <f>0</f>
        <v>0</v>
      </c>
      <c r="D5429">
        <v>0.80024605836100005</v>
      </c>
      <c r="E5429">
        <v>4.5839999999999996</v>
      </c>
    </row>
    <row r="5430" spans="1:5">
      <c r="A5430" t="s">
        <v>37573</v>
      </c>
      <c r="B5430" t="s">
        <v>16419</v>
      </c>
      <c r="C5430">
        <v>0.58931046859299996</v>
      </c>
      <c r="D5430">
        <v>0.80024605836100005</v>
      </c>
      <c r="E5430">
        <v>4.5839999999999996</v>
      </c>
    </row>
    <row r="5431" spans="1:5">
      <c r="A5431" t="s">
        <v>37573</v>
      </c>
      <c r="B5431" t="s">
        <v>37574</v>
      </c>
      <c r="C5431">
        <f>0</f>
        <v>0</v>
      </c>
      <c r="D5431">
        <v>0.80024605836100005</v>
      </c>
      <c r="E5431">
        <v>4.5839999999999996</v>
      </c>
    </row>
    <row r="5432" spans="1:5">
      <c r="A5432" t="s">
        <v>37573</v>
      </c>
      <c r="B5432" t="s">
        <v>16420</v>
      </c>
      <c r="C5432">
        <v>5.5876611390800003E-2</v>
      </c>
      <c r="D5432">
        <v>0.80024605836100005</v>
      </c>
      <c r="E5432">
        <v>4.5839999999999996</v>
      </c>
    </row>
    <row r="5433" spans="1:5">
      <c r="A5433" t="s">
        <v>37573</v>
      </c>
      <c r="B5433" t="s">
        <v>16418</v>
      </c>
      <c r="C5433">
        <f>0.0498588091055</f>
        <v>4.9858809105500002E-2</v>
      </c>
      <c r="D5433">
        <v>0.80024605836100005</v>
      </c>
      <c r="E5433">
        <v>4.5839999999999996</v>
      </c>
    </row>
    <row r="5434" spans="1:5">
      <c r="A5434" t="s">
        <v>37575</v>
      </c>
      <c r="B5434" t="s">
        <v>37576</v>
      </c>
      <c r="C5434">
        <f>0</f>
        <v>0</v>
      </c>
      <c r="D5434">
        <v>0.72524375588400003</v>
      </c>
      <c r="E5434">
        <v>10.398</v>
      </c>
    </row>
    <row r="5435" spans="1:5">
      <c r="A5435" t="s">
        <v>37575</v>
      </c>
      <c r="B5435" t="s">
        <v>37577</v>
      </c>
      <c r="C5435">
        <v>0.49483375588400003</v>
      </c>
      <c r="D5435">
        <v>0.72524375588400003</v>
      </c>
      <c r="E5435">
        <v>10.398</v>
      </c>
    </row>
    <row r="5436" spans="1:5">
      <c r="A5436" t="s">
        <v>37575</v>
      </c>
      <c r="B5436" t="s">
        <v>37578</v>
      </c>
      <c r="C5436">
        <f>0</f>
        <v>0</v>
      </c>
      <c r="D5436">
        <v>0.72524375588400003</v>
      </c>
      <c r="E5436">
        <v>10.398</v>
      </c>
    </row>
    <row r="5437" spans="1:5">
      <c r="A5437" t="s">
        <v>37575</v>
      </c>
      <c r="B5437" t="s">
        <v>37579</v>
      </c>
      <c r="C5437">
        <f>0</f>
        <v>0</v>
      </c>
      <c r="D5437">
        <v>0.72524375588400003</v>
      </c>
      <c r="E5437">
        <v>10.398</v>
      </c>
    </row>
    <row r="5438" spans="1:5">
      <c r="A5438" t="s">
        <v>37575</v>
      </c>
      <c r="B5438" t="s">
        <v>37580</v>
      </c>
      <c r="C5438">
        <v>0</v>
      </c>
      <c r="D5438">
        <v>0.72524375588400003</v>
      </c>
      <c r="E5438">
        <v>10.398</v>
      </c>
    </row>
    <row r="5439" spans="1:5">
      <c r="A5439" t="s">
        <v>37575</v>
      </c>
      <c r="B5439" t="s">
        <v>37581</v>
      </c>
      <c r="C5439">
        <v>0</v>
      </c>
      <c r="D5439">
        <v>0.72524375588400003</v>
      </c>
      <c r="E5439">
        <v>10.398</v>
      </c>
    </row>
    <row r="5440" spans="1:5">
      <c r="A5440" t="s">
        <v>37575</v>
      </c>
      <c r="B5440" t="s">
        <v>37582</v>
      </c>
      <c r="C5440">
        <v>0</v>
      </c>
      <c r="D5440">
        <v>0.72524375588400003</v>
      </c>
      <c r="E5440">
        <v>10.398</v>
      </c>
    </row>
    <row r="5441" spans="1:5">
      <c r="A5441" t="s">
        <v>37583</v>
      </c>
      <c r="B5441" t="s">
        <v>37584</v>
      </c>
      <c r="C5441">
        <f>0.529867763159</f>
        <v>0.52986776315899997</v>
      </c>
      <c r="D5441">
        <v>0.68987776315899996</v>
      </c>
      <c r="E5441">
        <v>24</v>
      </c>
    </row>
    <row r="5442" spans="1:5">
      <c r="A5442" t="s">
        <v>37583</v>
      </c>
      <c r="B5442" t="s">
        <v>37585</v>
      </c>
      <c r="C5442">
        <v>0</v>
      </c>
      <c r="D5442">
        <v>0.68987776315899996</v>
      </c>
      <c r="E5442">
        <v>24</v>
      </c>
    </row>
    <row r="5443" spans="1:5">
      <c r="A5443" t="s">
        <v>37583</v>
      </c>
      <c r="B5443" t="s">
        <v>37586</v>
      </c>
      <c r="C5443">
        <f>0</f>
        <v>0</v>
      </c>
      <c r="D5443">
        <v>0.68987776315899996</v>
      </c>
      <c r="E5443">
        <v>24</v>
      </c>
    </row>
    <row r="5444" spans="1:5">
      <c r="A5444" t="s">
        <v>37587</v>
      </c>
      <c r="B5444" t="s">
        <v>5895</v>
      </c>
      <c r="C5444">
        <f>0.154498226286</f>
        <v>0.15449822628599999</v>
      </c>
      <c r="D5444">
        <v>0.84946405038100004</v>
      </c>
      <c r="E5444">
        <v>24</v>
      </c>
    </row>
    <row r="5445" spans="1:5">
      <c r="A5445" t="s">
        <v>37587</v>
      </c>
      <c r="B5445" t="s">
        <v>5900</v>
      </c>
      <c r="C5445">
        <v>0.59340059479700002</v>
      </c>
      <c r="D5445">
        <v>0.84946405038100004</v>
      </c>
      <c r="E5445">
        <v>24</v>
      </c>
    </row>
    <row r="5446" spans="1:5">
      <c r="A5446" t="s">
        <v>37587</v>
      </c>
      <c r="B5446" t="s">
        <v>5896</v>
      </c>
      <c r="C5446">
        <v>0.259640809375</v>
      </c>
      <c r="D5446">
        <v>0.84946405038100004</v>
      </c>
      <c r="E5446">
        <v>24</v>
      </c>
    </row>
    <row r="5447" spans="1:5">
      <c r="A5447" t="s">
        <v>37588</v>
      </c>
      <c r="B5447" t="s">
        <v>14019</v>
      </c>
      <c r="C5447">
        <v>1.04374433272</v>
      </c>
      <c r="D5447">
        <v>0.99615221019199995</v>
      </c>
      <c r="E5447">
        <v>3.972</v>
      </c>
    </row>
    <row r="5448" spans="1:5">
      <c r="A5448" t="s">
        <v>37588</v>
      </c>
      <c r="B5448" t="s">
        <v>14008</v>
      </c>
      <c r="C5448">
        <v>0</v>
      </c>
      <c r="D5448">
        <v>0.99615221019199995</v>
      </c>
      <c r="E5448">
        <v>3.972</v>
      </c>
    </row>
    <row r="5449" spans="1:5">
      <c r="A5449" t="s">
        <v>37588</v>
      </c>
      <c r="B5449" t="s">
        <v>14013</v>
      </c>
      <c r="C5449">
        <v>2.5259350897099998E-3</v>
      </c>
      <c r="D5449">
        <v>0.99615221019199995</v>
      </c>
      <c r="E5449">
        <v>3.972</v>
      </c>
    </row>
    <row r="5450" spans="1:5">
      <c r="A5450" t="s">
        <v>37588</v>
      </c>
      <c r="B5450" t="s">
        <v>14009</v>
      </c>
      <c r="C5450">
        <f>0.108694412482</f>
        <v>0.108694412482</v>
      </c>
      <c r="D5450">
        <v>0.99615221019199995</v>
      </c>
      <c r="E5450">
        <v>3.972</v>
      </c>
    </row>
    <row r="5451" spans="1:5">
      <c r="A5451" t="s">
        <v>37588</v>
      </c>
      <c r="B5451" t="s">
        <v>14016</v>
      </c>
      <c r="C5451">
        <v>9.4032208653300003E-2</v>
      </c>
      <c r="D5451">
        <v>0.99615221019199995</v>
      </c>
      <c r="E5451">
        <v>3.972</v>
      </c>
    </row>
    <row r="5452" spans="1:5">
      <c r="A5452" t="s">
        <v>37588</v>
      </c>
      <c r="B5452" t="s">
        <v>14017</v>
      </c>
      <c r="C5452">
        <v>0</v>
      </c>
      <c r="D5452">
        <v>0.99615221019199995</v>
      </c>
      <c r="E5452">
        <v>3.972</v>
      </c>
    </row>
    <row r="5453" spans="1:5">
      <c r="A5453" t="s">
        <v>37588</v>
      </c>
      <c r="B5453" t="s">
        <v>14014</v>
      </c>
      <c r="C5453">
        <v>9.9336977267300008E-3</v>
      </c>
      <c r="D5453">
        <v>0.99615221019199995</v>
      </c>
      <c r="E5453">
        <v>3.972</v>
      </c>
    </row>
    <row r="5454" spans="1:5">
      <c r="A5454" t="s">
        <v>37588</v>
      </c>
      <c r="B5454" t="s">
        <v>14015</v>
      </c>
      <c r="C5454">
        <v>0.340459019812</v>
      </c>
      <c r="D5454">
        <v>0.99615221019199995</v>
      </c>
      <c r="E5454">
        <v>3.972</v>
      </c>
    </row>
    <row r="5455" spans="1:5">
      <c r="A5455" t="s">
        <v>37588</v>
      </c>
      <c r="B5455" t="s">
        <v>14011</v>
      </c>
      <c r="C5455">
        <v>0</v>
      </c>
      <c r="D5455">
        <v>0.99615221019199995</v>
      </c>
      <c r="E5455">
        <v>3.972</v>
      </c>
    </row>
    <row r="5456" spans="1:5">
      <c r="A5456" t="s">
        <v>37588</v>
      </c>
      <c r="B5456" t="s">
        <v>14012</v>
      </c>
      <c r="C5456">
        <f>0.617328012118</f>
        <v>0.61732801211800004</v>
      </c>
      <c r="D5456">
        <v>0.99615221019199995</v>
      </c>
      <c r="E5456">
        <v>3.972</v>
      </c>
    </row>
    <row r="5457" spans="1:5">
      <c r="A5457" t="s">
        <v>37589</v>
      </c>
      <c r="B5457" t="s">
        <v>1977</v>
      </c>
      <c r="C5457">
        <f>0</f>
        <v>0</v>
      </c>
      <c r="D5457" t="s">
        <v>106</v>
      </c>
      <c r="E5457">
        <v>24</v>
      </c>
    </row>
    <row r="5458" spans="1:5">
      <c r="A5458" t="s">
        <v>37589</v>
      </c>
      <c r="B5458" t="s">
        <v>1978</v>
      </c>
      <c r="C5458">
        <v>0</v>
      </c>
      <c r="D5458" t="s">
        <v>106</v>
      </c>
      <c r="E5458">
        <v>24</v>
      </c>
    </row>
    <row r="5459" spans="1:5">
      <c r="A5459" t="s">
        <v>37590</v>
      </c>
      <c r="B5459" t="s">
        <v>32895</v>
      </c>
      <c r="C5459">
        <v>0</v>
      </c>
      <c r="D5459">
        <v>0.76655639767299999</v>
      </c>
      <c r="E5459">
        <v>0.504</v>
      </c>
    </row>
    <row r="5460" spans="1:5">
      <c r="A5460" t="s">
        <v>37590</v>
      </c>
      <c r="B5460" t="s">
        <v>32896</v>
      </c>
      <c r="C5460">
        <v>0.55900247339800002</v>
      </c>
      <c r="D5460">
        <v>0.76655639767299999</v>
      </c>
      <c r="E5460">
        <v>0.504</v>
      </c>
    </row>
    <row r="5461" spans="1:5">
      <c r="A5461" t="s">
        <v>37590</v>
      </c>
      <c r="B5461" t="s">
        <v>32898</v>
      </c>
      <c r="C5461">
        <f>0.440836336175</f>
        <v>0.44083633617500001</v>
      </c>
      <c r="D5461">
        <v>0.76655639767299999</v>
      </c>
      <c r="E5461">
        <v>0.504</v>
      </c>
    </row>
    <row r="5462" spans="1:5">
      <c r="A5462" t="s">
        <v>37591</v>
      </c>
      <c r="B5462" t="s">
        <v>1839</v>
      </c>
      <c r="C5462">
        <f>-1.63455253172</f>
        <v>-1.63455253172</v>
      </c>
      <c r="D5462">
        <v>0.99432352577700001</v>
      </c>
      <c r="E5462">
        <v>0.78</v>
      </c>
    </row>
    <row r="5463" spans="1:5">
      <c r="A5463" t="s">
        <v>37591</v>
      </c>
      <c r="B5463" t="s">
        <v>1833</v>
      </c>
      <c r="C5463">
        <v>0.40357500315</v>
      </c>
      <c r="D5463">
        <v>0.99432352577700001</v>
      </c>
      <c r="E5463">
        <v>0.78</v>
      </c>
    </row>
    <row r="5464" spans="1:5">
      <c r="A5464" t="s">
        <v>37591</v>
      </c>
      <c r="B5464" t="s">
        <v>1832</v>
      </c>
      <c r="C5464">
        <f>0.411168466088</f>
        <v>0.41116846608800001</v>
      </c>
      <c r="D5464">
        <v>0.99432352577700001</v>
      </c>
      <c r="E5464">
        <v>0.78</v>
      </c>
    </row>
    <row r="5465" spans="1:5">
      <c r="A5465" t="s">
        <v>37591</v>
      </c>
      <c r="B5465" t="s">
        <v>1838</v>
      </c>
      <c r="C5465">
        <v>1.0895844528800001</v>
      </c>
      <c r="D5465">
        <v>0.99432352577700001</v>
      </c>
      <c r="E5465">
        <v>0.78</v>
      </c>
    </row>
    <row r="5466" spans="1:5">
      <c r="A5466" t="s">
        <v>37591</v>
      </c>
      <c r="B5466" t="s">
        <v>1835</v>
      </c>
      <c r="C5466">
        <f>0.127032486616</f>
        <v>0.127032486616</v>
      </c>
      <c r="D5466">
        <v>0.99432352577700001</v>
      </c>
      <c r="E5466">
        <v>0.78</v>
      </c>
    </row>
    <row r="5467" spans="1:5">
      <c r="A5467" t="s">
        <v>37591</v>
      </c>
      <c r="B5467" t="s">
        <v>1836</v>
      </c>
      <c r="C5467">
        <v>0.57804518582300002</v>
      </c>
      <c r="D5467">
        <v>0.99432352577700001</v>
      </c>
      <c r="E5467">
        <v>0.78</v>
      </c>
    </row>
    <row r="5468" spans="1:5">
      <c r="A5468" t="s">
        <v>37591</v>
      </c>
      <c r="B5468" t="s">
        <v>1841</v>
      </c>
      <c r="C5468">
        <v>0</v>
      </c>
      <c r="D5468">
        <v>0.99432352577700001</v>
      </c>
      <c r="E5468">
        <v>0.78</v>
      </c>
    </row>
    <row r="5469" spans="1:5">
      <c r="A5469" t="s">
        <v>37591</v>
      </c>
      <c r="B5469" t="s">
        <v>1840</v>
      </c>
      <c r="C5469">
        <v>0</v>
      </c>
      <c r="D5469">
        <v>0.99432352577700001</v>
      </c>
      <c r="E5469">
        <v>0.78</v>
      </c>
    </row>
    <row r="5470" spans="1:5">
      <c r="A5470" t="s">
        <v>37592</v>
      </c>
      <c r="B5470" t="s">
        <v>37593</v>
      </c>
      <c r="C5470">
        <v>0</v>
      </c>
      <c r="D5470">
        <v>0.55192455132399998</v>
      </c>
      <c r="E5470">
        <v>24</v>
      </c>
    </row>
    <row r="5471" spans="1:5">
      <c r="A5471" t="s">
        <v>37592</v>
      </c>
      <c r="B5471" t="s">
        <v>37594</v>
      </c>
      <c r="C5471">
        <v>0</v>
      </c>
      <c r="D5471">
        <v>0.55192455132399998</v>
      </c>
      <c r="E5471">
        <v>24</v>
      </c>
    </row>
    <row r="5472" spans="1:5">
      <c r="A5472" t="s">
        <v>37592</v>
      </c>
      <c r="B5472" t="s">
        <v>37595</v>
      </c>
      <c r="C5472">
        <f>0</f>
        <v>0</v>
      </c>
      <c r="D5472">
        <v>0.55192455132399998</v>
      </c>
      <c r="E5472">
        <v>24</v>
      </c>
    </row>
    <row r="5473" spans="1:5">
      <c r="A5473" t="s">
        <v>37592</v>
      </c>
      <c r="B5473" t="s">
        <v>37596</v>
      </c>
      <c r="C5473">
        <f>0</f>
        <v>0</v>
      </c>
      <c r="D5473">
        <v>0.55192455132399998</v>
      </c>
      <c r="E5473">
        <v>24</v>
      </c>
    </row>
    <row r="5474" spans="1:5">
      <c r="A5474" t="s">
        <v>37592</v>
      </c>
      <c r="B5474" t="s">
        <v>37597</v>
      </c>
      <c r="C5474">
        <v>0</v>
      </c>
      <c r="D5474">
        <v>0.55192455132399998</v>
      </c>
      <c r="E5474">
        <v>24</v>
      </c>
    </row>
    <row r="5475" spans="1:5">
      <c r="A5475" t="s">
        <v>37592</v>
      </c>
      <c r="B5475" t="s">
        <v>37598</v>
      </c>
      <c r="C5475" s="1">
        <v>7.2960125718699996E-5</v>
      </c>
      <c r="D5475">
        <v>0.55192455132399998</v>
      </c>
      <c r="E5475">
        <v>24</v>
      </c>
    </row>
    <row r="5476" spans="1:5">
      <c r="A5476" t="s">
        <v>37592</v>
      </c>
      <c r="B5476" t="s">
        <v>37599</v>
      </c>
      <c r="C5476">
        <f>0.032721746339</f>
        <v>3.2721746338999998E-2</v>
      </c>
      <c r="D5476">
        <v>0.55192455132399998</v>
      </c>
      <c r="E5476">
        <v>24</v>
      </c>
    </row>
    <row r="5477" spans="1:5">
      <c r="A5477" t="s">
        <v>37592</v>
      </c>
      <c r="B5477" t="s">
        <v>37600</v>
      </c>
      <c r="C5477">
        <f>0</f>
        <v>0</v>
      </c>
      <c r="D5477">
        <v>0.55192455132399998</v>
      </c>
      <c r="E5477">
        <v>24</v>
      </c>
    </row>
    <row r="5478" spans="1:5">
      <c r="A5478" t="s">
        <v>37592</v>
      </c>
      <c r="B5478" t="s">
        <v>37601</v>
      </c>
      <c r="C5478">
        <v>0</v>
      </c>
      <c r="D5478">
        <v>0.55192455132399998</v>
      </c>
      <c r="E5478">
        <v>24</v>
      </c>
    </row>
    <row r="5479" spans="1:5">
      <c r="A5479" t="s">
        <v>37592</v>
      </c>
      <c r="B5479" t="s">
        <v>37602</v>
      </c>
      <c r="C5479">
        <v>0</v>
      </c>
      <c r="D5479">
        <v>0.55192455132399998</v>
      </c>
      <c r="E5479">
        <v>24</v>
      </c>
    </row>
    <row r="5480" spans="1:5">
      <c r="A5480" t="s">
        <v>37592</v>
      </c>
      <c r="B5480" t="s">
        <v>37603</v>
      </c>
      <c r="C5480">
        <v>0</v>
      </c>
      <c r="D5480">
        <v>0.55192455132399998</v>
      </c>
      <c r="E5480">
        <v>24</v>
      </c>
    </row>
    <row r="5481" spans="1:5">
      <c r="A5481" t="s">
        <v>37592</v>
      </c>
      <c r="B5481" t="s">
        <v>37604</v>
      </c>
      <c r="C5481">
        <v>0</v>
      </c>
      <c r="D5481">
        <v>0.55192455132399998</v>
      </c>
      <c r="E5481">
        <v>24</v>
      </c>
    </row>
    <row r="5482" spans="1:5">
      <c r="A5482" t="s">
        <v>37592</v>
      </c>
      <c r="B5482" t="s">
        <v>37605</v>
      </c>
      <c r="C5482">
        <v>0</v>
      </c>
      <c r="D5482">
        <v>0.55192455132399998</v>
      </c>
      <c r="E5482">
        <v>24</v>
      </c>
    </row>
    <row r="5483" spans="1:5">
      <c r="A5483" t="s">
        <v>37606</v>
      </c>
      <c r="B5483" t="s">
        <v>33733</v>
      </c>
      <c r="C5483">
        <f>0</f>
        <v>0</v>
      </c>
      <c r="D5483" t="s">
        <v>106</v>
      </c>
      <c r="E5483">
        <v>7.2</v>
      </c>
    </row>
    <row r="5484" spans="1:5">
      <c r="A5484" t="s">
        <v>37606</v>
      </c>
      <c r="B5484" t="s">
        <v>33729</v>
      </c>
      <c r="C5484">
        <v>0</v>
      </c>
      <c r="D5484" t="s">
        <v>106</v>
      </c>
      <c r="E5484">
        <v>7.2</v>
      </c>
    </row>
    <row r="5485" spans="1:5">
      <c r="A5485" t="s">
        <v>37607</v>
      </c>
      <c r="B5485" t="s">
        <v>32914</v>
      </c>
      <c r="C5485">
        <v>0</v>
      </c>
      <c r="D5485" t="s">
        <v>106</v>
      </c>
      <c r="E5485">
        <v>2.88</v>
      </c>
    </row>
    <row r="5486" spans="1:5">
      <c r="A5486" t="s">
        <v>37607</v>
      </c>
      <c r="B5486" t="s">
        <v>32911</v>
      </c>
      <c r="C5486">
        <f>0</f>
        <v>0</v>
      </c>
      <c r="D5486" t="s">
        <v>106</v>
      </c>
      <c r="E5486">
        <v>2.88</v>
      </c>
    </row>
    <row r="5487" spans="1:5">
      <c r="A5487" t="s">
        <v>37607</v>
      </c>
      <c r="B5487" t="s">
        <v>32913</v>
      </c>
      <c r="C5487">
        <v>0</v>
      </c>
      <c r="D5487" t="s">
        <v>106</v>
      </c>
      <c r="E5487">
        <v>2.88</v>
      </c>
    </row>
    <row r="5488" spans="1:5">
      <c r="A5488" t="s">
        <v>37607</v>
      </c>
      <c r="B5488" t="s">
        <v>32912</v>
      </c>
      <c r="C5488">
        <f>0</f>
        <v>0</v>
      </c>
      <c r="D5488" t="s">
        <v>106</v>
      </c>
      <c r="E5488">
        <v>2.88</v>
      </c>
    </row>
    <row r="5489" spans="1:5">
      <c r="A5489" t="s">
        <v>37607</v>
      </c>
      <c r="B5489" t="s">
        <v>32915</v>
      </c>
      <c r="C5489">
        <v>0</v>
      </c>
      <c r="D5489" t="s">
        <v>106</v>
      </c>
      <c r="E5489">
        <v>2.88</v>
      </c>
    </row>
    <row r="5490" spans="1:5">
      <c r="A5490" t="s">
        <v>37607</v>
      </c>
      <c r="B5490" t="s">
        <v>32916</v>
      </c>
      <c r="C5490">
        <f>0</f>
        <v>0</v>
      </c>
      <c r="D5490" t="s">
        <v>106</v>
      </c>
      <c r="E5490">
        <v>2.88</v>
      </c>
    </row>
    <row r="5491" spans="1:5">
      <c r="A5491" t="s">
        <v>37607</v>
      </c>
      <c r="B5491" t="s">
        <v>32917</v>
      </c>
      <c r="C5491">
        <f>0</f>
        <v>0</v>
      </c>
      <c r="D5491" t="s">
        <v>106</v>
      </c>
      <c r="E5491">
        <v>2.88</v>
      </c>
    </row>
    <row r="5492" spans="1:5">
      <c r="A5492" t="s">
        <v>37608</v>
      </c>
      <c r="B5492" t="s">
        <v>3689</v>
      </c>
      <c r="C5492">
        <f>0.680251046062</f>
        <v>0.68025104606200004</v>
      </c>
      <c r="D5492">
        <v>0.94166893250700001</v>
      </c>
      <c r="E5492">
        <v>3.3180000000000001</v>
      </c>
    </row>
    <row r="5493" spans="1:5">
      <c r="A5493" t="s">
        <v>37608</v>
      </c>
      <c r="B5493" t="s">
        <v>3688</v>
      </c>
      <c r="C5493">
        <v>0.94894052981400001</v>
      </c>
      <c r="D5493">
        <v>0.94166893250700001</v>
      </c>
      <c r="E5493">
        <v>3.3180000000000001</v>
      </c>
    </row>
    <row r="5494" spans="1:5">
      <c r="A5494" t="s">
        <v>37608</v>
      </c>
      <c r="B5494" t="s">
        <v>3691</v>
      </c>
      <c r="C5494">
        <v>0.36891628129699999</v>
      </c>
      <c r="D5494">
        <v>0.94166893250700001</v>
      </c>
      <c r="E5494">
        <v>3.3180000000000001</v>
      </c>
    </row>
    <row r="5495" spans="1:5">
      <c r="A5495" t="s">
        <v>37609</v>
      </c>
      <c r="B5495" t="s">
        <v>20385</v>
      </c>
      <c r="C5495">
        <f>0</f>
        <v>0</v>
      </c>
      <c r="D5495">
        <v>0.94013620958099997</v>
      </c>
      <c r="E5495">
        <v>24</v>
      </c>
    </row>
    <row r="5496" spans="1:5">
      <c r="A5496" t="s">
        <v>37609</v>
      </c>
      <c r="B5496" t="s">
        <v>20381</v>
      </c>
      <c r="C5496">
        <v>5.6786159466500001E-2</v>
      </c>
      <c r="D5496">
        <v>0.94013620958099997</v>
      </c>
      <c r="E5496">
        <v>24</v>
      </c>
    </row>
    <row r="5497" spans="1:5">
      <c r="A5497" t="s">
        <v>37609</v>
      </c>
      <c r="B5497" t="s">
        <v>20383</v>
      </c>
      <c r="C5497">
        <v>0.80681264697599997</v>
      </c>
      <c r="D5497">
        <v>0.94013620958099997</v>
      </c>
      <c r="E5497">
        <v>24</v>
      </c>
    </row>
    <row r="5498" spans="1:5">
      <c r="A5498" t="s">
        <v>37609</v>
      </c>
      <c r="B5498" t="s">
        <v>37610</v>
      </c>
      <c r="C5498">
        <f>0.0187718238935</f>
        <v>1.87718238935E-2</v>
      </c>
      <c r="D5498">
        <v>0.94013620958099997</v>
      </c>
      <c r="E5498">
        <v>24</v>
      </c>
    </row>
    <row r="5499" spans="1:5">
      <c r="A5499" t="s">
        <v>37611</v>
      </c>
      <c r="B5499" t="s">
        <v>29</v>
      </c>
      <c r="C5499">
        <v>0</v>
      </c>
      <c r="D5499">
        <v>0.91755759726899999</v>
      </c>
      <c r="E5499">
        <v>0</v>
      </c>
    </row>
    <row r="5500" spans="1:5">
      <c r="A5500" t="s">
        <v>37611</v>
      </c>
      <c r="B5500" t="s">
        <v>26</v>
      </c>
      <c r="C5500">
        <f>0.046558839849</f>
        <v>4.6558839849E-2</v>
      </c>
      <c r="D5500">
        <v>0.91755759726899999</v>
      </c>
      <c r="E5500">
        <v>0</v>
      </c>
    </row>
    <row r="5501" spans="1:5">
      <c r="A5501" t="s">
        <v>37611</v>
      </c>
      <c r="B5501" t="s">
        <v>34</v>
      </c>
      <c r="C5501">
        <f>0.497815032635</f>
        <v>0.49781503263499999</v>
      </c>
      <c r="D5501">
        <v>0.91755759726899999</v>
      </c>
      <c r="E5501">
        <v>0</v>
      </c>
    </row>
    <row r="5502" spans="1:5">
      <c r="A5502" t="s">
        <v>37611</v>
      </c>
      <c r="B5502" t="s">
        <v>27</v>
      </c>
      <c r="C5502">
        <v>0.35034602428900002</v>
      </c>
      <c r="D5502">
        <v>0.91755759726899999</v>
      </c>
      <c r="E5502">
        <v>0</v>
      </c>
    </row>
    <row r="5503" spans="1:5">
      <c r="A5503" t="s">
        <v>37611</v>
      </c>
      <c r="B5503" t="s">
        <v>28</v>
      </c>
      <c r="C5503">
        <v>0</v>
      </c>
      <c r="D5503">
        <v>0.91755759726899999</v>
      </c>
      <c r="E5503">
        <v>0</v>
      </c>
    </row>
    <row r="5504" spans="1:5">
      <c r="A5504" t="s">
        <v>37611</v>
      </c>
      <c r="B5504" t="s">
        <v>35</v>
      </c>
      <c r="C5504">
        <f>0.423749608724</f>
        <v>0.42374960872400003</v>
      </c>
      <c r="D5504">
        <v>0.91755759726899999</v>
      </c>
      <c r="E5504">
        <v>0</v>
      </c>
    </row>
    <row r="5505" spans="1:5">
      <c r="A5505" t="s">
        <v>37612</v>
      </c>
      <c r="B5505" t="s">
        <v>3812</v>
      </c>
      <c r="C5505">
        <v>0</v>
      </c>
      <c r="D5505" t="s">
        <v>106</v>
      </c>
      <c r="E5505">
        <v>24</v>
      </c>
    </row>
    <row r="5506" spans="1:5">
      <c r="A5506" t="s">
        <v>37612</v>
      </c>
      <c r="B5506" t="s">
        <v>3814</v>
      </c>
      <c r="C5506">
        <v>0</v>
      </c>
      <c r="D5506" t="s">
        <v>106</v>
      </c>
      <c r="E5506">
        <v>24</v>
      </c>
    </row>
    <row r="5507" spans="1:5">
      <c r="A5507" t="s">
        <v>37612</v>
      </c>
      <c r="B5507" t="s">
        <v>3811</v>
      </c>
      <c r="C5507">
        <v>0</v>
      </c>
      <c r="D5507" t="s">
        <v>106</v>
      </c>
      <c r="E5507">
        <v>24</v>
      </c>
    </row>
    <row r="5508" spans="1:5">
      <c r="A5508" t="s">
        <v>37612</v>
      </c>
      <c r="B5508" t="s">
        <v>3816</v>
      </c>
      <c r="C5508">
        <v>0</v>
      </c>
      <c r="D5508" t="s">
        <v>106</v>
      </c>
      <c r="E5508">
        <v>24</v>
      </c>
    </row>
    <row r="5509" spans="1:5">
      <c r="A5509" t="s">
        <v>37612</v>
      </c>
      <c r="B5509" t="s">
        <v>3819</v>
      </c>
      <c r="C5509">
        <v>0</v>
      </c>
      <c r="D5509" t="s">
        <v>106</v>
      </c>
      <c r="E5509">
        <v>24</v>
      </c>
    </row>
    <row r="5510" spans="1:5">
      <c r="A5510" t="s">
        <v>37612</v>
      </c>
      <c r="B5510" t="s">
        <v>3815</v>
      </c>
      <c r="C5510">
        <v>0</v>
      </c>
      <c r="D5510" t="s">
        <v>106</v>
      </c>
      <c r="E5510">
        <v>24</v>
      </c>
    </row>
    <row r="5511" spans="1:5">
      <c r="A5511" t="s">
        <v>37613</v>
      </c>
      <c r="B5511" t="s">
        <v>3223</v>
      </c>
      <c r="C5511">
        <v>0</v>
      </c>
      <c r="D5511">
        <v>0.86567626217100002</v>
      </c>
      <c r="E5511">
        <v>23.754000000000001</v>
      </c>
    </row>
    <row r="5512" spans="1:5">
      <c r="A5512" t="s">
        <v>37613</v>
      </c>
      <c r="B5512" t="s">
        <v>3225</v>
      </c>
      <c r="C5512">
        <v>0.121877930611</v>
      </c>
      <c r="D5512">
        <v>0.86567626217100002</v>
      </c>
      <c r="E5512">
        <v>23.754000000000001</v>
      </c>
    </row>
    <row r="5513" spans="1:5">
      <c r="A5513" t="s">
        <v>37613</v>
      </c>
      <c r="B5513" t="s">
        <v>3229</v>
      </c>
      <c r="C5513">
        <v>0</v>
      </c>
      <c r="D5513">
        <v>0.86567626217100002</v>
      </c>
      <c r="E5513">
        <v>23.754000000000001</v>
      </c>
    </row>
    <row r="5514" spans="1:5">
      <c r="A5514" t="s">
        <v>37613</v>
      </c>
      <c r="B5514" t="s">
        <v>3228</v>
      </c>
      <c r="C5514">
        <f>0.255802963312</f>
        <v>0.25580296331199998</v>
      </c>
      <c r="D5514">
        <v>0.86567626217100002</v>
      </c>
      <c r="E5514">
        <v>23.754000000000001</v>
      </c>
    </row>
    <row r="5515" spans="1:5">
      <c r="A5515" t="s">
        <v>37613</v>
      </c>
      <c r="B5515" t="s">
        <v>37614</v>
      </c>
      <c r="C5515">
        <f>0.387575479736</f>
        <v>0.38757547973599998</v>
      </c>
      <c r="D5515">
        <v>0.86567626217100002</v>
      </c>
      <c r="E5515">
        <v>23.754000000000001</v>
      </c>
    </row>
    <row r="5516" spans="1:5">
      <c r="A5516" t="s">
        <v>37615</v>
      </c>
      <c r="B5516" t="s">
        <v>888</v>
      </c>
      <c r="C5516">
        <v>0</v>
      </c>
      <c r="D5516">
        <v>0.84813645694600004</v>
      </c>
      <c r="E5516">
        <v>24</v>
      </c>
    </row>
    <row r="5517" spans="1:5">
      <c r="A5517" t="s">
        <v>37615</v>
      </c>
      <c r="B5517" t="s">
        <v>884</v>
      </c>
      <c r="C5517">
        <f>0.80610774908</f>
        <v>0.80610774908000005</v>
      </c>
      <c r="D5517">
        <v>0.84813645694600004</v>
      </c>
      <c r="E5517">
        <v>24</v>
      </c>
    </row>
    <row r="5518" spans="1:5">
      <c r="A5518" t="s">
        <v>37615</v>
      </c>
      <c r="B5518" t="s">
        <v>885</v>
      </c>
      <c r="C5518">
        <f>0</f>
        <v>0</v>
      </c>
      <c r="D5518">
        <v>0.84813645694600004</v>
      </c>
      <c r="E5518">
        <v>24</v>
      </c>
    </row>
    <row r="5519" spans="1:5">
      <c r="A5519" t="s">
        <v>37615</v>
      </c>
      <c r="B5519" t="s">
        <v>886</v>
      </c>
      <c r="C5519">
        <v>0.295437343859</v>
      </c>
      <c r="D5519">
        <v>0.84813645694600004</v>
      </c>
      <c r="E5519">
        <v>24</v>
      </c>
    </row>
    <row r="5520" spans="1:5">
      <c r="A5520" t="s">
        <v>37615</v>
      </c>
      <c r="B5520" t="s">
        <v>887</v>
      </c>
      <c r="C5520">
        <f>0</f>
        <v>0</v>
      </c>
      <c r="D5520">
        <v>0.84813645694600004</v>
      </c>
      <c r="E5520">
        <v>24</v>
      </c>
    </row>
    <row r="5521" spans="1:5">
      <c r="A5521" t="s">
        <v>37616</v>
      </c>
      <c r="B5521" t="s">
        <v>25479</v>
      </c>
      <c r="C5521">
        <v>0</v>
      </c>
      <c r="D5521">
        <v>0.77886436704799999</v>
      </c>
      <c r="E5521">
        <v>23.754000000000001</v>
      </c>
    </row>
    <row r="5522" spans="1:5">
      <c r="A5522" t="s">
        <v>37616</v>
      </c>
      <c r="B5522" t="s">
        <v>25481</v>
      </c>
      <c r="C5522">
        <v>0.20620813645300001</v>
      </c>
      <c r="D5522">
        <v>0.77886436704799999</v>
      </c>
      <c r="E5522">
        <v>23.754000000000001</v>
      </c>
    </row>
    <row r="5523" spans="1:5">
      <c r="A5523" t="s">
        <v>37616</v>
      </c>
      <c r="B5523" t="s">
        <v>25480</v>
      </c>
      <c r="C5523">
        <f>0</f>
        <v>0</v>
      </c>
      <c r="D5523">
        <v>0.77886436704799999</v>
      </c>
      <c r="E5523">
        <v>23.754000000000001</v>
      </c>
    </row>
    <row r="5524" spans="1:5">
      <c r="A5524" t="s">
        <v>37616</v>
      </c>
      <c r="B5524" t="s">
        <v>25483</v>
      </c>
      <c r="C5524">
        <v>0.50405114767400006</v>
      </c>
      <c r="D5524">
        <v>0.77886436704799999</v>
      </c>
      <c r="E5524">
        <v>23.754000000000001</v>
      </c>
    </row>
    <row r="5525" spans="1:5">
      <c r="A5525" t="s">
        <v>37617</v>
      </c>
      <c r="B5525" t="s">
        <v>12272</v>
      </c>
      <c r="C5525">
        <f>0.0540740536959</f>
        <v>5.4074053695900001E-2</v>
      </c>
      <c r="D5525">
        <v>0.98562162619399996</v>
      </c>
      <c r="E5525">
        <v>10.715999999999999</v>
      </c>
    </row>
    <row r="5526" spans="1:5">
      <c r="A5526" t="s">
        <v>37617</v>
      </c>
      <c r="B5526" t="s">
        <v>12271</v>
      </c>
      <c r="C5526">
        <v>0.63036917346800003</v>
      </c>
      <c r="D5526">
        <v>0.98562162619399996</v>
      </c>
      <c r="E5526">
        <v>10.715999999999999</v>
      </c>
    </row>
    <row r="5527" spans="1:5">
      <c r="A5527" t="s">
        <v>37617</v>
      </c>
      <c r="B5527" t="s">
        <v>12277</v>
      </c>
      <c r="C5527">
        <f>0.235186865613</f>
        <v>0.23518686561300001</v>
      </c>
      <c r="D5527">
        <v>0.98562162619399996</v>
      </c>
      <c r="E5527">
        <v>10.715999999999999</v>
      </c>
    </row>
    <row r="5528" spans="1:5">
      <c r="A5528" t="s">
        <v>37617</v>
      </c>
      <c r="B5528" t="s">
        <v>12278</v>
      </c>
      <c r="C5528">
        <f>0.0795554395905</f>
        <v>7.9555439590500002E-2</v>
      </c>
      <c r="D5528">
        <v>0.98562162619399996</v>
      </c>
      <c r="E5528">
        <v>10.715999999999999</v>
      </c>
    </row>
    <row r="5529" spans="1:5">
      <c r="A5529" t="s">
        <v>37617</v>
      </c>
      <c r="B5529" t="s">
        <v>12276</v>
      </c>
      <c r="C5529">
        <v>0.82985609353400003</v>
      </c>
      <c r="D5529">
        <v>0.98562162619399996</v>
      </c>
      <c r="E5529">
        <v>10.715999999999999</v>
      </c>
    </row>
    <row r="5530" spans="1:5">
      <c r="A5530" t="s">
        <v>37617</v>
      </c>
      <c r="B5530" t="s">
        <v>12273</v>
      </c>
      <c r="C5530">
        <v>0.34083646030999998</v>
      </c>
      <c r="D5530">
        <v>0.98562162619399996</v>
      </c>
      <c r="E5530">
        <v>10.715999999999999</v>
      </c>
    </row>
    <row r="5531" spans="1:5">
      <c r="A5531" t="s">
        <v>37618</v>
      </c>
      <c r="B5531" t="s">
        <v>17180</v>
      </c>
      <c r="C5531">
        <v>0</v>
      </c>
      <c r="D5531" t="s">
        <v>106</v>
      </c>
      <c r="E5531">
        <v>9.0180000000000007</v>
      </c>
    </row>
    <row r="5532" spans="1:5">
      <c r="A5532" t="s">
        <v>37618</v>
      </c>
      <c r="B5532" t="s">
        <v>17177</v>
      </c>
      <c r="C5532">
        <v>0</v>
      </c>
      <c r="D5532" t="s">
        <v>106</v>
      </c>
      <c r="E5532">
        <v>9.0180000000000007</v>
      </c>
    </row>
    <row r="5533" spans="1:5">
      <c r="A5533" t="s">
        <v>37618</v>
      </c>
      <c r="B5533" t="s">
        <v>17171</v>
      </c>
      <c r="C5533">
        <v>0</v>
      </c>
      <c r="D5533" t="s">
        <v>106</v>
      </c>
      <c r="E5533">
        <v>9.0180000000000007</v>
      </c>
    </row>
    <row r="5534" spans="1:5">
      <c r="A5534" t="s">
        <v>37618</v>
      </c>
      <c r="B5534" t="s">
        <v>17174</v>
      </c>
      <c r="C5534">
        <f>0</f>
        <v>0</v>
      </c>
      <c r="D5534" t="s">
        <v>106</v>
      </c>
      <c r="E5534">
        <v>9.0180000000000007</v>
      </c>
    </row>
    <row r="5535" spans="1:5">
      <c r="A5535" t="s">
        <v>37618</v>
      </c>
      <c r="B5535" t="s">
        <v>17173</v>
      </c>
      <c r="C5535">
        <v>0</v>
      </c>
      <c r="D5535" t="s">
        <v>106</v>
      </c>
      <c r="E5535">
        <v>9.0180000000000007</v>
      </c>
    </row>
    <row r="5536" spans="1:5">
      <c r="A5536" t="s">
        <v>37618</v>
      </c>
      <c r="B5536" t="s">
        <v>17175</v>
      </c>
      <c r="C5536">
        <v>0</v>
      </c>
      <c r="D5536" t="s">
        <v>106</v>
      </c>
      <c r="E5536">
        <v>9.0180000000000007</v>
      </c>
    </row>
    <row r="5537" spans="1:5">
      <c r="A5537" t="s">
        <v>37618</v>
      </c>
      <c r="B5537" t="s">
        <v>17172</v>
      </c>
      <c r="C5537">
        <f>0</f>
        <v>0</v>
      </c>
      <c r="D5537" t="s">
        <v>106</v>
      </c>
      <c r="E5537">
        <v>9.0180000000000007</v>
      </c>
    </row>
    <row r="5538" spans="1:5">
      <c r="A5538" t="s">
        <v>37619</v>
      </c>
      <c r="B5538" t="s">
        <v>7025</v>
      </c>
      <c r="C5538">
        <v>0</v>
      </c>
      <c r="D5538" t="s">
        <v>106</v>
      </c>
      <c r="E5538">
        <v>23.754000000000001</v>
      </c>
    </row>
    <row r="5539" spans="1:5">
      <c r="A5539" t="s">
        <v>37619</v>
      </c>
      <c r="B5539" t="s">
        <v>7021</v>
      </c>
      <c r="C5539">
        <v>0</v>
      </c>
      <c r="D5539" t="s">
        <v>106</v>
      </c>
      <c r="E5539">
        <v>23.754000000000001</v>
      </c>
    </row>
    <row r="5540" spans="1:5">
      <c r="A5540" t="s">
        <v>37619</v>
      </c>
      <c r="B5540" t="s">
        <v>7022</v>
      </c>
      <c r="C5540">
        <v>0</v>
      </c>
      <c r="D5540" t="s">
        <v>106</v>
      </c>
      <c r="E5540">
        <v>23.754000000000001</v>
      </c>
    </row>
    <row r="5541" spans="1:5">
      <c r="A5541" t="s">
        <v>37619</v>
      </c>
      <c r="B5541" t="s">
        <v>7026</v>
      </c>
      <c r="C5541">
        <f>0</f>
        <v>0</v>
      </c>
      <c r="D5541" t="s">
        <v>106</v>
      </c>
      <c r="E5541">
        <v>23.754000000000001</v>
      </c>
    </row>
    <row r="5542" spans="1:5">
      <c r="A5542" t="s">
        <v>37619</v>
      </c>
      <c r="B5542" t="s">
        <v>7028</v>
      </c>
      <c r="C5542">
        <v>0</v>
      </c>
      <c r="D5542" t="s">
        <v>106</v>
      </c>
      <c r="E5542">
        <v>23.754000000000001</v>
      </c>
    </row>
    <row r="5543" spans="1:5">
      <c r="A5543" t="s">
        <v>37620</v>
      </c>
      <c r="B5543" t="s">
        <v>4620</v>
      </c>
      <c r="C5543">
        <v>0</v>
      </c>
      <c r="D5543">
        <v>0.97865983305399995</v>
      </c>
      <c r="E5543">
        <v>1.512</v>
      </c>
    </row>
    <row r="5544" spans="1:5">
      <c r="A5544" t="s">
        <v>37620</v>
      </c>
      <c r="B5544" t="s">
        <v>4616</v>
      </c>
      <c r="C5544">
        <v>0.29360909927700002</v>
      </c>
      <c r="D5544">
        <v>0.97865983305399995</v>
      </c>
      <c r="E5544">
        <v>1.512</v>
      </c>
    </row>
    <row r="5545" spans="1:5">
      <c r="A5545" t="s">
        <v>37620</v>
      </c>
      <c r="B5545" t="s">
        <v>4624</v>
      </c>
      <c r="C5545">
        <v>0.483476213893</v>
      </c>
      <c r="D5545">
        <v>0.97865983305399995</v>
      </c>
      <c r="E5545">
        <v>1.512</v>
      </c>
    </row>
    <row r="5546" spans="1:5">
      <c r="A5546" t="s">
        <v>37620</v>
      </c>
      <c r="B5546" t="s">
        <v>4623</v>
      </c>
      <c r="C5546">
        <v>0</v>
      </c>
      <c r="D5546">
        <v>0.97865983305399995</v>
      </c>
      <c r="E5546">
        <v>1.512</v>
      </c>
    </row>
    <row r="5547" spans="1:5">
      <c r="A5547" t="s">
        <v>37620</v>
      </c>
      <c r="B5547" t="s">
        <v>4619</v>
      </c>
      <c r="C5547">
        <v>0.21904480428299999</v>
      </c>
      <c r="D5547">
        <v>0.97865983305399995</v>
      </c>
      <c r="E5547">
        <v>1.512</v>
      </c>
    </row>
    <row r="5548" spans="1:5">
      <c r="A5548" t="s">
        <v>37620</v>
      </c>
      <c r="B5548" t="s">
        <v>4618</v>
      </c>
      <c r="C5548">
        <v>0</v>
      </c>
      <c r="D5548">
        <v>0.97865983305399995</v>
      </c>
      <c r="E5548">
        <v>1.512</v>
      </c>
    </row>
    <row r="5549" spans="1:5">
      <c r="A5549" t="s">
        <v>37621</v>
      </c>
      <c r="B5549" t="s">
        <v>8291</v>
      </c>
      <c r="C5549">
        <v>0</v>
      </c>
      <c r="D5549">
        <v>0.83092358922499998</v>
      </c>
      <c r="E5549">
        <v>12.048</v>
      </c>
    </row>
    <row r="5550" spans="1:5">
      <c r="A5550" t="s">
        <v>37621</v>
      </c>
      <c r="B5550" t="s">
        <v>8299</v>
      </c>
      <c r="C5550">
        <v>0</v>
      </c>
      <c r="D5550">
        <v>0.83092358922499998</v>
      </c>
      <c r="E5550">
        <v>12.048</v>
      </c>
    </row>
    <row r="5551" spans="1:5">
      <c r="A5551" t="s">
        <v>37621</v>
      </c>
      <c r="B5551" t="s">
        <v>8298</v>
      </c>
      <c r="C5551">
        <v>0</v>
      </c>
      <c r="D5551">
        <v>0.83092358922499998</v>
      </c>
      <c r="E5551">
        <v>12.048</v>
      </c>
    </row>
    <row r="5552" spans="1:5">
      <c r="A5552" t="s">
        <v>37621</v>
      </c>
      <c r="B5552" t="s">
        <v>8288</v>
      </c>
      <c r="C5552">
        <f>0</f>
        <v>0</v>
      </c>
      <c r="D5552">
        <v>0.83092358922499998</v>
      </c>
      <c r="E5552">
        <v>12.048</v>
      </c>
    </row>
    <row r="5553" spans="1:5">
      <c r="A5553" t="s">
        <v>37621</v>
      </c>
      <c r="B5553" t="s">
        <v>8303</v>
      </c>
      <c r="C5553">
        <f>0</f>
        <v>0</v>
      </c>
      <c r="D5553">
        <v>0.83092358922499998</v>
      </c>
      <c r="E5553">
        <v>12.048</v>
      </c>
    </row>
    <row r="5554" spans="1:5">
      <c r="A5554" t="s">
        <v>37621</v>
      </c>
      <c r="B5554" t="s">
        <v>8311</v>
      </c>
      <c r="C5554">
        <v>0</v>
      </c>
      <c r="D5554">
        <v>0.83092358922499998</v>
      </c>
      <c r="E5554">
        <v>12.048</v>
      </c>
    </row>
    <row r="5555" spans="1:5">
      <c r="A5555" t="s">
        <v>37621</v>
      </c>
      <c r="B5555" t="s">
        <v>8312</v>
      </c>
      <c r="C5555">
        <f>0</f>
        <v>0</v>
      </c>
      <c r="D5555">
        <v>0.83092358922499998</v>
      </c>
      <c r="E5555">
        <v>12.048</v>
      </c>
    </row>
    <row r="5556" spans="1:5">
      <c r="A5556" t="s">
        <v>37621</v>
      </c>
      <c r="B5556" t="s">
        <v>8306</v>
      </c>
      <c r="C5556">
        <v>0.47091358922499998</v>
      </c>
      <c r="D5556">
        <v>0.83092358922499998</v>
      </c>
      <c r="E5556">
        <v>12.048</v>
      </c>
    </row>
    <row r="5557" spans="1:5">
      <c r="A5557" t="s">
        <v>37621</v>
      </c>
      <c r="B5557" t="s">
        <v>8310</v>
      </c>
      <c r="C5557">
        <f>0</f>
        <v>0</v>
      </c>
      <c r="D5557">
        <v>0.83092358922499998</v>
      </c>
      <c r="E5557">
        <v>12.048</v>
      </c>
    </row>
    <row r="5558" spans="1:5">
      <c r="A5558" t="s">
        <v>37621</v>
      </c>
      <c r="B5558" t="s">
        <v>8301</v>
      </c>
      <c r="C5558">
        <v>0</v>
      </c>
      <c r="D5558">
        <v>0.83092358922499998</v>
      </c>
      <c r="E5558">
        <v>12.048</v>
      </c>
    </row>
    <row r="5559" spans="1:5">
      <c r="A5559" t="s">
        <v>37621</v>
      </c>
      <c r="B5559" t="s">
        <v>8290</v>
      </c>
      <c r="C5559">
        <f>0</f>
        <v>0</v>
      </c>
      <c r="D5559">
        <v>0.83092358922499998</v>
      </c>
      <c r="E5559">
        <v>12.048</v>
      </c>
    </row>
    <row r="5560" spans="1:5">
      <c r="A5560" t="s">
        <v>37621</v>
      </c>
      <c r="B5560" t="s">
        <v>8287</v>
      </c>
      <c r="C5560">
        <v>0</v>
      </c>
      <c r="D5560">
        <v>0.83092358922499998</v>
      </c>
      <c r="E5560">
        <v>12.048</v>
      </c>
    </row>
    <row r="5561" spans="1:5">
      <c r="A5561" t="s">
        <v>37621</v>
      </c>
      <c r="B5561" t="s">
        <v>8295</v>
      </c>
      <c r="C5561">
        <v>0</v>
      </c>
      <c r="D5561">
        <v>0.83092358922499998</v>
      </c>
      <c r="E5561">
        <v>12.048</v>
      </c>
    </row>
    <row r="5562" spans="1:5">
      <c r="A5562" t="s">
        <v>37622</v>
      </c>
      <c r="B5562" t="s">
        <v>20524</v>
      </c>
      <c r="C5562">
        <v>0</v>
      </c>
      <c r="D5562" t="s">
        <v>106</v>
      </c>
      <c r="E5562">
        <v>5.9340000000000002</v>
      </c>
    </row>
    <row r="5563" spans="1:5">
      <c r="A5563" t="s">
        <v>37622</v>
      </c>
      <c r="B5563" t="s">
        <v>20522</v>
      </c>
      <c r="C5563">
        <v>0</v>
      </c>
      <c r="D5563" t="s">
        <v>106</v>
      </c>
      <c r="E5563">
        <v>5.9340000000000002</v>
      </c>
    </row>
    <row r="5564" spans="1:5">
      <c r="A5564" t="s">
        <v>37622</v>
      </c>
      <c r="B5564" t="s">
        <v>20521</v>
      </c>
      <c r="C5564">
        <v>0</v>
      </c>
      <c r="D5564" t="s">
        <v>106</v>
      </c>
      <c r="E5564">
        <v>5.9340000000000002</v>
      </c>
    </row>
    <row r="5565" spans="1:5">
      <c r="A5565" t="s">
        <v>37622</v>
      </c>
      <c r="B5565" t="s">
        <v>20516</v>
      </c>
      <c r="C5565">
        <v>0</v>
      </c>
      <c r="D5565" t="s">
        <v>106</v>
      </c>
      <c r="E5565">
        <v>5.9340000000000002</v>
      </c>
    </row>
    <row r="5566" spans="1:5">
      <c r="A5566" t="s">
        <v>37622</v>
      </c>
      <c r="B5566" t="s">
        <v>20519</v>
      </c>
      <c r="C5566">
        <f>0</f>
        <v>0</v>
      </c>
      <c r="D5566" t="s">
        <v>106</v>
      </c>
      <c r="E5566">
        <v>5.9340000000000002</v>
      </c>
    </row>
    <row r="5567" spans="1:5">
      <c r="A5567" t="s">
        <v>37622</v>
      </c>
      <c r="B5567" t="s">
        <v>20518</v>
      </c>
      <c r="C5567">
        <f>0</f>
        <v>0</v>
      </c>
      <c r="D5567" t="s">
        <v>106</v>
      </c>
      <c r="E5567">
        <v>5.9340000000000002</v>
      </c>
    </row>
    <row r="5568" spans="1:5">
      <c r="A5568" t="s">
        <v>37622</v>
      </c>
      <c r="B5568" t="s">
        <v>20517</v>
      </c>
      <c r="C5568">
        <f>0</f>
        <v>0</v>
      </c>
      <c r="D5568" t="s">
        <v>106</v>
      </c>
      <c r="E5568">
        <v>5.9340000000000002</v>
      </c>
    </row>
    <row r="5569" spans="1:5">
      <c r="A5569" t="s">
        <v>37622</v>
      </c>
      <c r="B5569" t="s">
        <v>20520</v>
      </c>
      <c r="C5569">
        <f>0</f>
        <v>0</v>
      </c>
      <c r="D5569" t="s">
        <v>106</v>
      </c>
      <c r="E5569">
        <v>5.9340000000000002</v>
      </c>
    </row>
    <row r="5570" spans="1:5">
      <c r="A5570" t="s">
        <v>37623</v>
      </c>
      <c r="B5570" t="s">
        <v>21182</v>
      </c>
      <c r="C5570">
        <v>2.81339000635E-2</v>
      </c>
      <c r="D5570">
        <v>0.66814390006299995</v>
      </c>
      <c r="E5570">
        <v>23.754000000000001</v>
      </c>
    </row>
    <row r="5571" spans="1:5">
      <c r="A5571" t="s">
        <v>37623</v>
      </c>
      <c r="B5571" t="s">
        <v>21183</v>
      </c>
      <c r="C5571">
        <f>0</f>
        <v>0</v>
      </c>
      <c r="D5571">
        <v>0.66814390006299995</v>
      </c>
      <c r="E5571">
        <v>23.754000000000001</v>
      </c>
    </row>
    <row r="5572" spans="1:5">
      <c r="A5572" t="s">
        <v>37623</v>
      </c>
      <c r="B5572" t="s">
        <v>21184</v>
      </c>
      <c r="C5572">
        <f>0</f>
        <v>0</v>
      </c>
      <c r="D5572">
        <v>0.66814390006299995</v>
      </c>
      <c r="E5572">
        <v>23.754000000000001</v>
      </c>
    </row>
    <row r="5573" spans="1:5">
      <c r="A5573" t="s">
        <v>37624</v>
      </c>
      <c r="B5573" t="s">
        <v>25954</v>
      </c>
      <c r="C5573">
        <v>2.4497268332299999E-2</v>
      </c>
      <c r="D5573">
        <v>0.97319883040800004</v>
      </c>
      <c r="E5573">
        <v>21.648</v>
      </c>
    </row>
    <row r="5574" spans="1:5">
      <c r="A5574" t="s">
        <v>37624</v>
      </c>
      <c r="B5574" t="s">
        <v>25957</v>
      </c>
      <c r="C5574">
        <f>0.931565448769</f>
        <v>0.93156544876900005</v>
      </c>
      <c r="D5574">
        <v>0.97319883040800004</v>
      </c>
      <c r="E5574">
        <v>21.648</v>
      </c>
    </row>
    <row r="5575" spans="1:5">
      <c r="A5575" t="s">
        <v>37624</v>
      </c>
      <c r="B5575" t="s">
        <v>25955</v>
      </c>
      <c r="C5575">
        <f>0.632004646893</f>
        <v>0.63200464689299996</v>
      </c>
      <c r="D5575">
        <v>0.97319883040800004</v>
      </c>
      <c r="E5575">
        <v>21.648</v>
      </c>
    </row>
    <row r="5576" spans="1:5">
      <c r="A5576" t="s">
        <v>37624</v>
      </c>
      <c r="B5576" t="s">
        <v>25960</v>
      </c>
      <c r="C5576">
        <v>0.94602754140300005</v>
      </c>
      <c r="D5576">
        <v>0.97319883040800004</v>
      </c>
      <c r="E5576">
        <v>21.648</v>
      </c>
    </row>
    <row r="5577" spans="1:5">
      <c r="A5577" t="s">
        <v>37624</v>
      </c>
      <c r="B5577" t="s">
        <v>25959</v>
      </c>
      <c r="C5577">
        <v>6.2531766537800001E-2</v>
      </c>
      <c r="D5577">
        <v>0.97319883040800004</v>
      </c>
      <c r="E5577">
        <v>21.648</v>
      </c>
    </row>
    <row r="5578" spans="1:5">
      <c r="A5578" t="s">
        <v>37625</v>
      </c>
      <c r="B5578" t="s">
        <v>8834</v>
      </c>
      <c r="C5578">
        <v>0.50986985113600003</v>
      </c>
      <c r="D5578">
        <v>0.78027985113599996</v>
      </c>
      <c r="E5578">
        <v>5.82</v>
      </c>
    </row>
    <row r="5579" spans="1:5">
      <c r="A5579" t="s">
        <v>37625</v>
      </c>
      <c r="B5579" t="s">
        <v>8831</v>
      </c>
      <c r="C5579">
        <v>0</v>
      </c>
      <c r="D5579">
        <v>0.78027985113599996</v>
      </c>
      <c r="E5579">
        <v>5.82</v>
      </c>
    </row>
    <row r="5580" spans="1:5">
      <c r="A5580" t="s">
        <v>37625</v>
      </c>
      <c r="B5580" t="s">
        <v>8833</v>
      </c>
      <c r="C5580">
        <v>0</v>
      </c>
      <c r="D5580">
        <v>0.78027985113599996</v>
      </c>
      <c r="E5580">
        <v>5.82</v>
      </c>
    </row>
    <row r="5581" spans="1:5">
      <c r="A5581" t="s">
        <v>37626</v>
      </c>
      <c r="B5581" t="s">
        <v>16621</v>
      </c>
      <c r="C5581">
        <v>0</v>
      </c>
      <c r="D5581" t="s">
        <v>106</v>
      </c>
      <c r="E5581">
        <v>8.2919999999999998</v>
      </c>
    </row>
    <row r="5582" spans="1:5">
      <c r="A5582" t="s">
        <v>37626</v>
      </c>
      <c r="B5582" t="s">
        <v>16622</v>
      </c>
      <c r="C5582">
        <v>0</v>
      </c>
      <c r="D5582" t="s">
        <v>106</v>
      </c>
      <c r="E5582">
        <v>8.2919999999999998</v>
      </c>
    </row>
    <row r="5583" spans="1:5">
      <c r="A5583" t="s">
        <v>37627</v>
      </c>
      <c r="B5583" t="s">
        <v>27755</v>
      </c>
      <c r="C5583">
        <f>0</f>
        <v>0</v>
      </c>
      <c r="D5583" t="s">
        <v>106</v>
      </c>
      <c r="E5583">
        <v>21.42</v>
      </c>
    </row>
    <row r="5584" spans="1:5">
      <c r="A5584" t="s">
        <v>37627</v>
      </c>
      <c r="B5584" t="s">
        <v>27767</v>
      </c>
      <c r="C5584">
        <f>0</f>
        <v>0</v>
      </c>
      <c r="D5584" t="s">
        <v>106</v>
      </c>
      <c r="E5584">
        <v>21.42</v>
      </c>
    </row>
    <row r="5585" spans="1:5">
      <c r="A5585" t="s">
        <v>37627</v>
      </c>
      <c r="B5585" t="s">
        <v>27765</v>
      </c>
      <c r="C5585">
        <f>0</f>
        <v>0</v>
      </c>
      <c r="D5585" t="s">
        <v>106</v>
      </c>
      <c r="E5585">
        <v>21.42</v>
      </c>
    </row>
    <row r="5586" spans="1:5">
      <c r="A5586" t="s">
        <v>37627</v>
      </c>
      <c r="B5586" t="s">
        <v>27762</v>
      </c>
      <c r="C5586">
        <v>0</v>
      </c>
      <c r="D5586" t="s">
        <v>106</v>
      </c>
      <c r="E5586">
        <v>21.42</v>
      </c>
    </row>
    <row r="5587" spans="1:5">
      <c r="A5587" t="s">
        <v>37627</v>
      </c>
      <c r="B5587" t="s">
        <v>27764</v>
      </c>
      <c r="C5587">
        <v>0</v>
      </c>
      <c r="D5587" t="s">
        <v>106</v>
      </c>
      <c r="E5587">
        <v>21.42</v>
      </c>
    </row>
    <row r="5588" spans="1:5">
      <c r="A5588" t="s">
        <v>37627</v>
      </c>
      <c r="B5588" t="s">
        <v>27761</v>
      </c>
      <c r="C5588">
        <f>0</f>
        <v>0</v>
      </c>
      <c r="D5588" t="s">
        <v>106</v>
      </c>
      <c r="E5588">
        <v>21.42</v>
      </c>
    </row>
    <row r="5589" spans="1:5">
      <c r="A5589" t="s">
        <v>37627</v>
      </c>
      <c r="B5589" t="s">
        <v>27757</v>
      </c>
      <c r="C5589">
        <f>0</f>
        <v>0</v>
      </c>
      <c r="D5589" t="s">
        <v>106</v>
      </c>
      <c r="E5589">
        <v>21.42</v>
      </c>
    </row>
    <row r="5590" spans="1:5">
      <c r="A5590" t="s">
        <v>37627</v>
      </c>
      <c r="B5590" t="s">
        <v>27756</v>
      </c>
      <c r="C5590">
        <f>0</f>
        <v>0</v>
      </c>
      <c r="D5590" t="s">
        <v>106</v>
      </c>
      <c r="E5590">
        <v>21.42</v>
      </c>
    </row>
    <row r="5591" spans="1:5">
      <c r="A5591" t="s">
        <v>37628</v>
      </c>
      <c r="B5591" t="s">
        <v>33721</v>
      </c>
      <c r="C5591">
        <f>0.635767611931</f>
        <v>0.63576761193099995</v>
      </c>
      <c r="D5591">
        <v>0.84499783244799997</v>
      </c>
      <c r="E5591">
        <v>0.96599999999999997</v>
      </c>
    </row>
    <row r="5592" spans="1:5">
      <c r="A5592" t="s">
        <v>37628</v>
      </c>
      <c r="B5592" t="s">
        <v>33722</v>
      </c>
      <c r="C5592">
        <f>0.0795357480629</f>
        <v>7.9535748062899994E-2</v>
      </c>
      <c r="D5592">
        <v>0.84499783244799997</v>
      </c>
      <c r="E5592">
        <v>0.96599999999999997</v>
      </c>
    </row>
    <row r="5593" spans="1:5">
      <c r="A5593" t="s">
        <v>37628</v>
      </c>
      <c r="B5593" t="s">
        <v>33724</v>
      </c>
      <c r="C5593">
        <v>0</v>
      </c>
      <c r="D5593">
        <v>0.84499783244799997</v>
      </c>
      <c r="E5593">
        <v>0.96599999999999997</v>
      </c>
    </row>
    <row r="5594" spans="1:5">
      <c r="A5594" t="s">
        <v>37629</v>
      </c>
      <c r="B5594" t="s">
        <v>37630</v>
      </c>
      <c r="C5594">
        <f>0.566568790673</f>
        <v>0.56656879067300003</v>
      </c>
      <c r="D5594">
        <v>0.99914797630499996</v>
      </c>
      <c r="E5594">
        <v>3.6840000000000002</v>
      </c>
    </row>
    <row r="5595" spans="1:5">
      <c r="A5595" t="s">
        <v>37629</v>
      </c>
      <c r="B5595" t="s">
        <v>37631</v>
      </c>
      <c r="C5595">
        <f>0</f>
        <v>0</v>
      </c>
      <c r="D5595">
        <v>0.99914797630499996</v>
      </c>
      <c r="E5595">
        <v>3.6840000000000002</v>
      </c>
    </row>
    <row r="5596" spans="1:5">
      <c r="A5596" t="s">
        <v>37629</v>
      </c>
      <c r="B5596" t="s">
        <v>37632</v>
      </c>
      <c r="C5596">
        <v>0.352276740905</v>
      </c>
      <c r="D5596">
        <v>0.99914797630499996</v>
      </c>
      <c r="E5596">
        <v>3.6840000000000002</v>
      </c>
    </row>
    <row r="5597" spans="1:5">
      <c r="A5597" t="s">
        <v>37629</v>
      </c>
      <c r="B5597" t="s">
        <v>37633</v>
      </c>
      <c r="C5597">
        <f>0</f>
        <v>0</v>
      </c>
      <c r="D5597">
        <v>0.99914797630499996</v>
      </c>
      <c r="E5597">
        <v>3.6840000000000002</v>
      </c>
    </row>
    <row r="5598" spans="1:5">
      <c r="A5598" t="s">
        <v>37629</v>
      </c>
      <c r="B5598" t="s">
        <v>37634</v>
      </c>
      <c r="C5598">
        <v>0.57640741837599996</v>
      </c>
      <c r="D5598">
        <v>0.99914797630499996</v>
      </c>
      <c r="E5598">
        <v>3.6840000000000002</v>
      </c>
    </row>
    <row r="5599" spans="1:5">
      <c r="A5599" t="s">
        <v>37629</v>
      </c>
      <c r="B5599" t="s">
        <v>37635</v>
      </c>
      <c r="C5599">
        <f>0.152925054283</f>
        <v>0.15292505428299999</v>
      </c>
      <c r="D5599">
        <v>0.99914797630499996</v>
      </c>
      <c r="E5599">
        <v>3.6840000000000002</v>
      </c>
    </row>
    <row r="5600" spans="1:5">
      <c r="A5600" t="s">
        <v>37629</v>
      </c>
      <c r="B5600" t="s">
        <v>37636</v>
      </c>
      <c r="C5600">
        <v>0.21670264877699999</v>
      </c>
      <c r="D5600">
        <v>0.99914797630499996</v>
      </c>
      <c r="E5600">
        <v>3.6840000000000002</v>
      </c>
    </row>
    <row r="5601" spans="1:5">
      <c r="A5601" t="s">
        <v>37629</v>
      </c>
      <c r="B5601" t="s">
        <v>37637</v>
      </c>
      <c r="C5601">
        <v>0.123980911497</v>
      </c>
      <c r="D5601">
        <v>0.99914797630499996</v>
      </c>
      <c r="E5601">
        <v>3.6840000000000002</v>
      </c>
    </row>
    <row r="5602" spans="1:5">
      <c r="A5602" t="s">
        <v>37629</v>
      </c>
      <c r="B5602" t="s">
        <v>37638</v>
      </c>
      <c r="C5602">
        <v>0</v>
      </c>
      <c r="D5602">
        <v>0.99914797630499996</v>
      </c>
      <c r="E5602">
        <v>3.6840000000000002</v>
      </c>
    </row>
    <row r="5603" spans="1:5">
      <c r="A5603" t="s">
        <v>37629</v>
      </c>
      <c r="B5603" t="s">
        <v>37639</v>
      </c>
      <c r="C5603">
        <f>0.756949743787</f>
        <v>0.75694974378699997</v>
      </c>
      <c r="D5603">
        <v>0.99914797630499996</v>
      </c>
      <c r="E5603">
        <v>3.6840000000000002</v>
      </c>
    </row>
    <row r="5604" spans="1:5">
      <c r="A5604" t="s">
        <v>37640</v>
      </c>
      <c r="B5604" t="s">
        <v>37641</v>
      </c>
      <c r="C5604">
        <v>0</v>
      </c>
      <c r="D5604">
        <v>0.60430467833900003</v>
      </c>
      <c r="E5604">
        <v>2.4</v>
      </c>
    </row>
    <row r="5605" spans="1:5">
      <c r="A5605" t="s">
        <v>37640</v>
      </c>
      <c r="B5605" t="s">
        <v>37642</v>
      </c>
      <c r="C5605">
        <v>0.29069467833899998</v>
      </c>
      <c r="D5605">
        <v>0.60430467833900003</v>
      </c>
      <c r="E5605">
        <v>2.4</v>
      </c>
    </row>
    <row r="5606" spans="1:5">
      <c r="A5606" t="s">
        <v>37640</v>
      </c>
      <c r="B5606" t="s">
        <v>37643</v>
      </c>
      <c r="C5606">
        <v>0</v>
      </c>
      <c r="D5606">
        <v>0.60430467833900003</v>
      </c>
      <c r="E5606">
        <v>2.4</v>
      </c>
    </row>
    <row r="5607" spans="1:5">
      <c r="A5607" t="s">
        <v>37640</v>
      </c>
      <c r="B5607" t="s">
        <v>37644</v>
      </c>
      <c r="C5607">
        <v>0</v>
      </c>
      <c r="D5607">
        <v>0.60430467833900003</v>
      </c>
      <c r="E5607">
        <v>2.4</v>
      </c>
    </row>
    <row r="5608" spans="1:5">
      <c r="A5608" t="s">
        <v>37645</v>
      </c>
      <c r="B5608" t="s">
        <v>27415</v>
      </c>
      <c r="C5608">
        <v>0.40313283339099998</v>
      </c>
      <c r="D5608">
        <v>0.56314283339100002</v>
      </c>
      <c r="E5608">
        <v>0.216</v>
      </c>
    </row>
    <row r="5609" spans="1:5">
      <c r="A5609" t="s">
        <v>37645</v>
      </c>
      <c r="B5609" t="s">
        <v>27414</v>
      </c>
      <c r="C5609">
        <f>0</f>
        <v>0</v>
      </c>
      <c r="D5609">
        <v>0.56314283339100002</v>
      </c>
      <c r="E5609">
        <v>0.216</v>
      </c>
    </row>
    <row r="5610" spans="1:5">
      <c r="A5610" t="s">
        <v>37646</v>
      </c>
      <c r="B5610" t="s">
        <v>4168</v>
      </c>
      <c r="C5610">
        <v>0.79165114594899999</v>
      </c>
      <c r="D5610">
        <v>0.91229095294499996</v>
      </c>
      <c r="E5610">
        <v>6.4260000000000002</v>
      </c>
    </row>
    <row r="5611" spans="1:5">
      <c r="A5611" t="s">
        <v>37646</v>
      </c>
      <c r="B5611" t="s">
        <v>4171</v>
      </c>
      <c r="C5611">
        <v>9.3622916320399999E-2</v>
      </c>
      <c r="D5611">
        <v>0.91229095294499996</v>
      </c>
      <c r="E5611">
        <v>6.4260000000000002</v>
      </c>
    </row>
    <row r="5612" spans="1:5">
      <c r="A5612" t="s">
        <v>37646</v>
      </c>
      <c r="B5612" t="s">
        <v>4169</v>
      </c>
      <c r="C5612">
        <v>0.28363529021799999</v>
      </c>
      <c r="D5612">
        <v>0.91229095294499996</v>
      </c>
      <c r="E5612">
        <v>6.4260000000000002</v>
      </c>
    </row>
    <row r="5613" spans="1:5">
      <c r="A5613" t="s">
        <v>37647</v>
      </c>
      <c r="B5613" t="s">
        <v>30593</v>
      </c>
      <c r="C5613">
        <v>0</v>
      </c>
      <c r="D5613" t="s">
        <v>106</v>
      </c>
      <c r="E5613">
        <v>23.754000000000001</v>
      </c>
    </row>
    <row r="5614" spans="1:5">
      <c r="A5614" t="s">
        <v>37647</v>
      </c>
      <c r="B5614" t="s">
        <v>30592</v>
      </c>
      <c r="C5614">
        <f>0</f>
        <v>0</v>
      </c>
      <c r="D5614" t="s">
        <v>106</v>
      </c>
      <c r="E5614">
        <v>23.754000000000001</v>
      </c>
    </row>
    <row r="5615" spans="1:5">
      <c r="A5615" t="s">
        <v>37647</v>
      </c>
      <c r="B5615" t="s">
        <v>30596</v>
      </c>
      <c r="C5615">
        <f>0</f>
        <v>0</v>
      </c>
      <c r="D5615" t="s">
        <v>106</v>
      </c>
      <c r="E5615">
        <v>23.754000000000001</v>
      </c>
    </row>
    <row r="5616" spans="1:5">
      <c r="A5616" t="s">
        <v>37647</v>
      </c>
      <c r="B5616" t="s">
        <v>30598</v>
      </c>
      <c r="C5616">
        <f>0</f>
        <v>0</v>
      </c>
      <c r="D5616" t="s">
        <v>106</v>
      </c>
      <c r="E5616">
        <v>23.754000000000001</v>
      </c>
    </row>
    <row r="5617" spans="1:5">
      <c r="A5617" t="s">
        <v>37648</v>
      </c>
      <c r="B5617" t="s">
        <v>37649</v>
      </c>
      <c r="C5617">
        <v>0.26366079291700001</v>
      </c>
      <c r="D5617">
        <v>0.98115603181800004</v>
      </c>
      <c r="E5617">
        <v>23.754000000000001</v>
      </c>
    </row>
    <row r="5618" spans="1:5">
      <c r="A5618" t="s">
        <v>37648</v>
      </c>
      <c r="B5618" t="s">
        <v>37650</v>
      </c>
      <c r="C5618">
        <v>9.8060435959099995E-2</v>
      </c>
      <c r="D5618">
        <v>0.98115603181800004</v>
      </c>
      <c r="E5618">
        <v>23.754000000000001</v>
      </c>
    </row>
    <row r="5619" spans="1:5">
      <c r="A5619" t="s">
        <v>37648</v>
      </c>
      <c r="B5619" t="s">
        <v>37651</v>
      </c>
      <c r="C5619">
        <f>0.289336333358</f>
        <v>0.28933633335800002</v>
      </c>
      <c r="D5619">
        <v>0.98115603181800004</v>
      </c>
      <c r="E5619">
        <v>23.754000000000001</v>
      </c>
    </row>
    <row r="5620" spans="1:5">
      <c r="A5620" t="s">
        <v>37648</v>
      </c>
      <c r="B5620" t="s">
        <v>37652</v>
      </c>
      <c r="C5620">
        <v>1.0298516824299999</v>
      </c>
      <c r="D5620">
        <v>0.98115603181800004</v>
      </c>
      <c r="E5620">
        <v>23.754000000000001</v>
      </c>
    </row>
    <row r="5621" spans="1:5">
      <c r="A5621" t="s">
        <v>37648</v>
      </c>
      <c r="B5621" t="s">
        <v>37653</v>
      </c>
      <c r="C5621">
        <v>0</v>
      </c>
      <c r="D5621">
        <v>0.98115603181800004</v>
      </c>
      <c r="E5621">
        <v>23.754000000000001</v>
      </c>
    </row>
    <row r="5622" spans="1:5">
      <c r="A5622" t="s">
        <v>37648</v>
      </c>
      <c r="B5622" t="s">
        <v>37654</v>
      </c>
      <c r="C5622">
        <f>0.652151967184</f>
        <v>0.65215196718400004</v>
      </c>
      <c r="D5622">
        <v>0.98115603181800004</v>
      </c>
      <c r="E5622">
        <v>23.754000000000001</v>
      </c>
    </row>
    <row r="5623" spans="1:5">
      <c r="A5623" t="s">
        <v>37655</v>
      </c>
      <c r="B5623" t="s">
        <v>8963</v>
      </c>
      <c r="C5623">
        <v>0.56413421281300002</v>
      </c>
      <c r="D5623">
        <v>0.98186279944699995</v>
      </c>
      <c r="E5623">
        <v>0.114</v>
      </c>
    </row>
    <row r="5624" spans="1:5">
      <c r="A5624" t="s">
        <v>37655</v>
      </c>
      <c r="B5624" t="s">
        <v>8962</v>
      </c>
      <c r="C5624">
        <v>0.33428492266600002</v>
      </c>
      <c r="D5624">
        <v>0.98186279944699995</v>
      </c>
      <c r="E5624">
        <v>0.114</v>
      </c>
    </row>
    <row r="5625" spans="1:5">
      <c r="A5625" t="s">
        <v>37655</v>
      </c>
      <c r="B5625" t="s">
        <v>8964</v>
      </c>
      <c r="C5625">
        <v>0.350667323679</v>
      </c>
      <c r="D5625">
        <v>0.98186279944699995</v>
      </c>
      <c r="E5625">
        <v>0.114</v>
      </c>
    </row>
    <row r="5626" spans="1:5">
      <c r="A5626" t="s">
        <v>37655</v>
      </c>
      <c r="B5626" t="s">
        <v>8960</v>
      </c>
      <c r="C5626">
        <f>0.720926765546</f>
        <v>0.72092676554599999</v>
      </c>
      <c r="D5626">
        <v>0.98186279944699995</v>
      </c>
      <c r="E5626">
        <v>0.114</v>
      </c>
    </row>
    <row r="5627" spans="1:5">
      <c r="A5627" t="s">
        <v>37655</v>
      </c>
      <c r="B5627" t="s">
        <v>8961</v>
      </c>
      <c r="C5627">
        <f>0.0837664965887</f>
        <v>8.3766496588700001E-2</v>
      </c>
      <c r="D5627">
        <v>0.98186279944699995</v>
      </c>
      <c r="E5627">
        <v>0.114</v>
      </c>
    </row>
    <row r="5628" spans="1:5">
      <c r="A5628" t="s">
        <v>37656</v>
      </c>
      <c r="B5628" t="s">
        <v>31138</v>
      </c>
      <c r="C5628">
        <f>0</f>
        <v>0</v>
      </c>
      <c r="D5628">
        <v>0.98157590278499995</v>
      </c>
      <c r="E5628">
        <v>15.125999999999999</v>
      </c>
    </row>
    <row r="5629" spans="1:5">
      <c r="A5629" t="s">
        <v>37656</v>
      </c>
      <c r="B5629" t="s">
        <v>31139</v>
      </c>
      <c r="C5629">
        <f>0.540576311144</f>
        <v>0.54057631114399995</v>
      </c>
      <c r="D5629">
        <v>0.98157590278499995</v>
      </c>
      <c r="E5629">
        <v>15.125999999999999</v>
      </c>
    </row>
    <row r="5630" spans="1:5">
      <c r="A5630" t="s">
        <v>37656</v>
      </c>
      <c r="B5630" t="s">
        <v>31144</v>
      </c>
      <c r="C5630">
        <v>0.49673273654099998</v>
      </c>
      <c r="D5630">
        <v>0.98157590278499995</v>
      </c>
      <c r="E5630">
        <v>15.125999999999999</v>
      </c>
    </row>
    <row r="5631" spans="1:5">
      <c r="A5631" t="s">
        <v>37656</v>
      </c>
      <c r="B5631" t="s">
        <v>31143</v>
      </c>
      <c r="C5631">
        <v>0.296706337125</v>
      </c>
      <c r="D5631">
        <v>0.98157590278499995</v>
      </c>
      <c r="E5631">
        <v>15.125999999999999</v>
      </c>
    </row>
    <row r="5632" spans="1:5">
      <c r="A5632" t="s">
        <v>37656</v>
      </c>
      <c r="B5632" t="s">
        <v>31141</v>
      </c>
      <c r="C5632">
        <f>0.184233640748</f>
        <v>0.184233640748</v>
      </c>
      <c r="D5632">
        <v>0.98157590278499995</v>
      </c>
      <c r="E5632">
        <v>15.125999999999999</v>
      </c>
    </row>
    <row r="5633" spans="1:5">
      <c r="A5633" t="s">
        <v>37657</v>
      </c>
      <c r="B5633" t="s">
        <v>8912</v>
      </c>
      <c r="C5633">
        <v>6.8221339308899995E-2</v>
      </c>
      <c r="D5633">
        <v>0.81878792006800005</v>
      </c>
      <c r="E5633">
        <v>24</v>
      </c>
    </row>
    <row r="5634" spans="1:5">
      <c r="A5634" t="s">
        <v>37657</v>
      </c>
      <c r="B5634" t="s">
        <v>8911</v>
      </c>
      <c r="C5634">
        <v>0.207720600955</v>
      </c>
      <c r="D5634">
        <v>0.81878792006800005</v>
      </c>
      <c r="E5634">
        <v>24</v>
      </c>
    </row>
    <row r="5635" spans="1:5">
      <c r="A5635" t="s">
        <v>37657</v>
      </c>
      <c r="B5635" t="s">
        <v>8914</v>
      </c>
      <c r="C5635">
        <v>0.46965035526799997</v>
      </c>
      <c r="D5635">
        <v>0.81878792006800005</v>
      </c>
      <c r="E5635">
        <v>24</v>
      </c>
    </row>
    <row r="5636" spans="1:5">
      <c r="A5636" t="s">
        <v>37657</v>
      </c>
      <c r="B5636" t="s">
        <v>8913</v>
      </c>
      <c r="C5636">
        <v>0</v>
      </c>
      <c r="D5636">
        <v>0.81878792006800005</v>
      </c>
      <c r="E5636">
        <v>24</v>
      </c>
    </row>
    <row r="5637" spans="1:5">
      <c r="A5637" t="s">
        <v>37658</v>
      </c>
      <c r="B5637" t="s">
        <v>30699</v>
      </c>
      <c r="C5637">
        <v>0</v>
      </c>
      <c r="D5637" t="s">
        <v>106</v>
      </c>
      <c r="E5637">
        <v>24</v>
      </c>
    </row>
    <row r="5638" spans="1:5">
      <c r="A5638" t="s">
        <v>37658</v>
      </c>
      <c r="B5638" t="s">
        <v>30692</v>
      </c>
      <c r="C5638">
        <v>0</v>
      </c>
      <c r="D5638" t="s">
        <v>106</v>
      </c>
      <c r="E5638">
        <v>24</v>
      </c>
    </row>
    <row r="5639" spans="1:5">
      <c r="A5639" t="s">
        <v>37658</v>
      </c>
      <c r="B5639" t="s">
        <v>30696</v>
      </c>
      <c r="C5639">
        <v>0</v>
      </c>
      <c r="D5639" t="s">
        <v>106</v>
      </c>
      <c r="E5639">
        <v>24</v>
      </c>
    </row>
    <row r="5640" spans="1:5">
      <c r="A5640" t="s">
        <v>37658</v>
      </c>
      <c r="B5640" t="s">
        <v>30705</v>
      </c>
      <c r="C5640">
        <f>0</f>
        <v>0</v>
      </c>
      <c r="D5640" t="s">
        <v>106</v>
      </c>
      <c r="E5640">
        <v>24</v>
      </c>
    </row>
    <row r="5641" spans="1:5">
      <c r="A5641" t="s">
        <v>37658</v>
      </c>
      <c r="B5641" t="s">
        <v>30701</v>
      </c>
      <c r="C5641">
        <f>0</f>
        <v>0</v>
      </c>
      <c r="D5641" t="s">
        <v>106</v>
      </c>
      <c r="E5641">
        <v>24</v>
      </c>
    </row>
    <row r="5642" spans="1:5">
      <c r="A5642" t="s">
        <v>37658</v>
      </c>
      <c r="B5642" t="s">
        <v>30700</v>
      </c>
      <c r="C5642">
        <v>0</v>
      </c>
      <c r="D5642" t="s">
        <v>106</v>
      </c>
      <c r="E5642">
        <v>24</v>
      </c>
    </row>
    <row r="5643" spans="1:5">
      <c r="A5643" t="s">
        <v>37659</v>
      </c>
      <c r="B5643" t="s">
        <v>7955</v>
      </c>
      <c r="C5643">
        <v>0.153535072818</v>
      </c>
      <c r="D5643">
        <v>0.79457592270499999</v>
      </c>
      <c r="E5643">
        <v>9.3179999999999996</v>
      </c>
    </row>
    <row r="5644" spans="1:5">
      <c r="A5644" t="s">
        <v>37659</v>
      </c>
      <c r="B5644" t="s">
        <v>7954</v>
      </c>
      <c r="C5644">
        <v>0</v>
      </c>
      <c r="D5644">
        <v>0.79457592270499999</v>
      </c>
      <c r="E5644">
        <v>9.3179999999999996</v>
      </c>
    </row>
    <row r="5645" spans="1:5">
      <c r="A5645" t="s">
        <v>37659</v>
      </c>
      <c r="B5645" t="s">
        <v>7963</v>
      </c>
      <c r="C5645">
        <f>0.348513549913</f>
        <v>0.34851354991299999</v>
      </c>
      <c r="D5645">
        <v>0.79457592270499999</v>
      </c>
      <c r="E5645">
        <v>9.3179999999999996</v>
      </c>
    </row>
    <row r="5646" spans="1:5">
      <c r="A5646" t="s">
        <v>37659</v>
      </c>
      <c r="B5646" t="s">
        <v>7961</v>
      </c>
      <c r="C5646">
        <f>0</f>
        <v>0</v>
      </c>
      <c r="D5646">
        <v>0.79457592270499999</v>
      </c>
      <c r="E5646">
        <v>9.3179999999999996</v>
      </c>
    </row>
    <row r="5647" spans="1:5">
      <c r="A5647" t="s">
        <v>37659</v>
      </c>
      <c r="B5647" t="s">
        <v>7969</v>
      </c>
      <c r="C5647">
        <f>0</f>
        <v>0</v>
      </c>
      <c r="D5647">
        <v>0.79457592270499999</v>
      </c>
      <c r="E5647">
        <v>9.3179999999999996</v>
      </c>
    </row>
    <row r="5648" spans="1:5">
      <c r="A5648" t="s">
        <v>37659</v>
      </c>
      <c r="B5648" t="s">
        <v>7960</v>
      </c>
      <c r="C5648">
        <v>0</v>
      </c>
      <c r="D5648">
        <v>0.79457592270499999</v>
      </c>
      <c r="E5648">
        <v>9.3179999999999996</v>
      </c>
    </row>
    <row r="5649" spans="1:5">
      <c r="A5649" t="s">
        <v>37659</v>
      </c>
      <c r="B5649" t="s">
        <v>7966</v>
      </c>
      <c r="C5649">
        <v>0</v>
      </c>
      <c r="D5649">
        <v>0.79457592270499999</v>
      </c>
      <c r="E5649">
        <v>9.3179999999999996</v>
      </c>
    </row>
    <row r="5650" spans="1:5">
      <c r="A5650" t="s">
        <v>37659</v>
      </c>
      <c r="B5650" t="s">
        <v>7959</v>
      </c>
      <c r="C5650">
        <v>0</v>
      </c>
      <c r="D5650">
        <v>0.79457592270499999</v>
      </c>
      <c r="E5650">
        <v>9.3179999999999996</v>
      </c>
    </row>
    <row r="5651" spans="1:5">
      <c r="A5651" t="s">
        <v>37659</v>
      </c>
      <c r="B5651" t="s">
        <v>7953</v>
      </c>
      <c r="C5651">
        <f>0</f>
        <v>0</v>
      </c>
      <c r="D5651">
        <v>0.79457592270499999</v>
      </c>
      <c r="E5651">
        <v>9.3179999999999996</v>
      </c>
    </row>
    <row r="5652" spans="1:5">
      <c r="A5652" t="s">
        <v>37660</v>
      </c>
      <c r="B5652" t="s">
        <v>16750</v>
      </c>
      <c r="C5652">
        <v>0.85479761283599998</v>
      </c>
      <c r="D5652">
        <v>0.99087289040500004</v>
      </c>
      <c r="E5652">
        <v>1.2E-2</v>
      </c>
    </row>
    <row r="5653" spans="1:5">
      <c r="A5653" t="s">
        <v>37660</v>
      </c>
      <c r="B5653" t="s">
        <v>16757</v>
      </c>
      <c r="C5653">
        <v>0.77452782720799995</v>
      </c>
      <c r="D5653">
        <v>0.99087289040500004</v>
      </c>
      <c r="E5653">
        <v>1.2E-2</v>
      </c>
    </row>
    <row r="5654" spans="1:5">
      <c r="A5654" t="s">
        <v>37660</v>
      </c>
      <c r="B5654" t="s">
        <v>16753</v>
      </c>
      <c r="C5654">
        <f>0.00936496495984</f>
        <v>9.3649649598400008E-3</v>
      </c>
      <c r="D5654">
        <v>0.99087289040500004</v>
      </c>
      <c r="E5654">
        <v>1.2E-2</v>
      </c>
    </row>
    <row r="5655" spans="1:5">
      <c r="A5655" t="s">
        <v>37660</v>
      </c>
      <c r="B5655" t="s">
        <v>16756</v>
      </c>
      <c r="C5655">
        <f>0.0200130844922</f>
        <v>2.00130844922E-2</v>
      </c>
      <c r="D5655">
        <v>0.99087289040500004</v>
      </c>
      <c r="E5655">
        <v>1.2E-2</v>
      </c>
    </row>
    <row r="5656" spans="1:5">
      <c r="A5656" t="s">
        <v>37660</v>
      </c>
      <c r="B5656" t="s">
        <v>16758</v>
      </c>
      <c r="C5656">
        <f>0.652133562698</f>
        <v>0.65213356269800005</v>
      </c>
      <c r="D5656">
        <v>0.99087289040500004</v>
      </c>
      <c r="E5656">
        <v>1.2E-2</v>
      </c>
    </row>
    <row r="5657" spans="1:5">
      <c r="A5657" t="s">
        <v>37660</v>
      </c>
      <c r="B5657" t="s">
        <v>16755</v>
      </c>
      <c r="C5657">
        <f>0.28528449115</f>
        <v>0.28528449114999999</v>
      </c>
      <c r="D5657">
        <v>0.99087289040500004</v>
      </c>
      <c r="E5657">
        <v>1.2E-2</v>
      </c>
    </row>
    <row r="5658" spans="1:5">
      <c r="A5658" t="s">
        <v>37661</v>
      </c>
      <c r="B5658" t="s">
        <v>11245</v>
      </c>
      <c r="C5658">
        <v>0.384577579788</v>
      </c>
      <c r="D5658">
        <v>0.99835989843399997</v>
      </c>
      <c r="E5658">
        <v>10.554</v>
      </c>
    </row>
    <row r="5659" spans="1:5">
      <c r="A5659" t="s">
        <v>37661</v>
      </c>
      <c r="B5659" t="s">
        <v>11255</v>
      </c>
      <c r="C5659">
        <v>0.21756465890599999</v>
      </c>
      <c r="D5659">
        <v>0.99835989843399997</v>
      </c>
      <c r="E5659">
        <v>10.554</v>
      </c>
    </row>
    <row r="5660" spans="1:5">
      <c r="A5660" t="s">
        <v>37661</v>
      </c>
      <c r="B5660" t="s">
        <v>11253</v>
      </c>
      <c r="C5660">
        <f>-1.04618264475</f>
        <v>-1.04618264475</v>
      </c>
      <c r="D5660">
        <v>0.99835989843399997</v>
      </c>
      <c r="E5660">
        <v>10.554</v>
      </c>
    </row>
    <row r="5661" spans="1:5">
      <c r="A5661" t="s">
        <v>37661</v>
      </c>
      <c r="B5661" t="s">
        <v>11247</v>
      </c>
      <c r="C5661">
        <v>0.16300293423699999</v>
      </c>
      <c r="D5661">
        <v>0.99835989843399997</v>
      </c>
      <c r="E5661">
        <v>10.554</v>
      </c>
    </row>
    <row r="5662" spans="1:5">
      <c r="A5662" t="s">
        <v>37661</v>
      </c>
      <c r="B5662" t="s">
        <v>11250</v>
      </c>
      <c r="C5662">
        <f>0.918581821952</f>
        <v>0.918581821952</v>
      </c>
      <c r="D5662">
        <v>0.99835989843399997</v>
      </c>
      <c r="E5662">
        <v>10.554</v>
      </c>
    </row>
    <row r="5663" spans="1:5">
      <c r="A5663" t="s">
        <v>37661</v>
      </c>
      <c r="B5663" t="s">
        <v>11257</v>
      </c>
      <c r="C5663">
        <v>7.0273150089899997E-2</v>
      </c>
      <c r="D5663">
        <v>0.99835989843399997</v>
      </c>
      <c r="E5663">
        <v>10.554</v>
      </c>
    </row>
    <row r="5664" spans="1:5">
      <c r="A5664" t="s">
        <v>37662</v>
      </c>
      <c r="B5664" t="s">
        <v>37663</v>
      </c>
      <c r="C5664">
        <v>0.51580577798500005</v>
      </c>
      <c r="D5664">
        <v>0.90159172994400005</v>
      </c>
      <c r="E5664">
        <v>4.9080000000000004</v>
      </c>
    </row>
    <row r="5665" spans="1:5">
      <c r="A5665" t="s">
        <v>37662</v>
      </c>
      <c r="B5665" t="s">
        <v>37664</v>
      </c>
      <c r="C5665">
        <f>0</f>
        <v>0</v>
      </c>
      <c r="D5665">
        <v>0.90159172994400005</v>
      </c>
      <c r="E5665">
        <v>4.9080000000000004</v>
      </c>
    </row>
    <row r="5666" spans="1:5">
      <c r="A5666" t="s">
        <v>37662</v>
      </c>
      <c r="B5666" t="s">
        <v>37665</v>
      </c>
      <c r="C5666">
        <f>0</f>
        <v>0</v>
      </c>
      <c r="D5666">
        <v>0.90159172994400005</v>
      </c>
      <c r="E5666">
        <v>4.9080000000000004</v>
      </c>
    </row>
    <row r="5667" spans="1:5">
      <c r="A5667" t="s">
        <v>37662</v>
      </c>
      <c r="B5667" t="s">
        <v>37666</v>
      </c>
      <c r="C5667">
        <v>0</v>
      </c>
      <c r="D5667">
        <v>0.90159172994400005</v>
      </c>
      <c r="E5667">
        <v>4.9080000000000004</v>
      </c>
    </row>
    <row r="5668" spans="1:5">
      <c r="A5668" t="s">
        <v>37662</v>
      </c>
      <c r="B5668" t="s">
        <v>37667</v>
      </c>
      <c r="C5668">
        <f>0.0284901393237</f>
        <v>2.8490139323699998E-2</v>
      </c>
      <c r="D5668">
        <v>0.90159172994400005</v>
      </c>
      <c r="E5668">
        <v>4.9080000000000004</v>
      </c>
    </row>
    <row r="5669" spans="1:5">
      <c r="A5669" t="s">
        <v>37662</v>
      </c>
      <c r="B5669" t="s">
        <v>37668</v>
      </c>
      <c r="C5669">
        <v>9.8556633654799997E-2</v>
      </c>
      <c r="D5669">
        <v>0.90159172994400005</v>
      </c>
      <c r="E5669">
        <v>4.9080000000000004</v>
      </c>
    </row>
    <row r="5670" spans="1:5">
      <c r="A5670" t="s">
        <v>37662</v>
      </c>
      <c r="B5670" t="s">
        <v>37669</v>
      </c>
      <c r="C5670">
        <f>0.385640408809</f>
        <v>0.38564040880900002</v>
      </c>
      <c r="D5670">
        <v>0.90159172994400005</v>
      </c>
      <c r="E5670">
        <v>4.9080000000000004</v>
      </c>
    </row>
    <row r="5671" spans="1:5">
      <c r="A5671" t="s">
        <v>37670</v>
      </c>
      <c r="B5671" t="s">
        <v>26476</v>
      </c>
      <c r="C5671">
        <v>0.31877943676100001</v>
      </c>
      <c r="D5671">
        <v>0.81352530218999997</v>
      </c>
      <c r="E5671">
        <v>10.08</v>
      </c>
    </row>
    <row r="5672" spans="1:5">
      <c r="A5672" t="s">
        <v>37670</v>
      </c>
      <c r="B5672" t="s">
        <v>26477</v>
      </c>
      <c r="C5672">
        <v>0.526344752019</v>
      </c>
      <c r="D5672">
        <v>0.81352530218999997</v>
      </c>
      <c r="E5672">
        <v>10.08</v>
      </c>
    </row>
    <row r="5673" spans="1:5">
      <c r="A5673" t="s">
        <v>37671</v>
      </c>
      <c r="B5673" t="s">
        <v>37672</v>
      </c>
      <c r="C5673">
        <v>0</v>
      </c>
      <c r="D5673">
        <v>0.99995490690599997</v>
      </c>
      <c r="E5673">
        <v>8.8680000000000003</v>
      </c>
    </row>
    <row r="5674" spans="1:5">
      <c r="A5674" t="s">
        <v>37671</v>
      </c>
      <c r="B5674" t="s">
        <v>37673</v>
      </c>
      <c r="C5674">
        <v>0.23180397666300001</v>
      </c>
      <c r="D5674">
        <v>0.99995490690599997</v>
      </c>
      <c r="E5674">
        <v>8.8680000000000003</v>
      </c>
    </row>
    <row r="5675" spans="1:5">
      <c r="A5675" t="s">
        <v>37671</v>
      </c>
      <c r="B5675" t="s">
        <v>37674</v>
      </c>
      <c r="C5675">
        <v>0.245957795432</v>
      </c>
      <c r="D5675">
        <v>0.99995490690599997</v>
      </c>
      <c r="E5675">
        <v>8.8680000000000003</v>
      </c>
    </row>
    <row r="5676" spans="1:5">
      <c r="A5676" t="s">
        <v>37671</v>
      </c>
      <c r="B5676" t="s">
        <v>37675</v>
      </c>
      <c r="C5676">
        <v>0</v>
      </c>
      <c r="D5676">
        <v>0.99995490690599997</v>
      </c>
      <c r="E5676">
        <v>8.8680000000000003</v>
      </c>
    </row>
    <row r="5677" spans="1:5">
      <c r="A5677" t="s">
        <v>37671</v>
      </c>
      <c r="B5677" t="s">
        <v>37676</v>
      </c>
      <c r="C5677">
        <v>0</v>
      </c>
      <c r="D5677">
        <v>0.99995490690599997</v>
      </c>
      <c r="E5677">
        <v>8.8680000000000003</v>
      </c>
    </row>
    <row r="5678" spans="1:5">
      <c r="A5678" t="s">
        <v>37671</v>
      </c>
      <c r="B5678" t="s">
        <v>37677</v>
      </c>
      <c r="C5678">
        <v>0</v>
      </c>
      <c r="D5678">
        <v>0.99995490690599997</v>
      </c>
      <c r="E5678">
        <v>8.8680000000000003</v>
      </c>
    </row>
    <row r="5679" spans="1:5">
      <c r="A5679" t="s">
        <v>37671</v>
      </c>
      <c r="B5679" t="s">
        <v>37678</v>
      </c>
      <c r="C5679">
        <v>0</v>
      </c>
      <c r="D5679">
        <v>0.99995490690599997</v>
      </c>
      <c r="E5679">
        <v>8.8680000000000003</v>
      </c>
    </row>
    <row r="5680" spans="1:5">
      <c r="A5680" t="s">
        <v>37671</v>
      </c>
      <c r="B5680" t="s">
        <v>37679</v>
      </c>
      <c r="C5680">
        <v>0.123201151223</v>
      </c>
      <c r="D5680">
        <v>0.99995490690599997</v>
      </c>
      <c r="E5680">
        <v>8.8680000000000003</v>
      </c>
    </row>
    <row r="5681" spans="1:5">
      <c r="A5681" t="s">
        <v>37671</v>
      </c>
      <c r="B5681" t="s">
        <v>37680</v>
      </c>
      <c r="C5681">
        <v>0</v>
      </c>
      <c r="D5681">
        <v>0.99995490690599997</v>
      </c>
      <c r="E5681">
        <v>8.8680000000000003</v>
      </c>
    </row>
    <row r="5682" spans="1:5">
      <c r="A5682" t="s">
        <v>37671</v>
      </c>
      <c r="B5682" t="s">
        <v>37681</v>
      </c>
      <c r="C5682">
        <f>0</f>
        <v>0</v>
      </c>
      <c r="D5682">
        <v>0.99995490690599997</v>
      </c>
      <c r="E5682">
        <v>8.8680000000000003</v>
      </c>
    </row>
    <row r="5683" spans="1:5">
      <c r="A5683" t="s">
        <v>37671</v>
      </c>
      <c r="B5683" t="s">
        <v>37682</v>
      </c>
      <c r="C5683">
        <f>0</f>
        <v>0</v>
      </c>
      <c r="D5683">
        <v>0.99995490690599997</v>
      </c>
      <c r="E5683">
        <v>8.8680000000000003</v>
      </c>
    </row>
    <row r="5684" spans="1:5">
      <c r="A5684" t="s">
        <v>37671</v>
      </c>
      <c r="B5684" t="s">
        <v>37683</v>
      </c>
      <c r="C5684">
        <v>4.0071485513900003E-2</v>
      </c>
      <c r="D5684">
        <v>0.99995490690599997</v>
      </c>
      <c r="E5684">
        <v>8.8680000000000003</v>
      </c>
    </row>
    <row r="5685" spans="1:5">
      <c r="A5685" t="s">
        <v>37671</v>
      </c>
      <c r="B5685" t="s">
        <v>37684</v>
      </c>
      <c r="C5685">
        <f>0</f>
        <v>0</v>
      </c>
      <c r="D5685">
        <v>0.99995490690599997</v>
      </c>
      <c r="E5685">
        <v>8.8680000000000003</v>
      </c>
    </row>
    <row r="5686" spans="1:5">
      <c r="A5686" t="s">
        <v>37671</v>
      </c>
      <c r="B5686" t="s">
        <v>37685</v>
      </c>
      <c r="C5686">
        <f>0.196995405692</f>
        <v>0.196995405692</v>
      </c>
      <c r="D5686">
        <v>0.99995490690599997</v>
      </c>
      <c r="E5686">
        <v>8.8680000000000003</v>
      </c>
    </row>
    <row r="5687" spans="1:5">
      <c r="A5687" t="s">
        <v>37671</v>
      </c>
      <c r="B5687" t="s">
        <v>37686</v>
      </c>
      <c r="C5687">
        <v>0</v>
      </c>
      <c r="D5687">
        <v>0.99995490690599997</v>
      </c>
      <c r="E5687">
        <v>8.8680000000000003</v>
      </c>
    </row>
    <row r="5688" spans="1:5">
      <c r="A5688" t="s">
        <v>37671</v>
      </c>
      <c r="B5688" t="s">
        <v>37687</v>
      </c>
      <c r="C5688">
        <v>0.65313576317800004</v>
      </c>
      <c r="D5688">
        <v>0.99995490690599997</v>
      </c>
      <c r="E5688">
        <v>8.8680000000000003</v>
      </c>
    </row>
    <row r="5689" spans="1:5">
      <c r="A5689" t="s">
        <v>37671</v>
      </c>
      <c r="B5689" t="s">
        <v>37688</v>
      </c>
      <c r="C5689">
        <f>0.36938747568</f>
        <v>0.36938747568000002</v>
      </c>
      <c r="D5689">
        <v>0.99995490690599997</v>
      </c>
      <c r="E5689">
        <v>8.8680000000000003</v>
      </c>
    </row>
    <row r="5690" spans="1:5">
      <c r="A5690" t="s">
        <v>37671</v>
      </c>
      <c r="B5690" t="s">
        <v>37689</v>
      </c>
      <c r="C5690">
        <v>9.3949671555299992E-3</v>
      </c>
      <c r="D5690">
        <v>0.99995490690599997</v>
      </c>
      <c r="E5690">
        <v>8.8680000000000003</v>
      </c>
    </row>
    <row r="5691" spans="1:5">
      <c r="A5691" t="s">
        <v>37671</v>
      </c>
      <c r="B5691" t="s">
        <v>37690</v>
      </c>
      <c r="C5691">
        <f>0</f>
        <v>0</v>
      </c>
      <c r="D5691">
        <v>0.99995490690599997</v>
      </c>
      <c r="E5691">
        <v>8.8680000000000003</v>
      </c>
    </row>
    <row r="5692" spans="1:5">
      <c r="A5692" t="s">
        <v>37671</v>
      </c>
      <c r="B5692" t="s">
        <v>37691</v>
      </c>
      <c r="C5692">
        <f>0</f>
        <v>0</v>
      </c>
      <c r="D5692">
        <v>0.99995490690599997</v>
      </c>
      <c r="E5692">
        <v>8.8680000000000003</v>
      </c>
    </row>
    <row r="5693" spans="1:5">
      <c r="A5693" t="s">
        <v>37692</v>
      </c>
      <c r="B5693" t="s">
        <v>6657</v>
      </c>
      <c r="C5693">
        <v>0.96100609967899997</v>
      </c>
      <c r="D5693">
        <v>0.99999945185500005</v>
      </c>
      <c r="E5693">
        <v>2.802</v>
      </c>
    </row>
    <row r="5694" spans="1:5">
      <c r="A5694" t="s">
        <v>37692</v>
      </c>
      <c r="B5694" t="s">
        <v>6665</v>
      </c>
      <c r="C5694">
        <v>7.8235034569099998E-2</v>
      </c>
      <c r="D5694">
        <v>0.99999945185500005</v>
      </c>
      <c r="E5694">
        <v>2.802</v>
      </c>
    </row>
    <row r="5695" spans="1:5">
      <c r="A5695" t="s">
        <v>37692</v>
      </c>
      <c r="B5695" t="s">
        <v>6667</v>
      </c>
      <c r="C5695">
        <v>0.33990057079199998</v>
      </c>
      <c r="D5695">
        <v>0.99999945185500005</v>
      </c>
      <c r="E5695">
        <v>2.802</v>
      </c>
    </row>
    <row r="5696" spans="1:5">
      <c r="A5696" t="s">
        <v>37692</v>
      </c>
      <c r="B5696" t="s">
        <v>6660</v>
      </c>
      <c r="C5696">
        <f>0.484165250629</f>
        <v>0.48416525062900001</v>
      </c>
      <c r="D5696">
        <v>0.99999945185500005</v>
      </c>
      <c r="E5696">
        <v>2.802</v>
      </c>
    </row>
    <row r="5697" spans="1:5">
      <c r="A5697" t="s">
        <v>37692</v>
      </c>
      <c r="B5697" t="s">
        <v>6662</v>
      </c>
      <c r="C5697">
        <f>0.210971122921</f>
        <v>0.21097112292100001</v>
      </c>
      <c r="D5697">
        <v>0.99999945185500005</v>
      </c>
      <c r="E5697">
        <v>2.802</v>
      </c>
    </row>
    <row r="5698" spans="1:5">
      <c r="A5698" t="s">
        <v>37692</v>
      </c>
      <c r="B5698" t="s">
        <v>6663</v>
      </c>
      <c r="C5698">
        <f>0.179722939274</f>
        <v>0.17972293927399999</v>
      </c>
      <c r="D5698">
        <v>0.99999945185500005</v>
      </c>
      <c r="E5698">
        <v>2.802</v>
      </c>
    </row>
    <row r="5699" spans="1:5">
      <c r="A5699" t="s">
        <v>37692</v>
      </c>
      <c r="B5699" t="s">
        <v>6666</v>
      </c>
      <c r="C5699">
        <v>0.70581853427499996</v>
      </c>
      <c r="D5699">
        <v>0.99999945185500005</v>
      </c>
      <c r="E5699">
        <v>2.802</v>
      </c>
    </row>
    <row r="5700" spans="1:5">
      <c r="A5700" t="s">
        <v>37692</v>
      </c>
      <c r="B5700" t="s">
        <v>6661</v>
      </c>
      <c r="C5700">
        <f>0.746463603176</f>
        <v>0.74646360317600002</v>
      </c>
      <c r="D5700">
        <v>0.99999945185500005</v>
      </c>
      <c r="E5700">
        <v>2.802</v>
      </c>
    </row>
    <row r="5701" spans="1:5">
      <c r="A5701" t="s">
        <v>37692</v>
      </c>
      <c r="B5701" t="s">
        <v>6668</v>
      </c>
      <c r="C5701">
        <v>0.95784062861300001</v>
      </c>
      <c r="D5701">
        <v>0.99999945185500005</v>
      </c>
      <c r="E5701">
        <v>2.802</v>
      </c>
    </row>
    <row r="5702" spans="1:5">
      <c r="A5702" t="s">
        <v>37693</v>
      </c>
      <c r="B5702" t="s">
        <v>19027</v>
      </c>
      <c r="C5702">
        <f>0.756258192149</f>
        <v>0.75625819214900003</v>
      </c>
      <c r="D5702">
        <v>0.97495517443799995</v>
      </c>
      <c r="E5702">
        <v>9.6180000000000003</v>
      </c>
    </row>
    <row r="5703" spans="1:5">
      <c r="A5703" t="s">
        <v>37693</v>
      </c>
      <c r="B5703" t="s">
        <v>19017</v>
      </c>
      <c r="C5703">
        <f>0.450693639814</f>
        <v>0.45069363981400001</v>
      </c>
      <c r="D5703">
        <v>0.97495517443799995</v>
      </c>
      <c r="E5703">
        <v>9.6180000000000003</v>
      </c>
    </row>
    <row r="5704" spans="1:5">
      <c r="A5704" t="s">
        <v>37693</v>
      </c>
      <c r="B5704" t="s">
        <v>19019</v>
      </c>
      <c r="C5704">
        <f>0.0415983842681</f>
        <v>4.1598384268100003E-2</v>
      </c>
      <c r="D5704">
        <v>0.97495517443799995</v>
      </c>
      <c r="E5704">
        <v>9.6180000000000003</v>
      </c>
    </row>
    <row r="5705" spans="1:5">
      <c r="A5705" t="s">
        <v>37693</v>
      </c>
      <c r="B5705" t="s">
        <v>19023</v>
      </c>
      <c r="C5705">
        <f>0.596492084209</f>
        <v>0.59649208420900002</v>
      </c>
      <c r="D5705">
        <v>0.97495517443799995</v>
      </c>
      <c r="E5705">
        <v>9.6180000000000003</v>
      </c>
    </row>
    <row r="5706" spans="1:5">
      <c r="A5706" t="s">
        <v>37694</v>
      </c>
      <c r="B5706" t="s">
        <v>1453</v>
      </c>
      <c r="C5706">
        <f>0</f>
        <v>0</v>
      </c>
      <c r="D5706" t="s">
        <v>106</v>
      </c>
      <c r="E5706">
        <v>5.4660000000000002</v>
      </c>
    </row>
    <row r="5707" spans="1:5">
      <c r="A5707" t="s">
        <v>37694</v>
      </c>
      <c r="B5707" t="s">
        <v>1459</v>
      </c>
      <c r="C5707">
        <f>0</f>
        <v>0</v>
      </c>
      <c r="D5707" t="s">
        <v>106</v>
      </c>
      <c r="E5707">
        <v>5.4660000000000002</v>
      </c>
    </row>
    <row r="5708" spans="1:5">
      <c r="A5708" t="s">
        <v>37694</v>
      </c>
      <c r="B5708" t="s">
        <v>1457</v>
      </c>
      <c r="C5708">
        <f>0</f>
        <v>0</v>
      </c>
      <c r="D5708" t="s">
        <v>106</v>
      </c>
      <c r="E5708">
        <v>5.4660000000000002</v>
      </c>
    </row>
    <row r="5709" spans="1:5">
      <c r="A5709" t="s">
        <v>37694</v>
      </c>
      <c r="B5709" t="s">
        <v>1456</v>
      </c>
      <c r="C5709">
        <f>0</f>
        <v>0</v>
      </c>
      <c r="D5709" t="s">
        <v>106</v>
      </c>
      <c r="E5709">
        <v>5.4660000000000002</v>
      </c>
    </row>
    <row r="5710" spans="1:5">
      <c r="A5710" t="s">
        <v>37695</v>
      </c>
      <c r="B5710" t="s">
        <v>8036</v>
      </c>
      <c r="C5710">
        <v>0</v>
      </c>
      <c r="D5710" t="s">
        <v>106</v>
      </c>
      <c r="E5710">
        <v>13.452</v>
      </c>
    </row>
    <row r="5711" spans="1:5">
      <c r="A5711" t="s">
        <v>37695</v>
      </c>
      <c r="B5711" t="s">
        <v>8041</v>
      </c>
      <c r="C5711">
        <f>0</f>
        <v>0</v>
      </c>
      <c r="D5711" t="s">
        <v>106</v>
      </c>
      <c r="E5711">
        <v>13.452</v>
      </c>
    </row>
    <row r="5712" spans="1:5">
      <c r="A5712" t="s">
        <v>37695</v>
      </c>
      <c r="B5712" t="s">
        <v>8042</v>
      </c>
      <c r="C5712">
        <f>0</f>
        <v>0</v>
      </c>
      <c r="D5712" t="s">
        <v>106</v>
      </c>
      <c r="E5712">
        <v>13.452</v>
      </c>
    </row>
    <row r="5713" spans="1:5">
      <c r="A5713" t="s">
        <v>37695</v>
      </c>
      <c r="B5713" t="s">
        <v>8039</v>
      </c>
      <c r="C5713">
        <v>0</v>
      </c>
      <c r="D5713" t="s">
        <v>106</v>
      </c>
      <c r="E5713">
        <v>13.452</v>
      </c>
    </row>
    <row r="5714" spans="1:5">
      <c r="A5714" t="s">
        <v>37695</v>
      </c>
      <c r="B5714" t="s">
        <v>8043</v>
      </c>
      <c r="C5714">
        <f>0</f>
        <v>0</v>
      </c>
      <c r="D5714" t="s">
        <v>106</v>
      </c>
      <c r="E5714">
        <v>13.452</v>
      </c>
    </row>
    <row r="5715" spans="1:5">
      <c r="A5715" t="s">
        <v>37695</v>
      </c>
      <c r="B5715" t="s">
        <v>8037</v>
      </c>
      <c r="C5715">
        <v>0</v>
      </c>
      <c r="D5715" t="s">
        <v>106</v>
      </c>
      <c r="E5715">
        <v>13.452</v>
      </c>
    </row>
    <row r="5716" spans="1:5">
      <c r="A5716" t="s">
        <v>37696</v>
      </c>
      <c r="B5716" t="s">
        <v>37697</v>
      </c>
      <c r="C5716">
        <f>0</f>
        <v>0</v>
      </c>
      <c r="D5716">
        <v>0.83588997243999996</v>
      </c>
      <c r="E5716">
        <v>4.5839999999999996</v>
      </c>
    </row>
    <row r="5717" spans="1:5">
      <c r="A5717" t="s">
        <v>37696</v>
      </c>
      <c r="B5717" t="s">
        <v>37698</v>
      </c>
      <c r="C5717">
        <v>0</v>
      </c>
      <c r="D5717">
        <v>0.83588997243999996</v>
      </c>
      <c r="E5717">
        <v>4.5839999999999996</v>
      </c>
    </row>
    <row r="5718" spans="1:5">
      <c r="A5718" t="s">
        <v>37696</v>
      </c>
      <c r="B5718" t="s">
        <v>37699</v>
      </c>
      <c r="C5718">
        <f>0</f>
        <v>0</v>
      </c>
      <c r="D5718">
        <v>0.83588997243999996</v>
      </c>
      <c r="E5718">
        <v>4.5839999999999996</v>
      </c>
    </row>
    <row r="5719" spans="1:5">
      <c r="A5719" t="s">
        <v>37696</v>
      </c>
      <c r="B5719" t="s">
        <v>37700</v>
      </c>
      <c r="C5719">
        <v>0.20403805879100001</v>
      </c>
      <c r="D5719">
        <v>0.83588997243999996</v>
      </c>
      <c r="E5719">
        <v>4.5839999999999996</v>
      </c>
    </row>
    <row r="5720" spans="1:5">
      <c r="A5720" t="s">
        <v>37696</v>
      </c>
      <c r="B5720" t="s">
        <v>37701</v>
      </c>
      <c r="C5720">
        <v>0.18481025922700001</v>
      </c>
      <c r="D5720">
        <v>0.83588997243999996</v>
      </c>
      <c r="E5720">
        <v>4.5839999999999996</v>
      </c>
    </row>
    <row r="5721" spans="1:5">
      <c r="A5721" t="s">
        <v>37696</v>
      </c>
      <c r="B5721" t="s">
        <v>37702</v>
      </c>
      <c r="C5721">
        <f>0.125489781583</f>
        <v>0.125489781583</v>
      </c>
      <c r="D5721">
        <v>0.83588997243999996</v>
      </c>
      <c r="E5721">
        <v>4.5839999999999996</v>
      </c>
    </row>
    <row r="5722" spans="1:5">
      <c r="A5722" t="s">
        <v>37696</v>
      </c>
      <c r="B5722" t="s">
        <v>37703</v>
      </c>
      <c r="C5722">
        <v>0</v>
      </c>
      <c r="D5722">
        <v>0.83588997243999996</v>
      </c>
      <c r="E5722">
        <v>4.5839999999999996</v>
      </c>
    </row>
    <row r="5723" spans="1:5">
      <c r="A5723" t="s">
        <v>37696</v>
      </c>
      <c r="B5723" t="s">
        <v>37704</v>
      </c>
      <c r="C5723">
        <f>0.268423784484</f>
        <v>0.26842378448400001</v>
      </c>
      <c r="D5723">
        <v>0.83588997243999996</v>
      </c>
      <c r="E5723">
        <v>4.5839999999999996</v>
      </c>
    </row>
    <row r="5724" spans="1:5">
      <c r="A5724" t="s">
        <v>37696</v>
      </c>
      <c r="B5724" t="s">
        <v>37705</v>
      </c>
      <c r="C5724">
        <v>0</v>
      </c>
      <c r="D5724">
        <v>0.83588997243999996</v>
      </c>
      <c r="E5724">
        <v>4.5839999999999996</v>
      </c>
    </row>
    <row r="5725" spans="1:5">
      <c r="A5725" t="s">
        <v>37696</v>
      </c>
      <c r="B5725" t="s">
        <v>37706</v>
      </c>
      <c r="C5725">
        <v>0</v>
      </c>
      <c r="D5725">
        <v>0.83588997243999996</v>
      </c>
      <c r="E5725">
        <v>4.5839999999999996</v>
      </c>
    </row>
    <row r="5726" spans="1:5">
      <c r="A5726" t="s">
        <v>37707</v>
      </c>
      <c r="B5726" t="s">
        <v>23885</v>
      </c>
      <c r="C5726">
        <v>1.94550425866</v>
      </c>
      <c r="D5726">
        <v>0.92258316654899997</v>
      </c>
      <c r="E5726">
        <v>24</v>
      </c>
    </row>
    <row r="5727" spans="1:5">
      <c r="A5727" t="s">
        <v>37707</v>
      </c>
      <c r="B5727" t="s">
        <v>23877</v>
      </c>
      <c r="C5727">
        <f>-2.02929784873</f>
        <v>-2.0292978487300002</v>
      </c>
      <c r="D5727">
        <v>0.92258316654899997</v>
      </c>
      <c r="E5727">
        <v>24</v>
      </c>
    </row>
    <row r="5728" spans="1:5">
      <c r="A5728" t="s">
        <v>37707</v>
      </c>
      <c r="B5728" t="s">
        <v>37708</v>
      </c>
      <c r="C5728">
        <f>0.619496487971</f>
        <v>0.61949648797099999</v>
      </c>
      <c r="D5728">
        <v>0.92258316654899997</v>
      </c>
      <c r="E5728">
        <v>24</v>
      </c>
    </row>
    <row r="5729" spans="1:5">
      <c r="A5729" t="s">
        <v>37709</v>
      </c>
      <c r="B5729" t="s">
        <v>37710</v>
      </c>
      <c r="C5729">
        <f>0</f>
        <v>0</v>
      </c>
      <c r="D5729">
        <v>0.86582324322100002</v>
      </c>
      <c r="E5729">
        <v>6.4260000000000002</v>
      </c>
    </row>
    <row r="5730" spans="1:5">
      <c r="A5730" t="s">
        <v>37709</v>
      </c>
      <c r="B5730" t="s">
        <v>37711</v>
      </c>
      <c r="C5730">
        <f>0.736213243221</f>
        <v>0.73621324322100001</v>
      </c>
      <c r="D5730">
        <v>0.86582324322100002</v>
      </c>
      <c r="E5730">
        <v>6.4260000000000002</v>
      </c>
    </row>
    <row r="5731" spans="1:5">
      <c r="A5731" t="s">
        <v>37709</v>
      </c>
      <c r="B5731" t="s">
        <v>37712</v>
      </c>
      <c r="C5731">
        <v>0</v>
      </c>
      <c r="D5731">
        <v>0.86582324322100002</v>
      </c>
      <c r="E5731">
        <v>6.4260000000000002</v>
      </c>
    </row>
    <row r="5732" spans="1:5">
      <c r="A5732" t="s">
        <v>37713</v>
      </c>
      <c r="B5732" t="s">
        <v>10852</v>
      </c>
      <c r="C5732">
        <v>0.44196855178400002</v>
      </c>
      <c r="D5732">
        <v>0.712378551784</v>
      </c>
      <c r="E5732">
        <v>0.73799999999999999</v>
      </c>
    </row>
    <row r="5733" spans="1:5">
      <c r="A5733" t="s">
        <v>37713</v>
      </c>
      <c r="B5733" t="s">
        <v>10855</v>
      </c>
      <c r="C5733">
        <v>0</v>
      </c>
      <c r="D5733">
        <v>0.712378551784</v>
      </c>
      <c r="E5733">
        <v>0.73799999999999999</v>
      </c>
    </row>
    <row r="5734" spans="1:5">
      <c r="A5734" t="s">
        <v>37713</v>
      </c>
      <c r="B5734" t="s">
        <v>10854</v>
      </c>
      <c r="C5734">
        <f>0</f>
        <v>0</v>
      </c>
      <c r="D5734">
        <v>0.712378551784</v>
      </c>
      <c r="E5734">
        <v>0.73799999999999999</v>
      </c>
    </row>
    <row r="5735" spans="1:5">
      <c r="A5735" t="s">
        <v>37713</v>
      </c>
      <c r="B5735" t="s">
        <v>10849</v>
      </c>
      <c r="C5735">
        <v>0</v>
      </c>
      <c r="D5735">
        <v>0.712378551784</v>
      </c>
      <c r="E5735">
        <v>0.73799999999999999</v>
      </c>
    </row>
    <row r="5736" spans="1:5">
      <c r="A5736" t="s">
        <v>37714</v>
      </c>
      <c r="B5736" t="s">
        <v>13651</v>
      </c>
      <c r="C5736">
        <v>0</v>
      </c>
      <c r="D5736">
        <v>0.96950136566099998</v>
      </c>
      <c r="E5736">
        <v>5.2380000000000004</v>
      </c>
    </row>
    <row r="5737" spans="1:5">
      <c r="A5737" t="s">
        <v>37714</v>
      </c>
      <c r="B5737" t="s">
        <v>13657</v>
      </c>
      <c r="C5737">
        <v>0.95305184249899999</v>
      </c>
      <c r="D5737">
        <v>0.96950136566099998</v>
      </c>
      <c r="E5737">
        <v>5.2380000000000004</v>
      </c>
    </row>
    <row r="5738" spans="1:5">
      <c r="A5738" t="s">
        <v>37714</v>
      </c>
      <c r="B5738" t="s">
        <v>13652</v>
      </c>
      <c r="C5738">
        <f>0.0172062554504</f>
        <v>1.7206255450399999E-2</v>
      </c>
      <c r="D5738">
        <v>0.96950136566099998</v>
      </c>
      <c r="E5738">
        <v>5.2380000000000004</v>
      </c>
    </row>
    <row r="5739" spans="1:5">
      <c r="A5739" t="s">
        <v>37714</v>
      </c>
      <c r="B5739" t="s">
        <v>13653</v>
      </c>
      <c r="C5739">
        <f>0.039943458595</f>
        <v>3.9943458595000002E-2</v>
      </c>
      <c r="D5739">
        <v>0.96950136566099998</v>
      </c>
      <c r="E5739">
        <v>5.2380000000000004</v>
      </c>
    </row>
    <row r="5740" spans="1:5">
      <c r="A5740" t="s">
        <v>37714</v>
      </c>
      <c r="B5740" t="s">
        <v>13656</v>
      </c>
      <c r="C5740">
        <v>0.45642410824899998</v>
      </c>
      <c r="D5740">
        <v>0.96950136566099998</v>
      </c>
      <c r="E5740">
        <v>5.2380000000000004</v>
      </c>
    </row>
    <row r="5741" spans="1:5">
      <c r="A5741" t="s">
        <v>37715</v>
      </c>
      <c r="B5741" t="s">
        <v>531</v>
      </c>
      <c r="C5741">
        <f>0.406250065121</f>
        <v>0.40625006512099998</v>
      </c>
      <c r="D5741">
        <v>0.85694278629099996</v>
      </c>
      <c r="E5741">
        <v>23.754000000000001</v>
      </c>
    </row>
    <row r="5742" spans="1:5">
      <c r="A5742" t="s">
        <v>37715</v>
      </c>
      <c r="B5742" t="s">
        <v>529</v>
      </c>
      <c r="C5742">
        <v>0.66086709651099995</v>
      </c>
      <c r="D5742">
        <v>0.85694278629099996</v>
      </c>
      <c r="E5742">
        <v>23.754000000000001</v>
      </c>
    </row>
    <row r="5743" spans="1:5">
      <c r="A5743" t="s">
        <v>37716</v>
      </c>
      <c r="B5743" t="s">
        <v>37717</v>
      </c>
      <c r="C5743">
        <v>0.78580970053499999</v>
      </c>
      <c r="D5743">
        <v>0.86795503041199995</v>
      </c>
      <c r="E5743">
        <v>1.452</v>
      </c>
    </row>
    <row r="5744" spans="1:5">
      <c r="A5744" t="s">
        <v>37716</v>
      </c>
      <c r="B5744" t="s">
        <v>37718</v>
      </c>
      <c r="C5744">
        <v>0</v>
      </c>
      <c r="D5744">
        <v>0.86795503041199995</v>
      </c>
      <c r="E5744">
        <v>1.452</v>
      </c>
    </row>
    <row r="5745" spans="1:5">
      <c r="A5745" t="s">
        <v>37716</v>
      </c>
      <c r="B5745" t="s">
        <v>37719</v>
      </c>
      <c r="C5745">
        <f>0.0707653524432</f>
        <v>7.0765352443199994E-2</v>
      </c>
      <c r="D5745">
        <v>0.86795503041199995</v>
      </c>
      <c r="E5745">
        <v>1.452</v>
      </c>
    </row>
    <row r="5746" spans="1:5">
      <c r="A5746" t="s">
        <v>37720</v>
      </c>
      <c r="B5746" t="s">
        <v>11399</v>
      </c>
      <c r="C5746">
        <v>0</v>
      </c>
      <c r="D5746" t="s">
        <v>106</v>
      </c>
      <c r="E5746">
        <v>1.7999999999999999E-2</v>
      </c>
    </row>
    <row r="5747" spans="1:5">
      <c r="A5747" t="s">
        <v>37720</v>
      </c>
      <c r="B5747" t="s">
        <v>11403</v>
      </c>
      <c r="C5747">
        <v>0</v>
      </c>
      <c r="D5747" t="s">
        <v>106</v>
      </c>
      <c r="E5747">
        <v>1.7999999999999999E-2</v>
      </c>
    </row>
    <row r="5748" spans="1:5">
      <c r="A5748" t="s">
        <v>37720</v>
      </c>
      <c r="B5748" t="s">
        <v>11402</v>
      </c>
      <c r="C5748">
        <v>0</v>
      </c>
      <c r="D5748" t="s">
        <v>106</v>
      </c>
      <c r="E5748">
        <v>1.7999999999999999E-2</v>
      </c>
    </row>
    <row r="5749" spans="1:5">
      <c r="A5749" t="s">
        <v>37720</v>
      </c>
      <c r="B5749" t="s">
        <v>11401</v>
      </c>
      <c r="C5749">
        <f>0</f>
        <v>0</v>
      </c>
      <c r="D5749" t="s">
        <v>106</v>
      </c>
      <c r="E5749">
        <v>1.7999999999999999E-2</v>
      </c>
    </row>
    <row r="5750" spans="1:5">
      <c r="A5750" t="s">
        <v>37721</v>
      </c>
      <c r="B5750" t="s">
        <v>37722</v>
      </c>
      <c r="C5750">
        <f>0</f>
        <v>0</v>
      </c>
      <c r="D5750" t="s">
        <v>106</v>
      </c>
      <c r="E5750">
        <v>24</v>
      </c>
    </row>
    <row r="5751" spans="1:5">
      <c r="A5751" t="s">
        <v>37721</v>
      </c>
      <c r="B5751" t="s">
        <v>37723</v>
      </c>
      <c r="C5751">
        <f>0</f>
        <v>0</v>
      </c>
      <c r="D5751" t="s">
        <v>106</v>
      </c>
      <c r="E5751">
        <v>24</v>
      </c>
    </row>
    <row r="5752" spans="1:5">
      <c r="A5752" t="s">
        <v>37721</v>
      </c>
      <c r="B5752" t="s">
        <v>37724</v>
      </c>
      <c r="C5752">
        <f>0</f>
        <v>0</v>
      </c>
      <c r="D5752" t="s">
        <v>106</v>
      </c>
      <c r="E5752">
        <v>24</v>
      </c>
    </row>
    <row r="5753" spans="1:5">
      <c r="A5753" t="s">
        <v>37721</v>
      </c>
      <c r="B5753" t="s">
        <v>37725</v>
      </c>
      <c r="C5753">
        <f>0</f>
        <v>0</v>
      </c>
      <c r="D5753" t="s">
        <v>106</v>
      </c>
      <c r="E5753">
        <v>24</v>
      </c>
    </row>
    <row r="5754" spans="1:5">
      <c r="A5754" t="s">
        <v>37721</v>
      </c>
      <c r="B5754" t="s">
        <v>37726</v>
      </c>
      <c r="C5754">
        <f>0</f>
        <v>0</v>
      </c>
      <c r="D5754" t="s">
        <v>106</v>
      </c>
      <c r="E5754">
        <v>24</v>
      </c>
    </row>
    <row r="5755" spans="1:5">
      <c r="A5755" t="s">
        <v>37727</v>
      </c>
      <c r="B5755" t="s">
        <v>34443</v>
      </c>
      <c r="C5755">
        <v>1.60118151575</v>
      </c>
      <c r="D5755">
        <v>0.97589909899299998</v>
      </c>
      <c r="E5755">
        <v>0.114</v>
      </c>
    </row>
    <row r="5756" spans="1:5">
      <c r="A5756" t="s">
        <v>37727</v>
      </c>
      <c r="B5756" t="s">
        <v>34449</v>
      </c>
      <c r="C5756">
        <f>0.781489924528</f>
        <v>0.78148992452800004</v>
      </c>
      <c r="D5756">
        <v>0.97589909899299998</v>
      </c>
      <c r="E5756">
        <v>0.114</v>
      </c>
    </row>
    <row r="5757" spans="1:5">
      <c r="A5757" t="s">
        <v>37727</v>
      </c>
      <c r="B5757" t="s">
        <v>34450</v>
      </c>
      <c r="C5757">
        <v>1.2498470343500001</v>
      </c>
      <c r="D5757">
        <v>0.97589909899299998</v>
      </c>
      <c r="E5757">
        <v>0.114</v>
      </c>
    </row>
    <row r="5758" spans="1:5">
      <c r="A5758" t="s">
        <v>37727</v>
      </c>
      <c r="B5758" t="s">
        <v>34446</v>
      </c>
      <c r="C5758">
        <f>0.161526697818</f>
        <v>0.161526697818</v>
      </c>
      <c r="D5758">
        <v>0.97589909899299998</v>
      </c>
      <c r="E5758">
        <v>0.114</v>
      </c>
    </row>
    <row r="5759" spans="1:5">
      <c r="A5759" t="s">
        <v>37727</v>
      </c>
      <c r="B5759" t="s">
        <v>34445</v>
      </c>
      <c r="C5759">
        <f>-1.97520807771</f>
        <v>-1.9752080777100001</v>
      </c>
      <c r="D5759">
        <v>0.97589909899299998</v>
      </c>
      <c r="E5759">
        <v>0.114</v>
      </c>
    </row>
    <row r="5760" spans="1:5">
      <c r="A5760" t="s">
        <v>37728</v>
      </c>
      <c r="B5760" t="s">
        <v>37729</v>
      </c>
      <c r="C5760">
        <f>0</f>
        <v>0</v>
      </c>
      <c r="D5760" t="s">
        <v>106</v>
      </c>
      <c r="E5760">
        <v>10.878</v>
      </c>
    </row>
    <row r="5761" spans="1:5">
      <c r="A5761" t="s">
        <v>37728</v>
      </c>
      <c r="B5761" t="s">
        <v>37730</v>
      </c>
      <c r="C5761">
        <v>0</v>
      </c>
      <c r="D5761" t="s">
        <v>106</v>
      </c>
      <c r="E5761">
        <v>10.878</v>
      </c>
    </row>
    <row r="5762" spans="1:5">
      <c r="A5762" t="s">
        <v>37728</v>
      </c>
      <c r="B5762" t="s">
        <v>37731</v>
      </c>
      <c r="C5762">
        <f>0</f>
        <v>0</v>
      </c>
      <c r="D5762" t="s">
        <v>106</v>
      </c>
      <c r="E5762">
        <v>10.878</v>
      </c>
    </row>
    <row r="5763" spans="1:5">
      <c r="A5763" t="s">
        <v>37732</v>
      </c>
      <c r="B5763" t="s">
        <v>37733</v>
      </c>
      <c r="C5763">
        <f>0</f>
        <v>0</v>
      </c>
      <c r="D5763" t="s">
        <v>106</v>
      </c>
      <c r="E5763">
        <v>0</v>
      </c>
    </row>
    <row r="5764" spans="1:5">
      <c r="A5764" t="s">
        <v>37732</v>
      </c>
      <c r="B5764" t="s">
        <v>37734</v>
      </c>
      <c r="C5764">
        <f>0</f>
        <v>0</v>
      </c>
      <c r="D5764" t="s">
        <v>106</v>
      </c>
      <c r="E5764">
        <v>0</v>
      </c>
    </row>
    <row r="5765" spans="1:5">
      <c r="A5765" t="s">
        <v>37732</v>
      </c>
      <c r="B5765" t="s">
        <v>37735</v>
      </c>
      <c r="C5765">
        <v>0</v>
      </c>
      <c r="D5765" t="s">
        <v>106</v>
      </c>
      <c r="E5765">
        <v>0</v>
      </c>
    </row>
    <row r="5766" spans="1:5">
      <c r="A5766" t="s">
        <v>37732</v>
      </c>
      <c r="B5766" t="s">
        <v>37736</v>
      </c>
      <c r="C5766">
        <f>0</f>
        <v>0</v>
      </c>
      <c r="D5766" t="s">
        <v>106</v>
      </c>
      <c r="E5766">
        <v>0</v>
      </c>
    </row>
    <row r="5767" spans="1:5">
      <c r="A5767" t="s">
        <v>37732</v>
      </c>
      <c r="B5767" t="s">
        <v>37737</v>
      </c>
      <c r="C5767">
        <v>0</v>
      </c>
      <c r="D5767" t="s">
        <v>106</v>
      </c>
      <c r="E5767">
        <v>0</v>
      </c>
    </row>
    <row r="5768" spans="1:5">
      <c r="A5768" t="s">
        <v>37732</v>
      </c>
      <c r="B5768" t="s">
        <v>37738</v>
      </c>
      <c r="C5768">
        <v>0</v>
      </c>
      <c r="D5768" t="s">
        <v>106</v>
      </c>
      <c r="E5768">
        <v>0</v>
      </c>
    </row>
    <row r="5769" spans="1:5">
      <c r="A5769" t="s">
        <v>37732</v>
      </c>
      <c r="B5769" t="s">
        <v>37739</v>
      </c>
      <c r="C5769">
        <f>0</f>
        <v>0</v>
      </c>
      <c r="D5769" t="s">
        <v>106</v>
      </c>
      <c r="E5769">
        <v>0</v>
      </c>
    </row>
    <row r="5770" spans="1:5">
      <c r="A5770" t="s">
        <v>37732</v>
      </c>
      <c r="B5770" t="s">
        <v>37740</v>
      </c>
      <c r="C5770">
        <v>0</v>
      </c>
      <c r="D5770" t="s">
        <v>106</v>
      </c>
      <c r="E5770">
        <v>0</v>
      </c>
    </row>
    <row r="5771" spans="1:5">
      <c r="A5771" t="s">
        <v>37732</v>
      </c>
      <c r="B5771" t="s">
        <v>37741</v>
      </c>
      <c r="C5771">
        <v>0</v>
      </c>
      <c r="D5771" t="s">
        <v>106</v>
      </c>
      <c r="E5771">
        <v>0</v>
      </c>
    </row>
    <row r="5772" spans="1:5">
      <c r="A5772" t="s">
        <v>37732</v>
      </c>
      <c r="B5772" t="s">
        <v>37742</v>
      </c>
      <c r="C5772">
        <v>0</v>
      </c>
      <c r="D5772" t="s">
        <v>106</v>
      </c>
      <c r="E5772">
        <v>0</v>
      </c>
    </row>
    <row r="5773" spans="1:5">
      <c r="A5773" t="s">
        <v>37732</v>
      </c>
      <c r="B5773" t="s">
        <v>37743</v>
      </c>
      <c r="C5773">
        <v>0</v>
      </c>
      <c r="D5773" t="s">
        <v>106</v>
      </c>
      <c r="E5773">
        <v>0</v>
      </c>
    </row>
    <row r="5774" spans="1:5">
      <c r="A5774" t="s">
        <v>37732</v>
      </c>
      <c r="B5774" t="s">
        <v>37744</v>
      </c>
      <c r="C5774">
        <v>0</v>
      </c>
      <c r="D5774" t="s">
        <v>106</v>
      </c>
      <c r="E5774">
        <v>0</v>
      </c>
    </row>
    <row r="5775" spans="1:5">
      <c r="A5775" t="s">
        <v>37732</v>
      </c>
      <c r="B5775" t="s">
        <v>37745</v>
      </c>
      <c r="C5775">
        <v>0</v>
      </c>
      <c r="D5775" t="s">
        <v>106</v>
      </c>
      <c r="E5775">
        <v>0</v>
      </c>
    </row>
    <row r="5776" spans="1:5">
      <c r="A5776" t="s">
        <v>37746</v>
      </c>
      <c r="B5776" t="s">
        <v>37747</v>
      </c>
      <c r="C5776">
        <f>0</f>
        <v>0</v>
      </c>
      <c r="D5776">
        <v>0.85444100382400001</v>
      </c>
      <c r="E5776">
        <v>0.54</v>
      </c>
    </row>
    <row r="5777" spans="1:5">
      <c r="A5777" t="s">
        <v>37746</v>
      </c>
      <c r="B5777" t="s">
        <v>37748</v>
      </c>
      <c r="C5777">
        <f>0</f>
        <v>0</v>
      </c>
      <c r="D5777">
        <v>0.85444100382400001</v>
      </c>
      <c r="E5777">
        <v>0.54</v>
      </c>
    </row>
    <row r="5778" spans="1:5">
      <c r="A5778" t="s">
        <v>37746</v>
      </c>
      <c r="B5778" t="s">
        <v>37749</v>
      </c>
      <c r="C5778">
        <f>0</f>
        <v>0</v>
      </c>
      <c r="D5778">
        <v>0.85444100382400001</v>
      </c>
      <c r="E5778">
        <v>0.54</v>
      </c>
    </row>
    <row r="5779" spans="1:5">
      <c r="A5779" t="s">
        <v>37746</v>
      </c>
      <c r="B5779" t="s">
        <v>37750</v>
      </c>
      <c r="C5779">
        <f>0.584031003824</f>
        <v>0.58403100382399997</v>
      </c>
      <c r="D5779">
        <v>0.85444100382400001</v>
      </c>
      <c r="E5779">
        <v>0.54</v>
      </c>
    </row>
    <row r="5780" spans="1:5">
      <c r="A5780" t="s">
        <v>37746</v>
      </c>
      <c r="B5780" t="s">
        <v>37751</v>
      </c>
      <c r="C5780">
        <v>0</v>
      </c>
      <c r="D5780">
        <v>0.85444100382400001</v>
      </c>
      <c r="E5780">
        <v>0.54</v>
      </c>
    </row>
    <row r="5781" spans="1:5">
      <c r="A5781" t="s">
        <v>37746</v>
      </c>
      <c r="B5781" t="s">
        <v>37752</v>
      </c>
      <c r="C5781">
        <f>0</f>
        <v>0</v>
      </c>
      <c r="D5781">
        <v>0.85444100382400001</v>
      </c>
      <c r="E5781">
        <v>0.54</v>
      </c>
    </row>
    <row r="5782" spans="1:5">
      <c r="A5782" t="s">
        <v>37746</v>
      </c>
      <c r="B5782" t="s">
        <v>37753</v>
      </c>
      <c r="C5782">
        <v>0</v>
      </c>
      <c r="D5782">
        <v>0.85444100382400001</v>
      </c>
      <c r="E5782">
        <v>0.54</v>
      </c>
    </row>
    <row r="5783" spans="1:5">
      <c r="A5783" t="s">
        <v>37754</v>
      </c>
      <c r="B5783" t="s">
        <v>37755</v>
      </c>
      <c r="C5783">
        <f>0</f>
        <v>0</v>
      </c>
      <c r="D5783">
        <v>0.68383447149099996</v>
      </c>
      <c r="E5783">
        <v>24</v>
      </c>
    </row>
    <row r="5784" spans="1:5">
      <c r="A5784" t="s">
        <v>37754</v>
      </c>
      <c r="B5784" t="s">
        <v>37756</v>
      </c>
      <c r="C5784">
        <f>0</f>
        <v>0</v>
      </c>
      <c r="D5784">
        <v>0.68383447149099996</v>
      </c>
      <c r="E5784">
        <v>24</v>
      </c>
    </row>
    <row r="5785" spans="1:5">
      <c r="A5785" t="s">
        <v>37754</v>
      </c>
      <c r="B5785" t="s">
        <v>37757</v>
      </c>
      <c r="C5785">
        <f>0</f>
        <v>0</v>
      </c>
      <c r="D5785">
        <v>0.68383447149099996</v>
      </c>
      <c r="E5785">
        <v>24</v>
      </c>
    </row>
    <row r="5786" spans="1:5">
      <c r="A5786" t="s">
        <v>37754</v>
      </c>
      <c r="B5786" t="s">
        <v>37758</v>
      </c>
      <c r="C5786">
        <f>0</f>
        <v>0</v>
      </c>
      <c r="D5786">
        <v>0.68383447149099996</v>
      </c>
      <c r="E5786">
        <v>24</v>
      </c>
    </row>
    <row r="5787" spans="1:5">
      <c r="A5787" t="s">
        <v>37754</v>
      </c>
      <c r="B5787" t="s">
        <v>37759</v>
      </c>
      <c r="C5787">
        <f>0.0438244714906</f>
        <v>4.3824471490600002E-2</v>
      </c>
      <c r="D5787">
        <v>0.68383447149099996</v>
      </c>
      <c r="E5787">
        <v>24</v>
      </c>
    </row>
    <row r="5788" spans="1:5">
      <c r="A5788" t="s">
        <v>37760</v>
      </c>
      <c r="B5788" t="s">
        <v>20697</v>
      </c>
      <c r="C5788">
        <v>7.8172389828399996E-2</v>
      </c>
      <c r="D5788">
        <v>0.644018235552</v>
      </c>
      <c r="E5788">
        <v>24</v>
      </c>
    </row>
    <row r="5789" spans="1:5">
      <c r="A5789" t="s">
        <v>37760</v>
      </c>
      <c r="B5789" t="s">
        <v>20703</v>
      </c>
      <c r="C5789">
        <v>1.97364565417E-2</v>
      </c>
      <c r="D5789">
        <v>0.644018235552</v>
      </c>
      <c r="E5789">
        <v>24</v>
      </c>
    </row>
    <row r="5790" spans="1:5">
      <c r="A5790" t="s">
        <v>37760</v>
      </c>
      <c r="B5790" t="s">
        <v>20704</v>
      </c>
      <c r="C5790">
        <f>0</f>
        <v>0</v>
      </c>
      <c r="D5790">
        <v>0.644018235552</v>
      </c>
      <c r="E5790">
        <v>24</v>
      </c>
    </row>
    <row r="5791" spans="1:5">
      <c r="A5791" t="s">
        <v>37760</v>
      </c>
      <c r="B5791" t="s">
        <v>20699</v>
      </c>
      <c r="C5791">
        <f>0.173612893596</f>
        <v>0.17361289359599999</v>
      </c>
      <c r="D5791">
        <v>0.644018235552</v>
      </c>
      <c r="E5791">
        <v>24</v>
      </c>
    </row>
    <row r="5792" spans="1:5">
      <c r="A5792" t="s">
        <v>37760</v>
      </c>
      <c r="B5792" t="s">
        <v>20701</v>
      </c>
      <c r="C5792">
        <f>0.106275123424</f>
        <v>0.106275123424</v>
      </c>
      <c r="D5792">
        <v>0.644018235552</v>
      </c>
      <c r="E5792">
        <v>24</v>
      </c>
    </row>
    <row r="5793" spans="1:5">
      <c r="A5793" t="s">
        <v>37761</v>
      </c>
      <c r="B5793" t="s">
        <v>37762</v>
      </c>
      <c r="C5793">
        <f>0</f>
        <v>0</v>
      </c>
      <c r="D5793" t="s">
        <v>106</v>
      </c>
      <c r="E5793">
        <v>24</v>
      </c>
    </row>
    <row r="5794" spans="1:5">
      <c r="A5794" t="s">
        <v>37761</v>
      </c>
      <c r="B5794" t="s">
        <v>37763</v>
      </c>
      <c r="C5794">
        <f>0</f>
        <v>0</v>
      </c>
      <c r="D5794" t="s">
        <v>106</v>
      </c>
      <c r="E5794">
        <v>24</v>
      </c>
    </row>
    <row r="5795" spans="1:5">
      <c r="A5795" t="s">
        <v>37761</v>
      </c>
      <c r="B5795" t="s">
        <v>37764</v>
      </c>
      <c r="C5795">
        <f>0</f>
        <v>0</v>
      </c>
      <c r="D5795" t="s">
        <v>106</v>
      </c>
      <c r="E5795">
        <v>24</v>
      </c>
    </row>
    <row r="5796" spans="1:5">
      <c r="A5796" t="s">
        <v>37765</v>
      </c>
      <c r="B5796" t="s">
        <v>10291</v>
      </c>
      <c r="C5796">
        <v>0.85047298022399997</v>
      </c>
      <c r="D5796">
        <v>0.92191400278699998</v>
      </c>
      <c r="E5796">
        <v>24</v>
      </c>
    </row>
    <row r="5797" spans="1:5">
      <c r="A5797" t="s">
        <v>37765</v>
      </c>
      <c r="B5797" t="s">
        <v>10292</v>
      </c>
      <c r="C5797">
        <v>0.42924286288000002</v>
      </c>
      <c r="D5797">
        <v>0.92191400278699998</v>
      </c>
      <c r="E5797">
        <v>24</v>
      </c>
    </row>
    <row r="5798" spans="1:5">
      <c r="A5798" t="s">
        <v>37765</v>
      </c>
      <c r="B5798" t="s">
        <v>10294</v>
      </c>
      <c r="C5798">
        <f>-1.00562644913</f>
        <v>-1.00562644913</v>
      </c>
      <c r="D5798">
        <v>0.92191400278699998</v>
      </c>
      <c r="E5798">
        <v>24</v>
      </c>
    </row>
    <row r="5799" spans="1:5">
      <c r="A5799" t="s">
        <v>37766</v>
      </c>
      <c r="B5799" t="s">
        <v>29541</v>
      </c>
      <c r="C5799">
        <f>0</f>
        <v>0</v>
      </c>
      <c r="D5799">
        <v>0.98363248705799999</v>
      </c>
      <c r="E5799">
        <v>24</v>
      </c>
    </row>
    <row r="5800" spans="1:5">
      <c r="A5800" t="s">
        <v>37766</v>
      </c>
      <c r="B5800" t="s">
        <v>29551</v>
      </c>
      <c r="C5800">
        <f>0</f>
        <v>0</v>
      </c>
      <c r="D5800">
        <v>0.98363248705799999</v>
      </c>
      <c r="E5800">
        <v>24</v>
      </c>
    </row>
    <row r="5801" spans="1:5">
      <c r="A5801" t="s">
        <v>37766</v>
      </c>
      <c r="B5801" t="s">
        <v>29544</v>
      </c>
      <c r="C5801">
        <v>0</v>
      </c>
      <c r="D5801">
        <v>0.98363248705799999</v>
      </c>
      <c r="E5801">
        <v>24</v>
      </c>
    </row>
    <row r="5802" spans="1:5">
      <c r="A5802" t="s">
        <v>37766</v>
      </c>
      <c r="B5802" t="s">
        <v>29539</v>
      </c>
      <c r="C5802">
        <f>0</f>
        <v>0</v>
      </c>
      <c r="D5802">
        <v>0.98363248705799999</v>
      </c>
      <c r="E5802">
        <v>24</v>
      </c>
    </row>
    <row r="5803" spans="1:5">
      <c r="A5803" t="s">
        <v>37766</v>
      </c>
      <c r="B5803" t="s">
        <v>29547</v>
      </c>
      <c r="C5803">
        <f>0.0674593399701</f>
        <v>6.7459339970099993E-2</v>
      </c>
      <c r="D5803">
        <v>0.98363248705799999</v>
      </c>
      <c r="E5803">
        <v>24</v>
      </c>
    </row>
    <row r="5804" spans="1:5">
      <c r="A5804" t="s">
        <v>37766</v>
      </c>
      <c r="B5804" t="s">
        <v>29543</v>
      </c>
      <c r="C5804">
        <f>0.260369251137</f>
        <v>0.26036925113699999</v>
      </c>
      <c r="D5804">
        <v>0.98363248705799999</v>
      </c>
      <c r="E5804">
        <v>24</v>
      </c>
    </row>
    <row r="5805" spans="1:5">
      <c r="A5805" t="s">
        <v>37766</v>
      </c>
      <c r="B5805" t="s">
        <v>29550</v>
      </c>
      <c r="C5805">
        <f>0.293046899732</f>
        <v>0.29304689973199999</v>
      </c>
      <c r="D5805">
        <v>0.98363248705799999</v>
      </c>
      <c r="E5805">
        <v>24</v>
      </c>
    </row>
    <row r="5806" spans="1:5">
      <c r="A5806" t="s">
        <v>37766</v>
      </c>
      <c r="B5806" t="s">
        <v>29549</v>
      </c>
      <c r="C5806">
        <v>0</v>
      </c>
      <c r="D5806">
        <v>0.98363248705799999</v>
      </c>
      <c r="E5806">
        <v>24</v>
      </c>
    </row>
    <row r="5807" spans="1:5">
      <c r="A5807" t="s">
        <v>37766</v>
      </c>
      <c r="B5807" t="s">
        <v>29552</v>
      </c>
      <c r="C5807">
        <f>0</f>
        <v>0</v>
      </c>
      <c r="D5807">
        <v>0.98363248705799999</v>
      </c>
      <c r="E5807">
        <v>24</v>
      </c>
    </row>
    <row r="5808" spans="1:5">
      <c r="A5808" t="s">
        <v>37766</v>
      </c>
      <c r="B5808" t="s">
        <v>29548</v>
      </c>
      <c r="C5808">
        <f>0.500719397992</f>
        <v>0.50071939799200005</v>
      </c>
      <c r="D5808">
        <v>0.98363248705799999</v>
      </c>
      <c r="E5808">
        <v>24</v>
      </c>
    </row>
    <row r="5809" spans="1:5">
      <c r="A5809" t="s">
        <v>37767</v>
      </c>
      <c r="B5809" t="s">
        <v>19122</v>
      </c>
      <c r="C5809">
        <f>0.212290407622</f>
        <v>0.21229040762199999</v>
      </c>
      <c r="D5809">
        <v>0.86491170650500004</v>
      </c>
      <c r="E5809">
        <v>0.73799999999999999</v>
      </c>
    </row>
    <row r="5810" spans="1:5">
      <c r="A5810" t="s">
        <v>37767</v>
      </c>
      <c r="B5810" t="s">
        <v>19121</v>
      </c>
      <c r="C5810">
        <v>0.65431196223700006</v>
      </c>
      <c r="D5810">
        <v>0.86491170650500004</v>
      </c>
      <c r="E5810">
        <v>0.73799999999999999</v>
      </c>
    </row>
    <row r="5811" spans="1:5">
      <c r="A5811" t="s">
        <v>37768</v>
      </c>
      <c r="B5811" t="s">
        <v>2197</v>
      </c>
      <c r="C5811">
        <v>0</v>
      </c>
      <c r="D5811" t="s">
        <v>106</v>
      </c>
      <c r="E5811">
        <v>24</v>
      </c>
    </row>
    <row r="5812" spans="1:5">
      <c r="A5812" t="s">
        <v>37768</v>
      </c>
      <c r="B5812" t="s">
        <v>2198</v>
      </c>
      <c r="C5812">
        <f>0</f>
        <v>0</v>
      </c>
      <c r="D5812" t="s">
        <v>106</v>
      </c>
      <c r="E5812">
        <v>24</v>
      </c>
    </row>
    <row r="5813" spans="1:5">
      <c r="A5813" t="s">
        <v>37768</v>
      </c>
      <c r="B5813" t="s">
        <v>2205</v>
      </c>
      <c r="C5813">
        <v>0</v>
      </c>
      <c r="D5813" t="s">
        <v>106</v>
      </c>
      <c r="E5813">
        <v>24</v>
      </c>
    </row>
    <row r="5814" spans="1:5">
      <c r="A5814" t="s">
        <v>37768</v>
      </c>
      <c r="B5814" t="s">
        <v>2200</v>
      </c>
      <c r="C5814">
        <v>0</v>
      </c>
      <c r="D5814" t="s">
        <v>106</v>
      </c>
      <c r="E5814">
        <v>24</v>
      </c>
    </row>
    <row r="5815" spans="1:5">
      <c r="A5815" t="s">
        <v>37769</v>
      </c>
      <c r="B5815" t="s">
        <v>3736</v>
      </c>
      <c r="C5815">
        <v>0</v>
      </c>
      <c r="D5815" t="s">
        <v>106</v>
      </c>
      <c r="E5815">
        <v>16.896000000000001</v>
      </c>
    </row>
    <row r="5816" spans="1:5">
      <c r="A5816" t="s">
        <v>37769</v>
      </c>
      <c r="B5816" t="s">
        <v>3740</v>
      </c>
      <c r="C5816">
        <v>0</v>
      </c>
      <c r="D5816" t="s">
        <v>106</v>
      </c>
      <c r="E5816">
        <v>16.896000000000001</v>
      </c>
    </row>
    <row r="5817" spans="1:5">
      <c r="A5817" t="s">
        <v>37769</v>
      </c>
      <c r="B5817" t="s">
        <v>3738</v>
      </c>
      <c r="C5817">
        <v>0</v>
      </c>
      <c r="D5817" t="s">
        <v>106</v>
      </c>
      <c r="E5817">
        <v>16.896000000000001</v>
      </c>
    </row>
    <row r="5818" spans="1:5">
      <c r="A5818" t="s">
        <v>37770</v>
      </c>
      <c r="B5818" t="s">
        <v>28214</v>
      </c>
      <c r="C5818">
        <v>0.61174916225499998</v>
      </c>
      <c r="D5818">
        <v>0.99966204173600004</v>
      </c>
      <c r="E5818">
        <v>1.968</v>
      </c>
    </row>
    <row r="5819" spans="1:5">
      <c r="A5819" t="s">
        <v>37770</v>
      </c>
      <c r="B5819" t="s">
        <v>28220</v>
      </c>
      <c r="C5819">
        <f>0.616609917129</f>
        <v>0.61660991712900004</v>
      </c>
      <c r="D5819">
        <v>0.99966204173600004</v>
      </c>
      <c r="E5819">
        <v>1.968</v>
      </c>
    </row>
    <row r="5820" spans="1:5">
      <c r="A5820" t="s">
        <v>37770</v>
      </c>
      <c r="B5820" t="s">
        <v>28221</v>
      </c>
      <c r="C5820">
        <f>0.809870866163</f>
        <v>0.80987086616299997</v>
      </c>
      <c r="D5820">
        <v>0.99966204173600004</v>
      </c>
      <c r="E5820">
        <v>1.968</v>
      </c>
    </row>
    <row r="5821" spans="1:5">
      <c r="A5821" t="s">
        <v>37770</v>
      </c>
      <c r="B5821" t="s">
        <v>28215</v>
      </c>
      <c r="C5821">
        <f>-1.0665199965</f>
        <v>-1.0665199965000001</v>
      </c>
      <c r="D5821">
        <v>0.99966204173600004</v>
      </c>
      <c r="E5821">
        <v>1.968</v>
      </c>
    </row>
    <row r="5822" spans="1:5">
      <c r="A5822" t="s">
        <v>37770</v>
      </c>
      <c r="B5822" t="s">
        <v>28218</v>
      </c>
      <c r="C5822">
        <v>1.3276115668999999</v>
      </c>
      <c r="D5822">
        <v>0.99966204173600004</v>
      </c>
      <c r="E5822">
        <v>1.968</v>
      </c>
    </row>
    <row r="5823" spans="1:5">
      <c r="A5823" t="s">
        <v>37770</v>
      </c>
      <c r="B5823" t="s">
        <v>28216</v>
      </c>
      <c r="C5823">
        <v>0.477219823662</v>
      </c>
      <c r="D5823">
        <v>0.99966204173600004</v>
      </c>
      <c r="E5823">
        <v>1.968</v>
      </c>
    </row>
    <row r="5824" spans="1:5">
      <c r="A5824" t="s">
        <v>37770</v>
      </c>
      <c r="B5824" t="s">
        <v>28219</v>
      </c>
      <c r="C5824">
        <v>1.08870848875</v>
      </c>
      <c r="D5824">
        <v>0.99966204173600004</v>
      </c>
      <c r="E5824">
        <v>1.968</v>
      </c>
    </row>
    <row r="5825" spans="1:5">
      <c r="A5825" t="s">
        <v>37771</v>
      </c>
      <c r="B5825" t="s">
        <v>21758</v>
      </c>
      <c r="C5825">
        <f>0</f>
        <v>0</v>
      </c>
      <c r="D5825">
        <v>0.63577216145500004</v>
      </c>
      <c r="E5825">
        <v>0</v>
      </c>
    </row>
    <row r="5826" spans="1:5">
      <c r="A5826" t="s">
        <v>37771</v>
      </c>
      <c r="B5826" t="s">
        <v>21762</v>
      </c>
      <c r="C5826">
        <v>0</v>
      </c>
      <c r="D5826">
        <v>0.63577216145500004</v>
      </c>
      <c r="E5826">
        <v>0</v>
      </c>
    </row>
    <row r="5827" spans="1:5">
      <c r="A5827" t="s">
        <v>37771</v>
      </c>
      <c r="B5827" t="s">
        <v>21761</v>
      </c>
      <c r="C5827">
        <f>0.322162161455</f>
        <v>0.32216216145499998</v>
      </c>
      <c r="D5827">
        <v>0.63577216145500004</v>
      </c>
      <c r="E5827">
        <v>0</v>
      </c>
    </row>
    <row r="5828" spans="1:5">
      <c r="A5828" t="s">
        <v>37772</v>
      </c>
      <c r="B5828" t="s">
        <v>65</v>
      </c>
      <c r="C5828">
        <v>0</v>
      </c>
      <c r="D5828" t="s">
        <v>106</v>
      </c>
      <c r="E5828">
        <v>1.968</v>
      </c>
    </row>
    <row r="5829" spans="1:5">
      <c r="A5829" t="s">
        <v>37772</v>
      </c>
      <c r="B5829" t="s">
        <v>69</v>
      </c>
      <c r="C5829">
        <v>0</v>
      </c>
      <c r="D5829" t="s">
        <v>106</v>
      </c>
      <c r="E5829">
        <v>1.968</v>
      </c>
    </row>
    <row r="5830" spans="1:5">
      <c r="A5830" t="s">
        <v>37773</v>
      </c>
      <c r="B5830" t="s">
        <v>13418</v>
      </c>
      <c r="C5830">
        <f>0.317096344838</f>
        <v>0.31709634483799998</v>
      </c>
      <c r="D5830">
        <v>0.70498944184800005</v>
      </c>
      <c r="E5830">
        <v>4.6920000000000002</v>
      </c>
    </row>
    <row r="5831" spans="1:5">
      <c r="A5831" t="s">
        <v>37773</v>
      </c>
      <c r="B5831" t="s">
        <v>13419</v>
      </c>
      <c r="C5831">
        <v>0.18930753140100001</v>
      </c>
      <c r="D5831">
        <v>0.70498944184800005</v>
      </c>
      <c r="E5831">
        <v>4.6920000000000002</v>
      </c>
    </row>
    <row r="5832" spans="1:5">
      <c r="A5832" t="s">
        <v>37774</v>
      </c>
      <c r="B5832" t="s">
        <v>2741</v>
      </c>
      <c r="C5832">
        <f>0</f>
        <v>0</v>
      </c>
      <c r="D5832">
        <v>0.88219435777800004</v>
      </c>
      <c r="E5832">
        <v>10.08</v>
      </c>
    </row>
    <row r="5833" spans="1:5">
      <c r="A5833" t="s">
        <v>37774</v>
      </c>
      <c r="B5833" t="s">
        <v>2742</v>
      </c>
      <c r="C5833">
        <v>0</v>
      </c>
      <c r="D5833">
        <v>0.88219435777800004</v>
      </c>
      <c r="E5833">
        <v>10.08</v>
      </c>
    </row>
    <row r="5834" spans="1:5">
      <c r="A5834" t="s">
        <v>37774</v>
      </c>
      <c r="B5834" t="s">
        <v>2748</v>
      </c>
      <c r="C5834">
        <f>0.0886236419841</f>
        <v>8.8623641984099999E-2</v>
      </c>
      <c r="D5834">
        <v>0.88219435777800004</v>
      </c>
      <c r="E5834">
        <v>10.08</v>
      </c>
    </row>
    <row r="5835" spans="1:5">
      <c r="A5835" t="s">
        <v>37774</v>
      </c>
      <c r="B5835" t="s">
        <v>2747</v>
      </c>
      <c r="C5835">
        <f>0.696457107176</f>
        <v>0.69645710717599996</v>
      </c>
      <c r="D5835">
        <v>0.88219435777800004</v>
      </c>
      <c r="E5835">
        <v>10.08</v>
      </c>
    </row>
    <row r="5836" spans="1:5">
      <c r="A5836" t="s">
        <v>37775</v>
      </c>
      <c r="B5836" t="s">
        <v>26086</v>
      </c>
      <c r="C5836">
        <f>0</f>
        <v>0</v>
      </c>
      <c r="D5836">
        <v>0.71949484492899995</v>
      </c>
      <c r="E5836">
        <v>23.754000000000001</v>
      </c>
    </row>
    <row r="5837" spans="1:5">
      <c r="A5837" t="s">
        <v>37775</v>
      </c>
      <c r="B5837" t="s">
        <v>26088</v>
      </c>
      <c r="C5837">
        <f>0</f>
        <v>0</v>
      </c>
      <c r="D5837">
        <v>0.71949484492899995</v>
      </c>
      <c r="E5837">
        <v>23.754000000000001</v>
      </c>
    </row>
    <row r="5838" spans="1:5">
      <c r="A5838" t="s">
        <v>37775</v>
      </c>
      <c r="B5838" t="s">
        <v>26094</v>
      </c>
      <c r="C5838">
        <f>0</f>
        <v>0</v>
      </c>
      <c r="D5838">
        <v>0.71949484492899995</v>
      </c>
      <c r="E5838">
        <v>23.754000000000001</v>
      </c>
    </row>
    <row r="5839" spans="1:5">
      <c r="A5839" t="s">
        <v>37775</v>
      </c>
      <c r="B5839" t="s">
        <v>26092</v>
      </c>
      <c r="C5839">
        <f>0.0448312704569</f>
        <v>4.4831270456900003E-2</v>
      </c>
      <c r="D5839">
        <v>0.71949484492899995</v>
      </c>
      <c r="E5839">
        <v>23.754000000000001</v>
      </c>
    </row>
    <row r="5840" spans="1:5">
      <c r="A5840" t="s">
        <v>37775</v>
      </c>
      <c r="B5840" t="s">
        <v>26093</v>
      </c>
      <c r="C5840">
        <f>0.0340824933546</f>
        <v>3.4082493354600001E-2</v>
      </c>
      <c r="D5840">
        <v>0.71949484492899995</v>
      </c>
      <c r="E5840">
        <v>23.754000000000001</v>
      </c>
    </row>
    <row r="5841" spans="1:5">
      <c r="A5841" t="s">
        <v>37775</v>
      </c>
      <c r="B5841" t="s">
        <v>26089</v>
      </c>
      <c r="C5841">
        <f>0.446831250965</f>
        <v>0.44683125096499998</v>
      </c>
      <c r="D5841">
        <v>0.71949484492899995</v>
      </c>
      <c r="E5841">
        <v>23.754000000000001</v>
      </c>
    </row>
    <row r="5842" spans="1:5">
      <c r="A5842" t="s">
        <v>37776</v>
      </c>
      <c r="B5842" t="s">
        <v>9528</v>
      </c>
      <c r="C5842">
        <v>0</v>
      </c>
      <c r="D5842">
        <v>0.97416645824500003</v>
      </c>
      <c r="E5842">
        <v>8.8680000000000003</v>
      </c>
    </row>
    <row r="5843" spans="1:5">
      <c r="A5843" t="s">
        <v>37776</v>
      </c>
      <c r="B5843" t="s">
        <v>9531</v>
      </c>
      <c r="C5843">
        <v>0.72193213777099996</v>
      </c>
      <c r="D5843">
        <v>0.97416645824500003</v>
      </c>
      <c r="E5843">
        <v>8.8680000000000003</v>
      </c>
    </row>
    <row r="5844" spans="1:5">
      <c r="A5844" t="s">
        <v>37776</v>
      </c>
      <c r="B5844" t="s">
        <v>9529</v>
      </c>
      <c r="C5844">
        <f>0.192936378971</f>
        <v>0.19293637897099999</v>
      </c>
      <c r="D5844">
        <v>0.97416645824500003</v>
      </c>
      <c r="E5844">
        <v>8.8680000000000003</v>
      </c>
    </row>
    <row r="5845" spans="1:5">
      <c r="A5845" t="s">
        <v>37776</v>
      </c>
      <c r="B5845" t="s">
        <v>9532</v>
      </c>
      <c r="C5845">
        <f>0.0385268962121</f>
        <v>3.8526896212100002E-2</v>
      </c>
      <c r="D5845">
        <v>0.97416645824500003</v>
      </c>
      <c r="E5845">
        <v>8.8680000000000003</v>
      </c>
    </row>
    <row r="5846" spans="1:5">
      <c r="A5846" t="s">
        <v>37776</v>
      </c>
      <c r="B5846" t="s">
        <v>9534</v>
      </c>
      <c r="C5846">
        <f>0</f>
        <v>0</v>
      </c>
      <c r="D5846">
        <v>0.97416645824500003</v>
      </c>
      <c r="E5846">
        <v>8.8680000000000003</v>
      </c>
    </row>
    <row r="5847" spans="1:5">
      <c r="A5847" t="s">
        <v>37776</v>
      </c>
      <c r="B5847" t="s">
        <v>9535</v>
      </c>
      <c r="C5847">
        <v>0.32741527599800002</v>
      </c>
      <c r="D5847">
        <v>0.97416645824500003</v>
      </c>
      <c r="E5847">
        <v>8.8680000000000003</v>
      </c>
    </row>
    <row r="5848" spans="1:5">
      <c r="A5848" t="s">
        <v>37777</v>
      </c>
      <c r="B5848" t="s">
        <v>17101</v>
      </c>
      <c r="C5848">
        <v>0</v>
      </c>
      <c r="D5848" t="s">
        <v>106</v>
      </c>
      <c r="E5848">
        <v>0.28799999999999998</v>
      </c>
    </row>
    <row r="5849" spans="1:5">
      <c r="A5849" t="s">
        <v>37777</v>
      </c>
      <c r="B5849" t="s">
        <v>17102</v>
      </c>
      <c r="C5849">
        <f>0</f>
        <v>0</v>
      </c>
      <c r="D5849" t="s">
        <v>106</v>
      </c>
      <c r="E5849">
        <v>0.28799999999999998</v>
      </c>
    </row>
    <row r="5850" spans="1:5">
      <c r="A5850" t="s">
        <v>37778</v>
      </c>
      <c r="B5850" t="s">
        <v>9949</v>
      </c>
      <c r="C5850">
        <v>0.24289055877400001</v>
      </c>
      <c r="D5850">
        <v>0.93185560276000001</v>
      </c>
      <c r="E5850">
        <v>0</v>
      </c>
    </row>
    <row r="5851" spans="1:5">
      <c r="A5851" t="s">
        <v>37778</v>
      </c>
      <c r="B5851" t="s">
        <v>9950</v>
      </c>
      <c r="C5851">
        <v>0.53392743000999998</v>
      </c>
      <c r="D5851">
        <v>0.93185560276000001</v>
      </c>
      <c r="E5851">
        <v>0</v>
      </c>
    </row>
    <row r="5852" spans="1:5">
      <c r="A5852" t="s">
        <v>37778</v>
      </c>
      <c r="B5852" t="s">
        <v>9948</v>
      </c>
      <c r="C5852">
        <f>0.35290333503</f>
        <v>0.35290333502999999</v>
      </c>
      <c r="D5852">
        <v>0.93185560276000001</v>
      </c>
      <c r="E5852">
        <v>0</v>
      </c>
    </row>
    <row r="5853" spans="1:5">
      <c r="A5853" t="s">
        <v>37779</v>
      </c>
      <c r="B5853" t="s">
        <v>37780</v>
      </c>
      <c r="C5853">
        <v>0.61728567290400005</v>
      </c>
      <c r="D5853">
        <v>0.99320180076499998</v>
      </c>
      <c r="E5853">
        <v>0</v>
      </c>
    </row>
    <row r="5854" spans="1:5">
      <c r="A5854" t="s">
        <v>37779</v>
      </c>
      <c r="B5854" t="s">
        <v>37781</v>
      </c>
      <c r="C5854">
        <v>0.34034514644800001</v>
      </c>
      <c r="D5854">
        <v>0.99320180076499998</v>
      </c>
      <c r="E5854">
        <v>0</v>
      </c>
    </row>
    <row r="5855" spans="1:5">
      <c r="A5855" t="s">
        <v>37779</v>
      </c>
      <c r="B5855" t="s">
        <v>37782</v>
      </c>
      <c r="C5855">
        <v>5.36080302213E-2</v>
      </c>
      <c r="D5855">
        <v>0.99320180076499998</v>
      </c>
      <c r="E5855">
        <v>0</v>
      </c>
    </row>
    <row r="5856" spans="1:5">
      <c r="A5856" t="s">
        <v>37779</v>
      </c>
      <c r="B5856" t="s">
        <v>37783</v>
      </c>
      <c r="C5856">
        <v>0.1721704748</v>
      </c>
      <c r="D5856">
        <v>0.99320180076499998</v>
      </c>
      <c r="E5856">
        <v>0</v>
      </c>
    </row>
    <row r="5857" spans="1:5">
      <c r="A5857" t="s">
        <v>37779</v>
      </c>
      <c r="B5857" t="s">
        <v>37784</v>
      </c>
      <c r="C5857">
        <v>0.14636465151200001</v>
      </c>
      <c r="D5857">
        <v>0.99320180076499998</v>
      </c>
      <c r="E5857">
        <v>0</v>
      </c>
    </row>
    <row r="5858" spans="1:5">
      <c r="A5858" t="s">
        <v>37779</v>
      </c>
      <c r="B5858" t="s">
        <v>37785</v>
      </c>
      <c r="C5858">
        <v>0</v>
      </c>
      <c r="D5858">
        <v>0.99320180076499998</v>
      </c>
      <c r="E5858">
        <v>0</v>
      </c>
    </row>
    <row r="5859" spans="1:5">
      <c r="A5859" t="s">
        <v>37779</v>
      </c>
      <c r="B5859" t="s">
        <v>37786</v>
      </c>
      <c r="C5859">
        <f>0.241298552951</f>
        <v>0.241298552951</v>
      </c>
      <c r="D5859">
        <v>0.99320180076499998</v>
      </c>
      <c r="E5859">
        <v>0</v>
      </c>
    </row>
    <row r="5860" spans="1:5">
      <c r="A5860" t="s">
        <v>37787</v>
      </c>
      <c r="B5860" t="s">
        <v>13648</v>
      </c>
      <c r="C5860">
        <v>0</v>
      </c>
      <c r="D5860" t="s">
        <v>106</v>
      </c>
      <c r="E5860">
        <v>0.438</v>
      </c>
    </row>
    <row r="5861" spans="1:5">
      <c r="A5861" t="s">
        <v>37787</v>
      </c>
      <c r="B5861" t="s">
        <v>13649</v>
      </c>
      <c r="C5861">
        <f>0</f>
        <v>0</v>
      </c>
      <c r="D5861" t="s">
        <v>106</v>
      </c>
      <c r="E5861">
        <v>0.438</v>
      </c>
    </row>
    <row r="5862" spans="1:5">
      <c r="A5862" t="s">
        <v>37788</v>
      </c>
      <c r="B5862" t="s">
        <v>71</v>
      </c>
      <c r="C5862">
        <v>0</v>
      </c>
      <c r="D5862">
        <v>0.86761254355700002</v>
      </c>
      <c r="E5862">
        <v>10.878</v>
      </c>
    </row>
    <row r="5863" spans="1:5">
      <c r="A5863" t="s">
        <v>37788</v>
      </c>
      <c r="B5863" t="s">
        <v>74</v>
      </c>
      <c r="C5863">
        <v>0</v>
      </c>
      <c r="D5863">
        <v>0.86761254355700002</v>
      </c>
      <c r="E5863">
        <v>10.878</v>
      </c>
    </row>
    <row r="5864" spans="1:5">
      <c r="A5864" t="s">
        <v>37788</v>
      </c>
      <c r="B5864" t="s">
        <v>37789</v>
      </c>
      <c r="C5864">
        <f>0.637202543557</f>
        <v>0.63720254355700001</v>
      </c>
      <c r="D5864">
        <v>0.86761254355700002</v>
      </c>
      <c r="E5864">
        <v>10.878</v>
      </c>
    </row>
    <row r="5865" spans="1:5">
      <c r="A5865" t="s">
        <v>37788</v>
      </c>
      <c r="B5865" t="s">
        <v>73</v>
      </c>
      <c r="C5865">
        <f>0</f>
        <v>0</v>
      </c>
      <c r="D5865">
        <v>0.86761254355700002</v>
      </c>
      <c r="E5865">
        <v>10.878</v>
      </c>
    </row>
    <row r="5866" spans="1:5">
      <c r="A5866" t="s">
        <v>37788</v>
      </c>
      <c r="B5866" t="s">
        <v>75</v>
      </c>
      <c r="C5866">
        <v>0</v>
      </c>
      <c r="D5866">
        <v>0.86761254355700002</v>
      </c>
      <c r="E5866">
        <v>10.878</v>
      </c>
    </row>
    <row r="5867" spans="1:5">
      <c r="A5867" t="s">
        <v>37790</v>
      </c>
      <c r="B5867" t="s">
        <v>11727</v>
      </c>
      <c r="C5867">
        <f>0</f>
        <v>0</v>
      </c>
      <c r="D5867">
        <v>0.71980999304299997</v>
      </c>
      <c r="E5867">
        <v>23.28</v>
      </c>
    </row>
    <row r="5868" spans="1:5">
      <c r="A5868" t="s">
        <v>37790</v>
      </c>
      <c r="B5868" t="s">
        <v>11728</v>
      </c>
      <c r="C5868">
        <f>0.0141999930434</f>
        <v>1.41999930434E-2</v>
      </c>
      <c r="D5868">
        <v>0.71980999304299997</v>
      </c>
      <c r="E5868">
        <v>23.28</v>
      </c>
    </row>
    <row r="5869" spans="1:5">
      <c r="A5869" t="s">
        <v>37791</v>
      </c>
      <c r="B5869" t="s">
        <v>19616</v>
      </c>
      <c r="C5869">
        <v>0</v>
      </c>
      <c r="D5869" t="s">
        <v>106</v>
      </c>
      <c r="E5869">
        <v>1.452</v>
      </c>
    </row>
    <row r="5870" spans="1:5">
      <c r="A5870" t="s">
        <v>37791</v>
      </c>
      <c r="B5870" t="s">
        <v>19618</v>
      </c>
      <c r="C5870">
        <f>0</f>
        <v>0</v>
      </c>
      <c r="D5870" t="s">
        <v>106</v>
      </c>
      <c r="E5870">
        <v>1.452</v>
      </c>
    </row>
    <row r="5871" spans="1:5">
      <c r="A5871" t="s">
        <v>37791</v>
      </c>
      <c r="B5871" t="s">
        <v>19617</v>
      </c>
      <c r="C5871">
        <f>0</f>
        <v>0</v>
      </c>
      <c r="D5871" t="s">
        <v>106</v>
      </c>
      <c r="E5871">
        <v>1.452</v>
      </c>
    </row>
    <row r="5872" spans="1:5">
      <c r="A5872" t="s">
        <v>37791</v>
      </c>
      <c r="B5872" t="s">
        <v>19619</v>
      </c>
      <c r="C5872">
        <f>0</f>
        <v>0</v>
      </c>
      <c r="D5872" t="s">
        <v>106</v>
      </c>
      <c r="E5872">
        <v>1.452</v>
      </c>
    </row>
    <row r="5873" spans="1:5">
      <c r="A5873" t="s">
        <v>37792</v>
      </c>
      <c r="B5873" t="s">
        <v>37793</v>
      </c>
      <c r="C5873">
        <v>0</v>
      </c>
      <c r="D5873" t="s">
        <v>106</v>
      </c>
      <c r="E5873">
        <v>24</v>
      </c>
    </row>
    <row r="5874" spans="1:5">
      <c r="A5874" t="s">
        <v>37792</v>
      </c>
      <c r="B5874" t="s">
        <v>37794</v>
      </c>
      <c r="C5874">
        <f>0</f>
        <v>0</v>
      </c>
      <c r="D5874" t="s">
        <v>106</v>
      </c>
      <c r="E5874">
        <v>24</v>
      </c>
    </row>
    <row r="5875" spans="1:5">
      <c r="A5875" t="s">
        <v>37792</v>
      </c>
      <c r="B5875" t="s">
        <v>37795</v>
      </c>
      <c r="C5875">
        <f>0</f>
        <v>0</v>
      </c>
      <c r="D5875" t="s">
        <v>106</v>
      </c>
      <c r="E5875">
        <v>24</v>
      </c>
    </row>
    <row r="5876" spans="1:5">
      <c r="A5876" t="s">
        <v>37792</v>
      </c>
      <c r="B5876" t="s">
        <v>37796</v>
      </c>
      <c r="C5876">
        <v>0</v>
      </c>
      <c r="D5876" t="s">
        <v>106</v>
      </c>
      <c r="E5876">
        <v>24</v>
      </c>
    </row>
    <row r="5877" spans="1:5">
      <c r="A5877" t="s">
        <v>37792</v>
      </c>
      <c r="B5877" t="s">
        <v>37797</v>
      </c>
      <c r="C5877">
        <v>0</v>
      </c>
      <c r="D5877" t="s">
        <v>106</v>
      </c>
      <c r="E5877">
        <v>24</v>
      </c>
    </row>
    <row r="5878" spans="1:5">
      <c r="A5878" t="s">
        <v>37798</v>
      </c>
      <c r="B5878" t="s">
        <v>37799</v>
      </c>
      <c r="C5878">
        <v>0.87629324727299995</v>
      </c>
      <c r="D5878">
        <v>0.999154755108</v>
      </c>
      <c r="E5878">
        <v>4.8</v>
      </c>
    </row>
    <row r="5879" spans="1:5">
      <c r="A5879" t="s">
        <v>37798</v>
      </c>
      <c r="B5879" t="s">
        <v>37800</v>
      </c>
      <c r="C5879">
        <f>0.380968676416</f>
        <v>0.38096867641600002</v>
      </c>
      <c r="D5879">
        <v>0.999154755108</v>
      </c>
      <c r="E5879">
        <v>4.8</v>
      </c>
    </row>
    <row r="5880" spans="1:5">
      <c r="A5880" t="s">
        <v>37798</v>
      </c>
      <c r="B5880" t="s">
        <v>37801</v>
      </c>
      <c r="C5880">
        <v>0.45011237582000002</v>
      </c>
      <c r="D5880">
        <v>0.999154755108</v>
      </c>
      <c r="E5880">
        <v>4.8</v>
      </c>
    </row>
    <row r="5881" spans="1:5">
      <c r="A5881" t="s">
        <v>37798</v>
      </c>
      <c r="B5881" t="s">
        <v>37802</v>
      </c>
      <c r="C5881">
        <f>0.0392475017606</f>
        <v>3.9247501760599997E-2</v>
      </c>
      <c r="D5881">
        <v>0.999154755108</v>
      </c>
      <c r="E5881">
        <v>4.8</v>
      </c>
    </row>
    <row r="5882" spans="1:5">
      <c r="A5882" t="s">
        <v>37798</v>
      </c>
      <c r="B5882" t="s">
        <v>37803</v>
      </c>
      <c r="C5882">
        <v>0.16160548860099999</v>
      </c>
      <c r="D5882">
        <v>0.999154755108</v>
      </c>
      <c r="E5882">
        <v>4.8</v>
      </c>
    </row>
    <row r="5883" spans="1:5">
      <c r="A5883" t="s">
        <v>37798</v>
      </c>
      <c r="B5883" t="s">
        <v>37804</v>
      </c>
      <c r="C5883">
        <f>0.0227509847657</f>
        <v>2.2750984765699998E-2</v>
      </c>
      <c r="D5883">
        <v>0.999154755108</v>
      </c>
      <c r="E5883">
        <v>4.8</v>
      </c>
    </row>
    <row r="5884" spans="1:5">
      <c r="A5884" t="s">
        <v>37805</v>
      </c>
      <c r="B5884" t="s">
        <v>37806</v>
      </c>
      <c r="C5884">
        <f>0</f>
        <v>0</v>
      </c>
      <c r="D5884" t="s">
        <v>106</v>
      </c>
      <c r="E5884">
        <v>2.25</v>
      </c>
    </row>
    <row r="5885" spans="1:5">
      <c r="A5885" t="s">
        <v>37805</v>
      </c>
      <c r="B5885" t="s">
        <v>37807</v>
      </c>
      <c r="C5885">
        <f>0</f>
        <v>0</v>
      </c>
      <c r="D5885" t="s">
        <v>106</v>
      </c>
      <c r="E5885">
        <v>2.25</v>
      </c>
    </row>
    <row r="5886" spans="1:5">
      <c r="A5886" t="s">
        <v>37805</v>
      </c>
      <c r="B5886" t="s">
        <v>37808</v>
      </c>
      <c r="C5886">
        <f>0</f>
        <v>0</v>
      </c>
      <c r="D5886" t="s">
        <v>106</v>
      </c>
      <c r="E5886">
        <v>2.25</v>
      </c>
    </row>
    <row r="5887" spans="1:5">
      <c r="A5887" t="s">
        <v>37805</v>
      </c>
      <c r="B5887" t="s">
        <v>37809</v>
      </c>
      <c r="C5887">
        <v>0</v>
      </c>
      <c r="D5887" t="s">
        <v>106</v>
      </c>
      <c r="E5887">
        <v>2.25</v>
      </c>
    </row>
    <row r="5888" spans="1:5">
      <c r="A5888" t="s">
        <v>37805</v>
      </c>
      <c r="B5888" t="s">
        <v>37810</v>
      </c>
      <c r="C5888">
        <f>0</f>
        <v>0</v>
      </c>
      <c r="D5888" t="s">
        <v>106</v>
      </c>
      <c r="E5888">
        <v>2.25</v>
      </c>
    </row>
    <row r="5889" spans="1:5">
      <c r="A5889" t="s">
        <v>37805</v>
      </c>
      <c r="B5889" t="s">
        <v>37811</v>
      </c>
      <c r="C5889">
        <f>0</f>
        <v>0</v>
      </c>
      <c r="D5889" t="s">
        <v>106</v>
      </c>
      <c r="E5889">
        <v>2.25</v>
      </c>
    </row>
    <row r="5890" spans="1:5">
      <c r="A5890" t="s">
        <v>37805</v>
      </c>
      <c r="B5890" t="s">
        <v>37812</v>
      </c>
      <c r="C5890">
        <v>0</v>
      </c>
      <c r="D5890" t="s">
        <v>106</v>
      </c>
      <c r="E5890">
        <v>2.25</v>
      </c>
    </row>
    <row r="5891" spans="1:5">
      <c r="A5891" t="s">
        <v>37813</v>
      </c>
      <c r="B5891" t="s">
        <v>18879</v>
      </c>
      <c r="C5891">
        <v>0</v>
      </c>
      <c r="D5891" t="s">
        <v>106</v>
      </c>
      <c r="E5891">
        <v>3.0539999999999998</v>
      </c>
    </row>
    <row r="5892" spans="1:5">
      <c r="A5892" t="s">
        <v>37813</v>
      </c>
      <c r="B5892" t="s">
        <v>18876</v>
      </c>
      <c r="C5892">
        <v>0</v>
      </c>
      <c r="D5892" t="s">
        <v>106</v>
      </c>
      <c r="E5892">
        <v>3.0539999999999998</v>
      </c>
    </row>
    <row r="5893" spans="1:5">
      <c r="A5893" t="s">
        <v>37814</v>
      </c>
      <c r="B5893" t="s">
        <v>13814</v>
      </c>
      <c r="C5893">
        <f>0</f>
        <v>0</v>
      </c>
      <c r="D5893" t="s">
        <v>106</v>
      </c>
      <c r="E5893">
        <v>5.82</v>
      </c>
    </row>
    <row r="5894" spans="1:5">
      <c r="A5894" t="s">
        <v>37814</v>
      </c>
      <c r="B5894" t="s">
        <v>13824</v>
      </c>
      <c r="C5894">
        <v>0</v>
      </c>
      <c r="D5894" t="s">
        <v>106</v>
      </c>
      <c r="E5894">
        <v>5.82</v>
      </c>
    </row>
    <row r="5895" spans="1:5">
      <c r="A5895" t="s">
        <v>37814</v>
      </c>
      <c r="B5895" t="s">
        <v>13825</v>
      </c>
      <c r="C5895">
        <f>0</f>
        <v>0</v>
      </c>
      <c r="D5895" t="s">
        <v>106</v>
      </c>
      <c r="E5895">
        <v>5.82</v>
      </c>
    </row>
    <row r="5896" spans="1:5">
      <c r="A5896" t="s">
        <v>37814</v>
      </c>
      <c r="B5896" t="s">
        <v>13823</v>
      </c>
      <c r="C5896">
        <v>0</v>
      </c>
      <c r="D5896" t="s">
        <v>106</v>
      </c>
      <c r="E5896">
        <v>5.82</v>
      </c>
    </row>
    <row r="5897" spans="1:5">
      <c r="A5897" t="s">
        <v>37814</v>
      </c>
      <c r="B5897" t="s">
        <v>13820</v>
      </c>
      <c r="C5897">
        <f>0</f>
        <v>0</v>
      </c>
      <c r="D5897" t="s">
        <v>106</v>
      </c>
      <c r="E5897">
        <v>5.82</v>
      </c>
    </row>
    <row r="5898" spans="1:5">
      <c r="A5898" t="s">
        <v>37814</v>
      </c>
      <c r="B5898" t="s">
        <v>13818</v>
      </c>
      <c r="C5898">
        <f>0</f>
        <v>0</v>
      </c>
      <c r="D5898" t="s">
        <v>106</v>
      </c>
      <c r="E5898">
        <v>5.82</v>
      </c>
    </row>
    <row r="5899" spans="1:5">
      <c r="A5899" t="s">
        <v>37814</v>
      </c>
      <c r="B5899" t="s">
        <v>13815</v>
      </c>
      <c r="C5899">
        <f>0</f>
        <v>0</v>
      </c>
      <c r="D5899" t="s">
        <v>106</v>
      </c>
      <c r="E5899">
        <v>5.82</v>
      </c>
    </row>
    <row r="5900" spans="1:5">
      <c r="A5900" t="s">
        <v>37814</v>
      </c>
      <c r="B5900" t="s">
        <v>13816</v>
      </c>
      <c r="C5900">
        <v>0</v>
      </c>
      <c r="D5900" t="s">
        <v>106</v>
      </c>
      <c r="E5900">
        <v>5.82</v>
      </c>
    </row>
    <row r="5901" spans="1:5">
      <c r="A5901" t="s">
        <v>37814</v>
      </c>
      <c r="B5901" t="s">
        <v>13819</v>
      </c>
      <c r="C5901">
        <f>0</f>
        <v>0</v>
      </c>
      <c r="D5901" t="s">
        <v>106</v>
      </c>
      <c r="E5901">
        <v>5.82</v>
      </c>
    </row>
    <row r="5902" spans="1:5">
      <c r="A5902" t="s">
        <v>37815</v>
      </c>
      <c r="B5902" t="s">
        <v>8335</v>
      </c>
      <c r="C5902">
        <f>0.0921360015643</f>
        <v>9.2136001564300005E-2</v>
      </c>
      <c r="D5902">
        <v>0.83807549905300005</v>
      </c>
      <c r="E5902">
        <v>23.754000000000001</v>
      </c>
    </row>
    <row r="5903" spans="1:5">
      <c r="A5903" t="s">
        <v>37815</v>
      </c>
      <c r="B5903" t="s">
        <v>8337</v>
      </c>
      <c r="C5903">
        <f>0.848070287791</f>
        <v>0.84807028779100002</v>
      </c>
      <c r="D5903">
        <v>0.83807549905300005</v>
      </c>
      <c r="E5903">
        <v>23.754000000000001</v>
      </c>
    </row>
    <row r="5904" spans="1:5">
      <c r="A5904" t="s">
        <v>37816</v>
      </c>
      <c r="B5904" t="s">
        <v>37817</v>
      </c>
      <c r="C5904">
        <v>0.47800846731300001</v>
      </c>
      <c r="D5904">
        <v>0.88418356661499997</v>
      </c>
      <c r="E5904">
        <v>4.8</v>
      </c>
    </row>
    <row r="5905" spans="1:5">
      <c r="A5905" t="s">
        <v>37816</v>
      </c>
      <c r="B5905" t="s">
        <v>37818</v>
      </c>
      <c r="C5905">
        <v>0.176207654066</v>
      </c>
      <c r="D5905">
        <v>0.88418356661499997</v>
      </c>
      <c r="E5905">
        <v>4.8</v>
      </c>
    </row>
    <row r="5906" spans="1:5">
      <c r="A5906" t="s">
        <v>37816</v>
      </c>
      <c r="B5906" t="s">
        <v>37819</v>
      </c>
      <c r="C5906">
        <f>0.798877079475</f>
        <v>0.79887707947499997</v>
      </c>
      <c r="D5906">
        <v>0.88418356661499997</v>
      </c>
      <c r="E5906">
        <v>4.8</v>
      </c>
    </row>
    <row r="5907" spans="1:5">
      <c r="A5907" t="s">
        <v>37820</v>
      </c>
      <c r="B5907" t="s">
        <v>37821</v>
      </c>
      <c r="C5907">
        <f>0.846847187115</f>
        <v>0.84684718711499996</v>
      </c>
      <c r="D5907">
        <v>0.877865579625</v>
      </c>
      <c r="E5907">
        <v>6.3</v>
      </c>
    </row>
    <row r="5908" spans="1:5">
      <c r="A5908" t="s">
        <v>37820</v>
      </c>
      <c r="B5908" t="s">
        <v>37822</v>
      </c>
      <c r="C5908">
        <f>0.787231124704</f>
        <v>0.78723112470400003</v>
      </c>
      <c r="D5908">
        <v>0.877865579625</v>
      </c>
      <c r="E5908">
        <v>6.3</v>
      </c>
    </row>
    <row r="5909" spans="1:5">
      <c r="A5909" t="s">
        <v>37820</v>
      </c>
      <c r="B5909" t="s">
        <v>37823</v>
      </c>
      <c r="C5909">
        <f>0.0216962128344</f>
        <v>2.16962128344E-2</v>
      </c>
      <c r="D5909">
        <v>0.877865579625</v>
      </c>
      <c r="E5909">
        <v>6.3</v>
      </c>
    </row>
    <row r="5910" spans="1:5">
      <c r="A5910" t="s">
        <v>37824</v>
      </c>
      <c r="B5910" t="s">
        <v>9199</v>
      </c>
      <c r="C5910">
        <f>0</f>
        <v>0</v>
      </c>
      <c r="D5910" t="s">
        <v>106</v>
      </c>
      <c r="E5910">
        <v>23.754000000000001</v>
      </c>
    </row>
    <row r="5911" spans="1:5">
      <c r="A5911" t="s">
        <v>37824</v>
      </c>
      <c r="B5911" t="s">
        <v>9203</v>
      </c>
      <c r="C5911">
        <v>0</v>
      </c>
      <c r="D5911" t="s">
        <v>106</v>
      </c>
      <c r="E5911">
        <v>23.754000000000001</v>
      </c>
    </row>
    <row r="5912" spans="1:5">
      <c r="A5912" t="s">
        <v>37824</v>
      </c>
      <c r="B5912" t="s">
        <v>9204</v>
      </c>
      <c r="C5912">
        <v>0</v>
      </c>
      <c r="D5912" t="s">
        <v>106</v>
      </c>
      <c r="E5912">
        <v>23.754000000000001</v>
      </c>
    </row>
    <row r="5913" spans="1:5">
      <c r="A5913" t="s">
        <v>37824</v>
      </c>
      <c r="B5913" t="s">
        <v>37825</v>
      </c>
      <c r="C5913">
        <v>0</v>
      </c>
      <c r="D5913" t="s">
        <v>106</v>
      </c>
      <c r="E5913">
        <v>23.754000000000001</v>
      </c>
    </row>
    <row r="5914" spans="1:5">
      <c r="A5914" t="s">
        <v>37824</v>
      </c>
      <c r="B5914" t="s">
        <v>9200</v>
      </c>
      <c r="C5914">
        <v>0</v>
      </c>
      <c r="D5914" t="s">
        <v>106</v>
      </c>
      <c r="E5914">
        <v>23.754000000000001</v>
      </c>
    </row>
    <row r="5915" spans="1:5">
      <c r="A5915" t="s">
        <v>37824</v>
      </c>
      <c r="B5915" t="s">
        <v>9202</v>
      </c>
      <c r="C5915">
        <f>0</f>
        <v>0</v>
      </c>
      <c r="D5915" t="s">
        <v>106</v>
      </c>
      <c r="E5915">
        <v>23.754000000000001</v>
      </c>
    </row>
    <row r="5916" spans="1:5">
      <c r="A5916" t="s">
        <v>37824</v>
      </c>
      <c r="B5916" t="s">
        <v>9205</v>
      </c>
      <c r="C5916">
        <v>0</v>
      </c>
      <c r="D5916" t="s">
        <v>106</v>
      </c>
      <c r="E5916">
        <v>23.754000000000001</v>
      </c>
    </row>
    <row r="5917" spans="1:5">
      <c r="A5917" t="s">
        <v>37824</v>
      </c>
      <c r="B5917" t="s">
        <v>9206</v>
      </c>
      <c r="C5917">
        <v>0</v>
      </c>
      <c r="D5917" t="s">
        <v>106</v>
      </c>
      <c r="E5917">
        <v>23.754000000000001</v>
      </c>
    </row>
    <row r="5918" spans="1:5">
      <c r="A5918" t="s">
        <v>37826</v>
      </c>
      <c r="B5918" t="s">
        <v>37827</v>
      </c>
      <c r="C5918">
        <f>0.611007564353</f>
        <v>0.61100756435299997</v>
      </c>
      <c r="D5918">
        <v>0.76531148517699998</v>
      </c>
      <c r="E5918">
        <v>24</v>
      </c>
    </row>
    <row r="5919" spans="1:5">
      <c r="A5919" t="s">
        <v>37826</v>
      </c>
      <c r="B5919" t="s">
        <v>37828</v>
      </c>
      <c r="C5919">
        <f>0.409251451349</f>
        <v>0.40925145134899998</v>
      </c>
      <c r="D5919">
        <v>0.76531148517699998</v>
      </c>
      <c r="E5919">
        <v>24</v>
      </c>
    </row>
    <row r="5920" spans="1:5">
      <c r="A5920" t="s">
        <v>37829</v>
      </c>
      <c r="B5920" t="s">
        <v>9353</v>
      </c>
      <c r="C5920">
        <v>0.22247173044400001</v>
      </c>
      <c r="D5920">
        <v>0.58559864960600005</v>
      </c>
      <c r="E5920">
        <v>24</v>
      </c>
    </row>
    <row r="5921" spans="1:5">
      <c r="A5921" t="s">
        <v>37829</v>
      </c>
      <c r="B5921" t="s">
        <v>9356</v>
      </c>
      <c r="C5921">
        <v>0.33965490373500001</v>
      </c>
      <c r="D5921">
        <v>0.58559864960600005</v>
      </c>
      <c r="E5921">
        <v>24</v>
      </c>
    </row>
    <row r="5922" spans="1:5">
      <c r="A5922" t="s">
        <v>37829</v>
      </c>
      <c r="B5922" t="s">
        <v>9355</v>
      </c>
      <c r="C5922">
        <f>0</f>
        <v>0</v>
      </c>
      <c r="D5922">
        <v>0.58559864960600005</v>
      </c>
      <c r="E5922">
        <v>24</v>
      </c>
    </row>
    <row r="5923" spans="1:5">
      <c r="A5923" t="s">
        <v>37830</v>
      </c>
      <c r="B5923" t="s">
        <v>34354</v>
      </c>
      <c r="C5923">
        <v>0</v>
      </c>
      <c r="D5923" t="s">
        <v>106</v>
      </c>
      <c r="E5923">
        <v>0.34799999999999998</v>
      </c>
    </row>
    <row r="5924" spans="1:5">
      <c r="A5924" t="s">
        <v>37830</v>
      </c>
      <c r="B5924" t="s">
        <v>34355</v>
      </c>
      <c r="C5924">
        <v>0</v>
      </c>
      <c r="D5924" t="s">
        <v>106</v>
      </c>
      <c r="E5924">
        <v>0.34799999999999998</v>
      </c>
    </row>
    <row r="5925" spans="1:5">
      <c r="A5925" t="s">
        <v>37831</v>
      </c>
      <c r="B5925" t="s">
        <v>4362</v>
      </c>
      <c r="C5925">
        <v>0.80659831330300003</v>
      </c>
      <c r="D5925">
        <v>0.92781942265100004</v>
      </c>
      <c r="E5925">
        <v>23.754000000000001</v>
      </c>
    </row>
    <row r="5926" spans="1:5">
      <c r="A5926" t="s">
        <v>37831</v>
      </c>
      <c r="B5926" t="s">
        <v>4363</v>
      </c>
      <c r="C5926">
        <f>0.821594782527</f>
        <v>0.82159478252700002</v>
      </c>
      <c r="D5926">
        <v>0.92781942265100004</v>
      </c>
      <c r="E5926">
        <v>23.754000000000001</v>
      </c>
    </row>
    <row r="5927" spans="1:5">
      <c r="A5927" t="s">
        <v>37832</v>
      </c>
      <c r="B5927" t="s">
        <v>14932</v>
      </c>
      <c r="C5927">
        <f>0</f>
        <v>0</v>
      </c>
      <c r="D5927">
        <v>0.73454662291200001</v>
      </c>
      <c r="E5927">
        <v>0.26400000000000001</v>
      </c>
    </row>
    <row r="5928" spans="1:5">
      <c r="A5928" t="s">
        <v>37832</v>
      </c>
      <c r="B5928" t="s">
        <v>14933</v>
      </c>
      <c r="C5928">
        <f>0</f>
        <v>0</v>
      </c>
      <c r="D5928">
        <v>0.73454662291200001</v>
      </c>
      <c r="E5928">
        <v>0.26400000000000001</v>
      </c>
    </row>
    <row r="5929" spans="1:5">
      <c r="A5929" t="s">
        <v>37832</v>
      </c>
      <c r="B5929" t="s">
        <v>14934</v>
      </c>
      <c r="C5929">
        <f>0.374536622912</f>
        <v>0.37453662291200002</v>
      </c>
      <c r="D5929">
        <v>0.73454662291200001</v>
      </c>
      <c r="E5929">
        <v>0.26400000000000001</v>
      </c>
    </row>
    <row r="5930" spans="1:5">
      <c r="A5930" t="s">
        <v>37833</v>
      </c>
      <c r="B5930" t="s">
        <v>9148</v>
      </c>
      <c r="C5930">
        <v>2.0341858036299999E-2</v>
      </c>
      <c r="D5930">
        <v>0.99999876431699997</v>
      </c>
      <c r="E5930">
        <v>2.1779999999999999</v>
      </c>
    </row>
    <row r="5931" spans="1:5">
      <c r="A5931" t="s">
        <v>37833</v>
      </c>
      <c r="B5931" t="s">
        <v>9149</v>
      </c>
      <c r="C5931">
        <f>0.109973514915</f>
        <v>0.109973514915</v>
      </c>
      <c r="D5931">
        <v>0.99999876431699997</v>
      </c>
      <c r="E5931">
        <v>2.1779999999999999</v>
      </c>
    </row>
    <row r="5932" spans="1:5">
      <c r="A5932" t="s">
        <v>37833</v>
      </c>
      <c r="B5932" t="s">
        <v>9155</v>
      </c>
      <c r="C5932">
        <v>0.36683240062200001</v>
      </c>
      <c r="D5932">
        <v>0.99999876431699997</v>
      </c>
      <c r="E5932">
        <v>2.1779999999999999</v>
      </c>
    </row>
    <row r="5933" spans="1:5">
      <c r="A5933" t="s">
        <v>37833</v>
      </c>
      <c r="B5933" t="s">
        <v>9147</v>
      </c>
      <c r="C5933">
        <f>-1.25914087577</f>
        <v>-1.25914087577</v>
      </c>
      <c r="D5933">
        <v>0.99999876431699997</v>
      </c>
      <c r="E5933">
        <v>2.1779999999999999</v>
      </c>
    </row>
    <row r="5934" spans="1:5">
      <c r="A5934" t="s">
        <v>37833</v>
      </c>
      <c r="B5934" t="s">
        <v>9154</v>
      </c>
      <c r="C5934">
        <v>0.48513792652499999</v>
      </c>
      <c r="D5934">
        <v>0.99999876431699997</v>
      </c>
      <c r="E5934">
        <v>2.1779999999999999</v>
      </c>
    </row>
    <row r="5935" spans="1:5">
      <c r="A5935" t="s">
        <v>37833</v>
      </c>
      <c r="B5935" t="s">
        <v>9153</v>
      </c>
      <c r="C5935">
        <f>0.459847349115</f>
        <v>0.45984734911500003</v>
      </c>
      <c r="D5935">
        <v>0.99999876431699997</v>
      </c>
      <c r="E5935">
        <v>2.1779999999999999</v>
      </c>
    </row>
    <row r="5936" spans="1:5">
      <c r="A5936" t="s">
        <v>37833</v>
      </c>
      <c r="B5936" t="s">
        <v>9151</v>
      </c>
      <c r="C5936">
        <v>0.833033290353</v>
      </c>
      <c r="D5936">
        <v>0.99999876431699997</v>
      </c>
      <c r="E5936">
        <v>2.1779999999999999</v>
      </c>
    </row>
    <row r="5937" spans="1:5">
      <c r="A5937" t="s">
        <v>37833</v>
      </c>
      <c r="B5937" t="s">
        <v>9152</v>
      </c>
      <c r="C5937">
        <v>0.18181563296299999</v>
      </c>
      <c r="D5937">
        <v>0.99999876431699997</v>
      </c>
      <c r="E5937">
        <v>2.1779999999999999</v>
      </c>
    </row>
    <row r="5938" spans="1:5">
      <c r="A5938" t="s">
        <v>37834</v>
      </c>
      <c r="B5938" t="s">
        <v>6384</v>
      </c>
      <c r="C5938">
        <f>0</f>
        <v>0</v>
      </c>
      <c r="D5938" t="s">
        <v>106</v>
      </c>
      <c r="E5938">
        <v>0.87</v>
      </c>
    </row>
    <row r="5939" spans="1:5">
      <c r="A5939" t="s">
        <v>37834</v>
      </c>
      <c r="B5939" t="s">
        <v>6385</v>
      </c>
      <c r="C5939">
        <f>0</f>
        <v>0</v>
      </c>
      <c r="D5939" t="s">
        <v>106</v>
      </c>
      <c r="E5939">
        <v>0.87</v>
      </c>
    </row>
    <row r="5940" spans="1:5">
      <c r="A5940" t="s">
        <v>37835</v>
      </c>
      <c r="B5940" t="s">
        <v>11529</v>
      </c>
      <c r="C5940">
        <f>0.0215594646006</f>
        <v>2.1559464600600001E-2</v>
      </c>
      <c r="D5940">
        <v>0.99980318615800001</v>
      </c>
      <c r="E5940">
        <v>0.15</v>
      </c>
    </row>
    <row r="5941" spans="1:5">
      <c r="A5941" t="s">
        <v>37835</v>
      </c>
      <c r="B5941" t="s">
        <v>11530</v>
      </c>
      <c r="C5941">
        <v>0.22821142644799999</v>
      </c>
      <c r="D5941">
        <v>0.99980318615800001</v>
      </c>
      <c r="E5941">
        <v>0.15</v>
      </c>
    </row>
    <row r="5942" spans="1:5">
      <c r="A5942" t="s">
        <v>37835</v>
      </c>
      <c r="B5942" t="s">
        <v>11532</v>
      </c>
      <c r="C5942">
        <f>0.139974752063</f>
        <v>0.139974752063</v>
      </c>
      <c r="D5942">
        <v>0.99980318615800001</v>
      </c>
      <c r="E5942">
        <v>0.15</v>
      </c>
    </row>
    <row r="5943" spans="1:5">
      <c r="A5943" t="s">
        <v>37835</v>
      </c>
      <c r="B5943" t="s">
        <v>11536</v>
      </c>
      <c r="C5943">
        <f>0</f>
        <v>0</v>
      </c>
      <c r="D5943">
        <v>0.99980318615800001</v>
      </c>
      <c r="E5943">
        <v>0.15</v>
      </c>
    </row>
    <row r="5944" spans="1:5">
      <c r="A5944" t="s">
        <v>37835</v>
      </c>
      <c r="B5944" t="s">
        <v>11535</v>
      </c>
      <c r="C5944">
        <f>-1.40986319329</f>
        <v>-1.4098631932900001</v>
      </c>
      <c r="D5944">
        <v>0.99980318615800001</v>
      </c>
      <c r="E5944">
        <v>0.15</v>
      </c>
    </row>
    <row r="5945" spans="1:5">
      <c r="A5945" t="s">
        <v>37835</v>
      </c>
      <c r="B5945" t="s">
        <v>11538</v>
      </c>
      <c r="C5945">
        <v>0.608031796407</v>
      </c>
      <c r="D5945">
        <v>0.99980318615800001</v>
      </c>
      <c r="E5945">
        <v>0.15</v>
      </c>
    </row>
    <row r="5946" spans="1:5">
      <c r="A5946" t="s">
        <v>37835</v>
      </c>
      <c r="B5946" t="s">
        <v>11537</v>
      </c>
      <c r="C5946">
        <v>0.19114069818500001</v>
      </c>
      <c r="D5946">
        <v>0.99980318615800001</v>
      </c>
      <c r="E5946">
        <v>0.15</v>
      </c>
    </row>
    <row r="5947" spans="1:5">
      <c r="A5947" t="s">
        <v>37835</v>
      </c>
      <c r="B5947" t="s">
        <v>11534</v>
      </c>
      <c r="C5947">
        <v>0</v>
      </c>
      <c r="D5947">
        <v>0.99980318615800001</v>
      </c>
      <c r="E5947">
        <v>0.15</v>
      </c>
    </row>
    <row r="5948" spans="1:5">
      <c r="A5948" t="s">
        <v>37835</v>
      </c>
      <c r="B5948" t="s">
        <v>11539</v>
      </c>
      <c r="C5948">
        <f>0.0242293029064</f>
        <v>2.4229302906400001E-2</v>
      </c>
      <c r="D5948">
        <v>0.99980318615800001</v>
      </c>
      <c r="E5948">
        <v>0.15</v>
      </c>
    </row>
    <row r="5949" spans="1:5">
      <c r="A5949" t="s">
        <v>37836</v>
      </c>
      <c r="B5949" t="s">
        <v>34143</v>
      </c>
      <c r="C5949">
        <f>0</f>
        <v>0</v>
      </c>
      <c r="D5949" t="s">
        <v>106</v>
      </c>
      <c r="E5949">
        <v>20.07</v>
      </c>
    </row>
    <row r="5950" spans="1:5">
      <c r="A5950" t="s">
        <v>37836</v>
      </c>
      <c r="B5950" t="s">
        <v>34142</v>
      </c>
      <c r="C5950">
        <f>0</f>
        <v>0</v>
      </c>
      <c r="D5950" t="s">
        <v>106</v>
      </c>
      <c r="E5950">
        <v>20.07</v>
      </c>
    </row>
    <row r="5951" spans="1:5">
      <c r="A5951" t="s">
        <v>37837</v>
      </c>
      <c r="B5951" t="s">
        <v>37838</v>
      </c>
      <c r="C5951">
        <v>0.79862507972499996</v>
      </c>
      <c r="D5951">
        <v>0.95425814695099997</v>
      </c>
      <c r="E5951">
        <v>0</v>
      </c>
    </row>
    <row r="5952" spans="1:5">
      <c r="A5952" t="s">
        <v>37837</v>
      </c>
      <c r="B5952" t="s">
        <v>37839</v>
      </c>
      <c r="C5952">
        <v>0.34976194720699999</v>
      </c>
      <c r="D5952">
        <v>0.95425814695099997</v>
      </c>
      <c r="E5952">
        <v>0</v>
      </c>
    </row>
    <row r="5953" spans="1:5">
      <c r="A5953" t="s">
        <v>37837</v>
      </c>
      <c r="B5953" t="s">
        <v>37840</v>
      </c>
      <c r="C5953">
        <f>0.452517644597</f>
        <v>0.452517644597</v>
      </c>
      <c r="D5953">
        <v>0.95425814695099997</v>
      </c>
      <c r="E5953">
        <v>0</v>
      </c>
    </row>
    <row r="5954" spans="1:5">
      <c r="A5954" t="s">
        <v>37841</v>
      </c>
      <c r="B5954" t="s">
        <v>10306</v>
      </c>
      <c r="C5954">
        <f>0.127699553907</f>
        <v>0.127699553907</v>
      </c>
      <c r="D5954">
        <v>0.41889186673000001</v>
      </c>
      <c r="E5954">
        <v>24</v>
      </c>
    </row>
    <row r="5955" spans="1:5">
      <c r="A5955" t="s">
        <v>37841</v>
      </c>
      <c r="B5955" t="s">
        <v>10307</v>
      </c>
      <c r="C5955">
        <f>0</f>
        <v>0</v>
      </c>
      <c r="D5955">
        <v>0.41889186673000001</v>
      </c>
      <c r="E5955">
        <v>24</v>
      </c>
    </row>
    <row r="5956" spans="1:5">
      <c r="A5956" t="s">
        <v>37841</v>
      </c>
      <c r="B5956" t="s">
        <v>10301</v>
      </c>
      <c r="C5956">
        <f>0.00938447115851</f>
        <v>9.3844711585100004E-3</v>
      </c>
      <c r="D5956">
        <v>0.41889186673000001</v>
      </c>
      <c r="E5956">
        <v>24</v>
      </c>
    </row>
    <row r="5957" spans="1:5">
      <c r="A5957" t="s">
        <v>37841</v>
      </c>
      <c r="B5957" t="s">
        <v>10308</v>
      </c>
      <c r="C5957">
        <f>0</f>
        <v>0</v>
      </c>
      <c r="D5957">
        <v>0.41889186673000001</v>
      </c>
      <c r="E5957">
        <v>24</v>
      </c>
    </row>
    <row r="5958" spans="1:5">
      <c r="A5958" t="s">
        <v>37842</v>
      </c>
      <c r="B5958" t="s">
        <v>14608</v>
      </c>
      <c r="C5958">
        <f>0.315728902533</f>
        <v>0.31572890253300001</v>
      </c>
      <c r="D5958">
        <v>0.74960739830699996</v>
      </c>
      <c r="E5958">
        <v>0</v>
      </c>
    </row>
    <row r="5959" spans="1:5">
      <c r="A5959" t="s">
        <v>37842</v>
      </c>
      <c r="B5959" t="s">
        <v>14609</v>
      </c>
      <c r="C5959">
        <f>0.59441295247</f>
        <v>0.59441295247000003</v>
      </c>
      <c r="D5959">
        <v>0.74960739830699996</v>
      </c>
      <c r="E5959">
        <v>0</v>
      </c>
    </row>
    <row r="5960" spans="1:5">
      <c r="A5960" t="s">
        <v>37843</v>
      </c>
      <c r="B5960" t="s">
        <v>30578</v>
      </c>
      <c r="C5960">
        <f>0.905741683155</f>
        <v>0.90574168315500003</v>
      </c>
      <c r="D5960">
        <v>0.94683092455600004</v>
      </c>
      <c r="E5960">
        <v>0</v>
      </c>
    </row>
    <row r="5961" spans="1:5">
      <c r="A5961" t="s">
        <v>37843</v>
      </c>
      <c r="B5961" t="s">
        <v>30583</v>
      </c>
      <c r="C5961">
        <v>0.473072734474</v>
      </c>
      <c r="D5961">
        <v>0.94683092455600004</v>
      </c>
      <c r="E5961">
        <v>0</v>
      </c>
    </row>
    <row r="5962" spans="1:5">
      <c r="A5962" t="s">
        <v>37843</v>
      </c>
      <c r="B5962" t="s">
        <v>30582</v>
      </c>
      <c r="C5962">
        <v>0.31180842231700001</v>
      </c>
      <c r="D5962">
        <v>0.94683092455600004</v>
      </c>
      <c r="E5962">
        <v>0</v>
      </c>
    </row>
    <row r="5963" spans="1:5">
      <c r="A5963" t="s">
        <v>37844</v>
      </c>
      <c r="B5963" t="s">
        <v>37845</v>
      </c>
      <c r="C5963">
        <v>0.713692165963</v>
      </c>
      <c r="D5963">
        <v>0.84235425818300003</v>
      </c>
      <c r="E5963">
        <v>0.438</v>
      </c>
    </row>
    <row r="5964" spans="1:5">
      <c r="A5964" t="s">
        <v>37844</v>
      </c>
      <c r="B5964" t="s">
        <v>37846</v>
      </c>
      <c r="C5964">
        <f>0.543398429007</f>
        <v>0.54339842900699997</v>
      </c>
      <c r="D5964">
        <v>0.84235425818300003</v>
      </c>
      <c r="E5964">
        <v>0.438</v>
      </c>
    </row>
    <row r="5965" spans="1:5">
      <c r="A5965" t="s">
        <v>37847</v>
      </c>
      <c r="B5965" t="s">
        <v>37848</v>
      </c>
      <c r="C5965">
        <v>0</v>
      </c>
      <c r="D5965" t="s">
        <v>106</v>
      </c>
      <c r="E5965">
        <v>10.398</v>
      </c>
    </row>
    <row r="5966" spans="1:5">
      <c r="A5966" t="s">
        <v>37847</v>
      </c>
      <c r="B5966" t="s">
        <v>37849</v>
      </c>
      <c r="C5966">
        <v>0</v>
      </c>
      <c r="D5966" t="s">
        <v>106</v>
      </c>
      <c r="E5966">
        <v>10.398</v>
      </c>
    </row>
    <row r="5967" spans="1:5">
      <c r="A5967" t="s">
        <v>37847</v>
      </c>
      <c r="B5967" t="s">
        <v>37850</v>
      </c>
      <c r="C5967">
        <v>0</v>
      </c>
      <c r="D5967" t="s">
        <v>106</v>
      </c>
      <c r="E5967">
        <v>10.398</v>
      </c>
    </row>
    <row r="5968" spans="1:5">
      <c r="A5968" t="s">
        <v>37847</v>
      </c>
      <c r="B5968" t="s">
        <v>37851</v>
      </c>
      <c r="C5968">
        <f>0</f>
        <v>0</v>
      </c>
      <c r="D5968" t="s">
        <v>106</v>
      </c>
      <c r="E5968">
        <v>10.398</v>
      </c>
    </row>
    <row r="5969" spans="1:5">
      <c r="A5969" t="s">
        <v>37852</v>
      </c>
      <c r="B5969" t="s">
        <v>30115</v>
      </c>
      <c r="C5969">
        <v>0.24651886744099999</v>
      </c>
      <c r="D5969">
        <v>0.98538897378500001</v>
      </c>
      <c r="E5969">
        <v>4.0739999999999998</v>
      </c>
    </row>
    <row r="5970" spans="1:5">
      <c r="A5970" t="s">
        <v>37852</v>
      </c>
      <c r="B5970" t="s">
        <v>30118</v>
      </c>
      <c r="C5970">
        <f>-1.32294709259</f>
        <v>-1.32294709259</v>
      </c>
      <c r="D5970">
        <v>0.98538897378500001</v>
      </c>
      <c r="E5970">
        <v>4.0739999999999998</v>
      </c>
    </row>
    <row r="5971" spans="1:5">
      <c r="A5971" t="s">
        <v>37852</v>
      </c>
      <c r="B5971" t="s">
        <v>30113</v>
      </c>
      <c r="C5971">
        <v>0.73381520692799995</v>
      </c>
      <c r="D5971">
        <v>0.98538897378500001</v>
      </c>
      <c r="E5971">
        <v>4.0739999999999998</v>
      </c>
    </row>
    <row r="5972" spans="1:5">
      <c r="A5972" t="s">
        <v>37852</v>
      </c>
      <c r="B5972" t="s">
        <v>30114</v>
      </c>
      <c r="C5972">
        <v>0.38884767899200001</v>
      </c>
      <c r="D5972">
        <v>0.98538897378500001</v>
      </c>
      <c r="E5972">
        <v>4.0739999999999998</v>
      </c>
    </row>
    <row r="5973" spans="1:5">
      <c r="A5973" t="s">
        <v>37852</v>
      </c>
      <c r="B5973" t="s">
        <v>30116</v>
      </c>
      <c r="C5973">
        <v>2.1265315244999999E-3</v>
      </c>
      <c r="D5973">
        <v>0.98538897378500001</v>
      </c>
      <c r="E5973">
        <v>4.0739999999999998</v>
      </c>
    </row>
    <row r="5974" spans="1:5">
      <c r="A5974" t="s">
        <v>37853</v>
      </c>
      <c r="B5974" t="s">
        <v>2302</v>
      </c>
      <c r="C5974">
        <f>0</f>
        <v>0</v>
      </c>
      <c r="D5974" t="s">
        <v>106</v>
      </c>
      <c r="E5974">
        <v>24</v>
      </c>
    </row>
    <row r="5975" spans="1:5">
      <c r="A5975" t="s">
        <v>37853</v>
      </c>
      <c r="B5975" t="s">
        <v>2310</v>
      </c>
      <c r="C5975">
        <f>0</f>
        <v>0</v>
      </c>
      <c r="D5975" t="s">
        <v>106</v>
      </c>
      <c r="E5975">
        <v>24</v>
      </c>
    </row>
    <row r="5976" spans="1:5">
      <c r="A5976" t="s">
        <v>37853</v>
      </c>
      <c r="B5976" t="s">
        <v>2304</v>
      </c>
      <c r="C5976">
        <v>0</v>
      </c>
      <c r="D5976" t="s">
        <v>106</v>
      </c>
      <c r="E5976">
        <v>24</v>
      </c>
    </row>
    <row r="5977" spans="1:5">
      <c r="A5977" t="s">
        <v>37853</v>
      </c>
      <c r="B5977" t="s">
        <v>2307</v>
      </c>
      <c r="C5977">
        <f>0</f>
        <v>0</v>
      </c>
      <c r="D5977" t="s">
        <v>106</v>
      </c>
      <c r="E5977">
        <v>24</v>
      </c>
    </row>
    <row r="5978" spans="1:5">
      <c r="A5978" t="s">
        <v>37853</v>
      </c>
      <c r="B5978" t="s">
        <v>2306</v>
      </c>
      <c r="C5978">
        <f>0</f>
        <v>0</v>
      </c>
      <c r="D5978" t="s">
        <v>106</v>
      </c>
      <c r="E5978">
        <v>24</v>
      </c>
    </row>
    <row r="5979" spans="1:5">
      <c r="A5979" t="s">
        <v>37853</v>
      </c>
      <c r="B5979" t="s">
        <v>2309</v>
      </c>
      <c r="C5979">
        <v>0</v>
      </c>
      <c r="D5979" t="s">
        <v>106</v>
      </c>
      <c r="E5979">
        <v>24</v>
      </c>
    </row>
    <row r="5980" spans="1:5">
      <c r="A5980" t="s">
        <v>37853</v>
      </c>
      <c r="B5980" t="s">
        <v>2311</v>
      </c>
      <c r="C5980">
        <f>0</f>
        <v>0</v>
      </c>
      <c r="D5980" t="s">
        <v>106</v>
      </c>
      <c r="E5980">
        <v>24</v>
      </c>
    </row>
    <row r="5981" spans="1:5">
      <c r="A5981" t="s">
        <v>37854</v>
      </c>
      <c r="B5981" t="s">
        <v>8666</v>
      </c>
      <c r="C5981">
        <f>0.841293700163</f>
        <v>0.84129370016299998</v>
      </c>
      <c r="D5981">
        <v>0.92013662988300005</v>
      </c>
      <c r="E5981">
        <v>1.278</v>
      </c>
    </row>
    <row r="5982" spans="1:5">
      <c r="A5982" t="s">
        <v>37854</v>
      </c>
      <c r="B5982" t="s">
        <v>8671</v>
      </c>
      <c r="C5982">
        <f>0.179802928193</f>
        <v>0.17980292819300001</v>
      </c>
      <c r="D5982">
        <v>0.92013662988300005</v>
      </c>
      <c r="E5982">
        <v>1.278</v>
      </c>
    </row>
    <row r="5983" spans="1:5">
      <c r="A5983" t="s">
        <v>37854</v>
      </c>
      <c r="B5983" t="s">
        <v>8669</v>
      </c>
      <c r="C5983">
        <v>0.26601696558600002</v>
      </c>
      <c r="D5983">
        <v>0.92013662988300005</v>
      </c>
      <c r="E5983">
        <v>1.278</v>
      </c>
    </row>
    <row r="5984" spans="1:5">
      <c r="A5984" t="s">
        <v>37855</v>
      </c>
      <c r="B5984" t="s">
        <v>20183</v>
      </c>
      <c r="C5984">
        <f>0.616145141396</f>
        <v>0.61614514139599996</v>
      </c>
      <c r="D5984">
        <v>0.98950097457599995</v>
      </c>
      <c r="E5984">
        <v>0.96599999999999997</v>
      </c>
    </row>
    <row r="5985" spans="1:5">
      <c r="A5985" t="s">
        <v>37855</v>
      </c>
      <c r="B5985" t="s">
        <v>20189</v>
      </c>
      <c r="C5985">
        <v>0.682845311728</v>
      </c>
      <c r="D5985">
        <v>0.98950097457599995</v>
      </c>
      <c r="E5985">
        <v>0.96599999999999997</v>
      </c>
    </row>
    <row r="5986" spans="1:5">
      <c r="A5986" t="s">
        <v>37855</v>
      </c>
      <c r="B5986" t="s">
        <v>20185</v>
      </c>
      <c r="C5986">
        <v>0.13647508415699999</v>
      </c>
      <c r="D5986">
        <v>0.98950097457599995</v>
      </c>
      <c r="E5986">
        <v>0.96599999999999997</v>
      </c>
    </row>
    <row r="5987" spans="1:5">
      <c r="A5987" t="s">
        <v>37855</v>
      </c>
      <c r="B5987" t="s">
        <v>20186</v>
      </c>
      <c r="C5987">
        <f>0.215307493205</f>
        <v>0.21530749320500001</v>
      </c>
      <c r="D5987">
        <v>0.98950097457599995</v>
      </c>
      <c r="E5987">
        <v>0.96599999999999997</v>
      </c>
    </row>
    <row r="5988" spans="1:5">
      <c r="A5988" t="s">
        <v>37855</v>
      </c>
      <c r="B5988" t="s">
        <v>20188</v>
      </c>
      <c r="C5988">
        <f>0.0517150985742</f>
        <v>5.1715098574200001E-2</v>
      </c>
      <c r="D5988">
        <v>0.98950097457599995</v>
      </c>
      <c r="E5988">
        <v>0.96599999999999997</v>
      </c>
    </row>
    <row r="5989" spans="1:5">
      <c r="A5989" t="s">
        <v>37856</v>
      </c>
      <c r="B5989" t="s">
        <v>30262</v>
      </c>
      <c r="C5989">
        <v>0.44095780893600001</v>
      </c>
      <c r="D5989">
        <v>0.892982258571</v>
      </c>
      <c r="E5989">
        <v>12.048</v>
      </c>
    </row>
    <row r="5990" spans="1:5">
      <c r="A5990" t="s">
        <v>37856</v>
      </c>
      <c r="B5990" t="s">
        <v>30261</v>
      </c>
      <c r="C5990">
        <f>0</f>
        <v>0</v>
      </c>
      <c r="D5990">
        <v>0.892982258571</v>
      </c>
      <c r="E5990">
        <v>12.048</v>
      </c>
    </row>
    <row r="5991" spans="1:5">
      <c r="A5991" t="s">
        <v>37856</v>
      </c>
      <c r="B5991" t="s">
        <v>30266</v>
      </c>
      <c r="C5991">
        <v>0.44663945846500003</v>
      </c>
      <c r="D5991">
        <v>0.892982258571</v>
      </c>
      <c r="E5991">
        <v>12.048</v>
      </c>
    </row>
    <row r="5992" spans="1:5">
      <c r="A5992" t="s">
        <v>37856</v>
      </c>
      <c r="B5992" t="s">
        <v>30265</v>
      </c>
      <c r="C5992">
        <f>0</f>
        <v>0</v>
      </c>
      <c r="D5992">
        <v>0.892982258571</v>
      </c>
      <c r="E5992">
        <v>12.048</v>
      </c>
    </row>
    <row r="5993" spans="1:5">
      <c r="A5993" t="s">
        <v>37857</v>
      </c>
      <c r="B5993" t="s">
        <v>37858</v>
      </c>
      <c r="C5993">
        <v>0.20370634183700001</v>
      </c>
      <c r="D5993">
        <v>0.93184132324400004</v>
      </c>
      <c r="E5993">
        <v>4.9080000000000004</v>
      </c>
    </row>
    <row r="5994" spans="1:5">
      <c r="A5994" t="s">
        <v>37857</v>
      </c>
      <c r="B5994" t="s">
        <v>37859</v>
      </c>
      <c r="C5994">
        <v>0.96869982466299998</v>
      </c>
      <c r="D5994">
        <v>0.93184132324400004</v>
      </c>
      <c r="E5994">
        <v>4.9080000000000004</v>
      </c>
    </row>
    <row r="5995" spans="1:5">
      <c r="A5995" t="s">
        <v>37860</v>
      </c>
      <c r="B5995" t="s">
        <v>27642</v>
      </c>
      <c r="C5995">
        <v>0.65315728715099997</v>
      </c>
      <c r="D5995">
        <v>0.96105391781799998</v>
      </c>
      <c r="E5995">
        <v>24</v>
      </c>
    </row>
    <row r="5996" spans="1:5">
      <c r="A5996" t="s">
        <v>37860</v>
      </c>
      <c r="B5996" t="s">
        <v>27648</v>
      </c>
      <c r="C5996">
        <v>0.68541734627399997</v>
      </c>
      <c r="D5996">
        <v>0.96105391781799998</v>
      </c>
      <c r="E5996">
        <v>24</v>
      </c>
    </row>
    <row r="5997" spans="1:5">
      <c r="A5997" t="s">
        <v>37860</v>
      </c>
      <c r="B5997" t="s">
        <v>27643</v>
      </c>
      <c r="C5997">
        <v>0.63576401624800005</v>
      </c>
      <c r="D5997">
        <v>0.96105391781799998</v>
      </c>
      <c r="E5997">
        <v>24</v>
      </c>
    </row>
    <row r="5998" spans="1:5">
      <c r="A5998" t="s">
        <v>37860</v>
      </c>
      <c r="B5998" t="s">
        <v>27645</v>
      </c>
      <c r="C5998">
        <f>0.91791200335</f>
        <v>0.91791200335000001</v>
      </c>
      <c r="D5998">
        <v>0.96105391781799998</v>
      </c>
      <c r="E5998">
        <v>24</v>
      </c>
    </row>
    <row r="5999" spans="1:5">
      <c r="A5999" t="s">
        <v>37861</v>
      </c>
      <c r="B5999" t="s">
        <v>8759</v>
      </c>
      <c r="C5999">
        <v>0.49456050220199999</v>
      </c>
      <c r="D5999">
        <v>0.65457050220199997</v>
      </c>
      <c r="E5999">
        <v>24</v>
      </c>
    </row>
    <row r="6000" spans="1:5">
      <c r="A6000" t="s">
        <v>37861</v>
      </c>
      <c r="B6000" t="s">
        <v>8760</v>
      </c>
      <c r="C6000">
        <f>0</f>
        <v>0</v>
      </c>
      <c r="D6000">
        <v>0.65457050220199997</v>
      </c>
      <c r="E6000">
        <v>24</v>
      </c>
    </row>
    <row r="6001" spans="1:5">
      <c r="A6001" t="s">
        <v>37861</v>
      </c>
      <c r="B6001" t="s">
        <v>8761</v>
      </c>
      <c r="C6001">
        <f>0</f>
        <v>0</v>
      </c>
      <c r="D6001">
        <v>0.65457050220199997</v>
      </c>
      <c r="E6001">
        <v>24</v>
      </c>
    </row>
    <row r="6002" spans="1:5">
      <c r="A6002" t="s">
        <v>37861</v>
      </c>
      <c r="B6002" t="s">
        <v>8762</v>
      </c>
      <c r="C6002">
        <f>0</f>
        <v>0</v>
      </c>
      <c r="D6002">
        <v>0.65457050220199997</v>
      </c>
      <c r="E6002">
        <v>24</v>
      </c>
    </row>
    <row r="6003" spans="1:5">
      <c r="A6003" t="s">
        <v>37862</v>
      </c>
      <c r="B6003" t="s">
        <v>30822</v>
      </c>
      <c r="C6003">
        <v>1.0421830493099999</v>
      </c>
      <c r="D6003">
        <v>0.90056781391499996</v>
      </c>
      <c r="E6003">
        <v>23.04</v>
      </c>
    </row>
    <row r="6004" spans="1:5">
      <c r="A6004" t="s">
        <v>37862</v>
      </c>
      <c r="B6004" t="s">
        <v>30826</v>
      </c>
      <c r="C6004">
        <f>-1.42918891764</f>
        <v>-1.4291889176399999</v>
      </c>
      <c r="D6004">
        <v>0.90056781391499996</v>
      </c>
      <c r="E6004">
        <v>23.04</v>
      </c>
    </row>
    <row r="6005" spans="1:5">
      <c r="A6005" t="s">
        <v>37862</v>
      </c>
      <c r="B6005" t="s">
        <v>30827</v>
      </c>
      <c r="C6005">
        <v>0.31236529656299999</v>
      </c>
      <c r="D6005">
        <v>0.90056781391499996</v>
      </c>
      <c r="E6005">
        <v>23.04</v>
      </c>
    </row>
    <row r="6006" spans="1:5">
      <c r="A6006" t="s">
        <v>37863</v>
      </c>
      <c r="B6006" t="s">
        <v>7482</v>
      </c>
      <c r="C6006">
        <v>0</v>
      </c>
      <c r="D6006">
        <v>0.75738558952199997</v>
      </c>
      <c r="E6006">
        <v>4.17</v>
      </c>
    </row>
    <row r="6007" spans="1:5">
      <c r="A6007" t="s">
        <v>37863</v>
      </c>
      <c r="B6007" t="s">
        <v>7484</v>
      </c>
      <c r="C6007">
        <f>0.486975589522</f>
        <v>0.48697558952199999</v>
      </c>
      <c r="D6007">
        <v>0.75738558952199997</v>
      </c>
      <c r="E6007">
        <v>4.17</v>
      </c>
    </row>
    <row r="6008" spans="1:5">
      <c r="A6008" t="s">
        <v>37863</v>
      </c>
      <c r="B6008" t="s">
        <v>7486</v>
      </c>
      <c r="C6008">
        <f>0</f>
        <v>0</v>
      </c>
      <c r="D6008">
        <v>0.75738558952199997</v>
      </c>
      <c r="E6008">
        <v>4.17</v>
      </c>
    </row>
    <row r="6009" spans="1:5">
      <c r="A6009" t="s">
        <v>37864</v>
      </c>
      <c r="B6009" t="s">
        <v>27972</v>
      </c>
      <c r="C6009">
        <v>0.30139621697699998</v>
      </c>
      <c r="D6009">
        <v>0.999975000369</v>
      </c>
      <c r="E6009">
        <v>23.754000000000001</v>
      </c>
    </row>
    <row r="6010" spans="1:5">
      <c r="A6010" t="s">
        <v>37864</v>
      </c>
      <c r="B6010" t="s">
        <v>27979</v>
      </c>
      <c r="C6010">
        <v>0.41738077048799999</v>
      </c>
      <c r="D6010">
        <v>0.999975000369</v>
      </c>
      <c r="E6010">
        <v>23.754000000000001</v>
      </c>
    </row>
    <row r="6011" spans="1:5">
      <c r="A6011" t="s">
        <v>37864</v>
      </c>
      <c r="B6011" t="s">
        <v>27978</v>
      </c>
      <c r="C6011">
        <v>0.25558258476099999</v>
      </c>
      <c r="D6011">
        <v>0.999975000369</v>
      </c>
      <c r="E6011">
        <v>23.754000000000001</v>
      </c>
    </row>
    <row r="6012" spans="1:5">
      <c r="A6012" t="s">
        <v>37864</v>
      </c>
      <c r="B6012" t="s">
        <v>27967</v>
      </c>
      <c r="C6012">
        <f>0.808526406013</f>
        <v>0.80852640601299997</v>
      </c>
      <c r="D6012">
        <v>0.999975000369</v>
      </c>
      <c r="E6012">
        <v>23.754000000000001</v>
      </c>
    </row>
    <row r="6013" spans="1:5">
      <c r="A6013" t="s">
        <v>37864</v>
      </c>
      <c r="B6013" t="s">
        <v>27969</v>
      </c>
      <c r="C6013">
        <f>0</f>
        <v>0</v>
      </c>
      <c r="D6013">
        <v>0.999975000369</v>
      </c>
      <c r="E6013">
        <v>23.754000000000001</v>
      </c>
    </row>
    <row r="6014" spans="1:5">
      <c r="A6014" t="s">
        <v>37864</v>
      </c>
      <c r="B6014" t="s">
        <v>27976</v>
      </c>
      <c r="C6014">
        <v>0.19567182492400001</v>
      </c>
      <c r="D6014">
        <v>0.999975000369</v>
      </c>
      <c r="E6014">
        <v>23.754000000000001</v>
      </c>
    </row>
    <row r="6015" spans="1:5">
      <c r="A6015" t="s">
        <v>37864</v>
      </c>
      <c r="B6015" t="s">
        <v>27973</v>
      </c>
      <c r="C6015">
        <v>0.228966897897</v>
      </c>
      <c r="D6015">
        <v>0.999975000369</v>
      </c>
      <c r="E6015">
        <v>23.754000000000001</v>
      </c>
    </row>
    <row r="6016" spans="1:5">
      <c r="A6016" t="s">
        <v>37864</v>
      </c>
      <c r="B6016" t="s">
        <v>27977</v>
      </c>
      <c r="C6016">
        <f>0</f>
        <v>0</v>
      </c>
      <c r="D6016">
        <v>0.999975000369</v>
      </c>
      <c r="E6016">
        <v>23.754000000000001</v>
      </c>
    </row>
    <row r="6017" spans="1:5">
      <c r="A6017" t="s">
        <v>37864</v>
      </c>
      <c r="B6017" t="s">
        <v>27975</v>
      </c>
      <c r="C6017">
        <f>0.0783134613182</f>
        <v>7.8313461318199995E-2</v>
      </c>
      <c r="D6017">
        <v>0.999975000369</v>
      </c>
      <c r="E6017">
        <v>23.754000000000001</v>
      </c>
    </row>
    <row r="6018" spans="1:5">
      <c r="A6018" t="s">
        <v>37864</v>
      </c>
      <c r="B6018" t="s">
        <v>27970</v>
      </c>
      <c r="C6018">
        <f>0</f>
        <v>0</v>
      </c>
      <c r="D6018">
        <v>0.999975000369</v>
      </c>
      <c r="E6018">
        <v>23.754000000000001</v>
      </c>
    </row>
    <row r="6019" spans="1:5">
      <c r="A6019" t="s">
        <v>37864</v>
      </c>
      <c r="B6019" t="s">
        <v>27965</v>
      </c>
      <c r="C6019">
        <f>0.357980543627</f>
        <v>0.35798054362699999</v>
      </c>
      <c r="D6019">
        <v>0.999975000369</v>
      </c>
      <c r="E6019">
        <v>23.754000000000001</v>
      </c>
    </row>
    <row r="6020" spans="1:5">
      <c r="A6020" t="s">
        <v>37865</v>
      </c>
      <c r="B6020" t="s">
        <v>10996</v>
      </c>
      <c r="C6020">
        <v>0</v>
      </c>
      <c r="D6020" t="s">
        <v>106</v>
      </c>
      <c r="E6020">
        <v>6.18</v>
      </c>
    </row>
    <row r="6021" spans="1:5">
      <c r="A6021" t="s">
        <v>37865</v>
      </c>
      <c r="B6021" t="s">
        <v>10998</v>
      </c>
      <c r="C6021">
        <v>0</v>
      </c>
      <c r="D6021" t="s">
        <v>106</v>
      </c>
      <c r="E6021">
        <v>6.18</v>
      </c>
    </row>
    <row r="6022" spans="1:5">
      <c r="A6022" t="s">
        <v>37865</v>
      </c>
      <c r="B6022" t="s">
        <v>10999</v>
      </c>
      <c r="C6022">
        <v>0</v>
      </c>
      <c r="D6022" t="s">
        <v>106</v>
      </c>
      <c r="E6022">
        <v>6.18</v>
      </c>
    </row>
    <row r="6023" spans="1:5">
      <c r="A6023" t="s">
        <v>37866</v>
      </c>
      <c r="B6023" t="s">
        <v>22515</v>
      </c>
      <c r="C6023">
        <v>0</v>
      </c>
      <c r="D6023" t="s">
        <v>106</v>
      </c>
      <c r="E6023">
        <v>22.103999999999999</v>
      </c>
    </row>
    <row r="6024" spans="1:5">
      <c r="A6024" t="s">
        <v>37866</v>
      </c>
      <c r="B6024" t="s">
        <v>22520</v>
      </c>
      <c r="C6024">
        <v>0</v>
      </c>
      <c r="D6024" t="s">
        <v>106</v>
      </c>
      <c r="E6024">
        <v>22.103999999999999</v>
      </c>
    </row>
    <row r="6025" spans="1:5">
      <c r="A6025" t="s">
        <v>37866</v>
      </c>
      <c r="B6025" t="s">
        <v>22521</v>
      </c>
      <c r="C6025">
        <v>0</v>
      </c>
      <c r="D6025" t="s">
        <v>106</v>
      </c>
      <c r="E6025">
        <v>22.103999999999999</v>
      </c>
    </row>
    <row r="6026" spans="1:5">
      <c r="A6026" t="s">
        <v>37866</v>
      </c>
      <c r="B6026" t="s">
        <v>22522</v>
      </c>
      <c r="C6026">
        <v>0</v>
      </c>
      <c r="D6026" t="s">
        <v>106</v>
      </c>
      <c r="E6026">
        <v>22.103999999999999</v>
      </c>
    </row>
    <row r="6027" spans="1:5">
      <c r="A6027" t="s">
        <v>37866</v>
      </c>
      <c r="B6027" t="s">
        <v>22523</v>
      </c>
      <c r="C6027">
        <v>0</v>
      </c>
      <c r="D6027" t="s">
        <v>106</v>
      </c>
      <c r="E6027">
        <v>22.103999999999999</v>
      </c>
    </row>
    <row r="6028" spans="1:5">
      <c r="A6028" t="s">
        <v>37867</v>
      </c>
      <c r="B6028" t="s">
        <v>16357</v>
      </c>
      <c r="C6028">
        <v>0</v>
      </c>
      <c r="D6028" t="s">
        <v>106</v>
      </c>
      <c r="E6028">
        <v>4.2720000000000002</v>
      </c>
    </row>
    <row r="6029" spans="1:5">
      <c r="A6029" t="s">
        <v>37867</v>
      </c>
      <c r="B6029" t="s">
        <v>16358</v>
      </c>
      <c r="C6029">
        <f>0</f>
        <v>0</v>
      </c>
      <c r="D6029" t="s">
        <v>106</v>
      </c>
      <c r="E6029">
        <v>4.2720000000000002</v>
      </c>
    </row>
    <row r="6030" spans="1:5">
      <c r="A6030" t="s">
        <v>37867</v>
      </c>
      <c r="B6030" t="s">
        <v>16361</v>
      </c>
      <c r="C6030">
        <v>0</v>
      </c>
      <c r="D6030" t="s">
        <v>106</v>
      </c>
      <c r="E6030">
        <v>4.2720000000000002</v>
      </c>
    </row>
    <row r="6031" spans="1:5">
      <c r="A6031" t="s">
        <v>37868</v>
      </c>
      <c r="B6031" t="s">
        <v>31859</v>
      </c>
      <c r="C6031">
        <v>0.104495469238</v>
      </c>
      <c r="D6031">
        <v>0.88101801067700003</v>
      </c>
      <c r="E6031">
        <v>0</v>
      </c>
    </row>
    <row r="6032" spans="1:5">
      <c r="A6032" t="s">
        <v>37868</v>
      </c>
      <c r="B6032" t="s">
        <v>31862</v>
      </c>
      <c r="C6032">
        <f>0</f>
        <v>0</v>
      </c>
      <c r="D6032">
        <v>0.88101801067700003</v>
      </c>
      <c r="E6032">
        <v>0</v>
      </c>
    </row>
    <row r="6033" spans="1:5">
      <c r="A6033" t="s">
        <v>37868</v>
      </c>
      <c r="B6033" t="s">
        <v>31865</v>
      </c>
      <c r="C6033">
        <v>0.71774074292000001</v>
      </c>
      <c r="D6033">
        <v>0.88101801067700003</v>
      </c>
      <c r="E6033">
        <v>0</v>
      </c>
    </row>
    <row r="6034" spans="1:5">
      <c r="A6034" t="s">
        <v>37868</v>
      </c>
      <c r="B6034" t="s">
        <v>31867</v>
      </c>
      <c r="C6034">
        <f>0</f>
        <v>0</v>
      </c>
      <c r="D6034">
        <v>0.88101801067700003</v>
      </c>
      <c r="E6034">
        <v>0</v>
      </c>
    </row>
    <row r="6035" spans="1:5">
      <c r="A6035" t="s">
        <v>37868</v>
      </c>
      <c r="B6035" t="s">
        <v>31864</v>
      </c>
      <c r="C6035">
        <v>0.17998374969200001</v>
      </c>
      <c r="D6035">
        <v>0.88101801067700003</v>
      </c>
      <c r="E6035">
        <v>0</v>
      </c>
    </row>
    <row r="6036" spans="1:5">
      <c r="A6036" t="s">
        <v>37869</v>
      </c>
      <c r="B6036" t="s">
        <v>9973</v>
      </c>
      <c r="C6036">
        <f>0</f>
        <v>0</v>
      </c>
      <c r="D6036" t="s">
        <v>106</v>
      </c>
      <c r="E6036">
        <v>0.91800000000000004</v>
      </c>
    </row>
    <row r="6037" spans="1:5">
      <c r="A6037" t="s">
        <v>37869</v>
      </c>
      <c r="B6037" t="s">
        <v>9966</v>
      </c>
      <c r="C6037">
        <v>0</v>
      </c>
      <c r="D6037" t="s">
        <v>106</v>
      </c>
      <c r="E6037">
        <v>0.91800000000000004</v>
      </c>
    </row>
    <row r="6038" spans="1:5">
      <c r="A6038" t="s">
        <v>37869</v>
      </c>
      <c r="B6038" t="s">
        <v>9972</v>
      </c>
      <c r="C6038">
        <f>0</f>
        <v>0</v>
      </c>
      <c r="D6038" t="s">
        <v>106</v>
      </c>
      <c r="E6038">
        <v>0.91800000000000004</v>
      </c>
    </row>
    <row r="6039" spans="1:5">
      <c r="A6039" t="s">
        <v>37869</v>
      </c>
      <c r="B6039" t="s">
        <v>9968</v>
      </c>
      <c r="C6039">
        <f>0</f>
        <v>0</v>
      </c>
      <c r="D6039" t="s">
        <v>106</v>
      </c>
      <c r="E6039">
        <v>0.91800000000000004</v>
      </c>
    </row>
    <row r="6040" spans="1:5">
      <c r="A6040" t="s">
        <v>37869</v>
      </c>
      <c r="B6040" t="s">
        <v>9969</v>
      </c>
      <c r="C6040">
        <v>0</v>
      </c>
      <c r="D6040" t="s">
        <v>106</v>
      </c>
      <c r="E6040">
        <v>0.91800000000000004</v>
      </c>
    </row>
    <row r="6041" spans="1:5">
      <c r="A6041" t="s">
        <v>37869</v>
      </c>
      <c r="B6041" t="s">
        <v>9967</v>
      </c>
      <c r="C6041">
        <v>0</v>
      </c>
      <c r="D6041" t="s">
        <v>106</v>
      </c>
      <c r="E6041">
        <v>0.91800000000000004</v>
      </c>
    </row>
    <row r="6042" spans="1:5">
      <c r="A6042" t="s">
        <v>37869</v>
      </c>
      <c r="B6042" t="s">
        <v>9970</v>
      </c>
      <c r="C6042">
        <f>0</f>
        <v>0</v>
      </c>
      <c r="D6042" t="s">
        <v>106</v>
      </c>
      <c r="E6042">
        <v>0.91800000000000004</v>
      </c>
    </row>
    <row r="6043" spans="1:5">
      <c r="A6043" t="s">
        <v>37869</v>
      </c>
      <c r="B6043" t="s">
        <v>9974</v>
      </c>
      <c r="C6043">
        <f>0</f>
        <v>0</v>
      </c>
      <c r="D6043" t="s">
        <v>106</v>
      </c>
      <c r="E6043">
        <v>0.91800000000000004</v>
      </c>
    </row>
    <row r="6044" spans="1:5">
      <c r="A6044" t="s">
        <v>37870</v>
      </c>
      <c r="B6044" t="s">
        <v>37871</v>
      </c>
      <c r="C6044">
        <f>0.528770488168</f>
        <v>0.52877048816799999</v>
      </c>
      <c r="D6044">
        <v>0.94694951303800001</v>
      </c>
      <c r="E6044">
        <v>5.9340000000000002</v>
      </c>
    </row>
    <row r="6045" spans="1:5">
      <c r="A6045" t="s">
        <v>37870</v>
      </c>
      <c r="B6045" t="s">
        <v>37872</v>
      </c>
      <c r="C6045">
        <v>0</v>
      </c>
      <c r="D6045">
        <v>0.94694951303800001</v>
      </c>
      <c r="E6045">
        <v>5.9340000000000002</v>
      </c>
    </row>
    <row r="6046" spans="1:5">
      <c r="A6046" t="s">
        <v>37870</v>
      </c>
      <c r="B6046" t="s">
        <v>37873</v>
      </c>
      <c r="C6046">
        <v>0.32122229687699999</v>
      </c>
      <c r="D6046">
        <v>0.94694951303800001</v>
      </c>
      <c r="E6046">
        <v>5.9340000000000002</v>
      </c>
    </row>
    <row r="6047" spans="1:5">
      <c r="A6047" t="s">
        <v>37870</v>
      </c>
      <c r="B6047" t="s">
        <v>37874</v>
      </c>
      <c r="C6047">
        <f>0</f>
        <v>0</v>
      </c>
      <c r="D6047">
        <v>0.94694951303800001</v>
      </c>
      <c r="E6047">
        <v>5.9340000000000002</v>
      </c>
    </row>
    <row r="6048" spans="1:5">
      <c r="A6048" t="s">
        <v>37870</v>
      </c>
      <c r="B6048" t="s">
        <v>37875</v>
      </c>
      <c r="C6048">
        <f>0.394653272039</f>
        <v>0.39465327203900002</v>
      </c>
      <c r="D6048">
        <v>0.94694951303800001</v>
      </c>
      <c r="E6048">
        <v>5.9340000000000002</v>
      </c>
    </row>
    <row r="6049" spans="1:5">
      <c r="A6049" t="s">
        <v>37870</v>
      </c>
      <c r="B6049" t="s">
        <v>37876</v>
      </c>
      <c r="C6049">
        <v>0</v>
      </c>
      <c r="D6049">
        <v>0.94694951303800001</v>
      </c>
      <c r="E6049">
        <v>5.9340000000000002</v>
      </c>
    </row>
    <row r="6050" spans="1:5">
      <c r="A6050" t="s">
        <v>37877</v>
      </c>
      <c r="B6050" t="s">
        <v>1485</v>
      </c>
      <c r="C6050">
        <f>0</f>
        <v>0</v>
      </c>
      <c r="D6050">
        <v>0.92540838412799997</v>
      </c>
      <c r="E6050">
        <v>0</v>
      </c>
    </row>
    <row r="6051" spans="1:5">
      <c r="A6051" t="s">
        <v>37877</v>
      </c>
      <c r="B6051" t="s">
        <v>1482</v>
      </c>
      <c r="C6051">
        <f>0</f>
        <v>0</v>
      </c>
      <c r="D6051">
        <v>0.92540838412799997</v>
      </c>
      <c r="E6051">
        <v>0</v>
      </c>
    </row>
    <row r="6052" spans="1:5">
      <c r="A6052" t="s">
        <v>37877</v>
      </c>
      <c r="B6052" t="s">
        <v>1486</v>
      </c>
      <c r="C6052">
        <v>0</v>
      </c>
      <c r="D6052">
        <v>0.92540838412799997</v>
      </c>
      <c r="E6052">
        <v>0</v>
      </c>
    </row>
    <row r="6053" spans="1:5">
      <c r="A6053" t="s">
        <v>37877</v>
      </c>
      <c r="B6053" t="s">
        <v>1483</v>
      </c>
      <c r="C6053">
        <f>0.795798384128</f>
        <v>0.79579838412799997</v>
      </c>
      <c r="D6053">
        <v>0.92540838412799997</v>
      </c>
      <c r="E6053">
        <v>0</v>
      </c>
    </row>
    <row r="6054" spans="1:5">
      <c r="A6054" t="s">
        <v>37878</v>
      </c>
      <c r="B6054" t="s">
        <v>33871</v>
      </c>
      <c r="C6054">
        <v>0.37597527057300001</v>
      </c>
      <c r="D6054">
        <v>0.68958527057300001</v>
      </c>
      <c r="E6054">
        <v>0</v>
      </c>
    </row>
    <row r="6055" spans="1:5">
      <c r="A6055" t="s">
        <v>37878</v>
      </c>
      <c r="B6055" t="s">
        <v>33877</v>
      </c>
      <c r="C6055">
        <v>0</v>
      </c>
      <c r="D6055">
        <v>0.68958527057300001</v>
      </c>
      <c r="E6055">
        <v>0</v>
      </c>
    </row>
    <row r="6056" spans="1:5">
      <c r="A6056" t="s">
        <v>37878</v>
      </c>
      <c r="B6056" t="s">
        <v>33878</v>
      </c>
      <c r="C6056">
        <f>0</f>
        <v>0</v>
      </c>
      <c r="D6056">
        <v>0.68958527057300001</v>
      </c>
      <c r="E6056">
        <v>0</v>
      </c>
    </row>
    <row r="6057" spans="1:5">
      <c r="A6057" t="s">
        <v>37878</v>
      </c>
      <c r="B6057" t="s">
        <v>33872</v>
      </c>
      <c r="C6057">
        <v>0</v>
      </c>
      <c r="D6057">
        <v>0.68958527057300001</v>
      </c>
      <c r="E6057">
        <v>0</v>
      </c>
    </row>
    <row r="6058" spans="1:5">
      <c r="A6058" t="s">
        <v>37878</v>
      </c>
      <c r="B6058" t="s">
        <v>33879</v>
      </c>
      <c r="C6058">
        <v>0</v>
      </c>
      <c r="D6058">
        <v>0.68958527057300001</v>
      </c>
      <c r="E6058">
        <v>0</v>
      </c>
    </row>
    <row r="6059" spans="1:5">
      <c r="A6059" t="s">
        <v>37879</v>
      </c>
      <c r="B6059" t="s">
        <v>37880</v>
      </c>
      <c r="C6059">
        <v>0.763938306929</v>
      </c>
      <c r="D6059">
        <v>0.96370985370600004</v>
      </c>
      <c r="E6059">
        <v>1.6379999999999999</v>
      </c>
    </row>
    <row r="6060" spans="1:5">
      <c r="A6060" t="s">
        <v>37879</v>
      </c>
      <c r="B6060" t="s">
        <v>37881</v>
      </c>
      <c r="C6060">
        <f>0.244434074386</f>
        <v>0.24443407438600001</v>
      </c>
      <c r="D6060">
        <v>0.96370985370600004</v>
      </c>
      <c r="E6060">
        <v>1.6379999999999999</v>
      </c>
    </row>
    <row r="6061" spans="1:5">
      <c r="A6061" t="s">
        <v>37879</v>
      </c>
      <c r="B6061" t="s">
        <v>37882</v>
      </c>
      <c r="C6061">
        <f>0.00887892012839</f>
        <v>8.8789201283900002E-3</v>
      </c>
      <c r="D6061">
        <v>0.96370985370600004</v>
      </c>
      <c r="E6061">
        <v>1.6379999999999999</v>
      </c>
    </row>
    <row r="6062" spans="1:5">
      <c r="A6062" t="s">
        <v>37879</v>
      </c>
      <c r="B6062" t="s">
        <v>37883</v>
      </c>
      <c r="C6062">
        <f>0.414589342531</f>
        <v>0.41458934253099999</v>
      </c>
      <c r="D6062">
        <v>0.96370985370600004</v>
      </c>
      <c r="E6062">
        <v>1.6379999999999999</v>
      </c>
    </row>
    <row r="6063" spans="1:5">
      <c r="A6063" t="s">
        <v>37884</v>
      </c>
      <c r="B6063" t="s">
        <v>37885</v>
      </c>
      <c r="C6063">
        <v>0</v>
      </c>
      <c r="D6063">
        <v>0.72559747260200003</v>
      </c>
      <c r="E6063">
        <v>2.3279999999999998</v>
      </c>
    </row>
    <row r="6064" spans="1:5">
      <c r="A6064" t="s">
        <v>37884</v>
      </c>
      <c r="B6064" t="s">
        <v>37886</v>
      </c>
      <c r="C6064">
        <f>0.426897034421</f>
        <v>0.42689703442100002</v>
      </c>
      <c r="D6064">
        <v>0.72559747260200003</v>
      </c>
      <c r="E6064">
        <v>2.3279999999999998</v>
      </c>
    </row>
    <row r="6065" spans="1:5">
      <c r="A6065" t="s">
        <v>37884</v>
      </c>
      <c r="B6065" t="s">
        <v>37887</v>
      </c>
      <c r="C6065">
        <v>0.28264774864699999</v>
      </c>
      <c r="D6065">
        <v>0.72559747260200003</v>
      </c>
      <c r="E6065">
        <v>2.3279999999999998</v>
      </c>
    </row>
    <row r="6066" spans="1:5">
      <c r="A6066" t="s">
        <v>37888</v>
      </c>
      <c r="B6066" t="s">
        <v>34220</v>
      </c>
      <c r="C6066">
        <v>0.46333835761300002</v>
      </c>
      <c r="D6066">
        <v>0.594321187679</v>
      </c>
      <c r="E6066">
        <v>1.0680000000000001</v>
      </c>
    </row>
    <row r="6067" spans="1:5">
      <c r="A6067" t="s">
        <v>37888</v>
      </c>
      <c r="B6067" t="s">
        <v>34221</v>
      </c>
      <c r="C6067">
        <f>0.357346923283</f>
        <v>0.357346923283</v>
      </c>
      <c r="D6067">
        <v>0.594321187679</v>
      </c>
      <c r="E6067">
        <v>1.0680000000000001</v>
      </c>
    </row>
    <row r="6068" spans="1:5">
      <c r="A6068" t="s">
        <v>37889</v>
      </c>
      <c r="B6068" t="s">
        <v>37890</v>
      </c>
      <c r="C6068">
        <v>0</v>
      </c>
      <c r="D6068">
        <v>0.57635943771800002</v>
      </c>
      <c r="E6068">
        <v>2.25</v>
      </c>
    </row>
    <row r="6069" spans="1:5">
      <c r="A6069" t="s">
        <v>37889</v>
      </c>
      <c r="B6069" t="s">
        <v>37891</v>
      </c>
      <c r="C6069">
        <v>0</v>
      </c>
      <c r="D6069">
        <v>0.57635943771800002</v>
      </c>
      <c r="E6069">
        <v>2.25</v>
      </c>
    </row>
    <row r="6070" spans="1:5">
      <c r="A6070" t="s">
        <v>37889</v>
      </c>
      <c r="B6070" t="s">
        <v>37892</v>
      </c>
      <c r="C6070">
        <f>0</f>
        <v>0</v>
      </c>
      <c r="D6070">
        <v>0.57635943771800002</v>
      </c>
      <c r="E6070">
        <v>2.25</v>
      </c>
    </row>
    <row r="6071" spans="1:5">
      <c r="A6071" t="s">
        <v>37889</v>
      </c>
      <c r="B6071" t="s">
        <v>37893</v>
      </c>
      <c r="C6071">
        <v>0</v>
      </c>
      <c r="D6071">
        <v>0.57635943771800002</v>
      </c>
      <c r="E6071">
        <v>2.25</v>
      </c>
    </row>
    <row r="6072" spans="1:5">
      <c r="A6072" t="s">
        <v>37889</v>
      </c>
      <c r="B6072" t="s">
        <v>37894</v>
      </c>
      <c r="C6072">
        <v>0.38274943771800002</v>
      </c>
      <c r="D6072">
        <v>0.57635943771800002</v>
      </c>
      <c r="E6072">
        <v>2.25</v>
      </c>
    </row>
    <row r="6073" spans="1:5">
      <c r="A6073" t="s">
        <v>37895</v>
      </c>
      <c r="B6073" t="s">
        <v>11778</v>
      </c>
      <c r="C6073">
        <v>0.17454361692600001</v>
      </c>
      <c r="D6073">
        <v>0.58415361692599999</v>
      </c>
      <c r="E6073">
        <v>21.42</v>
      </c>
    </row>
    <row r="6074" spans="1:5">
      <c r="A6074" t="s">
        <v>37895</v>
      </c>
      <c r="B6074" t="s">
        <v>11779</v>
      </c>
      <c r="C6074">
        <v>0</v>
      </c>
      <c r="D6074">
        <v>0.58415361692599999</v>
      </c>
      <c r="E6074">
        <v>21.42</v>
      </c>
    </row>
    <row r="6075" spans="1:5">
      <c r="A6075" t="s">
        <v>37896</v>
      </c>
      <c r="B6075" t="s">
        <v>37897</v>
      </c>
      <c r="C6075">
        <f>0</f>
        <v>0</v>
      </c>
      <c r="D6075">
        <v>0.90687515197400004</v>
      </c>
      <c r="E6075">
        <v>0.216</v>
      </c>
    </row>
    <row r="6076" spans="1:5">
      <c r="A6076" t="s">
        <v>37896</v>
      </c>
      <c r="B6076" t="s">
        <v>37898</v>
      </c>
      <c r="C6076">
        <v>0.267806483348</v>
      </c>
      <c r="D6076">
        <v>0.90687515197400004</v>
      </c>
      <c r="E6076">
        <v>0.216</v>
      </c>
    </row>
    <row r="6077" spans="1:5">
      <c r="A6077" t="s">
        <v>37896</v>
      </c>
      <c r="B6077" t="s">
        <v>37899</v>
      </c>
      <c r="C6077">
        <v>0</v>
      </c>
      <c r="D6077">
        <v>0.90687515197400004</v>
      </c>
      <c r="E6077">
        <v>0.216</v>
      </c>
    </row>
    <row r="6078" spans="1:5">
      <c r="A6078" t="s">
        <v>37896</v>
      </c>
      <c r="B6078" t="s">
        <v>37900</v>
      </c>
      <c r="C6078">
        <f>0</f>
        <v>0</v>
      </c>
      <c r="D6078">
        <v>0.90687515197400004</v>
      </c>
      <c r="E6078">
        <v>0.216</v>
      </c>
    </row>
    <row r="6079" spans="1:5">
      <c r="A6079" t="s">
        <v>37896</v>
      </c>
      <c r="B6079" t="s">
        <v>37901</v>
      </c>
      <c r="C6079">
        <v>0.63813282232900004</v>
      </c>
      <c r="D6079">
        <v>0.90687515197400004</v>
      </c>
      <c r="E6079">
        <v>0.216</v>
      </c>
    </row>
    <row r="6080" spans="1:5">
      <c r="A6080" t="s">
        <v>37896</v>
      </c>
      <c r="B6080" t="s">
        <v>37902</v>
      </c>
      <c r="C6080">
        <f>0.182405918424</f>
        <v>0.182405918424</v>
      </c>
      <c r="D6080">
        <v>0.90687515197400004</v>
      </c>
      <c r="E6080">
        <v>0.216</v>
      </c>
    </row>
    <row r="6081" spans="1:5">
      <c r="A6081" t="s">
        <v>37903</v>
      </c>
      <c r="B6081" t="s">
        <v>19772</v>
      </c>
      <c r="C6081">
        <v>0.20510983161900001</v>
      </c>
      <c r="D6081">
        <v>0.85554118956799996</v>
      </c>
      <c r="E6081">
        <v>2.3279999999999998</v>
      </c>
    </row>
    <row r="6082" spans="1:5">
      <c r="A6082" t="s">
        <v>37903</v>
      </c>
      <c r="B6082" t="s">
        <v>19775</v>
      </c>
      <c r="C6082">
        <v>0</v>
      </c>
      <c r="D6082">
        <v>0.85554118956799996</v>
      </c>
      <c r="E6082">
        <v>2.3279999999999998</v>
      </c>
    </row>
    <row r="6083" spans="1:5">
      <c r="A6083" t="s">
        <v>37903</v>
      </c>
      <c r="B6083" t="s">
        <v>19770</v>
      </c>
      <c r="C6083">
        <v>0.40694537596199998</v>
      </c>
      <c r="D6083">
        <v>0.85554118956799996</v>
      </c>
      <c r="E6083">
        <v>2.3279999999999998</v>
      </c>
    </row>
    <row r="6084" spans="1:5">
      <c r="A6084" t="s">
        <v>37903</v>
      </c>
      <c r="B6084" t="s">
        <v>19773</v>
      </c>
      <c r="C6084">
        <v>0.30560762781700002</v>
      </c>
      <c r="D6084">
        <v>0.85554118956799996</v>
      </c>
      <c r="E6084">
        <v>2.3279999999999998</v>
      </c>
    </row>
    <row r="6085" spans="1:5">
      <c r="A6085" t="s">
        <v>37903</v>
      </c>
      <c r="B6085" t="s">
        <v>19769</v>
      </c>
      <c r="C6085">
        <v>0</v>
      </c>
      <c r="D6085">
        <v>0.85554118956799996</v>
      </c>
      <c r="E6085">
        <v>2.3279999999999998</v>
      </c>
    </row>
    <row r="6086" spans="1:5">
      <c r="A6086" t="s">
        <v>37903</v>
      </c>
      <c r="B6086" t="s">
        <v>19768</v>
      </c>
      <c r="C6086">
        <v>0</v>
      </c>
      <c r="D6086">
        <v>0.85554118956799996</v>
      </c>
      <c r="E6086">
        <v>2.3279999999999998</v>
      </c>
    </row>
    <row r="6087" spans="1:5">
      <c r="A6087" t="s">
        <v>37904</v>
      </c>
      <c r="B6087" t="s">
        <v>19450</v>
      </c>
      <c r="C6087">
        <v>0.63775800854700004</v>
      </c>
      <c r="D6087">
        <v>0.81973425564000002</v>
      </c>
      <c r="E6087">
        <v>5.82</v>
      </c>
    </row>
    <row r="6088" spans="1:5">
      <c r="A6088" t="s">
        <v>37904</v>
      </c>
      <c r="B6088" t="s">
        <v>19451</v>
      </c>
      <c r="C6088">
        <v>0.24586798019</v>
      </c>
      <c r="D6088">
        <v>0.81973425564000002</v>
      </c>
      <c r="E6088">
        <v>5.82</v>
      </c>
    </row>
    <row r="6089" spans="1:5">
      <c r="A6089" t="s">
        <v>37905</v>
      </c>
      <c r="B6089" t="s">
        <v>30428</v>
      </c>
      <c r="C6089">
        <v>0</v>
      </c>
      <c r="D6089" t="s">
        <v>106</v>
      </c>
      <c r="E6089">
        <v>0.216</v>
      </c>
    </row>
    <row r="6090" spans="1:5">
      <c r="A6090" t="s">
        <v>37905</v>
      </c>
      <c r="B6090" t="s">
        <v>30429</v>
      </c>
      <c r="C6090">
        <v>0</v>
      </c>
      <c r="D6090" t="s">
        <v>106</v>
      </c>
      <c r="E6090">
        <v>0.216</v>
      </c>
    </row>
    <row r="6091" spans="1:5">
      <c r="A6091" t="s">
        <v>37906</v>
      </c>
      <c r="B6091" t="s">
        <v>37907</v>
      </c>
      <c r="C6091">
        <v>0.11947897889300001</v>
      </c>
      <c r="D6091">
        <v>0.99995778756700004</v>
      </c>
      <c r="E6091">
        <v>0.318</v>
      </c>
    </row>
    <row r="6092" spans="1:5">
      <c r="A6092" t="s">
        <v>37906</v>
      </c>
      <c r="B6092" t="s">
        <v>37908</v>
      </c>
      <c r="C6092">
        <f>0.329460297455</f>
        <v>0.329460297455</v>
      </c>
      <c r="D6092">
        <v>0.99995778756700004</v>
      </c>
      <c r="E6092">
        <v>0.318</v>
      </c>
    </row>
    <row r="6093" spans="1:5">
      <c r="A6093" t="s">
        <v>37906</v>
      </c>
      <c r="B6093" t="s">
        <v>37909</v>
      </c>
      <c r="C6093">
        <v>0.11484133736300001</v>
      </c>
      <c r="D6093">
        <v>0.99995778756700004</v>
      </c>
      <c r="E6093">
        <v>0.318</v>
      </c>
    </row>
    <row r="6094" spans="1:5">
      <c r="A6094" t="s">
        <v>37906</v>
      </c>
      <c r="B6094" t="s">
        <v>37910</v>
      </c>
      <c r="C6094">
        <f>0.0690491116755</f>
        <v>6.90491116755E-2</v>
      </c>
      <c r="D6094">
        <v>0.99995778756700004</v>
      </c>
      <c r="E6094">
        <v>0.318</v>
      </c>
    </row>
    <row r="6095" spans="1:5">
      <c r="A6095" t="s">
        <v>37906</v>
      </c>
      <c r="B6095" t="s">
        <v>37911</v>
      </c>
      <c r="C6095">
        <v>0.95894406320400005</v>
      </c>
      <c r="D6095">
        <v>0.99995778756700004</v>
      </c>
      <c r="E6095">
        <v>0.318</v>
      </c>
    </row>
    <row r="6096" spans="1:5">
      <c r="A6096" t="s">
        <v>37906</v>
      </c>
      <c r="B6096" t="s">
        <v>37912</v>
      </c>
      <c r="C6096">
        <f>0.257967847434</f>
        <v>0.25796784743399997</v>
      </c>
      <c r="D6096">
        <v>0.99995778756700004</v>
      </c>
      <c r="E6096">
        <v>0.318</v>
      </c>
    </row>
    <row r="6097" spans="1:5">
      <c r="A6097" t="s">
        <v>37906</v>
      </c>
      <c r="B6097" t="s">
        <v>37913</v>
      </c>
      <c r="C6097">
        <f>0.40203537244</f>
        <v>0.40203537243999998</v>
      </c>
      <c r="D6097">
        <v>0.99995778756700004</v>
      </c>
      <c r="E6097">
        <v>0.318</v>
      </c>
    </row>
    <row r="6098" spans="1:5">
      <c r="A6098" t="s">
        <v>37906</v>
      </c>
      <c r="B6098" t="s">
        <v>37914</v>
      </c>
      <c r="C6098">
        <f>0</f>
        <v>0</v>
      </c>
      <c r="D6098">
        <v>0.99995778756700004</v>
      </c>
      <c r="E6098">
        <v>0.318</v>
      </c>
    </row>
    <row r="6099" spans="1:5">
      <c r="A6099" t="s">
        <v>37915</v>
      </c>
      <c r="B6099" t="s">
        <v>37916</v>
      </c>
      <c r="C6099">
        <v>0</v>
      </c>
      <c r="D6099">
        <v>0.99986773547499996</v>
      </c>
      <c r="E6099">
        <v>24</v>
      </c>
    </row>
    <row r="6100" spans="1:5">
      <c r="A6100" t="s">
        <v>37915</v>
      </c>
      <c r="B6100" t="s">
        <v>37917</v>
      </c>
      <c r="C6100">
        <v>8.63994537502E-2</v>
      </c>
      <c r="D6100">
        <v>0.99986773547499996</v>
      </c>
      <c r="E6100">
        <v>24</v>
      </c>
    </row>
    <row r="6101" spans="1:5">
      <c r="A6101" t="s">
        <v>37915</v>
      </c>
      <c r="B6101" t="s">
        <v>37918</v>
      </c>
      <c r="C6101">
        <v>0.261495413269</v>
      </c>
      <c r="D6101">
        <v>0.99986773547499996</v>
      </c>
      <c r="E6101">
        <v>24</v>
      </c>
    </row>
    <row r="6102" spans="1:5">
      <c r="A6102" t="s">
        <v>37915</v>
      </c>
      <c r="B6102" t="s">
        <v>37919</v>
      </c>
      <c r="C6102">
        <v>1.5361390330699999E-2</v>
      </c>
      <c r="D6102">
        <v>0.99986773547499996</v>
      </c>
      <c r="E6102">
        <v>24</v>
      </c>
    </row>
    <row r="6103" spans="1:5">
      <c r="A6103" t="s">
        <v>37915</v>
      </c>
      <c r="B6103" t="s">
        <v>37920</v>
      </c>
      <c r="C6103">
        <v>1.1292221209</v>
      </c>
      <c r="D6103">
        <v>0.99986773547499996</v>
      </c>
      <c r="E6103">
        <v>24</v>
      </c>
    </row>
    <row r="6104" spans="1:5">
      <c r="A6104" t="s">
        <v>37915</v>
      </c>
      <c r="B6104" t="s">
        <v>37921</v>
      </c>
      <c r="C6104">
        <f>0.33874127165</f>
        <v>0.33874127165000001</v>
      </c>
      <c r="D6104">
        <v>0.99986773547499996</v>
      </c>
      <c r="E6104">
        <v>24</v>
      </c>
    </row>
    <row r="6105" spans="1:5">
      <c r="A6105" t="s">
        <v>37915</v>
      </c>
      <c r="B6105" t="s">
        <v>37922</v>
      </c>
      <c r="C6105">
        <f>0.236797634339</f>
        <v>0.236797634339</v>
      </c>
      <c r="D6105">
        <v>0.99986773547499996</v>
      </c>
      <c r="E6105">
        <v>24</v>
      </c>
    </row>
    <row r="6106" spans="1:5">
      <c r="A6106" t="s">
        <v>37915</v>
      </c>
      <c r="B6106" t="s">
        <v>37923</v>
      </c>
      <c r="C6106">
        <f>0.971088250337</f>
        <v>0.97108825033699997</v>
      </c>
      <c r="D6106">
        <v>0.99986773547499996</v>
      </c>
      <c r="E6106">
        <v>24</v>
      </c>
    </row>
    <row r="6107" spans="1:5">
      <c r="A6107" t="s">
        <v>37924</v>
      </c>
      <c r="B6107" t="s">
        <v>25103</v>
      </c>
      <c r="C6107">
        <v>0</v>
      </c>
      <c r="D6107">
        <v>0.86985795709900005</v>
      </c>
      <c r="E6107">
        <v>0.13200000000000001</v>
      </c>
    </row>
    <row r="6108" spans="1:5">
      <c r="A6108" t="s">
        <v>37924</v>
      </c>
      <c r="B6108" t="s">
        <v>25101</v>
      </c>
      <c r="C6108">
        <f>0</f>
        <v>0</v>
      </c>
      <c r="D6108">
        <v>0.86985795709900005</v>
      </c>
      <c r="E6108">
        <v>0.13200000000000001</v>
      </c>
    </row>
    <row r="6109" spans="1:5">
      <c r="A6109" t="s">
        <v>37924</v>
      </c>
      <c r="B6109" t="s">
        <v>37925</v>
      </c>
      <c r="C6109">
        <f>0</f>
        <v>0</v>
      </c>
      <c r="D6109">
        <v>0.86985795709900005</v>
      </c>
      <c r="E6109">
        <v>0.13200000000000001</v>
      </c>
    </row>
    <row r="6110" spans="1:5">
      <c r="A6110" t="s">
        <v>37924</v>
      </c>
      <c r="B6110" t="s">
        <v>25105</v>
      </c>
      <c r="C6110">
        <v>0.50984795709899999</v>
      </c>
      <c r="D6110">
        <v>0.86985795709900005</v>
      </c>
      <c r="E6110">
        <v>0.13200000000000001</v>
      </c>
    </row>
    <row r="6111" spans="1:5">
      <c r="A6111" t="s">
        <v>37926</v>
      </c>
      <c r="B6111" t="s">
        <v>2402</v>
      </c>
      <c r="C6111">
        <v>0.36207731958099998</v>
      </c>
      <c r="D6111">
        <v>0.75017937419299996</v>
      </c>
      <c r="E6111">
        <v>0.378</v>
      </c>
    </row>
    <row r="6112" spans="1:5">
      <c r="A6112" t="s">
        <v>37926</v>
      </c>
      <c r="B6112" t="s">
        <v>2400</v>
      </c>
      <c r="C6112">
        <v>0.65724773450200003</v>
      </c>
      <c r="D6112">
        <v>0.75017937419299996</v>
      </c>
      <c r="E6112">
        <v>0.378</v>
      </c>
    </row>
    <row r="6113" spans="1:5">
      <c r="A6113" t="s">
        <v>37926</v>
      </c>
      <c r="B6113" t="s">
        <v>2401</v>
      </c>
      <c r="C6113">
        <f>0.466897459919</f>
        <v>0.466897459919</v>
      </c>
      <c r="D6113">
        <v>0.75017937419299996</v>
      </c>
      <c r="E6113">
        <v>0.378</v>
      </c>
    </row>
    <row r="6114" spans="1:5">
      <c r="A6114" t="s">
        <v>37927</v>
      </c>
      <c r="B6114" t="s">
        <v>37928</v>
      </c>
      <c r="C6114">
        <v>0</v>
      </c>
      <c r="D6114" t="s">
        <v>106</v>
      </c>
      <c r="E6114">
        <v>18.138000000000002</v>
      </c>
    </row>
    <row r="6115" spans="1:5">
      <c r="A6115" t="s">
        <v>37927</v>
      </c>
      <c r="B6115" t="s">
        <v>37929</v>
      </c>
      <c r="C6115">
        <v>0</v>
      </c>
      <c r="D6115" t="s">
        <v>106</v>
      </c>
      <c r="E6115">
        <v>18.138000000000002</v>
      </c>
    </row>
    <row r="6116" spans="1:5">
      <c r="A6116" t="s">
        <v>37927</v>
      </c>
      <c r="B6116" t="s">
        <v>37930</v>
      </c>
      <c r="C6116">
        <v>0</v>
      </c>
      <c r="D6116" t="s">
        <v>106</v>
      </c>
      <c r="E6116">
        <v>18.138000000000002</v>
      </c>
    </row>
    <row r="6117" spans="1:5">
      <c r="A6117" t="s">
        <v>37927</v>
      </c>
      <c r="B6117" t="s">
        <v>37931</v>
      </c>
      <c r="C6117">
        <v>0</v>
      </c>
      <c r="D6117" t="s">
        <v>106</v>
      </c>
      <c r="E6117">
        <v>18.138000000000002</v>
      </c>
    </row>
    <row r="6118" spans="1:5">
      <c r="A6118" t="s">
        <v>37932</v>
      </c>
      <c r="B6118" t="s">
        <v>37933</v>
      </c>
      <c r="C6118">
        <v>0.59284616226099995</v>
      </c>
      <c r="D6118">
        <v>0.79399365800300004</v>
      </c>
      <c r="E6118">
        <v>0.378</v>
      </c>
    </row>
    <row r="6119" spans="1:5">
      <c r="A6119" t="s">
        <v>37932</v>
      </c>
      <c r="B6119" t="s">
        <v>37934</v>
      </c>
      <c r="C6119">
        <f>0.529956418554</f>
        <v>0.529956418554</v>
      </c>
      <c r="D6119">
        <v>0.79399365800300004</v>
      </c>
      <c r="E6119">
        <v>0.378</v>
      </c>
    </row>
    <row r="6120" spans="1:5">
      <c r="A6120" t="s">
        <v>37935</v>
      </c>
      <c r="B6120" t="s">
        <v>19631</v>
      </c>
      <c r="C6120">
        <f>0.0741899885863</f>
        <v>7.4189988586300007E-2</v>
      </c>
      <c r="D6120">
        <v>0.84211527598699998</v>
      </c>
      <c r="E6120">
        <v>1.224</v>
      </c>
    </row>
    <row r="6121" spans="1:5">
      <c r="A6121" t="s">
        <v>37935</v>
      </c>
      <c r="B6121" t="s">
        <v>19630</v>
      </c>
      <c r="C6121">
        <v>0</v>
      </c>
      <c r="D6121">
        <v>0.84211527598699998</v>
      </c>
      <c r="E6121">
        <v>1.224</v>
      </c>
    </row>
    <row r="6122" spans="1:5">
      <c r="A6122" t="s">
        <v>37935</v>
      </c>
      <c r="B6122" t="s">
        <v>19632</v>
      </c>
      <c r="C6122">
        <f>0.910220402545</f>
        <v>0.91022040254500003</v>
      </c>
      <c r="D6122">
        <v>0.84211527598699998</v>
      </c>
      <c r="E6122">
        <v>1.224</v>
      </c>
    </row>
    <row r="6123" spans="1:5">
      <c r="A6123" t="s">
        <v>37935</v>
      </c>
      <c r="B6123" t="s">
        <v>19633</v>
      </c>
      <c r="C6123">
        <v>0.41607236068999998</v>
      </c>
      <c r="D6123">
        <v>0.84211527598699998</v>
      </c>
      <c r="E6123">
        <v>1.224</v>
      </c>
    </row>
    <row r="6124" spans="1:5">
      <c r="A6124" t="s">
        <v>37936</v>
      </c>
      <c r="B6124" t="s">
        <v>37937</v>
      </c>
      <c r="C6124">
        <v>0.19718159597500001</v>
      </c>
      <c r="D6124">
        <v>0.95758975566799998</v>
      </c>
      <c r="E6124">
        <v>1.968</v>
      </c>
    </row>
    <row r="6125" spans="1:5">
      <c r="A6125" t="s">
        <v>37936</v>
      </c>
      <c r="B6125" t="s">
        <v>37938</v>
      </c>
      <c r="C6125">
        <v>0.70348906296000002</v>
      </c>
      <c r="D6125">
        <v>0.95758975566799998</v>
      </c>
      <c r="E6125">
        <v>1.968</v>
      </c>
    </row>
    <row r="6126" spans="1:5">
      <c r="A6126" t="s">
        <v>37936</v>
      </c>
      <c r="B6126" t="s">
        <v>37939</v>
      </c>
      <c r="C6126">
        <f>0</f>
        <v>0</v>
      </c>
      <c r="D6126">
        <v>0.95758975566799998</v>
      </c>
      <c r="E6126">
        <v>1.968</v>
      </c>
    </row>
    <row r="6127" spans="1:5">
      <c r="A6127" t="s">
        <v>37936</v>
      </c>
      <c r="B6127" t="s">
        <v>37940</v>
      </c>
      <c r="C6127">
        <v>0</v>
      </c>
      <c r="D6127">
        <v>0.95758975566799998</v>
      </c>
      <c r="E6127">
        <v>1.968</v>
      </c>
    </row>
    <row r="6128" spans="1:5">
      <c r="A6128" t="s">
        <v>37936</v>
      </c>
      <c r="B6128" t="s">
        <v>37941</v>
      </c>
      <c r="C6128">
        <v>0</v>
      </c>
      <c r="D6128">
        <v>0.95758975566799998</v>
      </c>
      <c r="E6128">
        <v>1.968</v>
      </c>
    </row>
    <row r="6129" spans="1:5">
      <c r="A6129" t="s">
        <v>37942</v>
      </c>
      <c r="B6129" t="s">
        <v>3218</v>
      </c>
      <c r="C6129">
        <v>0.44356351867499999</v>
      </c>
      <c r="D6129">
        <v>0.94305455029100005</v>
      </c>
      <c r="E6129">
        <v>10.242000000000001</v>
      </c>
    </row>
    <row r="6130" spans="1:5">
      <c r="A6130" t="s">
        <v>37942</v>
      </c>
      <c r="B6130" t="s">
        <v>3217</v>
      </c>
      <c r="C6130">
        <v>0</v>
      </c>
      <c r="D6130">
        <v>0.94305455029100005</v>
      </c>
      <c r="E6130">
        <v>10.242000000000001</v>
      </c>
    </row>
    <row r="6131" spans="1:5">
      <c r="A6131" t="s">
        <v>37942</v>
      </c>
      <c r="B6131" t="s">
        <v>3219</v>
      </c>
      <c r="C6131">
        <f>0.356983007205</f>
        <v>0.35698300720499998</v>
      </c>
      <c r="D6131">
        <v>0.94305455029100005</v>
      </c>
      <c r="E6131">
        <v>10.242000000000001</v>
      </c>
    </row>
    <row r="6132" spans="1:5">
      <c r="A6132" t="s">
        <v>37942</v>
      </c>
      <c r="B6132" t="s">
        <v>3220</v>
      </c>
      <c r="C6132">
        <f>0.364572251611</f>
        <v>0.36457225161099999</v>
      </c>
      <c r="D6132">
        <v>0.94305455029100005</v>
      </c>
      <c r="E6132">
        <v>10.242000000000001</v>
      </c>
    </row>
    <row r="6133" spans="1:5">
      <c r="A6133" t="s">
        <v>37943</v>
      </c>
      <c r="B6133" t="s">
        <v>7283</v>
      </c>
      <c r="C6133">
        <v>0.94732200847500003</v>
      </c>
      <c r="D6133">
        <v>0.948185428941</v>
      </c>
      <c r="E6133">
        <v>9.1679999999999993</v>
      </c>
    </row>
    <row r="6134" spans="1:5">
      <c r="A6134" t="s">
        <v>37943</v>
      </c>
      <c r="B6134" t="s">
        <v>7282</v>
      </c>
      <c r="C6134">
        <v>0.11686402455100001</v>
      </c>
      <c r="D6134">
        <v>0.948185428941</v>
      </c>
      <c r="E6134">
        <v>9.1679999999999993</v>
      </c>
    </row>
    <row r="6135" spans="1:5">
      <c r="A6135" t="s">
        <v>37944</v>
      </c>
      <c r="B6135" t="s">
        <v>37945</v>
      </c>
      <c r="C6135">
        <v>0.593583965948</v>
      </c>
      <c r="D6135">
        <v>0.78719396594799995</v>
      </c>
      <c r="E6135">
        <v>0.318</v>
      </c>
    </row>
    <row r="6136" spans="1:5">
      <c r="A6136" t="s">
        <v>37944</v>
      </c>
      <c r="B6136" t="s">
        <v>37946</v>
      </c>
      <c r="C6136">
        <v>0</v>
      </c>
      <c r="D6136">
        <v>0.78719396594799995</v>
      </c>
      <c r="E6136">
        <v>0.318</v>
      </c>
    </row>
    <row r="6137" spans="1:5">
      <c r="A6137" t="s">
        <v>37944</v>
      </c>
      <c r="B6137" t="s">
        <v>37947</v>
      </c>
      <c r="C6137">
        <f>0</f>
        <v>0</v>
      </c>
      <c r="D6137">
        <v>0.78719396594799995</v>
      </c>
      <c r="E6137">
        <v>0.318</v>
      </c>
    </row>
    <row r="6138" spans="1:5">
      <c r="A6138" t="s">
        <v>37944</v>
      </c>
      <c r="B6138" t="s">
        <v>37948</v>
      </c>
      <c r="C6138">
        <f>0</f>
        <v>0</v>
      </c>
      <c r="D6138">
        <v>0.78719396594799995</v>
      </c>
      <c r="E6138">
        <v>0.318</v>
      </c>
    </row>
    <row r="6139" spans="1:5">
      <c r="A6139" t="s">
        <v>37949</v>
      </c>
      <c r="B6139" t="s">
        <v>15447</v>
      </c>
      <c r="C6139">
        <f>0</f>
        <v>0</v>
      </c>
      <c r="D6139">
        <v>0.898518217417</v>
      </c>
      <c r="E6139">
        <v>0</v>
      </c>
    </row>
    <row r="6140" spans="1:5">
      <c r="A6140" t="s">
        <v>37949</v>
      </c>
      <c r="B6140" t="s">
        <v>15448</v>
      </c>
      <c r="C6140">
        <f>0.820108217417</f>
        <v>0.82010821741700002</v>
      </c>
      <c r="D6140">
        <v>0.898518217417</v>
      </c>
      <c r="E6140">
        <v>0</v>
      </c>
    </row>
    <row r="6141" spans="1:5">
      <c r="A6141" t="s">
        <v>37950</v>
      </c>
      <c r="B6141" t="s">
        <v>26435</v>
      </c>
      <c r="C6141">
        <v>0.97165059093499995</v>
      </c>
      <c r="D6141">
        <v>0.89173186371199997</v>
      </c>
      <c r="E6141">
        <v>10.554</v>
      </c>
    </row>
    <row r="6142" spans="1:5">
      <c r="A6142" t="s">
        <v>37950</v>
      </c>
      <c r="B6142" t="s">
        <v>26437</v>
      </c>
      <c r="C6142">
        <f>0.510033887643</f>
        <v>0.51003388764299995</v>
      </c>
      <c r="D6142">
        <v>0.89173186371199997</v>
      </c>
      <c r="E6142">
        <v>10.554</v>
      </c>
    </row>
    <row r="6143" spans="1:5">
      <c r="A6143" t="s">
        <v>37951</v>
      </c>
      <c r="B6143" t="s">
        <v>37952</v>
      </c>
      <c r="C6143">
        <v>0</v>
      </c>
      <c r="D6143">
        <v>0.86563368712699995</v>
      </c>
      <c r="E6143">
        <v>5.016</v>
      </c>
    </row>
    <row r="6144" spans="1:5">
      <c r="A6144" t="s">
        <v>37951</v>
      </c>
      <c r="B6144" t="s">
        <v>37953</v>
      </c>
      <c r="C6144">
        <f>0</f>
        <v>0</v>
      </c>
      <c r="D6144">
        <v>0.86563368712699995</v>
      </c>
      <c r="E6144">
        <v>5.016</v>
      </c>
    </row>
    <row r="6145" spans="1:5">
      <c r="A6145" t="s">
        <v>37951</v>
      </c>
      <c r="B6145" t="s">
        <v>37954</v>
      </c>
      <c r="C6145">
        <v>0</v>
      </c>
      <c r="D6145">
        <v>0.86563368712699995</v>
      </c>
      <c r="E6145">
        <v>5.016</v>
      </c>
    </row>
    <row r="6146" spans="1:5">
      <c r="A6146" t="s">
        <v>37951</v>
      </c>
      <c r="B6146" t="s">
        <v>37955</v>
      </c>
      <c r="C6146">
        <f>0</f>
        <v>0</v>
      </c>
      <c r="D6146">
        <v>0.86563368712699995</v>
      </c>
      <c r="E6146">
        <v>5.016</v>
      </c>
    </row>
    <row r="6147" spans="1:5">
      <c r="A6147" t="s">
        <v>37951</v>
      </c>
      <c r="B6147" t="s">
        <v>37956</v>
      </c>
      <c r="C6147">
        <f>0</f>
        <v>0</v>
      </c>
      <c r="D6147">
        <v>0.86563368712699995</v>
      </c>
      <c r="E6147">
        <v>5.016</v>
      </c>
    </row>
    <row r="6148" spans="1:5">
      <c r="A6148" t="s">
        <v>37951</v>
      </c>
      <c r="B6148" t="s">
        <v>37957</v>
      </c>
      <c r="C6148">
        <f>0.183626860135</f>
        <v>0.18362686013499999</v>
      </c>
      <c r="D6148">
        <v>0.86563368712699995</v>
      </c>
      <c r="E6148">
        <v>5.016</v>
      </c>
    </row>
    <row r="6149" spans="1:5">
      <c r="A6149" t="s">
        <v>37951</v>
      </c>
      <c r="B6149" t="s">
        <v>37958</v>
      </c>
      <c r="C6149">
        <f>0.434137584569</f>
        <v>0.43413758456899998</v>
      </c>
      <c r="D6149">
        <v>0.86563368712699995</v>
      </c>
      <c r="E6149">
        <v>5.016</v>
      </c>
    </row>
    <row r="6150" spans="1:5">
      <c r="A6150" t="s">
        <v>37951</v>
      </c>
      <c r="B6150" t="s">
        <v>37959</v>
      </c>
      <c r="C6150">
        <f>0</f>
        <v>0</v>
      </c>
      <c r="D6150">
        <v>0.86563368712699995</v>
      </c>
      <c r="E6150">
        <v>5.016</v>
      </c>
    </row>
    <row r="6151" spans="1:5">
      <c r="A6151" t="s">
        <v>37951</v>
      </c>
      <c r="B6151" t="s">
        <v>37960</v>
      </c>
      <c r="C6151">
        <f>0.0746055908257</f>
        <v>7.4605590825699994E-2</v>
      </c>
      <c r="D6151">
        <v>0.86563368712699995</v>
      </c>
      <c r="E6151">
        <v>5.016</v>
      </c>
    </row>
    <row r="6152" spans="1:5">
      <c r="A6152" t="s">
        <v>37961</v>
      </c>
      <c r="B6152" t="s">
        <v>34495</v>
      </c>
      <c r="C6152">
        <v>0</v>
      </c>
      <c r="D6152" t="s">
        <v>106</v>
      </c>
      <c r="E6152">
        <v>4.0739999999999998</v>
      </c>
    </row>
    <row r="6153" spans="1:5">
      <c r="A6153" t="s">
        <v>37961</v>
      </c>
      <c r="B6153" t="s">
        <v>34496</v>
      </c>
      <c r="C6153">
        <f>0</f>
        <v>0</v>
      </c>
      <c r="D6153" t="s">
        <v>106</v>
      </c>
      <c r="E6153">
        <v>4.0739999999999998</v>
      </c>
    </row>
    <row r="6154" spans="1:5">
      <c r="A6154" t="s">
        <v>37961</v>
      </c>
      <c r="B6154" t="s">
        <v>34497</v>
      </c>
      <c r="C6154">
        <v>0</v>
      </c>
      <c r="D6154" t="s">
        <v>106</v>
      </c>
      <c r="E6154">
        <v>4.0739999999999998</v>
      </c>
    </row>
    <row r="6155" spans="1:5">
      <c r="A6155" t="s">
        <v>37962</v>
      </c>
      <c r="B6155" t="s">
        <v>3560</v>
      </c>
      <c r="C6155">
        <v>0.72694374334199996</v>
      </c>
      <c r="D6155">
        <v>0.88598078844499994</v>
      </c>
      <c r="E6155">
        <v>23.754000000000001</v>
      </c>
    </row>
    <row r="6156" spans="1:5">
      <c r="A6156" t="s">
        <v>37962</v>
      </c>
      <c r="B6156" t="s">
        <v>3561</v>
      </c>
      <c r="C6156">
        <v>6.2026848689799999E-3</v>
      </c>
      <c r="D6156">
        <v>0.88598078844499994</v>
      </c>
      <c r="E6156">
        <v>23.754000000000001</v>
      </c>
    </row>
    <row r="6157" spans="1:5">
      <c r="A6157" t="s">
        <v>37962</v>
      </c>
      <c r="B6157" t="s">
        <v>3559</v>
      </c>
      <c r="C6157">
        <f>0.21347183968</f>
        <v>0.21347183968</v>
      </c>
      <c r="D6157">
        <v>0.88598078844499994</v>
      </c>
      <c r="E6157">
        <v>23.754000000000001</v>
      </c>
    </row>
    <row r="6158" spans="1:5">
      <c r="A6158" t="s">
        <v>37963</v>
      </c>
      <c r="B6158" t="s">
        <v>30919</v>
      </c>
      <c r="C6158">
        <v>0</v>
      </c>
      <c r="D6158">
        <v>0.95026356698299996</v>
      </c>
      <c r="E6158">
        <v>2.25</v>
      </c>
    </row>
    <row r="6159" spans="1:5">
      <c r="A6159" t="s">
        <v>37963</v>
      </c>
      <c r="B6159" t="s">
        <v>30920</v>
      </c>
      <c r="C6159">
        <f>0.00501386041512</f>
        <v>5.0138604151200002E-3</v>
      </c>
      <c r="D6159">
        <v>0.95026356698299996</v>
      </c>
      <c r="E6159">
        <v>2.25</v>
      </c>
    </row>
    <row r="6160" spans="1:5">
      <c r="A6160" t="s">
        <v>37963</v>
      </c>
      <c r="B6160" t="s">
        <v>30923</v>
      </c>
      <c r="C6160">
        <f>0.442987839843</f>
        <v>0.442987839843</v>
      </c>
      <c r="D6160">
        <v>0.95026356698299996</v>
      </c>
      <c r="E6160">
        <v>2.25</v>
      </c>
    </row>
    <row r="6161" spans="1:5">
      <c r="A6161" t="s">
        <v>37963</v>
      </c>
      <c r="B6161" t="s">
        <v>30921</v>
      </c>
      <c r="C6161">
        <v>0</v>
      </c>
      <c r="D6161">
        <v>0.95026356698299996</v>
      </c>
      <c r="E6161">
        <v>2.25</v>
      </c>
    </row>
    <row r="6162" spans="1:5">
      <c r="A6162" t="s">
        <v>37963</v>
      </c>
      <c r="B6162" t="s">
        <v>30925</v>
      </c>
      <c r="C6162">
        <f>0.546057972956</f>
        <v>0.546057972956</v>
      </c>
      <c r="D6162">
        <v>0.95026356698299996</v>
      </c>
      <c r="E6162">
        <v>2.25</v>
      </c>
    </row>
    <row r="6163" spans="1:5">
      <c r="A6163" t="s">
        <v>37963</v>
      </c>
      <c r="B6163" t="s">
        <v>30924</v>
      </c>
      <c r="C6163">
        <v>0</v>
      </c>
      <c r="D6163">
        <v>0.95026356698299996</v>
      </c>
      <c r="E6163">
        <v>2.25</v>
      </c>
    </row>
    <row r="6164" spans="1:5">
      <c r="A6164" t="s">
        <v>37964</v>
      </c>
      <c r="B6164" t="s">
        <v>29304</v>
      </c>
      <c r="C6164">
        <f>0</f>
        <v>0</v>
      </c>
      <c r="D6164">
        <v>0.87273373193199999</v>
      </c>
      <c r="E6164">
        <v>0.87</v>
      </c>
    </row>
    <row r="6165" spans="1:5">
      <c r="A6165" t="s">
        <v>37964</v>
      </c>
      <c r="B6165" t="s">
        <v>29307</v>
      </c>
      <c r="C6165">
        <v>0.67912373193200004</v>
      </c>
      <c r="D6165">
        <v>0.87273373193199999</v>
      </c>
      <c r="E6165">
        <v>0.87</v>
      </c>
    </row>
    <row r="6166" spans="1:5">
      <c r="A6166" t="s">
        <v>37964</v>
      </c>
      <c r="B6166" t="s">
        <v>29306</v>
      </c>
      <c r="C6166">
        <v>0</v>
      </c>
      <c r="D6166">
        <v>0.87273373193199999</v>
      </c>
      <c r="E6166">
        <v>0.87</v>
      </c>
    </row>
    <row r="6167" spans="1:5">
      <c r="A6167" t="s">
        <v>37965</v>
      </c>
      <c r="B6167" t="s">
        <v>28866</v>
      </c>
      <c r="C6167">
        <v>1.0849657261400001</v>
      </c>
      <c r="D6167">
        <v>0.85731947505299999</v>
      </c>
      <c r="E6167">
        <v>3.4980000000000002</v>
      </c>
    </row>
    <row r="6168" spans="1:5">
      <c r="A6168" t="s">
        <v>37965</v>
      </c>
      <c r="B6168" t="s">
        <v>28868</v>
      </c>
      <c r="C6168">
        <f>0.316911193039</f>
        <v>0.31691119303900001</v>
      </c>
      <c r="D6168">
        <v>0.85731947505299999</v>
      </c>
      <c r="E6168">
        <v>3.4980000000000002</v>
      </c>
    </row>
    <row r="6169" spans="1:5">
      <c r="A6169" t="s">
        <v>37966</v>
      </c>
      <c r="B6169" t="s">
        <v>23398</v>
      </c>
      <c r="C6169">
        <f>0</f>
        <v>0</v>
      </c>
      <c r="D6169" t="s">
        <v>106</v>
      </c>
      <c r="E6169">
        <v>9.6180000000000003</v>
      </c>
    </row>
    <row r="6170" spans="1:5">
      <c r="A6170" t="s">
        <v>37966</v>
      </c>
      <c r="B6170" t="s">
        <v>23400</v>
      </c>
      <c r="C6170">
        <f>0</f>
        <v>0</v>
      </c>
      <c r="D6170" t="s">
        <v>106</v>
      </c>
      <c r="E6170">
        <v>9.6180000000000003</v>
      </c>
    </row>
    <row r="6171" spans="1:5">
      <c r="A6171" t="s">
        <v>37966</v>
      </c>
      <c r="B6171" t="s">
        <v>23399</v>
      </c>
      <c r="C6171">
        <f>0</f>
        <v>0</v>
      </c>
      <c r="D6171" t="s">
        <v>106</v>
      </c>
      <c r="E6171">
        <v>9.6180000000000003</v>
      </c>
    </row>
    <row r="6172" spans="1:5">
      <c r="A6172" t="s">
        <v>37966</v>
      </c>
      <c r="B6172" t="s">
        <v>23404</v>
      </c>
      <c r="C6172">
        <f>0</f>
        <v>0</v>
      </c>
      <c r="D6172" t="s">
        <v>106</v>
      </c>
      <c r="E6172">
        <v>9.6180000000000003</v>
      </c>
    </row>
    <row r="6173" spans="1:5">
      <c r="A6173" t="s">
        <v>37967</v>
      </c>
      <c r="B6173" t="s">
        <v>37968</v>
      </c>
      <c r="C6173">
        <v>0</v>
      </c>
      <c r="D6173" t="s">
        <v>106</v>
      </c>
      <c r="E6173">
        <v>24</v>
      </c>
    </row>
    <row r="6174" spans="1:5">
      <c r="A6174" t="s">
        <v>37967</v>
      </c>
      <c r="B6174" t="s">
        <v>37969</v>
      </c>
      <c r="C6174">
        <v>0</v>
      </c>
      <c r="D6174" t="s">
        <v>106</v>
      </c>
      <c r="E6174">
        <v>24</v>
      </c>
    </row>
    <row r="6175" spans="1:5">
      <c r="A6175" t="s">
        <v>37967</v>
      </c>
      <c r="B6175" t="s">
        <v>37970</v>
      </c>
      <c r="C6175">
        <f>0</f>
        <v>0</v>
      </c>
      <c r="D6175" t="s">
        <v>106</v>
      </c>
      <c r="E6175">
        <v>24</v>
      </c>
    </row>
    <row r="6176" spans="1:5">
      <c r="A6176" t="s">
        <v>37971</v>
      </c>
      <c r="B6176" t="s">
        <v>6271</v>
      </c>
      <c r="C6176">
        <v>0</v>
      </c>
      <c r="D6176">
        <v>0.80388766940699996</v>
      </c>
      <c r="E6176">
        <v>5.7</v>
      </c>
    </row>
    <row r="6177" spans="1:5">
      <c r="A6177" t="s">
        <v>37971</v>
      </c>
      <c r="B6177" t="s">
        <v>6270</v>
      </c>
      <c r="C6177">
        <f>0.569975315684</f>
        <v>0.56997531568399995</v>
      </c>
      <c r="D6177">
        <v>0.80388766940699996</v>
      </c>
      <c r="E6177">
        <v>5.7</v>
      </c>
    </row>
    <row r="6178" spans="1:5">
      <c r="A6178" t="s">
        <v>37971</v>
      </c>
      <c r="B6178" t="s">
        <v>6275</v>
      </c>
      <c r="C6178">
        <v>0.16106522368699999</v>
      </c>
      <c r="D6178">
        <v>0.80388766940699996</v>
      </c>
      <c r="E6178">
        <v>5.7</v>
      </c>
    </row>
    <row r="6179" spans="1:5">
      <c r="A6179" t="s">
        <v>37971</v>
      </c>
      <c r="B6179" t="s">
        <v>6272</v>
      </c>
      <c r="C6179">
        <f>0</f>
        <v>0</v>
      </c>
      <c r="D6179">
        <v>0.80388766940699996</v>
      </c>
      <c r="E6179">
        <v>5.7</v>
      </c>
    </row>
    <row r="6180" spans="1:5">
      <c r="A6180" t="s">
        <v>37971</v>
      </c>
      <c r="B6180" t="s">
        <v>6273</v>
      </c>
      <c r="C6180">
        <f>0</f>
        <v>0</v>
      </c>
      <c r="D6180">
        <v>0.80388766940699996</v>
      </c>
      <c r="E6180">
        <v>5.7</v>
      </c>
    </row>
    <row r="6181" spans="1:5">
      <c r="A6181" t="s">
        <v>37972</v>
      </c>
      <c r="B6181" t="s">
        <v>37973</v>
      </c>
      <c r="C6181">
        <v>0</v>
      </c>
      <c r="D6181" t="s">
        <v>106</v>
      </c>
      <c r="E6181">
        <v>0.10199999999999999</v>
      </c>
    </row>
    <row r="6182" spans="1:5">
      <c r="A6182" t="s">
        <v>37972</v>
      </c>
      <c r="B6182" t="s">
        <v>37974</v>
      </c>
      <c r="C6182">
        <v>0</v>
      </c>
      <c r="D6182" t="s">
        <v>106</v>
      </c>
      <c r="E6182">
        <v>0.10199999999999999</v>
      </c>
    </row>
    <row r="6183" spans="1:5">
      <c r="A6183" t="s">
        <v>37972</v>
      </c>
      <c r="B6183" t="s">
        <v>37975</v>
      </c>
      <c r="C6183">
        <f>0</f>
        <v>0</v>
      </c>
      <c r="D6183" t="s">
        <v>106</v>
      </c>
      <c r="E6183">
        <v>0.10199999999999999</v>
      </c>
    </row>
    <row r="6184" spans="1:5">
      <c r="A6184" t="s">
        <v>37976</v>
      </c>
      <c r="B6184" t="s">
        <v>37977</v>
      </c>
      <c r="C6184">
        <v>0.73554601104499995</v>
      </c>
      <c r="D6184">
        <v>0.848272658736</v>
      </c>
      <c r="E6184">
        <v>4.5839999999999996</v>
      </c>
    </row>
    <row r="6185" spans="1:5">
      <c r="A6185" t="s">
        <v>37976</v>
      </c>
      <c r="B6185" t="s">
        <v>37978</v>
      </c>
      <c r="C6185">
        <v>4.9028362654199999E-2</v>
      </c>
      <c r="D6185">
        <v>0.848272658736</v>
      </c>
      <c r="E6185">
        <v>4.5839999999999996</v>
      </c>
    </row>
    <row r="6186" spans="1:5">
      <c r="A6186" t="s">
        <v>37979</v>
      </c>
      <c r="B6186" t="s">
        <v>27359</v>
      </c>
      <c r="C6186">
        <v>0</v>
      </c>
      <c r="D6186" t="s">
        <v>106</v>
      </c>
      <c r="E6186">
        <v>1.1160000000000001</v>
      </c>
    </row>
    <row r="6187" spans="1:5">
      <c r="A6187" t="s">
        <v>37979</v>
      </c>
      <c r="B6187" t="s">
        <v>27360</v>
      </c>
      <c r="C6187">
        <v>0</v>
      </c>
      <c r="D6187" t="s">
        <v>106</v>
      </c>
      <c r="E6187">
        <v>1.1160000000000001</v>
      </c>
    </row>
    <row r="6188" spans="1:5">
      <c r="A6188" t="s">
        <v>37979</v>
      </c>
      <c r="B6188" t="s">
        <v>27361</v>
      </c>
      <c r="C6188">
        <v>0</v>
      </c>
      <c r="D6188" t="s">
        <v>106</v>
      </c>
      <c r="E6188">
        <v>1.1160000000000001</v>
      </c>
    </row>
    <row r="6189" spans="1:5">
      <c r="A6189" t="s">
        <v>37979</v>
      </c>
      <c r="B6189" t="s">
        <v>27362</v>
      </c>
      <c r="C6189">
        <v>0</v>
      </c>
      <c r="D6189" t="s">
        <v>106</v>
      </c>
      <c r="E6189">
        <v>1.1160000000000001</v>
      </c>
    </row>
    <row r="6190" spans="1:5">
      <c r="A6190" t="s">
        <v>37980</v>
      </c>
      <c r="B6190" t="s">
        <v>2874</v>
      </c>
      <c r="C6190">
        <f>0</f>
        <v>0</v>
      </c>
      <c r="D6190" t="s">
        <v>106</v>
      </c>
      <c r="E6190">
        <v>24</v>
      </c>
    </row>
    <row r="6191" spans="1:5">
      <c r="A6191" t="s">
        <v>37980</v>
      </c>
      <c r="B6191" t="s">
        <v>2877</v>
      </c>
      <c r="C6191">
        <v>0</v>
      </c>
      <c r="D6191" t="s">
        <v>106</v>
      </c>
      <c r="E6191">
        <v>24</v>
      </c>
    </row>
    <row r="6192" spans="1:5">
      <c r="A6192" t="s">
        <v>37980</v>
      </c>
      <c r="B6192" t="s">
        <v>2876</v>
      </c>
      <c r="C6192">
        <f>0</f>
        <v>0</v>
      </c>
      <c r="D6192" t="s">
        <v>106</v>
      </c>
      <c r="E6192">
        <v>24</v>
      </c>
    </row>
    <row r="6193" spans="1:5">
      <c r="A6193" t="s">
        <v>37981</v>
      </c>
      <c r="B6193" t="s">
        <v>28543</v>
      </c>
      <c r="C6193">
        <v>0.102887649791</v>
      </c>
      <c r="D6193">
        <v>0.82336917982900004</v>
      </c>
      <c r="E6193">
        <v>0.15</v>
      </c>
    </row>
    <row r="6194" spans="1:5">
      <c r="A6194" t="s">
        <v>37981</v>
      </c>
      <c r="B6194" t="s">
        <v>28542</v>
      </c>
      <c r="C6194">
        <v>0</v>
      </c>
      <c r="D6194">
        <v>0.82336917982900004</v>
      </c>
      <c r="E6194">
        <v>0.15</v>
      </c>
    </row>
    <row r="6195" spans="1:5">
      <c r="A6195" t="s">
        <v>37981</v>
      </c>
      <c r="B6195" t="s">
        <v>28544</v>
      </c>
      <c r="C6195">
        <v>0.60217642354599998</v>
      </c>
      <c r="D6195">
        <v>0.82336917982900004</v>
      </c>
      <c r="E6195">
        <v>0.15</v>
      </c>
    </row>
    <row r="6196" spans="1:5">
      <c r="A6196" t="s">
        <v>37982</v>
      </c>
      <c r="B6196" t="s">
        <v>37983</v>
      </c>
      <c r="C6196">
        <v>0</v>
      </c>
      <c r="D6196" t="s">
        <v>106</v>
      </c>
      <c r="E6196">
        <v>13.632</v>
      </c>
    </row>
    <row r="6197" spans="1:5">
      <c r="A6197" t="s">
        <v>37982</v>
      </c>
      <c r="B6197" t="s">
        <v>37984</v>
      </c>
      <c r="C6197">
        <f>0</f>
        <v>0</v>
      </c>
      <c r="D6197" t="s">
        <v>106</v>
      </c>
      <c r="E6197">
        <v>13.632</v>
      </c>
    </row>
    <row r="6198" spans="1:5">
      <c r="A6198" t="s">
        <v>37985</v>
      </c>
      <c r="B6198" t="s">
        <v>28000</v>
      </c>
      <c r="C6198">
        <v>0</v>
      </c>
      <c r="D6198" t="s">
        <v>106</v>
      </c>
      <c r="E6198">
        <v>20.07</v>
      </c>
    </row>
    <row r="6199" spans="1:5">
      <c r="A6199" t="s">
        <v>37985</v>
      </c>
      <c r="B6199" t="s">
        <v>28002</v>
      </c>
      <c r="C6199">
        <v>0</v>
      </c>
      <c r="D6199" t="s">
        <v>106</v>
      </c>
      <c r="E6199">
        <v>20.07</v>
      </c>
    </row>
    <row r="6200" spans="1:5">
      <c r="A6200" t="s">
        <v>37986</v>
      </c>
      <c r="B6200" t="s">
        <v>23483</v>
      </c>
      <c r="C6200">
        <f>0</f>
        <v>0</v>
      </c>
      <c r="D6200" t="s">
        <v>106</v>
      </c>
      <c r="E6200">
        <v>24</v>
      </c>
    </row>
    <row r="6201" spans="1:5">
      <c r="A6201" t="s">
        <v>37986</v>
      </c>
      <c r="B6201" t="s">
        <v>23490</v>
      </c>
      <c r="C6201">
        <v>0</v>
      </c>
      <c r="D6201" t="s">
        <v>106</v>
      </c>
      <c r="E6201">
        <v>24</v>
      </c>
    </row>
    <row r="6202" spans="1:5">
      <c r="A6202" t="s">
        <v>37986</v>
      </c>
      <c r="B6202" t="s">
        <v>23485</v>
      </c>
      <c r="C6202">
        <f>0</f>
        <v>0</v>
      </c>
      <c r="D6202" t="s">
        <v>106</v>
      </c>
      <c r="E6202">
        <v>24</v>
      </c>
    </row>
    <row r="6203" spans="1:5">
      <c r="A6203" t="s">
        <v>37986</v>
      </c>
      <c r="B6203" t="s">
        <v>23489</v>
      </c>
      <c r="C6203">
        <v>0</v>
      </c>
      <c r="D6203" t="s">
        <v>106</v>
      </c>
      <c r="E6203">
        <v>24</v>
      </c>
    </row>
    <row r="6204" spans="1:5">
      <c r="A6204" t="s">
        <v>37986</v>
      </c>
      <c r="B6204" t="s">
        <v>23486</v>
      </c>
      <c r="C6204">
        <v>0</v>
      </c>
      <c r="D6204" t="s">
        <v>106</v>
      </c>
      <c r="E6204">
        <v>24</v>
      </c>
    </row>
    <row r="6205" spans="1:5">
      <c r="A6205" t="s">
        <v>37987</v>
      </c>
      <c r="B6205" t="s">
        <v>27686</v>
      </c>
      <c r="C6205">
        <v>0</v>
      </c>
      <c r="D6205" t="s">
        <v>106</v>
      </c>
      <c r="E6205">
        <v>23.28</v>
      </c>
    </row>
    <row r="6206" spans="1:5">
      <c r="A6206" t="s">
        <v>37987</v>
      </c>
      <c r="B6206" t="s">
        <v>27689</v>
      </c>
      <c r="C6206">
        <v>0</v>
      </c>
      <c r="D6206" t="s">
        <v>106</v>
      </c>
      <c r="E6206">
        <v>23.28</v>
      </c>
    </row>
    <row r="6207" spans="1:5">
      <c r="A6207" t="s">
        <v>37987</v>
      </c>
      <c r="B6207" t="s">
        <v>27688</v>
      </c>
      <c r="C6207">
        <v>0</v>
      </c>
      <c r="D6207" t="s">
        <v>106</v>
      </c>
      <c r="E6207">
        <v>23.28</v>
      </c>
    </row>
    <row r="6208" spans="1:5">
      <c r="A6208" t="s">
        <v>37987</v>
      </c>
      <c r="B6208" t="s">
        <v>27687</v>
      </c>
      <c r="C6208">
        <v>0</v>
      </c>
      <c r="D6208" t="s">
        <v>106</v>
      </c>
      <c r="E6208">
        <v>23.28</v>
      </c>
    </row>
    <row r="6209" spans="1:5">
      <c r="A6209" t="s">
        <v>37988</v>
      </c>
      <c r="B6209" t="s">
        <v>37989</v>
      </c>
      <c r="C6209">
        <v>0</v>
      </c>
      <c r="D6209">
        <v>0.96871389339400005</v>
      </c>
      <c r="E6209">
        <v>0.40799999999999997</v>
      </c>
    </row>
    <row r="6210" spans="1:5">
      <c r="A6210" t="s">
        <v>37988</v>
      </c>
      <c r="B6210" t="s">
        <v>37990</v>
      </c>
      <c r="C6210">
        <v>0.89982700349199995</v>
      </c>
      <c r="D6210">
        <v>0.96871389339400005</v>
      </c>
      <c r="E6210">
        <v>0.40799999999999997</v>
      </c>
    </row>
    <row r="6211" spans="1:5">
      <c r="A6211" t="s">
        <v>37988</v>
      </c>
      <c r="B6211" t="s">
        <v>37991</v>
      </c>
      <c r="C6211">
        <v>2.5312461641300001E-2</v>
      </c>
      <c r="D6211">
        <v>0.96871389339400005</v>
      </c>
      <c r="E6211">
        <v>0.40799999999999997</v>
      </c>
    </row>
    <row r="6212" spans="1:5">
      <c r="A6212" t="s">
        <v>37988</v>
      </c>
      <c r="B6212" t="s">
        <v>37992</v>
      </c>
      <c r="C6212">
        <f>0.275676179501</f>
        <v>0.27567617950099998</v>
      </c>
      <c r="D6212">
        <v>0.96871389339400005</v>
      </c>
      <c r="E6212">
        <v>0.40799999999999997</v>
      </c>
    </row>
    <row r="6213" spans="1:5">
      <c r="A6213" t="s">
        <v>37988</v>
      </c>
      <c r="B6213" t="s">
        <v>37993</v>
      </c>
      <c r="C6213">
        <f>0.0390943763145</f>
        <v>3.9094376314500003E-2</v>
      </c>
      <c r="D6213">
        <v>0.96871389339400005</v>
      </c>
      <c r="E6213">
        <v>0.40799999999999997</v>
      </c>
    </row>
    <row r="6214" spans="1:5">
      <c r="A6214" t="s">
        <v>37988</v>
      </c>
      <c r="B6214" t="s">
        <v>37994</v>
      </c>
      <c r="C6214">
        <f>0.386306524063</f>
        <v>0.38630652406299998</v>
      </c>
      <c r="D6214">
        <v>0.96871389339400005</v>
      </c>
      <c r="E6214">
        <v>0.40799999999999997</v>
      </c>
    </row>
    <row r="6215" spans="1:5">
      <c r="A6215" t="s">
        <v>37995</v>
      </c>
      <c r="B6215" t="s">
        <v>31370</v>
      </c>
      <c r="C6215">
        <v>0</v>
      </c>
      <c r="D6215" t="s">
        <v>106</v>
      </c>
      <c r="E6215">
        <v>24</v>
      </c>
    </row>
    <row r="6216" spans="1:5">
      <c r="A6216" t="s">
        <v>37995</v>
      </c>
      <c r="B6216" t="s">
        <v>31371</v>
      </c>
      <c r="C6216">
        <v>0</v>
      </c>
      <c r="D6216" t="s">
        <v>106</v>
      </c>
      <c r="E6216">
        <v>24</v>
      </c>
    </row>
    <row r="6217" spans="1:5">
      <c r="A6217" t="s">
        <v>37995</v>
      </c>
      <c r="B6217" t="s">
        <v>31372</v>
      </c>
      <c r="C6217">
        <f>0</f>
        <v>0</v>
      </c>
      <c r="D6217" t="s">
        <v>106</v>
      </c>
      <c r="E6217">
        <v>24</v>
      </c>
    </row>
    <row r="6218" spans="1:5">
      <c r="A6218" t="s">
        <v>37995</v>
      </c>
      <c r="B6218" t="s">
        <v>31373</v>
      </c>
      <c r="C6218">
        <v>0</v>
      </c>
      <c r="D6218" t="s">
        <v>106</v>
      </c>
      <c r="E6218">
        <v>24</v>
      </c>
    </row>
    <row r="6219" spans="1:5">
      <c r="A6219" t="s">
        <v>37995</v>
      </c>
      <c r="B6219" t="s">
        <v>31374</v>
      </c>
      <c r="C6219">
        <v>0</v>
      </c>
      <c r="D6219" t="s">
        <v>106</v>
      </c>
      <c r="E6219">
        <v>24</v>
      </c>
    </row>
    <row r="6220" spans="1:5">
      <c r="A6220" t="s">
        <v>37996</v>
      </c>
      <c r="B6220" t="s">
        <v>30543</v>
      </c>
      <c r="C6220">
        <f>0.564849737074</f>
        <v>0.56484973707399999</v>
      </c>
      <c r="D6220">
        <v>0.68435827066099997</v>
      </c>
      <c r="E6220">
        <v>2.3279999999999998</v>
      </c>
    </row>
    <row r="6221" spans="1:5">
      <c r="A6221" t="s">
        <v>37996</v>
      </c>
      <c r="B6221" t="s">
        <v>30545</v>
      </c>
      <c r="C6221">
        <f>0.653223973948</f>
        <v>0.65322397394800003</v>
      </c>
      <c r="D6221">
        <v>0.68435827066099997</v>
      </c>
      <c r="E6221">
        <v>2.3279999999999998</v>
      </c>
    </row>
    <row r="6222" spans="1:5">
      <c r="A6222" t="s">
        <v>37997</v>
      </c>
      <c r="B6222" t="s">
        <v>17614</v>
      </c>
      <c r="C6222">
        <v>0.43075346009999999</v>
      </c>
      <c r="D6222">
        <v>0.71280033728100001</v>
      </c>
      <c r="E6222">
        <v>1.6379999999999999</v>
      </c>
    </row>
    <row r="6223" spans="1:5">
      <c r="A6223" t="s">
        <v>37997</v>
      </c>
      <c r="B6223" t="s">
        <v>17606</v>
      </c>
      <c r="C6223">
        <f>0</f>
        <v>0</v>
      </c>
      <c r="D6223">
        <v>0.71280033728100001</v>
      </c>
      <c r="E6223">
        <v>1.6379999999999999</v>
      </c>
    </row>
    <row r="6224" spans="1:5">
      <c r="A6224" t="s">
        <v>37997</v>
      </c>
      <c r="B6224" t="s">
        <v>17611</v>
      </c>
      <c r="C6224">
        <v>0</v>
      </c>
      <c r="D6224">
        <v>0.71280033728100001</v>
      </c>
      <c r="E6224">
        <v>1.6379999999999999</v>
      </c>
    </row>
    <row r="6225" spans="1:5">
      <c r="A6225" t="s">
        <v>37997</v>
      </c>
      <c r="B6225" t="s">
        <v>17610</v>
      </c>
      <c r="C6225">
        <v>0</v>
      </c>
      <c r="D6225">
        <v>0.71280033728100001</v>
      </c>
      <c r="E6225">
        <v>1.6379999999999999</v>
      </c>
    </row>
    <row r="6226" spans="1:5">
      <c r="A6226" t="s">
        <v>37997</v>
      </c>
      <c r="B6226" t="s">
        <v>17613</v>
      </c>
      <c r="C6226">
        <v>1.37487005085E-2</v>
      </c>
      <c r="D6226">
        <v>0.71280033728100001</v>
      </c>
      <c r="E6226">
        <v>1.6379999999999999</v>
      </c>
    </row>
    <row r="6227" spans="1:5">
      <c r="A6227" t="s">
        <v>37998</v>
      </c>
      <c r="B6227" t="s">
        <v>28668</v>
      </c>
      <c r="C6227">
        <f>0</f>
        <v>0</v>
      </c>
      <c r="D6227">
        <v>0.83931700004200005</v>
      </c>
      <c r="E6227">
        <v>24</v>
      </c>
    </row>
    <row r="6228" spans="1:5">
      <c r="A6228" t="s">
        <v>37998</v>
      </c>
      <c r="B6228" t="s">
        <v>28669</v>
      </c>
      <c r="C6228">
        <v>0.64570700004199999</v>
      </c>
      <c r="D6228">
        <v>0.83931700004200005</v>
      </c>
      <c r="E6228">
        <v>24</v>
      </c>
    </row>
    <row r="6229" spans="1:5">
      <c r="A6229" t="s">
        <v>37999</v>
      </c>
      <c r="B6229" t="s">
        <v>3166</v>
      </c>
      <c r="C6229">
        <v>0.59593383003300004</v>
      </c>
      <c r="D6229">
        <v>0.95171437645300005</v>
      </c>
      <c r="E6229">
        <v>0.114</v>
      </c>
    </row>
    <row r="6230" spans="1:5">
      <c r="A6230" t="s">
        <v>37999</v>
      </c>
      <c r="B6230" t="s">
        <v>3167</v>
      </c>
      <c r="C6230">
        <v>0</v>
      </c>
      <c r="D6230">
        <v>0.95171437645300005</v>
      </c>
      <c r="E6230">
        <v>0.114</v>
      </c>
    </row>
    <row r="6231" spans="1:5">
      <c r="A6231" t="s">
        <v>37999</v>
      </c>
      <c r="B6231" t="s">
        <v>3168</v>
      </c>
      <c r="C6231">
        <f>0.103726426656</f>
        <v>0.103726426656</v>
      </c>
      <c r="D6231">
        <v>0.95171437645300005</v>
      </c>
      <c r="E6231">
        <v>0.114</v>
      </c>
    </row>
    <row r="6232" spans="1:5">
      <c r="A6232" t="s">
        <v>37999</v>
      </c>
      <c r="B6232" t="s">
        <v>3170</v>
      </c>
      <c r="C6232">
        <f>0.622883491299</f>
        <v>0.622883491299</v>
      </c>
      <c r="D6232">
        <v>0.95171437645300005</v>
      </c>
      <c r="E6232">
        <v>0.114</v>
      </c>
    </row>
    <row r="6233" spans="1:5">
      <c r="A6233" t="s">
        <v>38000</v>
      </c>
      <c r="B6233" t="s">
        <v>18079</v>
      </c>
      <c r="C6233">
        <v>0</v>
      </c>
      <c r="D6233">
        <v>0.60862156098999998</v>
      </c>
      <c r="E6233">
        <v>2.25</v>
      </c>
    </row>
    <row r="6234" spans="1:5">
      <c r="A6234" t="s">
        <v>38000</v>
      </c>
      <c r="B6234" t="s">
        <v>18083</v>
      </c>
      <c r="C6234">
        <v>0</v>
      </c>
      <c r="D6234">
        <v>0.60862156098999998</v>
      </c>
      <c r="E6234">
        <v>2.25</v>
      </c>
    </row>
    <row r="6235" spans="1:5">
      <c r="A6235" t="s">
        <v>38000</v>
      </c>
      <c r="B6235" t="s">
        <v>18084</v>
      </c>
      <c r="C6235">
        <f>0</f>
        <v>0</v>
      </c>
      <c r="D6235">
        <v>0.60862156098999998</v>
      </c>
      <c r="E6235">
        <v>2.25</v>
      </c>
    </row>
    <row r="6236" spans="1:5">
      <c r="A6236" t="s">
        <v>38000</v>
      </c>
      <c r="B6236" t="s">
        <v>18081</v>
      </c>
      <c r="C6236">
        <v>0.285421703232</v>
      </c>
      <c r="D6236">
        <v>0.60862156098999998</v>
      </c>
      <c r="E6236">
        <v>2.25</v>
      </c>
    </row>
    <row r="6237" spans="1:5">
      <c r="A6237" t="s">
        <v>38000</v>
      </c>
      <c r="B6237" t="s">
        <v>18077</v>
      </c>
      <c r="C6237">
        <v>0.11188627581299999</v>
      </c>
      <c r="D6237">
        <v>0.60862156098999998</v>
      </c>
      <c r="E6237">
        <v>2.25</v>
      </c>
    </row>
    <row r="6238" spans="1:5">
      <c r="A6238" t="s">
        <v>38001</v>
      </c>
      <c r="B6238" t="s">
        <v>38002</v>
      </c>
      <c r="C6238">
        <f>0.110712293266</f>
        <v>0.110712293266</v>
      </c>
      <c r="D6238">
        <v>0.99092240597400005</v>
      </c>
      <c r="E6238">
        <v>12.048</v>
      </c>
    </row>
    <row r="6239" spans="1:5">
      <c r="A6239" t="s">
        <v>38001</v>
      </c>
      <c r="B6239" t="s">
        <v>38003</v>
      </c>
      <c r="C6239">
        <v>0.83652650320999999</v>
      </c>
      <c r="D6239">
        <v>0.99092240597400005</v>
      </c>
      <c r="E6239">
        <v>12.048</v>
      </c>
    </row>
    <row r="6240" spans="1:5">
      <c r="A6240" t="s">
        <v>38001</v>
      </c>
      <c r="B6240" t="s">
        <v>38004</v>
      </c>
      <c r="C6240">
        <f>0</f>
        <v>0</v>
      </c>
      <c r="D6240">
        <v>0.99092240597400005</v>
      </c>
      <c r="E6240">
        <v>12.048</v>
      </c>
    </row>
    <row r="6241" spans="1:5">
      <c r="A6241" t="s">
        <v>38001</v>
      </c>
      <c r="B6241" t="s">
        <v>38005</v>
      </c>
      <c r="C6241">
        <v>0</v>
      </c>
      <c r="D6241">
        <v>0.99092240597400005</v>
      </c>
      <c r="E6241">
        <v>12.048</v>
      </c>
    </row>
    <row r="6242" spans="1:5">
      <c r="A6242" t="s">
        <v>38001</v>
      </c>
      <c r="B6242" t="s">
        <v>38006</v>
      </c>
      <c r="C6242">
        <v>0.21817403460199999</v>
      </c>
      <c r="D6242">
        <v>0.99092240597400005</v>
      </c>
      <c r="E6242">
        <v>12.048</v>
      </c>
    </row>
    <row r="6243" spans="1:5">
      <c r="A6243" t="s">
        <v>38001</v>
      </c>
      <c r="B6243" t="s">
        <v>38007</v>
      </c>
      <c r="C6243">
        <f>0</f>
        <v>0</v>
      </c>
      <c r="D6243">
        <v>0.99092240597400005</v>
      </c>
      <c r="E6243">
        <v>12.048</v>
      </c>
    </row>
    <row r="6244" spans="1:5">
      <c r="A6244" t="s">
        <v>38001</v>
      </c>
      <c r="B6244" t="s">
        <v>38008</v>
      </c>
      <c r="C6244">
        <v>0</v>
      </c>
      <c r="D6244">
        <v>0.99092240597400005</v>
      </c>
      <c r="E6244">
        <v>12.048</v>
      </c>
    </row>
    <row r="6245" spans="1:5">
      <c r="A6245" t="s">
        <v>38001</v>
      </c>
      <c r="B6245" t="s">
        <v>38009</v>
      </c>
      <c r="C6245">
        <v>0.49540559426899999</v>
      </c>
      <c r="D6245">
        <v>0.99092240597400005</v>
      </c>
      <c r="E6245">
        <v>12.048</v>
      </c>
    </row>
    <row r="6246" spans="1:5">
      <c r="A6246" t="s">
        <v>38001</v>
      </c>
      <c r="B6246" t="s">
        <v>38010</v>
      </c>
      <c r="C6246">
        <v>0</v>
      </c>
      <c r="D6246">
        <v>0.99092240597400005</v>
      </c>
      <c r="E6246">
        <v>12.048</v>
      </c>
    </row>
    <row r="6247" spans="1:5">
      <c r="A6247" t="s">
        <v>38001</v>
      </c>
      <c r="B6247" t="s">
        <v>38011</v>
      </c>
      <c r="C6247">
        <v>0.17714862904500001</v>
      </c>
      <c r="D6247">
        <v>0.99092240597400005</v>
      </c>
      <c r="E6247">
        <v>12.048</v>
      </c>
    </row>
    <row r="6248" spans="1:5">
      <c r="A6248" t="s">
        <v>38012</v>
      </c>
      <c r="B6248" t="s">
        <v>38013</v>
      </c>
      <c r="C6248">
        <v>0</v>
      </c>
      <c r="D6248" t="s">
        <v>106</v>
      </c>
      <c r="E6248">
        <v>0</v>
      </c>
    </row>
    <row r="6249" spans="1:5">
      <c r="A6249" t="s">
        <v>38012</v>
      </c>
      <c r="B6249" t="s">
        <v>38014</v>
      </c>
      <c r="C6249">
        <v>0</v>
      </c>
      <c r="D6249" t="s">
        <v>106</v>
      </c>
      <c r="E6249">
        <v>0</v>
      </c>
    </row>
    <row r="6250" spans="1:5">
      <c r="A6250" t="s">
        <v>38015</v>
      </c>
      <c r="B6250" t="s">
        <v>13373</v>
      </c>
      <c r="C6250">
        <f>0</f>
        <v>0</v>
      </c>
      <c r="D6250" t="s">
        <v>106</v>
      </c>
      <c r="E6250">
        <v>24</v>
      </c>
    </row>
    <row r="6251" spans="1:5">
      <c r="A6251" t="s">
        <v>38015</v>
      </c>
      <c r="B6251" t="s">
        <v>13370</v>
      </c>
      <c r="C6251">
        <v>0</v>
      </c>
      <c r="D6251" t="s">
        <v>106</v>
      </c>
      <c r="E6251">
        <v>24</v>
      </c>
    </row>
    <row r="6252" spans="1:5">
      <c r="A6252" t="s">
        <v>38015</v>
      </c>
      <c r="B6252" t="s">
        <v>13372</v>
      </c>
      <c r="C6252">
        <v>0</v>
      </c>
      <c r="D6252" t="s">
        <v>106</v>
      </c>
      <c r="E6252">
        <v>24</v>
      </c>
    </row>
    <row r="6253" spans="1:5">
      <c r="A6253" t="s">
        <v>38016</v>
      </c>
      <c r="B6253" t="s">
        <v>16693</v>
      </c>
      <c r="C6253">
        <v>0</v>
      </c>
      <c r="D6253" t="s">
        <v>106</v>
      </c>
      <c r="E6253">
        <v>24</v>
      </c>
    </row>
    <row r="6254" spans="1:5">
      <c r="A6254" t="s">
        <v>38016</v>
      </c>
      <c r="B6254" t="s">
        <v>16694</v>
      </c>
      <c r="C6254">
        <f>0</f>
        <v>0</v>
      </c>
      <c r="D6254" t="s">
        <v>106</v>
      </c>
      <c r="E6254">
        <v>24</v>
      </c>
    </row>
    <row r="6255" spans="1:5">
      <c r="A6255" t="s">
        <v>38016</v>
      </c>
      <c r="B6255" t="s">
        <v>16695</v>
      </c>
      <c r="C6255">
        <v>0</v>
      </c>
      <c r="D6255" t="s">
        <v>106</v>
      </c>
      <c r="E6255">
        <v>24</v>
      </c>
    </row>
    <row r="6256" spans="1:5">
      <c r="A6256" t="s">
        <v>38017</v>
      </c>
      <c r="B6256" t="s">
        <v>15150</v>
      </c>
      <c r="C6256">
        <f>0.317083953229</f>
        <v>0.31708395322900002</v>
      </c>
      <c r="D6256">
        <v>0.83715730246099995</v>
      </c>
      <c r="E6256">
        <v>0</v>
      </c>
    </row>
    <row r="6257" spans="1:5">
      <c r="A6257" t="s">
        <v>38017</v>
      </c>
      <c r="B6257" t="s">
        <v>15151</v>
      </c>
      <c r="C6257">
        <f>0.531354666046</f>
        <v>0.53135466604600001</v>
      </c>
      <c r="D6257">
        <v>0.83715730246099995</v>
      </c>
      <c r="E6257">
        <v>0</v>
      </c>
    </row>
    <row r="6258" spans="1:5">
      <c r="A6258" t="s">
        <v>38017</v>
      </c>
      <c r="B6258" t="s">
        <v>15152</v>
      </c>
      <c r="C6258">
        <f>0.0389763268246</f>
        <v>3.8976326824599998E-2</v>
      </c>
      <c r="D6258">
        <v>0.83715730246099995</v>
      </c>
      <c r="E6258">
        <v>0</v>
      </c>
    </row>
    <row r="6259" spans="1:5">
      <c r="A6259" t="s">
        <v>38018</v>
      </c>
      <c r="B6259" t="s">
        <v>9664</v>
      </c>
      <c r="C6259">
        <v>0.31056477800499999</v>
      </c>
      <c r="D6259">
        <v>0.91235699611999999</v>
      </c>
      <c r="E6259">
        <v>24</v>
      </c>
    </row>
    <row r="6260" spans="1:5">
      <c r="A6260" t="s">
        <v>38018</v>
      </c>
      <c r="B6260" t="s">
        <v>9667</v>
      </c>
      <c r="C6260">
        <v>0</v>
      </c>
      <c r="D6260">
        <v>0.91235699611999999</v>
      </c>
      <c r="E6260">
        <v>24</v>
      </c>
    </row>
    <row r="6261" spans="1:5">
      <c r="A6261" t="s">
        <v>38018</v>
      </c>
      <c r="B6261" t="s">
        <v>9670</v>
      </c>
      <c r="C6261">
        <v>0</v>
      </c>
      <c r="D6261">
        <v>0.91235699611999999</v>
      </c>
      <c r="E6261">
        <v>24</v>
      </c>
    </row>
    <row r="6262" spans="1:5">
      <c r="A6262" t="s">
        <v>38018</v>
      </c>
      <c r="B6262" t="s">
        <v>9673</v>
      </c>
      <c r="C6262">
        <v>0</v>
      </c>
      <c r="D6262">
        <v>0.91235699611999999</v>
      </c>
      <c r="E6262">
        <v>24</v>
      </c>
    </row>
    <row r="6263" spans="1:5">
      <c r="A6263" t="s">
        <v>38018</v>
      </c>
      <c r="B6263" t="s">
        <v>9672</v>
      </c>
      <c r="C6263">
        <v>8.1356087351900003E-2</v>
      </c>
      <c r="D6263">
        <v>0.91235699611999999</v>
      </c>
      <c r="E6263">
        <v>24</v>
      </c>
    </row>
    <row r="6264" spans="1:5">
      <c r="A6264" t="s">
        <v>38018</v>
      </c>
      <c r="B6264" t="s">
        <v>9674</v>
      </c>
      <c r="C6264">
        <v>6.4532273646400004E-2</v>
      </c>
      <c r="D6264">
        <v>0.91235699611999999</v>
      </c>
      <c r="E6264">
        <v>24</v>
      </c>
    </row>
    <row r="6265" spans="1:5">
      <c r="A6265" t="s">
        <v>38018</v>
      </c>
      <c r="B6265" t="s">
        <v>9671</v>
      </c>
      <c r="C6265">
        <v>0</v>
      </c>
      <c r="D6265">
        <v>0.91235699611999999</v>
      </c>
      <c r="E6265">
        <v>24</v>
      </c>
    </row>
    <row r="6266" spans="1:5">
      <c r="A6266" t="s">
        <v>38018</v>
      </c>
      <c r="B6266" t="s">
        <v>9665</v>
      </c>
      <c r="C6266">
        <v>0.38930658480399999</v>
      </c>
      <c r="D6266">
        <v>0.91235699611999999</v>
      </c>
      <c r="E6266">
        <v>24</v>
      </c>
    </row>
    <row r="6267" spans="1:5">
      <c r="A6267" t="s">
        <v>38019</v>
      </c>
      <c r="B6267" t="s">
        <v>38020</v>
      </c>
      <c r="C6267">
        <f>0</f>
        <v>0</v>
      </c>
      <c r="D6267" t="s">
        <v>106</v>
      </c>
      <c r="E6267">
        <v>24</v>
      </c>
    </row>
    <row r="6268" spans="1:5">
      <c r="A6268" t="s">
        <v>38019</v>
      </c>
      <c r="B6268" t="s">
        <v>38021</v>
      </c>
      <c r="C6268">
        <v>0</v>
      </c>
      <c r="D6268" t="s">
        <v>106</v>
      </c>
      <c r="E6268">
        <v>24</v>
      </c>
    </row>
    <row r="6269" spans="1:5">
      <c r="A6269" t="s">
        <v>38022</v>
      </c>
      <c r="B6269" t="s">
        <v>8069</v>
      </c>
      <c r="C6269">
        <f>0.546712367694</f>
        <v>0.546712367694</v>
      </c>
      <c r="D6269">
        <v>0.98568913283899995</v>
      </c>
      <c r="E6269">
        <v>24</v>
      </c>
    </row>
    <row r="6270" spans="1:5">
      <c r="A6270" t="s">
        <v>38022</v>
      </c>
      <c r="B6270" t="s">
        <v>8067</v>
      </c>
      <c r="C6270">
        <f>0.368712534568</f>
        <v>0.36871253456800002</v>
      </c>
      <c r="D6270">
        <v>0.98568913283899995</v>
      </c>
      <c r="E6270">
        <v>24</v>
      </c>
    </row>
    <row r="6271" spans="1:5">
      <c r="A6271" t="s">
        <v>38022</v>
      </c>
      <c r="B6271" t="s">
        <v>8065</v>
      </c>
      <c r="C6271">
        <f>-2.58153497506</f>
        <v>-2.5815349750599998</v>
      </c>
      <c r="D6271">
        <v>0.98568913283899995</v>
      </c>
      <c r="E6271">
        <v>24</v>
      </c>
    </row>
    <row r="6272" spans="1:5">
      <c r="A6272" t="s">
        <v>38022</v>
      </c>
      <c r="B6272" t="s">
        <v>8068</v>
      </c>
      <c r="C6272">
        <f>0.258256307848</f>
        <v>0.25825630784800002</v>
      </c>
      <c r="D6272">
        <v>0.98568913283899995</v>
      </c>
      <c r="E6272">
        <v>24</v>
      </c>
    </row>
    <row r="6273" spans="1:5">
      <c r="A6273" t="s">
        <v>38022</v>
      </c>
      <c r="B6273" t="s">
        <v>8066</v>
      </c>
      <c r="C6273">
        <v>1.8071083292500001</v>
      </c>
      <c r="D6273">
        <v>0.98568913283899995</v>
      </c>
      <c r="E6273">
        <v>24</v>
      </c>
    </row>
    <row r="6274" spans="1:5">
      <c r="A6274" t="s">
        <v>38023</v>
      </c>
      <c r="B6274" t="s">
        <v>38024</v>
      </c>
      <c r="C6274">
        <f>0</f>
        <v>0</v>
      </c>
      <c r="D6274" t="s">
        <v>106</v>
      </c>
      <c r="E6274">
        <v>20.513999999999999</v>
      </c>
    </row>
    <row r="6275" spans="1:5">
      <c r="A6275" t="s">
        <v>38023</v>
      </c>
      <c r="B6275" t="s">
        <v>38025</v>
      </c>
      <c r="C6275">
        <f>0</f>
        <v>0</v>
      </c>
      <c r="D6275" t="s">
        <v>106</v>
      </c>
      <c r="E6275">
        <v>20.513999999999999</v>
      </c>
    </row>
    <row r="6276" spans="1:5">
      <c r="A6276" t="s">
        <v>38023</v>
      </c>
      <c r="B6276" t="s">
        <v>38026</v>
      </c>
      <c r="C6276">
        <f>0</f>
        <v>0</v>
      </c>
      <c r="D6276" t="s">
        <v>106</v>
      </c>
      <c r="E6276">
        <v>20.513999999999999</v>
      </c>
    </row>
    <row r="6277" spans="1:5">
      <c r="A6277" t="s">
        <v>38027</v>
      </c>
      <c r="B6277" t="s">
        <v>13273</v>
      </c>
      <c r="C6277">
        <f>0.225753655564</f>
        <v>0.22575365556400001</v>
      </c>
      <c r="D6277">
        <v>0.86111423116100005</v>
      </c>
      <c r="E6277">
        <v>20.736000000000001</v>
      </c>
    </row>
    <row r="6278" spans="1:5">
      <c r="A6278" t="s">
        <v>38027</v>
      </c>
      <c r="B6278" t="s">
        <v>13278</v>
      </c>
      <c r="C6278">
        <f>0</f>
        <v>0</v>
      </c>
      <c r="D6278">
        <v>0.86111423116100005</v>
      </c>
      <c r="E6278">
        <v>20.736000000000001</v>
      </c>
    </row>
    <row r="6279" spans="1:5">
      <c r="A6279" t="s">
        <v>38027</v>
      </c>
      <c r="B6279" t="s">
        <v>13276</v>
      </c>
      <c r="C6279">
        <v>0.52091602498699996</v>
      </c>
      <c r="D6279">
        <v>0.86111423116100005</v>
      </c>
      <c r="E6279">
        <v>20.736000000000001</v>
      </c>
    </row>
    <row r="6280" spans="1:5">
      <c r="A6280" t="s">
        <v>38027</v>
      </c>
      <c r="B6280" t="s">
        <v>13280</v>
      </c>
      <c r="C6280">
        <v>6.3911887738300005E-2</v>
      </c>
      <c r="D6280">
        <v>0.86111423116100005</v>
      </c>
      <c r="E6280">
        <v>20.736000000000001</v>
      </c>
    </row>
    <row r="6281" spans="1:5">
      <c r="A6281" t="s">
        <v>38027</v>
      </c>
      <c r="B6281" t="s">
        <v>13274</v>
      </c>
      <c r="C6281">
        <v>0</v>
      </c>
      <c r="D6281">
        <v>0.86111423116100005</v>
      </c>
      <c r="E6281">
        <v>20.736000000000001</v>
      </c>
    </row>
    <row r="6282" spans="1:5">
      <c r="A6282" t="s">
        <v>38027</v>
      </c>
      <c r="B6282" t="s">
        <v>13275</v>
      </c>
      <c r="C6282">
        <v>0</v>
      </c>
      <c r="D6282">
        <v>0.86111423116100005</v>
      </c>
      <c r="E6282">
        <v>20.736000000000001</v>
      </c>
    </row>
    <row r="6283" spans="1:5">
      <c r="A6283" t="s">
        <v>38028</v>
      </c>
      <c r="B6283" t="s">
        <v>6438</v>
      </c>
      <c r="C6283">
        <v>0</v>
      </c>
      <c r="D6283" t="s">
        <v>106</v>
      </c>
      <c r="E6283">
        <v>0</v>
      </c>
    </row>
    <row r="6284" spans="1:5">
      <c r="A6284" t="s">
        <v>38028</v>
      </c>
      <c r="B6284" t="s">
        <v>6440</v>
      </c>
      <c r="C6284">
        <f>0</f>
        <v>0</v>
      </c>
      <c r="D6284" t="s">
        <v>106</v>
      </c>
      <c r="E6284">
        <v>0</v>
      </c>
    </row>
    <row r="6285" spans="1:5">
      <c r="A6285" t="s">
        <v>38028</v>
      </c>
      <c r="B6285" t="s">
        <v>6439</v>
      </c>
      <c r="C6285">
        <v>0</v>
      </c>
      <c r="D6285" t="s">
        <v>106</v>
      </c>
      <c r="E6285">
        <v>0</v>
      </c>
    </row>
    <row r="6286" spans="1:5">
      <c r="A6286" t="s">
        <v>38028</v>
      </c>
      <c r="B6286" t="s">
        <v>6441</v>
      </c>
      <c r="C6286">
        <v>0</v>
      </c>
      <c r="D6286" t="s">
        <v>106</v>
      </c>
      <c r="E6286">
        <v>0</v>
      </c>
    </row>
    <row r="6287" spans="1:5">
      <c r="A6287" t="s">
        <v>38028</v>
      </c>
      <c r="B6287" t="s">
        <v>6444</v>
      </c>
      <c r="C6287">
        <v>0</v>
      </c>
      <c r="D6287" t="s">
        <v>106</v>
      </c>
      <c r="E6287">
        <v>0</v>
      </c>
    </row>
    <row r="6288" spans="1:5">
      <c r="A6288" t="s">
        <v>38028</v>
      </c>
      <c r="B6288" t="s">
        <v>6445</v>
      </c>
      <c r="C6288">
        <f>0</f>
        <v>0</v>
      </c>
      <c r="D6288" t="s">
        <v>106</v>
      </c>
      <c r="E6288">
        <v>0</v>
      </c>
    </row>
    <row r="6289" spans="1:5">
      <c r="A6289" t="s">
        <v>38028</v>
      </c>
      <c r="B6289" t="s">
        <v>6447</v>
      </c>
      <c r="C6289">
        <f>0</f>
        <v>0</v>
      </c>
      <c r="D6289" t="s">
        <v>106</v>
      </c>
      <c r="E6289">
        <v>0</v>
      </c>
    </row>
    <row r="6290" spans="1:5">
      <c r="A6290" t="s">
        <v>38028</v>
      </c>
      <c r="B6290" t="s">
        <v>6443</v>
      </c>
      <c r="C6290">
        <f>0</f>
        <v>0</v>
      </c>
      <c r="D6290" t="s">
        <v>106</v>
      </c>
      <c r="E6290">
        <v>0</v>
      </c>
    </row>
    <row r="6291" spans="1:5">
      <c r="A6291" t="s">
        <v>38028</v>
      </c>
      <c r="B6291" t="s">
        <v>6442</v>
      </c>
      <c r="C6291">
        <v>0</v>
      </c>
      <c r="D6291" t="s">
        <v>106</v>
      </c>
      <c r="E6291">
        <v>0</v>
      </c>
    </row>
    <row r="6292" spans="1:5">
      <c r="A6292" t="s">
        <v>38028</v>
      </c>
      <c r="B6292" t="s">
        <v>6449</v>
      </c>
      <c r="C6292">
        <v>0</v>
      </c>
      <c r="D6292" t="s">
        <v>106</v>
      </c>
      <c r="E6292">
        <v>0</v>
      </c>
    </row>
    <row r="6293" spans="1:5">
      <c r="A6293" t="s">
        <v>38029</v>
      </c>
      <c r="B6293" t="s">
        <v>1631</v>
      </c>
      <c r="C6293">
        <v>0</v>
      </c>
      <c r="D6293">
        <v>0.72455619151299999</v>
      </c>
      <c r="E6293">
        <v>1.3380000000000001</v>
      </c>
    </row>
    <row r="6294" spans="1:5">
      <c r="A6294" t="s">
        <v>38029</v>
      </c>
      <c r="B6294" t="s">
        <v>1634</v>
      </c>
      <c r="C6294">
        <f>0</f>
        <v>0</v>
      </c>
      <c r="D6294">
        <v>0.72455619151299999</v>
      </c>
      <c r="E6294">
        <v>1.3380000000000001</v>
      </c>
    </row>
    <row r="6295" spans="1:5">
      <c r="A6295" t="s">
        <v>38029</v>
      </c>
      <c r="B6295" t="s">
        <v>1632</v>
      </c>
      <c r="C6295">
        <f>0.146946191513</f>
        <v>0.14694619151300001</v>
      </c>
      <c r="D6295">
        <v>0.72455619151299999</v>
      </c>
      <c r="E6295">
        <v>1.3380000000000001</v>
      </c>
    </row>
    <row r="6296" spans="1:5">
      <c r="A6296" t="s">
        <v>38030</v>
      </c>
      <c r="B6296" t="s">
        <v>1309</v>
      </c>
      <c r="C6296">
        <v>0</v>
      </c>
      <c r="D6296" t="s">
        <v>106</v>
      </c>
      <c r="E6296">
        <v>3.4079999999999999</v>
      </c>
    </row>
    <row r="6297" spans="1:5">
      <c r="A6297" t="s">
        <v>38030</v>
      </c>
      <c r="B6297" t="s">
        <v>1307</v>
      </c>
      <c r="C6297">
        <f>0</f>
        <v>0</v>
      </c>
      <c r="D6297" t="s">
        <v>106</v>
      </c>
      <c r="E6297">
        <v>3.4079999999999999</v>
      </c>
    </row>
    <row r="6298" spans="1:5">
      <c r="A6298" t="s">
        <v>38030</v>
      </c>
      <c r="B6298" t="s">
        <v>1312</v>
      </c>
      <c r="C6298">
        <v>0</v>
      </c>
      <c r="D6298" t="s">
        <v>106</v>
      </c>
      <c r="E6298">
        <v>3.4079999999999999</v>
      </c>
    </row>
    <row r="6299" spans="1:5">
      <c r="A6299" t="s">
        <v>38030</v>
      </c>
      <c r="B6299" t="s">
        <v>1313</v>
      </c>
      <c r="C6299">
        <f>0</f>
        <v>0</v>
      </c>
      <c r="D6299" t="s">
        <v>106</v>
      </c>
      <c r="E6299">
        <v>3.4079999999999999</v>
      </c>
    </row>
    <row r="6300" spans="1:5">
      <c r="A6300" t="s">
        <v>38030</v>
      </c>
      <c r="B6300" t="s">
        <v>1315</v>
      </c>
      <c r="C6300">
        <f>0</f>
        <v>0</v>
      </c>
      <c r="D6300" t="s">
        <v>106</v>
      </c>
      <c r="E6300">
        <v>3.4079999999999999</v>
      </c>
    </row>
    <row r="6301" spans="1:5">
      <c r="A6301" t="s">
        <v>38030</v>
      </c>
      <c r="B6301" t="s">
        <v>1311</v>
      </c>
      <c r="C6301">
        <v>0</v>
      </c>
      <c r="D6301" t="s">
        <v>106</v>
      </c>
      <c r="E6301">
        <v>3.4079999999999999</v>
      </c>
    </row>
    <row r="6302" spans="1:5">
      <c r="A6302" t="s">
        <v>38030</v>
      </c>
      <c r="B6302" t="s">
        <v>1314</v>
      </c>
      <c r="C6302">
        <f>0</f>
        <v>0</v>
      </c>
      <c r="D6302" t="s">
        <v>106</v>
      </c>
      <c r="E6302">
        <v>3.4079999999999999</v>
      </c>
    </row>
    <row r="6303" spans="1:5">
      <c r="A6303" t="s">
        <v>38030</v>
      </c>
      <c r="B6303" t="s">
        <v>1308</v>
      </c>
      <c r="C6303">
        <f>0</f>
        <v>0</v>
      </c>
      <c r="D6303" t="s">
        <v>106</v>
      </c>
      <c r="E6303">
        <v>3.4079999999999999</v>
      </c>
    </row>
    <row r="6304" spans="1:5">
      <c r="A6304" t="s">
        <v>38031</v>
      </c>
      <c r="B6304" t="s">
        <v>38032</v>
      </c>
      <c r="C6304">
        <f>0.190870167923</f>
        <v>0.19087016792299999</v>
      </c>
      <c r="D6304">
        <v>0.97374049730000001</v>
      </c>
      <c r="E6304">
        <v>2.4780000000000002</v>
      </c>
    </row>
    <row r="6305" spans="1:5">
      <c r="A6305" t="s">
        <v>38031</v>
      </c>
      <c r="B6305" t="s">
        <v>38033</v>
      </c>
      <c r="C6305">
        <v>1.1513803977899999</v>
      </c>
      <c r="D6305">
        <v>0.97374049730000001</v>
      </c>
      <c r="E6305">
        <v>2.4780000000000002</v>
      </c>
    </row>
    <row r="6306" spans="1:5">
      <c r="A6306" t="s">
        <v>38031</v>
      </c>
      <c r="B6306" t="s">
        <v>38034</v>
      </c>
      <c r="C6306">
        <f>0.593220369388</f>
        <v>0.59322036938800005</v>
      </c>
      <c r="D6306">
        <v>0.97374049730000001</v>
      </c>
      <c r="E6306">
        <v>2.4780000000000002</v>
      </c>
    </row>
    <row r="6307" spans="1:5">
      <c r="A6307" t="s">
        <v>38031</v>
      </c>
      <c r="B6307" t="s">
        <v>38035</v>
      </c>
      <c r="C6307">
        <f>0.0329707611404</f>
        <v>3.2970761140399998E-2</v>
      </c>
      <c r="D6307">
        <v>0.97374049730000001</v>
      </c>
      <c r="E6307">
        <v>2.4780000000000002</v>
      </c>
    </row>
    <row r="6308" spans="1:5">
      <c r="A6308" t="s">
        <v>38031</v>
      </c>
      <c r="B6308" t="s">
        <v>38036</v>
      </c>
      <c r="C6308">
        <f>0.155425555674</f>
        <v>0.15542555567399999</v>
      </c>
      <c r="D6308">
        <v>0.97374049730000001</v>
      </c>
      <c r="E6308">
        <v>2.4780000000000002</v>
      </c>
    </row>
    <row r="6309" spans="1:5">
      <c r="A6309" t="s">
        <v>38037</v>
      </c>
      <c r="B6309" t="s">
        <v>38038</v>
      </c>
      <c r="C6309">
        <f>0</f>
        <v>0</v>
      </c>
      <c r="D6309" t="s">
        <v>106</v>
      </c>
      <c r="E6309">
        <v>19.416</v>
      </c>
    </row>
    <row r="6310" spans="1:5">
      <c r="A6310" t="s">
        <v>38037</v>
      </c>
      <c r="B6310" t="s">
        <v>38039</v>
      </c>
      <c r="C6310">
        <f>0</f>
        <v>0</v>
      </c>
      <c r="D6310" t="s">
        <v>106</v>
      </c>
      <c r="E6310">
        <v>19.416</v>
      </c>
    </row>
    <row r="6311" spans="1:5">
      <c r="A6311" t="s">
        <v>38037</v>
      </c>
      <c r="B6311" t="s">
        <v>38040</v>
      </c>
      <c r="C6311">
        <f>0</f>
        <v>0</v>
      </c>
      <c r="D6311" t="s">
        <v>106</v>
      </c>
      <c r="E6311">
        <v>19.416</v>
      </c>
    </row>
    <row r="6312" spans="1:5">
      <c r="A6312" t="s">
        <v>38037</v>
      </c>
      <c r="B6312" t="s">
        <v>38041</v>
      </c>
      <c r="C6312">
        <f>0</f>
        <v>0</v>
      </c>
      <c r="D6312" t="s">
        <v>106</v>
      </c>
      <c r="E6312">
        <v>19.416</v>
      </c>
    </row>
    <row r="6313" spans="1:5">
      <c r="A6313" t="s">
        <v>38042</v>
      </c>
      <c r="B6313" t="s">
        <v>15877</v>
      </c>
      <c r="C6313">
        <f>-1.1590311226</f>
        <v>-1.1590311226000001</v>
      </c>
      <c r="D6313">
        <v>0.87279384929500003</v>
      </c>
      <c r="E6313">
        <v>1.1160000000000001</v>
      </c>
    </row>
    <row r="6314" spans="1:5">
      <c r="A6314" t="s">
        <v>38042</v>
      </c>
      <c r="B6314" t="s">
        <v>15880</v>
      </c>
      <c r="C6314">
        <v>0.62418293918099998</v>
      </c>
      <c r="D6314">
        <v>0.87279384929500003</v>
      </c>
      <c r="E6314">
        <v>1.1160000000000001</v>
      </c>
    </row>
    <row r="6315" spans="1:5">
      <c r="A6315" t="s">
        <v>38042</v>
      </c>
      <c r="B6315" t="s">
        <v>15883</v>
      </c>
      <c r="C6315">
        <f>-1.60694633817</f>
        <v>-1.60694633817</v>
      </c>
      <c r="D6315">
        <v>0.87279384929500003</v>
      </c>
      <c r="E6315">
        <v>1.1160000000000001</v>
      </c>
    </row>
    <row r="6316" spans="1:5">
      <c r="A6316" t="s">
        <v>38042</v>
      </c>
      <c r="B6316" t="s">
        <v>15885</v>
      </c>
      <c r="C6316">
        <f>-1.05510888072</f>
        <v>-1.05510888072</v>
      </c>
      <c r="D6316">
        <v>0.87279384929500003</v>
      </c>
      <c r="E6316">
        <v>1.1160000000000001</v>
      </c>
    </row>
    <row r="6317" spans="1:5">
      <c r="A6317" t="s">
        <v>38042</v>
      </c>
      <c r="B6317" t="s">
        <v>15884</v>
      </c>
      <c r="C6317">
        <f>0.0768844398823</f>
        <v>7.6884439882299996E-2</v>
      </c>
      <c r="D6317">
        <v>0.87279384929500003</v>
      </c>
      <c r="E6317">
        <v>1.1160000000000001</v>
      </c>
    </row>
    <row r="6318" spans="1:5">
      <c r="A6318" t="s">
        <v>38043</v>
      </c>
      <c r="B6318" t="s">
        <v>38044</v>
      </c>
      <c r="C6318">
        <v>0</v>
      </c>
      <c r="D6318">
        <v>0.90742583086299999</v>
      </c>
      <c r="E6318">
        <v>0</v>
      </c>
    </row>
    <row r="6319" spans="1:5">
      <c r="A6319" t="s">
        <v>38043</v>
      </c>
      <c r="B6319" t="s">
        <v>38045</v>
      </c>
      <c r="C6319">
        <v>0.71725347258899996</v>
      </c>
      <c r="D6319">
        <v>0.90742583086299999</v>
      </c>
      <c r="E6319">
        <v>0</v>
      </c>
    </row>
    <row r="6320" spans="1:5">
      <c r="A6320" t="s">
        <v>38043</v>
      </c>
      <c r="B6320" t="s">
        <v>38046</v>
      </c>
      <c r="C6320">
        <f>0.419133036898</f>
        <v>0.41913303689800002</v>
      </c>
      <c r="D6320">
        <v>0.90742583086299999</v>
      </c>
      <c r="E6320">
        <v>0</v>
      </c>
    </row>
    <row r="6321" spans="1:5">
      <c r="A6321" t="s">
        <v>38043</v>
      </c>
      <c r="B6321" t="s">
        <v>38047</v>
      </c>
      <c r="C6321">
        <f>0</f>
        <v>0</v>
      </c>
      <c r="D6321">
        <v>0.90742583086299999</v>
      </c>
      <c r="E6321">
        <v>0</v>
      </c>
    </row>
    <row r="6322" spans="1:5">
      <c r="A6322" t="s">
        <v>38043</v>
      </c>
      <c r="B6322" t="s">
        <v>38048</v>
      </c>
      <c r="C6322">
        <f>0</f>
        <v>0</v>
      </c>
      <c r="D6322">
        <v>0.90742583086299999</v>
      </c>
      <c r="E6322">
        <v>0</v>
      </c>
    </row>
    <row r="6323" spans="1:5">
      <c r="A6323" t="s">
        <v>38043</v>
      </c>
      <c r="B6323" t="s">
        <v>38049</v>
      </c>
      <c r="C6323">
        <v>9.7466098152299997E-3</v>
      </c>
      <c r="D6323">
        <v>0.90742583086299999</v>
      </c>
      <c r="E6323">
        <v>0</v>
      </c>
    </row>
    <row r="6324" spans="1:5">
      <c r="A6324" t="s">
        <v>38050</v>
      </c>
      <c r="B6324" t="s">
        <v>38051</v>
      </c>
      <c r="C6324">
        <v>0.69858600682500005</v>
      </c>
      <c r="D6324">
        <v>0.740062827875</v>
      </c>
      <c r="E6324">
        <v>0</v>
      </c>
    </row>
    <row r="6325" spans="1:5">
      <c r="A6325" t="s">
        <v>38050</v>
      </c>
      <c r="B6325" t="s">
        <v>38052</v>
      </c>
      <c r="C6325">
        <v>2.4826183694E-3</v>
      </c>
      <c r="D6325">
        <v>0.740062827875</v>
      </c>
      <c r="E6325">
        <v>0</v>
      </c>
    </row>
    <row r="6326" spans="1:5">
      <c r="A6326" t="s">
        <v>38053</v>
      </c>
      <c r="B6326" t="s">
        <v>38054</v>
      </c>
      <c r="C6326">
        <v>0.53851623491699996</v>
      </c>
      <c r="D6326">
        <v>0.85854704943600002</v>
      </c>
      <c r="E6326">
        <v>0</v>
      </c>
    </row>
    <row r="6327" spans="1:5">
      <c r="A6327" t="s">
        <v>38053</v>
      </c>
      <c r="B6327" t="s">
        <v>38055</v>
      </c>
      <c r="C6327">
        <f>0</f>
        <v>0</v>
      </c>
      <c r="D6327">
        <v>0.85854704943600002</v>
      </c>
      <c r="E6327">
        <v>0</v>
      </c>
    </row>
    <row r="6328" spans="1:5">
      <c r="A6328" t="s">
        <v>38053</v>
      </c>
      <c r="B6328" t="s">
        <v>38056</v>
      </c>
      <c r="C6328">
        <v>0.16201459546399999</v>
      </c>
      <c r="D6328">
        <v>0.85854704943600002</v>
      </c>
      <c r="E6328">
        <v>0</v>
      </c>
    </row>
    <row r="6329" spans="1:5">
      <c r="A6329" t="s">
        <v>38053</v>
      </c>
      <c r="B6329" t="s">
        <v>38057</v>
      </c>
      <c r="C6329">
        <v>0</v>
      </c>
      <c r="D6329">
        <v>0.85854704943600002</v>
      </c>
      <c r="E6329">
        <v>0</v>
      </c>
    </row>
    <row r="6330" spans="1:5">
      <c r="A6330" t="s">
        <v>38053</v>
      </c>
      <c r="B6330" t="s">
        <v>38058</v>
      </c>
      <c r="C6330">
        <v>0</v>
      </c>
      <c r="D6330">
        <v>0.85854704943600002</v>
      </c>
      <c r="E6330">
        <v>0</v>
      </c>
    </row>
    <row r="6331" spans="1:5">
      <c r="A6331" t="s">
        <v>38059</v>
      </c>
      <c r="B6331" t="s">
        <v>25207</v>
      </c>
      <c r="C6331">
        <v>0.13561839732600001</v>
      </c>
      <c r="D6331">
        <v>0.99999068552500003</v>
      </c>
      <c r="E6331">
        <v>2.25</v>
      </c>
    </row>
    <row r="6332" spans="1:5">
      <c r="A6332" t="s">
        <v>38059</v>
      </c>
      <c r="B6332" t="s">
        <v>25227</v>
      </c>
      <c r="C6332">
        <f>0.0973247881087</f>
        <v>9.7324788108700003E-2</v>
      </c>
      <c r="D6332">
        <v>0.99999068552500003</v>
      </c>
      <c r="E6332">
        <v>2.25</v>
      </c>
    </row>
    <row r="6333" spans="1:5">
      <c r="A6333" t="s">
        <v>38059</v>
      </c>
      <c r="B6333" t="s">
        <v>25214</v>
      </c>
      <c r="C6333">
        <v>0.16202547162600001</v>
      </c>
      <c r="D6333">
        <v>0.99999068552500003</v>
      </c>
      <c r="E6333">
        <v>2.25</v>
      </c>
    </row>
    <row r="6334" spans="1:5">
      <c r="A6334" t="s">
        <v>38059</v>
      </c>
      <c r="B6334" t="s">
        <v>25210</v>
      </c>
      <c r="C6334">
        <f>0.0818789334287</f>
        <v>8.1878933428699993E-2</v>
      </c>
      <c r="D6334">
        <v>0.99999068552500003</v>
      </c>
      <c r="E6334">
        <v>2.25</v>
      </c>
    </row>
    <row r="6335" spans="1:5">
      <c r="A6335" t="s">
        <v>38059</v>
      </c>
      <c r="B6335" t="s">
        <v>25229</v>
      </c>
      <c r="C6335">
        <f>0.0677987701416</f>
        <v>6.7798770141600004E-2</v>
      </c>
      <c r="D6335">
        <v>0.99999068552500003</v>
      </c>
      <c r="E6335">
        <v>2.25</v>
      </c>
    </row>
    <row r="6336" spans="1:5">
      <c r="A6336" t="s">
        <v>38059</v>
      </c>
      <c r="B6336" t="s">
        <v>25220</v>
      </c>
      <c r="C6336">
        <f>0.595034678796</f>
        <v>0.59503467879600003</v>
      </c>
      <c r="D6336">
        <v>0.99999068552500003</v>
      </c>
      <c r="E6336">
        <v>2.25</v>
      </c>
    </row>
    <row r="6337" spans="1:5">
      <c r="A6337" t="s">
        <v>38059</v>
      </c>
      <c r="B6337" t="s">
        <v>25222</v>
      </c>
      <c r="C6337">
        <f>0.225705676575</f>
        <v>0.22570567657500001</v>
      </c>
      <c r="D6337">
        <v>0.99999068552500003</v>
      </c>
      <c r="E6337">
        <v>2.25</v>
      </c>
    </row>
    <row r="6338" spans="1:5">
      <c r="A6338" t="s">
        <v>38059</v>
      </c>
      <c r="B6338" t="s">
        <v>25209</v>
      </c>
      <c r="C6338">
        <v>0.22243859317600001</v>
      </c>
      <c r="D6338">
        <v>0.99999068552500003</v>
      </c>
      <c r="E6338">
        <v>2.25</v>
      </c>
    </row>
    <row r="6339" spans="1:5">
      <c r="A6339" t="s">
        <v>38059</v>
      </c>
      <c r="B6339" t="s">
        <v>25223</v>
      </c>
      <c r="C6339">
        <v>0.592518303094</v>
      </c>
      <c r="D6339">
        <v>0.99999068552500003</v>
      </c>
      <c r="E6339">
        <v>2.25</v>
      </c>
    </row>
    <row r="6340" spans="1:5">
      <c r="A6340" t="s">
        <v>38059</v>
      </c>
      <c r="B6340" t="s">
        <v>25215</v>
      </c>
      <c r="C6340">
        <v>1.01022647279E-2</v>
      </c>
      <c r="D6340">
        <v>0.99999068552500003</v>
      </c>
      <c r="E6340">
        <v>2.25</v>
      </c>
    </row>
    <row r="6341" spans="1:5">
      <c r="A6341" t="s">
        <v>38060</v>
      </c>
      <c r="B6341" t="s">
        <v>13235</v>
      </c>
      <c r="C6341">
        <v>0</v>
      </c>
      <c r="D6341" t="s">
        <v>106</v>
      </c>
      <c r="E6341">
        <v>23.28</v>
      </c>
    </row>
    <row r="6342" spans="1:5">
      <c r="A6342" t="s">
        <v>38060</v>
      </c>
      <c r="B6342" t="s">
        <v>13236</v>
      </c>
      <c r="C6342">
        <v>0</v>
      </c>
      <c r="D6342" t="s">
        <v>106</v>
      </c>
      <c r="E6342">
        <v>23.28</v>
      </c>
    </row>
    <row r="6343" spans="1:5">
      <c r="A6343" t="s">
        <v>38061</v>
      </c>
      <c r="B6343" t="s">
        <v>38062</v>
      </c>
      <c r="C6343">
        <f>0</f>
        <v>0</v>
      </c>
      <c r="D6343" t="s">
        <v>106</v>
      </c>
      <c r="E6343">
        <v>24</v>
      </c>
    </row>
    <row r="6344" spans="1:5">
      <c r="A6344" t="s">
        <v>38061</v>
      </c>
      <c r="B6344" t="s">
        <v>38063</v>
      </c>
      <c r="C6344">
        <f>0</f>
        <v>0</v>
      </c>
      <c r="D6344" t="s">
        <v>106</v>
      </c>
      <c r="E6344">
        <v>24</v>
      </c>
    </row>
    <row r="6345" spans="1:5">
      <c r="A6345" t="s">
        <v>38061</v>
      </c>
      <c r="B6345" t="s">
        <v>38064</v>
      </c>
      <c r="C6345">
        <v>0</v>
      </c>
      <c r="D6345" t="s">
        <v>106</v>
      </c>
      <c r="E6345">
        <v>24</v>
      </c>
    </row>
    <row r="6346" spans="1:5">
      <c r="A6346" t="s">
        <v>38061</v>
      </c>
      <c r="B6346" t="s">
        <v>38065</v>
      </c>
      <c r="C6346">
        <f>0</f>
        <v>0</v>
      </c>
      <c r="D6346" t="s">
        <v>106</v>
      </c>
      <c r="E6346">
        <v>24</v>
      </c>
    </row>
    <row r="6347" spans="1:5">
      <c r="A6347" t="s">
        <v>38061</v>
      </c>
      <c r="B6347" t="s">
        <v>38066</v>
      </c>
      <c r="C6347">
        <f>0</f>
        <v>0</v>
      </c>
      <c r="D6347" t="s">
        <v>106</v>
      </c>
      <c r="E6347">
        <v>24</v>
      </c>
    </row>
    <row r="6348" spans="1:5">
      <c r="A6348" t="s">
        <v>38067</v>
      </c>
      <c r="B6348" t="s">
        <v>28127</v>
      </c>
      <c r="C6348">
        <f>0.701509428546</f>
        <v>0.70150942854599996</v>
      </c>
      <c r="D6348">
        <v>0.97553379220500003</v>
      </c>
      <c r="E6348">
        <v>8.2919999999999998</v>
      </c>
    </row>
    <row r="6349" spans="1:5">
      <c r="A6349" t="s">
        <v>38067</v>
      </c>
      <c r="B6349" t="s">
        <v>28128</v>
      </c>
      <c r="C6349">
        <f>-1.21936535691</f>
        <v>-1.21936535691</v>
      </c>
      <c r="D6349">
        <v>0.97553379220500003</v>
      </c>
      <c r="E6349">
        <v>8.2919999999999998</v>
      </c>
    </row>
    <row r="6350" spans="1:5">
      <c r="A6350" t="s">
        <v>38067</v>
      </c>
      <c r="B6350" t="s">
        <v>28125</v>
      </c>
      <c r="C6350">
        <v>0.58292133625099996</v>
      </c>
      <c r="D6350">
        <v>0.97553379220500003</v>
      </c>
      <c r="E6350">
        <v>8.2919999999999998</v>
      </c>
    </row>
    <row r="6351" spans="1:5">
      <c r="A6351" t="s">
        <v>38068</v>
      </c>
      <c r="B6351" t="s">
        <v>32022</v>
      </c>
      <c r="C6351">
        <f>0.549781098963</f>
        <v>0.54978109896299998</v>
      </c>
      <c r="D6351">
        <v>0.78019109896299998</v>
      </c>
      <c r="E6351">
        <v>24</v>
      </c>
    </row>
    <row r="6352" spans="1:5">
      <c r="A6352" t="s">
        <v>38068</v>
      </c>
      <c r="B6352" t="s">
        <v>32025</v>
      </c>
      <c r="C6352">
        <v>0</v>
      </c>
      <c r="D6352">
        <v>0.78019109896299998</v>
      </c>
      <c r="E6352">
        <v>24</v>
      </c>
    </row>
    <row r="6353" spans="1:5">
      <c r="A6353" t="s">
        <v>38068</v>
      </c>
      <c r="B6353" t="s">
        <v>32026</v>
      </c>
      <c r="C6353">
        <f>0</f>
        <v>0</v>
      </c>
      <c r="D6353">
        <v>0.78019109896299998</v>
      </c>
      <c r="E6353">
        <v>24</v>
      </c>
    </row>
    <row r="6354" spans="1:5">
      <c r="A6354" t="s">
        <v>38068</v>
      </c>
      <c r="B6354" t="s">
        <v>32024</v>
      </c>
      <c r="C6354">
        <f>0</f>
        <v>0</v>
      </c>
      <c r="D6354">
        <v>0.78019109896299998</v>
      </c>
      <c r="E6354">
        <v>24</v>
      </c>
    </row>
    <row r="6355" spans="1:5">
      <c r="A6355" t="s">
        <v>38068</v>
      </c>
      <c r="B6355" t="s">
        <v>32023</v>
      </c>
      <c r="C6355">
        <v>0</v>
      </c>
      <c r="D6355">
        <v>0.78019109896299998</v>
      </c>
      <c r="E6355">
        <v>24</v>
      </c>
    </row>
    <row r="6356" spans="1:5">
      <c r="A6356" t="s">
        <v>38069</v>
      </c>
      <c r="B6356" t="s">
        <v>4801</v>
      </c>
      <c r="C6356">
        <f>0.430920208977</f>
        <v>0.43092020897700001</v>
      </c>
      <c r="D6356">
        <v>0.83875580267100003</v>
      </c>
      <c r="E6356">
        <v>21.42</v>
      </c>
    </row>
    <row r="6357" spans="1:5">
      <c r="A6357" t="s">
        <v>38069</v>
      </c>
      <c r="B6357" t="s">
        <v>4803</v>
      </c>
      <c r="C6357">
        <f>0.4557726798</f>
        <v>0.45577267980000002</v>
      </c>
      <c r="D6357">
        <v>0.83875580267100003</v>
      </c>
      <c r="E6357">
        <v>21.42</v>
      </c>
    </row>
    <row r="6358" spans="1:5">
      <c r="A6358" t="s">
        <v>38070</v>
      </c>
      <c r="B6358" t="s">
        <v>28768</v>
      </c>
      <c r="C6358">
        <f>-1.08971914585</f>
        <v>-1.08971914585</v>
      </c>
      <c r="D6358">
        <v>0.99830322136799998</v>
      </c>
      <c r="E6358">
        <v>21.42</v>
      </c>
    </row>
    <row r="6359" spans="1:5">
      <c r="A6359" t="s">
        <v>38070</v>
      </c>
      <c r="B6359" t="s">
        <v>28776</v>
      </c>
      <c r="C6359">
        <v>1.6503713098199999</v>
      </c>
      <c r="D6359">
        <v>0.99830322136799998</v>
      </c>
      <c r="E6359">
        <v>21.42</v>
      </c>
    </row>
    <row r="6360" spans="1:5">
      <c r="A6360" t="s">
        <v>38070</v>
      </c>
      <c r="B6360" t="s">
        <v>28774</v>
      </c>
      <c r="C6360">
        <v>0.54911902924199996</v>
      </c>
      <c r="D6360">
        <v>0.99830322136799998</v>
      </c>
      <c r="E6360">
        <v>21.42</v>
      </c>
    </row>
    <row r="6361" spans="1:5">
      <c r="A6361" t="s">
        <v>38070</v>
      </c>
      <c r="B6361" t="s">
        <v>28773</v>
      </c>
      <c r="C6361">
        <v>0.27383972133200002</v>
      </c>
      <c r="D6361">
        <v>0.99830322136799998</v>
      </c>
      <c r="E6361">
        <v>21.42</v>
      </c>
    </row>
    <row r="6362" spans="1:5">
      <c r="A6362" t="s">
        <v>38070</v>
      </c>
      <c r="B6362" t="s">
        <v>28778</v>
      </c>
      <c r="C6362">
        <f>0.933023422871</f>
        <v>0.93302342287100004</v>
      </c>
      <c r="D6362">
        <v>0.99830322136799998</v>
      </c>
      <c r="E6362">
        <v>21.42</v>
      </c>
    </row>
    <row r="6363" spans="1:5">
      <c r="A6363" t="s">
        <v>38070</v>
      </c>
      <c r="B6363" t="s">
        <v>28775</v>
      </c>
      <c r="C6363">
        <f>0.317291276626</f>
        <v>0.31729127662599999</v>
      </c>
      <c r="D6363">
        <v>0.99830322136799998</v>
      </c>
      <c r="E6363">
        <v>21.42</v>
      </c>
    </row>
    <row r="6364" spans="1:5">
      <c r="A6364" t="s">
        <v>38071</v>
      </c>
      <c r="B6364" t="s">
        <v>13705</v>
      </c>
      <c r="C6364">
        <v>0</v>
      </c>
      <c r="D6364">
        <v>0.70112582871100004</v>
      </c>
      <c r="E6364">
        <v>24</v>
      </c>
    </row>
    <row r="6365" spans="1:5">
      <c r="A6365" t="s">
        <v>38071</v>
      </c>
      <c r="B6365" t="s">
        <v>13708</v>
      </c>
      <c r="C6365">
        <f>0.624760787115</f>
        <v>0.62476078711500005</v>
      </c>
      <c r="D6365">
        <v>0.70112582871100004</v>
      </c>
      <c r="E6365">
        <v>24</v>
      </c>
    </row>
    <row r="6366" spans="1:5">
      <c r="A6366" t="s">
        <v>38071</v>
      </c>
      <c r="B6366" t="s">
        <v>13707</v>
      </c>
      <c r="C6366">
        <v>9.3265023014799997E-2</v>
      </c>
      <c r="D6366">
        <v>0.70112582871100004</v>
      </c>
      <c r="E6366">
        <v>24</v>
      </c>
    </row>
    <row r="6367" spans="1:5">
      <c r="A6367" t="s">
        <v>38072</v>
      </c>
      <c r="B6367" t="s">
        <v>38073</v>
      </c>
      <c r="C6367">
        <f>0.435686838228</f>
        <v>0.43568683822799997</v>
      </c>
      <c r="D6367">
        <v>0.75026322644400001</v>
      </c>
      <c r="E6367">
        <v>0.91800000000000004</v>
      </c>
    </row>
    <row r="6368" spans="1:5">
      <c r="A6368" t="s">
        <v>38072</v>
      </c>
      <c r="B6368" t="s">
        <v>38074</v>
      </c>
      <c r="C6368">
        <f>0</f>
        <v>0</v>
      </c>
      <c r="D6368">
        <v>0.75026322644400001</v>
      </c>
      <c r="E6368">
        <v>0.91800000000000004</v>
      </c>
    </row>
    <row r="6369" spans="1:5">
      <c r="A6369" t="s">
        <v>38072</v>
      </c>
      <c r="B6369" t="s">
        <v>38075</v>
      </c>
      <c r="C6369">
        <f>0.00111801618398</f>
        <v>1.11801618398E-3</v>
      </c>
      <c r="D6369">
        <v>0.75026322644400001</v>
      </c>
      <c r="E6369">
        <v>0.91800000000000004</v>
      </c>
    </row>
    <row r="6370" spans="1:5">
      <c r="A6370" t="s">
        <v>38072</v>
      </c>
      <c r="B6370" t="s">
        <v>38076</v>
      </c>
      <c r="C6370">
        <f>0</f>
        <v>0</v>
      </c>
      <c r="D6370">
        <v>0.75026322644400001</v>
      </c>
      <c r="E6370">
        <v>0.91800000000000004</v>
      </c>
    </row>
    <row r="6371" spans="1:5">
      <c r="A6371" t="s">
        <v>38077</v>
      </c>
      <c r="B6371" t="s">
        <v>26113</v>
      </c>
      <c r="C6371">
        <v>0.343161408906</v>
      </c>
      <c r="D6371">
        <v>0.99999826248400003</v>
      </c>
      <c r="E6371">
        <v>23.754000000000001</v>
      </c>
    </row>
    <row r="6372" spans="1:5">
      <c r="A6372" t="s">
        <v>38077</v>
      </c>
      <c r="B6372" t="s">
        <v>26115</v>
      </c>
      <c r="C6372">
        <v>0.85710237595399996</v>
      </c>
      <c r="D6372">
        <v>0.99999826248400003</v>
      </c>
      <c r="E6372">
        <v>23.754000000000001</v>
      </c>
    </row>
    <row r="6373" spans="1:5">
      <c r="A6373" t="s">
        <v>38077</v>
      </c>
      <c r="B6373" t="s">
        <v>26114</v>
      </c>
      <c r="C6373">
        <f>0.116170585796</f>
        <v>0.11617058579599999</v>
      </c>
      <c r="D6373">
        <v>0.99999826248400003</v>
      </c>
      <c r="E6373">
        <v>23.754000000000001</v>
      </c>
    </row>
    <row r="6374" spans="1:5">
      <c r="A6374" t="s">
        <v>38077</v>
      </c>
      <c r="B6374" t="s">
        <v>26119</v>
      </c>
      <c r="C6374">
        <v>0.40930948845699999</v>
      </c>
      <c r="D6374">
        <v>0.99999826248400003</v>
      </c>
      <c r="E6374">
        <v>23.754000000000001</v>
      </c>
    </row>
    <row r="6375" spans="1:5">
      <c r="A6375" t="s">
        <v>38077</v>
      </c>
      <c r="B6375" t="s">
        <v>26117</v>
      </c>
      <c r="C6375">
        <f>0.384879354855</f>
        <v>0.38487935485500002</v>
      </c>
      <c r="D6375">
        <v>0.99999826248400003</v>
      </c>
      <c r="E6375">
        <v>23.754000000000001</v>
      </c>
    </row>
    <row r="6376" spans="1:5">
      <c r="A6376" t="s">
        <v>38077</v>
      </c>
      <c r="B6376" t="s">
        <v>26116</v>
      </c>
      <c r="C6376">
        <f>-1.25551991849</f>
        <v>-1.2555199184900001</v>
      </c>
      <c r="D6376">
        <v>0.99999826248400003</v>
      </c>
      <c r="E6376">
        <v>23.754000000000001</v>
      </c>
    </row>
    <row r="6377" spans="1:5">
      <c r="A6377" t="s">
        <v>38077</v>
      </c>
      <c r="B6377" t="s">
        <v>26110</v>
      </c>
      <c r="C6377">
        <v>1.00789351079</v>
      </c>
      <c r="D6377">
        <v>0.99999826248400003</v>
      </c>
      <c r="E6377">
        <v>23.754000000000001</v>
      </c>
    </row>
    <row r="6378" spans="1:5">
      <c r="A6378" t="s">
        <v>38077</v>
      </c>
      <c r="B6378" t="s">
        <v>26112</v>
      </c>
      <c r="C6378">
        <f>0.723838239664</f>
        <v>0.72383823966399996</v>
      </c>
      <c r="D6378">
        <v>0.99999826248400003</v>
      </c>
      <c r="E6378">
        <v>23.754000000000001</v>
      </c>
    </row>
    <row r="6379" spans="1:5">
      <c r="A6379" t="s">
        <v>38078</v>
      </c>
      <c r="B6379" t="s">
        <v>13913</v>
      </c>
      <c r="C6379">
        <v>0.516905908252</v>
      </c>
      <c r="D6379">
        <v>0.78731590825200004</v>
      </c>
      <c r="E6379">
        <v>0</v>
      </c>
    </row>
    <row r="6380" spans="1:5">
      <c r="A6380" t="s">
        <v>38078</v>
      </c>
      <c r="B6380" t="s">
        <v>13914</v>
      </c>
      <c r="C6380">
        <v>0</v>
      </c>
      <c r="D6380">
        <v>0.78731590825200004</v>
      </c>
      <c r="E6380">
        <v>0</v>
      </c>
    </row>
    <row r="6381" spans="1:5">
      <c r="A6381" t="s">
        <v>38078</v>
      </c>
      <c r="B6381" t="s">
        <v>13916</v>
      </c>
      <c r="C6381">
        <v>0</v>
      </c>
      <c r="D6381">
        <v>0.78731590825200004</v>
      </c>
      <c r="E6381">
        <v>0</v>
      </c>
    </row>
    <row r="6382" spans="1:5">
      <c r="A6382" t="s">
        <v>38078</v>
      </c>
      <c r="B6382" t="s">
        <v>13915</v>
      </c>
      <c r="C6382">
        <v>0</v>
      </c>
      <c r="D6382">
        <v>0.78731590825200004</v>
      </c>
      <c r="E6382">
        <v>0</v>
      </c>
    </row>
    <row r="6383" spans="1:5">
      <c r="A6383" t="s">
        <v>38079</v>
      </c>
      <c r="B6383" t="s">
        <v>15273</v>
      </c>
      <c r="C6383">
        <v>0</v>
      </c>
      <c r="D6383">
        <v>0.71743072926499996</v>
      </c>
      <c r="E6383">
        <v>10.08</v>
      </c>
    </row>
    <row r="6384" spans="1:5">
      <c r="A6384" t="s">
        <v>38079</v>
      </c>
      <c r="B6384" t="s">
        <v>15276</v>
      </c>
      <c r="C6384">
        <v>0</v>
      </c>
      <c r="D6384">
        <v>0.71743072926499996</v>
      </c>
      <c r="E6384">
        <v>10.08</v>
      </c>
    </row>
    <row r="6385" spans="1:5">
      <c r="A6385" t="s">
        <v>38079</v>
      </c>
      <c r="B6385" t="s">
        <v>15278</v>
      </c>
      <c r="C6385">
        <f>0</f>
        <v>0</v>
      </c>
      <c r="D6385">
        <v>0.71743072926499996</v>
      </c>
      <c r="E6385">
        <v>10.08</v>
      </c>
    </row>
    <row r="6386" spans="1:5">
      <c r="A6386" t="s">
        <v>38079</v>
      </c>
      <c r="B6386" t="s">
        <v>15274</v>
      </c>
      <c r="C6386">
        <v>0</v>
      </c>
      <c r="D6386">
        <v>0.71743072926499996</v>
      </c>
      <c r="E6386">
        <v>10.08</v>
      </c>
    </row>
    <row r="6387" spans="1:5">
      <c r="A6387" t="s">
        <v>38079</v>
      </c>
      <c r="B6387" t="s">
        <v>15277</v>
      </c>
      <c r="C6387">
        <f>0.487020729265</f>
        <v>0.48702072926500001</v>
      </c>
      <c r="D6387">
        <v>0.71743072926499996</v>
      </c>
      <c r="E6387">
        <v>10.08</v>
      </c>
    </row>
    <row r="6388" spans="1:5">
      <c r="A6388" t="s">
        <v>38079</v>
      </c>
      <c r="B6388" t="s">
        <v>15281</v>
      </c>
      <c r="C6388">
        <f>0</f>
        <v>0</v>
      </c>
      <c r="D6388">
        <v>0.71743072926499996</v>
      </c>
      <c r="E6388">
        <v>10.08</v>
      </c>
    </row>
    <row r="6389" spans="1:5">
      <c r="A6389" t="s">
        <v>38080</v>
      </c>
      <c r="B6389" t="s">
        <v>3155</v>
      </c>
      <c r="C6389">
        <v>0</v>
      </c>
      <c r="D6389" t="s">
        <v>106</v>
      </c>
      <c r="E6389">
        <v>0.24</v>
      </c>
    </row>
    <row r="6390" spans="1:5">
      <c r="A6390" t="s">
        <v>38080</v>
      </c>
      <c r="B6390" t="s">
        <v>3158</v>
      </c>
      <c r="C6390">
        <f>0</f>
        <v>0</v>
      </c>
      <c r="D6390" t="s">
        <v>106</v>
      </c>
      <c r="E6390">
        <v>0.24</v>
      </c>
    </row>
    <row r="6391" spans="1:5">
      <c r="A6391" t="s">
        <v>38080</v>
      </c>
      <c r="B6391" t="s">
        <v>3157</v>
      </c>
      <c r="C6391">
        <f>0</f>
        <v>0</v>
      </c>
      <c r="D6391" t="s">
        <v>106</v>
      </c>
      <c r="E6391">
        <v>0.24</v>
      </c>
    </row>
    <row r="6392" spans="1:5">
      <c r="A6392" t="s">
        <v>38080</v>
      </c>
      <c r="B6392" t="s">
        <v>3156</v>
      </c>
      <c r="C6392">
        <f>0</f>
        <v>0</v>
      </c>
      <c r="D6392" t="s">
        <v>106</v>
      </c>
      <c r="E6392">
        <v>0.24</v>
      </c>
    </row>
    <row r="6393" spans="1:5">
      <c r="A6393" t="s">
        <v>38081</v>
      </c>
      <c r="B6393" t="s">
        <v>24082</v>
      </c>
      <c r="C6393">
        <f>0.463893507228</f>
        <v>0.46389350722799999</v>
      </c>
      <c r="D6393">
        <v>0.92004660019399997</v>
      </c>
      <c r="E6393">
        <v>24</v>
      </c>
    </row>
    <row r="6394" spans="1:5">
      <c r="A6394" t="s">
        <v>38081</v>
      </c>
      <c r="B6394" t="s">
        <v>24084</v>
      </c>
      <c r="C6394">
        <v>1.8138981865699999</v>
      </c>
      <c r="D6394">
        <v>0.92004660019399997</v>
      </c>
      <c r="E6394">
        <v>24</v>
      </c>
    </row>
    <row r="6395" spans="1:5">
      <c r="A6395" t="s">
        <v>38081</v>
      </c>
      <c r="B6395" t="s">
        <v>24085</v>
      </c>
      <c r="C6395">
        <f>0.533514434303</f>
        <v>0.53351443430300005</v>
      </c>
      <c r="D6395">
        <v>0.92004660019399997</v>
      </c>
      <c r="E6395">
        <v>24</v>
      </c>
    </row>
    <row r="6396" spans="1:5">
      <c r="A6396" t="s">
        <v>38081</v>
      </c>
      <c r="B6396" t="s">
        <v>24086</v>
      </c>
      <c r="C6396">
        <f>-1.2229313211</f>
        <v>-1.2229313210999999</v>
      </c>
      <c r="D6396">
        <v>0.92004660019399997</v>
      </c>
      <c r="E6396">
        <v>24</v>
      </c>
    </row>
    <row r="6397" spans="1:5">
      <c r="A6397" t="s">
        <v>38082</v>
      </c>
      <c r="B6397" t="s">
        <v>11297</v>
      </c>
      <c r="C6397">
        <f>0.300147398735</f>
        <v>0.30014739873500001</v>
      </c>
      <c r="D6397">
        <v>0.99998230274300004</v>
      </c>
      <c r="E6397">
        <v>7.8719999999999999</v>
      </c>
    </row>
    <row r="6398" spans="1:5">
      <c r="A6398" t="s">
        <v>38082</v>
      </c>
      <c r="B6398" t="s">
        <v>11304</v>
      </c>
      <c r="C6398">
        <v>1.3843870065399999</v>
      </c>
      <c r="D6398">
        <v>0.99998230274300004</v>
      </c>
      <c r="E6398">
        <v>7.8719999999999999</v>
      </c>
    </row>
    <row r="6399" spans="1:5">
      <c r="A6399" t="s">
        <v>38082</v>
      </c>
      <c r="B6399" t="s">
        <v>11305</v>
      </c>
      <c r="C6399">
        <v>0.110433277848</v>
      </c>
      <c r="D6399">
        <v>0.99998230274300004</v>
      </c>
      <c r="E6399">
        <v>7.8719999999999999</v>
      </c>
    </row>
    <row r="6400" spans="1:5">
      <c r="A6400" t="s">
        <v>38082</v>
      </c>
      <c r="B6400" t="s">
        <v>11300</v>
      </c>
      <c r="C6400">
        <f>0.0321467189485</f>
        <v>3.2146718948499999E-2</v>
      </c>
      <c r="D6400">
        <v>0.99998230274300004</v>
      </c>
      <c r="E6400">
        <v>7.8719999999999999</v>
      </c>
    </row>
    <row r="6401" spans="1:5">
      <c r="A6401" t="s">
        <v>38082</v>
      </c>
      <c r="B6401" t="s">
        <v>11313</v>
      </c>
      <c r="C6401">
        <v>0.71446607506699999</v>
      </c>
      <c r="D6401">
        <v>0.99998230274300004</v>
      </c>
      <c r="E6401">
        <v>7.8719999999999999</v>
      </c>
    </row>
    <row r="6402" spans="1:5">
      <c r="A6402" t="s">
        <v>38082</v>
      </c>
      <c r="B6402" t="s">
        <v>11303</v>
      </c>
      <c r="C6402">
        <f>0.180163181194</f>
        <v>0.18016318119399999</v>
      </c>
      <c r="D6402">
        <v>0.99998230274300004</v>
      </c>
      <c r="E6402">
        <v>7.8719999999999999</v>
      </c>
    </row>
    <row r="6403" spans="1:5">
      <c r="A6403" t="s">
        <v>38082</v>
      </c>
      <c r="B6403" t="s">
        <v>11301</v>
      </c>
      <c r="C6403">
        <f>0.149662243266</f>
        <v>0.149662243266</v>
      </c>
      <c r="D6403">
        <v>0.99998230274300004</v>
      </c>
      <c r="E6403">
        <v>7.8719999999999999</v>
      </c>
    </row>
    <row r="6404" spans="1:5">
      <c r="A6404" t="s">
        <v>38083</v>
      </c>
      <c r="B6404" t="s">
        <v>20821</v>
      </c>
      <c r="C6404">
        <f>0</f>
        <v>0</v>
      </c>
      <c r="D6404">
        <v>0.75234059424900002</v>
      </c>
      <c r="E6404">
        <v>1.968</v>
      </c>
    </row>
    <row r="6405" spans="1:5">
      <c r="A6405" t="s">
        <v>38083</v>
      </c>
      <c r="B6405" t="s">
        <v>20829</v>
      </c>
      <c r="C6405">
        <f>0</f>
        <v>0</v>
      </c>
      <c r="D6405">
        <v>0.75234059424900002</v>
      </c>
      <c r="E6405">
        <v>1.968</v>
      </c>
    </row>
    <row r="6406" spans="1:5">
      <c r="A6406" t="s">
        <v>38083</v>
      </c>
      <c r="B6406" t="s">
        <v>20830</v>
      </c>
      <c r="C6406">
        <f>0.116087342483</f>
        <v>0.116087342483</v>
      </c>
      <c r="D6406">
        <v>0.75234059424900002</v>
      </c>
      <c r="E6406">
        <v>1.968</v>
      </c>
    </row>
    <row r="6407" spans="1:5">
      <c r="A6407" t="s">
        <v>38083</v>
      </c>
      <c r="B6407" t="s">
        <v>20827</v>
      </c>
      <c r="C6407">
        <f>0.191354674019</f>
        <v>0.191354674019</v>
      </c>
      <c r="D6407">
        <v>0.75234059424900002</v>
      </c>
      <c r="E6407">
        <v>1.968</v>
      </c>
    </row>
    <row r="6408" spans="1:5">
      <c r="A6408" t="s">
        <v>38083</v>
      </c>
      <c r="B6408" t="s">
        <v>20824</v>
      </c>
      <c r="C6408">
        <f>0</f>
        <v>0</v>
      </c>
      <c r="D6408">
        <v>0.75234059424900002</v>
      </c>
      <c r="E6408">
        <v>1.968</v>
      </c>
    </row>
    <row r="6409" spans="1:5">
      <c r="A6409" t="s">
        <v>38083</v>
      </c>
      <c r="B6409" t="s">
        <v>20825</v>
      </c>
      <c r="C6409">
        <f>0</f>
        <v>0</v>
      </c>
      <c r="D6409">
        <v>0.75234059424900002</v>
      </c>
      <c r="E6409">
        <v>1.968</v>
      </c>
    </row>
    <row r="6410" spans="1:5">
      <c r="A6410" t="s">
        <v>38083</v>
      </c>
      <c r="B6410" t="s">
        <v>20822</v>
      </c>
      <c r="C6410">
        <f>0</f>
        <v>0</v>
      </c>
      <c r="D6410">
        <v>0.75234059424900002</v>
      </c>
      <c r="E6410">
        <v>1.968</v>
      </c>
    </row>
    <row r="6411" spans="1:5">
      <c r="A6411" t="s">
        <v>38083</v>
      </c>
      <c r="B6411" t="s">
        <v>20826</v>
      </c>
      <c r="C6411">
        <f>0</f>
        <v>0</v>
      </c>
      <c r="D6411">
        <v>0.75234059424900002</v>
      </c>
      <c r="E6411">
        <v>1.968</v>
      </c>
    </row>
    <row r="6412" spans="1:5">
      <c r="A6412" t="s">
        <v>38084</v>
      </c>
      <c r="B6412" t="s">
        <v>1795</v>
      </c>
      <c r="C6412">
        <v>0.330313381771</v>
      </c>
      <c r="D6412">
        <v>0.74859384263700002</v>
      </c>
      <c r="E6412">
        <v>6.0000000000000001E-3</v>
      </c>
    </row>
    <row r="6413" spans="1:5">
      <c r="A6413" t="s">
        <v>38084</v>
      </c>
      <c r="B6413" t="s">
        <v>1797</v>
      </c>
      <c r="C6413">
        <v>0.434071037459</v>
      </c>
      <c r="D6413">
        <v>0.74859384263700002</v>
      </c>
      <c r="E6413">
        <v>6.0000000000000001E-3</v>
      </c>
    </row>
    <row r="6414" spans="1:5">
      <c r="A6414" t="s">
        <v>38084</v>
      </c>
      <c r="B6414" t="s">
        <v>1798</v>
      </c>
      <c r="C6414">
        <v>0</v>
      </c>
      <c r="D6414">
        <v>0.74859384263700002</v>
      </c>
      <c r="E6414">
        <v>6.0000000000000001E-3</v>
      </c>
    </row>
    <row r="6415" spans="1:5">
      <c r="A6415" t="s">
        <v>38085</v>
      </c>
      <c r="B6415" t="s">
        <v>38086</v>
      </c>
      <c r="C6415">
        <f>0.480547065393</f>
        <v>0.48054706539300002</v>
      </c>
      <c r="D6415">
        <v>0.84055706539300001</v>
      </c>
      <c r="E6415">
        <v>21.42</v>
      </c>
    </row>
    <row r="6416" spans="1:5">
      <c r="A6416" t="s">
        <v>38085</v>
      </c>
      <c r="B6416" t="s">
        <v>38087</v>
      </c>
      <c r="C6416">
        <f>0</f>
        <v>0</v>
      </c>
      <c r="D6416">
        <v>0.84055706539300001</v>
      </c>
      <c r="E6416">
        <v>21.42</v>
      </c>
    </row>
    <row r="6417" spans="1:5">
      <c r="A6417" t="s">
        <v>38085</v>
      </c>
      <c r="B6417" t="s">
        <v>38088</v>
      </c>
      <c r="C6417">
        <v>0</v>
      </c>
      <c r="D6417">
        <v>0.84055706539300001</v>
      </c>
      <c r="E6417">
        <v>21.42</v>
      </c>
    </row>
    <row r="6418" spans="1:5">
      <c r="A6418" t="s">
        <v>38085</v>
      </c>
      <c r="B6418" t="s">
        <v>38089</v>
      </c>
      <c r="C6418">
        <v>0</v>
      </c>
      <c r="D6418">
        <v>0.84055706539300001</v>
      </c>
      <c r="E6418">
        <v>21.42</v>
      </c>
    </row>
    <row r="6419" spans="1:5">
      <c r="A6419" t="s">
        <v>38085</v>
      </c>
      <c r="B6419" t="s">
        <v>38090</v>
      </c>
      <c r="C6419">
        <f>0</f>
        <v>0</v>
      </c>
      <c r="D6419">
        <v>0.84055706539300001</v>
      </c>
      <c r="E6419">
        <v>21.42</v>
      </c>
    </row>
    <row r="6420" spans="1:5">
      <c r="A6420" t="s">
        <v>38091</v>
      </c>
      <c r="B6420" t="s">
        <v>30954</v>
      </c>
      <c r="C6420">
        <v>0</v>
      </c>
      <c r="D6420" t="s">
        <v>106</v>
      </c>
      <c r="E6420">
        <v>13.818</v>
      </c>
    </row>
    <row r="6421" spans="1:5">
      <c r="A6421" t="s">
        <v>38091</v>
      </c>
      <c r="B6421" t="s">
        <v>30955</v>
      </c>
      <c r="C6421">
        <v>0</v>
      </c>
      <c r="D6421" t="s">
        <v>106</v>
      </c>
      <c r="E6421">
        <v>13.818</v>
      </c>
    </row>
    <row r="6422" spans="1:5">
      <c r="A6422" t="s">
        <v>38091</v>
      </c>
      <c r="B6422" t="s">
        <v>30957</v>
      </c>
      <c r="C6422">
        <v>0</v>
      </c>
      <c r="D6422" t="s">
        <v>106</v>
      </c>
      <c r="E6422">
        <v>13.818</v>
      </c>
    </row>
    <row r="6423" spans="1:5">
      <c r="A6423" t="s">
        <v>38091</v>
      </c>
      <c r="B6423" t="s">
        <v>30956</v>
      </c>
      <c r="C6423">
        <f>0</f>
        <v>0</v>
      </c>
      <c r="D6423" t="s">
        <v>106</v>
      </c>
      <c r="E6423">
        <v>13.818</v>
      </c>
    </row>
    <row r="6424" spans="1:5">
      <c r="A6424" t="s">
        <v>38091</v>
      </c>
      <c r="B6424" t="s">
        <v>30962</v>
      </c>
      <c r="C6424">
        <f>0</f>
        <v>0</v>
      </c>
      <c r="D6424" t="s">
        <v>106</v>
      </c>
      <c r="E6424">
        <v>13.818</v>
      </c>
    </row>
    <row r="6425" spans="1:5">
      <c r="A6425" t="s">
        <v>38091</v>
      </c>
      <c r="B6425" t="s">
        <v>30960</v>
      </c>
      <c r="C6425">
        <f>0</f>
        <v>0</v>
      </c>
      <c r="D6425" t="s">
        <v>106</v>
      </c>
      <c r="E6425">
        <v>13.818</v>
      </c>
    </row>
    <row r="6426" spans="1:5">
      <c r="A6426" t="s">
        <v>38092</v>
      </c>
      <c r="B6426" t="s">
        <v>6497</v>
      </c>
      <c r="C6426">
        <v>0</v>
      </c>
      <c r="D6426" t="s">
        <v>106</v>
      </c>
      <c r="E6426">
        <v>24</v>
      </c>
    </row>
    <row r="6427" spans="1:5">
      <c r="A6427" t="s">
        <v>38092</v>
      </c>
      <c r="B6427" t="s">
        <v>6487</v>
      </c>
      <c r="C6427">
        <f>0</f>
        <v>0</v>
      </c>
      <c r="D6427" t="s">
        <v>106</v>
      </c>
      <c r="E6427">
        <v>24</v>
      </c>
    </row>
    <row r="6428" spans="1:5">
      <c r="A6428" t="s">
        <v>38092</v>
      </c>
      <c r="B6428" t="s">
        <v>6492</v>
      </c>
      <c r="C6428">
        <v>0</v>
      </c>
      <c r="D6428" t="s">
        <v>106</v>
      </c>
      <c r="E6428">
        <v>24</v>
      </c>
    </row>
    <row r="6429" spans="1:5">
      <c r="A6429" t="s">
        <v>38092</v>
      </c>
      <c r="B6429" t="s">
        <v>6494</v>
      </c>
      <c r="C6429">
        <f>0</f>
        <v>0</v>
      </c>
      <c r="D6429" t="s">
        <v>106</v>
      </c>
      <c r="E6429">
        <v>24</v>
      </c>
    </row>
    <row r="6430" spans="1:5">
      <c r="A6430" t="s">
        <v>38092</v>
      </c>
      <c r="B6430" t="s">
        <v>6510</v>
      </c>
      <c r="C6430">
        <v>0</v>
      </c>
      <c r="D6430" t="s">
        <v>106</v>
      </c>
      <c r="E6430">
        <v>24</v>
      </c>
    </row>
    <row r="6431" spans="1:5">
      <c r="A6431" t="s">
        <v>38092</v>
      </c>
      <c r="B6431" t="s">
        <v>6495</v>
      </c>
      <c r="C6431">
        <v>0</v>
      </c>
      <c r="D6431" t="s">
        <v>106</v>
      </c>
      <c r="E6431">
        <v>24</v>
      </c>
    </row>
    <row r="6432" spans="1:5">
      <c r="A6432" t="s">
        <v>38092</v>
      </c>
      <c r="B6432" t="s">
        <v>6490</v>
      </c>
      <c r="C6432">
        <v>0</v>
      </c>
      <c r="D6432" t="s">
        <v>106</v>
      </c>
      <c r="E6432">
        <v>24</v>
      </c>
    </row>
    <row r="6433" spans="1:5">
      <c r="A6433" t="s">
        <v>38092</v>
      </c>
      <c r="B6433" t="s">
        <v>6506</v>
      </c>
      <c r="C6433">
        <v>0</v>
      </c>
      <c r="D6433" t="s">
        <v>106</v>
      </c>
      <c r="E6433">
        <v>24</v>
      </c>
    </row>
    <row r="6434" spans="1:5">
      <c r="A6434" t="s">
        <v>38092</v>
      </c>
      <c r="B6434" t="s">
        <v>6498</v>
      </c>
      <c r="C6434">
        <f>0</f>
        <v>0</v>
      </c>
      <c r="D6434" t="s">
        <v>106</v>
      </c>
      <c r="E6434">
        <v>24</v>
      </c>
    </row>
    <row r="6435" spans="1:5">
      <c r="A6435" t="s">
        <v>38092</v>
      </c>
      <c r="B6435" t="s">
        <v>6500</v>
      </c>
      <c r="C6435">
        <v>0</v>
      </c>
      <c r="D6435" t="s">
        <v>106</v>
      </c>
      <c r="E6435">
        <v>24</v>
      </c>
    </row>
    <row r="6436" spans="1:5">
      <c r="A6436" t="s">
        <v>38092</v>
      </c>
      <c r="B6436" t="s">
        <v>6503</v>
      </c>
      <c r="C6436">
        <v>0</v>
      </c>
      <c r="D6436" t="s">
        <v>106</v>
      </c>
      <c r="E6436">
        <v>24</v>
      </c>
    </row>
    <row r="6437" spans="1:5">
      <c r="A6437" t="s">
        <v>38092</v>
      </c>
      <c r="B6437" t="s">
        <v>38093</v>
      </c>
      <c r="C6437">
        <v>0</v>
      </c>
      <c r="D6437" t="s">
        <v>106</v>
      </c>
      <c r="E6437">
        <v>24</v>
      </c>
    </row>
    <row r="6438" spans="1:5">
      <c r="A6438" t="s">
        <v>38092</v>
      </c>
      <c r="B6438" t="s">
        <v>6501</v>
      </c>
      <c r="C6438">
        <v>0</v>
      </c>
      <c r="D6438" t="s">
        <v>106</v>
      </c>
      <c r="E6438">
        <v>24</v>
      </c>
    </row>
    <row r="6439" spans="1:5">
      <c r="A6439" t="s">
        <v>38092</v>
      </c>
      <c r="B6439" t="s">
        <v>6507</v>
      </c>
      <c r="C6439">
        <v>0</v>
      </c>
      <c r="D6439" t="s">
        <v>106</v>
      </c>
      <c r="E6439">
        <v>24</v>
      </c>
    </row>
    <row r="6440" spans="1:5">
      <c r="A6440" t="s">
        <v>38092</v>
      </c>
      <c r="B6440" t="s">
        <v>6509</v>
      </c>
      <c r="C6440">
        <v>0</v>
      </c>
      <c r="D6440" t="s">
        <v>106</v>
      </c>
      <c r="E6440">
        <v>24</v>
      </c>
    </row>
    <row r="6441" spans="1:5">
      <c r="A6441" t="s">
        <v>38092</v>
      </c>
      <c r="B6441" t="s">
        <v>6508</v>
      </c>
      <c r="C6441">
        <v>0</v>
      </c>
      <c r="D6441" t="s">
        <v>106</v>
      </c>
      <c r="E6441">
        <v>24</v>
      </c>
    </row>
    <row r="6442" spans="1:5">
      <c r="A6442" t="s">
        <v>38094</v>
      </c>
      <c r="B6442" t="s">
        <v>29264</v>
      </c>
      <c r="C6442">
        <v>0.58917106569900002</v>
      </c>
      <c r="D6442">
        <v>0.92714172819700003</v>
      </c>
      <c r="E6442">
        <v>0.114</v>
      </c>
    </row>
    <row r="6443" spans="1:5">
      <c r="A6443" t="s">
        <v>38094</v>
      </c>
      <c r="B6443" t="s">
        <v>29265</v>
      </c>
      <c r="C6443">
        <f>0.0518982399465</f>
        <v>5.1898239946500002E-2</v>
      </c>
      <c r="D6443">
        <v>0.92714172819700003</v>
      </c>
      <c r="E6443">
        <v>0.114</v>
      </c>
    </row>
    <row r="6444" spans="1:5">
      <c r="A6444" t="s">
        <v>38094</v>
      </c>
      <c r="B6444" t="s">
        <v>29267</v>
      </c>
      <c r="C6444">
        <f>0.277448173437</f>
        <v>0.27744817343700001</v>
      </c>
      <c r="D6444">
        <v>0.92714172819700003</v>
      </c>
      <c r="E6444">
        <v>0.114</v>
      </c>
    </row>
    <row r="6445" spans="1:5">
      <c r="A6445" t="s">
        <v>38094</v>
      </c>
      <c r="B6445" t="s">
        <v>29266</v>
      </c>
      <c r="C6445">
        <v>0.73470923039900005</v>
      </c>
      <c r="D6445">
        <v>0.92714172819700003</v>
      </c>
      <c r="E6445">
        <v>0.114</v>
      </c>
    </row>
    <row r="6446" spans="1:5">
      <c r="A6446" t="s">
        <v>38095</v>
      </c>
      <c r="B6446" t="s">
        <v>38096</v>
      </c>
      <c r="C6446">
        <v>0.14204339813299999</v>
      </c>
      <c r="D6446">
        <v>0.95832102368500005</v>
      </c>
      <c r="E6446">
        <v>20.736000000000001</v>
      </c>
    </row>
    <row r="6447" spans="1:5">
      <c r="A6447" t="s">
        <v>38095</v>
      </c>
      <c r="B6447" t="s">
        <v>38097</v>
      </c>
      <c r="C6447">
        <v>8.3223165263799997E-2</v>
      </c>
      <c r="D6447">
        <v>0.95832102368500005</v>
      </c>
      <c r="E6447">
        <v>20.736000000000001</v>
      </c>
    </row>
    <row r="6448" spans="1:5">
      <c r="A6448" t="s">
        <v>38095</v>
      </c>
      <c r="B6448" t="s">
        <v>38098</v>
      </c>
      <c r="C6448">
        <v>0</v>
      </c>
      <c r="D6448">
        <v>0.95832102368500005</v>
      </c>
      <c r="E6448">
        <v>20.736000000000001</v>
      </c>
    </row>
    <row r="6449" spans="1:5">
      <c r="A6449" t="s">
        <v>38095</v>
      </c>
      <c r="B6449" t="s">
        <v>38099</v>
      </c>
      <c r="C6449">
        <v>0</v>
      </c>
      <c r="D6449">
        <v>0.95832102368500005</v>
      </c>
      <c r="E6449">
        <v>20.736000000000001</v>
      </c>
    </row>
    <row r="6450" spans="1:5">
      <c r="A6450" t="s">
        <v>38095</v>
      </c>
      <c r="B6450" t="s">
        <v>38100</v>
      </c>
      <c r="C6450">
        <v>0</v>
      </c>
      <c r="D6450">
        <v>0.95832102368500005</v>
      </c>
      <c r="E6450">
        <v>20.736000000000001</v>
      </c>
    </row>
    <row r="6451" spans="1:5">
      <c r="A6451" t="s">
        <v>38095</v>
      </c>
      <c r="B6451" t="s">
        <v>38101</v>
      </c>
      <c r="C6451">
        <f>0.267782633068</f>
        <v>0.26778263306799999</v>
      </c>
      <c r="D6451">
        <v>0.95832102368500005</v>
      </c>
      <c r="E6451">
        <v>20.736000000000001</v>
      </c>
    </row>
    <row r="6452" spans="1:5">
      <c r="A6452" t="s">
        <v>38095</v>
      </c>
      <c r="B6452" t="s">
        <v>38102</v>
      </c>
      <c r="C6452">
        <f>0</f>
        <v>0</v>
      </c>
      <c r="D6452">
        <v>0.95832102368500005</v>
      </c>
      <c r="E6452">
        <v>20.736000000000001</v>
      </c>
    </row>
    <row r="6453" spans="1:5">
      <c r="A6453" t="s">
        <v>38095</v>
      </c>
      <c r="B6453" t="s">
        <v>38103</v>
      </c>
      <c r="C6453">
        <v>0.92467713770899995</v>
      </c>
      <c r="D6453">
        <v>0.95832102368500005</v>
      </c>
      <c r="E6453">
        <v>20.736000000000001</v>
      </c>
    </row>
    <row r="6454" spans="1:5">
      <c r="A6454" t="s">
        <v>38104</v>
      </c>
      <c r="B6454" t="s">
        <v>370</v>
      </c>
      <c r="C6454">
        <f>0</f>
        <v>0</v>
      </c>
      <c r="D6454">
        <v>0.873116876175</v>
      </c>
      <c r="E6454">
        <v>4.5839999999999996</v>
      </c>
    </row>
    <row r="6455" spans="1:5">
      <c r="A6455" t="s">
        <v>38104</v>
      </c>
      <c r="B6455" t="s">
        <v>371</v>
      </c>
      <c r="C6455">
        <f>0</f>
        <v>0</v>
      </c>
      <c r="D6455">
        <v>0.873116876175</v>
      </c>
      <c r="E6455">
        <v>4.5839999999999996</v>
      </c>
    </row>
    <row r="6456" spans="1:5">
      <c r="A6456" t="s">
        <v>38104</v>
      </c>
      <c r="B6456" t="s">
        <v>375</v>
      </c>
      <c r="C6456">
        <v>0.30752575393600001</v>
      </c>
      <c r="D6456">
        <v>0.873116876175</v>
      </c>
      <c r="E6456">
        <v>4.5839999999999996</v>
      </c>
    </row>
    <row r="6457" spans="1:5">
      <c r="A6457" t="s">
        <v>38104</v>
      </c>
      <c r="B6457" t="s">
        <v>373</v>
      </c>
      <c r="C6457">
        <f>0.480544590753</f>
        <v>0.48054459075299999</v>
      </c>
      <c r="D6457">
        <v>0.873116876175</v>
      </c>
      <c r="E6457">
        <v>4.5839999999999996</v>
      </c>
    </row>
    <row r="6458" spans="1:5">
      <c r="A6458" t="s">
        <v>38104</v>
      </c>
      <c r="B6458" t="s">
        <v>374</v>
      </c>
      <c r="C6458">
        <f>0</f>
        <v>0</v>
      </c>
      <c r="D6458">
        <v>0.873116876175</v>
      </c>
      <c r="E6458">
        <v>4.5839999999999996</v>
      </c>
    </row>
    <row r="6459" spans="1:5">
      <c r="A6459" t="s">
        <v>38104</v>
      </c>
      <c r="B6459" t="s">
        <v>372</v>
      </c>
      <c r="C6459">
        <v>0</v>
      </c>
      <c r="D6459">
        <v>0.873116876175</v>
      </c>
      <c r="E6459">
        <v>4.5839999999999996</v>
      </c>
    </row>
    <row r="6460" spans="1:5">
      <c r="A6460" t="s">
        <v>38104</v>
      </c>
      <c r="B6460" t="s">
        <v>377</v>
      </c>
      <c r="C6460">
        <v>0</v>
      </c>
      <c r="D6460">
        <v>0.873116876175</v>
      </c>
      <c r="E6460">
        <v>4.5839999999999996</v>
      </c>
    </row>
    <row r="6461" spans="1:5">
      <c r="A6461" t="s">
        <v>38105</v>
      </c>
      <c r="B6461" t="s">
        <v>14057</v>
      </c>
      <c r="C6461">
        <v>0</v>
      </c>
      <c r="D6461" t="s">
        <v>106</v>
      </c>
      <c r="E6461">
        <v>12.048</v>
      </c>
    </row>
    <row r="6462" spans="1:5">
      <c r="A6462" t="s">
        <v>38105</v>
      </c>
      <c r="B6462" t="s">
        <v>14062</v>
      </c>
      <c r="C6462">
        <v>0</v>
      </c>
      <c r="D6462" t="s">
        <v>106</v>
      </c>
      <c r="E6462">
        <v>12.048</v>
      </c>
    </row>
    <row r="6463" spans="1:5">
      <c r="A6463" t="s">
        <v>38105</v>
      </c>
      <c r="B6463" t="s">
        <v>14058</v>
      </c>
      <c r="C6463">
        <v>0</v>
      </c>
      <c r="D6463" t="s">
        <v>106</v>
      </c>
      <c r="E6463">
        <v>12.048</v>
      </c>
    </row>
    <row r="6464" spans="1:5">
      <c r="A6464" t="s">
        <v>38105</v>
      </c>
      <c r="B6464" t="s">
        <v>14059</v>
      </c>
      <c r="C6464">
        <f>0</f>
        <v>0</v>
      </c>
      <c r="D6464" t="s">
        <v>106</v>
      </c>
      <c r="E6464">
        <v>12.048</v>
      </c>
    </row>
    <row r="6465" spans="1:5">
      <c r="A6465" t="s">
        <v>38106</v>
      </c>
      <c r="B6465" t="s">
        <v>24337</v>
      </c>
      <c r="C6465">
        <f>0.113961599991</f>
        <v>0.113961599991</v>
      </c>
      <c r="D6465">
        <v>0.47397159999100003</v>
      </c>
      <c r="E6465">
        <v>24</v>
      </c>
    </row>
    <row r="6466" spans="1:5">
      <c r="A6466" t="s">
        <v>38106</v>
      </c>
      <c r="B6466" t="s">
        <v>24341</v>
      </c>
      <c r="C6466">
        <v>0</v>
      </c>
      <c r="D6466">
        <v>0.47397159999100003</v>
      </c>
      <c r="E6466">
        <v>24</v>
      </c>
    </row>
    <row r="6467" spans="1:5">
      <c r="A6467" t="s">
        <v>38106</v>
      </c>
      <c r="B6467" t="s">
        <v>38107</v>
      </c>
      <c r="C6467">
        <f>0</f>
        <v>0</v>
      </c>
      <c r="D6467">
        <v>0.47397159999100003</v>
      </c>
      <c r="E6467">
        <v>24</v>
      </c>
    </row>
    <row r="6468" spans="1:5">
      <c r="A6468" t="s">
        <v>38106</v>
      </c>
      <c r="B6468" t="s">
        <v>24338</v>
      </c>
      <c r="C6468">
        <f>0</f>
        <v>0</v>
      </c>
      <c r="D6468">
        <v>0.47397159999100003</v>
      </c>
      <c r="E6468">
        <v>24</v>
      </c>
    </row>
    <row r="6469" spans="1:5">
      <c r="A6469" t="s">
        <v>38108</v>
      </c>
      <c r="B6469" t="s">
        <v>23729</v>
      </c>
      <c r="C6469">
        <f>-1.30107097579</f>
        <v>-1.3010709757900001</v>
      </c>
      <c r="D6469">
        <v>0.980463644716</v>
      </c>
      <c r="E6469">
        <v>0.114</v>
      </c>
    </row>
    <row r="6470" spans="1:5">
      <c r="A6470" t="s">
        <v>38108</v>
      </c>
      <c r="B6470" t="s">
        <v>23730</v>
      </c>
      <c r="C6470">
        <v>0.242488148771</v>
      </c>
      <c r="D6470">
        <v>0.980463644716</v>
      </c>
      <c r="E6470">
        <v>0.114</v>
      </c>
    </row>
    <row r="6471" spans="1:5">
      <c r="A6471" t="s">
        <v>38108</v>
      </c>
      <c r="B6471" t="s">
        <v>23731</v>
      </c>
      <c r="C6471">
        <v>1.1906115715900001</v>
      </c>
      <c r="D6471">
        <v>0.980463644716</v>
      </c>
      <c r="E6471">
        <v>0.114</v>
      </c>
    </row>
    <row r="6472" spans="1:5">
      <c r="A6472" t="s">
        <v>38108</v>
      </c>
      <c r="B6472" t="s">
        <v>23733</v>
      </c>
      <c r="C6472">
        <v>0.69065811140300004</v>
      </c>
      <c r="D6472">
        <v>0.980463644716</v>
      </c>
      <c r="E6472">
        <v>0.114</v>
      </c>
    </row>
    <row r="6473" spans="1:5">
      <c r="A6473" t="s">
        <v>38109</v>
      </c>
      <c r="B6473" t="s">
        <v>10548</v>
      </c>
      <c r="C6473">
        <v>0.65351704309400005</v>
      </c>
      <c r="D6473">
        <v>0.98333909339400005</v>
      </c>
      <c r="E6473">
        <v>21.648</v>
      </c>
    </row>
    <row r="6474" spans="1:5">
      <c r="A6474" t="s">
        <v>38109</v>
      </c>
      <c r="B6474" t="s">
        <v>10555</v>
      </c>
      <c r="C6474">
        <v>0.64914156538400003</v>
      </c>
      <c r="D6474">
        <v>0.98333909339400005</v>
      </c>
      <c r="E6474">
        <v>21.648</v>
      </c>
    </row>
    <row r="6475" spans="1:5">
      <c r="A6475" t="s">
        <v>38109</v>
      </c>
      <c r="B6475" t="s">
        <v>10550</v>
      </c>
      <c r="C6475">
        <f>-1.73207828824</f>
        <v>-1.7320782882400001</v>
      </c>
      <c r="D6475">
        <v>0.98333909339400005</v>
      </c>
      <c r="E6475">
        <v>21.648</v>
      </c>
    </row>
    <row r="6476" spans="1:5">
      <c r="A6476" t="s">
        <v>38109</v>
      </c>
      <c r="B6476" t="s">
        <v>10552</v>
      </c>
      <c r="C6476">
        <v>4.3352471346099999E-2</v>
      </c>
      <c r="D6476">
        <v>0.98333909339400005</v>
      </c>
      <c r="E6476">
        <v>21.648</v>
      </c>
    </row>
    <row r="6477" spans="1:5">
      <c r="A6477" t="s">
        <v>38109</v>
      </c>
      <c r="B6477" t="s">
        <v>10549</v>
      </c>
      <c r="C6477">
        <v>0.60854136705499995</v>
      </c>
      <c r="D6477">
        <v>0.98333909339400005</v>
      </c>
      <c r="E6477">
        <v>21.648</v>
      </c>
    </row>
    <row r="6478" spans="1:5">
      <c r="A6478" t="s">
        <v>38110</v>
      </c>
      <c r="B6478" t="s">
        <v>38111</v>
      </c>
      <c r="C6478">
        <v>0</v>
      </c>
      <c r="D6478">
        <v>0.95448208947400004</v>
      </c>
      <c r="E6478">
        <v>18.558</v>
      </c>
    </row>
    <row r="6479" spans="1:5">
      <c r="A6479" t="s">
        <v>38110</v>
      </c>
      <c r="B6479" t="s">
        <v>38112</v>
      </c>
      <c r="C6479">
        <f>0.00910240761869</f>
        <v>9.1024076186900001E-3</v>
      </c>
      <c r="D6479">
        <v>0.95448208947400004</v>
      </c>
      <c r="E6479">
        <v>18.558</v>
      </c>
    </row>
    <row r="6480" spans="1:5">
      <c r="A6480" t="s">
        <v>38110</v>
      </c>
      <c r="B6480" t="s">
        <v>38113</v>
      </c>
      <c r="C6480">
        <f>0</f>
        <v>0</v>
      </c>
      <c r="D6480">
        <v>0.95448208947400004</v>
      </c>
      <c r="E6480">
        <v>18.558</v>
      </c>
    </row>
    <row r="6481" spans="1:5">
      <c r="A6481" t="s">
        <v>38110</v>
      </c>
      <c r="B6481" t="s">
        <v>38114</v>
      </c>
      <c r="C6481">
        <f>0</f>
        <v>0</v>
      </c>
      <c r="D6481">
        <v>0.95448208947400004</v>
      </c>
      <c r="E6481">
        <v>18.558</v>
      </c>
    </row>
    <row r="6482" spans="1:5">
      <c r="A6482" t="s">
        <v>38110</v>
      </c>
      <c r="B6482" t="s">
        <v>38115</v>
      </c>
      <c r="C6482">
        <f>0.777910699517</f>
        <v>0.77791069951699998</v>
      </c>
      <c r="D6482">
        <v>0.95448208947400004</v>
      </c>
      <c r="E6482">
        <v>18.558</v>
      </c>
    </row>
    <row r="6483" spans="1:5">
      <c r="A6483" t="s">
        <v>38110</v>
      </c>
      <c r="B6483" t="s">
        <v>38116</v>
      </c>
      <c r="C6483">
        <f>0.553921345961</f>
        <v>0.55392134596099996</v>
      </c>
      <c r="D6483">
        <v>0.95448208947400004</v>
      </c>
      <c r="E6483">
        <v>18.558</v>
      </c>
    </row>
    <row r="6484" spans="1:5">
      <c r="A6484" t="s">
        <v>38110</v>
      </c>
      <c r="B6484" t="s">
        <v>38117</v>
      </c>
      <c r="C6484">
        <f>0.139540956373</f>
        <v>0.13954095637300001</v>
      </c>
      <c r="D6484">
        <v>0.95448208947400004</v>
      </c>
      <c r="E6484">
        <v>18.558</v>
      </c>
    </row>
    <row r="6485" spans="1:5">
      <c r="A6485" t="s">
        <v>38110</v>
      </c>
      <c r="B6485" t="s">
        <v>38118</v>
      </c>
      <c r="C6485">
        <v>0</v>
      </c>
      <c r="D6485">
        <v>0.95448208947400004</v>
      </c>
      <c r="E6485">
        <v>18.558</v>
      </c>
    </row>
    <row r="6486" spans="1:5">
      <c r="A6486" t="s">
        <v>38119</v>
      </c>
      <c r="B6486" t="s">
        <v>38120</v>
      </c>
      <c r="C6486">
        <f>0</f>
        <v>0</v>
      </c>
      <c r="D6486" t="s">
        <v>106</v>
      </c>
      <c r="E6486">
        <v>3.5999999999999997E-2</v>
      </c>
    </row>
    <row r="6487" spans="1:5">
      <c r="A6487" t="s">
        <v>38119</v>
      </c>
      <c r="B6487" t="s">
        <v>38121</v>
      </c>
      <c r="C6487">
        <f>0</f>
        <v>0</v>
      </c>
      <c r="D6487" t="s">
        <v>106</v>
      </c>
      <c r="E6487">
        <v>3.5999999999999997E-2</v>
      </c>
    </row>
    <row r="6488" spans="1:5">
      <c r="A6488" t="s">
        <v>38122</v>
      </c>
      <c r="B6488" t="s">
        <v>38123</v>
      </c>
      <c r="C6488">
        <f>0</f>
        <v>0</v>
      </c>
      <c r="D6488">
        <v>0.50070542439499999</v>
      </c>
      <c r="E6488">
        <v>24</v>
      </c>
    </row>
    <row r="6489" spans="1:5">
      <c r="A6489" t="s">
        <v>38122</v>
      </c>
      <c r="B6489" t="s">
        <v>38124</v>
      </c>
      <c r="C6489">
        <f>0</f>
        <v>0</v>
      </c>
      <c r="D6489">
        <v>0.50070542439499999</v>
      </c>
      <c r="E6489">
        <v>24</v>
      </c>
    </row>
    <row r="6490" spans="1:5">
      <c r="A6490" t="s">
        <v>38122</v>
      </c>
      <c r="B6490" t="s">
        <v>38125</v>
      </c>
      <c r="C6490">
        <v>0</v>
      </c>
      <c r="D6490">
        <v>0.50070542439499999</v>
      </c>
      <c r="E6490">
        <v>24</v>
      </c>
    </row>
    <row r="6491" spans="1:5">
      <c r="A6491" t="s">
        <v>38122</v>
      </c>
      <c r="B6491" t="s">
        <v>38126</v>
      </c>
      <c r="C6491">
        <f>0</f>
        <v>0</v>
      </c>
      <c r="D6491">
        <v>0.50070542439499999</v>
      </c>
      <c r="E6491">
        <v>24</v>
      </c>
    </row>
    <row r="6492" spans="1:5">
      <c r="A6492" t="s">
        <v>38122</v>
      </c>
      <c r="B6492" t="s">
        <v>38127</v>
      </c>
      <c r="C6492">
        <v>0</v>
      </c>
      <c r="D6492">
        <v>0.50070542439499999</v>
      </c>
      <c r="E6492">
        <v>24</v>
      </c>
    </row>
    <row r="6493" spans="1:5">
      <c r="A6493" t="s">
        <v>38122</v>
      </c>
      <c r="B6493" t="s">
        <v>38128</v>
      </c>
      <c r="C6493">
        <f>0.187095424395</f>
        <v>0.18709542439499999</v>
      </c>
      <c r="D6493">
        <v>0.50070542439499999</v>
      </c>
      <c r="E6493">
        <v>24</v>
      </c>
    </row>
    <row r="6494" spans="1:5">
      <c r="A6494" t="s">
        <v>38129</v>
      </c>
      <c r="B6494" t="s">
        <v>31236</v>
      </c>
      <c r="C6494">
        <v>0.30741068833700003</v>
      </c>
      <c r="D6494">
        <v>0.765585802885</v>
      </c>
      <c r="E6494">
        <v>24</v>
      </c>
    </row>
    <row r="6495" spans="1:5">
      <c r="A6495" t="s">
        <v>38129</v>
      </c>
      <c r="B6495" t="s">
        <v>31237</v>
      </c>
      <c r="C6495">
        <v>0.545380212531</v>
      </c>
      <c r="D6495">
        <v>0.765585802885</v>
      </c>
      <c r="E6495">
        <v>24</v>
      </c>
    </row>
    <row r="6496" spans="1:5">
      <c r="A6496" t="s">
        <v>38129</v>
      </c>
      <c r="B6496" t="s">
        <v>31241</v>
      </c>
      <c r="C6496">
        <v>0</v>
      </c>
      <c r="D6496">
        <v>0.765585802885</v>
      </c>
      <c r="E6496">
        <v>24</v>
      </c>
    </row>
    <row r="6497" spans="1:5">
      <c r="A6497" t="s">
        <v>38130</v>
      </c>
      <c r="B6497" t="s">
        <v>26074</v>
      </c>
      <c r="C6497">
        <f>0</f>
        <v>0</v>
      </c>
      <c r="D6497" t="s">
        <v>106</v>
      </c>
      <c r="E6497">
        <v>23.52</v>
      </c>
    </row>
    <row r="6498" spans="1:5">
      <c r="A6498" t="s">
        <v>38130</v>
      </c>
      <c r="B6498" t="s">
        <v>26076</v>
      </c>
      <c r="C6498">
        <v>0</v>
      </c>
      <c r="D6498" t="s">
        <v>106</v>
      </c>
      <c r="E6498">
        <v>23.52</v>
      </c>
    </row>
    <row r="6499" spans="1:5">
      <c r="A6499" t="s">
        <v>38130</v>
      </c>
      <c r="B6499" t="s">
        <v>26077</v>
      </c>
      <c r="C6499">
        <v>0</v>
      </c>
      <c r="D6499" t="s">
        <v>106</v>
      </c>
      <c r="E6499">
        <v>23.52</v>
      </c>
    </row>
    <row r="6500" spans="1:5">
      <c r="A6500" t="s">
        <v>38131</v>
      </c>
      <c r="B6500" t="s">
        <v>24164</v>
      </c>
      <c r="C6500">
        <v>0</v>
      </c>
      <c r="D6500" t="s">
        <v>106</v>
      </c>
      <c r="E6500">
        <v>23.754000000000001</v>
      </c>
    </row>
    <row r="6501" spans="1:5">
      <c r="A6501" t="s">
        <v>38131</v>
      </c>
      <c r="B6501" t="s">
        <v>24166</v>
      </c>
      <c r="C6501">
        <v>0</v>
      </c>
      <c r="D6501" t="s">
        <v>106</v>
      </c>
      <c r="E6501">
        <v>23.754000000000001</v>
      </c>
    </row>
    <row r="6502" spans="1:5">
      <c r="A6502" t="s">
        <v>38132</v>
      </c>
      <c r="B6502" t="s">
        <v>38133</v>
      </c>
      <c r="C6502">
        <v>0.18041633270999999</v>
      </c>
      <c r="D6502">
        <v>0.62262597532499997</v>
      </c>
      <c r="E6502">
        <v>0.13200000000000001</v>
      </c>
    </row>
    <row r="6503" spans="1:5">
      <c r="A6503" t="s">
        <v>38132</v>
      </c>
      <c r="B6503" t="s">
        <v>38134</v>
      </c>
      <c r="C6503">
        <v>0</v>
      </c>
      <c r="D6503">
        <v>0.62262597532499997</v>
      </c>
      <c r="E6503">
        <v>0.13200000000000001</v>
      </c>
    </row>
    <row r="6504" spans="1:5">
      <c r="A6504" t="s">
        <v>38132</v>
      </c>
      <c r="B6504" t="s">
        <v>38135</v>
      </c>
      <c r="C6504">
        <v>0.21645086033399999</v>
      </c>
      <c r="D6504">
        <v>0.62262597532499997</v>
      </c>
      <c r="E6504">
        <v>0.13200000000000001</v>
      </c>
    </row>
    <row r="6505" spans="1:5">
      <c r="A6505" t="s">
        <v>38132</v>
      </c>
      <c r="B6505" t="s">
        <v>38136</v>
      </c>
      <c r="C6505">
        <v>0</v>
      </c>
      <c r="D6505">
        <v>0.62262597532499997</v>
      </c>
      <c r="E6505">
        <v>0.13200000000000001</v>
      </c>
    </row>
    <row r="6506" spans="1:5">
      <c r="A6506" t="s">
        <v>38132</v>
      </c>
      <c r="B6506" t="s">
        <v>38137</v>
      </c>
      <c r="C6506">
        <f>0</f>
        <v>0</v>
      </c>
      <c r="D6506">
        <v>0.62262597532499997</v>
      </c>
      <c r="E6506">
        <v>0.13200000000000001</v>
      </c>
    </row>
    <row r="6507" spans="1:5">
      <c r="A6507" t="s">
        <v>38138</v>
      </c>
      <c r="B6507" t="s">
        <v>38139</v>
      </c>
      <c r="C6507">
        <v>7.0058747181700007E-2</v>
      </c>
      <c r="D6507">
        <v>0.94833791187399996</v>
      </c>
      <c r="E6507">
        <v>24</v>
      </c>
    </row>
    <row r="6508" spans="1:5">
      <c r="A6508" t="s">
        <v>38138</v>
      </c>
      <c r="B6508" t="s">
        <v>38140</v>
      </c>
      <c r="C6508">
        <v>0.54513604345599997</v>
      </c>
      <c r="D6508">
        <v>0.94833791187399996</v>
      </c>
      <c r="E6508">
        <v>24</v>
      </c>
    </row>
    <row r="6509" spans="1:5">
      <c r="A6509" t="s">
        <v>38138</v>
      </c>
      <c r="B6509" t="s">
        <v>38141</v>
      </c>
      <c r="C6509">
        <f>0.643948233957</f>
        <v>0.64394823395699996</v>
      </c>
      <c r="D6509">
        <v>0.94833791187399996</v>
      </c>
      <c r="E6509">
        <v>24</v>
      </c>
    </row>
    <row r="6510" spans="1:5">
      <c r="A6510" t="s">
        <v>38142</v>
      </c>
      <c r="B6510" t="s">
        <v>16067</v>
      </c>
      <c r="C6510">
        <f>0.146164796921</f>
        <v>0.14616479692100001</v>
      </c>
      <c r="D6510">
        <v>0.99955387506500004</v>
      </c>
      <c r="E6510">
        <v>22.806000000000001</v>
      </c>
    </row>
    <row r="6511" spans="1:5">
      <c r="A6511" t="s">
        <v>38142</v>
      </c>
      <c r="B6511" t="s">
        <v>16079</v>
      </c>
      <c r="C6511">
        <v>0</v>
      </c>
      <c r="D6511">
        <v>0.99955387506500004</v>
      </c>
      <c r="E6511">
        <v>22.806000000000001</v>
      </c>
    </row>
    <row r="6512" spans="1:5">
      <c r="A6512" t="s">
        <v>38142</v>
      </c>
      <c r="B6512" t="s">
        <v>16080</v>
      </c>
      <c r="C6512">
        <v>0</v>
      </c>
      <c r="D6512">
        <v>0.99955387506500004</v>
      </c>
      <c r="E6512">
        <v>22.806000000000001</v>
      </c>
    </row>
    <row r="6513" spans="1:5">
      <c r="A6513" t="s">
        <v>38142</v>
      </c>
      <c r="B6513" t="s">
        <v>16074</v>
      </c>
      <c r="C6513">
        <v>0</v>
      </c>
      <c r="D6513">
        <v>0.99955387506500004</v>
      </c>
      <c r="E6513">
        <v>22.806000000000001</v>
      </c>
    </row>
    <row r="6514" spans="1:5">
      <c r="A6514" t="s">
        <v>38142</v>
      </c>
      <c r="B6514" t="s">
        <v>16072</v>
      </c>
      <c r="C6514">
        <v>9.2117143363099993E-2</v>
      </c>
      <c r="D6514">
        <v>0.99955387506500004</v>
      </c>
      <c r="E6514">
        <v>22.806000000000001</v>
      </c>
    </row>
    <row r="6515" spans="1:5">
      <c r="A6515" t="s">
        <v>38142</v>
      </c>
      <c r="B6515" t="s">
        <v>16068</v>
      </c>
      <c r="C6515">
        <v>0</v>
      </c>
      <c r="D6515">
        <v>0.99955387506500004</v>
      </c>
      <c r="E6515">
        <v>22.806000000000001</v>
      </c>
    </row>
    <row r="6516" spans="1:5">
      <c r="A6516" t="s">
        <v>38142</v>
      </c>
      <c r="B6516" t="s">
        <v>16070</v>
      </c>
      <c r="C6516">
        <f>0.0144218737757</f>
        <v>1.4421873775700001E-2</v>
      </c>
      <c r="D6516">
        <v>0.99955387506500004</v>
      </c>
      <c r="E6516">
        <v>22.806000000000001</v>
      </c>
    </row>
    <row r="6517" spans="1:5">
      <c r="A6517" t="s">
        <v>38142</v>
      </c>
      <c r="B6517" t="s">
        <v>16073</v>
      </c>
      <c r="C6517">
        <v>2.73227357851E-2</v>
      </c>
      <c r="D6517">
        <v>0.99955387506500004</v>
      </c>
      <c r="E6517">
        <v>22.806000000000001</v>
      </c>
    </row>
    <row r="6518" spans="1:5">
      <c r="A6518" t="s">
        <v>38142</v>
      </c>
      <c r="B6518" t="s">
        <v>16083</v>
      </c>
      <c r="C6518">
        <v>0.255855990837</v>
      </c>
      <c r="D6518">
        <v>0.99955387506500004</v>
      </c>
      <c r="E6518">
        <v>22.806000000000001</v>
      </c>
    </row>
    <row r="6519" spans="1:5">
      <c r="A6519" t="s">
        <v>38142</v>
      </c>
      <c r="B6519" t="s">
        <v>16075</v>
      </c>
      <c r="C6519">
        <v>0</v>
      </c>
      <c r="D6519">
        <v>0.99955387506500004</v>
      </c>
      <c r="E6519">
        <v>22.806000000000001</v>
      </c>
    </row>
    <row r="6520" spans="1:5">
      <c r="A6520" t="s">
        <v>38142</v>
      </c>
      <c r="B6520" t="s">
        <v>16071</v>
      </c>
      <c r="C6520">
        <v>6.1538692181700001E-2</v>
      </c>
      <c r="D6520">
        <v>0.99955387506500004</v>
      </c>
      <c r="E6520">
        <v>22.806000000000001</v>
      </c>
    </row>
    <row r="6521" spans="1:5">
      <c r="A6521" t="s">
        <v>38142</v>
      </c>
      <c r="B6521" t="s">
        <v>16077</v>
      </c>
      <c r="C6521">
        <v>0.83009966513699995</v>
      </c>
      <c r="D6521">
        <v>0.99955387506500004</v>
      </c>
      <c r="E6521">
        <v>22.806000000000001</v>
      </c>
    </row>
    <row r="6522" spans="1:5">
      <c r="A6522" t="s">
        <v>38142</v>
      </c>
      <c r="B6522" t="s">
        <v>16078</v>
      </c>
      <c r="C6522">
        <v>0</v>
      </c>
      <c r="D6522">
        <v>0.99955387506500004</v>
      </c>
      <c r="E6522">
        <v>22.806000000000001</v>
      </c>
    </row>
    <row r="6523" spans="1:5">
      <c r="A6523" t="s">
        <v>38143</v>
      </c>
      <c r="B6523" t="s">
        <v>5358</v>
      </c>
      <c r="C6523">
        <f>0</f>
        <v>0</v>
      </c>
      <c r="D6523" t="s">
        <v>106</v>
      </c>
      <c r="E6523">
        <v>24</v>
      </c>
    </row>
    <row r="6524" spans="1:5">
      <c r="A6524" t="s">
        <v>38143</v>
      </c>
      <c r="B6524" t="s">
        <v>5371</v>
      </c>
      <c r="C6524">
        <v>0</v>
      </c>
      <c r="D6524" t="s">
        <v>106</v>
      </c>
      <c r="E6524">
        <v>24</v>
      </c>
    </row>
    <row r="6525" spans="1:5">
      <c r="A6525" t="s">
        <v>38143</v>
      </c>
      <c r="B6525" t="s">
        <v>5370</v>
      </c>
      <c r="C6525">
        <f>0</f>
        <v>0</v>
      </c>
      <c r="D6525" t="s">
        <v>106</v>
      </c>
      <c r="E6525">
        <v>24</v>
      </c>
    </row>
    <row r="6526" spans="1:5">
      <c r="A6526" t="s">
        <v>38143</v>
      </c>
      <c r="B6526" t="s">
        <v>5361</v>
      </c>
      <c r="C6526">
        <f>0</f>
        <v>0</v>
      </c>
      <c r="D6526" t="s">
        <v>106</v>
      </c>
      <c r="E6526">
        <v>24</v>
      </c>
    </row>
    <row r="6527" spans="1:5">
      <c r="A6527" t="s">
        <v>38143</v>
      </c>
      <c r="B6527" t="s">
        <v>5366</v>
      </c>
      <c r="C6527">
        <v>0</v>
      </c>
      <c r="D6527" t="s">
        <v>106</v>
      </c>
      <c r="E6527">
        <v>24</v>
      </c>
    </row>
    <row r="6528" spans="1:5">
      <c r="A6528" t="s">
        <v>38143</v>
      </c>
      <c r="B6528" t="s">
        <v>5372</v>
      </c>
      <c r="C6528">
        <v>0</v>
      </c>
      <c r="D6528" t="s">
        <v>106</v>
      </c>
      <c r="E6528">
        <v>24</v>
      </c>
    </row>
    <row r="6529" spans="1:5">
      <c r="A6529" t="s">
        <v>38143</v>
      </c>
      <c r="B6529" t="s">
        <v>5364</v>
      </c>
      <c r="C6529">
        <f>0</f>
        <v>0</v>
      </c>
      <c r="D6529" t="s">
        <v>106</v>
      </c>
      <c r="E6529">
        <v>24</v>
      </c>
    </row>
    <row r="6530" spans="1:5">
      <c r="A6530" t="s">
        <v>38144</v>
      </c>
      <c r="B6530" t="s">
        <v>12286</v>
      </c>
      <c r="C6530">
        <v>0.58351735399299998</v>
      </c>
      <c r="D6530">
        <v>0.99999921257500002</v>
      </c>
      <c r="E6530">
        <v>6.0000000000000001E-3</v>
      </c>
    </row>
    <row r="6531" spans="1:5">
      <c r="A6531" t="s">
        <v>38144</v>
      </c>
      <c r="B6531" t="s">
        <v>12291</v>
      </c>
      <c r="C6531">
        <f>-1.15252125683</f>
        <v>-1.1525212568300001</v>
      </c>
      <c r="D6531">
        <v>0.99999921257500002</v>
      </c>
      <c r="E6531">
        <v>6.0000000000000001E-3</v>
      </c>
    </row>
    <row r="6532" spans="1:5">
      <c r="A6532" t="s">
        <v>38144</v>
      </c>
      <c r="B6532" t="s">
        <v>12293</v>
      </c>
      <c r="C6532">
        <v>0.49997061184899999</v>
      </c>
      <c r="D6532">
        <v>0.99999921257500002</v>
      </c>
      <c r="E6532">
        <v>6.0000000000000001E-3</v>
      </c>
    </row>
    <row r="6533" spans="1:5">
      <c r="A6533" t="s">
        <v>38144</v>
      </c>
      <c r="B6533" t="s">
        <v>12287</v>
      </c>
      <c r="C6533">
        <f>0.111566989618</f>
        <v>0.111566989618</v>
      </c>
      <c r="D6533">
        <v>0.99999921257500002</v>
      </c>
      <c r="E6533">
        <v>6.0000000000000001E-3</v>
      </c>
    </row>
    <row r="6534" spans="1:5">
      <c r="A6534" t="s">
        <v>38144</v>
      </c>
      <c r="B6534" t="s">
        <v>12288</v>
      </c>
      <c r="C6534">
        <v>0.16048025157500001</v>
      </c>
      <c r="D6534">
        <v>0.99999921257500002</v>
      </c>
      <c r="E6534">
        <v>6.0000000000000001E-3</v>
      </c>
    </row>
    <row r="6535" spans="1:5">
      <c r="A6535" t="s">
        <v>38144</v>
      </c>
      <c r="B6535" t="s">
        <v>12289</v>
      </c>
      <c r="C6535">
        <v>0.56054932724700002</v>
      </c>
      <c r="D6535">
        <v>0.99999921257500002</v>
      </c>
      <c r="E6535">
        <v>6.0000000000000001E-3</v>
      </c>
    </row>
    <row r="6536" spans="1:5">
      <c r="A6536" t="s">
        <v>38144</v>
      </c>
      <c r="B6536" t="s">
        <v>12294</v>
      </c>
      <c r="C6536">
        <v>9.9307989447899994E-2</v>
      </c>
      <c r="D6536">
        <v>0.99999921257500002</v>
      </c>
      <c r="E6536">
        <v>6.0000000000000001E-3</v>
      </c>
    </row>
    <row r="6537" spans="1:5">
      <c r="A6537" t="s">
        <v>38145</v>
      </c>
      <c r="B6537" t="s">
        <v>38146</v>
      </c>
      <c r="C6537">
        <v>0.83142495050999998</v>
      </c>
      <c r="D6537">
        <v>0.97125391514699999</v>
      </c>
      <c r="E6537">
        <v>8.2919999999999998</v>
      </c>
    </row>
    <row r="6538" spans="1:5">
      <c r="A6538" t="s">
        <v>38145</v>
      </c>
      <c r="B6538" t="s">
        <v>38147</v>
      </c>
      <c r="C6538">
        <v>0</v>
      </c>
      <c r="D6538">
        <v>0.97125391514699999</v>
      </c>
      <c r="E6538">
        <v>8.2919999999999998</v>
      </c>
    </row>
    <row r="6539" spans="1:5">
      <c r="A6539" t="s">
        <v>38145</v>
      </c>
      <c r="B6539" t="s">
        <v>38148</v>
      </c>
      <c r="C6539">
        <f>0.0574102522601</f>
        <v>5.7410252260099999E-2</v>
      </c>
      <c r="D6539">
        <v>0.97125391514699999</v>
      </c>
      <c r="E6539">
        <v>8.2919999999999998</v>
      </c>
    </row>
    <row r="6540" spans="1:5">
      <c r="A6540" t="s">
        <v>38145</v>
      </c>
      <c r="B6540" t="s">
        <v>38149</v>
      </c>
      <c r="C6540">
        <f>0</f>
        <v>0</v>
      </c>
      <c r="D6540">
        <v>0.97125391514699999</v>
      </c>
      <c r="E6540">
        <v>8.2919999999999998</v>
      </c>
    </row>
    <row r="6541" spans="1:5">
      <c r="A6541" t="s">
        <v>38145</v>
      </c>
      <c r="B6541" t="s">
        <v>38150</v>
      </c>
      <c r="C6541">
        <v>7.7385780227699999E-2</v>
      </c>
      <c r="D6541">
        <v>0.97125391514699999</v>
      </c>
      <c r="E6541">
        <v>8.2919999999999998</v>
      </c>
    </row>
    <row r="6542" spans="1:5">
      <c r="A6542" t="s">
        <v>38151</v>
      </c>
      <c r="B6542" t="s">
        <v>38152</v>
      </c>
      <c r="C6542">
        <v>0.126297210051</v>
      </c>
      <c r="D6542">
        <v>0.356379134737</v>
      </c>
      <c r="E6542">
        <v>24</v>
      </c>
    </row>
    <row r="6543" spans="1:5">
      <c r="A6543" t="s">
        <v>38151</v>
      </c>
      <c r="B6543" t="s">
        <v>10878</v>
      </c>
      <c r="C6543">
        <f>0.0200295964156</f>
        <v>2.0029596415599999E-2</v>
      </c>
      <c r="D6543">
        <v>0.356379134737</v>
      </c>
      <c r="E6543">
        <v>24</v>
      </c>
    </row>
    <row r="6544" spans="1:5">
      <c r="A6544" t="s">
        <v>38153</v>
      </c>
      <c r="B6544" t="s">
        <v>905</v>
      </c>
      <c r="C6544">
        <f>0</f>
        <v>0</v>
      </c>
      <c r="D6544" t="s">
        <v>106</v>
      </c>
      <c r="E6544">
        <v>1.17</v>
      </c>
    </row>
    <row r="6545" spans="1:5">
      <c r="A6545" t="s">
        <v>38153</v>
      </c>
      <c r="B6545" t="s">
        <v>906</v>
      </c>
      <c r="C6545">
        <f>0</f>
        <v>0</v>
      </c>
      <c r="D6545" t="s">
        <v>106</v>
      </c>
      <c r="E6545">
        <v>1.17</v>
      </c>
    </row>
    <row r="6546" spans="1:5">
      <c r="A6546" t="s">
        <v>38153</v>
      </c>
      <c r="B6546" t="s">
        <v>907</v>
      </c>
      <c r="C6546">
        <f>0</f>
        <v>0</v>
      </c>
      <c r="D6546" t="s">
        <v>106</v>
      </c>
      <c r="E6546">
        <v>1.17</v>
      </c>
    </row>
    <row r="6547" spans="1:5">
      <c r="A6547" t="s">
        <v>38154</v>
      </c>
      <c r="B6547" t="s">
        <v>38155</v>
      </c>
      <c r="C6547">
        <f>0.186268028467</f>
        <v>0.186268028467</v>
      </c>
      <c r="D6547">
        <v>0.99999939095000001</v>
      </c>
      <c r="E6547">
        <v>0</v>
      </c>
    </row>
    <row r="6548" spans="1:5">
      <c r="A6548" t="s">
        <v>38154</v>
      </c>
      <c r="B6548" t="s">
        <v>38156</v>
      </c>
      <c r="C6548">
        <v>0.38891733868200001</v>
      </c>
      <c r="D6548">
        <v>0.99999939095000001</v>
      </c>
      <c r="E6548">
        <v>0</v>
      </c>
    </row>
    <row r="6549" spans="1:5">
      <c r="A6549" t="s">
        <v>38154</v>
      </c>
      <c r="B6549" t="s">
        <v>38157</v>
      </c>
      <c r="C6549">
        <f>0.859796669638</f>
        <v>0.85979666963800006</v>
      </c>
      <c r="D6549">
        <v>0.99999939095000001</v>
      </c>
      <c r="E6549">
        <v>0</v>
      </c>
    </row>
    <row r="6550" spans="1:5">
      <c r="A6550" t="s">
        <v>38154</v>
      </c>
      <c r="B6550" t="s">
        <v>38158</v>
      </c>
      <c r="C6550">
        <f>0.0387361228744</f>
        <v>3.8736122874400002E-2</v>
      </c>
      <c r="D6550">
        <v>0.99999939095000001</v>
      </c>
      <c r="E6550">
        <v>0</v>
      </c>
    </row>
    <row r="6551" spans="1:5">
      <c r="A6551" t="s">
        <v>38154</v>
      </c>
      <c r="B6551" t="s">
        <v>38159</v>
      </c>
      <c r="C6551">
        <v>0.128510739835</v>
      </c>
      <c r="D6551">
        <v>0.99999939095000001</v>
      </c>
      <c r="E6551">
        <v>0</v>
      </c>
    </row>
    <row r="6552" spans="1:5">
      <c r="A6552" t="s">
        <v>38154</v>
      </c>
      <c r="B6552" t="s">
        <v>38160</v>
      </c>
      <c r="C6552">
        <f>0.3044762269</f>
        <v>0.30447622689999998</v>
      </c>
      <c r="D6552">
        <v>0.99999939095000001</v>
      </c>
      <c r="E6552">
        <v>0</v>
      </c>
    </row>
    <row r="6553" spans="1:5">
      <c r="A6553" t="s">
        <v>38154</v>
      </c>
      <c r="B6553" t="s">
        <v>38161</v>
      </c>
      <c r="C6553">
        <v>0.15869748994300001</v>
      </c>
      <c r="D6553">
        <v>0.99999939095000001</v>
      </c>
      <c r="E6553">
        <v>0</v>
      </c>
    </row>
    <row r="6554" spans="1:5">
      <c r="A6554" t="s">
        <v>38154</v>
      </c>
      <c r="B6554" t="s">
        <v>38162</v>
      </c>
      <c r="C6554">
        <f>0.381378124743</f>
        <v>0.38137812474299998</v>
      </c>
      <c r="D6554">
        <v>0.99999939095000001</v>
      </c>
      <c r="E6554">
        <v>0</v>
      </c>
    </row>
    <row r="6555" spans="1:5">
      <c r="A6555" t="s">
        <v>38154</v>
      </c>
      <c r="B6555" t="s">
        <v>38163</v>
      </c>
      <c r="C6555">
        <v>1.32330463646E-2</v>
      </c>
      <c r="D6555">
        <v>0.99999939095000001</v>
      </c>
      <c r="E6555">
        <v>0</v>
      </c>
    </row>
    <row r="6556" spans="1:5">
      <c r="A6556" t="s">
        <v>38164</v>
      </c>
      <c r="B6556" t="s">
        <v>38165</v>
      </c>
      <c r="C6556">
        <f>0.105495438233</f>
        <v>0.10549543823300001</v>
      </c>
      <c r="D6556">
        <v>0.96902074047800002</v>
      </c>
      <c r="E6556">
        <v>0</v>
      </c>
    </row>
    <row r="6557" spans="1:5">
      <c r="A6557" t="s">
        <v>38164</v>
      </c>
      <c r="B6557" t="s">
        <v>38166</v>
      </c>
      <c r="C6557">
        <v>0.47328104219</v>
      </c>
      <c r="D6557">
        <v>0.96902074047800002</v>
      </c>
      <c r="E6557">
        <v>0</v>
      </c>
    </row>
    <row r="6558" spans="1:5">
      <c r="A6558" t="s">
        <v>38164</v>
      </c>
      <c r="B6558" t="s">
        <v>38167</v>
      </c>
      <c r="C6558">
        <v>0</v>
      </c>
      <c r="D6558">
        <v>0.96902074047800002</v>
      </c>
      <c r="E6558">
        <v>0</v>
      </c>
    </row>
    <row r="6559" spans="1:5">
      <c r="A6559" t="s">
        <v>38164</v>
      </c>
      <c r="B6559" t="s">
        <v>38168</v>
      </c>
      <c r="C6559">
        <v>0.47477338059000002</v>
      </c>
      <c r="D6559">
        <v>0.96902074047800002</v>
      </c>
      <c r="E6559">
        <v>0</v>
      </c>
    </row>
    <row r="6560" spans="1:5">
      <c r="A6560" t="s">
        <v>38164</v>
      </c>
      <c r="B6560" t="s">
        <v>38169</v>
      </c>
      <c r="C6560">
        <f>0</f>
        <v>0</v>
      </c>
      <c r="D6560">
        <v>0.96902074047800002</v>
      </c>
      <c r="E6560">
        <v>0</v>
      </c>
    </row>
    <row r="6561" spans="1:5">
      <c r="A6561" t="s">
        <v>38170</v>
      </c>
      <c r="B6561" t="s">
        <v>5245</v>
      </c>
      <c r="C6561">
        <v>0.230365587372</v>
      </c>
      <c r="D6561">
        <v>0.98619212469299999</v>
      </c>
      <c r="E6561">
        <v>7.4640000000000004</v>
      </c>
    </row>
    <row r="6562" spans="1:5">
      <c r="A6562" t="s">
        <v>38170</v>
      </c>
      <c r="B6562" t="s">
        <v>5244</v>
      </c>
      <c r="C6562">
        <v>0.169103251722</v>
      </c>
      <c r="D6562">
        <v>0.98619212469299999</v>
      </c>
      <c r="E6562">
        <v>7.4640000000000004</v>
      </c>
    </row>
    <row r="6563" spans="1:5">
      <c r="A6563" t="s">
        <v>38170</v>
      </c>
      <c r="B6563" t="s">
        <v>5247</v>
      </c>
      <c r="C6563">
        <v>0</v>
      </c>
      <c r="D6563">
        <v>0.98619212469299999</v>
      </c>
      <c r="E6563">
        <v>7.4640000000000004</v>
      </c>
    </row>
    <row r="6564" spans="1:5">
      <c r="A6564" t="s">
        <v>38170</v>
      </c>
      <c r="B6564" t="s">
        <v>5248</v>
      </c>
      <c r="C6564">
        <v>0.82260433258900001</v>
      </c>
      <c r="D6564">
        <v>0.98619212469299999</v>
      </c>
      <c r="E6564">
        <v>7.4640000000000004</v>
      </c>
    </row>
    <row r="6565" spans="1:5">
      <c r="A6565" t="s">
        <v>38170</v>
      </c>
      <c r="B6565" t="s">
        <v>5249</v>
      </c>
      <c r="C6565">
        <f>0</f>
        <v>0</v>
      </c>
      <c r="D6565">
        <v>0.98619212469299999</v>
      </c>
      <c r="E6565">
        <v>7.4640000000000004</v>
      </c>
    </row>
    <row r="6566" spans="1:5">
      <c r="A6566" t="s">
        <v>38171</v>
      </c>
      <c r="B6566" t="s">
        <v>19337</v>
      </c>
      <c r="C6566">
        <f>0.697713555683</f>
        <v>0.69771355568299998</v>
      </c>
      <c r="D6566">
        <v>0.99999787024300002</v>
      </c>
      <c r="E6566">
        <v>7.1999999999999995E-2</v>
      </c>
    </row>
    <row r="6567" spans="1:5">
      <c r="A6567" t="s">
        <v>38171</v>
      </c>
      <c r="B6567" t="s">
        <v>19346</v>
      </c>
      <c r="C6567">
        <v>0.37434209456700002</v>
      </c>
      <c r="D6567">
        <v>0.99999787024300002</v>
      </c>
      <c r="E6567">
        <v>7.1999999999999995E-2</v>
      </c>
    </row>
    <row r="6568" spans="1:5">
      <c r="A6568" t="s">
        <v>38171</v>
      </c>
      <c r="B6568" t="s">
        <v>19340</v>
      </c>
      <c r="C6568">
        <v>0.98064431383700001</v>
      </c>
      <c r="D6568">
        <v>0.99999787024300002</v>
      </c>
      <c r="E6568">
        <v>7.1999999999999995E-2</v>
      </c>
    </row>
    <row r="6569" spans="1:5">
      <c r="A6569" t="s">
        <v>38171</v>
      </c>
      <c r="B6569" t="s">
        <v>19343</v>
      </c>
      <c r="C6569">
        <f>0.221331940946</f>
        <v>0.22133194094600001</v>
      </c>
      <c r="D6569">
        <v>0.99999787024300002</v>
      </c>
      <c r="E6569">
        <v>7.1999999999999995E-2</v>
      </c>
    </row>
    <row r="6570" spans="1:5">
      <c r="A6570" t="s">
        <v>38171</v>
      </c>
      <c r="B6570" t="s">
        <v>19348</v>
      </c>
      <c r="C6570">
        <f>0.983405133218</f>
        <v>0.98340513321800005</v>
      </c>
      <c r="D6570">
        <v>0.99999787024300002</v>
      </c>
      <c r="E6570">
        <v>7.1999999999999995E-2</v>
      </c>
    </row>
    <row r="6571" spans="1:5">
      <c r="A6571" t="s">
        <v>38171</v>
      </c>
      <c r="B6571" t="s">
        <v>19345</v>
      </c>
      <c r="C6571">
        <f>0.461286770299</f>
        <v>0.461286770299</v>
      </c>
      <c r="D6571">
        <v>0.99999787024300002</v>
      </c>
      <c r="E6571">
        <v>7.1999999999999995E-2</v>
      </c>
    </row>
    <row r="6572" spans="1:5">
      <c r="A6572" t="s">
        <v>38171</v>
      </c>
      <c r="B6572" t="s">
        <v>19341</v>
      </c>
      <c r="C6572">
        <f>0.0845804736726</f>
        <v>8.4580473672600007E-2</v>
      </c>
      <c r="D6572">
        <v>0.99999787024300002</v>
      </c>
      <c r="E6572">
        <v>7.1999999999999995E-2</v>
      </c>
    </row>
    <row r="6573" spans="1:5">
      <c r="A6573" t="s">
        <v>38171</v>
      </c>
      <c r="B6573" t="s">
        <v>19344</v>
      </c>
      <c r="C6573">
        <v>0.50166890773899997</v>
      </c>
      <c r="D6573">
        <v>0.99999787024300002</v>
      </c>
      <c r="E6573">
        <v>7.1999999999999995E-2</v>
      </c>
    </row>
    <row r="6574" spans="1:5">
      <c r="A6574" t="s">
        <v>38172</v>
      </c>
      <c r="B6574" t="s">
        <v>25643</v>
      </c>
      <c r="C6574">
        <v>1.78990343135</v>
      </c>
      <c r="D6574">
        <v>0.99698339275500003</v>
      </c>
      <c r="E6574">
        <v>3.4980000000000002</v>
      </c>
    </row>
    <row r="6575" spans="1:5">
      <c r="A6575" t="s">
        <v>38172</v>
      </c>
      <c r="B6575" t="s">
        <v>25646</v>
      </c>
      <c r="C6575">
        <f>0.703367672592</f>
        <v>0.70336767259199995</v>
      </c>
      <c r="D6575">
        <v>0.99698339275500003</v>
      </c>
      <c r="E6575">
        <v>3.4980000000000002</v>
      </c>
    </row>
    <row r="6576" spans="1:5">
      <c r="A6576" t="s">
        <v>38172</v>
      </c>
      <c r="B6576" t="s">
        <v>38173</v>
      </c>
      <c r="C6576">
        <v>0.41613545824199999</v>
      </c>
      <c r="D6576">
        <v>0.99698339275500003</v>
      </c>
      <c r="E6576">
        <v>3.4980000000000002</v>
      </c>
    </row>
    <row r="6577" spans="1:5">
      <c r="A6577" t="s">
        <v>38172</v>
      </c>
      <c r="B6577" t="s">
        <v>25642</v>
      </c>
      <c r="C6577">
        <v>0.84956493426599999</v>
      </c>
      <c r="D6577">
        <v>0.99698339275500003</v>
      </c>
      <c r="E6577">
        <v>3.4980000000000002</v>
      </c>
    </row>
    <row r="6578" spans="1:5">
      <c r="A6578" t="s">
        <v>38172</v>
      </c>
      <c r="B6578" t="s">
        <v>25651</v>
      </c>
      <c r="C6578">
        <f>-2.02561335232</f>
        <v>-2.0256133523200002</v>
      </c>
      <c r="D6578">
        <v>0.99698339275500003</v>
      </c>
      <c r="E6578">
        <v>3.4980000000000002</v>
      </c>
    </row>
    <row r="6579" spans="1:5">
      <c r="A6579" t="s">
        <v>38174</v>
      </c>
      <c r="B6579" t="s">
        <v>31346</v>
      </c>
      <c r="C6579">
        <v>0.77358669776300004</v>
      </c>
      <c r="D6579">
        <v>0.90657824607299997</v>
      </c>
      <c r="E6579">
        <v>20.07</v>
      </c>
    </row>
    <row r="6580" spans="1:5">
      <c r="A6580" t="s">
        <v>38174</v>
      </c>
      <c r="B6580" t="s">
        <v>31348</v>
      </c>
      <c r="C6580">
        <v>2.2582712938200002E-2</v>
      </c>
      <c r="D6580">
        <v>0.90657824607299997</v>
      </c>
      <c r="E6580">
        <v>20.07</v>
      </c>
    </row>
    <row r="6581" spans="1:5">
      <c r="A6581" t="s">
        <v>38174</v>
      </c>
      <c r="B6581" t="s">
        <v>31350</v>
      </c>
      <c r="C6581">
        <f>0</f>
        <v>0</v>
      </c>
      <c r="D6581">
        <v>0.90657824607299997</v>
      </c>
      <c r="E6581">
        <v>20.07</v>
      </c>
    </row>
    <row r="6582" spans="1:5">
      <c r="A6582" t="s">
        <v>38174</v>
      </c>
      <c r="B6582" t="s">
        <v>31349</v>
      </c>
      <c r="C6582">
        <v>0.25632907643800001</v>
      </c>
      <c r="D6582">
        <v>0.90657824607299997</v>
      </c>
      <c r="E6582">
        <v>20.07</v>
      </c>
    </row>
    <row r="6583" spans="1:5">
      <c r="A6583" t="s">
        <v>38175</v>
      </c>
      <c r="B6583" t="s">
        <v>30793</v>
      </c>
      <c r="C6583">
        <v>0.19150585960700001</v>
      </c>
      <c r="D6583">
        <v>0.94079373096399999</v>
      </c>
      <c r="E6583">
        <v>24</v>
      </c>
    </row>
    <row r="6584" spans="1:5">
      <c r="A6584" t="s">
        <v>38175</v>
      </c>
      <c r="B6584" t="s">
        <v>30774</v>
      </c>
      <c r="C6584">
        <f>0</f>
        <v>0</v>
      </c>
      <c r="D6584">
        <v>0.94079373096399999</v>
      </c>
      <c r="E6584">
        <v>24</v>
      </c>
    </row>
    <row r="6585" spans="1:5">
      <c r="A6585" t="s">
        <v>38175</v>
      </c>
      <c r="B6585" t="s">
        <v>30789</v>
      </c>
      <c r="C6585">
        <f>0.504627833661</f>
        <v>0.50462783366099995</v>
      </c>
      <c r="D6585">
        <v>0.94079373096399999</v>
      </c>
      <c r="E6585">
        <v>24</v>
      </c>
    </row>
    <row r="6586" spans="1:5">
      <c r="A6586" t="s">
        <v>38175</v>
      </c>
      <c r="B6586" t="s">
        <v>30775</v>
      </c>
      <c r="C6586">
        <f>0</f>
        <v>0</v>
      </c>
      <c r="D6586">
        <v>0.94079373096399999</v>
      </c>
      <c r="E6586">
        <v>24</v>
      </c>
    </row>
    <row r="6587" spans="1:5">
      <c r="A6587" t="s">
        <v>38175</v>
      </c>
      <c r="B6587" t="s">
        <v>30781</v>
      </c>
      <c r="C6587">
        <v>0.301332828853</v>
      </c>
      <c r="D6587">
        <v>0.94079373096399999</v>
      </c>
      <c r="E6587">
        <v>24</v>
      </c>
    </row>
    <row r="6588" spans="1:5">
      <c r="A6588" t="s">
        <v>38175</v>
      </c>
      <c r="B6588" t="s">
        <v>30788</v>
      </c>
      <c r="C6588">
        <v>0</v>
      </c>
      <c r="D6588">
        <v>0.94079373096399999</v>
      </c>
      <c r="E6588">
        <v>24</v>
      </c>
    </row>
    <row r="6589" spans="1:5">
      <c r="A6589" t="s">
        <v>38175</v>
      </c>
      <c r="B6589" t="s">
        <v>30778</v>
      </c>
      <c r="C6589">
        <f>0</f>
        <v>0</v>
      </c>
      <c r="D6589">
        <v>0.94079373096399999</v>
      </c>
      <c r="E6589">
        <v>24</v>
      </c>
    </row>
    <row r="6590" spans="1:5">
      <c r="A6590" t="s">
        <v>38175</v>
      </c>
      <c r="B6590" t="s">
        <v>30776</v>
      </c>
      <c r="C6590">
        <f>0</f>
        <v>0</v>
      </c>
      <c r="D6590">
        <v>0.94079373096399999</v>
      </c>
      <c r="E6590">
        <v>24</v>
      </c>
    </row>
    <row r="6591" spans="1:5">
      <c r="A6591" t="s">
        <v>38176</v>
      </c>
      <c r="B6591" t="s">
        <v>38177</v>
      </c>
      <c r="C6591">
        <f>0</f>
        <v>0</v>
      </c>
      <c r="D6591" t="s">
        <v>106</v>
      </c>
      <c r="E6591">
        <v>0.06</v>
      </c>
    </row>
    <row r="6592" spans="1:5">
      <c r="A6592" t="s">
        <v>38176</v>
      </c>
      <c r="B6592" t="s">
        <v>38178</v>
      </c>
      <c r="C6592">
        <f>0</f>
        <v>0</v>
      </c>
      <c r="D6592" t="s">
        <v>106</v>
      </c>
      <c r="E6592">
        <v>0.06</v>
      </c>
    </row>
    <row r="6593" spans="1:5">
      <c r="A6593" t="s">
        <v>38179</v>
      </c>
      <c r="B6593" t="s">
        <v>6797</v>
      </c>
      <c r="C6593">
        <v>0.408298229555</v>
      </c>
      <c r="D6593">
        <v>0.53790822955499995</v>
      </c>
      <c r="E6593">
        <v>4.5839999999999996</v>
      </c>
    </row>
    <row r="6594" spans="1:5">
      <c r="A6594" t="s">
        <v>38179</v>
      </c>
      <c r="B6594" t="s">
        <v>6798</v>
      </c>
      <c r="C6594">
        <f>0</f>
        <v>0</v>
      </c>
      <c r="D6594">
        <v>0.53790822955499995</v>
      </c>
      <c r="E6594">
        <v>4.5839999999999996</v>
      </c>
    </row>
    <row r="6595" spans="1:5">
      <c r="A6595" t="s">
        <v>38179</v>
      </c>
      <c r="B6595" t="s">
        <v>6802</v>
      </c>
      <c r="C6595">
        <v>0</v>
      </c>
      <c r="D6595">
        <v>0.53790822955499995</v>
      </c>
      <c r="E6595">
        <v>4.5839999999999996</v>
      </c>
    </row>
    <row r="6596" spans="1:5">
      <c r="A6596" t="s">
        <v>38179</v>
      </c>
      <c r="B6596" t="s">
        <v>6801</v>
      </c>
      <c r="C6596">
        <v>0</v>
      </c>
      <c r="D6596">
        <v>0.53790822955499995</v>
      </c>
      <c r="E6596">
        <v>4.5839999999999996</v>
      </c>
    </row>
    <row r="6597" spans="1:5">
      <c r="A6597" t="s">
        <v>38179</v>
      </c>
      <c r="B6597" t="s">
        <v>6799</v>
      </c>
      <c r="C6597">
        <v>0</v>
      </c>
      <c r="D6597">
        <v>0.53790822955499995</v>
      </c>
      <c r="E6597">
        <v>4.5839999999999996</v>
      </c>
    </row>
    <row r="6598" spans="1:5">
      <c r="A6598" t="s">
        <v>38179</v>
      </c>
      <c r="B6598" t="s">
        <v>6803</v>
      </c>
      <c r="C6598">
        <v>0</v>
      </c>
      <c r="D6598">
        <v>0.53790822955499995</v>
      </c>
      <c r="E6598">
        <v>4.5839999999999996</v>
      </c>
    </row>
    <row r="6599" spans="1:5">
      <c r="A6599" t="s">
        <v>38179</v>
      </c>
      <c r="B6599" t="s">
        <v>6800</v>
      </c>
      <c r="C6599">
        <v>0</v>
      </c>
      <c r="D6599">
        <v>0.53790822955499995</v>
      </c>
      <c r="E6599">
        <v>4.5839999999999996</v>
      </c>
    </row>
    <row r="6600" spans="1:5">
      <c r="A6600" t="s">
        <v>38180</v>
      </c>
      <c r="B6600" t="s">
        <v>11960</v>
      </c>
      <c r="C6600">
        <v>2.43413380083E-2</v>
      </c>
      <c r="D6600">
        <v>0.98528088326499996</v>
      </c>
      <c r="E6600">
        <v>24</v>
      </c>
    </row>
    <row r="6601" spans="1:5">
      <c r="A6601" t="s">
        <v>38180</v>
      </c>
      <c r="B6601" t="s">
        <v>11958</v>
      </c>
      <c r="C6601">
        <v>0</v>
      </c>
      <c r="D6601">
        <v>0.98528088326499996</v>
      </c>
      <c r="E6601">
        <v>24</v>
      </c>
    </row>
    <row r="6602" spans="1:5">
      <c r="A6602" t="s">
        <v>38180</v>
      </c>
      <c r="B6602" t="s">
        <v>11959</v>
      </c>
      <c r="C6602">
        <v>0</v>
      </c>
      <c r="D6602">
        <v>0.98528088326499996</v>
      </c>
      <c r="E6602">
        <v>24</v>
      </c>
    </row>
    <row r="6603" spans="1:5">
      <c r="A6603" t="s">
        <v>38180</v>
      </c>
      <c r="B6603" t="s">
        <v>11967</v>
      </c>
      <c r="C6603">
        <f>0.612935691019</f>
        <v>0.61293569101900003</v>
      </c>
      <c r="D6603">
        <v>0.98528088326499996</v>
      </c>
      <c r="E6603">
        <v>24</v>
      </c>
    </row>
    <row r="6604" spans="1:5">
      <c r="A6604" t="s">
        <v>38180</v>
      </c>
      <c r="B6604" t="s">
        <v>11954</v>
      </c>
      <c r="C6604">
        <f>0.320608392864</f>
        <v>0.320608392864</v>
      </c>
      <c r="D6604">
        <v>0.98528088326499996</v>
      </c>
      <c r="E6604">
        <v>24</v>
      </c>
    </row>
    <row r="6605" spans="1:5">
      <c r="A6605" t="s">
        <v>38180</v>
      </c>
      <c r="B6605" t="s">
        <v>11964</v>
      </c>
      <c r="C6605">
        <f>0</f>
        <v>0</v>
      </c>
      <c r="D6605">
        <v>0.98528088326499996</v>
      </c>
      <c r="E6605">
        <v>24</v>
      </c>
    </row>
    <row r="6606" spans="1:5">
      <c r="A6606" t="s">
        <v>38180</v>
      </c>
      <c r="B6606" t="s">
        <v>11965</v>
      </c>
      <c r="C6606">
        <v>0.63767106109299998</v>
      </c>
      <c r="D6606">
        <v>0.98528088326499996</v>
      </c>
      <c r="E6606">
        <v>24</v>
      </c>
    </row>
    <row r="6607" spans="1:5">
      <c r="A6607" t="s">
        <v>38180</v>
      </c>
      <c r="B6607" t="s">
        <v>11966</v>
      </c>
      <c r="C6607">
        <v>0.13831052492699999</v>
      </c>
      <c r="D6607">
        <v>0.98528088326499996</v>
      </c>
      <c r="E6607">
        <v>24</v>
      </c>
    </row>
    <row r="6608" spans="1:5">
      <c r="A6608" t="s">
        <v>38180</v>
      </c>
      <c r="B6608" t="s">
        <v>11968</v>
      </c>
      <c r="C6608">
        <v>0</v>
      </c>
      <c r="D6608">
        <v>0.98528088326499996</v>
      </c>
      <c r="E6608">
        <v>24</v>
      </c>
    </row>
    <row r="6609" spans="1:5">
      <c r="A6609" t="s">
        <v>38180</v>
      </c>
      <c r="B6609" t="s">
        <v>11972</v>
      </c>
      <c r="C6609">
        <v>0</v>
      </c>
      <c r="D6609">
        <v>0.98528088326499996</v>
      </c>
      <c r="E6609">
        <v>24</v>
      </c>
    </row>
    <row r="6610" spans="1:5">
      <c r="A6610" t="s">
        <v>38180</v>
      </c>
      <c r="B6610" t="s">
        <v>11969</v>
      </c>
      <c r="C6610">
        <v>0</v>
      </c>
      <c r="D6610">
        <v>0.98528088326499996</v>
      </c>
      <c r="E6610">
        <v>24</v>
      </c>
    </row>
    <row r="6611" spans="1:5">
      <c r="A6611" t="s">
        <v>38180</v>
      </c>
      <c r="B6611" t="s">
        <v>11973</v>
      </c>
      <c r="C6611">
        <v>0</v>
      </c>
      <c r="D6611">
        <v>0.98528088326499996</v>
      </c>
      <c r="E6611">
        <v>24</v>
      </c>
    </row>
    <row r="6612" spans="1:5">
      <c r="A6612" t="s">
        <v>38180</v>
      </c>
      <c r="B6612" t="s">
        <v>11962</v>
      </c>
      <c r="C6612">
        <v>0</v>
      </c>
      <c r="D6612">
        <v>0.98528088326499996</v>
      </c>
      <c r="E6612">
        <v>24</v>
      </c>
    </row>
    <row r="6613" spans="1:5">
      <c r="A6613" t="s">
        <v>38181</v>
      </c>
      <c r="B6613" t="s">
        <v>38182</v>
      </c>
      <c r="C6613">
        <v>0</v>
      </c>
      <c r="D6613">
        <v>0.78512758947799999</v>
      </c>
      <c r="E6613">
        <v>23.754000000000001</v>
      </c>
    </row>
    <row r="6614" spans="1:5">
      <c r="A6614" t="s">
        <v>38181</v>
      </c>
      <c r="B6614" t="s">
        <v>38183</v>
      </c>
      <c r="C6614">
        <f>0</f>
        <v>0</v>
      </c>
      <c r="D6614">
        <v>0.78512758947799999</v>
      </c>
      <c r="E6614">
        <v>23.754000000000001</v>
      </c>
    </row>
    <row r="6615" spans="1:5">
      <c r="A6615" t="s">
        <v>38181</v>
      </c>
      <c r="B6615" t="s">
        <v>38184</v>
      </c>
      <c r="C6615">
        <v>0.16112488748000001</v>
      </c>
      <c r="D6615">
        <v>0.78512758947799999</v>
      </c>
      <c r="E6615">
        <v>23.754000000000001</v>
      </c>
    </row>
    <row r="6616" spans="1:5">
      <c r="A6616" t="s">
        <v>38181</v>
      </c>
      <c r="B6616" t="s">
        <v>38185</v>
      </c>
      <c r="C6616">
        <f>0</f>
        <v>0</v>
      </c>
      <c r="D6616">
        <v>0.78512758947799999</v>
      </c>
      <c r="E6616">
        <v>23.754000000000001</v>
      </c>
    </row>
    <row r="6617" spans="1:5">
      <c r="A6617" t="s">
        <v>38181</v>
      </c>
      <c r="B6617" t="s">
        <v>38186</v>
      </c>
      <c r="C6617">
        <v>0</v>
      </c>
      <c r="D6617">
        <v>0.78512758947799999</v>
      </c>
      <c r="E6617">
        <v>23.754000000000001</v>
      </c>
    </row>
    <row r="6618" spans="1:5">
      <c r="A6618" t="s">
        <v>38181</v>
      </c>
      <c r="B6618" t="s">
        <v>38187</v>
      </c>
      <c r="C6618">
        <v>0.383388280144</v>
      </c>
      <c r="D6618">
        <v>0.78512758947799999</v>
      </c>
      <c r="E6618">
        <v>23.754000000000001</v>
      </c>
    </row>
    <row r="6619" spans="1:5">
      <c r="A6619" t="s">
        <v>38181</v>
      </c>
      <c r="B6619" t="s">
        <v>38188</v>
      </c>
      <c r="C6619">
        <v>0.12162331753</v>
      </c>
      <c r="D6619">
        <v>0.78512758947799999</v>
      </c>
      <c r="E6619">
        <v>23.754000000000001</v>
      </c>
    </row>
    <row r="6620" spans="1:5">
      <c r="A6620" t="s">
        <v>38189</v>
      </c>
      <c r="B6620" t="s">
        <v>33705</v>
      </c>
      <c r="C6620">
        <f>0.434349596373</f>
        <v>0.43434959637300002</v>
      </c>
      <c r="D6620">
        <v>0.96575342254800001</v>
      </c>
      <c r="E6620">
        <v>11.04</v>
      </c>
    </row>
    <row r="6621" spans="1:5">
      <c r="A6621" t="s">
        <v>38189</v>
      </c>
      <c r="B6621" t="s">
        <v>33700</v>
      </c>
      <c r="C6621">
        <v>0.30528575574200001</v>
      </c>
      <c r="D6621">
        <v>0.96575342254800001</v>
      </c>
      <c r="E6621">
        <v>11.04</v>
      </c>
    </row>
    <row r="6622" spans="1:5">
      <c r="A6622" t="s">
        <v>38189</v>
      </c>
      <c r="B6622" t="s">
        <v>38190</v>
      </c>
      <c r="C6622">
        <f>0.262273994698</f>
        <v>0.262273994698</v>
      </c>
      <c r="D6622">
        <v>0.96575342254800001</v>
      </c>
      <c r="E6622">
        <v>11.04</v>
      </c>
    </row>
    <row r="6623" spans="1:5">
      <c r="A6623" t="s">
        <v>38189</v>
      </c>
      <c r="B6623" t="s">
        <v>33701</v>
      </c>
      <c r="C6623">
        <v>0.44471937931099997</v>
      </c>
      <c r="D6623">
        <v>0.96575342254800001</v>
      </c>
      <c r="E6623">
        <v>11.04</v>
      </c>
    </row>
    <row r="6624" spans="1:5">
      <c r="A6624" t="s">
        <v>38191</v>
      </c>
      <c r="B6624" t="s">
        <v>10006</v>
      </c>
      <c r="C6624">
        <f>0</f>
        <v>0</v>
      </c>
      <c r="D6624">
        <v>0.82783310601899995</v>
      </c>
      <c r="E6624">
        <v>9.6180000000000003</v>
      </c>
    </row>
    <row r="6625" spans="1:5">
      <c r="A6625" t="s">
        <v>38191</v>
      </c>
      <c r="B6625" t="s">
        <v>10005</v>
      </c>
      <c r="C6625">
        <v>0.24366012336699999</v>
      </c>
      <c r="D6625">
        <v>0.82783310601899995</v>
      </c>
      <c r="E6625">
        <v>9.6180000000000003</v>
      </c>
    </row>
    <row r="6626" spans="1:5">
      <c r="A6626" t="s">
        <v>38191</v>
      </c>
      <c r="B6626" t="s">
        <v>10009</v>
      </c>
      <c r="C6626">
        <v>0</v>
      </c>
      <c r="D6626">
        <v>0.82783310601899995</v>
      </c>
      <c r="E6626">
        <v>9.6180000000000003</v>
      </c>
    </row>
    <row r="6627" spans="1:5">
      <c r="A6627" t="s">
        <v>38191</v>
      </c>
      <c r="B6627" t="s">
        <v>10007</v>
      </c>
      <c r="C6627">
        <v>0.58442997277099995</v>
      </c>
      <c r="D6627">
        <v>0.82783310601899995</v>
      </c>
      <c r="E6627">
        <v>9.6180000000000003</v>
      </c>
    </row>
    <row r="6628" spans="1:5">
      <c r="A6628" t="s">
        <v>38191</v>
      </c>
      <c r="B6628" t="s">
        <v>10010</v>
      </c>
      <c r="C6628">
        <v>2.81973670404E-2</v>
      </c>
      <c r="D6628">
        <v>0.82783310601899995</v>
      </c>
      <c r="E6628">
        <v>9.6180000000000003</v>
      </c>
    </row>
    <row r="6629" spans="1:5">
      <c r="A6629" t="s">
        <v>38192</v>
      </c>
      <c r="B6629" t="s">
        <v>29286</v>
      </c>
      <c r="C6629">
        <v>0</v>
      </c>
      <c r="D6629" t="s">
        <v>106</v>
      </c>
      <c r="E6629">
        <v>0.114</v>
      </c>
    </row>
    <row r="6630" spans="1:5">
      <c r="A6630" t="s">
        <v>38192</v>
      </c>
      <c r="B6630" t="s">
        <v>29287</v>
      </c>
      <c r="C6630">
        <f>0</f>
        <v>0</v>
      </c>
      <c r="D6630" t="s">
        <v>106</v>
      </c>
      <c r="E6630">
        <v>0.114</v>
      </c>
    </row>
    <row r="6631" spans="1:5">
      <c r="A6631" t="s">
        <v>38192</v>
      </c>
      <c r="B6631" t="s">
        <v>29288</v>
      </c>
      <c r="C6631">
        <f>0</f>
        <v>0</v>
      </c>
      <c r="D6631" t="s">
        <v>106</v>
      </c>
      <c r="E6631">
        <v>0.114</v>
      </c>
    </row>
    <row r="6632" spans="1:5">
      <c r="A6632" t="s">
        <v>38193</v>
      </c>
      <c r="B6632" t="s">
        <v>30928</v>
      </c>
      <c r="C6632">
        <v>0</v>
      </c>
      <c r="D6632" t="s">
        <v>106</v>
      </c>
      <c r="E6632">
        <v>24</v>
      </c>
    </row>
    <row r="6633" spans="1:5">
      <c r="A6633" t="s">
        <v>38193</v>
      </c>
      <c r="B6633" t="s">
        <v>30931</v>
      </c>
      <c r="C6633">
        <v>0</v>
      </c>
      <c r="D6633" t="s">
        <v>106</v>
      </c>
      <c r="E6633">
        <v>24</v>
      </c>
    </row>
    <row r="6634" spans="1:5">
      <c r="A6634" t="s">
        <v>38194</v>
      </c>
      <c r="B6634" t="s">
        <v>19931</v>
      </c>
      <c r="C6634">
        <f>0.350106010289</f>
        <v>0.35010601028900001</v>
      </c>
      <c r="D6634">
        <v>0.86860646751299997</v>
      </c>
      <c r="E6634">
        <v>20.292000000000002</v>
      </c>
    </row>
    <row r="6635" spans="1:5">
      <c r="A6635" t="s">
        <v>38194</v>
      </c>
      <c r="B6635" t="s">
        <v>19935</v>
      </c>
      <c r="C6635">
        <f>0.116139685686</f>
        <v>0.116139685686</v>
      </c>
      <c r="D6635">
        <v>0.86860646751299997</v>
      </c>
      <c r="E6635">
        <v>20.292000000000002</v>
      </c>
    </row>
    <row r="6636" spans="1:5">
      <c r="A6636" t="s">
        <v>38194</v>
      </c>
      <c r="B6636" t="s">
        <v>19934</v>
      </c>
      <c r="C6636">
        <f>0</f>
        <v>0</v>
      </c>
      <c r="D6636">
        <v>0.86860646751299997</v>
      </c>
      <c r="E6636">
        <v>20.292000000000002</v>
      </c>
    </row>
    <row r="6637" spans="1:5">
      <c r="A6637" t="s">
        <v>38194</v>
      </c>
      <c r="B6637" t="s">
        <v>19932</v>
      </c>
      <c r="C6637">
        <v>0</v>
      </c>
      <c r="D6637">
        <v>0.86860646751299997</v>
      </c>
      <c r="E6637">
        <v>20.292000000000002</v>
      </c>
    </row>
    <row r="6638" spans="1:5">
      <c r="A6638" t="s">
        <v>38194</v>
      </c>
      <c r="B6638" t="s">
        <v>19936</v>
      </c>
      <c r="C6638">
        <f>0.594550732892</f>
        <v>0.594550732892</v>
      </c>
      <c r="D6638">
        <v>0.86860646751299997</v>
      </c>
      <c r="E6638">
        <v>20.292000000000002</v>
      </c>
    </row>
    <row r="6639" spans="1:5">
      <c r="A6639" t="s">
        <v>38195</v>
      </c>
      <c r="B6639" t="s">
        <v>1556</v>
      </c>
      <c r="C6639">
        <f>0.104975345547</f>
        <v>0.104975345547</v>
      </c>
      <c r="D6639">
        <v>0.89262041775500001</v>
      </c>
      <c r="E6639">
        <v>23.754000000000001</v>
      </c>
    </row>
    <row r="6640" spans="1:5">
      <c r="A6640" t="s">
        <v>38195</v>
      </c>
      <c r="B6640" t="s">
        <v>1553</v>
      </c>
      <c r="C6640">
        <f>0</f>
        <v>0</v>
      </c>
      <c r="D6640">
        <v>0.89262041775500001</v>
      </c>
      <c r="E6640">
        <v>23.754000000000001</v>
      </c>
    </row>
    <row r="6641" spans="1:5">
      <c r="A6641" t="s">
        <v>38195</v>
      </c>
      <c r="B6641" t="s">
        <v>1560</v>
      </c>
      <c r="C6641">
        <f>0.223979019082</f>
        <v>0.22397901908199999</v>
      </c>
      <c r="D6641">
        <v>0.89262041775500001</v>
      </c>
      <c r="E6641">
        <v>23.754000000000001</v>
      </c>
    </row>
    <row r="6642" spans="1:5">
      <c r="A6642" t="s">
        <v>38195</v>
      </c>
      <c r="B6642" t="s">
        <v>1559</v>
      </c>
      <c r="C6642">
        <f>0</f>
        <v>0</v>
      </c>
      <c r="D6642">
        <v>0.89262041775500001</v>
      </c>
      <c r="E6642">
        <v>23.754000000000001</v>
      </c>
    </row>
    <row r="6643" spans="1:5">
      <c r="A6643" t="s">
        <v>38195</v>
      </c>
      <c r="B6643" t="s">
        <v>1555</v>
      </c>
      <c r="C6643">
        <f>0</f>
        <v>0</v>
      </c>
      <c r="D6643">
        <v>0.89262041775500001</v>
      </c>
      <c r="E6643">
        <v>23.754000000000001</v>
      </c>
    </row>
    <row r="6644" spans="1:5">
      <c r="A6644" t="s">
        <v>38195</v>
      </c>
      <c r="B6644" t="s">
        <v>1554</v>
      </c>
      <c r="C6644">
        <f>0.422647741322</f>
        <v>0.422647741322</v>
      </c>
      <c r="D6644">
        <v>0.89262041775500001</v>
      </c>
      <c r="E6644">
        <v>23.754000000000001</v>
      </c>
    </row>
    <row r="6645" spans="1:5">
      <c r="A6645" t="s">
        <v>38196</v>
      </c>
      <c r="B6645" t="s">
        <v>4045</v>
      </c>
      <c r="C6645">
        <f>0.162753765193</f>
        <v>0.162753765193</v>
      </c>
      <c r="D6645">
        <v>0.99999359497999996</v>
      </c>
      <c r="E6645">
        <v>9.3179999999999996</v>
      </c>
    </row>
    <row r="6646" spans="1:5">
      <c r="A6646" t="s">
        <v>38196</v>
      </c>
      <c r="B6646" t="s">
        <v>4044</v>
      </c>
      <c r="C6646">
        <v>0</v>
      </c>
      <c r="D6646">
        <v>0.99999359497999996</v>
      </c>
      <c r="E6646">
        <v>9.3179999999999996</v>
      </c>
    </row>
    <row r="6647" spans="1:5">
      <c r="A6647" t="s">
        <v>38196</v>
      </c>
      <c r="B6647" t="s">
        <v>4050</v>
      </c>
      <c r="C6647">
        <f>0</f>
        <v>0</v>
      </c>
      <c r="D6647">
        <v>0.99999359497999996</v>
      </c>
      <c r="E6647">
        <v>9.3179999999999996</v>
      </c>
    </row>
    <row r="6648" spans="1:5">
      <c r="A6648" t="s">
        <v>38196</v>
      </c>
      <c r="B6648" t="s">
        <v>4046</v>
      </c>
      <c r="C6648">
        <f>0.00195894693997</f>
        <v>1.9589469399699999E-3</v>
      </c>
      <c r="D6648">
        <v>0.99999359497999996</v>
      </c>
      <c r="E6648">
        <v>9.3179999999999996</v>
      </c>
    </row>
    <row r="6649" spans="1:5">
      <c r="A6649" t="s">
        <v>38196</v>
      </c>
      <c r="B6649" t="s">
        <v>4038</v>
      </c>
      <c r="C6649">
        <v>0.60000618348500001</v>
      </c>
      <c r="D6649">
        <v>0.99999359497999996</v>
      </c>
      <c r="E6649">
        <v>9.3179999999999996</v>
      </c>
    </row>
    <row r="6650" spans="1:5">
      <c r="A6650" t="s">
        <v>38196</v>
      </c>
      <c r="B6650" t="s">
        <v>4041</v>
      </c>
      <c r="C6650">
        <v>0.328395784468</v>
      </c>
      <c r="D6650">
        <v>0.99999359497999996</v>
      </c>
      <c r="E6650">
        <v>9.3179999999999996</v>
      </c>
    </row>
    <row r="6651" spans="1:5">
      <c r="A6651" t="s">
        <v>38196</v>
      </c>
      <c r="B6651" t="s">
        <v>4051</v>
      </c>
      <c r="C6651">
        <v>4.2381216663600001E-2</v>
      </c>
      <c r="D6651">
        <v>0.99999359497999996</v>
      </c>
      <c r="E6651">
        <v>9.3179999999999996</v>
      </c>
    </row>
    <row r="6652" spans="1:5">
      <c r="A6652" t="s">
        <v>38196</v>
      </c>
      <c r="B6652" t="s">
        <v>4043</v>
      </c>
      <c r="C6652">
        <v>8.0042391768699997E-2</v>
      </c>
      <c r="D6652">
        <v>0.99999359497999996</v>
      </c>
      <c r="E6652">
        <v>9.3179999999999996</v>
      </c>
    </row>
    <row r="6653" spans="1:5">
      <c r="A6653" t="s">
        <v>38197</v>
      </c>
      <c r="B6653" t="s">
        <v>38198</v>
      </c>
      <c r="C6653">
        <f>0</f>
        <v>0</v>
      </c>
      <c r="D6653" t="s">
        <v>106</v>
      </c>
      <c r="E6653">
        <v>0.34799999999999998</v>
      </c>
    </row>
    <row r="6654" spans="1:5">
      <c r="A6654" t="s">
        <v>38197</v>
      </c>
      <c r="B6654" t="s">
        <v>38199</v>
      </c>
      <c r="C6654">
        <v>0</v>
      </c>
      <c r="D6654" t="s">
        <v>106</v>
      </c>
      <c r="E6654">
        <v>0.34799999999999998</v>
      </c>
    </row>
    <row r="6655" spans="1:5">
      <c r="A6655" t="s">
        <v>38200</v>
      </c>
      <c r="B6655" t="s">
        <v>38201</v>
      </c>
      <c r="C6655">
        <v>1.5749173862900001</v>
      </c>
      <c r="D6655">
        <v>0.99964341003500001</v>
      </c>
      <c r="E6655">
        <v>18.558</v>
      </c>
    </row>
    <row r="6656" spans="1:5">
      <c r="A6656" t="s">
        <v>38200</v>
      </c>
      <c r="B6656" t="s">
        <v>38202</v>
      </c>
      <c r="C6656">
        <v>0.87728372349700001</v>
      </c>
      <c r="D6656">
        <v>0.99964341003500001</v>
      </c>
      <c r="E6656">
        <v>18.558</v>
      </c>
    </row>
    <row r="6657" spans="1:5">
      <c r="A6657" t="s">
        <v>38200</v>
      </c>
      <c r="B6657" t="s">
        <v>38203</v>
      </c>
      <c r="C6657">
        <f>0.248044893482</f>
        <v>0.24804489348200001</v>
      </c>
      <c r="D6657">
        <v>0.99964341003500001</v>
      </c>
      <c r="E6657">
        <v>18.558</v>
      </c>
    </row>
    <row r="6658" spans="1:5">
      <c r="A6658" t="s">
        <v>38200</v>
      </c>
      <c r="B6658" t="s">
        <v>38204</v>
      </c>
      <c r="C6658">
        <v>0.86189403168400003</v>
      </c>
      <c r="D6658">
        <v>0.99964341003500001</v>
      </c>
      <c r="E6658">
        <v>18.558</v>
      </c>
    </row>
    <row r="6659" spans="1:5">
      <c r="A6659" t="s">
        <v>38200</v>
      </c>
      <c r="B6659" t="s">
        <v>38205</v>
      </c>
      <c r="C6659">
        <f>-2.01678599627</f>
        <v>-2.0167859962699999</v>
      </c>
      <c r="D6659">
        <v>0.99964341003500001</v>
      </c>
      <c r="E6659">
        <v>18.558</v>
      </c>
    </row>
    <row r="6660" spans="1:5">
      <c r="A6660" t="s">
        <v>38200</v>
      </c>
      <c r="B6660" t="s">
        <v>38206</v>
      </c>
      <c r="C6660">
        <f>-1.05411804551</f>
        <v>-1.0541180455100001</v>
      </c>
      <c r="D6660">
        <v>0.99964341003500001</v>
      </c>
      <c r="E6660">
        <v>18.558</v>
      </c>
    </row>
    <row r="6661" spans="1:5">
      <c r="A6661" t="s">
        <v>38207</v>
      </c>
      <c r="B6661" t="s">
        <v>30290</v>
      </c>
      <c r="C6661">
        <v>0</v>
      </c>
      <c r="D6661" t="s">
        <v>106</v>
      </c>
      <c r="E6661">
        <v>5.58</v>
      </c>
    </row>
    <row r="6662" spans="1:5">
      <c r="A6662" t="s">
        <v>38207</v>
      </c>
      <c r="B6662" t="s">
        <v>30285</v>
      </c>
      <c r="C6662">
        <v>0</v>
      </c>
      <c r="D6662" t="s">
        <v>106</v>
      </c>
      <c r="E6662">
        <v>5.58</v>
      </c>
    </row>
    <row r="6663" spans="1:5">
      <c r="A6663" t="s">
        <v>38207</v>
      </c>
      <c r="B6663" t="s">
        <v>30288</v>
      </c>
      <c r="C6663">
        <v>0</v>
      </c>
      <c r="D6663" t="s">
        <v>106</v>
      </c>
      <c r="E6663">
        <v>5.58</v>
      </c>
    </row>
    <row r="6664" spans="1:5">
      <c r="A6664" t="s">
        <v>38208</v>
      </c>
      <c r="B6664" t="s">
        <v>38209</v>
      </c>
      <c r="C6664">
        <v>0.44080428613700001</v>
      </c>
      <c r="D6664">
        <v>0.86260368170199997</v>
      </c>
      <c r="E6664">
        <v>9.1679999999999993</v>
      </c>
    </row>
    <row r="6665" spans="1:5">
      <c r="A6665" t="s">
        <v>38208</v>
      </c>
      <c r="B6665" t="s">
        <v>38210</v>
      </c>
      <c r="C6665">
        <v>0.65284426158700004</v>
      </c>
      <c r="D6665">
        <v>0.86260368170199997</v>
      </c>
      <c r="E6665">
        <v>9.1679999999999993</v>
      </c>
    </row>
    <row r="6666" spans="1:5">
      <c r="A6666" t="s">
        <v>38208</v>
      </c>
      <c r="B6666" t="s">
        <v>38211</v>
      </c>
      <c r="C6666">
        <f>0</f>
        <v>0</v>
      </c>
      <c r="D6666">
        <v>0.86260368170199997</v>
      </c>
      <c r="E6666">
        <v>9.1679999999999993</v>
      </c>
    </row>
    <row r="6667" spans="1:5">
      <c r="A6667" t="s">
        <v>38212</v>
      </c>
      <c r="B6667" t="s">
        <v>38213</v>
      </c>
      <c r="C6667">
        <v>0.60692251027400002</v>
      </c>
      <c r="D6667">
        <v>0.94107472074999998</v>
      </c>
      <c r="E6667">
        <v>24</v>
      </c>
    </row>
    <row r="6668" spans="1:5">
      <c r="A6668" t="s">
        <v>38212</v>
      </c>
      <c r="B6668" t="s">
        <v>38214</v>
      </c>
      <c r="C6668">
        <v>0.86030088343699995</v>
      </c>
      <c r="D6668">
        <v>0.94107472074999998</v>
      </c>
      <c r="E6668">
        <v>24</v>
      </c>
    </row>
    <row r="6669" spans="1:5">
      <c r="A6669" t="s">
        <v>38212</v>
      </c>
      <c r="B6669" t="s">
        <v>38215</v>
      </c>
      <c r="C6669">
        <v>0</v>
      </c>
      <c r="D6669">
        <v>0.94107472074999998</v>
      </c>
      <c r="E6669">
        <v>24</v>
      </c>
    </row>
    <row r="6670" spans="1:5">
      <c r="A6670" t="s">
        <v>38212</v>
      </c>
      <c r="B6670" t="s">
        <v>38216</v>
      </c>
      <c r="C6670">
        <f>0</f>
        <v>0</v>
      </c>
      <c r="D6670">
        <v>0.94107472074999998</v>
      </c>
      <c r="E6670">
        <v>24</v>
      </c>
    </row>
    <row r="6671" spans="1:5">
      <c r="A6671" t="s">
        <v>38212</v>
      </c>
      <c r="B6671" t="s">
        <v>38217</v>
      </c>
      <c r="C6671">
        <v>0</v>
      </c>
      <c r="D6671">
        <v>0.94107472074999998</v>
      </c>
      <c r="E6671">
        <v>24</v>
      </c>
    </row>
    <row r="6672" spans="1:5">
      <c r="A6672" t="s">
        <v>38212</v>
      </c>
      <c r="B6672" t="s">
        <v>38218</v>
      </c>
      <c r="C6672">
        <v>0</v>
      </c>
      <c r="D6672">
        <v>0.94107472074999998</v>
      </c>
      <c r="E6672">
        <v>24</v>
      </c>
    </row>
    <row r="6673" spans="1:5">
      <c r="A6673" t="s">
        <v>38212</v>
      </c>
      <c r="B6673" t="s">
        <v>38219</v>
      </c>
      <c r="C6673">
        <v>0</v>
      </c>
      <c r="D6673">
        <v>0.94107472074999998</v>
      </c>
      <c r="E6673">
        <v>24</v>
      </c>
    </row>
    <row r="6674" spans="1:5">
      <c r="A6674" t="s">
        <v>38220</v>
      </c>
      <c r="B6674" t="s">
        <v>11094</v>
      </c>
      <c r="C6674">
        <f>0</f>
        <v>0</v>
      </c>
      <c r="D6674">
        <v>0.85144431263499998</v>
      </c>
      <c r="E6674">
        <v>4.4820000000000002</v>
      </c>
    </row>
    <row r="6675" spans="1:5">
      <c r="A6675" t="s">
        <v>38220</v>
      </c>
      <c r="B6675" t="s">
        <v>11099</v>
      </c>
      <c r="C6675">
        <v>0.20706229301500001</v>
      </c>
      <c r="D6675">
        <v>0.85144431263499998</v>
      </c>
      <c r="E6675">
        <v>4.4820000000000002</v>
      </c>
    </row>
    <row r="6676" spans="1:5">
      <c r="A6676" t="s">
        <v>38220</v>
      </c>
      <c r="B6676" t="s">
        <v>11096</v>
      </c>
      <c r="C6676">
        <v>0.55375808176100005</v>
      </c>
      <c r="D6676">
        <v>0.85144431263499998</v>
      </c>
      <c r="E6676">
        <v>4.4820000000000002</v>
      </c>
    </row>
    <row r="6677" spans="1:5">
      <c r="A6677" t="s">
        <v>38220</v>
      </c>
      <c r="B6677" t="s">
        <v>11097</v>
      </c>
      <c r="C6677">
        <v>0</v>
      </c>
      <c r="D6677">
        <v>0.85144431263499998</v>
      </c>
      <c r="E6677">
        <v>4.4820000000000002</v>
      </c>
    </row>
    <row r="6678" spans="1:5">
      <c r="A6678" t="s">
        <v>38220</v>
      </c>
      <c r="B6678" t="s">
        <v>11100</v>
      </c>
      <c r="C6678">
        <v>0</v>
      </c>
      <c r="D6678">
        <v>0.85144431263499998</v>
      </c>
      <c r="E6678">
        <v>4.4820000000000002</v>
      </c>
    </row>
    <row r="6679" spans="1:5">
      <c r="A6679" t="s">
        <v>38221</v>
      </c>
      <c r="B6679" t="s">
        <v>2587</v>
      </c>
      <c r="C6679">
        <v>0.189954194815</v>
      </c>
      <c r="D6679">
        <v>0.97780249923700002</v>
      </c>
      <c r="E6679">
        <v>1.6379999999999999</v>
      </c>
    </row>
    <row r="6680" spans="1:5">
      <c r="A6680" t="s">
        <v>38221</v>
      </c>
      <c r="B6680" t="s">
        <v>2588</v>
      </c>
      <c r="C6680">
        <f>0.905569871875</f>
        <v>0.90556987187500004</v>
      </c>
      <c r="D6680">
        <v>0.97780249923700002</v>
      </c>
      <c r="E6680">
        <v>1.6379999999999999</v>
      </c>
    </row>
    <row r="6681" spans="1:5">
      <c r="A6681" t="s">
        <v>38221</v>
      </c>
      <c r="B6681" t="s">
        <v>2591</v>
      </c>
      <c r="C6681">
        <f>0.109520462229</f>
        <v>0.109520462229</v>
      </c>
      <c r="D6681">
        <v>0.97780249923700002</v>
      </c>
      <c r="E6681">
        <v>1.6379999999999999</v>
      </c>
    </row>
    <row r="6682" spans="1:5">
      <c r="A6682" t="s">
        <v>38221</v>
      </c>
      <c r="B6682" t="s">
        <v>2590</v>
      </c>
      <c r="C6682">
        <f>0.245804506826</f>
        <v>0.245804506826</v>
      </c>
      <c r="D6682">
        <v>0.97780249923700002</v>
      </c>
      <c r="E6682">
        <v>1.6379999999999999</v>
      </c>
    </row>
    <row r="6683" spans="1:5">
      <c r="A6683" t="s">
        <v>38222</v>
      </c>
      <c r="B6683" t="s">
        <v>34299</v>
      </c>
      <c r="C6683">
        <f>0</f>
        <v>0</v>
      </c>
      <c r="D6683" t="s">
        <v>106</v>
      </c>
      <c r="E6683">
        <v>24</v>
      </c>
    </row>
    <row r="6684" spans="1:5">
      <c r="A6684" t="s">
        <v>38222</v>
      </c>
      <c r="B6684" t="s">
        <v>34302</v>
      </c>
      <c r="C6684">
        <f>0</f>
        <v>0</v>
      </c>
      <c r="D6684" t="s">
        <v>106</v>
      </c>
      <c r="E6684">
        <v>24</v>
      </c>
    </row>
    <row r="6685" spans="1:5">
      <c r="A6685" t="s">
        <v>38223</v>
      </c>
      <c r="B6685" t="s">
        <v>21245</v>
      </c>
      <c r="C6685">
        <f>0.82522594113</f>
        <v>0.82522594113000003</v>
      </c>
      <c r="D6685">
        <v>0.99995007772800004</v>
      </c>
      <c r="E6685">
        <v>12.564</v>
      </c>
    </row>
    <row r="6686" spans="1:5">
      <c r="A6686" t="s">
        <v>38223</v>
      </c>
      <c r="B6686" t="s">
        <v>38224</v>
      </c>
      <c r="C6686">
        <f>0.405743297081</f>
        <v>0.40574329708099999</v>
      </c>
      <c r="D6686">
        <v>0.99995007772800004</v>
      </c>
      <c r="E6686">
        <v>12.564</v>
      </c>
    </row>
    <row r="6687" spans="1:5">
      <c r="A6687" t="s">
        <v>38223</v>
      </c>
      <c r="B6687" t="s">
        <v>21250</v>
      </c>
      <c r="C6687">
        <v>0</v>
      </c>
      <c r="D6687">
        <v>0.99995007772800004</v>
      </c>
      <c r="E6687">
        <v>12.564</v>
      </c>
    </row>
    <row r="6688" spans="1:5">
      <c r="A6688" t="s">
        <v>38223</v>
      </c>
      <c r="B6688" t="s">
        <v>38225</v>
      </c>
      <c r="C6688">
        <v>0.106641000352</v>
      </c>
      <c r="D6688">
        <v>0.99995007772800004</v>
      </c>
      <c r="E6688">
        <v>12.564</v>
      </c>
    </row>
    <row r="6689" spans="1:5">
      <c r="A6689" t="s">
        <v>38223</v>
      </c>
      <c r="B6689" t="s">
        <v>21249</v>
      </c>
      <c r="C6689">
        <f>0</f>
        <v>0</v>
      </c>
      <c r="D6689">
        <v>0.99995007772800004</v>
      </c>
      <c r="E6689">
        <v>12.564</v>
      </c>
    </row>
    <row r="6690" spans="1:5">
      <c r="A6690" t="s">
        <v>38223</v>
      </c>
      <c r="B6690" t="s">
        <v>21248</v>
      </c>
      <c r="C6690">
        <f>0.24447236735</f>
        <v>0.24447236735</v>
      </c>
      <c r="D6690">
        <v>0.99995007772800004</v>
      </c>
      <c r="E6690">
        <v>12.564</v>
      </c>
    </row>
    <row r="6691" spans="1:5">
      <c r="A6691" t="s">
        <v>38223</v>
      </c>
      <c r="B6691" t="s">
        <v>21252</v>
      </c>
      <c r="C6691">
        <f>0.916521018119</f>
        <v>0.916521018119</v>
      </c>
      <c r="D6691">
        <v>0.99995007772800004</v>
      </c>
      <c r="E6691">
        <v>12.564</v>
      </c>
    </row>
    <row r="6692" spans="1:5">
      <c r="A6692" t="s">
        <v>38223</v>
      </c>
      <c r="B6692" t="s">
        <v>21247</v>
      </c>
      <c r="C6692">
        <f>0.520061836382</f>
        <v>0.52006183638199999</v>
      </c>
      <c r="D6692">
        <v>0.99995007772800004</v>
      </c>
      <c r="E6692">
        <v>12.564</v>
      </c>
    </row>
    <row r="6693" spans="1:5">
      <c r="A6693" t="s">
        <v>38223</v>
      </c>
      <c r="B6693" t="s">
        <v>21254</v>
      </c>
      <c r="C6693">
        <v>2.2066110366000001E-2</v>
      </c>
      <c r="D6693">
        <v>0.99995007772800004</v>
      </c>
      <c r="E6693">
        <v>12.564</v>
      </c>
    </row>
    <row r="6694" spans="1:5">
      <c r="A6694" t="s">
        <v>38223</v>
      </c>
      <c r="B6694" t="s">
        <v>21251</v>
      </c>
      <c r="C6694">
        <f>0.680900640542</f>
        <v>0.68090064054199995</v>
      </c>
      <c r="D6694">
        <v>0.99995007772800004</v>
      </c>
      <c r="E6694">
        <v>12.564</v>
      </c>
    </row>
    <row r="6695" spans="1:5">
      <c r="A6695" t="s">
        <v>38223</v>
      </c>
      <c r="B6695" t="s">
        <v>21253</v>
      </c>
      <c r="C6695">
        <f>0.0642457421339</f>
        <v>6.4245742133899997E-2</v>
      </c>
      <c r="D6695">
        <v>0.99995007772800004</v>
      </c>
      <c r="E6695">
        <v>12.564</v>
      </c>
    </row>
    <row r="6696" spans="1:5">
      <c r="A6696" t="s">
        <v>38226</v>
      </c>
      <c r="B6696" t="s">
        <v>5430</v>
      </c>
      <c r="C6696">
        <f>0.728825923467</f>
        <v>0.72882592346700004</v>
      </c>
      <c r="D6696">
        <v>0.99204230285899997</v>
      </c>
      <c r="E6696">
        <v>10.715999999999999</v>
      </c>
    </row>
    <row r="6697" spans="1:5">
      <c r="A6697" t="s">
        <v>38226</v>
      </c>
      <c r="B6697" t="s">
        <v>5433</v>
      </c>
      <c r="C6697">
        <v>0</v>
      </c>
      <c r="D6697">
        <v>0.99204230285899997</v>
      </c>
      <c r="E6697">
        <v>10.715999999999999</v>
      </c>
    </row>
    <row r="6698" spans="1:5">
      <c r="A6698" t="s">
        <v>38226</v>
      </c>
      <c r="B6698" t="s">
        <v>5417</v>
      </c>
      <c r="C6698">
        <f>0.245676039686</f>
        <v>0.24567603968599999</v>
      </c>
      <c r="D6698">
        <v>0.99204230285899997</v>
      </c>
      <c r="E6698">
        <v>10.715999999999999</v>
      </c>
    </row>
    <row r="6699" spans="1:5">
      <c r="A6699" t="s">
        <v>38226</v>
      </c>
      <c r="B6699" t="s">
        <v>5426</v>
      </c>
      <c r="C6699">
        <f>0</f>
        <v>0</v>
      </c>
      <c r="D6699">
        <v>0.99204230285899997</v>
      </c>
      <c r="E6699">
        <v>10.715999999999999</v>
      </c>
    </row>
    <row r="6700" spans="1:5">
      <c r="A6700" t="s">
        <v>38226</v>
      </c>
      <c r="B6700" t="s">
        <v>5416</v>
      </c>
      <c r="C6700">
        <f>0</f>
        <v>0</v>
      </c>
      <c r="D6700">
        <v>0.99204230285899997</v>
      </c>
      <c r="E6700">
        <v>10.715999999999999</v>
      </c>
    </row>
    <row r="6701" spans="1:5">
      <c r="A6701" t="s">
        <v>38226</v>
      </c>
      <c r="B6701" t="s">
        <v>5431</v>
      </c>
      <c r="C6701">
        <v>0</v>
      </c>
      <c r="D6701">
        <v>0.99204230285899997</v>
      </c>
      <c r="E6701">
        <v>10.715999999999999</v>
      </c>
    </row>
    <row r="6702" spans="1:5">
      <c r="A6702" t="s">
        <v>38226</v>
      </c>
      <c r="B6702" t="s">
        <v>5418</v>
      </c>
      <c r="C6702">
        <f>0</f>
        <v>0</v>
      </c>
      <c r="D6702">
        <v>0.99204230285899997</v>
      </c>
      <c r="E6702">
        <v>10.715999999999999</v>
      </c>
    </row>
    <row r="6703" spans="1:5">
      <c r="A6703" t="s">
        <v>38226</v>
      </c>
      <c r="B6703" t="s">
        <v>5420</v>
      </c>
      <c r="C6703">
        <f>0</f>
        <v>0</v>
      </c>
      <c r="D6703">
        <v>0.99204230285899997</v>
      </c>
      <c r="E6703">
        <v>10.715999999999999</v>
      </c>
    </row>
    <row r="6704" spans="1:5">
      <c r="A6704" t="s">
        <v>38226</v>
      </c>
      <c r="B6704" t="s">
        <v>5429</v>
      </c>
      <c r="C6704">
        <f>0</f>
        <v>0</v>
      </c>
      <c r="D6704">
        <v>0.99204230285899997</v>
      </c>
      <c r="E6704">
        <v>10.715999999999999</v>
      </c>
    </row>
    <row r="6705" spans="1:5">
      <c r="A6705" t="s">
        <v>38226</v>
      </c>
      <c r="B6705" t="s">
        <v>5422</v>
      </c>
      <c r="C6705">
        <v>5.5401110778400004E-3</v>
      </c>
      <c r="D6705">
        <v>0.99204230285899997</v>
      </c>
      <c r="E6705">
        <v>10.715999999999999</v>
      </c>
    </row>
    <row r="6706" spans="1:5">
      <c r="A6706" t="s">
        <v>38226</v>
      </c>
      <c r="B6706" t="s">
        <v>5423</v>
      </c>
      <c r="C6706">
        <f>0</f>
        <v>0</v>
      </c>
      <c r="D6706">
        <v>0.99204230285899997</v>
      </c>
      <c r="E6706">
        <v>10.715999999999999</v>
      </c>
    </row>
    <row r="6707" spans="1:5">
      <c r="A6707" t="s">
        <v>38226</v>
      </c>
      <c r="B6707" t="s">
        <v>5428</v>
      </c>
      <c r="C6707">
        <v>0.28277182509999998</v>
      </c>
      <c r="D6707">
        <v>0.99204230285899997</v>
      </c>
      <c r="E6707">
        <v>10.715999999999999</v>
      </c>
    </row>
    <row r="6708" spans="1:5">
      <c r="A6708" t="s">
        <v>38226</v>
      </c>
      <c r="B6708" t="s">
        <v>5425</v>
      </c>
      <c r="C6708">
        <v>0.775954491754</v>
      </c>
      <c r="D6708">
        <v>0.99204230285899997</v>
      </c>
      <c r="E6708">
        <v>10.715999999999999</v>
      </c>
    </row>
    <row r="6709" spans="1:5">
      <c r="A6709" t="s">
        <v>38227</v>
      </c>
      <c r="B6709" t="s">
        <v>647</v>
      </c>
      <c r="C6709">
        <f>0</f>
        <v>0</v>
      </c>
      <c r="D6709" t="s">
        <v>106</v>
      </c>
      <c r="E6709">
        <v>10.08</v>
      </c>
    </row>
    <row r="6710" spans="1:5">
      <c r="A6710" t="s">
        <v>38227</v>
      </c>
      <c r="B6710" t="s">
        <v>648</v>
      </c>
      <c r="C6710">
        <v>0</v>
      </c>
      <c r="D6710" t="s">
        <v>106</v>
      </c>
      <c r="E6710">
        <v>10.08</v>
      </c>
    </row>
    <row r="6711" spans="1:5">
      <c r="A6711" t="s">
        <v>38228</v>
      </c>
      <c r="B6711" t="s">
        <v>2356</v>
      </c>
      <c r="C6711">
        <f>0</f>
        <v>0</v>
      </c>
      <c r="D6711">
        <v>0.65207369598200005</v>
      </c>
      <c r="E6711">
        <v>0</v>
      </c>
    </row>
    <row r="6712" spans="1:5">
      <c r="A6712" t="s">
        <v>38228</v>
      </c>
      <c r="B6712" t="s">
        <v>2357</v>
      </c>
      <c r="C6712">
        <v>0.54966369598200004</v>
      </c>
      <c r="D6712">
        <v>0.65207369598200005</v>
      </c>
      <c r="E6712">
        <v>0</v>
      </c>
    </row>
    <row r="6713" spans="1:5">
      <c r="A6713" t="s">
        <v>38228</v>
      </c>
      <c r="B6713" t="s">
        <v>2359</v>
      </c>
      <c r="C6713">
        <v>0</v>
      </c>
      <c r="D6713">
        <v>0.65207369598200005</v>
      </c>
      <c r="E6713">
        <v>0</v>
      </c>
    </row>
    <row r="6714" spans="1:5">
      <c r="A6714" t="s">
        <v>38229</v>
      </c>
      <c r="B6714" t="s">
        <v>28612</v>
      </c>
      <c r="C6714">
        <f>0</f>
        <v>0</v>
      </c>
      <c r="D6714" t="s">
        <v>106</v>
      </c>
      <c r="E6714">
        <v>24</v>
      </c>
    </row>
    <row r="6715" spans="1:5">
      <c r="A6715" t="s">
        <v>38229</v>
      </c>
      <c r="B6715" t="s">
        <v>28615</v>
      </c>
      <c r="C6715">
        <v>0</v>
      </c>
      <c r="D6715" t="s">
        <v>106</v>
      </c>
      <c r="E6715">
        <v>24</v>
      </c>
    </row>
    <row r="6716" spans="1:5">
      <c r="A6716" t="s">
        <v>38229</v>
      </c>
      <c r="B6716" t="s">
        <v>28617</v>
      </c>
      <c r="C6716">
        <v>0</v>
      </c>
      <c r="D6716" t="s">
        <v>106</v>
      </c>
      <c r="E6716">
        <v>24</v>
      </c>
    </row>
    <row r="6717" spans="1:5">
      <c r="A6717" t="s">
        <v>38229</v>
      </c>
      <c r="B6717" t="s">
        <v>28614</v>
      </c>
      <c r="C6717">
        <v>0</v>
      </c>
      <c r="D6717" t="s">
        <v>106</v>
      </c>
      <c r="E6717">
        <v>24</v>
      </c>
    </row>
    <row r="6718" spans="1:5">
      <c r="A6718" t="s">
        <v>38230</v>
      </c>
      <c r="B6718" t="s">
        <v>7010</v>
      </c>
      <c r="C6718">
        <v>1.09212676519</v>
      </c>
      <c r="D6718">
        <v>0.87239755781499995</v>
      </c>
      <c r="E6718">
        <v>24</v>
      </c>
    </row>
    <row r="6719" spans="1:5">
      <c r="A6719" t="s">
        <v>38230</v>
      </c>
      <c r="B6719" t="s">
        <v>7012</v>
      </c>
      <c r="C6719">
        <f>0.851303513865</f>
        <v>0.85130351386500003</v>
      </c>
      <c r="D6719">
        <v>0.87239755781499995</v>
      </c>
      <c r="E6719">
        <v>24</v>
      </c>
    </row>
    <row r="6720" spans="1:5">
      <c r="A6720" t="s">
        <v>38231</v>
      </c>
      <c r="B6720" t="s">
        <v>27683</v>
      </c>
      <c r="C6720">
        <v>0.64070142319699996</v>
      </c>
      <c r="D6720">
        <v>0.866988325492</v>
      </c>
      <c r="E6720">
        <v>24</v>
      </c>
    </row>
    <row r="6721" spans="1:5">
      <c r="A6721" t="s">
        <v>38231</v>
      </c>
      <c r="B6721" t="s">
        <v>27684</v>
      </c>
      <c r="C6721">
        <v>0</v>
      </c>
      <c r="D6721">
        <v>0.866988325492</v>
      </c>
      <c r="E6721">
        <v>24</v>
      </c>
    </row>
    <row r="6722" spans="1:5">
      <c r="A6722" t="s">
        <v>38231</v>
      </c>
      <c r="B6722" t="s">
        <v>27682</v>
      </c>
      <c r="C6722">
        <f>0.289689309395</f>
        <v>0.28968930939499998</v>
      </c>
      <c r="D6722">
        <v>0.866988325492</v>
      </c>
      <c r="E6722">
        <v>24</v>
      </c>
    </row>
    <row r="6723" spans="1:5">
      <c r="A6723" t="s">
        <v>38232</v>
      </c>
      <c r="B6723" t="s">
        <v>24366</v>
      </c>
      <c r="C6723">
        <f>0.808286676443</f>
        <v>0.80828667644300001</v>
      </c>
      <c r="D6723">
        <v>0.76795231885000004</v>
      </c>
      <c r="E6723">
        <v>5.4660000000000002</v>
      </c>
    </row>
    <row r="6724" spans="1:5">
      <c r="A6724" t="s">
        <v>38232</v>
      </c>
      <c r="B6724" t="s">
        <v>24367</v>
      </c>
      <c r="C6724">
        <v>0.36106711709799999</v>
      </c>
      <c r="D6724">
        <v>0.76795231885000004</v>
      </c>
      <c r="E6724">
        <v>5.4660000000000002</v>
      </c>
    </row>
    <row r="6725" spans="1:5">
      <c r="A6725" t="s">
        <v>38233</v>
      </c>
      <c r="B6725" t="s">
        <v>38234</v>
      </c>
      <c r="C6725">
        <v>0.50417321399500004</v>
      </c>
      <c r="D6725">
        <v>0.87786268806500001</v>
      </c>
      <c r="E6725">
        <v>23.52</v>
      </c>
    </row>
    <row r="6726" spans="1:5">
      <c r="A6726" t="s">
        <v>38233</v>
      </c>
      <c r="B6726" t="s">
        <v>38235</v>
      </c>
      <c r="C6726">
        <f>0</f>
        <v>0</v>
      </c>
      <c r="D6726">
        <v>0.87786268806500001</v>
      </c>
      <c r="E6726">
        <v>23.52</v>
      </c>
    </row>
    <row r="6727" spans="1:5">
      <c r="A6727" t="s">
        <v>38233</v>
      </c>
      <c r="B6727" t="s">
        <v>38236</v>
      </c>
      <c r="C6727">
        <f>0.0322688854661</f>
        <v>3.2268885466100003E-2</v>
      </c>
      <c r="D6727">
        <v>0.87786268806500001</v>
      </c>
      <c r="E6727">
        <v>23.52</v>
      </c>
    </row>
    <row r="6728" spans="1:5">
      <c r="A6728" t="s">
        <v>38233</v>
      </c>
      <c r="B6728" t="s">
        <v>38237</v>
      </c>
      <c r="C6728">
        <v>0.29612075691400003</v>
      </c>
      <c r="D6728">
        <v>0.87786268806500001</v>
      </c>
      <c r="E6728">
        <v>23.52</v>
      </c>
    </row>
    <row r="6729" spans="1:5">
      <c r="A6729" t="s">
        <v>38238</v>
      </c>
      <c r="B6729" t="s">
        <v>38239</v>
      </c>
      <c r="C6729">
        <v>0.143523837204</v>
      </c>
      <c r="D6729">
        <v>0.894615900076</v>
      </c>
      <c r="E6729">
        <v>24</v>
      </c>
    </row>
    <row r="6730" spans="1:5">
      <c r="A6730" t="s">
        <v>38238</v>
      </c>
      <c r="B6730" t="s">
        <v>38240</v>
      </c>
      <c r="C6730">
        <f>0</f>
        <v>0</v>
      </c>
      <c r="D6730">
        <v>0.894615900076</v>
      </c>
      <c r="E6730">
        <v>24</v>
      </c>
    </row>
    <row r="6731" spans="1:5">
      <c r="A6731" t="s">
        <v>38238</v>
      </c>
      <c r="B6731" t="s">
        <v>38241</v>
      </c>
      <c r="C6731">
        <f>0</f>
        <v>0</v>
      </c>
      <c r="D6731">
        <v>0.894615900076</v>
      </c>
      <c r="E6731">
        <v>24</v>
      </c>
    </row>
    <row r="6732" spans="1:5">
      <c r="A6732" t="s">
        <v>38238</v>
      </c>
      <c r="B6732" t="s">
        <v>38242</v>
      </c>
      <c r="C6732">
        <f>0</f>
        <v>0</v>
      </c>
      <c r="D6732">
        <v>0.894615900076</v>
      </c>
      <c r="E6732">
        <v>24</v>
      </c>
    </row>
    <row r="6733" spans="1:5">
      <c r="A6733" t="s">
        <v>38238</v>
      </c>
      <c r="B6733" t="s">
        <v>38243</v>
      </c>
      <c r="C6733">
        <f>0.671565849305</f>
        <v>0.67156584930499996</v>
      </c>
      <c r="D6733">
        <v>0.894615900076</v>
      </c>
      <c r="E6733">
        <v>24</v>
      </c>
    </row>
    <row r="6734" spans="1:5">
      <c r="A6734" t="s">
        <v>38244</v>
      </c>
      <c r="B6734" t="s">
        <v>38245</v>
      </c>
      <c r="C6734">
        <v>0</v>
      </c>
      <c r="D6734">
        <v>0.93672194764000005</v>
      </c>
      <c r="E6734">
        <v>1.764</v>
      </c>
    </row>
    <row r="6735" spans="1:5">
      <c r="A6735" t="s">
        <v>38244</v>
      </c>
      <c r="B6735" t="s">
        <v>38246</v>
      </c>
      <c r="C6735">
        <v>0.11208189167099999</v>
      </c>
      <c r="D6735">
        <v>0.93672194764000005</v>
      </c>
      <c r="E6735">
        <v>1.764</v>
      </c>
    </row>
    <row r="6736" spans="1:5">
      <c r="A6736" t="s">
        <v>38244</v>
      </c>
      <c r="B6736" t="s">
        <v>38247</v>
      </c>
      <c r="C6736">
        <f>0.387760431651</f>
        <v>0.38776043165099999</v>
      </c>
      <c r="D6736">
        <v>0.93672194764000005</v>
      </c>
      <c r="E6736">
        <v>1.764</v>
      </c>
    </row>
    <row r="6737" spans="1:5">
      <c r="A6737" t="s">
        <v>38244</v>
      </c>
      <c r="B6737" t="s">
        <v>38248</v>
      </c>
      <c r="C6737">
        <v>0</v>
      </c>
      <c r="D6737">
        <v>0.93672194764000005</v>
      </c>
      <c r="E6737">
        <v>1.764</v>
      </c>
    </row>
    <row r="6738" spans="1:5">
      <c r="A6738" t="s">
        <v>38244</v>
      </c>
      <c r="B6738" t="s">
        <v>38249</v>
      </c>
      <c r="C6738">
        <f>0.366136538724</f>
        <v>0.36613653872399998</v>
      </c>
      <c r="D6738">
        <v>0.93672194764000005</v>
      </c>
      <c r="E6738">
        <v>1.764</v>
      </c>
    </row>
    <row r="6739" spans="1:5">
      <c r="A6739" t="s">
        <v>38244</v>
      </c>
      <c r="B6739" t="s">
        <v>38250</v>
      </c>
      <c r="C6739">
        <f>0.188492907514</f>
        <v>0.188492907514</v>
      </c>
      <c r="D6739">
        <v>0.93672194764000005</v>
      </c>
      <c r="E6739">
        <v>1.764</v>
      </c>
    </row>
    <row r="6740" spans="1:5">
      <c r="A6740" t="s">
        <v>38244</v>
      </c>
      <c r="B6740" t="s">
        <v>38251</v>
      </c>
      <c r="C6740">
        <f>0</f>
        <v>0</v>
      </c>
      <c r="D6740">
        <v>0.93672194764000005</v>
      </c>
      <c r="E6740">
        <v>1.764</v>
      </c>
    </row>
    <row r="6741" spans="1:5">
      <c r="A6741" t="s">
        <v>38244</v>
      </c>
      <c r="B6741" t="s">
        <v>38252</v>
      </c>
      <c r="C6741">
        <f>0</f>
        <v>0</v>
      </c>
      <c r="D6741">
        <v>0.93672194764000005</v>
      </c>
      <c r="E6741">
        <v>1.764</v>
      </c>
    </row>
    <row r="6742" spans="1:5">
      <c r="A6742" t="s">
        <v>38253</v>
      </c>
      <c r="B6742" t="s">
        <v>32734</v>
      </c>
      <c r="C6742">
        <v>0</v>
      </c>
      <c r="D6742">
        <v>0.62977791696999996</v>
      </c>
      <c r="E6742">
        <v>6.5519999999999996</v>
      </c>
    </row>
    <row r="6743" spans="1:5">
      <c r="A6743" t="s">
        <v>38253</v>
      </c>
      <c r="B6743" t="s">
        <v>32737</v>
      </c>
      <c r="C6743">
        <v>0</v>
      </c>
      <c r="D6743">
        <v>0.62977791696999996</v>
      </c>
      <c r="E6743">
        <v>6.5519999999999996</v>
      </c>
    </row>
    <row r="6744" spans="1:5">
      <c r="A6744" t="s">
        <v>38253</v>
      </c>
      <c r="B6744" t="s">
        <v>32736</v>
      </c>
      <c r="C6744">
        <v>0.43616791697000001</v>
      </c>
      <c r="D6744">
        <v>0.62977791696999996</v>
      </c>
      <c r="E6744">
        <v>6.5519999999999996</v>
      </c>
    </row>
    <row r="6745" spans="1:5">
      <c r="A6745" t="s">
        <v>38254</v>
      </c>
      <c r="B6745" t="s">
        <v>27198</v>
      </c>
      <c r="C6745">
        <f>0.106637257128</f>
        <v>0.106637257128</v>
      </c>
      <c r="D6745">
        <v>0.62504725712800002</v>
      </c>
      <c r="E6745">
        <v>6.0000000000000001E-3</v>
      </c>
    </row>
    <row r="6746" spans="1:5">
      <c r="A6746" t="s">
        <v>38254</v>
      </c>
      <c r="B6746" t="s">
        <v>27199</v>
      </c>
      <c r="C6746">
        <f>0</f>
        <v>0</v>
      </c>
      <c r="D6746">
        <v>0.62504725712800002</v>
      </c>
      <c r="E6746">
        <v>6.0000000000000001E-3</v>
      </c>
    </row>
    <row r="6747" spans="1:5">
      <c r="A6747" t="s">
        <v>38255</v>
      </c>
      <c r="B6747" t="s">
        <v>38256</v>
      </c>
      <c r="C6747">
        <v>0.244469464188</v>
      </c>
      <c r="D6747">
        <v>0.88257461536399995</v>
      </c>
      <c r="E6747">
        <v>11.706</v>
      </c>
    </row>
    <row r="6748" spans="1:5">
      <c r="A6748" t="s">
        <v>38255</v>
      </c>
      <c r="B6748" t="s">
        <v>38257</v>
      </c>
      <c r="C6748">
        <v>0.52837164998300001</v>
      </c>
      <c r="D6748">
        <v>0.88257461536399995</v>
      </c>
      <c r="E6748">
        <v>11.706</v>
      </c>
    </row>
    <row r="6749" spans="1:5">
      <c r="A6749" t="s">
        <v>38255</v>
      </c>
      <c r="B6749" t="s">
        <v>38258</v>
      </c>
      <c r="C6749">
        <f>0.138678925804</f>
        <v>0.13867892580399999</v>
      </c>
      <c r="D6749">
        <v>0.88257461536399995</v>
      </c>
      <c r="E6749">
        <v>11.706</v>
      </c>
    </row>
    <row r="6750" spans="1:5">
      <c r="A6750" t="s">
        <v>38255</v>
      </c>
      <c r="B6750" t="s">
        <v>38259</v>
      </c>
      <c r="C6750">
        <f>0.290394316313</f>
        <v>0.290394316313</v>
      </c>
      <c r="D6750">
        <v>0.88257461536399995</v>
      </c>
      <c r="E6750">
        <v>11.706</v>
      </c>
    </row>
    <row r="6751" spans="1:5">
      <c r="A6751" t="s">
        <v>38255</v>
      </c>
      <c r="B6751" t="s">
        <v>38260</v>
      </c>
      <c r="C6751">
        <v>0.69331744245799998</v>
      </c>
      <c r="D6751">
        <v>0.88257461536399995</v>
      </c>
      <c r="E6751">
        <v>11.706</v>
      </c>
    </row>
    <row r="6752" spans="1:5">
      <c r="A6752" t="s">
        <v>38261</v>
      </c>
      <c r="B6752" t="s">
        <v>38262</v>
      </c>
      <c r="C6752">
        <v>0.36379557305900001</v>
      </c>
      <c r="D6752">
        <v>0.95259994893599997</v>
      </c>
      <c r="E6752">
        <v>24</v>
      </c>
    </row>
    <row r="6753" spans="1:5">
      <c r="A6753" t="s">
        <v>38261</v>
      </c>
      <c r="B6753" t="s">
        <v>38263</v>
      </c>
      <c r="C6753">
        <f>0.679564968371</f>
        <v>0.679564968371</v>
      </c>
      <c r="D6753">
        <v>0.95259994893599997</v>
      </c>
      <c r="E6753">
        <v>24</v>
      </c>
    </row>
    <row r="6754" spans="1:5">
      <c r="A6754" t="s">
        <v>38261</v>
      </c>
      <c r="B6754" t="s">
        <v>38264</v>
      </c>
      <c r="C6754">
        <f>0.982840933243</f>
        <v>0.98284093324300004</v>
      </c>
      <c r="D6754">
        <v>0.95259994893599997</v>
      </c>
      <c r="E6754">
        <v>24</v>
      </c>
    </row>
    <row r="6755" spans="1:5">
      <c r="A6755" t="s">
        <v>38265</v>
      </c>
      <c r="B6755" t="s">
        <v>38266</v>
      </c>
      <c r="C6755">
        <f>0</f>
        <v>0</v>
      </c>
      <c r="D6755" t="s">
        <v>106</v>
      </c>
      <c r="E6755">
        <v>24</v>
      </c>
    </row>
    <row r="6756" spans="1:5">
      <c r="A6756" t="s">
        <v>38265</v>
      </c>
      <c r="B6756" t="s">
        <v>38267</v>
      </c>
      <c r="C6756">
        <v>0</v>
      </c>
      <c r="D6756" t="s">
        <v>106</v>
      </c>
      <c r="E6756">
        <v>24</v>
      </c>
    </row>
    <row r="6757" spans="1:5">
      <c r="A6757" t="s">
        <v>38265</v>
      </c>
      <c r="B6757" t="s">
        <v>38268</v>
      </c>
      <c r="C6757">
        <v>0</v>
      </c>
      <c r="D6757" t="s">
        <v>106</v>
      </c>
      <c r="E6757">
        <v>24</v>
      </c>
    </row>
    <row r="6758" spans="1:5">
      <c r="A6758" t="s">
        <v>38269</v>
      </c>
      <c r="B6758" t="s">
        <v>7528</v>
      </c>
      <c r="C6758">
        <f>0.535500739002</f>
        <v>0.53550073900200001</v>
      </c>
      <c r="D6758">
        <v>0.997440219613</v>
      </c>
      <c r="E6758">
        <v>14.555999999999999</v>
      </c>
    </row>
    <row r="6759" spans="1:5">
      <c r="A6759" t="s">
        <v>38269</v>
      </c>
      <c r="B6759" t="s">
        <v>7525</v>
      </c>
      <c r="C6759">
        <f>0.275269858094</f>
        <v>0.27526985809400001</v>
      </c>
      <c r="D6759">
        <v>0.997440219613</v>
      </c>
      <c r="E6759">
        <v>14.555999999999999</v>
      </c>
    </row>
    <row r="6760" spans="1:5">
      <c r="A6760" t="s">
        <v>38269</v>
      </c>
      <c r="B6760" t="s">
        <v>7524</v>
      </c>
      <c r="C6760">
        <v>0.78961534933900002</v>
      </c>
      <c r="D6760">
        <v>0.997440219613</v>
      </c>
      <c r="E6760">
        <v>14.555999999999999</v>
      </c>
    </row>
    <row r="6761" spans="1:5">
      <c r="A6761" t="s">
        <v>38269</v>
      </c>
      <c r="B6761" t="s">
        <v>7526</v>
      </c>
      <c r="C6761">
        <f>0.654838687504</f>
        <v>0.65483868750399998</v>
      </c>
      <c r="D6761">
        <v>0.997440219613</v>
      </c>
      <c r="E6761">
        <v>14.555999999999999</v>
      </c>
    </row>
    <row r="6762" spans="1:5">
      <c r="A6762" t="s">
        <v>38269</v>
      </c>
      <c r="B6762" t="s">
        <v>7527</v>
      </c>
      <c r="C6762">
        <f>0.109065556711</f>
        <v>0.109065556711</v>
      </c>
      <c r="D6762">
        <v>0.997440219613</v>
      </c>
      <c r="E6762">
        <v>14.555999999999999</v>
      </c>
    </row>
    <row r="6763" spans="1:5">
      <c r="A6763" t="s">
        <v>38270</v>
      </c>
      <c r="B6763" t="s">
        <v>38271</v>
      </c>
      <c r="C6763">
        <v>0.52078978338199999</v>
      </c>
      <c r="D6763">
        <v>0.99995923603699999</v>
      </c>
      <c r="E6763">
        <v>3.8759999999999999</v>
      </c>
    </row>
    <row r="6764" spans="1:5">
      <c r="A6764" t="s">
        <v>38270</v>
      </c>
      <c r="B6764" t="s">
        <v>38272</v>
      </c>
      <c r="C6764">
        <v>0.75268130064200001</v>
      </c>
      <c r="D6764">
        <v>0.99995923603699999</v>
      </c>
      <c r="E6764">
        <v>3.8759999999999999</v>
      </c>
    </row>
    <row r="6765" spans="1:5">
      <c r="A6765" t="s">
        <v>38270</v>
      </c>
      <c r="B6765" t="s">
        <v>38273</v>
      </c>
      <c r="C6765">
        <v>0.19928840542500001</v>
      </c>
      <c r="D6765">
        <v>0.99995923603699999</v>
      </c>
      <c r="E6765">
        <v>3.8759999999999999</v>
      </c>
    </row>
    <row r="6766" spans="1:5">
      <c r="A6766" t="s">
        <v>38270</v>
      </c>
      <c r="B6766" t="s">
        <v>38274</v>
      </c>
      <c r="C6766">
        <f>0.513804285408</f>
        <v>0.51380428540800005</v>
      </c>
      <c r="D6766">
        <v>0.99995923603699999</v>
      </c>
      <c r="E6766">
        <v>3.8759999999999999</v>
      </c>
    </row>
    <row r="6767" spans="1:5">
      <c r="A6767" t="s">
        <v>38270</v>
      </c>
      <c r="B6767" t="s">
        <v>38275</v>
      </c>
      <c r="C6767">
        <v>7.1924973104499995E-2</v>
      </c>
      <c r="D6767">
        <v>0.99995923603699999</v>
      </c>
      <c r="E6767">
        <v>3.8759999999999999</v>
      </c>
    </row>
    <row r="6768" spans="1:5">
      <c r="A6768" t="s">
        <v>38270</v>
      </c>
      <c r="B6768" t="s">
        <v>38276</v>
      </c>
      <c r="C6768">
        <f>0.640406246371</f>
        <v>0.64040624637099997</v>
      </c>
      <c r="D6768">
        <v>0.99995923603699999</v>
      </c>
      <c r="E6768">
        <v>3.8759999999999999</v>
      </c>
    </row>
    <row r="6769" spans="1:5">
      <c r="A6769" t="s">
        <v>38277</v>
      </c>
      <c r="B6769" t="s">
        <v>38278</v>
      </c>
      <c r="C6769">
        <v>0</v>
      </c>
      <c r="D6769">
        <v>0.77301230574299995</v>
      </c>
      <c r="E6769">
        <v>23.754000000000001</v>
      </c>
    </row>
    <row r="6770" spans="1:5">
      <c r="A6770" t="s">
        <v>38277</v>
      </c>
      <c r="B6770" t="s">
        <v>38279</v>
      </c>
      <c r="C6770">
        <v>0.64340230574299995</v>
      </c>
      <c r="D6770">
        <v>0.77301230574299995</v>
      </c>
      <c r="E6770">
        <v>23.754000000000001</v>
      </c>
    </row>
    <row r="6771" spans="1:5">
      <c r="A6771" t="s">
        <v>38280</v>
      </c>
      <c r="B6771" t="s">
        <v>38281</v>
      </c>
      <c r="C6771">
        <v>0.31868734874600002</v>
      </c>
      <c r="D6771">
        <v>0.932840302422</v>
      </c>
      <c r="E6771">
        <v>11.706</v>
      </c>
    </row>
    <row r="6772" spans="1:5">
      <c r="A6772" t="s">
        <v>38280</v>
      </c>
      <c r="B6772" t="s">
        <v>38282</v>
      </c>
      <c r="C6772">
        <f>0.582104482994</f>
        <v>0.58210448299399997</v>
      </c>
      <c r="D6772">
        <v>0.932840302422</v>
      </c>
      <c r="E6772">
        <v>11.706</v>
      </c>
    </row>
    <row r="6773" spans="1:5">
      <c r="A6773" t="s">
        <v>38280</v>
      </c>
      <c r="B6773" t="s">
        <v>38283</v>
      </c>
      <c r="C6773">
        <f>0.537220492412</f>
        <v>0.53722049241199998</v>
      </c>
      <c r="D6773">
        <v>0.932840302422</v>
      </c>
      <c r="E6773">
        <v>11.706</v>
      </c>
    </row>
    <row r="6774" spans="1:5">
      <c r="A6774" t="s">
        <v>38280</v>
      </c>
      <c r="B6774" t="s">
        <v>38284</v>
      </c>
      <c r="C6774">
        <v>0.208800270919</v>
      </c>
      <c r="D6774">
        <v>0.932840302422</v>
      </c>
      <c r="E6774">
        <v>11.706</v>
      </c>
    </row>
    <row r="6775" spans="1:5">
      <c r="A6775" t="s">
        <v>38285</v>
      </c>
      <c r="B6775" t="s">
        <v>4525</v>
      </c>
      <c r="C6775">
        <v>0</v>
      </c>
      <c r="D6775" t="s">
        <v>106</v>
      </c>
      <c r="E6775">
        <v>1.512</v>
      </c>
    </row>
    <row r="6776" spans="1:5">
      <c r="A6776" t="s">
        <v>38285</v>
      </c>
      <c r="B6776" t="s">
        <v>4526</v>
      </c>
      <c r="C6776">
        <v>0</v>
      </c>
      <c r="D6776" t="s">
        <v>106</v>
      </c>
      <c r="E6776">
        <v>1.512</v>
      </c>
    </row>
    <row r="6777" spans="1:5">
      <c r="A6777" t="s">
        <v>38286</v>
      </c>
      <c r="B6777" t="s">
        <v>38287</v>
      </c>
      <c r="C6777">
        <f>0.584907566076</f>
        <v>0.58490756607600003</v>
      </c>
      <c r="D6777">
        <v>0.775162885606</v>
      </c>
      <c r="E6777">
        <v>0</v>
      </c>
    </row>
    <row r="6778" spans="1:5">
      <c r="A6778" t="s">
        <v>38286</v>
      </c>
      <c r="B6778" t="s">
        <v>38288</v>
      </c>
      <c r="C6778">
        <f>0.163109076543</f>
        <v>0.163109076543</v>
      </c>
      <c r="D6778">
        <v>0.775162885606</v>
      </c>
      <c r="E6778">
        <v>0</v>
      </c>
    </row>
    <row r="6779" spans="1:5">
      <c r="A6779" t="s">
        <v>38289</v>
      </c>
      <c r="B6779" t="s">
        <v>38290</v>
      </c>
      <c r="C6779">
        <f>0.387537538311</f>
        <v>0.38753753831100002</v>
      </c>
      <c r="D6779">
        <v>0.99996022058199996</v>
      </c>
      <c r="E6779">
        <v>4.4820000000000002</v>
      </c>
    </row>
    <row r="6780" spans="1:5">
      <c r="A6780" t="s">
        <v>38289</v>
      </c>
      <c r="B6780" t="s">
        <v>38291</v>
      </c>
      <c r="C6780">
        <v>0</v>
      </c>
      <c r="D6780">
        <v>0.99996022058199996</v>
      </c>
      <c r="E6780">
        <v>4.4820000000000002</v>
      </c>
    </row>
    <row r="6781" spans="1:5">
      <c r="A6781" t="s">
        <v>38289</v>
      </c>
      <c r="B6781" t="s">
        <v>38292</v>
      </c>
      <c r="C6781">
        <v>0.48841159493300002</v>
      </c>
      <c r="D6781">
        <v>0.99996022058199996</v>
      </c>
      <c r="E6781">
        <v>4.4820000000000002</v>
      </c>
    </row>
    <row r="6782" spans="1:5">
      <c r="A6782" t="s">
        <v>38289</v>
      </c>
      <c r="B6782" t="s">
        <v>38293</v>
      </c>
      <c r="C6782">
        <f>0.153698519903</f>
        <v>0.15369851990300001</v>
      </c>
      <c r="D6782">
        <v>0.99996022058199996</v>
      </c>
      <c r="E6782">
        <v>4.4820000000000002</v>
      </c>
    </row>
    <row r="6783" spans="1:5">
      <c r="A6783" t="s">
        <v>38289</v>
      </c>
      <c r="B6783" t="s">
        <v>38294</v>
      </c>
      <c r="C6783">
        <f>0.299374228812</f>
        <v>0.29937422881199999</v>
      </c>
      <c r="D6783">
        <v>0.99996022058199996</v>
      </c>
      <c r="E6783">
        <v>4.4820000000000002</v>
      </c>
    </row>
    <row r="6784" spans="1:5">
      <c r="A6784" t="s">
        <v>38289</v>
      </c>
      <c r="B6784" t="s">
        <v>38295</v>
      </c>
      <c r="C6784">
        <v>0.52125084004</v>
      </c>
      <c r="D6784">
        <v>0.99996022058199996</v>
      </c>
      <c r="E6784">
        <v>4.4820000000000002</v>
      </c>
    </row>
    <row r="6785" spans="1:5">
      <c r="A6785" t="s">
        <v>38289</v>
      </c>
      <c r="B6785" t="s">
        <v>38296</v>
      </c>
      <c r="C6785">
        <v>0.128373420283</v>
      </c>
      <c r="D6785">
        <v>0.99996022058199996</v>
      </c>
      <c r="E6785">
        <v>4.4820000000000002</v>
      </c>
    </row>
    <row r="6786" spans="1:5">
      <c r="A6786" t="s">
        <v>38289</v>
      </c>
      <c r="B6786" t="s">
        <v>38297</v>
      </c>
      <c r="C6786">
        <f>0.968671125977</f>
        <v>0.968671125977</v>
      </c>
      <c r="D6786">
        <v>0.99996022058199996</v>
      </c>
      <c r="E6786">
        <v>4.4820000000000002</v>
      </c>
    </row>
    <row r="6787" spans="1:5">
      <c r="A6787" t="s">
        <v>38298</v>
      </c>
      <c r="B6787" t="s">
        <v>22858</v>
      </c>
      <c r="C6787">
        <f>0</f>
        <v>0</v>
      </c>
      <c r="D6787">
        <v>0.93075676766799997</v>
      </c>
      <c r="E6787">
        <v>1.3380000000000001</v>
      </c>
    </row>
    <row r="6788" spans="1:5">
      <c r="A6788" t="s">
        <v>38298</v>
      </c>
      <c r="B6788" t="s">
        <v>22860</v>
      </c>
      <c r="C6788">
        <v>0</v>
      </c>
      <c r="D6788">
        <v>0.93075676766799997</v>
      </c>
      <c r="E6788">
        <v>1.3380000000000001</v>
      </c>
    </row>
    <row r="6789" spans="1:5">
      <c r="A6789" t="s">
        <v>38298</v>
      </c>
      <c r="B6789" t="s">
        <v>22856</v>
      </c>
      <c r="C6789">
        <f>0.710943396647</f>
        <v>0.71094339664700001</v>
      </c>
      <c r="D6789">
        <v>0.93075676766799997</v>
      </c>
      <c r="E6789">
        <v>1.3380000000000001</v>
      </c>
    </row>
    <row r="6790" spans="1:5">
      <c r="A6790" t="s">
        <v>38298</v>
      </c>
      <c r="B6790" t="s">
        <v>22857</v>
      </c>
      <c r="C6790">
        <v>0.55753220162299999</v>
      </c>
      <c r="D6790">
        <v>0.93075676766799997</v>
      </c>
      <c r="E6790">
        <v>1.3380000000000001</v>
      </c>
    </row>
    <row r="6791" spans="1:5">
      <c r="A6791" t="s">
        <v>38298</v>
      </c>
      <c r="B6791" t="s">
        <v>22859</v>
      </c>
      <c r="C6791">
        <f>0</f>
        <v>0</v>
      </c>
      <c r="D6791">
        <v>0.93075676766799997</v>
      </c>
      <c r="E6791">
        <v>1.3380000000000001</v>
      </c>
    </row>
    <row r="6792" spans="1:5">
      <c r="A6792" t="s">
        <v>38299</v>
      </c>
      <c r="B6792" t="s">
        <v>38300</v>
      </c>
      <c r="C6792">
        <v>0.12873880674499999</v>
      </c>
      <c r="D6792">
        <v>0.72010350941800005</v>
      </c>
      <c r="E6792">
        <v>23.754000000000001</v>
      </c>
    </row>
    <row r="6793" spans="1:5">
      <c r="A6793" t="s">
        <v>38299</v>
      </c>
      <c r="B6793" t="s">
        <v>38301</v>
      </c>
      <c r="C6793">
        <f>0.136468377064</f>
        <v>0.136468377064</v>
      </c>
      <c r="D6793">
        <v>0.72010350941800005</v>
      </c>
      <c r="E6793">
        <v>23.754000000000001</v>
      </c>
    </row>
    <row r="6794" spans="1:5">
      <c r="A6794" t="s">
        <v>38299</v>
      </c>
      <c r="B6794" t="s">
        <v>38302</v>
      </c>
      <c r="C6794">
        <f>0.118507708519</f>
        <v>0.118507708519</v>
      </c>
      <c r="D6794">
        <v>0.72010350941800005</v>
      </c>
      <c r="E6794">
        <v>23.754000000000001</v>
      </c>
    </row>
    <row r="6795" spans="1:5">
      <c r="A6795" t="s">
        <v>38303</v>
      </c>
      <c r="B6795" t="s">
        <v>38304</v>
      </c>
      <c r="C6795">
        <f>0.510199456647</f>
        <v>0.51019945664699995</v>
      </c>
      <c r="D6795">
        <v>0.823809456647</v>
      </c>
      <c r="E6795">
        <v>0.61799999999999999</v>
      </c>
    </row>
    <row r="6796" spans="1:5">
      <c r="A6796" t="s">
        <v>38303</v>
      </c>
      <c r="B6796" t="s">
        <v>38305</v>
      </c>
      <c r="C6796">
        <f>0</f>
        <v>0</v>
      </c>
      <c r="D6796">
        <v>0.823809456647</v>
      </c>
      <c r="E6796">
        <v>0.61799999999999999</v>
      </c>
    </row>
    <row r="6797" spans="1:5">
      <c r="A6797" t="s">
        <v>38303</v>
      </c>
      <c r="B6797" t="s">
        <v>38306</v>
      </c>
      <c r="C6797">
        <f>0</f>
        <v>0</v>
      </c>
      <c r="D6797">
        <v>0.823809456647</v>
      </c>
      <c r="E6797">
        <v>0.61799999999999999</v>
      </c>
    </row>
    <row r="6798" spans="1:5">
      <c r="A6798" t="s">
        <v>38303</v>
      </c>
      <c r="B6798" t="s">
        <v>38307</v>
      </c>
      <c r="C6798">
        <v>0</v>
      </c>
      <c r="D6798">
        <v>0.823809456647</v>
      </c>
      <c r="E6798">
        <v>0.61799999999999999</v>
      </c>
    </row>
    <row r="6799" spans="1:5">
      <c r="A6799" t="s">
        <v>38303</v>
      </c>
      <c r="B6799" t="s">
        <v>38308</v>
      </c>
      <c r="C6799">
        <v>0</v>
      </c>
      <c r="D6799">
        <v>0.823809456647</v>
      </c>
      <c r="E6799">
        <v>0.61799999999999999</v>
      </c>
    </row>
    <row r="6800" spans="1:5">
      <c r="A6800" t="s">
        <v>38303</v>
      </c>
      <c r="B6800" t="s">
        <v>38309</v>
      </c>
      <c r="C6800">
        <f>0</f>
        <v>0</v>
      </c>
      <c r="D6800">
        <v>0.823809456647</v>
      </c>
      <c r="E6800">
        <v>0.61799999999999999</v>
      </c>
    </row>
    <row r="6801" spans="1:5">
      <c r="A6801" t="s">
        <v>38310</v>
      </c>
      <c r="B6801" t="s">
        <v>334</v>
      </c>
      <c r="C6801">
        <v>0</v>
      </c>
      <c r="D6801">
        <v>0.99971966445600002</v>
      </c>
      <c r="E6801">
        <v>1.452</v>
      </c>
    </row>
    <row r="6802" spans="1:5">
      <c r="A6802" t="s">
        <v>38310</v>
      </c>
      <c r="B6802" t="s">
        <v>338</v>
      </c>
      <c r="C6802">
        <f>0.367343342687</f>
        <v>0.36734334268699997</v>
      </c>
      <c r="D6802">
        <v>0.99971966445600002</v>
      </c>
      <c r="E6802">
        <v>1.452</v>
      </c>
    </row>
    <row r="6803" spans="1:5">
      <c r="A6803" t="s">
        <v>38310</v>
      </c>
      <c r="B6803" t="s">
        <v>337</v>
      </c>
      <c r="C6803">
        <f>0.0363247698676</f>
        <v>3.6324769867599999E-2</v>
      </c>
      <c r="D6803">
        <v>0.99971966445600002</v>
      </c>
      <c r="E6803">
        <v>1.452</v>
      </c>
    </row>
    <row r="6804" spans="1:5">
      <c r="A6804" t="s">
        <v>38310</v>
      </c>
      <c r="B6804" t="s">
        <v>336</v>
      </c>
      <c r="C6804">
        <v>0.64393608586600004</v>
      </c>
      <c r="D6804">
        <v>0.99971966445600002</v>
      </c>
      <c r="E6804">
        <v>1.452</v>
      </c>
    </row>
    <row r="6805" spans="1:5">
      <c r="A6805" t="s">
        <v>38310</v>
      </c>
      <c r="B6805" t="s">
        <v>341</v>
      </c>
      <c r="C6805">
        <f>0.0314296147604</f>
        <v>3.1429614760400001E-2</v>
      </c>
      <c r="D6805">
        <v>0.99971966445600002</v>
      </c>
      <c r="E6805">
        <v>1.452</v>
      </c>
    </row>
    <row r="6806" spans="1:5">
      <c r="A6806" t="s">
        <v>38310</v>
      </c>
      <c r="B6806" t="s">
        <v>38311</v>
      </c>
      <c r="C6806">
        <f>0.796716392834</f>
        <v>0.79671639283399998</v>
      </c>
      <c r="D6806">
        <v>0.99971966445600002</v>
      </c>
      <c r="E6806">
        <v>1.452</v>
      </c>
    </row>
    <row r="6807" spans="1:5">
      <c r="A6807" t="s">
        <v>38312</v>
      </c>
      <c r="B6807" t="s">
        <v>38313</v>
      </c>
      <c r="C6807">
        <f>0</f>
        <v>0</v>
      </c>
      <c r="D6807">
        <v>0.983887328241</v>
      </c>
      <c r="E6807">
        <v>24</v>
      </c>
    </row>
    <row r="6808" spans="1:5">
      <c r="A6808" t="s">
        <v>38312</v>
      </c>
      <c r="B6808" t="s">
        <v>38314</v>
      </c>
      <c r="C6808">
        <v>0.68465531971299998</v>
      </c>
      <c r="D6808">
        <v>0.983887328241</v>
      </c>
      <c r="E6808">
        <v>24</v>
      </c>
    </row>
    <row r="6809" spans="1:5">
      <c r="A6809" t="s">
        <v>38312</v>
      </c>
      <c r="B6809" t="s">
        <v>38315</v>
      </c>
      <c r="C6809">
        <v>0</v>
      </c>
      <c r="D6809">
        <v>0.983887328241</v>
      </c>
      <c r="E6809">
        <v>24</v>
      </c>
    </row>
    <row r="6810" spans="1:5">
      <c r="A6810" t="s">
        <v>38312</v>
      </c>
      <c r="B6810" t="s">
        <v>38316</v>
      </c>
      <c r="C6810">
        <v>0.27936967509900001</v>
      </c>
      <c r="D6810">
        <v>0.983887328241</v>
      </c>
      <c r="E6810">
        <v>24</v>
      </c>
    </row>
    <row r="6811" spans="1:5">
      <c r="A6811" t="s">
        <v>38312</v>
      </c>
      <c r="B6811" t="s">
        <v>38317</v>
      </c>
      <c r="C6811">
        <f>0.185505156653</f>
        <v>0.18550515665299999</v>
      </c>
      <c r="D6811">
        <v>0.983887328241</v>
      </c>
      <c r="E6811">
        <v>24</v>
      </c>
    </row>
    <row r="6812" spans="1:5">
      <c r="A6812" t="s">
        <v>38312</v>
      </c>
      <c r="B6812" t="s">
        <v>38318</v>
      </c>
      <c r="C6812">
        <v>0</v>
      </c>
      <c r="D6812">
        <v>0.983887328241</v>
      </c>
      <c r="E6812">
        <v>24</v>
      </c>
    </row>
    <row r="6813" spans="1:5">
      <c r="A6813" t="s">
        <v>38312</v>
      </c>
      <c r="B6813" t="s">
        <v>38319</v>
      </c>
      <c r="C6813">
        <v>0</v>
      </c>
      <c r="D6813">
        <v>0.983887328241</v>
      </c>
      <c r="E6813">
        <v>24</v>
      </c>
    </row>
    <row r="6814" spans="1:5">
      <c r="A6814" t="s">
        <v>38312</v>
      </c>
      <c r="B6814" t="s">
        <v>38320</v>
      </c>
      <c r="C6814">
        <f>0</f>
        <v>0</v>
      </c>
      <c r="D6814">
        <v>0.983887328241</v>
      </c>
      <c r="E6814">
        <v>24</v>
      </c>
    </row>
    <row r="6815" spans="1:5">
      <c r="A6815" t="s">
        <v>38312</v>
      </c>
      <c r="B6815" t="s">
        <v>38321</v>
      </c>
      <c r="C6815">
        <f>0</f>
        <v>0</v>
      </c>
      <c r="D6815">
        <v>0.983887328241</v>
      </c>
      <c r="E6815">
        <v>24</v>
      </c>
    </row>
    <row r="6816" spans="1:5">
      <c r="A6816" t="s">
        <v>38312</v>
      </c>
      <c r="B6816" t="s">
        <v>38322</v>
      </c>
      <c r="C6816">
        <f>0</f>
        <v>0</v>
      </c>
      <c r="D6816">
        <v>0.983887328241</v>
      </c>
      <c r="E6816">
        <v>24</v>
      </c>
    </row>
    <row r="6817" spans="1:5">
      <c r="A6817" t="s">
        <v>38323</v>
      </c>
      <c r="B6817" t="s">
        <v>12336</v>
      </c>
      <c r="C6817">
        <v>5.2100843981800003E-2</v>
      </c>
      <c r="D6817">
        <v>0.94868038763200002</v>
      </c>
      <c r="E6817">
        <v>24</v>
      </c>
    </row>
    <row r="6818" spans="1:5">
      <c r="A6818" t="s">
        <v>38323</v>
      </c>
      <c r="B6818" t="s">
        <v>12337</v>
      </c>
      <c r="C6818">
        <v>0</v>
      </c>
      <c r="D6818">
        <v>0.94868038763200002</v>
      </c>
      <c r="E6818">
        <v>24</v>
      </c>
    </row>
    <row r="6819" spans="1:5">
      <c r="A6819" t="s">
        <v>38323</v>
      </c>
      <c r="B6819" t="s">
        <v>12330</v>
      </c>
      <c r="C6819">
        <v>0</v>
      </c>
      <c r="D6819">
        <v>0.94868038763200002</v>
      </c>
      <c r="E6819">
        <v>24</v>
      </c>
    </row>
    <row r="6820" spans="1:5">
      <c r="A6820" t="s">
        <v>38323</v>
      </c>
      <c r="B6820" t="s">
        <v>12333</v>
      </c>
      <c r="C6820">
        <v>0.49486321070200001</v>
      </c>
      <c r="D6820">
        <v>0.94868038763200002</v>
      </c>
      <c r="E6820">
        <v>24</v>
      </c>
    </row>
    <row r="6821" spans="1:5">
      <c r="A6821" t="s">
        <v>38323</v>
      </c>
      <c r="B6821" t="s">
        <v>12331</v>
      </c>
      <c r="C6821">
        <v>0.47564828406300003</v>
      </c>
      <c r="D6821">
        <v>0.94868038763200002</v>
      </c>
      <c r="E6821">
        <v>24</v>
      </c>
    </row>
    <row r="6822" spans="1:5">
      <c r="A6822" t="s">
        <v>38323</v>
      </c>
      <c r="B6822" t="s">
        <v>12332</v>
      </c>
      <c r="C6822">
        <v>0</v>
      </c>
      <c r="D6822">
        <v>0.94868038763200002</v>
      </c>
      <c r="E6822">
        <v>24</v>
      </c>
    </row>
    <row r="6823" spans="1:5">
      <c r="A6823" t="s">
        <v>38323</v>
      </c>
      <c r="B6823" t="s">
        <v>12338</v>
      </c>
      <c r="C6823">
        <v>0.29600669934000001</v>
      </c>
      <c r="D6823">
        <v>0.94868038763200002</v>
      </c>
      <c r="E6823">
        <v>24</v>
      </c>
    </row>
    <row r="6824" spans="1:5">
      <c r="A6824" t="s">
        <v>38323</v>
      </c>
      <c r="B6824" t="s">
        <v>12334</v>
      </c>
      <c r="C6824">
        <v>0</v>
      </c>
      <c r="D6824">
        <v>0.94868038763200002</v>
      </c>
      <c r="E6824">
        <v>24</v>
      </c>
    </row>
    <row r="6825" spans="1:5">
      <c r="A6825" t="s">
        <v>38323</v>
      </c>
      <c r="B6825" t="s">
        <v>12339</v>
      </c>
      <c r="C6825">
        <v>0</v>
      </c>
      <c r="D6825">
        <v>0.94868038763200002</v>
      </c>
      <c r="E6825">
        <v>24</v>
      </c>
    </row>
    <row r="6826" spans="1:5">
      <c r="A6826" t="s">
        <v>38323</v>
      </c>
      <c r="B6826" t="s">
        <v>12335</v>
      </c>
      <c r="C6826">
        <v>8.6253995575300002E-2</v>
      </c>
      <c r="D6826">
        <v>0.94868038763200002</v>
      </c>
      <c r="E6826">
        <v>24</v>
      </c>
    </row>
    <row r="6827" spans="1:5">
      <c r="A6827" t="s">
        <v>38324</v>
      </c>
      <c r="B6827" t="s">
        <v>306</v>
      </c>
      <c r="C6827">
        <v>1.98825355424E-2</v>
      </c>
      <c r="D6827">
        <v>0.95888823184399996</v>
      </c>
      <c r="E6827">
        <v>24</v>
      </c>
    </row>
    <row r="6828" spans="1:5">
      <c r="A6828" t="s">
        <v>38324</v>
      </c>
      <c r="B6828" t="s">
        <v>304</v>
      </c>
      <c r="C6828">
        <v>0.62800053138400003</v>
      </c>
      <c r="D6828">
        <v>0.95888823184399996</v>
      </c>
      <c r="E6828">
        <v>24</v>
      </c>
    </row>
    <row r="6829" spans="1:5">
      <c r="A6829" t="s">
        <v>38324</v>
      </c>
      <c r="B6829" t="s">
        <v>307</v>
      </c>
      <c r="C6829">
        <v>0</v>
      </c>
      <c r="D6829">
        <v>0.95888823184399996</v>
      </c>
      <c r="E6829">
        <v>24</v>
      </c>
    </row>
    <row r="6830" spans="1:5">
      <c r="A6830" t="s">
        <v>38324</v>
      </c>
      <c r="B6830" t="s">
        <v>305</v>
      </c>
      <c r="C6830">
        <v>0.349125962392</v>
      </c>
      <c r="D6830">
        <v>0.95888823184399996</v>
      </c>
      <c r="E6830">
        <v>24</v>
      </c>
    </row>
    <row r="6831" spans="1:5">
      <c r="A6831" t="s">
        <v>38325</v>
      </c>
      <c r="B6831" t="s">
        <v>38326</v>
      </c>
      <c r="C6831">
        <v>0</v>
      </c>
      <c r="D6831" t="s">
        <v>106</v>
      </c>
      <c r="E6831">
        <v>1.6379999999999999</v>
      </c>
    </row>
    <row r="6832" spans="1:5">
      <c r="A6832" t="s">
        <v>38325</v>
      </c>
      <c r="B6832" t="s">
        <v>38327</v>
      </c>
      <c r="C6832">
        <v>0</v>
      </c>
      <c r="D6832" t="s">
        <v>106</v>
      </c>
      <c r="E6832">
        <v>1.6379999999999999</v>
      </c>
    </row>
    <row r="6833" spans="1:5">
      <c r="A6833" t="s">
        <v>38325</v>
      </c>
      <c r="B6833" t="s">
        <v>38328</v>
      </c>
      <c r="C6833">
        <v>0</v>
      </c>
      <c r="D6833" t="s">
        <v>106</v>
      </c>
      <c r="E6833">
        <v>1.6379999999999999</v>
      </c>
    </row>
    <row r="6834" spans="1:5">
      <c r="A6834" t="s">
        <v>38325</v>
      </c>
      <c r="B6834" t="s">
        <v>38329</v>
      </c>
      <c r="C6834">
        <f>0</f>
        <v>0</v>
      </c>
      <c r="D6834" t="s">
        <v>106</v>
      </c>
      <c r="E6834">
        <v>1.6379999999999999</v>
      </c>
    </row>
    <row r="6835" spans="1:5">
      <c r="A6835" t="s">
        <v>38325</v>
      </c>
      <c r="B6835" t="s">
        <v>38330</v>
      </c>
      <c r="C6835">
        <f>0</f>
        <v>0</v>
      </c>
      <c r="D6835" t="s">
        <v>106</v>
      </c>
      <c r="E6835">
        <v>1.6379999999999999</v>
      </c>
    </row>
    <row r="6836" spans="1:5">
      <c r="A6836" t="s">
        <v>38325</v>
      </c>
      <c r="B6836" t="s">
        <v>38331</v>
      </c>
      <c r="C6836">
        <v>0</v>
      </c>
      <c r="D6836" t="s">
        <v>106</v>
      </c>
      <c r="E6836">
        <v>1.6379999999999999</v>
      </c>
    </row>
    <row r="6837" spans="1:5">
      <c r="A6837" t="s">
        <v>38325</v>
      </c>
      <c r="B6837" t="s">
        <v>38332</v>
      </c>
      <c r="C6837">
        <v>0</v>
      </c>
      <c r="D6837" t="s">
        <v>106</v>
      </c>
      <c r="E6837">
        <v>1.6379999999999999</v>
      </c>
    </row>
    <row r="6838" spans="1:5">
      <c r="A6838" t="s">
        <v>38325</v>
      </c>
      <c r="B6838" t="s">
        <v>38333</v>
      </c>
      <c r="C6838">
        <v>0</v>
      </c>
      <c r="D6838" t="s">
        <v>106</v>
      </c>
      <c r="E6838">
        <v>1.6379999999999999</v>
      </c>
    </row>
    <row r="6839" spans="1:5">
      <c r="A6839" t="s">
        <v>38325</v>
      </c>
      <c r="B6839" t="s">
        <v>38334</v>
      </c>
      <c r="C6839">
        <f>0</f>
        <v>0</v>
      </c>
      <c r="D6839" t="s">
        <v>106</v>
      </c>
      <c r="E6839">
        <v>1.6379999999999999</v>
      </c>
    </row>
    <row r="6840" spans="1:5">
      <c r="A6840" t="s">
        <v>38325</v>
      </c>
      <c r="B6840" t="s">
        <v>38335</v>
      </c>
      <c r="C6840">
        <v>0</v>
      </c>
      <c r="D6840" t="s">
        <v>106</v>
      </c>
      <c r="E6840">
        <v>1.6379999999999999</v>
      </c>
    </row>
    <row r="6841" spans="1:5">
      <c r="A6841" t="s">
        <v>38325</v>
      </c>
      <c r="B6841" t="s">
        <v>38336</v>
      </c>
      <c r="C6841">
        <f>0</f>
        <v>0</v>
      </c>
      <c r="D6841" t="s">
        <v>106</v>
      </c>
      <c r="E6841">
        <v>1.6379999999999999</v>
      </c>
    </row>
    <row r="6842" spans="1:5">
      <c r="A6842" t="s">
        <v>38325</v>
      </c>
      <c r="B6842" t="s">
        <v>38337</v>
      </c>
      <c r="C6842">
        <f>0</f>
        <v>0</v>
      </c>
      <c r="D6842" t="s">
        <v>106</v>
      </c>
      <c r="E6842">
        <v>1.6379999999999999</v>
      </c>
    </row>
    <row r="6843" spans="1:5">
      <c r="A6843" t="s">
        <v>38325</v>
      </c>
      <c r="B6843" t="s">
        <v>38338</v>
      </c>
      <c r="C6843">
        <v>0</v>
      </c>
      <c r="D6843" t="s">
        <v>106</v>
      </c>
      <c r="E6843">
        <v>1.6379999999999999</v>
      </c>
    </row>
    <row r="6844" spans="1:5">
      <c r="A6844" t="s">
        <v>38325</v>
      </c>
      <c r="B6844" t="s">
        <v>38339</v>
      </c>
      <c r="C6844">
        <v>0</v>
      </c>
      <c r="D6844" t="s">
        <v>106</v>
      </c>
      <c r="E6844">
        <v>1.6379999999999999</v>
      </c>
    </row>
    <row r="6845" spans="1:5">
      <c r="A6845" t="s">
        <v>38340</v>
      </c>
      <c r="B6845" t="s">
        <v>353</v>
      </c>
      <c r="C6845">
        <v>3.4421115974299997E-2</v>
      </c>
      <c r="D6845">
        <v>0.90070779856200001</v>
      </c>
      <c r="E6845">
        <v>9.9239999999999995</v>
      </c>
    </row>
    <row r="6846" spans="1:5">
      <c r="A6846" t="s">
        <v>38340</v>
      </c>
      <c r="B6846" t="s">
        <v>352</v>
      </c>
      <c r="C6846">
        <v>0</v>
      </c>
      <c r="D6846">
        <v>0.90070779856200001</v>
      </c>
      <c r="E6846">
        <v>9.9239999999999995</v>
      </c>
    </row>
    <row r="6847" spans="1:5">
      <c r="A6847" t="s">
        <v>38340</v>
      </c>
      <c r="B6847" t="s">
        <v>363</v>
      </c>
      <c r="C6847">
        <v>0.65656136894200001</v>
      </c>
      <c r="D6847">
        <v>0.90070779856200001</v>
      </c>
      <c r="E6847">
        <v>9.9239999999999995</v>
      </c>
    </row>
    <row r="6848" spans="1:5">
      <c r="A6848" t="s">
        <v>38340</v>
      </c>
      <c r="B6848" t="s">
        <v>364</v>
      </c>
      <c r="C6848">
        <v>0</v>
      </c>
      <c r="D6848">
        <v>0.90070779856200001</v>
      </c>
      <c r="E6848">
        <v>9.9239999999999995</v>
      </c>
    </row>
    <row r="6849" spans="1:5">
      <c r="A6849" t="s">
        <v>38340</v>
      </c>
      <c r="B6849" t="s">
        <v>362</v>
      </c>
      <c r="C6849">
        <v>0</v>
      </c>
      <c r="D6849">
        <v>0.90070779856200001</v>
      </c>
      <c r="E6849">
        <v>9.9239999999999995</v>
      </c>
    </row>
    <row r="6850" spans="1:5">
      <c r="A6850" t="s">
        <v>38341</v>
      </c>
      <c r="B6850" t="s">
        <v>14991</v>
      </c>
      <c r="C6850">
        <v>0.65373421570000001</v>
      </c>
      <c r="D6850">
        <v>0.97549422702099997</v>
      </c>
      <c r="E6850">
        <v>4.5839999999999996</v>
      </c>
    </row>
    <row r="6851" spans="1:5">
      <c r="A6851" t="s">
        <v>38341</v>
      </c>
      <c r="B6851" t="s">
        <v>14990</v>
      </c>
      <c r="C6851">
        <f>-2.05832238047</f>
        <v>-2.0583223804699999</v>
      </c>
      <c r="D6851">
        <v>0.97549422702099997</v>
      </c>
      <c r="E6851">
        <v>4.5839999999999996</v>
      </c>
    </row>
    <row r="6852" spans="1:5">
      <c r="A6852" t="s">
        <v>38341</v>
      </c>
      <c r="B6852" t="s">
        <v>14995</v>
      </c>
      <c r="C6852">
        <v>2.3571028255900002</v>
      </c>
      <c r="D6852">
        <v>0.97549422702099997</v>
      </c>
      <c r="E6852">
        <v>4.5839999999999996</v>
      </c>
    </row>
    <row r="6853" spans="1:5">
      <c r="A6853" t="s">
        <v>38341</v>
      </c>
      <c r="B6853" t="s">
        <v>14989</v>
      </c>
      <c r="C6853">
        <f>0.565826744525</f>
        <v>0.56582674452500004</v>
      </c>
      <c r="D6853">
        <v>0.97549422702099997</v>
      </c>
      <c r="E6853">
        <v>4.5839999999999996</v>
      </c>
    </row>
    <row r="6854" spans="1:5">
      <c r="A6854" t="s">
        <v>38341</v>
      </c>
      <c r="B6854" t="s">
        <v>14988</v>
      </c>
      <c r="C6854">
        <v>0.90590923700299997</v>
      </c>
      <c r="D6854">
        <v>0.97549422702099997</v>
      </c>
      <c r="E6854">
        <v>4.5839999999999996</v>
      </c>
    </row>
    <row r="6855" spans="1:5">
      <c r="A6855" t="s">
        <v>38341</v>
      </c>
      <c r="B6855" t="s">
        <v>14994</v>
      </c>
      <c r="C6855">
        <f>-2.00480893895</f>
        <v>-2.0048089389500001</v>
      </c>
      <c r="D6855">
        <v>0.97549422702099997</v>
      </c>
      <c r="E6855">
        <v>4.5839999999999996</v>
      </c>
    </row>
    <row r="6856" spans="1:5">
      <c r="A6856" t="s">
        <v>38342</v>
      </c>
      <c r="B6856" t="s">
        <v>38343</v>
      </c>
      <c r="C6856">
        <v>0.81445834601599998</v>
      </c>
      <c r="D6856">
        <v>0.91790672845099996</v>
      </c>
      <c r="E6856">
        <v>5.4660000000000002</v>
      </c>
    </row>
    <row r="6857" spans="1:5">
      <c r="A6857" t="s">
        <v>38342</v>
      </c>
      <c r="B6857" t="s">
        <v>38344</v>
      </c>
      <c r="C6857">
        <f>0.295860228394</f>
        <v>0.295860228394</v>
      </c>
      <c r="D6857">
        <v>0.91790672845099996</v>
      </c>
      <c r="E6857">
        <v>5.4660000000000002</v>
      </c>
    </row>
    <row r="6858" spans="1:5">
      <c r="A6858" t="s">
        <v>38345</v>
      </c>
      <c r="B6858" t="s">
        <v>38346</v>
      </c>
      <c r="C6858">
        <f>0</f>
        <v>0</v>
      </c>
      <c r="D6858" t="s">
        <v>106</v>
      </c>
      <c r="E6858">
        <v>0.61799999999999999</v>
      </c>
    </row>
    <row r="6859" spans="1:5">
      <c r="A6859" t="s">
        <v>38345</v>
      </c>
      <c r="B6859" t="s">
        <v>38347</v>
      </c>
      <c r="C6859">
        <f>0</f>
        <v>0</v>
      </c>
      <c r="D6859" t="s">
        <v>106</v>
      </c>
      <c r="E6859">
        <v>0.61799999999999999</v>
      </c>
    </row>
    <row r="6860" spans="1:5">
      <c r="A6860" t="s">
        <v>38345</v>
      </c>
      <c r="B6860" t="s">
        <v>38348</v>
      </c>
      <c r="C6860">
        <f>0</f>
        <v>0</v>
      </c>
      <c r="D6860" t="s">
        <v>106</v>
      </c>
      <c r="E6860">
        <v>0.61799999999999999</v>
      </c>
    </row>
    <row r="6861" spans="1:5">
      <c r="A6861" t="s">
        <v>38345</v>
      </c>
      <c r="B6861" t="s">
        <v>38349</v>
      </c>
      <c r="C6861">
        <f>0</f>
        <v>0</v>
      </c>
      <c r="D6861" t="s">
        <v>106</v>
      </c>
      <c r="E6861">
        <v>0.61799999999999999</v>
      </c>
    </row>
    <row r="6862" spans="1:5">
      <c r="A6862" t="s">
        <v>38350</v>
      </c>
      <c r="B6862" t="s">
        <v>8462</v>
      </c>
      <c r="C6862">
        <f>0.470999598221</f>
        <v>0.47099959822100002</v>
      </c>
      <c r="D6862">
        <v>0.99999994574200002</v>
      </c>
      <c r="E6862">
        <v>3.8759999999999999</v>
      </c>
    </row>
    <row r="6863" spans="1:5">
      <c r="A6863" t="s">
        <v>38350</v>
      </c>
      <c r="B6863" t="s">
        <v>8461</v>
      </c>
      <c r="C6863">
        <v>0.68728835853799997</v>
      </c>
      <c r="D6863">
        <v>0.99999994574200002</v>
      </c>
      <c r="E6863">
        <v>3.8759999999999999</v>
      </c>
    </row>
    <row r="6864" spans="1:5">
      <c r="A6864" t="s">
        <v>38350</v>
      </c>
      <c r="B6864" t="s">
        <v>8466</v>
      </c>
      <c r="C6864">
        <v>0.21196417692200001</v>
      </c>
      <c r="D6864">
        <v>0.99999994574200002</v>
      </c>
      <c r="E6864">
        <v>3.8759999999999999</v>
      </c>
    </row>
    <row r="6865" spans="1:5">
      <c r="A6865" t="s">
        <v>38350</v>
      </c>
      <c r="B6865" t="s">
        <v>8460</v>
      </c>
      <c r="C6865">
        <v>0.103134406441</v>
      </c>
      <c r="D6865">
        <v>0.99999994574200002</v>
      </c>
      <c r="E6865">
        <v>3.8759999999999999</v>
      </c>
    </row>
    <row r="6866" spans="1:5">
      <c r="A6866" t="s">
        <v>38350</v>
      </c>
      <c r="B6866" t="s">
        <v>8473</v>
      </c>
      <c r="C6866">
        <v>0.59801251342499995</v>
      </c>
      <c r="D6866">
        <v>0.99999994574200002</v>
      </c>
      <c r="E6866">
        <v>3.8759999999999999</v>
      </c>
    </row>
    <row r="6867" spans="1:5">
      <c r="A6867" t="s">
        <v>38350</v>
      </c>
      <c r="B6867" t="s">
        <v>8463</v>
      </c>
      <c r="C6867">
        <f>0.652538593377</f>
        <v>0.65253859337700004</v>
      </c>
      <c r="D6867">
        <v>0.99999994574200002</v>
      </c>
      <c r="E6867">
        <v>3.8759999999999999</v>
      </c>
    </row>
    <row r="6868" spans="1:5">
      <c r="A6868" t="s">
        <v>38350</v>
      </c>
      <c r="B6868" t="s">
        <v>8474</v>
      </c>
      <c r="C6868">
        <v>0.547737072928</v>
      </c>
      <c r="D6868">
        <v>0.99999994574200002</v>
      </c>
      <c r="E6868">
        <v>3.8759999999999999</v>
      </c>
    </row>
    <row r="6869" spans="1:5">
      <c r="A6869" t="s">
        <v>38350</v>
      </c>
      <c r="B6869" t="s">
        <v>8469</v>
      </c>
      <c r="C6869">
        <f>0.708102076197</f>
        <v>0.70810207619700005</v>
      </c>
      <c r="D6869">
        <v>0.99999994574200002</v>
      </c>
      <c r="E6869">
        <v>3.8759999999999999</v>
      </c>
    </row>
    <row r="6870" spans="1:5">
      <c r="A6870" t="s">
        <v>38350</v>
      </c>
      <c r="B6870" t="s">
        <v>8467</v>
      </c>
      <c r="C6870">
        <v>0.13393927917199999</v>
      </c>
      <c r="D6870">
        <v>0.99999994574200002</v>
      </c>
      <c r="E6870">
        <v>3.8759999999999999</v>
      </c>
    </row>
    <row r="6871" spans="1:5">
      <c r="A6871" t="s">
        <v>38350</v>
      </c>
      <c r="B6871" t="s">
        <v>8468</v>
      </c>
      <c r="C6871">
        <v>0.178021030484</v>
      </c>
      <c r="D6871">
        <v>0.99999994574200002</v>
      </c>
      <c r="E6871">
        <v>3.8759999999999999</v>
      </c>
    </row>
    <row r="6872" spans="1:5">
      <c r="A6872" t="s">
        <v>38350</v>
      </c>
      <c r="B6872" t="s">
        <v>8465</v>
      </c>
      <c r="C6872">
        <f>0.16534679576</f>
        <v>0.16534679576</v>
      </c>
      <c r="D6872">
        <v>0.99999994574200002</v>
      </c>
      <c r="E6872">
        <v>3.8759999999999999</v>
      </c>
    </row>
    <row r="6873" spans="1:5">
      <c r="A6873" t="s">
        <v>38351</v>
      </c>
      <c r="B6873" t="s">
        <v>391</v>
      </c>
      <c r="C6873">
        <v>0.42190809669899998</v>
      </c>
      <c r="D6873">
        <v>0.96280365934699996</v>
      </c>
      <c r="E6873">
        <v>0.34799999999999998</v>
      </c>
    </row>
    <row r="6874" spans="1:5">
      <c r="A6874" t="s">
        <v>38351</v>
      </c>
      <c r="B6874" t="s">
        <v>389</v>
      </c>
      <c r="C6874">
        <v>7.5699147496900005E-4</v>
      </c>
      <c r="D6874">
        <v>0.96280365934699996</v>
      </c>
      <c r="E6874">
        <v>0.34799999999999998</v>
      </c>
    </row>
    <row r="6875" spans="1:5">
      <c r="A6875" t="s">
        <v>38351</v>
      </c>
      <c r="B6875" t="s">
        <v>394</v>
      </c>
      <c r="C6875">
        <f>0.587409908208</f>
        <v>0.58740990820799999</v>
      </c>
      <c r="D6875">
        <v>0.96280365934699996</v>
      </c>
      <c r="E6875">
        <v>0.34799999999999998</v>
      </c>
    </row>
    <row r="6876" spans="1:5">
      <c r="A6876" t="s">
        <v>38351</v>
      </c>
      <c r="B6876" t="s">
        <v>393</v>
      </c>
      <c r="C6876">
        <v>0.895274043573</v>
      </c>
      <c r="D6876">
        <v>0.96280365934699996</v>
      </c>
      <c r="E6876">
        <v>0.34799999999999998</v>
      </c>
    </row>
    <row r="6877" spans="1:5">
      <c r="A6877" t="s">
        <v>38351</v>
      </c>
      <c r="B6877" t="s">
        <v>387</v>
      </c>
      <c r="C6877">
        <v>0.22947881834100001</v>
      </c>
      <c r="D6877">
        <v>0.96280365934699996</v>
      </c>
      <c r="E6877">
        <v>0.34799999999999998</v>
      </c>
    </row>
    <row r="6878" spans="1:5">
      <c r="A6878" t="s">
        <v>38352</v>
      </c>
      <c r="B6878" t="s">
        <v>13922</v>
      </c>
      <c r="C6878">
        <f>0.708356461677</f>
        <v>0.70835646167699995</v>
      </c>
      <c r="D6878">
        <v>0.94476689201800002</v>
      </c>
      <c r="E6878">
        <v>0.61799999999999999</v>
      </c>
    </row>
    <row r="6879" spans="1:5">
      <c r="A6879" t="s">
        <v>38352</v>
      </c>
      <c r="B6879" t="s">
        <v>13924</v>
      </c>
      <c r="C6879">
        <v>11.512557174599999</v>
      </c>
      <c r="D6879">
        <v>0.94476689201800002</v>
      </c>
      <c r="E6879">
        <v>0.61799999999999999</v>
      </c>
    </row>
    <row r="6880" spans="1:5">
      <c r="A6880" t="s">
        <v>38352</v>
      </c>
      <c r="B6880" t="s">
        <v>13923</v>
      </c>
      <c r="C6880">
        <f>-1.79011002462</f>
        <v>-1.7901100246199999</v>
      </c>
      <c r="D6880">
        <v>0.94476689201800002</v>
      </c>
      <c r="E6880">
        <v>0.61799999999999999</v>
      </c>
    </row>
    <row r="6881" spans="1:5">
      <c r="A6881" t="s">
        <v>38352</v>
      </c>
      <c r="B6881" t="s">
        <v>13925</v>
      </c>
      <c r="C6881">
        <f>-8.26832618064</f>
        <v>-8.2683261806400008</v>
      </c>
      <c r="D6881">
        <v>0.94476689201800002</v>
      </c>
      <c r="E6881">
        <v>0.61799999999999999</v>
      </c>
    </row>
    <row r="6882" spans="1:5">
      <c r="A6882" t="s">
        <v>38353</v>
      </c>
      <c r="B6882" t="s">
        <v>38354</v>
      </c>
      <c r="C6882">
        <f>0</f>
        <v>0</v>
      </c>
      <c r="D6882">
        <v>0.65347955185700002</v>
      </c>
      <c r="E6882">
        <v>0.10199999999999999</v>
      </c>
    </row>
    <row r="6883" spans="1:5">
      <c r="A6883" t="s">
        <v>38353</v>
      </c>
      <c r="B6883" t="s">
        <v>38355</v>
      </c>
      <c r="C6883">
        <f>0</f>
        <v>0</v>
      </c>
      <c r="D6883">
        <v>0.65347955185700002</v>
      </c>
      <c r="E6883">
        <v>0.10199999999999999</v>
      </c>
    </row>
    <row r="6884" spans="1:5">
      <c r="A6884" t="s">
        <v>38353</v>
      </c>
      <c r="B6884" t="s">
        <v>38356</v>
      </c>
      <c r="C6884">
        <v>0.45986955185700001</v>
      </c>
      <c r="D6884">
        <v>0.65347955185700002</v>
      </c>
      <c r="E6884">
        <v>0.10199999999999999</v>
      </c>
    </row>
    <row r="6885" spans="1:5">
      <c r="A6885" t="s">
        <v>38357</v>
      </c>
      <c r="B6885" t="s">
        <v>17566</v>
      </c>
      <c r="C6885">
        <f>0.735999542554</f>
        <v>0.73599954255400002</v>
      </c>
      <c r="D6885">
        <v>0.83840954255400002</v>
      </c>
      <c r="E6885">
        <v>23.754000000000001</v>
      </c>
    </row>
    <row r="6886" spans="1:5">
      <c r="A6886" t="s">
        <v>38357</v>
      </c>
      <c r="B6886" t="s">
        <v>17567</v>
      </c>
      <c r="C6886">
        <v>0</v>
      </c>
      <c r="D6886">
        <v>0.83840954255400002</v>
      </c>
      <c r="E6886">
        <v>23.754000000000001</v>
      </c>
    </row>
    <row r="6887" spans="1:5">
      <c r="A6887" t="s">
        <v>38358</v>
      </c>
      <c r="B6887" t="s">
        <v>32677</v>
      </c>
      <c r="C6887">
        <v>0.78621933824000001</v>
      </c>
      <c r="D6887">
        <v>0.99279993468899996</v>
      </c>
      <c r="E6887">
        <v>7.4640000000000004</v>
      </c>
    </row>
    <row r="6888" spans="1:5">
      <c r="A6888" t="s">
        <v>38358</v>
      </c>
      <c r="B6888" t="s">
        <v>32679</v>
      </c>
      <c r="C6888">
        <v>0.39657722975100002</v>
      </c>
      <c r="D6888">
        <v>0.99279993468899996</v>
      </c>
      <c r="E6888">
        <v>7.4640000000000004</v>
      </c>
    </row>
    <row r="6889" spans="1:5">
      <c r="A6889" t="s">
        <v>38358</v>
      </c>
      <c r="B6889" t="s">
        <v>32678</v>
      </c>
      <c r="C6889">
        <f>0.182403539934</f>
        <v>0.18240353993399999</v>
      </c>
      <c r="D6889">
        <v>0.99279993468899996</v>
      </c>
      <c r="E6889">
        <v>7.4640000000000004</v>
      </c>
    </row>
    <row r="6890" spans="1:5">
      <c r="A6890" t="s">
        <v>38358</v>
      </c>
      <c r="B6890" t="s">
        <v>32681</v>
      </c>
      <c r="C6890">
        <f>0.103825393588</f>
        <v>0.103825393588</v>
      </c>
      <c r="D6890">
        <v>0.99279993468899996</v>
      </c>
      <c r="E6890">
        <v>7.4640000000000004</v>
      </c>
    </row>
    <row r="6891" spans="1:5">
      <c r="A6891" t="s">
        <v>38359</v>
      </c>
      <c r="B6891" t="s">
        <v>38360</v>
      </c>
      <c r="C6891">
        <v>0</v>
      </c>
      <c r="D6891">
        <v>0.64836782321700004</v>
      </c>
      <c r="E6891">
        <v>23.754000000000001</v>
      </c>
    </row>
    <row r="6892" spans="1:5">
      <c r="A6892" t="s">
        <v>38359</v>
      </c>
      <c r="B6892" t="s">
        <v>38361</v>
      </c>
      <c r="C6892">
        <v>0.23875782321700001</v>
      </c>
      <c r="D6892">
        <v>0.64836782321700004</v>
      </c>
      <c r="E6892">
        <v>23.754000000000001</v>
      </c>
    </row>
    <row r="6893" spans="1:5">
      <c r="A6893" t="s">
        <v>38359</v>
      </c>
      <c r="B6893" t="s">
        <v>38362</v>
      </c>
      <c r="C6893">
        <f>0</f>
        <v>0</v>
      </c>
      <c r="D6893">
        <v>0.64836782321700004</v>
      </c>
      <c r="E6893">
        <v>23.754000000000001</v>
      </c>
    </row>
    <row r="6894" spans="1:5">
      <c r="A6894" t="s">
        <v>38359</v>
      </c>
      <c r="B6894" t="s">
        <v>38363</v>
      </c>
      <c r="C6894">
        <v>0</v>
      </c>
      <c r="D6894">
        <v>0.64836782321700004</v>
      </c>
      <c r="E6894">
        <v>23.754000000000001</v>
      </c>
    </row>
    <row r="6895" spans="1:5">
      <c r="A6895" t="s">
        <v>38359</v>
      </c>
      <c r="B6895" t="s">
        <v>38364</v>
      </c>
      <c r="C6895">
        <f>0</f>
        <v>0</v>
      </c>
      <c r="D6895">
        <v>0.64836782321700004</v>
      </c>
      <c r="E6895">
        <v>23.754000000000001</v>
      </c>
    </row>
    <row r="6896" spans="1:5">
      <c r="A6896" t="s">
        <v>38359</v>
      </c>
      <c r="B6896" t="s">
        <v>38365</v>
      </c>
      <c r="C6896">
        <v>0</v>
      </c>
      <c r="D6896">
        <v>0.64836782321700004</v>
      </c>
      <c r="E6896">
        <v>23.754000000000001</v>
      </c>
    </row>
    <row r="6897" spans="1:5">
      <c r="A6897" t="s">
        <v>38366</v>
      </c>
      <c r="B6897" t="s">
        <v>15478</v>
      </c>
      <c r="C6897">
        <f>0</f>
        <v>0</v>
      </c>
      <c r="D6897" t="s">
        <v>106</v>
      </c>
      <c r="E6897">
        <v>1.0680000000000001</v>
      </c>
    </row>
    <row r="6898" spans="1:5">
      <c r="A6898" t="s">
        <v>38366</v>
      </c>
      <c r="B6898" t="s">
        <v>15482</v>
      </c>
      <c r="C6898">
        <f>0</f>
        <v>0</v>
      </c>
      <c r="D6898" t="s">
        <v>106</v>
      </c>
      <c r="E6898">
        <v>1.0680000000000001</v>
      </c>
    </row>
    <row r="6899" spans="1:5">
      <c r="A6899" t="s">
        <v>38367</v>
      </c>
      <c r="B6899" t="s">
        <v>13744</v>
      </c>
      <c r="C6899">
        <f>0</f>
        <v>0</v>
      </c>
      <c r="D6899" t="s">
        <v>106</v>
      </c>
      <c r="E6899">
        <v>24</v>
      </c>
    </row>
    <row r="6900" spans="1:5">
      <c r="A6900" t="s">
        <v>38367</v>
      </c>
      <c r="B6900" t="s">
        <v>13752</v>
      </c>
      <c r="C6900">
        <f>0</f>
        <v>0</v>
      </c>
      <c r="D6900" t="s">
        <v>106</v>
      </c>
      <c r="E6900">
        <v>24</v>
      </c>
    </row>
    <row r="6901" spans="1:5">
      <c r="A6901" t="s">
        <v>38367</v>
      </c>
      <c r="B6901" t="s">
        <v>13751</v>
      </c>
      <c r="C6901">
        <v>0</v>
      </c>
      <c r="D6901" t="s">
        <v>106</v>
      </c>
      <c r="E6901">
        <v>24</v>
      </c>
    </row>
    <row r="6902" spans="1:5">
      <c r="A6902" t="s">
        <v>38368</v>
      </c>
      <c r="B6902" t="s">
        <v>31748</v>
      </c>
      <c r="C6902">
        <v>0</v>
      </c>
      <c r="D6902">
        <v>0.78962988840199999</v>
      </c>
      <c r="E6902">
        <v>0.192</v>
      </c>
    </row>
    <row r="6903" spans="1:5">
      <c r="A6903" t="s">
        <v>38368</v>
      </c>
      <c r="B6903" t="s">
        <v>31750</v>
      </c>
      <c r="C6903">
        <v>0.27121988840200001</v>
      </c>
      <c r="D6903">
        <v>0.78962988840199999</v>
      </c>
      <c r="E6903">
        <v>0.192</v>
      </c>
    </row>
    <row r="6904" spans="1:5">
      <c r="A6904" t="s">
        <v>38368</v>
      </c>
      <c r="B6904" t="s">
        <v>31747</v>
      </c>
      <c r="C6904">
        <v>0</v>
      </c>
      <c r="D6904">
        <v>0.78962988840199999</v>
      </c>
      <c r="E6904">
        <v>0.192</v>
      </c>
    </row>
    <row r="6905" spans="1:5">
      <c r="A6905" t="s">
        <v>38369</v>
      </c>
      <c r="B6905" t="s">
        <v>4582</v>
      </c>
      <c r="C6905">
        <v>0</v>
      </c>
      <c r="D6905">
        <v>0.78836485926199995</v>
      </c>
      <c r="E6905">
        <v>24</v>
      </c>
    </row>
    <row r="6906" spans="1:5">
      <c r="A6906" t="s">
        <v>38369</v>
      </c>
      <c r="B6906" t="s">
        <v>4580</v>
      </c>
      <c r="C6906">
        <v>0</v>
      </c>
      <c r="D6906">
        <v>0.78836485926199995</v>
      </c>
      <c r="E6906">
        <v>24</v>
      </c>
    </row>
    <row r="6907" spans="1:5">
      <c r="A6907" t="s">
        <v>38369</v>
      </c>
      <c r="B6907" t="s">
        <v>4584</v>
      </c>
      <c r="C6907">
        <v>0.51795485926200002</v>
      </c>
      <c r="D6907">
        <v>0.78836485926199995</v>
      </c>
      <c r="E6907">
        <v>24</v>
      </c>
    </row>
    <row r="6908" spans="1:5">
      <c r="A6908" t="s">
        <v>38369</v>
      </c>
      <c r="B6908" t="s">
        <v>4579</v>
      </c>
      <c r="C6908">
        <f>0</f>
        <v>0</v>
      </c>
      <c r="D6908">
        <v>0.78836485926199995</v>
      </c>
      <c r="E6908">
        <v>24</v>
      </c>
    </row>
    <row r="6909" spans="1:5">
      <c r="A6909" t="s">
        <v>38370</v>
      </c>
      <c r="B6909" t="s">
        <v>38371</v>
      </c>
      <c r="C6909">
        <f>0</f>
        <v>0</v>
      </c>
      <c r="D6909" t="s">
        <v>106</v>
      </c>
      <c r="E6909">
        <v>9.1679999999999993</v>
      </c>
    </row>
    <row r="6910" spans="1:5">
      <c r="A6910" t="s">
        <v>38370</v>
      </c>
      <c r="B6910" t="s">
        <v>38372</v>
      </c>
      <c r="C6910">
        <f>0</f>
        <v>0</v>
      </c>
      <c r="D6910" t="s">
        <v>106</v>
      </c>
      <c r="E6910">
        <v>9.1679999999999993</v>
      </c>
    </row>
    <row r="6911" spans="1:5">
      <c r="A6911" t="s">
        <v>38370</v>
      </c>
      <c r="B6911" t="s">
        <v>38373</v>
      </c>
      <c r="C6911">
        <v>0</v>
      </c>
      <c r="D6911" t="s">
        <v>106</v>
      </c>
      <c r="E6911">
        <v>9.1679999999999993</v>
      </c>
    </row>
    <row r="6912" spans="1:5">
      <c r="A6912" t="s">
        <v>38370</v>
      </c>
      <c r="B6912" t="s">
        <v>38374</v>
      </c>
      <c r="C6912">
        <v>0</v>
      </c>
      <c r="D6912" t="s">
        <v>106</v>
      </c>
      <c r="E6912">
        <v>9.1679999999999993</v>
      </c>
    </row>
    <row r="6913" spans="1:5">
      <c r="A6913" t="s">
        <v>38375</v>
      </c>
      <c r="B6913" t="s">
        <v>10426</v>
      </c>
      <c r="C6913">
        <v>0</v>
      </c>
      <c r="D6913" t="s">
        <v>106</v>
      </c>
      <c r="E6913">
        <v>24</v>
      </c>
    </row>
    <row r="6914" spans="1:5">
      <c r="A6914" t="s">
        <v>38375</v>
      </c>
      <c r="B6914" t="s">
        <v>10431</v>
      </c>
      <c r="C6914">
        <v>0</v>
      </c>
      <c r="D6914" t="s">
        <v>106</v>
      </c>
      <c r="E6914">
        <v>24</v>
      </c>
    </row>
    <row r="6915" spans="1:5">
      <c r="A6915" t="s">
        <v>38375</v>
      </c>
      <c r="B6915" t="s">
        <v>10430</v>
      </c>
      <c r="C6915">
        <v>0</v>
      </c>
      <c r="D6915" t="s">
        <v>106</v>
      </c>
      <c r="E6915">
        <v>24</v>
      </c>
    </row>
    <row r="6916" spans="1:5">
      <c r="A6916" t="s">
        <v>38375</v>
      </c>
      <c r="B6916" t="s">
        <v>10428</v>
      </c>
      <c r="C6916">
        <v>0</v>
      </c>
      <c r="D6916" t="s">
        <v>106</v>
      </c>
      <c r="E6916">
        <v>24</v>
      </c>
    </row>
    <row r="6917" spans="1:5">
      <c r="A6917" t="s">
        <v>38375</v>
      </c>
      <c r="B6917" t="s">
        <v>10427</v>
      </c>
      <c r="C6917">
        <v>0</v>
      </c>
      <c r="D6917" t="s">
        <v>106</v>
      </c>
      <c r="E6917">
        <v>24</v>
      </c>
    </row>
    <row r="6918" spans="1:5">
      <c r="A6918" t="s">
        <v>38376</v>
      </c>
      <c r="B6918" t="s">
        <v>5235</v>
      </c>
      <c r="C6918">
        <f>0.779728202177</f>
        <v>0.77972820217700001</v>
      </c>
      <c r="D6918">
        <v>0.990436667948</v>
      </c>
      <c r="E6918">
        <v>6.18</v>
      </c>
    </row>
    <row r="6919" spans="1:5">
      <c r="A6919" t="s">
        <v>38376</v>
      </c>
      <c r="B6919" t="s">
        <v>5242</v>
      </c>
      <c r="C6919">
        <v>1.29740247798</v>
      </c>
      <c r="D6919">
        <v>0.990436667948</v>
      </c>
      <c r="E6919">
        <v>6.18</v>
      </c>
    </row>
    <row r="6920" spans="1:5">
      <c r="A6920" t="s">
        <v>38376</v>
      </c>
      <c r="B6920" t="s">
        <v>5240</v>
      </c>
      <c r="C6920">
        <v>0.148077225733</v>
      </c>
      <c r="D6920">
        <v>0.990436667948</v>
      </c>
      <c r="E6920">
        <v>6.18</v>
      </c>
    </row>
    <row r="6921" spans="1:5">
      <c r="A6921" t="s">
        <v>38376</v>
      </c>
      <c r="B6921" t="s">
        <v>5237</v>
      </c>
      <c r="C6921">
        <v>0.10029528069</v>
      </c>
      <c r="D6921">
        <v>0.990436667948</v>
      </c>
      <c r="E6921">
        <v>6.18</v>
      </c>
    </row>
    <row r="6922" spans="1:5">
      <c r="A6922" t="s">
        <v>38376</v>
      </c>
      <c r="B6922" t="s">
        <v>5241</v>
      </c>
      <c r="C6922">
        <f>-1.04357333534</f>
        <v>-1.0435733353400001</v>
      </c>
      <c r="D6922">
        <v>0.990436667948</v>
      </c>
      <c r="E6922">
        <v>6.18</v>
      </c>
    </row>
    <row r="6923" spans="1:5">
      <c r="A6923" t="s">
        <v>38377</v>
      </c>
      <c r="B6923" t="s">
        <v>38378</v>
      </c>
      <c r="C6923">
        <v>0</v>
      </c>
      <c r="D6923">
        <v>0.93014730319200001</v>
      </c>
      <c r="E6923">
        <v>6.4260000000000002</v>
      </c>
    </row>
    <row r="6924" spans="1:5">
      <c r="A6924" t="s">
        <v>38377</v>
      </c>
      <c r="B6924" t="s">
        <v>38379</v>
      </c>
      <c r="C6924">
        <v>0.85173730319200003</v>
      </c>
      <c r="D6924">
        <v>0.93014730319200001</v>
      </c>
      <c r="E6924">
        <v>6.4260000000000002</v>
      </c>
    </row>
    <row r="6925" spans="1:5">
      <c r="A6925" t="s">
        <v>38380</v>
      </c>
      <c r="B6925" t="s">
        <v>24005</v>
      </c>
      <c r="C6925">
        <v>0</v>
      </c>
      <c r="D6925">
        <v>0.78838801270299996</v>
      </c>
      <c r="E6925">
        <v>4.4820000000000002</v>
      </c>
    </row>
    <row r="6926" spans="1:5">
      <c r="A6926" t="s">
        <v>38380</v>
      </c>
      <c r="B6926" t="s">
        <v>24001</v>
      </c>
      <c r="C6926">
        <f>0</f>
        <v>0</v>
      </c>
      <c r="D6926">
        <v>0.78838801270299996</v>
      </c>
      <c r="E6926">
        <v>4.4820000000000002</v>
      </c>
    </row>
    <row r="6927" spans="1:5">
      <c r="A6927" t="s">
        <v>38380</v>
      </c>
      <c r="B6927" t="s">
        <v>23996</v>
      </c>
      <c r="C6927">
        <v>0</v>
      </c>
      <c r="D6927">
        <v>0.78838801270299996</v>
      </c>
      <c r="E6927">
        <v>4.4820000000000002</v>
      </c>
    </row>
    <row r="6928" spans="1:5">
      <c r="A6928" t="s">
        <v>38380</v>
      </c>
      <c r="B6928" t="s">
        <v>24002</v>
      </c>
      <c r="C6928">
        <v>0.50175014810899998</v>
      </c>
      <c r="D6928">
        <v>0.78838801270299996</v>
      </c>
      <c r="E6928">
        <v>4.4820000000000002</v>
      </c>
    </row>
    <row r="6929" spans="1:5">
      <c r="A6929" t="s">
        <v>38380</v>
      </c>
      <c r="B6929" t="s">
        <v>23995</v>
      </c>
      <c r="C6929">
        <v>2.2053495914599999E-2</v>
      </c>
      <c r="D6929">
        <v>0.78838801270299996</v>
      </c>
      <c r="E6929">
        <v>4.4820000000000002</v>
      </c>
    </row>
    <row r="6930" spans="1:5">
      <c r="A6930" t="s">
        <v>38381</v>
      </c>
      <c r="B6930" t="s">
        <v>1244</v>
      </c>
      <c r="C6930">
        <v>1.8500668765399999</v>
      </c>
      <c r="D6930">
        <v>0.99964124921800002</v>
      </c>
      <c r="E6930">
        <v>23.754000000000001</v>
      </c>
    </row>
    <row r="6931" spans="1:5">
      <c r="A6931" t="s">
        <v>38381</v>
      </c>
      <c r="B6931" t="s">
        <v>1246</v>
      </c>
      <c r="C6931">
        <v>0</v>
      </c>
      <c r="D6931">
        <v>0.99964124921800002</v>
      </c>
      <c r="E6931">
        <v>23.754000000000001</v>
      </c>
    </row>
    <row r="6932" spans="1:5">
      <c r="A6932" t="s">
        <v>38381</v>
      </c>
      <c r="B6932" t="s">
        <v>1245</v>
      </c>
      <c r="C6932">
        <f>-2.4621786307</f>
        <v>-2.4621786307</v>
      </c>
      <c r="D6932">
        <v>0.99964124921800002</v>
      </c>
      <c r="E6932">
        <v>23.754000000000001</v>
      </c>
    </row>
    <row r="6933" spans="1:5">
      <c r="A6933" t="s">
        <v>38381</v>
      </c>
      <c r="B6933" t="s">
        <v>1249</v>
      </c>
      <c r="C6933">
        <v>0.144703466596</v>
      </c>
      <c r="D6933">
        <v>0.99964124921800002</v>
      </c>
      <c r="E6933">
        <v>23.754000000000001</v>
      </c>
    </row>
    <row r="6934" spans="1:5">
      <c r="A6934" t="s">
        <v>38381</v>
      </c>
      <c r="B6934" t="s">
        <v>1250</v>
      </c>
      <c r="C6934">
        <v>0.132115599758</v>
      </c>
      <c r="D6934">
        <v>0.99964124921800002</v>
      </c>
      <c r="E6934">
        <v>23.754000000000001</v>
      </c>
    </row>
    <row r="6935" spans="1:5">
      <c r="A6935" t="s">
        <v>38381</v>
      </c>
      <c r="B6935" t="s">
        <v>1251</v>
      </c>
      <c r="C6935">
        <f>0.00094352643344</f>
        <v>9.4352643344000002E-4</v>
      </c>
      <c r="D6935">
        <v>0.99964124921800002</v>
      </c>
      <c r="E6935">
        <v>23.754000000000001</v>
      </c>
    </row>
    <row r="6936" spans="1:5">
      <c r="A6936" t="s">
        <v>38381</v>
      </c>
      <c r="B6936" t="s">
        <v>1247</v>
      </c>
      <c r="C6936">
        <f>0.399679407802</f>
        <v>0.39967940780200001</v>
      </c>
      <c r="D6936">
        <v>0.99964124921800002</v>
      </c>
      <c r="E6936">
        <v>23.754000000000001</v>
      </c>
    </row>
    <row r="6937" spans="1:5">
      <c r="A6937" t="s">
        <v>38381</v>
      </c>
      <c r="B6937" t="s">
        <v>1248</v>
      </c>
      <c r="C6937">
        <v>0.88744271551300002</v>
      </c>
      <c r="D6937">
        <v>0.99964124921800002</v>
      </c>
      <c r="E6937">
        <v>23.754000000000001</v>
      </c>
    </row>
    <row r="6938" spans="1:5">
      <c r="A6938" t="s">
        <v>38382</v>
      </c>
      <c r="B6938" t="s">
        <v>32031</v>
      </c>
      <c r="C6938">
        <v>0.14111507291100001</v>
      </c>
      <c r="D6938">
        <v>0.73742196479400002</v>
      </c>
      <c r="E6938">
        <v>1.278</v>
      </c>
    </row>
    <row r="6939" spans="1:5">
      <c r="A6939" t="s">
        <v>38382</v>
      </c>
      <c r="B6939" t="s">
        <v>32034</v>
      </c>
      <c r="C6939">
        <v>0.52050591721200001</v>
      </c>
      <c r="D6939">
        <v>0.73742196479400002</v>
      </c>
      <c r="E6939">
        <v>1.278</v>
      </c>
    </row>
    <row r="6940" spans="1:5">
      <c r="A6940" t="s">
        <v>38383</v>
      </c>
      <c r="B6940" t="s">
        <v>31649</v>
      </c>
      <c r="C6940">
        <f>-1.03809121569</f>
        <v>-1.03809121569</v>
      </c>
      <c r="D6940">
        <v>0.97057565325299999</v>
      </c>
      <c r="E6940">
        <v>1.278</v>
      </c>
    </row>
    <row r="6941" spans="1:5">
      <c r="A6941" t="s">
        <v>38383</v>
      </c>
      <c r="B6941" t="s">
        <v>31646</v>
      </c>
      <c r="C6941">
        <f>0.0293667491642</f>
        <v>2.9366749164199998E-2</v>
      </c>
      <c r="D6941">
        <v>0.97057565325299999</v>
      </c>
      <c r="E6941">
        <v>1.278</v>
      </c>
    </row>
    <row r="6942" spans="1:5">
      <c r="A6942" t="s">
        <v>38383</v>
      </c>
      <c r="B6942" t="s">
        <v>31650</v>
      </c>
      <c r="C6942">
        <v>0.86094970680299998</v>
      </c>
      <c r="D6942">
        <v>0.97057565325299999</v>
      </c>
      <c r="E6942">
        <v>1.278</v>
      </c>
    </row>
    <row r="6943" spans="1:5">
      <c r="A6943" t="s">
        <v>38383</v>
      </c>
      <c r="B6943" t="s">
        <v>31647</v>
      </c>
      <c r="C6943">
        <f>0.241276202216</f>
        <v>0.24127620221599999</v>
      </c>
      <c r="D6943">
        <v>0.97057565325299999</v>
      </c>
      <c r="E6943">
        <v>1.278</v>
      </c>
    </row>
    <row r="6944" spans="1:5">
      <c r="A6944" t="s">
        <v>38383</v>
      </c>
      <c r="B6944" t="s">
        <v>31651</v>
      </c>
      <c r="C6944">
        <f>0.252236660793</f>
        <v>0.252236660793</v>
      </c>
      <c r="D6944">
        <v>0.97057565325299999</v>
      </c>
      <c r="E6944">
        <v>1.278</v>
      </c>
    </row>
    <row r="6945" spans="1:5">
      <c r="A6945" t="s">
        <v>38384</v>
      </c>
      <c r="B6945" t="s">
        <v>38385</v>
      </c>
      <c r="C6945">
        <f>0</f>
        <v>0</v>
      </c>
      <c r="D6945" t="s">
        <v>106</v>
      </c>
      <c r="E6945">
        <v>18.984000000000002</v>
      </c>
    </row>
    <row r="6946" spans="1:5">
      <c r="A6946" t="s">
        <v>38384</v>
      </c>
      <c r="B6946" t="s">
        <v>38386</v>
      </c>
      <c r="C6946">
        <f>0</f>
        <v>0</v>
      </c>
      <c r="D6946" t="s">
        <v>106</v>
      </c>
      <c r="E6946">
        <v>18.984000000000002</v>
      </c>
    </row>
    <row r="6947" spans="1:5">
      <c r="A6947" t="s">
        <v>38384</v>
      </c>
      <c r="B6947" t="s">
        <v>38387</v>
      </c>
      <c r="C6947">
        <v>0</v>
      </c>
      <c r="D6947" t="s">
        <v>106</v>
      </c>
      <c r="E6947">
        <v>18.984000000000002</v>
      </c>
    </row>
    <row r="6948" spans="1:5">
      <c r="A6948" t="s">
        <v>38384</v>
      </c>
      <c r="B6948" t="s">
        <v>38388</v>
      </c>
      <c r="C6948">
        <f>0</f>
        <v>0</v>
      </c>
      <c r="D6948" t="s">
        <v>106</v>
      </c>
      <c r="E6948">
        <v>18.984000000000002</v>
      </c>
    </row>
    <row r="6949" spans="1:5">
      <c r="A6949" t="s">
        <v>38384</v>
      </c>
      <c r="B6949" t="s">
        <v>38389</v>
      </c>
      <c r="C6949">
        <f>0</f>
        <v>0</v>
      </c>
      <c r="D6949" t="s">
        <v>106</v>
      </c>
      <c r="E6949">
        <v>18.984000000000002</v>
      </c>
    </row>
    <row r="6950" spans="1:5">
      <c r="A6950" t="s">
        <v>38384</v>
      </c>
      <c r="B6950" t="s">
        <v>38390</v>
      </c>
      <c r="C6950">
        <f>0</f>
        <v>0</v>
      </c>
      <c r="D6950" t="s">
        <v>106</v>
      </c>
      <c r="E6950">
        <v>18.984000000000002</v>
      </c>
    </row>
    <row r="6951" spans="1:5">
      <c r="A6951" t="s">
        <v>38384</v>
      </c>
      <c r="B6951" t="s">
        <v>38391</v>
      </c>
      <c r="C6951">
        <f>0</f>
        <v>0</v>
      </c>
      <c r="D6951" t="s">
        <v>106</v>
      </c>
      <c r="E6951">
        <v>18.984000000000002</v>
      </c>
    </row>
    <row r="6952" spans="1:5">
      <c r="A6952" t="s">
        <v>38392</v>
      </c>
      <c r="B6952" t="s">
        <v>38393</v>
      </c>
      <c r="C6952">
        <f>0</f>
        <v>0</v>
      </c>
      <c r="D6952">
        <v>0.90604719953900004</v>
      </c>
      <c r="E6952">
        <v>6.3</v>
      </c>
    </row>
    <row r="6953" spans="1:5">
      <c r="A6953" t="s">
        <v>38392</v>
      </c>
      <c r="B6953" t="s">
        <v>38394</v>
      </c>
      <c r="C6953">
        <v>0</v>
      </c>
      <c r="D6953">
        <v>0.90604719953900004</v>
      </c>
      <c r="E6953">
        <v>6.3</v>
      </c>
    </row>
    <row r="6954" spans="1:5">
      <c r="A6954" t="s">
        <v>38392</v>
      </c>
      <c r="B6954" t="s">
        <v>38395</v>
      </c>
      <c r="C6954">
        <f>0.597754376775</f>
        <v>0.59775437677499998</v>
      </c>
      <c r="D6954">
        <v>0.90604719953900004</v>
      </c>
      <c r="E6954">
        <v>6.3</v>
      </c>
    </row>
    <row r="6955" spans="1:5">
      <c r="A6955" t="s">
        <v>38392</v>
      </c>
      <c r="B6955" t="s">
        <v>38396</v>
      </c>
      <c r="C6955">
        <v>0.28983562950699998</v>
      </c>
      <c r="D6955">
        <v>0.90604719953900004</v>
      </c>
      <c r="E6955">
        <v>6.3</v>
      </c>
    </row>
    <row r="6956" spans="1:5">
      <c r="A6956" t="s">
        <v>38397</v>
      </c>
      <c r="B6956" t="s">
        <v>34410</v>
      </c>
      <c r="C6956">
        <v>0</v>
      </c>
      <c r="D6956" t="s">
        <v>106</v>
      </c>
      <c r="E6956">
        <v>1.83</v>
      </c>
    </row>
    <row r="6957" spans="1:5">
      <c r="A6957" t="s">
        <v>38397</v>
      </c>
      <c r="B6957" t="s">
        <v>34412</v>
      </c>
      <c r="C6957">
        <f>0</f>
        <v>0</v>
      </c>
      <c r="D6957" t="s">
        <v>106</v>
      </c>
      <c r="E6957">
        <v>1.83</v>
      </c>
    </row>
    <row r="6958" spans="1:5">
      <c r="A6958" t="s">
        <v>38397</v>
      </c>
      <c r="B6958" t="s">
        <v>34411</v>
      </c>
      <c r="C6958">
        <f>0</f>
        <v>0</v>
      </c>
      <c r="D6958" t="s">
        <v>106</v>
      </c>
      <c r="E6958">
        <v>1.83</v>
      </c>
    </row>
    <row r="6959" spans="1:5">
      <c r="A6959" t="s">
        <v>38397</v>
      </c>
      <c r="B6959" t="s">
        <v>34413</v>
      </c>
      <c r="C6959">
        <f>0</f>
        <v>0</v>
      </c>
      <c r="D6959" t="s">
        <v>106</v>
      </c>
      <c r="E6959">
        <v>1.83</v>
      </c>
    </row>
    <row r="6960" spans="1:5">
      <c r="A6960" t="s">
        <v>38398</v>
      </c>
      <c r="B6960" t="s">
        <v>38399</v>
      </c>
      <c r="C6960">
        <v>0</v>
      </c>
      <c r="D6960" t="s">
        <v>106</v>
      </c>
      <c r="E6960">
        <v>1.512</v>
      </c>
    </row>
    <row r="6961" spans="1:5">
      <c r="A6961" t="s">
        <v>38398</v>
      </c>
      <c r="B6961" t="s">
        <v>38400</v>
      </c>
      <c r="C6961">
        <f>0</f>
        <v>0</v>
      </c>
      <c r="D6961" t="s">
        <v>106</v>
      </c>
      <c r="E6961">
        <v>1.512</v>
      </c>
    </row>
    <row r="6962" spans="1:5">
      <c r="A6962" t="s">
        <v>38398</v>
      </c>
      <c r="B6962" t="s">
        <v>38401</v>
      </c>
      <c r="C6962">
        <f>0</f>
        <v>0</v>
      </c>
      <c r="D6962" t="s">
        <v>106</v>
      </c>
      <c r="E6962">
        <v>1.512</v>
      </c>
    </row>
    <row r="6963" spans="1:5">
      <c r="A6963" t="s">
        <v>38402</v>
      </c>
      <c r="B6963" t="s">
        <v>10897</v>
      </c>
      <c r="C6963">
        <v>0.85615687529600004</v>
      </c>
      <c r="D6963">
        <v>0.99369262427799998</v>
      </c>
      <c r="E6963">
        <v>5.9340000000000002</v>
      </c>
    </row>
    <row r="6964" spans="1:5">
      <c r="A6964" t="s">
        <v>38402</v>
      </c>
      <c r="B6964" t="s">
        <v>10900</v>
      </c>
      <c r="C6964">
        <f>0.871433060951</f>
        <v>0.87143306095100004</v>
      </c>
      <c r="D6964">
        <v>0.99369262427799998</v>
      </c>
      <c r="E6964">
        <v>5.9340000000000002</v>
      </c>
    </row>
    <row r="6965" spans="1:5">
      <c r="A6965" t="s">
        <v>38402</v>
      </c>
      <c r="B6965" t="s">
        <v>10902</v>
      </c>
      <c r="C6965">
        <f>0.464899695416</f>
        <v>0.46489969541600001</v>
      </c>
      <c r="D6965">
        <v>0.99369262427799998</v>
      </c>
      <c r="E6965">
        <v>5.9340000000000002</v>
      </c>
    </row>
    <row r="6966" spans="1:5">
      <c r="A6966" t="s">
        <v>38402</v>
      </c>
      <c r="B6966" t="s">
        <v>10898</v>
      </c>
      <c r="C6966">
        <v>0.91108183924899999</v>
      </c>
      <c r="D6966">
        <v>0.99369262427799998</v>
      </c>
      <c r="E6966">
        <v>5.9340000000000002</v>
      </c>
    </row>
    <row r="6967" spans="1:5">
      <c r="A6967" t="s">
        <v>38402</v>
      </c>
      <c r="B6967" t="s">
        <v>10903</v>
      </c>
      <c r="C6967">
        <v>2.1020562991899999E-2</v>
      </c>
      <c r="D6967">
        <v>0.99369262427799998</v>
      </c>
      <c r="E6967">
        <v>5.9340000000000002</v>
      </c>
    </row>
    <row r="6968" spans="1:5">
      <c r="A6968" t="s">
        <v>38403</v>
      </c>
      <c r="B6968" t="s">
        <v>15294</v>
      </c>
      <c r="C6968">
        <f>0</f>
        <v>0</v>
      </c>
      <c r="D6968" t="s">
        <v>106</v>
      </c>
      <c r="E6968">
        <v>24</v>
      </c>
    </row>
    <row r="6969" spans="1:5">
      <c r="A6969" t="s">
        <v>38403</v>
      </c>
      <c r="B6969" t="s">
        <v>15290</v>
      </c>
      <c r="C6969">
        <f>0</f>
        <v>0</v>
      </c>
      <c r="D6969" t="s">
        <v>106</v>
      </c>
      <c r="E6969">
        <v>24</v>
      </c>
    </row>
    <row r="6970" spans="1:5">
      <c r="A6970" t="s">
        <v>38403</v>
      </c>
      <c r="B6970" t="s">
        <v>15296</v>
      </c>
      <c r="C6970">
        <f>0</f>
        <v>0</v>
      </c>
      <c r="D6970" t="s">
        <v>106</v>
      </c>
      <c r="E6970">
        <v>24</v>
      </c>
    </row>
    <row r="6971" spans="1:5">
      <c r="A6971" t="s">
        <v>38403</v>
      </c>
      <c r="B6971" t="s">
        <v>15292</v>
      </c>
      <c r="C6971">
        <f>0</f>
        <v>0</v>
      </c>
      <c r="D6971" t="s">
        <v>106</v>
      </c>
      <c r="E6971">
        <v>24</v>
      </c>
    </row>
    <row r="6972" spans="1:5">
      <c r="A6972" t="s">
        <v>38404</v>
      </c>
      <c r="B6972" t="s">
        <v>15525</v>
      </c>
      <c r="C6972">
        <f>0</f>
        <v>0</v>
      </c>
      <c r="D6972" t="s">
        <v>106</v>
      </c>
      <c r="E6972">
        <v>0.69599999999999995</v>
      </c>
    </row>
    <row r="6973" spans="1:5">
      <c r="A6973" t="s">
        <v>38404</v>
      </c>
      <c r="B6973" t="s">
        <v>15527</v>
      </c>
      <c r="C6973">
        <v>0</v>
      </c>
      <c r="D6973" t="s">
        <v>106</v>
      </c>
      <c r="E6973">
        <v>0.69599999999999995</v>
      </c>
    </row>
    <row r="6974" spans="1:5">
      <c r="A6974" t="s">
        <v>38404</v>
      </c>
      <c r="B6974" t="s">
        <v>15526</v>
      </c>
      <c r="C6974">
        <v>0</v>
      </c>
      <c r="D6974" t="s">
        <v>106</v>
      </c>
      <c r="E6974">
        <v>0.69599999999999995</v>
      </c>
    </row>
    <row r="6975" spans="1:5">
      <c r="A6975" t="s">
        <v>38405</v>
      </c>
      <c r="B6975" t="s">
        <v>22205</v>
      </c>
      <c r="C6975">
        <v>0</v>
      </c>
      <c r="D6975">
        <v>0.84204858082300005</v>
      </c>
      <c r="E6975">
        <v>12.048</v>
      </c>
    </row>
    <row r="6976" spans="1:5">
      <c r="A6976" t="s">
        <v>38405</v>
      </c>
      <c r="B6976" t="s">
        <v>22198</v>
      </c>
      <c r="C6976">
        <v>0.61163858082300004</v>
      </c>
      <c r="D6976">
        <v>0.84204858082300005</v>
      </c>
      <c r="E6976">
        <v>12.048</v>
      </c>
    </row>
    <row r="6977" spans="1:5">
      <c r="A6977" t="s">
        <v>38405</v>
      </c>
      <c r="B6977" t="s">
        <v>22201</v>
      </c>
      <c r="C6977">
        <f>0</f>
        <v>0</v>
      </c>
      <c r="D6977">
        <v>0.84204858082300005</v>
      </c>
      <c r="E6977">
        <v>12.048</v>
      </c>
    </row>
    <row r="6978" spans="1:5">
      <c r="A6978" t="s">
        <v>38405</v>
      </c>
      <c r="B6978" t="s">
        <v>22200</v>
      </c>
      <c r="C6978">
        <v>0</v>
      </c>
      <c r="D6978">
        <v>0.84204858082300005</v>
      </c>
      <c r="E6978">
        <v>12.048</v>
      </c>
    </row>
    <row r="6979" spans="1:5">
      <c r="A6979" t="s">
        <v>38406</v>
      </c>
      <c r="B6979" t="s">
        <v>28372</v>
      </c>
      <c r="C6979">
        <f>0</f>
        <v>0</v>
      </c>
      <c r="D6979" t="s">
        <v>106</v>
      </c>
      <c r="E6979">
        <v>14.933999999999999</v>
      </c>
    </row>
    <row r="6980" spans="1:5">
      <c r="A6980" t="s">
        <v>38406</v>
      </c>
      <c r="B6980" t="s">
        <v>28375</v>
      </c>
      <c r="C6980">
        <f>0</f>
        <v>0</v>
      </c>
      <c r="D6980" t="s">
        <v>106</v>
      </c>
      <c r="E6980">
        <v>14.933999999999999</v>
      </c>
    </row>
    <row r="6981" spans="1:5">
      <c r="A6981" t="s">
        <v>38406</v>
      </c>
      <c r="B6981" t="s">
        <v>38407</v>
      </c>
      <c r="C6981">
        <f>0</f>
        <v>0</v>
      </c>
      <c r="D6981" t="s">
        <v>106</v>
      </c>
      <c r="E6981">
        <v>14.933999999999999</v>
      </c>
    </row>
    <row r="6982" spans="1:5">
      <c r="A6982" t="s">
        <v>38406</v>
      </c>
      <c r="B6982" t="s">
        <v>28376</v>
      </c>
      <c r="C6982">
        <f>0</f>
        <v>0</v>
      </c>
      <c r="D6982" t="s">
        <v>106</v>
      </c>
      <c r="E6982">
        <v>14.933999999999999</v>
      </c>
    </row>
    <row r="6983" spans="1:5">
      <c r="A6983" t="s">
        <v>38408</v>
      </c>
      <c r="B6983" t="s">
        <v>9109</v>
      </c>
      <c r="C6983">
        <v>0</v>
      </c>
      <c r="D6983" t="s">
        <v>106</v>
      </c>
      <c r="E6983">
        <v>0</v>
      </c>
    </row>
    <row r="6984" spans="1:5">
      <c r="A6984" t="s">
        <v>38408</v>
      </c>
      <c r="B6984" t="s">
        <v>9110</v>
      </c>
      <c r="C6984">
        <f>0</f>
        <v>0</v>
      </c>
      <c r="D6984" t="s">
        <v>106</v>
      </c>
      <c r="E6984">
        <v>0</v>
      </c>
    </row>
    <row r="6985" spans="1:5">
      <c r="A6985" t="s">
        <v>38409</v>
      </c>
      <c r="B6985" t="s">
        <v>38410</v>
      </c>
      <c r="C6985">
        <v>0</v>
      </c>
      <c r="D6985">
        <v>0.85114422970500003</v>
      </c>
      <c r="E6985">
        <v>0</v>
      </c>
    </row>
    <row r="6986" spans="1:5">
      <c r="A6986" t="s">
        <v>38409</v>
      </c>
      <c r="B6986" t="s">
        <v>38411</v>
      </c>
      <c r="C6986">
        <f>0.582676265632</f>
        <v>0.58267626563200003</v>
      </c>
      <c r="D6986">
        <v>0.85114422970500003</v>
      </c>
      <c r="E6986">
        <v>0</v>
      </c>
    </row>
    <row r="6987" spans="1:5">
      <c r="A6987" t="s">
        <v>38409</v>
      </c>
      <c r="B6987" t="s">
        <v>38412</v>
      </c>
      <c r="C6987">
        <v>0.10758079226800001</v>
      </c>
      <c r="D6987">
        <v>0.85114422970500003</v>
      </c>
      <c r="E6987">
        <v>0</v>
      </c>
    </row>
    <row r="6988" spans="1:5">
      <c r="A6988" t="s">
        <v>38409</v>
      </c>
      <c r="B6988" t="s">
        <v>38413</v>
      </c>
      <c r="C6988">
        <v>0</v>
      </c>
      <c r="D6988">
        <v>0.85114422970500003</v>
      </c>
      <c r="E6988">
        <v>0</v>
      </c>
    </row>
    <row r="6989" spans="1:5">
      <c r="A6989" t="s">
        <v>38409</v>
      </c>
      <c r="B6989" t="s">
        <v>38414</v>
      </c>
      <c r="C6989">
        <f>0</f>
        <v>0</v>
      </c>
      <c r="D6989">
        <v>0.85114422970500003</v>
      </c>
      <c r="E6989">
        <v>0</v>
      </c>
    </row>
    <row r="6990" spans="1:5">
      <c r="A6990" t="s">
        <v>38409</v>
      </c>
      <c r="B6990" t="s">
        <v>38415</v>
      </c>
      <c r="C6990">
        <f>0</f>
        <v>0</v>
      </c>
      <c r="D6990">
        <v>0.85114422970500003</v>
      </c>
      <c r="E6990">
        <v>0</v>
      </c>
    </row>
    <row r="6991" spans="1:5">
      <c r="A6991" t="s">
        <v>38416</v>
      </c>
      <c r="B6991" t="s">
        <v>20181</v>
      </c>
      <c r="C6991">
        <f>0</f>
        <v>0</v>
      </c>
      <c r="D6991">
        <v>0.869595883061</v>
      </c>
      <c r="E6991">
        <v>0.504</v>
      </c>
    </row>
    <row r="6992" spans="1:5">
      <c r="A6992" t="s">
        <v>38416</v>
      </c>
      <c r="B6992" t="s">
        <v>20179</v>
      </c>
      <c r="C6992">
        <f>0</f>
        <v>0</v>
      </c>
      <c r="D6992">
        <v>0.869595883061</v>
      </c>
      <c r="E6992">
        <v>0.504</v>
      </c>
    </row>
    <row r="6993" spans="1:5">
      <c r="A6993" t="s">
        <v>38416</v>
      </c>
      <c r="B6993" t="s">
        <v>20176</v>
      </c>
      <c r="C6993">
        <f>0.0484219004723</f>
        <v>4.8421900472300002E-2</v>
      </c>
      <c r="D6993">
        <v>0.869595883061</v>
      </c>
      <c r="E6993">
        <v>0.504</v>
      </c>
    </row>
    <row r="6994" spans="1:5">
      <c r="A6994" t="s">
        <v>38416</v>
      </c>
      <c r="B6994" t="s">
        <v>20174</v>
      </c>
      <c r="C6994">
        <f>0.0421135380753</f>
        <v>4.2113538075300001E-2</v>
      </c>
      <c r="D6994">
        <v>0.869595883061</v>
      </c>
      <c r="E6994">
        <v>0.504</v>
      </c>
    </row>
    <row r="6995" spans="1:5">
      <c r="A6995" t="s">
        <v>38416</v>
      </c>
      <c r="B6995" t="s">
        <v>20180</v>
      </c>
      <c r="C6995">
        <f>0.734062067417</f>
        <v>0.73406206741699997</v>
      </c>
      <c r="D6995">
        <v>0.869595883061</v>
      </c>
      <c r="E6995">
        <v>0.504</v>
      </c>
    </row>
    <row r="6996" spans="1:5">
      <c r="A6996" t="s">
        <v>38417</v>
      </c>
      <c r="B6996" t="s">
        <v>11930</v>
      </c>
      <c r="C6996">
        <v>3.5142916747E-2</v>
      </c>
      <c r="D6996">
        <v>0.94190993301799997</v>
      </c>
      <c r="E6996">
        <v>6.3</v>
      </c>
    </row>
    <row r="6997" spans="1:5">
      <c r="A6997" t="s">
        <v>38417</v>
      </c>
      <c r="B6997" t="s">
        <v>11931</v>
      </c>
      <c r="C6997">
        <v>0.75572980503300002</v>
      </c>
      <c r="D6997">
        <v>0.94190993301799997</v>
      </c>
      <c r="E6997">
        <v>6.3</v>
      </c>
    </row>
    <row r="6998" spans="1:5">
      <c r="A6998" t="s">
        <v>38417</v>
      </c>
      <c r="B6998" t="s">
        <v>11933</v>
      </c>
      <c r="C6998">
        <v>3.04838386107E-2</v>
      </c>
      <c r="D6998">
        <v>0.94190993301799997</v>
      </c>
      <c r="E6998">
        <v>6.3</v>
      </c>
    </row>
    <row r="6999" spans="1:5">
      <c r="A6999" t="s">
        <v>38417</v>
      </c>
      <c r="B6999" t="s">
        <v>11934</v>
      </c>
      <c r="C6999">
        <v>0.29989184870300001</v>
      </c>
      <c r="D6999">
        <v>0.94190993301799997</v>
      </c>
      <c r="E6999">
        <v>6.3</v>
      </c>
    </row>
    <row r="7000" spans="1:5">
      <c r="A7000" t="s">
        <v>38418</v>
      </c>
      <c r="B7000" t="s">
        <v>22445</v>
      </c>
      <c r="C7000">
        <f>0</f>
        <v>0</v>
      </c>
      <c r="D7000" t="s">
        <v>106</v>
      </c>
      <c r="E7000">
        <v>24</v>
      </c>
    </row>
    <row r="7001" spans="1:5">
      <c r="A7001" t="s">
        <v>38418</v>
      </c>
      <c r="B7001" t="s">
        <v>22452</v>
      </c>
      <c r="C7001">
        <v>0</v>
      </c>
      <c r="D7001" t="s">
        <v>106</v>
      </c>
      <c r="E7001">
        <v>24</v>
      </c>
    </row>
    <row r="7002" spans="1:5">
      <c r="A7002" t="s">
        <v>38418</v>
      </c>
      <c r="B7002" t="s">
        <v>22450</v>
      </c>
      <c r="C7002">
        <v>0</v>
      </c>
      <c r="D7002" t="s">
        <v>106</v>
      </c>
      <c r="E7002">
        <v>24</v>
      </c>
    </row>
    <row r="7003" spans="1:5">
      <c r="A7003" t="s">
        <v>38418</v>
      </c>
      <c r="B7003" t="s">
        <v>22449</v>
      </c>
      <c r="C7003">
        <v>0</v>
      </c>
      <c r="D7003" t="s">
        <v>106</v>
      </c>
      <c r="E7003">
        <v>24</v>
      </c>
    </row>
    <row r="7004" spans="1:5">
      <c r="A7004" t="s">
        <v>38418</v>
      </c>
      <c r="B7004" t="s">
        <v>22446</v>
      </c>
      <c r="C7004">
        <v>0</v>
      </c>
      <c r="D7004" t="s">
        <v>106</v>
      </c>
      <c r="E7004">
        <v>24</v>
      </c>
    </row>
    <row r="7005" spans="1:5">
      <c r="A7005" t="s">
        <v>38418</v>
      </c>
      <c r="B7005" t="s">
        <v>22448</v>
      </c>
      <c r="C7005">
        <v>0</v>
      </c>
      <c r="D7005" t="s">
        <v>106</v>
      </c>
      <c r="E7005">
        <v>24</v>
      </c>
    </row>
    <row r="7006" spans="1:5">
      <c r="A7006" t="s">
        <v>38418</v>
      </c>
      <c r="B7006" t="s">
        <v>22451</v>
      </c>
      <c r="C7006">
        <v>0</v>
      </c>
      <c r="D7006" t="s">
        <v>106</v>
      </c>
      <c r="E7006">
        <v>24</v>
      </c>
    </row>
    <row r="7007" spans="1:5">
      <c r="A7007" t="s">
        <v>38419</v>
      </c>
      <c r="B7007" t="s">
        <v>11698</v>
      </c>
      <c r="C7007">
        <v>0.78578885618100003</v>
      </c>
      <c r="D7007">
        <v>0.99307793708400005</v>
      </c>
      <c r="E7007">
        <v>0</v>
      </c>
    </row>
    <row r="7008" spans="1:5">
      <c r="A7008" t="s">
        <v>38419</v>
      </c>
      <c r="B7008" t="s">
        <v>11703</v>
      </c>
      <c r="C7008">
        <v>0.39298323043400002</v>
      </c>
      <c r="D7008">
        <v>0.99307793708400005</v>
      </c>
      <c r="E7008">
        <v>0</v>
      </c>
    </row>
    <row r="7009" spans="1:5">
      <c r="A7009" t="s">
        <v>38419</v>
      </c>
      <c r="B7009" t="s">
        <v>11704</v>
      </c>
      <c r="C7009">
        <v>1.09152630088</v>
      </c>
      <c r="D7009">
        <v>0.99307793708400005</v>
      </c>
      <c r="E7009">
        <v>0</v>
      </c>
    </row>
    <row r="7010" spans="1:5">
      <c r="A7010" t="s">
        <v>38419</v>
      </c>
      <c r="B7010" t="s">
        <v>11702</v>
      </c>
      <c r="C7010">
        <f>-2.02819478078</f>
        <v>-2.0281947807799998</v>
      </c>
      <c r="D7010">
        <v>0.99307793708400005</v>
      </c>
      <c r="E7010">
        <v>0</v>
      </c>
    </row>
    <row r="7011" spans="1:5">
      <c r="A7011" t="s">
        <v>38419</v>
      </c>
      <c r="B7011" t="s">
        <v>11701</v>
      </c>
      <c r="C7011">
        <v>0.17846168353799999</v>
      </c>
      <c r="D7011">
        <v>0.99307793708400005</v>
      </c>
      <c r="E7011">
        <v>0</v>
      </c>
    </row>
    <row r="7012" spans="1:5">
      <c r="A7012" t="s">
        <v>38419</v>
      </c>
      <c r="B7012" t="s">
        <v>11699</v>
      </c>
      <c r="C7012">
        <f>-1.3164648287</f>
        <v>-1.3164648287</v>
      </c>
      <c r="D7012">
        <v>0.99307793708400005</v>
      </c>
      <c r="E7012">
        <v>0</v>
      </c>
    </row>
    <row r="7013" spans="1:5">
      <c r="A7013" t="s">
        <v>38420</v>
      </c>
      <c r="B7013" t="s">
        <v>38421</v>
      </c>
      <c r="C7013">
        <v>0.262398566246</v>
      </c>
      <c r="D7013">
        <v>0.98564795507699998</v>
      </c>
      <c r="E7013">
        <v>9.7739999999999991</v>
      </c>
    </row>
    <row r="7014" spans="1:5">
      <c r="A7014" t="s">
        <v>38420</v>
      </c>
      <c r="B7014" t="s">
        <v>38422</v>
      </c>
      <c r="C7014">
        <f>0</f>
        <v>0</v>
      </c>
      <c r="D7014">
        <v>0.98564795507699998</v>
      </c>
      <c r="E7014">
        <v>9.7739999999999991</v>
      </c>
    </row>
    <row r="7015" spans="1:5">
      <c r="A7015" t="s">
        <v>38420</v>
      </c>
      <c r="B7015" t="s">
        <v>38423</v>
      </c>
      <c r="C7015">
        <f>0</f>
        <v>0</v>
      </c>
      <c r="D7015">
        <v>0.98564795507699998</v>
      </c>
      <c r="E7015">
        <v>9.7739999999999991</v>
      </c>
    </row>
    <row r="7016" spans="1:5">
      <c r="A7016" t="s">
        <v>38420</v>
      </c>
      <c r="B7016" t="s">
        <v>38424</v>
      </c>
      <c r="C7016">
        <f>0</f>
        <v>0</v>
      </c>
      <c r="D7016">
        <v>0.98564795507699998</v>
      </c>
      <c r="E7016">
        <v>9.7739999999999991</v>
      </c>
    </row>
    <row r="7017" spans="1:5">
      <c r="A7017" t="s">
        <v>38420</v>
      </c>
      <c r="B7017" t="s">
        <v>38425</v>
      </c>
      <c r="C7017">
        <f>0.0258281527313</f>
        <v>2.58281527313E-2</v>
      </c>
      <c r="D7017">
        <v>0.98564795507699998</v>
      </c>
      <c r="E7017">
        <v>9.7739999999999991</v>
      </c>
    </row>
    <row r="7018" spans="1:5">
      <c r="A7018" t="s">
        <v>38420</v>
      </c>
      <c r="B7018" t="s">
        <v>38426</v>
      </c>
      <c r="C7018">
        <f>0</f>
        <v>0</v>
      </c>
      <c r="D7018">
        <v>0.98564795507699998</v>
      </c>
      <c r="E7018">
        <v>9.7739999999999991</v>
      </c>
    </row>
    <row r="7019" spans="1:5">
      <c r="A7019" t="s">
        <v>38420</v>
      </c>
      <c r="B7019" t="s">
        <v>38427</v>
      </c>
      <c r="C7019">
        <v>0.766084207869</v>
      </c>
      <c r="D7019">
        <v>0.98564795507699998</v>
      </c>
      <c r="E7019">
        <v>9.7739999999999991</v>
      </c>
    </row>
    <row r="7020" spans="1:5">
      <c r="A7020" t="s">
        <v>38420</v>
      </c>
      <c r="B7020" t="s">
        <v>38428</v>
      </c>
      <c r="C7020">
        <v>0</v>
      </c>
      <c r="D7020">
        <v>0.98564795507699998</v>
      </c>
      <c r="E7020">
        <v>9.7739999999999991</v>
      </c>
    </row>
    <row r="7021" spans="1:5">
      <c r="A7021" t="s">
        <v>38420</v>
      </c>
      <c r="B7021" t="s">
        <v>38429</v>
      </c>
      <c r="C7021">
        <v>0</v>
      </c>
      <c r="D7021">
        <v>0.98564795507699998</v>
      </c>
      <c r="E7021">
        <v>9.7739999999999991</v>
      </c>
    </row>
    <row r="7022" spans="1:5">
      <c r="A7022" t="s">
        <v>38420</v>
      </c>
      <c r="B7022" t="s">
        <v>38430</v>
      </c>
      <c r="C7022">
        <v>0</v>
      </c>
      <c r="D7022">
        <v>0.98564795507699998</v>
      </c>
      <c r="E7022">
        <v>9.7739999999999991</v>
      </c>
    </row>
    <row r="7023" spans="1:5">
      <c r="A7023" t="s">
        <v>38420</v>
      </c>
      <c r="B7023" t="s">
        <v>38431</v>
      </c>
      <c r="C7023">
        <v>0</v>
      </c>
      <c r="D7023">
        <v>0.98564795507699998</v>
      </c>
      <c r="E7023">
        <v>9.7739999999999991</v>
      </c>
    </row>
    <row r="7024" spans="1:5">
      <c r="A7024" t="s">
        <v>38420</v>
      </c>
      <c r="B7024" t="s">
        <v>38432</v>
      </c>
      <c r="C7024">
        <f>0</f>
        <v>0</v>
      </c>
      <c r="D7024">
        <v>0.98564795507699998</v>
      </c>
      <c r="E7024">
        <v>9.7739999999999991</v>
      </c>
    </row>
    <row r="7025" spans="1:5">
      <c r="A7025" t="s">
        <v>38420</v>
      </c>
      <c r="B7025" t="s">
        <v>38433</v>
      </c>
      <c r="C7025">
        <f>0</f>
        <v>0</v>
      </c>
      <c r="D7025">
        <v>0.98564795507699998</v>
      </c>
      <c r="E7025">
        <v>9.7739999999999991</v>
      </c>
    </row>
    <row r="7026" spans="1:5">
      <c r="A7026" t="s">
        <v>38420</v>
      </c>
      <c r="B7026" t="s">
        <v>38434</v>
      </c>
      <c r="C7026">
        <v>0</v>
      </c>
      <c r="D7026">
        <v>0.98564795507699998</v>
      </c>
      <c r="E7026">
        <v>9.7739999999999991</v>
      </c>
    </row>
    <row r="7027" spans="1:5">
      <c r="A7027" t="s">
        <v>38420</v>
      </c>
      <c r="B7027" t="s">
        <v>38435</v>
      </c>
      <c r="C7027">
        <v>0</v>
      </c>
      <c r="D7027">
        <v>0.98564795507699998</v>
      </c>
      <c r="E7027">
        <v>9.7739999999999991</v>
      </c>
    </row>
    <row r="7028" spans="1:5">
      <c r="A7028" t="s">
        <v>38420</v>
      </c>
      <c r="B7028" t="s">
        <v>38436</v>
      </c>
      <c r="C7028">
        <v>9.8956519839500004E-2</v>
      </c>
      <c r="D7028">
        <v>0.98564795507699998</v>
      </c>
      <c r="E7028">
        <v>9.7739999999999991</v>
      </c>
    </row>
    <row r="7029" spans="1:5">
      <c r="A7029" t="s">
        <v>38437</v>
      </c>
      <c r="B7029" t="s">
        <v>38438</v>
      </c>
      <c r="C7029">
        <v>0</v>
      </c>
      <c r="D7029">
        <v>0.76392169688900002</v>
      </c>
      <c r="E7029">
        <v>23.28</v>
      </c>
    </row>
    <row r="7030" spans="1:5">
      <c r="A7030" t="s">
        <v>38437</v>
      </c>
      <c r="B7030" t="s">
        <v>38439</v>
      </c>
      <c r="C7030">
        <v>0.40391169688900003</v>
      </c>
      <c r="D7030">
        <v>0.76392169688900002</v>
      </c>
      <c r="E7030">
        <v>23.28</v>
      </c>
    </row>
    <row r="7031" spans="1:5">
      <c r="A7031" t="s">
        <v>38437</v>
      </c>
      <c r="B7031" t="s">
        <v>38440</v>
      </c>
      <c r="C7031">
        <v>0</v>
      </c>
      <c r="D7031">
        <v>0.76392169688900002</v>
      </c>
      <c r="E7031">
        <v>23.28</v>
      </c>
    </row>
    <row r="7032" spans="1:5">
      <c r="A7032" t="s">
        <v>38441</v>
      </c>
      <c r="B7032" t="s">
        <v>16798</v>
      </c>
      <c r="C7032">
        <v>0.92461672308499998</v>
      </c>
      <c r="D7032">
        <v>0.84294551746400004</v>
      </c>
      <c r="E7032">
        <v>6.06</v>
      </c>
    </row>
    <row r="7033" spans="1:5">
      <c r="A7033" t="s">
        <v>38441</v>
      </c>
      <c r="B7033" t="s">
        <v>16797</v>
      </c>
      <c r="C7033">
        <v>0.39570309510500001</v>
      </c>
      <c r="D7033">
        <v>0.84294551746400004</v>
      </c>
      <c r="E7033">
        <v>6.06</v>
      </c>
    </row>
    <row r="7034" spans="1:5">
      <c r="A7034" t="s">
        <v>38441</v>
      </c>
      <c r="B7034" t="s">
        <v>16799</v>
      </c>
      <c r="C7034">
        <f>0.616791979388</f>
        <v>0.61679197938800001</v>
      </c>
      <c r="D7034">
        <v>0.84294551746400004</v>
      </c>
      <c r="E7034">
        <v>6.06</v>
      </c>
    </row>
    <row r="7035" spans="1:5">
      <c r="A7035" t="s">
        <v>38442</v>
      </c>
      <c r="B7035" t="s">
        <v>15125</v>
      </c>
      <c r="C7035">
        <v>6.1214597058800004E-3</v>
      </c>
      <c r="D7035">
        <v>0.70975474865800003</v>
      </c>
      <c r="E7035">
        <v>0.82799999999999996</v>
      </c>
    </row>
    <row r="7036" spans="1:5">
      <c r="A7036" t="s">
        <v>38442</v>
      </c>
      <c r="B7036" t="s">
        <v>15127</v>
      </c>
      <c r="C7036">
        <v>0</v>
      </c>
      <c r="D7036">
        <v>0.70975474865800003</v>
      </c>
      <c r="E7036">
        <v>0.82799999999999996</v>
      </c>
    </row>
    <row r="7037" spans="1:5">
      <c r="A7037" t="s">
        <v>38442</v>
      </c>
      <c r="B7037" t="s">
        <v>15126</v>
      </c>
      <c r="C7037">
        <f>0</f>
        <v>0</v>
      </c>
      <c r="D7037">
        <v>0.70975474865800003</v>
      </c>
      <c r="E7037">
        <v>0.82799999999999996</v>
      </c>
    </row>
    <row r="7038" spans="1:5">
      <c r="A7038" t="s">
        <v>38442</v>
      </c>
      <c r="B7038" t="s">
        <v>38443</v>
      </c>
      <c r="C7038">
        <v>4.0942494858999999E-2</v>
      </c>
      <c r="D7038">
        <v>0.70975474865800003</v>
      </c>
      <c r="E7038">
        <v>0.82799999999999996</v>
      </c>
    </row>
    <row r="7039" spans="1:5">
      <c r="A7039" t="s">
        <v>38444</v>
      </c>
      <c r="B7039" t="s">
        <v>4327</v>
      </c>
      <c r="C7039">
        <v>0.28473479854599998</v>
      </c>
      <c r="D7039">
        <v>0.99272862482599999</v>
      </c>
      <c r="E7039">
        <v>15.125999999999999</v>
      </c>
    </row>
    <row r="7040" spans="1:5">
      <c r="A7040" t="s">
        <v>38444</v>
      </c>
      <c r="B7040" t="s">
        <v>4336</v>
      </c>
      <c r="C7040">
        <f>0.403366099589</f>
        <v>0.40336609958899999</v>
      </c>
      <c r="D7040">
        <v>0.99272862482599999</v>
      </c>
      <c r="E7040">
        <v>15.125999999999999</v>
      </c>
    </row>
    <row r="7041" spans="1:5">
      <c r="A7041" t="s">
        <v>38444</v>
      </c>
      <c r="B7041" t="s">
        <v>4331</v>
      </c>
      <c r="C7041">
        <v>0.44958982116000001</v>
      </c>
      <c r="D7041">
        <v>0.99272862482599999</v>
      </c>
      <c r="E7041">
        <v>15.125999999999999</v>
      </c>
    </row>
    <row r="7042" spans="1:5">
      <c r="A7042" t="s">
        <v>38444</v>
      </c>
      <c r="B7042" t="s">
        <v>4334</v>
      </c>
      <c r="C7042">
        <v>0.20902985233900001</v>
      </c>
      <c r="D7042">
        <v>0.99272862482599999</v>
      </c>
      <c r="E7042">
        <v>15.125999999999999</v>
      </c>
    </row>
    <row r="7043" spans="1:5">
      <c r="A7043" t="s">
        <v>38444</v>
      </c>
      <c r="B7043" t="s">
        <v>4333</v>
      </c>
      <c r="C7043">
        <v>0.19968178732200001</v>
      </c>
      <c r="D7043">
        <v>0.99272862482599999</v>
      </c>
      <c r="E7043">
        <v>15.125999999999999</v>
      </c>
    </row>
    <row r="7044" spans="1:5">
      <c r="A7044" t="s">
        <v>38444</v>
      </c>
      <c r="B7044" t="s">
        <v>4330</v>
      </c>
      <c r="C7044">
        <f>0.0449308216722</f>
        <v>4.49308216722E-2</v>
      </c>
      <c r="D7044">
        <v>0.99272862482599999</v>
      </c>
      <c r="E7044">
        <v>15.125999999999999</v>
      </c>
    </row>
    <row r="7045" spans="1:5">
      <c r="A7045" t="s">
        <v>38444</v>
      </c>
      <c r="B7045" t="s">
        <v>4332</v>
      </c>
      <c r="C7045">
        <f>0</f>
        <v>0</v>
      </c>
      <c r="D7045">
        <v>0.99272862482599999</v>
      </c>
      <c r="E7045">
        <v>15.125999999999999</v>
      </c>
    </row>
    <row r="7046" spans="1:5">
      <c r="A7046" t="s">
        <v>38444</v>
      </c>
      <c r="B7046" t="s">
        <v>4329</v>
      </c>
      <c r="C7046">
        <v>0.30431456446499999</v>
      </c>
      <c r="D7046">
        <v>0.99272862482599999</v>
      </c>
      <c r="E7046">
        <v>15.125999999999999</v>
      </c>
    </row>
    <row r="7047" spans="1:5">
      <c r="A7047" t="s">
        <v>38445</v>
      </c>
      <c r="B7047" t="s">
        <v>38446</v>
      </c>
      <c r="C7047">
        <f>0</f>
        <v>0</v>
      </c>
      <c r="D7047">
        <v>0.90009754141800002</v>
      </c>
      <c r="E7047">
        <v>6.06</v>
      </c>
    </row>
    <row r="7048" spans="1:5">
      <c r="A7048" t="s">
        <v>38445</v>
      </c>
      <c r="B7048" t="s">
        <v>38447</v>
      </c>
      <c r="C7048">
        <v>0</v>
      </c>
      <c r="D7048">
        <v>0.90009754141800002</v>
      </c>
      <c r="E7048">
        <v>6.06</v>
      </c>
    </row>
    <row r="7049" spans="1:5">
      <c r="A7049" t="s">
        <v>38445</v>
      </c>
      <c r="B7049" t="s">
        <v>38448</v>
      </c>
      <c r="C7049">
        <f>0</f>
        <v>0</v>
      </c>
      <c r="D7049">
        <v>0.90009754141800002</v>
      </c>
      <c r="E7049">
        <v>6.06</v>
      </c>
    </row>
    <row r="7050" spans="1:5">
      <c r="A7050" t="s">
        <v>38445</v>
      </c>
      <c r="B7050" t="s">
        <v>38449</v>
      </c>
      <c r="C7050">
        <f>0</f>
        <v>0</v>
      </c>
      <c r="D7050">
        <v>0.90009754141800002</v>
      </c>
      <c r="E7050">
        <v>6.06</v>
      </c>
    </row>
    <row r="7051" spans="1:5">
      <c r="A7051" t="s">
        <v>38445</v>
      </c>
      <c r="B7051" t="s">
        <v>38450</v>
      </c>
      <c r="C7051">
        <v>0</v>
      </c>
      <c r="D7051">
        <v>0.90009754141800002</v>
      </c>
      <c r="E7051">
        <v>6.06</v>
      </c>
    </row>
    <row r="7052" spans="1:5">
      <c r="A7052" t="s">
        <v>38445</v>
      </c>
      <c r="B7052" t="s">
        <v>38451</v>
      </c>
      <c r="C7052">
        <f>0</f>
        <v>0</v>
      </c>
      <c r="D7052">
        <v>0.90009754141800002</v>
      </c>
      <c r="E7052">
        <v>6.06</v>
      </c>
    </row>
    <row r="7053" spans="1:5">
      <c r="A7053" t="s">
        <v>38445</v>
      </c>
      <c r="B7053" t="s">
        <v>38452</v>
      </c>
      <c r="C7053">
        <v>0</v>
      </c>
      <c r="D7053">
        <v>0.90009754141800002</v>
      </c>
      <c r="E7053">
        <v>6.06</v>
      </c>
    </row>
    <row r="7054" spans="1:5">
      <c r="A7054" t="s">
        <v>38445</v>
      </c>
      <c r="B7054" t="s">
        <v>38453</v>
      </c>
      <c r="C7054">
        <f>0</f>
        <v>0</v>
      </c>
      <c r="D7054">
        <v>0.90009754141800002</v>
      </c>
      <c r="E7054">
        <v>6.06</v>
      </c>
    </row>
    <row r="7055" spans="1:5">
      <c r="A7055" t="s">
        <v>38445</v>
      </c>
      <c r="B7055" t="s">
        <v>38454</v>
      </c>
      <c r="C7055">
        <v>0.230472188859</v>
      </c>
      <c r="D7055">
        <v>0.90009754141800002</v>
      </c>
      <c r="E7055">
        <v>6.06</v>
      </c>
    </row>
    <row r="7056" spans="1:5">
      <c r="A7056" t="s">
        <v>38445</v>
      </c>
      <c r="B7056" t="s">
        <v>38455</v>
      </c>
      <c r="C7056">
        <f>0.481819188812</f>
        <v>0.48181918881199998</v>
      </c>
      <c r="D7056">
        <v>0.90009754141800002</v>
      </c>
      <c r="E7056">
        <v>6.06</v>
      </c>
    </row>
    <row r="7057" spans="1:5">
      <c r="A7057" t="s">
        <v>38445</v>
      </c>
      <c r="B7057" t="s">
        <v>38456</v>
      </c>
      <c r="C7057">
        <f>0</f>
        <v>0</v>
      </c>
      <c r="D7057">
        <v>0.90009754141800002</v>
      </c>
      <c r="E7057">
        <v>6.06</v>
      </c>
    </row>
    <row r="7058" spans="1:5">
      <c r="A7058" t="s">
        <v>38445</v>
      </c>
      <c r="B7058" t="s">
        <v>38457</v>
      </c>
      <c r="C7058">
        <f>0</f>
        <v>0</v>
      </c>
      <c r="D7058">
        <v>0.90009754141800002</v>
      </c>
      <c r="E7058">
        <v>6.06</v>
      </c>
    </row>
    <row r="7059" spans="1:5">
      <c r="A7059" t="s">
        <v>38445</v>
      </c>
      <c r="B7059" t="s">
        <v>38458</v>
      </c>
      <c r="C7059">
        <v>0</v>
      </c>
      <c r="D7059">
        <v>0.90009754141800002</v>
      </c>
      <c r="E7059">
        <v>6.06</v>
      </c>
    </row>
    <row r="7060" spans="1:5">
      <c r="A7060" t="s">
        <v>38445</v>
      </c>
      <c r="B7060" t="s">
        <v>38459</v>
      </c>
      <c r="C7060">
        <f>0</f>
        <v>0</v>
      </c>
      <c r="D7060">
        <v>0.90009754141800002</v>
      </c>
      <c r="E7060">
        <v>6.06</v>
      </c>
    </row>
    <row r="7061" spans="1:5">
      <c r="A7061" t="s">
        <v>38445</v>
      </c>
      <c r="B7061" t="s">
        <v>38460</v>
      </c>
      <c r="C7061">
        <f>0.0250885007932</f>
        <v>2.5088500793199998E-2</v>
      </c>
      <c r="D7061">
        <v>0.90009754141800002</v>
      </c>
      <c r="E7061">
        <v>6.06</v>
      </c>
    </row>
    <row r="7062" spans="1:5">
      <c r="A7062" t="s">
        <v>38445</v>
      </c>
      <c r="B7062" t="s">
        <v>38461</v>
      </c>
      <c r="C7062">
        <f>0</f>
        <v>0</v>
      </c>
      <c r="D7062">
        <v>0.90009754141800002</v>
      </c>
      <c r="E7062">
        <v>6.06</v>
      </c>
    </row>
    <row r="7063" spans="1:5">
      <c r="A7063" t="s">
        <v>38462</v>
      </c>
      <c r="B7063" t="s">
        <v>15855</v>
      </c>
      <c r="C7063">
        <v>0.141361930128</v>
      </c>
      <c r="D7063">
        <v>0.94917500420900003</v>
      </c>
      <c r="E7063">
        <v>24</v>
      </c>
    </row>
    <row r="7064" spans="1:5">
      <c r="A7064" t="s">
        <v>38462</v>
      </c>
      <c r="B7064" t="s">
        <v>15848</v>
      </c>
      <c r="C7064">
        <v>0</v>
      </c>
      <c r="D7064">
        <v>0.94917500420900003</v>
      </c>
      <c r="E7064">
        <v>24</v>
      </c>
    </row>
    <row r="7065" spans="1:5">
      <c r="A7065" t="s">
        <v>38462</v>
      </c>
      <c r="B7065" t="s">
        <v>15854</v>
      </c>
      <c r="C7065">
        <f>0</f>
        <v>0</v>
      </c>
      <c r="D7065">
        <v>0.94917500420900003</v>
      </c>
      <c r="E7065">
        <v>24</v>
      </c>
    </row>
    <row r="7066" spans="1:5">
      <c r="A7066" t="s">
        <v>38462</v>
      </c>
      <c r="B7066" t="s">
        <v>15853</v>
      </c>
      <c r="C7066">
        <v>0.33981895632699999</v>
      </c>
      <c r="D7066">
        <v>0.94917500420900003</v>
      </c>
      <c r="E7066">
        <v>24</v>
      </c>
    </row>
    <row r="7067" spans="1:5">
      <c r="A7067" t="s">
        <v>38462</v>
      </c>
      <c r="B7067" t="s">
        <v>15852</v>
      </c>
      <c r="C7067">
        <v>0</v>
      </c>
      <c r="D7067">
        <v>0.94917500420900003</v>
      </c>
      <c r="E7067">
        <v>24</v>
      </c>
    </row>
    <row r="7068" spans="1:5">
      <c r="A7068" t="s">
        <v>38462</v>
      </c>
      <c r="B7068" t="s">
        <v>15856</v>
      </c>
      <c r="C7068">
        <f>0.788869632951</f>
        <v>0.78886963295099999</v>
      </c>
      <c r="D7068">
        <v>0.94917500420900003</v>
      </c>
      <c r="E7068">
        <v>24</v>
      </c>
    </row>
    <row r="7069" spans="1:5">
      <c r="A7069" t="s">
        <v>38462</v>
      </c>
      <c r="B7069" t="s">
        <v>15851</v>
      </c>
      <c r="C7069">
        <v>0</v>
      </c>
      <c r="D7069">
        <v>0.94917500420900003</v>
      </c>
      <c r="E7069">
        <v>24</v>
      </c>
    </row>
    <row r="7070" spans="1:5">
      <c r="A7070" t="s">
        <v>38462</v>
      </c>
      <c r="B7070" t="s">
        <v>15849</v>
      </c>
      <c r="C7070">
        <f>0</f>
        <v>0</v>
      </c>
      <c r="D7070">
        <v>0.94917500420900003</v>
      </c>
      <c r="E7070">
        <v>24</v>
      </c>
    </row>
    <row r="7071" spans="1:5">
      <c r="A7071" t="s">
        <v>38462</v>
      </c>
      <c r="B7071" t="s">
        <v>15846</v>
      </c>
      <c r="C7071">
        <f>0</f>
        <v>0</v>
      </c>
      <c r="D7071">
        <v>0.94917500420900003</v>
      </c>
      <c r="E7071">
        <v>24</v>
      </c>
    </row>
    <row r="7072" spans="1:5">
      <c r="A7072" t="s">
        <v>38463</v>
      </c>
      <c r="B7072" t="s">
        <v>20</v>
      </c>
      <c r="C7072">
        <v>0.64697813638500001</v>
      </c>
      <c r="D7072">
        <v>0.56455355028599996</v>
      </c>
      <c r="E7072">
        <v>8.58</v>
      </c>
    </row>
    <row r="7073" spans="1:5">
      <c r="A7073" t="s">
        <v>38463</v>
      </c>
      <c r="B7073" t="s">
        <v>23</v>
      </c>
      <c r="C7073">
        <f>0.385953428028</f>
        <v>0.38595342802799998</v>
      </c>
      <c r="D7073">
        <v>0.56455355028599996</v>
      </c>
      <c r="E7073">
        <v>8.58</v>
      </c>
    </row>
    <row r="7074" spans="1:5">
      <c r="A7074" t="s">
        <v>38464</v>
      </c>
      <c r="B7074" t="s">
        <v>31768</v>
      </c>
      <c r="C7074">
        <v>0</v>
      </c>
      <c r="D7074">
        <v>0.81527055591599995</v>
      </c>
      <c r="E7074">
        <v>0.15</v>
      </c>
    </row>
    <row r="7075" spans="1:5">
      <c r="A7075" t="s">
        <v>38464</v>
      </c>
      <c r="B7075" t="s">
        <v>31761</v>
      </c>
      <c r="C7075">
        <f>0.10146177402</f>
        <v>0.10146177402000001</v>
      </c>
      <c r="D7075">
        <v>0.81527055591599995</v>
      </c>
      <c r="E7075">
        <v>0.15</v>
      </c>
    </row>
    <row r="7076" spans="1:5">
      <c r="A7076" t="s">
        <v>38464</v>
      </c>
      <c r="B7076" t="s">
        <v>31771</v>
      </c>
      <c r="C7076">
        <v>0</v>
      </c>
      <c r="D7076">
        <v>0.81527055591599995</v>
      </c>
      <c r="E7076">
        <v>0.15</v>
      </c>
    </row>
    <row r="7077" spans="1:5">
      <c r="A7077" t="s">
        <v>38464</v>
      </c>
      <c r="B7077" t="s">
        <v>31766</v>
      </c>
      <c r="C7077">
        <f>0.610855970044</f>
        <v>0.61085597004400005</v>
      </c>
      <c r="D7077">
        <v>0.81527055591599995</v>
      </c>
      <c r="E7077">
        <v>0.15</v>
      </c>
    </row>
    <row r="7078" spans="1:5">
      <c r="A7078" t="s">
        <v>38464</v>
      </c>
      <c r="B7078" t="s">
        <v>31767</v>
      </c>
      <c r="C7078">
        <v>0</v>
      </c>
      <c r="D7078">
        <v>0.81527055591599995</v>
      </c>
      <c r="E7078">
        <v>0.15</v>
      </c>
    </row>
    <row r="7079" spans="1:5">
      <c r="A7079" t="s">
        <v>38465</v>
      </c>
      <c r="B7079" t="s">
        <v>38466</v>
      </c>
      <c r="C7079">
        <f>0</f>
        <v>0</v>
      </c>
      <c r="D7079" t="s">
        <v>106</v>
      </c>
      <c r="E7079">
        <v>24</v>
      </c>
    </row>
    <row r="7080" spans="1:5">
      <c r="A7080" t="s">
        <v>38465</v>
      </c>
      <c r="B7080" t="s">
        <v>38467</v>
      </c>
      <c r="C7080">
        <f>0</f>
        <v>0</v>
      </c>
      <c r="D7080" t="s">
        <v>106</v>
      </c>
      <c r="E7080">
        <v>24</v>
      </c>
    </row>
    <row r="7081" spans="1:5">
      <c r="A7081" t="s">
        <v>38465</v>
      </c>
      <c r="B7081" t="s">
        <v>38468</v>
      </c>
      <c r="C7081">
        <v>0</v>
      </c>
      <c r="D7081" t="s">
        <v>106</v>
      </c>
      <c r="E7081">
        <v>24</v>
      </c>
    </row>
    <row r="7082" spans="1:5">
      <c r="A7082" t="s">
        <v>38465</v>
      </c>
      <c r="B7082" t="s">
        <v>38469</v>
      </c>
      <c r="C7082">
        <f>0</f>
        <v>0</v>
      </c>
      <c r="D7082" t="s">
        <v>106</v>
      </c>
      <c r="E7082">
        <v>24</v>
      </c>
    </row>
    <row r="7083" spans="1:5">
      <c r="A7083" t="s">
        <v>38465</v>
      </c>
      <c r="B7083" t="s">
        <v>38470</v>
      </c>
      <c r="C7083">
        <v>0</v>
      </c>
      <c r="D7083" t="s">
        <v>106</v>
      </c>
      <c r="E7083">
        <v>24</v>
      </c>
    </row>
    <row r="7084" spans="1:5">
      <c r="A7084" t="s">
        <v>38471</v>
      </c>
      <c r="B7084" t="s">
        <v>38472</v>
      </c>
      <c r="C7084">
        <f>0.600374655165</f>
        <v>0.60037465516499999</v>
      </c>
      <c r="D7084">
        <v>0.87078465516500003</v>
      </c>
      <c r="E7084">
        <v>0</v>
      </c>
    </row>
    <row r="7085" spans="1:5">
      <c r="A7085" t="s">
        <v>38471</v>
      </c>
      <c r="B7085" t="s">
        <v>38473</v>
      </c>
      <c r="C7085">
        <f>0</f>
        <v>0</v>
      </c>
      <c r="D7085">
        <v>0.87078465516500003</v>
      </c>
      <c r="E7085">
        <v>0</v>
      </c>
    </row>
    <row r="7086" spans="1:5">
      <c r="A7086" t="s">
        <v>38471</v>
      </c>
      <c r="B7086" t="s">
        <v>38474</v>
      </c>
      <c r="C7086">
        <f>0</f>
        <v>0</v>
      </c>
      <c r="D7086">
        <v>0.87078465516500003</v>
      </c>
      <c r="E7086">
        <v>0</v>
      </c>
    </row>
    <row r="7087" spans="1:5">
      <c r="A7087" t="s">
        <v>38471</v>
      </c>
      <c r="B7087" t="s">
        <v>38475</v>
      </c>
      <c r="C7087">
        <f>0</f>
        <v>0</v>
      </c>
      <c r="D7087">
        <v>0.87078465516500003</v>
      </c>
      <c r="E7087">
        <v>0</v>
      </c>
    </row>
    <row r="7088" spans="1:5">
      <c r="A7088" t="s">
        <v>38471</v>
      </c>
      <c r="B7088" t="s">
        <v>38476</v>
      </c>
      <c r="C7088">
        <f>0</f>
        <v>0</v>
      </c>
      <c r="D7088">
        <v>0.87078465516500003</v>
      </c>
      <c r="E7088">
        <v>0</v>
      </c>
    </row>
    <row r="7089" spans="1:5">
      <c r="A7089" t="s">
        <v>38471</v>
      </c>
      <c r="B7089" t="s">
        <v>38477</v>
      </c>
      <c r="C7089">
        <f>0</f>
        <v>0</v>
      </c>
      <c r="D7089">
        <v>0.87078465516500003</v>
      </c>
      <c r="E7089">
        <v>0</v>
      </c>
    </row>
    <row r="7090" spans="1:5">
      <c r="A7090" t="s">
        <v>38478</v>
      </c>
      <c r="B7090" t="s">
        <v>11756</v>
      </c>
      <c r="C7090">
        <f>-1.22413079569</f>
        <v>-1.2241307956900001</v>
      </c>
      <c r="D7090">
        <v>0.98305255667799996</v>
      </c>
      <c r="E7090">
        <v>11.538</v>
      </c>
    </row>
    <row r="7091" spans="1:5">
      <c r="A7091" t="s">
        <v>38478</v>
      </c>
      <c r="B7091" t="s">
        <v>11757</v>
      </c>
      <c r="C7091">
        <f>0.124575162144</f>
        <v>0.124575162144</v>
      </c>
      <c r="D7091">
        <v>0.98305255667799996</v>
      </c>
      <c r="E7091">
        <v>11.538</v>
      </c>
    </row>
    <row r="7092" spans="1:5">
      <c r="A7092" t="s">
        <v>38478</v>
      </c>
      <c r="B7092" t="s">
        <v>11761</v>
      </c>
      <c r="C7092">
        <v>0.39643698682900003</v>
      </c>
      <c r="D7092">
        <v>0.98305255667799996</v>
      </c>
      <c r="E7092">
        <v>11.538</v>
      </c>
    </row>
    <row r="7093" spans="1:5">
      <c r="A7093" t="s">
        <v>38478</v>
      </c>
      <c r="B7093" t="s">
        <v>11759</v>
      </c>
      <c r="C7093">
        <v>0</v>
      </c>
      <c r="D7093">
        <v>0.98305255667799996</v>
      </c>
      <c r="E7093">
        <v>11.538</v>
      </c>
    </row>
    <row r="7094" spans="1:5">
      <c r="A7094" t="s">
        <v>38478</v>
      </c>
      <c r="B7094" t="s">
        <v>11758</v>
      </c>
      <c r="C7094">
        <v>0.632668667648</v>
      </c>
      <c r="D7094">
        <v>0.98305255667799996</v>
      </c>
      <c r="E7094">
        <v>11.538</v>
      </c>
    </row>
    <row r="7095" spans="1:5">
      <c r="A7095" t="s">
        <v>38478</v>
      </c>
      <c r="B7095" t="s">
        <v>11762</v>
      </c>
      <c r="C7095">
        <v>0.89004509502200002</v>
      </c>
      <c r="D7095">
        <v>0.98305255667799996</v>
      </c>
      <c r="E7095">
        <v>11.538</v>
      </c>
    </row>
    <row r="7096" spans="1:5">
      <c r="A7096" t="s">
        <v>38479</v>
      </c>
      <c r="B7096" t="s">
        <v>38480</v>
      </c>
      <c r="C7096">
        <v>0</v>
      </c>
      <c r="D7096" t="s">
        <v>106</v>
      </c>
      <c r="E7096">
        <v>13.818</v>
      </c>
    </row>
    <row r="7097" spans="1:5">
      <c r="A7097" t="s">
        <v>38479</v>
      </c>
      <c r="B7097" t="s">
        <v>38481</v>
      </c>
      <c r="C7097">
        <f>0</f>
        <v>0</v>
      </c>
      <c r="D7097" t="s">
        <v>106</v>
      </c>
      <c r="E7097">
        <v>13.818</v>
      </c>
    </row>
    <row r="7098" spans="1:5">
      <c r="A7098" t="s">
        <v>38479</v>
      </c>
      <c r="B7098" t="s">
        <v>38482</v>
      </c>
      <c r="C7098">
        <v>0</v>
      </c>
      <c r="D7098" t="s">
        <v>106</v>
      </c>
      <c r="E7098">
        <v>13.818</v>
      </c>
    </row>
    <row r="7099" spans="1:5">
      <c r="A7099" t="s">
        <v>38479</v>
      </c>
      <c r="B7099" t="s">
        <v>38483</v>
      </c>
      <c r="C7099">
        <f>0</f>
        <v>0</v>
      </c>
      <c r="D7099" t="s">
        <v>106</v>
      </c>
      <c r="E7099">
        <v>13.818</v>
      </c>
    </row>
    <row r="7100" spans="1:5">
      <c r="A7100" t="s">
        <v>38479</v>
      </c>
      <c r="B7100" t="s">
        <v>38484</v>
      </c>
      <c r="C7100">
        <v>0</v>
      </c>
      <c r="D7100" t="s">
        <v>106</v>
      </c>
      <c r="E7100">
        <v>13.818</v>
      </c>
    </row>
    <row r="7101" spans="1:5">
      <c r="A7101" t="s">
        <v>38479</v>
      </c>
      <c r="B7101" t="s">
        <v>38485</v>
      </c>
      <c r="C7101">
        <v>0</v>
      </c>
      <c r="D7101" t="s">
        <v>106</v>
      </c>
      <c r="E7101">
        <v>13.818</v>
      </c>
    </row>
    <row r="7102" spans="1:5">
      <c r="A7102" t="s">
        <v>38486</v>
      </c>
      <c r="B7102" t="s">
        <v>5067</v>
      </c>
      <c r="C7102">
        <f>0.688643630897</f>
        <v>0.68864363089699998</v>
      </c>
      <c r="D7102">
        <v>0.98882453154000005</v>
      </c>
      <c r="E7102">
        <v>7.2</v>
      </c>
    </row>
    <row r="7103" spans="1:5">
      <c r="A7103" t="s">
        <v>38486</v>
      </c>
      <c r="B7103" t="s">
        <v>5065</v>
      </c>
      <c r="C7103">
        <f>0.301779944325</f>
        <v>0.30177994432499999</v>
      </c>
      <c r="D7103">
        <v>0.98882453154000005</v>
      </c>
      <c r="E7103">
        <v>7.2</v>
      </c>
    </row>
    <row r="7104" spans="1:5">
      <c r="A7104" t="s">
        <v>38486</v>
      </c>
      <c r="B7104" t="s">
        <v>5066</v>
      </c>
      <c r="C7104">
        <v>0.41314942301399998</v>
      </c>
      <c r="D7104">
        <v>0.98882453154000005</v>
      </c>
      <c r="E7104">
        <v>7.2</v>
      </c>
    </row>
    <row r="7105" spans="1:5">
      <c r="A7105" t="s">
        <v>38486</v>
      </c>
      <c r="B7105" t="s">
        <v>5063</v>
      </c>
      <c r="C7105">
        <v>0.27552085290099998</v>
      </c>
      <c r="D7105">
        <v>0.98882453154000005</v>
      </c>
      <c r="E7105">
        <v>7.2</v>
      </c>
    </row>
    <row r="7106" spans="1:5">
      <c r="A7106" t="s">
        <v>38486</v>
      </c>
      <c r="B7106" t="s">
        <v>5061</v>
      </c>
      <c r="C7106">
        <v>0.54174263367099995</v>
      </c>
      <c r="D7106">
        <v>0.98882453154000005</v>
      </c>
      <c r="E7106">
        <v>7.2</v>
      </c>
    </row>
    <row r="7107" spans="1:5">
      <c r="A7107" t="s">
        <v>38486</v>
      </c>
      <c r="B7107" t="s">
        <v>5060</v>
      </c>
      <c r="C7107">
        <v>0.47479482574100002</v>
      </c>
      <c r="D7107">
        <v>0.98882453154000005</v>
      </c>
      <c r="E7107">
        <v>7.2</v>
      </c>
    </row>
    <row r="7108" spans="1:5">
      <c r="A7108" t="s">
        <v>38487</v>
      </c>
      <c r="B7108" t="s">
        <v>26181</v>
      </c>
      <c r="C7108">
        <v>0</v>
      </c>
      <c r="D7108" t="s">
        <v>106</v>
      </c>
      <c r="E7108">
        <v>23.754000000000001</v>
      </c>
    </row>
    <row r="7109" spans="1:5">
      <c r="A7109" t="s">
        <v>38487</v>
      </c>
      <c r="B7109" t="s">
        <v>26179</v>
      </c>
      <c r="C7109">
        <v>0</v>
      </c>
      <c r="D7109" t="s">
        <v>106</v>
      </c>
      <c r="E7109">
        <v>23.754000000000001</v>
      </c>
    </row>
    <row r="7110" spans="1:5">
      <c r="A7110" t="s">
        <v>38487</v>
      </c>
      <c r="B7110" t="s">
        <v>26178</v>
      </c>
      <c r="C7110">
        <v>0</v>
      </c>
      <c r="D7110" t="s">
        <v>106</v>
      </c>
      <c r="E7110">
        <v>23.754000000000001</v>
      </c>
    </row>
    <row r="7111" spans="1:5">
      <c r="A7111" t="s">
        <v>38487</v>
      </c>
      <c r="B7111" t="s">
        <v>26180</v>
      </c>
      <c r="C7111">
        <v>0</v>
      </c>
      <c r="D7111" t="s">
        <v>106</v>
      </c>
      <c r="E7111">
        <v>23.754000000000001</v>
      </c>
    </row>
    <row r="7112" spans="1:5">
      <c r="A7112" t="s">
        <v>38488</v>
      </c>
      <c r="B7112" t="s">
        <v>7925</v>
      </c>
      <c r="C7112">
        <v>0</v>
      </c>
      <c r="D7112" t="s">
        <v>106</v>
      </c>
      <c r="E7112">
        <v>1.0680000000000001</v>
      </c>
    </row>
    <row r="7113" spans="1:5">
      <c r="A7113" t="s">
        <v>38488</v>
      </c>
      <c r="B7113" t="s">
        <v>7939</v>
      </c>
      <c r="C7113">
        <v>0</v>
      </c>
      <c r="D7113" t="s">
        <v>106</v>
      </c>
      <c r="E7113">
        <v>1.0680000000000001</v>
      </c>
    </row>
    <row r="7114" spans="1:5">
      <c r="A7114" t="s">
        <v>38488</v>
      </c>
      <c r="B7114" t="s">
        <v>7926</v>
      </c>
      <c r="C7114">
        <v>0</v>
      </c>
      <c r="D7114" t="s">
        <v>106</v>
      </c>
      <c r="E7114">
        <v>1.0680000000000001</v>
      </c>
    </row>
    <row r="7115" spans="1:5">
      <c r="A7115" t="s">
        <v>38488</v>
      </c>
      <c r="B7115" t="s">
        <v>7930</v>
      </c>
      <c r="C7115">
        <f>0</f>
        <v>0</v>
      </c>
      <c r="D7115" t="s">
        <v>106</v>
      </c>
      <c r="E7115">
        <v>1.0680000000000001</v>
      </c>
    </row>
    <row r="7116" spans="1:5">
      <c r="A7116" t="s">
        <v>38488</v>
      </c>
      <c r="B7116" t="s">
        <v>7928</v>
      </c>
      <c r="C7116">
        <f>0</f>
        <v>0</v>
      </c>
      <c r="D7116" t="s">
        <v>106</v>
      </c>
      <c r="E7116">
        <v>1.0680000000000001</v>
      </c>
    </row>
    <row r="7117" spans="1:5">
      <c r="A7117" t="s">
        <v>38488</v>
      </c>
      <c r="B7117" t="s">
        <v>7934</v>
      </c>
      <c r="C7117">
        <v>0</v>
      </c>
      <c r="D7117" t="s">
        <v>106</v>
      </c>
      <c r="E7117">
        <v>1.0680000000000001</v>
      </c>
    </row>
    <row r="7118" spans="1:5">
      <c r="A7118" t="s">
        <v>38488</v>
      </c>
      <c r="B7118" t="s">
        <v>7932</v>
      </c>
      <c r="C7118">
        <v>0</v>
      </c>
      <c r="D7118" t="s">
        <v>106</v>
      </c>
      <c r="E7118">
        <v>1.0680000000000001</v>
      </c>
    </row>
    <row r="7119" spans="1:5">
      <c r="A7119" t="s">
        <v>38488</v>
      </c>
      <c r="B7119" t="s">
        <v>7931</v>
      </c>
      <c r="C7119">
        <v>0</v>
      </c>
      <c r="D7119" t="s">
        <v>106</v>
      </c>
      <c r="E7119">
        <v>1.0680000000000001</v>
      </c>
    </row>
    <row r="7120" spans="1:5">
      <c r="A7120" t="s">
        <v>38488</v>
      </c>
      <c r="B7120" t="s">
        <v>7936</v>
      </c>
      <c r="C7120">
        <v>0</v>
      </c>
      <c r="D7120" t="s">
        <v>106</v>
      </c>
      <c r="E7120">
        <v>1.0680000000000001</v>
      </c>
    </row>
    <row r="7121" spans="1:5">
      <c r="A7121" t="s">
        <v>38488</v>
      </c>
      <c r="B7121" t="s">
        <v>7927</v>
      </c>
      <c r="C7121">
        <v>0</v>
      </c>
      <c r="D7121" t="s">
        <v>106</v>
      </c>
      <c r="E7121">
        <v>1.0680000000000001</v>
      </c>
    </row>
    <row r="7122" spans="1:5">
      <c r="A7122" t="s">
        <v>38489</v>
      </c>
      <c r="B7122" t="s">
        <v>38490</v>
      </c>
      <c r="C7122">
        <f>0.218191743298</f>
        <v>0.21819174329800001</v>
      </c>
      <c r="D7122">
        <v>0.93755235089900002</v>
      </c>
      <c r="E7122">
        <v>24</v>
      </c>
    </row>
    <row r="7123" spans="1:5">
      <c r="A7123" t="s">
        <v>38489</v>
      </c>
      <c r="B7123" t="s">
        <v>38491</v>
      </c>
      <c r="C7123">
        <v>0</v>
      </c>
      <c r="D7123">
        <v>0.93755235089900002</v>
      </c>
      <c r="E7123">
        <v>24</v>
      </c>
    </row>
    <row r="7124" spans="1:5">
      <c r="A7124" t="s">
        <v>38489</v>
      </c>
      <c r="B7124" t="s">
        <v>38492</v>
      </c>
      <c r="C7124">
        <f>0.447690503223</f>
        <v>0.44769050322300002</v>
      </c>
      <c r="D7124">
        <v>0.93755235089900002</v>
      </c>
      <c r="E7124">
        <v>24</v>
      </c>
    </row>
    <row r="7125" spans="1:5">
      <c r="A7125" t="s">
        <v>38489</v>
      </c>
      <c r="B7125" t="s">
        <v>38493</v>
      </c>
      <c r="C7125">
        <f>0.787789502562</f>
        <v>0.78778950256199998</v>
      </c>
      <c r="D7125">
        <v>0.93755235089900002</v>
      </c>
      <c r="E7125">
        <v>24</v>
      </c>
    </row>
    <row r="7126" spans="1:5">
      <c r="A7126" t="s">
        <v>38489</v>
      </c>
      <c r="B7126" t="s">
        <v>38494</v>
      </c>
      <c r="C7126">
        <v>0.12857610758499999</v>
      </c>
      <c r="D7126">
        <v>0.93755235089900002</v>
      </c>
      <c r="E7126">
        <v>24</v>
      </c>
    </row>
    <row r="7127" spans="1:5">
      <c r="A7127" t="s">
        <v>38495</v>
      </c>
      <c r="B7127" t="s">
        <v>38496</v>
      </c>
      <c r="C7127">
        <f>0</f>
        <v>0</v>
      </c>
      <c r="D7127" t="s">
        <v>106</v>
      </c>
      <c r="E7127">
        <v>24</v>
      </c>
    </row>
    <row r="7128" spans="1:5">
      <c r="A7128" t="s">
        <v>38495</v>
      </c>
      <c r="B7128" t="s">
        <v>38497</v>
      </c>
      <c r="C7128">
        <f>0</f>
        <v>0</v>
      </c>
      <c r="D7128" t="s">
        <v>106</v>
      </c>
      <c r="E7128">
        <v>24</v>
      </c>
    </row>
    <row r="7129" spans="1:5">
      <c r="A7129" t="s">
        <v>38498</v>
      </c>
      <c r="B7129" t="s">
        <v>4699</v>
      </c>
      <c r="C7129">
        <v>0</v>
      </c>
      <c r="D7129">
        <v>0.97127255946699997</v>
      </c>
      <c r="E7129">
        <v>24</v>
      </c>
    </row>
    <row r="7130" spans="1:5">
      <c r="A7130" t="s">
        <v>38498</v>
      </c>
      <c r="B7130" t="s">
        <v>4696</v>
      </c>
      <c r="C7130">
        <f>0.66072069691</f>
        <v>0.66072069691000002</v>
      </c>
      <c r="D7130">
        <v>0.97127255946699997</v>
      </c>
      <c r="E7130">
        <v>24</v>
      </c>
    </row>
    <row r="7131" spans="1:5">
      <c r="A7131" t="s">
        <v>38498</v>
      </c>
      <c r="B7131" t="s">
        <v>4693</v>
      </c>
      <c r="C7131">
        <v>0.87908078357700004</v>
      </c>
      <c r="D7131">
        <v>0.97127255946699997</v>
      </c>
      <c r="E7131">
        <v>24</v>
      </c>
    </row>
    <row r="7132" spans="1:5">
      <c r="A7132" t="s">
        <v>38498</v>
      </c>
      <c r="B7132" t="s">
        <v>4694</v>
      </c>
      <c r="C7132">
        <f>0.188943247073</f>
        <v>0.188943247073</v>
      </c>
      <c r="D7132">
        <v>0.97127255946699997</v>
      </c>
      <c r="E7132">
        <v>24</v>
      </c>
    </row>
    <row r="7133" spans="1:5">
      <c r="A7133" t="s">
        <v>38498</v>
      </c>
      <c r="B7133" t="s">
        <v>4697</v>
      </c>
      <c r="C7133">
        <f>0.460374878664</f>
        <v>0.46037487866400001</v>
      </c>
      <c r="D7133">
        <v>0.97127255946699997</v>
      </c>
      <c r="E7133">
        <v>24</v>
      </c>
    </row>
    <row r="7134" spans="1:5">
      <c r="A7134" t="s">
        <v>38498</v>
      </c>
      <c r="B7134" t="s">
        <v>4698</v>
      </c>
      <c r="C7134">
        <v>0.84114412195999999</v>
      </c>
      <c r="D7134">
        <v>0.97127255946699997</v>
      </c>
      <c r="E7134">
        <v>24</v>
      </c>
    </row>
    <row r="7135" spans="1:5">
      <c r="A7135" t="s">
        <v>38499</v>
      </c>
      <c r="B7135" t="s">
        <v>33745</v>
      </c>
      <c r="C7135">
        <f>0</f>
        <v>0</v>
      </c>
      <c r="D7135" t="s">
        <v>106</v>
      </c>
      <c r="E7135">
        <v>16.896000000000001</v>
      </c>
    </row>
    <row r="7136" spans="1:5">
      <c r="A7136" t="s">
        <v>38499</v>
      </c>
      <c r="B7136" t="s">
        <v>33751</v>
      </c>
      <c r="C7136">
        <f>0</f>
        <v>0</v>
      </c>
      <c r="D7136" t="s">
        <v>106</v>
      </c>
      <c r="E7136">
        <v>16.896000000000001</v>
      </c>
    </row>
    <row r="7137" spans="1:5">
      <c r="A7137" t="s">
        <v>38499</v>
      </c>
      <c r="B7137" t="s">
        <v>33752</v>
      </c>
      <c r="C7137">
        <v>0</v>
      </c>
      <c r="D7137" t="s">
        <v>106</v>
      </c>
      <c r="E7137">
        <v>16.896000000000001</v>
      </c>
    </row>
    <row r="7138" spans="1:5">
      <c r="A7138" t="s">
        <v>38499</v>
      </c>
      <c r="B7138" t="s">
        <v>33750</v>
      </c>
      <c r="C7138">
        <v>0</v>
      </c>
      <c r="D7138" t="s">
        <v>106</v>
      </c>
      <c r="E7138">
        <v>16.896000000000001</v>
      </c>
    </row>
    <row r="7139" spans="1:5">
      <c r="A7139" t="s">
        <v>38499</v>
      </c>
      <c r="B7139" t="s">
        <v>33746</v>
      </c>
      <c r="C7139">
        <v>0</v>
      </c>
      <c r="D7139" t="s">
        <v>106</v>
      </c>
      <c r="E7139">
        <v>16.896000000000001</v>
      </c>
    </row>
    <row r="7140" spans="1:5">
      <c r="A7140" t="s">
        <v>38500</v>
      </c>
      <c r="B7140" t="s">
        <v>22143</v>
      </c>
      <c r="C7140">
        <f>0.337668012177</f>
        <v>0.33766801217699999</v>
      </c>
      <c r="D7140">
        <v>0.75771092358900005</v>
      </c>
      <c r="E7140">
        <v>0</v>
      </c>
    </row>
    <row r="7141" spans="1:5">
      <c r="A7141" t="s">
        <v>38500</v>
      </c>
      <c r="B7141" t="s">
        <v>22146</v>
      </c>
      <c r="C7141">
        <v>0</v>
      </c>
      <c r="D7141">
        <v>0.75771092358900005</v>
      </c>
      <c r="E7141">
        <v>0</v>
      </c>
    </row>
    <row r="7142" spans="1:5">
      <c r="A7142" t="s">
        <v>38500</v>
      </c>
      <c r="B7142" t="s">
        <v>22145</v>
      </c>
      <c r="C7142">
        <f>0.32743503247</f>
        <v>0.32743503247</v>
      </c>
      <c r="D7142">
        <v>0.75771092358900005</v>
      </c>
      <c r="E7142">
        <v>0</v>
      </c>
    </row>
    <row r="7143" spans="1:5">
      <c r="A7143" t="s">
        <v>38501</v>
      </c>
      <c r="B7143" t="s">
        <v>34188</v>
      </c>
      <c r="C7143">
        <v>0</v>
      </c>
      <c r="D7143" t="s">
        <v>106</v>
      </c>
      <c r="E7143">
        <v>24</v>
      </c>
    </row>
    <row r="7144" spans="1:5">
      <c r="A7144" t="s">
        <v>38501</v>
      </c>
      <c r="B7144" t="s">
        <v>34189</v>
      </c>
      <c r="C7144">
        <v>0</v>
      </c>
      <c r="D7144" t="s">
        <v>106</v>
      </c>
      <c r="E7144">
        <v>24</v>
      </c>
    </row>
    <row r="7145" spans="1:5">
      <c r="A7145" t="s">
        <v>38501</v>
      </c>
      <c r="B7145" t="s">
        <v>34191</v>
      </c>
      <c r="C7145">
        <f>0</f>
        <v>0</v>
      </c>
      <c r="D7145" t="s">
        <v>106</v>
      </c>
      <c r="E7145">
        <v>24</v>
      </c>
    </row>
    <row r="7146" spans="1:5">
      <c r="A7146" t="s">
        <v>38502</v>
      </c>
      <c r="B7146" t="s">
        <v>38503</v>
      </c>
      <c r="C7146">
        <v>0</v>
      </c>
      <c r="D7146" t="s">
        <v>106</v>
      </c>
      <c r="E7146">
        <v>8.58</v>
      </c>
    </row>
    <row r="7147" spans="1:5">
      <c r="A7147" t="s">
        <v>38502</v>
      </c>
      <c r="B7147" t="s">
        <v>38504</v>
      </c>
      <c r="C7147">
        <v>0</v>
      </c>
      <c r="D7147" t="s">
        <v>106</v>
      </c>
      <c r="E7147">
        <v>8.58</v>
      </c>
    </row>
    <row r="7148" spans="1:5">
      <c r="A7148" t="s">
        <v>38502</v>
      </c>
      <c r="B7148" t="s">
        <v>38505</v>
      </c>
      <c r="C7148">
        <v>0</v>
      </c>
      <c r="D7148" t="s">
        <v>106</v>
      </c>
      <c r="E7148">
        <v>8.58</v>
      </c>
    </row>
    <row r="7149" spans="1:5">
      <c r="A7149" t="s">
        <v>38502</v>
      </c>
      <c r="B7149" t="s">
        <v>38506</v>
      </c>
      <c r="C7149">
        <f>0</f>
        <v>0</v>
      </c>
      <c r="D7149" t="s">
        <v>106</v>
      </c>
      <c r="E7149">
        <v>8.58</v>
      </c>
    </row>
    <row r="7150" spans="1:5">
      <c r="A7150" t="s">
        <v>38502</v>
      </c>
      <c r="B7150" t="s">
        <v>38507</v>
      </c>
      <c r="C7150">
        <v>0</v>
      </c>
      <c r="D7150" t="s">
        <v>106</v>
      </c>
      <c r="E7150">
        <v>8.58</v>
      </c>
    </row>
    <row r="7151" spans="1:5">
      <c r="A7151" t="s">
        <v>38508</v>
      </c>
      <c r="B7151" t="s">
        <v>16291</v>
      </c>
      <c r="C7151">
        <f>0</f>
        <v>0</v>
      </c>
      <c r="D7151" t="s">
        <v>106</v>
      </c>
      <c r="E7151">
        <v>7.0679999999999996</v>
      </c>
    </row>
    <row r="7152" spans="1:5">
      <c r="A7152" t="s">
        <v>38508</v>
      </c>
      <c r="B7152" t="s">
        <v>16294</v>
      </c>
      <c r="C7152">
        <f>0</f>
        <v>0</v>
      </c>
      <c r="D7152" t="s">
        <v>106</v>
      </c>
      <c r="E7152">
        <v>7.0679999999999996</v>
      </c>
    </row>
    <row r="7153" spans="1:5">
      <c r="A7153" t="s">
        <v>38508</v>
      </c>
      <c r="B7153" t="s">
        <v>16292</v>
      </c>
      <c r="C7153">
        <v>0</v>
      </c>
      <c r="D7153" t="s">
        <v>106</v>
      </c>
      <c r="E7153">
        <v>7.0679999999999996</v>
      </c>
    </row>
    <row r="7154" spans="1:5">
      <c r="A7154" t="s">
        <v>38508</v>
      </c>
      <c r="B7154" t="s">
        <v>16293</v>
      </c>
      <c r="C7154">
        <f>0</f>
        <v>0</v>
      </c>
      <c r="D7154" t="s">
        <v>106</v>
      </c>
      <c r="E7154">
        <v>7.0679999999999996</v>
      </c>
    </row>
    <row r="7155" spans="1:5">
      <c r="A7155" t="s">
        <v>38509</v>
      </c>
      <c r="B7155" t="s">
        <v>13051</v>
      </c>
      <c r="C7155">
        <v>0</v>
      </c>
      <c r="D7155" t="s">
        <v>106</v>
      </c>
      <c r="E7155">
        <v>8.1539999999999999</v>
      </c>
    </row>
    <row r="7156" spans="1:5">
      <c r="A7156" t="s">
        <v>38509</v>
      </c>
      <c r="B7156" t="s">
        <v>13048</v>
      </c>
      <c r="C7156">
        <v>0</v>
      </c>
      <c r="D7156" t="s">
        <v>106</v>
      </c>
      <c r="E7156">
        <v>8.1539999999999999</v>
      </c>
    </row>
    <row r="7157" spans="1:5">
      <c r="A7157" t="s">
        <v>38510</v>
      </c>
      <c r="B7157" t="s">
        <v>14704</v>
      </c>
      <c r="C7157">
        <v>0.32147968545</v>
      </c>
      <c r="D7157">
        <v>0.96313510215999998</v>
      </c>
      <c r="E7157">
        <v>0.192</v>
      </c>
    </row>
    <row r="7158" spans="1:5">
      <c r="A7158" t="s">
        <v>38510</v>
      </c>
      <c r="B7158" t="s">
        <v>14706</v>
      </c>
      <c r="C7158">
        <v>0.74470118693099996</v>
      </c>
      <c r="D7158">
        <v>0.96313510215999998</v>
      </c>
      <c r="E7158">
        <v>0.192</v>
      </c>
    </row>
    <row r="7159" spans="1:5">
      <c r="A7159" t="s">
        <v>38510</v>
      </c>
      <c r="B7159" t="s">
        <v>14707</v>
      </c>
      <c r="C7159">
        <v>0.14946715370899999</v>
      </c>
      <c r="D7159">
        <v>0.96313510215999998</v>
      </c>
      <c r="E7159">
        <v>0.192</v>
      </c>
    </row>
    <row r="7160" spans="1:5">
      <c r="A7160" t="s">
        <v>38510</v>
      </c>
      <c r="B7160" t="s">
        <v>14708</v>
      </c>
      <c r="C7160">
        <f>0</f>
        <v>0</v>
      </c>
      <c r="D7160">
        <v>0.96313510215999998</v>
      </c>
      <c r="E7160">
        <v>0.192</v>
      </c>
    </row>
    <row r="7161" spans="1:5">
      <c r="A7161" t="s">
        <v>38510</v>
      </c>
      <c r="B7161" t="s">
        <v>14705</v>
      </c>
      <c r="C7161">
        <v>0</v>
      </c>
      <c r="D7161">
        <v>0.96313510215999998</v>
      </c>
      <c r="E7161">
        <v>0.192</v>
      </c>
    </row>
    <row r="7162" spans="1:5">
      <c r="A7162" t="s">
        <v>38511</v>
      </c>
      <c r="B7162" t="s">
        <v>38512</v>
      </c>
      <c r="C7162">
        <f>0</f>
        <v>0</v>
      </c>
      <c r="D7162">
        <v>0.78590675518300002</v>
      </c>
      <c r="E7162">
        <v>0</v>
      </c>
    </row>
    <row r="7163" spans="1:5">
      <c r="A7163" t="s">
        <v>38511</v>
      </c>
      <c r="B7163" t="s">
        <v>38513</v>
      </c>
      <c r="C7163">
        <f>0.293849589425</f>
        <v>0.293849589425</v>
      </c>
      <c r="D7163">
        <v>0.78590675518300002</v>
      </c>
      <c r="E7163">
        <v>0</v>
      </c>
    </row>
    <row r="7164" spans="1:5">
      <c r="A7164" t="s">
        <v>38511</v>
      </c>
      <c r="B7164" t="s">
        <v>38514</v>
      </c>
      <c r="C7164">
        <f>0</f>
        <v>0</v>
      </c>
      <c r="D7164">
        <v>0.78590675518300002</v>
      </c>
      <c r="E7164">
        <v>0</v>
      </c>
    </row>
    <row r="7165" spans="1:5">
      <c r="A7165" t="s">
        <v>38511</v>
      </c>
      <c r="B7165" t="s">
        <v>38515</v>
      </c>
      <c r="C7165">
        <v>7.1066661811200003E-3</v>
      </c>
      <c r="D7165">
        <v>0.78590675518300002</v>
      </c>
      <c r="E7165">
        <v>0</v>
      </c>
    </row>
    <row r="7166" spans="1:5">
      <c r="A7166" t="s">
        <v>38511</v>
      </c>
      <c r="B7166" t="s">
        <v>38516</v>
      </c>
      <c r="C7166">
        <v>0.41598428673999999</v>
      </c>
      <c r="D7166">
        <v>0.78590675518300002</v>
      </c>
      <c r="E7166">
        <v>0</v>
      </c>
    </row>
    <row r="7167" spans="1:5">
      <c r="A7167" t="s">
        <v>38517</v>
      </c>
      <c r="B7167" t="s">
        <v>563</v>
      </c>
      <c r="C7167">
        <v>8.2032705920400004E-2</v>
      </c>
      <c r="D7167">
        <v>0.92514517217699999</v>
      </c>
      <c r="E7167">
        <v>6.18</v>
      </c>
    </row>
    <row r="7168" spans="1:5">
      <c r="A7168" t="s">
        <v>38517</v>
      </c>
      <c r="B7168" t="s">
        <v>554</v>
      </c>
      <c r="C7168">
        <v>0.76853092189700001</v>
      </c>
      <c r="D7168">
        <v>0.92514517217699999</v>
      </c>
      <c r="E7168">
        <v>6.18</v>
      </c>
    </row>
    <row r="7169" spans="1:5">
      <c r="A7169" t="s">
        <v>38517</v>
      </c>
      <c r="B7169" t="s">
        <v>557</v>
      </c>
      <c r="C7169">
        <f>0</f>
        <v>0</v>
      </c>
      <c r="D7169">
        <v>0.92514517217699999</v>
      </c>
      <c r="E7169">
        <v>6.18</v>
      </c>
    </row>
    <row r="7170" spans="1:5">
      <c r="A7170" t="s">
        <v>38517</v>
      </c>
      <c r="B7170" t="s">
        <v>558</v>
      </c>
      <c r="C7170">
        <v>9.0867373961900005E-2</v>
      </c>
      <c r="D7170">
        <v>0.92514517217699999</v>
      </c>
      <c r="E7170">
        <v>6.18</v>
      </c>
    </row>
    <row r="7171" spans="1:5">
      <c r="A7171" t="s">
        <v>38517</v>
      </c>
      <c r="B7171" t="s">
        <v>560</v>
      </c>
      <c r="C7171">
        <v>0.762200142124</v>
      </c>
      <c r="D7171">
        <v>0.92514517217699999</v>
      </c>
      <c r="E7171">
        <v>6.18</v>
      </c>
    </row>
    <row r="7172" spans="1:5">
      <c r="A7172" t="s">
        <v>38517</v>
      </c>
      <c r="B7172" t="s">
        <v>556</v>
      </c>
      <c r="C7172">
        <v>0</v>
      </c>
      <c r="D7172">
        <v>0.92514517217699999</v>
      </c>
      <c r="E7172">
        <v>6.18</v>
      </c>
    </row>
    <row r="7173" spans="1:5">
      <c r="A7173" t="s">
        <v>38517</v>
      </c>
      <c r="B7173" t="s">
        <v>561</v>
      </c>
      <c r="C7173">
        <v>0</v>
      </c>
      <c r="D7173">
        <v>0.92514517217699999</v>
      </c>
      <c r="E7173">
        <v>6.18</v>
      </c>
    </row>
    <row r="7174" spans="1:5">
      <c r="A7174" t="s">
        <v>38517</v>
      </c>
      <c r="B7174" t="s">
        <v>559</v>
      </c>
      <c r="C7174">
        <v>0.15922701998399999</v>
      </c>
      <c r="D7174">
        <v>0.92514517217699999</v>
      </c>
      <c r="E7174">
        <v>6.18</v>
      </c>
    </row>
    <row r="7175" spans="1:5">
      <c r="A7175" t="s">
        <v>38517</v>
      </c>
      <c r="B7175" t="s">
        <v>565</v>
      </c>
      <c r="C7175">
        <f>0.551472806385</f>
        <v>0.55147280638499996</v>
      </c>
      <c r="D7175">
        <v>0.92514517217699999</v>
      </c>
      <c r="E7175">
        <v>6.18</v>
      </c>
    </row>
    <row r="7176" spans="1:5">
      <c r="A7176" t="s">
        <v>38518</v>
      </c>
      <c r="B7176" t="s">
        <v>3725</v>
      </c>
      <c r="C7176">
        <v>0.78818923850099998</v>
      </c>
      <c r="D7176">
        <v>0.89329408514499997</v>
      </c>
      <c r="E7176">
        <v>0.114</v>
      </c>
    </row>
    <row r="7177" spans="1:5">
      <c r="A7177" t="s">
        <v>38518</v>
      </c>
      <c r="B7177" t="s">
        <v>3726</v>
      </c>
      <c r="C7177">
        <f>0.824051707222</f>
        <v>0.82405170722200005</v>
      </c>
      <c r="D7177">
        <v>0.89329408514499997</v>
      </c>
      <c r="E7177">
        <v>0.114</v>
      </c>
    </row>
    <row r="7178" spans="1:5">
      <c r="A7178" t="s">
        <v>38518</v>
      </c>
      <c r="B7178" t="s">
        <v>3727</v>
      </c>
      <c r="C7178">
        <f>0.531341055346</f>
        <v>0.53134105534599996</v>
      </c>
      <c r="D7178">
        <v>0.89329408514499997</v>
      </c>
      <c r="E7178">
        <v>0.114</v>
      </c>
    </row>
    <row r="7179" spans="1:5">
      <c r="A7179" t="s">
        <v>38519</v>
      </c>
      <c r="B7179" t="s">
        <v>38520</v>
      </c>
      <c r="C7179">
        <f>0.80229545624</f>
        <v>0.80229545623999998</v>
      </c>
      <c r="D7179">
        <v>0.78584509281100001</v>
      </c>
      <c r="E7179">
        <v>7.734</v>
      </c>
    </row>
    <row r="7180" spans="1:5">
      <c r="A7180" t="s">
        <v>38519</v>
      </c>
      <c r="B7180" t="s">
        <v>38521</v>
      </c>
      <c r="C7180">
        <v>0.40710107831600001</v>
      </c>
      <c r="D7180">
        <v>0.78584509281100001</v>
      </c>
      <c r="E7180">
        <v>7.734</v>
      </c>
    </row>
    <row r="7181" spans="1:5">
      <c r="A7181" t="s">
        <v>38519</v>
      </c>
      <c r="B7181" t="s">
        <v>38522</v>
      </c>
      <c r="C7181">
        <f>0.363924868556</f>
        <v>0.36392486855599998</v>
      </c>
      <c r="D7181">
        <v>0.78584509281100001</v>
      </c>
      <c r="E7181">
        <v>7.734</v>
      </c>
    </row>
    <row r="7182" spans="1:5">
      <c r="A7182" t="s">
        <v>38523</v>
      </c>
      <c r="B7182" t="s">
        <v>38524</v>
      </c>
      <c r="C7182">
        <v>0</v>
      </c>
      <c r="D7182" t="s">
        <v>106</v>
      </c>
      <c r="E7182">
        <v>4.5839999999999996</v>
      </c>
    </row>
    <row r="7183" spans="1:5">
      <c r="A7183" t="s">
        <v>38523</v>
      </c>
      <c r="B7183" t="s">
        <v>38525</v>
      </c>
      <c r="C7183">
        <f>0</f>
        <v>0</v>
      </c>
      <c r="D7183" t="s">
        <v>106</v>
      </c>
      <c r="E7183">
        <v>4.5839999999999996</v>
      </c>
    </row>
    <row r="7184" spans="1:5">
      <c r="A7184" t="s">
        <v>38526</v>
      </c>
      <c r="B7184" t="s">
        <v>38527</v>
      </c>
      <c r="C7184">
        <f>0.178221209834</f>
        <v>0.178221209834</v>
      </c>
      <c r="D7184">
        <v>0.71595625645600003</v>
      </c>
      <c r="E7184">
        <v>11.706</v>
      </c>
    </row>
    <row r="7185" spans="1:5">
      <c r="A7185" t="s">
        <v>38526</v>
      </c>
      <c r="B7185" t="s">
        <v>38528</v>
      </c>
      <c r="C7185">
        <f>0</f>
        <v>0</v>
      </c>
      <c r="D7185">
        <v>0.71595625645600003</v>
      </c>
      <c r="E7185">
        <v>11.706</v>
      </c>
    </row>
    <row r="7186" spans="1:5">
      <c r="A7186" t="s">
        <v>38526</v>
      </c>
      <c r="B7186" t="s">
        <v>38529</v>
      </c>
      <c r="C7186">
        <f>0.440018105237</f>
        <v>0.44001810523700002</v>
      </c>
      <c r="D7186">
        <v>0.71595625645600003</v>
      </c>
      <c r="E7186">
        <v>11.706</v>
      </c>
    </row>
    <row r="7187" spans="1:5">
      <c r="A7187" t="s">
        <v>38530</v>
      </c>
      <c r="B7187" t="s">
        <v>17811</v>
      </c>
      <c r="C7187">
        <v>0</v>
      </c>
      <c r="D7187" t="s">
        <v>106</v>
      </c>
      <c r="E7187">
        <v>3.8759999999999999</v>
      </c>
    </row>
    <row r="7188" spans="1:5">
      <c r="A7188" t="s">
        <v>38530</v>
      </c>
      <c r="B7188" t="s">
        <v>17813</v>
      </c>
      <c r="C7188">
        <f>0</f>
        <v>0</v>
      </c>
      <c r="D7188" t="s">
        <v>106</v>
      </c>
      <c r="E7188">
        <v>3.8759999999999999</v>
      </c>
    </row>
    <row r="7189" spans="1:5">
      <c r="A7189" t="s">
        <v>38531</v>
      </c>
      <c r="B7189" t="s">
        <v>33165</v>
      </c>
      <c r="C7189">
        <v>3.0210873181900001E-2</v>
      </c>
      <c r="D7189">
        <v>0.70432154487800003</v>
      </c>
      <c r="E7189">
        <v>0</v>
      </c>
    </row>
    <row r="7190" spans="1:5">
      <c r="A7190" t="s">
        <v>38531</v>
      </c>
      <c r="B7190" t="s">
        <v>33166</v>
      </c>
      <c r="C7190">
        <f>0.725375567406</f>
        <v>0.72537556740599995</v>
      </c>
      <c r="D7190">
        <v>0.70432154487800003</v>
      </c>
      <c r="E7190">
        <v>0</v>
      </c>
    </row>
    <row r="7191" spans="1:5">
      <c r="A7191" t="s">
        <v>38532</v>
      </c>
      <c r="B7191" t="s">
        <v>2461</v>
      </c>
      <c r="C7191">
        <v>0</v>
      </c>
      <c r="D7191" t="s">
        <v>106</v>
      </c>
      <c r="E7191">
        <v>0.73799999999999999</v>
      </c>
    </row>
    <row r="7192" spans="1:5">
      <c r="A7192" t="s">
        <v>38532</v>
      </c>
      <c r="B7192" t="s">
        <v>2460</v>
      </c>
      <c r="C7192">
        <v>0</v>
      </c>
      <c r="D7192" t="s">
        <v>106</v>
      </c>
      <c r="E7192">
        <v>0.73799999999999999</v>
      </c>
    </row>
    <row r="7193" spans="1:5">
      <c r="A7193" t="s">
        <v>38533</v>
      </c>
      <c r="B7193" t="s">
        <v>19723</v>
      </c>
      <c r="C7193">
        <v>0</v>
      </c>
      <c r="D7193" t="s">
        <v>106</v>
      </c>
      <c r="E7193">
        <v>24</v>
      </c>
    </row>
    <row r="7194" spans="1:5">
      <c r="A7194" t="s">
        <v>38533</v>
      </c>
      <c r="B7194" t="s">
        <v>19726</v>
      </c>
      <c r="C7194">
        <v>0</v>
      </c>
      <c r="D7194" t="s">
        <v>106</v>
      </c>
      <c r="E7194">
        <v>24</v>
      </c>
    </row>
    <row r="7195" spans="1:5">
      <c r="A7195" t="s">
        <v>38533</v>
      </c>
      <c r="B7195" t="s">
        <v>19729</v>
      </c>
      <c r="C7195">
        <f>0</f>
        <v>0</v>
      </c>
      <c r="D7195" t="s">
        <v>106</v>
      </c>
      <c r="E7195">
        <v>24</v>
      </c>
    </row>
    <row r="7196" spans="1:5">
      <c r="A7196" t="s">
        <v>38533</v>
      </c>
      <c r="B7196" t="s">
        <v>19724</v>
      </c>
      <c r="C7196">
        <v>0</v>
      </c>
      <c r="D7196" t="s">
        <v>106</v>
      </c>
      <c r="E7196">
        <v>24</v>
      </c>
    </row>
    <row r="7197" spans="1:5">
      <c r="A7197" t="s">
        <v>38533</v>
      </c>
      <c r="B7197" t="s">
        <v>19727</v>
      </c>
      <c r="C7197">
        <f>0</f>
        <v>0</v>
      </c>
      <c r="D7197" t="s">
        <v>106</v>
      </c>
      <c r="E7197">
        <v>24</v>
      </c>
    </row>
    <row r="7198" spans="1:5">
      <c r="A7198" t="s">
        <v>38533</v>
      </c>
      <c r="B7198" t="s">
        <v>19728</v>
      </c>
      <c r="C7198">
        <f>0</f>
        <v>0</v>
      </c>
      <c r="D7198" t="s">
        <v>106</v>
      </c>
      <c r="E7198">
        <v>24</v>
      </c>
    </row>
    <row r="7199" spans="1:5">
      <c r="A7199" t="s">
        <v>38533</v>
      </c>
      <c r="B7199" t="s">
        <v>19725</v>
      </c>
      <c r="C7199">
        <v>0</v>
      </c>
      <c r="D7199" t="s">
        <v>106</v>
      </c>
      <c r="E7199">
        <v>24</v>
      </c>
    </row>
    <row r="7200" spans="1:5">
      <c r="A7200" t="s">
        <v>38533</v>
      </c>
      <c r="B7200" t="s">
        <v>19730</v>
      </c>
      <c r="C7200">
        <v>0</v>
      </c>
      <c r="D7200" t="s">
        <v>106</v>
      </c>
      <c r="E7200">
        <v>24</v>
      </c>
    </row>
    <row r="7201" spans="1:5">
      <c r="A7201" t="s">
        <v>38534</v>
      </c>
      <c r="B7201" t="s">
        <v>38535</v>
      </c>
      <c r="C7201">
        <f>0</f>
        <v>0</v>
      </c>
      <c r="D7201">
        <v>0.92371853080400002</v>
      </c>
      <c r="E7201">
        <v>15.9</v>
      </c>
    </row>
    <row r="7202" spans="1:5">
      <c r="A7202" t="s">
        <v>38534</v>
      </c>
      <c r="B7202" t="s">
        <v>38536</v>
      </c>
      <c r="C7202">
        <f>0.037025940732</f>
        <v>3.7025940732000003E-2</v>
      </c>
      <c r="D7202">
        <v>0.92371853080400002</v>
      </c>
      <c r="E7202">
        <v>15.9</v>
      </c>
    </row>
    <row r="7203" spans="1:5">
      <c r="A7203" t="s">
        <v>38534</v>
      </c>
      <c r="B7203" t="s">
        <v>38537</v>
      </c>
      <c r="C7203">
        <v>0</v>
      </c>
      <c r="D7203">
        <v>0.92371853080400002</v>
      </c>
      <c r="E7203">
        <v>15.9</v>
      </c>
    </row>
    <row r="7204" spans="1:5">
      <c r="A7204" t="s">
        <v>38534</v>
      </c>
      <c r="B7204" t="s">
        <v>38538</v>
      </c>
      <c r="C7204">
        <v>0</v>
      </c>
      <c r="D7204">
        <v>0.92371853080400002</v>
      </c>
      <c r="E7204">
        <v>15.9</v>
      </c>
    </row>
    <row r="7205" spans="1:5">
      <c r="A7205" t="s">
        <v>38534</v>
      </c>
      <c r="B7205" t="s">
        <v>38539</v>
      </c>
      <c r="C7205">
        <f>0.478765785792</f>
        <v>0.47876578579200002</v>
      </c>
      <c r="D7205">
        <v>0.92371853080400002</v>
      </c>
      <c r="E7205">
        <v>15.9</v>
      </c>
    </row>
    <row r="7206" spans="1:5">
      <c r="A7206" t="s">
        <v>38534</v>
      </c>
      <c r="B7206" t="s">
        <v>38540</v>
      </c>
      <c r="C7206">
        <f>0</f>
        <v>0</v>
      </c>
      <c r="D7206">
        <v>0.92371853080400002</v>
      </c>
      <c r="E7206">
        <v>15.9</v>
      </c>
    </row>
    <row r="7207" spans="1:5">
      <c r="A7207" t="s">
        <v>38541</v>
      </c>
      <c r="B7207" t="s">
        <v>33831</v>
      </c>
      <c r="C7207">
        <v>0.219182879799</v>
      </c>
      <c r="D7207">
        <v>0.98278252533099997</v>
      </c>
      <c r="E7207">
        <v>0.69599999999999995</v>
      </c>
    </row>
    <row r="7208" spans="1:5">
      <c r="A7208" t="s">
        <v>38541</v>
      </c>
      <c r="B7208" t="s">
        <v>33832</v>
      </c>
      <c r="C7208">
        <v>0.108923342509</v>
      </c>
      <c r="D7208">
        <v>0.98278252533099997</v>
      </c>
      <c r="E7208">
        <v>0.69599999999999995</v>
      </c>
    </row>
    <row r="7209" spans="1:5">
      <c r="A7209" t="s">
        <v>38541</v>
      </c>
      <c r="B7209" t="s">
        <v>33834</v>
      </c>
      <c r="C7209">
        <v>0.69633817528800002</v>
      </c>
      <c r="D7209">
        <v>0.98278252533099997</v>
      </c>
      <c r="E7209">
        <v>0.69599999999999995</v>
      </c>
    </row>
    <row r="7210" spans="1:5">
      <c r="A7210" t="s">
        <v>38542</v>
      </c>
      <c r="B7210" t="s">
        <v>38543</v>
      </c>
      <c r="C7210">
        <v>0.87346762574100001</v>
      </c>
      <c r="D7210">
        <v>0.87935499710200005</v>
      </c>
      <c r="E7210">
        <v>0.114</v>
      </c>
    </row>
    <row r="7211" spans="1:5">
      <c r="A7211" t="s">
        <v>38542</v>
      </c>
      <c r="B7211" t="s">
        <v>38544</v>
      </c>
      <c r="C7211">
        <v>0.296143080181</v>
      </c>
      <c r="D7211">
        <v>0.87935499710200005</v>
      </c>
      <c r="E7211">
        <v>0.114</v>
      </c>
    </row>
    <row r="7212" spans="1:5">
      <c r="A7212" t="s">
        <v>38545</v>
      </c>
      <c r="B7212" t="s">
        <v>38546</v>
      </c>
      <c r="C7212">
        <v>0</v>
      </c>
      <c r="D7212">
        <v>0.667013072022</v>
      </c>
      <c r="E7212">
        <v>7.4640000000000004</v>
      </c>
    </row>
    <row r="7213" spans="1:5">
      <c r="A7213" t="s">
        <v>38545</v>
      </c>
      <c r="B7213" t="s">
        <v>38547</v>
      </c>
      <c r="C7213">
        <v>0</v>
      </c>
      <c r="D7213">
        <v>0.667013072022</v>
      </c>
      <c r="E7213">
        <v>7.4640000000000004</v>
      </c>
    </row>
    <row r="7214" spans="1:5">
      <c r="A7214" t="s">
        <v>38545</v>
      </c>
      <c r="B7214" t="s">
        <v>38548</v>
      </c>
      <c r="C7214">
        <f>0.148603072022</f>
        <v>0.14860307202199999</v>
      </c>
      <c r="D7214">
        <v>0.667013072022</v>
      </c>
      <c r="E7214">
        <v>7.4640000000000004</v>
      </c>
    </row>
    <row r="7215" spans="1:5">
      <c r="A7215" t="s">
        <v>38545</v>
      </c>
      <c r="B7215" t="s">
        <v>38549</v>
      </c>
      <c r="C7215">
        <v>0</v>
      </c>
      <c r="D7215">
        <v>0.667013072022</v>
      </c>
      <c r="E7215">
        <v>7.4640000000000004</v>
      </c>
    </row>
    <row r="7216" spans="1:5">
      <c r="A7216" t="s">
        <v>38545</v>
      </c>
      <c r="B7216" t="s">
        <v>38550</v>
      </c>
      <c r="C7216">
        <v>0</v>
      </c>
      <c r="D7216">
        <v>0.667013072022</v>
      </c>
      <c r="E7216">
        <v>7.4640000000000004</v>
      </c>
    </row>
    <row r="7217" spans="1:5">
      <c r="A7217" t="s">
        <v>38545</v>
      </c>
      <c r="B7217" t="s">
        <v>38551</v>
      </c>
      <c r="C7217">
        <f>0</f>
        <v>0</v>
      </c>
      <c r="D7217">
        <v>0.667013072022</v>
      </c>
      <c r="E7217">
        <v>7.4640000000000004</v>
      </c>
    </row>
    <row r="7218" spans="1:5">
      <c r="A7218" t="s">
        <v>38545</v>
      </c>
      <c r="B7218" t="s">
        <v>38552</v>
      </c>
      <c r="C7218">
        <f>0</f>
        <v>0</v>
      </c>
      <c r="D7218">
        <v>0.667013072022</v>
      </c>
      <c r="E7218">
        <v>7.4640000000000004</v>
      </c>
    </row>
    <row r="7219" spans="1:5">
      <c r="A7219" t="s">
        <v>38553</v>
      </c>
      <c r="B7219" t="s">
        <v>16735</v>
      </c>
      <c r="C7219">
        <f>0</f>
        <v>0</v>
      </c>
      <c r="D7219" t="s">
        <v>106</v>
      </c>
      <c r="E7219">
        <v>18.768000000000001</v>
      </c>
    </row>
    <row r="7220" spans="1:5">
      <c r="A7220" t="s">
        <v>38553</v>
      </c>
      <c r="B7220" t="s">
        <v>16734</v>
      </c>
      <c r="C7220">
        <f>0</f>
        <v>0</v>
      </c>
      <c r="D7220" t="s">
        <v>106</v>
      </c>
      <c r="E7220">
        <v>18.768000000000001</v>
      </c>
    </row>
    <row r="7221" spans="1:5">
      <c r="A7221" t="s">
        <v>38553</v>
      </c>
      <c r="B7221" t="s">
        <v>16739</v>
      </c>
      <c r="C7221">
        <f>0</f>
        <v>0</v>
      </c>
      <c r="D7221" t="s">
        <v>106</v>
      </c>
      <c r="E7221">
        <v>18.768000000000001</v>
      </c>
    </row>
    <row r="7222" spans="1:5">
      <c r="A7222" t="s">
        <v>38553</v>
      </c>
      <c r="B7222" t="s">
        <v>16737</v>
      </c>
      <c r="C7222">
        <f>0</f>
        <v>0</v>
      </c>
      <c r="D7222" t="s">
        <v>106</v>
      </c>
      <c r="E7222">
        <v>18.768000000000001</v>
      </c>
    </row>
    <row r="7223" spans="1:5">
      <c r="A7223" t="s">
        <v>38554</v>
      </c>
      <c r="B7223" t="s">
        <v>38555</v>
      </c>
      <c r="C7223">
        <f>0.241959305881</f>
        <v>0.24195930588100001</v>
      </c>
      <c r="D7223">
        <v>0.43556930588100001</v>
      </c>
      <c r="E7223">
        <v>8.4359999999999999</v>
      </c>
    </row>
    <row r="7224" spans="1:5">
      <c r="A7224" t="s">
        <v>38554</v>
      </c>
      <c r="B7224" t="s">
        <v>38556</v>
      </c>
      <c r="C7224">
        <v>0</v>
      </c>
      <c r="D7224">
        <v>0.43556930588100001</v>
      </c>
      <c r="E7224">
        <v>8.4359999999999999</v>
      </c>
    </row>
    <row r="7225" spans="1:5">
      <c r="A7225" t="s">
        <v>38557</v>
      </c>
      <c r="B7225" t="s">
        <v>38558</v>
      </c>
      <c r="C7225">
        <v>0</v>
      </c>
      <c r="D7225">
        <v>0.393162465929</v>
      </c>
      <c r="E7225">
        <v>12.39</v>
      </c>
    </row>
    <row r="7226" spans="1:5">
      <c r="A7226" t="s">
        <v>38557</v>
      </c>
      <c r="B7226" t="s">
        <v>38559</v>
      </c>
      <c r="C7226">
        <f>0</f>
        <v>0</v>
      </c>
      <c r="D7226">
        <v>0.393162465929</v>
      </c>
      <c r="E7226">
        <v>12.39</v>
      </c>
    </row>
    <row r="7227" spans="1:5">
      <c r="A7227" t="s">
        <v>38557</v>
      </c>
      <c r="B7227" t="s">
        <v>38560</v>
      </c>
      <c r="C7227">
        <v>7.9552465929499994E-2</v>
      </c>
      <c r="D7227">
        <v>0.393162465929</v>
      </c>
      <c r="E7227">
        <v>12.39</v>
      </c>
    </row>
    <row r="7228" spans="1:5">
      <c r="A7228" t="s">
        <v>38561</v>
      </c>
      <c r="B7228" t="s">
        <v>38562</v>
      </c>
      <c r="C7228">
        <v>0</v>
      </c>
      <c r="D7228">
        <v>0.93127818421899999</v>
      </c>
      <c r="E7228">
        <v>3.1379999999999999</v>
      </c>
    </row>
    <row r="7229" spans="1:5">
      <c r="A7229" t="s">
        <v>38561</v>
      </c>
      <c r="B7229" t="s">
        <v>38563</v>
      </c>
      <c r="C7229">
        <v>0.122855774025</v>
      </c>
      <c r="D7229">
        <v>0.93127818421899999</v>
      </c>
      <c r="E7229">
        <v>3.1379999999999999</v>
      </c>
    </row>
    <row r="7230" spans="1:5">
      <c r="A7230" t="s">
        <v>38561</v>
      </c>
      <c r="B7230" t="s">
        <v>38564</v>
      </c>
      <c r="C7230">
        <v>2.71895403679E-2</v>
      </c>
      <c r="D7230">
        <v>0.93127818421899999</v>
      </c>
      <c r="E7230">
        <v>3.1379999999999999</v>
      </c>
    </row>
    <row r="7231" spans="1:5">
      <c r="A7231" t="s">
        <v>38561</v>
      </c>
      <c r="B7231" t="s">
        <v>38565</v>
      </c>
      <c r="C7231">
        <v>0.81527696462699994</v>
      </c>
      <c r="D7231">
        <v>0.93127818421899999</v>
      </c>
      <c r="E7231">
        <v>3.1379999999999999</v>
      </c>
    </row>
    <row r="7232" spans="1:5">
      <c r="A7232" t="s">
        <v>38566</v>
      </c>
      <c r="B7232" t="s">
        <v>7400</v>
      </c>
      <c r="C7232">
        <v>0.59411841490200001</v>
      </c>
      <c r="D7232">
        <v>0.74296909530099997</v>
      </c>
      <c r="E7232">
        <v>0.69599999999999995</v>
      </c>
    </row>
    <row r="7233" spans="1:5">
      <c r="A7233" t="s">
        <v>38566</v>
      </c>
      <c r="B7233" t="s">
        <v>7404</v>
      </c>
      <c r="C7233">
        <v>5.0617801317599999E-2</v>
      </c>
      <c r="D7233">
        <v>0.74296909530099997</v>
      </c>
      <c r="E7233">
        <v>0.69599999999999995</v>
      </c>
    </row>
    <row r="7234" spans="1:5">
      <c r="A7234" t="s">
        <v>38566</v>
      </c>
      <c r="B7234" t="s">
        <v>7403</v>
      </c>
      <c r="C7234">
        <v>0.29303959953100001</v>
      </c>
      <c r="D7234">
        <v>0.74296909530099997</v>
      </c>
      <c r="E7234">
        <v>0.69599999999999995</v>
      </c>
    </row>
    <row r="7235" spans="1:5">
      <c r="A7235" t="s">
        <v>38567</v>
      </c>
      <c r="B7235" t="s">
        <v>38568</v>
      </c>
      <c r="C7235">
        <v>0.23737982594000001</v>
      </c>
      <c r="D7235">
        <v>0.99122542461300001</v>
      </c>
      <c r="E7235">
        <v>0</v>
      </c>
    </row>
    <row r="7236" spans="1:5">
      <c r="A7236" t="s">
        <v>38567</v>
      </c>
      <c r="B7236" t="s">
        <v>38569</v>
      </c>
      <c r="C7236">
        <f>0.342159545169</f>
        <v>0.34215954516899999</v>
      </c>
      <c r="D7236">
        <v>0.99122542461300001</v>
      </c>
      <c r="E7236">
        <v>0</v>
      </c>
    </row>
    <row r="7237" spans="1:5">
      <c r="A7237" t="s">
        <v>38567</v>
      </c>
      <c r="B7237" t="s">
        <v>38570</v>
      </c>
      <c r="C7237">
        <v>0.59440317557599998</v>
      </c>
      <c r="D7237">
        <v>0.99122542461300001</v>
      </c>
      <c r="E7237">
        <v>0</v>
      </c>
    </row>
    <row r="7238" spans="1:5">
      <c r="A7238" t="s">
        <v>38567</v>
      </c>
      <c r="B7238" t="s">
        <v>38571</v>
      </c>
      <c r="C7238">
        <v>0.53133874674100001</v>
      </c>
      <c r="D7238">
        <v>0.99122542461300001</v>
      </c>
      <c r="E7238">
        <v>0</v>
      </c>
    </row>
    <row r="7239" spans="1:5">
      <c r="A7239" t="s">
        <v>38567</v>
      </c>
      <c r="B7239" t="s">
        <v>38572</v>
      </c>
      <c r="C7239">
        <f>-1.17208326298</f>
        <v>-1.17208326298</v>
      </c>
      <c r="D7239">
        <v>0.99122542461300001</v>
      </c>
      <c r="E7239">
        <v>0</v>
      </c>
    </row>
    <row r="7240" spans="1:5">
      <c r="A7240" t="s">
        <v>38567</v>
      </c>
      <c r="B7240" t="s">
        <v>38573</v>
      </c>
      <c r="C7240">
        <v>0.93264479418500001</v>
      </c>
      <c r="D7240">
        <v>0.99122542461300001</v>
      </c>
      <c r="E7240">
        <v>0</v>
      </c>
    </row>
    <row r="7241" spans="1:5">
      <c r="A7241" t="s">
        <v>38574</v>
      </c>
      <c r="B7241" t="s">
        <v>38575</v>
      </c>
      <c r="C7241">
        <v>0.30926257034100002</v>
      </c>
      <c r="D7241">
        <v>0.916204380303</v>
      </c>
      <c r="E7241">
        <v>2.802</v>
      </c>
    </row>
    <row r="7242" spans="1:5">
      <c r="A7242" t="s">
        <v>38574</v>
      </c>
      <c r="B7242" t="s">
        <v>38576</v>
      </c>
      <c r="C7242">
        <f>0.039291568822</f>
        <v>3.9291568822000002E-2</v>
      </c>
      <c r="D7242">
        <v>0.916204380303</v>
      </c>
      <c r="E7242">
        <v>2.802</v>
      </c>
    </row>
    <row r="7243" spans="1:5">
      <c r="A7243" t="s">
        <v>38574</v>
      </c>
      <c r="B7243" t="s">
        <v>38577</v>
      </c>
      <c r="C7243">
        <f>0.151023180176</f>
        <v>0.151023180176</v>
      </c>
      <c r="D7243">
        <v>0.916204380303</v>
      </c>
      <c r="E7243">
        <v>2.802</v>
      </c>
    </row>
    <row r="7244" spans="1:5">
      <c r="A7244" t="s">
        <v>38574</v>
      </c>
      <c r="B7244" t="s">
        <v>38578</v>
      </c>
      <c r="C7244">
        <v>0</v>
      </c>
      <c r="D7244">
        <v>0.916204380303</v>
      </c>
      <c r="E7244">
        <v>2.802</v>
      </c>
    </row>
    <row r="7245" spans="1:5">
      <c r="A7245" t="s">
        <v>38574</v>
      </c>
      <c r="B7245" t="s">
        <v>38579</v>
      </c>
      <c r="C7245">
        <f>0</f>
        <v>0</v>
      </c>
      <c r="D7245">
        <v>0.916204380303</v>
      </c>
      <c r="E7245">
        <v>2.802</v>
      </c>
    </row>
    <row r="7246" spans="1:5">
      <c r="A7246" t="s">
        <v>38574</v>
      </c>
      <c r="B7246" t="s">
        <v>38580</v>
      </c>
      <c r="C7246">
        <f>0</f>
        <v>0</v>
      </c>
      <c r="D7246">
        <v>0.916204380303</v>
      </c>
      <c r="E7246">
        <v>2.802</v>
      </c>
    </row>
    <row r="7247" spans="1:5">
      <c r="A7247" t="s">
        <v>38574</v>
      </c>
      <c r="B7247" t="s">
        <v>38581</v>
      </c>
      <c r="C7247">
        <f>0</f>
        <v>0</v>
      </c>
      <c r="D7247">
        <v>0.916204380303</v>
      </c>
      <c r="E7247">
        <v>2.802</v>
      </c>
    </row>
    <row r="7248" spans="1:5">
      <c r="A7248" t="s">
        <v>38574</v>
      </c>
      <c r="B7248" t="s">
        <v>38582</v>
      </c>
      <c r="C7248">
        <f>0.383509127525</f>
        <v>0.38350912752499999</v>
      </c>
      <c r="D7248">
        <v>0.916204380303</v>
      </c>
      <c r="E7248">
        <v>2.802</v>
      </c>
    </row>
    <row r="7249" spans="1:5">
      <c r="A7249" t="s">
        <v>38574</v>
      </c>
      <c r="B7249" t="s">
        <v>38583</v>
      </c>
      <c r="C7249">
        <f>0</f>
        <v>0</v>
      </c>
      <c r="D7249">
        <v>0.916204380303</v>
      </c>
      <c r="E7249">
        <v>2.802</v>
      </c>
    </row>
    <row r="7250" spans="1:5">
      <c r="A7250" t="s">
        <v>38584</v>
      </c>
      <c r="B7250" t="s">
        <v>38585</v>
      </c>
      <c r="C7250">
        <v>0</v>
      </c>
      <c r="D7250">
        <v>0.46466616262400001</v>
      </c>
      <c r="E7250">
        <v>24</v>
      </c>
    </row>
    <row r="7251" spans="1:5">
      <c r="A7251" t="s">
        <v>38584</v>
      </c>
      <c r="B7251" t="s">
        <v>38586</v>
      </c>
      <c r="C7251">
        <f>0.104656162624</f>
        <v>0.104656162624</v>
      </c>
      <c r="D7251">
        <v>0.46466616262400001</v>
      </c>
      <c r="E7251">
        <v>24</v>
      </c>
    </row>
    <row r="7252" spans="1:5">
      <c r="A7252" t="s">
        <v>38587</v>
      </c>
      <c r="B7252" t="s">
        <v>21217</v>
      </c>
      <c r="C7252">
        <f>0</f>
        <v>0</v>
      </c>
      <c r="D7252" t="s">
        <v>106</v>
      </c>
      <c r="E7252">
        <v>5.1239999999999997</v>
      </c>
    </row>
    <row r="7253" spans="1:5">
      <c r="A7253" t="s">
        <v>38587</v>
      </c>
      <c r="B7253" t="s">
        <v>21219</v>
      </c>
      <c r="C7253">
        <v>0</v>
      </c>
      <c r="D7253" t="s">
        <v>106</v>
      </c>
      <c r="E7253">
        <v>5.1239999999999997</v>
      </c>
    </row>
    <row r="7254" spans="1:5">
      <c r="A7254" t="s">
        <v>38587</v>
      </c>
      <c r="B7254" t="s">
        <v>21220</v>
      </c>
      <c r="C7254">
        <v>0</v>
      </c>
      <c r="D7254" t="s">
        <v>106</v>
      </c>
      <c r="E7254">
        <v>5.1239999999999997</v>
      </c>
    </row>
    <row r="7255" spans="1:5">
      <c r="A7255" t="s">
        <v>38587</v>
      </c>
      <c r="B7255" t="s">
        <v>21218</v>
      </c>
      <c r="C7255">
        <f>0</f>
        <v>0</v>
      </c>
      <c r="D7255" t="s">
        <v>106</v>
      </c>
      <c r="E7255">
        <v>5.1239999999999997</v>
      </c>
    </row>
    <row r="7256" spans="1:5">
      <c r="A7256" t="s">
        <v>38587</v>
      </c>
      <c r="B7256" t="s">
        <v>21216</v>
      </c>
      <c r="C7256">
        <f>0</f>
        <v>0</v>
      </c>
      <c r="D7256" t="s">
        <v>106</v>
      </c>
      <c r="E7256">
        <v>5.1239999999999997</v>
      </c>
    </row>
    <row r="7257" spans="1:5">
      <c r="A7257" t="s">
        <v>38588</v>
      </c>
      <c r="B7257" t="s">
        <v>38589</v>
      </c>
      <c r="C7257">
        <f>0.978953971674</f>
        <v>0.978953971674</v>
      </c>
      <c r="D7257">
        <v>0.96654402787399996</v>
      </c>
      <c r="E7257">
        <v>4.6920000000000002</v>
      </c>
    </row>
    <row r="7258" spans="1:5">
      <c r="A7258" t="s">
        <v>38588</v>
      </c>
      <c r="B7258" t="s">
        <v>38590</v>
      </c>
      <c r="C7258">
        <v>0.26887784577200002</v>
      </c>
      <c r="D7258">
        <v>0.96654402787399996</v>
      </c>
      <c r="E7258">
        <v>4.6920000000000002</v>
      </c>
    </row>
    <row r="7259" spans="1:5">
      <c r="A7259" t="s">
        <v>38588</v>
      </c>
      <c r="B7259" t="s">
        <v>38591</v>
      </c>
      <c r="C7259">
        <f>-1.17269122783</f>
        <v>-1.1726912278299999</v>
      </c>
      <c r="D7259">
        <v>0.96654402787399996</v>
      </c>
      <c r="E7259">
        <v>4.6920000000000002</v>
      </c>
    </row>
    <row r="7260" spans="1:5">
      <c r="A7260" t="s">
        <v>38588</v>
      </c>
      <c r="B7260" t="s">
        <v>38592</v>
      </c>
      <c r="C7260">
        <v>0.43482065553100002</v>
      </c>
      <c r="D7260">
        <v>0.96654402787399996</v>
      </c>
      <c r="E7260">
        <v>4.6920000000000002</v>
      </c>
    </row>
    <row r="7261" spans="1:5">
      <c r="A7261" t="s">
        <v>38593</v>
      </c>
      <c r="B7261" t="s">
        <v>10681</v>
      </c>
      <c r="C7261">
        <v>0.65122974653200005</v>
      </c>
      <c r="D7261">
        <v>0.98706111031900001</v>
      </c>
      <c r="E7261">
        <v>14.37</v>
      </c>
    </row>
    <row r="7262" spans="1:5">
      <c r="A7262" t="s">
        <v>38593</v>
      </c>
      <c r="B7262" t="s">
        <v>10680</v>
      </c>
      <c r="C7262">
        <v>0</v>
      </c>
      <c r="D7262">
        <v>0.98706111031900001</v>
      </c>
      <c r="E7262">
        <v>14.37</v>
      </c>
    </row>
    <row r="7263" spans="1:5">
      <c r="A7263" t="s">
        <v>38593</v>
      </c>
      <c r="B7263" t="s">
        <v>10682</v>
      </c>
      <c r="C7263">
        <v>0.54820695847199996</v>
      </c>
      <c r="D7263">
        <v>0.98706111031900001</v>
      </c>
      <c r="E7263">
        <v>14.37</v>
      </c>
    </row>
    <row r="7264" spans="1:5">
      <c r="A7264" t="s">
        <v>38593</v>
      </c>
      <c r="B7264" t="s">
        <v>10683</v>
      </c>
      <c r="C7264">
        <v>0.52030037128100004</v>
      </c>
      <c r="D7264">
        <v>0.98706111031900001</v>
      </c>
      <c r="E7264">
        <v>14.37</v>
      </c>
    </row>
    <row r="7265" spans="1:5">
      <c r="A7265" t="s">
        <v>38594</v>
      </c>
      <c r="B7265" t="s">
        <v>33846</v>
      </c>
      <c r="C7265">
        <v>0.46250804744000001</v>
      </c>
      <c r="D7265">
        <v>0.92305666866900005</v>
      </c>
      <c r="E7265">
        <v>3.2280000000000002</v>
      </c>
    </row>
    <row r="7266" spans="1:5">
      <c r="A7266" t="s">
        <v>38594</v>
      </c>
      <c r="B7266" t="s">
        <v>33845</v>
      </c>
      <c r="C7266">
        <v>0.51487878268800003</v>
      </c>
      <c r="D7266">
        <v>0.92305666866900005</v>
      </c>
      <c r="E7266">
        <v>3.2280000000000002</v>
      </c>
    </row>
    <row r="7267" spans="1:5">
      <c r="A7267" t="s">
        <v>38595</v>
      </c>
      <c r="B7267" t="s">
        <v>29715</v>
      </c>
      <c r="C7267">
        <f>0.276821754747</f>
        <v>0.27682175474699999</v>
      </c>
      <c r="D7267">
        <v>0.92597208229299999</v>
      </c>
      <c r="E7267">
        <v>24</v>
      </c>
    </row>
    <row r="7268" spans="1:5">
      <c r="A7268" t="s">
        <v>38595</v>
      </c>
      <c r="B7268" t="s">
        <v>29716</v>
      </c>
      <c r="C7268">
        <v>0.97258615237099999</v>
      </c>
      <c r="D7268">
        <v>0.92597208229299999</v>
      </c>
      <c r="E7268">
        <v>24</v>
      </c>
    </row>
    <row r="7269" spans="1:5">
      <c r="A7269" t="s">
        <v>38596</v>
      </c>
      <c r="B7269" t="s">
        <v>38597</v>
      </c>
      <c r="C7269">
        <f>0</f>
        <v>0</v>
      </c>
      <c r="D7269" t="s">
        <v>106</v>
      </c>
      <c r="E7269">
        <v>7.0679999999999996</v>
      </c>
    </row>
    <row r="7270" spans="1:5">
      <c r="A7270" t="s">
        <v>38596</v>
      </c>
      <c r="B7270" t="s">
        <v>38598</v>
      </c>
      <c r="C7270">
        <v>0</v>
      </c>
      <c r="D7270" t="s">
        <v>106</v>
      </c>
      <c r="E7270">
        <v>7.0679999999999996</v>
      </c>
    </row>
    <row r="7271" spans="1:5">
      <c r="A7271" t="s">
        <v>38596</v>
      </c>
      <c r="B7271" t="s">
        <v>38599</v>
      </c>
      <c r="C7271">
        <v>0</v>
      </c>
      <c r="D7271" t="s">
        <v>106</v>
      </c>
      <c r="E7271">
        <v>7.0679999999999996</v>
      </c>
    </row>
    <row r="7272" spans="1:5">
      <c r="A7272" t="s">
        <v>38600</v>
      </c>
      <c r="B7272" t="s">
        <v>7418</v>
      </c>
      <c r="C7272">
        <v>0.69954509359499994</v>
      </c>
      <c r="D7272">
        <v>0.82963733778100002</v>
      </c>
      <c r="E7272">
        <v>23.754000000000001</v>
      </c>
    </row>
    <row r="7273" spans="1:5">
      <c r="A7273" t="s">
        <v>38600</v>
      </c>
      <c r="B7273" t="s">
        <v>7419</v>
      </c>
      <c r="C7273">
        <v>0.13475833405900001</v>
      </c>
      <c r="D7273">
        <v>0.82963733778100002</v>
      </c>
      <c r="E7273">
        <v>23.754000000000001</v>
      </c>
    </row>
    <row r="7274" spans="1:5">
      <c r="A7274" t="s">
        <v>38601</v>
      </c>
      <c r="B7274" t="s">
        <v>2252</v>
      </c>
      <c r="C7274">
        <v>0.779251170587</v>
      </c>
      <c r="D7274">
        <v>0.881661170587</v>
      </c>
      <c r="E7274">
        <v>1.512</v>
      </c>
    </row>
    <row r="7275" spans="1:5">
      <c r="A7275" t="s">
        <v>38601</v>
      </c>
      <c r="B7275" t="s">
        <v>2253</v>
      </c>
      <c r="C7275">
        <f>0</f>
        <v>0</v>
      </c>
      <c r="D7275">
        <v>0.881661170587</v>
      </c>
      <c r="E7275">
        <v>1.512</v>
      </c>
    </row>
    <row r="7276" spans="1:5">
      <c r="A7276" t="s">
        <v>38602</v>
      </c>
      <c r="B7276" t="s">
        <v>33739</v>
      </c>
      <c r="C7276">
        <f>0.675882526705</f>
        <v>0.67588252670500004</v>
      </c>
      <c r="D7276">
        <v>0.82186578012800005</v>
      </c>
      <c r="E7276">
        <v>23.754000000000001</v>
      </c>
    </row>
    <row r="7277" spans="1:5">
      <c r="A7277" t="s">
        <v>38602</v>
      </c>
      <c r="B7277" t="s">
        <v>33741</v>
      </c>
      <c r="C7277">
        <v>0.41151889979</v>
      </c>
      <c r="D7277">
        <v>0.82186578012800005</v>
      </c>
      <c r="E7277">
        <v>23.754000000000001</v>
      </c>
    </row>
    <row r="7278" spans="1:5">
      <c r="A7278" t="s">
        <v>38602</v>
      </c>
      <c r="B7278" t="s">
        <v>33743</v>
      </c>
      <c r="C7278">
        <v>0</v>
      </c>
      <c r="D7278">
        <v>0.82186578012800005</v>
      </c>
      <c r="E7278">
        <v>23.754000000000001</v>
      </c>
    </row>
    <row r="7279" spans="1:5">
      <c r="A7279" t="s">
        <v>38602</v>
      </c>
      <c r="B7279" t="s">
        <v>33737</v>
      </c>
      <c r="C7279">
        <f>0.616251930606</f>
        <v>0.61625193060600003</v>
      </c>
      <c r="D7279">
        <v>0.82186578012800005</v>
      </c>
      <c r="E7279">
        <v>23.754000000000001</v>
      </c>
    </row>
    <row r="7280" spans="1:5">
      <c r="A7280" t="s">
        <v>38603</v>
      </c>
      <c r="B7280" t="s">
        <v>38604</v>
      </c>
      <c r="C7280">
        <v>0</v>
      </c>
      <c r="D7280" t="s">
        <v>106</v>
      </c>
      <c r="E7280">
        <v>4.8000000000000001E-2</v>
      </c>
    </row>
    <row r="7281" spans="1:5">
      <c r="A7281" t="s">
        <v>38603</v>
      </c>
      <c r="B7281" t="s">
        <v>38605</v>
      </c>
      <c r="C7281">
        <f>0</f>
        <v>0</v>
      </c>
      <c r="D7281" t="s">
        <v>106</v>
      </c>
      <c r="E7281">
        <v>4.8000000000000001E-2</v>
      </c>
    </row>
    <row r="7282" spans="1:5">
      <c r="A7282" t="s">
        <v>38603</v>
      </c>
      <c r="B7282" t="s">
        <v>38606</v>
      </c>
      <c r="C7282">
        <f>0</f>
        <v>0</v>
      </c>
      <c r="D7282" t="s">
        <v>106</v>
      </c>
      <c r="E7282">
        <v>4.8000000000000001E-2</v>
      </c>
    </row>
    <row r="7283" spans="1:5">
      <c r="A7283" t="s">
        <v>38607</v>
      </c>
      <c r="B7283" t="s">
        <v>1613</v>
      </c>
      <c r="C7283">
        <f>0</f>
        <v>0</v>
      </c>
      <c r="D7283">
        <v>0.74252289805299998</v>
      </c>
      <c r="E7283">
        <v>2.1059999999999999</v>
      </c>
    </row>
    <row r="7284" spans="1:5">
      <c r="A7284" t="s">
        <v>38607</v>
      </c>
      <c r="B7284" t="s">
        <v>1621</v>
      </c>
      <c r="C7284">
        <v>7.6277354954899998E-2</v>
      </c>
      <c r="D7284">
        <v>0.74252289805299998</v>
      </c>
      <c r="E7284">
        <v>2.1059999999999999</v>
      </c>
    </row>
    <row r="7285" spans="1:5">
      <c r="A7285" t="s">
        <v>38607</v>
      </c>
      <c r="B7285" t="s">
        <v>1620</v>
      </c>
      <c r="C7285">
        <v>0</v>
      </c>
      <c r="D7285">
        <v>0.74252289805299998</v>
      </c>
      <c r="E7285">
        <v>2.1059999999999999</v>
      </c>
    </row>
    <row r="7286" spans="1:5">
      <c r="A7286" t="s">
        <v>38607</v>
      </c>
      <c r="B7286" t="s">
        <v>1618</v>
      </c>
      <c r="C7286">
        <f>0</f>
        <v>0</v>
      </c>
      <c r="D7286">
        <v>0.74252289805299998</v>
      </c>
      <c r="E7286">
        <v>2.1059999999999999</v>
      </c>
    </row>
    <row r="7287" spans="1:5">
      <c r="A7287" t="s">
        <v>38607</v>
      </c>
      <c r="B7287" t="s">
        <v>1617</v>
      </c>
      <c r="C7287">
        <v>0.41054983662700001</v>
      </c>
      <c r="D7287">
        <v>0.74252289805299998</v>
      </c>
      <c r="E7287">
        <v>2.1059999999999999</v>
      </c>
    </row>
    <row r="7288" spans="1:5">
      <c r="A7288" t="s">
        <v>38608</v>
      </c>
      <c r="B7288" t="s">
        <v>38609</v>
      </c>
      <c r="C7288">
        <f>-1.09334229452</f>
        <v>-1.09334229452</v>
      </c>
      <c r="D7288">
        <v>0.999997315587</v>
      </c>
      <c r="E7288">
        <v>0.438</v>
      </c>
    </row>
    <row r="7289" spans="1:5">
      <c r="A7289" t="s">
        <v>38608</v>
      </c>
      <c r="B7289" t="s">
        <v>38610</v>
      </c>
      <c r="C7289">
        <f>0.426935925135</f>
        <v>0.42693592513500001</v>
      </c>
      <c r="D7289">
        <v>0.999997315587</v>
      </c>
      <c r="E7289">
        <v>0.438</v>
      </c>
    </row>
    <row r="7290" spans="1:5">
      <c r="A7290" t="s">
        <v>38608</v>
      </c>
      <c r="B7290" t="s">
        <v>38611</v>
      </c>
      <c r="C7290">
        <v>1.4691433761199999</v>
      </c>
      <c r="D7290">
        <v>0.999997315587</v>
      </c>
      <c r="E7290">
        <v>0.438</v>
      </c>
    </row>
    <row r="7291" spans="1:5">
      <c r="A7291" t="s">
        <v>38608</v>
      </c>
      <c r="B7291" t="s">
        <v>38612</v>
      </c>
      <c r="C7291">
        <v>0.85855666671899999</v>
      </c>
      <c r="D7291">
        <v>0.999997315587</v>
      </c>
      <c r="E7291">
        <v>0.438</v>
      </c>
    </row>
    <row r="7292" spans="1:5">
      <c r="A7292" t="s">
        <v>38608</v>
      </c>
      <c r="B7292" t="s">
        <v>38613</v>
      </c>
      <c r="C7292">
        <v>0.22553891759200001</v>
      </c>
      <c r="D7292">
        <v>0.999997315587</v>
      </c>
      <c r="E7292">
        <v>0.438</v>
      </c>
    </row>
    <row r="7293" spans="1:5">
      <c r="A7293" t="s">
        <v>38608</v>
      </c>
      <c r="B7293" t="s">
        <v>38614</v>
      </c>
      <c r="C7293">
        <v>0.97227559050900003</v>
      </c>
      <c r="D7293">
        <v>0.999997315587</v>
      </c>
      <c r="E7293">
        <v>0.438</v>
      </c>
    </row>
    <row r="7294" spans="1:5">
      <c r="A7294" t="s">
        <v>38615</v>
      </c>
      <c r="B7294" t="s">
        <v>38616</v>
      </c>
      <c r="C7294">
        <v>0</v>
      </c>
      <c r="D7294" t="s">
        <v>106</v>
      </c>
      <c r="E7294">
        <v>24</v>
      </c>
    </row>
    <row r="7295" spans="1:5">
      <c r="A7295" t="s">
        <v>38615</v>
      </c>
      <c r="B7295" t="s">
        <v>38617</v>
      </c>
      <c r="C7295">
        <v>0</v>
      </c>
      <c r="D7295" t="s">
        <v>106</v>
      </c>
      <c r="E7295">
        <v>24</v>
      </c>
    </row>
    <row r="7296" spans="1:5">
      <c r="A7296" t="s">
        <v>38615</v>
      </c>
      <c r="B7296" t="s">
        <v>38618</v>
      </c>
      <c r="C7296">
        <v>0</v>
      </c>
      <c r="D7296" t="s">
        <v>106</v>
      </c>
      <c r="E7296">
        <v>24</v>
      </c>
    </row>
    <row r="7297" spans="1:5">
      <c r="A7297" t="s">
        <v>38615</v>
      </c>
      <c r="B7297" t="s">
        <v>38619</v>
      </c>
      <c r="C7297">
        <v>0</v>
      </c>
      <c r="D7297" t="s">
        <v>106</v>
      </c>
      <c r="E7297">
        <v>24</v>
      </c>
    </row>
    <row r="7298" spans="1:5">
      <c r="A7298" t="s">
        <v>38615</v>
      </c>
      <c r="B7298" t="s">
        <v>38620</v>
      </c>
      <c r="C7298">
        <v>0</v>
      </c>
      <c r="D7298" t="s">
        <v>106</v>
      </c>
      <c r="E7298">
        <v>24</v>
      </c>
    </row>
    <row r="7299" spans="1:5">
      <c r="A7299" t="s">
        <v>38615</v>
      </c>
      <c r="B7299" t="s">
        <v>38621</v>
      </c>
      <c r="C7299">
        <f>0</f>
        <v>0</v>
      </c>
      <c r="D7299" t="s">
        <v>106</v>
      </c>
      <c r="E7299">
        <v>24</v>
      </c>
    </row>
    <row r="7300" spans="1:5">
      <c r="A7300" t="s">
        <v>38615</v>
      </c>
      <c r="B7300" t="s">
        <v>38622</v>
      </c>
      <c r="C7300">
        <f>0</f>
        <v>0</v>
      </c>
      <c r="D7300" t="s">
        <v>106</v>
      </c>
      <c r="E7300">
        <v>24</v>
      </c>
    </row>
    <row r="7301" spans="1:5">
      <c r="A7301" t="s">
        <v>38615</v>
      </c>
      <c r="B7301" t="s">
        <v>38623</v>
      </c>
      <c r="C7301">
        <v>0</v>
      </c>
      <c r="D7301" t="s">
        <v>106</v>
      </c>
      <c r="E7301">
        <v>24</v>
      </c>
    </row>
    <row r="7302" spans="1:5">
      <c r="A7302" t="s">
        <v>38615</v>
      </c>
      <c r="B7302" t="s">
        <v>38624</v>
      </c>
      <c r="C7302">
        <f>0</f>
        <v>0</v>
      </c>
      <c r="D7302" t="s">
        <v>106</v>
      </c>
      <c r="E7302">
        <v>24</v>
      </c>
    </row>
    <row r="7303" spans="1:5">
      <c r="A7303" t="s">
        <v>38625</v>
      </c>
      <c r="B7303" t="s">
        <v>15299</v>
      </c>
      <c r="C7303">
        <f>0</f>
        <v>0</v>
      </c>
      <c r="D7303">
        <v>0.61925228778100005</v>
      </c>
      <c r="E7303">
        <v>24</v>
      </c>
    </row>
    <row r="7304" spans="1:5">
      <c r="A7304" t="s">
        <v>38625</v>
      </c>
      <c r="B7304" t="s">
        <v>15303</v>
      </c>
      <c r="C7304">
        <v>0</v>
      </c>
      <c r="D7304">
        <v>0.61925228778100005</v>
      </c>
      <c r="E7304">
        <v>24</v>
      </c>
    </row>
    <row r="7305" spans="1:5">
      <c r="A7305" t="s">
        <v>38625</v>
      </c>
      <c r="B7305" t="s">
        <v>15301</v>
      </c>
      <c r="C7305">
        <v>0.42564228778099999</v>
      </c>
      <c r="D7305">
        <v>0.61925228778100005</v>
      </c>
      <c r="E7305">
        <v>24</v>
      </c>
    </row>
    <row r="7306" spans="1:5">
      <c r="A7306" t="s">
        <v>38626</v>
      </c>
      <c r="B7306" t="s">
        <v>38627</v>
      </c>
      <c r="C7306">
        <v>0.61242800199000003</v>
      </c>
      <c r="D7306">
        <v>0.79755553315600003</v>
      </c>
      <c r="E7306">
        <v>2.964</v>
      </c>
    </row>
    <row r="7307" spans="1:5">
      <c r="A7307" t="s">
        <v>38626</v>
      </c>
      <c r="B7307" t="s">
        <v>38628</v>
      </c>
      <c r="C7307">
        <f>0.421345599708</f>
        <v>0.42134559970800001</v>
      </c>
      <c r="D7307">
        <v>0.79755553315600003</v>
      </c>
      <c r="E7307">
        <v>2.964</v>
      </c>
    </row>
    <row r="7308" spans="1:5">
      <c r="A7308" t="s">
        <v>38626</v>
      </c>
      <c r="B7308" t="s">
        <v>38629</v>
      </c>
      <c r="C7308">
        <v>0</v>
      </c>
      <c r="D7308">
        <v>0.79755553315600003</v>
      </c>
      <c r="E7308">
        <v>2.964</v>
      </c>
    </row>
    <row r="7309" spans="1:5">
      <c r="A7309" t="s">
        <v>38630</v>
      </c>
      <c r="B7309" t="s">
        <v>38631</v>
      </c>
      <c r="C7309">
        <v>0</v>
      </c>
      <c r="D7309" t="s">
        <v>106</v>
      </c>
      <c r="E7309">
        <v>24</v>
      </c>
    </row>
    <row r="7310" spans="1:5">
      <c r="A7310" t="s">
        <v>38630</v>
      </c>
      <c r="B7310" t="s">
        <v>38632</v>
      </c>
      <c r="C7310">
        <v>0</v>
      </c>
      <c r="D7310" t="s">
        <v>106</v>
      </c>
      <c r="E7310">
        <v>24</v>
      </c>
    </row>
    <row r="7311" spans="1:5">
      <c r="A7311" t="s">
        <v>38630</v>
      </c>
      <c r="B7311" t="s">
        <v>38633</v>
      </c>
      <c r="C7311">
        <v>0</v>
      </c>
      <c r="D7311" t="s">
        <v>106</v>
      </c>
      <c r="E7311">
        <v>24</v>
      </c>
    </row>
    <row r="7312" spans="1:5">
      <c r="A7312" t="s">
        <v>38634</v>
      </c>
      <c r="B7312" t="s">
        <v>17884</v>
      </c>
      <c r="C7312">
        <v>0</v>
      </c>
      <c r="D7312">
        <v>0.97969303509799999</v>
      </c>
      <c r="E7312">
        <v>24</v>
      </c>
    </row>
    <row r="7313" spans="1:5">
      <c r="A7313" t="s">
        <v>38634</v>
      </c>
      <c r="B7313" t="s">
        <v>17888</v>
      </c>
      <c r="C7313">
        <f>0.574098688997</f>
        <v>0.57409868899700001</v>
      </c>
      <c r="D7313">
        <v>0.97969303509799999</v>
      </c>
      <c r="E7313">
        <v>24</v>
      </c>
    </row>
    <row r="7314" spans="1:5">
      <c r="A7314" t="s">
        <v>38634</v>
      </c>
      <c r="B7314" t="s">
        <v>17890</v>
      </c>
      <c r="C7314">
        <v>0</v>
      </c>
      <c r="D7314">
        <v>0.97969303509799999</v>
      </c>
      <c r="E7314">
        <v>24</v>
      </c>
    </row>
    <row r="7315" spans="1:5">
      <c r="A7315" t="s">
        <v>38634</v>
      </c>
      <c r="B7315" t="s">
        <v>17891</v>
      </c>
      <c r="C7315">
        <f>0.464013894737</f>
        <v>0.464013894737</v>
      </c>
      <c r="D7315">
        <v>0.97969303509799999</v>
      </c>
      <c r="E7315">
        <v>24</v>
      </c>
    </row>
    <row r="7316" spans="1:5">
      <c r="A7316" t="s">
        <v>38634</v>
      </c>
      <c r="B7316" t="s">
        <v>17887</v>
      </c>
      <c r="C7316">
        <f>0.650642087758</f>
        <v>0.65064208775800003</v>
      </c>
      <c r="D7316">
        <v>0.97969303509799999</v>
      </c>
      <c r="E7316">
        <v>24</v>
      </c>
    </row>
    <row r="7317" spans="1:5">
      <c r="A7317" t="s">
        <v>38634</v>
      </c>
      <c r="B7317" t="s">
        <v>17885</v>
      </c>
      <c r="C7317">
        <f>0.283056932444</f>
        <v>0.28305693244399999</v>
      </c>
      <c r="D7317">
        <v>0.97969303509799999</v>
      </c>
      <c r="E7317">
        <v>24</v>
      </c>
    </row>
    <row r="7318" spans="1:5">
      <c r="A7318" t="s">
        <v>38635</v>
      </c>
      <c r="B7318" t="s">
        <v>1827</v>
      </c>
      <c r="C7318">
        <f>0.0383005184596</f>
        <v>3.8300518459600003E-2</v>
      </c>
      <c r="D7318">
        <v>0.67825526108599998</v>
      </c>
      <c r="E7318">
        <v>24</v>
      </c>
    </row>
    <row r="7319" spans="1:5">
      <c r="A7319" t="s">
        <v>38635</v>
      </c>
      <c r="B7319" t="s">
        <v>1828</v>
      </c>
      <c r="C7319">
        <v>0</v>
      </c>
      <c r="D7319">
        <v>0.67825526108599998</v>
      </c>
      <c r="E7319">
        <v>24</v>
      </c>
    </row>
    <row r="7320" spans="1:5">
      <c r="A7320" t="s">
        <v>38635</v>
      </c>
      <c r="B7320" t="s">
        <v>1829</v>
      </c>
      <c r="C7320">
        <v>0.51913607166700004</v>
      </c>
      <c r="D7320">
        <v>0.67825526108599998</v>
      </c>
      <c r="E7320">
        <v>24</v>
      </c>
    </row>
    <row r="7321" spans="1:5">
      <c r="A7321" t="s">
        <v>38636</v>
      </c>
      <c r="B7321" t="s">
        <v>25323</v>
      </c>
      <c r="C7321">
        <f>0.419515123137</f>
        <v>0.41951512313700001</v>
      </c>
      <c r="D7321">
        <v>0.77952512313699995</v>
      </c>
      <c r="E7321">
        <v>24</v>
      </c>
    </row>
    <row r="7322" spans="1:5">
      <c r="A7322" t="s">
        <v>38636</v>
      </c>
      <c r="B7322" t="s">
        <v>25324</v>
      </c>
      <c r="C7322">
        <f>0</f>
        <v>0</v>
      </c>
      <c r="D7322">
        <v>0.77952512313699995</v>
      </c>
      <c r="E7322">
        <v>24</v>
      </c>
    </row>
    <row r="7323" spans="1:5">
      <c r="A7323" t="s">
        <v>38637</v>
      </c>
      <c r="B7323" t="s">
        <v>38638</v>
      </c>
      <c r="C7323">
        <v>0</v>
      </c>
      <c r="D7323" t="s">
        <v>106</v>
      </c>
      <c r="E7323">
        <v>6.9359999999999999</v>
      </c>
    </row>
    <row r="7324" spans="1:5">
      <c r="A7324" t="s">
        <v>38637</v>
      </c>
      <c r="B7324" t="s">
        <v>38639</v>
      </c>
      <c r="C7324">
        <f>0</f>
        <v>0</v>
      </c>
      <c r="D7324" t="s">
        <v>106</v>
      </c>
      <c r="E7324">
        <v>6.9359999999999999</v>
      </c>
    </row>
    <row r="7325" spans="1:5">
      <c r="A7325" t="s">
        <v>38637</v>
      </c>
      <c r="B7325" t="s">
        <v>38640</v>
      </c>
      <c r="C7325">
        <f>0</f>
        <v>0</v>
      </c>
      <c r="D7325" t="s">
        <v>106</v>
      </c>
      <c r="E7325">
        <v>6.9359999999999999</v>
      </c>
    </row>
    <row r="7326" spans="1:5">
      <c r="A7326" t="s">
        <v>38637</v>
      </c>
      <c r="B7326" t="s">
        <v>38641</v>
      </c>
      <c r="C7326">
        <f>0</f>
        <v>0</v>
      </c>
      <c r="D7326" t="s">
        <v>106</v>
      </c>
      <c r="E7326">
        <v>6.9359999999999999</v>
      </c>
    </row>
    <row r="7327" spans="1:5">
      <c r="A7327" t="s">
        <v>38637</v>
      </c>
      <c r="B7327" t="s">
        <v>38642</v>
      </c>
      <c r="C7327">
        <v>0</v>
      </c>
      <c r="D7327" t="s">
        <v>106</v>
      </c>
      <c r="E7327">
        <v>6.9359999999999999</v>
      </c>
    </row>
    <row r="7328" spans="1:5">
      <c r="A7328" t="s">
        <v>38643</v>
      </c>
      <c r="B7328" t="s">
        <v>2282</v>
      </c>
      <c r="C7328">
        <f>0</f>
        <v>0</v>
      </c>
      <c r="D7328">
        <v>0.72394717424499999</v>
      </c>
      <c r="E7328">
        <v>15.51</v>
      </c>
    </row>
    <row r="7329" spans="1:5">
      <c r="A7329" t="s">
        <v>38643</v>
      </c>
      <c r="B7329" t="s">
        <v>2286</v>
      </c>
      <c r="C7329">
        <f>0.530337174245</f>
        <v>0.53033717424500004</v>
      </c>
      <c r="D7329">
        <v>0.72394717424499999</v>
      </c>
      <c r="E7329">
        <v>15.51</v>
      </c>
    </row>
    <row r="7330" spans="1:5">
      <c r="A7330" t="s">
        <v>38644</v>
      </c>
      <c r="B7330" t="s">
        <v>27906</v>
      </c>
      <c r="C7330">
        <v>0</v>
      </c>
      <c r="D7330">
        <v>0.999854216362</v>
      </c>
      <c r="E7330">
        <v>0.318</v>
      </c>
    </row>
    <row r="7331" spans="1:5">
      <c r="A7331" t="s">
        <v>38644</v>
      </c>
      <c r="B7331" t="s">
        <v>27905</v>
      </c>
      <c r="C7331">
        <v>0.13209585478999999</v>
      </c>
      <c r="D7331">
        <v>0.999854216362</v>
      </c>
      <c r="E7331">
        <v>0.318</v>
      </c>
    </row>
    <row r="7332" spans="1:5">
      <c r="A7332" t="s">
        <v>38644</v>
      </c>
      <c r="B7332" t="s">
        <v>27909</v>
      </c>
      <c r="C7332">
        <v>0.36239698578399998</v>
      </c>
      <c r="D7332">
        <v>0.999854216362</v>
      </c>
      <c r="E7332">
        <v>0.318</v>
      </c>
    </row>
    <row r="7333" spans="1:5">
      <c r="A7333" t="s">
        <v>38644</v>
      </c>
      <c r="B7333" t="s">
        <v>27914</v>
      </c>
      <c r="C7333">
        <v>0.24569854214</v>
      </c>
      <c r="D7333">
        <v>0.999854216362</v>
      </c>
      <c r="E7333">
        <v>0.318</v>
      </c>
    </row>
    <row r="7334" spans="1:5">
      <c r="A7334" t="s">
        <v>38644</v>
      </c>
      <c r="B7334" t="s">
        <v>27913</v>
      </c>
      <c r="C7334">
        <f>0</f>
        <v>0</v>
      </c>
      <c r="D7334">
        <v>0.999854216362</v>
      </c>
      <c r="E7334">
        <v>0.318</v>
      </c>
    </row>
    <row r="7335" spans="1:5">
      <c r="A7335" t="s">
        <v>38644</v>
      </c>
      <c r="B7335" t="s">
        <v>27907</v>
      </c>
      <c r="C7335">
        <f>0.0976946845026</f>
        <v>9.7694684502599993E-2</v>
      </c>
      <c r="D7335">
        <v>0.999854216362</v>
      </c>
      <c r="E7335">
        <v>0.318</v>
      </c>
    </row>
    <row r="7336" spans="1:5">
      <c r="A7336" t="s">
        <v>38644</v>
      </c>
      <c r="B7336" t="s">
        <v>27912</v>
      </c>
      <c r="C7336">
        <f>0.500019427878</f>
        <v>0.50001942787800002</v>
      </c>
      <c r="D7336">
        <v>0.999854216362</v>
      </c>
      <c r="E7336">
        <v>0.318</v>
      </c>
    </row>
    <row r="7337" spans="1:5">
      <c r="A7337" t="s">
        <v>38644</v>
      </c>
      <c r="B7337" t="s">
        <v>27911</v>
      </c>
      <c r="C7337">
        <f>-1.22538873001</f>
        <v>-1.2253887300099999</v>
      </c>
      <c r="D7337">
        <v>0.999854216362</v>
      </c>
      <c r="E7337">
        <v>0.318</v>
      </c>
    </row>
    <row r="7338" spans="1:5">
      <c r="A7338" t="s">
        <v>38644</v>
      </c>
      <c r="B7338" t="s">
        <v>27910</v>
      </c>
      <c r="C7338">
        <v>0.367344323561</v>
      </c>
      <c r="D7338">
        <v>0.999854216362</v>
      </c>
      <c r="E7338">
        <v>0.318</v>
      </c>
    </row>
    <row r="7339" spans="1:5">
      <c r="A7339" t="s">
        <v>38645</v>
      </c>
      <c r="B7339" t="s">
        <v>38646</v>
      </c>
      <c r="C7339">
        <v>0.44905480537499998</v>
      </c>
      <c r="D7339">
        <v>0.98537579008300002</v>
      </c>
      <c r="E7339">
        <v>7.0679999999999996</v>
      </c>
    </row>
    <row r="7340" spans="1:5">
      <c r="A7340" t="s">
        <v>38645</v>
      </c>
      <c r="B7340" t="s">
        <v>38647</v>
      </c>
      <c r="C7340">
        <f>0</f>
        <v>0</v>
      </c>
      <c r="D7340">
        <v>0.98537579008300002</v>
      </c>
      <c r="E7340">
        <v>7.0679999999999996</v>
      </c>
    </row>
    <row r="7341" spans="1:5">
      <c r="A7341" t="s">
        <v>38645</v>
      </c>
      <c r="B7341" t="s">
        <v>38648</v>
      </c>
      <c r="C7341">
        <v>0</v>
      </c>
      <c r="D7341">
        <v>0.98537579008300002</v>
      </c>
      <c r="E7341">
        <v>7.0679999999999996</v>
      </c>
    </row>
    <row r="7342" spans="1:5">
      <c r="A7342" t="s">
        <v>38645</v>
      </c>
      <c r="B7342" t="s">
        <v>38649</v>
      </c>
      <c r="C7342">
        <v>9.3486519843999999E-2</v>
      </c>
      <c r="D7342">
        <v>0.98537579008300002</v>
      </c>
      <c r="E7342">
        <v>7.0679999999999996</v>
      </c>
    </row>
    <row r="7343" spans="1:5">
      <c r="A7343" t="s">
        <v>38645</v>
      </c>
      <c r="B7343" t="s">
        <v>38650</v>
      </c>
      <c r="C7343">
        <v>0.85277157439399998</v>
      </c>
      <c r="D7343">
        <v>0.98537579008300002</v>
      </c>
      <c r="E7343">
        <v>7.0679999999999996</v>
      </c>
    </row>
    <row r="7344" spans="1:5">
      <c r="A7344" t="s">
        <v>38645</v>
      </c>
      <c r="B7344" t="s">
        <v>38651</v>
      </c>
      <c r="C7344">
        <f>0</f>
        <v>0</v>
      </c>
      <c r="D7344">
        <v>0.98537579008300002</v>
      </c>
      <c r="E7344">
        <v>7.0679999999999996</v>
      </c>
    </row>
    <row r="7345" spans="1:5">
      <c r="A7345" t="s">
        <v>38645</v>
      </c>
      <c r="B7345" t="s">
        <v>38652</v>
      </c>
      <c r="C7345">
        <f>0.720557485007</f>
        <v>0.72055748500700001</v>
      </c>
      <c r="D7345">
        <v>0.98537579008300002</v>
      </c>
      <c r="E7345">
        <v>7.0679999999999996</v>
      </c>
    </row>
    <row r="7346" spans="1:5">
      <c r="A7346" t="s">
        <v>38645</v>
      </c>
      <c r="B7346" t="s">
        <v>38653</v>
      </c>
      <c r="C7346">
        <v>0</v>
      </c>
      <c r="D7346">
        <v>0.98537579008300002</v>
      </c>
      <c r="E7346">
        <v>7.0679999999999996</v>
      </c>
    </row>
    <row r="7347" spans="1:5">
      <c r="A7347" t="s">
        <v>38645</v>
      </c>
      <c r="B7347" t="s">
        <v>38654</v>
      </c>
      <c r="C7347">
        <v>0</v>
      </c>
      <c r="D7347">
        <v>0.98537579008300002</v>
      </c>
      <c r="E7347">
        <v>7.0679999999999996</v>
      </c>
    </row>
    <row r="7348" spans="1:5">
      <c r="A7348" t="s">
        <v>38645</v>
      </c>
      <c r="B7348" t="s">
        <v>38655</v>
      </c>
      <c r="C7348">
        <v>0</v>
      </c>
      <c r="D7348">
        <v>0.98537579008300002</v>
      </c>
      <c r="E7348">
        <v>7.0679999999999996</v>
      </c>
    </row>
    <row r="7349" spans="1:5">
      <c r="A7349" t="s">
        <v>38645</v>
      </c>
      <c r="B7349" t="s">
        <v>38656</v>
      </c>
      <c r="C7349">
        <v>0</v>
      </c>
      <c r="D7349">
        <v>0.98537579008300002</v>
      </c>
      <c r="E7349">
        <v>7.0679999999999996</v>
      </c>
    </row>
    <row r="7350" spans="1:5">
      <c r="A7350" t="s">
        <v>38657</v>
      </c>
      <c r="B7350" t="s">
        <v>38658</v>
      </c>
      <c r="C7350">
        <v>3.4063330396900001E-3</v>
      </c>
      <c r="D7350">
        <v>0.74573391224600005</v>
      </c>
      <c r="E7350">
        <v>13.818</v>
      </c>
    </row>
    <row r="7351" spans="1:5">
      <c r="A7351" t="s">
        <v>38657</v>
      </c>
      <c r="B7351" t="s">
        <v>38659</v>
      </c>
      <c r="C7351">
        <v>0</v>
      </c>
      <c r="D7351">
        <v>0.74573391224600005</v>
      </c>
      <c r="E7351">
        <v>13.818</v>
      </c>
    </row>
    <row r="7352" spans="1:5">
      <c r="A7352" t="s">
        <v>38657</v>
      </c>
      <c r="B7352" t="s">
        <v>38660</v>
      </c>
      <c r="C7352">
        <v>0.51323877592</v>
      </c>
      <c r="D7352">
        <v>0.74573391224600005</v>
      </c>
      <c r="E7352">
        <v>13.818</v>
      </c>
    </row>
    <row r="7353" spans="1:5">
      <c r="A7353" t="s">
        <v>38661</v>
      </c>
      <c r="B7353" t="s">
        <v>16840</v>
      </c>
      <c r="C7353">
        <f>0</f>
        <v>0</v>
      </c>
      <c r="D7353" t="s">
        <v>106</v>
      </c>
      <c r="E7353">
        <v>2.4780000000000002</v>
      </c>
    </row>
    <row r="7354" spans="1:5">
      <c r="A7354" t="s">
        <v>38661</v>
      </c>
      <c r="B7354" t="s">
        <v>16844</v>
      </c>
      <c r="C7354">
        <f>0</f>
        <v>0</v>
      </c>
      <c r="D7354" t="s">
        <v>106</v>
      </c>
      <c r="E7354">
        <v>2.4780000000000002</v>
      </c>
    </row>
    <row r="7355" spans="1:5">
      <c r="A7355" t="s">
        <v>38661</v>
      </c>
      <c r="B7355" t="s">
        <v>16842</v>
      </c>
      <c r="C7355">
        <f>0</f>
        <v>0</v>
      </c>
      <c r="D7355" t="s">
        <v>106</v>
      </c>
      <c r="E7355">
        <v>2.4780000000000002</v>
      </c>
    </row>
    <row r="7356" spans="1:5">
      <c r="A7356" t="s">
        <v>38661</v>
      </c>
      <c r="B7356" t="s">
        <v>16841</v>
      </c>
      <c r="C7356">
        <f>0</f>
        <v>0</v>
      </c>
      <c r="D7356" t="s">
        <v>106</v>
      </c>
      <c r="E7356">
        <v>2.4780000000000002</v>
      </c>
    </row>
    <row r="7357" spans="1:5">
      <c r="A7357" t="s">
        <v>38662</v>
      </c>
      <c r="B7357" t="s">
        <v>13546</v>
      </c>
      <c r="C7357">
        <f>0</f>
        <v>0</v>
      </c>
      <c r="D7357">
        <v>0.835710553094</v>
      </c>
      <c r="E7357">
        <v>24</v>
      </c>
    </row>
    <row r="7358" spans="1:5">
      <c r="A7358" t="s">
        <v>38662</v>
      </c>
      <c r="B7358" t="s">
        <v>13547</v>
      </c>
      <c r="C7358">
        <v>0.49154068286500002</v>
      </c>
      <c r="D7358">
        <v>0.835710553094</v>
      </c>
      <c r="E7358">
        <v>24</v>
      </c>
    </row>
    <row r="7359" spans="1:5">
      <c r="A7359" t="s">
        <v>38662</v>
      </c>
      <c r="B7359" t="s">
        <v>13550</v>
      </c>
      <c r="C7359">
        <f>0.251511894471</f>
        <v>0.25151189447099997</v>
      </c>
      <c r="D7359">
        <v>0.835710553094</v>
      </c>
      <c r="E7359">
        <v>24</v>
      </c>
    </row>
    <row r="7360" spans="1:5">
      <c r="A7360" t="s">
        <v>38662</v>
      </c>
      <c r="B7360" t="s">
        <v>13552</v>
      </c>
      <c r="C7360">
        <f>0</f>
        <v>0</v>
      </c>
      <c r="D7360">
        <v>0.835710553094</v>
      </c>
      <c r="E7360">
        <v>24</v>
      </c>
    </row>
    <row r="7361" spans="1:5">
      <c r="A7361" t="s">
        <v>38662</v>
      </c>
      <c r="B7361" t="s">
        <v>13548</v>
      </c>
      <c r="C7361">
        <v>4.7651976354200001E-2</v>
      </c>
      <c r="D7361">
        <v>0.835710553094</v>
      </c>
      <c r="E7361">
        <v>24</v>
      </c>
    </row>
    <row r="7362" spans="1:5">
      <c r="A7362" t="s">
        <v>38662</v>
      </c>
      <c r="B7362" t="s">
        <v>13549</v>
      </c>
      <c r="C7362">
        <v>0</v>
      </c>
      <c r="D7362">
        <v>0.835710553094</v>
      </c>
      <c r="E7362">
        <v>24</v>
      </c>
    </row>
    <row r="7363" spans="1:5">
      <c r="A7363" t="s">
        <v>38663</v>
      </c>
      <c r="B7363" t="s">
        <v>10587</v>
      </c>
      <c r="C7363">
        <v>0</v>
      </c>
      <c r="D7363" t="s">
        <v>106</v>
      </c>
      <c r="E7363">
        <v>4.4820000000000002</v>
      </c>
    </row>
    <row r="7364" spans="1:5">
      <c r="A7364" t="s">
        <v>38663</v>
      </c>
      <c r="B7364" t="s">
        <v>10588</v>
      </c>
      <c r="C7364">
        <f>0</f>
        <v>0</v>
      </c>
      <c r="D7364" t="s">
        <v>106</v>
      </c>
      <c r="E7364">
        <v>4.4820000000000002</v>
      </c>
    </row>
    <row r="7365" spans="1:5">
      <c r="A7365" t="s">
        <v>38663</v>
      </c>
      <c r="B7365" t="s">
        <v>10589</v>
      </c>
      <c r="C7365">
        <v>0</v>
      </c>
      <c r="D7365" t="s">
        <v>106</v>
      </c>
      <c r="E7365">
        <v>4.4820000000000002</v>
      </c>
    </row>
    <row r="7366" spans="1:5">
      <c r="A7366" t="s">
        <v>38664</v>
      </c>
      <c r="B7366" t="s">
        <v>38665</v>
      </c>
      <c r="C7366">
        <v>3.9004505841700003E-2</v>
      </c>
      <c r="D7366">
        <v>0.96126097073899996</v>
      </c>
      <c r="E7366">
        <v>0.192</v>
      </c>
    </row>
    <row r="7367" spans="1:5">
      <c r="A7367" t="s">
        <v>38664</v>
      </c>
      <c r="B7367" t="s">
        <v>38666</v>
      </c>
      <c r="C7367">
        <f>0</f>
        <v>0</v>
      </c>
      <c r="D7367">
        <v>0.96126097073899996</v>
      </c>
      <c r="E7367">
        <v>0.192</v>
      </c>
    </row>
    <row r="7368" spans="1:5">
      <c r="A7368" t="s">
        <v>38664</v>
      </c>
      <c r="B7368" t="s">
        <v>38667</v>
      </c>
      <c r="C7368">
        <v>0.45675458763900001</v>
      </c>
      <c r="D7368">
        <v>0.96126097073899996</v>
      </c>
      <c r="E7368">
        <v>0.192</v>
      </c>
    </row>
    <row r="7369" spans="1:5">
      <c r="A7369" t="s">
        <v>38664</v>
      </c>
      <c r="B7369" t="s">
        <v>38668</v>
      </c>
      <c r="C7369">
        <f>0.291593090536</f>
        <v>0.29159309053600002</v>
      </c>
      <c r="D7369">
        <v>0.96126097073899996</v>
      </c>
      <c r="E7369">
        <v>0.192</v>
      </c>
    </row>
    <row r="7370" spans="1:5">
      <c r="A7370" t="s">
        <v>38664</v>
      </c>
      <c r="B7370" t="s">
        <v>38669</v>
      </c>
      <c r="C7370">
        <f>0</f>
        <v>0</v>
      </c>
      <c r="D7370">
        <v>0.96126097073899996</v>
      </c>
      <c r="E7370">
        <v>0.192</v>
      </c>
    </row>
    <row r="7371" spans="1:5">
      <c r="A7371" t="s">
        <v>38664</v>
      </c>
      <c r="B7371" t="s">
        <v>38670</v>
      </c>
      <c r="C7371">
        <f>0.307863218152</f>
        <v>0.30786321815200002</v>
      </c>
      <c r="D7371">
        <v>0.96126097073899996</v>
      </c>
      <c r="E7371">
        <v>0.192</v>
      </c>
    </row>
    <row r="7372" spans="1:5">
      <c r="A7372" t="s">
        <v>38664</v>
      </c>
      <c r="B7372" t="s">
        <v>38671</v>
      </c>
      <c r="C7372">
        <f>0</f>
        <v>0</v>
      </c>
      <c r="D7372">
        <v>0.96126097073899996</v>
      </c>
      <c r="E7372">
        <v>0.192</v>
      </c>
    </row>
    <row r="7373" spans="1:5">
      <c r="A7373" t="s">
        <v>38664</v>
      </c>
      <c r="B7373" t="s">
        <v>38672</v>
      </c>
      <c r="C7373">
        <v>0</v>
      </c>
      <c r="D7373">
        <v>0.96126097073899996</v>
      </c>
      <c r="E7373">
        <v>0.192</v>
      </c>
    </row>
    <row r="7374" spans="1:5">
      <c r="A7374" t="s">
        <v>38664</v>
      </c>
      <c r="B7374" t="s">
        <v>38673</v>
      </c>
      <c r="C7374">
        <v>0</v>
      </c>
      <c r="D7374">
        <v>0.96126097073899996</v>
      </c>
      <c r="E7374">
        <v>0.192</v>
      </c>
    </row>
    <row r="7375" spans="1:5">
      <c r="A7375" t="s">
        <v>38674</v>
      </c>
      <c r="B7375" t="s">
        <v>14897</v>
      </c>
      <c r="C7375">
        <f>0</f>
        <v>0</v>
      </c>
      <c r="D7375">
        <v>0.73398308127800005</v>
      </c>
      <c r="E7375">
        <v>5.2380000000000004</v>
      </c>
    </row>
    <row r="7376" spans="1:5">
      <c r="A7376" t="s">
        <v>38674</v>
      </c>
      <c r="B7376" t="s">
        <v>14901</v>
      </c>
      <c r="C7376">
        <f>0</f>
        <v>0</v>
      </c>
      <c r="D7376">
        <v>0.73398308127800005</v>
      </c>
      <c r="E7376">
        <v>5.2380000000000004</v>
      </c>
    </row>
    <row r="7377" spans="1:5">
      <c r="A7377" t="s">
        <v>38674</v>
      </c>
      <c r="B7377" t="s">
        <v>14899</v>
      </c>
      <c r="C7377">
        <f>0</f>
        <v>0</v>
      </c>
      <c r="D7377">
        <v>0.73398308127800005</v>
      </c>
      <c r="E7377">
        <v>5.2380000000000004</v>
      </c>
    </row>
    <row r="7378" spans="1:5">
      <c r="A7378" t="s">
        <v>38674</v>
      </c>
      <c r="B7378" t="s">
        <v>14900</v>
      </c>
      <c r="C7378">
        <f>0.420373081278</f>
        <v>0.42037308127799999</v>
      </c>
      <c r="D7378">
        <v>0.73398308127800005</v>
      </c>
      <c r="E7378">
        <v>5.2380000000000004</v>
      </c>
    </row>
    <row r="7379" spans="1:5">
      <c r="A7379" t="s">
        <v>38675</v>
      </c>
      <c r="B7379" t="s">
        <v>29649</v>
      </c>
      <c r="C7379">
        <f>0.58451959432</f>
        <v>0.58451959432</v>
      </c>
      <c r="D7379">
        <v>0.85446261538400003</v>
      </c>
      <c r="E7379">
        <v>6.06</v>
      </c>
    </row>
    <row r="7380" spans="1:5">
      <c r="A7380" t="s">
        <v>38675</v>
      </c>
      <c r="B7380" t="s">
        <v>29650</v>
      </c>
      <c r="C7380">
        <f>0.4740962297</f>
        <v>0.47409622969999998</v>
      </c>
      <c r="D7380">
        <v>0.85446261538400003</v>
      </c>
      <c r="E7380">
        <v>6.06</v>
      </c>
    </row>
    <row r="7381" spans="1:5">
      <c r="A7381" t="s">
        <v>38676</v>
      </c>
      <c r="B7381" t="s">
        <v>8918</v>
      </c>
      <c r="C7381">
        <f>0</f>
        <v>0</v>
      </c>
      <c r="D7381">
        <v>0.81144909311199998</v>
      </c>
      <c r="E7381">
        <v>2.25</v>
      </c>
    </row>
    <row r="7382" spans="1:5">
      <c r="A7382" t="s">
        <v>38676</v>
      </c>
      <c r="B7382" t="s">
        <v>8930</v>
      </c>
      <c r="C7382">
        <f>0.502281350536</f>
        <v>0.50228135053599998</v>
      </c>
      <c r="D7382">
        <v>0.81144909311199998</v>
      </c>
      <c r="E7382">
        <v>2.25</v>
      </c>
    </row>
    <row r="7383" spans="1:5">
      <c r="A7383" t="s">
        <v>38676</v>
      </c>
      <c r="B7383" t="s">
        <v>8928</v>
      </c>
      <c r="C7383">
        <v>0</v>
      </c>
      <c r="D7383">
        <v>0.81144909311199998</v>
      </c>
      <c r="E7383">
        <v>2.25</v>
      </c>
    </row>
    <row r="7384" spans="1:5">
      <c r="A7384" t="s">
        <v>38676</v>
      </c>
      <c r="B7384" t="s">
        <v>8927</v>
      </c>
      <c r="C7384">
        <v>0.34739049679900003</v>
      </c>
      <c r="D7384">
        <v>0.81144909311199998</v>
      </c>
      <c r="E7384">
        <v>2.25</v>
      </c>
    </row>
    <row r="7385" spans="1:5">
      <c r="A7385" t="s">
        <v>38676</v>
      </c>
      <c r="B7385" t="s">
        <v>8920</v>
      </c>
      <c r="C7385">
        <f>0</f>
        <v>0</v>
      </c>
      <c r="D7385">
        <v>0.81144909311199998</v>
      </c>
      <c r="E7385">
        <v>2.25</v>
      </c>
    </row>
    <row r="7386" spans="1:5">
      <c r="A7386" t="s">
        <v>38676</v>
      </c>
      <c r="B7386" t="s">
        <v>8923</v>
      </c>
      <c r="C7386">
        <f>0</f>
        <v>0</v>
      </c>
      <c r="D7386">
        <v>0.81144909311199998</v>
      </c>
      <c r="E7386">
        <v>2.25</v>
      </c>
    </row>
    <row r="7387" spans="1:5">
      <c r="A7387" t="s">
        <v>38677</v>
      </c>
      <c r="B7387" t="s">
        <v>23364</v>
      </c>
      <c r="C7387">
        <v>0.50171944364700005</v>
      </c>
      <c r="D7387">
        <v>0.71115381853000004</v>
      </c>
      <c r="E7387">
        <v>1.7999999999999999E-2</v>
      </c>
    </row>
    <row r="7388" spans="1:5">
      <c r="A7388" t="s">
        <v>38677</v>
      </c>
      <c r="B7388" t="s">
        <v>23366</v>
      </c>
      <c r="C7388">
        <f>0</f>
        <v>0</v>
      </c>
      <c r="D7388">
        <v>0.71115381853000004</v>
      </c>
      <c r="E7388">
        <v>1.7999999999999999E-2</v>
      </c>
    </row>
    <row r="7389" spans="1:5">
      <c r="A7389" t="s">
        <v>38677</v>
      </c>
      <c r="B7389" t="s">
        <v>23369</v>
      </c>
      <c r="C7389">
        <f>0.0309980082127</f>
        <v>3.09980082127E-2</v>
      </c>
      <c r="D7389">
        <v>0.71115381853000004</v>
      </c>
      <c r="E7389">
        <v>1.7999999999999999E-2</v>
      </c>
    </row>
    <row r="7390" spans="1:5">
      <c r="A7390" t="s">
        <v>38678</v>
      </c>
      <c r="B7390" t="s">
        <v>2435</v>
      </c>
      <c r="C7390">
        <v>0</v>
      </c>
      <c r="D7390" t="s">
        <v>106</v>
      </c>
      <c r="E7390">
        <v>0.47399999999999998</v>
      </c>
    </row>
    <row r="7391" spans="1:5">
      <c r="A7391" t="s">
        <v>38678</v>
      </c>
      <c r="B7391" t="s">
        <v>2439</v>
      </c>
      <c r="C7391">
        <v>0</v>
      </c>
      <c r="D7391" t="s">
        <v>106</v>
      </c>
      <c r="E7391">
        <v>0.47399999999999998</v>
      </c>
    </row>
    <row r="7392" spans="1:5">
      <c r="A7392" t="s">
        <v>38678</v>
      </c>
      <c r="B7392" t="s">
        <v>2437</v>
      </c>
      <c r="C7392">
        <v>0</v>
      </c>
      <c r="D7392" t="s">
        <v>106</v>
      </c>
      <c r="E7392">
        <v>0.47399999999999998</v>
      </c>
    </row>
    <row r="7393" spans="1:5">
      <c r="A7393" t="s">
        <v>38678</v>
      </c>
      <c r="B7393" t="s">
        <v>2438</v>
      </c>
      <c r="C7393">
        <v>0</v>
      </c>
      <c r="D7393" t="s">
        <v>106</v>
      </c>
      <c r="E7393">
        <v>0.47399999999999998</v>
      </c>
    </row>
    <row r="7394" spans="1:5">
      <c r="A7394" t="s">
        <v>38678</v>
      </c>
      <c r="B7394" t="s">
        <v>2436</v>
      </c>
      <c r="C7394">
        <v>0</v>
      </c>
      <c r="D7394" t="s">
        <v>106</v>
      </c>
      <c r="E7394">
        <v>0.47399999999999998</v>
      </c>
    </row>
    <row r="7395" spans="1:5">
      <c r="A7395" t="s">
        <v>38679</v>
      </c>
      <c r="B7395" t="s">
        <v>38680</v>
      </c>
      <c r="C7395">
        <v>0.50261924854700002</v>
      </c>
      <c r="D7395">
        <v>0.63226314313099996</v>
      </c>
      <c r="E7395">
        <v>6.4260000000000002</v>
      </c>
    </row>
    <row r="7396" spans="1:5">
      <c r="A7396" t="s">
        <v>38679</v>
      </c>
      <c r="B7396" t="s">
        <v>38681</v>
      </c>
      <c r="C7396">
        <v>1.1567768124E-4</v>
      </c>
      <c r="D7396">
        <v>0.63226314313099996</v>
      </c>
      <c r="E7396">
        <v>6.4260000000000002</v>
      </c>
    </row>
    <row r="7397" spans="1:5">
      <c r="A7397" t="s">
        <v>38682</v>
      </c>
      <c r="B7397" t="s">
        <v>14527</v>
      </c>
      <c r="C7397">
        <f>0</f>
        <v>0</v>
      </c>
      <c r="D7397">
        <v>0.85843599206400001</v>
      </c>
      <c r="E7397">
        <v>3.5880000000000001</v>
      </c>
    </row>
    <row r="7398" spans="1:5">
      <c r="A7398" t="s">
        <v>38682</v>
      </c>
      <c r="B7398" t="s">
        <v>14525</v>
      </c>
      <c r="C7398">
        <f>0.128613378795</f>
        <v>0.12861337879500001</v>
      </c>
      <c r="D7398">
        <v>0.85843599206400001</v>
      </c>
      <c r="E7398">
        <v>3.5880000000000001</v>
      </c>
    </row>
    <row r="7399" spans="1:5">
      <c r="A7399" t="s">
        <v>38682</v>
      </c>
      <c r="B7399" t="s">
        <v>14528</v>
      </c>
      <c r="C7399">
        <v>0</v>
      </c>
      <c r="D7399">
        <v>0.85843599206400001</v>
      </c>
      <c r="E7399">
        <v>3.5880000000000001</v>
      </c>
    </row>
    <row r="7400" spans="1:5">
      <c r="A7400" t="s">
        <v>38682</v>
      </c>
      <c r="B7400" t="s">
        <v>14530</v>
      </c>
      <c r="C7400">
        <v>0</v>
      </c>
      <c r="D7400">
        <v>0.85843599206400001</v>
      </c>
      <c r="E7400">
        <v>3.5880000000000001</v>
      </c>
    </row>
    <row r="7401" spans="1:5">
      <c r="A7401" t="s">
        <v>38682</v>
      </c>
      <c r="B7401" t="s">
        <v>14531</v>
      </c>
      <c r="C7401">
        <f>0.742136047866</f>
        <v>0.74213604786599996</v>
      </c>
      <c r="D7401">
        <v>0.85843599206400001</v>
      </c>
      <c r="E7401">
        <v>3.5880000000000001</v>
      </c>
    </row>
    <row r="7402" spans="1:5">
      <c r="A7402" t="s">
        <v>38683</v>
      </c>
      <c r="B7402" t="s">
        <v>38684</v>
      </c>
      <c r="C7402">
        <f>0.50471185577</f>
        <v>0.50471185577</v>
      </c>
      <c r="D7402">
        <v>0.99983204719499996</v>
      </c>
      <c r="E7402">
        <v>4.8000000000000001E-2</v>
      </c>
    </row>
    <row r="7403" spans="1:5">
      <c r="A7403" t="s">
        <v>38683</v>
      </c>
      <c r="B7403" t="s">
        <v>38685</v>
      </c>
      <c r="C7403">
        <f>0.257899731406</f>
        <v>0.25789973140599998</v>
      </c>
      <c r="D7403">
        <v>0.99983204719499996</v>
      </c>
      <c r="E7403">
        <v>4.8000000000000001E-2</v>
      </c>
    </row>
    <row r="7404" spans="1:5">
      <c r="A7404" t="s">
        <v>38683</v>
      </c>
      <c r="B7404" t="s">
        <v>38686</v>
      </c>
      <c r="C7404">
        <v>0.40135133568199999</v>
      </c>
      <c r="D7404">
        <v>0.99983204719499996</v>
      </c>
      <c r="E7404">
        <v>4.8000000000000001E-2</v>
      </c>
    </row>
    <row r="7405" spans="1:5">
      <c r="A7405" t="s">
        <v>38683</v>
      </c>
      <c r="B7405" t="s">
        <v>38687</v>
      </c>
      <c r="C7405">
        <f>0.456654877187</f>
        <v>0.45665487718699999</v>
      </c>
      <c r="D7405">
        <v>0.99983204719499996</v>
      </c>
      <c r="E7405">
        <v>4.8000000000000001E-2</v>
      </c>
    </row>
    <row r="7406" spans="1:5">
      <c r="A7406" t="s">
        <v>38683</v>
      </c>
      <c r="B7406" t="s">
        <v>38688</v>
      </c>
      <c r="C7406">
        <f>0.11620823547</f>
        <v>0.11620823547</v>
      </c>
      <c r="D7406">
        <v>0.99983204719499996</v>
      </c>
      <c r="E7406">
        <v>4.8000000000000001E-2</v>
      </c>
    </row>
    <row r="7407" spans="1:5">
      <c r="A7407" t="s">
        <v>38683</v>
      </c>
      <c r="B7407" t="s">
        <v>38689</v>
      </c>
      <c r="C7407">
        <f>0.120250240946</f>
        <v>0.12025024094599999</v>
      </c>
      <c r="D7407">
        <v>0.99983204719499996</v>
      </c>
      <c r="E7407">
        <v>4.8000000000000001E-2</v>
      </c>
    </row>
    <row r="7408" spans="1:5">
      <c r="A7408" t="s">
        <v>38683</v>
      </c>
      <c r="B7408" t="s">
        <v>38690</v>
      </c>
      <c r="C7408">
        <v>0.65648148576599996</v>
      </c>
      <c r="D7408">
        <v>0.99983204719499996</v>
      </c>
      <c r="E7408">
        <v>4.8000000000000001E-2</v>
      </c>
    </row>
    <row r="7409" spans="1:5">
      <c r="A7409" t="s">
        <v>38683</v>
      </c>
      <c r="B7409" t="s">
        <v>38691</v>
      </c>
      <c r="C7409">
        <f>0.463141197133</f>
        <v>0.463141197133</v>
      </c>
      <c r="D7409">
        <v>0.99983204719499996</v>
      </c>
      <c r="E7409">
        <v>4.8000000000000001E-2</v>
      </c>
    </row>
    <row r="7410" spans="1:5">
      <c r="A7410" t="s">
        <v>38692</v>
      </c>
      <c r="B7410" t="s">
        <v>38693</v>
      </c>
      <c r="C7410">
        <f>0.558757952107</f>
        <v>0.55875795210699997</v>
      </c>
      <c r="D7410">
        <v>0.82418555320300002</v>
      </c>
      <c r="E7410">
        <v>24</v>
      </c>
    </row>
    <row r="7411" spans="1:5">
      <c r="A7411" t="s">
        <v>38692</v>
      </c>
      <c r="B7411" t="s">
        <v>38694</v>
      </c>
      <c r="C7411">
        <f>0</f>
        <v>0</v>
      </c>
      <c r="D7411">
        <v>0.82418555320300002</v>
      </c>
      <c r="E7411">
        <v>24</v>
      </c>
    </row>
    <row r="7412" spans="1:5">
      <c r="A7412" t="s">
        <v>38692</v>
      </c>
      <c r="B7412" t="s">
        <v>38695</v>
      </c>
      <c r="C7412">
        <v>0.38994867193900001</v>
      </c>
      <c r="D7412">
        <v>0.82418555320300002</v>
      </c>
      <c r="E7412">
        <v>24</v>
      </c>
    </row>
    <row r="7413" spans="1:5">
      <c r="A7413" t="s">
        <v>38696</v>
      </c>
      <c r="B7413" t="s">
        <v>24424</v>
      </c>
      <c r="C7413">
        <f>0</f>
        <v>0</v>
      </c>
      <c r="D7413" t="s">
        <v>106</v>
      </c>
      <c r="E7413">
        <v>24</v>
      </c>
    </row>
    <row r="7414" spans="1:5">
      <c r="A7414" t="s">
        <v>38696</v>
      </c>
      <c r="B7414" t="s">
        <v>24427</v>
      </c>
      <c r="C7414">
        <f>0</f>
        <v>0</v>
      </c>
      <c r="D7414" t="s">
        <v>106</v>
      </c>
      <c r="E7414">
        <v>24</v>
      </c>
    </row>
    <row r="7415" spans="1:5">
      <c r="A7415" t="s">
        <v>38697</v>
      </c>
      <c r="B7415" t="s">
        <v>38698</v>
      </c>
      <c r="C7415">
        <v>0</v>
      </c>
      <c r="D7415">
        <v>0.78491867962100004</v>
      </c>
      <c r="E7415">
        <v>24</v>
      </c>
    </row>
    <row r="7416" spans="1:5">
      <c r="A7416" t="s">
        <v>38697</v>
      </c>
      <c r="B7416" t="s">
        <v>38699</v>
      </c>
      <c r="C7416">
        <f>0.426654385814</f>
        <v>0.426654385814</v>
      </c>
      <c r="D7416">
        <v>0.78491867962100004</v>
      </c>
      <c r="E7416">
        <v>24</v>
      </c>
    </row>
    <row r="7417" spans="1:5">
      <c r="A7417" t="s">
        <v>38697</v>
      </c>
      <c r="B7417" t="s">
        <v>38700</v>
      </c>
      <c r="C7417">
        <f>0.0360688048005</f>
        <v>3.6068804800500003E-2</v>
      </c>
      <c r="D7417">
        <v>0.78491867962100004</v>
      </c>
      <c r="E7417">
        <v>24</v>
      </c>
    </row>
    <row r="7418" spans="1:5">
      <c r="A7418" t="s">
        <v>38697</v>
      </c>
      <c r="B7418" t="s">
        <v>38701</v>
      </c>
      <c r="C7418">
        <f>0</f>
        <v>0</v>
      </c>
      <c r="D7418">
        <v>0.78491867962100004</v>
      </c>
      <c r="E7418">
        <v>24</v>
      </c>
    </row>
    <row r="7419" spans="1:5">
      <c r="A7419" t="s">
        <v>38697</v>
      </c>
      <c r="B7419" t="s">
        <v>38702</v>
      </c>
      <c r="C7419">
        <f>0.195993682364</f>
        <v>0.195993682364</v>
      </c>
      <c r="D7419">
        <v>0.78491867962100004</v>
      </c>
      <c r="E7419">
        <v>24</v>
      </c>
    </row>
    <row r="7420" spans="1:5">
      <c r="A7420" t="s">
        <v>38703</v>
      </c>
      <c r="B7420" t="s">
        <v>14082</v>
      </c>
      <c r="C7420">
        <v>0</v>
      </c>
      <c r="D7420">
        <v>0.87978608631400002</v>
      </c>
      <c r="E7420">
        <v>3.78</v>
      </c>
    </row>
    <row r="7421" spans="1:5">
      <c r="A7421" t="s">
        <v>38703</v>
      </c>
      <c r="B7421" t="s">
        <v>14089</v>
      </c>
      <c r="C7421">
        <v>0</v>
      </c>
      <c r="D7421">
        <v>0.87978608631400002</v>
      </c>
      <c r="E7421">
        <v>3.78</v>
      </c>
    </row>
    <row r="7422" spans="1:5">
      <c r="A7422" t="s">
        <v>38703</v>
      </c>
      <c r="B7422" t="s">
        <v>14088</v>
      </c>
      <c r="C7422">
        <v>0</v>
      </c>
      <c r="D7422">
        <v>0.87978608631400002</v>
      </c>
      <c r="E7422">
        <v>3.78</v>
      </c>
    </row>
    <row r="7423" spans="1:5">
      <c r="A7423" t="s">
        <v>38703</v>
      </c>
      <c r="B7423" t="s">
        <v>14084</v>
      </c>
      <c r="C7423">
        <v>0.11174012887900001</v>
      </c>
      <c r="D7423">
        <v>0.87978608631400002</v>
      </c>
      <c r="E7423">
        <v>3.78</v>
      </c>
    </row>
    <row r="7424" spans="1:5">
      <c r="A7424" t="s">
        <v>38703</v>
      </c>
      <c r="B7424" t="s">
        <v>14083</v>
      </c>
      <c r="C7424">
        <v>0.40336191988100001</v>
      </c>
      <c r="D7424">
        <v>0.87978608631400002</v>
      </c>
      <c r="E7424">
        <v>3.78</v>
      </c>
    </row>
    <row r="7425" spans="1:5">
      <c r="A7425" t="s">
        <v>38703</v>
      </c>
      <c r="B7425" t="s">
        <v>14086</v>
      </c>
      <c r="C7425">
        <f>0</f>
        <v>0</v>
      </c>
      <c r="D7425">
        <v>0.87978608631400002</v>
      </c>
      <c r="E7425">
        <v>3.78</v>
      </c>
    </row>
    <row r="7426" spans="1:5">
      <c r="A7426" t="s">
        <v>38703</v>
      </c>
      <c r="B7426" t="s">
        <v>14087</v>
      </c>
      <c r="C7426">
        <v>7.1896876890400002E-2</v>
      </c>
      <c r="D7426">
        <v>0.87978608631400002</v>
      </c>
      <c r="E7426">
        <v>3.78</v>
      </c>
    </row>
    <row r="7427" spans="1:5">
      <c r="A7427" t="s">
        <v>38703</v>
      </c>
      <c r="B7427" t="s">
        <v>14090</v>
      </c>
      <c r="C7427">
        <v>0</v>
      </c>
      <c r="D7427">
        <v>0.87978608631400002</v>
      </c>
      <c r="E7427">
        <v>3.78</v>
      </c>
    </row>
    <row r="7428" spans="1:5">
      <c r="A7428" t="s">
        <v>38704</v>
      </c>
      <c r="B7428" t="s">
        <v>6161</v>
      </c>
      <c r="C7428">
        <v>0</v>
      </c>
      <c r="D7428" t="s">
        <v>106</v>
      </c>
      <c r="E7428">
        <v>2.88</v>
      </c>
    </row>
    <row r="7429" spans="1:5">
      <c r="A7429" t="s">
        <v>38704</v>
      </c>
      <c r="B7429" t="s">
        <v>6162</v>
      </c>
      <c r="C7429">
        <f>0</f>
        <v>0</v>
      </c>
      <c r="D7429" t="s">
        <v>106</v>
      </c>
      <c r="E7429">
        <v>2.88</v>
      </c>
    </row>
    <row r="7430" spans="1:5">
      <c r="A7430" t="s">
        <v>38705</v>
      </c>
      <c r="B7430" t="s">
        <v>26158</v>
      </c>
      <c r="C7430">
        <v>0.52400431831299998</v>
      </c>
      <c r="D7430">
        <v>0.84581510392000003</v>
      </c>
      <c r="E7430">
        <v>9.1679999999999993</v>
      </c>
    </row>
    <row r="7431" spans="1:5">
      <c r="A7431" t="s">
        <v>38705</v>
      </c>
      <c r="B7431" t="s">
        <v>26156</v>
      </c>
      <c r="C7431">
        <v>0.34519611247799997</v>
      </c>
      <c r="D7431">
        <v>0.84581510392000003</v>
      </c>
      <c r="E7431">
        <v>9.1679999999999993</v>
      </c>
    </row>
    <row r="7432" spans="1:5">
      <c r="A7432" t="s">
        <v>38705</v>
      </c>
      <c r="B7432" t="s">
        <v>26157</v>
      </c>
      <c r="C7432">
        <v>0.18950205330700001</v>
      </c>
      <c r="D7432">
        <v>0.84581510392000003</v>
      </c>
      <c r="E7432">
        <v>9.1679999999999993</v>
      </c>
    </row>
    <row r="7433" spans="1:5">
      <c r="A7433" t="s">
        <v>38706</v>
      </c>
      <c r="B7433" t="s">
        <v>936</v>
      </c>
      <c r="C7433">
        <v>0.83473141028200004</v>
      </c>
      <c r="D7433">
        <v>0.91157841842099996</v>
      </c>
      <c r="E7433">
        <v>0.34799999999999998</v>
      </c>
    </row>
    <row r="7434" spans="1:5">
      <c r="A7434" t="s">
        <v>38706</v>
      </c>
      <c r="B7434" t="s">
        <v>937</v>
      </c>
      <c r="C7434">
        <v>7.1228095953699999E-2</v>
      </c>
      <c r="D7434">
        <v>0.91157841842099996</v>
      </c>
      <c r="E7434">
        <v>0.34799999999999998</v>
      </c>
    </row>
    <row r="7435" spans="1:5">
      <c r="A7435" t="s">
        <v>38707</v>
      </c>
      <c r="B7435" t="s">
        <v>6893</v>
      </c>
      <c r="C7435">
        <v>0.47576615308199999</v>
      </c>
      <c r="D7435">
        <v>0.92930915069499997</v>
      </c>
      <c r="E7435">
        <v>3.6840000000000002</v>
      </c>
    </row>
    <row r="7436" spans="1:5">
      <c r="A7436" t="s">
        <v>38707</v>
      </c>
      <c r="B7436" t="s">
        <v>6894</v>
      </c>
      <c r="C7436">
        <f>-1.68132313831</f>
        <v>-1.68132313831</v>
      </c>
      <c r="D7436">
        <v>0.92930915069499997</v>
      </c>
      <c r="E7436">
        <v>3.6840000000000002</v>
      </c>
    </row>
    <row r="7437" spans="1:5">
      <c r="A7437" t="s">
        <v>38707</v>
      </c>
      <c r="B7437" t="s">
        <v>6896</v>
      </c>
      <c r="C7437">
        <v>0.86216932089599996</v>
      </c>
      <c r="D7437">
        <v>0.92930915069499997</v>
      </c>
      <c r="E7437">
        <v>3.6840000000000002</v>
      </c>
    </row>
    <row r="7438" spans="1:5">
      <c r="A7438" t="s">
        <v>38708</v>
      </c>
      <c r="B7438" t="s">
        <v>11149</v>
      </c>
      <c r="C7438">
        <f>0.590429224572</f>
        <v>0.59042922457199998</v>
      </c>
      <c r="D7438">
        <v>0.91375971895600006</v>
      </c>
      <c r="E7438">
        <v>1.512</v>
      </c>
    </row>
    <row r="7439" spans="1:5">
      <c r="A7439" t="s">
        <v>38708</v>
      </c>
      <c r="B7439" t="s">
        <v>11154</v>
      </c>
      <c r="C7439">
        <f>0.587755224721</f>
        <v>0.58775522472099995</v>
      </c>
      <c r="D7439">
        <v>0.91375971895600006</v>
      </c>
      <c r="E7439">
        <v>1.512</v>
      </c>
    </row>
    <row r="7440" spans="1:5">
      <c r="A7440" t="s">
        <v>38708</v>
      </c>
      <c r="B7440" t="s">
        <v>11146</v>
      </c>
      <c r="C7440">
        <f>0</f>
        <v>0</v>
      </c>
      <c r="D7440">
        <v>0.91375971895600006</v>
      </c>
      <c r="E7440">
        <v>1.512</v>
      </c>
    </row>
    <row r="7441" spans="1:5">
      <c r="A7441" t="s">
        <v>38708</v>
      </c>
      <c r="B7441" t="s">
        <v>11152</v>
      </c>
      <c r="C7441">
        <f>0</f>
        <v>0</v>
      </c>
      <c r="D7441">
        <v>0.91375971895600006</v>
      </c>
      <c r="E7441">
        <v>1.512</v>
      </c>
    </row>
    <row r="7442" spans="1:5">
      <c r="A7442" t="s">
        <v>38708</v>
      </c>
      <c r="B7442" t="s">
        <v>11153</v>
      </c>
      <c r="C7442">
        <f>0</f>
        <v>0</v>
      </c>
      <c r="D7442">
        <v>0.91375971895600006</v>
      </c>
      <c r="E7442">
        <v>1.512</v>
      </c>
    </row>
    <row r="7443" spans="1:5">
      <c r="A7443" t="s">
        <v>38708</v>
      </c>
      <c r="B7443" t="s">
        <v>11151</v>
      </c>
      <c r="C7443">
        <f>0.258096032885</f>
        <v>0.25809603288499999</v>
      </c>
      <c r="D7443">
        <v>0.91375971895600006</v>
      </c>
      <c r="E7443">
        <v>1.512</v>
      </c>
    </row>
    <row r="7444" spans="1:5">
      <c r="A7444" t="s">
        <v>38708</v>
      </c>
      <c r="B7444" t="s">
        <v>11147</v>
      </c>
      <c r="C7444">
        <v>0</v>
      </c>
      <c r="D7444">
        <v>0.91375971895600006</v>
      </c>
      <c r="E7444">
        <v>1.512</v>
      </c>
    </row>
    <row r="7445" spans="1:5">
      <c r="A7445" t="s">
        <v>38709</v>
      </c>
      <c r="B7445" t="s">
        <v>38710</v>
      </c>
      <c r="C7445">
        <f>0</f>
        <v>0</v>
      </c>
      <c r="D7445">
        <v>0.43092898226600002</v>
      </c>
      <c r="E7445">
        <v>24</v>
      </c>
    </row>
    <row r="7446" spans="1:5">
      <c r="A7446" t="s">
        <v>38709</v>
      </c>
      <c r="B7446" t="s">
        <v>38711</v>
      </c>
      <c r="C7446">
        <v>0.160518982266</v>
      </c>
      <c r="D7446">
        <v>0.43092898226600002</v>
      </c>
      <c r="E7446">
        <v>24</v>
      </c>
    </row>
    <row r="7447" spans="1:5">
      <c r="A7447" t="s">
        <v>38709</v>
      </c>
      <c r="B7447" t="s">
        <v>38712</v>
      </c>
      <c r="C7447">
        <v>0</v>
      </c>
      <c r="D7447">
        <v>0.43092898226600002</v>
      </c>
      <c r="E7447">
        <v>24</v>
      </c>
    </row>
    <row r="7448" spans="1:5">
      <c r="A7448" t="s">
        <v>38709</v>
      </c>
      <c r="B7448" t="s">
        <v>38713</v>
      </c>
      <c r="C7448">
        <v>0</v>
      </c>
      <c r="D7448">
        <v>0.43092898226600002</v>
      </c>
      <c r="E7448">
        <v>24</v>
      </c>
    </row>
    <row r="7449" spans="1:5">
      <c r="A7449" t="s">
        <v>38714</v>
      </c>
      <c r="B7449" t="s">
        <v>7627</v>
      </c>
      <c r="C7449">
        <v>0.51605569260200002</v>
      </c>
      <c r="D7449">
        <v>0.85820339291600001</v>
      </c>
      <c r="E7449">
        <v>1.698</v>
      </c>
    </row>
    <row r="7450" spans="1:5">
      <c r="A7450" t="s">
        <v>38714</v>
      </c>
      <c r="B7450" t="s">
        <v>7630</v>
      </c>
      <c r="C7450">
        <f>-1.26057727799</f>
        <v>-1.26057727799</v>
      </c>
      <c r="D7450">
        <v>0.85820339291600001</v>
      </c>
      <c r="E7450">
        <v>1.698</v>
      </c>
    </row>
    <row r="7451" spans="1:5">
      <c r="A7451" t="s">
        <v>38714</v>
      </c>
      <c r="B7451" t="s">
        <v>7629</v>
      </c>
      <c r="C7451">
        <v>0.66962107545600003</v>
      </c>
      <c r="D7451">
        <v>0.85820339291600001</v>
      </c>
      <c r="E7451">
        <v>1.698</v>
      </c>
    </row>
    <row r="7452" spans="1:5">
      <c r="A7452" t="s">
        <v>38715</v>
      </c>
      <c r="B7452" t="s">
        <v>32169</v>
      </c>
      <c r="C7452">
        <v>0</v>
      </c>
      <c r="D7452">
        <v>0.67016483215199996</v>
      </c>
      <c r="E7452">
        <v>4.3739999999999997</v>
      </c>
    </row>
    <row r="7453" spans="1:5">
      <c r="A7453" t="s">
        <v>38715</v>
      </c>
      <c r="B7453" t="s">
        <v>32168</v>
      </c>
      <c r="C7453">
        <v>0.111262538373</v>
      </c>
      <c r="D7453">
        <v>0.67016483215199996</v>
      </c>
      <c r="E7453">
        <v>4.3739999999999997</v>
      </c>
    </row>
    <row r="7454" spans="1:5">
      <c r="A7454" t="s">
        <v>38715</v>
      </c>
      <c r="B7454" t="s">
        <v>32171</v>
      </c>
      <c r="C7454">
        <v>0.240121005636</v>
      </c>
      <c r="D7454">
        <v>0.67016483215199996</v>
      </c>
      <c r="E7454">
        <v>4.3739999999999997</v>
      </c>
    </row>
    <row r="7455" spans="1:5">
      <c r="A7455" t="s">
        <v>38715</v>
      </c>
      <c r="B7455" t="s">
        <v>32170</v>
      </c>
      <c r="C7455">
        <v>0</v>
      </c>
      <c r="D7455">
        <v>0.67016483215199996</v>
      </c>
      <c r="E7455">
        <v>4.3739999999999997</v>
      </c>
    </row>
    <row r="7456" spans="1:5">
      <c r="A7456" t="s">
        <v>38716</v>
      </c>
      <c r="B7456" t="s">
        <v>2332</v>
      </c>
      <c r="C7456">
        <v>0</v>
      </c>
      <c r="D7456" t="s">
        <v>106</v>
      </c>
      <c r="E7456">
        <v>2.1059999999999999</v>
      </c>
    </row>
    <row r="7457" spans="1:5">
      <c r="A7457" t="s">
        <v>38716</v>
      </c>
      <c r="B7457" t="s">
        <v>2331</v>
      </c>
      <c r="C7457">
        <f>0</f>
        <v>0</v>
      </c>
      <c r="D7457" t="s">
        <v>106</v>
      </c>
      <c r="E7457">
        <v>2.1059999999999999</v>
      </c>
    </row>
    <row r="7458" spans="1:5">
      <c r="A7458" t="s">
        <v>38716</v>
      </c>
      <c r="B7458" t="s">
        <v>2334</v>
      </c>
      <c r="C7458">
        <v>0</v>
      </c>
      <c r="D7458" t="s">
        <v>106</v>
      </c>
      <c r="E7458">
        <v>2.1059999999999999</v>
      </c>
    </row>
    <row r="7459" spans="1:5">
      <c r="A7459" t="s">
        <v>38716</v>
      </c>
      <c r="B7459" t="s">
        <v>2333</v>
      </c>
      <c r="C7459">
        <f>0</f>
        <v>0</v>
      </c>
      <c r="D7459" t="s">
        <v>106</v>
      </c>
      <c r="E7459">
        <v>2.1059999999999999</v>
      </c>
    </row>
    <row r="7460" spans="1:5">
      <c r="A7460" t="s">
        <v>38717</v>
      </c>
      <c r="B7460" t="s">
        <v>22574</v>
      </c>
      <c r="C7460">
        <f>0</f>
        <v>0</v>
      </c>
      <c r="D7460" t="s">
        <v>106</v>
      </c>
      <c r="E7460">
        <v>24</v>
      </c>
    </row>
    <row r="7461" spans="1:5">
      <c r="A7461" t="s">
        <v>38717</v>
      </c>
      <c r="B7461" t="s">
        <v>22576</v>
      </c>
      <c r="C7461">
        <f>0</f>
        <v>0</v>
      </c>
      <c r="D7461" t="s">
        <v>106</v>
      </c>
      <c r="E7461">
        <v>24</v>
      </c>
    </row>
    <row r="7462" spans="1:5">
      <c r="A7462" t="s">
        <v>38717</v>
      </c>
      <c r="B7462" t="s">
        <v>22577</v>
      </c>
      <c r="C7462">
        <v>0</v>
      </c>
      <c r="D7462" t="s">
        <v>106</v>
      </c>
      <c r="E7462">
        <v>24</v>
      </c>
    </row>
    <row r="7463" spans="1:5">
      <c r="A7463" t="s">
        <v>38717</v>
      </c>
      <c r="B7463" t="s">
        <v>22575</v>
      </c>
      <c r="C7463">
        <f>0</f>
        <v>0</v>
      </c>
      <c r="D7463" t="s">
        <v>106</v>
      </c>
      <c r="E7463">
        <v>24</v>
      </c>
    </row>
    <row r="7464" spans="1:5">
      <c r="A7464" t="s">
        <v>38718</v>
      </c>
      <c r="B7464" t="s">
        <v>23809</v>
      </c>
      <c r="C7464">
        <f>0.0573343863771</f>
        <v>5.7334386377099998E-2</v>
      </c>
      <c r="D7464">
        <v>0.417344386377</v>
      </c>
      <c r="E7464">
        <v>24</v>
      </c>
    </row>
    <row r="7465" spans="1:5">
      <c r="A7465" t="s">
        <v>38718</v>
      </c>
      <c r="B7465" t="s">
        <v>23812</v>
      </c>
      <c r="C7465">
        <f>0</f>
        <v>0</v>
      </c>
      <c r="D7465">
        <v>0.417344386377</v>
      </c>
      <c r="E7465">
        <v>24</v>
      </c>
    </row>
    <row r="7466" spans="1:5">
      <c r="A7466" t="s">
        <v>38718</v>
      </c>
      <c r="B7466" t="s">
        <v>23810</v>
      </c>
      <c r="C7466">
        <f>0</f>
        <v>0</v>
      </c>
      <c r="D7466">
        <v>0.417344386377</v>
      </c>
      <c r="E7466">
        <v>24</v>
      </c>
    </row>
    <row r="7467" spans="1:5">
      <c r="A7467" t="s">
        <v>38719</v>
      </c>
      <c r="B7467" t="s">
        <v>38720</v>
      </c>
      <c r="C7467">
        <v>0.85559990079799997</v>
      </c>
      <c r="D7467">
        <v>0.91232210619999998</v>
      </c>
      <c r="E7467">
        <v>0</v>
      </c>
    </row>
    <row r="7468" spans="1:5">
      <c r="A7468" t="s">
        <v>38719</v>
      </c>
      <c r="B7468" t="s">
        <v>38721</v>
      </c>
      <c r="C7468">
        <f>0.00168654929821</f>
        <v>1.68654929821E-3</v>
      </c>
      <c r="D7468">
        <v>0.91232210619999998</v>
      </c>
      <c r="E7468">
        <v>0</v>
      </c>
    </row>
    <row r="7469" spans="1:5">
      <c r="A7469" t="s">
        <v>38722</v>
      </c>
      <c r="B7469" t="s">
        <v>9705</v>
      </c>
      <c r="C7469">
        <v>0</v>
      </c>
      <c r="D7469" t="s">
        <v>106</v>
      </c>
      <c r="E7469">
        <v>6.8040000000000003</v>
      </c>
    </row>
    <row r="7470" spans="1:5">
      <c r="A7470" t="s">
        <v>38722</v>
      </c>
      <c r="B7470" t="s">
        <v>9711</v>
      </c>
      <c r="C7470">
        <v>0</v>
      </c>
      <c r="D7470" t="s">
        <v>106</v>
      </c>
      <c r="E7470">
        <v>6.8040000000000003</v>
      </c>
    </row>
    <row r="7471" spans="1:5">
      <c r="A7471" t="s">
        <v>38722</v>
      </c>
      <c r="B7471" t="s">
        <v>9708</v>
      </c>
      <c r="C7471">
        <v>0</v>
      </c>
      <c r="D7471" t="s">
        <v>106</v>
      </c>
      <c r="E7471">
        <v>6.8040000000000003</v>
      </c>
    </row>
    <row r="7472" spans="1:5">
      <c r="A7472" t="s">
        <v>38722</v>
      </c>
      <c r="B7472" t="s">
        <v>9712</v>
      </c>
      <c r="C7472">
        <v>0</v>
      </c>
      <c r="D7472" t="s">
        <v>106</v>
      </c>
      <c r="E7472">
        <v>6.8040000000000003</v>
      </c>
    </row>
    <row r="7473" spans="1:5">
      <c r="A7473" t="s">
        <v>38722</v>
      </c>
      <c r="B7473" t="s">
        <v>9710</v>
      </c>
      <c r="C7473">
        <v>0</v>
      </c>
      <c r="D7473" t="s">
        <v>106</v>
      </c>
      <c r="E7473">
        <v>6.8040000000000003</v>
      </c>
    </row>
    <row r="7474" spans="1:5">
      <c r="A7474" t="s">
        <v>38722</v>
      </c>
      <c r="B7474" t="s">
        <v>9709</v>
      </c>
      <c r="C7474">
        <v>0</v>
      </c>
      <c r="D7474" t="s">
        <v>106</v>
      </c>
      <c r="E7474">
        <v>6.8040000000000003</v>
      </c>
    </row>
    <row r="7475" spans="1:5">
      <c r="A7475" t="s">
        <v>38723</v>
      </c>
      <c r="B7475" t="s">
        <v>12794</v>
      </c>
      <c r="C7475">
        <v>0.32470391698200002</v>
      </c>
      <c r="D7475">
        <v>0.99999752080100002</v>
      </c>
      <c r="E7475">
        <v>6.18</v>
      </c>
    </row>
    <row r="7476" spans="1:5">
      <c r="A7476" t="s">
        <v>38723</v>
      </c>
      <c r="B7476" t="s">
        <v>12801</v>
      </c>
      <c r="C7476">
        <f>0.587552979694</f>
        <v>0.587552979694</v>
      </c>
      <c r="D7476">
        <v>0.99999752080100002</v>
      </c>
      <c r="E7476">
        <v>6.18</v>
      </c>
    </row>
    <row r="7477" spans="1:5">
      <c r="A7477" t="s">
        <v>38723</v>
      </c>
      <c r="B7477" t="s">
        <v>12800</v>
      </c>
      <c r="C7477">
        <v>0.65969988347300001</v>
      </c>
      <c r="D7477">
        <v>0.99999752080100002</v>
      </c>
      <c r="E7477">
        <v>6.18</v>
      </c>
    </row>
    <row r="7478" spans="1:5">
      <c r="A7478" t="s">
        <v>38723</v>
      </c>
      <c r="B7478" t="s">
        <v>12796</v>
      </c>
      <c r="C7478">
        <v>0.21847033382799999</v>
      </c>
      <c r="D7478">
        <v>0.99999752080100002</v>
      </c>
      <c r="E7478">
        <v>6.18</v>
      </c>
    </row>
    <row r="7479" spans="1:5">
      <c r="A7479" t="s">
        <v>38723</v>
      </c>
      <c r="B7479" t="s">
        <v>12802</v>
      </c>
      <c r="C7479">
        <f>0.227961913581</f>
        <v>0.22796191358099999</v>
      </c>
      <c r="D7479">
        <v>0.99999752080100002</v>
      </c>
      <c r="E7479">
        <v>6.18</v>
      </c>
    </row>
    <row r="7480" spans="1:5">
      <c r="A7480" t="s">
        <v>38723</v>
      </c>
      <c r="B7480" t="s">
        <v>12799</v>
      </c>
      <c r="C7480">
        <f>0.0716268589832</f>
        <v>7.1626858983199995E-2</v>
      </c>
      <c r="D7480">
        <v>0.99999752080100002</v>
      </c>
      <c r="E7480">
        <v>6.18</v>
      </c>
    </row>
    <row r="7481" spans="1:5">
      <c r="A7481" t="s">
        <v>38723</v>
      </c>
      <c r="B7481" t="s">
        <v>12805</v>
      </c>
      <c r="C7481">
        <f>0.413777125902</f>
        <v>0.413777125902</v>
      </c>
      <c r="D7481">
        <v>0.99999752080100002</v>
      </c>
      <c r="E7481">
        <v>6.18</v>
      </c>
    </row>
    <row r="7482" spans="1:5">
      <c r="A7482" t="s">
        <v>38723</v>
      </c>
      <c r="B7482" t="s">
        <v>12803</v>
      </c>
      <c r="C7482">
        <v>0.83364418841200005</v>
      </c>
      <c r="D7482">
        <v>0.99999752080100002</v>
      </c>
      <c r="E7482">
        <v>6.18</v>
      </c>
    </row>
    <row r="7483" spans="1:5">
      <c r="A7483" t="s">
        <v>38724</v>
      </c>
      <c r="B7483" t="s">
        <v>38725</v>
      </c>
      <c r="C7483">
        <f>0</f>
        <v>0</v>
      </c>
      <c r="D7483">
        <v>0.75554059767899995</v>
      </c>
      <c r="E7483">
        <v>8.1539999999999999</v>
      </c>
    </row>
    <row r="7484" spans="1:5">
      <c r="A7484" t="s">
        <v>38724</v>
      </c>
      <c r="B7484" t="s">
        <v>38726</v>
      </c>
      <c r="C7484">
        <v>0.34593059767899997</v>
      </c>
      <c r="D7484">
        <v>0.75554059767899995</v>
      </c>
      <c r="E7484">
        <v>8.1539999999999999</v>
      </c>
    </row>
    <row r="7485" spans="1:5">
      <c r="A7485" t="s">
        <v>38724</v>
      </c>
      <c r="B7485" t="s">
        <v>38727</v>
      </c>
      <c r="C7485">
        <v>0</v>
      </c>
      <c r="D7485">
        <v>0.75554059767899995</v>
      </c>
      <c r="E7485">
        <v>8.1539999999999999</v>
      </c>
    </row>
    <row r="7486" spans="1:5">
      <c r="A7486" t="s">
        <v>38724</v>
      </c>
      <c r="B7486" t="s">
        <v>38728</v>
      </c>
      <c r="C7486">
        <f>0</f>
        <v>0</v>
      </c>
      <c r="D7486">
        <v>0.75554059767899995</v>
      </c>
      <c r="E7486">
        <v>8.1539999999999999</v>
      </c>
    </row>
    <row r="7487" spans="1:5">
      <c r="A7487" t="s">
        <v>38729</v>
      </c>
      <c r="B7487" t="s">
        <v>38730</v>
      </c>
      <c r="C7487">
        <v>0</v>
      </c>
      <c r="D7487" t="s">
        <v>106</v>
      </c>
      <c r="E7487">
        <v>11.208</v>
      </c>
    </row>
    <row r="7488" spans="1:5">
      <c r="A7488" t="s">
        <v>38729</v>
      </c>
      <c r="B7488" t="s">
        <v>38731</v>
      </c>
      <c r="C7488">
        <v>0</v>
      </c>
      <c r="D7488" t="s">
        <v>106</v>
      </c>
      <c r="E7488">
        <v>11.208</v>
      </c>
    </row>
    <row r="7489" spans="1:5">
      <c r="A7489" t="s">
        <v>38729</v>
      </c>
      <c r="B7489" t="s">
        <v>38732</v>
      </c>
      <c r="C7489">
        <v>0</v>
      </c>
      <c r="D7489" t="s">
        <v>106</v>
      </c>
      <c r="E7489">
        <v>11.208</v>
      </c>
    </row>
    <row r="7490" spans="1:5">
      <c r="A7490" t="s">
        <v>38733</v>
      </c>
      <c r="B7490" t="s">
        <v>24269</v>
      </c>
      <c r="C7490">
        <v>0</v>
      </c>
      <c r="D7490">
        <v>0.87240448796299996</v>
      </c>
      <c r="E7490">
        <v>5.1239999999999997</v>
      </c>
    </row>
    <row r="7491" spans="1:5">
      <c r="A7491" t="s">
        <v>38733</v>
      </c>
      <c r="B7491" t="s">
        <v>24265</v>
      </c>
      <c r="C7491">
        <v>0.172719950053</v>
      </c>
      <c r="D7491">
        <v>0.87240448796299996</v>
      </c>
      <c r="E7491">
        <v>5.1239999999999997</v>
      </c>
    </row>
    <row r="7492" spans="1:5">
      <c r="A7492" t="s">
        <v>38733</v>
      </c>
      <c r="B7492" t="s">
        <v>24268</v>
      </c>
      <c r="C7492">
        <v>0.392619072327</v>
      </c>
      <c r="D7492">
        <v>0.87240448796299996</v>
      </c>
      <c r="E7492">
        <v>5.1239999999999997</v>
      </c>
    </row>
    <row r="7493" spans="1:5">
      <c r="A7493" t="s">
        <v>38733</v>
      </c>
      <c r="B7493" t="s">
        <v>24270</v>
      </c>
      <c r="C7493">
        <v>0</v>
      </c>
      <c r="D7493">
        <v>0.87240448796299996</v>
      </c>
      <c r="E7493">
        <v>5.1239999999999997</v>
      </c>
    </row>
    <row r="7494" spans="1:5">
      <c r="A7494" t="s">
        <v>38733</v>
      </c>
      <c r="B7494" t="s">
        <v>24273</v>
      </c>
      <c r="C7494">
        <v>0.40197025657000002</v>
      </c>
      <c r="D7494">
        <v>0.87240448796299996</v>
      </c>
      <c r="E7494">
        <v>5.1239999999999997</v>
      </c>
    </row>
    <row r="7495" spans="1:5">
      <c r="A7495" t="s">
        <v>38733</v>
      </c>
      <c r="B7495" t="s">
        <v>24271</v>
      </c>
      <c r="C7495">
        <v>0</v>
      </c>
      <c r="D7495">
        <v>0.87240448796299996</v>
      </c>
      <c r="E7495">
        <v>5.1239999999999997</v>
      </c>
    </row>
    <row r="7496" spans="1:5">
      <c r="A7496" t="s">
        <v>38734</v>
      </c>
      <c r="B7496" t="s">
        <v>38735</v>
      </c>
      <c r="C7496">
        <v>0</v>
      </c>
      <c r="D7496">
        <v>0.97797270612599996</v>
      </c>
      <c r="E7496">
        <v>24</v>
      </c>
    </row>
    <row r="7497" spans="1:5">
      <c r="A7497" t="s">
        <v>38734</v>
      </c>
      <c r="B7497" t="s">
        <v>38736</v>
      </c>
      <c r="C7497">
        <f>0.460152346467</f>
        <v>0.46015234646699998</v>
      </c>
      <c r="D7497">
        <v>0.97797270612599996</v>
      </c>
      <c r="E7497">
        <v>24</v>
      </c>
    </row>
    <row r="7498" spans="1:5">
      <c r="A7498" t="s">
        <v>38734</v>
      </c>
      <c r="B7498" t="s">
        <v>38737</v>
      </c>
      <c r="C7498">
        <v>1.49593448261E-2</v>
      </c>
      <c r="D7498">
        <v>0.97797270612599996</v>
      </c>
      <c r="E7498">
        <v>24</v>
      </c>
    </row>
    <row r="7499" spans="1:5">
      <c r="A7499" t="s">
        <v>38734</v>
      </c>
      <c r="B7499" t="s">
        <v>38738</v>
      </c>
      <c r="C7499">
        <v>0</v>
      </c>
      <c r="D7499">
        <v>0.97797270612599996</v>
      </c>
      <c r="E7499">
        <v>24</v>
      </c>
    </row>
    <row r="7500" spans="1:5">
      <c r="A7500" t="s">
        <v>38734</v>
      </c>
      <c r="B7500" t="s">
        <v>38739</v>
      </c>
      <c r="C7500">
        <v>0.361725255114</v>
      </c>
      <c r="D7500">
        <v>0.97797270612599996</v>
      </c>
      <c r="E7500">
        <v>24</v>
      </c>
    </row>
    <row r="7501" spans="1:5">
      <c r="A7501" t="s">
        <v>38734</v>
      </c>
      <c r="B7501" t="s">
        <v>38740</v>
      </c>
      <c r="C7501">
        <f>0.514438162753</f>
        <v>0.51443816275300003</v>
      </c>
      <c r="D7501">
        <v>0.97797270612599996</v>
      </c>
      <c r="E7501">
        <v>24</v>
      </c>
    </row>
    <row r="7502" spans="1:5">
      <c r="A7502" t="s">
        <v>38734</v>
      </c>
      <c r="B7502" t="s">
        <v>38741</v>
      </c>
      <c r="C7502">
        <v>0</v>
      </c>
      <c r="D7502">
        <v>0.97797270612599996</v>
      </c>
      <c r="E7502">
        <v>24</v>
      </c>
    </row>
    <row r="7503" spans="1:5">
      <c r="A7503" t="s">
        <v>38734</v>
      </c>
      <c r="B7503" t="s">
        <v>38742</v>
      </c>
      <c r="C7503">
        <f>0</f>
        <v>0</v>
      </c>
      <c r="D7503">
        <v>0.97797270612599996</v>
      </c>
      <c r="E7503">
        <v>24</v>
      </c>
    </row>
    <row r="7504" spans="1:5">
      <c r="A7504" t="s">
        <v>38734</v>
      </c>
      <c r="B7504" t="s">
        <v>38743</v>
      </c>
      <c r="C7504">
        <v>0.22711514844799999</v>
      </c>
      <c r="D7504">
        <v>0.97797270612599996</v>
      </c>
      <c r="E7504">
        <v>24</v>
      </c>
    </row>
    <row r="7505" spans="1:5">
      <c r="A7505" t="s">
        <v>38744</v>
      </c>
      <c r="B7505" t="s">
        <v>3718</v>
      </c>
      <c r="C7505">
        <v>0.59739083445100005</v>
      </c>
      <c r="D7505">
        <v>0.90793903190400005</v>
      </c>
      <c r="E7505">
        <v>24</v>
      </c>
    </row>
    <row r="7506" spans="1:5">
      <c r="A7506" t="s">
        <v>38744</v>
      </c>
      <c r="B7506" t="s">
        <v>3717</v>
      </c>
      <c r="C7506">
        <f>0.646339138713</f>
        <v>0.64633913871299997</v>
      </c>
      <c r="D7506">
        <v>0.90793903190400005</v>
      </c>
      <c r="E7506">
        <v>24</v>
      </c>
    </row>
    <row r="7507" spans="1:5">
      <c r="A7507" t="s">
        <v>38744</v>
      </c>
      <c r="B7507" t="s">
        <v>3719</v>
      </c>
      <c r="C7507">
        <v>0.28270772056799998</v>
      </c>
      <c r="D7507">
        <v>0.90793903190400005</v>
      </c>
      <c r="E7507">
        <v>24</v>
      </c>
    </row>
    <row r="7508" spans="1:5">
      <c r="A7508" t="s">
        <v>38745</v>
      </c>
      <c r="B7508" t="s">
        <v>11183</v>
      </c>
      <c r="C7508">
        <v>0</v>
      </c>
      <c r="D7508">
        <v>0.71379104226300005</v>
      </c>
      <c r="E7508">
        <v>24</v>
      </c>
    </row>
    <row r="7509" spans="1:5">
      <c r="A7509" t="s">
        <v>38745</v>
      </c>
      <c r="B7509" t="s">
        <v>11189</v>
      </c>
      <c r="C7509">
        <f>0</f>
        <v>0</v>
      </c>
      <c r="D7509">
        <v>0.71379104226300005</v>
      </c>
      <c r="E7509">
        <v>24</v>
      </c>
    </row>
    <row r="7510" spans="1:5">
      <c r="A7510" t="s">
        <v>38745</v>
      </c>
      <c r="B7510" t="s">
        <v>11188</v>
      </c>
      <c r="C7510">
        <v>0.400181042263</v>
      </c>
      <c r="D7510">
        <v>0.71379104226300005</v>
      </c>
      <c r="E7510">
        <v>24</v>
      </c>
    </row>
    <row r="7511" spans="1:5">
      <c r="A7511" t="s">
        <v>38745</v>
      </c>
      <c r="B7511" t="s">
        <v>11185</v>
      </c>
      <c r="C7511">
        <f>0</f>
        <v>0</v>
      </c>
      <c r="D7511">
        <v>0.71379104226300005</v>
      </c>
      <c r="E7511">
        <v>24</v>
      </c>
    </row>
    <row r="7512" spans="1:5">
      <c r="A7512" t="s">
        <v>38746</v>
      </c>
      <c r="B7512" t="s">
        <v>38747</v>
      </c>
      <c r="C7512">
        <f>0</f>
        <v>0</v>
      </c>
      <c r="D7512">
        <v>0.96865724337699999</v>
      </c>
      <c r="E7512">
        <v>6.3</v>
      </c>
    </row>
    <row r="7513" spans="1:5">
      <c r="A7513" t="s">
        <v>38746</v>
      </c>
      <c r="B7513" t="s">
        <v>38748</v>
      </c>
      <c r="C7513">
        <v>4.6730229436100001E-2</v>
      </c>
      <c r="D7513">
        <v>0.96865724337699999</v>
      </c>
      <c r="E7513">
        <v>6.3</v>
      </c>
    </row>
    <row r="7514" spans="1:5">
      <c r="A7514" t="s">
        <v>38746</v>
      </c>
      <c r="B7514" t="s">
        <v>38749</v>
      </c>
      <c r="C7514">
        <v>0</v>
      </c>
      <c r="D7514">
        <v>0.96865724337699999</v>
      </c>
      <c r="E7514">
        <v>6.3</v>
      </c>
    </row>
    <row r="7515" spans="1:5">
      <c r="A7515" t="s">
        <v>38746</v>
      </c>
      <c r="B7515" t="s">
        <v>38750</v>
      </c>
      <c r="C7515">
        <f>0</f>
        <v>0</v>
      </c>
      <c r="D7515">
        <v>0.96865724337699999</v>
      </c>
      <c r="E7515">
        <v>6.3</v>
      </c>
    </row>
    <row r="7516" spans="1:5">
      <c r="A7516" t="s">
        <v>38746</v>
      </c>
      <c r="B7516" t="s">
        <v>38751</v>
      </c>
      <c r="C7516">
        <f>0.720635447376</f>
        <v>0.72063544737600005</v>
      </c>
      <c r="D7516">
        <v>0.96865724337699999</v>
      </c>
      <c r="E7516">
        <v>6.3</v>
      </c>
    </row>
    <row r="7517" spans="1:5">
      <c r="A7517" t="s">
        <v>38746</v>
      </c>
      <c r="B7517" t="s">
        <v>38752</v>
      </c>
      <c r="C7517">
        <v>0.248591872598</v>
      </c>
      <c r="D7517">
        <v>0.96865724337699999</v>
      </c>
      <c r="E7517">
        <v>6.3</v>
      </c>
    </row>
    <row r="7518" spans="1:5">
      <c r="A7518" t="s">
        <v>38746</v>
      </c>
      <c r="B7518" t="s">
        <v>38753</v>
      </c>
      <c r="C7518">
        <v>0.80457117899800001</v>
      </c>
      <c r="D7518">
        <v>0.96865724337699999</v>
      </c>
      <c r="E7518">
        <v>6.3</v>
      </c>
    </row>
    <row r="7519" spans="1:5">
      <c r="A7519" t="s">
        <v>38746</v>
      </c>
      <c r="B7519" t="s">
        <v>38754</v>
      </c>
      <c r="C7519">
        <f>0</f>
        <v>0</v>
      </c>
      <c r="D7519">
        <v>0.96865724337699999</v>
      </c>
      <c r="E7519">
        <v>6.3</v>
      </c>
    </row>
    <row r="7520" spans="1:5">
      <c r="A7520" t="s">
        <v>38746</v>
      </c>
      <c r="B7520" t="s">
        <v>38755</v>
      </c>
      <c r="C7520">
        <v>0.32415601093099999</v>
      </c>
      <c r="D7520">
        <v>0.96865724337699999</v>
      </c>
      <c r="E7520">
        <v>6.3</v>
      </c>
    </row>
    <row r="7521" spans="1:5">
      <c r="A7521" t="s">
        <v>38756</v>
      </c>
      <c r="B7521" t="s">
        <v>38757</v>
      </c>
      <c r="C7521">
        <f>0.218872871616</f>
        <v>0.218872871616</v>
      </c>
      <c r="D7521">
        <v>0.99998079868800005</v>
      </c>
      <c r="E7521">
        <v>0.78</v>
      </c>
    </row>
    <row r="7522" spans="1:5">
      <c r="A7522" t="s">
        <v>38756</v>
      </c>
      <c r="B7522" t="s">
        <v>38758</v>
      </c>
      <c r="C7522">
        <v>0</v>
      </c>
      <c r="D7522">
        <v>0.99998079868800005</v>
      </c>
      <c r="E7522">
        <v>0.78</v>
      </c>
    </row>
    <row r="7523" spans="1:5">
      <c r="A7523" t="s">
        <v>38756</v>
      </c>
      <c r="B7523" t="s">
        <v>38759</v>
      </c>
      <c r="C7523">
        <v>0.39249845817700002</v>
      </c>
      <c r="D7523">
        <v>0.99998079868800005</v>
      </c>
      <c r="E7523">
        <v>0.78</v>
      </c>
    </row>
    <row r="7524" spans="1:5">
      <c r="A7524" t="s">
        <v>38756</v>
      </c>
      <c r="B7524" t="s">
        <v>38760</v>
      </c>
      <c r="C7524">
        <v>0.361682634522</v>
      </c>
      <c r="D7524">
        <v>0.99998079868800005</v>
      </c>
      <c r="E7524">
        <v>0.78</v>
      </c>
    </row>
    <row r="7525" spans="1:5">
      <c r="A7525" t="s">
        <v>38756</v>
      </c>
      <c r="B7525" t="s">
        <v>38761</v>
      </c>
      <c r="C7525">
        <f>0.322913425135</f>
        <v>0.32291342513499999</v>
      </c>
      <c r="D7525">
        <v>0.99998079868800005</v>
      </c>
      <c r="E7525">
        <v>0.78</v>
      </c>
    </row>
    <row r="7526" spans="1:5">
      <c r="A7526" t="s">
        <v>38756</v>
      </c>
      <c r="B7526" t="s">
        <v>38762</v>
      </c>
      <c r="C7526">
        <v>7.1444916083400006E-2</v>
      </c>
      <c r="D7526">
        <v>0.99998079868800005</v>
      </c>
      <c r="E7526">
        <v>0.78</v>
      </c>
    </row>
    <row r="7527" spans="1:5">
      <c r="A7527" t="s">
        <v>38756</v>
      </c>
      <c r="B7527" t="s">
        <v>38763</v>
      </c>
      <c r="C7527">
        <v>0</v>
      </c>
      <c r="D7527">
        <v>0.99998079868800005</v>
      </c>
      <c r="E7527">
        <v>0.78</v>
      </c>
    </row>
    <row r="7528" spans="1:5">
      <c r="A7528" t="s">
        <v>38756</v>
      </c>
      <c r="B7528" t="s">
        <v>38764</v>
      </c>
      <c r="C7528">
        <v>0</v>
      </c>
      <c r="D7528">
        <v>0.99998079868800005</v>
      </c>
      <c r="E7528">
        <v>0.78</v>
      </c>
    </row>
    <row r="7529" spans="1:5">
      <c r="A7529" t="s">
        <v>38756</v>
      </c>
      <c r="B7529" t="s">
        <v>38765</v>
      </c>
      <c r="C7529">
        <f>0.345004946218</f>
        <v>0.34500494621799999</v>
      </c>
      <c r="D7529">
        <v>0.99998079868800005</v>
      </c>
      <c r="E7529">
        <v>0.78</v>
      </c>
    </row>
    <row r="7530" spans="1:5">
      <c r="A7530" t="s">
        <v>38756</v>
      </c>
      <c r="B7530" t="s">
        <v>38766</v>
      </c>
      <c r="C7530">
        <f>0.172223418909</f>
        <v>0.172223418909</v>
      </c>
      <c r="D7530">
        <v>0.99998079868800005</v>
      </c>
      <c r="E7530">
        <v>0.78</v>
      </c>
    </row>
    <row r="7531" spans="1:5">
      <c r="A7531" t="s">
        <v>38767</v>
      </c>
      <c r="B7531" t="s">
        <v>9934</v>
      </c>
      <c r="C7531">
        <v>0</v>
      </c>
      <c r="D7531">
        <v>0.81992465022600003</v>
      </c>
      <c r="E7531">
        <v>8.58</v>
      </c>
    </row>
    <row r="7532" spans="1:5">
      <c r="A7532" t="s">
        <v>38767</v>
      </c>
      <c r="B7532" t="s">
        <v>9937</v>
      </c>
      <c r="C7532">
        <v>0</v>
      </c>
      <c r="D7532">
        <v>0.81992465022600003</v>
      </c>
      <c r="E7532">
        <v>8.58</v>
      </c>
    </row>
    <row r="7533" spans="1:5">
      <c r="A7533" t="s">
        <v>38767</v>
      </c>
      <c r="B7533" t="s">
        <v>9938</v>
      </c>
      <c r="C7533">
        <v>0</v>
      </c>
      <c r="D7533">
        <v>0.81992465022600003</v>
      </c>
      <c r="E7533">
        <v>8.58</v>
      </c>
    </row>
    <row r="7534" spans="1:5">
      <c r="A7534" t="s">
        <v>38767</v>
      </c>
      <c r="B7534" t="s">
        <v>9942</v>
      </c>
      <c r="C7534">
        <v>0</v>
      </c>
      <c r="D7534">
        <v>0.81992465022600003</v>
      </c>
      <c r="E7534">
        <v>8.58</v>
      </c>
    </row>
    <row r="7535" spans="1:5">
      <c r="A7535" t="s">
        <v>38767</v>
      </c>
      <c r="B7535" t="s">
        <v>9940</v>
      </c>
      <c r="C7535">
        <v>0</v>
      </c>
      <c r="D7535">
        <v>0.81992465022600003</v>
      </c>
      <c r="E7535">
        <v>8.58</v>
      </c>
    </row>
    <row r="7536" spans="1:5">
      <c r="A7536" t="s">
        <v>38767</v>
      </c>
      <c r="B7536" t="s">
        <v>9936</v>
      </c>
      <c r="C7536">
        <v>0</v>
      </c>
      <c r="D7536">
        <v>0.81992465022600003</v>
      </c>
      <c r="E7536">
        <v>8.58</v>
      </c>
    </row>
    <row r="7537" spans="1:5">
      <c r="A7537" t="s">
        <v>38767</v>
      </c>
      <c r="B7537" t="s">
        <v>9939</v>
      </c>
      <c r="C7537">
        <v>0</v>
      </c>
      <c r="D7537">
        <v>0.81992465022600003</v>
      </c>
      <c r="E7537">
        <v>8.58</v>
      </c>
    </row>
    <row r="7538" spans="1:5">
      <c r="A7538" t="s">
        <v>38767</v>
      </c>
      <c r="B7538" t="s">
        <v>9935</v>
      </c>
      <c r="C7538">
        <v>0.24231465022599999</v>
      </c>
      <c r="D7538">
        <v>0.81992465022600003</v>
      </c>
      <c r="E7538">
        <v>8.58</v>
      </c>
    </row>
    <row r="7539" spans="1:5">
      <c r="A7539" t="s">
        <v>38768</v>
      </c>
      <c r="B7539" t="s">
        <v>38769</v>
      </c>
      <c r="C7539">
        <f>0</f>
        <v>0</v>
      </c>
      <c r="D7539">
        <v>0.66941466864200005</v>
      </c>
      <c r="E7539">
        <v>22.806000000000001</v>
      </c>
    </row>
    <row r="7540" spans="1:5">
      <c r="A7540" t="s">
        <v>38768</v>
      </c>
      <c r="B7540" t="s">
        <v>38770</v>
      </c>
      <c r="C7540">
        <v>0.439004668642</v>
      </c>
      <c r="D7540">
        <v>0.66941466864200005</v>
      </c>
      <c r="E7540">
        <v>22.806000000000001</v>
      </c>
    </row>
    <row r="7541" spans="1:5">
      <c r="A7541" t="s">
        <v>38768</v>
      </c>
      <c r="B7541" t="s">
        <v>38771</v>
      </c>
      <c r="C7541">
        <v>0</v>
      </c>
      <c r="D7541">
        <v>0.66941466864200005</v>
      </c>
      <c r="E7541">
        <v>22.806000000000001</v>
      </c>
    </row>
    <row r="7542" spans="1:5">
      <c r="A7542" t="s">
        <v>38772</v>
      </c>
      <c r="B7542" t="s">
        <v>38773</v>
      </c>
      <c r="C7542">
        <f>0</f>
        <v>0</v>
      </c>
      <c r="D7542" t="s">
        <v>106</v>
      </c>
      <c r="E7542">
        <v>20.963999999999999</v>
      </c>
    </row>
    <row r="7543" spans="1:5">
      <c r="A7543" t="s">
        <v>38772</v>
      </c>
      <c r="B7543" t="s">
        <v>38774</v>
      </c>
      <c r="C7543">
        <f>0</f>
        <v>0</v>
      </c>
      <c r="D7543" t="s">
        <v>106</v>
      </c>
      <c r="E7543">
        <v>20.963999999999999</v>
      </c>
    </row>
    <row r="7544" spans="1:5">
      <c r="A7544" t="s">
        <v>38772</v>
      </c>
      <c r="B7544" t="s">
        <v>38775</v>
      </c>
      <c r="C7544">
        <f>0</f>
        <v>0</v>
      </c>
      <c r="D7544" t="s">
        <v>106</v>
      </c>
      <c r="E7544">
        <v>20.963999999999999</v>
      </c>
    </row>
    <row r="7545" spans="1:5">
      <c r="A7545" t="s">
        <v>38772</v>
      </c>
      <c r="B7545" t="s">
        <v>38776</v>
      </c>
      <c r="C7545">
        <f>0</f>
        <v>0</v>
      </c>
      <c r="D7545" t="s">
        <v>106</v>
      </c>
      <c r="E7545">
        <v>20.963999999999999</v>
      </c>
    </row>
    <row r="7546" spans="1:5">
      <c r="A7546" t="s">
        <v>38777</v>
      </c>
      <c r="B7546" t="s">
        <v>14413</v>
      </c>
      <c r="C7546">
        <v>0.83920162400099996</v>
      </c>
      <c r="D7546">
        <v>0.87518393810399997</v>
      </c>
      <c r="E7546">
        <v>6.5519999999999996</v>
      </c>
    </row>
    <row r="7547" spans="1:5">
      <c r="A7547" t="s">
        <v>38777</v>
      </c>
      <c r="B7547" t="s">
        <v>14414</v>
      </c>
      <c r="C7547">
        <v>0.65925569803200001</v>
      </c>
      <c r="D7547">
        <v>0.87518393810399997</v>
      </c>
      <c r="E7547">
        <v>6.5519999999999996</v>
      </c>
    </row>
    <row r="7548" spans="1:5">
      <c r="A7548" t="s">
        <v>38777</v>
      </c>
      <c r="B7548" t="s">
        <v>14415</v>
      </c>
      <c r="C7548">
        <f>0.466052052805</f>
        <v>0.46605205280500001</v>
      </c>
      <c r="D7548">
        <v>0.87518393810399997</v>
      </c>
      <c r="E7548">
        <v>6.5519999999999996</v>
      </c>
    </row>
    <row r="7549" spans="1:5">
      <c r="A7549" t="s">
        <v>38778</v>
      </c>
      <c r="B7549" t="s">
        <v>38779</v>
      </c>
      <c r="C7549">
        <f>-2.35461030221</f>
        <v>-2.3546103022099998</v>
      </c>
      <c r="D7549">
        <v>0.92946114167500005</v>
      </c>
      <c r="E7549">
        <v>7.3319999999999999</v>
      </c>
    </row>
    <row r="7550" spans="1:5">
      <c r="A7550" t="s">
        <v>38778</v>
      </c>
      <c r="B7550" t="s">
        <v>38780</v>
      </c>
      <c r="C7550">
        <v>2.1985543524</v>
      </c>
      <c r="D7550">
        <v>0.92946114167500005</v>
      </c>
      <c r="E7550">
        <v>7.3319999999999999</v>
      </c>
    </row>
    <row r="7551" spans="1:5">
      <c r="A7551" t="s">
        <v>38781</v>
      </c>
      <c r="B7551" t="s">
        <v>16802</v>
      </c>
      <c r="C7551">
        <v>0.65605838811499995</v>
      </c>
      <c r="D7551">
        <v>0.78753404636799995</v>
      </c>
      <c r="E7551">
        <v>0</v>
      </c>
    </row>
    <row r="7552" spans="1:5">
      <c r="A7552" t="s">
        <v>38781</v>
      </c>
      <c r="B7552" t="s">
        <v>16804</v>
      </c>
      <c r="C7552">
        <f>0.558257124674</f>
        <v>0.55825712467400002</v>
      </c>
      <c r="D7552">
        <v>0.78753404636799995</v>
      </c>
      <c r="E7552">
        <v>0</v>
      </c>
    </row>
    <row r="7553" spans="1:5">
      <c r="A7553" t="s">
        <v>38782</v>
      </c>
      <c r="B7553" t="s">
        <v>32538</v>
      </c>
      <c r="C7553">
        <v>0</v>
      </c>
      <c r="D7553" t="s">
        <v>106</v>
      </c>
      <c r="E7553">
        <v>24</v>
      </c>
    </row>
    <row r="7554" spans="1:5">
      <c r="A7554" t="s">
        <v>38782</v>
      </c>
      <c r="B7554" t="s">
        <v>32539</v>
      </c>
      <c r="C7554">
        <f>0</f>
        <v>0</v>
      </c>
      <c r="D7554" t="s">
        <v>106</v>
      </c>
      <c r="E7554">
        <v>24</v>
      </c>
    </row>
    <row r="7555" spans="1:5">
      <c r="A7555" t="s">
        <v>38782</v>
      </c>
      <c r="B7555" t="s">
        <v>32541</v>
      </c>
      <c r="C7555">
        <f>0</f>
        <v>0</v>
      </c>
      <c r="D7555" t="s">
        <v>106</v>
      </c>
      <c r="E7555">
        <v>24</v>
      </c>
    </row>
    <row r="7556" spans="1:5">
      <c r="A7556" t="s">
        <v>38782</v>
      </c>
      <c r="B7556" t="s">
        <v>32540</v>
      </c>
      <c r="C7556">
        <v>0</v>
      </c>
      <c r="D7556" t="s">
        <v>106</v>
      </c>
      <c r="E7556">
        <v>24</v>
      </c>
    </row>
    <row r="7557" spans="1:5">
      <c r="A7557" t="s">
        <v>38783</v>
      </c>
      <c r="B7557" t="s">
        <v>30170</v>
      </c>
      <c r="C7557">
        <v>0</v>
      </c>
      <c r="D7557">
        <v>0.66023184530800005</v>
      </c>
      <c r="E7557">
        <v>24</v>
      </c>
    </row>
    <row r="7558" spans="1:5">
      <c r="A7558" t="s">
        <v>38783</v>
      </c>
      <c r="B7558" t="s">
        <v>30172</v>
      </c>
      <c r="C7558">
        <v>0</v>
      </c>
      <c r="D7558">
        <v>0.66023184530800005</v>
      </c>
      <c r="E7558">
        <v>24</v>
      </c>
    </row>
    <row r="7559" spans="1:5">
      <c r="A7559" t="s">
        <v>38783</v>
      </c>
      <c r="B7559" t="s">
        <v>30173</v>
      </c>
      <c r="C7559">
        <v>0</v>
      </c>
      <c r="D7559">
        <v>0.66023184530800005</v>
      </c>
      <c r="E7559">
        <v>24</v>
      </c>
    </row>
    <row r="7560" spans="1:5">
      <c r="A7560" t="s">
        <v>38783</v>
      </c>
      <c r="B7560" t="s">
        <v>30174</v>
      </c>
      <c r="C7560">
        <v>0</v>
      </c>
      <c r="D7560">
        <v>0.66023184530800005</v>
      </c>
      <c r="E7560">
        <v>24</v>
      </c>
    </row>
    <row r="7561" spans="1:5">
      <c r="A7561" t="s">
        <v>38783</v>
      </c>
      <c r="B7561" t="s">
        <v>30171</v>
      </c>
      <c r="C7561">
        <f>0</f>
        <v>0</v>
      </c>
      <c r="D7561">
        <v>0.66023184530800005</v>
      </c>
      <c r="E7561">
        <v>24</v>
      </c>
    </row>
    <row r="7562" spans="1:5">
      <c r="A7562" t="s">
        <v>38783</v>
      </c>
      <c r="B7562" t="s">
        <v>30180</v>
      </c>
      <c r="C7562">
        <v>0</v>
      </c>
      <c r="D7562">
        <v>0.66023184530800005</v>
      </c>
      <c r="E7562">
        <v>24</v>
      </c>
    </row>
    <row r="7563" spans="1:5">
      <c r="A7563" t="s">
        <v>38783</v>
      </c>
      <c r="B7563" t="s">
        <v>30176</v>
      </c>
      <c r="C7563">
        <f>0</f>
        <v>0</v>
      </c>
      <c r="D7563">
        <v>0.66023184530800005</v>
      </c>
      <c r="E7563">
        <v>24</v>
      </c>
    </row>
    <row r="7564" spans="1:5">
      <c r="A7564" t="s">
        <v>38783</v>
      </c>
      <c r="B7564" t="s">
        <v>30181</v>
      </c>
      <c r="C7564">
        <f>0</f>
        <v>0</v>
      </c>
      <c r="D7564">
        <v>0.66023184530800005</v>
      </c>
      <c r="E7564">
        <v>24</v>
      </c>
    </row>
    <row r="7565" spans="1:5">
      <c r="A7565" t="s">
        <v>38783</v>
      </c>
      <c r="B7565" t="s">
        <v>30179</v>
      </c>
      <c r="C7565">
        <f>0.0826218453083</f>
        <v>8.2621845308299996E-2</v>
      </c>
      <c r="D7565">
        <v>0.66023184530800005</v>
      </c>
      <c r="E7565">
        <v>24</v>
      </c>
    </row>
    <row r="7566" spans="1:5">
      <c r="A7566" t="s">
        <v>38783</v>
      </c>
      <c r="B7566" t="s">
        <v>30177</v>
      </c>
      <c r="C7566">
        <f>0</f>
        <v>0</v>
      </c>
      <c r="D7566">
        <v>0.66023184530800005</v>
      </c>
      <c r="E7566">
        <v>24</v>
      </c>
    </row>
    <row r="7567" spans="1:5">
      <c r="A7567" t="s">
        <v>38784</v>
      </c>
      <c r="B7567" t="s">
        <v>29080</v>
      </c>
      <c r="C7567">
        <v>0</v>
      </c>
      <c r="D7567" t="s">
        <v>106</v>
      </c>
      <c r="E7567">
        <v>1.764</v>
      </c>
    </row>
    <row r="7568" spans="1:5">
      <c r="A7568" t="s">
        <v>38784</v>
      </c>
      <c r="B7568" t="s">
        <v>29082</v>
      </c>
      <c r="C7568">
        <f>0</f>
        <v>0</v>
      </c>
      <c r="D7568" t="s">
        <v>106</v>
      </c>
      <c r="E7568">
        <v>1.764</v>
      </c>
    </row>
    <row r="7569" spans="1:5">
      <c r="A7569" t="s">
        <v>38784</v>
      </c>
      <c r="B7569" t="s">
        <v>29083</v>
      </c>
      <c r="C7569">
        <v>0</v>
      </c>
      <c r="D7569" t="s">
        <v>106</v>
      </c>
      <c r="E7569">
        <v>1.764</v>
      </c>
    </row>
    <row r="7570" spans="1:5">
      <c r="A7570" t="s">
        <v>38785</v>
      </c>
      <c r="B7570" t="s">
        <v>38786</v>
      </c>
      <c r="C7570">
        <v>0</v>
      </c>
      <c r="D7570">
        <v>0.90776608347800003</v>
      </c>
      <c r="E7570">
        <v>9.1679999999999993</v>
      </c>
    </row>
    <row r="7571" spans="1:5">
      <c r="A7571" t="s">
        <v>38785</v>
      </c>
      <c r="B7571" t="s">
        <v>38787</v>
      </c>
      <c r="C7571">
        <v>0.40048980959899999</v>
      </c>
      <c r="D7571">
        <v>0.90776608347800003</v>
      </c>
      <c r="E7571">
        <v>9.1679999999999993</v>
      </c>
    </row>
    <row r="7572" spans="1:5">
      <c r="A7572" t="s">
        <v>38785</v>
      </c>
      <c r="B7572" t="s">
        <v>38788</v>
      </c>
      <c r="C7572">
        <v>0</v>
      </c>
      <c r="D7572">
        <v>0.90776608347800003</v>
      </c>
      <c r="E7572">
        <v>9.1679999999999993</v>
      </c>
    </row>
    <row r="7573" spans="1:5">
      <c r="A7573" t="s">
        <v>38785</v>
      </c>
      <c r="B7573" t="s">
        <v>38789</v>
      </c>
      <c r="C7573">
        <v>0.15397999391100001</v>
      </c>
      <c r="D7573">
        <v>0.90776608347800003</v>
      </c>
      <c r="E7573">
        <v>9.1679999999999993</v>
      </c>
    </row>
    <row r="7574" spans="1:5">
      <c r="A7574" t="s">
        <v>38785</v>
      </c>
      <c r="B7574" t="s">
        <v>38790</v>
      </c>
      <c r="C7574">
        <v>0</v>
      </c>
      <c r="D7574">
        <v>0.90776608347800003</v>
      </c>
      <c r="E7574">
        <v>9.1679999999999993</v>
      </c>
    </row>
    <row r="7575" spans="1:5">
      <c r="A7575" t="s">
        <v>38785</v>
      </c>
      <c r="B7575" t="s">
        <v>38791</v>
      </c>
      <c r="C7575">
        <f>0.0121822677362</f>
        <v>1.21822677362E-2</v>
      </c>
      <c r="D7575">
        <v>0.90776608347800003</v>
      </c>
      <c r="E7575">
        <v>9.1679999999999993</v>
      </c>
    </row>
    <row r="7576" spans="1:5">
      <c r="A7576" t="s">
        <v>38785</v>
      </c>
      <c r="B7576" t="s">
        <v>38792</v>
      </c>
      <c r="C7576">
        <v>0</v>
      </c>
      <c r="D7576">
        <v>0.90776608347800003</v>
      </c>
      <c r="E7576">
        <v>9.1679999999999993</v>
      </c>
    </row>
    <row r="7577" spans="1:5">
      <c r="A7577" t="s">
        <v>38785</v>
      </c>
      <c r="B7577" t="s">
        <v>38793</v>
      </c>
      <c r="C7577">
        <v>0</v>
      </c>
      <c r="D7577">
        <v>0.90776608347800003</v>
      </c>
      <c r="E7577">
        <v>9.1679999999999993</v>
      </c>
    </row>
    <row r="7578" spans="1:5">
      <c r="A7578" t="s">
        <v>38785</v>
      </c>
      <c r="B7578" t="s">
        <v>38794</v>
      </c>
      <c r="C7578">
        <f>0.198349123674</f>
        <v>0.19834912367400001</v>
      </c>
      <c r="D7578">
        <v>0.90776608347800003</v>
      </c>
      <c r="E7578">
        <v>9.1679999999999993</v>
      </c>
    </row>
    <row r="7579" spans="1:5">
      <c r="A7579" t="s">
        <v>38785</v>
      </c>
      <c r="B7579" t="s">
        <v>38795</v>
      </c>
      <c r="C7579">
        <v>0</v>
      </c>
      <c r="D7579">
        <v>0.90776608347800003</v>
      </c>
      <c r="E7579">
        <v>9.1679999999999993</v>
      </c>
    </row>
    <row r="7580" spans="1:5">
      <c r="A7580" t="s">
        <v>38785</v>
      </c>
      <c r="B7580" t="s">
        <v>38796</v>
      </c>
      <c r="C7580">
        <v>0.20464691802900001</v>
      </c>
      <c r="D7580">
        <v>0.90776608347800003</v>
      </c>
      <c r="E7580">
        <v>9.1679999999999993</v>
      </c>
    </row>
    <row r="7581" spans="1:5">
      <c r="A7581" t="s">
        <v>38797</v>
      </c>
      <c r="B7581" t="s">
        <v>29788</v>
      </c>
      <c r="C7581">
        <f>-1.28074653163</f>
        <v>-1.28074653163</v>
      </c>
      <c r="D7581">
        <v>0.82670891979399996</v>
      </c>
      <c r="E7581">
        <v>16.097999999999999</v>
      </c>
    </row>
    <row r="7582" spans="1:5">
      <c r="A7582" t="s">
        <v>38797</v>
      </c>
      <c r="B7582" t="s">
        <v>29790</v>
      </c>
      <c r="C7582">
        <v>0.828357777091</v>
      </c>
      <c r="D7582">
        <v>0.82670891979399996</v>
      </c>
      <c r="E7582">
        <v>16.097999999999999</v>
      </c>
    </row>
    <row r="7583" spans="1:5">
      <c r="A7583" t="s">
        <v>38798</v>
      </c>
      <c r="B7583" t="s">
        <v>24078</v>
      </c>
      <c r="C7583">
        <v>0</v>
      </c>
      <c r="D7583">
        <v>0.84112116196800002</v>
      </c>
      <c r="E7583">
        <v>0.73799999999999999</v>
      </c>
    </row>
    <row r="7584" spans="1:5">
      <c r="A7584" t="s">
        <v>38798</v>
      </c>
      <c r="B7584" t="s">
        <v>24080</v>
      </c>
      <c r="C7584">
        <v>0.36470076086800002</v>
      </c>
      <c r="D7584">
        <v>0.84112116196800002</v>
      </c>
      <c r="E7584">
        <v>0.73799999999999999</v>
      </c>
    </row>
    <row r="7585" spans="1:5">
      <c r="A7585" t="s">
        <v>38798</v>
      </c>
      <c r="B7585" t="s">
        <v>24079</v>
      </c>
      <c r="C7585">
        <v>0.16660009102000001</v>
      </c>
      <c r="D7585">
        <v>0.84112116196800002</v>
      </c>
      <c r="E7585">
        <v>0.73799999999999999</v>
      </c>
    </row>
    <row r="7586" spans="1:5">
      <c r="A7586" t="s">
        <v>38799</v>
      </c>
      <c r="B7586" t="s">
        <v>38800</v>
      </c>
      <c r="C7586">
        <v>0.30619291350900002</v>
      </c>
      <c r="D7586">
        <v>0.53660291350900002</v>
      </c>
      <c r="E7586">
        <v>19.853999999999999</v>
      </c>
    </row>
    <row r="7587" spans="1:5">
      <c r="A7587" t="s">
        <v>38799</v>
      </c>
      <c r="B7587" t="s">
        <v>38801</v>
      </c>
      <c r="C7587">
        <v>0</v>
      </c>
      <c r="D7587">
        <v>0.53660291350900002</v>
      </c>
      <c r="E7587">
        <v>19.853999999999999</v>
      </c>
    </row>
    <row r="7588" spans="1:5">
      <c r="A7588" t="s">
        <v>38799</v>
      </c>
      <c r="B7588" t="s">
        <v>38802</v>
      </c>
      <c r="C7588">
        <f>0</f>
        <v>0</v>
      </c>
      <c r="D7588">
        <v>0.53660291350900002</v>
      </c>
      <c r="E7588">
        <v>19.853999999999999</v>
      </c>
    </row>
    <row r="7589" spans="1:5">
      <c r="A7589" t="s">
        <v>38803</v>
      </c>
      <c r="B7589" t="s">
        <v>4462</v>
      </c>
      <c r="C7589">
        <f>0.828015464546</f>
        <v>0.82801546454599995</v>
      </c>
      <c r="D7589">
        <v>0.82348787644099997</v>
      </c>
      <c r="E7589">
        <v>23.754000000000001</v>
      </c>
    </row>
    <row r="7590" spans="1:5">
      <c r="A7590" t="s">
        <v>38803</v>
      </c>
      <c r="B7590" t="s">
        <v>4465</v>
      </c>
      <c r="C7590">
        <f>0.0869408730776</f>
        <v>8.6940873077599998E-2</v>
      </c>
      <c r="D7590">
        <v>0.82348787644099997</v>
      </c>
      <c r="E7590">
        <v>23.754000000000001</v>
      </c>
    </row>
    <row r="7591" spans="1:5">
      <c r="A7591" t="s">
        <v>38803</v>
      </c>
      <c r="B7591" t="s">
        <v>4464</v>
      </c>
      <c r="C7591">
        <f>0.137977169888</f>
        <v>0.13797716988799999</v>
      </c>
      <c r="D7591">
        <v>0.82348787644099997</v>
      </c>
      <c r="E7591">
        <v>23.754000000000001</v>
      </c>
    </row>
    <row r="7592" spans="1:5">
      <c r="A7592" t="s">
        <v>38804</v>
      </c>
      <c r="B7592" t="s">
        <v>38805</v>
      </c>
      <c r="C7592">
        <v>0.19082648748799999</v>
      </c>
      <c r="D7592">
        <v>0.81773714876000003</v>
      </c>
      <c r="E7592">
        <v>0.192</v>
      </c>
    </row>
    <row r="7593" spans="1:5">
      <c r="A7593" t="s">
        <v>38804</v>
      </c>
      <c r="B7593" t="s">
        <v>38806</v>
      </c>
      <c r="C7593">
        <f>0.39633581133</f>
        <v>0.39633581133000001</v>
      </c>
      <c r="D7593">
        <v>0.81773714876000003</v>
      </c>
      <c r="E7593">
        <v>0.192</v>
      </c>
    </row>
    <row r="7594" spans="1:5">
      <c r="A7594" t="s">
        <v>38804</v>
      </c>
      <c r="B7594" t="s">
        <v>38807</v>
      </c>
      <c r="C7594">
        <v>0.60256220170499997</v>
      </c>
      <c r="D7594">
        <v>0.81773714876000003</v>
      </c>
      <c r="E7594">
        <v>0.192</v>
      </c>
    </row>
    <row r="7595" spans="1:5">
      <c r="A7595" t="s">
        <v>38808</v>
      </c>
      <c r="B7595" t="s">
        <v>38809</v>
      </c>
      <c r="C7595">
        <f>0</f>
        <v>0</v>
      </c>
      <c r="D7595" t="s">
        <v>106</v>
      </c>
      <c r="E7595">
        <v>7.3319999999999999</v>
      </c>
    </row>
    <row r="7596" spans="1:5">
      <c r="A7596" t="s">
        <v>38808</v>
      </c>
      <c r="B7596" t="s">
        <v>38810</v>
      </c>
      <c r="C7596">
        <f>0</f>
        <v>0</v>
      </c>
      <c r="D7596" t="s">
        <v>106</v>
      </c>
      <c r="E7596">
        <v>7.3319999999999999</v>
      </c>
    </row>
    <row r="7597" spans="1:5">
      <c r="A7597" t="s">
        <v>38808</v>
      </c>
      <c r="B7597" t="s">
        <v>38811</v>
      </c>
      <c r="C7597">
        <f>0</f>
        <v>0</v>
      </c>
      <c r="D7597" t="s">
        <v>106</v>
      </c>
      <c r="E7597">
        <v>7.3319999999999999</v>
      </c>
    </row>
    <row r="7598" spans="1:5">
      <c r="A7598" t="s">
        <v>38808</v>
      </c>
      <c r="B7598" t="s">
        <v>38812</v>
      </c>
      <c r="C7598">
        <f>0</f>
        <v>0</v>
      </c>
      <c r="D7598" t="s">
        <v>106</v>
      </c>
      <c r="E7598">
        <v>7.3319999999999999</v>
      </c>
    </row>
    <row r="7599" spans="1:5">
      <c r="A7599" t="s">
        <v>38808</v>
      </c>
      <c r="B7599" t="s">
        <v>38813</v>
      </c>
      <c r="C7599">
        <f>0</f>
        <v>0</v>
      </c>
      <c r="D7599" t="s">
        <v>106</v>
      </c>
      <c r="E7599">
        <v>7.3319999999999999</v>
      </c>
    </row>
    <row r="7600" spans="1:5">
      <c r="A7600" t="s">
        <v>38808</v>
      </c>
      <c r="B7600" t="s">
        <v>38814</v>
      </c>
      <c r="C7600">
        <v>0</v>
      </c>
      <c r="D7600" t="s">
        <v>106</v>
      </c>
      <c r="E7600">
        <v>7.3319999999999999</v>
      </c>
    </row>
    <row r="7601" spans="1:5">
      <c r="A7601" t="s">
        <v>38808</v>
      </c>
      <c r="B7601" t="s">
        <v>38815</v>
      </c>
      <c r="C7601">
        <f>0</f>
        <v>0</v>
      </c>
      <c r="D7601" t="s">
        <v>106</v>
      </c>
      <c r="E7601">
        <v>7.3319999999999999</v>
      </c>
    </row>
    <row r="7602" spans="1:5">
      <c r="A7602" t="s">
        <v>38808</v>
      </c>
      <c r="B7602" t="s">
        <v>38816</v>
      </c>
      <c r="C7602">
        <f>0</f>
        <v>0</v>
      </c>
      <c r="D7602" t="s">
        <v>106</v>
      </c>
      <c r="E7602">
        <v>7.3319999999999999</v>
      </c>
    </row>
    <row r="7603" spans="1:5">
      <c r="A7603" t="s">
        <v>38808</v>
      </c>
      <c r="B7603" t="s">
        <v>38817</v>
      </c>
      <c r="C7603">
        <f>0</f>
        <v>0</v>
      </c>
      <c r="D7603" t="s">
        <v>106</v>
      </c>
      <c r="E7603">
        <v>7.3319999999999999</v>
      </c>
    </row>
    <row r="7604" spans="1:5">
      <c r="A7604" t="s">
        <v>38808</v>
      </c>
      <c r="B7604" t="s">
        <v>38818</v>
      </c>
      <c r="C7604">
        <f>0</f>
        <v>0</v>
      </c>
      <c r="D7604" t="s">
        <v>106</v>
      </c>
      <c r="E7604">
        <v>7.3319999999999999</v>
      </c>
    </row>
    <row r="7605" spans="1:5">
      <c r="A7605" t="s">
        <v>38819</v>
      </c>
      <c r="B7605" t="s">
        <v>38820</v>
      </c>
      <c r="C7605">
        <f>0.657082406454</f>
        <v>0.65708240645399996</v>
      </c>
      <c r="D7605">
        <v>0.98488012037700001</v>
      </c>
      <c r="E7605">
        <v>11.208</v>
      </c>
    </row>
    <row r="7606" spans="1:5">
      <c r="A7606" t="s">
        <v>38819</v>
      </c>
      <c r="B7606" t="s">
        <v>38821</v>
      </c>
      <c r="C7606">
        <v>0.50673185732199999</v>
      </c>
      <c r="D7606">
        <v>0.98488012037700001</v>
      </c>
      <c r="E7606">
        <v>11.208</v>
      </c>
    </row>
    <row r="7607" spans="1:5">
      <c r="A7607" t="s">
        <v>38819</v>
      </c>
      <c r="B7607" t="s">
        <v>38822</v>
      </c>
      <c r="C7607">
        <f>0.342126587316</f>
        <v>0.34212658731599999</v>
      </c>
      <c r="D7607">
        <v>0.98488012037700001</v>
      </c>
      <c r="E7607">
        <v>11.208</v>
      </c>
    </row>
    <row r="7608" spans="1:5">
      <c r="A7608" t="s">
        <v>38819</v>
      </c>
      <c r="B7608" t="s">
        <v>38823</v>
      </c>
      <c r="C7608">
        <f>-2.74193229562</f>
        <v>-2.7419322956199998</v>
      </c>
      <c r="D7608">
        <v>0.98488012037700001</v>
      </c>
      <c r="E7608">
        <v>11.208</v>
      </c>
    </row>
    <row r="7609" spans="1:5">
      <c r="A7609" t="s">
        <v>38819</v>
      </c>
      <c r="B7609" t="s">
        <v>38824</v>
      </c>
      <c r="C7609">
        <v>0.441988073717</v>
      </c>
      <c r="D7609">
        <v>0.98488012037700001</v>
      </c>
      <c r="E7609">
        <v>11.208</v>
      </c>
    </row>
    <row r="7610" spans="1:5">
      <c r="A7610" t="s">
        <v>38819</v>
      </c>
      <c r="B7610" t="s">
        <v>38825</v>
      </c>
      <c r="C7610">
        <v>1.88866715183</v>
      </c>
      <c r="D7610">
        <v>0.98488012037700001</v>
      </c>
      <c r="E7610">
        <v>11.208</v>
      </c>
    </row>
    <row r="7611" spans="1:5">
      <c r="A7611" t="s">
        <v>38826</v>
      </c>
      <c r="B7611" t="s">
        <v>27022</v>
      </c>
      <c r="C7611">
        <f>0.363556037024</f>
        <v>0.36355603702400002</v>
      </c>
      <c r="D7611">
        <v>0.940594458666</v>
      </c>
      <c r="E7611">
        <v>10.715999999999999</v>
      </c>
    </row>
    <row r="7612" spans="1:5">
      <c r="A7612" t="s">
        <v>38826</v>
      </c>
      <c r="B7612" t="s">
        <v>27026</v>
      </c>
      <c r="C7612">
        <f>0.979224260786</f>
        <v>0.979224260786</v>
      </c>
      <c r="D7612">
        <v>0.940594458666</v>
      </c>
      <c r="E7612">
        <v>10.715999999999999</v>
      </c>
    </row>
    <row r="7613" spans="1:5">
      <c r="A7613" t="s">
        <v>38826</v>
      </c>
      <c r="B7613" t="s">
        <v>27033</v>
      </c>
      <c r="C7613">
        <f>0.443868415633</f>
        <v>0.443868415633</v>
      </c>
      <c r="D7613">
        <v>0.940594458666</v>
      </c>
      <c r="E7613">
        <v>10.715999999999999</v>
      </c>
    </row>
    <row r="7614" spans="1:5">
      <c r="A7614" t="s">
        <v>38826</v>
      </c>
      <c r="B7614" t="s">
        <v>27028</v>
      </c>
      <c r="C7614">
        <f>0</f>
        <v>0</v>
      </c>
      <c r="D7614">
        <v>0.940594458666</v>
      </c>
      <c r="E7614">
        <v>10.715999999999999</v>
      </c>
    </row>
    <row r="7615" spans="1:5">
      <c r="A7615" t="s">
        <v>38827</v>
      </c>
      <c r="B7615" t="s">
        <v>38828</v>
      </c>
      <c r="C7615">
        <v>0</v>
      </c>
      <c r="D7615" t="s">
        <v>106</v>
      </c>
      <c r="E7615">
        <v>20.07</v>
      </c>
    </row>
    <row r="7616" spans="1:5">
      <c r="A7616" t="s">
        <v>38827</v>
      </c>
      <c r="B7616" t="s">
        <v>38829</v>
      </c>
      <c r="C7616">
        <v>0</v>
      </c>
      <c r="D7616" t="s">
        <v>106</v>
      </c>
      <c r="E7616">
        <v>20.07</v>
      </c>
    </row>
    <row r="7617" spans="1:5">
      <c r="A7617" t="s">
        <v>38827</v>
      </c>
      <c r="B7617" t="s">
        <v>38830</v>
      </c>
      <c r="C7617">
        <f>0</f>
        <v>0</v>
      </c>
      <c r="D7617" t="s">
        <v>106</v>
      </c>
      <c r="E7617">
        <v>20.07</v>
      </c>
    </row>
    <row r="7618" spans="1:5">
      <c r="A7618" t="s">
        <v>38827</v>
      </c>
      <c r="B7618" t="s">
        <v>38831</v>
      </c>
      <c r="C7618">
        <f>0</f>
        <v>0</v>
      </c>
      <c r="D7618" t="s">
        <v>106</v>
      </c>
      <c r="E7618">
        <v>20.07</v>
      </c>
    </row>
    <row r="7619" spans="1:5">
      <c r="A7619" t="s">
        <v>38827</v>
      </c>
      <c r="B7619" t="s">
        <v>38832</v>
      </c>
      <c r="C7619">
        <v>0</v>
      </c>
      <c r="D7619" t="s">
        <v>106</v>
      </c>
      <c r="E7619">
        <v>20.07</v>
      </c>
    </row>
    <row r="7620" spans="1:5">
      <c r="A7620" t="s">
        <v>38827</v>
      </c>
      <c r="B7620" t="s">
        <v>38833</v>
      </c>
      <c r="C7620">
        <v>0</v>
      </c>
      <c r="D7620" t="s">
        <v>106</v>
      </c>
      <c r="E7620">
        <v>20.07</v>
      </c>
    </row>
    <row r="7621" spans="1:5">
      <c r="A7621" t="s">
        <v>38827</v>
      </c>
      <c r="B7621" t="s">
        <v>38834</v>
      </c>
      <c r="C7621">
        <f>0</f>
        <v>0</v>
      </c>
      <c r="D7621" t="s">
        <v>106</v>
      </c>
      <c r="E7621">
        <v>20.07</v>
      </c>
    </row>
    <row r="7622" spans="1:5">
      <c r="A7622" t="s">
        <v>38835</v>
      </c>
      <c r="B7622" t="s">
        <v>16137</v>
      </c>
      <c r="C7622">
        <f>0.313094159194</f>
        <v>0.31309415919400002</v>
      </c>
      <c r="D7622">
        <v>0.94759357410900003</v>
      </c>
      <c r="E7622">
        <v>4.2720000000000002</v>
      </c>
    </row>
    <row r="7623" spans="1:5">
      <c r="A7623" t="s">
        <v>38835</v>
      </c>
      <c r="B7623" t="s">
        <v>16138</v>
      </c>
      <c r="C7623">
        <v>1.4864935799300001</v>
      </c>
      <c r="D7623">
        <v>0.94759357410900003</v>
      </c>
      <c r="E7623">
        <v>4.2720000000000002</v>
      </c>
    </row>
    <row r="7624" spans="1:5">
      <c r="A7624" t="s">
        <v>38835</v>
      </c>
      <c r="B7624" t="s">
        <v>16141</v>
      </c>
      <c r="C7624">
        <v>0</v>
      </c>
      <c r="D7624">
        <v>0.94759357410900003</v>
      </c>
      <c r="E7624">
        <v>4.2720000000000002</v>
      </c>
    </row>
    <row r="7625" spans="1:5">
      <c r="A7625" t="s">
        <v>38835</v>
      </c>
      <c r="B7625" t="s">
        <v>16144</v>
      </c>
      <c r="C7625">
        <f>0.370805229109</f>
        <v>0.37080522910899999</v>
      </c>
      <c r="D7625">
        <v>0.94759357410900003</v>
      </c>
      <c r="E7625">
        <v>4.2720000000000002</v>
      </c>
    </row>
    <row r="7626" spans="1:5">
      <c r="A7626" t="s">
        <v>38835</v>
      </c>
      <c r="B7626" t="s">
        <v>16139</v>
      </c>
      <c r="C7626">
        <v>0</v>
      </c>
      <c r="D7626">
        <v>0.94759357410900003</v>
      </c>
      <c r="E7626">
        <v>4.2720000000000002</v>
      </c>
    </row>
    <row r="7627" spans="1:5">
      <c r="A7627" t="s">
        <v>38835</v>
      </c>
      <c r="B7627" t="s">
        <v>16142</v>
      </c>
      <c r="C7627">
        <f>0.26879423998</f>
        <v>0.26879423998000002</v>
      </c>
      <c r="D7627">
        <v>0.94759357410900003</v>
      </c>
      <c r="E7627">
        <v>4.2720000000000002</v>
      </c>
    </row>
    <row r="7628" spans="1:5">
      <c r="A7628" t="s">
        <v>38836</v>
      </c>
      <c r="B7628" t="s">
        <v>4387</v>
      </c>
      <c r="C7628">
        <v>0</v>
      </c>
      <c r="D7628">
        <v>0.84132624204100004</v>
      </c>
      <c r="E7628">
        <v>24</v>
      </c>
    </row>
    <row r="7629" spans="1:5">
      <c r="A7629" t="s">
        <v>38836</v>
      </c>
      <c r="B7629" t="s">
        <v>4393</v>
      </c>
      <c r="C7629">
        <v>0.71171624204100004</v>
      </c>
      <c r="D7629">
        <v>0.84132624204100004</v>
      </c>
      <c r="E7629">
        <v>24</v>
      </c>
    </row>
    <row r="7630" spans="1:5">
      <c r="A7630" t="s">
        <v>38836</v>
      </c>
      <c r="B7630" t="s">
        <v>4392</v>
      </c>
      <c r="C7630">
        <f>0</f>
        <v>0</v>
      </c>
      <c r="D7630">
        <v>0.84132624204100004</v>
      </c>
      <c r="E7630">
        <v>24</v>
      </c>
    </row>
    <row r="7631" spans="1:5">
      <c r="A7631" t="s">
        <v>38836</v>
      </c>
      <c r="B7631" t="s">
        <v>4395</v>
      </c>
      <c r="C7631">
        <f>0</f>
        <v>0</v>
      </c>
      <c r="D7631">
        <v>0.84132624204100004</v>
      </c>
      <c r="E7631">
        <v>24</v>
      </c>
    </row>
    <row r="7632" spans="1:5">
      <c r="A7632" t="s">
        <v>38837</v>
      </c>
      <c r="B7632" t="s">
        <v>38838</v>
      </c>
      <c r="C7632">
        <v>0</v>
      </c>
      <c r="D7632">
        <v>0.79588588201300003</v>
      </c>
      <c r="E7632">
        <v>15.708</v>
      </c>
    </row>
    <row r="7633" spans="1:5">
      <c r="A7633" t="s">
        <v>38837</v>
      </c>
      <c r="B7633" t="s">
        <v>38839</v>
      </c>
      <c r="C7633">
        <v>0.15587588201300001</v>
      </c>
      <c r="D7633">
        <v>0.79588588201300003</v>
      </c>
      <c r="E7633">
        <v>15.708</v>
      </c>
    </row>
    <row r="7634" spans="1:5">
      <c r="A7634" t="s">
        <v>38837</v>
      </c>
      <c r="B7634" t="s">
        <v>38840</v>
      </c>
      <c r="C7634">
        <v>0</v>
      </c>
      <c r="D7634">
        <v>0.79588588201300003</v>
      </c>
      <c r="E7634">
        <v>15.708</v>
      </c>
    </row>
    <row r="7635" spans="1:5">
      <c r="A7635" t="s">
        <v>38837</v>
      </c>
      <c r="B7635" t="s">
        <v>38841</v>
      </c>
      <c r="C7635">
        <f>0</f>
        <v>0</v>
      </c>
      <c r="D7635">
        <v>0.79588588201300003</v>
      </c>
      <c r="E7635">
        <v>15.708</v>
      </c>
    </row>
    <row r="7636" spans="1:5">
      <c r="A7636" t="s">
        <v>38837</v>
      </c>
      <c r="B7636" t="s">
        <v>38842</v>
      </c>
      <c r="C7636">
        <f>0</f>
        <v>0</v>
      </c>
      <c r="D7636">
        <v>0.79588588201300003</v>
      </c>
      <c r="E7636">
        <v>15.708</v>
      </c>
    </row>
    <row r="7637" spans="1:5">
      <c r="A7637" t="s">
        <v>38843</v>
      </c>
      <c r="B7637" t="s">
        <v>22749</v>
      </c>
      <c r="C7637">
        <v>0</v>
      </c>
      <c r="D7637" t="s">
        <v>106</v>
      </c>
      <c r="E7637">
        <v>16.698</v>
      </c>
    </row>
    <row r="7638" spans="1:5">
      <c r="A7638" t="s">
        <v>38843</v>
      </c>
      <c r="B7638" t="s">
        <v>22744</v>
      </c>
      <c r="C7638">
        <v>0</v>
      </c>
      <c r="D7638" t="s">
        <v>106</v>
      </c>
      <c r="E7638">
        <v>16.698</v>
      </c>
    </row>
    <row r="7639" spans="1:5">
      <c r="A7639" t="s">
        <v>38843</v>
      </c>
      <c r="B7639" t="s">
        <v>22754</v>
      </c>
      <c r="C7639">
        <v>0</v>
      </c>
      <c r="D7639" t="s">
        <v>106</v>
      </c>
      <c r="E7639">
        <v>16.698</v>
      </c>
    </row>
    <row r="7640" spans="1:5">
      <c r="A7640" t="s">
        <v>38843</v>
      </c>
      <c r="B7640" t="s">
        <v>22750</v>
      </c>
      <c r="C7640">
        <v>0</v>
      </c>
      <c r="D7640" t="s">
        <v>106</v>
      </c>
      <c r="E7640">
        <v>16.698</v>
      </c>
    </row>
    <row r="7641" spans="1:5">
      <c r="A7641" t="s">
        <v>38843</v>
      </c>
      <c r="B7641" t="s">
        <v>38844</v>
      </c>
      <c r="C7641">
        <f>0</f>
        <v>0</v>
      </c>
      <c r="D7641" t="s">
        <v>106</v>
      </c>
      <c r="E7641">
        <v>16.698</v>
      </c>
    </row>
    <row r="7642" spans="1:5">
      <c r="A7642" t="s">
        <v>38845</v>
      </c>
      <c r="B7642" t="s">
        <v>13208</v>
      </c>
      <c r="C7642">
        <v>0</v>
      </c>
      <c r="D7642">
        <v>0.99559122382099996</v>
      </c>
      <c r="E7642">
        <v>24</v>
      </c>
    </row>
    <row r="7643" spans="1:5">
      <c r="A7643" t="s">
        <v>38845</v>
      </c>
      <c r="B7643" t="s">
        <v>13207</v>
      </c>
      <c r="C7643">
        <v>1.4683636227600001</v>
      </c>
      <c r="D7643">
        <v>0.99559122382099996</v>
      </c>
      <c r="E7643">
        <v>24</v>
      </c>
    </row>
    <row r="7644" spans="1:5">
      <c r="A7644" t="s">
        <v>38845</v>
      </c>
      <c r="B7644" t="s">
        <v>13212</v>
      </c>
      <c r="C7644">
        <v>0.99434315694099995</v>
      </c>
      <c r="D7644">
        <v>0.99559122382099996</v>
      </c>
      <c r="E7644">
        <v>24</v>
      </c>
    </row>
    <row r="7645" spans="1:5">
      <c r="A7645" t="s">
        <v>38845</v>
      </c>
      <c r="B7645" t="s">
        <v>13211</v>
      </c>
      <c r="C7645">
        <f>-1.23868239176</f>
        <v>-1.2386823917600001</v>
      </c>
      <c r="D7645">
        <v>0.99559122382099996</v>
      </c>
      <c r="E7645">
        <v>24</v>
      </c>
    </row>
    <row r="7646" spans="1:5">
      <c r="A7646" t="s">
        <v>38845</v>
      </c>
      <c r="B7646" t="s">
        <v>13209</v>
      </c>
      <c r="C7646">
        <v>0.46486875102199998</v>
      </c>
      <c r="D7646">
        <v>0.99559122382099996</v>
      </c>
      <c r="E7646">
        <v>24</v>
      </c>
    </row>
    <row r="7647" spans="1:5">
      <c r="A7647" t="s">
        <v>38845</v>
      </c>
      <c r="B7647" t="s">
        <v>13210</v>
      </c>
      <c r="C7647">
        <f>0.742037308355</f>
        <v>0.74203730835500004</v>
      </c>
      <c r="D7647">
        <v>0.99559122382099996</v>
      </c>
      <c r="E7647">
        <v>24</v>
      </c>
    </row>
    <row r="7648" spans="1:5">
      <c r="A7648" t="s">
        <v>38846</v>
      </c>
      <c r="B7648" t="s">
        <v>10528</v>
      </c>
      <c r="C7648">
        <f>0.813038620731</f>
        <v>0.81303862073099997</v>
      </c>
      <c r="D7648">
        <v>0.99999991507800001</v>
      </c>
      <c r="E7648">
        <v>4.6920000000000002</v>
      </c>
    </row>
    <row r="7649" spans="1:5">
      <c r="A7649" t="s">
        <v>38846</v>
      </c>
      <c r="B7649" t="s">
        <v>10527</v>
      </c>
      <c r="C7649">
        <v>0.20816715356099999</v>
      </c>
      <c r="D7649">
        <v>0.99999991507800001</v>
      </c>
      <c r="E7649">
        <v>4.6920000000000002</v>
      </c>
    </row>
    <row r="7650" spans="1:5">
      <c r="A7650" t="s">
        <v>38846</v>
      </c>
      <c r="B7650" t="s">
        <v>10535</v>
      </c>
      <c r="C7650">
        <f>0.374928266593</f>
        <v>0.37492826659299999</v>
      </c>
      <c r="D7650">
        <v>0.99999991507800001</v>
      </c>
      <c r="E7650">
        <v>4.6920000000000002</v>
      </c>
    </row>
    <row r="7651" spans="1:5">
      <c r="A7651" t="s">
        <v>38846</v>
      </c>
      <c r="B7651" t="s">
        <v>10529</v>
      </c>
      <c r="C7651">
        <v>0.78336508115699999</v>
      </c>
      <c r="D7651">
        <v>0.99999991507800001</v>
      </c>
      <c r="E7651">
        <v>4.6920000000000002</v>
      </c>
    </row>
    <row r="7652" spans="1:5">
      <c r="A7652" t="s">
        <v>38846</v>
      </c>
      <c r="B7652" t="s">
        <v>10532</v>
      </c>
      <c r="C7652">
        <v>0.44455128194499999</v>
      </c>
      <c r="D7652">
        <v>0.99999991507800001</v>
      </c>
      <c r="E7652">
        <v>4.6920000000000002</v>
      </c>
    </row>
    <row r="7653" spans="1:5">
      <c r="A7653" t="s">
        <v>38846</v>
      </c>
      <c r="B7653" t="s">
        <v>10531</v>
      </c>
      <c r="C7653">
        <v>8.3869286678099994E-2</v>
      </c>
      <c r="D7653">
        <v>0.99999991507800001</v>
      </c>
      <c r="E7653">
        <v>4.6920000000000002</v>
      </c>
    </row>
    <row r="7654" spans="1:5">
      <c r="A7654" t="s">
        <v>38846</v>
      </c>
      <c r="B7654" t="s">
        <v>10533</v>
      </c>
      <c r="C7654">
        <v>0.18574806402899999</v>
      </c>
      <c r="D7654">
        <v>0.99999991507800001</v>
      </c>
      <c r="E7654">
        <v>4.6920000000000002</v>
      </c>
    </row>
    <row r="7655" spans="1:5">
      <c r="A7655" t="s">
        <v>38846</v>
      </c>
      <c r="B7655" t="s">
        <v>10530</v>
      </c>
      <c r="C7655">
        <f>0.385652739392</f>
        <v>0.38565273939200001</v>
      </c>
      <c r="D7655">
        <v>0.99999991507800001</v>
      </c>
      <c r="E7655">
        <v>4.6920000000000002</v>
      </c>
    </row>
    <row r="7656" spans="1:5">
      <c r="A7656" t="s">
        <v>38846</v>
      </c>
      <c r="B7656" t="s">
        <v>10536</v>
      </c>
      <c r="C7656">
        <v>0.52663041391599996</v>
      </c>
      <c r="D7656">
        <v>0.99999991507800001</v>
      </c>
      <c r="E7656">
        <v>4.6920000000000002</v>
      </c>
    </row>
    <row r="7657" spans="1:5">
      <c r="A7657" t="s">
        <v>38846</v>
      </c>
      <c r="B7657" t="s">
        <v>10534</v>
      </c>
      <c r="C7657">
        <v>0.45212646432600001</v>
      </c>
      <c r="D7657">
        <v>0.99999991507800001</v>
      </c>
      <c r="E7657">
        <v>4.6920000000000002</v>
      </c>
    </row>
    <row r="7658" spans="1:5">
      <c r="A7658" t="s">
        <v>38846</v>
      </c>
      <c r="B7658" t="s">
        <v>38847</v>
      </c>
      <c r="C7658">
        <f>0.292781671796</f>
        <v>0.29278167179600001</v>
      </c>
      <c r="D7658">
        <v>0.99999991507800001</v>
      </c>
      <c r="E7658">
        <v>4.6920000000000002</v>
      </c>
    </row>
    <row r="7659" spans="1:5">
      <c r="A7659" t="s">
        <v>38848</v>
      </c>
      <c r="B7659" t="s">
        <v>14649</v>
      </c>
      <c r="C7659">
        <v>0.22988904179</v>
      </c>
      <c r="D7659">
        <v>0.99751717563499998</v>
      </c>
      <c r="E7659">
        <v>5.016</v>
      </c>
    </row>
    <row r="7660" spans="1:5">
      <c r="A7660" t="s">
        <v>38848</v>
      </c>
      <c r="B7660" t="s">
        <v>14648</v>
      </c>
      <c r="C7660">
        <v>0.497469585494</v>
      </c>
      <c r="D7660">
        <v>0.99751717563499998</v>
      </c>
      <c r="E7660">
        <v>5.016</v>
      </c>
    </row>
    <row r="7661" spans="1:5">
      <c r="A7661" t="s">
        <v>38848</v>
      </c>
      <c r="B7661" t="s">
        <v>14654</v>
      </c>
      <c r="C7661">
        <f>0</f>
        <v>0</v>
      </c>
      <c r="D7661">
        <v>0.99751717563499998</v>
      </c>
      <c r="E7661">
        <v>5.016</v>
      </c>
    </row>
    <row r="7662" spans="1:5">
      <c r="A7662" t="s">
        <v>38848</v>
      </c>
      <c r="B7662" t="s">
        <v>14652</v>
      </c>
      <c r="C7662">
        <v>1.03058521054</v>
      </c>
      <c r="D7662">
        <v>0.99751717563499998</v>
      </c>
      <c r="E7662">
        <v>5.016</v>
      </c>
    </row>
    <row r="7663" spans="1:5">
      <c r="A7663" t="s">
        <v>38848</v>
      </c>
      <c r="B7663" t="s">
        <v>14650</v>
      </c>
      <c r="C7663">
        <v>0.87186570301400002</v>
      </c>
      <c r="D7663">
        <v>0.99751717563499998</v>
      </c>
      <c r="E7663">
        <v>5.016</v>
      </c>
    </row>
    <row r="7664" spans="1:5">
      <c r="A7664" t="s">
        <v>38848</v>
      </c>
      <c r="B7664" t="s">
        <v>14651</v>
      </c>
      <c r="C7664">
        <f>-1.00837951649</f>
        <v>-1.00837951649</v>
      </c>
      <c r="D7664">
        <v>0.99751717563499998</v>
      </c>
      <c r="E7664">
        <v>5.016</v>
      </c>
    </row>
    <row r="7665" spans="1:5">
      <c r="A7665" t="s">
        <v>38848</v>
      </c>
      <c r="B7665" t="s">
        <v>14653</v>
      </c>
      <c r="C7665">
        <f>-1.40713426432</f>
        <v>-1.40713426432</v>
      </c>
      <c r="D7665">
        <v>0.99751717563499998</v>
      </c>
      <c r="E7665">
        <v>5.016</v>
      </c>
    </row>
    <row r="7666" spans="1:5">
      <c r="A7666" t="s">
        <v>38849</v>
      </c>
      <c r="B7666" t="s">
        <v>38850</v>
      </c>
      <c r="C7666">
        <v>0</v>
      </c>
      <c r="D7666">
        <v>0.76607937949899996</v>
      </c>
      <c r="E7666">
        <v>5.82</v>
      </c>
    </row>
    <row r="7667" spans="1:5">
      <c r="A7667" t="s">
        <v>38849</v>
      </c>
      <c r="B7667" t="s">
        <v>38851</v>
      </c>
      <c r="C7667">
        <v>0.50069465290100001</v>
      </c>
      <c r="D7667">
        <v>0.76607937949899996</v>
      </c>
      <c r="E7667">
        <v>5.82</v>
      </c>
    </row>
    <row r="7668" spans="1:5">
      <c r="A7668" t="s">
        <v>38849</v>
      </c>
      <c r="B7668" t="s">
        <v>38852</v>
      </c>
      <c r="C7668">
        <v>0.50177648186699997</v>
      </c>
      <c r="D7668">
        <v>0.76607937949899996</v>
      </c>
      <c r="E7668">
        <v>5.82</v>
      </c>
    </row>
    <row r="7669" spans="1:5">
      <c r="A7669" t="s">
        <v>38849</v>
      </c>
      <c r="B7669" t="s">
        <v>38853</v>
      </c>
      <c r="C7669">
        <v>7.6219256765099996E-2</v>
      </c>
      <c r="D7669">
        <v>0.76607937949899996</v>
      </c>
      <c r="E7669">
        <v>5.82</v>
      </c>
    </row>
    <row r="7670" spans="1:5">
      <c r="A7670" t="s">
        <v>38849</v>
      </c>
      <c r="B7670" t="s">
        <v>38854</v>
      </c>
      <c r="C7670">
        <v>0</v>
      </c>
      <c r="D7670">
        <v>0.76607937949899996</v>
      </c>
      <c r="E7670">
        <v>5.82</v>
      </c>
    </row>
    <row r="7671" spans="1:5">
      <c r="A7671" t="s">
        <v>38855</v>
      </c>
      <c r="B7671" t="s">
        <v>38856</v>
      </c>
      <c r="C7671">
        <f>0</f>
        <v>0</v>
      </c>
      <c r="D7671">
        <v>0.88626351827200001</v>
      </c>
      <c r="E7671">
        <v>0.73799999999999999</v>
      </c>
    </row>
    <row r="7672" spans="1:5">
      <c r="A7672" t="s">
        <v>38855</v>
      </c>
      <c r="B7672" t="s">
        <v>38857</v>
      </c>
      <c r="C7672">
        <f>0</f>
        <v>0</v>
      </c>
      <c r="D7672">
        <v>0.88626351827200001</v>
      </c>
      <c r="E7672">
        <v>0.73799999999999999</v>
      </c>
    </row>
    <row r="7673" spans="1:5">
      <c r="A7673" t="s">
        <v>38855</v>
      </c>
      <c r="B7673" t="s">
        <v>38858</v>
      </c>
      <c r="C7673">
        <v>0.24954912180200001</v>
      </c>
      <c r="D7673">
        <v>0.88626351827200001</v>
      </c>
      <c r="E7673">
        <v>0.73799999999999999</v>
      </c>
    </row>
    <row r="7674" spans="1:5">
      <c r="A7674" t="s">
        <v>38855</v>
      </c>
      <c r="B7674" t="s">
        <v>38859</v>
      </c>
      <c r="C7674">
        <v>0.49057869416299998</v>
      </c>
      <c r="D7674">
        <v>0.88626351827200001</v>
      </c>
      <c r="E7674">
        <v>0.73799999999999999</v>
      </c>
    </row>
    <row r="7675" spans="1:5">
      <c r="A7675" t="s">
        <v>38860</v>
      </c>
      <c r="B7675" t="s">
        <v>13796</v>
      </c>
      <c r="C7675">
        <f>0.724683501686</f>
        <v>0.72468350168600004</v>
      </c>
      <c r="D7675">
        <v>0.97746208182200001</v>
      </c>
      <c r="E7675">
        <v>1.0680000000000001</v>
      </c>
    </row>
    <row r="7676" spans="1:5">
      <c r="A7676" t="s">
        <v>38860</v>
      </c>
      <c r="B7676" t="s">
        <v>13797</v>
      </c>
      <c r="C7676">
        <v>2.4026846661099999</v>
      </c>
      <c r="D7676">
        <v>0.97746208182200001</v>
      </c>
      <c r="E7676">
        <v>1.0680000000000001</v>
      </c>
    </row>
    <row r="7677" spans="1:5">
      <c r="A7677" t="s">
        <v>38860</v>
      </c>
      <c r="B7677" t="s">
        <v>13798</v>
      </c>
      <c r="C7677">
        <f>0.870370996816</f>
        <v>0.87037099681600005</v>
      </c>
      <c r="D7677">
        <v>0.97746208182200001</v>
      </c>
      <c r="E7677">
        <v>1.0680000000000001</v>
      </c>
    </row>
    <row r="7678" spans="1:5">
      <c r="A7678" t="s">
        <v>38861</v>
      </c>
      <c r="B7678" t="s">
        <v>5452</v>
      </c>
      <c r="C7678">
        <f>0</f>
        <v>0</v>
      </c>
      <c r="D7678" t="s">
        <v>106</v>
      </c>
      <c r="E7678">
        <v>1.764</v>
      </c>
    </row>
    <row r="7679" spans="1:5">
      <c r="A7679" t="s">
        <v>38861</v>
      </c>
      <c r="B7679" t="s">
        <v>5455</v>
      </c>
      <c r="C7679">
        <v>0</v>
      </c>
      <c r="D7679" t="s">
        <v>106</v>
      </c>
      <c r="E7679">
        <v>1.764</v>
      </c>
    </row>
    <row r="7680" spans="1:5">
      <c r="A7680" t="s">
        <v>38861</v>
      </c>
      <c r="B7680" t="s">
        <v>5456</v>
      </c>
      <c r="C7680">
        <f>0</f>
        <v>0</v>
      </c>
      <c r="D7680" t="s">
        <v>106</v>
      </c>
      <c r="E7680">
        <v>1.764</v>
      </c>
    </row>
    <row r="7681" spans="1:5">
      <c r="A7681" t="s">
        <v>38862</v>
      </c>
      <c r="B7681" t="s">
        <v>10829</v>
      </c>
      <c r="C7681">
        <v>0</v>
      </c>
      <c r="D7681">
        <v>0.90581183589100001</v>
      </c>
      <c r="E7681">
        <v>0.504</v>
      </c>
    </row>
    <row r="7682" spans="1:5">
      <c r="A7682" t="s">
        <v>38862</v>
      </c>
      <c r="B7682" t="s">
        <v>10822</v>
      </c>
      <c r="C7682">
        <v>0.50678063910600002</v>
      </c>
      <c r="D7682">
        <v>0.90581183589100001</v>
      </c>
      <c r="E7682">
        <v>0.504</v>
      </c>
    </row>
    <row r="7683" spans="1:5">
      <c r="A7683" t="s">
        <v>38862</v>
      </c>
      <c r="B7683" t="s">
        <v>10825</v>
      </c>
      <c r="C7683">
        <f>0</f>
        <v>0</v>
      </c>
      <c r="D7683">
        <v>0.90581183589100001</v>
      </c>
      <c r="E7683">
        <v>0.504</v>
      </c>
    </row>
    <row r="7684" spans="1:5">
      <c r="A7684" t="s">
        <v>38862</v>
      </c>
      <c r="B7684" t="s">
        <v>10824</v>
      </c>
      <c r="C7684">
        <v>0</v>
      </c>
      <c r="D7684">
        <v>0.90581183589100001</v>
      </c>
      <c r="E7684">
        <v>0.504</v>
      </c>
    </row>
    <row r="7685" spans="1:5">
      <c r="A7685" t="s">
        <v>38862</v>
      </c>
      <c r="B7685" t="s">
        <v>10827</v>
      </c>
      <c r="C7685">
        <v>0</v>
      </c>
      <c r="D7685">
        <v>0.90581183589100001</v>
      </c>
      <c r="E7685">
        <v>0.504</v>
      </c>
    </row>
    <row r="7686" spans="1:5">
      <c r="A7686" t="s">
        <v>38862</v>
      </c>
      <c r="B7686" t="s">
        <v>10831</v>
      </c>
      <c r="C7686">
        <v>0.46622127926700002</v>
      </c>
      <c r="D7686">
        <v>0.90581183589100001</v>
      </c>
      <c r="E7686">
        <v>0.504</v>
      </c>
    </row>
    <row r="7687" spans="1:5">
      <c r="A7687" t="s">
        <v>38862</v>
      </c>
      <c r="B7687" t="s">
        <v>10833</v>
      </c>
      <c r="C7687">
        <f>0.229081365026</f>
        <v>0.22908136502599999</v>
      </c>
      <c r="D7687">
        <v>0.90581183589100001</v>
      </c>
      <c r="E7687">
        <v>0.504</v>
      </c>
    </row>
    <row r="7688" spans="1:5">
      <c r="A7688" t="s">
        <v>38863</v>
      </c>
      <c r="B7688" t="s">
        <v>38864</v>
      </c>
      <c r="C7688">
        <v>0.57630636983799999</v>
      </c>
      <c r="D7688">
        <v>0.73631636983799997</v>
      </c>
      <c r="E7688">
        <v>23.754000000000001</v>
      </c>
    </row>
    <row r="7689" spans="1:5">
      <c r="A7689" t="s">
        <v>38863</v>
      </c>
      <c r="B7689" t="s">
        <v>38865</v>
      </c>
      <c r="C7689">
        <v>0</v>
      </c>
      <c r="D7689">
        <v>0.73631636983799997</v>
      </c>
      <c r="E7689">
        <v>23.754000000000001</v>
      </c>
    </row>
    <row r="7690" spans="1:5">
      <c r="A7690" t="s">
        <v>38863</v>
      </c>
      <c r="B7690" t="s">
        <v>38866</v>
      </c>
      <c r="C7690">
        <v>0</v>
      </c>
      <c r="D7690">
        <v>0.73631636983799997</v>
      </c>
      <c r="E7690">
        <v>23.754000000000001</v>
      </c>
    </row>
    <row r="7691" spans="1:5">
      <c r="A7691" t="s">
        <v>38867</v>
      </c>
      <c r="B7691" t="s">
        <v>38868</v>
      </c>
      <c r="C7691">
        <f>0</f>
        <v>0</v>
      </c>
      <c r="D7691">
        <v>0.56948393785200002</v>
      </c>
      <c r="E7691">
        <v>24</v>
      </c>
    </row>
    <row r="7692" spans="1:5">
      <c r="A7692" t="s">
        <v>38867</v>
      </c>
      <c r="B7692" t="s">
        <v>38869</v>
      </c>
      <c r="C7692">
        <v>0.209473937852</v>
      </c>
      <c r="D7692">
        <v>0.56948393785200002</v>
      </c>
      <c r="E7692">
        <v>24</v>
      </c>
    </row>
    <row r="7693" spans="1:5">
      <c r="A7693" t="s">
        <v>38870</v>
      </c>
      <c r="B7693" t="s">
        <v>38871</v>
      </c>
      <c r="C7693">
        <f>0.481513598272</f>
        <v>0.48151359827200002</v>
      </c>
      <c r="D7693">
        <v>0.87199799839500003</v>
      </c>
      <c r="E7693">
        <v>11.706</v>
      </c>
    </row>
    <row r="7694" spans="1:5">
      <c r="A7694" t="s">
        <v>38870</v>
      </c>
      <c r="B7694" t="s">
        <v>38872</v>
      </c>
      <c r="C7694">
        <v>0</v>
      </c>
      <c r="D7694">
        <v>0.87199799839500003</v>
      </c>
      <c r="E7694">
        <v>11.706</v>
      </c>
    </row>
    <row r="7695" spans="1:5">
      <c r="A7695" t="s">
        <v>38870</v>
      </c>
      <c r="B7695" t="s">
        <v>38873</v>
      </c>
      <c r="C7695">
        <v>0</v>
      </c>
      <c r="D7695">
        <v>0.87199799839500003</v>
      </c>
      <c r="E7695">
        <v>11.706</v>
      </c>
    </row>
    <row r="7696" spans="1:5">
      <c r="A7696" t="s">
        <v>38870</v>
      </c>
      <c r="B7696" t="s">
        <v>38874</v>
      </c>
      <c r="C7696">
        <v>0</v>
      </c>
      <c r="D7696">
        <v>0.87199799839500003</v>
      </c>
      <c r="E7696">
        <v>11.706</v>
      </c>
    </row>
    <row r="7697" spans="1:5">
      <c r="A7697" t="s">
        <v>38870</v>
      </c>
      <c r="B7697" t="s">
        <v>38875</v>
      </c>
      <c r="C7697">
        <v>0.34108866287599998</v>
      </c>
      <c r="D7697">
        <v>0.87199799839500003</v>
      </c>
      <c r="E7697">
        <v>11.706</v>
      </c>
    </row>
    <row r="7698" spans="1:5">
      <c r="A7698" t="s">
        <v>38876</v>
      </c>
      <c r="B7698" t="s">
        <v>5043</v>
      </c>
      <c r="C7698">
        <f>0.288548971902</f>
        <v>0.28854897190200002</v>
      </c>
      <c r="D7698">
        <v>0.69815897190200005</v>
      </c>
      <c r="E7698">
        <v>21.42</v>
      </c>
    </row>
    <row r="7699" spans="1:5">
      <c r="A7699" t="s">
        <v>38876</v>
      </c>
      <c r="B7699" t="s">
        <v>5045</v>
      </c>
      <c r="C7699">
        <f>0</f>
        <v>0</v>
      </c>
      <c r="D7699">
        <v>0.69815897190200005</v>
      </c>
      <c r="E7699">
        <v>21.42</v>
      </c>
    </row>
    <row r="7700" spans="1:5">
      <c r="A7700" t="s">
        <v>38876</v>
      </c>
      <c r="B7700" t="s">
        <v>5048</v>
      </c>
      <c r="C7700">
        <f>0</f>
        <v>0</v>
      </c>
      <c r="D7700">
        <v>0.69815897190200005</v>
      </c>
      <c r="E7700">
        <v>21.42</v>
      </c>
    </row>
    <row r="7701" spans="1:5">
      <c r="A7701" t="s">
        <v>38877</v>
      </c>
      <c r="B7701" t="s">
        <v>30137</v>
      </c>
      <c r="C7701">
        <v>0.77199879848700004</v>
      </c>
      <c r="D7701">
        <v>0.82960879848699998</v>
      </c>
      <c r="E7701">
        <v>6.3</v>
      </c>
    </row>
    <row r="7702" spans="1:5">
      <c r="A7702" t="s">
        <v>38877</v>
      </c>
      <c r="B7702" t="s">
        <v>30136</v>
      </c>
      <c r="C7702">
        <v>0</v>
      </c>
      <c r="D7702">
        <v>0.82960879848699998</v>
      </c>
      <c r="E7702">
        <v>6.3</v>
      </c>
    </row>
    <row r="7703" spans="1:5">
      <c r="A7703" t="s">
        <v>38878</v>
      </c>
      <c r="B7703" t="s">
        <v>16810</v>
      </c>
      <c r="C7703">
        <f>0</f>
        <v>0</v>
      </c>
      <c r="D7703">
        <v>0.74492630387500003</v>
      </c>
      <c r="E7703">
        <v>23.04</v>
      </c>
    </row>
    <row r="7704" spans="1:5">
      <c r="A7704" t="s">
        <v>38878</v>
      </c>
      <c r="B7704" t="s">
        <v>16813</v>
      </c>
      <c r="C7704">
        <v>0</v>
      </c>
      <c r="D7704">
        <v>0.74492630387500003</v>
      </c>
      <c r="E7704">
        <v>23.04</v>
      </c>
    </row>
    <row r="7705" spans="1:5">
      <c r="A7705" t="s">
        <v>38878</v>
      </c>
      <c r="B7705" t="s">
        <v>16809</v>
      </c>
      <c r="C7705">
        <v>0</v>
      </c>
      <c r="D7705">
        <v>0.74492630387500003</v>
      </c>
      <c r="E7705">
        <v>23.04</v>
      </c>
    </row>
    <row r="7706" spans="1:5">
      <c r="A7706" t="s">
        <v>38878</v>
      </c>
      <c r="B7706" t="s">
        <v>16808</v>
      </c>
      <c r="C7706">
        <v>0.22651630387499999</v>
      </c>
      <c r="D7706">
        <v>0.74492630387500003</v>
      </c>
      <c r="E7706">
        <v>23.04</v>
      </c>
    </row>
    <row r="7707" spans="1:5">
      <c r="A7707" t="s">
        <v>38878</v>
      </c>
      <c r="B7707" t="s">
        <v>16812</v>
      </c>
      <c r="C7707">
        <v>0</v>
      </c>
      <c r="D7707">
        <v>0.74492630387500003</v>
      </c>
      <c r="E7707">
        <v>23.04</v>
      </c>
    </row>
    <row r="7708" spans="1:5">
      <c r="A7708" t="s">
        <v>38879</v>
      </c>
      <c r="B7708" t="s">
        <v>22287</v>
      </c>
      <c r="C7708">
        <v>0</v>
      </c>
      <c r="D7708">
        <v>0.74186110022100005</v>
      </c>
      <c r="E7708">
        <v>9.1679999999999993</v>
      </c>
    </row>
    <row r="7709" spans="1:5">
      <c r="A7709" t="s">
        <v>38879</v>
      </c>
      <c r="B7709" t="s">
        <v>22294</v>
      </c>
      <c r="C7709">
        <f>0</f>
        <v>0</v>
      </c>
      <c r="D7709">
        <v>0.74186110022100005</v>
      </c>
      <c r="E7709">
        <v>9.1679999999999993</v>
      </c>
    </row>
    <row r="7710" spans="1:5">
      <c r="A7710" t="s">
        <v>38879</v>
      </c>
      <c r="B7710" t="s">
        <v>22293</v>
      </c>
      <c r="C7710">
        <v>0.47145110022100001</v>
      </c>
      <c r="D7710">
        <v>0.74186110022100005</v>
      </c>
      <c r="E7710">
        <v>9.1679999999999993</v>
      </c>
    </row>
    <row r="7711" spans="1:5">
      <c r="A7711" t="s">
        <v>38879</v>
      </c>
      <c r="B7711" t="s">
        <v>22292</v>
      </c>
      <c r="C7711">
        <v>0</v>
      </c>
      <c r="D7711">
        <v>0.74186110022100005</v>
      </c>
      <c r="E7711">
        <v>9.1679999999999993</v>
      </c>
    </row>
    <row r="7712" spans="1:5">
      <c r="A7712" t="s">
        <v>38880</v>
      </c>
      <c r="B7712" t="s">
        <v>38881</v>
      </c>
      <c r="C7712">
        <f>0</f>
        <v>0</v>
      </c>
      <c r="D7712">
        <v>0.98672121482700004</v>
      </c>
      <c r="E7712">
        <v>21.876000000000001</v>
      </c>
    </row>
    <row r="7713" spans="1:5">
      <c r="A7713" t="s">
        <v>38880</v>
      </c>
      <c r="B7713" t="s">
        <v>38882</v>
      </c>
      <c r="C7713">
        <v>0</v>
      </c>
      <c r="D7713">
        <v>0.98672121482700004</v>
      </c>
      <c r="E7713">
        <v>21.876000000000001</v>
      </c>
    </row>
    <row r="7714" spans="1:5">
      <c r="A7714" t="s">
        <v>38880</v>
      </c>
      <c r="B7714" t="s">
        <v>38883</v>
      </c>
      <c r="C7714">
        <f>0.424079820969</f>
        <v>0.42407982096899999</v>
      </c>
      <c r="D7714">
        <v>0.98672121482700004</v>
      </c>
      <c r="E7714">
        <v>21.876000000000001</v>
      </c>
    </row>
    <row r="7715" spans="1:5">
      <c r="A7715" t="s">
        <v>38880</v>
      </c>
      <c r="B7715" t="s">
        <v>38884</v>
      </c>
      <c r="C7715">
        <v>0.61022487299600003</v>
      </c>
      <c r="D7715">
        <v>0.98672121482700004</v>
      </c>
      <c r="E7715">
        <v>21.876000000000001</v>
      </c>
    </row>
    <row r="7716" spans="1:5">
      <c r="A7716" t="s">
        <v>38880</v>
      </c>
      <c r="B7716" t="s">
        <v>38885</v>
      </c>
      <c r="C7716">
        <f>0.505307682824</f>
        <v>0.50530768282399996</v>
      </c>
      <c r="D7716">
        <v>0.98672121482700004</v>
      </c>
      <c r="E7716">
        <v>21.876000000000001</v>
      </c>
    </row>
    <row r="7717" spans="1:5">
      <c r="A7717" t="s">
        <v>38886</v>
      </c>
      <c r="B7717" t="s">
        <v>25171</v>
      </c>
      <c r="C7717">
        <v>0</v>
      </c>
      <c r="D7717" t="s">
        <v>106</v>
      </c>
      <c r="E7717">
        <v>24</v>
      </c>
    </row>
    <row r="7718" spans="1:5">
      <c r="A7718" t="s">
        <v>38886</v>
      </c>
      <c r="B7718" t="s">
        <v>25168</v>
      </c>
      <c r="C7718">
        <v>0</v>
      </c>
      <c r="D7718" t="s">
        <v>106</v>
      </c>
      <c r="E7718">
        <v>24</v>
      </c>
    </row>
    <row r="7719" spans="1:5">
      <c r="A7719" t="s">
        <v>38886</v>
      </c>
      <c r="B7719" t="s">
        <v>25167</v>
      </c>
      <c r="C7719">
        <v>0</v>
      </c>
      <c r="D7719" t="s">
        <v>106</v>
      </c>
      <c r="E7719">
        <v>24</v>
      </c>
    </row>
    <row r="7720" spans="1:5">
      <c r="A7720" t="s">
        <v>38886</v>
      </c>
      <c r="B7720" t="s">
        <v>25169</v>
      </c>
      <c r="C7720">
        <f>0</f>
        <v>0</v>
      </c>
      <c r="D7720" t="s">
        <v>106</v>
      </c>
      <c r="E7720">
        <v>24</v>
      </c>
    </row>
    <row r="7721" spans="1:5">
      <c r="A7721" t="s">
        <v>38886</v>
      </c>
      <c r="B7721" t="s">
        <v>25170</v>
      </c>
      <c r="C7721">
        <f>0</f>
        <v>0</v>
      </c>
      <c r="D7721" t="s">
        <v>106</v>
      </c>
      <c r="E7721">
        <v>24</v>
      </c>
    </row>
    <row r="7722" spans="1:5">
      <c r="A7722" t="s">
        <v>38887</v>
      </c>
      <c r="B7722" t="s">
        <v>38888</v>
      </c>
      <c r="C7722">
        <v>0.54115407857999998</v>
      </c>
      <c r="D7722">
        <v>0.79206577579600002</v>
      </c>
      <c r="E7722">
        <v>0</v>
      </c>
    </row>
    <row r="7723" spans="1:5">
      <c r="A7723" t="s">
        <v>38887</v>
      </c>
      <c r="B7723" t="s">
        <v>38889</v>
      </c>
      <c r="C7723">
        <v>0.19192129029300001</v>
      </c>
      <c r="D7723">
        <v>0.79206577579600002</v>
      </c>
      <c r="E7723">
        <v>0</v>
      </c>
    </row>
    <row r="7724" spans="1:5">
      <c r="A7724" t="s">
        <v>38887</v>
      </c>
      <c r="B7724" t="s">
        <v>38890</v>
      </c>
      <c r="C7724">
        <f>0</f>
        <v>0</v>
      </c>
      <c r="D7724">
        <v>0.79206577579600002</v>
      </c>
      <c r="E7724">
        <v>0</v>
      </c>
    </row>
    <row r="7725" spans="1:5">
      <c r="A7725" t="s">
        <v>38887</v>
      </c>
      <c r="B7725" t="s">
        <v>38891</v>
      </c>
      <c r="C7725">
        <v>0</v>
      </c>
      <c r="D7725">
        <v>0.79206577579600002</v>
      </c>
      <c r="E7725">
        <v>0</v>
      </c>
    </row>
    <row r="7726" spans="1:5">
      <c r="A7726" t="s">
        <v>38892</v>
      </c>
      <c r="B7726" t="s">
        <v>32808</v>
      </c>
      <c r="C7726">
        <v>0.54024502749299996</v>
      </c>
      <c r="D7726">
        <v>0.85730688141199995</v>
      </c>
      <c r="E7726">
        <v>2.4780000000000002</v>
      </c>
    </row>
    <row r="7727" spans="1:5">
      <c r="A7727" t="s">
        <v>38892</v>
      </c>
      <c r="B7727" t="s">
        <v>32813</v>
      </c>
      <c r="C7727">
        <f>0.321570602443</f>
        <v>0.32157060244300001</v>
      </c>
      <c r="D7727">
        <v>0.85730688141199995</v>
      </c>
      <c r="E7727">
        <v>2.4780000000000002</v>
      </c>
    </row>
    <row r="7728" spans="1:5">
      <c r="A7728" t="s">
        <v>38892</v>
      </c>
      <c r="B7728" t="s">
        <v>32810</v>
      </c>
      <c r="C7728">
        <f>0.580147262068</f>
        <v>0.58014726206800005</v>
      </c>
      <c r="D7728">
        <v>0.85730688141199995</v>
      </c>
      <c r="E7728">
        <v>2.4780000000000002</v>
      </c>
    </row>
    <row r="7729" spans="1:5">
      <c r="A7729" t="s">
        <v>38893</v>
      </c>
      <c r="B7729" t="s">
        <v>38894</v>
      </c>
      <c r="C7729">
        <v>0</v>
      </c>
      <c r="D7729" t="s">
        <v>106</v>
      </c>
      <c r="E7729">
        <v>18.768000000000001</v>
      </c>
    </row>
    <row r="7730" spans="1:5">
      <c r="A7730" t="s">
        <v>38893</v>
      </c>
      <c r="B7730" t="s">
        <v>38895</v>
      </c>
      <c r="C7730">
        <v>0</v>
      </c>
      <c r="D7730" t="s">
        <v>106</v>
      </c>
      <c r="E7730">
        <v>18.768000000000001</v>
      </c>
    </row>
    <row r="7731" spans="1:5">
      <c r="A7731" t="s">
        <v>38893</v>
      </c>
      <c r="B7731" t="s">
        <v>38896</v>
      </c>
      <c r="C7731">
        <v>0</v>
      </c>
      <c r="D7731" t="s">
        <v>106</v>
      </c>
      <c r="E7731">
        <v>18.768000000000001</v>
      </c>
    </row>
    <row r="7732" spans="1:5">
      <c r="A7732" t="s">
        <v>38893</v>
      </c>
      <c r="B7732" t="s">
        <v>38897</v>
      </c>
      <c r="C7732">
        <v>0</v>
      </c>
      <c r="D7732" t="s">
        <v>106</v>
      </c>
      <c r="E7732">
        <v>18.768000000000001</v>
      </c>
    </row>
    <row r="7733" spans="1:5">
      <c r="A7733" t="s">
        <v>38893</v>
      </c>
      <c r="B7733" t="s">
        <v>38898</v>
      </c>
      <c r="C7733">
        <v>0</v>
      </c>
      <c r="D7733" t="s">
        <v>106</v>
      </c>
      <c r="E7733">
        <v>18.768000000000001</v>
      </c>
    </row>
    <row r="7734" spans="1:5">
      <c r="A7734" t="s">
        <v>38899</v>
      </c>
      <c r="B7734" t="s">
        <v>38900</v>
      </c>
      <c r="C7734">
        <f>0.185460550005</f>
        <v>0.185460550005</v>
      </c>
      <c r="D7734">
        <v>0.99999999829899999</v>
      </c>
      <c r="E7734">
        <v>4.6920000000000002</v>
      </c>
    </row>
    <row r="7735" spans="1:5">
      <c r="A7735" t="s">
        <v>38899</v>
      </c>
      <c r="B7735" t="s">
        <v>38901</v>
      </c>
      <c r="C7735">
        <f>0.0181976266032</f>
        <v>1.8197626603199998E-2</v>
      </c>
      <c r="D7735">
        <v>0.99999999829899999</v>
      </c>
      <c r="E7735">
        <v>4.6920000000000002</v>
      </c>
    </row>
    <row r="7736" spans="1:5">
      <c r="A7736" t="s">
        <v>38899</v>
      </c>
      <c r="B7736" t="s">
        <v>38902</v>
      </c>
      <c r="C7736">
        <v>5.0632098832800003E-2</v>
      </c>
      <c r="D7736">
        <v>0.99999999829899999</v>
      </c>
      <c r="E7736">
        <v>4.6920000000000002</v>
      </c>
    </row>
    <row r="7737" spans="1:5">
      <c r="A7737" t="s">
        <v>38899</v>
      </c>
      <c r="B7737" t="s">
        <v>38903</v>
      </c>
      <c r="C7737">
        <f>0.165566702444</f>
        <v>0.16556670244400001</v>
      </c>
      <c r="D7737">
        <v>0.99999999829899999</v>
      </c>
      <c r="E7737">
        <v>4.6920000000000002</v>
      </c>
    </row>
    <row r="7738" spans="1:5">
      <c r="A7738" t="s">
        <v>38899</v>
      </c>
      <c r="B7738" t="s">
        <v>38904</v>
      </c>
      <c r="C7738">
        <v>0.69097330723700001</v>
      </c>
      <c r="D7738">
        <v>0.99999999829899999</v>
      </c>
      <c r="E7738">
        <v>4.6920000000000002</v>
      </c>
    </row>
    <row r="7739" spans="1:5">
      <c r="A7739" t="s">
        <v>38899</v>
      </c>
      <c r="B7739" t="s">
        <v>38905</v>
      </c>
      <c r="C7739">
        <f>0.204063971164</f>
        <v>0.20406397116399999</v>
      </c>
      <c r="D7739">
        <v>0.99999999829899999</v>
      </c>
      <c r="E7739">
        <v>4.6920000000000002</v>
      </c>
    </row>
    <row r="7740" spans="1:5">
      <c r="A7740" t="s">
        <v>38899</v>
      </c>
      <c r="B7740" t="s">
        <v>38906</v>
      </c>
      <c r="C7740">
        <v>0.34223817128599998</v>
      </c>
      <c r="D7740">
        <v>0.99999999829899999</v>
      </c>
      <c r="E7740">
        <v>4.6920000000000002</v>
      </c>
    </row>
    <row r="7741" spans="1:5">
      <c r="A7741" t="s">
        <v>38899</v>
      </c>
      <c r="B7741" t="s">
        <v>38907</v>
      </c>
      <c r="C7741">
        <f>0.40145425046</f>
        <v>0.40145425046</v>
      </c>
      <c r="D7741">
        <v>0.99999999829899999</v>
      </c>
      <c r="E7741">
        <v>4.6920000000000002</v>
      </c>
    </row>
    <row r="7742" spans="1:5">
      <c r="A7742" t="s">
        <v>38899</v>
      </c>
      <c r="B7742" t="s">
        <v>38908</v>
      </c>
      <c r="C7742">
        <f>0.19572808963</f>
        <v>0.19572808962999999</v>
      </c>
      <c r="D7742">
        <v>0.99999999829899999</v>
      </c>
      <c r="E7742">
        <v>4.6920000000000002</v>
      </c>
    </row>
    <row r="7743" spans="1:5">
      <c r="A7743" t="s">
        <v>38899</v>
      </c>
      <c r="B7743" t="s">
        <v>38909</v>
      </c>
      <c r="C7743">
        <v>0.32700909994400001</v>
      </c>
      <c r="D7743">
        <v>0.99999999829899999</v>
      </c>
      <c r="E7743">
        <v>4.6920000000000002</v>
      </c>
    </row>
    <row r="7744" spans="1:5">
      <c r="A7744" t="s">
        <v>38899</v>
      </c>
      <c r="B7744" t="s">
        <v>38910</v>
      </c>
      <c r="C7744">
        <f>0.327213278636</f>
        <v>0.32721327863600003</v>
      </c>
      <c r="D7744">
        <v>0.99999999829899999</v>
      </c>
      <c r="E7744">
        <v>4.6920000000000002</v>
      </c>
    </row>
    <row r="7745" spans="1:5">
      <c r="A7745" t="s">
        <v>38899</v>
      </c>
      <c r="B7745" t="s">
        <v>38911</v>
      </c>
      <c r="C7745">
        <f>0.233951141311</f>
        <v>0.233951141311</v>
      </c>
      <c r="D7745">
        <v>0.99999999829899999</v>
      </c>
      <c r="E7745">
        <v>4.6920000000000002</v>
      </c>
    </row>
    <row r="7746" spans="1:5">
      <c r="A7746" t="s">
        <v>38899</v>
      </c>
      <c r="B7746" t="s">
        <v>38912</v>
      </c>
      <c r="C7746">
        <f>0.00560117454078</f>
        <v>5.6011745407800002E-3</v>
      </c>
      <c r="D7746">
        <v>0.99999999829899999</v>
      </c>
      <c r="E7746">
        <v>4.6920000000000002</v>
      </c>
    </row>
    <row r="7747" spans="1:5">
      <c r="A7747" t="s">
        <v>38899</v>
      </c>
      <c r="B7747" t="s">
        <v>38913</v>
      </c>
      <c r="C7747">
        <v>0.178750853392</v>
      </c>
      <c r="D7747">
        <v>0.99999999829899999</v>
      </c>
      <c r="E7747">
        <v>4.6920000000000002</v>
      </c>
    </row>
    <row r="7748" spans="1:5">
      <c r="A7748" t="s">
        <v>38899</v>
      </c>
      <c r="B7748" t="s">
        <v>38914</v>
      </c>
      <c r="C7748">
        <v>0.108066092613</v>
      </c>
      <c r="D7748">
        <v>0.99999999829899999</v>
      </c>
      <c r="E7748">
        <v>4.6920000000000002</v>
      </c>
    </row>
    <row r="7749" spans="1:5">
      <c r="A7749" t="s">
        <v>38899</v>
      </c>
      <c r="B7749" t="s">
        <v>38915</v>
      </c>
      <c r="C7749">
        <f>0.0756802783166</f>
        <v>7.56802783166E-2</v>
      </c>
      <c r="D7749">
        <v>0.99999999829899999</v>
      </c>
      <c r="E7749">
        <v>4.6920000000000002</v>
      </c>
    </row>
    <row r="7750" spans="1:5">
      <c r="A7750" t="s">
        <v>38899</v>
      </c>
      <c r="B7750" t="s">
        <v>38916</v>
      </c>
      <c r="C7750">
        <v>9.4307771720000003E-2</v>
      </c>
      <c r="D7750">
        <v>0.99999999829899999</v>
      </c>
      <c r="E7750">
        <v>4.6920000000000002</v>
      </c>
    </row>
    <row r="7751" spans="1:5">
      <c r="A7751" t="s">
        <v>38899</v>
      </c>
      <c r="B7751" t="s">
        <v>38917</v>
      </c>
      <c r="C7751">
        <v>4.6643803643999997E-2</v>
      </c>
      <c r="D7751">
        <v>0.99999999829899999</v>
      </c>
      <c r="E7751">
        <v>4.6920000000000002</v>
      </c>
    </row>
    <row r="7752" spans="1:5">
      <c r="A7752" t="s">
        <v>38899</v>
      </c>
      <c r="B7752" t="s">
        <v>38918</v>
      </c>
      <c r="C7752">
        <v>1.7747989546799999E-3</v>
      </c>
      <c r="D7752">
        <v>0.99999999829899999</v>
      </c>
      <c r="E7752">
        <v>4.6920000000000002</v>
      </c>
    </row>
    <row r="7753" spans="1:5">
      <c r="A7753" t="s">
        <v>38899</v>
      </c>
      <c r="B7753" t="s">
        <v>38919</v>
      </c>
      <c r="C7753">
        <f>0.0470656527532</f>
        <v>4.7065652753200002E-2</v>
      </c>
      <c r="D7753">
        <v>0.99999999829899999</v>
      </c>
      <c r="E7753">
        <v>4.6920000000000002</v>
      </c>
    </row>
    <row r="7754" spans="1:5">
      <c r="A7754" t="s">
        <v>38920</v>
      </c>
      <c r="B7754" t="s">
        <v>34279</v>
      </c>
      <c r="C7754">
        <f>0</f>
        <v>0</v>
      </c>
      <c r="D7754" t="s">
        <v>106</v>
      </c>
      <c r="E7754">
        <v>8.1539999999999999</v>
      </c>
    </row>
    <row r="7755" spans="1:5">
      <c r="A7755" t="s">
        <v>38920</v>
      </c>
      <c r="B7755" t="s">
        <v>34277</v>
      </c>
      <c r="C7755">
        <f>0</f>
        <v>0</v>
      </c>
      <c r="D7755" t="s">
        <v>106</v>
      </c>
      <c r="E7755">
        <v>8.1539999999999999</v>
      </c>
    </row>
    <row r="7756" spans="1:5">
      <c r="A7756" t="s">
        <v>38920</v>
      </c>
      <c r="B7756" t="s">
        <v>34278</v>
      </c>
      <c r="C7756">
        <v>0</v>
      </c>
      <c r="D7756" t="s">
        <v>106</v>
      </c>
      <c r="E7756">
        <v>8.1539999999999999</v>
      </c>
    </row>
    <row r="7757" spans="1:5">
      <c r="A7757" t="s">
        <v>38920</v>
      </c>
      <c r="B7757" t="s">
        <v>34275</v>
      </c>
      <c r="C7757">
        <v>0</v>
      </c>
      <c r="D7757" t="s">
        <v>106</v>
      </c>
      <c r="E7757">
        <v>8.1539999999999999</v>
      </c>
    </row>
    <row r="7758" spans="1:5">
      <c r="A7758" t="s">
        <v>38921</v>
      </c>
      <c r="B7758" t="s">
        <v>7310</v>
      </c>
      <c r="C7758">
        <v>0</v>
      </c>
      <c r="D7758">
        <v>0.95665170763399998</v>
      </c>
      <c r="E7758">
        <v>3.4079999999999999</v>
      </c>
    </row>
    <row r="7759" spans="1:5">
      <c r="A7759" t="s">
        <v>38921</v>
      </c>
      <c r="B7759" t="s">
        <v>7312</v>
      </c>
      <c r="C7759">
        <f>0</f>
        <v>0</v>
      </c>
      <c r="D7759">
        <v>0.95665170763399998</v>
      </c>
      <c r="E7759">
        <v>3.4079999999999999</v>
      </c>
    </row>
    <row r="7760" spans="1:5">
      <c r="A7760" t="s">
        <v>38921</v>
      </c>
      <c r="B7760" t="s">
        <v>7319</v>
      </c>
      <c r="C7760">
        <v>0</v>
      </c>
      <c r="D7760">
        <v>0.95665170763399998</v>
      </c>
      <c r="E7760">
        <v>3.4079999999999999</v>
      </c>
    </row>
    <row r="7761" spans="1:5">
      <c r="A7761" t="s">
        <v>38921</v>
      </c>
      <c r="B7761" t="s">
        <v>7314</v>
      </c>
      <c r="C7761">
        <f>0.608694397911</f>
        <v>0.608694397911</v>
      </c>
      <c r="D7761">
        <v>0.95665170763399998</v>
      </c>
      <c r="E7761">
        <v>3.4079999999999999</v>
      </c>
    </row>
    <row r="7762" spans="1:5">
      <c r="A7762" t="s">
        <v>38921</v>
      </c>
      <c r="B7762" t="s">
        <v>7318</v>
      </c>
      <c r="C7762">
        <f>0</f>
        <v>0</v>
      </c>
      <c r="D7762">
        <v>0.95665170763399998</v>
      </c>
      <c r="E7762">
        <v>3.4079999999999999</v>
      </c>
    </row>
    <row r="7763" spans="1:5">
      <c r="A7763" t="s">
        <v>38921</v>
      </c>
      <c r="B7763" t="s">
        <v>7317</v>
      </c>
      <c r="C7763">
        <v>0.272819925588</v>
      </c>
      <c r="D7763">
        <v>0.95665170763399998</v>
      </c>
      <c r="E7763">
        <v>3.4079999999999999</v>
      </c>
    </row>
    <row r="7764" spans="1:5">
      <c r="A7764" t="s">
        <v>38921</v>
      </c>
      <c r="B7764" t="s">
        <v>38922</v>
      </c>
      <c r="C7764">
        <f>0.0366632233598</f>
        <v>3.6663223359799997E-2</v>
      </c>
      <c r="D7764">
        <v>0.95665170763399998</v>
      </c>
      <c r="E7764">
        <v>3.4079999999999999</v>
      </c>
    </row>
    <row r="7765" spans="1:5">
      <c r="A7765" t="s">
        <v>38923</v>
      </c>
      <c r="B7765" t="s">
        <v>16915</v>
      </c>
      <c r="C7765">
        <f>0</f>
        <v>0</v>
      </c>
      <c r="D7765" t="s">
        <v>106</v>
      </c>
      <c r="E7765">
        <v>0.58199999999999996</v>
      </c>
    </row>
    <row r="7766" spans="1:5">
      <c r="A7766" t="s">
        <v>38923</v>
      </c>
      <c r="B7766" t="s">
        <v>16916</v>
      </c>
      <c r="C7766">
        <f>0</f>
        <v>0</v>
      </c>
      <c r="D7766" t="s">
        <v>106</v>
      </c>
      <c r="E7766">
        <v>0.58199999999999996</v>
      </c>
    </row>
    <row r="7767" spans="1:5">
      <c r="A7767" t="s">
        <v>38923</v>
      </c>
      <c r="B7767" t="s">
        <v>16917</v>
      </c>
      <c r="C7767">
        <v>0</v>
      </c>
      <c r="D7767" t="s">
        <v>106</v>
      </c>
      <c r="E7767">
        <v>0.58199999999999996</v>
      </c>
    </row>
    <row r="7768" spans="1:5">
      <c r="A7768" t="s">
        <v>38923</v>
      </c>
      <c r="B7768" t="s">
        <v>16918</v>
      </c>
      <c r="C7768">
        <v>0</v>
      </c>
      <c r="D7768" t="s">
        <v>106</v>
      </c>
      <c r="E7768">
        <v>0.58199999999999996</v>
      </c>
    </row>
    <row r="7769" spans="1:5">
      <c r="A7769" t="s">
        <v>38923</v>
      </c>
      <c r="B7769" t="s">
        <v>16920</v>
      </c>
      <c r="C7769">
        <f>0</f>
        <v>0</v>
      </c>
      <c r="D7769" t="s">
        <v>106</v>
      </c>
      <c r="E7769">
        <v>0.58199999999999996</v>
      </c>
    </row>
    <row r="7770" spans="1:5">
      <c r="A7770" t="s">
        <v>38924</v>
      </c>
      <c r="B7770" t="s">
        <v>38925</v>
      </c>
      <c r="C7770">
        <v>0</v>
      </c>
      <c r="D7770">
        <v>0.86699203069200004</v>
      </c>
      <c r="E7770">
        <v>4.9080000000000004</v>
      </c>
    </row>
    <row r="7771" spans="1:5">
      <c r="A7771" t="s">
        <v>38924</v>
      </c>
      <c r="B7771" t="s">
        <v>38926</v>
      </c>
      <c r="C7771">
        <f>0.331813847687</f>
        <v>0.33181384768700001</v>
      </c>
      <c r="D7771">
        <v>0.86699203069200004</v>
      </c>
      <c r="E7771">
        <v>4.9080000000000004</v>
      </c>
    </row>
    <row r="7772" spans="1:5">
      <c r="A7772" t="s">
        <v>38924</v>
      </c>
      <c r="B7772" t="s">
        <v>38927</v>
      </c>
      <c r="C7772">
        <v>0</v>
      </c>
      <c r="D7772">
        <v>0.86699203069200004</v>
      </c>
      <c r="E7772">
        <v>4.9080000000000004</v>
      </c>
    </row>
    <row r="7773" spans="1:5">
      <c r="A7773" t="s">
        <v>38924</v>
      </c>
      <c r="B7773" t="s">
        <v>38928</v>
      </c>
      <c r="C7773">
        <f>0.208964652006</f>
        <v>0.20896465200600001</v>
      </c>
      <c r="D7773">
        <v>0.86699203069200004</v>
      </c>
      <c r="E7773">
        <v>4.9080000000000004</v>
      </c>
    </row>
    <row r="7774" spans="1:5">
      <c r="A7774" t="s">
        <v>38924</v>
      </c>
      <c r="B7774" t="s">
        <v>38929</v>
      </c>
      <c r="C7774">
        <f>0</f>
        <v>0</v>
      </c>
      <c r="D7774">
        <v>0.86699203069200004</v>
      </c>
      <c r="E7774">
        <v>4.9080000000000004</v>
      </c>
    </row>
    <row r="7775" spans="1:5">
      <c r="A7775" t="s">
        <v>38924</v>
      </c>
      <c r="B7775" t="s">
        <v>38930</v>
      </c>
      <c r="C7775">
        <v>0.47686210158699999</v>
      </c>
      <c r="D7775">
        <v>0.86699203069200004</v>
      </c>
      <c r="E7775">
        <v>4.9080000000000004</v>
      </c>
    </row>
    <row r="7776" spans="1:5">
      <c r="A7776" t="s">
        <v>38924</v>
      </c>
      <c r="B7776" t="s">
        <v>38931</v>
      </c>
      <c r="C7776">
        <f>0</f>
        <v>0</v>
      </c>
      <c r="D7776">
        <v>0.86699203069200004</v>
      </c>
      <c r="E7776">
        <v>4.9080000000000004</v>
      </c>
    </row>
    <row r="7777" spans="1:5">
      <c r="A7777" t="s">
        <v>38932</v>
      </c>
      <c r="B7777" t="s">
        <v>38933</v>
      </c>
      <c r="C7777">
        <v>0</v>
      </c>
      <c r="D7777">
        <v>0.61500841558300001</v>
      </c>
      <c r="E7777">
        <v>23.754000000000001</v>
      </c>
    </row>
    <row r="7778" spans="1:5">
      <c r="A7778" t="s">
        <v>38932</v>
      </c>
      <c r="B7778" t="s">
        <v>38934</v>
      </c>
      <c r="C7778">
        <f>0</f>
        <v>0</v>
      </c>
      <c r="D7778">
        <v>0.61500841558300001</v>
      </c>
      <c r="E7778">
        <v>23.754000000000001</v>
      </c>
    </row>
    <row r="7779" spans="1:5">
      <c r="A7779" t="s">
        <v>38932</v>
      </c>
      <c r="B7779" t="s">
        <v>38935</v>
      </c>
      <c r="C7779">
        <f>0.454998415583</f>
        <v>0.45499841558300003</v>
      </c>
      <c r="D7779">
        <v>0.61500841558300001</v>
      </c>
      <c r="E7779">
        <v>23.754000000000001</v>
      </c>
    </row>
    <row r="7780" spans="1:5">
      <c r="A7780" t="s">
        <v>38936</v>
      </c>
      <c r="B7780" t="s">
        <v>33236</v>
      </c>
      <c r="C7780">
        <f>0</f>
        <v>0</v>
      </c>
      <c r="D7780" t="s">
        <v>106</v>
      </c>
      <c r="E7780">
        <v>12.564</v>
      </c>
    </row>
    <row r="7781" spans="1:5">
      <c r="A7781" t="s">
        <v>38936</v>
      </c>
      <c r="B7781" t="s">
        <v>33243</v>
      </c>
      <c r="C7781">
        <v>0</v>
      </c>
      <c r="D7781" t="s">
        <v>106</v>
      </c>
      <c r="E7781">
        <v>12.564</v>
      </c>
    </row>
    <row r="7782" spans="1:5">
      <c r="A7782" t="s">
        <v>38937</v>
      </c>
      <c r="B7782" t="s">
        <v>24958</v>
      </c>
      <c r="C7782">
        <v>1.82176709448E-2</v>
      </c>
      <c r="D7782">
        <v>0.42782767094500002</v>
      </c>
      <c r="E7782">
        <v>10.242000000000001</v>
      </c>
    </row>
    <row r="7783" spans="1:5">
      <c r="A7783" t="s">
        <v>38937</v>
      </c>
      <c r="B7783" t="s">
        <v>24961</v>
      </c>
      <c r="C7783">
        <f>0</f>
        <v>0</v>
      </c>
      <c r="D7783">
        <v>0.42782767094500002</v>
      </c>
      <c r="E7783">
        <v>10.242000000000001</v>
      </c>
    </row>
    <row r="7784" spans="1:5">
      <c r="A7784" t="s">
        <v>38937</v>
      </c>
      <c r="B7784" t="s">
        <v>24962</v>
      </c>
      <c r="C7784">
        <v>0</v>
      </c>
      <c r="D7784">
        <v>0.42782767094500002</v>
      </c>
      <c r="E7784">
        <v>10.242000000000001</v>
      </c>
    </row>
    <row r="7785" spans="1:5">
      <c r="A7785" t="s">
        <v>38938</v>
      </c>
      <c r="B7785" t="s">
        <v>6706</v>
      </c>
      <c r="C7785">
        <f>0</f>
        <v>0</v>
      </c>
      <c r="D7785" t="s">
        <v>106</v>
      </c>
      <c r="E7785">
        <v>24</v>
      </c>
    </row>
    <row r="7786" spans="1:5">
      <c r="A7786" t="s">
        <v>38938</v>
      </c>
      <c r="B7786" t="s">
        <v>6712</v>
      </c>
      <c r="C7786">
        <f>0</f>
        <v>0</v>
      </c>
      <c r="D7786" t="s">
        <v>106</v>
      </c>
      <c r="E7786">
        <v>24</v>
      </c>
    </row>
    <row r="7787" spans="1:5">
      <c r="A7787" t="s">
        <v>38938</v>
      </c>
      <c r="B7787" t="s">
        <v>6714</v>
      </c>
      <c r="C7787">
        <f>0</f>
        <v>0</v>
      </c>
      <c r="D7787" t="s">
        <v>106</v>
      </c>
      <c r="E7787">
        <v>24</v>
      </c>
    </row>
    <row r="7788" spans="1:5">
      <c r="A7788" t="s">
        <v>38938</v>
      </c>
      <c r="B7788" t="s">
        <v>6710</v>
      </c>
      <c r="C7788">
        <f>0</f>
        <v>0</v>
      </c>
      <c r="D7788" t="s">
        <v>106</v>
      </c>
      <c r="E7788">
        <v>24</v>
      </c>
    </row>
    <row r="7789" spans="1:5">
      <c r="A7789" t="s">
        <v>38938</v>
      </c>
      <c r="B7789" t="s">
        <v>6709</v>
      </c>
      <c r="C7789">
        <f>0</f>
        <v>0</v>
      </c>
      <c r="D7789" t="s">
        <v>106</v>
      </c>
      <c r="E7789">
        <v>24</v>
      </c>
    </row>
    <row r="7790" spans="1:5">
      <c r="A7790" t="s">
        <v>38938</v>
      </c>
      <c r="B7790" t="s">
        <v>6708</v>
      </c>
      <c r="C7790">
        <f>0</f>
        <v>0</v>
      </c>
      <c r="D7790" t="s">
        <v>106</v>
      </c>
      <c r="E7790">
        <v>24</v>
      </c>
    </row>
    <row r="7791" spans="1:5">
      <c r="A7791" t="s">
        <v>38938</v>
      </c>
      <c r="B7791" t="s">
        <v>6713</v>
      </c>
      <c r="C7791">
        <f>0</f>
        <v>0</v>
      </c>
      <c r="D7791" t="s">
        <v>106</v>
      </c>
      <c r="E7791">
        <v>24</v>
      </c>
    </row>
    <row r="7792" spans="1:5">
      <c r="A7792" t="s">
        <v>38939</v>
      </c>
      <c r="B7792" t="s">
        <v>9236</v>
      </c>
      <c r="C7792">
        <f>0.981021331301</f>
        <v>0.981021331301</v>
      </c>
      <c r="D7792">
        <v>0.83651481956999996</v>
      </c>
      <c r="E7792">
        <v>1.1160000000000001</v>
      </c>
    </row>
    <row r="7793" spans="1:5">
      <c r="A7793" t="s">
        <v>38939</v>
      </c>
      <c r="B7793" t="s">
        <v>9237</v>
      </c>
      <c r="C7793">
        <f>0</f>
        <v>0</v>
      </c>
      <c r="D7793">
        <v>0.83651481956999996</v>
      </c>
      <c r="E7793">
        <v>1.1160000000000001</v>
      </c>
    </row>
    <row r="7794" spans="1:5">
      <c r="A7794" t="s">
        <v>38939</v>
      </c>
      <c r="B7794" t="s">
        <v>9238</v>
      </c>
      <c r="C7794">
        <v>0.45002978136299998</v>
      </c>
      <c r="D7794">
        <v>0.83651481956999996</v>
      </c>
      <c r="E7794">
        <v>1.1160000000000001</v>
      </c>
    </row>
    <row r="7795" spans="1:5">
      <c r="A7795" t="s">
        <v>38940</v>
      </c>
      <c r="B7795" t="s">
        <v>9503</v>
      </c>
      <c r="C7795">
        <f>0</f>
        <v>0</v>
      </c>
      <c r="D7795" t="s">
        <v>106</v>
      </c>
      <c r="E7795">
        <v>10.715999999999999</v>
      </c>
    </row>
    <row r="7796" spans="1:5">
      <c r="A7796" t="s">
        <v>38940</v>
      </c>
      <c r="B7796" t="s">
        <v>9505</v>
      </c>
      <c r="C7796">
        <v>0</v>
      </c>
      <c r="D7796" t="s">
        <v>106</v>
      </c>
      <c r="E7796">
        <v>10.715999999999999</v>
      </c>
    </row>
    <row r="7797" spans="1:5">
      <c r="A7797" t="s">
        <v>38940</v>
      </c>
      <c r="B7797" t="s">
        <v>9509</v>
      </c>
      <c r="C7797">
        <v>0</v>
      </c>
      <c r="D7797" t="s">
        <v>106</v>
      </c>
      <c r="E7797">
        <v>10.715999999999999</v>
      </c>
    </row>
    <row r="7798" spans="1:5">
      <c r="A7798" t="s">
        <v>38940</v>
      </c>
      <c r="B7798" t="s">
        <v>9504</v>
      </c>
      <c r="C7798">
        <v>0</v>
      </c>
      <c r="D7798" t="s">
        <v>106</v>
      </c>
      <c r="E7798">
        <v>10.715999999999999</v>
      </c>
    </row>
    <row r="7799" spans="1:5">
      <c r="A7799" t="s">
        <v>38940</v>
      </c>
      <c r="B7799" t="s">
        <v>9508</v>
      </c>
      <c r="C7799">
        <v>0</v>
      </c>
      <c r="D7799" t="s">
        <v>106</v>
      </c>
      <c r="E7799">
        <v>10.715999999999999</v>
      </c>
    </row>
    <row r="7800" spans="1:5">
      <c r="A7800" t="s">
        <v>38940</v>
      </c>
      <c r="B7800" t="s">
        <v>9507</v>
      </c>
      <c r="C7800">
        <f>0</f>
        <v>0</v>
      </c>
      <c r="D7800" t="s">
        <v>106</v>
      </c>
      <c r="E7800">
        <v>10.715999999999999</v>
      </c>
    </row>
    <row r="7801" spans="1:5">
      <c r="A7801" t="s">
        <v>38941</v>
      </c>
      <c r="B7801" t="s">
        <v>11999</v>
      </c>
      <c r="C7801">
        <f>0</f>
        <v>0</v>
      </c>
      <c r="D7801" t="s">
        <v>106</v>
      </c>
      <c r="E7801">
        <v>0.438</v>
      </c>
    </row>
    <row r="7802" spans="1:5">
      <c r="A7802" t="s">
        <v>38941</v>
      </c>
      <c r="B7802" t="s">
        <v>12003</v>
      </c>
      <c r="C7802">
        <v>0</v>
      </c>
      <c r="D7802" t="s">
        <v>106</v>
      </c>
      <c r="E7802">
        <v>0.438</v>
      </c>
    </row>
    <row r="7803" spans="1:5">
      <c r="A7803" t="s">
        <v>38941</v>
      </c>
      <c r="B7803" t="s">
        <v>12002</v>
      </c>
      <c r="C7803">
        <v>0</v>
      </c>
      <c r="D7803" t="s">
        <v>106</v>
      </c>
      <c r="E7803">
        <v>0.438</v>
      </c>
    </row>
    <row r="7804" spans="1:5">
      <c r="A7804" t="s">
        <v>38941</v>
      </c>
      <c r="B7804" t="s">
        <v>12001</v>
      </c>
      <c r="C7804">
        <f>0</f>
        <v>0</v>
      </c>
      <c r="D7804" t="s">
        <v>106</v>
      </c>
      <c r="E7804">
        <v>0.438</v>
      </c>
    </row>
    <row r="7805" spans="1:5">
      <c r="A7805" t="s">
        <v>38942</v>
      </c>
      <c r="B7805" t="s">
        <v>33554</v>
      </c>
      <c r="C7805">
        <v>0.55648764505799997</v>
      </c>
      <c r="D7805">
        <v>0.85929434974499996</v>
      </c>
      <c r="E7805">
        <v>24</v>
      </c>
    </row>
    <row r="7806" spans="1:5">
      <c r="A7806" t="s">
        <v>38942</v>
      </c>
      <c r="B7806" t="s">
        <v>33555</v>
      </c>
      <c r="C7806">
        <f>0.957408403945</f>
        <v>0.95740840394500004</v>
      </c>
      <c r="D7806">
        <v>0.85929434974499996</v>
      </c>
      <c r="E7806">
        <v>24</v>
      </c>
    </row>
    <row r="7807" spans="1:5">
      <c r="A7807" t="s">
        <v>38943</v>
      </c>
      <c r="B7807" t="s">
        <v>3068</v>
      </c>
      <c r="C7807">
        <v>0</v>
      </c>
      <c r="D7807" t="s">
        <v>106</v>
      </c>
      <c r="E7807">
        <v>2.1779999999999999</v>
      </c>
    </row>
    <row r="7808" spans="1:5">
      <c r="A7808" t="s">
        <v>38943</v>
      </c>
      <c r="B7808" t="s">
        <v>3071</v>
      </c>
      <c r="C7808">
        <v>0</v>
      </c>
      <c r="D7808" t="s">
        <v>106</v>
      </c>
      <c r="E7808">
        <v>2.1779999999999999</v>
      </c>
    </row>
    <row r="7809" spans="1:5">
      <c r="A7809" t="s">
        <v>38943</v>
      </c>
      <c r="B7809" t="s">
        <v>3070</v>
      </c>
      <c r="C7809">
        <v>0</v>
      </c>
      <c r="D7809" t="s">
        <v>106</v>
      </c>
      <c r="E7809">
        <v>2.1779999999999999</v>
      </c>
    </row>
    <row r="7810" spans="1:5">
      <c r="A7810" t="s">
        <v>38943</v>
      </c>
      <c r="B7810" t="s">
        <v>3069</v>
      </c>
      <c r="C7810">
        <f>0</f>
        <v>0</v>
      </c>
      <c r="D7810" t="s">
        <v>106</v>
      </c>
      <c r="E7810">
        <v>2.1779999999999999</v>
      </c>
    </row>
    <row r="7811" spans="1:5">
      <c r="A7811" t="s">
        <v>38944</v>
      </c>
      <c r="B7811" t="s">
        <v>9485</v>
      </c>
      <c r="C7811">
        <v>0</v>
      </c>
      <c r="D7811">
        <v>0.77210018067599995</v>
      </c>
      <c r="E7811">
        <v>18.347999999999999</v>
      </c>
    </row>
    <row r="7812" spans="1:5">
      <c r="A7812" t="s">
        <v>38944</v>
      </c>
      <c r="B7812" t="s">
        <v>9488</v>
      </c>
      <c r="C7812">
        <f>0.194490180676</f>
        <v>0.19449018067599999</v>
      </c>
      <c r="D7812">
        <v>0.77210018067599995</v>
      </c>
      <c r="E7812">
        <v>18.347999999999999</v>
      </c>
    </row>
    <row r="7813" spans="1:5">
      <c r="A7813" t="s">
        <v>38944</v>
      </c>
      <c r="B7813" t="s">
        <v>9490</v>
      </c>
      <c r="C7813">
        <f>0</f>
        <v>0</v>
      </c>
      <c r="D7813">
        <v>0.77210018067599995</v>
      </c>
      <c r="E7813">
        <v>18.347999999999999</v>
      </c>
    </row>
    <row r="7814" spans="1:5">
      <c r="A7814" t="s">
        <v>38945</v>
      </c>
      <c r="B7814" t="s">
        <v>2362</v>
      </c>
      <c r="C7814">
        <v>0.72760765611300005</v>
      </c>
      <c r="D7814">
        <v>0.73447468333199994</v>
      </c>
      <c r="E7814">
        <v>4.5839999999999996</v>
      </c>
    </row>
    <row r="7815" spans="1:5">
      <c r="A7815" t="s">
        <v>38945</v>
      </c>
      <c r="B7815" t="s">
        <v>2364</v>
      </c>
      <c r="C7815">
        <f>0.353053467337</f>
        <v>0.35305346733699999</v>
      </c>
      <c r="D7815">
        <v>0.73447468333199994</v>
      </c>
      <c r="E7815">
        <v>4.5839999999999996</v>
      </c>
    </row>
    <row r="7816" spans="1:5">
      <c r="A7816" t="s">
        <v>38945</v>
      </c>
      <c r="B7816" t="s">
        <v>2365</v>
      </c>
      <c r="C7816">
        <f>0.516190647121</f>
        <v>0.51619064712100005</v>
      </c>
      <c r="D7816">
        <v>0.73447468333199994</v>
      </c>
      <c r="E7816">
        <v>4.5839999999999996</v>
      </c>
    </row>
    <row r="7817" spans="1:5">
      <c r="A7817" t="s">
        <v>38946</v>
      </c>
      <c r="B7817" t="s">
        <v>22810</v>
      </c>
      <c r="C7817">
        <v>0</v>
      </c>
      <c r="D7817">
        <v>0.61257110942899995</v>
      </c>
      <c r="E7817">
        <v>4.0739999999999998</v>
      </c>
    </row>
    <row r="7818" spans="1:5">
      <c r="A7818" t="s">
        <v>38946</v>
      </c>
      <c r="B7818" t="s">
        <v>22808</v>
      </c>
      <c r="C7818">
        <v>0</v>
      </c>
      <c r="D7818">
        <v>0.61257110942899995</v>
      </c>
      <c r="E7818">
        <v>4.0739999999999998</v>
      </c>
    </row>
    <row r="7819" spans="1:5">
      <c r="A7819" t="s">
        <v>38946</v>
      </c>
      <c r="B7819" t="s">
        <v>22809</v>
      </c>
      <c r="C7819">
        <v>0.418961109429</v>
      </c>
      <c r="D7819">
        <v>0.61257110942899995</v>
      </c>
      <c r="E7819">
        <v>4.0739999999999998</v>
      </c>
    </row>
    <row r="7820" spans="1:5">
      <c r="A7820" t="s">
        <v>38946</v>
      </c>
      <c r="B7820" t="s">
        <v>22807</v>
      </c>
      <c r="C7820">
        <f>0</f>
        <v>0</v>
      </c>
      <c r="D7820">
        <v>0.61257110942899995</v>
      </c>
      <c r="E7820">
        <v>4.0739999999999998</v>
      </c>
    </row>
    <row r="7821" spans="1:5">
      <c r="A7821" t="s">
        <v>38947</v>
      </c>
      <c r="B7821" t="s">
        <v>32037</v>
      </c>
      <c r="C7821">
        <v>2.8375081286600001</v>
      </c>
      <c r="D7821">
        <v>0.98499025546600005</v>
      </c>
      <c r="E7821">
        <v>24</v>
      </c>
    </row>
    <row r="7822" spans="1:5">
      <c r="A7822" t="s">
        <v>38947</v>
      </c>
      <c r="B7822" t="s">
        <v>32039</v>
      </c>
      <c r="C7822">
        <v>1.5115209677599999</v>
      </c>
      <c r="D7822">
        <v>0.98499025546600005</v>
      </c>
      <c r="E7822">
        <v>24</v>
      </c>
    </row>
    <row r="7823" spans="1:5">
      <c r="A7823" t="s">
        <v>38947</v>
      </c>
      <c r="B7823" t="s">
        <v>32043</v>
      </c>
      <c r="C7823">
        <v>5.5756735148800001</v>
      </c>
      <c r="D7823">
        <v>0.98499025546600005</v>
      </c>
      <c r="E7823">
        <v>24</v>
      </c>
    </row>
    <row r="7824" spans="1:5">
      <c r="A7824" t="s">
        <v>38947</v>
      </c>
      <c r="B7824" t="s">
        <v>32041</v>
      </c>
      <c r="C7824">
        <f>-3.59290564251</f>
        <v>-3.5929056425099999</v>
      </c>
      <c r="D7824">
        <v>0.98499025546600005</v>
      </c>
      <c r="E7824">
        <v>24</v>
      </c>
    </row>
    <row r="7825" spans="1:5">
      <c r="A7825" t="s">
        <v>38947</v>
      </c>
      <c r="B7825" t="s">
        <v>32042</v>
      </c>
      <c r="C7825">
        <f>-1.74713301997</f>
        <v>-1.7471330199699999</v>
      </c>
      <c r="D7825">
        <v>0.98499025546600005</v>
      </c>
      <c r="E7825">
        <v>24</v>
      </c>
    </row>
    <row r="7826" spans="1:5">
      <c r="A7826" t="s">
        <v>38948</v>
      </c>
      <c r="B7826" t="s">
        <v>5793</v>
      </c>
      <c r="C7826">
        <f>0</f>
        <v>0</v>
      </c>
      <c r="D7826">
        <v>0.99168180086299995</v>
      </c>
      <c r="E7826">
        <v>3.972</v>
      </c>
    </row>
    <row r="7827" spans="1:5">
      <c r="A7827" t="s">
        <v>38948</v>
      </c>
      <c r="B7827" t="s">
        <v>5789</v>
      </c>
      <c r="C7827">
        <f>0.677170058945</f>
        <v>0.67717005894500004</v>
      </c>
      <c r="D7827">
        <v>0.99168180086299995</v>
      </c>
      <c r="E7827">
        <v>3.972</v>
      </c>
    </row>
    <row r="7828" spans="1:5">
      <c r="A7828" t="s">
        <v>38948</v>
      </c>
      <c r="B7828" t="s">
        <v>5790</v>
      </c>
      <c r="C7828">
        <f>0.040642320582</f>
        <v>4.0642320581999999E-2</v>
      </c>
      <c r="D7828">
        <v>0.99168180086299995</v>
      </c>
      <c r="E7828">
        <v>3.972</v>
      </c>
    </row>
    <row r="7829" spans="1:5">
      <c r="A7829" t="s">
        <v>38948</v>
      </c>
      <c r="B7829" t="s">
        <v>5787</v>
      </c>
      <c r="C7829">
        <f>0</f>
        <v>0</v>
      </c>
      <c r="D7829">
        <v>0.99168180086299995</v>
      </c>
      <c r="E7829">
        <v>3.972</v>
      </c>
    </row>
    <row r="7830" spans="1:5">
      <c r="A7830" t="s">
        <v>38948</v>
      </c>
      <c r="B7830" t="s">
        <v>5796</v>
      </c>
      <c r="C7830">
        <f>0.131205476908</f>
        <v>0.131205476908</v>
      </c>
      <c r="D7830">
        <v>0.99168180086299995</v>
      </c>
      <c r="E7830">
        <v>3.972</v>
      </c>
    </row>
    <row r="7831" spans="1:5">
      <c r="A7831" t="s">
        <v>38948</v>
      </c>
      <c r="B7831" t="s">
        <v>5795</v>
      </c>
      <c r="C7831">
        <f>0</f>
        <v>0</v>
      </c>
      <c r="D7831">
        <v>0.99168180086299995</v>
      </c>
      <c r="E7831">
        <v>3.972</v>
      </c>
    </row>
    <row r="7832" spans="1:5">
      <c r="A7832" t="s">
        <v>38948</v>
      </c>
      <c r="B7832" t="s">
        <v>5792</v>
      </c>
      <c r="C7832">
        <v>3.0633751014800001</v>
      </c>
      <c r="D7832">
        <v>0.99168180086299995</v>
      </c>
      <c r="E7832">
        <v>3.972</v>
      </c>
    </row>
    <row r="7833" spans="1:5">
      <c r="A7833" t="s">
        <v>38948</v>
      </c>
      <c r="B7833" t="s">
        <v>5797</v>
      </c>
      <c r="C7833">
        <f>-1.40702342362</f>
        <v>-1.4070234236200001</v>
      </c>
      <c r="D7833">
        <v>0.99168180086299995</v>
      </c>
      <c r="E7833">
        <v>3.972</v>
      </c>
    </row>
    <row r="7834" spans="1:5">
      <c r="A7834" t="s">
        <v>38948</v>
      </c>
      <c r="B7834" t="s">
        <v>5794</v>
      </c>
      <c r="C7834">
        <f>0.0845792838569</f>
        <v>8.4579283856900001E-2</v>
      </c>
      <c r="D7834">
        <v>0.99168180086299995</v>
      </c>
      <c r="E7834">
        <v>3.972</v>
      </c>
    </row>
    <row r="7835" spans="1:5">
      <c r="A7835" t="s">
        <v>38948</v>
      </c>
      <c r="B7835" t="s">
        <v>5791</v>
      </c>
      <c r="C7835">
        <f>0.340725666566</f>
        <v>0.34072566656600001</v>
      </c>
      <c r="D7835">
        <v>0.99168180086299995</v>
      </c>
      <c r="E7835">
        <v>3.972</v>
      </c>
    </row>
    <row r="7836" spans="1:5">
      <c r="A7836" t="s">
        <v>38949</v>
      </c>
      <c r="B7836" t="s">
        <v>587</v>
      </c>
      <c r="C7836">
        <v>0</v>
      </c>
      <c r="D7836" t="s">
        <v>106</v>
      </c>
      <c r="E7836">
        <v>0</v>
      </c>
    </row>
    <row r="7837" spans="1:5">
      <c r="A7837" t="s">
        <v>38949</v>
      </c>
      <c r="B7837" t="s">
        <v>590</v>
      </c>
      <c r="C7837">
        <v>0</v>
      </c>
      <c r="D7837" t="s">
        <v>106</v>
      </c>
      <c r="E7837">
        <v>0</v>
      </c>
    </row>
    <row r="7838" spans="1:5">
      <c r="A7838" t="s">
        <v>38949</v>
      </c>
      <c r="B7838" t="s">
        <v>589</v>
      </c>
      <c r="C7838">
        <f>0</f>
        <v>0</v>
      </c>
      <c r="D7838" t="s">
        <v>106</v>
      </c>
      <c r="E7838">
        <v>0</v>
      </c>
    </row>
    <row r="7839" spans="1:5">
      <c r="A7839" t="s">
        <v>38949</v>
      </c>
      <c r="B7839" t="s">
        <v>591</v>
      </c>
      <c r="C7839">
        <f>0</f>
        <v>0</v>
      </c>
      <c r="D7839" t="s">
        <v>106</v>
      </c>
      <c r="E7839">
        <v>0</v>
      </c>
    </row>
    <row r="7840" spans="1:5">
      <c r="A7840" t="s">
        <v>38950</v>
      </c>
      <c r="B7840" t="s">
        <v>38951</v>
      </c>
      <c r="C7840">
        <v>0</v>
      </c>
      <c r="D7840" t="s">
        <v>106</v>
      </c>
      <c r="E7840">
        <v>7.8719999999999999</v>
      </c>
    </row>
    <row r="7841" spans="1:5">
      <c r="A7841" t="s">
        <v>38950</v>
      </c>
      <c r="B7841" t="s">
        <v>38952</v>
      </c>
      <c r="C7841">
        <f>0</f>
        <v>0</v>
      </c>
      <c r="D7841" t="s">
        <v>106</v>
      </c>
      <c r="E7841">
        <v>7.8719999999999999</v>
      </c>
    </row>
    <row r="7842" spans="1:5">
      <c r="A7842" t="s">
        <v>38950</v>
      </c>
      <c r="B7842" t="s">
        <v>38953</v>
      </c>
      <c r="C7842">
        <v>0</v>
      </c>
      <c r="D7842" t="s">
        <v>106</v>
      </c>
      <c r="E7842">
        <v>7.8719999999999999</v>
      </c>
    </row>
    <row r="7843" spans="1:5">
      <c r="A7843" t="s">
        <v>38950</v>
      </c>
      <c r="B7843" t="s">
        <v>38954</v>
      </c>
      <c r="C7843">
        <v>0</v>
      </c>
      <c r="D7843" t="s">
        <v>106</v>
      </c>
      <c r="E7843">
        <v>7.8719999999999999</v>
      </c>
    </row>
    <row r="7844" spans="1:5">
      <c r="A7844" t="s">
        <v>38950</v>
      </c>
      <c r="B7844" t="s">
        <v>38955</v>
      </c>
      <c r="C7844">
        <v>0</v>
      </c>
      <c r="D7844" t="s">
        <v>106</v>
      </c>
      <c r="E7844">
        <v>7.8719999999999999</v>
      </c>
    </row>
    <row r="7845" spans="1:5">
      <c r="A7845" t="s">
        <v>38950</v>
      </c>
      <c r="B7845" t="s">
        <v>38956</v>
      </c>
      <c r="C7845">
        <f>0</f>
        <v>0</v>
      </c>
      <c r="D7845" t="s">
        <v>106</v>
      </c>
      <c r="E7845">
        <v>7.8719999999999999</v>
      </c>
    </row>
    <row r="7846" spans="1:5">
      <c r="A7846" t="s">
        <v>38957</v>
      </c>
      <c r="B7846" t="s">
        <v>1397</v>
      </c>
      <c r="C7846">
        <v>0.33446674906399998</v>
      </c>
      <c r="D7846">
        <v>0.96256959875899994</v>
      </c>
      <c r="E7846">
        <v>24</v>
      </c>
    </row>
    <row r="7847" spans="1:5">
      <c r="A7847" t="s">
        <v>38957</v>
      </c>
      <c r="B7847" t="s">
        <v>1398</v>
      </c>
      <c r="C7847">
        <f>0.524382800519</f>
        <v>0.52438280051899999</v>
      </c>
      <c r="D7847">
        <v>0.96256959875899994</v>
      </c>
      <c r="E7847">
        <v>24</v>
      </c>
    </row>
    <row r="7848" spans="1:5">
      <c r="A7848" t="s">
        <v>38957</v>
      </c>
      <c r="B7848" t="s">
        <v>1399</v>
      </c>
      <c r="C7848">
        <f>0.907916323132</f>
        <v>0.90791632313199999</v>
      </c>
      <c r="D7848">
        <v>0.96256959875899994</v>
      </c>
      <c r="E7848">
        <v>24</v>
      </c>
    </row>
    <row r="7849" spans="1:5">
      <c r="A7849" t="s">
        <v>38958</v>
      </c>
      <c r="B7849" t="s">
        <v>27667</v>
      </c>
      <c r="C7849">
        <v>0</v>
      </c>
      <c r="D7849" t="s">
        <v>106</v>
      </c>
      <c r="E7849">
        <v>6.18</v>
      </c>
    </row>
    <row r="7850" spans="1:5">
      <c r="A7850" t="s">
        <v>38958</v>
      </c>
      <c r="B7850" t="s">
        <v>27669</v>
      </c>
      <c r="C7850">
        <f>0</f>
        <v>0</v>
      </c>
      <c r="D7850" t="s">
        <v>106</v>
      </c>
      <c r="E7850">
        <v>6.18</v>
      </c>
    </row>
    <row r="7851" spans="1:5">
      <c r="A7851" t="s">
        <v>38958</v>
      </c>
      <c r="B7851" t="s">
        <v>27668</v>
      </c>
      <c r="C7851">
        <f>0</f>
        <v>0</v>
      </c>
      <c r="D7851" t="s">
        <v>106</v>
      </c>
      <c r="E7851">
        <v>6.18</v>
      </c>
    </row>
    <row r="7852" spans="1:5">
      <c r="A7852" t="s">
        <v>38959</v>
      </c>
      <c r="B7852" t="s">
        <v>12512</v>
      </c>
      <c r="C7852">
        <v>0.20000309005299999</v>
      </c>
      <c r="D7852">
        <v>0.96540763735500001</v>
      </c>
      <c r="E7852">
        <v>9.9239999999999995</v>
      </c>
    </row>
    <row r="7853" spans="1:5">
      <c r="A7853" t="s">
        <v>38959</v>
      </c>
      <c r="B7853" t="s">
        <v>12515</v>
      </c>
      <c r="C7853">
        <v>0.71379766695299995</v>
      </c>
      <c r="D7853">
        <v>0.96540763735500001</v>
      </c>
      <c r="E7853">
        <v>9.9239999999999995</v>
      </c>
    </row>
    <row r="7854" spans="1:5">
      <c r="A7854" t="s">
        <v>38959</v>
      </c>
      <c r="B7854" t="s">
        <v>12520</v>
      </c>
      <c r="C7854">
        <v>0</v>
      </c>
      <c r="D7854">
        <v>0.96540763735500001</v>
      </c>
      <c r="E7854">
        <v>9.9239999999999995</v>
      </c>
    </row>
    <row r="7855" spans="1:5">
      <c r="A7855" t="s">
        <v>38959</v>
      </c>
      <c r="B7855" t="s">
        <v>12521</v>
      </c>
      <c r="C7855">
        <v>0.34171010979299998</v>
      </c>
      <c r="D7855">
        <v>0.96540763735500001</v>
      </c>
      <c r="E7855">
        <v>9.9239999999999995</v>
      </c>
    </row>
    <row r="7856" spans="1:5">
      <c r="A7856" t="s">
        <v>38959</v>
      </c>
      <c r="B7856" t="s">
        <v>12514</v>
      </c>
      <c r="C7856">
        <v>0</v>
      </c>
      <c r="D7856">
        <v>0.96540763735500001</v>
      </c>
      <c r="E7856">
        <v>9.9239999999999995</v>
      </c>
    </row>
    <row r="7857" spans="1:5">
      <c r="A7857" t="s">
        <v>38959</v>
      </c>
      <c r="B7857" t="s">
        <v>12513</v>
      </c>
      <c r="C7857">
        <f>0</f>
        <v>0</v>
      </c>
      <c r="D7857">
        <v>0.96540763735500001</v>
      </c>
      <c r="E7857">
        <v>9.9239999999999995</v>
      </c>
    </row>
    <row r="7858" spans="1:5">
      <c r="A7858" t="s">
        <v>38960</v>
      </c>
      <c r="B7858" t="s">
        <v>7860</v>
      </c>
      <c r="C7858">
        <v>0</v>
      </c>
      <c r="D7858" t="s">
        <v>106</v>
      </c>
      <c r="E7858">
        <v>3.1379999999999999</v>
      </c>
    </row>
    <row r="7859" spans="1:5">
      <c r="A7859" t="s">
        <v>38960</v>
      </c>
      <c r="B7859" t="s">
        <v>7864</v>
      </c>
      <c r="C7859">
        <f>0</f>
        <v>0</v>
      </c>
      <c r="D7859" t="s">
        <v>106</v>
      </c>
      <c r="E7859">
        <v>3.1379999999999999</v>
      </c>
    </row>
    <row r="7860" spans="1:5">
      <c r="A7860" t="s">
        <v>38960</v>
      </c>
      <c r="B7860" t="s">
        <v>7865</v>
      </c>
      <c r="C7860">
        <v>0</v>
      </c>
      <c r="D7860" t="s">
        <v>106</v>
      </c>
      <c r="E7860">
        <v>3.1379999999999999</v>
      </c>
    </row>
    <row r="7861" spans="1:5">
      <c r="A7861" t="s">
        <v>38960</v>
      </c>
      <c r="B7861" t="s">
        <v>7863</v>
      </c>
      <c r="C7861">
        <v>0</v>
      </c>
      <c r="D7861" t="s">
        <v>106</v>
      </c>
      <c r="E7861">
        <v>3.1379999999999999</v>
      </c>
    </row>
    <row r="7862" spans="1:5">
      <c r="A7862" t="s">
        <v>38961</v>
      </c>
      <c r="B7862" t="s">
        <v>15197</v>
      </c>
      <c r="C7862">
        <v>0.14263273404099999</v>
      </c>
      <c r="D7862">
        <v>0.72024273404100003</v>
      </c>
      <c r="E7862">
        <v>24</v>
      </c>
    </row>
    <row r="7863" spans="1:5">
      <c r="A7863" t="s">
        <v>38961</v>
      </c>
      <c r="B7863" t="s">
        <v>15201</v>
      </c>
      <c r="C7863">
        <v>0</v>
      </c>
      <c r="D7863">
        <v>0.72024273404100003</v>
      </c>
      <c r="E7863">
        <v>24</v>
      </c>
    </row>
    <row r="7864" spans="1:5">
      <c r="A7864" t="s">
        <v>38961</v>
      </c>
      <c r="B7864" t="s">
        <v>15202</v>
      </c>
      <c r="C7864">
        <f>0</f>
        <v>0</v>
      </c>
      <c r="D7864">
        <v>0.72024273404100003</v>
      </c>
      <c r="E7864">
        <v>24</v>
      </c>
    </row>
    <row r="7865" spans="1:5">
      <c r="A7865" t="s">
        <v>38962</v>
      </c>
      <c r="B7865" t="s">
        <v>38963</v>
      </c>
      <c r="C7865">
        <f>-1.62667185404</f>
        <v>-1.62667185404</v>
      </c>
      <c r="D7865">
        <v>0.97881785320799997</v>
      </c>
      <c r="E7865">
        <v>2.4</v>
      </c>
    </row>
    <row r="7866" spans="1:5">
      <c r="A7866" t="s">
        <v>38962</v>
      </c>
      <c r="B7866" t="s">
        <v>38964</v>
      </c>
      <c r="C7866">
        <v>9.2418886577499998E-2</v>
      </c>
      <c r="D7866">
        <v>0.97881785320799997</v>
      </c>
      <c r="E7866">
        <v>2.4</v>
      </c>
    </row>
    <row r="7867" spans="1:5">
      <c r="A7867" t="s">
        <v>38962</v>
      </c>
      <c r="B7867" t="s">
        <v>38965</v>
      </c>
      <c r="C7867">
        <v>0.19773275088600001</v>
      </c>
      <c r="D7867">
        <v>0.97881785320799997</v>
      </c>
      <c r="E7867">
        <v>2.4</v>
      </c>
    </row>
    <row r="7868" spans="1:5">
      <c r="A7868" t="s">
        <v>38962</v>
      </c>
      <c r="B7868" t="s">
        <v>38966</v>
      </c>
      <c r="C7868">
        <v>1.3940020902800001</v>
      </c>
      <c r="D7868">
        <v>0.97881785320799997</v>
      </c>
      <c r="E7868">
        <v>2.4</v>
      </c>
    </row>
    <row r="7869" spans="1:5">
      <c r="A7869" t="s">
        <v>38962</v>
      </c>
      <c r="B7869" t="s">
        <v>38967</v>
      </c>
      <c r="C7869">
        <v>0.77183909503600001</v>
      </c>
      <c r="D7869">
        <v>0.97881785320799997</v>
      </c>
      <c r="E7869">
        <v>2.4</v>
      </c>
    </row>
    <row r="7870" spans="1:5">
      <c r="A7870" t="s">
        <v>38968</v>
      </c>
      <c r="B7870" t="s">
        <v>38969</v>
      </c>
      <c r="C7870">
        <v>0</v>
      </c>
      <c r="D7870">
        <v>0.63688126591799998</v>
      </c>
      <c r="E7870">
        <v>0.216</v>
      </c>
    </row>
    <row r="7871" spans="1:5">
      <c r="A7871" t="s">
        <v>38968</v>
      </c>
      <c r="B7871" t="s">
        <v>38970</v>
      </c>
      <c r="C7871">
        <v>0</v>
      </c>
      <c r="D7871">
        <v>0.63688126591799998</v>
      </c>
      <c r="E7871">
        <v>0.216</v>
      </c>
    </row>
    <row r="7872" spans="1:5">
      <c r="A7872" t="s">
        <v>38968</v>
      </c>
      <c r="B7872" t="s">
        <v>38971</v>
      </c>
      <c r="C7872">
        <v>0</v>
      </c>
      <c r="D7872">
        <v>0.63688126591799998</v>
      </c>
      <c r="E7872">
        <v>0.216</v>
      </c>
    </row>
    <row r="7873" spans="1:5">
      <c r="A7873" t="s">
        <v>38968</v>
      </c>
      <c r="B7873" t="s">
        <v>38972</v>
      </c>
      <c r="C7873">
        <v>0</v>
      </c>
      <c r="D7873">
        <v>0.63688126591799998</v>
      </c>
      <c r="E7873">
        <v>0.216</v>
      </c>
    </row>
    <row r="7874" spans="1:5">
      <c r="A7874" t="s">
        <v>38968</v>
      </c>
      <c r="B7874" t="s">
        <v>38973</v>
      </c>
      <c r="C7874">
        <f>0.406471265918</f>
        <v>0.40647126591799998</v>
      </c>
      <c r="D7874">
        <v>0.63688126591799998</v>
      </c>
      <c r="E7874">
        <v>0.216</v>
      </c>
    </row>
    <row r="7875" spans="1:5">
      <c r="A7875" t="s">
        <v>38974</v>
      </c>
      <c r="B7875" t="s">
        <v>38975</v>
      </c>
      <c r="C7875">
        <f>0.103074029144</f>
        <v>0.103074029144</v>
      </c>
      <c r="D7875">
        <v>0.64576471442200001</v>
      </c>
      <c r="E7875">
        <v>23.754000000000001</v>
      </c>
    </row>
    <row r="7876" spans="1:5">
      <c r="A7876" t="s">
        <v>38974</v>
      </c>
      <c r="B7876" t="s">
        <v>13488</v>
      </c>
      <c r="C7876">
        <f>0.147613430845</f>
        <v>0.147613430845</v>
      </c>
      <c r="D7876">
        <v>0.64576471442200001</v>
      </c>
      <c r="E7876">
        <v>23.754000000000001</v>
      </c>
    </row>
    <row r="7877" spans="1:5">
      <c r="A7877" t="s">
        <v>38974</v>
      </c>
      <c r="B7877" t="s">
        <v>13490</v>
      </c>
      <c r="C7877">
        <v>0</v>
      </c>
      <c r="D7877">
        <v>0.64576471442200001</v>
      </c>
      <c r="E7877">
        <v>23.754000000000001</v>
      </c>
    </row>
    <row r="7878" spans="1:5">
      <c r="A7878" t="s">
        <v>38974</v>
      </c>
      <c r="B7878" t="s">
        <v>13489</v>
      </c>
      <c r="C7878">
        <f>0.36405031488</f>
        <v>0.36405031488</v>
      </c>
      <c r="D7878">
        <v>0.64576471442200001</v>
      </c>
      <c r="E7878">
        <v>23.754000000000001</v>
      </c>
    </row>
    <row r="7879" spans="1:5">
      <c r="A7879" t="s">
        <v>38976</v>
      </c>
      <c r="B7879" t="s">
        <v>38977</v>
      </c>
      <c r="C7879">
        <v>0.65342068463299996</v>
      </c>
      <c r="D7879">
        <v>0.99984254151399998</v>
      </c>
      <c r="E7879">
        <v>7.8719999999999999</v>
      </c>
    </row>
    <row r="7880" spans="1:5">
      <c r="A7880" t="s">
        <v>38976</v>
      </c>
      <c r="B7880" t="s">
        <v>38978</v>
      </c>
      <c r="C7880">
        <v>0.45843450213800002</v>
      </c>
      <c r="D7880">
        <v>0.99984254151399998</v>
      </c>
      <c r="E7880">
        <v>7.8719999999999999</v>
      </c>
    </row>
    <row r="7881" spans="1:5">
      <c r="A7881" t="s">
        <v>38976</v>
      </c>
      <c r="B7881" t="s">
        <v>38979</v>
      </c>
      <c r="C7881">
        <f>0.0222431512025</f>
        <v>2.2243151202499999E-2</v>
      </c>
      <c r="D7881">
        <v>0.99984254151399998</v>
      </c>
      <c r="E7881">
        <v>7.8719999999999999</v>
      </c>
    </row>
    <row r="7882" spans="1:5">
      <c r="A7882" t="s">
        <v>38976</v>
      </c>
      <c r="B7882" t="s">
        <v>38980</v>
      </c>
      <c r="C7882">
        <v>0.563101653383</v>
      </c>
      <c r="D7882">
        <v>0.99984254151399998</v>
      </c>
      <c r="E7882">
        <v>7.8719999999999999</v>
      </c>
    </row>
    <row r="7883" spans="1:5">
      <c r="A7883" t="s">
        <v>38976</v>
      </c>
      <c r="B7883" t="s">
        <v>38981</v>
      </c>
      <c r="C7883">
        <f>0.623254592278</f>
        <v>0.62325459227799995</v>
      </c>
      <c r="D7883">
        <v>0.99984254151399998</v>
      </c>
      <c r="E7883">
        <v>7.8719999999999999</v>
      </c>
    </row>
    <row r="7884" spans="1:5">
      <c r="A7884" t="s">
        <v>38976</v>
      </c>
      <c r="B7884" t="s">
        <v>38982</v>
      </c>
      <c r="C7884">
        <v>7.0048291995699993E-2</v>
      </c>
      <c r="D7884">
        <v>0.99984254151399998</v>
      </c>
      <c r="E7884">
        <v>7.8719999999999999</v>
      </c>
    </row>
    <row r="7885" spans="1:5">
      <c r="A7885" t="s">
        <v>38976</v>
      </c>
      <c r="B7885" t="s">
        <v>38983</v>
      </c>
      <c r="C7885">
        <f>0.722560667941</f>
        <v>0.72256066794100005</v>
      </c>
      <c r="D7885">
        <v>0.99984254151399998</v>
      </c>
      <c r="E7885">
        <v>7.8719999999999999</v>
      </c>
    </row>
    <row r="7886" spans="1:5">
      <c r="A7886" t="s">
        <v>38976</v>
      </c>
      <c r="B7886" t="s">
        <v>38984</v>
      </c>
      <c r="C7886">
        <f>0.555986878295</f>
        <v>0.55598687829500004</v>
      </c>
      <c r="D7886">
        <v>0.99984254151399998</v>
      </c>
      <c r="E7886">
        <v>7.8719999999999999</v>
      </c>
    </row>
    <row r="7887" spans="1:5">
      <c r="A7887" t="s">
        <v>38985</v>
      </c>
      <c r="B7887" t="s">
        <v>38986</v>
      </c>
      <c r="C7887">
        <v>0</v>
      </c>
      <c r="D7887">
        <v>0.76916339653800003</v>
      </c>
      <c r="E7887">
        <v>9.9239999999999995</v>
      </c>
    </row>
    <row r="7888" spans="1:5">
      <c r="A7888" t="s">
        <v>38985</v>
      </c>
      <c r="B7888" t="s">
        <v>38987</v>
      </c>
      <c r="C7888">
        <v>0.361358758803</v>
      </c>
      <c r="D7888">
        <v>0.76916339653800003</v>
      </c>
      <c r="E7888">
        <v>9.9239999999999995</v>
      </c>
    </row>
    <row r="7889" spans="1:5">
      <c r="A7889" t="s">
        <v>38985</v>
      </c>
      <c r="B7889" t="s">
        <v>38988</v>
      </c>
      <c r="C7889">
        <v>0.24437299048</v>
      </c>
      <c r="D7889">
        <v>0.76916339653800003</v>
      </c>
      <c r="E7889">
        <v>9.9239999999999995</v>
      </c>
    </row>
    <row r="7890" spans="1:5">
      <c r="A7890" t="s">
        <v>38989</v>
      </c>
      <c r="B7890" t="s">
        <v>1740</v>
      </c>
      <c r="C7890">
        <v>0</v>
      </c>
      <c r="D7890">
        <v>0.61815060519599996</v>
      </c>
      <c r="E7890">
        <v>21.648</v>
      </c>
    </row>
    <row r="7891" spans="1:5">
      <c r="A7891" t="s">
        <v>38989</v>
      </c>
      <c r="B7891" t="s">
        <v>1742</v>
      </c>
      <c r="C7891">
        <f>0.219818743146</f>
        <v>0.219818743146</v>
      </c>
      <c r="D7891">
        <v>0.61815060519599996</v>
      </c>
      <c r="E7891">
        <v>21.648</v>
      </c>
    </row>
    <row r="7892" spans="1:5">
      <c r="A7892" t="s">
        <v>38989</v>
      </c>
      <c r="B7892" t="s">
        <v>1744</v>
      </c>
      <c r="C7892">
        <v>0</v>
      </c>
      <c r="D7892">
        <v>0.61815060519599996</v>
      </c>
      <c r="E7892">
        <v>21.648</v>
      </c>
    </row>
    <row r="7893" spans="1:5">
      <c r="A7893" t="s">
        <v>38989</v>
      </c>
      <c r="B7893" t="s">
        <v>1745</v>
      </c>
      <c r="C7893">
        <v>0.50460964641899997</v>
      </c>
      <c r="D7893">
        <v>0.61815060519599996</v>
      </c>
      <c r="E7893">
        <v>21.648</v>
      </c>
    </row>
    <row r="7894" spans="1:5">
      <c r="A7894" t="s">
        <v>38990</v>
      </c>
      <c r="B7894" t="s">
        <v>26233</v>
      </c>
      <c r="C7894">
        <f>0</f>
        <v>0</v>
      </c>
      <c r="D7894" t="s">
        <v>106</v>
      </c>
      <c r="E7894">
        <v>18.558</v>
      </c>
    </row>
    <row r="7895" spans="1:5">
      <c r="A7895" t="s">
        <v>38990</v>
      </c>
      <c r="B7895" t="s">
        <v>26236</v>
      </c>
      <c r="C7895">
        <f>0</f>
        <v>0</v>
      </c>
      <c r="D7895" t="s">
        <v>106</v>
      </c>
      <c r="E7895">
        <v>18.558</v>
      </c>
    </row>
    <row r="7896" spans="1:5">
      <c r="A7896" t="s">
        <v>38990</v>
      </c>
      <c r="B7896" t="s">
        <v>26235</v>
      </c>
      <c r="C7896">
        <f>0</f>
        <v>0</v>
      </c>
      <c r="D7896" t="s">
        <v>106</v>
      </c>
      <c r="E7896">
        <v>18.558</v>
      </c>
    </row>
    <row r="7897" spans="1:5">
      <c r="A7897" t="s">
        <v>38991</v>
      </c>
      <c r="B7897" t="s">
        <v>29869</v>
      </c>
      <c r="C7897">
        <v>0</v>
      </c>
      <c r="D7897" t="s">
        <v>106</v>
      </c>
      <c r="E7897">
        <v>0.34799999999999998</v>
      </c>
    </row>
    <row r="7898" spans="1:5">
      <c r="A7898" t="s">
        <v>38991</v>
      </c>
      <c r="B7898" t="s">
        <v>29870</v>
      </c>
      <c r="C7898">
        <v>0</v>
      </c>
      <c r="D7898" t="s">
        <v>106</v>
      </c>
      <c r="E7898">
        <v>0.34799999999999998</v>
      </c>
    </row>
    <row r="7899" spans="1:5">
      <c r="A7899" t="s">
        <v>38991</v>
      </c>
      <c r="B7899" t="s">
        <v>29868</v>
      </c>
      <c r="C7899">
        <f>0</f>
        <v>0</v>
      </c>
      <c r="D7899" t="s">
        <v>106</v>
      </c>
      <c r="E7899">
        <v>0.34799999999999998</v>
      </c>
    </row>
    <row r="7900" spans="1:5">
      <c r="A7900" t="s">
        <v>38992</v>
      </c>
      <c r="B7900" t="s">
        <v>10098</v>
      </c>
      <c r="C7900">
        <f>0</f>
        <v>0</v>
      </c>
      <c r="D7900" t="s">
        <v>106</v>
      </c>
      <c r="E7900">
        <v>1.7999999999999999E-2</v>
      </c>
    </row>
    <row r="7901" spans="1:5">
      <c r="A7901" t="s">
        <v>38992</v>
      </c>
      <c r="B7901" t="s">
        <v>10095</v>
      </c>
      <c r="C7901">
        <f>0</f>
        <v>0</v>
      </c>
      <c r="D7901" t="s">
        <v>106</v>
      </c>
      <c r="E7901">
        <v>1.7999999999999999E-2</v>
      </c>
    </row>
    <row r="7902" spans="1:5">
      <c r="A7902" t="s">
        <v>38992</v>
      </c>
      <c r="B7902" t="s">
        <v>10097</v>
      </c>
      <c r="C7902">
        <f>0</f>
        <v>0</v>
      </c>
      <c r="D7902" t="s">
        <v>106</v>
      </c>
      <c r="E7902">
        <v>1.7999999999999999E-2</v>
      </c>
    </row>
    <row r="7903" spans="1:5">
      <c r="A7903" t="s">
        <v>38993</v>
      </c>
      <c r="B7903" t="s">
        <v>20589</v>
      </c>
      <c r="C7903">
        <v>0.219335631823</v>
      </c>
      <c r="D7903">
        <v>0.99419128587299999</v>
      </c>
      <c r="E7903">
        <v>23.52</v>
      </c>
    </row>
    <row r="7904" spans="1:5">
      <c r="A7904" t="s">
        <v>38993</v>
      </c>
      <c r="B7904" t="s">
        <v>20592</v>
      </c>
      <c r="C7904">
        <f>0.619778031881</f>
        <v>0.619778031881</v>
      </c>
      <c r="D7904">
        <v>0.99419128587299999</v>
      </c>
      <c r="E7904">
        <v>23.52</v>
      </c>
    </row>
    <row r="7905" spans="1:5">
      <c r="A7905" t="s">
        <v>38993</v>
      </c>
      <c r="B7905" t="s">
        <v>20593</v>
      </c>
      <c r="C7905">
        <v>5.2642904145899998E-2</v>
      </c>
      <c r="D7905">
        <v>0.99419128587299999</v>
      </c>
      <c r="E7905">
        <v>23.52</v>
      </c>
    </row>
    <row r="7906" spans="1:5">
      <c r="A7906" t="s">
        <v>38993</v>
      </c>
      <c r="B7906" t="s">
        <v>20590</v>
      </c>
      <c r="C7906">
        <v>1.20209787816</v>
      </c>
      <c r="D7906">
        <v>0.99419128587299999</v>
      </c>
      <c r="E7906">
        <v>23.52</v>
      </c>
    </row>
    <row r="7907" spans="1:5">
      <c r="A7907" t="s">
        <v>38993</v>
      </c>
      <c r="B7907" t="s">
        <v>20594</v>
      </c>
      <c r="C7907">
        <f>0.457534378924</f>
        <v>0.45753437892400001</v>
      </c>
      <c r="D7907">
        <v>0.99419128587299999</v>
      </c>
      <c r="E7907">
        <v>23.52</v>
      </c>
    </row>
    <row r="7908" spans="1:5">
      <c r="A7908" t="s">
        <v>38994</v>
      </c>
      <c r="B7908" t="s">
        <v>9253</v>
      </c>
      <c r="C7908">
        <v>0.27572434316400002</v>
      </c>
      <c r="D7908">
        <v>0.99926124672500005</v>
      </c>
      <c r="E7908">
        <v>0</v>
      </c>
    </row>
    <row r="7909" spans="1:5">
      <c r="A7909" t="s">
        <v>38994</v>
      </c>
      <c r="B7909" t="s">
        <v>9256</v>
      </c>
      <c r="C7909">
        <v>3.0000422504599999E-2</v>
      </c>
      <c r="D7909">
        <v>0.99926124672500005</v>
      </c>
      <c r="E7909">
        <v>0</v>
      </c>
    </row>
    <row r="7910" spans="1:5">
      <c r="A7910" t="s">
        <v>38994</v>
      </c>
      <c r="B7910" t="s">
        <v>9258</v>
      </c>
      <c r="C7910">
        <f>-1.02885069616</f>
        <v>-1.0288506961599999</v>
      </c>
      <c r="D7910">
        <v>0.99926124672500005</v>
      </c>
      <c r="E7910">
        <v>0</v>
      </c>
    </row>
    <row r="7911" spans="1:5">
      <c r="A7911" t="s">
        <v>38994</v>
      </c>
      <c r="B7911" t="s">
        <v>9254</v>
      </c>
      <c r="C7911">
        <v>0.67213806657300001</v>
      </c>
      <c r="D7911">
        <v>0.99926124672500005</v>
      </c>
      <c r="E7911">
        <v>0</v>
      </c>
    </row>
    <row r="7912" spans="1:5">
      <c r="A7912" t="s">
        <v>38994</v>
      </c>
      <c r="B7912" t="s">
        <v>9261</v>
      </c>
      <c r="C7912">
        <v>0.71691916501700004</v>
      </c>
      <c r="D7912">
        <v>0.99926124672500005</v>
      </c>
      <c r="E7912">
        <v>0</v>
      </c>
    </row>
    <row r="7913" spans="1:5">
      <c r="A7913" t="s">
        <v>38995</v>
      </c>
      <c r="B7913" t="s">
        <v>3411</v>
      </c>
      <c r="C7913">
        <f>0.1267703009</f>
        <v>0.12677030089999999</v>
      </c>
      <c r="D7913">
        <v>0.99999680693000004</v>
      </c>
      <c r="E7913">
        <v>3.972</v>
      </c>
    </row>
    <row r="7914" spans="1:5">
      <c r="A7914" t="s">
        <v>38995</v>
      </c>
      <c r="B7914" t="s">
        <v>3412</v>
      </c>
      <c r="C7914">
        <f>0.0789907236338</f>
        <v>7.8990723633799997E-2</v>
      </c>
      <c r="D7914">
        <v>0.99999680693000004</v>
      </c>
      <c r="E7914">
        <v>3.972</v>
      </c>
    </row>
    <row r="7915" spans="1:5">
      <c r="A7915" t="s">
        <v>38995</v>
      </c>
      <c r="B7915" t="s">
        <v>3419</v>
      </c>
      <c r="C7915">
        <v>0.96301549540300002</v>
      </c>
      <c r="D7915">
        <v>0.99999680693000004</v>
      </c>
      <c r="E7915">
        <v>3.972</v>
      </c>
    </row>
    <row r="7916" spans="1:5">
      <c r="A7916" t="s">
        <v>38995</v>
      </c>
      <c r="B7916" t="s">
        <v>3420</v>
      </c>
      <c r="C7916">
        <v>0.29762410628000002</v>
      </c>
      <c r="D7916">
        <v>0.99999680693000004</v>
      </c>
      <c r="E7916">
        <v>3.972</v>
      </c>
    </row>
    <row r="7917" spans="1:5">
      <c r="A7917" t="s">
        <v>38995</v>
      </c>
      <c r="B7917" t="s">
        <v>3418</v>
      </c>
      <c r="C7917">
        <f>0.410668268238</f>
        <v>0.41066826823800001</v>
      </c>
      <c r="D7917">
        <v>0.99999680693000004</v>
      </c>
      <c r="E7917">
        <v>3.972</v>
      </c>
    </row>
    <row r="7918" spans="1:5">
      <c r="A7918" t="s">
        <v>38995</v>
      </c>
      <c r="B7918" t="s">
        <v>3416</v>
      </c>
      <c r="C7918">
        <v>0.48754804743300001</v>
      </c>
      <c r="D7918">
        <v>0.99999680693000004</v>
      </c>
      <c r="E7918">
        <v>3.972</v>
      </c>
    </row>
    <row r="7919" spans="1:5">
      <c r="A7919" t="s">
        <v>38995</v>
      </c>
      <c r="B7919" t="s">
        <v>38996</v>
      </c>
      <c r="C7919">
        <f>0.12730403838</f>
        <v>0.12730403838000001</v>
      </c>
      <c r="D7919">
        <v>0.99999680693000004</v>
      </c>
      <c r="E7919">
        <v>3.972</v>
      </c>
    </row>
    <row r="7920" spans="1:5">
      <c r="A7920" t="s">
        <v>38995</v>
      </c>
      <c r="B7920" t="s">
        <v>38997</v>
      </c>
      <c r="C7920">
        <v>0.76413036403099999</v>
      </c>
      <c r="D7920">
        <v>0.99999680693000004</v>
      </c>
      <c r="E7920">
        <v>3.972</v>
      </c>
    </row>
    <row r="7921" spans="1:5">
      <c r="A7921" t="s">
        <v>38995</v>
      </c>
      <c r="B7921" t="s">
        <v>3415</v>
      </c>
      <c r="C7921">
        <f>0.217897153153</f>
        <v>0.21789715315300001</v>
      </c>
      <c r="D7921">
        <v>0.99999680693000004</v>
      </c>
      <c r="E7921">
        <v>3.972</v>
      </c>
    </row>
    <row r="7922" spans="1:5">
      <c r="A7922" t="s">
        <v>38995</v>
      </c>
      <c r="B7922" t="s">
        <v>38998</v>
      </c>
      <c r="C7922">
        <f>0.16324766088</f>
        <v>0.16324766088000001</v>
      </c>
      <c r="D7922">
        <v>0.99999680693000004</v>
      </c>
      <c r="E7922">
        <v>3.972</v>
      </c>
    </row>
    <row r="7923" spans="1:5">
      <c r="A7923" t="s">
        <v>38999</v>
      </c>
      <c r="B7923" t="s">
        <v>39000</v>
      </c>
      <c r="C7923">
        <v>0</v>
      </c>
      <c r="D7923">
        <v>0.45151333089200002</v>
      </c>
      <c r="E7923">
        <v>6.8040000000000003</v>
      </c>
    </row>
    <row r="7924" spans="1:5">
      <c r="A7924" t="s">
        <v>38999</v>
      </c>
      <c r="B7924" t="s">
        <v>39001</v>
      </c>
      <c r="C7924">
        <v>0</v>
      </c>
      <c r="D7924">
        <v>0.45151333089200002</v>
      </c>
      <c r="E7924">
        <v>6.8040000000000003</v>
      </c>
    </row>
    <row r="7925" spans="1:5">
      <c r="A7925" t="s">
        <v>38999</v>
      </c>
      <c r="B7925" t="s">
        <v>39002</v>
      </c>
      <c r="C7925">
        <f>0</f>
        <v>0</v>
      </c>
      <c r="D7925">
        <v>0.45151333089200002</v>
      </c>
      <c r="E7925">
        <v>6.8040000000000003</v>
      </c>
    </row>
    <row r="7926" spans="1:5">
      <c r="A7926" t="s">
        <v>38999</v>
      </c>
      <c r="B7926" t="s">
        <v>39003</v>
      </c>
      <c r="C7926">
        <f>0.181103330892</f>
        <v>0.18110333089200001</v>
      </c>
      <c r="D7926">
        <v>0.45151333089200002</v>
      </c>
      <c r="E7926">
        <v>6.8040000000000003</v>
      </c>
    </row>
    <row r="7927" spans="1:5">
      <c r="A7927" t="s">
        <v>39004</v>
      </c>
      <c r="B7927" t="s">
        <v>27539</v>
      </c>
      <c r="C7927">
        <f>0.66383238066</f>
        <v>0.66383238066000005</v>
      </c>
      <c r="D7927">
        <v>0.70384238066000004</v>
      </c>
      <c r="E7927">
        <v>1.224</v>
      </c>
    </row>
    <row r="7928" spans="1:5">
      <c r="A7928" t="s">
        <v>39004</v>
      </c>
      <c r="B7928" t="s">
        <v>27544</v>
      </c>
      <c r="C7928">
        <f>0</f>
        <v>0</v>
      </c>
      <c r="D7928">
        <v>0.70384238066000004</v>
      </c>
      <c r="E7928">
        <v>1.224</v>
      </c>
    </row>
    <row r="7929" spans="1:5">
      <c r="A7929" t="s">
        <v>39005</v>
      </c>
      <c r="B7929" t="s">
        <v>10503</v>
      </c>
      <c r="C7929">
        <v>0</v>
      </c>
      <c r="D7929" t="s">
        <v>106</v>
      </c>
      <c r="E7929">
        <v>24</v>
      </c>
    </row>
    <row r="7930" spans="1:5">
      <c r="A7930" t="s">
        <v>39005</v>
      </c>
      <c r="B7930" t="s">
        <v>10504</v>
      </c>
      <c r="C7930">
        <v>0</v>
      </c>
      <c r="D7930" t="s">
        <v>106</v>
      </c>
      <c r="E7930">
        <v>24</v>
      </c>
    </row>
    <row r="7931" spans="1:5">
      <c r="A7931" t="s">
        <v>39006</v>
      </c>
      <c r="B7931" t="s">
        <v>39007</v>
      </c>
      <c r="C7931">
        <v>0</v>
      </c>
      <c r="D7931" t="s">
        <v>106</v>
      </c>
      <c r="E7931">
        <v>3.5999999999999997E-2</v>
      </c>
    </row>
    <row r="7932" spans="1:5">
      <c r="A7932" t="s">
        <v>39006</v>
      </c>
      <c r="B7932" t="s">
        <v>39008</v>
      </c>
      <c r="C7932">
        <v>0</v>
      </c>
      <c r="D7932" t="s">
        <v>106</v>
      </c>
      <c r="E7932">
        <v>3.5999999999999997E-2</v>
      </c>
    </row>
    <row r="7933" spans="1:5">
      <c r="A7933" t="s">
        <v>39006</v>
      </c>
      <c r="B7933" t="s">
        <v>39009</v>
      </c>
      <c r="C7933">
        <f>0</f>
        <v>0</v>
      </c>
      <c r="D7933" t="s">
        <v>106</v>
      </c>
      <c r="E7933">
        <v>3.5999999999999997E-2</v>
      </c>
    </row>
    <row r="7934" spans="1:5">
      <c r="A7934" t="s">
        <v>39010</v>
      </c>
      <c r="B7934" t="s">
        <v>2817</v>
      </c>
      <c r="C7934">
        <f>0.192101586846</f>
        <v>0.19210158684600001</v>
      </c>
      <c r="D7934">
        <v>0.99989233923999998</v>
      </c>
      <c r="E7934">
        <v>0.87</v>
      </c>
    </row>
    <row r="7935" spans="1:5">
      <c r="A7935" t="s">
        <v>39010</v>
      </c>
      <c r="B7935" t="s">
        <v>2824</v>
      </c>
      <c r="C7935">
        <v>0.27327158879500002</v>
      </c>
      <c r="D7935">
        <v>0.99989233923999998</v>
      </c>
      <c r="E7935">
        <v>0.87</v>
      </c>
    </row>
    <row r="7936" spans="1:5">
      <c r="A7936" t="s">
        <v>39010</v>
      </c>
      <c r="B7936" t="s">
        <v>2820</v>
      </c>
      <c r="C7936">
        <v>0</v>
      </c>
      <c r="D7936">
        <v>0.99989233923999998</v>
      </c>
      <c r="E7936">
        <v>0.87</v>
      </c>
    </row>
    <row r="7937" spans="1:5">
      <c r="A7937" t="s">
        <v>39010</v>
      </c>
      <c r="B7937" t="s">
        <v>2827</v>
      </c>
      <c r="C7937">
        <f>0.672966284592</f>
        <v>0.67296628459200003</v>
      </c>
      <c r="D7937">
        <v>0.99989233923999998</v>
      </c>
      <c r="E7937">
        <v>0.87</v>
      </c>
    </row>
    <row r="7938" spans="1:5">
      <c r="A7938" t="s">
        <v>39010</v>
      </c>
      <c r="B7938" t="s">
        <v>2822</v>
      </c>
      <c r="C7938">
        <f>0.326044227744</f>
        <v>0.32604422774399999</v>
      </c>
      <c r="D7938">
        <v>0.99989233923999998</v>
      </c>
      <c r="E7938">
        <v>0.87</v>
      </c>
    </row>
    <row r="7939" spans="1:5">
      <c r="A7939" t="s">
        <v>39010</v>
      </c>
      <c r="B7939" t="s">
        <v>2823</v>
      </c>
      <c r="C7939">
        <v>8.5935257925899997E-2</v>
      </c>
      <c r="D7939">
        <v>0.99989233923999998</v>
      </c>
      <c r="E7939">
        <v>0.87</v>
      </c>
    </row>
    <row r="7940" spans="1:5">
      <c r="A7940" t="s">
        <v>39010</v>
      </c>
      <c r="B7940" t="s">
        <v>2825</v>
      </c>
      <c r="C7940">
        <f>0.173205866653</f>
        <v>0.173205866653</v>
      </c>
      <c r="D7940">
        <v>0.99989233923999998</v>
      </c>
      <c r="E7940">
        <v>0.87</v>
      </c>
    </row>
    <row r="7941" spans="1:5">
      <c r="A7941" t="s">
        <v>39010</v>
      </c>
      <c r="B7941" t="s">
        <v>2826</v>
      </c>
      <c r="C7941">
        <v>3.6068836705699998E-2</v>
      </c>
      <c r="D7941">
        <v>0.99989233923999998</v>
      </c>
      <c r="E7941">
        <v>0.87</v>
      </c>
    </row>
    <row r="7942" spans="1:5">
      <c r="A7942" t="s">
        <v>39011</v>
      </c>
      <c r="B7942" t="s">
        <v>28380</v>
      </c>
      <c r="C7942">
        <v>0.50735162222800001</v>
      </c>
      <c r="D7942">
        <v>0.76676594636299999</v>
      </c>
      <c r="E7942">
        <v>6.5519999999999996</v>
      </c>
    </row>
    <row r="7943" spans="1:5">
      <c r="A7943" t="s">
        <v>39011</v>
      </c>
      <c r="B7943" t="s">
        <v>28382</v>
      </c>
      <c r="C7943">
        <v>0.32038511708700002</v>
      </c>
      <c r="D7943">
        <v>0.76676594636299999</v>
      </c>
      <c r="E7943">
        <v>6.5519999999999996</v>
      </c>
    </row>
    <row r="7944" spans="1:5">
      <c r="A7944" t="s">
        <v>39012</v>
      </c>
      <c r="B7944" t="s">
        <v>12123</v>
      </c>
      <c r="C7944">
        <f>0</f>
        <v>0</v>
      </c>
      <c r="D7944" t="s">
        <v>106</v>
      </c>
      <c r="E7944">
        <v>24</v>
      </c>
    </row>
    <row r="7945" spans="1:5">
      <c r="A7945" t="s">
        <v>39012</v>
      </c>
      <c r="B7945" t="s">
        <v>12127</v>
      </c>
      <c r="C7945">
        <f>0</f>
        <v>0</v>
      </c>
      <c r="D7945" t="s">
        <v>106</v>
      </c>
      <c r="E7945">
        <v>24</v>
      </c>
    </row>
    <row r="7946" spans="1:5">
      <c r="A7946" t="s">
        <v>39012</v>
      </c>
      <c r="B7946" t="s">
        <v>12124</v>
      </c>
      <c r="C7946">
        <v>0</v>
      </c>
      <c r="D7946" t="s">
        <v>106</v>
      </c>
      <c r="E7946">
        <v>24</v>
      </c>
    </row>
    <row r="7947" spans="1:5">
      <c r="A7947" t="s">
        <v>39012</v>
      </c>
      <c r="B7947" t="s">
        <v>12126</v>
      </c>
      <c r="C7947">
        <f>0</f>
        <v>0</v>
      </c>
      <c r="D7947" t="s">
        <v>106</v>
      </c>
      <c r="E7947">
        <v>24</v>
      </c>
    </row>
    <row r="7948" spans="1:5">
      <c r="A7948" t="s">
        <v>39013</v>
      </c>
      <c r="B7948" t="s">
        <v>33815</v>
      </c>
      <c r="C7948">
        <f>0.272921453481</f>
        <v>0.272921453481</v>
      </c>
      <c r="D7948">
        <v>0.96701274154600003</v>
      </c>
      <c r="E7948">
        <v>1.278</v>
      </c>
    </row>
    <row r="7949" spans="1:5">
      <c r="A7949" t="s">
        <v>39013</v>
      </c>
      <c r="B7949" t="s">
        <v>33814</v>
      </c>
      <c r="C7949">
        <f>0</f>
        <v>0</v>
      </c>
      <c r="D7949">
        <v>0.96701274154600003</v>
      </c>
      <c r="E7949">
        <v>1.278</v>
      </c>
    </row>
    <row r="7950" spans="1:5">
      <c r="A7950" t="s">
        <v>39013</v>
      </c>
      <c r="B7950" t="s">
        <v>33816</v>
      </c>
      <c r="C7950">
        <v>0.44769507215100002</v>
      </c>
      <c r="D7950">
        <v>0.96701274154600003</v>
      </c>
      <c r="E7950">
        <v>1.278</v>
      </c>
    </row>
    <row r="7951" spans="1:5">
      <c r="A7951" t="s">
        <v>39013</v>
      </c>
      <c r="B7951" t="s">
        <v>33821</v>
      </c>
      <c r="C7951">
        <f>0</f>
        <v>0</v>
      </c>
      <c r="D7951">
        <v>0.96701274154600003</v>
      </c>
      <c r="E7951">
        <v>1.278</v>
      </c>
    </row>
    <row r="7952" spans="1:5">
      <c r="A7952" t="s">
        <v>39013</v>
      </c>
      <c r="B7952" t="s">
        <v>33818</v>
      </c>
      <c r="C7952">
        <f>0.20278358246</f>
        <v>0.20278358246</v>
      </c>
      <c r="D7952">
        <v>0.96701274154600003</v>
      </c>
      <c r="E7952">
        <v>1.278</v>
      </c>
    </row>
    <row r="7953" spans="1:5">
      <c r="A7953" t="s">
        <v>39013</v>
      </c>
      <c r="B7953" t="s">
        <v>33819</v>
      </c>
      <c r="C7953">
        <f>0</f>
        <v>0</v>
      </c>
      <c r="D7953">
        <v>0.96701274154600003</v>
      </c>
      <c r="E7953">
        <v>1.278</v>
      </c>
    </row>
    <row r="7954" spans="1:5">
      <c r="A7954" t="s">
        <v>39013</v>
      </c>
      <c r="B7954" t="s">
        <v>33813</v>
      </c>
      <c r="C7954">
        <v>0.55469873623499999</v>
      </c>
      <c r="D7954">
        <v>0.96701274154600003</v>
      </c>
      <c r="E7954">
        <v>1.278</v>
      </c>
    </row>
    <row r="7955" spans="1:5">
      <c r="A7955" t="s">
        <v>39014</v>
      </c>
      <c r="B7955" t="s">
        <v>33635</v>
      </c>
      <c r="C7955">
        <f>0</f>
        <v>0</v>
      </c>
      <c r="D7955">
        <v>0.70198913367500004</v>
      </c>
      <c r="E7955">
        <v>23.754000000000001</v>
      </c>
    </row>
    <row r="7956" spans="1:5">
      <c r="A7956" t="s">
        <v>39014</v>
      </c>
      <c r="B7956" t="s">
        <v>33636</v>
      </c>
      <c r="C7956">
        <f>0</f>
        <v>0</v>
      </c>
      <c r="D7956">
        <v>0.70198913367500004</v>
      </c>
      <c r="E7956">
        <v>23.754000000000001</v>
      </c>
    </row>
    <row r="7957" spans="1:5">
      <c r="A7957" t="s">
        <v>39014</v>
      </c>
      <c r="B7957" t="s">
        <v>33641</v>
      </c>
      <c r="C7957">
        <v>0</v>
      </c>
      <c r="D7957">
        <v>0.70198913367500004</v>
      </c>
      <c r="E7957">
        <v>23.754000000000001</v>
      </c>
    </row>
    <row r="7958" spans="1:5">
      <c r="A7958" t="s">
        <v>39014</v>
      </c>
      <c r="B7958" t="s">
        <v>33639</v>
      </c>
      <c r="C7958">
        <v>0.39577907983799998</v>
      </c>
      <c r="D7958">
        <v>0.70198913367500004</v>
      </c>
      <c r="E7958">
        <v>23.754000000000001</v>
      </c>
    </row>
    <row r="7959" spans="1:5">
      <c r="A7959" t="s">
        <v>39014</v>
      </c>
      <c r="B7959" t="s">
        <v>33640</v>
      </c>
      <c r="C7959">
        <v>0.132389950738</v>
      </c>
      <c r="D7959">
        <v>0.70198913367500004</v>
      </c>
      <c r="E7959">
        <v>23.754000000000001</v>
      </c>
    </row>
    <row r="7960" spans="1:5">
      <c r="A7960" t="s">
        <v>39015</v>
      </c>
      <c r="B7960" t="s">
        <v>21856</v>
      </c>
      <c r="C7960">
        <f>0</f>
        <v>0</v>
      </c>
      <c r="D7960" t="s">
        <v>106</v>
      </c>
      <c r="E7960">
        <v>1.698</v>
      </c>
    </row>
    <row r="7961" spans="1:5">
      <c r="A7961" t="s">
        <v>39015</v>
      </c>
      <c r="B7961" t="s">
        <v>21865</v>
      </c>
      <c r="C7961">
        <f>0</f>
        <v>0</v>
      </c>
      <c r="D7961" t="s">
        <v>106</v>
      </c>
      <c r="E7961">
        <v>1.698</v>
      </c>
    </row>
    <row r="7962" spans="1:5">
      <c r="A7962" t="s">
        <v>39015</v>
      </c>
      <c r="B7962" t="s">
        <v>21858</v>
      </c>
      <c r="C7962">
        <f>0</f>
        <v>0</v>
      </c>
      <c r="D7962" t="s">
        <v>106</v>
      </c>
      <c r="E7962">
        <v>1.698</v>
      </c>
    </row>
    <row r="7963" spans="1:5">
      <c r="A7963" t="s">
        <v>39015</v>
      </c>
      <c r="B7963" t="s">
        <v>21862</v>
      </c>
      <c r="C7963">
        <f>0</f>
        <v>0</v>
      </c>
      <c r="D7963" t="s">
        <v>106</v>
      </c>
      <c r="E7963">
        <v>1.698</v>
      </c>
    </row>
    <row r="7964" spans="1:5">
      <c r="A7964" t="s">
        <v>39015</v>
      </c>
      <c r="B7964" t="s">
        <v>21861</v>
      </c>
      <c r="C7964">
        <f>0</f>
        <v>0</v>
      </c>
      <c r="D7964" t="s">
        <v>106</v>
      </c>
      <c r="E7964">
        <v>1.698</v>
      </c>
    </row>
    <row r="7965" spans="1:5">
      <c r="A7965" t="s">
        <v>39015</v>
      </c>
      <c r="B7965" t="s">
        <v>21860</v>
      </c>
      <c r="C7965">
        <f>0</f>
        <v>0</v>
      </c>
      <c r="D7965" t="s">
        <v>106</v>
      </c>
      <c r="E7965">
        <v>1.698</v>
      </c>
    </row>
    <row r="7966" spans="1:5">
      <c r="A7966" t="s">
        <v>39015</v>
      </c>
      <c r="B7966" t="s">
        <v>21863</v>
      </c>
      <c r="C7966">
        <v>0</v>
      </c>
      <c r="D7966" t="s">
        <v>106</v>
      </c>
      <c r="E7966">
        <v>1.698</v>
      </c>
    </row>
    <row r="7967" spans="1:5">
      <c r="A7967" t="s">
        <v>39015</v>
      </c>
      <c r="B7967" t="s">
        <v>21864</v>
      </c>
      <c r="C7967">
        <v>0</v>
      </c>
      <c r="D7967" t="s">
        <v>106</v>
      </c>
      <c r="E7967">
        <v>1.698</v>
      </c>
    </row>
    <row r="7968" spans="1:5">
      <c r="A7968" t="s">
        <v>39016</v>
      </c>
      <c r="B7968" t="s">
        <v>13383</v>
      </c>
      <c r="C7968">
        <v>0.146972027995</v>
      </c>
      <c r="D7968">
        <v>0.922344945656</v>
      </c>
      <c r="E7968">
        <v>4.3739999999999997</v>
      </c>
    </row>
    <row r="7969" spans="1:5">
      <c r="A7969" t="s">
        <v>39016</v>
      </c>
      <c r="B7969" t="s">
        <v>13384</v>
      </c>
      <c r="C7969">
        <f>0</f>
        <v>0</v>
      </c>
      <c r="D7969">
        <v>0.922344945656</v>
      </c>
      <c r="E7969">
        <v>4.3739999999999997</v>
      </c>
    </row>
    <row r="7970" spans="1:5">
      <c r="A7970" t="s">
        <v>39016</v>
      </c>
      <c r="B7970" t="s">
        <v>13381</v>
      </c>
      <c r="C7970">
        <f>0</f>
        <v>0</v>
      </c>
      <c r="D7970">
        <v>0.922344945656</v>
      </c>
      <c r="E7970">
        <v>4.3739999999999997</v>
      </c>
    </row>
    <row r="7971" spans="1:5">
      <c r="A7971" t="s">
        <v>39016</v>
      </c>
      <c r="B7971" t="s">
        <v>13405</v>
      </c>
      <c r="C7971">
        <f>0</f>
        <v>0</v>
      </c>
      <c r="D7971">
        <v>0.922344945656</v>
      </c>
      <c r="E7971">
        <v>4.3739999999999997</v>
      </c>
    </row>
    <row r="7972" spans="1:5">
      <c r="A7972" t="s">
        <v>39016</v>
      </c>
      <c r="B7972" t="s">
        <v>13390</v>
      </c>
      <c r="C7972">
        <v>0</v>
      </c>
      <c r="D7972">
        <v>0.922344945656</v>
      </c>
      <c r="E7972">
        <v>4.3739999999999997</v>
      </c>
    </row>
    <row r="7973" spans="1:5">
      <c r="A7973" t="s">
        <v>39016</v>
      </c>
      <c r="B7973" t="s">
        <v>13409</v>
      </c>
      <c r="C7973">
        <f>0</f>
        <v>0</v>
      </c>
      <c r="D7973">
        <v>0.922344945656</v>
      </c>
      <c r="E7973">
        <v>4.3739999999999997</v>
      </c>
    </row>
    <row r="7974" spans="1:5">
      <c r="A7974" t="s">
        <v>39016</v>
      </c>
      <c r="B7974" t="s">
        <v>13406</v>
      </c>
      <c r="C7974">
        <v>0</v>
      </c>
      <c r="D7974">
        <v>0.922344945656</v>
      </c>
      <c r="E7974">
        <v>4.3739999999999997</v>
      </c>
    </row>
    <row r="7975" spans="1:5">
      <c r="A7975" t="s">
        <v>39016</v>
      </c>
      <c r="B7975" t="s">
        <v>13403</v>
      </c>
      <c r="C7975">
        <v>0</v>
      </c>
      <c r="D7975">
        <v>0.922344945656</v>
      </c>
      <c r="E7975">
        <v>4.3739999999999997</v>
      </c>
    </row>
    <row r="7976" spans="1:5">
      <c r="A7976" t="s">
        <v>39016</v>
      </c>
      <c r="B7976" t="s">
        <v>13402</v>
      </c>
      <c r="C7976">
        <v>0</v>
      </c>
      <c r="D7976">
        <v>0.922344945656</v>
      </c>
      <c r="E7976">
        <v>4.3739999999999997</v>
      </c>
    </row>
    <row r="7977" spans="1:5">
      <c r="A7977" t="s">
        <v>39016</v>
      </c>
      <c r="B7977" t="s">
        <v>39017</v>
      </c>
      <c r="C7977">
        <v>0</v>
      </c>
      <c r="D7977">
        <v>0.922344945656</v>
      </c>
      <c r="E7977">
        <v>4.3739999999999997</v>
      </c>
    </row>
    <row r="7978" spans="1:5">
      <c r="A7978" t="s">
        <v>39016</v>
      </c>
      <c r="B7978" t="s">
        <v>13394</v>
      </c>
      <c r="C7978">
        <v>0.51934597055300002</v>
      </c>
      <c r="D7978">
        <v>0.922344945656</v>
      </c>
      <c r="E7978">
        <v>4.3739999999999997</v>
      </c>
    </row>
    <row r="7979" spans="1:5">
      <c r="A7979" t="s">
        <v>39016</v>
      </c>
      <c r="B7979" t="s">
        <v>13395</v>
      </c>
      <c r="C7979">
        <f>0</f>
        <v>0</v>
      </c>
      <c r="D7979">
        <v>0.922344945656</v>
      </c>
      <c r="E7979">
        <v>4.3739999999999997</v>
      </c>
    </row>
    <row r="7980" spans="1:5">
      <c r="A7980" t="s">
        <v>39016</v>
      </c>
      <c r="B7980" t="s">
        <v>13407</v>
      </c>
      <c r="C7980">
        <v>0</v>
      </c>
      <c r="D7980">
        <v>0.922344945656</v>
      </c>
      <c r="E7980">
        <v>4.3739999999999997</v>
      </c>
    </row>
    <row r="7981" spans="1:5">
      <c r="A7981" t="s">
        <v>39016</v>
      </c>
      <c r="B7981" t="s">
        <v>13397</v>
      </c>
      <c r="C7981">
        <f>0</f>
        <v>0</v>
      </c>
      <c r="D7981">
        <v>0.922344945656</v>
      </c>
      <c r="E7981">
        <v>4.3739999999999997</v>
      </c>
    </row>
    <row r="7982" spans="1:5">
      <c r="A7982" t="s">
        <v>39016</v>
      </c>
      <c r="B7982" t="s">
        <v>13399</v>
      </c>
      <c r="C7982">
        <v>0</v>
      </c>
      <c r="D7982">
        <v>0.922344945656</v>
      </c>
      <c r="E7982">
        <v>4.3739999999999997</v>
      </c>
    </row>
    <row r="7983" spans="1:5">
      <c r="A7983" t="s">
        <v>39016</v>
      </c>
      <c r="B7983" t="s">
        <v>13385</v>
      </c>
      <c r="C7983">
        <v>0</v>
      </c>
      <c r="D7983">
        <v>0.922344945656</v>
      </c>
      <c r="E7983">
        <v>4.3739999999999997</v>
      </c>
    </row>
    <row r="7984" spans="1:5">
      <c r="A7984" t="s">
        <v>39018</v>
      </c>
      <c r="B7984" t="s">
        <v>16426</v>
      </c>
      <c r="C7984">
        <f>0</f>
        <v>0</v>
      </c>
      <c r="D7984">
        <v>0.98362961505099999</v>
      </c>
      <c r="E7984">
        <v>23.52</v>
      </c>
    </row>
    <row r="7985" spans="1:5">
      <c r="A7985" t="s">
        <v>39018</v>
      </c>
      <c r="B7985" t="s">
        <v>16429</v>
      </c>
      <c r="C7985">
        <f>0</f>
        <v>0</v>
      </c>
      <c r="D7985">
        <v>0.98362961505099999</v>
      </c>
      <c r="E7985">
        <v>23.52</v>
      </c>
    </row>
    <row r="7986" spans="1:5">
      <c r="A7986" t="s">
        <v>39018</v>
      </c>
      <c r="B7986" t="s">
        <v>16424</v>
      </c>
      <c r="C7986">
        <v>9.1874227868700004E-2</v>
      </c>
      <c r="D7986">
        <v>0.98362961505099999</v>
      </c>
      <c r="E7986">
        <v>23.52</v>
      </c>
    </row>
    <row r="7987" spans="1:5">
      <c r="A7987" t="s">
        <v>39018</v>
      </c>
      <c r="B7987" t="s">
        <v>16423</v>
      </c>
      <c r="C7987">
        <f>0.578358758519</f>
        <v>0.57835875851899998</v>
      </c>
      <c r="D7987">
        <v>0.98362961505099999</v>
      </c>
      <c r="E7987">
        <v>23.52</v>
      </c>
    </row>
    <row r="7988" spans="1:5">
      <c r="A7988" t="s">
        <v>39018</v>
      </c>
      <c r="B7988" t="s">
        <v>16428</v>
      </c>
      <c r="C7988">
        <f>0.599612196609</f>
        <v>0.599612196609</v>
      </c>
      <c r="D7988">
        <v>0.98362961505099999</v>
      </c>
      <c r="E7988">
        <v>23.52</v>
      </c>
    </row>
    <row r="7989" spans="1:5">
      <c r="A7989" t="s">
        <v>39018</v>
      </c>
      <c r="B7989" t="s">
        <v>16438</v>
      </c>
      <c r="C7989">
        <f>0</f>
        <v>0</v>
      </c>
      <c r="D7989">
        <v>0.98362961505099999</v>
      </c>
      <c r="E7989">
        <v>23.52</v>
      </c>
    </row>
    <row r="7990" spans="1:5">
      <c r="A7990" t="s">
        <v>39018</v>
      </c>
      <c r="B7990" t="s">
        <v>16437</v>
      </c>
      <c r="C7990">
        <v>0</v>
      </c>
      <c r="D7990">
        <v>0.98362961505099999</v>
      </c>
      <c r="E7990">
        <v>23.52</v>
      </c>
    </row>
    <row r="7991" spans="1:5">
      <c r="A7991" t="s">
        <v>39018</v>
      </c>
      <c r="B7991" t="s">
        <v>16425</v>
      </c>
      <c r="C7991">
        <f>0</f>
        <v>0</v>
      </c>
      <c r="D7991">
        <v>0.98362961505099999</v>
      </c>
      <c r="E7991">
        <v>23.52</v>
      </c>
    </row>
    <row r="7992" spans="1:5">
      <c r="A7992" t="s">
        <v>39018</v>
      </c>
      <c r="B7992" t="s">
        <v>16436</v>
      </c>
      <c r="C7992">
        <f>0</f>
        <v>0</v>
      </c>
      <c r="D7992">
        <v>0.98362961505099999</v>
      </c>
      <c r="E7992">
        <v>23.52</v>
      </c>
    </row>
    <row r="7993" spans="1:5">
      <c r="A7993" t="s">
        <v>39018</v>
      </c>
      <c r="B7993" t="s">
        <v>16435</v>
      </c>
      <c r="C7993">
        <f>0.0359103788114</f>
        <v>3.5910378811400002E-2</v>
      </c>
      <c r="D7993">
        <v>0.98362961505099999</v>
      </c>
      <c r="E7993">
        <v>23.52</v>
      </c>
    </row>
    <row r="7994" spans="1:5">
      <c r="A7994" t="s">
        <v>39019</v>
      </c>
      <c r="B7994" t="s">
        <v>25668</v>
      </c>
      <c r="C7994">
        <v>0.219176679096</v>
      </c>
      <c r="D7994">
        <v>0.61164531200200001</v>
      </c>
      <c r="E7994">
        <v>23.754000000000001</v>
      </c>
    </row>
    <row r="7995" spans="1:5">
      <c r="A7995" t="s">
        <v>39019</v>
      </c>
      <c r="B7995" t="s">
        <v>25675</v>
      </c>
      <c r="C7995">
        <f>0.185591046416</f>
        <v>0.18559104641599999</v>
      </c>
      <c r="D7995">
        <v>0.61164531200200001</v>
      </c>
      <c r="E7995">
        <v>23.754000000000001</v>
      </c>
    </row>
    <row r="7996" spans="1:5">
      <c r="A7996" t="s">
        <v>39019</v>
      </c>
      <c r="B7996" t="s">
        <v>25676</v>
      </c>
      <c r="C7996">
        <v>0</v>
      </c>
      <c r="D7996">
        <v>0.61164531200200001</v>
      </c>
      <c r="E7996">
        <v>23.754000000000001</v>
      </c>
    </row>
    <row r="7997" spans="1:5">
      <c r="A7997" t="s">
        <v>39019</v>
      </c>
      <c r="B7997" t="s">
        <v>25674</v>
      </c>
      <c r="C7997">
        <f>0</f>
        <v>0</v>
      </c>
      <c r="D7997">
        <v>0.61164531200200001</v>
      </c>
      <c r="E7997">
        <v>23.754000000000001</v>
      </c>
    </row>
    <row r="7998" spans="1:5">
      <c r="A7998" t="s">
        <v>39020</v>
      </c>
      <c r="B7998" t="s">
        <v>598</v>
      </c>
      <c r="C7998">
        <v>0</v>
      </c>
      <c r="D7998">
        <v>0.98033705575600005</v>
      </c>
      <c r="E7998">
        <v>4.0739999999999998</v>
      </c>
    </row>
    <row r="7999" spans="1:5">
      <c r="A7999" t="s">
        <v>39020</v>
      </c>
      <c r="B7999" t="s">
        <v>599</v>
      </c>
      <c r="C7999">
        <f>0.553416978997</f>
        <v>0.55341697899700004</v>
      </c>
      <c r="D7999">
        <v>0.98033705575600005</v>
      </c>
      <c r="E7999">
        <v>4.0739999999999998</v>
      </c>
    </row>
    <row r="8000" spans="1:5">
      <c r="A8000" t="s">
        <v>39020</v>
      </c>
      <c r="B8000" t="s">
        <v>39021</v>
      </c>
      <c r="C8000">
        <f>0</f>
        <v>0</v>
      </c>
      <c r="D8000">
        <v>0.98033705575600005</v>
      </c>
      <c r="E8000">
        <v>4.0739999999999998</v>
      </c>
    </row>
    <row r="8001" spans="1:5">
      <c r="A8001" t="s">
        <v>39020</v>
      </c>
      <c r="B8001" t="s">
        <v>613</v>
      </c>
      <c r="C8001">
        <v>0</v>
      </c>
      <c r="D8001">
        <v>0.98033705575600005</v>
      </c>
      <c r="E8001">
        <v>4.0739999999999998</v>
      </c>
    </row>
    <row r="8002" spans="1:5">
      <c r="A8002" t="s">
        <v>39020</v>
      </c>
      <c r="B8002" t="s">
        <v>609</v>
      </c>
      <c r="C8002">
        <v>0</v>
      </c>
      <c r="D8002">
        <v>0.98033705575600005</v>
      </c>
      <c r="E8002">
        <v>4.0739999999999998</v>
      </c>
    </row>
    <row r="8003" spans="1:5">
      <c r="A8003" t="s">
        <v>39020</v>
      </c>
      <c r="B8003" t="s">
        <v>608</v>
      </c>
      <c r="C8003">
        <v>0.13330020002500001</v>
      </c>
      <c r="D8003">
        <v>0.98033705575600005</v>
      </c>
      <c r="E8003">
        <v>4.0739999999999998</v>
      </c>
    </row>
    <row r="8004" spans="1:5">
      <c r="A8004" t="s">
        <v>39020</v>
      </c>
      <c r="B8004" t="s">
        <v>615</v>
      </c>
      <c r="C8004">
        <f>0</f>
        <v>0</v>
      </c>
      <c r="D8004">
        <v>0.98033705575600005</v>
      </c>
      <c r="E8004">
        <v>4.0739999999999998</v>
      </c>
    </row>
    <row r="8005" spans="1:5">
      <c r="A8005" t="s">
        <v>39020</v>
      </c>
      <c r="B8005" t="s">
        <v>614</v>
      </c>
      <c r="C8005">
        <v>0.48723253509699999</v>
      </c>
      <c r="D8005">
        <v>0.98033705575600005</v>
      </c>
      <c r="E8005">
        <v>4.0739999999999998</v>
      </c>
    </row>
    <row r="8006" spans="1:5">
      <c r="A8006" t="s">
        <v>39020</v>
      </c>
      <c r="B8006" t="s">
        <v>611</v>
      </c>
      <c r="C8006">
        <v>0.25063189691600002</v>
      </c>
      <c r="D8006">
        <v>0.98033705575600005</v>
      </c>
      <c r="E8006">
        <v>4.0739999999999998</v>
      </c>
    </row>
    <row r="8007" spans="1:5">
      <c r="A8007" t="s">
        <v>39022</v>
      </c>
      <c r="B8007" t="s">
        <v>39023</v>
      </c>
      <c r="C8007">
        <v>0</v>
      </c>
      <c r="D8007">
        <v>0.85336238051000002</v>
      </c>
      <c r="E8007">
        <v>5.9340000000000002</v>
      </c>
    </row>
    <row r="8008" spans="1:5">
      <c r="A8008" t="s">
        <v>39022</v>
      </c>
      <c r="B8008" t="s">
        <v>39024</v>
      </c>
      <c r="C8008">
        <v>0.109285706841</v>
      </c>
      <c r="D8008">
        <v>0.85336238051000002</v>
      </c>
      <c r="E8008">
        <v>5.9340000000000002</v>
      </c>
    </row>
    <row r="8009" spans="1:5">
      <c r="A8009" t="s">
        <v>39022</v>
      </c>
      <c r="B8009" t="s">
        <v>39025</v>
      </c>
      <c r="C8009">
        <v>0.65872597496600005</v>
      </c>
      <c r="D8009">
        <v>0.85336238051000002</v>
      </c>
      <c r="E8009">
        <v>5.9340000000000002</v>
      </c>
    </row>
    <row r="8010" spans="1:5">
      <c r="A8010" t="s">
        <v>39026</v>
      </c>
      <c r="B8010" t="s">
        <v>8874</v>
      </c>
      <c r="C8010">
        <v>0</v>
      </c>
      <c r="D8010">
        <v>0.804187097051</v>
      </c>
      <c r="E8010">
        <v>3.972</v>
      </c>
    </row>
    <row r="8011" spans="1:5">
      <c r="A8011" t="s">
        <v>39026</v>
      </c>
      <c r="B8011" t="s">
        <v>8876</v>
      </c>
      <c r="C8011">
        <v>0.490577097051</v>
      </c>
      <c r="D8011">
        <v>0.804187097051</v>
      </c>
      <c r="E8011">
        <v>3.972</v>
      </c>
    </row>
    <row r="8012" spans="1:5">
      <c r="A8012" t="s">
        <v>39027</v>
      </c>
      <c r="B8012" t="s">
        <v>29824</v>
      </c>
      <c r="C8012">
        <f>0</f>
        <v>0</v>
      </c>
      <c r="D8012">
        <v>0.92553202402199997</v>
      </c>
      <c r="E8012">
        <v>24</v>
      </c>
    </row>
    <row r="8013" spans="1:5">
      <c r="A8013" t="s">
        <v>39027</v>
      </c>
      <c r="B8013" t="s">
        <v>29826</v>
      </c>
      <c r="C8013">
        <f>0</f>
        <v>0</v>
      </c>
      <c r="D8013">
        <v>0.92553202402199997</v>
      </c>
      <c r="E8013">
        <v>24</v>
      </c>
    </row>
    <row r="8014" spans="1:5">
      <c r="A8014" t="s">
        <v>39027</v>
      </c>
      <c r="B8014" t="s">
        <v>29827</v>
      </c>
      <c r="C8014">
        <f>0.182087275639</f>
        <v>0.18208727563900001</v>
      </c>
      <c r="D8014">
        <v>0.92553202402199997</v>
      </c>
      <c r="E8014">
        <v>24</v>
      </c>
    </row>
    <row r="8015" spans="1:5">
      <c r="A8015" t="s">
        <v>39027</v>
      </c>
      <c r="B8015" t="s">
        <v>29822</v>
      </c>
      <c r="C8015">
        <v>0.57403505219499995</v>
      </c>
      <c r="D8015">
        <v>0.92553202402199997</v>
      </c>
      <c r="E8015">
        <v>24</v>
      </c>
    </row>
    <row r="8016" spans="1:5">
      <c r="A8016" t="s">
        <v>39027</v>
      </c>
      <c r="B8016" t="s">
        <v>29829</v>
      </c>
      <c r="C8016">
        <f>0.254871819441</f>
        <v>0.25487181944100001</v>
      </c>
      <c r="D8016">
        <v>0.92553202402199997</v>
      </c>
      <c r="E8016">
        <v>24</v>
      </c>
    </row>
    <row r="8017" spans="1:5">
      <c r="A8017" t="s">
        <v>39027</v>
      </c>
      <c r="B8017" t="s">
        <v>29830</v>
      </c>
      <c r="C8017">
        <v>0</v>
      </c>
      <c r="D8017">
        <v>0.92553202402199997</v>
      </c>
      <c r="E8017">
        <v>24</v>
      </c>
    </row>
    <row r="8018" spans="1:5">
      <c r="A8018" t="s">
        <v>39027</v>
      </c>
      <c r="B8018" t="s">
        <v>29823</v>
      </c>
      <c r="C8018">
        <v>0</v>
      </c>
      <c r="D8018">
        <v>0.92553202402199997</v>
      </c>
      <c r="E8018">
        <v>24</v>
      </c>
    </row>
    <row r="8019" spans="1:5">
      <c r="A8019" t="s">
        <v>39027</v>
      </c>
      <c r="B8019" t="s">
        <v>29828</v>
      </c>
      <c r="C8019">
        <v>0</v>
      </c>
      <c r="D8019">
        <v>0.92553202402199997</v>
      </c>
      <c r="E8019">
        <v>24</v>
      </c>
    </row>
    <row r="8020" spans="1:5">
      <c r="A8020" t="s">
        <v>39027</v>
      </c>
      <c r="B8020" t="s">
        <v>29821</v>
      </c>
      <c r="C8020">
        <v>0</v>
      </c>
      <c r="D8020">
        <v>0.92553202402199997</v>
      </c>
      <c r="E8020">
        <v>24</v>
      </c>
    </row>
    <row r="8021" spans="1:5">
      <c r="A8021" t="s">
        <v>39027</v>
      </c>
      <c r="B8021" t="s">
        <v>29825</v>
      </c>
      <c r="C8021">
        <v>0</v>
      </c>
      <c r="D8021">
        <v>0.92553202402199997</v>
      </c>
      <c r="E8021">
        <v>24</v>
      </c>
    </row>
    <row r="8022" spans="1:5">
      <c r="A8022" t="s">
        <v>39027</v>
      </c>
      <c r="B8022" t="s">
        <v>29820</v>
      </c>
      <c r="C8022">
        <v>0</v>
      </c>
      <c r="D8022">
        <v>0.92553202402199997</v>
      </c>
      <c r="E8022">
        <v>24</v>
      </c>
    </row>
    <row r="8023" spans="1:5">
      <c r="A8023" t="s">
        <v>39028</v>
      </c>
      <c r="B8023" t="s">
        <v>29023</v>
      </c>
      <c r="C8023">
        <v>0</v>
      </c>
      <c r="D8023">
        <v>0.79736062300400001</v>
      </c>
      <c r="E8023">
        <v>0.87</v>
      </c>
    </row>
    <row r="8024" spans="1:5">
      <c r="A8024" t="s">
        <v>39028</v>
      </c>
      <c r="B8024" t="s">
        <v>29029</v>
      </c>
      <c r="C8024">
        <v>0.65363048625300002</v>
      </c>
      <c r="D8024">
        <v>0.79736062300400001</v>
      </c>
      <c r="E8024">
        <v>0.87</v>
      </c>
    </row>
    <row r="8025" spans="1:5">
      <c r="A8025" t="s">
        <v>39028</v>
      </c>
      <c r="B8025" t="s">
        <v>29025</v>
      </c>
      <c r="C8025">
        <f>0</f>
        <v>0</v>
      </c>
      <c r="D8025">
        <v>0.79736062300400001</v>
      </c>
      <c r="E8025">
        <v>0.87</v>
      </c>
    </row>
    <row r="8026" spans="1:5">
      <c r="A8026" t="s">
        <v>39028</v>
      </c>
      <c r="B8026" t="s">
        <v>29027</v>
      </c>
      <c r="C8026">
        <v>4.3483913763299999E-2</v>
      </c>
      <c r="D8026">
        <v>0.79736062300400001</v>
      </c>
      <c r="E8026">
        <v>0.87</v>
      </c>
    </row>
    <row r="8027" spans="1:5">
      <c r="A8027" t="s">
        <v>39028</v>
      </c>
      <c r="B8027" t="s">
        <v>29026</v>
      </c>
      <c r="C8027">
        <v>0.35577587899500002</v>
      </c>
      <c r="D8027">
        <v>0.79736062300400001</v>
      </c>
      <c r="E8027">
        <v>0.87</v>
      </c>
    </row>
    <row r="8028" spans="1:5">
      <c r="A8028" t="s">
        <v>39029</v>
      </c>
      <c r="B8028" t="s">
        <v>13769</v>
      </c>
      <c r="C8028">
        <f>0.167921844706</f>
        <v>0.167921844706</v>
      </c>
      <c r="D8028">
        <v>0.76109628005300001</v>
      </c>
      <c r="E8028">
        <v>0</v>
      </c>
    </row>
    <row r="8029" spans="1:5">
      <c r="A8029" t="s">
        <v>39029</v>
      </c>
      <c r="B8029" t="s">
        <v>13770</v>
      </c>
      <c r="C8029">
        <f>0.50716112914</f>
        <v>0.50716112914</v>
      </c>
      <c r="D8029">
        <v>0.76109628005300001</v>
      </c>
      <c r="E8029">
        <v>0</v>
      </c>
    </row>
    <row r="8030" spans="1:5">
      <c r="A8030" t="s">
        <v>39030</v>
      </c>
      <c r="B8030" t="s">
        <v>3268</v>
      </c>
      <c r="C8030">
        <v>0</v>
      </c>
      <c r="D8030">
        <v>0.81780185136600003</v>
      </c>
      <c r="E8030">
        <v>1.0680000000000001</v>
      </c>
    </row>
    <row r="8031" spans="1:5">
      <c r="A8031" t="s">
        <v>39030</v>
      </c>
      <c r="B8031" t="s">
        <v>3273</v>
      </c>
      <c r="C8031">
        <v>0.34101284682299998</v>
      </c>
      <c r="D8031">
        <v>0.81780185136600003</v>
      </c>
      <c r="E8031">
        <v>1.0680000000000001</v>
      </c>
    </row>
    <row r="8032" spans="1:5">
      <c r="A8032" t="s">
        <v>39030</v>
      </c>
      <c r="B8032" t="s">
        <v>3276</v>
      </c>
      <c r="C8032">
        <v>0</v>
      </c>
      <c r="D8032">
        <v>0.81780185136600003</v>
      </c>
      <c r="E8032">
        <v>1.0680000000000001</v>
      </c>
    </row>
    <row r="8033" spans="1:5">
      <c r="A8033" t="s">
        <v>39030</v>
      </c>
      <c r="B8033" t="s">
        <v>3274</v>
      </c>
      <c r="C8033">
        <f>0.223252481752</f>
        <v>0.22325248175199999</v>
      </c>
      <c r="D8033">
        <v>0.81780185136600003</v>
      </c>
      <c r="E8033">
        <v>1.0680000000000001</v>
      </c>
    </row>
    <row r="8034" spans="1:5">
      <c r="A8034" t="s">
        <v>39030</v>
      </c>
      <c r="B8034" t="s">
        <v>3272</v>
      </c>
      <c r="C8034">
        <v>2.3949297820799999E-2</v>
      </c>
      <c r="D8034">
        <v>0.81780185136600003</v>
      </c>
      <c r="E8034">
        <v>1.0680000000000001</v>
      </c>
    </row>
    <row r="8035" spans="1:5">
      <c r="A8035" t="s">
        <v>39030</v>
      </c>
      <c r="B8035" t="s">
        <v>3267</v>
      </c>
      <c r="C8035">
        <v>8.89164386567E-2</v>
      </c>
      <c r="D8035">
        <v>0.81780185136600003</v>
      </c>
      <c r="E8035">
        <v>1.0680000000000001</v>
      </c>
    </row>
    <row r="8036" spans="1:5">
      <c r="A8036" t="s">
        <v>39031</v>
      </c>
      <c r="B8036" t="s">
        <v>16091</v>
      </c>
      <c r="C8036">
        <f>0</f>
        <v>0</v>
      </c>
      <c r="D8036" t="s">
        <v>106</v>
      </c>
      <c r="E8036">
        <v>0.378</v>
      </c>
    </row>
    <row r="8037" spans="1:5">
      <c r="A8037" t="s">
        <v>39031</v>
      </c>
      <c r="B8037" t="s">
        <v>16092</v>
      </c>
      <c r="C8037">
        <v>0</v>
      </c>
      <c r="D8037" t="s">
        <v>106</v>
      </c>
      <c r="E8037">
        <v>0.378</v>
      </c>
    </row>
    <row r="8038" spans="1:5">
      <c r="A8038" t="s">
        <v>39031</v>
      </c>
      <c r="B8038" t="s">
        <v>16094</v>
      </c>
      <c r="C8038">
        <f>0</f>
        <v>0</v>
      </c>
      <c r="D8038" t="s">
        <v>106</v>
      </c>
      <c r="E8038">
        <v>0.378</v>
      </c>
    </row>
    <row r="8039" spans="1:5">
      <c r="A8039" t="s">
        <v>39032</v>
      </c>
      <c r="B8039" t="s">
        <v>2942</v>
      </c>
      <c r="C8039">
        <f>-1.36883141868</f>
        <v>-1.3688314186799999</v>
      </c>
      <c r="D8039">
        <v>0.95135130998399997</v>
      </c>
      <c r="E8039">
        <v>0</v>
      </c>
    </row>
    <row r="8040" spans="1:5">
      <c r="A8040" t="s">
        <v>39032</v>
      </c>
      <c r="B8040" t="s">
        <v>2943</v>
      </c>
      <c r="C8040">
        <v>0.43592591078699999</v>
      </c>
      <c r="D8040">
        <v>0.95135130998399997</v>
      </c>
      <c r="E8040">
        <v>0</v>
      </c>
    </row>
    <row r="8041" spans="1:5">
      <c r="A8041" t="s">
        <v>39032</v>
      </c>
      <c r="B8041" t="s">
        <v>2947</v>
      </c>
      <c r="C8041">
        <v>0.65751433643299995</v>
      </c>
      <c r="D8041">
        <v>0.95135130998399997</v>
      </c>
      <c r="E8041">
        <v>0</v>
      </c>
    </row>
    <row r="8042" spans="1:5">
      <c r="A8042" t="s">
        <v>39032</v>
      </c>
      <c r="B8042" t="s">
        <v>2946</v>
      </c>
      <c r="C8042">
        <f>0.660731699626</f>
        <v>0.66073169962599998</v>
      </c>
      <c r="D8042">
        <v>0.95135130998399997</v>
      </c>
      <c r="E8042">
        <v>0</v>
      </c>
    </row>
    <row r="8043" spans="1:5">
      <c r="A8043" t="s">
        <v>39033</v>
      </c>
      <c r="B8043" t="s">
        <v>6054</v>
      </c>
      <c r="C8043">
        <v>0</v>
      </c>
      <c r="D8043">
        <v>0.94142007360500002</v>
      </c>
      <c r="E8043">
        <v>10.08</v>
      </c>
    </row>
    <row r="8044" spans="1:5">
      <c r="A8044" t="s">
        <v>39033</v>
      </c>
      <c r="B8044" t="s">
        <v>6059</v>
      </c>
      <c r="C8044">
        <v>0</v>
      </c>
      <c r="D8044">
        <v>0.94142007360500002</v>
      </c>
      <c r="E8044">
        <v>10.08</v>
      </c>
    </row>
    <row r="8045" spans="1:5">
      <c r="A8045" t="s">
        <v>39033</v>
      </c>
      <c r="B8045" t="s">
        <v>6060</v>
      </c>
      <c r="C8045">
        <v>0</v>
      </c>
      <c r="D8045">
        <v>0.94142007360500002</v>
      </c>
      <c r="E8045">
        <v>10.08</v>
      </c>
    </row>
    <row r="8046" spans="1:5">
      <c r="A8046" t="s">
        <v>39033</v>
      </c>
      <c r="B8046" t="s">
        <v>6061</v>
      </c>
      <c r="C8046">
        <f>0.052319291417</f>
        <v>5.2319291417000001E-2</v>
      </c>
      <c r="D8046">
        <v>0.94142007360500002</v>
      </c>
      <c r="E8046">
        <v>10.08</v>
      </c>
    </row>
    <row r="8047" spans="1:5">
      <c r="A8047" t="s">
        <v>39033</v>
      </c>
      <c r="B8047" t="s">
        <v>6056</v>
      </c>
      <c r="C8047">
        <v>0.65044174005300004</v>
      </c>
      <c r="D8047">
        <v>0.94142007360500002</v>
      </c>
      <c r="E8047">
        <v>10.08</v>
      </c>
    </row>
    <row r="8048" spans="1:5">
      <c r="A8048" t="s">
        <v>39033</v>
      </c>
      <c r="B8048" t="s">
        <v>6055</v>
      </c>
      <c r="C8048">
        <v>0.22736731118699999</v>
      </c>
      <c r="D8048">
        <v>0.94142007360500002</v>
      </c>
      <c r="E8048">
        <v>10.08</v>
      </c>
    </row>
    <row r="8049" spans="1:5">
      <c r="A8049" t="s">
        <v>39033</v>
      </c>
      <c r="B8049" t="s">
        <v>6058</v>
      </c>
      <c r="C8049">
        <f>0</f>
        <v>0</v>
      </c>
      <c r="D8049">
        <v>0.94142007360500002</v>
      </c>
      <c r="E8049">
        <v>10.08</v>
      </c>
    </row>
    <row r="8050" spans="1:5">
      <c r="A8050" t="s">
        <v>39034</v>
      </c>
      <c r="B8050" t="s">
        <v>39035</v>
      </c>
      <c r="C8050">
        <f>0.0627925247622</f>
        <v>6.27925247622E-2</v>
      </c>
      <c r="D8050">
        <v>0.93609573619700004</v>
      </c>
      <c r="E8050">
        <v>0.10199999999999999</v>
      </c>
    </row>
    <row r="8051" spans="1:5">
      <c r="A8051" t="s">
        <v>39034</v>
      </c>
      <c r="B8051" t="s">
        <v>39036</v>
      </c>
      <c r="C8051">
        <v>5.0370922624499999E-2</v>
      </c>
      <c r="D8051">
        <v>0.93609573619700004</v>
      </c>
      <c r="E8051">
        <v>0.10199999999999999</v>
      </c>
    </row>
    <row r="8052" spans="1:5">
      <c r="A8052" t="s">
        <v>39034</v>
      </c>
      <c r="B8052" t="s">
        <v>39037</v>
      </c>
      <c r="C8052">
        <v>0</v>
      </c>
      <c r="D8052">
        <v>0.93609573619700004</v>
      </c>
      <c r="E8052">
        <v>0.10199999999999999</v>
      </c>
    </row>
    <row r="8053" spans="1:5">
      <c r="A8053" t="s">
        <v>39034</v>
      </c>
      <c r="B8053" t="s">
        <v>39038</v>
      </c>
      <c r="C8053">
        <f>0</f>
        <v>0</v>
      </c>
      <c r="D8053">
        <v>0.93609573619700004</v>
      </c>
      <c r="E8053">
        <v>0.10199999999999999</v>
      </c>
    </row>
    <row r="8054" spans="1:5">
      <c r="A8054" t="s">
        <v>39034</v>
      </c>
      <c r="B8054" t="s">
        <v>39039</v>
      </c>
      <c r="C8054">
        <v>0</v>
      </c>
      <c r="D8054">
        <v>0.93609573619700004</v>
      </c>
      <c r="E8054">
        <v>0.10199999999999999</v>
      </c>
    </row>
    <row r="8055" spans="1:5">
      <c r="A8055" t="s">
        <v>39034</v>
      </c>
      <c r="B8055" t="s">
        <v>39040</v>
      </c>
      <c r="C8055">
        <f>0</f>
        <v>0</v>
      </c>
      <c r="D8055">
        <v>0.93609573619700004</v>
      </c>
      <c r="E8055">
        <v>0.10199999999999999</v>
      </c>
    </row>
    <row r="8056" spans="1:5">
      <c r="A8056" t="s">
        <v>39034</v>
      </c>
      <c r="B8056" t="s">
        <v>39041</v>
      </c>
      <c r="C8056">
        <v>0.84274392277200005</v>
      </c>
      <c r="D8056">
        <v>0.93609573619700004</v>
      </c>
      <c r="E8056">
        <v>0.10199999999999999</v>
      </c>
    </row>
    <row r="8057" spans="1:5">
      <c r="A8057" t="s">
        <v>39034</v>
      </c>
      <c r="B8057" t="s">
        <v>39042</v>
      </c>
      <c r="C8057">
        <f>0.242841969889</f>
        <v>0.242841969889</v>
      </c>
      <c r="D8057">
        <v>0.93609573619700004</v>
      </c>
      <c r="E8057">
        <v>0.10199999999999999</v>
      </c>
    </row>
    <row r="8058" spans="1:5">
      <c r="A8058" t="s">
        <v>39034</v>
      </c>
      <c r="B8058" t="s">
        <v>39043</v>
      </c>
      <c r="C8058">
        <f>0</f>
        <v>0</v>
      </c>
      <c r="D8058">
        <v>0.93609573619700004</v>
      </c>
      <c r="E8058">
        <v>0.10199999999999999</v>
      </c>
    </row>
    <row r="8059" spans="1:5">
      <c r="A8059" t="s">
        <v>39034</v>
      </c>
      <c r="B8059" t="s">
        <v>39044</v>
      </c>
      <c r="C8059">
        <v>0</v>
      </c>
      <c r="D8059">
        <v>0.93609573619700004</v>
      </c>
      <c r="E8059">
        <v>0.10199999999999999</v>
      </c>
    </row>
    <row r="8060" spans="1:5">
      <c r="A8060" t="s">
        <v>39045</v>
      </c>
      <c r="B8060" t="s">
        <v>16176</v>
      </c>
      <c r="C8060">
        <v>0.69779209702900002</v>
      </c>
      <c r="D8060">
        <v>0.88349895710699999</v>
      </c>
      <c r="E8060">
        <v>7.3319999999999999</v>
      </c>
    </row>
    <row r="8061" spans="1:5">
      <c r="A8061" t="s">
        <v>39045</v>
      </c>
      <c r="B8061" t="s">
        <v>16178</v>
      </c>
      <c r="C8061">
        <v>0.160027490386</v>
      </c>
      <c r="D8061">
        <v>0.88349895710699999</v>
      </c>
      <c r="E8061">
        <v>7.3319999999999999</v>
      </c>
    </row>
    <row r="8062" spans="1:5">
      <c r="A8062" t="s">
        <v>39046</v>
      </c>
      <c r="B8062" t="s">
        <v>13963</v>
      </c>
      <c r="C8062">
        <v>0.56029913881500004</v>
      </c>
      <c r="D8062">
        <v>0.92592326579799999</v>
      </c>
      <c r="E8062">
        <v>3.972</v>
      </c>
    </row>
    <row r="8063" spans="1:5">
      <c r="A8063" t="s">
        <v>39046</v>
      </c>
      <c r="B8063" t="s">
        <v>13967</v>
      </c>
      <c r="C8063">
        <v>0</v>
      </c>
      <c r="D8063">
        <v>0.92592326579799999</v>
      </c>
      <c r="E8063">
        <v>3.972</v>
      </c>
    </row>
    <row r="8064" spans="1:5">
      <c r="A8064" t="s">
        <v>39046</v>
      </c>
      <c r="B8064" t="s">
        <v>13968</v>
      </c>
      <c r="C8064">
        <f>0.237755747692</f>
        <v>0.237755747692</v>
      </c>
      <c r="D8064">
        <v>0.92592326579799999</v>
      </c>
      <c r="E8064">
        <v>3.972</v>
      </c>
    </row>
    <row r="8065" spans="1:5">
      <c r="A8065" t="s">
        <v>39046</v>
      </c>
      <c r="B8065" t="s">
        <v>13966</v>
      </c>
      <c r="C8065">
        <f>0.224286141235</f>
        <v>0.22428614123500001</v>
      </c>
      <c r="D8065">
        <v>0.92592326579799999</v>
      </c>
      <c r="E8065">
        <v>3.972</v>
      </c>
    </row>
    <row r="8066" spans="1:5">
      <c r="A8066" t="s">
        <v>39046</v>
      </c>
      <c r="B8066" t="s">
        <v>13964</v>
      </c>
      <c r="C8066">
        <v>0</v>
      </c>
      <c r="D8066">
        <v>0.92592326579799999</v>
      </c>
      <c r="E8066">
        <v>3.972</v>
      </c>
    </row>
    <row r="8067" spans="1:5">
      <c r="A8067" t="s">
        <v>39047</v>
      </c>
      <c r="B8067" t="s">
        <v>1763</v>
      </c>
      <c r="C8067">
        <f>0.525563374989</f>
        <v>0.52556337498899997</v>
      </c>
      <c r="D8067">
        <v>0.99972306033000002</v>
      </c>
      <c r="E8067">
        <v>1.452</v>
      </c>
    </row>
    <row r="8068" spans="1:5">
      <c r="A8068" t="s">
        <v>39047</v>
      </c>
      <c r="B8068" t="s">
        <v>1760</v>
      </c>
      <c r="C8068">
        <f>0</f>
        <v>0</v>
      </c>
      <c r="D8068">
        <v>0.99972306033000002</v>
      </c>
      <c r="E8068">
        <v>1.452</v>
      </c>
    </row>
    <row r="8069" spans="1:5">
      <c r="A8069" t="s">
        <v>39047</v>
      </c>
      <c r="B8069" t="s">
        <v>1761</v>
      </c>
      <c r="C8069">
        <v>0.64527200916500005</v>
      </c>
      <c r="D8069">
        <v>0.99972306033000002</v>
      </c>
      <c r="E8069">
        <v>1.452</v>
      </c>
    </row>
    <row r="8070" spans="1:5">
      <c r="A8070" t="s">
        <v>39047</v>
      </c>
      <c r="B8070" t="s">
        <v>1762</v>
      </c>
      <c r="C8070">
        <v>9.3673459371400002E-3</v>
      </c>
      <c r="D8070">
        <v>0.99972306033000002</v>
      </c>
      <c r="E8070">
        <v>1.452</v>
      </c>
    </row>
    <row r="8071" spans="1:5">
      <c r="A8071" t="s">
        <v>39047</v>
      </c>
      <c r="B8071" t="s">
        <v>1765</v>
      </c>
      <c r="C8071">
        <f>0</f>
        <v>0</v>
      </c>
      <c r="D8071">
        <v>0.99972306033000002</v>
      </c>
      <c r="E8071">
        <v>1.452</v>
      </c>
    </row>
    <row r="8072" spans="1:5">
      <c r="A8072" t="s">
        <v>39047</v>
      </c>
      <c r="B8072" t="s">
        <v>39048</v>
      </c>
      <c r="C8072">
        <v>0.86794125509200004</v>
      </c>
      <c r="D8072">
        <v>0.99972306033000002</v>
      </c>
      <c r="E8072">
        <v>1.452</v>
      </c>
    </row>
    <row r="8073" spans="1:5">
      <c r="A8073" t="s">
        <v>39047</v>
      </c>
      <c r="B8073" t="s">
        <v>1764</v>
      </c>
      <c r="C8073">
        <f>0.000220465059086</f>
        <v>2.2046505908599999E-4</v>
      </c>
      <c r="D8073">
        <v>0.99972306033000002</v>
      </c>
      <c r="E8073">
        <v>1.452</v>
      </c>
    </row>
    <row r="8074" spans="1:5">
      <c r="A8074" t="s">
        <v>39047</v>
      </c>
      <c r="B8074" t="s">
        <v>1770</v>
      </c>
      <c r="C8074">
        <v>0.70438196689300003</v>
      </c>
      <c r="D8074">
        <v>0.99972306033000002</v>
      </c>
      <c r="E8074">
        <v>1.452</v>
      </c>
    </row>
    <row r="8075" spans="1:5">
      <c r="A8075" t="s">
        <v>39047</v>
      </c>
      <c r="B8075" t="s">
        <v>1768</v>
      </c>
      <c r="C8075">
        <v>3.0783607887700001E-2</v>
      </c>
      <c r="D8075">
        <v>0.99972306033000002</v>
      </c>
      <c r="E8075">
        <v>1.452</v>
      </c>
    </row>
    <row r="8076" spans="1:5">
      <c r="A8076" t="s">
        <v>39047</v>
      </c>
      <c r="B8076" t="s">
        <v>1771</v>
      </c>
      <c r="C8076">
        <f>0.319153821213</f>
        <v>0.31915382121300001</v>
      </c>
      <c r="D8076">
        <v>0.99972306033000002</v>
      </c>
      <c r="E8076">
        <v>1.452</v>
      </c>
    </row>
    <row r="8077" spans="1:5">
      <c r="A8077" t="s">
        <v>39049</v>
      </c>
      <c r="B8077" t="s">
        <v>14865</v>
      </c>
      <c r="C8077">
        <v>0</v>
      </c>
      <c r="D8077" t="s">
        <v>106</v>
      </c>
      <c r="E8077">
        <v>1.224</v>
      </c>
    </row>
    <row r="8078" spans="1:5">
      <c r="A8078" t="s">
        <v>39049</v>
      </c>
      <c r="B8078" t="s">
        <v>14867</v>
      </c>
      <c r="C8078">
        <f>0</f>
        <v>0</v>
      </c>
      <c r="D8078" t="s">
        <v>106</v>
      </c>
      <c r="E8078">
        <v>1.224</v>
      </c>
    </row>
    <row r="8079" spans="1:5">
      <c r="A8079" t="s">
        <v>39049</v>
      </c>
      <c r="B8079" t="s">
        <v>14869</v>
      </c>
      <c r="C8079">
        <f>0</f>
        <v>0</v>
      </c>
      <c r="D8079" t="s">
        <v>106</v>
      </c>
      <c r="E8079">
        <v>1.224</v>
      </c>
    </row>
    <row r="8080" spans="1:5">
      <c r="A8080" t="s">
        <v>39050</v>
      </c>
      <c r="B8080" t="s">
        <v>773</v>
      </c>
      <c r="C8080">
        <v>0.80651019227499998</v>
      </c>
      <c r="D8080">
        <v>0.92928679924599999</v>
      </c>
      <c r="E8080">
        <v>0.438</v>
      </c>
    </row>
    <row r="8081" spans="1:5">
      <c r="A8081" t="s">
        <v>39050</v>
      </c>
      <c r="B8081" t="s">
        <v>776</v>
      </c>
      <c r="C8081">
        <v>0.25241493476799998</v>
      </c>
      <c r="D8081">
        <v>0.92928679924599999</v>
      </c>
      <c r="E8081">
        <v>0.438</v>
      </c>
    </row>
    <row r="8082" spans="1:5">
      <c r="A8082" t="s">
        <v>39050</v>
      </c>
      <c r="B8082" t="s">
        <v>775</v>
      </c>
      <c r="C8082">
        <f>0.0101561321224</f>
        <v>1.01561321224E-2</v>
      </c>
      <c r="D8082">
        <v>0.92928679924599999</v>
      </c>
      <c r="E8082">
        <v>0.438</v>
      </c>
    </row>
    <row r="8083" spans="1:5">
      <c r="A8083" t="s">
        <v>39050</v>
      </c>
      <c r="B8083" t="s">
        <v>774</v>
      </c>
      <c r="C8083">
        <v>0</v>
      </c>
      <c r="D8083">
        <v>0.92928679924599999</v>
      </c>
      <c r="E8083">
        <v>0.438</v>
      </c>
    </row>
    <row r="8084" spans="1:5">
      <c r="A8084" t="s">
        <v>39050</v>
      </c>
      <c r="B8084" t="s">
        <v>772</v>
      </c>
      <c r="C8084">
        <f>0.456214930836</f>
        <v>0.45621493083600001</v>
      </c>
      <c r="D8084">
        <v>0.92928679924599999</v>
      </c>
      <c r="E8084">
        <v>0.438</v>
      </c>
    </row>
    <row r="8085" spans="1:5">
      <c r="A8085" t="s">
        <v>39051</v>
      </c>
      <c r="B8085" t="s">
        <v>30063</v>
      </c>
      <c r="C8085">
        <v>0</v>
      </c>
      <c r="D8085" t="s">
        <v>106</v>
      </c>
      <c r="E8085">
        <v>5.9340000000000002</v>
      </c>
    </row>
    <row r="8086" spans="1:5">
      <c r="A8086" t="s">
        <v>39051</v>
      </c>
      <c r="B8086" t="s">
        <v>30065</v>
      </c>
      <c r="C8086">
        <v>0</v>
      </c>
      <c r="D8086" t="s">
        <v>106</v>
      </c>
      <c r="E8086">
        <v>5.9340000000000002</v>
      </c>
    </row>
    <row r="8087" spans="1:5">
      <c r="A8087" t="s">
        <v>39052</v>
      </c>
      <c r="B8087" t="s">
        <v>2100</v>
      </c>
      <c r="C8087">
        <f>0.806343748787</f>
        <v>0.80634374878699999</v>
      </c>
      <c r="D8087">
        <v>0.99995064522999999</v>
      </c>
      <c r="E8087">
        <v>2.3279999999999998</v>
      </c>
    </row>
    <row r="8088" spans="1:5">
      <c r="A8088" t="s">
        <v>39052</v>
      </c>
      <c r="B8088" t="s">
        <v>2107</v>
      </c>
      <c r="C8088">
        <v>0.37506817844500001</v>
      </c>
      <c r="D8088">
        <v>0.99995064522999999</v>
      </c>
      <c r="E8088">
        <v>2.3279999999999998</v>
      </c>
    </row>
    <row r="8089" spans="1:5">
      <c r="A8089" t="s">
        <v>39052</v>
      </c>
      <c r="B8089" t="s">
        <v>2105</v>
      </c>
      <c r="C8089">
        <f>0.181479553448</f>
        <v>0.18147955344800001</v>
      </c>
      <c r="D8089">
        <v>0.99995064522999999</v>
      </c>
      <c r="E8089">
        <v>2.3279999999999998</v>
      </c>
    </row>
    <row r="8090" spans="1:5">
      <c r="A8090" t="s">
        <v>39052</v>
      </c>
      <c r="B8090" t="s">
        <v>2106</v>
      </c>
      <c r="C8090">
        <f>0.147935046541</f>
        <v>0.14793504654100001</v>
      </c>
      <c r="D8090">
        <v>0.99995064522999999</v>
      </c>
      <c r="E8090">
        <v>2.3279999999999998</v>
      </c>
    </row>
    <row r="8091" spans="1:5">
      <c r="A8091" t="s">
        <v>39052</v>
      </c>
      <c r="B8091" t="s">
        <v>2104</v>
      </c>
      <c r="C8091">
        <v>0.15709515646200001</v>
      </c>
      <c r="D8091">
        <v>0.99995064522999999</v>
      </c>
      <c r="E8091">
        <v>2.3279999999999998</v>
      </c>
    </row>
    <row r="8092" spans="1:5">
      <c r="A8092" t="s">
        <v>39052</v>
      </c>
      <c r="B8092" t="s">
        <v>2108</v>
      </c>
      <c r="C8092">
        <v>9.9694596567200006E-2</v>
      </c>
      <c r="D8092">
        <v>0.99995064522999999</v>
      </c>
      <c r="E8092">
        <v>2.3279999999999998</v>
      </c>
    </row>
    <row r="8093" spans="1:5">
      <c r="A8093" t="s">
        <v>39053</v>
      </c>
      <c r="B8093" t="s">
        <v>39054</v>
      </c>
      <c r="C8093">
        <f>0.688084848183</f>
        <v>0.68808484818299998</v>
      </c>
      <c r="D8093">
        <v>0.92462313771299998</v>
      </c>
      <c r="E8093">
        <v>0</v>
      </c>
    </row>
    <row r="8094" spans="1:5">
      <c r="A8094" t="s">
        <v>39053</v>
      </c>
      <c r="B8094" t="s">
        <v>39055</v>
      </c>
      <c r="C8094">
        <v>0.66233608158900004</v>
      </c>
      <c r="D8094">
        <v>0.92462313771299998</v>
      </c>
      <c r="E8094">
        <v>0</v>
      </c>
    </row>
    <row r="8095" spans="1:5">
      <c r="A8095" t="s">
        <v>39053</v>
      </c>
      <c r="B8095" t="s">
        <v>39056</v>
      </c>
      <c r="C8095">
        <v>0.96932361259800004</v>
      </c>
      <c r="D8095">
        <v>0.92462313771299998</v>
      </c>
      <c r="E8095">
        <v>0</v>
      </c>
    </row>
    <row r="8096" spans="1:5">
      <c r="A8096" t="s">
        <v>39053</v>
      </c>
      <c r="B8096" t="s">
        <v>39057</v>
      </c>
      <c r="C8096">
        <v>0.37513822784900003</v>
      </c>
      <c r="D8096">
        <v>0.92462313771299998</v>
      </c>
      <c r="E8096">
        <v>0</v>
      </c>
    </row>
    <row r="8097" spans="1:5">
      <c r="A8097" t="s">
        <v>39058</v>
      </c>
      <c r="B8097" t="s">
        <v>39059</v>
      </c>
      <c r="C8097">
        <v>0</v>
      </c>
      <c r="D8097">
        <v>0.88665798072699997</v>
      </c>
      <c r="E8097">
        <v>1.7999999999999999E-2</v>
      </c>
    </row>
    <row r="8098" spans="1:5">
      <c r="A8098" t="s">
        <v>39058</v>
      </c>
      <c r="B8098" t="s">
        <v>39060</v>
      </c>
      <c r="C8098">
        <f>0.656247980727</f>
        <v>0.65624798072699997</v>
      </c>
      <c r="D8098">
        <v>0.88665798072699997</v>
      </c>
      <c r="E8098">
        <v>1.7999999999999999E-2</v>
      </c>
    </row>
    <row r="8099" spans="1:5">
      <c r="A8099" t="s">
        <v>39058</v>
      </c>
      <c r="B8099" t="s">
        <v>39061</v>
      </c>
      <c r="C8099">
        <f>0</f>
        <v>0</v>
      </c>
      <c r="D8099">
        <v>0.88665798072699997</v>
      </c>
      <c r="E8099">
        <v>1.7999999999999999E-2</v>
      </c>
    </row>
    <row r="8100" spans="1:5">
      <c r="A8100" t="s">
        <v>39058</v>
      </c>
      <c r="B8100" t="s">
        <v>39062</v>
      </c>
      <c r="C8100">
        <f>0</f>
        <v>0</v>
      </c>
      <c r="D8100">
        <v>0.88665798072699997</v>
      </c>
      <c r="E8100">
        <v>1.7999999999999999E-2</v>
      </c>
    </row>
    <row r="8101" spans="1:5">
      <c r="A8101" t="s">
        <v>39058</v>
      </c>
      <c r="B8101" t="s">
        <v>39063</v>
      </c>
      <c r="C8101">
        <f>0</f>
        <v>0</v>
      </c>
      <c r="D8101">
        <v>0.88665798072699997</v>
      </c>
      <c r="E8101">
        <v>1.7999999999999999E-2</v>
      </c>
    </row>
    <row r="8102" spans="1:5">
      <c r="A8102" t="s">
        <v>39064</v>
      </c>
      <c r="B8102" t="s">
        <v>16975</v>
      </c>
      <c r="C8102">
        <f>0</f>
        <v>0</v>
      </c>
      <c r="D8102">
        <v>0.77186991233000002</v>
      </c>
      <c r="E8102">
        <v>5.82</v>
      </c>
    </row>
    <row r="8103" spans="1:5">
      <c r="A8103" t="s">
        <v>39064</v>
      </c>
      <c r="B8103" t="s">
        <v>16968</v>
      </c>
      <c r="C8103">
        <v>0.41185991233000002</v>
      </c>
      <c r="D8103">
        <v>0.77186991233000002</v>
      </c>
      <c r="E8103">
        <v>5.82</v>
      </c>
    </row>
    <row r="8104" spans="1:5">
      <c r="A8104" t="s">
        <v>39064</v>
      </c>
      <c r="B8104" t="s">
        <v>16971</v>
      </c>
      <c r="C8104">
        <v>0</v>
      </c>
      <c r="D8104">
        <v>0.77186991233000002</v>
      </c>
      <c r="E8104">
        <v>5.82</v>
      </c>
    </row>
    <row r="8105" spans="1:5">
      <c r="A8105" t="s">
        <v>39064</v>
      </c>
      <c r="B8105" t="s">
        <v>16969</v>
      </c>
      <c r="C8105">
        <v>0</v>
      </c>
      <c r="D8105">
        <v>0.77186991233000002</v>
      </c>
      <c r="E8105">
        <v>5.82</v>
      </c>
    </row>
    <row r="8106" spans="1:5">
      <c r="A8106" t="s">
        <v>39064</v>
      </c>
      <c r="B8106" t="s">
        <v>16974</v>
      </c>
      <c r="C8106">
        <f>0</f>
        <v>0</v>
      </c>
      <c r="D8106">
        <v>0.77186991233000002</v>
      </c>
      <c r="E8106">
        <v>5.82</v>
      </c>
    </row>
    <row r="8107" spans="1:5">
      <c r="A8107" t="s">
        <v>39064</v>
      </c>
      <c r="B8107" t="s">
        <v>16972</v>
      </c>
      <c r="C8107">
        <f>0</f>
        <v>0</v>
      </c>
      <c r="D8107">
        <v>0.77186991233000002</v>
      </c>
      <c r="E8107">
        <v>5.82</v>
      </c>
    </row>
    <row r="8108" spans="1:5">
      <c r="A8108" t="s">
        <v>39065</v>
      </c>
      <c r="B8108" t="s">
        <v>39066</v>
      </c>
      <c r="C8108">
        <v>0</v>
      </c>
      <c r="D8108" t="s">
        <v>106</v>
      </c>
      <c r="E8108">
        <v>6.06</v>
      </c>
    </row>
    <row r="8109" spans="1:5">
      <c r="A8109" t="s">
        <v>39065</v>
      </c>
      <c r="B8109" t="s">
        <v>39067</v>
      </c>
      <c r="C8109">
        <f>0</f>
        <v>0</v>
      </c>
      <c r="D8109" t="s">
        <v>106</v>
      </c>
      <c r="E8109">
        <v>6.06</v>
      </c>
    </row>
    <row r="8110" spans="1:5">
      <c r="A8110" t="s">
        <v>39065</v>
      </c>
      <c r="B8110" t="s">
        <v>39068</v>
      </c>
      <c r="C8110">
        <f>0</f>
        <v>0</v>
      </c>
      <c r="D8110" t="s">
        <v>106</v>
      </c>
      <c r="E8110">
        <v>6.06</v>
      </c>
    </row>
    <row r="8111" spans="1:5">
      <c r="A8111" t="s">
        <v>39069</v>
      </c>
      <c r="B8111" t="s">
        <v>39070</v>
      </c>
      <c r="C8111">
        <v>0</v>
      </c>
      <c r="D8111">
        <v>0.96750143576699998</v>
      </c>
      <c r="E8111">
        <v>0</v>
      </c>
    </row>
    <row r="8112" spans="1:5">
      <c r="A8112" t="s">
        <v>39069</v>
      </c>
      <c r="B8112" t="s">
        <v>39071</v>
      </c>
      <c r="C8112">
        <v>0.889091435767</v>
      </c>
      <c r="D8112">
        <v>0.96750143576699998</v>
      </c>
      <c r="E8112">
        <v>0</v>
      </c>
    </row>
    <row r="8113" spans="1:5">
      <c r="A8113" t="s">
        <v>39072</v>
      </c>
      <c r="B8113" t="s">
        <v>8245</v>
      </c>
      <c r="C8113">
        <v>0.119708538304</v>
      </c>
      <c r="D8113">
        <v>0.99636324861400005</v>
      </c>
      <c r="E8113">
        <v>24</v>
      </c>
    </row>
    <row r="8114" spans="1:5">
      <c r="A8114" t="s">
        <v>39072</v>
      </c>
      <c r="B8114" t="s">
        <v>8243</v>
      </c>
      <c r="C8114">
        <f>0.331862483698</f>
        <v>0.33186248369799998</v>
      </c>
      <c r="D8114">
        <v>0.99636324861400005</v>
      </c>
      <c r="E8114">
        <v>24</v>
      </c>
    </row>
    <row r="8115" spans="1:5">
      <c r="A8115" t="s">
        <v>39072</v>
      </c>
      <c r="B8115" t="s">
        <v>8241</v>
      </c>
      <c r="C8115">
        <f>0.405680486073</f>
        <v>0.405680486073</v>
      </c>
      <c r="D8115">
        <v>0.99636324861400005</v>
      </c>
      <c r="E8115">
        <v>24</v>
      </c>
    </row>
    <row r="8116" spans="1:5">
      <c r="A8116" t="s">
        <v>39072</v>
      </c>
      <c r="B8116" t="s">
        <v>8256</v>
      </c>
      <c r="C8116">
        <v>0</v>
      </c>
      <c r="D8116">
        <v>0.99636324861400005</v>
      </c>
      <c r="E8116">
        <v>24</v>
      </c>
    </row>
    <row r="8117" spans="1:5">
      <c r="A8117" t="s">
        <v>39072</v>
      </c>
      <c r="B8117" t="s">
        <v>8247</v>
      </c>
      <c r="C8117">
        <f>0.119037492718</f>
        <v>0.119037492718</v>
      </c>
      <c r="D8117">
        <v>0.99636324861400005</v>
      </c>
      <c r="E8117">
        <v>24</v>
      </c>
    </row>
    <row r="8118" spans="1:5">
      <c r="A8118" t="s">
        <v>39072</v>
      </c>
      <c r="B8118" t="s">
        <v>8259</v>
      </c>
      <c r="C8118">
        <f>0.420604046572</f>
        <v>0.42060404657200001</v>
      </c>
      <c r="D8118">
        <v>0.99636324861400005</v>
      </c>
      <c r="E8118">
        <v>24</v>
      </c>
    </row>
    <row r="8119" spans="1:5">
      <c r="A8119" t="s">
        <v>39072</v>
      </c>
      <c r="B8119" t="s">
        <v>8251</v>
      </c>
      <c r="C8119">
        <v>0</v>
      </c>
      <c r="D8119">
        <v>0.99636324861400005</v>
      </c>
      <c r="E8119">
        <v>24</v>
      </c>
    </row>
    <row r="8120" spans="1:5">
      <c r="A8120" t="s">
        <v>39072</v>
      </c>
      <c r="B8120" t="s">
        <v>8254</v>
      </c>
      <c r="C8120">
        <f>0</f>
        <v>0</v>
      </c>
      <c r="D8120">
        <v>0.99636324861400005</v>
      </c>
      <c r="E8120">
        <v>24</v>
      </c>
    </row>
    <row r="8121" spans="1:5">
      <c r="A8121" t="s">
        <v>39072</v>
      </c>
      <c r="B8121" t="s">
        <v>8244</v>
      </c>
      <c r="C8121">
        <f>0.357916366877</f>
        <v>0.35791636687700001</v>
      </c>
      <c r="D8121">
        <v>0.99636324861400005</v>
      </c>
      <c r="E8121">
        <v>24</v>
      </c>
    </row>
    <row r="8122" spans="1:5">
      <c r="A8122" t="s">
        <v>39072</v>
      </c>
      <c r="B8122" t="s">
        <v>8248</v>
      </c>
      <c r="C8122">
        <f>0</f>
        <v>0</v>
      </c>
      <c r="D8122">
        <v>0.99636324861400005</v>
      </c>
      <c r="E8122">
        <v>24</v>
      </c>
    </row>
    <row r="8123" spans="1:5">
      <c r="A8123" t="s">
        <v>39072</v>
      </c>
      <c r="B8123" t="s">
        <v>8258</v>
      </c>
      <c r="C8123">
        <v>0</v>
      </c>
      <c r="D8123">
        <v>0.99636324861400005</v>
      </c>
      <c r="E8123">
        <v>24</v>
      </c>
    </row>
    <row r="8124" spans="1:5">
      <c r="A8124" t="s">
        <v>39073</v>
      </c>
      <c r="B8124" t="s">
        <v>31973</v>
      </c>
      <c r="C8124">
        <v>0.120406365347</v>
      </c>
      <c r="D8124">
        <v>0.28041636534699999</v>
      </c>
      <c r="E8124">
        <v>24</v>
      </c>
    </row>
    <row r="8125" spans="1:5">
      <c r="A8125" t="s">
        <v>39073</v>
      </c>
      <c r="B8125" t="s">
        <v>31974</v>
      </c>
      <c r="C8125">
        <f>0</f>
        <v>0</v>
      </c>
      <c r="D8125">
        <v>0.28041636534699999</v>
      </c>
      <c r="E8125">
        <v>24</v>
      </c>
    </row>
    <row r="8126" spans="1:5">
      <c r="A8126" t="s">
        <v>39074</v>
      </c>
      <c r="B8126" t="s">
        <v>12765</v>
      </c>
      <c r="C8126">
        <v>0.299567431233</v>
      </c>
      <c r="D8126">
        <v>0.99284827498999995</v>
      </c>
      <c r="E8126">
        <v>6.9359999999999999</v>
      </c>
    </row>
    <row r="8127" spans="1:5">
      <c r="A8127" t="s">
        <v>39074</v>
      </c>
      <c r="B8127" t="s">
        <v>12763</v>
      </c>
      <c r="C8127">
        <f>0.272626352826</f>
        <v>0.27262635282600001</v>
      </c>
      <c r="D8127">
        <v>0.99284827498999995</v>
      </c>
      <c r="E8127">
        <v>6.9359999999999999</v>
      </c>
    </row>
    <row r="8128" spans="1:5">
      <c r="A8128" t="s">
        <v>39074</v>
      </c>
      <c r="B8128" t="s">
        <v>12771</v>
      </c>
      <c r="C8128">
        <v>0.48891206401100001</v>
      </c>
      <c r="D8128">
        <v>0.99284827498999995</v>
      </c>
      <c r="E8128">
        <v>6.9359999999999999</v>
      </c>
    </row>
    <row r="8129" spans="1:5">
      <c r="A8129" t="s">
        <v>39074</v>
      </c>
      <c r="B8129" t="s">
        <v>12764</v>
      </c>
      <c r="C8129">
        <v>1.3094022376200001</v>
      </c>
      <c r="D8129">
        <v>0.99284827498999995</v>
      </c>
      <c r="E8129">
        <v>6.9359999999999999</v>
      </c>
    </row>
    <row r="8130" spans="1:5">
      <c r="A8130" t="s">
        <v>39075</v>
      </c>
      <c r="B8130" t="s">
        <v>39076</v>
      </c>
      <c r="C8130">
        <v>0</v>
      </c>
      <c r="D8130">
        <v>0.79919201032999998</v>
      </c>
      <c r="E8130">
        <v>22.806000000000001</v>
      </c>
    </row>
    <row r="8131" spans="1:5">
      <c r="A8131" t="s">
        <v>39075</v>
      </c>
      <c r="B8131" t="s">
        <v>39077</v>
      </c>
      <c r="C8131">
        <v>0</v>
      </c>
      <c r="D8131">
        <v>0.79919201032999998</v>
      </c>
      <c r="E8131">
        <v>22.806000000000001</v>
      </c>
    </row>
    <row r="8132" spans="1:5">
      <c r="A8132" t="s">
        <v>39075</v>
      </c>
      <c r="B8132" t="s">
        <v>39078</v>
      </c>
      <c r="C8132">
        <v>0</v>
      </c>
      <c r="D8132">
        <v>0.79919201032999998</v>
      </c>
      <c r="E8132">
        <v>22.806000000000001</v>
      </c>
    </row>
    <row r="8133" spans="1:5">
      <c r="A8133" t="s">
        <v>39075</v>
      </c>
      <c r="B8133" t="s">
        <v>39079</v>
      </c>
      <c r="C8133">
        <v>0.40950165582699999</v>
      </c>
      <c r="D8133">
        <v>0.79919201032999998</v>
      </c>
      <c r="E8133">
        <v>22.806000000000001</v>
      </c>
    </row>
    <row r="8134" spans="1:5">
      <c r="A8134" t="s">
        <v>39075</v>
      </c>
      <c r="B8134" t="s">
        <v>39080</v>
      </c>
      <c r="C8134">
        <v>0.26597479156499998</v>
      </c>
      <c r="D8134">
        <v>0.79919201032999998</v>
      </c>
      <c r="E8134">
        <v>22.806000000000001</v>
      </c>
    </row>
    <row r="8135" spans="1:5">
      <c r="A8135" t="s">
        <v>39075</v>
      </c>
      <c r="B8135" t="s">
        <v>39081</v>
      </c>
      <c r="C8135">
        <v>0</v>
      </c>
      <c r="D8135">
        <v>0.79919201032999998</v>
      </c>
      <c r="E8135">
        <v>22.806000000000001</v>
      </c>
    </row>
    <row r="8136" spans="1:5">
      <c r="A8136" t="s">
        <v>39082</v>
      </c>
      <c r="B8136" t="s">
        <v>39083</v>
      </c>
      <c r="C8136">
        <f>0.66078305682</f>
        <v>0.66078305682000005</v>
      </c>
      <c r="D8136">
        <v>0.80982363686100001</v>
      </c>
      <c r="E8136">
        <v>24</v>
      </c>
    </row>
    <row r="8137" spans="1:5">
      <c r="A8137" t="s">
        <v>39082</v>
      </c>
      <c r="B8137" t="s">
        <v>39084</v>
      </c>
      <c r="C8137">
        <f>0.185139944812</f>
        <v>0.185139944812</v>
      </c>
      <c r="D8137">
        <v>0.80982363686100001</v>
      </c>
      <c r="E8137">
        <v>24</v>
      </c>
    </row>
    <row r="8138" spans="1:5">
      <c r="A8138" t="s">
        <v>39085</v>
      </c>
      <c r="B8138" t="s">
        <v>39086</v>
      </c>
      <c r="C8138">
        <f>0</f>
        <v>0</v>
      </c>
      <c r="D8138" t="s">
        <v>106</v>
      </c>
      <c r="E8138">
        <v>0.114</v>
      </c>
    </row>
    <row r="8139" spans="1:5">
      <c r="A8139" t="s">
        <v>39085</v>
      </c>
      <c r="B8139" t="s">
        <v>39087</v>
      </c>
      <c r="C8139">
        <f>0</f>
        <v>0</v>
      </c>
      <c r="D8139" t="s">
        <v>106</v>
      </c>
      <c r="E8139">
        <v>0.114</v>
      </c>
    </row>
    <row r="8140" spans="1:5">
      <c r="A8140" t="s">
        <v>39088</v>
      </c>
      <c r="B8140" t="s">
        <v>620</v>
      </c>
      <c r="C8140">
        <f>0</f>
        <v>0</v>
      </c>
      <c r="D8140" t="s">
        <v>106</v>
      </c>
      <c r="E8140">
        <v>13.818</v>
      </c>
    </row>
    <row r="8141" spans="1:5">
      <c r="A8141" t="s">
        <v>39088</v>
      </c>
      <c r="B8141" t="s">
        <v>622</v>
      </c>
      <c r="C8141">
        <v>0</v>
      </c>
      <c r="D8141" t="s">
        <v>106</v>
      </c>
      <c r="E8141">
        <v>13.818</v>
      </c>
    </row>
    <row r="8142" spans="1:5">
      <c r="A8142" t="s">
        <v>39089</v>
      </c>
      <c r="B8142" t="s">
        <v>39090</v>
      </c>
      <c r="C8142">
        <f>0</f>
        <v>0</v>
      </c>
      <c r="D8142" t="s">
        <v>106</v>
      </c>
      <c r="E8142">
        <v>9.0180000000000007</v>
      </c>
    </row>
    <row r="8143" spans="1:5">
      <c r="A8143" t="s">
        <v>39089</v>
      </c>
      <c r="B8143" t="s">
        <v>39091</v>
      </c>
      <c r="C8143">
        <f>0</f>
        <v>0</v>
      </c>
      <c r="D8143" t="s">
        <v>106</v>
      </c>
      <c r="E8143">
        <v>9.0180000000000007</v>
      </c>
    </row>
    <row r="8144" spans="1:5">
      <c r="A8144" t="s">
        <v>39092</v>
      </c>
      <c r="B8144" t="s">
        <v>25847</v>
      </c>
      <c r="C8144">
        <f>0.596214487611</f>
        <v>0.59621448761100004</v>
      </c>
      <c r="D8144">
        <v>0.65382448761099998</v>
      </c>
      <c r="E8144">
        <v>24</v>
      </c>
    </row>
    <row r="8145" spans="1:5">
      <c r="A8145" t="s">
        <v>39092</v>
      </c>
      <c r="B8145" t="s">
        <v>25848</v>
      </c>
      <c r="C8145">
        <f>0</f>
        <v>0</v>
      </c>
      <c r="D8145">
        <v>0.65382448761099998</v>
      </c>
      <c r="E8145">
        <v>24</v>
      </c>
    </row>
    <row r="8146" spans="1:5">
      <c r="A8146" t="s">
        <v>39093</v>
      </c>
      <c r="B8146" t="s">
        <v>29336</v>
      </c>
      <c r="C8146">
        <v>0</v>
      </c>
      <c r="D8146" t="s">
        <v>106</v>
      </c>
      <c r="E8146">
        <v>1.278</v>
      </c>
    </row>
    <row r="8147" spans="1:5">
      <c r="A8147" t="s">
        <v>39093</v>
      </c>
      <c r="B8147" t="s">
        <v>29333</v>
      </c>
      <c r="C8147">
        <v>0</v>
      </c>
      <c r="D8147" t="s">
        <v>106</v>
      </c>
      <c r="E8147">
        <v>1.278</v>
      </c>
    </row>
    <row r="8148" spans="1:5">
      <c r="A8148" t="s">
        <v>39093</v>
      </c>
      <c r="B8148" t="s">
        <v>29339</v>
      </c>
      <c r="C8148">
        <v>0</v>
      </c>
      <c r="D8148" t="s">
        <v>106</v>
      </c>
      <c r="E8148">
        <v>1.278</v>
      </c>
    </row>
    <row r="8149" spans="1:5">
      <c r="A8149" t="s">
        <v>39093</v>
      </c>
      <c r="B8149" t="s">
        <v>29338</v>
      </c>
      <c r="C8149">
        <v>0</v>
      </c>
      <c r="D8149" t="s">
        <v>106</v>
      </c>
      <c r="E8149">
        <v>1.278</v>
      </c>
    </row>
    <row r="8150" spans="1:5">
      <c r="A8150" t="s">
        <v>39093</v>
      </c>
      <c r="B8150" t="s">
        <v>29337</v>
      </c>
      <c r="C8150">
        <v>0</v>
      </c>
      <c r="D8150" t="s">
        <v>106</v>
      </c>
      <c r="E8150">
        <v>1.278</v>
      </c>
    </row>
    <row r="8151" spans="1:5">
      <c r="A8151" t="s">
        <v>39094</v>
      </c>
      <c r="B8151" t="s">
        <v>39095</v>
      </c>
      <c r="C8151">
        <f>0.404517784522</f>
        <v>0.40451778452199999</v>
      </c>
      <c r="D8151">
        <v>0.87323372777899999</v>
      </c>
      <c r="E8151">
        <v>24</v>
      </c>
    </row>
    <row r="8152" spans="1:5">
      <c r="A8152" t="s">
        <v>39094</v>
      </c>
      <c r="B8152" t="s">
        <v>39096</v>
      </c>
      <c r="C8152">
        <f>0.0273254195621</f>
        <v>2.7325419562099999E-2</v>
      </c>
      <c r="D8152">
        <v>0.87323372777899999</v>
      </c>
      <c r="E8152">
        <v>24</v>
      </c>
    </row>
    <row r="8153" spans="1:5">
      <c r="A8153" t="s">
        <v>39094</v>
      </c>
      <c r="B8153" t="s">
        <v>39097</v>
      </c>
      <c r="C8153">
        <f>0.259213030667</f>
        <v>0.25921303066700002</v>
      </c>
      <c r="D8153">
        <v>0.87323372777899999</v>
      </c>
      <c r="E8153">
        <v>24</v>
      </c>
    </row>
    <row r="8154" spans="1:5">
      <c r="A8154" t="s">
        <v>39094</v>
      </c>
      <c r="B8154" t="s">
        <v>39098</v>
      </c>
      <c r="C8154">
        <f>0.440559239019</f>
        <v>0.44055923901900002</v>
      </c>
      <c r="D8154">
        <v>0.87323372777899999</v>
      </c>
      <c r="E8154">
        <v>24</v>
      </c>
    </row>
    <row r="8155" spans="1:5">
      <c r="A8155" t="s">
        <v>39099</v>
      </c>
      <c r="B8155" t="s">
        <v>39100</v>
      </c>
      <c r="C8155">
        <v>0.20268855511799999</v>
      </c>
      <c r="D8155">
        <v>0.95365659228699995</v>
      </c>
      <c r="E8155">
        <v>1.278</v>
      </c>
    </row>
    <row r="8156" spans="1:5">
      <c r="A8156" t="s">
        <v>39099</v>
      </c>
      <c r="B8156" t="s">
        <v>39101</v>
      </c>
      <c r="C8156">
        <v>0.21724583079099999</v>
      </c>
      <c r="D8156">
        <v>0.95365659228699995</v>
      </c>
      <c r="E8156">
        <v>1.278</v>
      </c>
    </row>
    <row r="8157" spans="1:5">
      <c r="A8157" t="s">
        <v>39099</v>
      </c>
      <c r="B8157" t="s">
        <v>39102</v>
      </c>
      <c r="C8157">
        <f>0</f>
        <v>0</v>
      </c>
      <c r="D8157">
        <v>0.95365659228699995</v>
      </c>
      <c r="E8157">
        <v>1.278</v>
      </c>
    </row>
    <row r="8158" spans="1:5">
      <c r="A8158" t="s">
        <v>39099</v>
      </c>
      <c r="B8158" t="s">
        <v>39103</v>
      </c>
      <c r="C8158">
        <v>0.29239268822100001</v>
      </c>
      <c r="D8158">
        <v>0.95365659228699995</v>
      </c>
      <c r="E8158">
        <v>1.278</v>
      </c>
    </row>
    <row r="8159" spans="1:5">
      <c r="A8159" t="s">
        <v>39099</v>
      </c>
      <c r="B8159" t="s">
        <v>39104</v>
      </c>
      <c r="C8159">
        <v>0</v>
      </c>
      <c r="D8159">
        <v>0.95365659228699995</v>
      </c>
      <c r="E8159">
        <v>1.278</v>
      </c>
    </row>
    <row r="8160" spans="1:5">
      <c r="A8160" t="s">
        <v>39099</v>
      </c>
      <c r="B8160" t="s">
        <v>39105</v>
      </c>
      <c r="C8160">
        <v>0.38236077775299998</v>
      </c>
      <c r="D8160">
        <v>0.95365659228699995</v>
      </c>
      <c r="E8160">
        <v>1.278</v>
      </c>
    </row>
    <row r="8161" spans="1:5">
      <c r="A8161" t="s">
        <v>39099</v>
      </c>
      <c r="B8161" t="s">
        <v>39106</v>
      </c>
      <c r="C8161">
        <f>0</f>
        <v>0</v>
      </c>
      <c r="D8161">
        <v>0.95365659228699995</v>
      </c>
      <c r="E8161">
        <v>1.278</v>
      </c>
    </row>
    <row r="8162" spans="1:5">
      <c r="A8162" t="s">
        <v>39107</v>
      </c>
      <c r="B8162" t="s">
        <v>39108</v>
      </c>
      <c r="C8162">
        <f>0.349912189176</f>
        <v>0.34991218917599998</v>
      </c>
      <c r="D8162">
        <v>0.84254104508700001</v>
      </c>
      <c r="E8162">
        <v>24</v>
      </c>
    </row>
    <row r="8163" spans="1:5">
      <c r="A8163" t="s">
        <v>39107</v>
      </c>
      <c r="B8163" t="s">
        <v>39109</v>
      </c>
      <c r="C8163">
        <f>0.0675637118238</f>
        <v>6.7563711823799999E-2</v>
      </c>
      <c r="D8163">
        <v>0.84254104508700001</v>
      </c>
      <c r="E8163">
        <v>24</v>
      </c>
    </row>
    <row r="8164" spans="1:5">
      <c r="A8164" t="s">
        <v>39107</v>
      </c>
      <c r="B8164" t="s">
        <v>39110</v>
      </c>
      <c r="C8164">
        <v>0.39679402232700001</v>
      </c>
      <c r="D8164">
        <v>0.84254104508700001</v>
      </c>
      <c r="E8164">
        <v>24</v>
      </c>
    </row>
    <row r="8165" spans="1:5">
      <c r="A8165" t="s">
        <v>39107</v>
      </c>
      <c r="B8165" t="s">
        <v>39111</v>
      </c>
      <c r="C8165">
        <v>0.63971345681000003</v>
      </c>
      <c r="D8165">
        <v>0.84254104508700001</v>
      </c>
      <c r="E8165">
        <v>24</v>
      </c>
    </row>
    <row r="8166" spans="1:5">
      <c r="A8166" t="s">
        <v>39112</v>
      </c>
      <c r="B8166" t="s">
        <v>33936</v>
      </c>
      <c r="C8166">
        <v>8.9579138746100004E-3</v>
      </c>
      <c r="D8166">
        <v>0.89757291945600004</v>
      </c>
      <c r="E8166">
        <v>0.318</v>
      </c>
    </row>
    <row r="8167" spans="1:5">
      <c r="A8167" t="s">
        <v>39112</v>
      </c>
      <c r="B8167" t="s">
        <v>33935</v>
      </c>
      <c r="C8167">
        <v>0.75895282223299998</v>
      </c>
      <c r="D8167">
        <v>0.89757291945600004</v>
      </c>
      <c r="E8167">
        <v>0.318</v>
      </c>
    </row>
    <row r="8168" spans="1:5">
      <c r="A8168" t="s">
        <v>39112</v>
      </c>
      <c r="B8168" t="s">
        <v>33938</v>
      </c>
      <c r="C8168">
        <v>0.31014562138599999</v>
      </c>
      <c r="D8168">
        <v>0.89757291945600004</v>
      </c>
      <c r="E8168">
        <v>0.318</v>
      </c>
    </row>
    <row r="8169" spans="1:5">
      <c r="A8169" t="s">
        <v>39113</v>
      </c>
      <c r="B8169" t="s">
        <v>31487</v>
      </c>
      <c r="C8169">
        <f>0.641170310879</f>
        <v>0.641170310879</v>
      </c>
      <c r="D8169">
        <v>0.99765231909100005</v>
      </c>
      <c r="E8169">
        <v>2.556</v>
      </c>
    </row>
    <row r="8170" spans="1:5">
      <c r="A8170" t="s">
        <v>39113</v>
      </c>
      <c r="B8170" t="s">
        <v>31486</v>
      </c>
      <c r="C8170">
        <v>0.26019205907499998</v>
      </c>
      <c r="D8170">
        <v>0.99765231909100005</v>
      </c>
      <c r="E8170">
        <v>2.556</v>
      </c>
    </row>
    <row r="8171" spans="1:5">
      <c r="A8171" t="s">
        <v>39113</v>
      </c>
      <c r="B8171" t="s">
        <v>31490</v>
      </c>
      <c r="C8171">
        <v>0</v>
      </c>
      <c r="D8171">
        <v>0.99765231909100005</v>
      </c>
      <c r="E8171">
        <v>2.556</v>
      </c>
    </row>
    <row r="8172" spans="1:5">
      <c r="A8172" t="s">
        <v>39113</v>
      </c>
      <c r="B8172" t="s">
        <v>31493</v>
      </c>
      <c r="C8172">
        <f>0.251824423742</f>
        <v>0.25182442374199998</v>
      </c>
      <c r="D8172">
        <v>0.99765231909100005</v>
      </c>
      <c r="E8172">
        <v>2.556</v>
      </c>
    </row>
    <row r="8173" spans="1:5">
      <c r="A8173" t="s">
        <v>39113</v>
      </c>
      <c r="B8173" t="s">
        <v>31489</v>
      </c>
      <c r="C8173">
        <v>0.27502192404600001</v>
      </c>
      <c r="D8173">
        <v>0.99765231909100005</v>
      </c>
      <c r="E8173">
        <v>2.556</v>
      </c>
    </row>
    <row r="8174" spans="1:5">
      <c r="A8174" t="s">
        <v>39113</v>
      </c>
      <c r="B8174" t="s">
        <v>31492</v>
      </c>
      <c r="C8174">
        <v>0.20919401694100001</v>
      </c>
      <c r="D8174">
        <v>0.99765231909100005</v>
      </c>
      <c r="E8174">
        <v>2.556</v>
      </c>
    </row>
    <row r="8175" spans="1:5">
      <c r="A8175" t="s">
        <v>39113</v>
      </c>
      <c r="B8175" t="s">
        <v>31491</v>
      </c>
      <c r="C8175">
        <v>0.75968243615700004</v>
      </c>
      <c r="D8175">
        <v>0.99765231909100005</v>
      </c>
      <c r="E8175">
        <v>2.556</v>
      </c>
    </row>
    <row r="8176" spans="1:5">
      <c r="A8176" t="s">
        <v>39114</v>
      </c>
      <c r="B8176" t="s">
        <v>27678</v>
      </c>
      <c r="C8176">
        <v>0.44988929895800001</v>
      </c>
      <c r="D8176">
        <v>0.50749929895799994</v>
      </c>
      <c r="E8176">
        <v>0.28799999999999998</v>
      </c>
    </row>
    <row r="8177" spans="1:5">
      <c r="A8177" t="s">
        <v>39114</v>
      </c>
      <c r="B8177" t="s">
        <v>27676</v>
      </c>
      <c r="C8177">
        <f>0</f>
        <v>0</v>
      </c>
      <c r="D8177">
        <v>0.50749929895799994</v>
      </c>
      <c r="E8177">
        <v>0.28799999999999998</v>
      </c>
    </row>
    <row r="8178" spans="1:5">
      <c r="A8178" t="s">
        <v>39115</v>
      </c>
      <c r="B8178" t="s">
        <v>8684</v>
      </c>
      <c r="C8178">
        <v>0.48985756429999999</v>
      </c>
      <c r="D8178">
        <v>0.82753567144899998</v>
      </c>
      <c r="E8178">
        <v>23.754000000000001</v>
      </c>
    </row>
    <row r="8179" spans="1:5">
      <c r="A8179" t="s">
        <v>39115</v>
      </c>
      <c r="B8179" t="s">
        <v>8687</v>
      </c>
      <c r="C8179">
        <v>0</v>
      </c>
      <c r="D8179">
        <v>0.82753567144899998</v>
      </c>
      <c r="E8179">
        <v>23.754000000000001</v>
      </c>
    </row>
    <row r="8180" spans="1:5">
      <c r="A8180" t="s">
        <v>39115</v>
      </c>
      <c r="B8180" t="s">
        <v>8685</v>
      </c>
      <c r="C8180">
        <v>0.34955521952599999</v>
      </c>
      <c r="D8180">
        <v>0.82753567144899998</v>
      </c>
      <c r="E8180">
        <v>23.754000000000001</v>
      </c>
    </row>
    <row r="8181" spans="1:5">
      <c r="A8181" t="s">
        <v>39116</v>
      </c>
      <c r="B8181" t="s">
        <v>39117</v>
      </c>
      <c r="C8181">
        <f>0</f>
        <v>0</v>
      </c>
      <c r="D8181">
        <v>0.63426883798599998</v>
      </c>
      <c r="E8181">
        <v>2.88</v>
      </c>
    </row>
    <row r="8182" spans="1:5">
      <c r="A8182" t="s">
        <v>39116</v>
      </c>
      <c r="B8182" t="s">
        <v>39118</v>
      </c>
      <c r="C8182">
        <v>0.44065883798599997</v>
      </c>
      <c r="D8182">
        <v>0.63426883798599998</v>
      </c>
      <c r="E8182">
        <v>2.88</v>
      </c>
    </row>
    <row r="8183" spans="1:5">
      <c r="A8183" t="s">
        <v>39119</v>
      </c>
      <c r="B8183" t="s">
        <v>322</v>
      </c>
      <c r="C8183">
        <v>0</v>
      </c>
      <c r="D8183">
        <v>0.81208311508499997</v>
      </c>
      <c r="E8183">
        <v>0.17399999999999999</v>
      </c>
    </row>
    <row r="8184" spans="1:5">
      <c r="A8184" t="s">
        <v>39119</v>
      </c>
      <c r="B8184" t="s">
        <v>320</v>
      </c>
      <c r="C8184">
        <v>0.13336945645600001</v>
      </c>
      <c r="D8184">
        <v>0.81208311508499997</v>
      </c>
      <c r="E8184">
        <v>0.17399999999999999</v>
      </c>
    </row>
    <row r="8185" spans="1:5">
      <c r="A8185" t="s">
        <v>39119</v>
      </c>
      <c r="B8185" t="s">
        <v>319</v>
      </c>
      <c r="C8185">
        <v>0</v>
      </c>
      <c r="D8185">
        <v>0.81208311508499997</v>
      </c>
      <c r="E8185">
        <v>0.17399999999999999</v>
      </c>
    </row>
    <row r="8186" spans="1:5">
      <c r="A8186" t="s">
        <v>39119</v>
      </c>
      <c r="B8186" t="s">
        <v>323</v>
      </c>
      <c r="C8186">
        <v>0.45936580583300002</v>
      </c>
      <c r="D8186">
        <v>0.81208311508499997</v>
      </c>
      <c r="E8186">
        <v>0.17399999999999999</v>
      </c>
    </row>
    <row r="8187" spans="1:5">
      <c r="A8187" t="s">
        <v>39119</v>
      </c>
      <c r="B8187" t="s">
        <v>324</v>
      </c>
      <c r="C8187">
        <v>0.18228487678999999</v>
      </c>
      <c r="D8187">
        <v>0.81208311508499997</v>
      </c>
      <c r="E8187">
        <v>0.17399999999999999</v>
      </c>
    </row>
    <row r="8188" spans="1:5">
      <c r="A8188" t="s">
        <v>39119</v>
      </c>
      <c r="B8188" t="s">
        <v>321</v>
      </c>
      <c r="C8188">
        <v>0</v>
      </c>
      <c r="D8188">
        <v>0.81208311508499997</v>
      </c>
      <c r="E8188">
        <v>0.17399999999999999</v>
      </c>
    </row>
    <row r="8189" spans="1:5">
      <c r="A8189" t="s">
        <v>39120</v>
      </c>
      <c r="B8189" t="s">
        <v>26060</v>
      </c>
      <c r="C8189">
        <v>0</v>
      </c>
      <c r="D8189">
        <v>0.87834697105500004</v>
      </c>
      <c r="E8189">
        <v>3.4079999999999999</v>
      </c>
    </row>
    <row r="8190" spans="1:5">
      <c r="A8190" t="s">
        <v>39120</v>
      </c>
      <c r="B8190" t="s">
        <v>26057</v>
      </c>
      <c r="C8190">
        <f>0.543304750513</f>
        <v>0.54330475051299998</v>
      </c>
      <c r="D8190">
        <v>0.87834697105500004</v>
      </c>
      <c r="E8190">
        <v>3.4079999999999999</v>
      </c>
    </row>
    <row r="8191" spans="1:5">
      <c r="A8191" t="s">
        <v>39120</v>
      </c>
      <c r="B8191" t="s">
        <v>26063</v>
      </c>
      <c r="C8191">
        <f>0</f>
        <v>0</v>
      </c>
      <c r="D8191">
        <v>0.87834697105500004</v>
      </c>
      <c r="E8191">
        <v>3.4079999999999999</v>
      </c>
    </row>
    <row r="8192" spans="1:5">
      <c r="A8192" t="s">
        <v>39120</v>
      </c>
      <c r="B8192" t="s">
        <v>26061</v>
      </c>
      <c r="C8192">
        <v>0.46672810193399999</v>
      </c>
      <c r="D8192">
        <v>0.87834697105500004</v>
      </c>
      <c r="E8192">
        <v>3.4079999999999999</v>
      </c>
    </row>
    <row r="8193" spans="1:5">
      <c r="A8193" t="s">
        <v>39121</v>
      </c>
      <c r="B8193" t="s">
        <v>39122</v>
      </c>
      <c r="C8193">
        <v>0.44973283733699998</v>
      </c>
      <c r="D8193">
        <v>0.57934283733699998</v>
      </c>
      <c r="E8193">
        <v>1.3380000000000001</v>
      </c>
    </row>
    <row r="8194" spans="1:5">
      <c r="A8194" t="s">
        <v>39121</v>
      </c>
      <c r="B8194" t="s">
        <v>39123</v>
      </c>
      <c r="C8194">
        <v>0</v>
      </c>
      <c r="D8194">
        <v>0.57934283733699998</v>
      </c>
      <c r="E8194">
        <v>1.3380000000000001</v>
      </c>
    </row>
    <row r="8195" spans="1:5">
      <c r="A8195" t="s">
        <v>39124</v>
      </c>
      <c r="B8195" t="s">
        <v>39125</v>
      </c>
      <c r="C8195">
        <f>0</f>
        <v>0</v>
      </c>
      <c r="D8195">
        <v>0.73913526327099999</v>
      </c>
      <c r="E8195">
        <v>19.2</v>
      </c>
    </row>
    <row r="8196" spans="1:5">
      <c r="A8196" t="s">
        <v>39124</v>
      </c>
      <c r="B8196" t="s">
        <v>39126</v>
      </c>
      <c r="C8196">
        <f>0.0648733418255</f>
        <v>6.4873341825500003E-2</v>
      </c>
      <c r="D8196">
        <v>0.73913526327099999</v>
      </c>
      <c r="E8196">
        <v>19.2</v>
      </c>
    </row>
    <row r="8197" spans="1:5">
      <c r="A8197" t="s">
        <v>39124</v>
      </c>
      <c r="B8197" t="s">
        <v>39127</v>
      </c>
      <c r="C8197">
        <v>0</v>
      </c>
      <c r="D8197">
        <v>0.73913526327099999</v>
      </c>
      <c r="E8197">
        <v>19.2</v>
      </c>
    </row>
    <row r="8198" spans="1:5">
      <c r="A8198" t="s">
        <v>39124</v>
      </c>
      <c r="B8198" t="s">
        <v>39128</v>
      </c>
      <c r="C8198">
        <v>0</v>
      </c>
      <c r="D8198">
        <v>0.73913526327099999</v>
      </c>
      <c r="E8198">
        <v>19.2</v>
      </c>
    </row>
    <row r="8199" spans="1:5">
      <c r="A8199" t="s">
        <v>39124</v>
      </c>
      <c r="B8199" t="s">
        <v>39129</v>
      </c>
      <c r="C8199">
        <v>0</v>
      </c>
      <c r="D8199">
        <v>0.73913526327099999</v>
      </c>
      <c r="E8199">
        <v>19.2</v>
      </c>
    </row>
    <row r="8200" spans="1:5">
      <c r="A8200" t="s">
        <v>39124</v>
      </c>
      <c r="B8200" t="s">
        <v>39130</v>
      </c>
      <c r="C8200">
        <f>0</f>
        <v>0</v>
      </c>
      <c r="D8200">
        <v>0.73913526327099999</v>
      </c>
      <c r="E8200">
        <v>19.2</v>
      </c>
    </row>
    <row r="8201" spans="1:5">
      <c r="A8201" t="s">
        <v>39124</v>
      </c>
      <c r="B8201" t="s">
        <v>39131</v>
      </c>
      <c r="C8201">
        <v>0.36796346615999997</v>
      </c>
      <c r="D8201">
        <v>0.73913526327099999</v>
      </c>
      <c r="E8201">
        <v>19.2</v>
      </c>
    </row>
    <row r="8202" spans="1:5">
      <c r="A8202" t="s">
        <v>39124</v>
      </c>
      <c r="B8202" t="s">
        <v>39132</v>
      </c>
      <c r="C8202">
        <f>0</f>
        <v>0</v>
      </c>
      <c r="D8202">
        <v>0.73913526327099999</v>
      </c>
      <c r="E8202">
        <v>19.2</v>
      </c>
    </row>
    <row r="8203" spans="1:5">
      <c r="A8203" t="s">
        <v>39124</v>
      </c>
      <c r="B8203" t="s">
        <v>39133</v>
      </c>
      <c r="C8203">
        <v>0</v>
      </c>
      <c r="D8203">
        <v>0.73913526327099999</v>
      </c>
      <c r="E8203">
        <v>19.2</v>
      </c>
    </row>
    <row r="8204" spans="1:5">
      <c r="A8204" t="s">
        <v>39134</v>
      </c>
      <c r="B8204" t="s">
        <v>27133</v>
      </c>
      <c r="C8204">
        <v>0</v>
      </c>
      <c r="D8204">
        <v>0.73389758675200001</v>
      </c>
      <c r="E8204">
        <v>0</v>
      </c>
    </row>
    <row r="8205" spans="1:5">
      <c r="A8205" t="s">
        <v>39134</v>
      </c>
      <c r="B8205" t="s">
        <v>27144</v>
      </c>
      <c r="C8205">
        <f>0.453937826123</f>
        <v>0.45393782612299999</v>
      </c>
      <c r="D8205">
        <v>0.73389758675200001</v>
      </c>
      <c r="E8205">
        <v>0</v>
      </c>
    </row>
    <row r="8206" spans="1:5">
      <c r="A8206" t="s">
        <v>39134</v>
      </c>
      <c r="B8206" t="s">
        <v>27137</v>
      </c>
      <c r="C8206">
        <v>6.0873162359500001E-2</v>
      </c>
      <c r="D8206">
        <v>0.73389758675200001</v>
      </c>
      <c r="E8206">
        <v>0</v>
      </c>
    </row>
    <row r="8207" spans="1:5">
      <c r="A8207" t="s">
        <v>39135</v>
      </c>
      <c r="B8207" t="s">
        <v>39136</v>
      </c>
      <c r="C8207">
        <f>0</f>
        <v>0</v>
      </c>
      <c r="D8207">
        <v>0.60129792412799998</v>
      </c>
      <c r="E8207">
        <v>8.7240000000000002</v>
      </c>
    </row>
    <row r="8208" spans="1:5">
      <c r="A8208" t="s">
        <v>39135</v>
      </c>
      <c r="B8208" t="s">
        <v>39137</v>
      </c>
      <c r="C8208">
        <f>0.441287924128</f>
        <v>0.441287924128</v>
      </c>
      <c r="D8208">
        <v>0.60129792412799998</v>
      </c>
      <c r="E8208">
        <v>8.7240000000000002</v>
      </c>
    </row>
    <row r="8209" spans="1:5">
      <c r="A8209" t="s">
        <v>39138</v>
      </c>
      <c r="B8209" t="s">
        <v>26517</v>
      </c>
      <c r="C8209">
        <v>0</v>
      </c>
      <c r="D8209">
        <v>0.73531035592299998</v>
      </c>
      <c r="E8209">
        <v>8.01</v>
      </c>
    </row>
    <row r="8210" spans="1:5">
      <c r="A8210" t="s">
        <v>39138</v>
      </c>
      <c r="B8210" t="s">
        <v>26518</v>
      </c>
      <c r="C8210">
        <v>0.613317746632</v>
      </c>
      <c r="D8210">
        <v>0.73531035592299998</v>
      </c>
      <c r="E8210">
        <v>8.01</v>
      </c>
    </row>
    <row r="8211" spans="1:5">
      <c r="A8211" t="s">
        <v>39138</v>
      </c>
      <c r="B8211" t="s">
        <v>26519</v>
      </c>
      <c r="C8211">
        <f>0.0308736038627</f>
        <v>3.0873603862700001E-2</v>
      </c>
      <c r="D8211">
        <v>0.73531035592299998</v>
      </c>
      <c r="E8211">
        <v>8.01</v>
      </c>
    </row>
    <row r="8212" spans="1:5">
      <c r="A8212" t="s">
        <v>39139</v>
      </c>
      <c r="B8212" t="s">
        <v>7322</v>
      </c>
      <c r="C8212">
        <f>0.315828888013</f>
        <v>0.31582888801300002</v>
      </c>
      <c r="D8212">
        <v>0.75613459973599995</v>
      </c>
      <c r="E8212">
        <v>1.224</v>
      </c>
    </row>
    <row r="8213" spans="1:5">
      <c r="A8213" t="s">
        <v>39139</v>
      </c>
      <c r="B8213" t="s">
        <v>7323</v>
      </c>
      <c r="C8213">
        <f>0.500682356036</f>
        <v>0.50068235603599998</v>
      </c>
      <c r="D8213">
        <v>0.75613459973599995</v>
      </c>
      <c r="E8213">
        <v>1.224</v>
      </c>
    </row>
    <row r="8214" spans="1:5">
      <c r="A8214" t="s">
        <v>39140</v>
      </c>
      <c r="B8214" t="s">
        <v>12502</v>
      </c>
      <c r="C8214">
        <f>0</f>
        <v>0</v>
      </c>
      <c r="D8214" t="s">
        <v>106</v>
      </c>
      <c r="E8214">
        <v>4.4820000000000002</v>
      </c>
    </row>
    <row r="8215" spans="1:5">
      <c r="A8215" t="s">
        <v>39140</v>
      </c>
      <c r="B8215" t="s">
        <v>12504</v>
      </c>
      <c r="C8215">
        <v>0</v>
      </c>
      <c r="D8215" t="s">
        <v>106</v>
      </c>
      <c r="E8215">
        <v>4.4820000000000002</v>
      </c>
    </row>
    <row r="8216" spans="1:5">
      <c r="A8216" t="s">
        <v>39141</v>
      </c>
      <c r="B8216" t="s">
        <v>15059</v>
      </c>
      <c r="C8216">
        <f>0</f>
        <v>0</v>
      </c>
      <c r="D8216">
        <v>0.98657455028100005</v>
      </c>
      <c r="E8216">
        <v>24</v>
      </c>
    </row>
    <row r="8217" spans="1:5">
      <c r="A8217" t="s">
        <v>39141</v>
      </c>
      <c r="B8217" t="s">
        <v>15060</v>
      </c>
      <c r="C8217">
        <f>0.0125916110346</f>
        <v>1.2591611034600001E-2</v>
      </c>
      <c r="D8217">
        <v>0.98657455028100005</v>
      </c>
      <c r="E8217">
        <v>24</v>
      </c>
    </row>
    <row r="8218" spans="1:5">
      <c r="A8218" t="s">
        <v>39141</v>
      </c>
      <c r="B8218" t="s">
        <v>15064</v>
      </c>
      <c r="C8218">
        <f>0</f>
        <v>0</v>
      </c>
      <c r="D8218">
        <v>0.98657455028100005</v>
      </c>
      <c r="E8218">
        <v>24</v>
      </c>
    </row>
    <row r="8219" spans="1:5">
      <c r="A8219" t="s">
        <v>39141</v>
      </c>
      <c r="B8219" t="s">
        <v>15062</v>
      </c>
      <c r="C8219">
        <v>0.92527730850800005</v>
      </c>
      <c r="D8219">
        <v>0.98657455028100005</v>
      </c>
      <c r="E8219">
        <v>24</v>
      </c>
    </row>
    <row r="8220" spans="1:5">
      <c r="A8220" t="s">
        <v>39141</v>
      </c>
      <c r="B8220" t="s">
        <v>15061</v>
      </c>
      <c r="C8220">
        <v>0</v>
      </c>
      <c r="D8220">
        <v>0.98657455028100005</v>
      </c>
      <c r="E8220">
        <v>24</v>
      </c>
    </row>
    <row r="8221" spans="1:5">
      <c r="A8221" t="s">
        <v>39142</v>
      </c>
      <c r="B8221" t="s">
        <v>10986</v>
      </c>
      <c r="C8221">
        <f>0.441732593704</f>
        <v>0.44173259370399998</v>
      </c>
      <c r="D8221">
        <v>0.85617872522000005</v>
      </c>
      <c r="E8221">
        <v>6.06</v>
      </c>
    </row>
    <row r="8222" spans="1:5">
      <c r="A8222" t="s">
        <v>39142</v>
      </c>
      <c r="B8222" t="s">
        <v>10989</v>
      </c>
      <c r="C8222">
        <v>0</v>
      </c>
      <c r="D8222">
        <v>0.85617872522000005</v>
      </c>
      <c r="E8222">
        <v>6.06</v>
      </c>
    </row>
    <row r="8223" spans="1:5">
      <c r="A8223" t="s">
        <v>39142</v>
      </c>
      <c r="B8223" t="s">
        <v>10987</v>
      </c>
      <c r="C8223">
        <v>0</v>
      </c>
      <c r="D8223">
        <v>0.85617872522000005</v>
      </c>
      <c r="E8223">
        <v>6.06</v>
      </c>
    </row>
    <row r="8224" spans="1:5">
      <c r="A8224" t="s">
        <v>39142</v>
      </c>
      <c r="B8224" t="s">
        <v>10988</v>
      </c>
      <c r="C8224">
        <v>0.62572156784699995</v>
      </c>
      <c r="D8224">
        <v>0.85617872522000005</v>
      </c>
      <c r="E8224">
        <v>6.06</v>
      </c>
    </row>
    <row r="8225" spans="1:5">
      <c r="A8225" t="s">
        <v>39143</v>
      </c>
      <c r="B8225" t="s">
        <v>39144</v>
      </c>
      <c r="C8225">
        <f>0</f>
        <v>0</v>
      </c>
      <c r="D8225" t="s">
        <v>106</v>
      </c>
      <c r="E8225">
        <v>4.4820000000000002</v>
      </c>
    </row>
    <row r="8226" spans="1:5">
      <c r="A8226" t="s">
        <v>39143</v>
      </c>
      <c r="B8226" t="s">
        <v>39145</v>
      </c>
      <c r="C8226">
        <v>0</v>
      </c>
      <c r="D8226" t="s">
        <v>106</v>
      </c>
      <c r="E8226">
        <v>4.4820000000000002</v>
      </c>
    </row>
    <row r="8227" spans="1:5">
      <c r="A8227" t="s">
        <v>39143</v>
      </c>
      <c r="B8227" t="s">
        <v>39146</v>
      </c>
      <c r="C8227">
        <v>0</v>
      </c>
      <c r="D8227" t="s">
        <v>106</v>
      </c>
      <c r="E8227">
        <v>4.4820000000000002</v>
      </c>
    </row>
    <row r="8228" spans="1:5">
      <c r="A8228" t="s">
        <v>39143</v>
      </c>
      <c r="B8228" t="s">
        <v>39147</v>
      </c>
      <c r="C8228">
        <v>0</v>
      </c>
      <c r="D8228" t="s">
        <v>106</v>
      </c>
      <c r="E8228">
        <v>4.4820000000000002</v>
      </c>
    </row>
    <row r="8229" spans="1:5">
      <c r="A8229" t="s">
        <v>39148</v>
      </c>
      <c r="B8229" t="s">
        <v>7132</v>
      </c>
      <c r="C8229">
        <v>0.55276284330100001</v>
      </c>
      <c r="D8229">
        <v>0.82835402170299999</v>
      </c>
      <c r="E8229">
        <v>0</v>
      </c>
    </row>
    <row r="8230" spans="1:5">
      <c r="A8230" t="s">
        <v>39148</v>
      </c>
      <c r="B8230" t="s">
        <v>7130</v>
      </c>
      <c r="C8230">
        <v>0</v>
      </c>
      <c r="D8230">
        <v>0.82835402170299999</v>
      </c>
      <c r="E8230">
        <v>0</v>
      </c>
    </row>
    <row r="8231" spans="1:5">
      <c r="A8231" t="s">
        <v>39148</v>
      </c>
      <c r="B8231" t="s">
        <v>7127</v>
      </c>
      <c r="C8231">
        <v>1.12175766739E-2</v>
      </c>
      <c r="D8231">
        <v>0.82835402170299999</v>
      </c>
      <c r="E8231">
        <v>0</v>
      </c>
    </row>
    <row r="8232" spans="1:5">
      <c r="A8232" t="s">
        <v>39148</v>
      </c>
      <c r="B8232" t="s">
        <v>7131</v>
      </c>
      <c r="C8232">
        <v>0</v>
      </c>
      <c r="D8232">
        <v>0.82835402170299999</v>
      </c>
      <c r="E8232">
        <v>0</v>
      </c>
    </row>
    <row r="8233" spans="1:5">
      <c r="A8233" t="s">
        <v>39148</v>
      </c>
      <c r="B8233" t="s">
        <v>7128</v>
      </c>
      <c r="C8233">
        <v>0</v>
      </c>
      <c r="D8233">
        <v>0.82835402170299999</v>
      </c>
      <c r="E8233">
        <v>0</v>
      </c>
    </row>
    <row r="8234" spans="1:5">
      <c r="A8234" t="s">
        <v>39148</v>
      </c>
      <c r="B8234" t="s">
        <v>7134</v>
      </c>
      <c r="C8234">
        <v>4.1705280498900002E-2</v>
      </c>
      <c r="D8234">
        <v>0.82835402170299999</v>
      </c>
      <c r="E8234">
        <v>0</v>
      </c>
    </row>
    <row r="8235" spans="1:5">
      <c r="A8235" t="s">
        <v>39148</v>
      </c>
      <c r="B8235" t="s">
        <v>7126</v>
      </c>
      <c r="C8235">
        <v>0</v>
      </c>
      <c r="D8235">
        <v>0.82835402170299999</v>
      </c>
      <c r="E8235">
        <v>0</v>
      </c>
    </row>
    <row r="8236" spans="1:5">
      <c r="A8236" t="s">
        <v>39149</v>
      </c>
      <c r="B8236" t="s">
        <v>39150</v>
      </c>
      <c r="C8236">
        <v>0</v>
      </c>
      <c r="D8236">
        <v>0.97108790344999996</v>
      </c>
      <c r="E8236">
        <v>0.65400000000000003</v>
      </c>
    </row>
    <row r="8237" spans="1:5">
      <c r="A8237" t="s">
        <v>39149</v>
      </c>
      <c r="B8237" t="s">
        <v>39151</v>
      </c>
      <c r="C8237">
        <v>0</v>
      </c>
      <c r="D8237">
        <v>0.97108790344999996</v>
      </c>
      <c r="E8237">
        <v>0.65400000000000003</v>
      </c>
    </row>
    <row r="8238" spans="1:5">
      <c r="A8238" t="s">
        <v>39149</v>
      </c>
      <c r="B8238" t="s">
        <v>39152</v>
      </c>
      <c r="C8238">
        <v>0.121537007227</v>
      </c>
      <c r="D8238">
        <v>0.97108790344999996</v>
      </c>
      <c r="E8238">
        <v>0.65400000000000003</v>
      </c>
    </row>
    <row r="8239" spans="1:5">
      <c r="A8239" t="s">
        <v>39149</v>
      </c>
      <c r="B8239" t="s">
        <v>39153</v>
      </c>
      <c r="C8239">
        <v>6.6234917582300004E-2</v>
      </c>
      <c r="D8239">
        <v>0.97108790344999996</v>
      </c>
      <c r="E8239">
        <v>0.65400000000000003</v>
      </c>
    </row>
    <row r="8240" spans="1:5">
      <c r="A8240" t="s">
        <v>39149</v>
      </c>
      <c r="B8240" t="s">
        <v>39154</v>
      </c>
      <c r="C8240">
        <v>0.395582867389</v>
      </c>
      <c r="D8240">
        <v>0.97108790344999996</v>
      </c>
      <c r="E8240">
        <v>0.65400000000000003</v>
      </c>
    </row>
    <row r="8241" spans="1:5">
      <c r="A8241" t="s">
        <v>39149</v>
      </c>
      <c r="B8241" t="s">
        <v>39155</v>
      </c>
      <c r="C8241">
        <f>0</f>
        <v>0</v>
      </c>
      <c r="D8241">
        <v>0.97108790344999996</v>
      </c>
      <c r="E8241">
        <v>0.65400000000000003</v>
      </c>
    </row>
    <row r="8242" spans="1:5">
      <c r="A8242" t="s">
        <v>39149</v>
      </c>
      <c r="B8242" t="s">
        <v>39156</v>
      </c>
      <c r="C8242">
        <f>0.344609956082</f>
        <v>0.34460995608200001</v>
      </c>
      <c r="D8242">
        <v>0.97108790344999996</v>
      </c>
      <c r="E8242">
        <v>0.65400000000000003</v>
      </c>
    </row>
    <row r="8243" spans="1:5">
      <c r="A8243" t="s">
        <v>39149</v>
      </c>
      <c r="B8243" t="s">
        <v>39157</v>
      </c>
      <c r="C8243">
        <f>0</f>
        <v>0</v>
      </c>
      <c r="D8243">
        <v>0.97108790344999996</v>
      </c>
      <c r="E8243">
        <v>0.65400000000000003</v>
      </c>
    </row>
    <row r="8244" spans="1:5">
      <c r="A8244" t="s">
        <v>39149</v>
      </c>
      <c r="B8244" t="s">
        <v>39158</v>
      </c>
      <c r="C8244">
        <v>0.27740718151900001</v>
      </c>
      <c r="D8244">
        <v>0.97108790344999996</v>
      </c>
      <c r="E8244">
        <v>0.65400000000000003</v>
      </c>
    </row>
    <row r="8245" spans="1:5">
      <c r="A8245" t="s">
        <v>39149</v>
      </c>
      <c r="B8245" t="s">
        <v>39159</v>
      </c>
      <c r="C8245">
        <v>0.19676268794599999</v>
      </c>
      <c r="D8245">
        <v>0.97108790344999996</v>
      </c>
      <c r="E8245">
        <v>0.65400000000000003</v>
      </c>
    </row>
    <row r="8246" spans="1:5">
      <c r="A8246" t="s">
        <v>39149</v>
      </c>
      <c r="B8246" t="s">
        <v>39160</v>
      </c>
      <c r="C8246">
        <v>0.25862321895200002</v>
      </c>
      <c r="D8246">
        <v>0.97108790344999996</v>
      </c>
      <c r="E8246">
        <v>0.65400000000000003</v>
      </c>
    </row>
    <row r="8247" spans="1:5">
      <c r="A8247" t="s">
        <v>39161</v>
      </c>
      <c r="B8247" t="s">
        <v>39162</v>
      </c>
      <c r="C8247">
        <f>0</f>
        <v>0</v>
      </c>
      <c r="D8247">
        <v>0.95517685373700001</v>
      </c>
      <c r="E8247">
        <v>3.0539999999999998</v>
      </c>
    </row>
    <row r="8248" spans="1:5">
      <c r="A8248" t="s">
        <v>39161</v>
      </c>
      <c r="B8248" t="s">
        <v>39163</v>
      </c>
      <c r="C8248">
        <f>0.188613897168</f>
        <v>0.18861389716800001</v>
      </c>
      <c r="D8248">
        <v>0.95517685373700001</v>
      </c>
      <c r="E8248">
        <v>3.0539999999999998</v>
      </c>
    </row>
    <row r="8249" spans="1:5">
      <c r="A8249" t="s">
        <v>39161</v>
      </c>
      <c r="B8249" t="s">
        <v>39164</v>
      </c>
      <c r="C8249">
        <f>0</f>
        <v>0</v>
      </c>
      <c r="D8249">
        <v>0.95517685373700001</v>
      </c>
      <c r="E8249">
        <v>3.0539999999999998</v>
      </c>
    </row>
    <row r="8250" spans="1:5">
      <c r="A8250" t="s">
        <v>39161</v>
      </c>
      <c r="B8250" t="s">
        <v>39165</v>
      </c>
      <c r="C8250">
        <f>0.473449956341</f>
        <v>0.47344995634100001</v>
      </c>
      <c r="D8250">
        <v>0.95517685373700001</v>
      </c>
      <c r="E8250">
        <v>3.0539999999999998</v>
      </c>
    </row>
    <row r="8251" spans="1:5">
      <c r="A8251" t="s">
        <v>39161</v>
      </c>
      <c r="B8251" t="s">
        <v>39166</v>
      </c>
      <c r="C8251">
        <f>0</f>
        <v>0</v>
      </c>
      <c r="D8251">
        <v>0.95517685373700001</v>
      </c>
      <c r="E8251">
        <v>3.0539999999999998</v>
      </c>
    </row>
    <row r="8252" spans="1:5">
      <c r="A8252" t="s">
        <v>39161</v>
      </c>
      <c r="B8252" t="s">
        <v>39167</v>
      </c>
      <c r="C8252">
        <f>0.298703665599</f>
        <v>0.29870366559900002</v>
      </c>
      <c r="D8252">
        <v>0.95517685373700001</v>
      </c>
      <c r="E8252">
        <v>3.0539999999999998</v>
      </c>
    </row>
    <row r="8253" spans="1:5">
      <c r="A8253" t="s">
        <v>39161</v>
      </c>
      <c r="B8253" t="s">
        <v>39168</v>
      </c>
      <c r="C8253">
        <f>0</f>
        <v>0</v>
      </c>
      <c r="D8253">
        <v>0.95517685373700001</v>
      </c>
      <c r="E8253">
        <v>3.0539999999999998</v>
      </c>
    </row>
    <row r="8254" spans="1:5">
      <c r="A8254" t="s">
        <v>39161</v>
      </c>
      <c r="B8254" t="s">
        <v>39169</v>
      </c>
      <c r="C8254">
        <v>0</v>
      </c>
      <c r="D8254">
        <v>0.95517685373700001</v>
      </c>
      <c r="E8254">
        <v>3.0539999999999998</v>
      </c>
    </row>
    <row r="8255" spans="1:5">
      <c r="A8255" t="s">
        <v>39161</v>
      </c>
      <c r="B8255" t="s">
        <v>39170</v>
      </c>
      <c r="C8255">
        <v>0.249524222859</v>
      </c>
      <c r="D8255">
        <v>0.95517685373700001</v>
      </c>
      <c r="E8255">
        <v>3.0539999999999998</v>
      </c>
    </row>
    <row r="8256" spans="1:5">
      <c r="A8256" t="s">
        <v>39171</v>
      </c>
      <c r="B8256" t="s">
        <v>33318</v>
      </c>
      <c r="C8256">
        <v>0.48405311107600002</v>
      </c>
      <c r="D8256">
        <v>0.94645978852000001</v>
      </c>
      <c r="E8256">
        <v>2.3279999999999998</v>
      </c>
    </row>
    <row r="8257" spans="1:5">
      <c r="A8257" t="s">
        <v>39171</v>
      </c>
      <c r="B8257" t="s">
        <v>33321</v>
      </c>
      <c r="C8257">
        <v>0.34240567953399997</v>
      </c>
      <c r="D8257">
        <v>0.94645978852000001</v>
      </c>
      <c r="E8257">
        <v>2.3279999999999998</v>
      </c>
    </row>
    <row r="8258" spans="1:5">
      <c r="A8258" t="s">
        <v>39171</v>
      </c>
      <c r="B8258" t="s">
        <v>33320</v>
      </c>
      <c r="C8258">
        <f>0.614390876931</f>
        <v>0.61439087693100003</v>
      </c>
      <c r="D8258">
        <v>0.94645978852000001</v>
      </c>
      <c r="E8258">
        <v>2.3279999999999998</v>
      </c>
    </row>
    <row r="8259" spans="1:5">
      <c r="A8259" t="s">
        <v>39172</v>
      </c>
      <c r="B8259" t="s">
        <v>39173</v>
      </c>
      <c r="C8259">
        <v>0</v>
      </c>
      <c r="D8259" t="s">
        <v>106</v>
      </c>
      <c r="E8259">
        <v>2.802</v>
      </c>
    </row>
    <row r="8260" spans="1:5">
      <c r="A8260" t="s">
        <v>39172</v>
      </c>
      <c r="B8260" t="s">
        <v>39174</v>
      </c>
      <c r="C8260">
        <v>0</v>
      </c>
      <c r="D8260" t="s">
        <v>106</v>
      </c>
      <c r="E8260">
        <v>2.802</v>
      </c>
    </row>
    <row r="8261" spans="1:5">
      <c r="A8261" t="s">
        <v>39172</v>
      </c>
      <c r="B8261" t="s">
        <v>39175</v>
      </c>
      <c r="C8261">
        <v>0</v>
      </c>
      <c r="D8261" t="s">
        <v>106</v>
      </c>
      <c r="E8261">
        <v>2.802</v>
      </c>
    </row>
    <row r="8262" spans="1:5">
      <c r="A8262" t="s">
        <v>39176</v>
      </c>
      <c r="B8262" t="s">
        <v>6788</v>
      </c>
      <c r="C8262">
        <f>0</f>
        <v>0</v>
      </c>
      <c r="D8262" t="s">
        <v>106</v>
      </c>
      <c r="E8262">
        <v>2.3279999999999998</v>
      </c>
    </row>
    <row r="8263" spans="1:5">
      <c r="A8263" t="s">
        <v>39176</v>
      </c>
      <c r="B8263" t="s">
        <v>6785</v>
      </c>
      <c r="C8263">
        <f>0</f>
        <v>0</v>
      </c>
      <c r="D8263" t="s">
        <v>106</v>
      </c>
      <c r="E8263">
        <v>2.3279999999999998</v>
      </c>
    </row>
    <row r="8264" spans="1:5">
      <c r="A8264" t="s">
        <v>39176</v>
      </c>
      <c r="B8264" t="s">
        <v>6790</v>
      </c>
      <c r="C8264">
        <v>0</v>
      </c>
      <c r="D8264" t="s">
        <v>106</v>
      </c>
      <c r="E8264">
        <v>2.3279999999999998</v>
      </c>
    </row>
    <row r="8265" spans="1:5">
      <c r="A8265" t="s">
        <v>39176</v>
      </c>
      <c r="B8265" t="s">
        <v>6787</v>
      </c>
      <c r="C8265">
        <f>0</f>
        <v>0</v>
      </c>
      <c r="D8265" t="s">
        <v>106</v>
      </c>
      <c r="E8265">
        <v>2.3279999999999998</v>
      </c>
    </row>
    <row r="8266" spans="1:5">
      <c r="A8266" t="s">
        <v>39176</v>
      </c>
      <c r="B8266" t="s">
        <v>6789</v>
      </c>
      <c r="C8266">
        <f>0</f>
        <v>0</v>
      </c>
      <c r="D8266" t="s">
        <v>106</v>
      </c>
      <c r="E8266">
        <v>2.3279999999999998</v>
      </c>
    </row>
    <row r="8267" spans="1:5">
      <c r="A8267" t="s">
        <v>39177</v>
      </c>
      <c r="B8267" t="s">
        <v>34491</v>
      </c>
      <c r="C8267">
        <v>0</v>
      </c>
      <c r="D8267">
        <v>0.94566535126100004</v>
      </c>
      <c r="E8267">
        <v>3.78</v>
      </c>
    </row>
    <row r="8268" spans="1:5">
      <c r="A8268" t="s">
        <v>39177</v>
      </c>
      <c r="B8268" t="s">
        <v>34486</v>
      </c>
      <c r="C8268">
        <f>0</f>
        <v>0</v>
      </c>
      <c r="D8268">
        <v>0.94566535126100004</v>
      </c>
      <c r="E8268">
        <v>3.78</v>
      </c>
    </row>
    <row r="8269" spans="1:5">
      <c r="A8269" t="s">
        <v>39177</v>
      </c>
      <c r="B8269" t="s">
        <v>34488</v>
      </c>
      <c r="C8269">
        <f>0</f>
        <v>0</v>
      </c>
      <c r="D8269">
        <v>0.94566535126100004</v>
      </c>
      <c r="E8269">
        <v>3.78</v>
      </c>
    </row>
    <row r="8270" spans="1:5">
      <c r="A8270" t="s">
        <v>39177</v>
      </c>
      <c r="B8270" t="s">
        <v>34490</v>
      </c>
      <c r="C8270">
        <v>0.72569566573900002</v>
      </c>
      <c r="D8270">
        <v>0.94566535126100004</v>
      </c>
      <c r="E8270">
        <v>3.78</v>
      </c>
    </row>
    <row r="8271" spans="1:5">
      <c r="A8271" t="s">
        <v>39177</v>
      </c>
      <c r="B8271" t="s">
        <v>34493</v>
      </c>
      <c r="C8271">
        <v>0.205312559768</v>
      </c>
      <c r="D8271">
        <v>0.94566535126100004</v>
      </c>
      <c r="E8271">
        <v>3.78</v>
      </c>
    </row>
    <row r="8272" spans="1:5">
      <c r="A8272" t="s">
        <v>39177</v>
      </c>
      <c r="B8272" t="s">
        <v>34489</v>
      </c>
      <c r="C8272">
        <f>0.0398492891704</f>
        <v>3.9849289170400003E-2</v>
      </c>
      <c r="D8272">
        <v>0.94566535126100004</v>
      </c>
      <c r="E8272">
        <v>3.78</v>
      </c>
    </row>
    <row r="8273" spans="1:5">
      <c r="A8273" t="s">
        <v>39177</v>
      </c>
      <c r="B8273" t="s">
        <v>34492</v>
      </c>
      <c r="C8273">
        <v>9.64500267982E-2</v>
      </c>
      <c r="D8273">
        <v>0.94566535126100004</v>
      </c>
      <c r="E8273">
        <v>3.78</v>
      </c>
    </row>
    <row r="8274" spans="1:5">
      <c r="A8274" t="s">
        <v>39177</v>
      </c>
      <c r="B8274" t="s">
        <v>34487</v>
      </c>
      <c r="C8274">
        <v>0</v>
      </c>
      <c r="D8274">
        <v>0.94566535126100004</v>
      </c>
      <c r="E8274">
        <v>3.78</v>
      </c>
    </row>
    <row r="8275" spans="1:5">
      <c r="A8275" t="s">
        <v>39178</v>
      </c>
      <c r="B8275" t="s">
        <v>3455</v>
      </c>
      <c r="C8275">
        <f>0.220603146325</f>
        <v>0.220603146325</v>
      </c>
      <c r="D8275">
        <v>0.73901314632500004</v>
      </c>
      <c r="E8275">
        <v>4.17</v>
      </c>
    </row>
    <row r="8276" spans="1:5">
      <c r="A8276" t="s">
        <v>39178</v>
      </c>
      <c r="B8276" t="s">
        <v>3457</v>
      </c>
      <c r="C8276">
        <f>0</f>
        <v>0</v>
      </c>
      <c r="D8276">
        <v>0.73901314632500004</v>
      </c>
      <c r="E8276">
        <v>4.17</v>
      </c>
    </row>
    <row r="8277" spans="1:5">
      <c r="A8277" t="s">
        <v>39179</v>
      </c>
      <c r="B8277" t="s">
        <v>39180</v>
      </c>
      <c r="C8277">
        <v>0.677440233783</v>
      </c>
      <c r="D8277">
        <v>0.96941612687400003</v>
      </c>
      <c r="E8277">
        <v>8.1539999999999999</v>
      </c>
    </row>
    <row r="8278" spans="1:5">
      <c r="A8278" t="s">
        <v>39179</v>
      </c>
      <c r="B8278" t="s">
        <v>39181</v>
      </c>
      <c r="C8278">
        <v>0.331312076816</v>
      </c>
      <c r="D8278">
        <v>0.96941612687400003</v>
      </c>
      <c r="E8278">
        <v>8.1539999999999999</v>
      </c>
    </row>
    <row r="8279" spans="1:5">
      <c r="A8279" t="s">
        <v>39179</v>
      </c>
      <c r="B8279" t="s">
        <v>39182</v>
      </c>
      <c r="C8279">
        <v>2.7906965224100001E-2</v>
      </c>
      <c r="D8279">
        <v>0.96941612687400003</v>
      </c>
      <c r="E8279">
        <v>8.1539999999999999</v>
      </c>
    </row>
    <row r="8280" spans="1:5">
      <c r="A8280" t="s">
        <v>39183</v>
      </c>
      <c r="B8280" t="s">
        <v>39184</v>
      </c>
      <c r="C8280">
        <f>0</f>
        <v>0</v>
      </c>
      <c r="D8280">
        <v>0.50857088780199999</v>
      </c>
      <c r="E8280">
        <v>4.6920000000000002</v>
      </c>
    </row>
    <row r="8281" spans="1:5">
      <c r="A8281" t="s">
        <v>39183</v>
      </c>
      <c r="B8281" t="s">
        <v>39185</v>
      </c>
      <c r="C8281">
        <f>0.0653565831978</f>
        <v>6.5356583197799994E-2</v>
      </c>
      <c r="D8281">
        <v>0.50857088780199999</v>
      </c>
      <c r="E8281">
        <v>4.6920000000000002</v>
      </c>
    </row>
    <row r="8282" spans="1:5">
      <c r="A8282" t="s">
        <v>39183</v>
      </c>
      <c r="B8282" t="s">
        <v>39186</v>
      </c>
      <c r="C8282">
        <f>0</f>
        <v>0</v>
      </c>
      <c r="D8282">
        <v>0.50857088780199999</v>
      </c>
      <c r="E8282">
        <v>4.6920000000000002</v>
      </c>
    </row>
    <row r="8283" spans="1:5">
      <c r="A8283" t="s">
        <v>39183</v>
      </c>
      <c r="B8283" t="s">
        <v>39187</v>
      </c>
      <c r="C8283">
        <f>0</f>
        <v>0</v>
      </c>
      <c r="D8283">
        <v>0.50857088780199999</v>
      </c>
      <c r="E8283">
        <v>4.6920000000000002</v>
      </c>
    </row>
    <row r="8284" spans="1:5">
      <c r="A8284" t="s">
        <v>39183</v>
      </c>
      <c r="B8284" t="s">
        <v>39188</v>
      </c>
      <c r="C8284">
        <v>0.15114067328299999</v>
      </c>
      <c r="D8284">
        <v>0.50857088780199999</v>
      </c>
      <c r="E8284">
        <v>4.6920000000000002</v>
      </c>
    </row>
    <row r="8285" spans="1:5">
      <c r="A8285" t="s">
        <v>39183</v>
      </c>
      <c r="B8285" t="s">
        <v>39189</v>
      </c>
      <c r="C8285">
        <v>0</v>
      </c>
      <c r="D8285">
        <v>0.50857088780199999</v>
      </c>
      <c r="E8285">
        <v>4.6920000000000002</v>
      </c>
    </row>
    <row r="8286" spans="1:5">
      <c r="A8286" t="s">
        <v>39190</v>
      </c>
      <c r="B8286" t="s">
        <v>39191</v>
      </c>
      <c r="C8286">
        <v>0.62539571702300001</v>
      </c>
      <c r="D8286">
        <v>0.79456023019800004</v>
      </c>
      <c r="E8286">
        <v>10.715999999999999</v>
      </c>
    </row>
    <row r="8287" spans="1:5">
      <c r="A8287" t="s">
        <v>39190</v>
      </c>
      <c r="B8287" t="s">
        <v>39192</v>
      </c>
      <c r="C8287">
        <v>0.62622094122299998</v>
      </c>
      <c r="D8287">
        <v>0.79456023019800004</v>
      </c>
      <c r="E8287">
        <v>10.715999999999999</v>
      </c>
    </row>
    <row r="8288" spans="1:5">
      <c r="A8288" t="s">
        <v>39190</v>
      </c>
      <c r="B8288" t="s">
        <v>39193</v>
      </c>
      <c r="C8288">
        <f>0.394477268085</f>
        <v>0.394477268085</v>
      </c>
      <c r="D8288">
        <v>0.79456023019800004</v>
      </c>
      <c r="E8288">
        <v>10.715999999999999</v>
      </c>
    </row>
    <row r="8289" spans="1:5">
      <c r="A8289" t="s">
        <v>39194</v>
      </c>
      <c r="B8289" t="s">
        <v>5311</v>
      </c>
      <c r="C8289">
        <v>0</v>
      </c>
      <c r="D8289" t="s">
        <v>106</v>
      </c>
      <c r="E8289">
        <v>24</v>
      </c>
    </row>
    <row r="8290" spans="1:5">
      <c r="A8290" t="s">
        <v>39194</v>
      </c>
      <c r="B8290" t="s">
        <v>5312</v>
      </c>
      <c r="C8290">
        <f>0</f>
        <v>0</v>
      </c>
      <c r="D8290" t="s">
        <v>106</v>
      </c>
      <c r="E8290">
        <v>24</v>
      </c>
    </row>
    <row r="8291" spans="1:5">
      <c r="A8291" t="s">
        <v>39194</v>
      </c>
      <c r="B8291" t="s">
        <v>39195</v>
      </c>
      <c r="C8291">
        <f>0</f>
        <v>0</v>
      </c>
      <c r="D8291" t="s">
        <v>106</v>
      </c>
      <c r="E8291">
        <v>24</v>
      </c>
    </row>
    <row r="8292" spans="1:5">
      <c r="A8292" t="s">
        <v>39194</v>
      </c>
      <c r="B8292" t="s">
        <v>5309</v>
      </c>
      <c r="C8292">
        <v>0</v>
      </c>
      <c r="D8292" t="s">
        <v>106</v>
      </c>
      <c r="E8292">
        <v>24</v>
      </c>
    </row>
    <row r="8293" spans="1:5">
      <c r="A8293" t="s">
        <v>39196</v>
      </c>
      <c r="B8293" t="s">
        <v>20617</v>
      </c>
      <c r="C8293">
        <v>0</v>
      </c>
      <c r="D8293" t="s">
        <v>106</v>
      </c>
      <c r="E8293">
        <v>8.1539999999999999</v>
      </c>
    </row>
    <row r="8294" spans="1:5">
      <c r="A8294" t="s">
        <v>39196</v>
      </c>
      <c r="B8294" t="s">
        <v>20616</v>
      </c>
      <c r="C8294">
        <v>0</v>
      </c>
      <c r="D8294" t="s">
        <v>106</v>
      </c>
      <c r="E8294">
        <v>8.1539999999999999</v>
      </c>
    </row>
    <row r="8295" spans="1:5">
      <c r="A8295" t="s">
        <v>39197</v>
      </c>
      <c r="B8295" t="s">
        <v>14034</v>
      </c>
      <c r="C8295">
        <v>0</v>
      </c>
      <c r="D8295" t="s">
        <v>106</v>
      </c>
      <c r="E8295">
        <v>24</v>
      </c>
    </row>
    <row r="8296" spans="1:5">
      <c r="A8296" t="s">
        <v>39197</v>
      </c>
      <c r="B8296" t="s">
        <v>14037</v>
      </c>
      <c r="C8296">
        <f>0</f>
        <v>0</v>
      </c>
      <c r="D8296" t="s">
        <v>106</v>
      </c>
      <c r="E8296">
        <v>24</v>
      </c>
    </row>
    <row r="8297" spans="1:5">
      <c r="A8297" t="s">
        <v>39197</v>
      </c>
      <c r="B8297" t="s">
        <v>14036</v>
      </c>
      <c r="C8297">
        <v>0</v>
      </c>
      <c r="D8297" t="s">
        <v>106</v>
      </c>
      <c r="E8297">
        <v>24</v>
      </c>
    </row>
    <row r="8298" spans="1:5">
      <c r="A8298" t="s">
        <v>39198</v>
      </c>
      <c r="B8298" t="s">
        <v>14502</v>
      </c>
      <c r="C8298">
        <f>0</f>
        <v>0</v>
      </c>
      <c r="D8298">
        <v>0.825252447577</v>
      </c>
      <c r="E8298">
        <v>3.3180000000000001</v>
      </c>
    </row>
    <row r="8299" spans="1:5">
      <c r="A8299" t="s">
        <v>39198</v>
      </c>
      <c r="B8299" t="s">
        <v>14499</v>
      </c>
      <c r="C8299">
        <v>0</v>
      </c>
      <c r="D8299">
        <v>0.825252447577</v>
      </c>
      <c r="E8299">
        <v>3.3180000000000001</v>
      </c>
    </row>
    <row r="8300" spans="1:5">
      <c r="A8300" t="s">
        <v>39198</v>
      </c>
      <c r="B8300" t="s">
        <v>39199</v>
      </c>
      <c r="C8300">
        <v>0</v>
      </c>
      <c r="D8300">
        <v>0.825252447577</v>
      </c>
      <c r="E8300">
        <v>3.3180000000000001</v>
      </c>
    </row>
    <row r="8301" spans="1:5">
      <c r="A8301" t="s">
        <v>39198</v>
      </c>
      <c r="B8301" t="s">
        <v>14503</v>
      </c>
      <c r="C8301">
        <f>0.025830156504</f>
        <v>2.5830156504000001E-2</v>
      </c>
      <c r="D8301">
        <v>0.825252447577</v>
      </c>
      <c r="E8301">
        <v>3.3180000000000001</v>
      </c>
    </row>
    <row r="8302" spans="1:5">
      <c r="A8302" t="s">
        <v>39198</v>
      </c>
      <c r="B8302" t="s">
        <v>14504</v>
      </c>
      <c r="C8302">
        <v>8.7225677401799998E-2</v>
      </c>
      <c r="D8302">
        <v>0.825252447577</v>
      </c>
      <c r="E8302">
        <v>3.3180000000000001</v>
      </c>
    </row>
    <row r="8303" spans="1:5">
      <c r="A8303" t="s">
        <v>39198</v>
      </c>
      <c r="B8303" t="s">
        <v>14506</v>
      </c>
      <c r="C8303">
        <v>0</v>
      </c>
      <c r="D8303">
        <v>0.825252447577</v>
      </c>
      <c r="E8303">
        <v>3.3180000000000001</v>
      </c>
    </row>
    <row r="8304" spans="1:5">
      <c r="A8304" t="s">
        <v>39198</v>
      </c>
      <c r="B8304" t="s">
        <v>14508</v>
      </c>
      <c r="C8304">
        <v>0</v>
      </c>
      <c r="D8304">
        <v>0.825252447577</v>
      </c>
      <c r="E8304">
        <v>3.3180000000000001</v>
      </c>
    </row>
    <row r="8305" spans="1:5">
      <c r="A8305" t="s">
        <v>39198</v>
      </c>
      <c r="B8305" t="s">
        <v>14505</v>
      </c>
      <c r="C8305">
        <f>0.642170707125</f>
        <v>0.64217070712500002</v>
      </c>
      <c r="D8305">
        <v>0.825252447577</v>
      </c>
      <c r="E8305">
        <v>3.3180000000000001</v>
      </c>
    </row>
    <row r="8306" spans="1:5">
      <c r="A8306" t="s">
        <v>39200</v>
      </c>
      <c r="B8306" t="s">
        <v>4595</v>
      </c>
      <c r="C8306">
        <v>0.70202933491499997</v>
      </c>
      <c r="D8306">
        <v>0.87204853826700002</v>
      </c>
      <c r="E8306">
        <v>24</v>
      </c>
    </row>
    <row r="8307" spans="1:5">
      <c r="A8307" t="s">
        <v>39200</v>
      </c>
      <c r="B8307" t="s">
        <v>4594</v>
      </c>
      <c r="C8307">
        <v>0.113433108455</v>
      </c>
      <c r="D8307">
        <v>0.87204853826700002</v>
      </c>
      <c r="E8307">
        <v>24</v>
      </c>
    </row>
    <row r="8308" spans="1:5">
      <c r="A8308" t="s">
        <v>39201</v>
      </c>
      <c r="B8308" t="s">
        <v>32877</v>
      </c>
      <c r="C8308">
        <f>0</f>
        <v>0</v>
      </c>
      <c r="D8308" t="s">
        <v>106</v>
      </c>
      <c r="E8308">
        <v>4.3739999999999997</v>
      </c>
    </row>
    <row r="8309" spans="1:5">
      <c r="A8309" t="s">
        <v>39201</v>
      </c>
      <c r="B8309" t="s">
        <v>32879</v>
      </c>
      <c r="C8309">
        <f>0</f>
        <v>0</v>
      </c>
      <c r="D8309" t="s">
        <v>106</v>
      </c>
      <c r="E8309">
        <v>4.3739999999999997</v>
      </c>
    </row>
    <row r="8310" spans="1:5">
      <c r="A8310" t="s">
        <v>39201</v>
      </c>
      <c r="B8310" t="s">
        <v>32880</v>
      </c>
      <c r="C8310">
        <v>0</v>
      </c>
      <c r="D8310" t="s">
        <v>106</v>
      </c>
      <c r="E8310">
        <v>4.3739999999999997</v>
      </c>
    </row>
    <row r="8311" spans="1:5">
      <c r="A8311" t="s">
        <v>39202</v>
      </c>
      <c r="B8311" t="s">
        <v>17104</v>
      </c>
      <c r="C8311">
        <f>0</f>
        <v>0</v>
      </c>
      <c r="D8311" t="s">
        <v>106</v>
      </c>
      <c r="E8311">
        <v>24</v>
      </c>
    </row>
    <row r="8312" spans="1:5">
      <c r="A8312" t="s">
        <v>39202</v>
      </c>
      <c r="B8312" t="s">
        <v>17112</v>
      </c>
      <c r="C8312">
        <v>0</v>
      </c>
      <c r="D8312" t="s">
        <v>106</v>
      </c>
      <c r="E8312">
        <v>24</v>
      </c>
    </row>
    <row r="8313" spans="1:5">
      <c r="A8313" t="s">
        <v>39202</v>
      </c>
      <c r="B8313" t="s">
        <v>17107</v>
      </c>
      <c r="C8313">
        <f>0</f>
        <v>0</v>
      </c>
      <c r="D8313" t="s">
        <v>106</v>
      </c>
      <c r="E8313">
        <v>24</v>
      </c>
    </row>
    <row r="8314" spans="1:5">
      <c r="A8314" t="s">
        <v>39202</v>
      </c>
      <c r="B8314" t="s">
        <v>17108</v>
      </c>
      <c r="C8314">
        <f>0</f>
        <v>0</v>
      </c>
      <c r="D8314" t="s">
        <v>106</v>
      </c>
      <c r="E8314">
        <v>24</v>
      </c>
    </row>
    <row r="8315" spans="1:5">
      <c r="A8315" t="s">
        <v>39202</v>
      </c>
      <c r="B8315" t="s">
        <v>17114</v>
      </c>
      <c r="C8315">
        <f>0</f>
        <v>0</v>
      </c>
      <c r="D8315" t="s">
        <v>106</v>
      </c>
      <c r="E8315">
        <v>24</v>
      </c>
    </row>
    <row r="8316" spans="1:5">
      <c r="A8316" t="s">
        <v>39202</v>
      </c>
      <c r="B8316" t="s">
        <v>17110</v>
      </c>
      <c r="C8316">
        <v>0</v>
      </c>
      <c r="D8316" t="s">
        <v>106</v>
      </c>
      <c r="E8316">
        <v>24</v>
      </c>
    </row>
    <row r="8317" spans="1:5">
      <c r="A8317" t="s">
        <v>39203</v>
      </c>
      <c r="B8317" t="s">
        <v>13166</v>
      </c>
      <c r="C8317">
        <v>0.45524592362799998</v>
      </c>
      <c r="D8317">
        <v>0.58478076855299999</v>
      </c>
      <c r="E8317">
        <v>0.82799999999999996</v>
      </c>
    </row>
    <row r="8318" spans="1:5">
      <c r="A8318" t="s">
        <v>39203</v>
      </c>
      <c r="B8318" t="s">
        <v>13168</v>
      </c>
      <c r="C8318">
        <f>0.0940443298795</f>
        <v>9.4044329879499997E-2</v>
      </c>
      <c r="D8318">
        <v>0.58478076855299999</v>
      </c>
      <c r="E8318">
        <v>0.82799999999999996</v>
      </c>
    </row>
    <row r="8319" spans="1:5">
      <c r="A8319" t="s">
        <v>39203</v>
      </c>
      <c r="B8319" t="s">
        <v>13167</v>
      </c>
      <c r="C8319">
        <v>0</v>
      </c>
      <c r="D8319">
        <v>0.58478076855299999</v>
      </c>
      <c r="E8319">
        <v>0.82799999999999996</v>
      </c>
    </row>
    <row r="8320" spans="1:5">
      <c r="A8320" t="s">
        <v>39204</v>
      </c>
      <c r="B8320" t="s">
        <v>39205</v>
      </c>
      <c r="C8320">
        <f>0.351535362634</f>
        <v>0.35153536263399998</v>
      </c>
      <c r="D8320">
        <v>0.48114536263399998</v>
      </c>
      <c r="E8320">
        <v>24</v>
      </c>
    </row>
    <row r="8321" spans="1:5">
      <c r="A8321" t="s">
        <v>39204</v>
      </c>
      <c r="B8321" t="s">
        <v>39206</v>
      </c>
      <c r="C8321">
        <v>0</v>
      </c>
      <c r="D8321">
        <v>0.48114536263399998</v>
      </c>
      <c r="E8321">
        <v>24</v>
      </c>
    </row>
    <row r="8322" spans="1:5">
      <c r="A8322" t="s">
        <v>39207</v>
      </c>
      <c r="B8322" t="s">
        <v>26149</v>
      </c>
      <c r="C8322">
        <f>0</f>
        <v>0</v>
      </c>
      <c r="D8322" t="s">
        <v>106</v>
      </c>
      <c r="E8322">
        <v>23.04</v>
      </c>
    </row>
    <row r="8323" spans="1:5">
      <c r="A8323" t="s">
        <v>39207</v>
      </c>
      <c r="B8323" t="s">
        <v>26152</v>
      </c>
      <c r="C8323">
        <f>0</f>
        <v>0</v>
      </c>
      <c r="D8323" t="s">
        <v>106</v>
      </c>
      <c r="E8323">
        <v>23.04</v>
      </c>
    </row>
    <row r="8324" spans="1:5">
      <c r="A8324" t="s">
        <v>39207</v>
      </c>
      <c r="B8324" t="s">
        <v>26151</v>
      </c>
      <c r="C8324">
        <v>0</v>
      </c>
      <c r="D8324" t="s">
        <v>106</v>
      </c>
      <c r="E8324">
        <v>23.04</v>
      </c>
    </row>
    <row r="8325" spans="1:5">
      <c r="A8325" t="s">
        <v>39208</v>
      </c>
      <c r="B8325" t="s">
        <v>39209</v>
      </c>
      <c r="C8325">
        <v>1.3788023063999999</v>
      </c>
      <c r="D8325">
        <v>0.98846487093699997</v>
      </c>
      <c r="E8325">
        <v>0.65400000000000003</v>
      </c>
    </row>
    <row r="8326" spans="1:5">
      <c r="A8326" t="s">
        <v>39208</v>
      </c>
      <c r="B8326" t="s">
        <v>39210</v>
      </c>
      <c r="C8326">
        <f>-1.00554824385</f>
        <v>-1.0055482438500001</v>
      </c>
      <c r="D8326">
        <v>0.98846487093699997</v>
      </c>
      <c r="E8326">
        <v>0.65400000000000003</v>
      </c>
    </row>
    <row r="8327" spans="1:5">
      <c r="A8327" t="s">
        <v>39208</v>
      </c>
      <c r="B8327" t="s">
        <v>39211</v>
      </c>
      <c r="C8327">
        <f>0.621586905925</f>
        <v>0.62158690592499999</v>
      </c>
      <c r="D8327">
        <v>0.98846487093699997</v>
      </c>
      <c r="E8327">
        <v>0.65400000000000003</v>
      </c>
    </row>
    <row r="8328" spans="1:5">
      <c r="A8328" t="s">
        <v>39212</v>
      </c>
      <c r="B8328" t="s">
        <v>29341</v>
      </c>
      <c r="C8328">
        <f>-1.40324921487</f>
        <v>-1.40324921487</v>
      </c>
      <c r="D8328">
        <v>0.82503161817799997</v>
      </c>
      <c r="E8328">
        <v>24</v>
      </c>
    </row>
    <row r="8329" spans="1:5">
      <c r="A8329" t="s">
        <v>39212</v>
      </c>
      <c r="B8329" t="s">
        <v>29342</v>
      </c>
      <c r="C8329">
        <f>0.669855380567</f>
        <v>0.669855380567</v>
      </c>
      <c r="D8329">
        <v>0.82503161817799997</v>
      </c>
      <c r="E8329">
        <v>24</v>
      </c>
    </row>
    <row r="8330" spans="1:5">
      <c r="A8330" t="s">
        <v>39212</v>
      </c>
      <c r="B8330" t="s">
        <v>29343</v>
      </c>
      <c r="C8330">
        <v>0.76034795087600004</v>
      </c>
      <c r="D8330">
        <v>0.82503161817799997</v>
      </c>
      <c r="E8330">
        <v>24</v>
      </c>
    </row>
    <row r="8331" spans="1:5">
      <c r="A8331" t="s">
        <v>39213</v>
      </c>
      <c r="B8331" t="s">
        <v>16645</v>
      </c>
      <c r="C8331">
        <v>0</v>
      </c>
      <c r="D8331" t="s">
        <v>106</v>
      </c>
      <c r="E8331">
        <v>24</v>
      </c>
    </row>
    <row r="8332" spans="1:5">
      <c r="A8332" t="s">
        <v>39213</v>
      </c>
      <c r="B8332" t="s">
        <v>16647</v>
      </c>
      <c r="C8332">
        <v>0</v>
      </c>
      <c r="D8332" t="s">
        <v>106</v>
      </c>
      <c r="E8332">
        <v>24</v>
      </c>
    </row>
    <row r="8333" spans="1:5">
      <c r="A8333" t="s">
        <v>39214</v>
      </c>
      <c r="B8333" t="s">
        <v>39215</v>
      </c>
      <c r="C8333">
        <v>0.71715190241799998</v>
      </c>
      <c r="D8333">
        <v>0.93131258631900005</v>
      </c>
      <c r="E8333">
        <v>1.968</v>
      </c>
    </row>
    <row r="8334" spans="1:5">
      <c r="A8334" t="s">
        <v>39214</v>
      </c>
      <c r="B8334" t="s">
        <v>39216</v>
      </c>
      <c r="C8334">
        <v>0</v>
      </c>
      <c r="D8334">
        <v>0.93131258631900005</v>
      </c>
      <c r="E8334">
        <v>1.968</v>
      </c>
    </row>
    <row r="8335" spans="1:5">
      <c r="A8335" t="s">
        <v>39214</v>
      </c>
      <c r="B8335" t="s">
        <v>39217</v>
      </c>
      <c r="C8335">
        <f>0</f>
        <v>0</v>
      </c>
      <c r="D8335">
        <v>0.93131258631900005</v>
      </c>
      <c r="E8335">
        <v>1.968</v>
      </c>
    </row>
    <row r="8336" spans="1:5">
      <c r="A8336" t="s">
        <v>39214</v>
      </c>
      <c r="B8336" t="s">
        <v>39218</v>
      </c>
      <c r="C8336">
        <v>0</v>
      </c>
      <c r="D8336">
        <v>0.93131258631900005</v>
      </c>
      <c r="E8336">
        <v>1.968</v>
      </c>
    </row>
    <row r="8337" spans="1:5">
      <c r="A8337" t="s">
        <v>39214</v>
      </c>
      <c r="B8337" t="s">
        <v>39219</v>
      </c>
      <c r="C8337">
        <f>0.140255310242</f>
        <v>0.140255310242</v>
      </c>
      <c r="D8337">
        <v>0.93131258631900005</v>
      </c>
      <c r="E8337">
        <v>1.968</v>
      </c>
    </row>
    <row r="8338" spans="1:5">
      <c r="A8338" t="s">
        <v>39214</v>
      </c>
      <c r="B8338" t="s">
        <v>39220</v>
      </c>
      <c r="C8338">
        <f>0.20455436794</f>
        <v>0.20455436794000001</v>
      </c>
      <c r="D8338">
        <v>0.93131258631900005</v>
      </c>
      <c r="E8338">
        <v>1.968</v>
      </c>
    </row>
    <row r="8339" spans="1:5">
      <c r="A8339" t="s">
        <v>39214</v>
      </c>
      <c r="B8339" t="s">
        <v>39221</v>
      </c>
      <c r="C8339">
        <f>0.261303876655</f>
        <v>0.26130387665499999</v>
      </c>
      <c r="D8339">
        <v>0.93131258631900005</v>
      </c>
      <c r="E8339">
        <v>1.968</v>
      </c>
    </row>
    <row r="8340" spans="1:5">
      <c r="A8340" t="s">
        <v>39214</v>
      </c>
      <c r="B8340" t="s">
        <v>39222</v>
      </c>
      <c r="C8340">
        <v>0</v>
      </c>
      <c r="D8340">
        <v>0.93131258631900005</v>
      </c>
      <c r="E8340">
        <v>1.968</v>
      </c>
    </row>
    <row r="8341" spans="1:5">
      <c r="A8341" t="s">
        <v>39214</v>
      </c>
      <c r="B8341" t="s">
        <v>39223</v>
      </c>
      <c r="C8341">
        <f>0</f>
        <v>0</v>
      </c>
      <c r="D8341">
        <v>0.93131258631900005</v>
      </c>
      <c r="E8341">
        <v>1.968</v>
      </c>
    </row>
    <row r="8342" spans="1:5">
      <c r="A8342" t="s">
        <v>39214</v>
      </c>
      <c r="B8342" t="s">
        <v>39224</v>
      </c>
      <c r="C8342">
        <f>0</f>
        <v>0</v>
      </c>
      <c r="D8342">
        <v>0.93131258631900005</v>
      </c>
      <c r="E8342">
        <v>1.968</v>
      </c>
    </row>
    <row r="8343" spans="1:5">
      <c r="A8343" t="s">
        <v>39225</v>
      </c>
      <c r="B8343" t="s">
        <v>26240</v>
      </c>
      <c r="C8343">
        <f>0</f>
        <v>0</v>
      </c>
      <c r="D8343" t="s">
        <v>106</v>
      </c>
      <c r="E8343">
        <v>23.754000000000001</v>
      </c>
    </row>
    <row r="8344" spans="1:5">
      <c r="A8344" t="s">
        <v>39225</v>
      </c>
      <c r="B8344" t="s">
        <v>26241</v>
      </c>
      <c r="C8344">
        <f>0</f>
        <v>0</v>
      </c>
      <c r="D8344" t="s">
        <v>106</v>
      </c>
      <c r="E8344">
        <v>23.754000000000001</v>
      </c>
    </row>
    <row r="8345" spans="1:5">
      <c r="A8345" t="s">
        <v>39226</v>
      </c>
      <c r="B8345" t="s">
        <v>9125</v>
      </c>
      <c r="C8345">
        <v>0.74385328868</v>
      </c>
      <c r="D8345">
        <v>0.767904648001</v>
      </c>
      <c r="E8345">
        <v>20.736000000000001</v>
      </c>
    </row>
    <row r="8346" spans="1:5">
      <c r="A8346" t="s">
        <v>39226</v>
      </c>
      <c r="B8346" t="s">
        <v>9124</v>
      </c>
      <c r="C8346">
        <v>0</v>
      </c>
      <c r="D8346">
        <v>0.767904648001</v>
      </c>
      <c r="E8346">
        <v>20.736000000000001</v>
      </c>
    </row>
    <row r="8347" spans="1:5">
      <c r="A8347" t="s">
        <v>39226</v>
      </c>
      <c r="B8347" t="s">
        <v>9126</v>
      </c>
      <c r="C8347">
        <f>0.224485181017</f>
        <v>0.22448518101699999</v>
      </c>
      <c r="D8347">
        <v>0.767904648001</v>
      </c>
      <c r="E8347">
        <v>20.736000000000001</v>
      </c>
    </row>
    <row r="8348" spans="1:5">
      <c r="A8348" t="s">
        <v>39227</v>
      </c>
      <c r="B8348" t="s">
        <v>5505</v>
      </c>
      <c r="C8348">
        <f>0</f>
        <v>0</v>
      </c>
      <c r="D8348">
        <v>0.89225817525499995</v>
      </c>
      <c r="E8348">
        <v>24</v>
      </c>
    </row>
    <row r="8349" spans="1:5">
      <c r="A8349" t="s">
        <v>39227</v>
      </c>
      <c r="B8349" t="s">
        <v>5508</v>
      </c>
      <c r="C8349">
        <v>0</v>
      </c>
      <c r="D8349">
        <v>0.89225817525499995</v>
      </c>
      <c r="E8349">
        <v>24</v>
      </c>
    </row>
    <row r="8350" spans="1:5">
      <c r="A8350" t="s">
        <v>39227</v>
      </c>
      <c r="B8350" t="s">
        <v>5510</v>
      </c>
      <c r="C8350">
        <f>0.0906851060643</f>
        <v>9.0685106064299997E-2</v>
      </c>
      <c r="D8350">
        <v>0.89225817525499995</v>
      </c>
      <c r="E8350">
        <v>24</v>
      </c>
    </row>
    <row r="8351" spans="1:5">
      <c r="A8351" t="s">
        <v>39227</v>
      </c>
      <c r="B8351" t="s">
        <v>5506</v>
      </c>
      <c r="C8351">
        <f>0</f>
        <v>0</v>
      </c>
      <c r="D8351">
        <v>0.89225817525499995</v>
      </c>
      <c r="E8351">
        <v>24</v>
      </c>
    </row>
    <row r="8352" spans="1:5">
      <c r="A8352" t="s">
        <v>39227</v>
      </c>
      <c r="B8352" t="s">
        <v>5511</v>
      </c>
      <c r="C8352">
        <f>0.0498787920534</f>
        <v>4.9878792053399998E-2</v>
      </c>
      <c r="D8352">
        <v>0.89225817525499995</v>
      </c>
      <c r="E8352">
        <v>24</v>
      </c>
    </row>
    <row r="8353" spans="1:5">
      <c r="A8353" t="s">
        <v>39227</v>
      </c>
      <c r="B8353" t="s">
        <v>5513</v>
      </c>
      <c r="C8353">
        <f>0</f>
        <v>0</v>
      </c>
      <c r="D8353">
        <v>0.89225817525499995</v>
      </c>
      <c r="E8353">
        <v>24</v>
      </c>
    </row>
    <row r="8354" spans="1:5">
      <c r="A8354" t="s">
        <v>39227</v>
      </c>
      <c r="B8354" t="s">
        <v>5515</v>
      </c>
      <c r="C8354">
        <v>0.66902513465699998</v>
      </c>
      <c r="D8354">
        <v>0.89225817525499995</v>
      </c>
      <c r="E8354">
        <v>24</v>
      </c>
    </row>
    <row r="8355" spans="1:5">
      <c r="A8355" t="s">
        <v>39228</v>
      </c>
      <c r="B8355" t="s">
        <v>39229</v>
      </c>
      <c r="C8355">
        <f>0</f>
        <v>0</v>
      </c>
      <c r="D8355" t="s">
        <v>106</v>
      </c>
      <c r="E8355">
        <v>24</v>
      </c>
    </row>
    <row r="8356" spans="1:5">
      <c r="A8356" t="s">
        <v>39228</v>
      </c>
      <c r="B8356" t="s">
        <v>39230</v>
      </c>
      <c r="C8356">
        <f>0</f>
        <v>0</v>
      </c>
      <c r="D8356" t="s">
        <v>106</v>
      </c>
      <c r="E8356">
        <v>24</v>
      </c>
    </row>
    <row r="8357" spans="1:5">
      <c r="A8357" t="s">
        <v>39231</v>
      </c>
      <c r="B8357" t="s">
        <v>5106</v>
      </c>
      <c r="C8357">
        <v>0.69830770880100002</v>
      </c>
      <c r="D8357">
        <v>0.84877243403000002</v>
      </c>
      <c r="E8357">
        <v>23.754000000000001</v>
      </c>
    </row>
    <row r="8358" spans="1:5">
      <c r="A8358" t="s">
        <v>39231</v>
      </c>
      <c r="B8358" t="s">
        <v>5105</v>
      </c>
      <c r="C8358">
        <v>0.18745446010299999</v>
      </c>
      <c r="D8358">
        <v>0.84877243403000002</v>
      </c>
      <c r="E8358">
        <v>23.754000000000001</v>
      </c>
    </row>
    <row r="8359" spans="1:5">
      <c r="A8359" t="s">
        <v>39232</v>
      </c>
      <c r="B8359" t="s">
        <v>6989</v>
      </c>
      <c r="C8359">
        <f>0.200702743072</f>
        <v>0.20070274307200001</v>
      </c>
      <c r="D8359">
        <v>0.959009353994</v>
      </c>
      <c r="E8359">
        <v>22.571999999999999</v>
      </c>
    </row>
    <row r="8360" spans="1:5">
      <c r="A8360" t="s">
        <v>39232</v>
      </c>
      <c r="B8360" t="s">
        <v>6993</v>
      </c>
      <c r="C8360">
        <v>0.57264851173599995</v>
      </c>
      <c r="D8360">
        <v>0.959009353994</v>
      </c>
      <c r="E8360">
        <v>22.571999999999999</v>
      </c>
    </row>
    <row r="8361" spans="1:5">
      <c r="A8361" t="s">
        <v>39232</v>
      </c>
      <c r="B8361" t="s">
        <v>6992</v>
      </c>
      <c r="C8361">
        <f>0.86265369577</f>
        <v>0.86265369576999995</v>
      </c>
      <c r="D8361">
        <v>0.959009353994</v>
      </c>
      <c r="E8361">
        <v>22.571999999999999</v>
      </c>
    </row>
    <row r="8362" spans="1:5">
      <c r="A8362" t="s">
        <v>39232</v>
      </c>
      <c r="B8362" t="s">
        <v>6990</v>
      </c>
      <c r="C8362">
        <v>0.43480487609500001</v>
      </c>
      <c r="D8362">
        <v>0.959009353994</v>
      </c>
      <c r="E8362">
        <v>22.571999999999999</v>
      </c>
    </row>
    <row r="8363" spans="1:5">
      <c r="A8363" t="s">
        <v>39233</v>
      </c>
      <c r="B8363" t="s">
        <v>29201</v>
      </c>
      <c r="C8363">
        <v>0</v>
      </c>
      <c r="D8363">
        <v>0.594330109168</v>
      </c>
      <c r="E8363">
        <v>5.58</v>
      </c>
    </row>
    <row r="8364" spans="1:5">
      <c r="A8364" t="s">
        <v>39233</v>
      </c>
      <c r="B8364" t="s">
        <v>29200</v>
      </c>
      <c r="C8364">
        <v>0.234320109168</v>
      </c>
      <c r="D8364">
        <v>0.594330109168</v>
      </c>
      <c r="E8364">
        <v>5.58</v>
      </c>
    </row>
    <row r="8365" spans="1:5">
      <c r="A8365" t="s">
        <v>39234</v>
      </c>
      <c r="B8365" t="s">
        <v>39235</v>
      </c>
      <c r="C8365">
        <v>0</v>
      </c>
      <c r="D8365" t="s">
        <v>106</v>
      </c>
      <c r="E8365">
        <v>6.4260000000000002</v>
      </c>
    </row>
    <row r="8366" spans="1:5">
      <c r="A8366" t="s">
        <v>39234</v>
      </c>
      <c r="B8366" t="s">
        <v>39236</v>
      </c>
      <c r="C8366">
        <f>0</f>
        <v>0</v>
      </c>
      <c r="D8366" t="s">
        <v>106</v>
      </c>
      <c r="E8366">
        <v>6.4260000000000002</v>
      </c>
    </row>
    <row r="8367" spans="1:5">
      <c r="A8367" t="s">
        <v>39234</v>
      </c>
      <c r="B8367" t="s">
        <v>39237</v>
      </c>
      <c r="C8367">
        <f>0</f>
        <v>0</v>
      </c>
      <c r="D8367" t="s">
        <v>106</v>
      </c>
      <c r="E8367">
        <v>6.4260000000000002</v>
      </c>
    </row>
    <row r="8368" spans="1:5">
      <c r="A8368" t="s">
        <v>39234</v>
      </c>
      <c r="B8368" t="s">
        <v>39238</v>
      </c>
      <c r="C8368">
        <v>0</v>
      </c>
      <c r="D8368" t="s">
        <v>106</v>
      </c>
      <c r="E8368">
        <v>6.4260000000000002</v>
      </c>
    </row>
    <row r="8369" spans="1:5">
      <c r="A8369" t="s">
        <v>39239</v>
      </c>
      <c r="B8369" t="s">
        <v>39240</v>
      </c>
      <c r="C8369">
        <v>0.61252886406100004</v>
      </c>
      <c r="D8369">
        <v>0.81920657558400001</v>
      </c>
      <c r="E8369">
        <v>9.468</v>
      </c>
    </row>
    <row r="8370" spans="1:5">
      <c r="A8370" t="s">
        <v>39239</v>
      </c>
      <c r="B8370" t="s">
        <v>39241</v>
      </c>
      <c r="C8370">
        <f>0.33491997786</f>
        <v>0.33491997786</v>
      </c>
      <c r="D8370">
        <v>0.81920657558400001</v>
      </c>
      <c r="E8370">
        <v>9.468</v>
      </c>
    </row>
    <row r="8371" spans="1:5">
      <c r="A8371" t="s">
        <v>39239</v>
      </c>
      <c r="B8371" t="s">
        <v>39242</v>
      </c>
      <c r="C8371">
        <f>0</f>
        <v>0</v>
      </c>
      <c r="D8371">
        <v>0.81920657558400001</v>
      </c>
      <c r="E8371">
        <v>9.468</v>
      </c>
    </row>
    <row r="8372" spans="1:5">
      <c r="A8372" t="s">
        <v>39243</v>
      </c>
      <c r="B8372" t="s">
        <v>13537</v>
      </c>
      <c r="C8372">
        <v>0.38669320319299999</v>
      </c>
      <c r="D8372">
        <v>0.77469578862699995</v>
      </c>
      <c r="E8372">
        <v>1.512</v>
      </c>
    </row>
    <row r="8373" spans="1:5">
      <c r="A8373" t="s">
        <v>39243</v>
      </c>
      <c r="B8373" t="s">
        <v>13539</v>
      </c>
      <c r="C8373">
        <v>0.789406741144</v>
      </c>
      <c r="D8373">
        <v>0.77469578862699995</v>
      </c>
      <c r="E8373">
        <v>1.512</v>
      </c>
    </row>
    <row r="8374" spans="1:5">
      <c r="A8374" t="s">
        <v>39244</v>
      </c>
      <c r="B8374" t="s">
        <v>39245</v>
      </c>
      <c r="C8374">
        <f>0</f>
        <v>0</v>
      </c>
      <c r="D8374" t="s">
        <v>106</v>
      </c>
      <c r="E8374">
        <v>20.292000000000002</v>
      </c>
    </row>
    <row r="8375" spans="1:5">
      <c r="A8375" t="s">
        <v>39244</v>
      </c>
      <c r="B8375" t="s">
        <v>39246</v>
      </c>
      <c r="C8375">
        <v>0</v>
      </c>
      <c r="D8375" t="s">
        <v>106</v>
      </c>
      <c r="E8375">
        <v>20.292000000000002</v>
      </c>
    </row>
    <row r="8376" spans="1:5">
      <c r="A8376" t="s">
        <v>39247</v>
      </c>
      <c r="B8376" t="s">
        <v>39248</v>
      </c>
      <c r="C8376">
        <v>0.69602148397899999</v>
      </c>
      <c r="D8376">
        <v>0.73603148397899998</v>
      </c>
      <c r="E8376">
        <v>23.28</v>
      </c>
    </row>
    <row r="8377" spans="1:5">
      <c r="A8377" t="s">
        <v>39247</v>
      </c>
      <c r="B8377" t="s">
        <v>39249</v>
      </c>
      <c r="C8377">
        <v>0</v>
      </c>
      <c r="D8377">
        <v>0.73603148397899998</v>
      </c>
      <c r="E8377">
        <v>23.28</v>
      </c>
    </row>
    <row r="8378" spans="1:5">
      <c r="A8378" t="s">
        <v>39250</v>
      </c>
      <c r="B8378" t="s">
        <v>39251</v>
      </c>
      <c r="C8378">
        <v>0</v>
      </c>
      <c r="D8378" t="s">
        <v>106</v>
      </c>
      <c r="E8378">
        <v>1.0680000000000001</v>
      </c>
    </row>
    <row r="8379" spans="1:5">
      <c r="A8379" t="s">
        <v>39250</v>
      </c>
      <c r="B8379" t="s">
        <v>39252</v>
      </c>
      <c r="C8379">
        <v>0</v>
      </c>
      <c r="D8379" t="s">
        <v>106</v>
      </c>
      <c r="E8379">
        <v>1.0680000000000001</v>
      </c>
    </row>
    <row r="8380" spans="1:5">
      <c r="A8380" t="s">
        <v>39253</v>
      </c>
      <c r="B8380" t="s">
        <v>39254</v>
      </c>
      <c r="C8380">
        <f>-1.15550965104</f>
        <v>-1.15550965104</v>
      </c>
      <c r="D8380">
        <v>0.91681196090299999</v>
      </c>
      <c r="E8380">
        <v>24</v>
      </c>
    </row>
    <row r="8381" spans="1:5">
      <c r="A8381" t="s">
        <v>39253</v>
      </c>
      <c r="B8381" t="s">
        <v>39255</v>
      </c>
      <c r="C8381">
        <f>0</f>
        <v>0</v>
      </c>
      <c r="D8381">
        <v>0.91681196090299999</v>
      </c>
      <c r="E8381">
        <v>24</v>
      </c>
    </row>
    <row r="8382" spans="1:5">
      <c r="A8382" t="s">
        <v>39253</v>
      </c>
      <c r="B8382" t="s">
        <v>39256</v>
      </c>
      <c r="C8382">
        <v>4.7698608872499999E-2</v>
      </c>
      <c r="D8382">
        <v>0.91681196090299999</v>
      </c>
      <c r="E8382">
        <v>24</v>
      </c>
    </row>
    <row r="8383" spans="1:5">
      <c r="A8383" t="s">
        <v>39253</v>
      </c>
      <c r="B8383" t="s">
        <v>39257</v>
      </c>
      <c r="C8383">
        <v>1.56948991831</v>
      </c>
      <c r="D8383">
        <v>0.91681196090299999</v>
      </c>
      <c r="E8383">
        <v>24</v>
      </c>
    </row>
    <row r="8384" spans="1:5">
      <c r="A8384" t="s">
        <v>39253</v>
      </c>
      <c r="B8384" t="s">
        <v>39258</v>
      </c>
      <c r="C8384">
        <f>0.0120835046679</f>
        <v>1.2083504667899999E-2</v>
      </c>
      <c r="D8384">
        <v>0.91681196090299999</v>
      </c>
      <c r="E8384">
        <v>24</v>
      </c>
    </row>
    <row r="8385" spans="1:5">
      <c r="A8385" t="s">
        <v>39253</v>
      </c>
      <c r="B8385" t="s">
        <v>39259</v>
      </c>
      <c r="C8385">
        <v>0</v>
      </c>
      <c r="D8385">
        <v>0.91681196090299999</v>
      </c>
      <c r="E8385">
        <v>24</v>
      </c>
    </row>
    <row r="8386" spans="1:5">
      <c r="A8386" t="s">
        <v>39260</v>
      </c>
      <c r="B8386" t="s">
        <v>8764</v>
      </c>
      <c r="C8386">
        <f>0</f>
        <v>0</v>
      </c>
      <c r="D8386" t="s">
        <v>106</v>
      </c>
      <c r="E8386">
        <v>7.4640000000000004</v>
      </c>
    </row>
    <row r="8387" spans="1:5">
      <c r="A8387" t="s">
        <v>39260</v>
      </c>
      <c r="B8387" t="s">
        <v>8769</v>
      </c>
      <c r="C8387">
        <v>0</v>
      </c>
      <c r="D8387" t="s">
        <v>106</v>
      </c>
      <c r="E8387">
        <v>7.4640000000000004</v>
      </c>
    </row>
    <row r="8388" spans="1:5">
      <c r="A8388" t="s">
        <v>39260</v>
      </c>
      <c r="B8388" t="s">
        <v>8765</v>
      </c>
      <c r="C8388">
        <f>0</f>
        <v>0</v>
      </c>
      <c r="D8388" t="s">
        <v>106</v>
      </c>
      <c r="E8388">
        <v>7.4640000000000004</v>
      </c>
    </row>
    <row r="8389" spans="1:5">
      <c r="A8389" t="s">
        <v>39260</v>
      </c>
      <c r="B8389" t="s">
        <v>8767</v>
      </c>
      <c r="C8389">
        <f>0</f>
        <v>0</v>
      </c>
      <c r="D8389" t="s">
        <v>106</v>
      </c>
      <c r="E8389">
        <v>7.4640000000000004</v>
      </c>
    </row>
    <row r="8390" spans="1:5">
      <c r="A8390" t="s">
        <v>39261</v>
      </c>
      <c r="B8390" t="s">
        <v>39262</v>
      </c>
      <c r="C8390">
        <f>0.118049577363</f>
        <v>0.11804957736299999</v>
      </c>
      <c r="D8390">
        <v>0.999999651607</v>
      </c>
      <c r="E8390">
        <v>24</v>
      </c>
    </row>
    <row r="8391" spans="1:5">
      <c r="A8391" t="s">
        <v>39261</v>
      </c>
      <c r="B8391" t="s">
        <v>39263</v>
      </c>
      <c r="C8391">
        <f>0.869323016035</f>
        <v>0.86932301603499995</v>
      </c>
      <c r="D8391">
        <v>0.999999651607</v>
      </c>
      <c r="E8391">
        <v>24</v>
      </c>
    </row>
    <row r="8392" spans="1:5">
      <c r="A8392" t="s">
        <v>39261</v>
      </c>
      <c r="B8392" t="s">
        <v>39264</v>
      </c>
      <c r="C8392">
        <v>0.26861287060900002</v>
      </c>
      <c r="D8392">
        <v>0.999999651607</v>
      </c>
      <c r="E8392">
        <v>24</v>
      </c>
    </row>
    <row r="8393" spans="1:5">
      <c r="A8393" t="s">
        <v>39261</v>
      </c>
      <c r="B8393" t="s">
        <v>39265</v>
      </c>
      <c r="C8393">
        <v>0.43499523514299998</v>
      </c>
      <c r="D8393">
        <v>0.999999651607</v>
      </c>
      <c r="E8393">
        <v>24</v>
      </c>
    </row>
    <row r="8394" spans="1:5">
      <c r="A8394" t="s">
        <v>39261</v>
      </c>
      <c r="B8394" t="s">
        <v>39266</v>
      </c>
      <c r="C8394">
        <v>7.1735808438600002E-2</v>
      </c>
      <c r="D8394">
        <v>0.999999651607</v>
      </c>
      <c r="E8394">
        <v>24</v>
      </c>
    </row>
    <row r="8395" spans="1:5">
      <c r="A8395" t="s">
        <v>39261</v>
      </c>
      <c r="B8395" t="s">
        <v>39267</v>
      </c>
      <c r="C8395">
        <f>0.443717230714</f>
        <v>0.44371723071399999</v>
      </c>
      <c r="D8395">
        <v>0.999999651607</v>
      </c>
      <c r="E8395">
        <v>24</v>
      </c>
    </row>
    <row r="8396" spans="1:5">
      <c r="A8396" t="s">
        <v>39261</v>
      </c>
      <c r="B8396" t="s">
        <v>39268</v>
      </c>
      <c r="C8396">
        <f>0.477989680708</f>
        <v>0.47798968070800002</v>
      </c>
      <c r="D8396">
        <v>0.999999651607</v>
      </c>
      <c r="E8396">
        <v>24</v>
      </c>
    </row>
    <row r="8397" spans="1:5">
      <c r="A8397" t="s">
        <v>39261</v>
      </c>
      <c r="B8397" t="s">
        <v>39269</v>
      </c>
      <c r="C8397">
        <f>0.372592307343</f>
        <v>0.37259230734299997</v>
      </c>
      <c r="D8397">
        <v>0.999999651607</v>
      </c>
      <c r="E8397">
        <v>24</v>
      </c>
    </row>
    <row r="8398" spans="1:5">
      <c r="A8398" t="s">
        <v>39261</v>
      </c>
      <c r="B8398" t="s">
        <v>39270</v>
      </c>
      <c r="C8398">
        <v>1.3535850789599999</v>
      </c>
      <c r="D8398">
        <v>0.999999651607</v>
      </c>
      <c r="E8398">
        <v>24</v>
      </c>
    </row>
    <row r="8399" spans="1:5">
      <c r="A8399" t="s">
        <v>39261</v>
      </c>
      <c r="B8399" t="s">
        <v>39271</v>
      </c>
      <c r="C8399">
        <f>0.654522720657</f>
        <v>0.65452272065700001</v>
      </c>
      <c r="D8399">
        <v>0.999999651607</v>
      </c>
      <c r="E8399">
        <v>24</v>
      </c>
    </row>
    <row r="8400" spans="1:5">
      <c r="A8400" t="s">
        <v>39261</v>
      </c>
      <c r="B8400" t="s">
        <v>39272</v>
      </c>
      <c r="C8400">
        <v>9.5280935650300005E-2</v>
      </c>
      <c r="D8400">
        <v>0.999999651607</v>
      </c>
      <c r="E8400">
        <v>24</v>
      </c>
    </row>
    <row r="8401" spans="1:5">
      <c r="A8401" t="s">
        <v>39261</v>
      </c>
      <c r="B8401" t="s">
        <v>39273</v>
      </c>
      <c r="C8401">
        <v>0.25379104810499997</v>
      </c>
      <c r="D8401">
        <v>0.999999651607</v>
      </c>
      <c r="E8401">
        <v>24</v>
      </c>
    </row>
    <row r="8402" spans="1:5">
      <c r="A8402" t="s">
        <v>39274</v>
      </c>
      <c r="B8402" t="s">
        <v>1679</v>
      </c>
      <c r="C8402">
        <f>0</f>
        <v>0</v>
      </c>
      <c r="D8402" t="s">
        <v>106</v>
      </c>
      <c r="E8402">
        <v>24</v>
      </c>
    </row>
    <row r="8403" spans="1:5">
      <c r="A8403" t="s">
        <v>39274</v>
      </c>
      <c r="B8403" t="s">
        <v>1685</v>
      </c>
      <c r="C8403">
        <v>0</v>
      </c>
      <c r="D8403" t="s">
        <v>106</v>
      </c>
      <c r="E8403">
        <v>24</v>
      </c>
    </row>
    <row r="8404" spans="1:5">
      <c r="A8404" t="s">
        <v>39274</v>
      </c>
      <c r="B8404" t="s">
        <v>1680</v>
      </c>
      <c r="C8404">
        <v>0</v>
      </c>
      <c r="D8404" t="s">
        <v>106</v>
      </c>
      <c r="E8404">
        <v>24</v>
      </c>
    </row>
    <row r="8405" spans="1:5">
      <c r="A8405" t="s">
        <v>39274</v>
      </c>
      <c r="B8405" t="s">
        <v>1684</v>
      </c>
      <c r="C8405">
        <v>0</v>
      </c>
      <c r="D8405" t="s">
        <v>106</v>
      </c>
      <c r="E8405">
        <v>24</v>
      </c>
    </row>
    <row r="8406" spans="1:5">
      <c r="A8406" t="s">
        <v>39274</v>
      </c>
      <c r="B8406" t="s">
        <v>1683</v>
      </c>
      <c r="C8406">
        <v>0</v>
      </c>
      <c r="D8406" t="s">
        <v>106</v>
      </c>
      <c r="E8406">
        <v>24</v>
      </c>
    </row>
    <row r="8407" spans="1:5">
      <c r="A8407" t="s">
        <v>39274</v>
      </c>
      <c r="B8407" t="s">
        <v>1682</v>
      </c>
      <c r="C8407">
        <v>0</v>
      </c>
      <c r="D8407" t="s">
        <v>106</v>
      </c>
      <c r="E8407">
        <v>24</v>
      </c>
    </row>
    <row r="8408" spans="1:5">
      <c r="A8408" t="s">
        <v>39275</v>
      </c>
      <c r="B8408" t="s">
        <v>39276</v>
      </c>
      <c r="C8408">
        <f>0</f>
        <v>0</v>
      </c>
      <c r="D8408">
        <v>0.78262386715099996</v>
      </c>
      <c r="E8408">
        <v>20.513999999999999</v>
      </c>
    </row>
    <row r="8409" spans="1:5">
      <c r="A8409" t="s">
        <v>39275</v>
      </c>
      <c r="B8409" t="s">
        <v>39277</v>
      </c>
      <c r="C8409">
        <v>0</v>
      </c>
      <c r="D8409">
        <v>0.78262386715099996</v>
      </c>
      <c r="E8409">
        <v>20.513999999999999</v>
      </c>
    </row>
    <row r="8410" spans="1:5">
      <c r="A8410" t="s">
        <v>39275</v>
      </c>
      <c r="B8410" t="s">
        <v>39278</v>
      </c>
      <c r="C8410">
        <v>0.42261386715100002</v>
      </c>
      <c r="D8410">
        <v>0.78262386715099996</v>
      </c>
      <c r="E8410">
        <v>20.513999999999999</v>
      </c>
    </row>
    <row r="8411" spans="1:5">
      <c r="A8411" t="s">
        <v>39275</v>
      </c>
      <c r="B8411" t="s">
        <v>39279</v>
      </c>
      <c r="C8411">
        <v>0</v>
      </c>
      <c r="D8411">
        <v>0.78262386715099996</v>
      </c>
      <c r="E8411">
        <v>20.513999999999999</v>
      </c>
    </row>
    <row r="8412" spans="1:5">
      <c r="A8412" t="s">
        <v>39275</v>
      </c>
      <c r="B8412" t="s">
        <v>39280</v>
      </c>
      <c r="C8412">
        <v>0</v>
      </c>
      <c r="D8412">
        <v>0.78262386715099996</v>
      </c>
      <c r="E8412">
        <v>20.513999999999999</v>
      </c>
    </row>
    <row r="8413" spans="1:5">
      <c r="A8413" t="s">
        <v>39275</v>
      </c>
      <c r="B8413" t="s">
        <v>39281</v>
      </c>
      <c r="C8413">
        <v>0</v>
      </c>
      <c r="D8413">
        <v>0.78262386715099996</v>
      </c>
      <c r="E8413">
        <v>20.513999999999999</v>
      </c>
    </row>
    <row r="8414" spans="1:5">
      <c r="A8414" t="s">
        <v>39275</v>
      </c>
      <c r="B8414" t="s">
        <v>39282</v>
      </c>
      <c r="C8414">
        <f>0</f>
        <v>0</v>
      </c>
      <c r="D8414">
        <v>0.78262386715099996</v>
      </c>
      <c r="E8414">
        <v>20.513999999999999</v>
      </c>
    </row>
    <row r="8415" spans="1:5">
      <c r="A8415" t="s">
        <v>39283</v>
      </c>
      <c r="B8415" t="s">
        <v>5437</v>
      </c>
      <c r="C8415">
        <v>0</v>
      </c>
      <c r="D8415" t="s">
        <v>106</v>
      </c>
      <c r="E8415">
        <v>0.24</v>
      </c>
    </row>
    <row r="8416" spans="1:5">
      <c r="A8416" t="s">
        <v>39283</v>
      </c>
      <c r="B8416" t="s">
        <v>5435</v>
      </c>
      <c r="C8416">
        <v>0</v>
      </c>
      <c r="D8416" t="s">
        <v>106</v>
      </c>
      <c r="E8416">
        <v>0.24</v>
      </c>
    </row>
    <row r="8417" spans="1:5">
      <c r="A8417" t="s">
        <v>39283</v>
      </c>
      <c r="B8417" t="s">
        <v>5436</v>
      </c>
      <c r="C8417">
        <v>0</v>
      </c>
      <c r="D8417" t="s">
        <v>106</v>
      </c>
      <c r="E8417">
        <v>0.24</v>
      </c>
    </row>
    <row r="8418" spans="1:5">
      <c r="A8418" t="s">
        <v>39284</v>
      </c>
      <c r="B8418" t="s">
        <v>26355</v>
      </c>
      <c r="C8418">
        <v>0</v>
      </c>
      <c r="D8418">
        <v>0.51246235482400004</v>
      </c>
      <c r="E8418">
        <v>24</v>
      </c>
    </row>
    <row r="8419" spans="1:5">
      <c r="A8419" t="s">
        <v>39284</v>
      </c>
      <c r="B8419" t="s">
        <v>26357</v>
      </c>
      <c r="C8419">
        <f>0</f>
        <v>0</v>
      </c>
      <c r="D8419">
        <v>0.51246235482400004</v>
      </c>
      <c r="E8419">
        <v>24</v>
      </c>
    </row>
    <row r="8420" spans="1:5">
      <c r="A8420" t="s">
        <v>39284</v>
      </c>
      <c r="B8420" t="s">
        <v>26358</v>
      </c>
      <c r="C8420">
        <v>0.31885235482399998</v>
      </c>
      <c r="D8420">
        <v>0.51246235482400004</v>
      </c>
      <c r="E8420">
        <v>24</v>
      </c>
    </row>
    <row r="8421" spans="1:5">
      <c r="A8421" t="s">
        <v>39284</v>
      </c>
      <c r="B8421" t="s">
        <v>26359</v>
      </c>
      <c r="C8421">
        <v>0</v>
      </c>
      <c r="D8421">
        <v>0.51246235482400004</v>
      </c>
      <c r="E8421">
        <v>24</v>
      </c>
    </row>
    <row r="8422" spans="1:5">
      <c r="A8422" t="s">
        <v>39285</v>
      </c>
      <c r="B8422" t="s">
        <v>5962</v>
      </c>
      <c r="C8422">
        <f>0.7985549408</f>
        <v>0.7985549408</v>
      </c>
      <c r="D8422">
        <v>0.99995090821300003</v>
      </c>
      <c r="E8422">
        <v>11.208</v>
      </c>
    </row>
    <row r="8423" spans="1:5">
      <c r="A8423" t="s">
        <v>39285</v>
      </c>
      <c r="B8423" t="s">
        <v>5963</v>
      </c>
      <c r="C8423">
        <v>1.9580617379399999E-2</v>
      </c>
      <c r="D8423">
        <v>0.99995090821300003</v>
      </c>
      <c r="E8423">
        <v>11.208</v>
      </c>
    </row>
    <row r="8424" spans="1:5">
      <c r="A8424" t="s">
        <v>39285</v>
      </c>
      <c r="B8424" t="s">
        <v>39286</v>
      </c>
      <c r="C8424">
        <v>6.2621301572899996E-2</v>
      </c>
      <c r="D8424">
        <v>0.99995090821300003</v>
      </c>
      <c r="E8424">
        <v>11.208</v>
      </c>
    </row>
    <row r="8425" spans="1:5">
      <c r="A8425" t="s">
        <v>39285</v>
      </c>
      <c r="B8425" t="s">
        <v>5964</v>
      </c>
      <c r="C8425">
        <f>0.286774713571</f>
        <v>0.28677471357099998</v>
      </c>
      <c r="D8425">
        <v>0.99995090821300003</v>
      </c>
      <c r="E8425">
        <v>11.208</v>
      </c>
    </row>
    <row r="8426" spans="1:5">
      <c r="A8426" t="s">
        <v>39285</v>
      </c>
      <c r="B8426" t="s">
        <v>5971</v>
      </c>
      <c r="C8426">
        <v>1.5943898100299999E-2</v>
      </c>
      <c r="D8426">
        <v>0.99995090821300003</v>
      </c>
      <c r="E8426">
        <v>11.208</v>
      </c>
    </row>
    <row r="8427" spans="1:5">
      <c r="A8427" t="s">
        <v>39285</v>
      </c>
      <c r="B8427" t="s">
        <v>5965</v>
      </c>
      <c r="C8427">
        <f>0.539739987187</f>
        <v>0.539739987187</v>
      </c>
      <c r="D8427">
        <v>0.99995090821300003</v>
      </c>
      <c r="E8427">
        <v>11.208</v>
      </c>
    </row>
    <row r="8428" spans="1:5">
      <c r="A8428" t="s">
        <v>39285</v>
      </c>
      <c r="B8428" t="s">
        <v>5966</v>
      </c>
      <c r="C8428">
        <v>0.46851940906700001</v>
      </c>
      <c r="D8428">
        <v>0.99995090821300003</v>
      </c>
      <c r="E8428">
        <v>11.208</v>
      </c>
    </row>
    <row r="8429" spans="1:5">
      <c r="A8429" t="s">
        <v>39285</v>
      </c>
      <c r="B8429" t="s">
        <v>5967</v>
      </c>
      <c r="C8429">
        <v>0.19310854096899999</v>
      </c>
      <c r="D8429">
        <v>0.99995090821300003</v>
      </c>
      <c r="E8429">
        <v>11.208</v>
      </c>
    </row>
    <row r="8430" spans="1:5">
      <c r="A8430" t="s">
        <v>39287</v>
      </c>
      <c r="B8430" t="s">
        <v>13893</v>
      </c>
      <c r="C8430">
        <f>0</f>
        <v>0</v>
      </c>
      <c r="D8430" t="s">
        <v>106</v>
      </c>
      <c r="E8430">
        <v>14.555999999999999</v>
      </c>
    </row>
    <row r="8431" spans="1:5">
      <c r="A8431" t="s">
        <v>39287</v>
      </c>
      <c r="B8431" t="s">
        <v>13892</v>
      </c>
      <c r="C8431">
        <f>0</f>
        <v>0</v>
      </c>
      <c r="D8431" t="s">
        <v>106</v>
      </c>
      <c r="E8431">
        <v>14.555999999999999</v>
      </c>
    </row>
    <row r="8432" spans="1:5">
      <c r="A8432" t="s">
        <v>39288</v>
      </c>
      <c r="B8432" t="s">
        <v>39289</v>
      </c>
      <c r="C8432">
        <v>0</v>
      </c>
      <c r="D8432">
        <v>0.73634660441400002</v>
      </c>
      <c r="E8432">
        <v>3.4980000000000002</v>
      </c>
    </row>
    <row r="8433" spans="1:5">
      <c r="A8433" t="s">
        <v>39288</v>
      </c>
      <c r="B8433" t="s">
        <v>39290</v>
      </c>
      <c r="C8433">
        <v>0.57633660441400003</v>
      </c>
      <c r="D8433">
        <v>0.73634660441400002</v>
      </c>
      <c r="E8433">
        <v>3.4980000000000002</v>
      </c>
    </row>
    <row r="8434" spans="1:5">
      <c r="A8434" t="s">
        <v>39288</v>
      </c>
      <c r="B8434" t="s">
        <v>39291</v>
      </c>
      <c r="C8434">
        <v>0</v>
      </c>
      <c r="D8434">
        <v>0.73634660441400002</v>
      </c>
      <c r="E8434">
        <v>3.4980000000000002</v>
      </c>
    </row>
    <row r="8435" spans="1:5">
      <c r="A8435" t="s">
        <v>39292</v>
      </c>
      <c r="B8435" t="s">
        <v>33540</v>
      </c>
      <c r="C8435">
        <v>0</v>
      </c>
      <c r="D8435" t="s">
        <v>106</v>
      </c>
      <c r="E8435">
        <v>8.7240000000000002</v>
      </c>
    </row>
    <row r="8436" spans="1:5">
      <c r="A8436" t="s">
        <v>39292</v>
      </c>
      <c r="B8436" t="s">
        <v>33541</v>
      </c>
      <c r="C8436">
        <v>0</v>
      </c>
      <c r="D8436" t="s">
        <v>106</v>
      </c>
      <c r="E8436">
        <v>8.7240000000000002</v>
      </c>
    </row>
    <row r="8437" spans="1:5">
      <c r="A8437" t="s">
        <v>39292</v>
      </c>
      <c r="B8437" t="s">
        <v>33543</v>
      </c>
      <c r="C8437">
        <v>0</v>
      </c>
      <c r="D8437" t="s">
        <v>106</v>
      </c>
      <c r="E8437">
        <v>8.7240000000000002</v>
      </c>
    </row>
    <row r="8438" spans="1:5">
      <c r="A8438" t="s">
        <v>39292</v>
      </c>
      <c r="B8438" t="s">
        <v>33539</v>
      </c>
      <c r="C8438">
        <v>0</v>
      </c>
      <c r="D8438" t="s">
        <v>106</v>
      </c>
      <c r="E8438">
        <v>8.7240000000000002</v>
      </c>
    </row>
    <row r="8439" spans="1:5">
      <c r="A8439" t="s">
        <v>39293</v>
      </c>
      <c r="B8439" t="s">
        <v>39294</v>
      </c>
      <c r="C8439">
        <f>-1.24086326773</f>
        <v>-1.24086326773</v>
      </c>
      <c r="D8439">
        <v>0.98385883531899998</v>
      </c>
      <c r="E8439">
        <v>24</v>
      </c>
    </row>
    <row r="8440" spans="1:5">
      <c r="A8440" t="s">
        <v>39293</v>
      </c>
      <c r="B8440" t="s">
        <v>39295</v>
      </c>
      <c r="C8440">
        <v>0.75561043678700002</v>
      </c>
      <c r="D8440">
        <v>0.98385883531899998</v>
      </c>
      <c r="E8440">
        <v>24</v>
      </c>
    </row>
    <row r="8441" spans="1:5">
      <c r="A8441" t="s">
        <v>39293</v>
      </c>
      <c r="B8441" t="s">
        <v>39296</v>
      </c>
      <c r="C8441">
        <v>0.639244153112</v>
      </c>
      <c r="D8441">
        <v>0.98385883531899998</v>
      </c>
      <c r="E8441">
        <v>24</v>
      </c>
    </row>
    <row r="8442" spans="1:5">
      <c r="A8442" t="s">
        <v>39297</v>
      </c>
      <c r="B8442" t="s">
        <v>39298</v>
      </c>
      <c r="C8442">
        <f>0</f>
        <v>0</v>
      </c>
      <c r="D8442">
        <v>0.99653046767599995</v>
      </c>
      <c r="E8442">
        <v>24</v>
      </c>
    </row>
    <row r="8443" spans="1:5">
      <c r="A8443" t="s">
        <v>39297</v>
      </c>
      <c r="B8443" t="s">
        <v>39299</v>
      </c>
      <c r="C8443">
        <f>0.173543638468</f>
        <v>0.173543638468</v>
      </c>
      <c r="D8443">
        <v>0.99653046767599995</v>
      </c>
      <c r="E8443">
        <v>24</v>
      </c>
    </row>
    <row r="8444" spans="1:5">
      <c r="A8444" t="s">
        <v>39297</v>
      </c>
      <c r="B8444" t="s">
        <v>39300</v>
      </c>
      <c r="C8444">
        <f>0</f>
        <v>0</v>
      </c>
      <c r="D8444">
        <v>0.99653046767599995</v>
      </c>
      <c r="E8444">
        <v>24</v>
      </c>
    </row>
    <row r="8445" spans="1:5">
      <c r="A8445" t="s">
        <v>39297</v>
      </c>
      <c r="B8445" t="s">
        <v>39301</v>
      </c>
      <c r="C8445">
        <v>0.52887516776400001</v>
      </c>
      <c r="D8445">
        <v>0.99653046767599995</v>
      </c>
      <c r="E8445">
        <v>24</v>
      </c>
    </row>
    <row r="8446" spans="1:5">
      <c r="A8446" t="s">
        <v>39297</v>
      </c>
      <c r="B8446" t="s">
        <v>39302</v>
      </c>
      <c r="C8446">
        <f>0.304903467778</f>
        <v>0.30490346777799998</v>
      </c>
      <c r="D8446">
        <v>0.99653046767599995</v>
      </c>
      <c r="E8446">
        <v>24</v>
      </c>
    </row>
    <row r="8447" spans="1:5">
      <c r="A8447" t="s">
        <v>39297</v>
      </c>
      <c r="B8447" t="s">
        <v>39303</v>
      </c>
      <c r="C8447">
        <f>0.449896950199</f>
        <v>0.449896950199</v>
      </c>
      <c r="D8447">
        <v>0.99653046767599995</v>
      </c>
      <c r="E8447">
        <v>24</v>
      </c>
    </row>
    <row r="8448" spans="1:5">
      <c r="A8448" t="s">
        <v>39297</v>
      </c>
      <c r="B8448" t="s">
        <v>39304</v>
      </c>
      <c r="C8448">
        <f>0.0385499233619</f>
        <v>3.8549923361900003E-2</v>
      </c>
      <c r="D8448">
        <v>0.99653046767599995</v>
      </c>
      <c r="E8448">
        <v>24</v>
      </c>
    </row>
    <row r="8449" spans="1:5">
      <c r="A8449" t="s">
        <v>39297</v>
      </c>
      <c r="B8449" t="s">
        <v>39305</v>
      </c>
      <c r="C8449">
        <f>0</f>
        <v>0</v>
      </c>
      <c r="D8449">
        <v>0.99653046767599995</v>
      </c>
      <c r="E8449">
        <v>24</v>
      </c>
    </row>
    <row r="8450" spans="1:5">
      <c r="A8450" t="s">
        <v>39306</v>
      </c>
      <c r="B8450" t="s">
        <v>7839</v>
      </c>
      <c r="C8450">
        <f>0</f>
        <v>0</v>
      </c>
      <c r="D8450" t="s">
        <v>106</v>
      </c>
      <c r="E8450">
        <v>5.2380000000000004</v>
      </c>
    </row>
    <row r="8451" spans="1:5">
      <c r="A8451" t="s">
        <v>39306</v>
      </c>
      <c r="B8451" t="s">
        <v>7842</v>
      </c>
      <c r="C8451">
        <f>0</f>
        <v>0</v>
      </c>
      <c r="D8451" t="s">
        <v>106</v>
      </c>
      <c r="E8451">
        <v>5.2380000000000004</v>
      </c>
    </row>
    <row r="8452" spans="1:5">
      <c r="A8452" t="s">
        <v>39306</v>
      </c>
      <c r="B8452" t="s">
        <v>7841</v>
      </c>
      <c r="C8452">
        <f>0</f>
        <v>0</v>
      </c>
      <c r="D8452" t="s">
        <v>106</v>
      </c>
      <c r="E8452">
        <v>5.2380000000000004</v>
      </c>
    </row>
    <row r="8453" spans="1:5">
      <c r="A8453" t="s">
        <v>39306</v>
      </c>
      <c r="B8453" t="s">
        <v>7840</v>
      </c>
      <c r="C8453">
        <f>0</f>
        <v>0</v>
      </c>
      <c r="D8453" t="s">
        <v>106</v>
      </c>
      <c r="E8453">
        <v>5.2380000000000004</v>
      </c>
    </row>
    <row r="8454" spans="1:5">
      <c r="A8454" t="s">
        <v>39307</v>
      </c>
      <c r="B8454" t="s">
        <v>39308</v>
      </c>
      <c r="C8454">
        <f>0</f>
        <v>0</v>
      </c>
      <c r="D8454" t="s">
        <v>106</v>
      </c>
      <c r="E8454">
        <v>11.706</v>
      </c>
    </row>
    <row r="8455" spans="1:5">
      <c r="A8455" t="s">
        <v>39307</v>
      </c>
      <c r="B8455" t="s">
        <v>39309</v>
      </c>
      <c r="C8455">
        <f>0</f>
        <v>0</v>
      </c>
      <c r="D8455" t="s">
        <v>106</v>
      </c>
      <c r="E8455">
        <v>11.706</v>
      </c>
    </row>
    <row r="8456" spans="1:5">
      <c r="A8456" t="s">
        <v>39307</v>
      </c>
      <c r="B8456" t="s">
        <v>39310</v>
      </c>
      <c r="C8456">
        <f>0</f>
        <v>0</v>
      </c>
      <c r="D8456" t="s">
        <v>106</v>
      </c>
      <c r="E8456">
        <v>11.706</v>
      </c>
    </row>
    <row r="8457" spans="1:5">
      <c r="A8457" t="s">
        <v>39307</v>
      </c>
      <c r="B8457" t="s">
        <v>39311</v>
      </c>
      <c r="C8457">
        <f>0</f>
        <v>0</v>
      </c>
      <c r="D8457" t="s">
        <v>106</v>
      </c>
      <c r="E8457">
        <v>11.706</v>
      </c>
    </row>
    <row r="8458" spans="1:5">
      <c r="A8458" t="s">
        <v>39307</v>
      </c>
      <c r="B8458" t="s">
        <v>39312</v>
      </c>
      <c r="C8458">
        <v>0</v>
      </c>
      <c r="D8458" t="s">
        <v>106</v>
      </c>
      <c r="E8458">
        <v>11.706</v>
      </c>
    </row>
    <row r="8459" spans="1:5">
      <c r="A8459" t="s">
        <v>39307</v>
      </c>
      <c r="B8459" t="s">
        <v>39313</v>
      </c>
      <c r="C8459">
        <f>0</f>
        <v>0</v>
      </c>
      <c r="D8459" t="s">
        <v>106</v>
      </c>
      <c r="E8459">
        <v>11.706</v>
      </c>
    </row>
    <row r="8460" spans="1:5">
      <c r="A8460" t="s">
        <v>39307</v>
      </c>
      <c r="B8460" t="s">
        <v>39314</v>
      </c>
      <c r="C8460">
        <f>0</f>
        <v>0</v>
      </c>
      <c r="D8460" t="s">
        <v>106</v>
      </c>
      <c r="E8460">
        <v>11.706</v>
      </c>
    </row>
    <row r="8461" spans="1:5">
      <c r="A8461" t="s">
        <v>39307</v>
      </c>
      <c r="B8461" t="s">
        <v>39315</v>
      </c>
      <c r="C8461">
        <v>0</v>
      </c>
      <c r="D8461" t="s">
        <v>106</v>
      </c>
      <c r="E8461">
        <v>11.706</v>
      </c>
    </row>
    <row r="8462" spans="1:5">
      <c r="A8462" t="s">
        <v>39307</v>
      </c>
      <c r="B8462" t="s">
        <v>39316</v>
      </c>
      <c r="C8462">
        <f>0</f>
        <v>0</v>
      </c>
      <c r="D8462" t="s">
        <v>106</v>
      </c>
      <c r="E8462">
        <v>11.706</v>
      </c>
    </row>
    <row r="8463" spans="1:5">
      <c r="A8463" t="s">
        <v>39307</v>
      </c>
      <c r="B8463" t="s">
        <v>39317</v>
      </c>
      <c r="C8463">
        <f>0</f>
        <v>0</v>
      </c>
      <c r="D8463" t="s">
        <v>106</v>
      </c>
      <c r="E8463">
        <v>11.706</v>
      </c>
    </row>
    <row r="8464" spans="1:5">
      <c r="A8464" t="s">
        <v>39318</v>
      </c>
      <c r="B8464" t="s">
        <v>39319</v>
      </c>
      <c r="C8464">
        <v>0</v>
      </c>
      <c r="D8464" t="s">
        <v>106</v>
      </c>
      <c r="E8464">
        <v>0.73799999999999999</v>
      </c>
    </row>
    <row r="8465" spans="1:5">
      <c r="A8465" t="s">
        <v>39318</v>
      </c>
      <c r="B8465" t="s">
        <v>39320</v>
      </c>
      <c r="C8465">
        <v>0</v>
      </c>
      <c r="D8465" t="s">
        <v>106</v>
      </c>
      <c r="E8465">
        <v>0.73799999999999999</v>
      </c>
    </row>
    <row r="8466" spans="1:5">
      <c r="A8466" t="s">
        <v>39318</v>
      </c>
      <c r="B8466" t="s">
        <v>39321</v>
      </c>
      <c r="C8466">
        <f>0</f>
        <v>0</v>
      </c>
      <c r="D8466" t="s">
        <v>106</v>
      </c>
      <c r="E8466">
        <v>0.73799999999999999</v>
      </c>
    </row>
    <row r="8467" spans="1:5">
      <c r="A8467" t="s">
        <v>39322</v>
      </c>
      <c r="B8467" t="s">
        <v>7984</v>
      </c>
      <c r="C8467">
        <v>0</v>
      </c>
      <c r="D8467" t="s">
        <v>106</v>
      </c>
      <c r="E8467">
        <v>24</v>
      </c>
    </row>
    <row r="8468" spans="1:5">
      <c r="A8468" t="s">
        <v>39322</v>
      </c>
      <c r="B8468" t="s">
        <v>7985</v>
      </c>
      <c r="C8468">
        <v>0</v>
      </c>
      <c r="D8468" t="s">
        <v>106</v>
      </c>
      <c r="E8468">
        <v>24</v>
      </c>
    </row>
    <row r="8469" spans="1:5">
      <c r="A8469" t="s">
        <v>39322</v>
      </c>
      <c r="B8469" t="s">
        <v>7986</v>
      </c>
      <c r="C8469">
        <v>0</v>
      </c>
      <c r="D8469" t="s">
        <v>106</v>
      </c>
      <c r="E8469">
        <v>24</v>
      </c>
    </row>
    <row r="8470" spans="1:5">
      <c r="A8470" t="s">
        <v>39323</v>
      </c>
      <c r="B8470" t="s">
        <v>3937</v>
      </c>
      <c r="C8470">
        <f>0</f>
        <v>0</v>
      </c>
      <c r="D8470">
        <v>0.675543324113</v>
      </c>
      <c r="E8470">
        <v>3.5999999999999997E-2</v>
      </c>
    </row>
    <row r="8471" spans="1:5">
      <c r="A8471" t="s">
        <v>39323</v>
      </c>
      <c r="B8471" t="s">
        <v>3939</v>
      </c>
      <c r="C8471">
        <v>0.445133324113</v>
      </c>
      <c r="D8471">
        <v>0.675543324113</v>
      </c>
      <c r="E8471">
        <v>3.5999999999999997E-2</v>
      </c>
    </row>
    <row r="8472" spans="1:5">
      <c r="A8472" t="s">
        <v>39323</v>
      </c>
      <c r="B8472" t="s">
        <v>3940</v>
      </c>
      <c r="C8472">
        <f>0</f>
        <v>0</v>
      </c>
      <c r="D8472">
        <v>0.675543324113</v>
      </c>
      <c r="E8472">
        <v>3.5999999999999997E-2</v>
      </c>
    </row>
    <row r="8473" spans="1:5">
      <c r="A8473" t="s">
        <v>39324</v>
      </c>
      <c r="B8473" t="s">
        <v>31448</v>
      </c>
      <c r="C8473">
        <v>0.347283322698</v>
      </c>
      <c r="D8473">
        <v>0.80969332269799998</v>
      </c>
      <c r="E8473">
        <v>19.632000000000001</v>
      </c>
    </row>
    <row r="8474" spans="1:5">
      <c r="A8474" t="s">
        <v>39324</v>
      </c>
      <c r="B8474" t="s">
        <v>31450</v>
      </c>
      <c r="C8474">
        <v>0</v>
      </c>
      <c r="D8474">
        <v>0.80969332269799998</v>
      </c>
      <c r="E8474">
        <v>19.632000000000001</v>
      </c>
    </row>
    <row r="8475" spans="1:5">
      <c r="A8475" t="s">
        <v>39324</v>
      </c>
      <c r="B8475" t="s">
        <v>31449</v>
      </c>
      <c r="C8475">
        <f>0</f>
        <v>0</v>
      </c>
      <c r="D8475">
        <v>0.80969332269799998</v>
      </c>
      <c r="E8475">
        <v>19.632000000000001</v>
      </c>
    </row>
    <row r="8476" spans="1:5">
      <c r="A8476" t="s">
        <v>39324</v>
      </c>
      <c r="B8476" t="s">
        <v>31456</v>
      </c>
      <c r="C8476">
        <v>0</v>
      </c>
      <c r="D8476">
        <v>0.80969332269799998</v>
      </c>
      <c r="E8476">
        <v>19.632000000000001</v>
      </c>
    </row>
    <row r="8477" spans="1:5">
      <c r="A8477" t="s">
        <v>39324</v>
      </c>
      <c r="B8477" t="s">
        <v>31451</v>
      </c>
      <c r="C8477">
        <f>0</f>
        <v>0</v>
      </c>
      <c r="D8477">
        <v>0.80969332269799998</v>
      </c>
      <c r="E8477">
        <v>19.632000000000001</v>
      </c>
    </row>
    <row r="8478" spans="1:5">
      <c r="A8478" t="s">
        <v>39324</v>
      </c>
      <c r="B8478" t="s">
        <v>31447</v>
      </c>
      <c r="C8478">
        <f>0</f>
        <v>0</v>
      </c>
      <c r="D8478">
        <v>0.80969332269799998</v>
      </c>
      <c r="E8478">
        <v>19.632000000000001</v>
      </c>
    </row>
    <row r="8479" spans="1:5">
      <c r="A8479" t="s">
        <v>39324</v>
      </c>
      <c r="B8479" t="s">
        <v>31453</v>
      </c>
      <c r="C8479">
        <v>0</v>
      </c>
      <c r="D8479">
        <v>0.80969332269799998</v>
      </c>
      <c r="E8479">
        <v>19.632000000000001</v>
      </c>
    </row>
    <row r="8480" spans="1:5">
      <c r="A8480" t="s">
        <v>39324</v>
      </c>
      <c r="B8480" t="s">
        <v>31454</v>
      </c>
      <c r="C8480">
        <v>0</v>
      </c>
      <c r="D8480">
        <v>0.80969332269799998</v>
      </c>
      <c r="E8480">
        <v>19.632000000000001</v>
      </c>
    </row>
    <row r="8481" spans="1:5">
      <c r="A8481" t="s">
        <v>39325</v>
      </c>
      <c r="B8481" t="s">
        <v>6357</v>
      </c>
      <c r="C8481">
        <f>0.414496295215</f>
        <v>0.41449629521499998</v>
      </c>
      <c r="D8481">
        <v>0.92289053791099995</v>
      </c>
      <c r="E8481">
        <v>6.4260000000000002</v>
      </c>
    </row>
    <row r="8482" spans="1:5">
      <c r="A8482" t="s">
        <v>39325</v>
      </c>
      <c r="B8482" t="s">
        <v>6358</v>
      </c>
      <c r="C8482">
        <v>3.09825796836</v>
      </c>
      <c r="D8482">
        <v>0.92289053791099995</v>
      </c>
      <c r="E8482">
        <v>6.4260000000000002</v>
      </c>
    </row>
    <row r="8483" spans="1:5">
      <c r="A8483" t="s">
        <v>39325</v>
      </c>
      <c r="B8483" t="s">
        <v>6359</v>
      </c>
      <c r="C8483">
        <f>0.322007809501</f>
        <v>0.322007809501</v>
      </c>
      <c r="D8483">
        <v>0.92289053791099995</v>
      </c>
      <c r="E8483">
        <v>6.4260000000000002</v>
      </c>
    </row>
    <row r="8484" spans="1:5">
      <c r="A8484" t="s">
        <v>39325</v>
      </c>
      <c r="B8484" t="s">
        <v>6355</v>
      </c>
      <c r="C8484">
        <f>-1.98467690839</f>
        <v>-1.98467690839</v>
      </c>
      <c r="D8484">
        <v>0.92289053791099995</v>
      </c>
      <c r="E8484">
        <v>6.4260000000000002</v>
      </c>
    </row>
    <row r="8485" spans="1:5">
      <c r="A8485" t="s">
        <v>39326</v>
      </c>
      <c r="B8485" t="s">
        <v>39327</v>
      </c>
      <c r="C8485">
        <v>0</v>
      </c>
      <c r="D8485" t="s">
        <v>106</v>
      </c>
      <c r="E8485">
        <v>18.138000000000002</v>
      </c>
    </row>
    <row r="8486" spans="1:5">
      <c r="A8486" t="s">
        <v>39326</v>
      </c>
      <c r="B8486" t="s">
        <v>39328</v>
      </c>
      <c r="C8486">
        <f>0</f>
        <v>0</v>
      </c>
      <c r="D8486" t="s">
        <v>106</v>
      </c>
      <c r="E8486">
        <v>18.138000000000002</v>
      </c>
    </row>
    <row r="8487" spans="1:5">
      <c r="A8487" t="s">
        <v>39326</v>
      </c>
      <c r="B8487" t="s">
        <v>39329</v>
      </c>
      <c r="C8487">
        <f>0</f>
        <v>0</v>
      </c>
      <c r="D8487" t="s">
        <v>106</v>
      </c>
      <c r="E8487">
        <v>18.138000000000002</v>
      </c>
    </row>
    <row r="8488" spans="1:5">
      <c r="A8488" t="s">
        <v>39326</v>
      </c>
      <c r="B8488" t="s">
        <v>39330</v>
      </c>
      <c r="C8488">
        <v>0</v>
      </c>
      <c r="D8488" t="s">
        <v>106</v>
      </c>
      <c r="E8488">
        <v>18.138000000000002</v>
      </c>
    </row>
    <row r="8489" spans="1:5">
      <c r="A8489" t="s">
        <v>39326</v>
      </c>
      <c r="B8489" t="s">
        <v>39331</v>
      </c>
      <c r="C8489">
        <f>0</f>
        <v>0</v>
      </c>
      <c r="D8489" t="s">
        <v>106</v>
      </c>
      <c r="E8489">
        <v>18.138000000000002</v>
      </c>
    </row>
    <row r="8490" spans="1:5">
      <c r="A8490" t="s">
        <v>39332</v>
      </c>
      <c r="B8490" t="s">
        <v>29873</v>
      </c>
      <c r="C8490">
        <f>0</f>
        <v>0</v>
      </c>
      <c r="D8490">
        <v>0.72165302725699998</v>
      </c>
      <c r="E8490">
        <v>0.69599999999999995</v>
      </c>
    </row>
    <row r="8491" spans="1:5">
      <c r="A8491" t="s">
        <v>39332</v>
      </c>
      <c r="B8491" t="s">
        <v>29874</v>
      </c>
      <c r="C8491">
        <f>0</f>
        <v>0</v>
      </c>
      <c r="D8491">
        <v>0.72165302725699998</v>
      </c>
      <c r="E8491">
        <v>0.69599999999999995</v>
      </c>
    </row>
    <row r="8492" spans="1:5">
      <c r="A8492" t="s">
        <v>39332</v>
      </c>
      <c r="B8492" t="s">
        <v>29876</v>
      </c>
      <c r="C8492">
        <v>0.203243027257</v>
      </c>
      <c r="D8492">
        <v>0.72165302725699998</v>
      </c>
      <c r="E8492">
        <v>0.69599999999999995</v>
      </c>
    </row>
    <row r="8493" spans="1:5">
      <c r="A8493" t="s">
        <v>39333</v>
      </c>
      <c r="B8493" t="s">
        <v>32747</v>
      </c>
      <c r="C8493">
        <v>0</v>
      </c>
      <c r="D8493">
        <v>0.76916326477800001</v>
      </c>
      <c r="E8493">
        <v>24</v>
      </c>
    </row>
    <row r="8494" spans="1:5">
      <c r="A8494" t="s">
        <v>39333</v>
      </c>
      <c r="B8494" t="s">
        <v>32749</v>
      </c>
      <c r="C8494">
        <f>0.609153264778</f>
        <v>0.60915326477800003</v>
      </c>
      <c r="D8494">
        <v>0.76916326477800001</v>
      </c>
      <c r="E8494">
        <v>24</v>
      </c>
    </row>
    <row r="8495" spans="1:5">
      <c r="A8495" t="s">
        <v>39334</v>
      </c>
      <c r="B8495" t="s">
        <v>25186</v>
      </c>
      <c r="C8495">
        <v>0.15202310790500001</v>
      </c>
      <c r="D8495">
        <v>0.93746115320500001</v>
      </c>
      <c r="E8495">
        <v>24</v>
      </c>
    </row>
    <row r="8496" spans="1:5">
      <c r="A8496" t="s">
        <v>39334</v>
      </c>
      <c r="B8496" t="s">
        <v>25188</v>
      </c>
      <c r="C8496">
        <f>0</f>
        <v>0</v>
      </c>
      <c r="D8496">
        <v>0.93746115320500001</v>
      </c>
      <c r="E8496">
        <v>24</v>
      </c>
    </row>
    <row r="8497" spans="1:5">
      <c r="A8497" t="s">
        <v>39334</v>
      </c>
      <c r="B8497" t="s">
        <v>25189</v>
      </c>
      <c r="C8497">
        <v>0.89746123469000005</v>
      </c>
      <c r="D8497">
        <v>0.93746115320500001</v>
      </c>
      <c r="E8497">
        <v>24</v>
      </c>
    </row>
    <row r="8498" spans="1:5">
      <c r="A8498" t="s">
        <v>39335</v>
      </c>
      <c r="B8498" t="s">
        <v>747</v>
      </c>
      <c r="C8498">
        <f>0</f>
        <v>0</v>
      </c>
      <c r="D8498">
        <v>0.73740607341599995</v>
      </c>
      <c r="E8498">
        <v>6.9359999999999999</v>
      </c>
    </row>
    <row r="8499" spans="1:5">
      <c r="A8499" t="s">
        <v>39335</v>
      </c>
      <c r="B8499" t="s">
        <v>748</v>
      </c>
      <c r="C8499">
        <f>0.327796073416</f>
        <v>0.32779607341599998</v>
      </c>
      <c r="D8499">
        <v>0.73740607341599995</v>
      </c>
      <c r="E8499">
        <v>6.9359999999999999</v>
      </c>
    </row>
    <row r="8500" spans="1:5">
      <c r="A8500" t="s">
        <v>39335</v>
      </c>
      <c r="B8500" t="s">
        <v>749</v>
      </c>
      <c r="C8500">
        <v>0</v>
      </c>
      <c r="D8500">
        <v>0.73740607341599995</v>
      </c>
      <c r="E8500">
        <v>6.9359999999999999</v>
      </c>
    </row>
    <row r="8501" spans="1:5">
      <c r="A8501" t="s">
        <v>39335</v>
      </c>
      <c r="B8501" t="s">
        <v>750</v>
      </c>
      <c r="C8501">
        <f>0</f>
        <v>0</v>
      </c>
      <c r="D8501">
        <v>0.73740607341599995</v>
      </c>
      <c r="E8501">
        <v>6.9359999999999999</v>
      </c>
    </row>
    <row r="8502" spans="1:5">
      <c r="A8502" t="s">
        <v>39335</v>
      </c>
      <c r="B8502" t="s">
        <v>752</v>
      </c>
      <c r="C8502">
        <f>0</f>
        <v>0</v>
      </c>
      <c r="D8502">
        <v>0.73740607341599995</v>
      </c>
      <c r="E8502">
        <v>6.9359999999999999</v>
      </c>
    </row>
    <row r="8503" spans="1:5">
      <c r="A8503" t="s">
        <v>39336</v>
      </c>
      <c r="B8503" t="s">
        <v>6217</v>
      </c>
      <c r="C8503">
        <v>0</v>
      </c>
      <c r="D8503" t="s">
        <v>106</v>
      </c>
      <c r="E8503">
        <v>4.8000000000000001E-2</v>
      </c>
    </row>
    <row r="8504" spans="1:5">
      <c r="A8504" t="s">
        <v>39336</v>
      </c>
      <c r="B8504" t="s">
        <v>6215</v>
      </c>
      <c r="C8504">
        <v>0</v>
      </c>
      <c r="D8504" t="s">
        <v>106</v>
      </c>
      <c r="E8504">
        <v>4.8000000000000001E-2</v>
      </c>
    </row>
    <row r="8505" spans="1:5">
      <c r="A8505" t="s">
        <v>39337</v>
      </c>
      <c r="B8505" t="s">
        <v>14404</v>
      </c>
      <c r="C8505">
        <v>0</v>
      </c>
      <c r="D8505" t="s">
        <v>106</v>
      </c>
      <c r="E8505">
        <v>24</v>
      </c>
    </row>
    <row r="8506" spans="1:5">
      <c r="A8506" t="s">
        <v>39337</v>
      </c>
      <c r="B8506" t="s">
        <v>14403</v>
      </c>
      <c r="C8506">
        <f>0</f>
        <v>0</v>
      </c>
      <c r="D8506" t="s">
        <v>106</v>
      </c>
      <c r="E8506">
        <v>24</v>
      </c>
    </row>
    <row r="8507" spans="1:5">
      <c r="A8507" t="s">
        <v>39338</v>
      </c>
      <c r="B8507" t="s">
        <v>20367</v>
      </c>
      <c r="C8507">
        <v>0.23102360956599999</v>
      </c>
      <c r="D8507">
        <v>0.52496140850399997</v>
      </c>
      <c r="E8507">
        <v>5.1239999999999997</v>
      </c>
    </row>
    <row r="8508" spans="1:5">
      <c r="A8508" t="s">
        <v>39338</v>
      </c>
      <c r="B8508" t="s">
        <v>20369</v>
      </c>
      <c r="C8508">
        <f>0</f>
        <v>0</v>
      </c>
      <c r="D8508">
        <v>0.52496140850399997</v>
      </c>
      <c r="E8508">
        <v>5.1239999999999997</v>
      </c>
    </row>
    <row r="8509" spans="1:5">
      <c r="A8509" t="s">
        <v>39338</v>
      </c>
      <c r="B8509" t="s">
        <v>20370</v>
      </c>
      <c r="C8509">
        <f>0</f>
        <v>0</v>
      </c>
      <c r="D8509">
        <v>0.52496140850399997</v>
      </c>
      <c r="E8509">
        <v>5.1239999999999997</v>
      </c>
    </row>
    <row r="8510" spans="1:5">
      <c r="A8510" t="s">
        <v>39338</v>
      </c>
      <c r="B8510" t="s">
        <v>39339</v>
      </c>
      <c r="C8510">
        <f>0.0675655114586</f>
        <v>6.75655114586E-2</v>
      </c>
      <c r="D8510">
        <v>0.52496140850399997</v>
      </c>
      <c r="E8510">
        <v>5.1239999999999997</v>
      </c>
    </row>
    <row r="8511" spans="1:5">
      <c r="A8511" t="s">
        <v>39340</v>
      </c>
      <c r="B8511" t="s">
        <v>39341</v>
      </c>
      <c r="C8511">
        <v>0</v>
      </c>
      <c r="D8511" t="s">
        <v>106</v>
      </c>
      <c r="E8511">
        <v>24</v>
      </c>
    </row>
    <row r="8512" spans="1:5">
      <c r="A8512" t="s">
        <v>39340</v>
      </c>
      <c r="B8512" t="s">
        <v>39342</v>
      </c>
      <c r="C8512">
        <f>0</f>
        <v>0</v>
      </c>
      <c r="D8512" t="s">
        <v>106</v>
      </c>
      <c r="E8512">
        <v>24</v>
      </c>
    </row>
    <row r="8513" spans="1:5">
      <c r="A8513" t="s">
        <v>39340</v>
      </c>
      <c r="B8513" t="s">
        <v>39343</v>
      </c>
      <c r="C8513">
        <v>0</v>
      </c>
      <c r="D8513" t="s">
        <v>106</v>
      </c>
      <c r="E8513">
        <v>24</v>
      </c>
    </row>
    <row r="8514" spans="1:5">
      <c r="A8514" t="s">
        <v>39340</v>
      </c>
      <c r="B8514" t="s">
        <v>39344</v>
      </c>
      <c r="C8514">
        <f>0</f>
        <v>0</v>
      </c>
      <c r="D8514" t="s">
        <v>106</v>
      </c>
      <c r="E8514">
        <v>24</v>
      </c>
    </row>
    <row r="8515" spans="1:5">
      <c r="A8515" t="s">
        <v>39340</v>
      </c>
      <c r="B8515" t="s">
        <v>39345</v>
      </c>
      <c r="C8515">
        <f>0</f>
        <v>0</v>
      </c>
      <c r="D8515" t="s">
        <v>106</v>
      </c>
      <c r="E8515">
        <v>24</v>
      </c>
    </row>
    <row r="8516" spans="1:5">
      <c r="A8516" t="s">
        <v>39340</v>
      </c>
      <c r="B8516" t="s">
        <v>39346</v>
      </c>
      <c r="C8516">
        <v>0</v>
      </c>
      <c r="D8516" t="s">
        <v>106</v>
      </c>
      <c r="E8516">
        <v>24</v>
      </c>
    </row>
    <row r="8517" spans="1:5">
      <c r="A8517" t="s">
        <v>39340</v>
      </c>
      <c r="B8517" t="s">
        <v>39347</v>
      </c>
      <c r="C8517">
        <v>0</v>
      </c>
      <c r="D8517" t="s">
        <v>106</v>
      </c>
      <c r="E8517">
        <v>24</v>
      </c>
    </row>
    <row r="8518" spans="1:5">
      <c r="A8518" t="s">
        <v>39348</v>
      </c>
      <c r="B8518" t="s">
        <v>3927</v>
      </c>
      <c r="C8518">
        <v>0.47551788073700002</v>
      </c>
      <c r="D8518">
        <v>0.616177012064</v>
      </c>
      <c r="E8518">
        <v>10.398</v>
      </c>
    </row>
    <row r="8519" spans="1:5">
      <c r="A8519" t="s">
        <v>39348</v>
      </c>
      <c r="B8519" t="s">
        <v>3929</v>
      </c>
      <c r="C8519">
        <v>6.9581235133400005E-2</v>
      </c>
      <c r="D8519">
        <v>0.616177012064</v>
      </c>
      <c r="E8519">
        <v>10.398</v>
      </c>
    </row>
    <row r="8520" spans="1:5">
      <c r="A8520" t="s">
        <v>39349</v>
      </c>
      <c r="B8520" t="s">
        <v>39350</v>
      </c>
      <c r="C8520">
        <v>0.446922215826</v>
      </c>
      <c r="D8520">
        <v>0.67733221582600001</v>
      </c>
      <c r="E8520">
        <v>1.7999999999999999E-2</v>
      </c>
    </row>
    <row r="8521" spans="1:5">
      <c r="A8521" t="s">
        <v>39349</v>
      </c>
      <c r="B8521" t="s">
        <v>39351</v>
      </c>
      <c r="C8521">
        <v>0</v>
      </c>
      <c r="D8521">
        <v>0.67733221582600001</v>
      </c>
      <c r="E8521">
        <v>1.7999999999999999E-2</v>
      </c>
    </row>
    <row r="8522" spans="1:5">
      <c r="A8522" t="s">
        <v>39349</v>
      </c>
      <c r="B8522" t="s">
        <v>39352</v>
      </c>
      <c r="C8522">
        <f>0</f>
        <v>0</v>
      </c>
      <c r="D8522">
        <v>0.67733221582600001</v>
      </c>
      <c r="E8522">
        <v>1.7999999999999999E-2</v>
      </c>
    </row>
    <row r="8523" spans="1:5">
      <c r="A8523" t="s">
        <v>39353</v>
      </c>
      <c r="B8523" t="s">
        <v>1479</v>
      </c>
      <c r="C8523">
        <v>0</v>
      </c>
      <c r="D8523" t="s">
        <v>106</v>
      </c>
      <c r="E8523">
        <v>1.278</v>
      </c>
    </row>
    <row r="8524" spans="1:5">
      <c r="A8524" t="s">
        <v>39353</v>
      </c>
      <c r="B8524" t="s">
        <v>1480</v>
      </c>
      <c r="C8524">
        <v>0</v>
      </c>
      <c r="D8524" t="s">
        <v>106</v>
      </c>
      <c r="E8524">
        <v>1.278</v>
      </c>
    </row>
    <row r="8525" spans="1:5">
      <c r="A8525" t="s">
        <v>39354</v>
      </c>
      <c r="B8525" t="s">
        <v>15558</v>
      </c>
      <c r="C8525">
        <f>0</f>
        <v>0</v>
      </c>
      <c r="D8525">
        <v>0.53530787601100005</v>
      </c>
      <c r="E8525">
        <v>13.092000000000001</v>
      </c>
    </row>
    <row r="8526" spans="1:5">
      <c r="A8526" t="s">
        <v>39354</v>
      </c>
      <c r="B8526" t="s">
        <v>15560</v>
      </c>
      <c r="C8526">
        <v>0</v>
      </c>
      <c r="D8526">
        <v>0.53530787601100005</v>
      </c>
      <c r="E8526">
        <v>13.092000000000001</v>
      </c>
    </row>
    <row r="8527" spans="1:5">
      <c r="A8527" t="s">
        <v>39354</v>
      </c>
      <c r="B8527" t="s">
        <v>15561</v>
      </c>
      <c r="C8527">
        <v>0.12569787601099999</v>
      </c>
      <c r="D8527">
        <v>0.53530787601100005</v>
      </c>
      <c r="E8527">
        <v>13.092000000000001</v>
      </c>
    </row>
    <row r="8528" spans="1:5">
      <c r="A8528" t="s">
        <v>39355</v>
      </c>
      <c r="B8528" t="s">
        <v>4733</v>
      </c>
      <c r="C8528">
        <v>0</v>
      </c>
      <c r="D8528" t="s">
        <v>106</v>
      </c>
      <c r="E8528">
        <v>0.17399999999999999</v>
      </c>
    </row>
    <row r="8529" spans="1:5">
      <c r="A8529" t="s">
        <v>39355</v>
      </c>
      <c r="B8529" t="s">
        <v>4736</v>
      </c>
      <c r="C8529">
        <v>0</v>
      </c>
      <c r="D8529" t="s">
        <v>106</v>
      </c>
      <c r="E8529">
        <v>0.17399999999999999</v>
      </c>
    </row>
    <row r="8530" spans="1:5">
      <c r="A8530" t="s">
        <v>39355</v>
      </c>
      <c r="B8530" t="s">
        <v>4738</v>
      </c>
      <c r="C8530">
        <v>0</v>
      </c>
      <c r="D8530" t="s">
        <v>106</v>
      </c>
      <c r="E8530">
        <v>0.17399999999999999</v>
      </c>
    </row>
    <row r="8531" spans="1:5">
      <c r="A8531" t="s">
        <v>39355</v>
      </c>
      <c r="B8531" t="s">
        <v>4737</v>
      </c>
      <c r="C8531">
        <f>0</f>
        <v>0</v>
      </c>
      <c r="D8531" t="s">
        <v>106</v>
      </c>
      <c r="E8531">
        <v>0.17399999999999999</v>
      </c>
    </row>
    <row r="8532" spans="1:5">
      <c r="A8532" t="s">
        <v>39356</v>
      </c>
      <c r="B8532" t="s">
        <v>23010</v>
      </c>
      <c r="C8532">
        <f>0.256040352811</f>
        <v>0.25604035281100002</v>
      </c>
      <c r="D8532">
        <v>0.69579941547599999</v>
      </c>
      <c r="E8532">
        <v>24</v>
      </c>
    </row>
    <row r="8533" spans="1:5">
      <c r="A8533" t="s">
        <v>39356</v>
      </c>
      <c r="B8533" t="s">
        <v>23012</v>
      </c>
      <c r="C8533">
        <f>0.482229011519</f>
        <v>0.48222901151899999</v>
      </c>
      <c r="D8533">
        <v>0.69579941547599999</v>
      </c>
      <c r="E8533">
        <v>24</v>
      </c>
    </row>
    <row r="8534" spans="1:5">
      <c r="A8534" t="s">
        <v>39356</v>
      </c>
      <c r="B8534" t="s">
        <v>23011</v>
      </c>
      <c r="C8534">
        <f>0</f>
        <v>0</v>
      </c>
      <c r="D8534">
        <v>0.69579941547599999</v>
      </c>
      <c r="E8534">
        <v>24</v>
      </c>
    </row>
    <row r="8535" spans="1:5">
      <c r="A8535" t="s">
        <v>39356</v>
      </c>
      <c r="B8535" t="s">
        <v>23013</v>
      </c>
      <c r="C8535">
        <f>0</f>
        <v>0</v>
      </c>
      <c r="D8535">
        <v>0.69579941547599999</v>
      </c>
      <c r="E8535">
        <v>24</v>
      </c>
    </row>
    <row r="8536" spans="1:5">
      <c r="A8536" t="s">
        <v>39357</v>
      </c>
      <c r="B8536" t="s">
        <v>39358</v>
      </c>
      <c r="C8536">
        <v>0</v>
      </c>
      <c r="D8536" t="s">
        <v>106</v>
      </c>
      <c r="E8536">
        <v>17.928000000000001</v>
      </c>
    </row>
    <row r="8537" spans="1:5">
      <c r="A8537" t="s">
        <v>39357</v>
      </c>
      <c r="B8537" t="s">
        <v>39359</v>
      </c>
      <c r="C8537">
        <f>0</f>
        <v>0</v>
      </c>
      <c r="D8537" t="s">
        <v>106</v>
      </c>
      <c r="E8537">
        <v>17.928000000000001</v>
      </c>
    </row>
    <row r="8538" spans="1:5">
      <c r="A8538" t="s">
        <v>39357</v>
      </c>
      <c r="B8538" t="s">
        <v>39360</v>
      </c>
      <c r="C8538">
        <f>0</f>
        <v>0</v>
      </c>
      <c r="D8538" t="s">
        <v>106</v>
      </c>
      <c r="E8538">
        <v>17.928000000000001</v>
      </c>
    </row>
    <row r="8539" spans="1:5">
      <c r="A8539" t="s">
        <v>39361</v>
      </c>
      <c r="B8539" t="s">
        <v>39362</v>
      </c>
      <c r="C8539">
        <v>0</v>
      </c>
      <c r="D8539">
        <v>0.67124492330800001</v>
      </c>
      <c r="E8539">
        <v>6.9359999999999999</v>
      </c>
    </row>
    <row r="8540" spans="1:5">
      <c r="A8540" t="s">
        <v>39361</v>
      </c>
      <c r="B8540" t="s">
        <v>39363</v>
      </c>
      <c r="C8540">
        <v>0.35763492330800001</v>
      </c>
      <c r="D8540">
        <v>0.67124492330800001</v>
      </c>
      <c r="E8540">
        <v>6.9359999999999999</v>
      </c>
    </row>
    <row r="8541" spans="1:5">
      <c r="A8541" t="s">
        <v>39361</v>
      </c>
      <c r="B8541" t="s">
        <v>39364</v>
      </c>
      <c r="C8541">
        <v>0</v>
      </c>
      <c r="D8541">
        <v>0.67124492330800001</v>
      </c>
      <c r="E8541">
        <v>6.9359999999999999</v>
      </c>
    </row>
    <row r="8542" spans="1:5">
      <c r="A8542" t="s">
        <v>39361</v>
      </c>
      <c r="B8542" t="s">
        <v>39365</v>
      </c>
      <c r="C8542">
        <v>0</v>
      </c>
      <c r="D8542">
        <v>0.67124492330800001</v>
      </c>
      <c r="E8542">
        <v>6.9359999999999999</v>
      </c>
    </row>
    <row r="8543" spans="1:5">
      <c r="A8543" t="s">
        <v>39361</v>
      </c>
      <c r="B8543" t="s">
        <v>39366</v>
      </c>
      <c r="C8543">
        <f>0</f>
        <v>0</v>
      </c>
      <c r="D8543">
        <v>0.67124492330800001</v>
      </c>
      <c r="E8543">
        <v>6.9359999999999999</v>
      </c>
    </row>
    <row r="8544" spans="1:5">
      <c r="A8544" t="s">
        <v>39367</v>
      </c>
      <c r="B8544" t="s">
        <v>12542</v>
      </c>
      <c r="C8544">
        <f>0.0639811191922</f>
        <v>6.3981119192199995E-2</v>
      </c>
      <c r="D8544">
        <v>0.84065342779700003</v>
      </c>
      <c r="E8544">
        <v>0</v>
      </c>
    </row>
    <row r="8545" spans="1:5">
      <c r="A8545" t="s">
        <v>39367</v>
      </c>
      <c r="B8545" t="s">
        <v>12539</v>
      </c>
      <c r="C8545">
        <f>0.0726650486605</f>
        <v>7.2665048660499998E-2</v>
      </c>
      <c r="D8545">
        <v>0.84065342779700003</v>
      </c>
      <c r="E8545">
        <v>0</v>
      </c>
    </row>
    <row r="8546" spans="1:5">
      <c r="A8546" t="s">
        <v>39367</v>
      </c>
      <c r="B8546" t="s">
        <v>12538</v>
      </c>
      <c r="C8546">
        <f>0.585645112886</f>
        <v>0.58564511288599996</v>
      </c>
      <c r="D8546">
        <v>0.84065342779700003</v>
      </c>
      <c r="E8546">
        <v>0</v>
      </c>
    </row>
    <row r="8547" spans="1:5">
      <c r="A8547" t="s">
        <v>39367</v>
      </c>
      <c r="B8547" t="s">
        <v>12540</v>
      </c>
      <c r="C8547">
        <v>0</v>
      </c>
      <c r="D8547">
        <v>0.84065342779700003</v>
      </c>
      <c r="E8547">
        <v>0</v>
      </c>
    </row>
    <row r="8548" spans="1:5">
      <c r="A8548" t="s">
        <v>39367</v>
      </c>
      <c r="B8548" t="s">
        <v>12537</v>
      </c>
      <c r="C8548">
        <f>0</f>
        <v>0</v>
      </c>
      <c r="D8548">
        <v>0.84065342779700003</v>
      </c>
      <c r="E8548">
        <v>0</v>
      </c>
    </row>
    <row r="8549" spans="1:5">
      <c r="A8549" t="s">
        <v>39368</v>
      </c>
      <c r="B8549" t="s">
        <v>39369</v>
      </c>
      <c r="C8549">
        <v>0.72334460595100003</v>
      </c>
      <c r="D8549">
        <v>0.72649966826800005</v>
      </c>
      <c r="E8549">
        <v>6.0000000000000001E-3</v>
      </c>
    </row>
    <row r="8550" spans="1:5">
      <c r="A8550" t="s">
        <v>39368</v>
      </c>
      <c r="B8550" t="s">
        <v>39370</v>
      </c>
      <c r="C8550">
        <f>0.876201791586</f>
        <v>0.87620179158599998</v>
      </c>
      <c r="D8550">
        <v>0.72649966826800005</v>
      </c>
      <c r="E8550">
        <v>6.0000000000000001E-3</v>
      </c>
    </row>
    <row r="8551" spans="1:5">
      <c r="A8551" t="s">
        <v>39371</v>
      </c>
      <c r="B8551" t="s">
        <v>39372</v>
      </c>
      <c r="C8551">
        <f>0</f>
        <v>0</v>
      </c>
      <c r="D8551" t="s">
        <v>106</v>
      </c>
      <c r="E8551">
        <v>5.58</v>
      </c>
    </row>
    <row r="8552" spans="1:5">
      <c r="A8552" t="s">
        <v>39371</v>
      </c>
      <c r="B8552" t="s">
        <v>39373</v>
      </c>
      <c r="C8552">
        <f>0</f>
        <v>0</v>
      </c>
      <c r="D8552" t="s">
        <v>106</v>
      </c>
      <c r="E8552">
        <v>5.58</v>
      </c>
    </row>
    <row r="8553" spans="1:5">
      <c r="A8553" t="s">
        <v>39371</v>
      </c>
      <c r="B8553" t="s">
        <v>39374</v>
      </c>
      <c r="C8553">
        <f>0</f>
        <v>0</v>
      </c>
      <c r="D8553" t="s">
        <v>106</v>
      </c>
      <c r="E8553">
        <v>5.58</v>
      </c>
    </row>
    <row r="8554" spans="1:5">
      <c r="A8554" t="s">
        <v>39371</v>
      </c>
      <c r="B8554" t="s">
        <v>39375</v>
      </c>
      <c r="C8554">
        <v>0</v>
      </c>
      <c r="D8554" t="s">
        <v>106</v>
      </c>
      <c r="E8554">
        <v>5.58</v>
      </c>
    </row>
    <row r="8555" spans="1:5">
      <c r="A8555" t="s">
        <v>39376</v>
      </c>
      <c r="B8555" t="s">
        <v>6263</v>
      </c>
      <c r="C8555">
        <v>0</v>
      </c>
      <c r="D8555" t="s">
        <v>106</v>
      </c>
      <c r="E8555">
        <v>4.17</v>
      </c>
    </row>
    <row r="8556" spans="1:5">
      <c r="A8556" t="s">
        <v>39376</v>
      </c>
      <c r="B8556" t="s">
        <v>6259</v>
      </c>
      <c r="C8556">
        <v>0</v>
      </c>
      <c r="D8556" t="s">
        <v>106</v>
      </c>
      <c r="E8556">
        <v>4.17</v>
      </c>
    </row>
    <row r="8557" spans="1:5">
      <c r="A8557" t="s">
        <v>39376</v>
      </c>
      <c r="B8557" t="s">
        <v>6267</v>
      </c>
      <c r="C8557">
        <f>0</f>
        <v>0</v>
      </c>
      <c r="D8557" t="s">
        <v>106</v>
      </c>
      <c r="E8557">
        <v>4.17</v>
      </c>
    </row>
    <row r="8558" spans="1:5">
      <c r="A8558" t="s">
        <v>39376</v>
      </c>
      <c r="B8558" t="s">
        <v>6266</v>
      </c>
      <c r="C8558">
        <f>0</f>
        <v>0</v>
      </c>
      <c r="D8558" t="s">
        <v>106</v>
      </c>
      <c r="E8558">
        <v>4.17</v>
      </c>
    </row>
    <row r="8559" spans="1:5">
      <c r="A8559" t="s">
        <v>39376</v>
      </c>
      <c r="B8559" t="s">
        <v>6265</v>
      </c>
      <c r="C8559">
        <f>0</f>
        <v>0</v>
      </c>
      <c r="D8559" t="s">
        <v>106</v>
      </c>
      <c r="E8559">
        <v>4.17</v>
      </c>
    </row>
    <row r="8560" spans="1:5">
      <c r="A8560" t="s">
        <v>39377</v>
      </c>
      <c r="B8560" t="s">
        <v>39378</v>
      </c>
      <c r="C8560">
        <f>0.0263918740803</f>
        <v>2.6391874080299998E-2</v>
      </c>
      <c r="D8560">
        <v>0.97905864625899997</v>
      </c>
      <c r="E8560">
        <v>8.4359999999999999</v>
      </c>
    </row>
    <row r="8561" spans="1:5">
      <c r="A8561" t="s">
        <v>39377</v>
      </c>
      <c r="B8561" t="s">
        <v>39379</v>
      </c>
      <c r="C8561">
        <v>0</v>
      </c>
      <c r="D8561">
        <v>0.97905864625899997</v>
      </c>
      <c r="E8561">
        <v>8.4359999999999999</v>
      </c>
    </row>
    <row r="8562" spans="1:5">
      <c r="A8562" t="s">
        <v>39377</v>
      </c>
      <c r="B8562" t="s">
        <v>39380</v>
      </c>
      <c r="C8562">
        <f>0.66072408613</f>
        <v>0.66072408613</v>
      </c>
      <c r="D8562">
        <v>0.97905864625899997</v>
      </c>
      <c r="E8562">
        <v>8.4359999999999999</v>
      </c>
    </row>
    <row r="8563" spans="1:5">
      <c r="A8563" t="s">
        <v>39377</v>
      </c>
      <c r="B8563" t="s">
        <v>39381</v>
      </c>
      <c r="C8563">
        <v>0.553238441877</v>
      </c>
      <c r="D8563">
        <v>0.97905864625899997</v>
      </c>
      <c r="E8563">
        <v>8.4359999999999999</v>
      </c>
    </row>
    <row r="8564" spans="1:5">
      <c r="A8564" t="s">
        <v>39377</v>
      </c>
      <c r="B8564" t="s">
        <v>39382</v>
      </c>
      <c r="C8564">
        <f>0.267443908768</f>
        <v>0.267443908768</v>
      </c>
      <c r="D8564">
        <v>0.97905864625899997</v>
      </c>
      <c r="E8564">
        <v>8.4359999999999999</v>
      </c>
    </row>
    <row r="8565" spans="1:5">
      <c r="A8565" t="s">
        <v>39383</v>
      </c>
      <c r="B8565" t="s">
        <v>15934</v>
      </c>
      <c r="C8565">
        <v>0</v>
      </c>
      <c r="D8565" t="s">
        <v>106</v>
      </c>
      <c r="E8565">
        <v>0.216</v>
      </c>
    </row>
    <row r="8566" spans="1:5">
      <c r="A8566" t="s">
        <v>39383</v>
      </c>
      <c r="B8566" t="s">
        <v>15939</v>
      </c>
      <c r="C8566">
        <v>0</v>
      </c>
      <c r="D8566" t="s">
        <v>106</v>
      </c>
      <c r="E8566">
        <v>0.216</v>
      </c>
    </row>
    <row r="8567" spans="1:5">
      <c r="A8567" t="s">
        <v>39383</v>
      </c>
      <c r="B8567" t="s">
        <v>15938</v>
      </c>
      <c r="C8567">
        <f>0</f>
        <v>0</v>
      </c>
      <c r="D8567" t="s">
        <v>106</v>
      </c>
      <c r="E8567">
        <v>0.216</v>
      </c>
    </row>
    <row r="8568" spans="1:5">
      <c r="A8568" t="s">
        <v>39384</v>
      </c>
      <c r="B8568" t="s">
        <v>39385</v>
      </c>
      <c r="C8568">
        <v>0.36977923992700001</v>
      </c>
      <c r="D8568">
        <v>0.60919227961900002</v>
      </c>
      <c r="E8568">
        <v>0</v>
      </c>
    </row>
    <row r="8569" spans="1:5">
      <c r="A8569" t="s">
        <v>39384</v>
      </c>
      <c r="B8569" t="s">
        <v>39386</v>
      </c>
      <c r="C8569">
        <v>1.5763640636100001E-2</v>
      </c>
      <c r="D8569">
        <v>0.60919227961900002</v>
      </c>
      <c r="E8569">
        <v>0</v>
      </c>
    </row>
    <row r="8570" spans="1:5">
      <c r="A8570" t="s">
        <v>39387</v>
      </c>
      <c r="B8570" t="s">
        <v>39388</v>
      </c>
      <c r="C8570">
        <f>0</f>
        <v>0</v>
      </c>
      <c r="D8570" t="s">
        <v>106</v>
      </c>
      <c r="E8570">
        <v>2.556</v>
      </c>
    </row>
    <row r="8571" spans="1:5">
      <c r="A8571" t="s">
        <v>39387</v>
      </c>
      <c r="B8571" t="s">
        <v>39389</v>
      </c>
      <c r="C8571">
        <f>0</f>
        <v>0</v>
      </c>
      <c r="D8571" t="s">
        <v>106</v>
      </c>
      <c r="E8571">
        <v>2.556</v>
      </c>
    </row>
    <row r="8572" spans="1:5">
      <c r="A8572" t="s">
        <v>39387</v>
      </c>
      <c r="B8572" t="s">
        <v>39390</v>
      </c>
      <c r="C8572">
        <v>0</v>
      </c>
      <c r="D8572" t="s">
        <v>106</v>
      </c>
      <c r="E8572">
        <v>2.556</v>
      </c>
    </row>
    <row r="8573" spans="1:5">
      <c r="A8573" t="s">
        <v>39391</v>
      </c>
      <c r="B8573" t="s">
        <v>6968</v>
      </c>
      <c r="C8573">
        <f>0</f>
        <v>0</v>
      </c>
      <c r="D8573" t="s">
        <v>106</v>
      </c>
      <c r="E8573">
        <v>14.183999999999999</v>
      </c>
    </row>
    <row r="8574" spans="1:5">
      <c r="A8574" t="s">
        <v>39391</v>
      </c>
      <c r="B8574" t="s">
        <v>6967</v>
      </c>
      <c r="C8574">
        <f>0</f>
        <v>0</v>
      </c>
      <c r="D8574" t="s">
        <v>106</v>
      </c>
      <c r="E8574">
        <v>14.183999999999999</v>
      </c>
    </row>
    <row r="8575" spans="1:5">
      <c r="A8575" t="s">
        <v>39391</v>
      </c>
      <c r="B8575" t="s">
        <v>6966</v>
      </c>
      <c r="C8575">
        <v>0</v>
      </c>
      <c r="D8575" t="s">
        <v>106</v>
      </c>
      <c r="E8575">
        <v>14.183999999999999</v>
      </c>
    </row>
    <row r="8576" spans="1:5">
      <c r="A8576" t="s">
        <v>39391</v>
      </c>
      <c r="B8576" t="s">
        <v>6970</v>
      </c>
      <c r="C8576">
        <v>0</v>
      </c>
      <c r="D8576" t="s">
        <v>106</v>
      </c>
      <c r="E8576">
        <v>14.183999999999999</v>
      </c>
    </row>
    <row r="8577" spans="1:5">
      <c r="A8577" t="s">
        <v>39392</v>
      </c>
      <c r="B8577" t="s">
        <v>39393</v>
      </c>
      <c r="C8577">
        <v>0</v>
      </c>
      <c r="D8577">
        <v>0.96828066601600005</v>
      </c>
      <c r="E8577">
        <v>8.4359999999999999</v>
      </c>
    </row>
    <row r="8578" spans="1:5">
      <c r="A8578" t="s">
        <v>39392</v>
      </c>
      <c r="B8578" t="s">
        <v>39394</v>
      </c>
      <c r="C8578">
        <v>1.07396929177E-2</v>
      </c>
      <c r="D8578">
        <v>0.96828066601600005</v>
      </c>
      <c r="E8578">
        <v>8.4359999999999999</v>
      </c>
    </row>
    <row r="8579" spans="1:5">
      <c r="A8579" t="s">
        <v>39392</v>
      </c>
      <c r="B8579" t="s">
        <v>39395</v>
      </c>
      <c r="C8579">
        <v>0.11897493629899999</v>
      </c>
      <c r="D8579">
        <v>0.96828066601600005</v>
      </c>
      <c r="E8579">
        <v>8.4359999999999999</v>
      </c>
    </row>
    <row r="8580" spans="1:5">
      <c r="A8580" t="s">
        <v>39392</v>
      </c>
      <c r="B8580" t="s">
        <v>39396</v>
      </c>
      <c r="C8580">
        <v>0.61582592655500001</v>
      </c>
      <c r="D8580">
        <v>0.96828066601600005</v>
      </c>
      <c r="E8580">
        <v>8.4359999999999999</v>
      </c>
    </row>
    <row r="8581" spans="1:5">
      <c r="A8581" t="s">
        <v>39392</v>
      </c>
      <c r="B8581" t="s">
        <v>39397</v>
      </c>
      <c r="C8581">
        <f>0</f>
        <v>0</v>
      </c>
      <c r="D8581">
        <v>0.96828066601600005</v>
      </c>
      <c r="E8581">
        <v>8.4359999999999999</v>
      </c>
    </row>
    <row r="8582" spans="1:5">
      <c r="A8582" t="s">
        <v>39392</v>
      </c>
      <c r="B8582" t="s">
        <v>39398</v>
      </c>
      <c r="C8582">
        <v>0.59361005101099995</v>
      </c>
      <c r="D8582">
        <v>0.96828066601600005</v>
      </c>
      <c r="E8582">
        <v>8.4359999999999999</v>
      </c>
    </row>
    <row r="8583" spans="1:5">
      <c r="A8583" t="s">
        <v>39392</v>
      </c>
      <c r="B8583" t="s">
        <v>39399</v>
      </c>
      <c r="C8583">
        <f>0.164598364635</f>
        <v>0.16459836463499999</v>
      </c>
      <c r="D8583">
        <v>0.96828066601600005</v>
      </c>
      <c r="E8583">
        <v>8.4359999999999999</v>
      </c>
    </row>
    <row r="8584" spans="1:5">
      <c r="A8584" t="s">
        <v>39400</v>
      </c>
      <c r="B8584" t="s">
        <v>39401</v>
      </c>
      <c r="C8584">
        <v>0</v>
      </c>
      <c r="D8584" t="s">
        <v>106</v>
      </c>
      <c r="E8584">
        <v>2.4</v>
      </c>
    </row>
    <row r="8585" spans="1:5">
      <c r="A8585" t="s">
        <v>39400</v>
      </c>
      <c r="B8585" t="s">
        <v>39402</v>
      </c>
      <c r="C8585">
        <v>0</v>
      </c>
      <c r="D8585" t="s">
        <v>106</v>
      </c>
      <c r="E8585">
        <v>2.4</v>
      </c>
    </row>
    <row r="8586" spans="1:5">
      <c r="A8586" t="s">
        <v>39400</v>
      </c>
      <c r="B8586" t="s">
        <v>39403</v>
      </c>
      <c r="C8586">
        <v>0</v>
      </c>
      <c r="D8586" t="s">
        <v>106</v>
      </c>
      <c r="E8586">
        <v>2.4</v>
      </c>
    </row>
    <row r="8587" spans="1:5">
      <c r="A8587" t="s">
        <v>39400</v>
      </c>
      <c r="B8587" t="s">
        <v>39404</v>
      </c>
      <c r="C8587">
        <v>0</v>
      </c>
      <c r="D8587" t="s">
        <v>106</v>
      </c>
      <c r="E8587">
        <v>2.4</v>
      </c>
    </row>
    <row r="8588" spans="1:5">
      <c r="A8588" t="s">
        <v>39400</v>
      </c>
      <c r="B8588" t="s">
        <v>39405</v>
      </c>
      <c r="C8588">
        <v>0</v>
      </c>
      <c r="D8588" t="s">
        <v>106</v>
      </c>
      <c r="E8588">
        <v>2.4</v>
      </c>
    </row>
    <row r="8589" spans="1:5">
      <c r="A8589" t="s">
        <v>39400</v>
      </c>
      <c r="B8589" t="s">
        <v>39406</v>
      </c>
      <c r="C8589">
        <v>0</v>
      </c>
      <c r="D8589" t="s">
        <v>106</v>
      </c>
      <c r="E8589">
        <v>2.4</v>
      </c>
    </row>
    <row r="8590" spans="1:5">
      <c r="A8590" t="s">
        <v>39400</v>
      </c>
      <c r="B8590" t="s">
        <v>39407</v>
      </c>
      <c r="C8590">
        <v>0</v>
      </c>
      <c r="D8590" t="s">
        <v>106</v>
      </c>
      <c r="E8590">
        <v>2.4</v>
      </c>
    </row>
    <row r="8591" spans="1:5">
      <c r="A8591" t="s">
        <v>39400</v>
      </c>
      <c r="B8591" t="s">
        <v>39408</v>
      </c>
      <c r="C8591">
        <v>0</v>
      </c>
      <c r="D8591" t="s">
        <v>106</v>
      </c>
      <c r="E8591">
        <v>2.4</v>
      </c>
    </row>
    <row r="8592" spans="1:5">
      <c r="A8592" t="s">
        <v>39400</v>
      </c>
      <c r="B8592" t="s">
        <v>39409</v>
      </c>
      <c r="C8592">
        <v>0</v>
      </c>
      <c r="D8592" t="s">
        <v>106</v>
      </c>
      <c r="E8592">
        <v>2.4</v>
      </c>
    </row>
    <row r="8593" spans="1:5">
      <c r="A8593" t="s">
        <v>39400</v>
      </c>
      <c r="B8593" t="s">
        <v>39410</v>
      </c>
      <c r="C8593">
        <v>0</v>
      </c>
      <c r="D8593" t="s">
        <v>106</v>
      </c>
      <c r="E8593">
        <v>2.4</v>
      </c>
    </row>
    <row r="8594" spans="1:5">
      <c r="A8594" t="s">
        <v>39400</v>
      </c>
      <c r="B8594" t="s">
        <v>39411</v>
      </c>
      <c r="C8594">
        <v>0</v>
      </c>
      <c r="D8594" t="s">
        <v>106</v>
      </c>
      <c r="E8594">
        <v>2.4</v>
      </c>
    </row>
    <row r="8595" spans="1:5">
      <c r="A8595" t="s">
        <v>39400</v>
      </c>
      <c r="B8595" t="s">
        <v>39412</v>
      </c>
      <c r="C8595">
        <v>0</v>
      </c>
      <c r="D8595" t="s">
        <v>106</v>
      </c>
      <c r="E8595">
        <v>2.4</v>
      </c>
    </row>
    <row r="8596" spans="1:5">
      <c r="A8596" t="s">
        <v>39400</v>
      </c>
      <c r="B8596" t="s">
        <v>39413</v>
      </c>
      <c r="C8596">
        <v>0</v>
      </c>
      <c r="D8596" t="s">
        <v>106</v>
      </c>
      <c r="E8596">
        <v>2.4</v>
      </c>
    </row>
    <row r="8597" spans="1:5">
      <c r="A8597" t="s">
        <v>39400</v>
      </c>
      <c r="B8597" t="s">
        <v>39414</v>
      </c>
      <c r="C8597">
        <v>0</v>
      </c>
      <c r="D8597" t="s">
        <v>106</v>
      </c>
      <c r="E8597">
        <v>2.4</v>
      </c>
    </row>
    <row r="8598" spans="1:5">
      <c r="A8598" t="s">
        <v>39415</v>
      </c>
      <c r="B8598" t="s">
        <v>39416</v>
      </c>
      <c r="C8598">
        <v>0</v>
      </c>
      <c r="D8598" t="s">
        <v>106</v>
      </c>
      <c r="E8598">
        <v>23.754000000000001</v>
      </c>
    </row>
    <row r="8599" spans="1:5">
      <c r="A8599" t="s">
        <v>39415</v>
      </c>
      <c r="B8599" t="s">
        <v>39417</v>
      </c>
      <c r="C8599">
        <v>0</v>
      </c>
      <c r="D8599" t="s">
        <v>106</v>
      </c>
      <c r="E8599">
        <v>23.754000000000001</v>
      </c>
    </row>
    <row r="8600" spans="1:5">
      <c r="A8600" t="s">
        <v>39415</v>
      </c>
      <c r="B8600" t="s">
        <v>39418</v>
      </c>
      <c r="C8600">
        <v>0</v>
      </c>
      <c r="D8600" t="s">
        <v>106</v>
      </c>
      <c r="E8600">
        <v>23.754000000000001</v>
      </c>
    </row>
    <row r="8601" spans="1:5">
      <c r="A8601" t="s">
        <v>39415</v>
      </c>
      <c r="B8601" t="s">
        <v>39419</v>
      </c>
      <c r="C8601">
        <v>0</v>
      </c>
      <c r="D8601" t="s">
        <v>106</v>
      </c>
      <c r="E8601">
        <v>23.754000000000001</v>
      </c>
    </row>
    <row r="8602" spans="1:5">
      <c r="A8602" t="s">
        <v>39420</v>
      </c>
      <c r="B8602" t="s">
        <v>28313</v>
      </c>
      <c r="C8602">
        <f>0</f>
        <v>0</v>
      </c>
      <c r="D8602" t="s">
        <v>106</v>
      </c>
      <c r="E8602">
        <v>4.6920000000000002</v>
      </c>
    </row>
    <row r="8603" spans="1:5">
      <c r="A8603" t="s">
        <v>39420</v>
      </c>
      <c r="B8603" t="s">
        <v>28315</v>
      </c>
      <c r="C8603">
        <v>0</v>
      </c>
      <c r="D8603" t="s">
        <v>106</v>
      </c>
      <c r="E8603">
        <v>4.6920000000000002</v>
      </c>
    </row>
    <row r="8604" spans="1:5">
      <c r="A8604" t="s">
        <v>39421</v>
      </c>
      <c r="B8604" t="s">
        <v>2329</v>
      </c>
      <c r="C8604">
        <v>0.28886193034699997</v>
      </c>
      <c r="D8604">
        <v>0.39127193034699997</v>
      </c>
      <c r="E8604">
        <v>3.2280000000000002</v>
      </c>
    </row>
    <row r="8605" spans="1:5">
      <c r="A8605" t="s">
        <v>39421</v>
      </c>
      <c r="B8605" t="s">
        <v>2326</v>
      </c>
      <c r="C8605">
        <f>0</f>
        <v>0</v>
      </c>
      <c r="D8605">
        <v>0.39127193034699997</v>
      </c>
      <c r="E8605">
        <v>3.2280000000000002</v>
      </c>
    </row>
    <row r="8606" spans="1:5">
      <c r="A8606" t="s">
        <v>39422</v>
      </c>
      <c r="B8606" t="s">
        <v>39423</v>
      </c>
      <c r="C8606">
        <v>0</v>
      </c>
      <c r="D8606">
        <v>0.67045601816300004</v>
      </c>
      <c r="E8606">
        <v>4.9080000000000004</v>
      </c>
    </row>
    <row r="8607" spans="1:5">
      <c r="A8607" t="s">
        <v>39422</v>
      </c>
      <c r="B8607" t="s">
        <v>39424</v>
      </c>
      <c r="C8607">
        <v>0.47684601816299999</v>
      </c>
      <c r="D8607">
        <v>0.67045601816300004</v>
      </c>
      <c r="E8607">
        <v>4.9080000000000004</v>
      </c>
    </row>
    <row r="8608" spans="1:5">
      <c r="A8608" t="s">
        <v>39422</v>
      </c>
      <c r="B8608" t="s">
        <v>39425</v>
      </c>
      <c r="C8608">
        <v>0</v>
      </c>
      <c r="D8608">
        <v>0.67045601816300004</v>
      </c>
      <c r="E8608">
        <v>4.9080000000000004</v>
      </c>
    </row>
    <row r="8609" spans="1:5">
      <c r="A8609" t="s">
        <v>39426</v>
      </c>
      <c r="B8609" t="s">
        <v>4378</v>
      </c>
      <c r="C8609">
        <v>0.36209651862699999</v>
      </c>
      <c r="D8609">
        <v>0.88968409748599997</v>
      </c>
      <c r="E8609">
        <v>10.554</v>
      </c>
    </row>
    <row r="8610" spans="1:5">
      <c r="A8610" t="s">
        <v>39426</v>
      </c>
      <c r="B8610" t="s">
        <v>4380</v>
      </c>
      <c r="C8610">
        <f>0</f>
        <v>0</v>
      </c>
      <c r="D8610">
        <v>0.88968409748599997</v>
      </c>
      <c r="E8610">
        <v>10.554</v>
      </c>
    </row>
    <row r="8611" spans="1:5">
      <c r="A8611" t="s">
        <v>39426</v>
      </c>
      <c r="B8611" t="s">
        <v>4381</v>
      </c>
      <c r="C8611">
        <f>0.272264982698</f>
        <v>0.27226498269799998</v>
      </c>
      <c r="D8611">
        <v>0.88968409748599997</v>
      </c>
      <c r="E8611">
        <v>10.554</v>
      </c>
    </row>
    <row r="8612" spans="1:5">
      <c r="A8612" t="s">
        <v>39426</v>
      </c>
      <c r="B8612" t="s">
        <v>4385</v>
      </c>
      <c r="C8612">
        <f>0.378258572735</f>
        <v>0.37825857273500002</v>
      </c>
      <c r="D8612">
        <v>0.88968409748599997</v>
      </c>
      <c r="E8612">
        <v>10.554</v>
      </c>
    </row>
    <row r="8613" spans="1:5">
      <c r="A8613" t="s">
        <v>39427</v>
      </c>
      <c r="B8613" t="s">
        <v>28409</v>
      </c>
      <c r="C8613">
        <f>0.507264982545</f>
        <v>0.50726498254499996</v>
      </c>
      <c r="D8613">
        <v>0.86062446598999998</v>
      </c>
      <c r="E8613">
        <v>0</v>
      </c>
    </row>
    <row r="8614" spans="1:5">
      <c r="A8614" t="s">
        <v>39427</v>
      </c>
      <c r="B8614" t="s">
        <v>28413</v>
      </c>
      <c r="C8614">
        <f>0.388979701556</f>
        <v>0.38897970155599998</v>
      </c>
      <c r="D8614">
        <v>0.86062446598999998</v>
      </c>
      <c r="E8614">
        <v>0</v>
      </c>
    </row>
    <row r="8615" spans="1:5">
      <c r="A8615" t="s">
        <v>39427</v>
      </c>
      <c r="B8615" t="s">
        <v>28411</v>
      </c>
      <c r="C8615">
        <f>0.44596757375</f>
        <v>0.44596757375000001</v>
      </c>
      <c r="D8615">
        <v>0.86062446598999998</v>
      </c>
      <c r="E8615">
        <v>0</v>
      </c>
    </row>
    <row r="8616" spans="1:5">
      <c r="A8616" t="s">
        <v>39427</v>
      </c>
      <c r="B8616" t="s">
        <v>28414</v>
      </c>
      <c r="C8616">
        <f>0</f>
        <v>0</v>
      </c>
      <c r="D8616">
        <v>0.86062446598999998</v>
      </c>
      <c r="E8616">
        <v>0</v>
      </c>
    </row>
    <row r="8617" spans="1:5">
      <c r="A8617" t="s">
        <v>39428</v>
      </c>
      <c r="B8617" t="s">
        <v>39429</v>
      </c>
      <c r="C8617">
        <v>0.35803449005799998</v>
      </c>
      <c r="D8617">
        <v>0.711236321753</v>
      </c>
      <c r="E8617">
        <v>18.138000000000002</v>
      </c>
    </row>
    <row r="8618" spans="1:5">
      <c r="A8618" t="s">
        <v>39428</v>
      </c>
      <c r="B8618" t="s">
        <v>39430</v>
      </c>
      <c r="C8618">
        <f>0</f>
        <v>0</v>
      </c>
      <c r="D8618">
        <v>0.711236321753</v>
      </c>
      <c r="E8618">
        <v>18.138000000000002</v>
      </c>
    </row>
    <row r="8619" spans="1:5">
      <c r="A8619" t="s">
        <v>39428</v>
      </c>
      <c r="B8619" t="s">
        <v>39431</v>
      </c>
      <c r="C8619">
        <f>0.55565247711</f>
        <v>0.55565247710999999</v>
      </c>
      <c r="D8619">
        <v>0.711236321753</v>
      </c>
      <c r="E8619">
        <v>18.138000000000002</v>
      </c>
    </row>
    <row r="8620" spans="1:5">
      <c r="A8620" t="s">
        <v>39428</v>
      </c>
      <c r="B8620" t="s">
        <v>39432</v>
      </c>
      <c r="C8620">
        <f>0.136099817735</f>
        <v>0.13609981773499999</v>
      </c>
      <c r="D8620">
        <v>0.711236321753</v>
      </c>
      <c r="E8620">
        <v>18.138000000000002</v>
      </c>
    </row>
    <row r="8621" spans="1:5">
      <c r="A8621" t="s">
        <v>39428</v>
      </c>
      <c r="B8621" t="s">
        <v>39433</v>
      </c>
      <c r="C8621">
        <f>0</f>
        <v>0</v>
      </c>
      <c r="D8621">
        <v>0.711236321753</v>
      </c>
      <c r="E8621">
        <v>18.138000000000002</v>
      </c>
    </row>
    <row r="8622" spans="1:5">
      <c r="A8622" t="s">
        <v>39428</v>
      </c>
      <c r="B8622" t="s">
        <v>39434</v>
      </c>
      <c r="C8622">
        <f>0</f>
        <v>0</v>
      </c>
      <c r="D8622">
        <v>0.711236321753</v>
      </c>
      <c r="E8622">
        <v>18.138000000000002</v>
      </c>
    </row>
    <row r="8623" spans="1:5">
      <c r="A8623" t="s">
        <v>39435</v>
      </c>
      <c r="B8623" t="s">
        <v>33894</v>
      </c>
      <c r="C8623">
        <v>0</v>
      </c>
      <c r="D8623">
        <v>0.83697460612300001</v>
      </c>
      <c r="E8623">
        <v>13.997999999999999</v>
      </c>
    </row>
    <row r="8624" spans="1:5">
      <c r="A8624" t="s">
        <v>39435</v>
      </c>
      <c r="B8624" t="s">
        <v>33895</v>
      </c>
      <c r="C8624">
        <v>0</v>
      </c>
      <c r="D8624">
        <v>0.83697460612300001</v>
      </c>
      <c r="E8624">
        <v>13.997999999999999</v>
      </c>
    </row>
    <row r="8625" spans="1:5">
      <c r="A8625" t="s">
        <v>39435</v>
      </c>
      <c r="B8625" t="s">
        <v>33893</v>
      </c>
      <c r="C8625">
        <v>0.64336460612299995</v>
      </c>
      <c r="D8625">
        <v>0.83697460612300001</v>
      </c>
      <c r="E8625">
        <v>13.997999999999999</v>
      </c>
    </row>
    <row r="8626" spans="1:5">
      <c r="A8626" t="s">
        <v>39436</v>
      </c>
      <c r="B8626" t="s">
        <v>6140</v>
      </c>
      <c r="C8626">
        <f>0.244337227111</f>
        <v>0.244337227111</v>
      </c>
      <c r="D8626">
        <v>0.78061252153500005</v>
      </c>
      <c r="E8626">
        <v>0</v>
      </c>
    </row>
    <row r="8627" spans="1:5">
      <c r="A8627" t="s">
        <v>39436</v>
      </c>
      <c r="B8627" t="s">
        <v>6143</v>
      </c>
      <c r="C8627">
        <v>0.446788593362</v>
      </c>
      <c r="D8627">
        <v>0.78061252153500005</v>
      </c>
      <c r="E8627">
        <v>0</v>
      </c>
    </row>
    <row r="8628" spans="1:5">
      <c r="A8628" t="s">
        <v>39436</v>
      </c>
      <c r="B8628" t="s">
        <v>6144</v>
      </c>
      <c r="C8628">
        <v>0.24081685392900001</v>
      </c>
      <c r="D8628">
        <v>0.78061252153500005</v>
      </c>
      <c r="E8628">
        <v>0</v>
      </c>
    </row>
    <row r="8629" spans="1:5">
      <c r="A8629" t="s">
        <v>39437</v>
      </c>
      <c r="B8629" t="s">
        <v>17449</v>
      </c>
      <c r="C8629">
        <v>0</v>
      </c>
      <c r="D8629" t="s">
        <v>106</v>
      </c>
      <c r="E8629">
        <v>2.25</v>
      </c>
    </row>
    <row r="8630" spans="1:5">
      <c r="A8630" t="s">
        <v>39437</v>
      </c>
      <c r="B8630" t="s">
        <v>17453</v>
      </c>
      <c r="C8630">
        <v>0</v>
      </c>
      <c r="D8630" t="s">
        <v>106</v>
      </c>
      <c r="E8630">
        <v>2.25</v>
      </c>
    </row>
    <row r="8631" spans="1:5">
      <c r="A8631" t="s">
        <v>39437</v>
      </c>
      <c r="B8631" t="s">
        <v>17450</v>
      </c>
      <c r="C8631">
        <v>0</v>
      </c>
      <c r="D8631" t="s">
        <v>106</v>
      </c>
      <c r="E8631">
        <v>2.25</v>
      </c>
    </row>
    <row r="8632" spans="1:5">
      <c r="A8632" t="s">
        <v>39437</v>
      </c>
      <c r="B8632" t="s">
        <v>17451</v>
      </c>
      <c r="C8632">
        <v>0</v>
      </c>
      <c r="D8632" t="s">
        <v>106</v>
      </c>
      <c r="E8632">
        <v>2.25</v>
      </c>
    </row>
    <row r="8633" spans="1:5">
      <c r="A8633" t="s">
        <v>39438</v>
      </c>
      <c r="B8633" t="s">
        <v>39439</v>
      </c>
      <c r="C8633">
        <v>0.78499643113799999</v>
      </c>
      <c r="D8633">
        <v>0.89853671014199998</v>
      </c>
      <c r="E8633">
        <v>0</v>
      </c>
    </row>
    <row r="8634" spans="1:5">
      <c r="A8634" t="s">
        <v>39438</v>
      </c>
      <c r="B8634" t="s">
        <v>39440</v>
      </c>
      <c r="C8634">
        <v>0.243743691368</v>
      </c>
      <c r="D8634">
        <v>0.89853671014199998</v>
      </c>
      <c r="E8634">
        <v>0</v>
      </c>
    </row>
    <row r="8635" spans="1:5">
      <c r="A8635" t="s">
        <v>39438</v>
      </c>
      <c r="B8635" t="s">
        <v>39441</v>
      </c>
      <c r="C8635">
        <f>0</f>
        <v>0</v>
      </c>
      <c r="D8635">
        <v>0.89853671014199998</v>
      </c>
      <c r="E8635">
        <v>0</v>
      </c>
    </row>
    <row r="8636" spans="1:5">
      <c r="A8636" t="s">
        <v>39442</v>
      </c>
      <c r="B8636" t="s">
        <v>34076</v>
      </c>
      <c r="C8636">
        <v>9.5727693616400003E-2</v>
      </c>
      <c r="D8636">
        <v>0.95968051080299999</v>
      </c>
      <c r="E8636">
        <v>9.1679999999999993</v>
      </c>
    </row>
    <row r="8637" spans="1:5">
      <c r="A8637" t="s">
        <v>39442</v>
      </c>
      <c r="B8637" t="s">
        <v>34082</v>
      </c>
      <c r="C8637">
        <f>0.34957703769</f>
        <v>0.34957703768999998</v>
      </c>
      <c r="D8637">
        <v>0.95968051080299999</v>
      </c>
      <c r="E8637">
        <v>9.1679999999999993</v>
      </c>
    </row>
    <row r="8638" spans="1:5">
      <c r="A8638" t="s">
        <v>39442</v>
      </c>
      <c r="B8638" t="s">
        <v>34078</v>
      </c>
      <c r="C8638">
        <f>0.195937180501</f>
        <v>0.19593718050100001</v>
      </c>
      <c r="D8638">
        <v>0.95968051080299999</v>
      </c>
      <c r="E8638">
        <v>9.1679999999999993</v>
      </c>
    </row>
    <row r="8639" spans="1:5">
      <c r="A8639" t="s">
        <v>39442</v>
      </c>
      <c r="B8639" t="s">
        <v>34079</v>
      </c>
      <c r="C8639">
        <f>0</f>
        <v>0</v>
      </c>
      <c r="D8639">
        <v>0.95968051080299999</v>
      </c>
      <c r="E8639">
        <v>9.1679999999999993</v>
      </c>
    </row>
    <row r="8640" spans="1:5">
      <c r="A8640" t="s">
        <v>39442</v>
      </c>
      <c r="B8640" t="s">
        <v>34081</v>
      </c>
      <c r="C8640">
        <v>0</v>
      </c>
      <c r="D8640">
        <v>0.95968051080299999</v>
      </c>
      <c r="E8640">
        <v>9.1679999999999993</v>
      </c>
    </row>
    <row r="8641" spans="1:5">
      <c r="A8641" t="s">
        <v>39442</v>
      </c>
      <c r="B8641" t="s">
        <v>34077</v>
      </c>
      <c r="C8641">
        <v>0.44395286372300002</v>
      </c>
      <c r="D8641">
        <v>0.95968051080299999</v>
      </c>
      <c r="E8641">
        <v>9.1679999999999993</v>
      </c>
    </row>
    <row r="8642" spans="1:5">
      <c r="A8642" t="s">
        <v>39443</v>
      </c>
      <c r="B8642" t="s">
        <v>12734</v>
      </c>
      <c r="C8642">
        <v>0.167667991209</v>
      </c>
      <c r="D8642">
        <v>0.91206439037200004</v>
      </c>
      <c r="E8642">
        <v>12.048</v>
      </c>
    </row>
    <row r="8643" spans="1:5">
      <c r="A8643" t="s">
        <v>39443</v>
      </c>
      <c r="B8643" t="s">
        <v>12740</v>
      </c>
      <c r="C8643">
        <v>0.34892449886499999</v>
      </c>
      <c r="D8643">
        <v>0.91206439037200004</v>
      </c>
      <c r="E8643">
        <v>12.048</v>
      </c>
    </row>
    <row r="8644" spans="1:5">
      <c r="A8644" t="s">
        <v>39443</v>
      </c>
      <c r="B8644" t="s">
        <v>12737</v>
      </c>
      <c r="C8644">
        <f>0.610683985833</f>
        <v>0.61068398583299999</v>
      </c>
      <c r="D8644">
        <v>0.91206439037200004</v>
      </c>
      <c r="E8644">
        <v>12.048</v>
      </c>
    </row>
    <row r="8645" spans="1:5">
      <c r="A8645" t="s">
        <v>39443</v>
      </c>
      <c r="B8645" t="s">
        <v>12736</v>
      </c>
      <c r="C8645">
        <f>0</f>
        <v>0</v>
      </c>
      <c r="D8645">
        <v>0.91206439037200004</v>
      </c>
      <c r="E8645">
        <v>12.048</v>
      </c>
    </row>
    <row r="8646" spans="1:5">
      <c r="A8646" t="s">
        <v>39444</v>
      </c>
      <c r="B8646" t="s">
        <v>39445</v>
      </c>
      <c r="C8646">
        <v>0</v>
      </c>
      <c r="D8646">
        <v>0.92674092277800002</v>
      </c>
      <c r="E8646">
        <v>0.504</v>
      </c>
    </row>
    <row r="8647" spans="1:5">
      <c r="A8647" t="s">
        <v>39444</v>
      </c>
      <c r="B8647" t="s">
        <v>39446</v>
      </c>
      <c r="C8647">
        <v>0</v>
      </c>
      <c r="D8647">
        <v>0.92674092277800002</v>
      </c>
      <c r="E8647">
        <v>0.504</v>
      </c>
    </row>
    <row r="8648" spans="1:5">
      <c r="A8648" t="s">
        <v>39444</v>
      </c>
      <c r="B8648" t="s">
        <v>39447</v>
      </c>
      <c r="C8648">
        <v>0.29843062312599999</v>
      </c>
      <c r="D8648">
        <v>0.92674092277800002</v>
      </c>
      <c r="E8648">
        <v>0.504</v>
      </c>
    </row>
    <row r="8649" spans="1:5">
      <c r="A8649" t="s">
        <v>39444</v>
      </c>
      <c r="B8649" t="s">
        <v>39448</v>
      </c>
      <c r="C8649">
        <v>0.24332612001500001</v>
      </c>
      <c r="D8649">
        <v>0.92674092277800002</v>
      </c>
      <c r="E8649">
        <v>0.504</v>
      </c>
    </row>
    <row r="8650" spans="1:5">
      <c r="A8650" t="s">
        <v>39444</v>
      </c>
      <c r="B8650" t="s">
        <v>39449</v>
      </c>
      <c r="C8650">
        <v>0</v>
      </c>
      <c r="D8650">
        <v>0.92674092277800002</v>
      </c>
      <c r="E8650">
        <v>0.504</v>
      </c>
    </row>
    <row r="8651" spans="1:5">
      <c r="A8651" t="s">
        <v>39444</v>
      </c>
      <c r="B8651" t="s">
        <v>39450</v>
      </c>
      <c r="C8651">
        <v>0.15563269479799999</v>
      </c>
      <c r="D8651">
        <v>0.92674092277800002</v>
      </c>
      <c r="E8651">
        <v>0.504</v>
      </c>
    </row>
    <row r="8652" spans="1:5">
      <c r="A8652" t="s">
        <v>39444</v>
      </c>
      <c r="B8652" t="s">
        <v>39451</v>
      </c>
      <c r="C8652">
        <f>0</f>
        <v>0</v>
      </c>
      <c r="D8652">
        <v>0.92674092277800002</v>
      </c>
      <c r="E8652">
        <v>0.504</v>
      </c>
    </row>
    <row r="8653" spans="1:5">
      <c r="A8653" t="s">
        <v>39444</v>
      </c>
      <c r="B8653" t="s">
        <v>39452</v>
      </c>
      <c r="C8653">
        <v>0.59742530778500003</v>
      </c>
      <c r="D8653">
        <v>0.92674092277800002</v>
      </c>
      <c r="E8653">
        <v>0.504</v>
      </c>
    </row>
    <row r="8654" spans="1:5">
      <c r="A8654" t="s">
        <v>39444</v>
      </c>
      <c r="B8654" t="s">
        <v>39453</v>
      </c>
      <c r="C8654">
        <v>0</v>
      </c>
      <c r="D8654">
        <v>0.92674092277800002</v>
      </c>
      <c r="E8654">
        <v>0.504</v>
      </c>
    </row>
    <row r="8655" spans="1:5">
      <c r="A8655" t="s">
        <v>39454</v>
      </c>
      <c r="B8655" t="s">
        <v>32364</v>
      </c>
      <c r="C8655">
        <v>1.9295665883399999</v>
      </c>
      <c r="D8655">
        <v>0.87162355414000003</v>
      </c>
      <c r="E8655">
        <v>4.5839999999999996</v>
      </c>
    </row>
    <row r="8656" spans="1:5">
      <c r="A8656" t="s">
        <v>39454</v>
      </c>
      <c r="B8656" t="s">
        <v>32367</v>
      </c>
      <c r="C8656">
        <f>-1.13513957459</f>
        <v>-1.1351395745899999</v>
      </c>
      <c r="D8656">
        <v>0.87162355414000003</v>
      </c>
      <c r="E8656">
        <v>4.5839999999999996</v>
      </c>
    </row>
    <row r="8657" spans="1:5">
      <c r="A8657" t="s">
        <v>39455</v>
      </c>
      <c r="B8657" t="s">
        <v>39456</v>
      </c>
      <c r="C8657">
        <v>0.168107404682</v>
      </c>
      <c r="D8657">
        <v>0.68651740468199995</v>
      </c>
      <c r="E8657">
        <v>6.6779999999999999</v>
      </c>
    </row>
    <row r="8658" spans="1:5">
      <c r="A8658" t="s">
        <v>39455</v>
      </c>
      <c r="B8658" t="s">
        <v>39457</v>
      </c>
      <c r="C8658">
        <f>0</f>
        <v>0</v>
      </c>
      <c r="D8658">
        <v>0.68651740468199995</v>
      </c>
      <c r="E8658">
        <v>6.6779999999999999</v>
      </c>
    </row>
    <row r="8659" spans="1:5">
      <c r="A8659" t="s">
        <v>39458</v>
      </c>
      <c r="B8659" t="s">
        <v>39459</v>
      </c>
      <c r="C8659">
        <v>0.26274065903600002</v>
      </c>
      <c r="D8659">
        <v>0.41154941765300002</v>
      </c>
      <c r="E8659">
        <v>0.47399999999999998</v>
      </c>
    </row>
    <row r="8660" spans="1:5">
      <c r="A8660" t="s">
        <v>39458</v>
      </c>
      <c r="B8660" t="s">
        <v>39460</v>
      </c>
      <c r="C8660">
        <v>2.93874337185E-2</v>
      </c>
      <c r="D8660">
        <v>0.41154941765300002</v>
      </c>
      <c r="E8660">
        <v>0.47399999999999998</v>
      </c>
    </row>
    <row r="8661" spans="1:5">
      <c r="A8661" t="s">
        <v>39461</v>
      </c>
      <c r="B8661" t="s">
        <v>28537</v>
      </c>
      <c r="C8661">
        <v>0</v>
      </c>
      <c r="D8661" t="s">
        <v>106</v>
      </c>
      <c r="E8661">
        <v>0.216</v>
      </c>
    </row>
    <row r="8662" spans="1:5">
      <c r="A8662" t="s">
        <v>39461</v>
      </c>
      <c r="B8662" t="s">
        <v>28538</v>
      </c>
      <c r="C8662">
        <f>0</f>
        <v>0</v>
      </c>
      <c r="D8662" t="s">
        <v>106</v>
      </c>
      <c r="E8662">
        <v>0.216</v>
      </c>
    </row>
    <row r="8663" spans="1:5">
      <c r="A8663" t="s">
        <v>39462</v>
      </c>
      <c r="B8663" t="s">
        <v>28628</v>
      </c>
      <c r="C8663">
        <f>0</f>
        <v>0</v>
      </c>
      <c r="D8663">
        <v>0.90725992795300003</v>
      </c>
      <c r="E8663">
        <v>0</v>
      </c>
    </row>
    <row r="8664" spans="1:5">
      <c r="A8664" t="s">
        <v>39462</v>
      </c>
      <c r="B8664" t="s">
        <v>28630</v>
      </c>
      <c r="C8664">
        <v>0.21667395433200001</v>
      </c>
      <c r="D8664">
        <v>0.90725992795300003</v>
      </c>
      <c r="E8664">
        <v>0</v>
      </c>
    </row>
    <row r="8665" spans="1:5">
      <c r="A8665" t="s">
        <v>39462</v>
      </c>
      <c r="B8665" t="s">
        <v>28629</v>
      </c>
      <c r="C8665">
        <f>0.717391272721</f>
        <v>0.71739127272100001</v>
      </c>
      <c r="D8665">
        <v>0.90725992795300003</v>
      </c>
      <c r="E8665">
        <v>0</v>
      </c>
    </row>
    <row r="8666" spans="1:5">
      <c r="A8666" t="s">
        <v>39462</v>
      </c>
      <c r="B8666" t="s">
        <v>28626</v>
      </c>
      <c r="C8666">
        <f>0.261485671299</f>
        <v>0.26148567129900002</v>
      </c>
      <c r="D8666">
        <v>0.90725992795300003</v>
      </c>
      <c r="E8666">
        <v>0</v>
      </c>
    </row>
    <row r="8667" spans="1:5">
      <c r="A8667" t="s">
        <v>39463</v>
      </c>
      <c r="B8667" t="s">
        <v>39464</v>
      </c>
      <c r="C8667">
        <f>0</f>
        <v>0</v>
      </c>
      <c r="D8667" t="s">
        <v>106</v>
      </c>
      <c r="E8667">
        <v>0.78</v>
      </c>
    </row>
    <row r="8668" spans="1:5">
      <c r="A8668" t="s">
        <v>39463</v>
      </c>
      <c r="B8668" t="s">
        <v>39465</v>
      </c>
      <c r="C8668">
        <f>0</f>
        <v>0</v>
      </c>
      <c r="D8668" t="s">
        <v>106</v>
      </c>
      <c r="E8668">
        <v>0.78</v>
      </c>
    </row>
    <row r="8669" spans="1:5">
      <c r="A8669" t="s">
        <v>39463</v>
      </c>
      <c r="B8669" t="s">
        <v>39466</v>
      </c>
      <c r="C8669">
        <f>0</f>
        <v>0</v>
      </c>
      <c r="D8669" t="s">
        <v>106</v>
      </c>
      <c r="E8669">
        <v>0.78</v>
      </c>
    </row>
    <row r="8670" spans="1:5">
      <c r="A8670" t="s">
        <v>39467</v>
      </c>
      <c r="B8670" t="s">
        <v>17831</v>
      </c>
      <c r="C8670">
        <f>0</f>
        <v>0</v>
      </c>
      <c r="D8670">
        <v>0.61152670402099996</v>
      </c>
      <c r="E8670">
        <v>0.28799999999999998</v>
      </c>
    </row>
    <row r="8671" spans="1:5">
      <c r="A8671" t="s">
        <v>39467</v>
      </c>
      <c r="B8671" t="s">
        <v>17833</v>
      </c>
      <c r="C8671">
        <f>0</f>
        <v>0</v>
      </c>
      <c r="D8671">
        <v>0.61152670402099996</v>
      </c>
      <c r="E8671">
        <v>0.28799999999999998</v>
      </c>
    </row>
    <row r="8672" spans="1:5">
      <c r="A8672" t="s">
        <v>39467</v>
      </c>
      <c r="B8672" t="s">
        <v>17830</v>
      </c>
      <c r="C8672">
        <v>0</v>
      </c>
      <c r="D8672">
        <v>0.61152670402099996</v>
      </c>
      <c r="E8672">
        <v>0.28799999999999998</v>
      </c>
    </row>
    <row r="8673" spans="1:5">
      <c r="A8673" t="s">
        <v>39467</v>
      </c>
      <c r="B8673" t="s">
        <v>17834</v>
      </c>
      <c r="C8673">
        <v>0</v>
      </c>
      <c r="D8673">
        <v>0.61152670402099996</v>
      </c>
      <c r="E8673">
        <v>0.28799999999999998</v>
      </c>
    </row>
    <row r="8674" spans="1:5">
      <c r="A8674" t="s">
        <v>39467</v>
      </c>
      <c r="B8674" t="s">
        <v>17832</v>
      </c>
      <c r="C8674">
        <f>0.149116704021</f>
        <v>0.149116704021</v>
      </c>
      <c r="D8674">
        <v>0.61152670402099996</v>
      </c>
      <c r="E8674">
        <v>0.28799999999999998</v>
      </c>
    </row>
    <row r="8675" spans="1:5">
      <c r="A8675" t="s">
        <v>39467</v>
      </c>
      <c r="B8675" t="s">
        <v>17829</v>
      </c>
      <c r="C8675">
        <v>0</v>
      </c>
      <c r="D8675">
        <v>0.61152670402099996</v>
      </c>
      <c r="E8675">
        <v>0.28799999999999998</v>
      </c>
    </row>
    <row r="8676" spans="1:5">
      <c r="A8676" t="s">
        <v>39468</v>
      </c>
      <c r="B8676" t="s">
        <v>39469</v>
      </c>
      <c r="C8676">
        <v>0</v>
      </c>
      <c r="D8676" t="s">
        <v>106</v>
      </c>
      <c r="E8676">
        <v>19.416</v>
      </c>
    </row>
    <row r="8677" spans="1:5">
      <c r="A8677" t="s">
        <v>39468</v>
      </c>
      <c r="B8677" t="s">
        <v>39470</v>
      </c>
      <c r="C8677">
        <f>0</f>
        <v>0</v>
      </c>
      <c r="D8677" t="s">
        <v>106</v>
      </c>
      <c r="E8677">
        <v>19.416</v>
      </c>
    </row>
    <row r="8678" spans="1:5">
      <c r="A8678" t="s">
        <v>39471</v>
      </c>
      <c r="B8678" t="s">
        <v>13494</v>
      </c>
      <c r="C8678">
        <v>0.155541854383</v>
      </c>
      <c r="D8678">
        <v>0.98524271592400003</v>
      </c>
      <c r="E8678">
        <v>0.15</v>
      </c>
    </row>
    <row r="8679" spans="1:5">
      <c r="A8679" t="s">
        <v>39471</v>
      </c>
      <c r="B8679" t="s">
        <v>13492</v>
      </c>
      <c r="C8679">
        <f>0</f>
        <v>0</v>
      </c>
      <c r="D8679">
        <v>0.98524271592400003</v>
      </c>
      <c r="E8679">
        <v>0.15</v>
      </c>
    </row>
    <row r="8680" spans="1:5">
      <c r="A8680" t="s">
        <v>39471</v>
      </c>
      <c r="B8680" t="s">
        <v>13496</v>
      </c>
      <c r="C8680">
        <f>0.678383977269</f>
        <v>0.67838397726900002</v>
      </c>
      <c r="D8680">
        <v>0.98524271592400003</v>
      </c>
      <c r="E8680">
        <v>0.15</v>
      </c>
    </row>
    <row r="8681" spans="1:5">
      <c r="A8681" t="s">
        <v>39471</v>
      </c>
      <c r="B8681" t="s">
        <v>13498</v>
      </c>
      <c r="C8681">
        <v>0</v>
      </c>
      <c r="D8681">
        <v>0.98524271592400003</v>
      </c>
      <c r="E8681">
        <v>0.15</v>
      </c>
    </row>
    <row r="8682" spans="1:5">
      <c r="A8682" t="s">
        <v>39471</v>
      </c>
      <c r="B8682" t="s">
        <v>13499</v>
      </c>
      <c r="C8682">
        <f>0.365724943312</f>
        <v>0.36572494331200001</v>
      </c>
      <c r="D8682">
        <v>0.98524271592400003</v>
      </c>
      <c r="E8682">
        <v>0.15</v>
      </c>
    </row>
    <row r="8683" spans="1:5">
      <c r="A8683" t="s">
        <v>39472</v>
      </c>
      <c r="B8683" t="s">
        <v>16268</v>
      </c>
      <c r="C8683">
        <f>0</f>
        <v>0</v>
      </c>
      <c r="D8683" t="s">
        <v>106</v>
      </c>
      <c r="E8683">
        <v>6.9359999999999999</v>
      </c>
    </row>
    <row r="8684" spans="1:5">
      <c r="A8684" t="s">
        <v>39472</v>
      </c>
      <c r="B8684" t="s">
        <v>16276</v>
      </c>
      <c r="C8684">
        <f>0</f>
        <v>0</v>
      </c>
      <c r="D8684" t="s">
        <v>106</v>
      </c>
      <c r="E8684">
        <v>6.9359999999999999</v>
      </c>
    </row>
    <row r="8685" spans="1:5">
      <c r="A8685" t="s">
        <v>39472</v>
      </c>
      <c r="B8685" t="s">
        <v>16277</v>
      </c>
      <c r="C8685">
        <v>0</v>
      </c>
      <c r="D8685" t="s">
        <v>106</v>
      </c>
      <c r="E8685">
        <v>6.9359999999999999</v>
      </c>
    </row>
    <row r="8686" spans="1:5">
      <c r="A8686" t="s">
        <v>39472</v>
      </c>
      <c r="B8686" t="s">
        <v>16269</v>
      </c>
      <c r="C8686">
        <f>0</f>
        <v>0</v>
      </c>
      <c r="D8686" t="s">
        <v>106</v>
      </c>
      <c r="E8686">
        <v>6.9359999999999999</v>
      </c>
    </row>
    <row r="8687" spans="1:5">
      <c r="A8687" t="s">
        <v>39472</v>
      </c>
      <c r="B8687" t="s">
        <v>16272</v>
      </c>
      <c r="C8687">
        <f>0</f>
        <v>0</v>
      </c>
      <c r="D8687" t="s">
        <v>106</v>
      </c>
      <c r="E8687">
        <v>6.9359999999999999</v>
      </c>
    </row>
    <row r="8688" spans="1:5">
      <c r="A8688" t="s">
        <v>39472</v>
      </c>
      <c r="B8688" t="s">
        <v>16265</v>
      </c>
      <c r="C8688">
        <f>0</f>
        <v>0</v>
      </c>
      <c r="D8688" t="s">
        <v>106</v>
      </c>
      <c r="E8688">
        <v>6.9359999999999999</v>
      </c>
    </row>
    <row r="8689" spans="1:5">
      <c r="A8689" t="s">
        <v>39473</v>
      </c>
      <c r="B8689" t="s">
        <v>17362</v>
      </c>
      <c r="C8689">
        <f>0.287052812725</f>
        <v>0.287052812725</v>
      </c>
      <c r="D8689">
        <v>0.90096784459900003</v>
      </c>
      <c r="E8689">
        <v>1.0680000000000001</v>
      </c>
    </row>
    <row r="8690" spans="1:5">
      <c r="A8690" t="s">
        <v>39473</v>
      </c>
      <c r="B8690" t="s">
        <v>17363</v>
      </c>
      <c r="C8690">
        <v>0.87753876794800001</v>
      </c>
      <c r="D8690">
        <v>0.90096784459900003</v>
      </c>
      <c r="E8690">
        <v>1.0680000000000001</v>
      </c>
    </row>
    <row r="8691" spans="1:5">
      <c r="A8691" t="s">
        <v>39474</v>
      </c>
      <c r="B8691" t="s">
        <v>39475</v>
      </c>
      <c r="C8691">
        <v>0.43226580323199998</v>
      </c>
      <c r="D8691">
        <v>0.83537746466999996</v>
      </c>
      <c r="E8691">
        <v>0</v>
      </c>
    </row>
    <row r="8692" spans="1:5">
      <c r="A8692" t="s">
        <v>39474</v>
      </c>
      <c r="B8692" t="s">
        <v>39476</v>
      </c>
      <c r="C8692">
        <v>0.585563365093</v>
      </c>
      <c r="D8692">
        <v>0.83537746466999996</v>
      </c>
      <c r="E8692">
        <v>0</v>
      </c>
    </row>
    <row r="8693" spans="1:5">
      <c r="A8693" t="s">
        <v>39477</v>
      </c>
      <c r="B8693" t="s">
        <v>39478</v>
      </c>
      <c r="C8693">
        <v>0</v>
      </c>
      <c r="D8693">
        <v>0.92830425003700001</v>
      </c>
      <c r="E8693">
        <v>2.4</v>
      </c>
    </row>
    <row r="8694" spans="1:5">
      <c r="A8694" t="s">
        <v>39477</v>
      </c>
      <c r="B8694" t="s">
        <v>39479</v>
      </c>
      <c r="C8694">
        <v>0</v>
      </c>
      <c r="D8694">
        <v>0.92830425003700001</v>
      </c>
      <c r="E8694">
        <v>2.4</v>
      </c>
    </row>
    <row r="8695" spans="1:5">
      <c r="A8695" t="s">
        <v>39477</v>
      </c>
      <c r="B8695" t="s">
        <v>39480</v>
      </c>
      <c r="C8695">
        <v>2.7086653668200001E-2</v>
      </c>
      <c r="D8695">
        <v>0.92830425003700001</v>
      </c>
      <c r="E8695">
        <v>2.4</v>
      </c>
    </row>
    <row r="8696" spans="1:5">
      <c r="A8696" t="s">
        <v>39477</v>
      </c>
      <c r="B8696" t="s">
        <v>39481</v>
      </c>
      <c r="C8696">
        <f>0</f>
        <v>0</v>
      </c>
      <c r="D8696">
        <v>0.92830425003700001</v>
      </c>
      <c r="E8696">
        <v>2.4</v>
      </c>
    </row>
    <row r="8697" spans="1:5">
      <c r="A8697" t="s">
        <v>39477</v>
      </c>
      <c r="B8697" t="s">
        <v>39482</v>
      </c>
      <c r="C8697">
        <v>6.1765533478900002E-3</v>
      </c>
      <c r="D8697">
        <v>0.92830425003700001</v>
      </c>
      <c r="E8697">
        <v>2.4</v>
      </c>
    </row>
    <row r="8698" spans="1:5">
      <c r="A8698" t="s">
        <v>39477</v>
      </c>
      <c r="B8698" t="s">
        <v>39483</v>
      </c>
      <c r="C8698">
        <v>0.70949502221500005</v>
      </c>
      <c r="D8698">
        <v>0.92830425003700001</v>
      </c>
      <c r="E8698">
        <v>2.4</v>
      </c>
    </row>
    <row r="8699" spans="1:5">
      <c r="A8699" t="s">
        <v>39484</v>
      </c>
      <c r="B8699" t="s">
        <v>708</v>
      </c>
      <c r="C8699">
        <v>0</v>
      </c>
      <c r="D8699">
        <v>0.86163206116199997</v>
      </c>
      <c r="E8699">
        <v>9.6180000000000003</v>
      </c>
    </row>
    <row r="8700" spans="1:5">
      <c r="A8700" t="s">
        <v>39484</v>
      </c>
      <c r="B8700" t="s">
        <v>710</v>
      </c>
      <c r="C8700">
        <v>0.75922206116199997</v>
      </c>
      <c r="D8700">
        <v>0.86163206116199997</v>
      </c>
      <c r="E8700">
        <v>9.6180000000000003</v>
      </c>
    </row>
    <row r="8701" spans="1:5">
      <c r="A8701" t="s">
        <v>39484</v>
      </c>
      <c r="B8701" t="s">
        <v>709</v>
      </c>
      <c r="C8701">
        <f>0</f>
        <v>0</v>
      </c>
      <c r="D8701">
        <v>0.86163206116199997</v>
      </c>
      <c r="E8701">
        <v>9.6180000000000003</v>
      </c>
    </row>
    <row r="8702" spans="1:5">
      <c r="A8702" t="s">
        <v>39485</v>
      </c>
      <c r="B8702" t="s">
        <v>26762</v>
      </c>
      <c r="C8702">
        <v>0.51487433542299998</v>
      </c>
      <c r="D8702">
        <v>0.65349242168099997</v>
      </c>
      <c r="E8702">
        <v>3.4079999999999999</v>
      </c>
    </row>
    <row r="8703" spans="1:5">
      <c r="A8703" t="s">
        <v>39485</v>
      </c>
      <c r="B8703" t="s">
        <v>26763</v>
      </c>
      <c r="C8703">
        <v>0.232471105826</v>
      </c>
      <c r="D8703">
        <v>0.65349242168099997</v>
      </c>
      <c r="E8703">
        <v>3.4079999999999999</v>
      </c>
    </row>
    <row r="8704" spans="1:5">
      <c r="A8704" t="s">
        <v>39486</v>
      </c>
      <c r="B8704" t="s">
        <v>39487</v>
      </c>
      <c r="C8704">
        <v>0</v>
      </c>
      <c r="D8704" t="s">
        <v>106</v>
      </c>
      <c r="E8704">
        <v>3.972</v>
      </c>
    </row>
    <row r="8705" spans="1:5">
      <c r="A8705" t="s">
        <v>39486</v>
      </c>
      <c r="B8705" t="s">
        <v>39488</v>
      </c>
      <c r="C8705">
        <v>0</v>
      </c>
      <c r="D8705" t="s">
        <v>106</v>
      </c>
      <c r="E8705">
        <v>3.972</v>
      </c>
    </row>
    <row r="8706" spans="1:5">
      <c r="A8706" t="s">
        <v>39486</v>
      </c>
      <c r="B8706" t="s">
        <v>39489</v>
      </c>
      <c r="C8706">
        <v>0</v>
      </c>
      <c r="D8706" t="s">
        <v>106</v>
      </c>
      <c r="E8706">
        <v>3.972</v>
      </c>
    </row>
    <row r="8707" spans="1:5">
      <c r="A8707" t="s">
        <v>39486</v>
      </c>
      <c r="B8707" t="s">
        <v>39490</v>
      </c>
      <c r="C8707">
        <v>0</v>
      </c>
      <c r="D8707" t="s">
        <v>106</v>
      </c>
      <c r="E8707">
        <v>3.972</v>
      </c>
    </row>
    <row r="8708" spans="1:5">
      <c r="A8708" t="s">
        <v>39486</v>
      </c>
      <c r="B8708" t="s">
        <v>39491</v>
      </c>
      <c r="C8708">
        <v>0</v>
      </c>
      <c r="D8708" t="s">
        <v>106</v>
      </c>
      <c r="E8708">
        <v>3.972</v>
      </c>
    </row>
    <row r="8709" spans="1:5">
      <c r="A8709" t="s">
        <v>39492</v>
      </c>
      <c r="B8709" t="s">
        <v>23407</v>
      </c>
      <c r="C8709">
        <v>0.83771933402599996</v>
      </c>
      <c r="D8709">
        <v>0.89215637295500005</v>
      </c>
      <c r="E8709">
        <v>8.58</v>
      </c>
    </row>
    <row r="8710" spans="1:5">
      <c r="A8710" t="s">
        <v>39492</v>
      </c>
      <c r="B8710" t="s">
        <v>23408</v>
      </c>
      <c r="C8710">
        <v>0.41646266124499998</v>
      </c>
      <c r="D8710">
        <v>0.89215637295500005</v>
      </c>
      <c r="E8710">
        <v>8.58</v>
      </c>
    </row>
    <row r="8711" spans="1:5">
      <c r="A8711" t="s">
        <v>39492</v>
      </c>
      <c r="B8711" t="s">
        <v>23406</v>
      </c>
      <c r="C8711">
        <f>0</f>
        <v>0</v>
      </c>
      <c r="D8711">
        <v>0.89215637295500005</v>
      </c>
      <c r="E8711">
        <v>8.58</v>
      </c>
    </row>
    <row r="8712" spans="1:5">
      <c r="A8712" t="s">
        <v>39493</v>
      </c>
      <c r="B8712" t="s">
        <v>22631</v>
      </c>
      <c r="C8712">
        <f>0.478987379505</f>
        <v>0.47898737950499998</v>
      </c>
      <c r="D8712">
        <v>0.95567020338700004</v>
      </c>
      <c r="E8712">
        <v>10.715999999999999</v>
      </c>
    </row>
    <row r="8713" spans="1:5">
      <c r="A8713" t="s">
        <v>39493</v>
      </c>
      <c r="B8713" t="s">
        <v>22636</v>
      </c>
      <c r="C8713">
        <f>0.233024058987</f>
        <v>0.23302405898699999</v>
      </c>
      <c r="D8713">
        <v>0.95567020338700004</v>
      </c>
      <c r="E8713">
        <v>10.715999999999999</v>
      </c>
    </row>
    <row r="8714" spans="1:5">
      <c r="A8714" t="s">
        <v>39493</v>
      </c>
      <c r="B8714" t="s">
        <v>22637</v>
      </c>
      <c r="C8714">
        <v>0.95519213095599997</v>
      </c>
      <c r="D8714">
        <v>0.95567020338700004</v>
      </c>
      <c r="E8714">
        <v>10.715999999999999</v>
      </c>
    </row>
    <row r="8715" spans="1:5">
      <c r="A8715" t="s">
        <v>39494</v>
      </c>
      <c r="B8715" t="s">
        <v>28622</v>
      </c>
      <c r="C8715">
        <f>0.164946343438</f>
        <v>0.16494634343799999</v>
      </c>
      <c r="D8715">
        <v>0.84895486919999996</v>
      </c>
      <c r="E8715">
        <v>6.6779999999999999</v>
      </c>
    </row>
    <row r="8716" spans="1:5">
      <c r="A8716" t="s">
        <v>39494</v>
      </c>
      <c r="B8716" t="s">
        <v>28624</v>
      </c>
      <c r="C8716">
        <v>0.88171408973900001</v>
      </c>
      <c r="D8716">
        <v>0.84895486919999996</v>
      </c>
      <c r="E8716">
        <v>6.6779999999999999</v>
      </c>
    </row>
    <row r="8717" spans="1:5">
      <c r="A8717" t="s">
        <v>39494</v>
      </c>
      <c r="B8717" t="s">
        <v>28623</v>
      </c>
      <c r="C8717">
        <f>-1.03127861725</f>
        <v>-1.0312786172499999</v>
      </c>
      <c r="D8717">
        <v>0.84895486919999996</v>
      </c>
      <c r="E8717">
        <v>6.6779999999999999</v>
      </c>
    </row>
    <row r="8718" spans="1:5">
      <c r="A8718" t="s">
        <v>39495</v>
      </c>
      <c r="B8718" t="s">
        <v>39496</v>
      </c>
      <c r="C8718">
        <f>0</f>
        <v>0</v>
      </c>
      <c r="D8718" t="s">
        <v>106</v>
      </c>
      <c r="E8718">
        <v>4.5839999999999996</v>
      </c>
    </row>
    <row r="8719" spans="1:5">
      <c r="A8719" t="s">
        <v>39495</v>
      </c>
      <c r="B8719" t="s">
        <v>39497</v>
      </c>
      <c r="C8719">
        <v>0</v>
      </c>
      <c r="D8719" t="s">
        <v>106</v>
      </c>
      <c r="E8719">
        <v>4.5839999999999996</v>
      </c>
    </row>
    <row r="8720" spans="1:5">
      <c r="A8720" t="s">
        <v>39495</v>
      </c>
      <c r="B8720" t="s">
        <v>39498</v>
      </c>
      <c r="C8720">
        <v>0</v>
      </c>
      <c r="D8720" t="s">
        <v>106</v>
      </c>
      <c r="E8720">
        <v>4.5839999999999996</v>
      </c>
    </row>
    <row r="8721" spans="1:5">
      <c r="A8721" t="s">
        <v>39495</v>
      </c>
      <c r="B8721" t="s">
        <v>39499</v>
      </c>
      <c r="C8721">
        <f>0</f>
        <v>0</v>
      </c>
      <c r="D8721" t="s">
        <v>106</v>
      </c>
      <c r="E8721">
        <v>4.5839999999999996</v>
      </c>
    </row>
    <row r="8722" spans="1:5">
      <c r="A8722" t="s">
        <v>39495</v>
      </c>
      <c r="B8722" t="s">
        <v>39500</v>
      </c>
      <c r="C8722">
        <v>0</v>
      </c>
      <c r="D8722" t="s">
        <v>106</v>
      </c>
      <c r="E8722">
        <v>4.5839999999999996</v>
      </c>
    </row>
    <row r="8723" spans="1:5">
      <c r="A8723" t="s">
        <v>39501</v>
      </c>
      <c r="B8723" t="s">
        <v>2628</v>
      </c>
      <c r="C8723">
        <v>0.27861468424699998</v>
      </c>
      <c r="D8723">
        <v>0.79808532635499996</v>
      </c>
      <c r="E8723">
        <v>4.6920000000000002</v>
      </c>
    </row>
    <row r="8724" spans="1:5">
      <c r="A8724" t="s">
        <v>39501</v>
      </c>
      <c r="B8724" t="s">
        <v>2632</v>
      </c>
      <c r="C8724">
        <f>0</f>
        <v>0</v>
      </c>
      <c r="D8724">
        <v>0.79808532635499996</v>
      </c>
      <c r="E8724">
        <v>4.6920000000000002</v>
      </c>
    </row>
    <row r="8725" spans="1:5">
      <c r="A8725" t="s">
        <v>39501</v>
      </c>
      <c r="B8725" t="s">
        <v>2633</v>
      </c>
      <c r="C8725">
        <v>0.41603685890499997</v>
      </c>
      <c r="D8725">
        <v>0.79808532635499996</v>
      </c>
      <c r="E8725">
        <v>4.6920000000000002</v>
      </c>
    </row>
    <row r="8726" spans="1:5">
      <c r="A8726" t="s">
        <v>39502</v>
      </c>
      <c r="B8726" t="s">
        <v>39503</v>
      </c>
      <c r="C8726">
        <v>0.26565466951799999</v>
      </c>
      <c r="D8726">
        <v>0.80801173151600003</v>
      </c>
      <c r="E8726">
        <v>3.1379999999999999</v>
      </c>
    </row>
    <row r="8727" spans="1:5">
      <c r="A8727" t="s">
        <v>39502</v>
      </c>
      <c r="B8727" t="s">
        <v>39504</v>
      </c>
      <c r="C8727">
        <f>0.120452950696</f>
        <v>0.120452950696</v>
      </c>
      <c r="D8727">
        <v>0.80801173151600003</v>
      </c>
      <c r="E8727">
        <v>3.1379999999999999</v>
      </c>
    </row>
    <row r="8728" spans="1:5">
      <c r="A8728" t="s">
        <v>39502</v>
      </c>
      <c r="B8728" t="s">
        <v>39505</v>
      </c>
      <c r="C8728">
        <v>0</v>
      </c>
      <c r="D8728">
        <v>0.80801173151600003</v>
      </c>
      <c r="E8728">
        <v>3.1379999999999999</v>
      </c>
    </row>
    <row r="8729" spans="1:5">
      <c r="A8729" t="s">
        <v>39502</v>
      </c>
      <c r="B8729" t="s">
        <v>39506</v>
      </c>
      <c r="C8729">
        <f>0</f>
        <v>0</v>
      </c>
      <c r="D8729">
        <v>0.80801173151600003</v>
      </c>
      <c r="E8729">
        <v>3.1379999999999999</v>
      </c>
    </row>
    <row r="8730" spans="1:5">
      <c r="A8730" t="s">
        <v>39502</v>
      </c>
      <c r="B8730" t="s">
        <v>39507</v>
      </c>
      <c r="C8730">
        <v>0.34632449971500001</v>
      </c>
      <c r="D8730">
        <v>0.80801173151600003</v>
      </c>
      <c r="E8730">
        <v>3.1379999999999999</v>
      </c>
    </row>
    <row r="8731" spans="1:5">
      <c r="A8731" t="s">
        <v>39508</v>
      </c>
      <c r="B8731" t="s">
        <v>33471</v>
      </c>
      <c r="C8731">
        <v>0</v>
      </c>
      <c r="D8731" t="s">
        <v>106</v>
      </c>
      <c r="E8731">
        <v>0.378</v>
      </c>
    </row>
    <row r="8732" spans="1:5">
      <c r="A8732" t="s">
        <v>39508</v>
      </c>
      <c r="B8732" t="s">
        <v>33474</v>
      </c>
      <c r="C8732">
        <v>0</v>
      </c>
      <c r="D8732" t="s">
        <v>106</v>
      </c>
      <c r="E8732">
        <v>0.378</v>
      </c>
    </row>
    <row r="8733" spans="1:5">
      <c r="A8733" t="s">
        <v>39508</v>
      </c>
      <c r="B8733" t="s">
        <v>33472</v>
      </c>
      <c r="C8733">
        <f>0</f>
        <v>0</v>
      </c>
      <c r="D8733" t="s">
        <v>106</v>
      </c>
      <c r="E8733">
        <v>0.378</v>
      </c>
    </row>
    <row r="8734" spans="1:5">
      <c r="A8734" t="s">
        <v>39508</v>
      </c>
      <c r="B8734" t="s">
        <v>33476</v>
      </c>
      <c r="C8734">
        <v>0</v>
      </c>
      <c r="D8734" t="s">
        <v>106</v>
      </c>
      <c r="E8734">
        <v>0.378</v>
      </c>
    </row>
    <row r="8735" spans="1:5">
      <c r="A8735" t="s">
        <v>39509</v>
      </c>
      <c r="B8735" t="s">
        <v>22531</v>
      </c>
      <c r="C8735">
        <v>0</v>
      </c>
      <c r="D8735" t="s">
        <v>106</v>
      </c>
      <c r="E8735">
        <v>19.2</v>
      </c>
    </row>
    <row r="8736" spans="1:5">
      <c r="A8736" t="s">
        <v>39509</v>
      </c>
      <c r="B8736" t="s">
        <v>22532</v>
      </c>
      <c r="C8736">
        <v>0</v>
      </c>
      <c r="D8736" t="s">
        <v>106</v>
      </c>
      <c r="E8736">
        <v>19.2</v>
      </c>
    </row>
    <row r="8737" spans="1:5">
      <c r="A8737" t="s">
        <v>39509</v>
      </c>
      <c r="B8737" t="s">
        <v>22537</v>
      </c>
      <c r="C8737">
        <v>0</v>
      </c>
      <c r="D8737" t="s">
        <v>106</v>
      </c>
      <c r="E8737">
        <v>19.2</v>
      </c>
    </row>
    <row r="8738" spans="1:5">
      <c r="A8738" t="s">
        <v>39509</v>
      </c>
      <c r="B8738" t="s">
        <v>22536</v>
      </c>
      <c r="C8738">
        <f>0</f>
        <v>0</v>
      </c>
      <c r="D8738" t="s">
        <v>106</v>
      </c>
      <c r="E8738">
        <v>19.2</v>
      </c>
    </row>
    <row r="8739" spans="1:5">
      <c r="A8739" t="s">
        <v>39509</v>
      </c>
      <c r="B8739" t="s">
        <v>22533</v>
      </c>
      <c r="C8739">
        <v>0</v>
      </c>
      <c r="D8739" t="s">
        <v>106</v>
      </c>
      <c r="E8739">
        <v>19.2</v>
      </c>
    </row>
    <row r="8740" spans="1:5">
      <c r="A8740" t="s">
        <v>39509</v>
      </c>
      <c r="B8740" t="s">
        <v>22535</v>
      </c>
      <c r="C8740">
        <v>0</v>
      </c>
      <c r="D8740" t="s">
        <v>106</v>
      </c>
      <c r="E8740">
        <v>19.2</v>
      </c>
    </row>
    <row r="8741" spans="1:5">
      <c r="A8741" t="s">
        <v>39510</v>
      </c>
      <c r="B8741" t="s">
        <v>4728</v>
      </c>
      <c r="C8741">
        <v>0.70298173679800002</v>
      </c>
      <c r="D8741">
        <v>0.98095470779000005</v>
      </c>
      <c r="E8741">
        <v>24</v>
      </c>
    </row>
    <row r="8742" spans="1:5">
      <c r="A8742" t="s">
        <v>39510</v>
      </c>
      <c r="B8742" t="s">
        <v>4731</v>
      </c>
      <c r="C8742">
        <f>0.545060766005</f>
        <v>0.54506076600499997</v>
      </c>
      <c r="D8742">
        <v>0.98095470779000005</v>
      </c>
      <c r="E8742">
        <v>24</v>
      </c>
    </row>
    <row r="8743" spans="1:5">
      <c r="A8743" t="s">
        <v>39510</v>
      </c>
      <c r="B8743" t="s">
        <v>4730</v>
      </c>
      <c r="C8743">
        <f>0.163738160978</f>
        <v>0.16373816097800001</v>
      </c>
      <c r="D8743">
        <v>0.98095470779000005</v>
      </c>
      <c r="E8743">
        <v>24</v>
      </c>
    </row>
    <row r="8744" spans="1:5">
      <c r="A8744" t="s">
        <v>39511</v>
      </c>
      <c r="B8744" t="s">
        <v>12160</v>
      </c>
      <c r="C8744">
        <v>0.69659382731800001</v>
      </c>
      <c r="D8744">
        <v>0.74425330382400001</v>
      </c>
      <c r="E8744">
        <v>6.3</v>
      </c>
    </row>
    <row r="8745" spans="1:5">
      <c r="A8745" t="s">
        <v>39511</v>
      </c>
      <c r="B8745" t="s">
        <v>12162</v>
      </c>
      <c r="C8745">
        <f>0.161398533825</f>
        <v>0.161398533825</v>
      </c>
      <c r="D8745">
        <v>0.74425330382400001</v>
      </c>
      <c r="E8745">
        <v>6.3</v>
      </c>
    </row>
    <row r="8746" spans="1:5">
      <c r="A8746" t="s">
        <v>39512</v>
      </c>
      <c r="B8746" t="s">
        <v>39513</v>
      </c>
      <c r="C8746">
        <f>0.652745412751</f>
        <v>0.65274541275099995</v>
      </c>
      <c r="D8746">
        <v>0.88315541275099996</v>
      </c>
      <c r="E8746">
        <v>2.25</v>
      </c>
    </row>
    <row r="8747" spans="1:5">
      <c r="A8747" t="s">
        <v>39512</v>
      </c>
      <c r="B8747" t="s">
        <v>39514</v>
      </c>
      <c r="C8747">
        <v>0</v>
      </c>
      <c r="D8747">
        <v>0.88315541275099996</v>
      </c>
      <c r="E8747">
        <v>2.25</v>
      </c>
    </row>
    <row r="8748" spans="1:5">
      <c r="A8748" t="s">
        <v>39512</v>
      </c>
      <c r="B8748" t="s">
        <v>39515</v>
      </c>
      <c r="C8748">
        <v>0</v>
      </c>
      <c r="D8748">
        <v>0.88315541275099996</v>
      </c>
      <c r="E8748">
        <v>2.25</v>
      </c>
    </row>
    <row r="8749" spans="1:5">
      <c r="A8749" t="s">
        <v>39512</v>
      </c>
      <c r="B8749" t="s">
        <v>39516</v>
      </c>
      <c r="C8749">
        <f>0</f>
        <v>0</v>
      </c>
      <c r="D8749">
        <v>0.88315541275099996</v>
      </c>
      <c r="E8749">
        <v>2.25</v>
      </c>
    </row>
    <row r="8750" spans="1:5">
      <c r="A8750" t="s">
        <v>39517</v>
      </c>
      <c r="B8750" t="s">
        <v>8846</v>
      </c>
      <c r="C8750">
        <v>0.437157544068</v>
      </c>
      <c r="D8750">
        <v>0.93311606805500003</v>
      </c>
      <c r="E8750">
        <v>5.82</v>
      </c>
    </row>
    <row r="8751" spans="1:5">
      <c r="A8751" t="s">
        <v>39517</v>
      </c>
      <c r="B8751" t="s">
        <v>8838</v>
      </c>
      <c r="C8751">
        <f>0.112213521429</f>
        <v>0.112213521429</v>
      </c>
      <c r="D8751">
        <v>0.93311606805500003</v>
      </c>
      <c r="E8751">
        <v>5.82</v>
      </c>
    </row>
    <row r="8752" spans="1:5">
      <c r="A8752" t="s">
        <v>39517</v>
      </c>
      <c r="B8752" t="s">
        <v>8848</v>
      </c>
      <c r="C8752">
        <f>0</f>
        <v>0</v>
      </c>
      <c r="D8752">
        <v>0.93311606805500003</v>
      </c>
      <c r="E8752">
        <v>5.82</v>
      </c>
    </row>
    <row r="8753" spans="1:5">
      <c r="A8753" t="s">
        <v>39517</v>
      </c>
      <c r="B8753" t="s">
        <v>8841</v>
      </c>
      <c r="C8753">
        <v>0.40633846627800002</v>
      </c>
      <c r="D8753">
        <v>0.93311606805500003</v>
      </c>
      <c r="E8753">
        <v>5.82</v>
      </c>
    </row>
    <row r="8754" spans="1:5">
      <c r="A8754" t="s">
        <v>39517</v>
      </c>
      <c r="B8754" t="s">
        <v>8845</v>
      </c>
      <c r="C8754">
        <v>0</v>
      </c>
      <c r="D8754">
        <v>0.93311606805500003</v>
      </c>
      <c r="E8754">
        <v>5.82</v>
      </c>
    </row>
    <row r="8755" spans="1:5">
      <c r="A8755" t="s">
        <v>39517</v>
      </c>
      <c r="B8755" t="s">
        <v>8844</v>
      </c>
      <c r="C8755">
        <f>0.048316481609</f>
        <v>4.8316481608999998E-2</v>
      </c>
      <c r="D8755">
        <v>0.93311606805500003</v>
      </c>
      <c r="E8755">
        <v>5.82</v>
      </c>
    </row>
    <row r="8756" spans="1:5">
      <c r="A8756" t="s">
        <v>39517</v>
      </c>
      <c r="B8756" t="s">
        <v>8839</v>
      </c>
      <c r="C8756">
        <f>0</f>
        <v>0</v>
      </c>
      <c r="D8756">
        <v>0.93311606805500003</v>
      </c>
      <c r="E8756">
        <v>5.82</v>
      </c>
    </row>
    <row r="8757" spans="1:5">
      <c r="A8757" t="s">
        <v>39518</v>
      </c>
      <c r="B8757" t="s">
        <v>39519</v>
      </c>
      <c r="C8757">
        <f>0</f>
        <v>0</v>
      </c>
      <c r="D8757" t="s">
        <v>106</v>
      </c>
      <c r="E8757">
        <v>24</v>
      </c>
    </row>
    <row r="8758" spans="1:5">
      <c r="A8758" t="s">
        <v>39518</v>
      </c>
      <c r="B8758" t="s">
        <v>39520</v>
      </c>
      <c r="C8758">
        <f>0</f>
        <v>0</v>
      </c>
      <c r="D8758" t="s">
        <v>106</v>
      </c>
      <c r="E8758">
        <v>24</v>
      </c>
    </row>
    <row r="8759" spans="1:5">
      <c r="A8759" t="s">
        <v>39518</v>
      </c>
      <c r="B8759" t="s">
        <v>39521</v>
      </c>
      <c r="C8759">
        <f>0</f>
        <v>0</v>
      </c>
      <c r="D8759" t="s">
        <v>106</v>
      </c>
      <c r="E8759">
        <v>24</v>
      </c>
    </row>
    <row r="8760" spans="1:5">
      <c r="A8760" t="s">
        <v>39518</v>
      </c>
      <c r="B8760" t="s">
        <v>39522</v>
      </c>
      <c r="C8760">
        <v>0</v>
      </c>
      <c r="D8760" t="s">
        <v>106</v>
      </c>
      <c r="E8760">
        <v>24</v>
      </c>
    </row>
    <row r="8761" spans="1:5">
      <c r="A8761" t="s">
        <v>39523</v>
      </c>
      <c r="B8761" t="s">
        <v>10237</v>
      </c>
      <c r="C8761">
        <v>0.88451231745699999</v>
      </c>
      <c r="D8761">
        <v>0.97717791728400005</v>
      </c>
      <c r="E8761">
        <v>0</v>
      </c>
    </row>
    <row r="8762" spans="1:5">
      <c r="A8762" t="s">
        <v>39523</v>
      </c>
      <c r="B8762" t="s">
        <v>10245</v>
      </c>
      <c r="C8762">
        <v>9.6433371951999997E-2</v>
      </c>
      <c r="D8762">
        <v>0.97717791728400005</v>
      </c>
      <c r="E8762">
        <v>0</v>
      </c>
    </row>
    <row r="8763" spans="1:5">
      <c r="A8763" t="s">
        <v>39523</v>
      </c>
      <c r="B8763" t="s">
        <v>10238</v>
      </c>
      <c r="C8763">
        <f>0.0139739989853</f>
        <v>1.3973998985299999E-2</v>
      </c>
      <c r="D8763">
        <v>0.97717791728400005</v>
      </c>
      <c r="E8763">
        <v>0</v>
      </c>
    </row>
    <row r="8764" spans="1:5">
      <c r="A8764" t="s">
        <v>39523</v>
      </c>
      <c r="B8764" t="s">
        <v>10243</v>
      </c>
      <c r="C8764">
        <v>0</v>
      </c>
      <c r="D8764">
        <v>0.97717791728400005</v>
      </c>
      <c r="E8764">
        <v>0</v>
      </c>
    </row>
    <row r="8765" spans="1:5">
      <c r="A8765" t="s">
        <v>39523</v>
      </c>
      <c r="B8765" t="s">
        <v>10240</v>
      </c>
      <c r="C8765">
        <f>0.581517994209</f>
        <v>0.58151799420899997</v>
      </c>
      <c r="D8765">
        <v>0.97717791728400005</v>
      </c>
      <c r="E8765">
        <v>0</v>
      </c>
    </row>
    <row r="8766" spans="1:5">
      <c r="A8766" t="s">
        <v>39523</v>
      </c>
      <c r="B8766" t="s">
        <v>10241</v>
      </c>
      <c r="C8766">
        <f>0</f>
        <v>0</v>
      </c>
      <c r="D8766">
        <v>0.97717791728400005</v>
      </c>
      <c r="E8766">
        <v>0</v>
      </c>
    </row>
    <row r="8767" spans="1:5">
      <c r="A8767" t="s">
        <v>39524</v>
      </c>
      <c r="B8767" t="s">
        <v>10261</v>
      </c>
      <c r="C8767">
        <v>0</v>
      </c>
      <c r="D8767">
        <v>0.62635437866800003</v>
      </c>
      <c r="E8767">
        <v>2.4</v>
      </c>
    </row>
    <row r="8768" spans="1:5">
      <c r="A8768" t="s">
        <v>39524</v>
      </c>
      <c r="B8768" t="s">
        <v>10265</v>
      </c>
      <c r="C8768">
        <v>0</v>
      </c>
      <c r="D8768">
        <v>0.62635437866800003</v>
      </c>
      <c r="E8768">
        <v>2.4</v>
      </c>
    </row>
    <row r="8769" spans="1:5">
      <c r="A8769" t="s">
        <v>39524</v>
      </c>
      <c r="B8769" t="s">
        <v>10263</v>
      </c>
      <c r="C8769">
        <f>0.355944378668</f>
        <v>0.35594437866799999</v>
      </c>
      <c r="D8769">
        <v>0.62635437866800003</v>
      </c>
      <c r="E8769">
        <v>2.4</v>
      </c>
    </row>
    <row r="8770" spans="1:5">
      <c r="A8770" t="s">
        <v>39524</v>
      </c>
      <c r="B8770" t="s">
        <v>10267</v>
      </c>
      <c r="C8770">
        <f>0</f>
        <v>0</v>
      </c>
      <c r="D8770">
        <v>0.62635437866800003</v>
      </c>
      <c r="E8770">
        <v>2.4</v>
      </c>
    </row>
    <row r="8771" spans="1:5">
      <c r="A8771" t="s">
        <v>39525</v>
      </c>
      <c r="B8771" t="s">
        <v>39526</v>
      </c>
      <c r="C8771">
        <f>0.162843314151</f>
        <v>0.16284331415100001</v>
      </c>
      <c r="D8771">
        <v>0.95780914103500003</v>
      </c>
      <c r="E8771">
        <v>6.06</v>
      </c>
    </row>
    <row r="8772" spans="1:5">
      <c r="A8772" t="s">
        <v>39525</v>
      </c>
      <c r="B8772" t="s">
        <v>39527</v>
      </c>
      <c r="C8772">
        <v>0</v>
      </c>
      <c r="D8772">
        <v>0.95780914103500003</v>
      </c>
      <c r="E8772">
        <v>6.06</v>
      </c>
    </row>
    <row r="8773" spans="1:5">
      <c r="A8773" t="s">
        <v>39525</v>
      </c>
      <c r="B8773" t="s">
        <v>39528</v>
      </c>
      <c r="C8773">
        <f>0.263098808166</f>
        <v>0.26309880816600001</v>
      </c>
      <c r="D8773">
        <v>0.95780914103500003</v>
      </c>
      <c r="E8773">
        <v>6.06</v>
      </c>
    </row>
    <row r="8774" spans="1:5">
      <c r="A8774" t="s">
        <v>39525</v>
      </c>
      <c r="B8774" t="s">
        <v>39529</v>
      </c>
      <c r="C8774">
        <f>0.397128358072</f>
        <v>0.39712835807199998</v>
      </c>
      <c r="D8774">
        <v>0.95780914103500003</v>
      </c>
      <c r="E8774">
        <v>6.06</v>
      </c>
    </row>
    <row r="8775" spans="1:5">
      <c r="A8775" t="s">
        <v>39525</v>
      </c>
      <c r="B8775" t="s">
        <v>39530</v>
      </c>
      <c r="C8775">
        <v>0.688538268861</v>
      </c>
      <c r="D8775">
        <v>0.95780914103500003</v>
      </c>
      <c r="E8775">
        <v>6.06</v>
      </c>
    </row>
    <row r="8776" spans="1:5">
      <c r="A8776" t="s">
        <v>39531</v>
      </c>
      <c r="B8776" t="s">
        <v>39532</v>
      </c>
      <c r="C8776">
        <f>0.462991970839</f>
        <v>0.46299197083900001</v>
      </c>
      <c r="D8776">
        <v>0.98653311558800005</v>
      </c>
      <c r="E8776">
        <v>12.048</v>
      </c>
    </row>
    <row r="8777" spans="1:5">
      <c r="A8777" t="s">
        <v>39531</v>
      </c>
      <c r="B8777" t="s">
        <v>39533</v>
      </c>
      <c r="C8777">
        <f>0.256693744795</f>
        <v>0.25669374479500001</v>
      </c>
      <c r="D8777">
        <v>0.98653311558800005</v>
      </c>
      <c r="E8777">
        <v>12.048</v>
      </c>
    </row>
    <row r="8778" spans="1:5">
      <c r="A8778" t="s">
        <v>39531</v>
      </c>
      <c r="B8778" t="s">
        <v>39534</v>
      </c>
      <c r="C8778">
        <v>0.51148574758999998</v>
      </c>
      <c r="D8778">
        <v>0.98653311558800005</v>
      </c>
      <c r="E8778">
        <v>12.048</v>
      </c>
    </row>
    <row r="8779" spans="1:5">
      <c r="A8779" t="s">
        <v>39535</v>
      </c>
      <c r="B8779" t="s">
        <v>34398</v>
      </c>
      <c r="C8779">
        <f>0.368608720335</f>
        <v>0.36860872033499997</v>
      </c>
      <c r="D8779">
        <v>0.97881923591599995</v>
      </c>
      <c r="E8779">
        <v>0</v>
      </c>
    </row>
    <row r="8780" spans="1:5">
      <c r="A8780" t="s">
        <v>39535</v>
      </c>
      <c r="B8780" t="s">
        <v>34401</v>
      </c>
      <c r="C8780">
        <f>0.563871947713</f>
        <v>0.56387194771299998</v>
      </c>
      <c r="D8780">
        <v>0.97881923591599995</v>
      </c>
      <c r="E8780">
        <v>0</v>
      </c>
    </row>
    <row r="8781" spans="1:5">
      <c r="A8781" t="s">
        <v>39535</v>
      </c>
      <c r="B8781" t="s">
        <v>34403</v>
      </c>
      <c r="C8781">
        <f>0.180037961652</f>
        <v>0.18003796165200001</v>
      </c>
      <c r="D8781">
        <v>0.97881923591599995</v>
      </c>
      <c r="E8781">
        <v>0</v>
      </c>
    </row>
    <row r="8782" spans="1:5">
      <c r="A8782" t="s">
        <v>39535</v>
      </c>
      <c r="B8782" t="s">
        <v>34406</v>
      </c>
      <c r="C8782">
        <f>0.50637055828</f>
        <v>0.50637055827999999</v>
      </c>
      <c r="D8782">
        <v>0.97881923591599995</v>
      </c>
      <c r="E8782">
        <v>0</v>
      </c>
    </row>
    <row r="8783" spans="1:5">
      <c r="A8783" t="s">
        <v>39535</v>
      </c>
      <c r="B8783" t="s">
        <v>34400</v>
      </c>
      <c r="C8783">
        <v>0.28062025053099998</v>
      </c>
      <c r="D8783">
        <v>0.97881923591599995</v>
      </c>
      <c r="E8783">
        <v>0</v>
      </c>
    </row>
    <row r="8784" spans="1:5">
      <c r="A8784" t="s">
        <v>39536</v>
      </c>
      <c r="B8784" t="s">
        <v>22173</v>
      </c>
      <c r="C8784">
        <f>-1.9518447535</f>
        <v>-1.9518447535000001</v>
      </c>
      <c r="D8784">
        <v>0.99825966028900004</v>
      </c>
      <c r="E8784">
        <v>4.0739999999999998</v>
      </c>
    </row>
    <row r="8785" spans="1:5">
      <c r="A8785" t="s">
        <v>39536</v>
      </c>
      <c r="B8785" t="s">
        <v>22174</v>
      </c>
      <c r="C8785">
        <f>0.167934131198</f>
        <v>0.16793413119799999</v>
      </c>
      <c r="D8785">
        <v>0.99825966028900004</v>
      </c>
      <c r="E8785">
        <v>4.0739999999999998</v>
      </c>
    </row>
    <row r="8786" spans="1:5">
      <c r="A8786" t="s">
        <v>39536</v>
      </c>
      <c r="B8786" t="s">
        <v>22181</v>
      </c>
      <c r="C8786">
        <v>1.2348621396099999</v>
      </c>
      <c r="D8786">
        <v>0.99825966028900004</v>
      </c>
      <c r="E8786">
        <v>4.0739999999999998</v>
      </c>
    </row>
    <row r="8787" spans="1:5">
      <c r="A8787" t="s">
        <v>39536</v>
      </c>
      <c r="B8787" t="s">
        <v>22182</v>
      </c>
      <c r="C8787">
        <f>0.729616646199</f>
        <v>0.72961664619900002</v>
      </c>
      <c r="D8787">
        <v>0.99825966028900004</v>
      </c>
      <c r="E8787">
        <v>4.0739999999999998</v>
      </c>
    </row>
    <row r="8788" spans="1:5">
      <c r="A8788" t="s">
        <v>39536</v>
      </c>
      <c r="B8788" t="s">
        <v>22180</v>
      </c>
      <c r="C8788">
        <v>0.60490820133099998</v>
      </c>
      <c r="D8788">
        <v>0.99825966028900004</v>
      </c>
      <c r="E8788">
        <v>4.0739999999999998</v>
      </c>
    </row>
    <row r="8789" spans="1:5">
      <c r="A8789" t="s">
        <v>39536</v>
      </c>
      <c r="B8789" t="s">
        <v>22179</v>
      </c>
      <c r="C8789">
        <v>4.72666590394E-2</v>
      </c>
      <c r="D8789">
        <v>0.99825966028900004</v>
      </c>
      <c r="E8789">
        <v>4.0739999999999998</v>
      </c>
    </row>
    <row r="8790" spans="1:5">
      <c r="A8790" t="s">
        <v>39537</v>
      </c>
      <c r="B8790" t="s">
        <v>12441</v>
      </c>
      <c r="C8790">
        <f>0</f>
        <v>0</v>
      </c>
      <c r="D8790">
        <v>0.60549682886300005</v>
      </c>
      <c r="E8790">
        <v>12.564</v>
      </c>
    </row>
    <row r="8791" spans="1:5">
      <c r="A8791" t="s">
        <v>39537</v>
      </c>
      <c r="B8791" t="s">
        <v>12440</v>
      </c>
      <c r="C8791">
        <f>0.195886828863</f>
        <v>0.19588682886299999</v>
      </c>
      <c r="D8791">
        <v>0.60549682886300005</v>
      </c>
      <c r="E8791">
        <v>12.564</v>
      </c>
    </row>
    <row r="8792" spans="1:5">
      <c r="A8792" t="s">
        <v>39537</v>
      </c>
      <c r="B8792" t="s">
        <v>12446</v>
      </c>
      <c r="C8792">
        <v>0</v>
      </c>
      <c r="D8792">
        <v>0.60549682886300005</v>
      </c>
      <c r="E8792">
        <v>12.564</v>
      </c>
    </row>
    <row r="8793" spans="1:5">
      <c r="A8793" t="s">
        <v>39538</v>
      </c>
      <c r="B8793" t="s">
        <v>39539</v>
      </c>
      <c r="C8793">
        <v>0</v>
      </c>
      <c r="D8793">
        <v>0.72676662062399999</v>
      </c>
      <c r="E8793">
        <v>23.754000000000001</v>
      </c>
    </row>
    <row r="8794" spans="1:5">
      <c r="A8794" t="s">
        <v>39538</v>
      </c>
      <c r="B8794" t="s">
        <v>39540</v>
      </c>
      <c r="C8794">
        <v>0</v>
      </c>
      <c r="D8794">
        <v>0.72676662062399999</v>
      </c>
      <c r="E8794">
        <v>23.754000000000001</v>
      </c>
    </row>
    <row r="8795" spans="1:5">
      <c r="A8795" t="s">
        <v>39538</v>
      </c>
      <c r="B8795" t="s">
        <v>39541</v>
      </c>
      <c r="C8795">
        <v>0.264356620624</v>
      </c>
      <c r="D8795">
        <v>0.72676662062399999</v>
      </c>
      <c r="E8795">
        <v>23.754000000000001</v>
      </c>
    </row>
    <row r="8796" spans="1:5">
      <c r="A8796" t="s">
        <v>39538</v>
      </c>
      <c r="B8796" t="s">
        <v>39542</v>
      </c>
      <c r="C8796">
        <f>0</f>
        <v>0</v>
      </c>
      <c r="D8796">
        <v>0.72676662062399999</v>
      </c>
      <c r="E8796">
        <v>23.754000000000001</v>
      </c>
    </row>
    <row r="8797" spans="1:5">
      <c r="A8797" t="s">
        <v>39538</v>
      </c>
      <c r="B8797" t="s">
        <v>39543</v>
      </c>
      <c r="C8797">
        <f>0</f>
        <v>0</v>
      </c>
      <c r="D8797">
        <v>0.72676662062399999</v>
      </c>
      <c r="E8797">
        <v>23.754000000000001</v>
      </c>
    </row>
    <row r="8798" spans="1:5">
      <c r="A8798" t="s">
        <v>39538</v>
      </c>
      <c r="B8798" t="s">
        <v>39544</v>
      </c>
      <c r="C8798">
        <f>0</f>
        <v>0</v>
      </c>
      <c r="D8798">
        <v>0.72676662062399999</v>
      </c>
      <c r="E8798">
        <v>23.754000000000001</v>
      </c>
    </row>
    <row r="8799" spans="1:5">
      <c r="A8799" t="s">
        <v>39538</v>
      </c>
      <c r="B8799" t="s">
        <v>39545</v>
      </c>
      <c r="C8799">
        <v>0</v>
      </c>
      <c r="D8799">
        <v>0.72676662062399999</v>
      </c>
      <c r="E8799">
        <v>23.754000000000001</v>
      </c>
    </row>
    <row r="8800" spans="1:5">
      <c r="A8800" t="s">
        <v>39546</v>
      </c>
      <c r="B8800" t="s">
        <v>39547</v>
      </c>
      <c r="C8800">
        <v>0.47521777047199998</v>
      </c>
      <c r="D8800">
        <v>0.92544640101999998</v>
      </c>
      <c r="E8800">
        <v>8.7240000000000002</v>
      </c>
    </row>
    <row r="8801" spans="1:5">
      <c r="A8801" t="s">
        <v>39546</v>
      </c>
      <c r="B8801" t="s">
        <v>39548</v>
      </c>
      <c r="C8801">
        <v>0.30221462062299997</v>
      </c>
      <c r="D8801">
        <v>0.92544640101999998</v>
      </c>
      <c r="E8801">
        <v>8.7240000000000002</v>
      </c>
    </row>
    <row r="8802" spans="1:5">
      <c r="A8802" t="s">
        <v>39546</v>
      </c>
      <c r="B8802" t="s">
        <v>39549</v>
      </c>
      <c r="C8802">
        <f>0</f>
        <v>0</v>
      </c>
      <c r="D8802">
        <v>0.92544640101999998</v>
      </c>
      <c r="E8802">
        <v>8.7240000000000002</v>
      </c>
    </row>
    <row r="8803" spans="1:5">
      <c r="A8803" t="s">
        <v>39546</v>
      </c>
      <c r="B8803" t="s">
        <v>39550</v>
      </c>
      <c r="C8803">
        <f>0</f>
        <v>0</v>
      </c>
      <c r="D8803">
        <v>0.92544640101999998</v>
      </c>
      <c r="E8803">
        <v>8.7240000000000002</v>
      </c>
    </row>
    <row r="8804" spans="1:5">
      <c r="A8804" t="s">
        <v>39546</v>
      </c>
      <c r="B8804" t="s">
        <v>39551</v>
      </c>
      <c r="C8804">
        <v>0</v>
      </c>
      <c r="D8804">
        <v>0.92544640101999998</v>
      </c>
      <c r="E8804">
        <v>8.7240000000000002</v>
      </c>
    </row>
    <row r="8805" spans="1:5">
      <c r="A8805" t="s">
        <v>39546</v>
      </c>
      <c r="B8805" t="s">
        <v>39552</v>
      </c>
      <c r="C8805">
        <v>0.214390553274</v>
      </c>
      <c r="D8805">
        <v>0.92544640101999998</v>
      </c>
      <c r="E8805">
        <v>8.7240000000000002</v>
      </c>
    </row>
    <row r="8806" spans="1:5">
      <c r="A8806" t="s">
        <v>39553</v>
      </c>
      <c r="B8806" t="s">
        <v>6028</v>
      </c>
      <c r="C8806">
        <v>0</v>
      </c>
      <c r="D8806" t="s">
        <v>106</v>
      </c>
      <c r="E8806">
        <v>12.917999999999999</v>
      </c>
    </row>
    <row r="8807" spans="1:5">
      <c r="A8807" t="s">
        <v>39553</v>
      </c>
      <c r="B8807" t="s">
        <v>6029</v>
      </c>
      <c r="C8807">
        <f>0</f>
        <v>0</v>
      </c>
      <c r="D8807" t="s">
        <v>106</v>
      </c>
      <c r="E8807">
        <v>12.917999999999999</v>
      </c>
    </row>
    <row r="8808" spans="1:5">
      <c r="A8808" t="s">
        <v>39554</v>
      </c>
      <c r="B8808" t="s">
        <v>3125</v>
      </c>
      <c r="C8808">
        <f>0</f>
        <v>0</v>
      </c>
      <c r="D8808" t="s">
        <v>106</v>
      </c>
      <c r="E8808">
        <v>4.6920000000000002</v>
      </c>
    </row>
    <row r="8809" spans="1:5">
      <c r="A8809" t="s">
        <v>39554</v>
      </c>
      <c r="B8809" t="s">
        <v>3128</v>
      </c>
      <c r="C8809">
        <f>0</f>
        <v>0</v>
      </c>
      <c r="D8809" t="s">
        <v>106</v>
      </c>
      <c r="E8809">
        <v>4.6920000000000002</v>
      </c>
    </row>
    <row r="8810" spans="1:5">
      <c r="A8810" t="s">
        <v>39555</v>
      </c>
      <c r="B8810" t="s">
        <v>27721</v>
      </c>
      <c r="C8810">
        <v>0</v>
      </c>
      <c r="D8810" t="s">
        <v>106</v>
      </c>
      <c r="E8810">
        <v>19.416</v>
      </c>
    </row>
    <row r="8811" spans="1:5">
      <c r="A8811" t="s">
        <v>39555</v>
      </c>
      <c r="B8811" t="s">
        <v>27723</v>
      </c>
      <c r="C8811">
        <f>0</f>
        <v>0</v>
      </c>
      <c r="D8811" t="s">
        <v>106</v>
      </c>
      <c r="E8811">
        <v>19.416</v>
      </c>
    </row>
    <row r="8812" spans="1:5">
      <c r="A8812" t="s">
        <v>39555</v>
      </c>
      <c r="B8812" t="s">
        <v>27722</v>
      </c>
      <c r="C8812">
        <v>0</v>
      </c>
      <c r="D8812" t="s">
        <v>106</v>
      </c>
      <c r="E8812">
        <v>19.416</v>
      </c>
    </row>
    <row r="8813" spans="1:5">
      <c r="A8813" t="s">
        <v>39555</v>
      </c>
      <c r="B8813" t="s">
        <v>27727</v>
      </c>
      <c r="C8813">
        <f>0</f>
        <v>0</v>
      </c>
      <c r="D8813" t="s">
        <v>106</v>
      </c>
      <c r="E8813">
        <v>19.416</v>
      </c>
    </row>
    <row r="8814" spans="1:5">
      <c r="A8814" t="s">
        <v>39555</v>
      </c>
      <c r="B8814" t="s">
        <v>27731</v>
      </c>
      <c r="C8814">
        <v>0</v>
      </c>
      <c r="D8814" t="s">
        <v>106</v>
      </c>
      <c r="E8814">
        <v>19.416</v>
      </c>
    </row>
    <row r="8815" spans="1:5">
      <c r="A8815" t="s">
        <v>39555</v>
      </c>
      <c r="B8815" t="s">
        <v>27726</v>
      </c>
      <c r="C8815">
        <f>0</f>
        <v>0</v>
      </c>
      <c r="D8815" t="s">
        <v>106</v>
      </c>
      <c r="E8815">
        <v>19.416</v>
      </c>
    </row>
    <row r="8816" spans="1:5">
      <c r="A8816" t="s">
        <v>39555</v>
      </c>
      <c r="B8816" t="s">
        <v>27729</v>
      </c>
      <c r="C8816">
        <f>0</f>
        <v>0</v>
      </c>
      <c r="D8816" t="s">
        <v>106</v>
      </c>
      <c r="E8816">
        <v>19.416</v>
      </c>
    </row>
    <row r="8817" spans="1:5">
      <c r="A8817" t="s">
        <v>39556</v>
      </c>
      <c r="B8817" t="s">
        <v>39557</v>
      </c>
      <c r="C8817">
        <v>3.5841798177700002E-2</v>
      </c>
      <c r="D8817">
        <v>0.89368337548300003</v>
      </c>
      <c r="E8817">
        <v>0</v>
      </c>
    </row>
    <row r="8818" spans="1:5">
      <c r="A8818" t="s">
        <v>39556</v>
      </c>
      <c r="B8818" t="s">
        <v>39558</v>
      </c>
      <c r="C8818">
        <f>0.949331191828</f>
        <v>0.94933119182799997</v>
      </c>
      <c r="D8818">
        <v>0.89368337548300003</v>
      </c>
      <c r="E8818">
        <v>0</v>
      </c>
    </row>
    <row r="8819" spans="1:5">
      <c r="A8819" t="s">
        <v>39556</v>
      </c>
      <c r="B8819" t="s">
        <v>39559</v>
      </c>
      <c r="C8819">
        <v>0.45118271882200001</v>
      </c>
      <c r="D8819">
        <v>0.89368337548300003</v>
      </c>
      <c r="E8819">
        <v>0</v>
      </c>
    </row>
    <row r="8820" spans="1:5">
      <c r="A8820" t="s">
        <v>39560</v>
      </c>
      <c r="B8820" t="s">
        <v>6420</v>
      </c>
      <c r="C8820">
        <v>0</v>
      </c>
      <c r="D8820" t="s">
        <v>106</v>
      </c>
      <c r="E8820">
        <v>23.754000000000001</v>
      </c>
    </row>
    <row r="8821" spans="1:5">
      <c r="A8821" t="s">
        <v>39560</v>
      </c>
      <c r="B8821" t="s">
        <v>6422</v>
      </c>
      <c r="C8821">
        <f>0</f>
        <v>0</v>
      </c>
      <c r="D8821" t="s">
        <v>106</v>
      </c>
      <c r="E8821">
        <v>23.754000000000001</v>
      </c>
    </row>
    <row r="8822" spans="1:5">
      <c r="A8822" t="s">
        <v>39560</v>
      </c>
      <c r="B8822" t="s">
        <v>6421</v>
      </c>
      <c r="C8822">
        <v>0</v>
      </c>
      <c r="D8822" t="s">
        <v>106</v>
      </c>
      <c r="E8822">
        <v>23.754000000000001</v>
      </c>
    </row>
    <row r="8823" spans="1:5">
      <c r="A8823" t="s">
        <v>39561</v>
      </c>
      <c r="B8823" t="s">
        <v>33304</v>
      </c>
      <c r="C8823">
        <v>0</v>
      </c>
      <c r="D8823">
        <v>0.58312053343799997</v>
      </c>
      <c r="E8823">
        <v>6.06</v>
      </c>
    </row>
    <row r="8824" spans="1:5">
      <c r="A8824" t="s">
        <v>39561</v>
      </c>
      <c r="B8824" t="s">
        <v>33303</v>
      </c>
      <c r="C8824">
        <f>0.453510533438</f>
        <v>0.45351053343800002</v>
      </c>
      <c r="D8824">
        <v>0.58312053343799997</v>
      </c>
      <c r="E8824">
        <v>6.06</v>
      </c>
    </row>
    <row r="8825" spans="1:5">
      <c r="A8825" t="s">
        <v>39562</v>
      </c>
      <c r="B8825" t="s">
        <v>31151</v>
      </c>
      <c r="C8825">
        <v>0</v>
      </c>
      <c r="D8825" t="s">
        <v>106</v>
      </c>
      <c r="E8825">
        <v>4.17</v>
      </c>
    </row>
    <row r="8826" spans="1:5">
      <c r="A8826" t="s">
        <v>39562</v>
      </c>
      <c r="B8826" t="s">
        <v>31152</v>
      </c>
      <c r="C8826">
        <f>0</f>
        <v>0</v>
      </c>
      <c r="D8826" t="s">
        <v>106</v>
      </c>
      <c r="E8826">
        <v>4.17</v>
      </c>
    </row>
    <row r="8827" spans="1:5">
      <c r="A8827" t="s">
        <v>39563</v>
      </c>
      <c r="B8827" t="s">
        <v>7016</v>
      </c>
      <c r="C8827">
        <f>0</f>
        <v>0</v>
      </c>
      <c r="D8827">
        <v>0.85841875469100004</v>
      </c>
      <c r="E8827">
        <v>2.964</v>
      </c>
    </row>
    <row r="8828" spans="1:5">
      <c r="A8828" t="s">
        <v>39563</v>
      </c>
      <c r="B8828" t="s">
        <v>7014</v>
      </c>
      <c r="C8828">
        <f>0.725507685883</f>
        <v>0.72550768588299996</v>
      </c>
      <c r="D8828">
        <v>0.85841875469100004</v>
      </c>
      <c r="E8828">
        <v>2.964</v>
      </c>
    </row>
    <row r="8829" spans="1:5">
      <c r="A8829" t="s">
        <v>39563</v>
      </c>
      <c r="B8829" t="s">
        <v>7017</v>
      </c>
      <c r="C8829">
        <v>0.28783159555900001</v>
      </c>
      <c r="D8829">
        <v>0.85841875469100004</v>
      </c>
      <c r="E8829">
        <v>2.964</v>
      </c>
    </row>
    <row r="8830" spans="1:5">
      <c r="A8830" t="s">
        <v>39563</v>
      </c>
      <c r="B8830" t="s">
        <v>7015</v>
      </c>
      <c r="C8830">
        <f>0.00129546783495</f>
        <v>1.29546783495E-3</v>
      </c>
      <c r="D8830">
        <v>0.85841875469100004</v>
      </c>
      <c r="E8830">
        <v>2.964</v>
      </c>
    </row>
    <row r="8831" spans="1:5">
      <c r="A8831" t="s">
        <v>39564</v>
      </c>
      <c r="B8831" t="s">
        <v>28762</v>
      </c>
      <c r="C8831">
        <v>0.20227690916499999</v>
      </c>
      <c r="D8831">
        <v>0.735753741859</v>
      </c>
      <c r="E8831">
        <v>24</v>
      </c>
    </row>
    <row r="8832" spans="1:5">
      <c r="A8832" t="s">
        <v>39564</v>
      </c>
      <c r="B8832" t="s">
        <v>28765</v>
      </c>
      <c r="C8832">
        <v>0.39637837968799999</v>
      </c>
      <c r="D8832">
        <v>0.735753741859</v>
      </c>
      <c r="E8832">
        <v>24</v>
      </c>
    </row>
    <row r="8833" spans="1:5">
      <c r="A8833" t="s">
        <v>39564</v>
      </c>
      <c r="B8833" t="s">
        <v>28763</v>
      </c>
      <c r="C8833">
        <f>0.235182520755</f>
        <v>0.23518252075500001</v>
      </c>
      <c r="D8833">
        <v>0.735753741859</v>
      </c>
      <c r="E8833">
        <v>24</v>
      </c>
    </row>
    <row r="8834" spans="1:5">
      <c r="A8834" t="s">
        <v>39564</v>
      </c>
      <c r="B8834" t="s">
        <v>28766</v>
      </c>
      <c r="C8834">
        <v>0</v>
      </c>
      <c r="D8834">
        <v>0.735753741859</v>
      </c>
      <c r="E8834">
        <v>24</v>
      </c>
    </row>
    <row r="8835" spans="1:5">
      <c r="A8835" t="s">
        <v>39565</v>
      </c>
      <c r="B8835" t="s">
        <v>2377</v>
      </c>
      <c r="C8835">
        <f>0.168054745398</f>
        <v>0.168054745398</v>
      </c>
      <c r="D8835">
        <v>0.74566474539799998</v>
      </c>
      <c r="E8835">
        <v>21.42</v>
      </c>
    </row>
    <row r="8836" spans="1:5">
      <c r="A8836" t="s">
        <v>39565</v>
      </c>
      <c r="B8836" t="s">
        <v>2376</v>
      </c>
      <c r="C8836">
        <f>0</f>
        <v>0</v>
      </c>
      <c r="D8836">
        <v>0.74566474539799998</v>
      </c>
      <c r="E8836">
        <v>21.42</v>
      </c>
    </row>
    <row r="8837" spans="1:5">
      <c r="A8837" t="s">
        <v>39566</v>
      </c>
      <c r="B8837" t="s">
        <v>39567</v>
      </c>
      <c r="C8837">
        <f>0.0803807224705</f>
        <v>8.0380722470500002E-2</v>
      </c>
      <c r="D8837">
        <v>0.73763544265400005</v>
      </c>
      <c r="E8837">
        <v>21.42</v>
      </c>
    </row>
    <row r="8838" spans="1:5">
      <c r="A8838" t="s">
        <v>39566</v>
      </c>
      <c r="B8838" t="s">
        <v>39568</v>
      </c>
      <c r="C8838">
        <f>0</f>
        <v>0</v>
      </c>
      <c r="D8838">
        <v>0.73763544265400005</v>
      </c>
      <c r="E8838">
        <v>21.42</v>
      </c>
    </row>
    <row r="8839" spans="1:5">
      <c r="A8839" t="s">
        <v>39566</v>
      </c>
      <c r="B8839" t="s">
        <v>39569</v>
      </c>
      <c r="C8839">
        <v>0.59990152526200002</v>
      </c>
      <c r="D8839">
        <v>0.73763544265400005</v>
      </c>
      <c r="E8839">
        <v>21.42</v>
      </c>
    </row>
    <row r="8840" spans="1:5">
      <c r="A8840" t="s">
        <v>39570</v>
      </c>
      <c r="B8840" t="s">
        <v>39571</v>
      </c>
      <c r="C8840">
        <f>0</f>
        <v>0</v>
      </c>
      <c r="D8840">
        <v>0.64827038082599997</v>
      </c>
      <c r="E8840">
        <v>23.52</v>
      </c>
    </row>
    <row r="8841" spans="1:5">
      <c r="A8841" t="s">
        <v>39570</v>
      </c>
      <c r="B8841" t="s">
        <v>39572</v>
      </c>
      <c r="C8841">
        <v>0.54586038082599997</v>
      </c>
      <c r="D8841">
        <v>0.64827038082599997</v>
      </c>
      <c r="E8841">
        <v>23.52</v>
      </c>
    </row>
    <row r="8842" spans="1:5">
      <c r="A8842" t="s">
        <v>39573</v>
      </c>
      <c r="B8842" t="s">
        <v>27331</v>
      </c>
      <c r="C8842">
        <v>0</v>
      </c>
      <c r="D8842" t="s">
        <v>106</v>
      </c>
      <c r="E8842">
        <v>13.632</v>
      </c>
    </row>
    <row r="8843" spans="1:5">
      <c r="A8843" t="s">
        <v>39573</v>
      </c>
      <c r="B8843" t="s">
        <v>27332</v>
      </c>
      <c r="C8843">
        <v>0</v>
      </c>
      <c r="D8843" t="s">
        <v>106</v>
      </c>
      <c r="E8843">
        <v>13.632</v>
      </c>
    </row>
    <row r="8844" spans="1:5">
      <c r="A8844" t="s">
        <v>39574</v>
      </c>
      <c r="B8844" t="s">
        <v>6553</v>
      </c>
      <c r="C8844">
        <f>-2.77777464883</f>
        <v>-2.7777746488299999</v>
      </c>
      <c r="D8844">
        <v>0.99996451285200005</v>
      </c>
      <c r="E8844">
        <v>7.4640000000000004</v>
      </c>
    </row>
    <row r="8845" spans="1:5">
      <c r="A8845" t="s">
        <v>39574</v>
      </c>
      <c r="B8845" t="s">
        <v>6566</v>
      </c>
      <c r="C8845">
        <f>0.658177855508</f>
        <v>0.65817785550800001</v>
      </c>
      <c r="D8845">
        <v>0.99996451285200005</v>
      </c>
      <c r="E8845">
        <v>7.4640000000000004</v>
      </c>
    </row>
    <row r="8846" spans="1:5">
      <c r="A8846" t="s">
        <v>39574</v>
      </c>
      <c r="B8846" t="s">
        <v>6558</v>
      </c>
      <c r="C8846">
        <v>2.4341962249</v>
      </c>
      <c r="D8846">
        <v>0.99996451285200005</v>
      </c>
      <c r="E8846">
        <v>7.4640000000000004</v>
      </c>
    </row>
    <row r="8847" spans="1:5">
      <c r="A8847" t="s">
        <v>39574</v>
      </c>
      <c r="B8847" t="s">
        <v>6560</v>
      </c>
      <c r="C8847">
        <v>0.57074458402100003</v>
      </c>
      <c r="D8847">
        <v>0.99996451285200005</v>
      </c>
      <c r="E8847">
        <v>7.4640000000000004</v>
      </c>
    </row>
    <row r="8848" spans="1:5">
      <c r="A8848" t="s">
        <v>39574</v>
      </c>
      <c r="B8848" t="s">
        <v>6555</v>
      </c>
      <c r="C8848">
        <v>0.74705124248200006</v>
      </c>
      <c r="D8848">
        <v>0.99996451285200005</v>
      </c>
      <c r="E8848">
        <v>7.4640000000000004</v>
      </c>
    </row>
    <row r="8849" spans="1:5">
      <c r="A8849" t="s">
        <v>39574</v>
      </c>
      <c r="B8849" t="s">
        <v>6561</v>
      </c>
      <c r="C8849">
        <v>1.47311891621</v>
      </c>
      <c r="D8849">
        <v>0.99996451285200005</v>
      </c>
      <c r="E8849">
        <v>7.4640000000000004</v>
      </c>
    </row>
    <row r="8850" spans="1:5">
      <c r="A8850" t="s">
        <v>39574</v>
      </c>
      <c r="B8850" t="s">
        <v>6564</v>
      </c>
      <c r="C8850">
        <f>0.610864504787</f>
        <v>0.61086450478700005</v>
      </c>
      <c r="D8850">
        <v>0.99996451285200005</v>
      </c>
      <c r="E8850">
        <v>7.4640000000000004</v>
      </c>
    </row>
    <row r="8851" spans="1:5">
      <c r="A8851" t="s">
        <v>39575</v>
      </c>
      <c r="B8851" t="s">
        <v>39576</v>
      </c>
      <c r="C8851">
        <v>0.72143191361699999</v>
      </c>
      <c r="D8851">
        <v>0.85104191361699999</v>
      </c>
      <c r="E8851">
        <v>4.6920000000000002</v>
      </c>
    </row>
    <row r="8852" spans="1:5">
      <c r="A8852" t="s">
        <v>39575</v>
      </c>
      <c r="B8852" t="s">
        <v>39577</v>
      </c>
      <c r="C8852">
        <v>0</v>
      </c>
      <c r="D8852">
        <v>0.85104191361699999</v>
      </c>
      <c r="E8852">
        <v>4.6920000000000002</v>
      </c>
    </row>
    <row r="8853" spans="1:5">
      <c r="A8853" t="s">
        <v>39578</v>
      </c>
      <c r="B8853" t="s">
        <v>39579</v>
      </c>
      <c r="C8853">
        <v>0</v>
      </c>
      <c r="D8853">
        <v>0.95293287743599997</v>
      </c>
      <c r="E8853">
        <v>11.37</v>
      </c>
    </row>
    <row r="8854" spans="1:5">
      <c r="A8854" t="s">
        <v>39578</v>
      </c>
      <c r="B8854" t="s">
        <v>39580</v>
      </c>
      <c r="C8854">
        <v>8.5603998511800006E-2</v>
      </c>
      <c r="D8854">
        <v>0.95293287743599997</v>
      </c>
      <c r="E8854">
        <v>11.37</v>
      </c>
    </row>
    <row r="8855" spans="1:5">
      <c r="A8855" t="s">
        <v>39578</v>
      </c>
      <c r="B8855" t="s">
        <v>39581</v>
      </c>
      <c r="C8855">
        <f>0</f>
        <v>0</v>
      </c>
      <c r="D8855">
        <v>0.95293287743599997</v>
      </c>
      <c r="E8855">
        <v>11.37</v>
      </c>
    </row>
    <row r="8856" spans="1:5">
      <c r="A8856" t="s">
        <v>39578</v>
      </c>
      <c r="B8856" t="s">
        <v>39582</v>
      </c>
      <c r="C8856">
        <f>0.156381677145</f>
        <v>0.15638167714500001</v>
      </c>
      <c r="D8856">
        <v>0.95293287743599997</v>
      </c>
      <c r="E8856">
        <v>11.37</v>
      </c>
    </row>
    <row r="8857" spans="1:5">
      <c r="A8857" t="s">
        <v>39578</v>
      </c>
      <c r="B8857" t="s">
        <v>39583</v>
      </c>
      <c r="C8857">
        <v>0</v>
      </c>
      <c r="D8857">
        <v>0.95293287743599997</v>
      </c>
      <c r="E8857">
        <v>11.37</v>
      </c>
    </row>
    <row r="8858" spans="1:5">
      <c r="A8858" t="s">
        <v>39578</v>
      </c>
      <c r="B8858" t="s">
        <v>39584</v>
      </c>
      <c r="C8858">
        <v>0.328225495752</v>
      </c>
      <c r="D8858">
        <v>0.95293287743599997</v>
      </c>
      <c r="E8858">
        <v>11.37</v>
      </c>
    </row>
    <row r="8859" spans="1:5">
      <c r="A8859" t="s">
        <v>39578</v>
      </c>
      <c r="B8859" t="s">
        <v>39585</v>
      </c>
      <c r="C8859">
        <f>0</f>
        <v>0</v>
      </c>
      <c r="D8859">
        <v>0.95293287743599997</v>
      </c>
      <c r="E8859">
        <v>11.37</v>
      </c>
    </row>
    <row r="8860" spans="1:5">
      <c r="A8860" t="s">
        <v>39578</v>
      </c>
      <c r="B8860" t="s">
        <v>39586</v>
      </c>
      <c r="C8860">
        <v>0</v>
      </c>
      <c r="D8860">
        <v>0.95293287743599997</v>
      </c>
      <c r="E8860">
        <v>11.37</v>
      </c>
    </row>
    <row r="8861" spans="1:5">
      <c r="A8861" t="s">
        <v>39578</v>
      </c>
      <c r="B8861" t="s">
        <v>39587</v>
      </c>
      <c r="C8861">
        <v>0.57767096114899996</v>
      </c>
      <c r="D8861">
        <v>0.95293287743599997</v>
      </c>
      <c r="E8861">
        <v>11.37</v>
      </c>
    </row>
    <row r="8862" spans="1:5">
      <c r="A8862" t="s">
        <v>39588</v>
      </c>
      <c r="B8862" t="s">
        <v>39589</v>
      </c>
      <c r="C8862">
        <v>0.30769387515300001</v>
      </c>
      <c r="D8862">
        <v>0.75572023692300005</v>
      </c>
      <c r="E8862">
        <v>0.69599999999999995</v>
      </c>
    </row>
    <row r="8863" spans="1:5">
      <c r="A8863" t="s">
        <v>39588</v>
      </c>
      <c r="B8863" t="s">
        <v>39590</v>
      </c>
      <c r="C8863">
        <v>0.56503586297499997</v>
      </c>
      <c r="D8863">
        <v>0.75572023692300005</v>
      </c>
      <c r="E8863">
        <v>0.69599999999999995</v>
      </c>
    </row>
    <row r="8864" spans="1:5">
      <c r="A8864" t="s">
        <v>39591</v>
      </c>
      <c r="B8864" t="s">
        <v>39592</v>
      </c>
      <c r="C8864">
        <v>0.41901453314800002</v>
      </c>
      <c r="D8864">
        <v>0.97911411276799998</v>
      </c>
      <c r="E8864">
        <v>14.933999999999999</v>
      </c>
    </row>
    <row r="8865" spans="1:5">
      <c r="A8865" t="s">
        <v>39591</v>
      </c>
      <c r="B8865" t="s">
        <v>39593</v>
      </c>
      <c r="C8865">
        <v>0</v>
      </c>
      <c r="D8865">
        <v>0.97911411276799998</v>
      </c>
      <c r="E8865">
        <v>14.933999999999999</v>
      </c>
    </row>
    <row r="8866" spans="1:5">
      <c r="A8866" t="s">
        <v>39591</v>
      </c>
      <c r="B8866" t="s">
        <v>39594</v>
      </c>
      <c r="C8866">
        <v>0.12609805296099999</v>
      </c>
      <c r="D8866">
        <v>0.97911411276799998</v>
      </c>
      <c r="E8866">
        <v>14.933999999999999</v>
      </c>
    </row>
    <row r="8867" spans="1:5">
      <c r="A8867" t="s">
        <v>39591</v>
      </c>
      <c r="B8867" t="s">
        <v>39595</v>
      </c>
      <c r="C8867">
        <v>0</v>
      </c>
      <c r="D8867">
        <v>0.97911411276799998</v>
      </c>
      <c r="E8867">
        <v>14.933999999999999</v>
      </c>
    </row>
    <row r="8868" spans="1:5">
      <c r="A8868" t="s">
        <v>39591</v>
      </c>
      <c r="B8868" t="s">
        <v>39596</v>
      </c>
      <c r="C8868">
        <v>6.61217248215E-2</v>
      </c>
      <c r="D8868">
        <v>0.97911411276799998</v>
      </c>
      <c r="E8868">
        <v>14.933999999999999</v>
      </c>
    </row>
    <row r="8869" spans="1:5">
      <c r="A8869" t="s">
        <v>39591</v>
      </c>
      <c r="B8869" t="s">
        <v>39597</v>
      </c>
      <c r="C8869">
        <v>0.394903930392</v>
      </c>
      <c r="D8869">
        <v>0.97911411276799998</v>
      </c>
      <c r="E8869">
        <v>14.933999999999999</v>
      </c>
    </row>
    <row r="8870" spans="1:5">
      <c r="A8870" t="s">
        <v>39591</v>
      </c>
      <c r="B8870" t="s">
        <v>39598</v>
      </c>
      <c r="C8870">
        <v>0</v>
      </c>
      <c r="D8870">
        <v>0.97911411276799998</v>
      </c>
      <c r="E8870">
        <v>14.933999999999999</v>
      </c>
    </row>
    <row r="8871" spans="1:5">
      <c r="A8871" t="s">
        <v>39599</v>
      </c>
      <c r="B8871" t="s">
        <v>39600</v>
      </c>
      <c r="C8871">
        <f>0</f>
        <v>0</v>
      </c>
      <c r="D8871">
        <v>0.83321625260999999</v>
      </c>
      <c r="E8871">
        <v>3.4079999999999999</v>
      </c>
    </row>
    <row r="8872" spans="1:5">
      <c r="A8872" t="s">
        <v>39599</v>
      </c>
      <c r="B8872" t="s">
        <v>39601</v>
      </c>
      <c r="C8872">
        <v>0.75480625261000001</v>
      </c>
      <c r="D8872">
        <v>0.83321625260999999</v>
      </c>
      <c r="E8872">
        <v>3.4079999999999999</v>
      </c>
    </row>
    <row r="8873" spans="1:5">
      <c r="A8873" t="s">
        <v>39602</v>
      </c>
      <c r="B8873" t="s">
        <v>34108</v>
      </c>
      <c r="C8873">
        <f>0.261209921397</f>
        <v>0.261209921397</v>
      </c>
      <c r="D8873">
        <v>0.93349698233</v>
      </c>
      <c r="E8873">
        <v>0</v>
      </c>
    </row>
    <row r="8874" spans="1:5">
      <c r="A8874" t="s">
        <v>39602</v>
      </c>
      <c r="B8874" t="s">
        <v>34107</v>
      </c>
      <c r="C8874">
        <v>0.86880724583699998</v>
      </c>
      <c r="D8874">
        <v>0.93349698233</v>
      </c>
      <c r="E8874">
        <v>0</v>
      </c>
    </row>
    <row r="8875" spans="1:5">
      <c r="A8875" t="s">
        <v>39603</v>
      </c>
      <c r="B8875" t="s">
        <v>39604</v>
      </c>
      <c r="C8875">
        <v>0.53654604229500003</v>
      </c>
      <c r="D8875">
        <v>0.99995945064199998</v>
      </c>
      <c r="E8875">
        <v>1.6379999999999999</v>
      </c>
    </row>
    <row r="8876" spans="1:5">
      <c r="A8876" t="s">
        <v>39603</v>
      </c>
      <c r="B8876" t="s">
        <v>39605</v>
      </c>
      <c r="C8876">
        <f>0.308630669457</f>
        <v>0.30863066945700002</v>
      </c>
      <c r="D8876">
        <v>0.99995945064199998</v>
      </c>
      <c r="E8876">
        <v>1.6379999999999999</v>
      </c>
    </row>
    <row r="8877" spans="1:5">
      <c r="A8877" t="s">
        <v>39603</v>
      </c>
      <c r="B8877" t="s">
        <v>39606</v>
      </c>
      <c r="C8877">
        <f>0.0248234073101</f>
        <v>2.48234073101E-2</v>
      </c>
      <c r="D8877">
        <v>0.99995945064199998</v>
      </c>
      <c r="E8877">
        <v>1.6379999999999999</v>
      </c>
    </row>
    <row r="8878" spans="1:5">
      <c r="A8878" t="s">
        <v>39603</v>
      </c>
      <c r="B8878" t="s">
        <v>39607</v>
      </c>
      <c r="C8878">
        <v>3.4347638526599999E-2</v>
      </c>
      <c r="D8878">
        <v>0.99995945064199998</v>
      </c>
      <c r="E8878">
        <v>1.6379999999999999</v>
      </c>
    </row>
    <row r="8879" spans="1:5">
      <c r="A8879" t="s">
        <v>39603</v>
      </c>
      <c r="B8879" t="s">
        <v>39608</v>
      </c>
      <c r="C8879">
        <v>1.4131971876800001E-2</v>
      </c>
      <c r="D8879">
        <v>0.99995945064199998</v>
      </c>
      <c r="E8879">
        <v>1.6379999999999999</v>
      </c>
    </row>
    <row r="8880" spans="1:5">
      <c r="A8880" t="s">
        <v>39603</v>
      </c>
      <c r="B8880" t="s">
        <v>39609</v>
      </c>
      <c r="C8880">
        <v>0.15876609075199999</v>
      </c>
      <c r="D8880">
        <v>0.99995945064199998</v>
      </c>
      <c r="E8880">
        <v>1.6379999999999999</v>
      </c>
    </row>
    <row r="8881" spans="1:5">
      <c r="A8881" t="s">
        <v>39603</v>
      </c>
      <c r="B8881" t="s">
        <v>39610</v>
      </c>
      <c r="C8881">
        <f>0.463904811112</f>
        <v>0.46390481111199999</v>
      </c>
      <c r="D8881">
        <v>0.99995945064199998</v>
      </c>
      <c r="E8881">
        <v>1.6379999999999999</v>
      </c>
    </row>
    <row r="8882" spans="1:5">
      <c r="A8882" t="s">
        <v>39611</v>
      </c>
      <c r="B8882" t="s">
        <v>39612</v>
      </c>
      <c r="C8882">
        <v>0.46103059069000002</v>
      </c>
      <c r="D8882">
        <v>0.98465039263099996</v>
      </c>
      <c r="E8882">
        <v>0.61799999999999999</v>
      </c>
    </row>
    <row r="8883" spans="1:5">
      <c r="A8883" t="s">
        <v>39611</v>
      </c>
      <c r="B8883" t="s">
        <v>39613</v>
      </c>
      <c r="C8883">
        <f>0.0958772280151</f>
        <v>9.5877228015099999E-2</v>
      </c>
      <c r="D8883">
        <v>0.98465039263099996</v>
      </c>
      <c r="E8883">
        <v>0.61799999999999999</v>
      </c>
    </row>
    <row r="8884" spans="1:5">
      <c r="A8884" t="s">
        <v>39611</v>
      </c>
      <c r="B8884" t="s">
        <v>39614</v>
      </c>
      <c r="C8884">
        <f>-1.03302163804</f>
        <v>-1.0330216380399999</v>
      </c>
      <c r="D8884">
        <v>0.98465039263099996</v>
      </c>
      <c r="E8884">
        <v>0.61799999999999999</v>
      </c>
    </row>
    <row r="8885" spans="1:5">
      <c r="A8885" t="s">
        <v>39611</v>
      </c>
      <c r="B8885" t="s">
        <v>39615</v>
      </c>
      <c r="C8885">
        <v>8.4984626462599995E-4</v>
      </c>
      <c r="D8885">
        <v>0.98465039263099996</v>
      </c>
      <c r="E8885">
        <v>0.61799999999999999</v>
      </c>
    </row>
    <row r="8886" spans="1:5">
      <c r="A8886" t="s">
        <v>39616</v>
      </c>
      <c r="B8886" t="s">
        <v>39617</v>
      </c>
      <c r="C8886">
        <v>0.50354228632800002</v>
      </c>
      <c r="D8886">
        <v>0.69715228632799997</v>
      </c>
      <c r="E8886">
        <v>6.3</v>
      </c>
    </row>
    <row r="8887" spans="1:5">
      <c r="A8887" t="s">
        <v>39616</v>
      </c>
      <c r="B8887" t="s">
        <v>39618</v>
      </c>
      <c r="C8887">
        <v>0</v>
      </c>
      <c r="D8887">
        <v>0.69715228632799997</v>
      </c>
      <c r="E8887">
        <v>6.3</v>
      </c>
    </row>
    <row r="8888" spans="1:5">
      <c r="A8888" t="s">
        <v>39619</v>
      </c>
      <c r="B8888" t="s">
        <v>23450</v>
      </c>
      <c r="C8888">
        <v>0</v>
      </c>
      <c r="D8888" t="s">
        <v>106</v>
      </c>
      <c r="E8888">
        <v>0.65400000000000003</v>
      </c>
    </row>
    <row r="8889" spans="1:5">
      <c r="A8889" t="s">
        <v>39619</v>
      </c>
      <c r="B8889" t="s">
        <v>39620</v>
      </c>
      <c r="C8889">
        <f>0</f>
        <v>0</v>
      </c>
      <c r="D8889" t="s">
        <v>106</v>
      </c>
      <c r="E8889">
        <v>0.65400000000000003</v>
      </c>
    </row>
    <row r="8890" spans="1:5">
      <c r="A8890" t="s">
        <v>39619</v>
      </c>
      <c r="B8890" t="s">
        <v>23447</v>
      </c>
      <c r="C8890">
        <v>0</v>
      </c>
      <c r="D8890" t="s">
        <v>106</v>
      </c>
      <c r="E8890">
        <v>0.65400000000000003</v>
      </c>
    </row>
    <row r="8891" spans="1:5">
      <c r="A8891" t="s">
        <v>39621</v>
      </c>
      <c r="B8891" t="s">
        <v>34235</v>
      </c>
      <c r="C8891">
        <f>0.60964051777</f>
        <v>0.60964051776999995</v>
      </c>
      <c r="D8891">
        <v>0.76965051777000004</v>
      </c>
      <c r="E8891">
        <v>23.754000000000001</v>
      </c>
    </row>
    <row r="8892" spans="1:5">
      <c r="A8892" t="s">
        <v>39621</v>
      </c>
      <c r="B8892" t="s">
        <v>34238</v>
      </c>
      <c r="C8892">
        <v>0</v>
      </c>
      <c r="D8892">
        <v>0.76965051777000004</v>
      </c>
      <c r="E8892">
        <v>23.754000000000001</v>
      </c>
    </row>
    <row r="8893" spans="1:5">
      <c r="A8893" t="s">
        <v>39622</v>
      </c>
      <c r="B8893" t="s">
        <v>24206</v>
      </c>
      <c r="C8893">
        <v>0.34836254590299998</v>
      </c>
      <c r="D8893">
        <v>0.94593808605899998</v>
      </c>
      <c r="E8893">
        <v>12.39</v>
      </c>
    </row>
    <row r="8894" spans="1:5">
      <c r="A8894" t="s">
        <v>39622</v>
      </c>
      <c r="B8894" t="s">
        <v>24212</v>
      </c>
      <c r="C8894">
        <v>0.83757836259399998</v>
      </c>
      <c r="D8894">
        <v>0.94593808605899998</v>
      </c>
      <c r="E8894">
        <v>12.39</v>
      </c>
    </row>
    <row r="8895" spans="1:5">
      <c r="A8895" t="s">
        <v>39622</v>
      </c>
      <c r="B8895" t="s">
        <v>24210</v>
      </c>
      <c r="C8895">
        <f>0.646395241647</f>
        <v>0.64639524164700002</v>
      </c>
      <c r="D8895">
        <v>0.94593808605899998</v>
      </c>
      <c r="E8895">
        <v>12.39</v>
      </c>
    </row>
    <row r="8896" spans="1:5">
      <c r="A8896" t="s">
        <v>39622</v>
      </c>
      <c r="B8896" t="s">
        <v>24213</v>
      </c>
      <c r="C8896">
        <v>0.30789116117300003</v>
      </c>
      <c r="D8896">
        <v>0.94593808605899998</v>
      </c>
      <c r="E8896">
        <v>12.39</v>
      </c>
    </row>
    <row r="8897" spans="1:5">
      <c r="A8897" t="s">
        <v>39622</v>
      </c>
      <c r="B8897" t="s">
        <v>24209</v>
      </c>
      <c r="C8897">
        <v>0.47341440888899999</v>
      </c>
      <c r="D8897">
        <v>0.94593808605899998</v>
      </c>
      <c r="E8897">
        <v>12.39</v>
      </c>
    </row>
    <row r="8898" spans="1:5">
      <c r="A8898" t="s">
        <v>39623</v>
      </c>
      <c r="B8898" t="s">
        <v>12433</v>
      </c>
      <c r="C8898">
        <v>0</v>
      </c>
      <c r="D8898" t="s">
        <v>106</v>
      </c>
      <c r="E8898">
        <v>1.698</v>
      </c>
    </row>
    <row r="8899" spans="1:5">
      <c r="A8899" t="s">
        <v>39623</v>
      </c>
      <c r="B8899" t="s">
        <v>12432</v>
      </c>
      <c r="C8899">
        <f>0</f>
        <v>0</v>
      </c>
      <c r="D8899" t="s">
        <v>106</v>
      </c>
      <c r="E8899">
        <v>1.698</v>
      </c>
    </row>
    <row r="8900" spans="1:5">
      <c r="A8900" t="s">
        <v>39623</v>
      </c>
      <c r="B8900" t="s">
        <v>12436</v>
      </c>
      <c r="C8900">
        <f>0</f>
        <v>0</v>
      </c>
      <c r="D8900" t="s">
        <v>106</v>
      </c>
      <c r="E8900">
        <v>1.698</v>
      </c>
    </row>
    <row r="8901" spans="1:5">
      <c r="A8901" t="s">
        <v>39623</v>
      </c>
      <c r="B8901" t="s">
        <v>12435</v>
      </c>
      <c r="C8901">
        <f>0</f>
        <v>0</v>
      </c>
      <c r="D8901" t="s">
        <v>106</v>
      </c>
      <c r="E8901">
        <v>1.698</v>
      </c>
    </row>
    <row r="8902" spans="1:5">
      <c r="A8902" t="s">
        <v>39624</v>
      </c>
      <c r="B8902" t="s">
        <v>39625</v>
      </c>
      <c r="C8902">
        <f>0.372017392075</f>
        <v>0.37201739207500001</v>
      </c>
      <c r="D8902">
        <v>0.91793735946599997</v>
      </c>
      <c r="E8902">
        <v>0.504</v>
      </c>
    </row>
    <row r="8903" spans="1:5">
      <c r="A8903" t="s">
        <v>39624</v>
      </c>
      <c r="B8903" t="s">
        <v>39626</v>
      </c>
      <c r="C8903">
        <v>0.64883293474799997</v>
      </c>
      <c r="D8903">
        <v>0.91793735946599997</v>
      </c>
      <c r="E8903">
        <v>0.504</v>
      </c>
    </row>
    <row r="8904" spans="1:5">
      <c r="A8904" t="s">
        <v>39624</v>
      </c>
      <c r="B8904" t="s">
        <v>39627</v>
      </c>
      <c r="C8904">
        <v>0</v>
      </c>
      <c r="D8904">
        <v>0.91793735946599997</v>
      </c>
      <c r="E8904">
        <v>0.504</v>
      </c>
    </row>
    <row r="8905" spans="1:5">
      <c r="A8905" t="s">
        <v>39628</v>
      </c>
      <c r="B8905" t="s">
        <v>19569</v>
      </c>
      <c r="C8905">
        <f>0</f>
        <v>0</v>
      </c>
      <c r="D8905">
        <v>0.88657688816799995</v>
      </c>
      <c r="E8905">
        <v>3.8759999999999999</v>
      </c>
    </row>
    <row r="8906" spans="1:5">
      <c r="A8906" t="s">
        <v>39628</v>
      </c>
      <c r="B8906" t="s">
        <v>19574</v>
      </c>
      <c r="C8906">
        <v>0.17996267866400001</v>
      </c>
      <c r="D8906">
        <v>0.88657688816799995</v>
      </c>
      <c r="E8906">
        <v>3.8759999999999999</v>
      </c>
    </row>
    <row r="8907" spans="1:5">
      <c r="A8907" t="s">
        <v>39628</v>
      </c>
      <c r="B8907" t="s">
        <v>19570</v>
      </c>
      <c r="C8907">
        <v>0.23382744613199999</v>
      </c>
      <c r="D8907">
        <v>0.88657688816799995</v>
      </c>
      <c r="E8907">
        <v>3.8759999999999999</v>
      </c>
    </row>
    <row r="8908" spans="1:5">
      <c r="A8908" t="s">
        <v>39628</v>
      </c>
      <c r="B8908" t="s">
        <v>19571</v>
      </c>
      <c r="C8908">
        <f>0</f>
        <v>0</v>
      </c>
      <c r="D8908">
        <v>0.88657688816799995</v>
      </c>
      <c r="E8908">
        <v>3.8759999999999999</v>
      </c>
    </row>
    <row r="8909" spans="1:5">
      <c r="A8909" t="s">
        <v>39628</v>
      </c>
      <c r="B8909" t="s">
        <v>19573</v>
      </c>
      <c r="C8909">
        <f>0.485257573209</f>
        <v>0.48525757320899998</v>
      </c>
      <c r="D8909">
        <v>0.88657688816799995</v>
      </c>
      <c r="E8909">
        <v>3.8759999999999999</v>
      </c>
    </row>
    <row r="8910" spans="1:5">
      <c r="A8910" t="s">
        <v>39629</v>
      </c>
      <c r="B8910" t="s">
        <v>39630</v>
      </c>
      <c r="C8910">
        <f>0</f>
        <v>0</v>
      </c>
      <c r="D8910">
        <v>0.75416718471099997</v>
      </c>
      <c r="E8910">
        <v>5.4660000000000002</v>
      </c>
    </row>
    <row r="8911" spans="1:5">
      <c r="A8911" t="s">
        <v>39629</v>
      </c>
      <c r="B8911" t="s">
        <v>39631</v>
      </c>
      <c r="C8911">
        <v>0</v>
      </c>
      <c r="D8911">
        <v>0.75416718471099997</v>
      </c>
      <c r="E8911">
        <v>5.4660000000000002</v>
      </c>
    </row>
    <row r="8912" spans="1:5">
      <c r="A8912" t="s">
        <v>39629</v>
      </c>
      <c r="B8912" t="s">
        <v>39632</v>
      </c>
      <c r="C8912">
        <f>0</f>
        <v>0</v>
      </c>
      <c r="D8912">
        <v>0.75416718471099997</v>
      </c>
      <c r="E8912">
        <v>5.4660000000000002</v>
      </c>
    </row>
    <row r="8913" spans="1:5">
      <c r="A8913" t="s">
        <v>39629</v>
      </c>
      <c r="B8913" t="s">
        <v>39633</v>
      </c>
      <c r="C8913">
        <v>0.44055718471100003</v>
      </c>
      <c r="D8913">
        <v>0.75416718471099997</v>
      </c>
      <c r="E8913">
        <v>5.4660000000000002</v>
      </c>
    </row>
    <row r="8914" spans="1:5">
      <c r="A8914" t="s">
        <v>39629</v>
      </c>
      <c r="B8914" t="s">
        <v>39634</v>
      </c>
      <c r="C8914">
        <f>0</f>
        <v>0</v>
      </c>
      <c r="D8914">
        <v>0.75416718471099997</v>
      </c>
      <c r="E8914">
        <v>5.4660000000000002</v>
      </c>
    </row>
    <row r="8915" spans="1:5">
      <c r="A8915" t="s">
        <v>39635</v>
      </c>
      <c r="B8915" t="s">
        <v>9249</v>
      </c>
      <c r="C8915">
        <v>0</v>
      </c>
      <c r="D8915">
        <v>0.99997830296900003</v>
      </c>
      <c r="E8915">
        <v>8.7240000000000002</v>
      </c>
    </row>
    <row r="8916" spans="1:5">
      <c r="A8916" t="s">
        <v>39635</v>
      </c>
      <c r="B8916" t="s">
        <v>9246</v>
      </c>
      <c r="C8916">
        <v>0.45215996096799999</v>
      </c>
      <c r="D8916">
        <v>0.99997830296900003</v>
      </c>
      <c r="E8916">
        <v>8.7240000000000002</v>
      </c>
    </row>
    <row r="8917" spans="1:5">
      <c r="A8917" t="s">
        <v>39635</v>
      </c>
      <c r="B8917" t="s">
        <v>9241</v>
      </c>
      <c r="C8917">
        <v>0.31891161134399998</v>
      </c>
      <c r="D8917">
        <v>0.99997830296900003</v>
      </c>
      <c r="E8917">
        <v>8.7240000000000002</v>
      </c>
    </row>
    <row r="8918" spans="1:5">
      <c r="A8918" t="s">
        <v>39635</v>
      </c>
      <c r="B8918" t="s">
        <v>9243</v>
      </c>
      <c r="C8918">
        <f>0.540218095902</f>
        <v>0.54021809590199998</v>
      </c>
      <c r="D8918">
        <v>0.99997830296900003</v>
      </c>
      <c r="E8918">
        <v>8.7240000000000002</v>
      </c>
    </row>
    <row r="8919" spans="1:5">
      <c r="A8919" t="s">
        <v>39635</v>
      </c>
      <c r="B8919" t="s">
        <v>9240</v>
      </c>
      <c r="C8919">
        <v>0.81415811340800004</v>
      </c>
      <c r="D8919">
        <v>0.99997830296900003</v>
      </c>
      <c r="E8919">
        <v>8.7240000000000002</v>
      </c>
    </row>
    <row r="8920" spans="1:5">
      <c r="A8920" t="s">
        <v>39635</v>
      </c>
      <c r="B8920" t="s">
        <v>9248</v>
      </c>
      <c r="C8920">
        <v>0</v>
      </c>
      <c r="D8920">
        <v>0.99997830296900003</v>
      </c>
      <c r="E8920">
        <v>8.7240000000000002</v>
      </c>
    </row>
    <row r="8921" spans="1:5">
      <c r="A8921" t="s">
        <v>39635</v>
      </c>
      <c r="B8921" t="s">
        <v>9244</v>
      </c>
      <c r="C8921">
        <v>0.170974016127</v>
      </c>
      <c r="D8921">
        <v>0.99997830296900003</v>
      </c>
      <c r="E8921">
        <v>8.7240000000000002</v>
      </c>
    </row>
    <row r="8922" spans="1:5">
      <c r="A8922" t="s">
        <v>39635</v>
      </c>
      <c r="B8922" t="s">
        <v>9250</v>
      </c>
      <c r="C8922">
        <f>0.38411241086</f>
        <v>0.38411241085999998</v>
      </c>
      <c r="D8922">
        <v>0.99997830296900003</v>
      </c>
      <c r="E8922">
        <v>8.7240000000000002</v>
      </c>
    </row>
    <row r="8923" spans="1:5">
      <c r="A8923" t="s">
        <v>39635</v>
      </c>
      <c r="B8923" t="s">
        <v>9245</v>
      </c>
      <c r="C8923">
        <f>0</f>
        <v>0</v>
      </c>
      <c r="D8923">
        <v>0.99997830296900003</v>
      </c>
      <c r="E8923">
        <v>8.7240000000000002</v>
      </c>
    </row>
    <row r="8924" spans="1:5">
      <c r="A8924" t="s">
        <v>39635</v>
      </c>
      <c r="B8924" t="s">
        <v>9247</v>
      </c>
      <c r="C8924">
        <v>9.1657667476300001E-3</v>
      </c>
      <c r="D8924">
        <v>0.99997830296900003</v>
      </c>
      <c r="E8924">
        <v>8.7240000000000002</v>
      </c>
    </row>
    <row r="8925" spans="1:5">
      <c r="A8925" t="s">
        <v>39636</v>
      </c>
      <c r="B8925" t="s">
        <v>39637</v>
      </c>
      <c r="C8925">
        <f>0.136241497217</f>
        <v>0.13624149721699999</v>
      </c>
      <c r="D8925">
        <v>0.65499888975200005</v>
      </c>
      <c r="E8925">
        <v>5.9340000000000002</v>
      </c>
    </row>
    <row r="8926" spans="1:5">
      <c r="A8926" t="s">
        <v>39636</v>
      </c>
      <c r="B8926" t="s">
        <v>39638</v>
      </c>
      <c r="C8926">
        <v>0.38870085896099998</v>
      </c>
      <c r="D8926">
        <v>0.65499888975200005</v>
      </c>
      <c r="E8926">
        <v>5.9340000000000002</v>
      </c>
    </row>
    <row r="8927" spans="1:5">
      <c r="A8927" t="s">
        <v>39636</v>
      </c>
      <c r="B8927" t="s">
        <v>39639</v>
      </c>
      <c r="C8927">
        <f>0.391708648926</f>
        <v>0.39170864892599999</v>
      </c>
      <c r="D8927">
        <v>0.65499888975200005</v>
      </c>
      <c r="E8927">
        <v>5.9340000000000002</v>
      </c>
    </row>
    <row r="8928" spans="1:5">
      <c r="A8928" t="s">
        <v>39640</v>
      </c>
      <c r="B8928" t="s">
        <v>39641</v>
      </c>
      <c r="C8928">
        <f>0</f>
        <v>0</v>
      </c>
      <c r="D8928" t="s">
        <v>106</v>
      </c>
      <c r="E8928">
        <v>4.3739999999999997</v>
      </c>
    </row>
    <row r="8929" spans="1:5">
      <c r="A8929" t="s">
        <v>39640</v>
      </c>
      <c r="B8929" t="s">
        <v>39642</v>
      </c>
      <c r="C8929">
        <f>0</f>
        <v>0</v>
      </c>
      <c r="D8929" t="s">
        <v>106</v>
      </c>
      <c r="E8929">
        <v>4.3739999999999997</v>
      </c>
    </row>
    <row r="8930" spans="1:5">
      <c r="A8930" t="s">
        <v>39640</v>
      </c>
      <c r="B8930" t="s">
        <v>39643</v>
      </c>
      <c r="C8930">
        <v>0</v>
      </c>
      <c r="D8930" t="s">
        <v>106</v>
      </c>
      <c r="E8930">
        <v>4.3739999999999997</v>
      </c>
    </row>
    <row r="8931" spans="1:5">
      <c r="A8931" t="s">
        <v>39640</v>
      </c>
      <c r="B8931" t="s">
        <v>39644</v>
      </c>
      <c r="C8931">
        <v>0</v>
      </c>
      <c r="D8931" t="s">
        <v>106</v>
      </c>
      <c r="E8931">
        <v>4.3739999999999997</v>
      </c>
    </row>
    <row r="8932" spans="1:5">
      <c r="A8932" t="s">
        <v>39645</v>
      </c>
      <c r="B8932" t="s">
        <v>7407</v>
      </c>
      <c r="C8932">
        <v>0</v>
      </c>
      <c r="D8932">
        <v>0.91432147415300002</v>
      </c>
      <c r="E8932">
        <v>2.3279999999999998</v>
      </c>
    </row>
    <row r="8933" spans="1:5">
      <c r="A8933" t="s">
        <v>39645</v>
      </c>
      <c r="B8933" t="s">
        <v>7411</v>
      </c>
      <c r="C8933">
        <f>0.00720562779048</f>
        <v>7.2056277904800001E-3</v>
      </c>
      <c r="D8933">
        <v>0.91432147415300002</v>
      </c>
      <c r="E8933">
        <v>2.3279999999999998</v>
      </c>
    </row>
    <row r="8934" spans="1:5">
      <c r="A8934" t="s">
        <v>39645</v>
      </c>
      <c r="B8934" t="s">
        <v>7408</v>
      </c>
      <c r="C8934">
        <v>0.52846723435599996</v>
      </c>
      <c r="D8934">
        <v>0.91432147415300002</v>
      </c>
      <c r="E8934">
        <v>2.3279999999999998</v>
      </c>
    </row>
    <row r="8935" spans="1:5">
      <c r="A8935" t="s">
        <v>39645</v>
      </c>
      <c r="B8935" t="s">
        <v>7409</v>
      </c>
      <c r="C8935">
        <f>0.30794170863</f>
        <v>0.30794170862999998</v>
      </c>
      <c r="D8935">
        <v>0.91432147415300002</v>
      </c>
      <c r="E8935">
        <v>2.3279999999999998</v>
      </c>
    </row>
    <row r="8936" spans="1:5">
      <c r="A8936" t="s">
        <v>39646</v>
      </c>
      <c r="B8936" t="s">
        <v>39647</v>
      </c>
      <c r="C8936">
        <v>0</v>
      </c>
      <c r="D8936" t="s">
        <v>106</v>
      </c>
      <c r="E8936">
        <v>1.014</v>
      </c>
    </row>
    <row r="8937" spans="1:5">
      <c r="A8937" t="s">
        <v>39646</v>
      </c>
      <c r="B8937" t="s">
        <v>39648</v>
      </c>
      <c r="C8937">
        <v>0</v>
      </c>
      <c r="D8937" t="s">
        <v>106</v>
      </c>
      <c r="E8937">
        <v>1.014</v>
      </c>
    </row>
    <row r="8938" spans="1:5">
      <c r="A8938" t="s">
        <v>39646</v>
      </c>
      <c r="B8938" t="s">
        <v>39649</v>
      </c>
      <c r="C8938">
        <v>0</v>
      </c>
      <c r="D8938" t="s">
        <v>106</v>
      </c>
      <c r="E8938">
        <v>1.014</v>
      </c>
    </row>
    <row r="8939" spans="1:5">
      <c r="A8939" t="s">
        <v>39646</v>
      </c>
      <c r="B8939" t="s">
        <v>39650</v>
      </c>
      <c r="C8939">
        <v>0</v>
      </c>
      <c r="D8939" t="s">
        <v>106</v>
      </c>
      <c r="E8939">
        <v>1.014</v>
      </c>
    </row>
    <row r="8940" spans="1:5">
      <c r="A8940" t="s">
        <v>39646</v>
      </c>
      <c r="B8940" t="s">
        <v>39651</v>
      </c>
      <c r="C8940">
        <f>0</f>
        <v>0</v>
      </c>
      <c r="D8940" t="s">
        <v>106</v>
      </c>
      <c r="E8940">
        <v>1.014</v>
      </c>
    </row>
    <row r="8941" spans="1:5">
      <c r="A8941" t="s">
        <v>39646</v>
      </c>
      <c r="B8941" t="s">
        <v>39652</v>
      </c>
      <c r="C8941">
        <f>0</f>
        <v>0</v>
      </c>
      <c r="D8941" t="s">
        <v>106</v>
      </c>
      <c r="E8941">
        <v>1.014</v>
      </c>
    </row>
    <row r="8942" spans="1:5">
      <c r="A8942" t="s">
        <v>39653</v>
      </c>
      <c r="B8942" t="s">
        <v>39654</v>
      </c>
      <c r="C8942">
        <v>0</v>
      </c>
      <c r="D8942" t="s">
        <v>106</v>
      </c>
      <c r="E8942">
        <v>11.874000000000001</v>
      </c>
    </row>
    <row r="8943" spans="1:5">
      <c r="A8943" t="s">
        <v>39653</v>
      </c>
      <c r="B8943" t="s">
        <v>39655</v>
      </c>
      <c r="C8943">
        <v>0</v>
      </c>
      <c r="D8943" t="s">
        <v>106</v>
      </c>
      <c r="E8943">
        <v>11.874000000000001</v>
      </c>
    </row>
    <row r="8944" spans="1:5">
      <c r="A8944" t="s">
        <v>39656</v>
      </c>
      <c r="B8944" t="s">
        <v>39657</v>
      </c>
      <c r="C8944">
        <v>0.43903896096</v>
      </c>
      <c r="D8944">
        <v>0.63264896096000001</v>
      </c>
      <c r="E8944">
        <v>0.06</v>
      </c>
    </row>
    <row r="8945" spans="1:5">
      <c r="A8945" t="s">
        <v>39656</v>
      </c>
      <c r="B8945" t="s">
        <v>39658</v>
      </c>
      <c r="C8945">
        <v>0</v>
      </c>
      <c r="D8945">
        <v>0.63264896096000001</v>
      </c>
      <c r="E8945">
        <v>0.06</v>
      </c>
    </row>
    <row r="8946" spans="1:5">
      <c r="A8946" t="s">
        <v>39659</v>
      </c>
      <c r="B8946" t="s">
        <v>39660</v>
      </c>
      <c r="C8946">
        <f>0.540890983005</f>
        <v>0.54089098300500005</v>
      </c>
      <c r="D8946">
        <v>0.99268377098500005</v>
      </c>
      <c r="E8946">
        <v>1.512</v>
      </c>
    </row>
    <row r="8947" spans="1:5">
      <c r="A8947" t="s">
        <v>39659</v>
      </c>
      <c r="B8947" t="s">
        <v>39661</v>
      </c>
      <c r="C8947">
        <f>0.543217609403</f>
        <v>0.54321760940300001</v>
      </c>
      <c r="D8947">
        <v>0.99268377098500005</v>
      </c>
      <c r="E8947">
        <v>1.512</v>
      </c>
    </row>
    <row r="8948" spans="1:5">
      <c r="A8948" t="s">
        <v>39659</v>
      </c>
      <c r="B8948" t="s">
        <v>39662</v>
      </c>
      <c r="C8948">
        <f>0</f>
        <v>0</v>
      </c>
      <c r="D8948">
        <v>0.99268377098500005</v>
      </c>
      <c r="E8948">
        <v>1.512</v>
      </c>
    </row>
    <row r="8949" spans="1:5">
      <c r="A8949" t="s">
        <v>39659</v>
      </c>
      <c r="B8949" t="s">
        <v>39663</v>
      </c>
      <c r="C8949">
        <f>0</f>
        <v>0</v>
      </c>
      <c r="D8949">
        <v>0.99268377098500005</v>
      </c>
      <c r="E8949">
        <v>1.512</v>
      </c>
    </row>
    <row r="8950" spans="1:5">
      <c r="A8950" t="s">
        <v>39659</v>
      </c>
      <c r="B8950" t="s">
        <v>39664</v>
      </c>
      <c r="C8950">
        <f>0.147723935974</f>
        <v>0.14772393597399999</v>
      </c>
      <c r="D8950">
        <v>0.99268377098500005</v>
      </c>
      <c r="E8950">
        <v>1.512</v>
      </c>
    </row>
    <row r="8951" spans="1:5">
      <c r="A8951" t="s">
        <v>39659</v>
      </c>
      <c r="B8951" t="s">
        <v>39665</v>
      </c>
      <c r="C8951">
        <v>0</v>
      </c>
      <c r="D8951">
        <v>0.99268377098500005</v>
      </c>
      <c r="E8951">
        <v>1.512</v>
      </c>
    </row>
    <row r="8952" spans="1:5">
      <c r="A8952" t="s">
        <v>39659</v>
      </c>
      <c r="B8952" t="s">
        <v>39666</v>
      </c>
      <c r="C8952">
        <v>1.1460094353200001</v>
      </c>
      <c r="D8952">
        <v>0.99268377098500005</v>
      </c>
      <c r="E8952">
        <v>1.512</v>
      </c>
    </row>
    <row r="8953" spans="1:5">
      <c r="A8953" t="s">
        <v>39659</v>
      </c>
      <c r="B8953" t="s">
        <v>39667</v>
      </c>
      <c r="C8953">
        <v>0.11773362423</v>
      </c>
      <c r="D8953">
        <v>0.99268377098500005</v>
      </c>
      <c r="E8953">
        <v>1.512</v>
      </c>
    </row>
    <row r="8954" spans="1:5">
      <c r="A8954" t="s">
        <v>39659</v>
      </c>
      <c r="B8954" t="s">
        <v>39668</v>
      </c>
      <c r="C8954">
        <f>0.907899542596</f>
        <v>0.90789954259600003</v>
      </c>
      <c r="D8954">
        <v>0.99268377098500005</v>
      </c>
      <c r="E8954">
        <v>1.512</v>
      </c>
    </row>
    <row r="8955" spans="1:5">
      <c r="A8955" t="s">
        <v>39669</v>
      </c>
      <c r="B8955" t="s">
        <v>9853</v>
      </c>
      <c r="C8955">
        <v>0.95345654625999998</v>
      </c>
      <c r="D8955">
        <v>0.99377198763700003</v>
      </c>
      <c r="E8955">
        <v>24</v>
      </c>
    </row>
    <row r="8956" spans="1:5">
      <c r="A8956" t="s">
        <v>39669</v>
      </c>
      <c r="B8956" t="s">
        <v>9850</v>
      </c>
      <c r="C8956">
        <v>0.43525147493499999</v>
      </c>
      <c r="D8956">
        <v>0.99377198763700003</v>
      </c>
      <c r="E8956">
        <v>24</v>
      </c>
    </row>
    <row r="8957" spans="1:5">
      <c r="A8957" t="s">
        <v>39669</v>
      </c>
      <c r="B8957" t="s">
        <v>9851</v>
      </c>
      <c r="C8957">
        <v>1.68262258441</v>
      </c>
      <c r="D8957">
        <v>0.99377198763700003</v>
      </c>
      <c r="E8957">
        <v>24</v>
      </c>
    </row>
    <row r="8958" spans="1:5">
      <c r="A8958" t="s">
        <v>39669</v>
      </c>
      <c r="B8958" t="s">
        <v>9855</v>
      </c>
      <c r="C8958">
        <f>0.138483067052</f>
        <v>0.138483067052</v>
      </c>
      <c r="D8958">
        <v>0.99377198763700003</v>
      </c>
      <c r="E8958">
        <v>24</v>
      </c>
    </row>
    <row r="8959" spans="1:5">
      <c r="A8959" t="s">
        <v>39669</v>
      </c>
      <c r="B8959" t="s">
        <v>9854</v>
      </c>
      <c r="C8959">
        <f>-1.31614221654</f>
        <v>-1.3161422165400001</v>
      </c>
      <c r="D8959">
        <v>0.99377198763700003</v>
      </c>
      <c r="E8959">
        <v>24</v>
      </c>
    </row>
    <row r="8960" spans="1:5">
      <c r="A8960" t="s">
        <v>39669</v>
      </c>
      <c r="B8960" t="s">
        <v>9856</v>
      </c>
      <c r="C8960">
        <f>0.0914094121</f>
        <v>9.1409412100000004E-2</v>
      </c>
      <c r="D8960">
        <v>0.99377198763700003</v>
      </c>
      <c r="E8960">
        <v>24</v>
      </c>
    </row>
    <row r="8961" spans="1:5">
      <c r="A8961" t="s">
        <v>39670</v>
      </c>
      <c r="B8961" t="s">
        <v>39671</v>
      </c>
      <c r="C8961">
        <v>0</v>
      </c>
      <c r="D8961" t="s">
        <v>106</v>
      </c>
      <c r="E8961">
        <v>15.125999999999999</v>
      </c>
    </row>
    <row r="8962" spans="1:5">
      <c r="A8962" t="s">
        <v>39670</v>
      </c>
      <c r="B8962" t="s">
        <v>39672</v>
      </c>
      <c r="C8962">
        <v>0</v>
      </c>
      <c r="D8962" t="s">
        <v>106</v>
      </c>
      <c r="E8962">
        <v>15.125999999999999</v>
      </c>
    </row>
    <row r="8963" spans="1:5">
      <c r="A8963" t="s">
        <v>39670</v>
      </c>
      <c r="B8963" t="s">
        <v>39673</v>
      </c>
      <c r="C8963">
        <v>0</v>
      </c>
      <c r="D8963" t="s">
        <v>106</v>
      </c>
      <c r="E8963">
        <v>15.125999999999999</v>
      </c>
    </row>
    <row r="8964" spans="1:5">
      <c r="A8964" t="s">
        <v>39674</v>
      </c>
      <c r="B8964" t="s">
        <v>8572</v>
      </c>
      <c r="C8964">
        <f>0</f>
        <v>0</v>
      </c>
      <c r="D8964">
        <v>0.62026861133300004</v>
      </c>
      <c r="E8964">
        <v>1.968</v>
      </c>
    </row>
    <row r="8965" spans="1:5">
      <c r="A8965" t="s">
        <v>39674</v>
      </c>
      <c r="B8965" t="s">
        <v>8574</v>
      </c>
      <c r="C8965">
        <v>0.38985861133299998</v>
      </c>
      <c r="D8965">
        <v>0.62026861133300004</v>
      </c>
      <c r="E8965">
        <v>1.968</v>
      </c>
    </row>
    <row r="8966" spans="1:5">
      <c r="A8966" t="s">
        <v>39674</v>
      </c>
      <c r="B8966" t="s">
        <v>8575</v>
      </c>
      <c r="C8966">
        <v>0</v>
      </c>
      <c r="D8966">
        <v>0.62026861133300004</v>
      </c>
      <c r="E8966">
        <v>1.968</v>
      </c>
    </row>
    <row r="8967" spans="1:5">
      <c r="A8967" t="s">
        <v>39675</v>
      </c>
      <c r="B8967" t="s">
        <v>14588</v>
      </c>
      <c r="C8967">
        <v>0</v>
      </c>
      <c r="D8967" t="s">
        <v>106</v>
      </c>
      <c r="E8967">
        <v>6.3</v>
      </c>
    </row>
    <row r="8968" spans="1:5">
      <c r="A8968" t="s">
        <v>39675</v>
      </c>
      <c r="B8968" t="s">
        <v>14589</v>
      </c>
      <c r="C8968">
        <v>0</v>
      </c>
      <c r="D8968" t="s">
        <v>106</v>
      </c>
      <c r="E8968">
        <v>6.3</v>
      </c>
    </row>
    <row r="8969" spans="1:5">
      <c r="A8969" t="s">
        <v>39676</v>
      </c>
      <c r="B8969" t="s">
        <v>39677</v>
      </c>
      <c r="C8969">
        <v>0</v>
      </c>
      <c r="D8969">
        <v>0.959622907144</v>
      </c>
      <c r="E8969">
        <v>3.972</v>
      </c>
    </row>
    <row r="8970" spans="1:5">
      <c r="A8970" t="s">
        <v>39676</v>
      </c>
      <c r="B8970" t="s">
        <v>39678</v>
      </c>
      <c r="C8970">
        <v>0.83842327209599998</v>
      </c>
      <c r="D8970">
        <v>0.959622907144</v>
      </c>
      <c r="E8970">
        <v>3.972</v>
      </c>
    </row>
    <row r="8971" spans="1:5">
      <c r="A8971" t="s">
        <v>39676</v>
      </c>
      <c r="B8971" t="s">
        <v>39679</v>
      </c>
      <c r="C8971">
        <v>0</v>
      </c>
      <c r="D8971">
        <v>0.959622907144</v>
      </c>
      <c r="E8971">
        <v>3.972</v>
      </c>
    </row>
    <row r="8972" spans="1:5">
      <c r="A8972" t="s">
        <v>39676</v>
      </c>
      <c r="B8972" t="s">
        <v>39680</v>
      </c>
      <c r="C8972">
        <v>0</v>
      </c>
      <c r="D8972">
        <v>0.959622907144</v>
      </c>
      <c r="E8972">
        <v>3.972</v>
      </c>
    </row>
    <row r="8973" spans="1:5">
      <c r="A8973" t="s">
        <v>39676</v>
      </c>
      <c r="B8973" t="s">
        <v>39681</v>
      </c>
      <c r="C8973">
        <f>0.0326214422756</f>
        <v>3.2621442275600002E-2</v>
      </c>
      <c r="D8973">
        <v>0.959622907144</v>
      </c>
      <c r="E8973">
        <v>3.972</v>
      </c>
    </row>
    <row r="8974" spans="1:5">
      <c r="A8974" t="s">
        <v>39676</v>
      </c>
      <c r="B8974" t="s">
        <v>39682</v>
      </c>
      <c r="C8974">
        <v>0</v>
      </c>
      <c r="D8974">
        <v>0.959622907144</v>
      </c>
      <c r="E8974">
        <v>3.972</v>
      </c>
    </row>
    <row r="8975" spans="1:5">
      <c r="A8975" t="s">
        <v>39676</v>
      </c>
      <c r="B8975" t="s">
        <v>39683</v>
      </c>
      <c r="C8975">
        <f>0</f>
        <v>0</v>
      </c>
      <c r="D8975">
        <v>0.959622907144</v>
      </c>
      <c r="E8975">
        <v>3.972</v>
      </c>
    </row>
    <row r="8976" spans="1:5">
      <c r="A8976" t="s">
        <v>39684</v>
      </c>
      <c r="B8976" t="s">
        <v>23843</v>
      </c>
      <c r="C8976">
        <f>0</f>
        <v>0</v>
      </c>
      <c r="D8976" t="s">
        <v>106</v>
      </c>
      <c r="E8976">
        <v>24</v>
      </c>
    </row>
    <row r="8977" spans="1:5">
      <c r="A8977" t="s">
        <v>39684</v>
      </c>
      <c r="B8977" t="s">
        <v>23847</v>
      </c>
      <c r="C8977">
        <f>0</f>
        <v>0</v>
      </c>
      <c r="D8977" t="s">
        <v>106</v>
      </c>
      <c r="E8977">
        <v>24</v>
      </c>
    </row>
    <row r="8978" spans="1:5">
      <c r="A8978" t="s">
        <v>39684</v>
      </c>
      <c r="B8978" t="s">
        <v>23846</v>
      </c>
      <c r="C8978">
        <v>0</v>
      </c>
      <c r="D8978" t="s">
        <v>106</v>
      </c>
      <c r="E8978">
        <v>24</v>
      </c>
    </row>
    <row r="8979" spans="1:5">
      <c r="A8979" t="s">
        <v>39685</v>
      </c>
      <c r="B8979" t="s">
        <v>39686</v>
      </c>
      <c r="C8979">
        <v>0.54566555418899998</v>
      </c>
      <c r="D8979">
        <v>0.64807555418899998</v>
      </c>
      <c r="E8979">
        <v>1.512</v>
      </c>
    </row>
    <row r="8980" spans="1:5">
      <c r="A8980" t="s">
        <v>39685</v>
      </c>
      <c r="B8980" t="s">
        <v>39687</v>
      </c>
      <c r="C8980">
        <v>0</v>
      </c>
      <c r="D8980">
        <v>0.64807555418899998</v>
      </c>
      <c r="E8980">
        <v>1.512</v>
      </c>
    </row>
    <row r="8981" spans="1:5">
      <c r="A8981" t="s">
        <v>39688</v>
      </c>
      <c r="B8981" t="s">
        <v>15563</v>
      </c>
      <c r="C8981">
        <v>0</v>
      </c>
      <c r="D8981">
        <v>0.63091827088899999</v>
      </c>
      <c r="E8981">
        <v>9.9239999999999995</v>
      </c>
    </row>
    <row r="8982" spans="1:5">
      <c r="A8982" t="s">
        <v>39688</v>
      </c>
      <c r="B8982" t="s">
        <v>39689</v>
      </c>
      <c r="C8982">
        <f>0</f>
        <v>0</v>
      </c>
      <c r="D8982">
        <v>0.63091827088899999</v>
      </c>
      <c r="E8982">
        <v>9.9239999999999995</v>
      </c>
    </row>
    <row r="8983" spans="1:5">
      <c r="A8983" t="s">
        <v>39688</v>
      </c>
      <c r="B8983" t="s">
        <v>15564</v>
      </c>
      <c r="C8983">
        <f>0</f>
        <v>0</v>
      </c>
      <c r="D8983">
        <v>0.63091827088899999</v>
      </c>
      <c r="E8983">
        <v>9.9239999999999995</v>
      </c>
    </row>
    <row r="8984" spans="1:5">
      <c r="A8984" t="s">
        <v>39688</v>
      </c>
      <c r="B8984" t="s">
        <v>15565</v>
      </c>
      <c r="C8984">
        <f>0.270908270889</f>
        <v>0.27090827088899999</v>
      </c>
      <c r="D8984">
        <v>0.63091827088899999</v>
      </c>
      <c r="E8984">
        <v>9.9239999999999995</v>
      </c>
    </row>
    <row r="8985" spans="1:5">
      <c r="A8985" t="s">
        <v>39690</v>
      </c>
      <c r="B8985" t="s">
        <v>29310</v>
      </c>
      <c r="C8985">
        <f>0.430741693326</f>
        <v>0.43074169332599999</v>
      </c>
      <c r="D8985">
        <v>0.96820327667700001</v>
      </c>
      <c r="E8985">
        <v>24</v>
      </c>
    </row>
    <row r="8986" spans="1:5">
      <c r="A8986" t="s">
        <v>39690</v>
      </c>
      <c r="B8986" t="s">
        <v>29314</v>
      </c>
      <c r="C8986">
        <v>0.67101412314700004</v>
      </c>
      <c r="D8986">
        <v>0.96820327667700001</v>
      </c>
      <c r="E8986">
        <v>24</v>
      </c>
    </row>
    <row r="8987" spans="1:5">
      <c r="A8987" t="s">
        <v>39690</v>
      </c>
      <c r="B8987" t="s">
        <v>29315</v>
      </c>
      <c r="C8987">
        <v>0.15304292678100001</v>
      </c>
      <c r="D8987">
        <v>0.96820327667700001</v>
      </c>
      <c r="E8987">
        <v>24</v>
      </c>
    </row>
    <row r="8988" spans="1:5">
      <c r="A8988" t="s">
        <v>39690</v>
      </c>
      <c r="B8988" t="s">
        <v>29311</v>
      </c>
      <c r="C8988">
        <v>0.15800855087400001</v>
      </c>
      <c r="D8988">
        <v>0.96820327667700001</v>
      </c>
      <c r="E8988">
        <v>24</v>
      </c>
    </row>
    <row r="8989" spans="1:5">
      <c r="A8989" t="s">
        <v>39691</v>
      </c>
      <c r="B8989" t="s">
        <v>39692</v>
      </c>
      <c r="C8989">
        <v>0</v>
      </c>
      <c r="D8989">
        <v>0.94046849233300001</v>
      </c>
      <c r="E8989">
        <v>24</v>
      </c>
    </row>
    <row r="8990" spans="1:5">
      <c r="A8990" t="s">
        <v>39691</v>
      </c>
      <c r="B8990" t="s">
        <v>39693</v>
      </c>
      <c r="C8990">
        <v>0.43343967041699999</v>
      </c>
      <c r="D8990">
        <v>0.94046849233300001</v>
      </c>
      <c r="E8990">
        <v>24</v>
      </c>
    </row>
    <row r="8991" spans="1:5">
      <c r="A8991" t="s">
        <v>39691</v>
      </c>
      <c r="B8991" t="s">
        <v>39694</v>
      </c>
      <c r="C8991">
        <v>9.3812897382099997E-2</v>
      </c>
      <c r="D8991">
        <v>0.94046849233300001</v>
      </c>
      <c r="E8991">
        <v>24</v>
      </c>
    </row>
    <row r="8992" spans="1:5">
      <c r="A8992" t="s">
        <v>39691</v>
      </c>
      <c r="B8992" t="s">
        <v>39695</v>
      </c>
      <c r="C8992">
        <v>0</v>
      </c>
      <c r="D8992">
        <v>0.94046849233300001</v>
      </c>
      <c r="E8992">
        <v>24</v>
      </c>
    </row>
    <row r="8993" spans="1:5">
      <c r="A8993" t="s">
        <v>39691</v>
      </c>
      <c r="B8993" t="s">
        <v>39696</v>
      </c>
      <c r="C8993">
        <v>3.70642083119E-2</v>
      </c>
      <c r="D8993">
        <v>0.94046849233300001</v>
      </c>
      <c r="E8993">
        <v>24</v>
      </c>
    </row>
    <row r="8994" spans="1:5">
      <c r="A8994" t="s">
        <v>39691</v>
      </c>
      <c r="B8994" t="s">
        <v>39697</v>
      </c>
      <c r="C8994">
        <v>0.144179054349</v>
      </c>
      <c r="D8994">
        <v>0.94046849233300001</v>
      </c>
      <c r="E8994">
        <v>24</v>
      </c>
    </row>
    <row r="8995" spans="1:5">
      <c r="A8995" t="s">
        <v>39691</v>
      </c>
      <c r="B8995" t="s">
        <v>39698</v>
      </c>
      <c r="C8995">
        <v>0.36201703713599998</v>
      </c>
      <c r="D8995">
        <v>0.94046849233300001</v>
      </c>
      <c r="E8995">
        <v>24</v>
      </c>
    </row>
    <row r="8996" spans="1:5">
      <c r="A8996" t="s">
        <v>39691</v>
      </c>
      <c r="B8996" t="s">
        <v>39699</v>
      </c>
      <c r="C8996">
        <f>0</f>
        <v>0</v>
      </c>
      <c r="D8996">
        <v>0.94046849233300001</v>
      </c>
      <c r="E8996">
        <v>24</v>
      </c>
    </row>
    <row r="8997" spans="1:5">
      <c r="A8997" t="s">
        <v>39700</v>
      </c>
      <c r="B8997" t="s">
        <v>27790</v>
      </c>
      <c r="C8997">
        <v>0.56348674705400004</v>
      </c>
      <c r="D8997">
        <v>0.89356749986499995</v>
      </c>
      <c r="E8997">
        <v>2.4780000000000002</v>
      </c>
    </row>
    <row r="8998" spans="1:5">
      <c r="A8998" t="s">
        <v>39700</v>
      </c>
      <c r="B8998" t="s">
        <v>27793</v>
      </c>
      <c r="C8998">
        <v>0.58846784132300001</v>
      </c>
      <c r="D8998">
        <v>0.89356749986499995</v>
      </c>
      <c r="E8998">
        <v>2.4780000000000002</v>
      </c>
    </row>
    <row r="8999" spans="1:5">
      <c r="A8999" t="s">
        <v>39701</v>
      </c>
      <c r="B8999" t="s">
        <v>39702</v>
      </c>
      <c r="C8999">
        <f>0</f>
        <v>0</v>
      </c>
      <c r="D8999" t="s">
        <v>106</v>
      </c>
      <c r="E8999">
        <v>0.13200000000000001</v>
      </c>
    </row>
    <row r="9000" spans="1:5">
      <c r="A9000" t="s">
        <v>39701</v>
      </c>
      <c r="B9000" t="s">
        <v>39703</v>
      </c>
      <c r="C9000">
        <v>0</v>
      </c>
      <c r="D9000" t="s">
        <v>106</v>
      </c>
      <c r="E9000">
        <v>0.13200000000000001</v>
      </c>
    </row>
    <row r="9001" spans="1:5">
      <c r="A9001" t="s">
        <v>39701</v>
      </c>
      <c r="B9001" t="s">
        <v>39704</v>
      </c>
      <c r="C9001">
        <f>0</f>
        <v>0</v>
      </c>
      <c r="D9001" t="s">
        <v>106</v>
      </c>
      <c r="E9001">
        <v>0.13200000000000001</v>
      </c>
    </row>
    <row r="9002" spans="1:5">
      <c r="A9002" t="s">
        <v>39701</v>
      </c>
      <c r="B9002" t="s">
        <v>39705</v>
      </c>
      <c r="C9002">
        <f>0</f>
        <v>0</v>
      </c>
      <c r="D9002" t="s">
        <v>106</v>
      </c>
      <c r="E9002">
        <v>0.13200000000000001</v>
      </c>
    </row>
    <row r="9003" spans="1:5">
      <c r="A9003" t="s">
        <v>39706</v>
      </c>
      <c r="B9003" t="s">
        <v>10763</v>
      </c>
      <c r="C9003">
        <f>0</f>
        <v>0</v>
      </c>
      <c r="D9003" t="s">
        <v>106</v>
      </c>
      <c r="E9003">
        <v>5.9340000000000002</v>
      </c>
    </row>
    <row r="9004" spans="1:5">
      <c r="A9004" t="s">
        <v>39706</v>
      </c>
      <c r="B9004" t="s">
        <v>10770</v>
      </c>
      <c r="C9004">
        <f>0</f>
        <v>0</v>
      </c>
      <c r="D9004" t="s">
        <v>106</v>
      </c>
      <c r="E9004">
        <v>5.9340000000000002</v>
      </c>
    </row>
    <row r="9005" spans="1:5">
      <c r="A9005" t="s">
        <v>39706</v>
      </c>
      <c r="B9005" t="s">
        <v>10768</v>
      </c>
      <c r="C9005">
        <v>0</v>
      </c>
      <c r="D9005" t="s">
        <v>106</v>
      </c>
      <c r="E9005">
        <v>5.9340000000000002</v>
      </c>
    </row>
    <row r="9006" spans="1:5">
      <c r="A9006" t="s">
        <v>39707</v>
      </c>
      <c r="B9006" t="s">
        <v>39708</v>
      </c>
      <c r="C9006">
        <v>0.51302928442100004</v>
      </c>
      <c r="D9006">
        <v>0.983021274409</v>
      </c>
      <c r="E9006">
        <v>23.754000000000001</v>
      </c>
    </row>
    <row r="9007" spans="1:5">
      <c r="A9007" t="s">
        <v>39707</v>
      </c>
      <c r="B9007" t="s">
        <v>39709</v>
      </c>
      <c r="C9007">
        <v>0.47613761523600001</v>
      </c>
      <c r="D9007">
        <v>0.983021274409</v>
      </c>
      <c r="E9007">
        <v>23.754000000000001</v>
      </c>
    </row>
    <row r="9008" spans="1:5">
      <c r="A9008" t="s">
        <v>39707</v>
      </c>
      <c r="B9008" t="s">
        <v>39710</v>
      </c>
      <c r="C9008">
        <v>0.52053733845100003</v>
      </c>
      <c r="D9008">
        <v>0.983021274409</v>
      </c>
      <c r="E9008">
        <v>23.754000000000001</v>
      </c>
    </row>
    <row r="9009" spans="1:5">
      <c r="A9009" t="s">
        <v>39707</v>
      </c>
      <c r="B9009" t="s">
        <v>39711</v>
      </c>
      <c r="C9009">
        <v>0.41558852694800003</v>
      </c>
      <c r="D9009">
        <v>0.983021274409</v>
      </c>
      <c r="E9009">
        <v>23.754000000000001</v>
      </c>
    </row>
    <row r="9010" spans="1:5">
      <c r="A9010" t="s">
        <v>39707</v>
      </c>
      <c r="B9010" t="s">
        <v>39712</v>
      </c>
      <c r="C9010">
        <v>5.7465718053100003E-2</v>
      </c>
      <c r="D9010">
        <v>0.983021274409</v>
      </c>
      <c r="E9010">
        <v>23.754000000000001</v>
      </c>
    </row>
    <row r="9011" spans="1:5">
      <c r="A9011" t="s">
        <v>39713</v>
      </c>
      <c r="B9011" t="s">
        <v>22763</v>
      </c>
      <c r="C9011">
        <v>0.89517620543700005</v>
      </c>
      <c r="D9011">
        <v>0.99830446249399996</v>
      </c>
      <c r="E9011">
        <v>3.0539999999999998</v>
      </c>
    </row>
    <row r="9012" spans="1:5">
      <c r="A9012" t="s">
        <v>39713</v>
      </c>
      <c r="B9012" t="s">
        <v>22766</v>
      </c>
      <c r="C9012">
        <v>0.30693444623799998</v>
      </c>
      <c r="D9012">
        <v>0.99830446249399996</v>
      </c>
      <c r="E9012">
        <v>3.0539999999999998</v>
      </c>
    </row>
    <row r="9013" spans="1:5">
      <c r="A9013" t="s">
        <v>39713</v>
      </c>
      <c r="B9013" t="s">
        <v>22770</v>
      </c>
      <c r="C9013">
        <v>0.143668352606</v>
      </c>
      <c r="D9013">
        <v>0.99830446249399996</v>
      </c>
      <c r="E9013">
        <v>3.0539999999999998</v>
      </c>
    </row>
    <row r="9014" spans="1:5">
      <c r="A9014" t="s">
        <v>39713</v>
      </c>
      <c r="B9014" t="s">
        <v>22765</v>
      </c>
      <c r="C9014">
        <f>0.958120296495</f>
        <v>0.95812029649499997</v>
      </c>
      <c r="D9014">
        <v>0.99830446249399996</v>
      </c>
      <c r="E9014">
        <v>3.0539999999999998</v>
      </c>
    </row>
    <row r="9015" spans="1:5">
      <c r="A9015" t="s">
        <v>39713</v>
      </c>
      <c r="B9015" t="s">
        <v>22768</v>
      </c>
      <c r="C9015">
        <v>0.46620538177800003</v>
      </c>
      <c r="D9015">
        <v>0.99830446249399996</v>
      </c>
      <c r="E9015">
        <v>3.0539999999999998</v>
      </c>
    </row>
    <row r="9016" spans="1:5">
      <c r="A9016" t="s">
        <v>39714</v>
      </c>
      <c r="B9016" t="s">
        <v>23169</v>
      </c>
      <c r="C9016">
        <f>0</f>
        <v>0</v>
      </c>
      <c r="D9016">
        <v>0.783631191803</v>
      </c>
      <c r="E9016">
        <v>0.54</v>
      </c>
    </row>
    <row r="9017" spans="1:5">
      <c r="A9017" t="s">
        <v>39714</v>
      </c>
      <c r="B9017" t="s">
        <v>23167</v>
      </c>
      <c r="C9017">
        <v>0.62362119180300002</v>
      </c>
      <c r="D9017">
        <v>0.783631191803</v>
      </c>
      <c r="E9017">
        <v>0.54</v>
      </c>
    </row>
    <row r="9018" spans="1:5">
      <c r="A9018" t="s">
        <v>39714</v>
      </c>
      <c r="B9018" t="s">
        <v>23168</v>
      </c>
      <c r="C9018">
        <v>0</v>
      </c>
      <c r="D9018">
        <v>0.783631191803</v>
      </c>
      <c r="E9018">
        <v>0.54</v>
      </c>
    </row>
    <row r="9019" spans="1:5">
      <c r="A9019" t="s">
        <v>39714</v>
      </c>
      <c r="B9019" t="s">
        <v>23165</v>
      </c>
      <c r="C9019">
        <v>0</v>
      </c>
      <c r="D9019">
        <v>0.783631191803</v>
      </c>
      <c r="E9019">
        <v>0.54</v>
      </c>
    </row>
    <row r="9020" spans="1:5">
      <c r="A9020" t="s">
        <v>39715</v>
      </c>
      <c r="B9020" t="s">
        <v>4314</v>
      </c>
      <c r="C9020">
        <v>0</v>
      </c>
      <c r="D9020" t="s">
        <v>106</v>
      </c>
      <c r="E9020">
        <v>0.06</v>
      </c>
    </row>
    <row r="9021" spans="1:5">
      <c r="A9021" t="s">
        <v>39715</v>
      </c>
      <c r="B9021" t="s">
        <v>4315</v>
      </c>
      <c r="C9021">
        <f>0</f>
        <v>0</v>
      </c>
      <c r="D9021" t="s">
        <v>106</v>
      </c>
      <c r="E9021">
        <v>0.06</v>
      </c>
    </row>
    <row r="9022" spans="1:5">
      <c r="A9022" t="s">
        <v>39716</v>
      </c>
      <c r="B9022" t="s">
        <v>22395</v>
      </c>
      <c r="C9022">
        <v>0</v>
      </c>
      <c r="D9022" t="s">
        <v>106</v>
      </c>
      <c r="E9022">
        <v>21.42</v>
      </c>
    </row>
    <row r="9023" spans="1:5">
      <c r="A9023" t="s">
        <v>39716</v>
      </c>
      <c r="B9023" t="s">
        <v>22393</v>
      </c>
      <c r="C9023">
        <v>0</v>
      </c>
      <c r="D9023" t="s">
        <v>106</v>
      </c>
      <c r="E9023">
        <v>21.42</v>
      </c>
    </row>
    <row r="9024" spans="1:5">
      <c r="A9024" t="s">
        <v>39717</v>
      </c>
      <c r="B9024" t="s">
        <v>26054</v>
      </c>
      <c r="C9024">
        <v>0.67953170967599996</v>
      </c>
      <c r="D9024">
        <v>0.78727597043300002</v>
      </c>
      <c r="E9024">
        <v>12.048</v>
      </c>
    </row>
    <row r="9025" spans="1:5">
      <c r="A9025" t="s">
        <v>39717</v>
      </c>
      <c r="B9025" t="s">
        <v>26055</v>
      </c>
      <c r="C9025">
        <v>0.20939371470099999</v>
      </c>
      <c r="D9025">
        <v>0.78727597043300002</v>
      </c>
      <c r="E9025">
        <v>12.048</v>
      </c>
    </row>
    <row r="9026" spans="1:5">
      <c r="A9026" t="s">
        <v>39718</v>
      </c>
      <c r="B9026" t="s">
        <v>19612</v>
      </c>
      <c r="C9026">
        <f>0</f>
        <v>0</v>
      </c>
      <c r="D9026" t="s">
        <v>106</v>
      </c>
      <c r="E9026">
        <v>17.100000000000001</v>
      </c>
    </row>
    <row r="9027" spans="1:5">
      <c r="A9027" t="s">
        <v>39718</v>
      </c>
      <c r="B9027" t="s">
        <v>19614</v>
      </c>
      <c r="C9027">
        <v>0</v>
      </c>
      <c r="D9027" t="s">
        <v>106</v>
      </c>
      <c r="E9027">
        <v>17.100000000000001</v>
      </c>
    </row>
    <row r="9028" spans="1:5">
      <c r="A9028" t="s">
        <v>39718</v>
      </c>
      <c r="B9028" t="s">
        <v>19613</v>
      </c>
      <c r="C9028">
        <v>0</v>
      </c>
      <c r="D9028" t="s">
        <v>106</v>
      </c>
      <c r="E9028">
        <v>17.100000000000001</v>
      </c>
    </row>
    <row r="9029" spans="1:5">
      <c r="A9029" t="s">
        <v>39719</v>
      </c>
      <c r="B9029" t="s">
        <v>39720</v>
      </c>
      <c r="C9029">
        <f>0</f>
        <v>0</v>
      </c>
      <c r="D9029" t="s">
        <v>106</v>
      </c>
      <c r="E9029">
        <v>5.2380000000000004</v>
      </c>
    </row>
    <row r="9030" spans="1:5">
      <c r="A9030" t="s">
        <v>39719</v>
      </c>
      <c r="B9030" t="s">
        <v>39721</v>
      </c>
      <c r="C9030">
        <f>0</f>
        <v>0</v>
      </c>
      <c r="D9030" t="s">
        <v>106</v>
      </c>
      <c r="E9030">
        <v>5.2380000000000004</v>
      </c>
    </row>
    <row r="9031" spans="1:5">
      <c r="A9031" t="s">
        <v>39719</v>
      </c>
      <c r="B9031" t="s">
        <v>39722</v>
      </c>
      <c r="C9031">
        <v>0</v>
      </c>
      <c r="D9031" t="s">
        <v>106</v>
      </c>
      <c r="E9031">
        <v>5.2380000000000004</v>
      </c>
    </row>
    <row r="9032" spans="1:5">
      <c r="A9032" t="s">
        <v>39719</v>
      </c>
      <c r="B9032" t="s">
        <v>39723</v>
      </c>
      <c r="C9032">
        <f>0</f>
        <v>0</v>
      </c>
      <c r="D9032" t="s">
        <v>106</v>
      </c>
      <c r="E9032">
        <v>5.2380000000000004</v>
      </c>
    </row>
    <row r="9033" spans="1:5">
      <c r="A9033" t="s">
        <v>39719</v>
      </c>
      <c r="B9033" t="s">
        <v>39724</v>
      </c>
      <c r="C9033">
        <v>0</v>
      </c>
      <c r="D9033" t="s">
        <v>106</v>
      </c>
      <c r="E9033">
        <v>5.2380000000000004</v>
      </c>
    </row>
    <row r="9034" spans="1:5">
      <c r="A9034" t="s">
        <v>39725</v>
      </c>
      <c r="B9034" t="s">
        <v>4254</v>
      </c>
      <c r="C9034">
        <v>0</v>
      </c>
      <c r="D9034" t="s">
        <v>106</v>
      </c>
      <c r="E9034">
        <v>24</v>
      </c>
    </row>
    <row r="9035" spans="1:5">
      <c r="A9035" t="s">
        <v>39725</v>
      </c>
      <c r="B9035" t="s">
        <v>4256</v>
      </c>
      <c r="C9035">
        <v>0</v>
      </c>
      <c r="D9035" t="s">
        <v>106</v>
      </c>
      <c r="E9035">
        <v>24</v>
      </c>
    </row>
    <row r="9036" spans="1:5">
      <c r="A9036" t="s">
        <v>39725</v>
      </c>
      <c r="B9036" t="s">
        <v>4257</v>
      </c>
      <c r="C9036">
        <f>0</f>
        <v>0</v>
      </c>
      <c r="D9036" t="s">
        <v>106</v>
      </c>
      <c r="E9036">
        <v>24</v>
      </c>
    </row>
    <row r="9037" spans="1:5">
      <c r="A9037" t="s">
        <v>39725</v>
      </c>
      <c r="B9037" t="s">
        <v>4255</v>
      </c>
      <c r="C9037">
        <v>0</v>
      </c>
      <c r="D9037" t="s">
        <v>106</v>
      </c>
      <c r="E9037">
        <v>24</v>
      </c>
    </row>
    <row r="9038" spans="1:5">
      <c r="A9038" t="s">
        <v>39725</v>
      </c>
      <c r="B9038" t="s">
        <v>4258</v>
      </c>
      <c r="C9038">
        <v>0</v>
      </c>
      <c r="D9038" t="s">
        <v>106</v>
      </c>
      <c r="E9038">
        <v>24</v>
      </c>
    </row>
    <row r="9039" spans="1:5">
      <c r="A9039" t="s">
        <v>39726</v>
      </c>
      <c r="B9039" t="s">
        <v>31754</v>
      </c>
      <c r="C9039">
        <f>0</f>
        <v>0</v>
      </c>
      <c r="D9039" t="s">
        <v>106</v>
      </c>
      <c r="E9039">
        <v>7.8719999999999999</v>
      </c>
    </row>
    <row r="9040" spans="1:5">
      <c r="A9040" t="s">
        <v>39726</v>
      </c>
      <c r="B9040" t="s">
        <v>31753</v>
      </c>
      <c r="C9040">
        <v>0</v>
      </c>
      <c r="D9040" t="s">
        <v>106</v>
      </c>
      <c r="E9040">
        <v>7.8719999999999999</v>
      </c>
    </row>
    <row r="9041" spans="1:5">
      <c r="A9041" t="s">
        <v>39726</v>
      </c>
      <c r="B9041" t="s">
        <v>31757</v>
      </c>
      <c r="C9041">
        <f>0</f>
        <v>0</v>
      </c>
      <c r="D9041" t="s">
        <v>106</v>
      </c>
      <c r="E9041">
        <v>7.8719999999999999</v>
      </c>
    </row>
    <row r="9042" spans="1:5">
      <c r="A9042" t="s">
        <v>39727</v>
      </c>
      <c r="B9042" t="s">
        <v>39728</v>
      </c>
      <c r="C9042">
        <v>3.08244838372E-2</v>
      </c>
      <c r="D9042">
        <v>0.84210548111200001</v>
      </c>
      <c r="E9042">
        <v>1.764</v>
      </c>
    </row>
    <row r="9043" spans="1:5">
      <c r="A9043" t="s">
        <v>39727</v>
      </c>
      <c r="B9043" t="s">
        <v>39729</v>
      </c>
      <c r="C9043">
        <f>0</f>
        <v>0</v>
      </c>
      <c r="D9043">
        <v>0.84210548111200001</v>
      </c>
      <c r="E9043">
        <v>1.764</v>
      </c>
    </row>
    <row r="9044" spans="1:5">
      <c r="A9044" t="s">
        <v>39727</v>
      </c>
      <c r="B9044" t="s">
        <v>39730</v>
      </c>
      <c r="C9044">
        <v>0.66868020399799999</v>
      </c>
      <c r="D9044">
        <v>0.84210548111200001</v>
      </c>
      <c r="E9044">
        <v>1.764</v>
      </c>
    </row>
    <row r="9045" spans="1:5">
      <c r="A9045" t="s">
        <v>39727</v>
      </c>
      <c r="B9045" t="s">
        <v>39731</v>
      </c>
      <c r="C9045">
        <v>0</v>
      </c>
      <c r="D9045">
        <v>0.84210548111200001</v>
      </c>
      <c r="E9045">
        <v>1.764</v>
      </c>
    </row>
    <row r="9046" spans="1:5">
      <c r="A9046" t="s">
        <v>39727</v>
      </c>
      <c r="B9046" t="s">
        <v>39732</v>
      </c>
      <c r="C9046">
        <v>0</v>
      </c>
      <c r="D9046">
        <v>0.84210548111200001</v>
      </c>
      <c r="E9046">
        <v>1.764</v>
      </c>
    </row>
    <row r="9047" spans="1:5">
      <c r="A9047" t="s">
        <v>39733</v>
      </c>
      <c r="B9047" t="s">
        <v>13938</v>
      </c>
      <c r="C9047">
        <v>0</v>
      </c>
      <c r="D9047" t="s">
        <v>106</v>
      </c>
      <c r="E9047">
        <v>0.61799999999999999</v>
      </c>
    </row>
    <row r="9048" spans="1:5">
      <c r="A9048" t="s">
        <v>39733</v>
      </c>
      <c r="B9048" t="s">
        <v>13937</v>
      </c>
      <c r="C9048">
        <f>0</f>
        <v>0</v>
      </c>
      <c r="D9048" t="s">
        <v>106</v>
      </c>
      <c r="E9048">
        <v>0.61799999999999999</v>
      </c>
    </row>
    <row r="9049" spans="1:5">
      <c r="A9049" t="s">
        <v>39733</v>
      </c>
      <c r="B9049" t="s">
        <v>13940</v>
      </c>
      <c r="C9049">
        <v>0</v>
      </c>
      <c r="D9049" t="s">
        <v>106</v>
      </c>
      <c r="E9049">
        <v>0.61799999999999999</v>
      </c>
    </row>
    <row r="9050" spans="1:5">
      <c r="A9050" t="s">
        <v>39733</v>
      </c>
      <c r="B9050" t="s">
        <v>13939</v>
      </c>
      <c r="C9050">
        <f>0</f>
        <v>0</v>
      </c>
      <c r="D9050" t="s">
        <v>106</v>
      </c>
      <c r="E9050">
        <v>0.61799999999999999</v>
      </c>
    </row>
    <row r="9051" spans="1:5">
      <c r="A9051" t="s">
        <v>39734</v>
      </c>
      <c r="B9051" t="s">
        <v>10437</v>
      </c>
      <c r="C9051">
        <v>0.17069152939000001</v>
      </c>
      <c r="D9051">
        <v>0.99153436233299996</v>
      </c>
      <c r="E9051">
        <v>10.715999999999999</v>
      </c>
    </row>
    <row r="9052" spans="1:5">
      <c r="A9052" t="s">
        <v>39734</v>
      </c>
      <c r="B9052" t="s">
        <v>10442</v>
      </c>
      <c r="C9052">
        <v>5.7408854672E-2</v>
      </c>
      <c r="D9052">
        <v>0.99153436233299996</v>
      </c>
      <c r="E9052">
        <v>10.715999999999999</v>
      </c>
    </row>
    <row r="9053" spans="1:5">
      <c r="A9053" t="s">
        <v>39734</v>
      </c>
      <c r="B9053" t="s">
        <v>10441</v>
      </c>
      <c r="C9053">
        <v>0.40648132266600001</v>
      </c>
      <c r="D9053">
        <v>0.99153436233299996</v>
      </c>
      <c r="E9053">
        <v>10.715999999999999</v>
      </c>
    </row>
    <row r="9054" spans="1:5">
      <c r="A9054" t="s">
        <v>39734</v>
      </c>
      <c r="B9054" t="s">
        <v>10440</v>
      </c>
      <c r="C9054">
        <v>0.53696809676400004</v>
      </c>
      <c r="D9054">
        <v>0.99153436233299996</v>
      </c>
      <c r="E9054">
        <v>10.715999999999999</v>
      </c>
    </row>
    <row r="9055" spans="1:5">
      <c r="A9055" t="s">
        <v>39735</v>
      </c>
      <c r="B9055" t="s">
        <v>32134</v>
      </c>
      <c r="C9055">
        <v>0</v>
      </c>
      <c r="D9055" t="s">
        <v>106</v>
      </c>
      <c r="E9055">
        <v>24</v>
      </c>
    </row>
    <row r="9056" spans="1:5">
      <c r="A9056" t="s">
        <v>39735</v>
      </c>
      <c r="B9056" t="s">
        <v>32128</v>
      </c>
      <c r="C9056">
        <f>0</f>
        <v>0</v>
      </c>
      <c r="D9056" t="s">
        <v>106</v>
      </c>
      <c r="E9056">
        <v>24</v>
      </c>
    </row>
    <row r="9057" spans="1:5">
      <c r="A9057" t="s">
        <v>39735</v>
      </c>
      <c r="B9057" t="s">
        <v>32129</v>
      </c>
      <c r="C9057">
        <f>0</f>
        <v>0</v>
      </c>
      <c r="D9057" t="s">
        <v>106</v>
      </c>
      <c r="E9057">
        <v>24</v>
      </c>
    </row>
    <row r="9058" spans="1:5">
      <c r="A9058" t="s">
        <v>39735</v>
      </c>
      <c r="B9058" t="s">
        <v>32133</v>
      </c>
      <c r="C9058">
        <v>0</v>
      </c>
      <c r="D9058" t="s">
        <v>106</v>
      </c>
      <c r="E9058">
        <v>24</v>
      </c>
    </row>
    <row r="9059" spans="1:5">
      <c r="A9059" t="s">
        <v>39735</v>
      </c>
      <c r="B9059" t="s">
        <v>32132</v>
      </c>
      <c r="C9059">
        <v>0</v>
      </c>
      <c r="D9059" t="s">
        <v>106</v>
      </c>
      <c r="E9059">
        <v>24</v>
      </c>
    </row>
    <row r="9060" spans="1:5">
      <c r="A9060" t="s">
        <v>39736</v>
      </c>
      <c r="B9060" t="s">
        <v>9304</v>
      </c>
      <c r="C9060">
        <v>0.78506535322100002</v>
      </c>
      <c r="D9060">
        <v>0.91467535322100002</v>
      </c>
      <c r="E9060">
        <v>4.6920000000000002</v>
      </c>
    </row>
    <row r="9061" spans="1:5">
      <c r="A9061" t="s">
        <v>39736</v>
      </c>
      <c r="B9061" t="s">
        <v>9305</v>
      </c>
      <c r="C9061">
        <v>0</v>
      </c>
      <c r="D9061">
        <v>0.91467535322100002</v>
      </c>
      <c r="E9061">
        <v>4.6920000000000002</v>
      </c>
    </row>
    <row r="9062" spans="1:5">
      <c r="A9062" t="s">
        <v>39737</v>
      </c>
      <c r="B9062" t="s">
        <v>16949</v>
      </c>
      <c r="C9062">
        <f>0</f>
        <v>0</v>
      </c>
      <c r="D9062">
        <v>0.93445567182699996</v>
      </c>
      <c r="E9062">
        <v>1.698</v>
      </c>
    </row>
    <row r="9063" spans="1:5">
      <c r="A9063" t="s">
        <v>39737</v>
      </c>
      <c r="B9063" t="s">
        <v>16954</v>
      </c>
      <c r="C9063">
        <f>0.205076947988</f>
        <v>0.205076947988</v>
      </c>
      <c r="D9063">
        <v>0.93445567182699996</v>
      </c>
      <c r="E9063">
        <v>1.698</v>
      </c>
    </row>
    <row r="9064" spans="1:5">
      <c r="A9064" t="s">
        <v>39737</v>
      </c>
      <c r="B9064" t="s">
        <v>16951</v>
      </c>
      <c r="C9064">
        <f>0</f>
        <v>0</v>
      </c>
      <c r="D9064">
        <v>0.93445567182699996</v>
      </c>
      <c r="E9064">
        <v>1.698</v>
      </c>
    </row>
    <row r="9065" spans="1:5">
      <c r="A9065" t="s">
        <v>39737</v>
      </c>
      <c r="B9065" t="s">
        <v>16950</v>
      </c>
      <c r="C9065">
        <f>0</f>
        <v>0</v>
      </c>
      <c r="D9065">
        <v>0.93445567182699996</v>
      </c>
      <c r="E9065">
        <v>1.698</v>
      </c>
    </row>
    <row r="9066" spans="1:5">
      <c r="A9066" t="s">
        <v>39737</v>
      </c>
      <c r="B9066" t="s">
        <v>16952</v>
      </c>
      <c r="C9066">
        <f>0.149859522519</f>
        <v>0.149859522519</v>
      </c>
      <c r="D9066">
        <v>0.93445567182699996</v>
      </c>
      <c r="E9066">
        <v>1.698</v>
      </c>
    </row>
    <row r="9067" spans="1:5">
      <c r="A9067" t="s">
        <v>39737</v>
      </c>
      <c r="B9067" t="s">
        <v>16955</v>
      </c>
      <c r="C9067">
        <v>0.61648276988899997</v>
      </c>
      <c r="D9067">
        <v>0.93445567182699996</v>
      </c>
      <c r="E9067">
        <v>1.698</v>
      </c>
    </row>
    <row r="9068" spans="1:5">
      <c r="A9068" t="s">
        <v>39737</v>
      </c>
      <c r="B9068" t="s">
        <v>16953</v>
      </c>
      <c r="C9068">
        <f>0</f>
        <v>0</v>
      </c>
      <c r="D9068">
        <v>0.93445567182699996</v>
      </c>
      <c r="E9068">
        <v>1.698</v>
      </c>
    </row>
    <row r="9069" spans="1:5">
      <c r="A9069" t="s">
        <v>39738</v>
      </c>
      <c r="B9069" t="s">
        <v>39739</v>
      </c>
      <c r="C9069">
        <v>0</v>
      </c>
      <c r="D9069" t="s">
        <v>106</v>
      </c>
      <c r="E9069">
        <v>1.6379999999999999</v>
      </c>
    </row>
    <row r="9070" spans="1:5">
      <c r="A9070" t="s">
        <v>39738</v>
      </c>
      <c r="B9070" t="s">
        <v>39740</v>
      </c>
      <c r="C9070">
        <v>0</v>
      </c>
      <c r="D9070" t="s">
        <v>106</v>
      </c>
      <c r="E9070">
        <v>1.6379999999999999</v>
      </c>
    </row>
    <row r="9071" spans="1:5">
      <c r="A9071" t="s">
        <v>39741</v>
      </c>
      <c r="B9071" t="s">
        <v>17866</v>
      </c>
      <c r="C9071">
        <f>0</f>
        <v>0</v>
      </c>
      <c r="D9071">
        <v>0.58325651335499995</v>
      </c>
      <c r="E9071">
        <v>24</v>
      </c>
    </row>
    <row r="9072" spans="1:5">
      <c r="A9072" t="s">
        <v>39741</v>
      </c>
      <c r="B9072" t="s">
        <v>17867</v>
      </c>
      <c r="C9072">
        <v>0.42324651335500002</v>
      </c>
      <c r="D9072">
        <v>0.58325651335499995</v>
      </c>
      <c r="E9072">
        <v>24</v>
      </c>
    </row>
    <row r="9073" spans="1:5">
      <c r="A9073" t="s">
        <v>39742</v>
      </c>
      <c r="B9073" t="s">
        <v>11949</v>
      </c>
      <c r="C9073">
        <f>0</f>
        <v>0</v>
      </c>
      <c r="D9073">
        <v>0.61941913787500003</v>
      </c>
      <c r="E9073">
        <v>16.494</v>
      </c>
    </row>
    <row r="9074" spans="1:5">
      <c r="A9074" t="s">
        <v>39742</v>
      </c>
      <c r="B9074" t="s">
        <v>11948</v>
      </c>
      <c r="C9074">
        <f>0.157915172727</f>
        <v>0.15791517272700001</v>
      </c>
      <c r="D9074">
        <v>0.61941913787500003</v>
      </c>
      <c r="E9074">
        <v>16.494</v>
      </c>
    </row>
    <row r="9075" spans="1:5">
      <c r="A9075" t="s">
        <v>39742</v>
      </c>
      <c r="B9075" t="s">
        <v>11950</v>
      </c>
      <c r="C9075">
        <v>0.32453376449499999</v>
      </c>
      <c r="D9075">
        <v>0.61941913787500003</v>
      </c>
      <c r="E9075">
        <v>16.494</v>
      </c>
    </row>
    <row r="9076" spans="1:5">
      <c r="A9076" t="s">
        <v>39743</v>
      </c>
      <c r="B9076" t="s">
        <v>39744</v>
      </c>
      <c r="C9076">
        <f>0.362529958845</f>
        <v>0.362529958845</v>
      </c>
      <c r="D9076">
        <v>0.836312143221</v>
      </c>
      <c r="E9076">
        <v>24</v>
      </c>
    </row>
    <row r="9077" spans="1:5">
      <c r="A9077" t="s">
        <v>39743</v>
      </c>
      <c r="B9077" t="s">
        <v>39745</v>
      </c>
      <c r="C9077">
        <v>0</v>
      </c>
      <c r="D9077">
        <v>0.836312143221</v>
      </c>
      <c r="E9077">
        <v>24</v>
      </c>
    </row>
    <row r="9078" spans="1:5">
      <c r="A9078" t="s">
        <v>39743</v>
      </c>
      <c r="B9078" t="s">
        <v>39746</v>
      </c>
      <c r="C9078">
        <v>0.64259602623699996</v>
      </c>
      <c r="D9078">
        <v>0.836312143221</v>
      </c>
      <c r="E9078">
        <v>24</v>
      </c>
    </row>
    <row r="9079" spans="1:5">
      <c r="A9079" t="s">
        <v>39743</v>
      </c>
      <c r="B9079" t="s">
        <v>39747</v>
      </c>
      <c r="C9079">
        <f>0</f>
        <v>0</v>
      </c>
      <c r="D9079">
        <v>0.836312143221</v>
      </c>
      <c r="E9079">
        <v>24</v>
      </c>
    </row>
    <row r="9080" spans="1:5">
      <c r="A9080" t="s">
        <v>39748</v>
      </c>
      <c r="B9080" t="s">
        <v>9654</v>
      </c>
      <c r="C9080">
        <v>0</v>
      </c>
      <c r="D9080">
        <v>0.88761081327199998</v>
      </c>
      <c r="E9080">
        <v>18.558</v>
      </c>
    </row>
    <row r="9081" spans="1:5">
      <c r="A9081" t="s">
        <v>39748</v>
      </c>
      <c r="B9081" t="s">
        <v>9659</v>
      </c>
      <c r="C9081">
        <v>7.2303865186000002E-2</v>
      </c>
      <c r="D9081">
        <v>0.88761081327199998</v>
      </c>
      <c r="E9081">
        <v>18.558</v>
      </c>
    </row>
    <row r="9082" spans="1:5">
      <c r="A9082" t="s">
        <v>39748</v>
      </c>
      <c r="B9082" t="s">
        <v>9657</v>
      </c>
      <c r="C9082">
        <v>0</v>
      </c>
      <c r="D9082">
        <v>0.88761081327199998</v>
      </c>
      <c r="E9082">
        <v>18.558</v>
      </c>
    </row>
    <row r="9083" spans="1:5">
      <c r="A9083" t="s">
        <v>39748</v>
      </c>
      <c r="B9083" t="s">
        <v>9653</v>
      </c>
      <c r="C9083">
        <v>0.73527876885999999</v>
      </c>
      <c r="D9083">
        <v>0.88761081327199998</v>
      </c>
      <c r="E9083">
        <v>18.558</v>
      </c>
    </row>
    <row r="9084" spans="1:5">
      <c r="A9084" t="s">
        <v>39748</v>
      </c>
      <c r="B9084" t="s">
        <v>9655</v>
      </c>
      <c r="C9084">
        <v>0</v>
      </c>
      <c r="D9084">
        <v>0.88761081327199998</v>
      </c>
      <c r="E9084">
        <v>18.558</v>
      </c>
    </row>
    <row r="9085" spans="1:5">
      <c r="A9085" t="s">
        <v>39748</v>
      </c>
      <c r="B9085" t="s">
        <v>9656</v>
      </c>
      <c r="C9085">
        <v>7.7609009738599993E-2</v>
      </c>
      <c r="D9085">
        <v>0.88761081327199998</v>
      </c>
      <c r="E9085">
        <v>18.558</v>
      </c>
    </row>
    <row r="9086" spans="1:5">
      <c r="A9086" t="s">
        <v>39748</v>
      </c>
      <c r="B9086" t="s">
        <v>9662</v>
      </c>
      <c r="C9086">
        <v>0</v>
      </c>
      <c r="D9086">
        <v>0.88761081327199998</v>
      </c>
      <c r="E9086">
        <v>18.558</v>
      </c>
    </row>
    <row r="9087" spans="1:5">
      <c r="A9087" t="s">
        <v>39748</v>
      </c>
      <c r="B9087" t="s">
        <v>9658</v>
      </c>
      <c r="C9087">
        <f>0</f>
        <v>0</v>
      </c>
      <c r="D9087">
        <v>0.88761081327199998</v>
      </c>
      <c r="E9087">
        <v>18.558</v>
      </c>
    </row>
    <row r="9088" spans="1:5">
      <c r="A9088" t="s">
        <v>39748</v>
      </c>
      <c r="B9088" t="s">
        <v>9660</v>
      </c>
      <c r="C9088">
        <v>0</v>
      </c>
      <c r="D9088">
        <v>0.88761081327199998</v>
      </c>
      <c r="E9088">
        <v>18.558</v>
      </c>
    </row>
    <row r="9089" spans="1:5">
      <c r="A9089" t="s">
        <v>39748</v>
      </c>
      <c r="B9089" t="s">
        <v>9661</v>
      </c>
      <c r="C9089">
        <f>0</f>
        <v>0</v>
      </c>
      <c r="D9089">
        <v>0.88761081327199998</v>
      </c>
      <c r="E9089">
        <v>18.558</v>
      </c>
    </row>
    <row r="9090" spans="1:5">
      <c r="A9090" t="s">
        <v>39749</v>
      </c>
      <c r="B9090" t="s">
        <v>28384</v>
      </c>
      <c r="C9090">
        <f>0</f>
        <v>0</v>
      </c>
      <c r="D9090" t="s">
        <v>106</v>
      </c>
      <c r="E9090">
        <v>18.138000000000002</v>
      </c>
    </row>
    <row r="9091" spans="1:5">
      <c r="A9091" t="s">
        <v>39749</v>
      </c>
      <c r="B9091" t="s">
        <v>28393</v>
      </c>
      <c r="C9091">
        <f>0</f>
        <v>0</v>
      </c>
      <c r="D9091" t="s">
        <v>106</v>
      </c>
      <c r="E9091">
        <v>18.138000000000002</v>
      </c>
    </row>
    <row r="9092" spans="1:5">
      <c r="A9092" t="s">
        <v>39749</v>
      </c>
      <c r="B9092" t="s">
        <v>28392</v>
      </c>
      <c r="C9092">
        <f>0</f>
        <v>0</v>
      </c>
      <c r="D9092" t="s">
        <v>106</v>
      </c>
      <c r="E9092">
        <v>18.138000000000002</v>
      </c>
    </row>
    <row r="9093" spans="1:5">
      <c r="A9093" t="s">
        <v>39749</v>
      </c>
      <c r="B9093" t="s">
        <v>28390</v>
      </c>
      <c r="C9093">
        <v>0</v>
      </c>
      <c r="D9093" t="s">
        <v>106</v>
      </c>
      <c r="E9093">
        <v>18.138000000000002</v>
      </c>
    </row>
    <row r="9094" spans="1:5">
      <c r="A9094" t="s">
        <v>39749</v>
      </c>
      <c r="B9094" t="s">
        <v>28388</v>
      </c>
      <c r="C9094">
        <v>0</v>
      </c>
      <c r="D9094" t="s">
        <v>106</v>
      </c>
      <c r="E9094">
        <v>18.138000000000002</v>
      </c>
    </row>
    <row r="9095" spans="1:5">
      <c r="A9095" t="s">
        <v>39749</v>
      </c>
      <c r="B9095" t="s">
        <v>28385</v>
      </c>
      <c r="C9095">
        <v>0</v>
      </c>
      <c r="D9095" t="s">
        <v>106</v>
      </c>
      <c r="E9095">
        <v>18.138000000000002</v>
      </c>
    </row>
    <row r="9096" spans="1:5">
      <c r="A9096" t="s">
        <v>39750</v>
      </c>
      <c r="B9096" t="s">
        <v>23566</v>
      </c>
      <c r="C9096">
        <v>0</v>
      </c>
      <c r="D9096" t="s">
        <v>106</v>
      </c>
      <c r="E9096">
        <v>5.1239999999999997</v>
      </c>
    </row>
    <row r="9097" spans="1:5">
      <c r="A9097" t="s">
        <v>39750</v>
      </c>
      <c r="B9097" t="s">
        <v>23567</v>
      </c>
      <c r="C9097">
        <v>0</v>
      </c>
      <c r="D9097" t="s">
        <v>106</v>
      </c>
      <c r="E9097">
        <v>5.1239999999999997</v>
      </c>
    </row>
    <row r="9098" spans="1:5">
      <c r="A9098" t="s">
        <v>39750</v>
      </c>
      <c r="B9098" t="s">
        <v>23569</v>
      </c>
      <c r="C9098">
        <v>0</v>
      </c>
      <c r="D9098" t="s">
        <v>106</v>
      </c>
      <c r="E9098">
        <v>5.1239999999999997</v>
      </c>
    </row>
    <row r="9099" spans="1:5">
      <c r="A9099" t="s">
        <v>39750</v>
      </c>
      <c r="B9099" t="s">
        <v>23570</v>
      </c>
      <c r="C9099">
        <f>0</f>
        <v>0</v>
      </c>
      <c r="D9099" t="s">
        <v>106</v>
      </c>
      <c r="E9099">
        <v>5.1239999999999997</v>
      </c>
    </row>
    <row r="9100" spans="1:5">
      <c r="A9100" t="s">
        <v>39750</v>
      </c>
      <c r="B9100" t="s">
        <v>23571</v>
      </c>
      <c r="C9100">
        <v>0</v>
      </c>
      <c r="D9100" t="s">
        <v>106</v>
      </c>
      <c r="E9100">
        <v>5.1239999999999997</v>
      </c>
    </row>
    <row r="9101" spans="1:5">
      <c r="A9101" t="s">
        <v>39750</v>
      </c>
      <c r="B9101" t="s">
        <v>23573</v>
      </c>
      <c r="C9101">
        <v>0</v>
      </c>
      <c r="D9101" t="s">
        <v>106</v>
      </c>
      <c r="E9101">
        <v>5.1239999999999997</v>
      </c>
    </row>
    <row r="9102" spans="1:5">
      <c r="A9102" t="s">
        <v>39750</v>
      </c>
      <c r="B9102" t="s">
        <v>23572</v>
      </c>
      <c r="C9102">
        <v>0</v>
      </c>
      <c r="D9102" t="s">
        <v>106</v>
      </c>
      <c r="E9102">
        <v>5.1239999999999997</v>
      </c>
    </row>
    <row r="9103" spans="1:5">
      <c r="A9103" t="s">
        <v>39751</v>
      </c>
      <c r="B9103" t="s">
        <v>39752</v>
      </c>
      <c r="C9103">
        <v>0</v>
      </c>
      <c r="D9103" t="s">
        <v>106</v>
      </c>
      <c r="E9103">
        <v>0.54</v>
      </c>
    </row>
    <row r="9104" spans="1:5">
      <c r="A9104" t="s">
        <v>39751</v>
      </c>
      <c r="B9104" t="s">
        <v>39753</v>
      </c>
      <c r="C9104">
        <f>0</f>
        <v>0</v>
      </c>
      <c r="D9104" t="s">
        <v>106</v>
      </c>
      <c r="E9104">
        <v>0.54</v>
      </c>
    </row>
    <row r="9105" spans="1:5">
      <c r="A9105" t="s">
        <v>39754</v>
      </c>
      <c r="B9105" t="s">
        <v>19852</v>
      </c>
      <c r="C9105">
        <f>0</f>
        <v>0</v>
      </c>
      <c r="D9105">
        <v>0.60478891448500005</v>
      </c>
      <c r="E9105">
        <v>24</v>
      </c>
    </row>
    <row r="9106" spans="1:5">
      <c r="A9106" t="s">
        <v>39754</v>
      </c>
      <c r="B9106" t="s">
        <v>19837</v>
      </c>
      <c r="C9106">
        <f>0.183406468837</f>
        <v>0.18340646883699999</v>
      </c>
      <c r="D9106">
        <v>0.60478891448500005</v>
      </c>
      <c r="E9106">
        <v>24</v>
      </c>
    </row>
    <row r="9107" spans="1:5">
      <c r="A9107" t="s">
        <v>39754</v>
      </c>
      <c r="B9107" t="s">
        <v>19839</v>
      </c>
      <c r="C9107">
        <f>0.153303849874</f>
        <v>0.153303849874</v>
      </c>
      <c r="D9107">
        <v>0.60478891448500005</v>
      </c>
      <c r="E9107">
        <v>24</v>
      </c>
    </row>
    <row r="9108" spans="1:5">
      <c r="A9108" t="s">
        <v>39754</v>
      </c>
      <c r="B9108" t="s">
        <v>19845</v>
      </c>
      <c r="C9108">
        <v>0</v>
      </c>
      <c r="D9108">
        <v>0.60478891448500005</v>
      </c>
      <c r="E9108">
        <v>24</v>
      </c>
    </row>
    <row r="9109" spans="1:5">
      <c r="A9109" t="s">
        <v>39754</v>
      </c>
      <c r="B9109" t="s">
        <v>19840</v>
      </c>
      <c r="C9109">
        <v>0</v>
      </c>
      <c r="D9109">
        <v>0.60478891448500005</v>
      </c>
      <c r="E9109">
        <v>24</v>
      </c>
    </row>
    <row r="9110" spans="1:5">
      <c r="A9110" t="s">
        <v>39754</v>
      </c>
      <c r="B9110" t="s">
        <v>19847</v>
      </c>
      <c r="C9110">
        <v>0</v>
      </c>
      <c r="D9110">
        <v>0.60478891448500005</v>
      </c>
      <c r="E9110">
        <v>24</v>
      </c>
    </row>
    <row r="9111" spans="1:5">
      <c r="A9111" t="s">
        <v>39755</v>
      </c>
      <c r="B9111" t="s">
        <v>3164</v>
      </c>
      <c r="C9111">
        <f>0.430773482214</f>
        <v>0.43077348221400003</v>
      </c>
      <c r="D9111">
        <v>0.67171230631400003</v>
      </c>
      <c r="E9111">
        <v>1.512</v>
      </c>
    </row>
    <row r="9112" spans="1:5">
      <c r="A9112" t="s">
        <v>39755</v>
      </c>
      <c r="B9112" t="s">
        <v>3163</v>
      </c>
      <c r="C9112">
        <f>0.255804971368</f>
        <v>0.25580497136800001</v>
      </c>
      <c r="D9112">
        <v>0.67171230631400003</v>
      </c>
      <c r="E9112">
        <v>1.512</v>
      </c>
    </row>
    <row r="9113" spans="1:5">
      <c r="A9113" t="s">
        <v>39756</v>
      </c>
      <c r="B9113" t="s">
        <v>33521</v>
      </c>
      <c r="C9113">
        <v>1.04818503853</v>
      </c>
      <c r="D9113">
        <v>0.95100287855200005</v>
      </c>
      <c r="E9113">
        <v>12.048</v>
      </c>
    </row>
    <row r="9114" spans="1:5">
      <c r="A9114" t="s">
        <v>39756</v>
      </c>
      <c r="B9114" t="s">
        <v>33519</v>
      </c>
      <c r="C9114">
        <f>0.00508874604832</f>
        <v>5.0887460483199998E-3</v>
      </c>
      <c r="D9114">
        <v>0.95100287855200005</v>
      </c>
      <c r="E9114">
        <v>12.048</v>
      </c>
    </row>
    <row r="9115" spans="1:5">
      <c r="A9115" t="s">
        <v>39756</v>
      </c>
      <c r="B9115" t="s">
        <v>33518</v>
      </c>
      <c r="C9115">
        <v>0.207188213915</v>
      </c>
      <c r="D9115">
        <v>0.95100287855200005</v>
      </c>
      <c r="E9115">
        <v>12.048</v>
      </c>
    </row>
    <row r="9116" spans="1:5">
      <c r="A9116" t="s">
        <v>39757</v>
      </c>
      <c r="B9116" t="s">
        <v>24113</v>
      </c>
      <c r="C9116">
        <f>0.164318607369</f>
        <v>0.164318607369</v>
      </c>
      <c r="D9116">
        <v>0.92976831950799999</v>
      </c>
      <c r="E9116">
        <v>4.4820000000000002</v>
      </c>
    </row>
    <row r="9117" spans="1:5">
      <c r="A9117" t="s">
        <v>39757</v>
      </c>
      <c r="B9117" t="s">
        <v>24123</v>
      </c>
      <c r="C9117">
        <v>0.67477032744200005</v>
      </c>
      <c r="D9117">
        <v>0.92976831950799999</v>
      </c>
      <c r="E9117">
        <v>4.4820000000000002</v>
      </c>
    </row>
    <row r="9118" spans="1:5">
      <c r="A9118" t="s">
        <v>39757</v>
      </c>
      <c r="B9118" t="s">
        <v>24121</v>
      </c>
      <c r="C9118">
        <v>0.26531647489499999</v>
      </c>
      <c r="D9118">
        <v>0.92976831950799999</v>
      </c>
      <c r="E9118">
        <v>4.4820000000000002</v>
      </c>
    </row>
    <row r="9119" spans="1:5">
      <c r="A9119" t="s">
        <v>39758</v>
      </c>
      <c r="B9119" t="s">
        <v>11086</v>
      </c>
      <c r="C9119">
        <f>0.798718507841</f>
        <v>0.79871850784099996</v>
      </c>
      <c r="D9119">
        <v>0.99996247632799995</v>
      </c>
      <c r="E9119">
        <v>2.88</v>
      </c>
    </row>
    <row r="9120" spans="1:5">
      <c r="A9120" t="s">
        <v>39758</v>
      </c>
      <c r="B9120" t="s">
        <v>11092</v>
      </c>
      <c r="C9120">
        <f>0.159573904283</f>
        <v>0.159573904283</v>
      </c>
      <c r="D9120">
        <v>0.99996247632799995</v>
      </c>
      <c r="E9120">
        <v>2.88</v>
      </c>
    </row>
    <row r="9121" spans="1:5">
      <c r="A9121" t="s">
        <v>39758</v>
      </c>
      <c r="B9121" t="s">
        <v>11089</v>
      </c>
      <c r="C9121">
        <v>0.19080045741400001</v>
      </c>
      <c r="D9121">
        <v>0.99996247632799995</v>
      </c>
      <c r="E9121">
        <v>2.88</v>
      </c>
    </row>
    <row r="9122" spans="1:5">
      <c r="A9122" t="s">
        <v>39758</v>
      </c>
      <c r="B9122" t="s">
        <v>11088</v>
      </c>
      <c r="C9122">
        <f>0.417255056956</f>
        <v>0.41725505695600001</v>
      </c>
      <c r="D9122">
        <v>0.99996247632799995</v>
      </c>
      <c r="E9122">
        <v>2.88</v>
      </c>
    </row>
    <row r="9123" spans="1:5">
      <c r="A9123" t="s">
        <v>39758</v>
      </c>
      <c r="B9123" t="s">
        <v>11090</v>
      </c>
      <c r="C9123">
        <v>1.09954408204</v>
      </c>
      <c r="D9123">
        <v>0.99996247632799995</v>
      </c>
      <c r="E9123">
        <v>2.88</v>
      </c>
    </row>
    <row r="9124" spans="1:5">
      <c r="A9124" t="s">
        <v>39758</v>
      </c>
      <c r="B9124" t="s">
        <v>11091</v>
      </c>
      <c r="C9124">
        <f>0.319144589576</f>
        <v>0.319144589576</v>
      </c>
      <c r="D9124">
        <v>0.99996247632799995</v>
      </c>
      <c r="E9124">
        <v>2.88</v>
      </c>
    </row>
    <row r="9125" spans="1:5">
      <c r="A9125" t="s">
        <v>39759</v>
      </c>
      <c r="B9125" t="s">
        <v>39760</v>
      </c>
      <c r="C9125">
        <f>0</f>
        <v>0</v>
      </c>
      <c r="D9125">
        <v>0.84699285290000004</v>
      </c>
      <c r="E9125">
        <v>12.39</v>
      </c>
    </row>
    <row r="9126" spans="1:5">
      <c r="A9126" t="s">
        <v>39759</v>
      </c>
      <c r="B9126" t="s">
        <v>39761</v>
      </c>
      <c r="C9126">
        <f>0.322153515826</f>
        <v>0.32215351582599999</v>
      </c>
      <c r="D9126">
        <v>0.84699285290000004</v>
      </c>
      <c r="E9126">
        <v>12.39</v>
      </c>
    </row>
    <row r="9127" spans="1:5">
      <c r="A9127" t="s">
        <v>39759</v>
      </c>
      <c r="B9127" t="s">
        <v>39762</v>
      </c>
      <c r="C9127">
        <f>0.390913330868</f>
        <v>0.39091333086800001</v>
      </c>
      <c r="D9127">
        <v>0.84699285290000004</v>
      </c>
      <c r="E9127">
        <v>12.39</v>
      </c>
    </row>
    <row r="9128" spans="1:5">
      <c r="A9128" t="s">
        <v>39759</v>
      </c>
      <c r="B9128" t="s">
        <v>39763</v>
      </c>
      <c r="C9128">
        <f>0</f>
        <v>0</v>
      </c>
      <c r="D9128">
        <v>0.84699285290000004</v>
      </c>
      <c r="E9128">
        <v>12.39</v>
      </c>
    </row>
    <row r="9129" spans="1:5">
      <c r="A9129" t="s">
        <v>39759</v>
      </c>
      <c r="B9129" t="s">
        <v>39764</v>
      </c>
      <c r="C9129">
        <f>0</f>
        <v>0</v>
      </c>
      <c r="D9129">
        <v>0.84699285290000004</v>
      </c>
      <c r="E9129">
        <v>12.39</v>
      </c>
    </row>
    <row r="9130" spans="1:5">
      <c r="A9130" t="s">
        <v>39759</v>
      </c>
      <c r="B9130" t="s">
        <v>39765</v>
      </c>
      <c r="C9130">
        <f>0</f>
        <v>0</v>
      </c>
      <c r="D9130">
        <v>0.84699285290000004</v>
      </c>
      <c r="E9130">
        <v>12.39</v>
      </c>
    </row>
    <row r="9131" spans="1:5">
      <c r="A9131" t="s">
        <v>39759</v>
      </c>
      <c r="B9131" t="s">
        <v>39766</v>
      </c>
      <c r="C9131">
        <f>0</f>
        <v>0</v>
      </c>
      <c r="D9131">
        <v>0.84699285290000004</v>
      </c>
      <c r="E9131">
        <v>12.39</v>
      </c>
    </row>
    <row r="9132" spans="1:5">
      <c r="A9132" t="s">
        <v>39767</v>
      </c>
      <c r="B9132" t="s">
        <v>20640</v>
      </c>
      <c r="C9132">
        <f>0.423445338485</f>
        <v>0.42344533848499999</v>
      </c>
      <c r="D9132">
        <v>0.90658385791999996</v>
      </c>
      <c r="E9132">
        <v>23.754000000000001</v>
      </c>
    </row>
    <row r="9133" spans="1:5">
      <c r="A9133" t="s">
        <v>39767</v>
      </c>
      <c r="B9133" t="s">
        <v>20639</v>
      </c>
      <c r="C9133">
        <v>0</v>
      </c>
      <c r="D9133">
        <v>0.90658385791999996</v>
      </c>
      <c r="E9133">
        <v>23.754000000000001</v>
      </c>
    </row>
    <row r="9134" spans="1:5">
      <c r="A9134" t="s">
        <v>39767</v>
      </c>
      <c r="B9134" t="s">
        <v>20642</v>
      </c>
      <c r="C9134">
        <v>0</v>
      </c>
      <c r="D9134">
        <v>0.90658385791999996</v>
      </c>
      <c r="E9134">
        <v>23.754000000000001</v>
      </c>
    </row>
    <row r="9135" spans="1:5">
      <c r="A9135" t="s">
        <v>39767</v>
      </c>
      <c r="B9135" t="s">
        <v>20648</v>
      </c>
      <c r="C9135">
        <v>0</v>
      </c>
      <c r="D9135">
        <v>0.90658385791999996</v>
      </c>
      <c r="E9135">
        <v>23.754000000000001</v>
      </c>
    </row>
    <row r="9136" spans="1:5">
      <c r="A9136" t="s">
        <v>39767</v>
      </c>
      <c r="B9136" t="s">
        <v>20641</v>
      </c>
      <c r="C9136">
        <v>0</v>
      </c>
      <c r="D9136">
        <v>0.90658385791999996</v>
      </c>
      <c r="E9136">
        <v>23.754000000000001</v>
      </c>
    </row>
    <row r="9137" spans="1:5">
      <c r="A9137" t="s">
        <v>39767</v>
      </c>
      <c r="B9137" t="s">
        <v>20646</v>
      </c>
      <c r="C9137">
        <v>0.733059647318</v>
      </c>
      <c r="D9137">
        <v>0.90658385791999996</v>
      </c>
      <c r="E9137">
        <v>23.754000000000001</v>
      </c>
    </row>
    <row r="9138" spans="1:5">
      <c r="A9138" t="s">
        <v>39767</v>
      </c>
      <c r="B9138" t="s">
        <v>20644</v>
      </c>
      <c r="C9138">
        <f>0</f>
        <v>0</v>
      </c>
      <c r="D9138">
        <v>0.90658385791999996</v>
      </c>
      <c r="E9138">
        <v>23.754000000000001</v>
      </c>
    </row>
    <row r="9139" spans="1:5">
      <c r="A9139" t="s">
        <v>39767</v>
      </c>
      <c r="B9139" t="s">
        <v>20650</v>
      </c>
      <c r="C9139">
        <f>0</f>
        <v>0</v>
      </c>
      <c r="D9139">
        <v>0.90658385791999996</v>
      </c>
      <c r="E9139">
        <v>23.754000000000001</v>
      </c>
    </row>
    <row r="9140" spans="1:5">
      <c r="A9140" t="s">
        <v>39768</v>
      </c>
      <c r="B9140" t="s">
        <v>39769</v>
      </c>
      <c r="C9140">
        <f>0</f>
        <v>0</v>
      </c>
      <c r="D9140">
        <v>0.90885923583999995</v>
      </c>
      <c r="E9140">
        <v>5.7</v>
      </c>
    </row>
    <row r="9141" spans="1:5">
      <c r="A9141" t="s">
        <v>39768</v>
      </c>
      <c r="B9141" t="s">
        <v>39770</v>
      </c>
      <c r="C9141">
        <v>0</v>
      </c>
      <c r="D9141">
        <v>0.90885923583999995</v>
      </c>
      <c r="E9141">
        <v>5.7</v>
      </c>
    </row>
    <row r="9142" spans="1:5">
      <c r="A9142" t="s">
        <v>39768</v>
      </c>
      <c r="B9142" t="s">
        <v>39771</v>
      </c>
      <c r="C9142">
        <v>0.48382727182800001</v>
      </c>
      <c r="D9142">
        <v>0.90885923583999995</v>
      </c>
      <c r="E9142">
        <v>5.7</v>
      </c>
    </row>
    <row r="9143" spans="1:5">
      <c r="A9143" t="s">
        <v>39768</v>
      </c>
      <c r="B9143" t="s">
        <v>39772</v>
      </c>
      <c r="C9143">
        <f>0.586330884812</f>
        <v>0.58633088481200002</v>
      </c>
      <c r="D9143">
        <v>0.90885923583999995</v>
      </c>
      <c r="E9143">
        <v>5.7</v>
      </c>
    </row>
    <row r="9144" spans="1:5">
      <c r="A9144" t="s">
        <v>39768</v>
      </c>
      <c r="B9144" t="s">
        <v>39773</v>
      </c>
      <c r="C9144">
        <v>0</v>
      </c>
      <c r="D9144">
        <v>0.90885923583999995</v>
      </c>
      <c r="E9144">
        <v>5.7</v>
      </c>
    </row>
    <row r="9145" spans="1:5">
      <c r="A9145" t="s">
        <v>39774</v>
      </c>
      <c r="B9145" t="s">
        <v>39775</v>
      </c>
      <c r="C9145">
        <v>0</v>
      </c>
      <c r="D9145" t="s">
        <v>106</v>
      </c>
      <c r="E9145">
        <v>24</v>
      </c>
    </row>
    <row r="9146" spans="1:5">
      <c r="A9146" t="s">
        <v>39774</v>
      </c>
      <c r="B9146" t="s">
        <v>39776</v>
      </c>
      <c r="C9146">
        <v>0</v>
      </c>
      <c r="D9146" t="s">
        <v>106</v>
      </c>
      <c r="E9146">
        <v>24</v>
      </c>
    </row>
    <row r="9147" spans="1:5">
      <c r="A9147" t="s">
        <v>39774</v>
      </c>
      <c r="B9147" t="s">
        <v>39777</v>
      </c>
      <c r="C9147">
        <f>0</f>
        <v>0</v>
      </c>
      <c r="D9147" t="s">
        <v>106</v>
      </c>
      <c r="E9147">
        <v>24</v>
      </c>
    </row>
    <row r="9148" spans="1:5">
      <c r="A9148" t="s">
        <v>39778</v>
      </c>
      <c r="B9148" t="s">
        <v>9648</v>
      </c>
      <c r="C9148">
        <v>0.63862992641100003</v>
      </c>
      <c r="D9148">
        <v>0.98481346659799995</v>
      </c>
      <c r="E9148">
        <v>4.4820000000000002</v>
      </c>
    </row>
    <row r="9149" spans="1:5">
      <c r="A9149" t="s">
        <v>39778</v>
      </c>
      <c r="B9149" t="s">
        <v>9650</v>
      </c>
      <c r="C9149">
        <f>0.855152282223</f>
        <v>0.85515228222299999</v>
      </c>
      <c r="D9149">
        <v>0.98481346659799995</v>
      </c>
      <c r="E9149">
        <v>4.4820000000000002</v>
      </c>
    </row>
    <row r="9150" spans="1:5">
      <c r="A9150" t="s">
        <v>39778</v>
      </c>
      <c r="B9150" t="s">
        <v>9647</v>
      </c>
      <c r="C9150">
        <v>0.54097457140899996</v>
      </c>
      <c r="D9150">
        <v>0.98481346659799995</v>
      </c>
      <c r="E9150">
        <v>4.4820000000000002</v>
      </c>
    </row>
    <row r="9151" spans="1:5">
      <c r="A9151" t="s">
        <v>39778</v>
      </c>
      <c r="B9151" t="s">
        <v>9649</v>
      </c>
      <c r="C9151">
        <f>-1.49082250243</f>
        <v>-1.4908225024299999</v>
      </c>
      <c r="D9151">
        <v>0.98481346659799995</v>
      </c>
      <c r="E9151">
        <v>4.4820000000000002</v>
      </c>
    </row>
    <row r="9152" spans="1:5">
      <c r="A9152" t="s">
        <v>39778</v>
      </c>
      <c r="B9152" t="s">
        <v>9651</v>
      </c>
      <c r="C9152">
        <v>1.22620421075</v>
      </c>
      <c r="D9152">
        <v>0.98481346659799995</v>
      </c>
      <c r="E9152">
        <v>4.4820000000000002</v>
      </c>
    </row>
    <row r="9153" spans="1:5">
      <c r="A9153" t="s">
        <v>39779</v>
      </c>
      <c r="B9153" t="s">
        <v>30271</v>
      </c>
      <c r="C9153">
        <v>0</v>
      </c>
      <c r="D9153" t="s">
        <v>106</v>
      </c>
      <c r="E9153">
        <v>0.34799999999999998</v>
      </c>
    </row>
    <row r="9154" spans="1:5">
      <c r="A9154" t="s">
        <v>39779</v>
      </c>
      <c r="B9154" t="s">
        <v>30270</v>
      </c>
      <c r="C9154">
        <v>0</v>
      </c>
      <c r="D9154" t="s">
        <v>106</v>
      </c>
      <c r="E9154">
        <v>0.34799999999999998</v>
      </c>
    </row>
    <row r="9155" spans="1:5">
      <c r="A9155" t="s">
        <v>39779</v>
      </c>
      <c r="B9155" t="s">
        <v>30274</v>
      </c>
      <c r="C9155">
        <f>0</f>
        <v>0</v>
      </c>
      <c r="D9155" t="s">
        <v>106</v>
      </c>
      <c r="E9155">
        <v>0.34799999999999998</v>
      </c>
    </row>
    <row r="9156" spans="1:5">
      <c r="A9156" t="s">
        <v>39780</v>
      </c>
      <c r="B9156" t="s">
        <v>39781</v>
      </c>
      <c r="C9156">
        <f>0</f>
        <v>0</v>
      </c>
      <c r="D9156">
        <v>0.84580615979999996</v>
      </c>
      <c r="E9156">
        <v>12.39</v>
      </c>
    </row>
    <row r="9157" spans="1:5">
      <c r="A9157" t="s">
        <v>39780</v>
      </c>
      <c r="B9157" t="s">
        <v>39782</v>
      </c>
      <c r="C9157">
        <f>0</f>
        <v>0</v>
      </c>
      <c r="D9157">
        <v>0.84580615979999996</v>
      </c>
      <c r="E9157">
        <v>12.39</v>
      </c>
    </row>
    <row r="9158" spans="1:5">
      <c r="A9158" t="s">
        <v>39780</v>
      </c>
      <c r="B9158" t="s">
        <v>39783</v>
      </c>
      <c r="C9158">
        <v>0</v>
      </c>
      <c r="D9158">
        <v>0.84580615979999996</v>
      </c>
      <c r="E9158">
        <v>12.39</v>
      </c>
    </row>
    <row r="9159" spans="1:5">
      <c r="A9159" t="s">
        <v>39780</v>
      </c>
      <c r="B9159" t="s">
        <v>39784</v>
      </c>
      <c r="C9159">
        <f>0.5321961598</f>
        <v>0.53219615980000001</v>
      </c>
      <c r="D9159">
        <v>0.84580615979999996</v>
      </c>
      <c r="E9159">
        <v>12.39</v>
      </c>
    </row>
    <row r="9160" spans="1:5">
      <c r="A9160" t="s">
        <v>39780</v>
      </c>
      <c r="B9160" t="s">
        <v>39785</v>
      </c>
      <c r="C9160">
        <v>0</v>
      </c>
      <c r="D9160">
        <v>0.84580615979999996</v>
      </c>
      <c r="E9160">
        <v>12.39</v>
      </c>
    </row>
    <row r="9161" spans="1:5">
      <c r="A9161" t="s">
        <v>39780</v>
      </c>
      <c r="B9161" t="s">
        <v>39786</v>
      </c>
      <c r="C9161">
        <v>0</v>
      </c>
      <c r="D9161">
        <v>0.84580615979999996</v>
      </c>
      <c r="E9161">
        <v>12.39</v>
      </c>
    </row>
    <row r="9162" spans="1:5">
      <c r="A9162" t="s">
        <v>39787</v>
      </c>
      <c r="B9162" t="s">
        <v>39788</v>
      </c>
      <c r="C9162">
        <f>0.994771268647</f>
        <v>0.99477126864700005</v>
      </c>
      <c r="D9162">
        <v>0.95822204649999998</v>
      </c>
      <c r="E9162">
        <v>0.504</v>
      </c>
    </row>
    <row r="9163" spans="1:5">
      <c r="A9163" t="s">
        <v>39787</v>
      </c>
      <c r="B9163" t="s">
        <v>39789</v>
      </c>
      <c r="C9163">
        <f>0.576253551866</f>
        <v>0.57625355186600002</v>
      </c>
      <c r="D9163">
        <v>0.95822204649999998</v>
      </c>
      <c r="E9163">
        <v>0.504</v>
      </c>
    </row>
    <row r="9164" spans="1:5">
      <c r="A9164" t="s">
        <v>39790</v>
      </c>
      <c r="B9164" t="s">
        <v>11197</v>
      </c>
      <c r="C9164">
        <f>0</f>
        <v>0</v>
      </c>
      <c r="D9164" t="s">
        <v>106</v>
      </c>
      <c r="E9164">
        <v>5.9340000000000002</v>
      </c>
    </row>
    <row r="9165" spans="1:5">
      <c r="A9165" t="s">
        <v>39790</v>
      </c>
      <c r="B9165" t="s">
        <v>11198</v>
      </c>
      <c r="C9165">
        <f>0</f>
        <v>0</v>
      </c>
      <c r="D9165" t="s">
        <v>106</v>
      </c>
      <c r="E9165">
        <v>5.9340000000000002</v>
      </c>
    </row>
    <row r="9166" spans="1:5">
      <c r="A9166" t="s">
        <v>39791</v>
      </c>
      <c r="B9166" t="s">
        <v>39792</v>
      </c>
      <c r="C9166">
        <f>0.483882478123</f>
        <v>0.483882478123</v>
      </c>
      <c r="D9166">
        <v>0.99917721364199996</v>
      </c>
      <c r="E9166">
        <v>7.6020000000000003</v>
      </c>
    </row>
    <row r="9167" spans="1:5">
      <c r="A9167" t="s">
        <v>39791</v>
      </c>
      <c r="B9167" t="s">
        <v>39793</v>
      </c>
      <c r="C9167">
        <f>0.00315332143679</f>
        <v>3.1533214367900002E-3</v>
      </c>
      <c r="D9167">
        <v>0.99917721364199996</v>
      </c>
      <c r="E9167">
        <v>7.6020000000000003</v>
      </c>
    </row>
    <row r="9168" spans="1:5">
      <c r="A9168" t="s">
        <v>39791</v>
      </c>
      <c r="B9168" t="s">
        <v>39794</v>
      </c>
      <c r="C9168">
        <v>0.47573204724200002</v>
      </c>
      <c r="D9168">
        <v>0.99917721364199996</v>
      </c>
      <c r="E9168">
        <v>7.6020000000000003</v>
      </c>
    </row>
    <row r="9169" spans="1:5">
      <c r="A9169" t="s">
        <v>39791</v>
      </c>
      <c r="B9169" t="s">
        <v>39795</v>
      </c>
      <c r="C9169">
        <v>0.46504717866200002</v>
      </c>
      <c r="D9169">
        <v>0.99917721364199996</v>
      </c>
      <c r="E9169">
        <v>7.6020000000000003</v>
      </c>
    </row>
    <row r="9170" spans="1:5">
      <c r="A9170" t="s">
        <v>39791</v>
      </c>
      <c r="B9170" t="s">
        <v>39796</v>
      </c>
      <c r="C9170">
        <v>0.45771641876000002</v>
      </c>
      <c r="D9170">
        <v>0.99917721364199996</v>
      </c>
      <c r="E9170">
        <v>7.6020000000000003</v>
      </c>
    </row>
    <row r="9171" spans="1:5">
      <c r="A9171" t="s">
        <v>39797</v>
      </c>
      <c r="B9171" t="s">
        <v>39798</v>
      </c>
      <c r="C9171">
        <f>0.156700555275</f>
        <v>0.15670055527499999</v>
      </c>
      <c r="D9171">
        <v>0.86590450273300001</v>
      </c>
      <c r="E9171">
        <v>7.3319999999999999</v>
      </c>
    </row>
    <row r="9172" spans="1:5">
      <c r="A9172" t="s">
        <v>39797</v>
      </c>
      <c r="B9172" t="s">
        <v>39799</v>
      </c>
      <c r="C9172">
        <v>0.166049970528</v>
      </c>
      <c r="D9172">
        <v>0.86590450273300001</v>
      </c>
      <c r="E9172">
        <v>7.3319999999999999</v>
      </c>
    </row>
    <row r="9173" spans="1:5">
      <c r="A9173" t="s">
        <v>39797</v>
      </c>
      <c r="B9173" t="s">
        <v>39800</v>
      </c>
      <c r="C9173">
        <v>0.75603469284400004</v>
      </c>
      <c r="D9173">
        <v>0.86590450273300001</v>
      </c>
      <c r="E9173">
        <v>7.3319999999999999</v>
      </c>
    </row>
    <row r="9174" spans="1:5">
      <c r="A9174" t="s">
        <v>39797</v>
      </c>
      <c r="B9174" t="s">
        <v>39801</v>
      </c>
      <c r="C9174">
        <v>0</v>
      </c>
      <c r="D9174">
        <v>0.86590450273300001</v>
      </c>
      <c r="E9174">
        <v>7.3319999999999999</v>
      </c>
    </row>
    <row r="9175" spans="1:5">
      <c r="A9175" t="s">
        <v>39797</v>
      </c>
      <c r="B9175" t="s">
        <v>39802</v>
      </c>
      <c r="C9175">
        <f>0.283547576272</f>
        <v>0.283547576272</v>
      </c>
      <c r="D9175">
        <v>0.86590450273300001</v>
      </c>
      <c r="E9175">
        <v>7.3319999999999999</v>
      </c>
    </row>
    <row r="9176" spans="1:5">
      <c r="A9176" t="s">
        <v>39803</v>
      </c>
      <c r="B9176" t="s">
        <v>14630</v>
      </c>
      <c r="C9176">
        <f>0.6741589095</f>
        <v>0.67415890950000001</v>
      </c>
      <c r="D9176">
        <v>0.99997034125100004</v>
      </c>
      <c r="E9176">
        <v>0.24</v>
      </c>
    </row>
    <row r="9177" spans="1:5">
      <c r="A9177" t="s">
        <v>39803</v>
      </c>
      <c r="B9177" t="s">
        <v>14631</v>
      </c>
      <c r="C9177">
        <f>0.837203831142</f>
        <v>0.83720383114200003</v>
      </c>
      <c r="D9177">
        <v>0.99997034125100004</v>
      </c>
      <c r="E9177">
        <v>0.24</v>
      </c>
    </row>
    <row r="9178" spans="1:5">
      <c r="A9178" t="s">
        <v>39803</v>
      </c>
      <c r="B9178" t="s">
        <v>14633</v>
      </c>
      <c r="C9178">
        <f>0.641391864756</f>
        <v>0.64139186475599996</v>
      </c>
      <c r="D9178">
        <v>0.99997034125100004</v>
      </c>
      <c r="E9178">
        <v>0.24</v>
      </c>
    </row>
    <row r="9179" spans="1:5">
      <c r="A9179" t="s">
        <v>39803</v>
      </c>
      <c r="B9179" t="s">
        <v>14632</v>
      </c>
      <c r="C9179">
        <v>0.86046630630700005</v>
      </c>
      <c r="D9179">
        <v>0.99997034125100004</v>
      </c>
      <c r="E9179">
        <v>0.24</v>
      </c>
    </row>
    <row r="9180" spans="1:5">
      <c r="A9180" t="s">
        <v>39803</v>
      </c>
      <c r="B9180" t="s">
        <v>14637</v>
      </c>
      <c r="C9180">
        <v>0.46274876277400001</v>
      </c>
      <c r="D9180">
        <v>0.99997034125100004</v>
      </c>
      <c r="E9180">
        <v>0.24</v>
      </c>
    </row>
    <row r="9181" spans="1:5">
      <c r="A9181" t="s">
        <v>39803</v>
      </c>
      <c r="B9181" t="s">
        <v>14636</v>
      </c>
      <c r="C9181">
        <f>0.893239913097</f>
        <v>0.89323991309700002</v>
      </c>
      <c r="D9181">
        <v>0.99997034125100004</v>
      </c>
      <c r="E9181">
        <v>0.24</v>
      </c>
    </row>
    <row r="9182" spans="1:5">
      <c r="A9182" t="s">
        <v>39803</v>
      </c>
      <c r="B9182" t="s">
        <v>14634</v>
      </c>
      <c r="C9182">
        <f>0.429093010174</f>
        <v>0.42909301017399998</v>
      </c>
      <c r="D9182">
        <v>0.99997034125100004</v>
      </c>
      <c r="E9182">
        <v>0.24</v>
      </c>
    </row>
    <row r="9183" spans="1:5">
      <c r="A9183" t="s">
        <v>39803</v>
      </c>
      <c r="B9183" t="s">
        <v>14635</v>
      </c>
      <c r="C9183">
        <v>1.86249380803</v>
      </c>
      <c r="D9183">
        <v>0.99997034125100004</v>
      </c>
      <c r="E9183">
        <v>0.24</v>
      </c>
    </row>
    <row r="9184" spans="1:5">
      <c r="A9184" t="s">
        <v>39804</v>
      </c>
      <c r="B9184" t="s">
        <v>7072</v>
      </c>
      <c r="C9184">
        <v>0</v>
      </c>
      <c r="D9184">
        <v>0.95692977523800005</v>
      </c>
      <c r="E9184">
        <v>2.88</v>
      </c>
    </row>
    <row r="9185" spans="1:5">
      <c r="A9185" t="s">
        <v>39804</v>
      </c>
      <c r="B9185" t="s">
        <v>7069</v>
      </c>
      <c r="C9185">
        <f>0</f>
        <v>0</v>
      </c>
      <c r="D9185">
        <v>0.95692977523800005</v>
      </c>
      <c r="E9185">
        <v>2.88</v>
      </c>
    </row>
    <row r="9186" spans="1:5">
      <c r="A9186" t="s">
        <v>39804</v>
      </c>
      <c r="B9186" t="s">
        <v>7070</v>
      </c>
      <c r="C9186">
        <v>0.51222237865999998</v>
      </c>
      <c r="D9186">
        <v>0.95692977523800005</v>
      </c>
      <c r="E9186">
        <v>2.88</v>
      </c>
    </row>
    <row r="9187" spans="1:5">
      <c r="A9187" t="s">
        <v>39804</v>
      </c>
      <c r="B9187" t="s">
        <v>7071</v>
      </c>
      <c r="C9187">
        <v>0</v>
      </c>
      <c r="D9187">
        <v>0.95692977523800005</v>
      </c>
      <c r="E9187">
        <v>2.88</v>
      </c>
    </row>
    <row r="9188" spans="1:5">
      <c r="A9188" t="s">
        <v>39804</v>
      </c>
      <c r="B9188" t="s">
        <v>39805</v>
      </c>
      <c r="C9188">
        <v>0</v>
      </c>
      <c r="D9188">
        <v>0.95692977523800005</v>
      </c>
      <c r="E9188">
        <v>2.88</v>
      </c>
    </row>
    <row r="9189" spans="1:5">
      <c r="A9189" t="s">
        <v>39804</v>
      </c>
      <c r="B9189" t="s">
        <v>7073</v>
      </c>
      <c r="C9189">
        <f>0</f>
        <v>0</v>
      </c>
      <c r="D9189">
        <v>0.95692977523800005</v>
      </c>
      <c r="E9189">
        <v>2.88</v>
      </c>
    </row>
    <row r="9190" spans="1:5">
      <c r="A9190" t="s">
        <v>39804</v>
      </c>
      <c r="B9190" t="s">
        <v>7074</v>
      </c>
      <c r="C9190">
        <f>0.767638774712</f>
        <v>0.76763877471200004</v>
      </c>
      <c r="D9190">
        <v>0.95692977523800005</v>
      </c>
      <c r="E9190">
        <v>2.88</v>
      </c>
    </row>
    <row r="9191" spans="1:5">
      <c r="A9191" t="s">
        <v>39806</v>
      </c>
      <c r="B9191" t="s">
        <v>39807</v>
      </c>
      <c r="C9191">
        <f>0</f>
        <v>0</v>
      </c>
      <c r="D9191" t="s">
        <v>106</v>
      </c>
      <c r="E9191">
        <v>0.438</v>
      </c>
    </row>
    <row r="9192" spans="1:5">
      <c r="A9192" t="s">
        <v>39806</v>
      </c>
      <c r="B9192" t="s">
        <v>39808</v>
      </c>
      <c r="C9192">
        <v>0</v>
      </c>
      <c r="D9192" t="s">
        <v>106</v>
      </c>
      <c r="E9192">
        <v>0.438</v>
      </c>
    </row>
    <row r="9193" spans="1:5">
      <c r="A9193" t="s">
        <v>39806</v>
      </c>
      <c r="B9193" t="s">
        <v>39809</v>
      </c>
      <c r="C9193">
        <v>0</v>
      </c>
      <c r="D9193" t="s">
        <v>106</v>
      </c>
      <c r="E9193">
        <v>0.438</v>
      </c>
    </row>
    <row r="9194" spans="1:5">
      <c r="A9194" t="s">
        <v>39810</v>
      </c>
      <c r="B9194" t="s">
        <v>39811</v>
      </c>
      <c r="C9194">
        <v>0</v>
      </c>
      <c r="D9194" t="s">
        <v>106</v>
      </c>
      <c r="E9194">
        <v>23.754000000000001</v>
      </c>
    </row>
    <row r="9195" spans="1:5">
      <c r="A9195" t="s">
        <v>39810</v>
      </c>
      <c r="B9195" t="s">
        <v>39812</v>
      </c>
      <c r="C9195">
        <f>0</f>
        <v>0</v>
      </c>
      <c r="D9195" t="s">
        <v>106</v>
      </c>
      <c r="E9195">
        <v>23.754000000000001</v>
      </c>
    </row>
    <row r="9196" spans="1:5">
      <c r="A9196" t="s">
        <v>39810</v>
      </c>
      <c r="B9196" t="s">
        <v>39813</v>
      </c>
      <c r="C9196">
        <f>0</f>
        <v>0</v>
      </c>
      <c r="D9196" t="s">
        <v>106</v>
      </c>
      <c r="E9196">
        <v>23.754000000000001</v>
      </c>
    </row>
    <row r="9197" spans="1:5">
      <c r="A9197" t="s">
        <v>39810</v>
      </c>
      <c r="B9197" t="s">
        <v>39814</v>
      </c>
      <c r="C9197">
        <f>0</f>
        <v>0</v>
      </c>
      <c r="D9197" t="s">
        <v>106</v>
      </c>
      <c r="E9197">
        <v>23.754000000000001</v>
      </c>
    </row>
    <row r="9198" spans="1:5">
      <c r="A9198" t="s">
        <v>39810</v>
      </c>
      <c r="B9198" t="s">
        <v>39815</v>
      </c>
      <c r="C9198">
        <f>0</f>
        <v>0</v>
      </c>
      <c r="D9198" t="s">
        <v>106</v>
      </c>
      <c r="E9198">
        <v>23.754000000000001</v>
      </c>
    </row>
    <row r="9199" spans="1:5">
      <c r="A9199" t="s">
        <v>39810</v>
      </c>
      <c r="B9199" t="s">
        <v>39816</v>
      </c>
      <c r="C9199">
        <f>0</f>
        <v>0</v>
      </c>
      <c r="D9199" t="s">
        <v>106</v>
      </c>
      <c r="E9199">
        <v>23.754000000000001</v>
      </c>
    </row>
    <row r="9200" spans="1:5">
      <c r="A9200" t="s">
        <v>39810</v>
      </c>
      <c r="B9200" t="s">
        <v>39817</v>
      </c>
      <c r="C9200">
        <f>0</f>
        <v>0</v>
      </c>
      <c r="D9200" t="s">
        <v>106</v>
      </c>
      <c r="E9200">
        <v>23.754000000000001</v>
      </c>
    </row>
    <row r="9201" spans="1:5">
      <c r="A9201" t="s">
        <v>39810</v>
      </c>
      <c r="B9201" t="s">
        <v>39818</v>
      </c>
      <c r="C9201">
        <v>0</v>
      </c>
      <c r="D9201" t="s">
        <v>106</v>
      </c>
      <c r="E9201">
        <v>23.754000000000001</v>
      </c>
    </row>
    <row r="9202" spans="1:5">
      <c r="A9202" t="s">
        <v>39810</v>
      </c>
      <c r="B9202" t="s">
        <v>39819</v>
      </c>
      <c r="C9202">
        <v>0</v>
      </c>
      <c r="D9202" t="s">
        <v>106</v>
      </c>
      <c r="E9202">
        <v>23.754000000000001</v>
      </c>
    </row>
    <row r="9203" spans="1:5">
      <c r="A9203" t="s">
        <v>39820</v>
      </c>
      <c r="B9203" t="s">
        <v>29641</v>
      </c>
      <c r="C9203">
        <f>0</f>
        <v>0</v>
      </c>
      <c r="D9203">
        <v>0.57915934490599996</v>
      </c>
      <c r="E9203">
        <v>1.698</v>
      </c>
    </row>
    <row r="9204" spans="1:5">
      <c r="A9204" t="s">
        <v>39820</v>
      </c>
      <c r="B9204" t="s">
        <v>29644</v>
      </c>
      <c r="C9204">
        <v>0.38554934490600001</v>
      </c>
      <c r="D9204">
        <v>0.57915934490599996</v>
      </c>
      <c r="E9204">
        <v>1.698</v>
      </c>
    </row>
    <row r="9205" spans="1:5">
      <c r="A9205" t="s">
        <v>39821</v>
      </c>
      <c r="B9205" t="s">
        <v>39822</v>
      </c>
      <c r="C9205">
        <f>0</f>
        <v>0</v>
      </c>
      <c r="D9205" t="s">
        <v>106</v>
      </c>
      <c r="E9205">
        <v>6.0000000000000001E-3</v>
      </c>
    </row>
    <row r="9206" spans="1:5">
      <c r="A9206" t="s">
        <v>39821</v>
      </c>
      <c r="B9206" t="s">
        <v>39823</v>
      </c>
      <c r="C9206">
        <v>0</v>
      </c>
      <c r="D9206" t="s">
        <v>106</v>
      </c>
      <c r="E9206">
        <v>6.0000000000000001E-3</v>
      </c>
    </row>
    <row r="9207" spans="1:5">
      <c r="A9207" t="s">
        <v>39821</v>
      </c>
      <c r="B9207" t="s">
        <v>39824</v>
      </c>
      <c r="C9207">
        <f>0</f>
        <v>0</v>
      </c>
      <c r="D9207" t="s">
        <v>106</v>
      </c>
      <c r="E9207">
        <v>6.0000000000000001E-3</v>
      </c>
    </row>
    <row r="9208" spans="1:5">
      <c r="A9208" t="s">
        <v>39825</v>
      </c>
      <c r="B9208" t="s">
        <v>39826</v>
      </c>
      <c r="C9208">
        <f>0</f>
        <v>0</v>
      </c>
      <c r="D9208" t="s">
        <v>106</v>
      </c>
      <c r="E9208">
        <v>24</v>
      </c>
    </row>
    <row r="9209" spans="1:5">
      <c r="A9209" t="s">
        <v>39825</v>
      </c>
      <c r="B9209" t="s">
        <v>39827</v>
      </c>
      <c r="C9209">
        <f>0</f>
        <v>0</v>
      </c>
      <c r="D9209" t="s">
        <v>106</v>
      </c>
      <c r="E9209">
        <v>24</v>
      </c>
    </row>
    <row r="9210" spans="1:5">
      <c r="A9210" t="s">
        <v>39825</v>
      </c>
      <c r="B9210" t="s">
        <v>39828</v>
      </c>
      <c r="C9210">
        <f>0</f>
        <v>0</v>
      </c>
      <c r="D9210" t="s">
        <v>106</v>
      </c>
      <c r="E9210">
        <v>24</v>
      </c>
    </row>
    <row r="9211" spans="1:5">
      <c r="A9211" t="s">
        <v>39825</v>
      </c>
      <c r="B9211" t="s">
        <v>39829</v>
      </c>
      <c r="C9211">
        <v>0</v>
      </c>
      <c r="D9211" t="s">
        <v>106</v>
      </c>
      <c r="E9211">
        <v>24</v>
      </c>
    </row>
    <row r="9212" spans="1:5">
      <c r="A9212" t="s">
        <v>39830</v>
      </c>
      <c r="B9212" t="s">
        <v>17725</v>
      </c>
      <c r="C9212">
        <f>0</f>
        <v>0</v>
      </c>
      <c r="D9212" t="s">
        <v>106</v>
      </c>
      <c r="E9212">
        <v>23.28</v>
      </c>
    </row>
    <row r="9213" spans="1:5">
      <c r="A9213" t="s">
        <v>39830</v>
      </c>
      <c r="B9213" t="s">
        <v>17726</v>
      </c>
      <c r="C9213">
        <v>0</v>
      </c>
      <c r="D9213" t="s">
        <v>106</v>
      </c>
      <c r="E9213">
        <v>23.28</v>
      </c>
    </row>
    <row r="9214" spans="1:5">
      <c r="A9214" t="s">
        <v>39831</v>
      </c>
      <c r="B9214" t="s">
        <v>39832</v>
      </c>
      <c r="C9214">
        <v>0.46263059100199999</v>
      </c>
      <c r="D9214">
        <v>0.73304059100200003</v>
      </c>
      <c r="E9214">
        <v>24</v>
      </c>
    </row>
    <row r="9215" spans="1:5">
      <c r="A9215" t="s">
        <v>39831</v>
      </c>
      <c r="B9215" t="s">
        <v>39833</v>
      </c>
      <c r="C9215">
        <v>0</v>
      </c>
      <c r="D9215">
        <v>0.73304059100200003</v>
      </c>
      <c r="E9215">
        <v>24</v>
      </c>
    </row>
    <row r="9216" spans="1:5">
      <c r="A9216" t="s">
        <v>39834</v>
      </c>
      <c r="B9216" t="s">
        <v>39835</v>
      </c>
      <c r="C9216">
        <v>0.72007224778500001</v>
      </c>
      <c r="D9216">
        <v>0.84968224778500001</v>
      </c>
      <c r="E9216">
        <v>0.87</v>
      </c>
    </row>
    <row r="9217" spans="1:5">
      <c r="A9217" t="s">
        <v>39834</v>
      </c>
      <c r="B9217" t="s">
        <v>39836</v>
      </c>
      <c r="C9217">
        <v>0</v>
      </c>
      <c r="D9217">
        <v>0.84968224778500001</v>
      </c>
      <c r="E9217">
        <v>0.87</v>
      </c>
    </row>
    <row r="9218" spans="1:5">
      <c r="A9218" t="s">
        <v>39837</v>
      </c>
      <c r="B9218" t="s">
        <v>39838</v>
      </c>
      <c r="C9218">
        <v>0</v>
      </c>
      <c r="D9218" t="s">
        <v>106</v>
      </c>
      <c r="E9218">
        <v>12.048</v>
      </c>
    </row>
    <row r="9219" spans="1:5">
      <c r="A9219" t="s">
        <v>39837</v>
      </c>
      <c r="B9219" t="s">
        <v>2728</v>
      </c>
      <c r="C9219">
        <f>0</f>
        <v>0</v>
      </c>
      <c r="D9219" t="s">
        <v>106</v>
      </c>
      <c r="E9219">
        <v>12.048</v>
      </c>
    </row>
    <row r="9220" spans="1:5">
      <c r="A9220" t="s">
        <v>39839</v>
      </c>
      <c r="B9220" t="s">
        <v>33826</v>
      </c>
      <c r="C9220">
        <v>0.59877680352200002</v>
      </c>
      <c r="D9220">
        <v>0.87204589072600003</v>
      </c>
      <c r="E9220">
        <v>24</v>
      </c>
    </row>
    <row r="9221" spans="1:5">
      <c r="A9221" t="s">
        <v>39839</v>
      </c>
      <c r="B9221" t="s">
        <v>33824</v>
      </c>
      <c r="C9221">
        <f>0.834538143127</f>
        <v>0.83453814312700003</v>
      </c>
      <c r="D9221">
        <v>0.87204589072600003</v>
      </c>
      <c r="E9221">
        <v>24</v>
      </c>
    </row>
    <row r="9222" spans="1:5">
      <c r="A9222" t="s">
        <v>39839</v>
      </c>
      <c r="B9222" t="s">
        <v>33828</v>
      </c>
      <c r="C9222">
        <v>0.82539081657299995</v>
      </c>
      <c r="D9222">
        <v>0.87204589072600003</v>
      </c>
      <c r="E9222">
        <v>24</v>
      </c>
    </row>
    <row r="9223" spans="1:5">
      <c r="A9223" t="s">
        <v>39840</v>
      </c>
      <c r="B9223" t="s">
        <v>6255</v>
      </c>
      <c r="C9223">
        <v>0</v>
      </c>
      <c r="D9223" t="s">
        <v>106</v>
      </c>
      <c r="E9223">
        <v>24</v>
      </c>
    </row>
    <row r="9224" spans="1:5">
      <c r="A9224" t="s">
        <v>39840</v>
      </c>
      <c r="B9224" t="s">
        <v>6257</v>
      </c>
      <c r="C9224">
        <v>0</v>
      </c>
      <c r="D9224" t="s">
        <v>106</v>
      </c>
      <c r="E9224">
        <v>24</v>
      </c>
    </row>
    <row r="9225" spans="1:5">
      <c r="A9225" t="s">
        <v>39841</v>
      </c>
      <c r="B9225" t="s">
        <v>22551</v>
      </c>
      <c r="C9225">
        <v>0</v>
      </c>
      <c r="D9225">
        <v>0.94331495894999995</v>
      </c>
      <c r="E9225">
        <v>6.0000000000000001E-3</v>
      </c>
    </row>
    <row r="9226" spans="1:5">
      <c r="A9226" t="s">
        <v>39841</v>
      </c>
      <c r="B9226" t="s">
        <v>22550</v>
      </c>
      <c r="C9226">
        <f>0.0325609522456</f>
        <v>3.2560952245600003E-2</v>
      </c>
      <c r="D9226">
        <v>0.94331495894999995</v>
      </c>
      <c r="E9226">
        <v>6.0000000000000001E-3</v>
      </c>
    </row>
    <row r="9227" spans="1:5">
      <c r="A9227" t="s">
        <v>39841</v>
      </c>
      <c r="B9227" t="s">
        <v>22554</v>
      </c>
      <c r="C9227">
        <v>0.13261311913900001</v>
      </c>
      <c r="D9227">
        <v>0.94331495894999995</v>
      </c>
      <c r="E9227">
        <v>6.0000000000000001E-3</v>
      </c>
    </row>
    <row r="9228" spans="1:5">
      <c r="A9228" t="s">
        <v>39841</v>
      </c>
      <c r="B9228" t="s">
        <v>22557</v>
      </c>
      <c r="C9228">
        <v>0.52000133796299997</v>
      </c>
      <c r="D9228">
        <v>0.94331495894999995</v>
      </c>
      <c r="E9228">
        <v>6.0000000000000001E-3</v>
      </c>
    </row>
    <row r="9229" spans="1:5">
      <c r="A9229" t="s">
        <v>39841</v>
      </c>
      <c r="B9229" t="s">
        <v>22553</v>
      </c>
      <c r="C9229">
        <v>0.127016404597</v>
      </c>
      <c r="D9229">
        <v>0.94331495894999995</v>
      </c>
      <c r="E9229">
        <v>6.0000000000000001E-3</v>
      </c>
    </row>
    <row r="9230" spans="1:5">
      <c r="A9230" t="s">
        <v>39841</v>
      </c>
      <c r="B9230" t="s">
        <v>22552</v>
      </c>
      <c r="C9230">
        <f>0.813178959883</f>
        <v>0.81317895988300004</v>
      </c>
      <c r="D9230">
        <v>0.94331495894999995</v>
      </c>
      <c r="E9230">
        <v>6.0000000000000001E-3</v>
      </c>
    </row>
    <row r="9231" spans="1:5">
      <c r="A9231" t="s">
        <v>39842</v>
      </c>
      <c r="B9231" t="s">
        <v>19284</v>
      </c>
      <c r="C9231">
        <v>0.42473583378699997</v>
      </c>
      <c r="D9231">
        <v>0.84222302787000003</v>
      </c>
      <c r="E9231">
        <v>1.0680000000000001</v>
      </c>
    </row>
    <row r="9232" spans="1:5">
      <c r="A9232" t="s">
        <v>39842</v>
      </c>
      <c r="B9232" t="s">
        <v>19286</v>
      </c>
      <c r="C9232">
        <f>0</f>
        <v>0</v>
      </c>
      <c r="D9232">
        <v>0.84222302787000003</v>
      </c>
      <c r="E9232">
        <v>1.0680000000000001</v>
      </c>
    </row>
    <row r="9233" spans="1:5">
      <c r="A9233" t="s">
        <v>39842</v>
      </c>
      <c r="B9233" t="s">
        <v>19289</v>
      </c>
      <c r="C9233">
        <v>0.32805977160499999</v>
      </c>
      <c r="D9233">
        <v>0.84222302787000003</v>
      </c>
      <c r="E9233">
        <v>1.0680000000000001</v>
      </c>
    </row>
    <row r="9234" spans="1:5">
      <c r="A9234" t="s">
        <v>39842</v>
      </c>
      <c r="B9234" t="s">
        <v>19288</v>
      </c>
      <c r="C9234">
        <v>0</v>
      </c>
      <c r="D9234">
        <v>0.84222302787000003</v>
      </c>
      <c r="E9234">
        <v>1.0680000000000001</v>
      </c>
    </row>
    <row r="9235" spans="1:5">
      <c r="A9235" t="s">
        <v>39842</v>
      </c>
      <c r="B9235" t="s">
        <v>19287</v>
      </c>
      <c r="C9235">
        <v>0</v>
      </c>
      <c r="D9235">
        <v>0.84222302787000003</v>
      </c>
      <c r="E9235">
        <v>1.0680000000000001</v>
      </c>
    </row>
    <row r="9236" spans="1:5">
      <c r="A9236" t="s">
        <v>39843</v>
      </c>
      <c r="B9236" t="s">
        <v>15658</v>
      </c>
      <c r="C9236">
        <v>3.1153622818999999E-2</v>
      </c>
      <c r="D9236">
        <v>0.98670191652499994</v>
      </c>
      <c r="E9236">
        <v>23.754000000000001</v>
      </c>
    </row>
    <row r="9237" spans="1:5">
      <c r="A9237" t="s">
        <v>39843</v>
      </c>
      <c r="B9237" t="s">
        <v>15661</v>
      </c>
      <c r="C9237">
        <f>0.720986334519</f>
        <v>0.72098633451899996</v>
      </c>
      <c r="D9237">
        <v>0.98670191652499994</v>
      </c>
      <c r="E9237">
        <v>23.754000000000001</v>
      </c>
    </row>
    <row r="9238" spans="1:5">
      <c r="A9238" t="s">
        <v>39843</v>
      </c>
      <c r="B9238" t="s">
        <v>15662</v>
      </c>
      <c r="C9238">
        <f>0.686897255784</f>
        <v>0.68689725578399996</v>
      </c>
      <c r="D9238">
        <v>0.98670191652499994</v>
      </c>
      <c r="E9238">
        <v>23.754000000000001</v>
      </c>
    </row>
    <row r="9239" spans="1:5">
      <c r="A9239" t="s">
        <v>39843</v>
      </c>
      <c r="B9239" t="s">
        <v>15664</v>
      </c>
      <c r="C9239">
        <f>0.300520873326</f>
        <v>0.30052087332600003</v>
      </c>
      <c r="D9239">
        <v>0.98670191652499994</v>
      </c>
      <c r="E9239">
        <v>23.754000000000001</v>
      </c>
    </row>
    <row r="9240" spans="1:5">
      <c r="A9240" t="s">
        <v>39843</v>
      </c>
      <c r="B9240" t="s">
        <v>15663</v>
      </c>
      <c r="C9240">
        <f>0.16428319351</f>
        <v>0.16428319351000001</v>
      </c>
      <c r="D9240">
        <v>0.98670191652499994</v>
      </c>
      <c r="E9240">
        <v>23.754000000000001</v>
      </c>
    </row>
    <row r="9241" spans="1:5">
      <c r="A9241" t="s">
        <v>39843</v>
      </c>
      <c r="B9241" t="s">
        <v>15660</v>
      </c>
      <c r="C9241">
        <v>1.3389468741899999</v>
      </c>
      <c r="D9241">
        <v>0.98670191652499994</v>
      </c>
      <c r="E9241">
        <v>23.754000000000001</v>
      </c>
    </row>
    <row r="9242" spans="1:5">
      <c r="A9242" t="s">
        <v>39844</v>
      </c>
      <c r="B9242" t="s">
        <v>39845</v>
      </c>
      <c r="C9242">
        <v>0</v>
      </c>
      <c r="D9242" t="s">
        <v>106</v>
      </c>
      <c r="E9242">
        <v>24</v>
      </c>
    </row>
    <row r="9243" spans="1:5">
      <c r="A9243" t="s">
        <v>39844</v>
      </c>
      <c r="B9243" t="s">
        <v>39846</v>
      </c>
      <c r="C9243">
        <v>0</v>
      </c>
      <c r="D9243" t="s">
        <v>106</v>
      </c>
      <c r="E9243">
        <v>24</v>
      </c>
    </row>
    <row r="9244" spans="1:5">
      <c r="A9244" t="s">
        <v>39844</v>
      </c>
      <c r="B9244" t="s">
        <v>39847</v>
      </c>
      <c r="C9244">
        <v>0</v>
      </c>
      <c r="D9244" t="s">
        <v>106</v>
      </c>
      <c r="E9244">
        <v>24</v>
      </c>
    </row>
    <row r="9245" spans="1:5">
      <c r="A9245" t="s">
        <v>39844</v>
      </c>
      <c r="B9245" t="s">
        <v>39848</v>
      </c>
      <c r="C9245">
        <v>0</v>
      </c>
      <c r="D9245" t="s">
        <v>106</v>
      </c>
      <c r="E9245">
        <v>24</v>
      </c>
    </row>
    <row r="9246" spans="1:5">
      <c r="A9246" t="s">
        <v>39844</v>
      </c>
      <c r="B9246" t="s">
        <v>39849</v>
      </c>
      <c r="C9246">
        <v>0</v>
      </c>
      <c r="D9246" t="s">
        <v>106</v>
      </c>
      <c r="E9246">
        <v>24</v>
      </c>
    </row>
    <row r="9247" spans="1:5">
      <c r="A9247" t="s">
        <v>39844</v>
      </c>
      <c r="B9247" t="s">
        <v>39850</v>
      </c>
      <c r="C9247">
        <v>0</v>
      </c>
      <c r="D9247" t="s">
        <v>106</v>
      </c>
      <c r="E9247">
        <v>24</v>
      </c>
    </row>
    <row r="9248" spans="1:5">
      <c r="A9248" t="s">
        <v>39851</v>
      </c>
      <c r="B9248" t="s">
        <v>39852</v>
      </c>
      <c r="C9248">
        <f>0.1719106712</f>
        <v>0.1719106712</v>
      </c>
      <c r="D9248">
        <v>0.60159918965299997</v>
      </c>
      <c r="E9248">
        <v>0.82799999999999996</v>
      </c>
    </row>
    <row r="9249" spans="1:5">
      <c r="A9249" t="s">
        <v>39851</v>
      </c>
      <c r="B9249" t="s">
        <v>39853</v>
      </c>
      <c r="C9249">
        <v>0</v>
      </c>
      <c r="D9249">
        <v>0.60159918965299997</v>
      </c>
      <c r="E9249">
        <v>0.82799999999999996</v>
      </c>
    </row>
    <row r="9250" spans="1:5">
      <c r="A9250" t="s">
        <v>39851</v>
      </c>
      <c r="B9250" t="s">
        <v>39854</v>
      </c>
      <c r="C9250">
        <v>0.21931330240300001</v>
      </c>
      <c r="D9250">
        <v>0.60159918965299997</v>
      </c>
      <c r="E9250">
        <v>0.82799999999999996</v>
      </c>
    </row>
    <row r="9251" spans="1:5">
      <c r="A9251" t="s">
        <v>39855</v>
      </c>
      <c r="B9251" t="s">
        <v>14614</v>
      </c>
      <c r="C9251">
        <f>0</f>
        <v>0</v>
      </c>
      <c r="D9251" t="s">
        <v>106</v>
      </c>
      <c r="E9251">
        <v>24</v>
      </c>
    </row>
    <row r="9252" spans="1:5">
      <c r="A9252" t="s">
        <v>39855</v>
      </c>
      <c r="B9252" t="s">
        <v>14613</v>
      </c>
      <c r="C9252">
        <f>0</f>
        <v>0</v>
      </c>
      <c r="D9252" t="s">
        <v>106</v>
      </c>
      <c r="E9252">
        <v>24</v>
      </c>
    </row>
    <row r="9253" spans="1:5">
      <c r="A9253" t="s">
        <v>39856</v>
      </c>
      <c r="B9253" t="s">
        <v>260</v>
      </c>
      <c r="C9253">
        <f>0</f>
        <v>0</v>
      </c>
      <c r="D9253" t="s">
        <v>106</v>
      </c>
      <c r="E9253">
        <v>17.513999999999999</v>
      </c>
    </row>
    <row r="9254" spans="1:5">
      <c r="A9254" t="s">
        <v>39856</v>
      </c>
      <c r="B9254" t="s">
        <v>263</v>
      </c>
      <c r="C9254">
        <f>0</f>
        <v>0</v>
      </c>
      <c r="D9254" t="s">
        <v>106</v>
      </c>
      <c r="E9254">
        <v>17.513999999999999</v>
      </c>
    </row>
    <row r="9255" spans="1:5">
      <c r="A9255" t="s">
        <v>39856</v>
      </c>
      <c r="B9255" t="s">
        <v>256</v>
      </c>
      <c r="C9255">
        <v>0</v>
      </c>
      <c r="D9255" t="s">
        <v>106</v>
      </c>
      <c r="E9255">
        <v>17.513999999999999</v>
      </c>
    </row>
    <row r="9256" spans="1:5">
      <c r="A9256" t="s">
        <v>39856</v>
      </c>
      <c r="B9256" t="s">
        <v>266</v>
      </c>
      <c r="C9256">
        <f>0</f>
        <v>0</v>
      </c>
      <c r="D9256" t="s">
        <v>106</v>
      </c>
      <c r="E9256">
        <v>17.513999999999999</v>
      </c>
    </row>
    <row r="9257" spans="1:5">
      <c r="A9257" t="s">
        <v>39856</v>
      </c>
      <c r="B9257" t="s">
        <v>269</v>
      </c>
      <c r="C9257">
        <v>0</v>
      </c>
      <c r="D9257" t="s">
        <v>106</v>
      </c>
      <c r="E9257">
        <v>17.513999999999999</v>
      </c>
    </row>
    <row r="9258" spans="1:5">
      <c r="A9258" t="s">
        <v>39856</v>
      </c>
      <c r="B9258" t="s">
        <v>267</v>
      </c>
      <c r="C9258">
        <f>0</f>
        <v>0</v>
      </c>
      <c r="D9258" t="s">
        <v>106</v>
      </c>
      <c r="E9258">
        <v>17.513999999999999</v>
      </c>
    </row>
    <row r="9259" spans="1:5">
      <c r="A9259" t="s">
        <v>39857</v>
      </c>
      <c r="B9259" t="s">
        <v>39858</v>
      </c>
      <c r="C9259">
        <f>0</f>
        <v>0</v>
      </c>
      <c r="D9259">
        <v>0.86340675505499997</v>
      </c>
      <c r="E9259">
        <v>24</v>
      </c>
    </row>
    <row r="9260" spans="1:5">
      <c r="A9260" t="s">
        <v>39857</v>
      </c>
      <c r="B9260" t="s">
        <v>39859</v>
      </c>
      <c r="C9260">
        <f>0.207305275757</f>
        <v>0.207305275757</v>
      </c>
      <c r="D9260">
        <v>0.86340675505499997</v>
      </c>
      <c r="E9260">
        <v>24</v>
      </c>
    </row>
    <row r="9261" spans="1:5">
      <c r="A9261" t="s">
        <v>39857</v>
      </c>
      <c r="B9261" t="s">
        <v>39860</v>
      </c>
      <c r="C9261">
        <f>0</f>
        <v>0</v>
      </c>
      <c r="D9261">
        <v>0.86340675505499997</v>
      </c>
      <c r="E9261">
        <v>24</v>
      </c>
    </row>
    <row r="9262" spans="1:5">
      <c r="A9262" t="s">
        <v>39857</v>
      </c>
      <c r="B9262" t="s">
        <v>39861</v>
      </c>
      <c r="C9262">
        <v>0</v>
      </c>
      <c r="D9262">
        <v>0.86340675505499997</v>
      </c>
      <c r="E9262">
        <v>24</v>
      </c>
    </row>
    <row r="9263" spans="1:5">
      <c r="A9263" t="s">
        <v>39857</v>
      </c>
      <c r="B9263" t="s">
        <v>39862</v>
      </c>
      <c r="C9263">
        <f>0</f>
        <v>0</v>
      </c>
      <c r="D9263">
        <v>0.86340675505499997</v>
      </c>
      <c r="E9263">
        <v>24</v>
      </c>
    </row>
    <row r="9264" spans="1:5">
      <c r="A9264" t="s">
        <v>39857</v>
      </c>
      <c r="B9264" t="s">
        <v>39863</v>
      </c>
      <c r="C9264">
        <v>0.31004592552900001</v>
      </c>
      <c r="D9264">
        <v>0.86340675505499997</v>
      </c>
      <c r="E9264">
        <v>24</v>
      </c>
    </row>
    <row r="9265" spans="1:5">
      <c r="A9265" t="s">
        <v>39857</v>
      </c>
      <c r="B9265" t="s">
        <v>39864</v>
      </c>
      <c r="C9265">
        <v>0</v>
      </c>
      <c r="D9265">
        <v>0.86340675505499997</v>
      </c>
      <c r="E9265">
        <v>24</v>
      </c>
    </row>
    <row r="9266" spans="1:5">
      <c r="A9266" t="s">
        <v>39865</v>
      </c>
      <c r="B9266" t="s">
        <v>26473</v>
      </c>
      <c r="C9266">
        <v>0.83127911074600003</v>
      </c>
      <c r="D9266">
        <v>0.84432224547699997</v>
      </c>
      <c r="E9266">
        <v>4.5839999999999996</v>
      </c>
    </row>
    <row r="9267" spans="1:5">
      <c r="A9267" t="s">
        <v>39865</v>
      </c>
      <c r="B9267" t="s">
        <v>26474</v>
      </c>
      <c r="C9267">
        <v>0.14598999810499999</v>
      </c>
      <c r="D9267">
        <v>0.84432224547699997</v>
      </c>
      <c r="E9267">
        <v>4.5839999999999996</v>
      </c>
    </row>
    <row r="9268" spans="1:5">
      <c r="A9268" t="s">
        <v>39866</v>
      </c>
      <c r="B9268" t="s">
        <v>26710</v>
      </c>
      <c r="C9268">
        <v>0</v>
      </c>
      <c r="D9268" t="s">
        <v>106</v>
      </c>
      <c r="E9268">
        <v>18.347999999999999</v>
      </c>
    </row>
    <row r="9269" spans="1:5">
      <c r="A9269" t="s">
        <v>39866</v>
      </c>
      <c r="B9269" t="s">
        <v>26711</v>
      </c>
      <c r="C9269">
        <v>0</v>
      </c>
      <c r="D9269" t="s">
        <v>106</v>
      </c>
      <c r="E9269">
        <v>18.347999999999999</v>
      </c>
    </row>
    <row r="9270" spans="1:5">
      <c r="A9270" t="s">
        <v>39867</v>
      </c>
      <c r="B9270" t="s">
        <v>968</v>
      </c>
      <c r="C9270">
        <v>0.58764465811900002</v>
      </c>
      <c r="D9270">
        <v>0.77958978944299995</v>
      </c>
      <c r="E9270">
        <v>23.754000000000001</v>
      </c>
    </row>
    <row r="9271" spans="1:5">
      <c r="A9271" t="s">
        <v>39867</v>
      </c>
      <c r="B9271" t="s">
        <v>971</v>
      </c>
      <c r="C9271">
        <f>0.692678719183</f>
        <v>0.69267871918299995</v>
      </c>
      <c r="D9271">
        <v>0.77958978944299995</v>
      </c>
      <c r="E9271">
        <v>23.754000000000001</v>
      </c>
    </row>
    <row r="9272" spans="1:5">
      <c r="A9272" t="s">
        <v>39867</v>
      </c>
      <c r="B9272" t="s">
        <v>970</v>
      </c>
      <c r="C9272">
        <v>0</v>
      </c>
      <c r="D9272">
        <v>0.77958978944299995</v>
      </c>
      <c r="E9272">
        <v>23.754000000000001</v>
      </c>
    </row>
    <row r="9273" spans="1:5">
      <c r="A9273" t="s">
        <v>39868</v>
      </c>
      <c r="B9273" t="s">
        <v>27637</v>
      </c>
      <c r="C9273">
        <f>0</f>
        <v>0</v>
      </c>
      <c r="D9273" t="s">
        <v>106</v>
      </c>
      <c r="E9273">
        <v>24</v>
      </c>
    </row>
    <row r="9274" spans="1:5">
      <c r="A9274" t="s">
        <v>39868</v>
      </c>
      <c r="B9274" t="s">
        <v>27639</v>
      </c>
      <c r="C9274">
        <f>0</f>
        <v>0</v>
      </c>
      <c r="D9274" t="s">
        <v>106</v>
      </c>
      <c r="E9274">
        <v>24</v>
      </c>
    </row>
    <row r="9275" spans="1:5">
      <c r="A9275" t="s">
        <v>39869</v>
      </c>
      <c r="B9275" t="s">
        <v>24437</v>
      </c>
      <c r="C9275">
        <v>0</v>
      </c>
      <c r="D9275">
        <v>0.82343735476500002</v>
      </c>
      <c r="E9275">
        <v>10.554</v>
      </c>
    </row>
    <row r="9276" spans="1:5">
      <c r="A9276" t="s">
        <v>39869</v>
      </c>
      <c r="B9276" t="s">
        <v>24436</v>
      </c>
      <c r="C9276">
        <f>0.00895274432372</f>
        <v>8.9527443237200008E-3</v>
      </c>
      <c r="D9276">
        <v>0.82343735476500002</v>
      </c>
      <c r="E9276">
        <v>10.554</v>
      </c>
    </row>
    <row r="9277" spans="1:5">
      <c r="A9277" t="s">
        <v>39869</v>
      </c>
      <c r="B9277" t="s">
        <v>24435</v>
      </c>
      <c r="C9277">
        <f>0.581091486621</f>
        <v>0.58109148662099996</v>
      </c>
      <c r="D9277">
        <v>0.82343735476500002</v>
      </c>
      <c r="E9277">
        <v>10.554</v>
      </c>
    </row>
    <row r="9278" spans="1:5">
      <c r="A9278" t="s">
        <v>39869</v>
      </c>
      <c r="B9278" t="s">
        <v>24434</v>
      </c>
      <c r="C9278">
        <v>9.1658937523900003E-2</v>
      </c>
      <c r="D9278">
        <v>0.82343735476500002</v>
      </c>
      <c r="E9278">
        <v>10.554</v>
      </c>
    </row>
    <row r="9279" spans="1:5">
      <c r="A9279" t="s">
        <v>39869</v>
      </c>
      <c r="B9279" t="s">
        <v>24441</v>
      </c>
      <c r="C9279">
        <v>0</v>
      </c>
      <c r="D9279">
        <v>0.82343735476500002</v>
      </c>
      <c r="E9279">
        <v>10.554</v>
      </c>
    </row>
    <row r="9280" spans="1:5">
      <c r="A9280" t="s">
        <v>39870</v>
      </c>
      <c r="B9280" t="s">
        <v>6654</v>
      </c>
      <c r="C9280">
        <v>0</v>
      </c>
      <c r="D9280" t="s">
        <v>106</v>
      </c>
      <c r="E9280">
        <v>15.9</v>
      </c>
    </row>
    <row r="9281" spans="1:5">
      <c r="A9281" t="s">
        <v>39870</v>
      </c>
      <c r="B9281" t="s">
        <v>6653</v>
      </c>
      <c r="C9281">
        <v>0</v>
      </c>
      <c r="D9281" t="s">
        <v>106</v>
      </c>
      <c r="E9281">
        <v>15.9</v>
      </c>
    </row>
    <row r="9282" spans="1:5">
      <c r="A9282" t="s">
        <v>39871</v>
      </c>
      <c r="B9282" t="s">
        <v>9546</v>
      </c>
      <c r="C9282">
        <v>0</v>
      </c>
      <c r="D9282" t="s">
        <v>106</v>
      </c>
      <c r="E9282">
        <v>13.632</v>
      </c>
    </row>
    <row r="9283" spans="1:5">
      <c r="A9283" t="s">
        <v>39871</v>
      </c>
      <c r="B9283" t="s">
        <v>9548</v>
      </c>
      <c r="C9283">
        <f>0</f>
        <v>0</v>
      </c>
      <c r="D9283" t="s">
        <v>106</v>
      </c>
      <c r="E9283">
        <v>13.632</v>
      </c>
    </row>
    <row r="9284" spans="1:5">
      <c r="A9284" t="s">
        <v>39872</v>
      </c>
      <c r="B9284" t="s">
        <v>39873</v>
      </c>
      <c r="C9284">
        <f>0.119469240654</f>
        <v>0.119469240654</v>
      </c>
      <c r="D9284">
        <v>0.999745664516</v>
      </c>
      <c r="E9284">
        <v>23.28</v>
      </c>
    </row>
    <row r="9285" spans="1:5">
      <c r="A9285" t="s">
        <v>39872</v>
      </c>
      <c r="B9285" t="s">
        <v>39874</v>
      </c>
      <c r="C9285">
        <f>0.870903428223</f>
        <v>0.87090342822300004</v>
      </c>
      <c r="D9285">
        <v>0.999745664516</v>
      </c>
      <c r="E9285">
        <v>23.28</v>
      </c>
    </row>
    <row r="9286" spans="1:5">
      <c r="A9286" t="s">
        <v>39872</v>
      </c>
      <c r="B9286" t="s">
        <v>39875</v>
      </c>
      <c r="C9286">
        <v>0.19666101139200001</v>
      </c>
      <c r="D9286">
        <v>0.999745664516</v>
      </c>
      <c r="E9286">
        <v>23.28</v>
      </c>
    </row>
    <row r="9287" spans="1:5">
      <c r="A9287" t="s">
        <v>39872</v>
      </c>
      <c r="B9287" t="s">
        <v>39876</v>
      </c>
      <c r="C9287">
        <v>0.28981202079000001</v>
      </c>
      <c r="D9287">
        <v>0.999745664516</v>
      </c>
      <c r="E9287">
        <v>23.28</v>
      </c>
    </row>
    <row r="9288" spans="1:5">
      <c r="A9288" t="s">
        <v>39872</v>
      </c>
      <c r="B9288" t="s">
        <v>39877</v>
      </c>
      <c r="C9288">
        <v>8.1026496948900004E-2</v>
      </c>
      <c r="D9288">
        <v>0.999745664516</v>
      </c>
      <c r="E9288">
        <v>23.28</v>
      </c>
    </row>
    <row r="9289" spans="1:5">
      <c r="A9289" t="s">
        <v>39872</v>
      </c>
      <c r="B9289" t="s">
        <v>39878</v>
      </c>
      <c r="C9289">
        <f>0.075855057796</f>
        <v>7.5855057796000006E-2</v>
      </c>
      <c r="D9289">
        <v>0.999745664516</v>
      </c>
      <c r="E9289">
        <v>23.28</v>
      </c>
    </row>
    <row r="9290" spans="1:5">
      <c r="A9290" t="s">
        <v>39872</v>
      </c>
      <c r="B9290" t="s">
        <v>39879</v>
      </c>
      <c r="C9290">
        <v>0.458775058289</v>
      </c>
      <c r="D9290">
        <v>0.999745664516</v>
      </c>
      <c r="E9290">
        <v>23.28</v>
      </c>
    </row>
    <row r="9291" spans="1:5">
      <c r="A9291" t="s">
        <v>39872</v>
      </c>
      <c r="B9291" t="s">
        <v>39880</v>
      </c>
      <c r="C9291">
        <f>0</f>
        <v>0</v>
      </c>
      <c r="D9291">
        <v>0.999745664516</v>
      </c>
      <c r="E9291">
        <v>23.28</v>
      </c>
    </row>
    <row r="9292" spans="1:5">
      <c r="A9292" t="s">
        <v>39872</v>
      </c>
      <c r="B9292" t="s">
        <v>39881</v>
      </c>
      <c r="C9292">
        <f>0.195404467667</f>
        <v>0.19540446766700001</v>
      </c>
      <c r="D9292">
        <v>0.999745664516</v>
      </c>
      <c r="E9292">
        <v>23.28</v>
      </c>
    </row>
    <row r="9293" spans="1:5">
      <c r="A9293" t="s">
        <v>39882</v>
      </c>
      <c r="B9293" t="s">
        <v>11369</v>
      </c>
      <c r="C9293">
        <f>0</f>
        <v>0</v>
      </c>
      <c r="D9293">
        <v>0.93912200654699995</v>
      </c>
      <c r="E9293">
        <v>7.8719999999999999</v>
      </c>
    </row>
    <row r="9294" spans="1:5">
      <c r="A9294" t="s">
        <v>39882</v>
      </c>
      <c r="B9294" t="s">
        <v>11371</v>
      </c>
      <c r="C9294">
        <v>0</v>
      </c>
      <c r="D9294">
        <v>0.93912200654699995</v>
      </c>
      <c r="E9294">
        <v>7.8719999999999999</v>
      </c>
    </row>
    <row r="9295" spans="1:5">
      <c r="A9295" t="s">
        <v>39882</v>
      </c>
      <c r="B9295" t="s">
        <v>11370</v>
      </c>
      <c r="C9295">
        <v>0.54277600003100002</v>
      </c>
      <c r="D9295">
        <v>0.93912200654699995</v>
      </c>
      <c r="E9295">
        <v>7.8719999999999999</v>
      </c>
    </row>
    <row r="9296" spans="1:5">
      <c r="A9296" t="s">
        <v>39882</v>
      </c>
      <c r="B9296" t="s">
        <v>11372</v>
      </c>
      <c r="C9296">
        <f>0.255587840158</f>
        <v>0.25558784015800001</v>
      </c>
      <c r="D9296">
        <v>0.93912200654699995</v>
      </c>
      <c r="E9296">
        <v>7.8719999999999999</v>
      </c>
    </row>
    <row r="9297" spans="1:5">
      <c r="A9297" t="s">
        <v>39882</v>
      </c>
      <c r="B9297" t="s">
        <v>11374</v>
      </c>
      <c r="C9297">
        <f>0</f>
        <v>0</v>
      </c>
      <c r="D9297">
        <v>0.93912200654699995</v>
      </c>
      <c r="E9297">
        <v>7.8719999999999999</v>
      </c>
    </row>
    <row r="9298" spans="1:5">
      <c r="A9298" t="s">
        <v>39882</v>
      </c>
      <c r="B9298" t="s">
        <v>11373</v>
      </c>
      <c r="C9298">
        <f>0.3193139291</f>
        <v>0.3193139291</v>
      </c>
      <c r="D9298">
        <v>0.93912200654699995</v>
      </c>
      <c r="E9298">
        <v>7.8719999999999999</v>
      </c>
    </row>
    <row r="9299" spans="1:5">
      <c r="A9299" t="s">
        <v>39883</v>
      </c>
      <c r="B9299" t="s">
        <v>26041</v>
      </c>
      <c r="C9299">
        <f>0</f>
        <v>0</v>
      </c>
      <c r="D9299">
        <v>0.84612933971500004</v>
      </c>
      <c r="E9299">
        <v>15.125999999999999</v>
      </c>
    </row>
    <row r="9300" spans="1:5">
      <c r="A9300" t="s">
        <v>39883</v>
      </c>
      <c r="B9300" t="s">
        <v>26040</v>
      </c>
      <c r="C9300">
        <f>0</f>
        <v>0</v>
      </c>
      <c r="D9300">
        <v>0.84612933971500004</v>
      </c>
      <c r="E9300">
        <v>15.125999999999999</v>
      </c>
    </row>
    <row r="9301" spans="1:5">
      <c r="A9301" t="s">
        <v>39883</v>
      </c>
      <c r="B9301" t="s">
        <v>26032</v>
      </c>
      <c r="C9301">
        <f>0.00325162612762</f>
        <v>3.2516261276200002E-3</v>
      </c>
      <c r="D9301">
        <v>0.84612933971500004</v>
      </c>
      <c r="E9301">
        <v>15.125999999999999</v>
      </c>
    </row>
    <row r="9302" spans="1:5">
      <c r="A9302" t="s">
        <v>39883</v>
      </c>
      <c r="B9302" t="s">
        <v>26037</v>
      </c>
      <c r="C9302">
        <f>0</f>
        <v>0</v>
      </c>
      <c r="D9302">
        <v>0.84612933971500004</v>
      </c>
      <c r="E9302">
        <v>15.125999999999999</v>
      </c>
    </row>
    <row r="9303" spans="1:5">
      <c r="A9303" t="s">
        <v>39883</v>
      </c>
      <c r="B9303" t="s">
        <v>26039</v>
      </c>
      <c r="C9303">
        <f>0.486300490472</f>
        <v>0.48630049047200002</v>
      </c>
      <c r="D9303">
        <v>0.84612933971500004</v>
      </c>
      <c r="E9303">
        <v>15.125999999999999</v>
      </c>
    </row>
    <row r="9304" spans="1:5">
      <c r="A9304" t="s">
        <v>39883</v>
      </c>
      <c r="B9304" t="s">
        <v>26043</v>
      </c>
      <c r="C9304">
        <f>0.16345128966</f>
        <v>0.16345128966</v>
      </c>
      <c r="D9304">
        <v>0.84612933971500004</v>
      </c>
      <c r="E9304">
        <v>15.125999999999999</v>
      </c>
    </row>
    <row r="9305" spans="1:5">
      <c r="A9305" t="s">
        <v>39883</v>
      </c>
      <c r="B9305" t="s">
        <v>26033</v>
      </c>
      <c r="C9305">
        <f>0</f>
        <v>0</v>
      </c>
      <c r="D9305">
        <v>0.84612933971500004</v>
      </c>
      <c r="E9305">
        <v>15.125999999999999</v>
      </c>
    </row>
    <row r="9306" spans="1:5">
      <c r="A9306" t="s">
        <v>39883</v>
      </c>
      <c r="B9306" t="s">
        <v>26030</v>
      </c>
      <c r="C9306">
        <f>0</f>
        <v>0</v>
      </c>
      <c r="D9306">
        <v>0.84612933971500004</v>
      </c>
      <c r="E9306">
        <v>15.125999999999999</v>
      </c>
    </row>
    <row r="9307" spans="1:5">
      <c r="A9307" t="s">
        <v>39883</v>
      </c>
      <c r="B9307" t="s">
        <v>26031</v>
      </c>
      <c r="C9307">
        <v>0</v>
      </c>
      <c r="D9307">
        <v>0.84612933971500004</v>
      </c>
      <c r="E9307">
        <v>15.125999999999999</v>
      </c>
    </row>
    <row r="9308" spans="1:5">
      <c r="A9308" t="s">
        <v>39883</v>
      </c>
      <c r="B9308" t="s">
        <v>26038</v>
      </c>
      <c r="C9308">
        <f>0</f>
        <v>0</v>
      </c>
      <c r="D9308">
        <v>0.84612933971500004</v>
      </c>
      <c r="E9308">
        <v>15.125999999999999</v>
      </c>
    </row>
    <row r="9309" spans="1:5">
      <c r="A9309" t="s">
        <v>39883</v>
      </c>
      <c r="B9309" t="s">
        <v>26044</v>
      </c>
      <c r="C9309">
        <f>0</f>
        <v>0</v>
      </c>
      <c r="D9309">
        <v>0.84612933971500004</v>
      </c>
      <c r="E9309">
        <v>15.125999999999999</v>
      </c>
    </row>
    <row r="9310" spans="1:5">
      <c r="A9310" t="s">
        <v>39883</v>
      </c>
      <c r="B9310" t="s">
        <v>39884</v>
      </c>
      <c r="C9310">
        <v>0.13005688019100001</v>
      </c>
      <c r="D9310">
        <v>0.84612933971500004</v>
      </c>
      <c r="E9310">
        <v>15.125999999999999</v>
      </c>
    </row>
    <row r="9311" spans="1:5">
      <c r="A9311" t="s">
        <v>39883</v>
      </c>
      <c r="B9311" t="s">
        <v>26035</v>
      </c>
      <c r="C9311">
        <f>0</f>
        <v>0</v>
      </c>
      <c r="D9311">
        <v>0.84612933971500004</v>
      </c>
      <c r="E9311">
        <v>15.125999999999999</v>
      </c>
    </row>
    <row r="9312" spans="1:5">
      <c r="A9312" t="s">
        <v>39883</v>
      </c>
      <c r="B9312" t="s">
        <v>26046</v>
      </c>
      <c r="C9312">
        <f>0</f>
        <v>0</v>
      </c>
      <c r="D9312">
        <v>0.84612933971500004</v>
      </c>
      <c r="E9312">
        <v>15.125999999999999</v>
      </c>
    </row>
    <row r="9313" spans="1:5">
      <c r="A9313" t="s">
        <v>39885</v>
      </c>
      <c r="B9313" t="s">
        <v>7377</v>
      </c>
      <c r="C9313">
        <v>0</v>
      </c>
      <c r="D9313">
        <v>0.99163025589800002</v>
      </c>
      <c r="E9313">
        <v>6.3</v>
      </c>
    </row>
    <row r="9314" spans="1:5">
      <c r="A9314" t="s">
        <v>39885</v>
      </c>
      <c r="B9314" t="s">
        <v>7383</v>
      </c>
      <c r="C9314">
        <v>0.54571753539900003</v>
      </c>
      <c r="D9314">
        <v>0.99163025589800002</v>
      </c>
      <c r="E9314">
        <v>6.3</v>
      </c>
    </row>
    <row r="9315" spans="1:5">
      <c r="A9315" t="s">
        <v>39885</v>
      </c>
      <c r="B9315" t="s">
        <v>7382</v>
      </c>
      <c r="C9315">
        <v>0.471300670127</v>
      </c>
      <c r="D9315">
        <v>0.99163025589800002</v>
      </c>
      <c r="E9315">
        <v>6.3</v>
      </c>
    </row>
    <row r="9316" spans="1:5">
      <c r="A9316" t="s">
        <v>39885</v>
      </c>
      <c r="B9316" t="s">
        <v>7381</v>
      </c>
      <c r="C9316">
        <v>0.16502608851299999</v>
      </c>
      <c r="D9316">
        <v>0.99163025589800002</v>
      </c>
      <c r="E9316">
        <v>6.3</v>
      </c>
    </row>
    <row r="9317" spans="1:5">
      <c r="A9317" t="s">
        <v>39885</v>
      </c>
      <c r="B9317" t="s">
        <v>7384</v>
      </c>
      <c r="C9317">
        <v>9.2238825972999997E-2</v>
      </c>
      <c r="D9317">
        <v>0.99163025589800002</v>
      </c>
      <c r="E9317">
        <v>6.3</v>
      </c>
    </row>
    <row r="9318" spans="1:5">
      <c r="A9318" t="s">
        <v>39885</v>
      </c>
      <c r="B9318" t="s">
        <v>7380</v>
      </c>
      <c r="C9318">
        <v>0</v>
      </c>
      <c r="D9318">
        <v>0.99163025589800002</v>
      </c>
      <c r="E9318">
        <v>6.3</v>
      </c>
    </row>
    <row r="9319" spans="1:5">
      <c r="A9319" t="s">
        <v>39886</v>
      </c>
      <c r="B9319" t="s">
        <v>26735</v>
      </c>
      <c r="C9319">
        <v>0.68358420735400005</v>
      </c>
      <c r="D9319">
        <v>0.66738649995499999</v>
      </c>
      <c r="E9319">
        <v>24</v>
      </c>
    </row>
    <row r="9320" spans="1:5">
      <c r="A9320" t="s">
        <v>39886</v>
      </c>
      <c r="B9320" t="s">
        <v>26738</v>
      </c>
      <c r="C9320">
        <v>0.23286656264700001</v>
      </c>
      <c r="D9320">
        <v>0.66738649995499999</v>
      </c>
      <c r="E9320">
        <v>24</v>
      </c>
    </row>
    <row r="9321" spans="1:5">
      <c r="A9321" t="s">
        <v>39886</v>
      </c>
      <c r="B9321" t="s">
        <v>26739</v>
      </c>
      <c r="C9321">
        <f>0.226428315236</f>
        <v>0.22642831523599999</v>
      </c>
      <c r="D9321">
        <v>0.66738649995499999</v>
      </c>
      <c r="E9321">
        <v>24</v>
      </c>
    </row>
    <row r="9322" spans="1:5">
      <c r="A9322" t="s">
        <v>39887</v>
      </c>
      <c r="B9322" t="s">
        <v>39888</v>
      </c>
      <c r="C9322">
        <v>0.72910399257699998</v>
      </c>
      <c r="D9322">
        <v>0.96124149915599999</v>
      </c>
      <c r="E9322">
        <v>23.28</v>
      </c>
    </row>
    <row r="9323" spans="1:5">
      <c r="A9323" t="s">
        <v>39887</v>
      </c>
      <c r="B9323" t="s">
        <v>39889</v>
      </c>
      <c r="C9323">
        <v>0.21380843953100001</v>
      </c>
      <c r="D9323">
        <v>0.96124149915599999</v>
      </c>
      <c r="E9323">
        <v>23.28</v>
      </c>
    </row>
    <row r="9324" spans="1:5">
      <c r="A9324" t="s">
        <v>39890</v>
      </c>
      <c r="B9324" t="s">
        <v>39891</v>
      </c>
      <c r="C9324">
        <v>0.43074098264900001</v>
      </c>
      <c r="D9324">
        <v>0.96011957598499997</v>
      </c>
      <c r="E9324">
        <v>1.512</v>
      </c>
    </row>
    <row r="9325" spans="1:5">
      <c r="A9325" t="s">
        <v>39890</v>
      </c>
      <c r="B9325" t="s">
        <v>39892</v>
      </c>
      <c r="C9325">
        <f>-4.45574609404</f>
        <v>-4.4557460940400002</v>
      </c>
      <c r="D9325">
        <v>0.96011957598499997</v>
      </c>
      <c r="E9325">
        <v>1.512</v>
      </c>
    </row>
    <row r="9326" spans="1:5">
      <c r="A9326" t="s">
        <v>39890</v>
      </c>
      <c r="B9326" t="s">
        <v>39893</v>
      </c>
      <c r="C9326">
        <v>3.35197353056</v>
      </c>
      <c r="D9326">
        <v>0.96011957598499997</v>
      </c>
      <c r="E9326">
        <v>1.512</v>
      </c>
    </row>
    <row r="9327" spans="1:5">
      <c r="A9327" t="s">
        <v>39890</v>
      </c>
      <c r="B9327" t="s">
        <v>39894</v>
      </c>
      <c r="C9327">
        <v>1.7531860215999999</v>
      </c>
      <c r="D9327">
        <v>0.96011957598499997</v>
      </c>
      <c r="E9327">
        <v>1.512</v>
      </c>
    </row>
    <row r="9328" spans="1:5">
      <c r="A9328" t="s">
        <v>39895</v>
      </c>
      <c r="B9328" t="s">
        <v>30567</v>
      </c>
      <c r="C9328">
        <v>6.0366682084999996E-3</v>
      </c>
      <c r="D9328">
        <v>0.60808851386499996</v>
      </c>
      <c r="E9328">
        <v>4.4820000000000002</v>
      </c>
    </row>
    <row r="9329" spans="1:5">
      <c r="A9329" t="s">
        <v>39895</v>
      </c>
      <c r="B9329" t="s">
        <v>30562</v>
      </c>
      <c r="C9329">
        <v>0.445728284463</v>
      </c>
      <c r="D9329">
        <v>0.60808851386499996</v>
      </c>
      <c r="E9329">
        <v>4.4820000000000002</v>
      </c>
    </row>
    <row r="9330" spans="1:5">
      <c r="A9330" t="s">
        <v>39896</v>
      </c>
      <c r="B9330" t="s">
        <v>39897</v>
      </c>
      <c r="C9330">
        <v>0.16358991457300001</v>
      </c>
      <c r="D9330">
        <v>0.93037327355699995</v>
      </c>
      <c r="E9330">
        <v>0</v>
      </c>
    </row>
    <row r="9331" spans="1:5">
      <c r="A9331" t="s">
        <v>39896</v>
      </c>
      <c r="B9331" t="s">
        <v>39898</v>
      </c>
      <c r="C9331">
        <v>0.357261600879</v>
      </c>
      <c r="D9331">
        <v>0.93037327355699995</v>
      </c>
      <c r="E9331">
        <v>0</v>
      </c>
    </row>
    <row r="9332" spans="1:5">
      <c r="A9332" t="s">
        <v>39896</v>
      </c>
      <c r="B9332" t="s">
        <v>39899</v>
      </c>
      <c r="C9332">
        <f>0</f>
        <v>0</v>
      </c>
      <c r="D9332">
        <v>0.93037327355699995</v>
      </c>
      <c r="E9332">
        <v>0</v>
      </c>
    </row>
    <row r="9333" spans="1:5">
      <c r="A9333" t="s">
        <v>39896</v>
      </c>
      <c r="B9333" t="s">
        <v>39900</v>
      </c>
      <c r="C9333">
        <f>0</f>
        <v>0</v>
      </c>
      <c r="D9333">
        <v>0.93037327355699995</v>
      </c>
      <c r="E9333">
        <v>0</v>
      </c>
    </row>
    <row r="9334" spans="1:5">
      <c r="A9334" t="s">
        <v>39896</v>
      </c>
      <c r="B9334" t="s">
        <v>39901</v>
      </c>
      <c r="C9334">
        <v>0.40269482135899998</v>
      </c>
      <c r="D9334">
        <v>0.93037327355699995</v>
      </c>
      <c r="E9334">
        <v>0</v>
      </c>
    </row>
    <row r="9335" spans="1:5">
      <c r="A9335" t="s">
        <v>39896</v>
      </c>
      <c r="B9335" t="s">
        <v>39902</v>
      </c>
      <c r="C9335">
        <f>0</f>
        <v>0</v>
      </c>
      <c r="D9335">
        <v>0.93037327355699995</v>
      </c>
      <c r="E9335">
        <v>0</v>
      </c>
    </row>
    <row r="9336" spans="1:5">
      <c r="A9336" t="s">
        <v>39896</v>
      </c>
      <c r="B9336" t="s">
        <v>39903</v>
      </c>
      <c r="C9336">
        <f>0</f>
        <v>0</v>
      </c>
      <c r="D9336">
        <v>0.93037327355699995</v>
      </c>
      <c r="E9336">
        <v>0</v>
      </c>
    </row>
    <row r="9337" spans="1:5">
      <c r="A9337" t="s">
        <v>39904</v>
      </c>
      <c r="B9337" t="s">
        <v>31190</v>
      </c>
      <c r="C9337">
        <v>0.77431331863200004</v>
      </c>
      <c r="D9337">
        <v>0.88703168005400002</v>
      </c>
      <c r="E9337">
        <v>0.114</v>
      </c>
    </row>
    <row r="9338" spans="1:5">
      <c r="A9338" t="s">
        <v>39904</v>
      </c>
      <c r="B9338" t="s">
        <v>31191</v>
      </c>
      <c r="C9338">
        <v>0.235179186954</v>
      </c>
      <c r="D9338">
        <v>0.88703168005400002</v>
      </c>
      <c r="E9338">
        <v>0.114</v>
      </c>
    </row>
    <row r="9339" spans="1:5">
      <c r="A9339" t="s">
        <v>39904</v>
      </c>
      <c r="B9339" t="s">
        <v>31192</v>
      </c>
      <c r="C9339">
        <v>0</v>
      </c>
      <c r="D9339">
        <v>0.88703168005400002</v>
      </c>
      <c r="E9339">
        <v>0.114</v>
      </c>
    </row>
    <row r="9340" spans="1:5">
      <c r="A9340" t="s">
        <v>39905</v>
      </c>
      <c r="B9340" t="s">
        <v>15966</v>
      </c>
      <c r="C9340">
        <f>0</f>
        <v>0</v>
      </c>
      <c r="D9340">
        <v>0.94048454495199996</v>
      </c>
      <c r="E9340">
        <v>24</v>
      </c>
    </row>
    <row r="9341" spans="1:5">
      <c r="A9341" t="s">
        <v>39905</v>
      </c>
      <c r="B9341" t="s">
        <v>15973</v>
      </c>
      <c r="C9341">
        <f>0</f>
        <v>0</v>
      </c>
      <c r="D9341">
        <v>0.94048454495199996</v>
      </c>
      <c r="E9341">
        <v>24</v>
      </c>
    </row>
    <row r="9342" spans="1:5">
      <c r="A9342" t="s">
        <v>39905</v>
      </c>
      <c r="B9342" t="s">
        <v>15972</v>
      </c>
      <c r="C9342">
        <f>0.549574018175</f>
        <v>0.54957401817499996</v>
      </c>
      <c r="D9342">
        <v>0.94048454495199996</v>
      </c>
      <c r="E9342">
        <v>24</v>
      </c>
    </row>
    <row r="9343" spans="1:5">
      <c r="A9343" t="s">
        <v>39905</v>
      </c>
      <c r="B9343" t="s">
        <v>15967</v>
      </c>
      <c r="C9343">
        <v>0</v>
      </c>
      <c r="D9343">
        <v>0.94048454495199996</v>
      </c>
      <c r="E9343">
        <v>24</v>
      </c>
    </row>
    <row r="9344" spans="1:5">
      <c r="A9344" t="s">
        <v>39905</v>
      </c>
      <c r="B9344" t="s">
        <v>15974</v>
      </c>
      <c r="C9344">
        <v>0</v>
      </c>
      <c r="D9344">
        <v>0.94048454495199996</v>
      </c>
      <c r="E9344">
        <v>24</v>
      </c>
    </row>
    <row r="9345" spans="1:5">
      <c r="A9345" t="s">
        <v>39905</v>
      </c>
      <c r="B9345" t="s">
        <v>15977</v>
      </c>
      <c r="C9345">
        <f>0</f>
        <v>0</v>
      </c>
      <c r="D9345">
        <v>0.94048454495199996</v>
      </c>
      <c r="E9345">
        <v>24</v>
      </c>
    </row>
    <row r="9346" spans="1:5">
      <c r="A9346" t="s">
        <v>39905</v>
      </c>
      <c r="B9346" t="s">
        <v>15976</v>
      </c>
      <c r="C9346">
        <f>0.100423590427</f>
        <v>0.100423590427</v>
      </c>
      <c r="D9346">
        <v>0.94048454495199996</v>
      </c>
      <c r="E9346">
        <v>24</v>
      </c>
    </row>
    <row r="9347" spans="1:5">
      <c r="A9347" t="s">
        <v>39905</v>
      </c>
      <c r="B9347" t="s">
        <v>15980</v>
      </c>
      <c r="C9347">
        <f>0</f>
        <v>0</v>
      </c>
      <c r="D9347">
        <v>0.94048454495199996</v>
      </c>
      <c r="E9347">
        <v>24</v>
      </c>
    </row>
    <row r="9348" spans="1:5">
      <c r="A9348" t="s">
        <v>39905</v>
      </c>
      <c r="B9348" t="s">
        <v>15978</v>
      </c>
      <c r="C9348">
        <f>0</f>
        <v>0</v>
      </c>
      <c r="D9348">
        <v>0.94048454495199996</v>
      </c>
      <c r="E9348">
        <v>24</v>
      </c>
    </row>
    <row r="9349" spans="1:5">
      <c r="A9349" t="s">
        <v>39905</v>
      </c>
      <c r="B9349" t="s">
        <v>15968</v>
      </c>
      <c r="C9349">
        <v>0</v>
      </c>
      <c r="D9349">
        <v>0.94048454495199996</v>
      </c>
      <c r="E9349">
        <v>24</v>
      </c>
    </row>
    <row r="9350" spans="1:5">
      <c r="A9350" t="s">
        <v>39905</v>
      </c>
      <c r="B9350" t="s">
        <v>15971</v>
      </c>
      <c r="C9350">
        <f>0.694750155584</f>
        <v>0.694750155584</v>
      </c>
      <c r="D9350">
        <v>0.94048454495199996</v>
      </c>
      <c r="E9350">
        <v>24</v>
      </c>
    </row>
    <row r="9351" spans="1:5">
      <c r="A9351" t="s">
        <v>39905</v>
      </c>
      <c r="B9351" t="s">
        <v>15970</v>
      </c>
      <c r="C9351">
        <v>2.8920885273300001E-2</v>
      </c>
      <c r="D9351">
        <v>0.94048454495199996</v>
      </c>
      <c r="E9351">
        <v>24</v>
      </c>
    </row>
    <row r="9352" spans="1:5">
      <c r="A9352" t="s">
        <v>39906</v>
      </c>
      <c r="B9352" t="s">
        <v>39907</v>
      </c>
      <c r="C9352">
        <v>0.41719564736600001</v>
      </c>
      <c r="D9352">
        <v>0.61080564736599996</v>
      </c>
      <c r="E9352">
        <v>0</v>
      </c>
    </row>
    <row r="9353" spans="1:5">
      <c r="A9353" t="s">
        <v>39906</v>
      </c>
      <c r="B9353" t="s">
        <v>39908</v>
      </c>
      <c r="C9353">
        <v>0</v>
      </c>
      <c r="D9353">
        <v>0.61080564736599996</v>
      </c>
      <c r="E9353">
        <v>0</v>
      </c>
    </row>
    <row r="9354" spans="1:5">
      <c r="A9354" t="s">
        <v>39906</v>
      </c>
      <c r="B9354" t="s">
        <v>39909</v>
      </c>
      <c r="C9354">
        <f>0</f>
        <v>0</v>
      </c>
      <c r="D9354">
        <v>0.61080564736599996</v>
      </c>
      <c r="E9354">
        <v>0</v>
      </c>
    </row>
    <row r="9355" spans="1:5">
      <c r="A9355" t="s">
        <v>39906</v>
      </c>
      <c r="B9355" t="s">
        <v>39910</v>
      </c>
      <c r="C9355">
        <f>0</f>
        <v>0</v>
      </c>
      <c r="D9355">
        <v>0.61080564736599996</v>
      </c>
      <c r="E9355">
        <v>0</v>
      </c>
    </row>
    <row r="9356" spans="1:5">
      <c r="A9356" t="s">
        <v>39911</v>
      </c>
      <c r="B9356" t="s">
        <v>14754</v>
      </c>
      <c r="C9356">
        <f>0</f>
        <v>0</v>
      </c>
      <c r="D9356">
        <v>0.78694386973099995</v>
      </c>
      <c r="E9356">
        <v>24</v>
      </c>
    </row>
    <row r="9357" spans="1:5">
      <c r="A9357" t="s">
        <v>39911</v>
      </c>
      <c r="B9357" t="s">
        <v>14756</v>
      </c>
      <c r="C9357">
        <v>0.62693386973099996</v>
      </c>
      <c r="D9357">
        <v>0.78694386973099995</v>
      </c>
      <c r="E9357">
        <v>24</v>
      </c>
    </row>
    <row r="9358" spans="1:5">
      <c r="A9358" t="s">
        <v>39911</v>
      </c>
      <c r="B9358" t="s">
        <v>14755</v>
      </c>
      <c r="C9358">
        <v>0</v>
      </c>
      <c r="D9358">
        <v>0.78694386973099995</v>
      </c>
      <c r="E9358">
        <v>24</v>
      </c>
    </row>
    <row r="9359" spans="1:5">
      <c r="A9359" t="s">
        <v>39912</v>
      </c>
      <c r="B9359" t="s">
        <v>13870</v>
      </c>
      <c r="C9359">
        <v>0.91317196860100003</v>
      </c>
      <c r="D9359">
        <v>0.99996619417400001</v>
      </c>
      <c r="E9359">
        <v>17.928000000000001</v>
      </c>
    </row>
    <row r="9360" spans="1:5">
      <c r="A9360" t="s">
        <v>39912</v>
      </c>
      <c r="B9360" t="s">
        <v>13871</v>
      </c>
      <c r="C9360">
        <v>0.416609444153</v>
      </c>
      <c r="D9360">
        <v>0.99996619417400001</v>
      </c>
      <c r="E9360">
        <v>17.928000000000001</v>
      </c>
    </row>
    <row r="9361" spans="1:5">
      <c r="A9361" t="s">
        <v>39912</v>
      </c>
      <c r="B9361" t="s">
        <v>13878</v>
      </c>
      <c r="C9361">
        <f>0.124011007006</f>
        <v>0.124011007006</v>
      </c>
      <c r="D9361">
        <v>0.99996619417400001</v>
      </c>
      <c r="E9361">
        <v>17.928000000000001</v>
      </c>
    </row>
    <row r="9362" spans="1:5">
      <c r="A9362" t="s">
        <v>39912</v>
      </c>
      <c r="B9362" t="s">
        <v>13877</v>
      </c>
      <c r="C9362">
        <v>0.36657832162699999</v>
      </c>
      <c r="D9362">
        <v>0.99996619417400001</v>
      </c>
      <c r="E9362">
        <v>17.928000000000001</v>
      </c>
    </row>
    <row r="9363" spans="1:5">
      <c r="A9363" t="s">
        <v>39912</v>
      </c>
      <c r="B9363" t="s">
        <v>13874</v>
      </c>
      <c r="C9363">
        <f>0.205318161053</f>
        <v>0.20531816105299999</v>
      </c>
      <c r="D9363">
        <v>0.99996619417400001</v>
      </c>
      <c r="E9363">
        <v>17.928000000000001</v>
      </c>
    </row>
    <row r="9364" spans="1:5">
      <c r="A9364" t="s">
        <v>39912</v>
      </c>
      <c r="B9364" t="s">
        <v>13872</v>
      </c>
      <c r="C9364">
        <v>0.133610992816</v>
      </c>
      <c r="D9364">
        <v>0.99996619417400001</v>
      </c>
      <c r="E9364">
        <v>17.928000000000001</v>
      </c>
    </row>
    <row r="9365" spans="1:5">
      <c r="A9365" t="s">
        <v>39913</v>
      </c>
      <c r="B9365" t="s">
        <v>39914</v>
      </c>
      <c r="C9365">
        <f>0.738957239681</f>
        <v>0.73895723968100002</v>
      </c>
      <c r="D9365">
        <v>0.88796654256899998</v>
      </c>
      <c r="E9365">
        <v>1.3380000000000001</v>
      </c>
    </row>
    <row r="9366" spans="1:5">
      <c r="A9366" t="s">
        <v>39913</v>
      </c>
      <c r="B9366" t="s">
        <v>39915</v>
      </c>
      <c r="C9366">
        <f>0.235221832826</f>
        <v>0.23522183282600001</v>
      </c>
      <c r="D9366">
        <v>0.88796654256899998</v>
      </c>
      <c r="E9366">
        <v>1.3380000000000001</v>
      </c>
    </row>
    <row r="9367" spans="1:5">
      <c r="A9367" t="s">
        <v>39916</v>
      </c>
      <c r="B9367" t="s">
        <v>32482</v>
      </c>
      <c r="C9367">
        <v>0</v>
      </c>
      <c r="D9367">
        <v>0.73279565368599997</v>
      </c>
      <c r="E9367">
        <v>4.17</v>
      </c>
    </row>
    <row r="9368" spans="1:5">
      <c r="A9368" t="s">
        <v>39916</v>
      </c>
      <c r="B9368" t="s">
        <v>32487</v>
      </c>
      <c r="C9368">
        <v>0</v>
      </c>
      <c r="D9368">
        <v>0.73279565368599997</v>
      </c>
      <c r="E9368">
        <v>4.17</v>
      </c>
    </row>
    <row r="9369" spans="1:5">
      <c r="A9369" t="s">
        <v>39916</v>
      </c>
      <c r="B9369" t="s">
        <v>32486</v>
      </c>
      <c r="C9369">
        <f>0.081386550287</f>
        <v>8.1386550286999995E-2</v>
      </c>
      <c r="D9369">
        <v>0.73279565368599997</v>
      </c>
      <c r="E9369">
        <v>4.17</v>
      </c>
    </row>
    <row r="9370" spans="1:5">
      <c r="A9370" t="s">
        <v>39916</v>
      </c>
      <c r="B9370" t="s">
        <v>32484</v>
      </c>
      <c r="C9370">
        <v>0.34604022315299998</v>
      </c>
      <c r="D9370">
        <v>0.73279565368599997</v>
      </c>
      <c r="E9370">
        <v>4.17</v>
      </c>
    </row>
    <row r="9371" spans="1:5">
      <c r="A9371" t="s">
        <v>39916</v>
      </c>
      <c r="B9371" t="s">
        <v>32488</v>
      </c>
      <c r="C9371">
        <f>0</f>
        <v>0</v>
      </c>
      <c r="D9371">
        <v>0.73279565368599997</v>
      </c>
      <c r="E9371">
        <v>4.17</v>
      </c>
    </row>
    <row r="9372" spans="1:5">
      <c r="A9372" t="s">
        <v>39917</v>
      </c>
      <c r="B9372" t="s">
        <v>3743</v>
      </c>
      <c r="C9372">
        <f>0</f>
        <v>0</v>
      </c>
      <c r="D9372">
        <v>0.92033817186</v>
      </c>
      <c r="E9372">
        <v>18.347999999999999</v>
      </c>
    </row>
    <row r="9373" spans="1:5">
      <c r="A9373" t="s">
        <v>39917</v>
      </c>
      <c r="B9373" t="s">
        <v>3744</v>
      </c>
      <c r="C9373">
        <v>0</v>
      </c>
      <c r="D9373">
        <v>0.92033817186</v>
      </c>
      <c r="E9373">
        <v>18.347999999999999</v>
      </c>
    </row>
    <row r="9374" spans="1:5">
      <c r="A9374" t="s">
        <v>39917</v>
      </c>
      <c r="B9374" t="s">
        <v>3749</v>
      </c>
      <c r="C9374">
        <v>0</v>
      </c>
      <c r="D9374">
        <v>0.92033817186</v>
      </c>
      <c r="E9374">
        <v>18.347999999999999</v>
      </c>
    </row>
    <row r="9375" spans="1:5">
      <c r="A9375" t="s">
        <v>39917</v>
      </c>
      <c r="B9375" t="s">
        <v>3746</v>
      </c>
      <c r="C9375">
        <f>0.224988570881</f>
        <v>0.22498857088099999</v>
      </c>
      <c r="D9375">
        <v>0.92033817186</v>
      </c>
      <c r="E9375">
        <v>18.347999999999999</v>
      </c>
    </row>
    <row r="9376" spans="1:5">
      <c r="A9376" t="s">
        <v>39917</v>
      </c>
      <c r="B9376" t="s">
        <v>3747</v>
      </c>
      <c r="C9376">
        <v>0.70905296853199995</v>
      </c>
      <c r="D9376">
        <v>0.92033817186</v>
      </c>
      <c r="E9376">
        <v>18.347999999999999</v>
      </c>
    </row>
    <row r="9377" spans="1:5">
      <c r="A9377" t="s">
        <v>39917</v>
      </c>
      <c r="B9377" t="s">
        <v>3748</v>
      </c>
      <c r="C9377">
        <v>0</v>
      </c>
      <c r="D9377">
        <v>0.92033817186</v>
      </c>
      <c r="E9377">
        <v>18.347999999999999</v>
      </c>
    </row>
    <row r="9378" spans="1:5">
      <c r="A9378" t="s">
        <v>39918</v>
      </c>
      <c r="B9378" t="s">
        <v>32581</v>
      </c>
      <c r="C9378">
        <v>0</v>
      </c>
      <c r="D9378" t="s">
        <v>106</v>
      </c>
      <c r="E9378">
        <v>24</v>
      </c>
    </row>
    <row r="9379" spans="1:5">
      <c r="A9379" t="s">
        <v>39918</v>
      </c>
      <c r="B9379" t="s">
        <v>32582</v>
      </c>
      <c r="C9379">
        <v>0</v>
      </c>
      <c r="D9379" t="s">
        <v>106</v>
      </c>
      <c r="E9379">
        <v>24</v>
      </c>
    </row>
    <row r="9380" spans="1:5">
      <c r="A9380" t="s">
        <v>39918</v>
      </c>
      <c r="B9380" t="s">
        <v>32586</v>
      </c>
      <c r="C9380">
        <f>0</f>
        <v>0</v>
      </c>
      <c r="D9380" t="s">
        <v>106</v>
      </c>
      <c r="E9380">
        <v>24</v>
      </c>
    </row>
    <row r="9381" spans="1:5">
      <c r="A9381" t="s">
        <v>39918</v>
      </c>
      <c r="B9381" t="s">
        <v>32585</v>
      </c>
      <c r="C9381">
        <v>0</v>
      </c>
      <c r="D9381" t="s">
        <v>106</v>
      </c>
      <c r="E9381">
        <v>24</v>
      </c>
    </row>
    <row r="9382" spans="1:5">
      <c r="A9382" t="s">
        <v>39918</v>
      </c>
      <c r="B9382" t="s">
        <v>32587</v>
      </c>
      <c r="C9382">
        <f>0</f>
        <v>0</v>
      </c>
      <c r="D9382" t="s">
        <v>106</v>
      </c>
      <c r="E9382">
        <v>24</v>
      </c>
    </row>
    <row r="9383" spans="1:5">
      <c r="A9383" t="s">
        <v>39918</v>
      </c>
      <c r="B9383" t="s">
        <v>32584</v>
      </c>
      <c r="C9383">
        <v>0</v>
      </c>
      <c r="D9383" t="s">
        <v>106</v>
      </c>
      <c r="E9383">
        <v>24</v>
      </c>
    </row>
    <row r="9384" spans="1:5">
      <c r="A9384" t="s">
        <v>39918</v>
      </c>
      <c r="B9384" t="s">
        <v>32592</v>
      </c>
      <c r="C9384">
        <v>0</v>
      </c>
      <c r="D9384" t="s">
        <v>106</v>
      </c>
      <c r="E9384">
        <v>24</v>
      </c>
    </row>
    <row r="9385" spans="1:5">
      <c r="A9385" t="s">
        <v>39918</v>
      </c>
      <c r="B9385" t="s">
        <v>32593</v>
      </c>
      <c r="C9385">
        <v>0</v>
      </c>
      <c r="D9385" t="s">
        <v>106</v>
      </c>
      <c r="E9385">
        <v>24</v>
      </c>
    </row>
    <row r="9386" spans="1:5">
      <c r="A9386" t="s">
        <v>39919</v>
      </c>
      <c r="B9386" t="s">
        <v>39920</v>
      </c>
      <c r="C9386">
        <v>0</v>
      </c>
      <c r="D9386">
        <v>0.77724701068299995</v>
      </c>
      <c r="E9386">
        <v>9.0180000000000007</v>
      </c>
    </row>
    <row r="9387" spans="1:5">
      <c r="A9387" t="s">
        <v>39919</v>
      </c>
      <c r="B9387" t="s">
        <v>39921</v>
      </c>
      <c r="C9387">
        <v>0.69883701068299997</v>
      </c>
      <c r="D9387">
        <v>0.77724701068299995</v>
      </c>
      <c r="E9387">
        <v>9.0180000000000007</v>
      </c>
    </row>
    <row r="9388" spans="1:5">
      <c r="A9388" t="s">
        <v>39922</v>
      </c>
      <c r="B9388" t="s">
        <v>39923</v>
      </c>
      <c r="C9388">
        <v>0.18710581113399999</v>
      </c>
      <c r="D9388">
        <v>0.78664276965799995</v>
      </c>
      <c r="E9388">
        <v>6.5519999999999996</v>
      </c>
    </row>
    <row r="9389" spans="1:5">
      <c r="A9389" t="s">
        <v>39922</v>
      </c>
      <c r="B9389" t="s">
        <v>39924</v>
      </c>
      <c r="C9389">
        <v>0.65623624594999996</v>
      </c>
      <c r="D9389">
        <v>0.78664276965799995</v>
      </c>
      <c r="E9389">
        <v>6.5519999999999996</v>
      </c>
    </row>
    <row r="9390" spans="1:5">
      <c r="A9390" t="s">
        <v>39925</v>
      </c>
      <c r="B9390" t="s">
        <v>3568</v>
      </c>
      <c r="C9390">
        <f>0.195628217787</f>
        <v>0.19562821778700001</v>
      </c>
      <c r="D9390">
        <v>0.55563821778699996</v>
      </c>
      <c r="E9390">
        <v>24</v>
      </c>
    </row>
    <row r="9391" spans="1:5">
      <c r="A9391" t="s">
        <v>39925</v>
      </c>
      <c r="B9391" t="s">
        <v>3569</v>
      </c>
      <c r="C9391">
        <v>0</v>
      </c>
      <c r="D9391">
        <v>0.55563821778699996</v>
      </c>
      <c r="E9391">
        <v>24</v>
      </c>
    </row>
    <row r="9392" spans="1:5">
      <c r="A9392" t="s">
        <v>39926</v>
      </c>
      <c r="B9392" t="s">
        <v>22541</v>
      </c>
      <c r="C9392">
        <f>0.0116713917553</f>
        <v>1.1671391755299999E-2</v>
      </c>
      <c r="D9392">
        <v>0.81292105792400005</v>
      </c>
      <c r="E9392">
        <v>12.048</v>
      </c>
    </row>
    <row r="9393" spans="1:5">
      <c r="A9393" t="s">
        <v>39926</v>
      </c>
      <c r="B9393" t="s">
        <v>22544</v>
      </c>
      <c r="C9393">
        <f>0</f>
        <v>0</v>
      </c>
      <c r="D9393">
        <v>0.81292105792400005</v>
      </c>
      <c r="E9393">
        <v>12.048</v>
      </c>
    </row>
    <row r="9394" spans="1:5">
      <c r="A9394" t="s">
        <v>39926</v>
      </c>
      <c r="B9394" t="s">
        <v>22543</v>
      </c>
      <c r="C9394">
        <f>0.675895242532</f>
        <v>0.67589524253199995</v>
      </c>
      <c r="D9394">
        <v>0.81292105792400005</v>
      </c>
      <c r="E9394">
        <v>12.048</v>
      </c>
    </row>
    <row r="9395" spans="1:5">
      <c r="A9395" t="s">
        <v>39926</v>
      </c>
      <c r="B9395" t="s">
        <v>22542</v>
      </c>
      <c r="C9395">
        <v>0</v>
      </c>
      <c r="D9395">
        <v>0.81292105792400005</v>
      </c>
      <c r="E9395">
        <v>12.048</v>
      </c>
    </row>
    <row r="9396" spans="1:5">
      <c r="A9396" t="s">
        <v>39926</v>
      </c>
      <c r="B9396" t="s">
        <v>22540</v>
      </c>
      <c r="C9396">
        <v>0</v>
      </c>
      <c r="D9396">
        <v>0.81292105792400005</v>
      </c>
      <c r="E9396">
        <v>12.048</v>
      </c>
    </row>
    <row r="9397" spans="1:5">
      <c r="A9397" t="s">
        <v>39927</v>
      </c>
      <c r="B9397" t="s">
        <v>34311</v>
      </c>
      <c r="C9397">
        <f>-1.09001598181</f>
        <v>-1.0900159818099999</v>
      </c>
      <c r="D9397">
        <v>0.84488541124200001</v>
      </c>
      <c r="E9397">
        <v>4.9080000000000004</v>
      </c>
    </row>
    <row r="9398" spans="1:5">
      <c r="A9398" t="s">
        <v>39927</v>
      </c>
      <c r="B9398" t="s">
        <v>34312</v>
      </c>
      <c r="C9398">
        <v>0.480521240588</v>
      </c>
      <c r="D9398">
        <v>0.84488541124200001</v>
      </c>
      <c r="E9398">
        <v>4.9080000000000004</v>
      </c>
    </row>
    <row r="9399" spans="1:5">
      <c r="A9399" t="s">
        <v>39928</v>
      </c>
      <c r="B9399" t="s">
        <v>31410</v>
      </c>
      <c r="C9399">
        <f>0</f>
        <v>0</v>
      </c>
      <c r="D9399" t="s">
        <v>106</v>
      </c>
      <c r="E9399">
        <v>24</v>
      </c>
    </row>
    <row r="9400" spans="1:5">
      <c r="A9400" t="s">
        <v>39928</v>
      </c>
      <c r="B9400" t="s">
        <v>31409</v>
      </c>
      <c r="C9400">
        <f>0</f>
        <v>0</v>
      </c>
      <c r="D9400" t="s">
        <v>106</v>
      </c>
      <c r="E9400">
        <v>24</v>
      </c>
    </row>
    <row r="9401" spans="1:5">
      <c r="A9401" t="s">
        <v>39928</v>
      </c>
      <c r="B9401" t="s">
        <v>31411</v>
      </c>
      <c r="C9401">
        <v>0</v>
      </c>
      <c r="D9401" t="s">
        <v>106</v>
      </c>
      <c r="E9401">
        <v>24</v>
      </c>
    </row>
    <row r="9402" spans="1:5">
      <c r="A9402" t="s">
        <v>39929</v>
      </c>
      <c r="B9402" t="s">
        <v>39930</v>
      </c>
      <c r="C9402">
        <v>0</v>
      </c>
      <c r="D9402" t="s">
        <v>106</v>
      </c>
      <c r="E9402">
        <v>23.754000000000001</v>
      </c>
    </row>
    <row r="9403" spans="1:5">
      <c r="A9403" t="s">
        <v>39929</v>
      </c>
      <c r="B9403" t="s">
        <v>39931</v>
      </c>
      <c r="C9403">
        <v>0</v>
      </c>
      <c r="D9403" t="s">
        <v>106</v>
      </c>
      <c r="E9403">
        <v>23.754000000000001</v>
      </c>
    </row>
    <row r="9404" spans="1:5">
      <c r="A9404" t="s">
        <v>39929</v>
      </c>
      <c r="B9404" t="s">
        <v>39932</v>
      </c>
      <c r="C9404">
        <v>0</v>
      </c>
      <c r="D9404" t="s">
        <v>106</v>
      </c>
      <c r="E9404">
        <v>23.754000000000001</v>
      </c>
    </row>
    <row r="9405" spans="1:5">
      <c r="A9405" t="s">
        <v>39929</v>
      </c>
      <c r="B9405" t="s">
        <v>39933</v>
      </c>
      <c r="C9405">
        <v>0</v>
      </c>
      <c r="D9405" t="s">
        <v>106</v>
      </c>
      <c r="E9405">
        <v>23.754000000000001</v>
      </c>
    </row>
    <row r="9406" spans="1:5">
      <c r="A9406" t="s">
        <v>39934</v>
      </c>
      <c r="B9406" t="s">
        <v>24981</v>
      </c>
      <c r="C9406">
        <f>0.583257041223</f>
        <v>0.58325704122300004</v>
      </c>
      <c r="D9406">
        <v>0.68566704122300004</v>
      </c>
      <c r="E9406">
        <v>10.398</v>
      </c>
    </row>
    <row r="9407" spans="1:5">
      <c r="A9407" t="s">
        <v>39934</v>
      </c>
      <c r="B9407" t="s">
        <v>24982</v>
      </c>
      <c r="C9407">
        <f>0</f>
        <v>0</v>
      </c>
      <c r="D9407">
        <v>0.68566704122300004</v>
      </c>
      <c r="E9407">
        <v>10.398</v>
      </c>
    </row>
    <row r="9408" spans="1:5">
      <c r="A9408" t="s">
        <v>39935</v>
      </c>
      <c r="B9408" t="s">
        <v>39936</v>
      </c>
      <c r="C9408">
        <f>0.927791937948</f>
        <v>0.92779193794799997</v>
      </c>
      <c r="D9408">
        <v>0.99366660969099996</v>
      </c>
      <c r="E9408">
        <v>23.754000000000001</v>
      </c>
    </row>
    <row r="9409" spans="1:5">
      <c r="A9409" t="s">
        <v>39935</v>
      </c>
      <c r="B9409" t="s">
        <v>39937</v>
      </c>
      <c r="C9409">
        <f>0.92896422836</f>
        <v>0.92896422836000003</v>
      </c>
      <c r="D9409">
        <v>0.99366660969099996</v>
      </c>
      <c r="E9409">
        <v>23.754000000000001</v>
      </c>
    </row>
    <row r="9410" spans="1:5">
      <c r="A9410" t="s">
        <v>39935</v>
      </c>
      <c r="B9410" t="s">
        <v>39938</v>
      </c>
      <c r="C9410">
        <v>1.2734345409800001</v>
      </c>
      <c r="D9410">
        <v>0.99366660969099996</v>
      </c>
      <c r="E9410">
        <v>23.754000000000001</v>
      </c>
    </row>
    <row r="9411" spans="1:5">
      <c r="A9411" t="s">
        <v>39935</v>
      </c>
      <c r="B9411" t="s">
        <v>39939</v>
      </c>
      <c r="C9411">
        <f>0.379275021415</f>
        <v>0.37927502141500002</v>
      </c>
      <c r="D9411">
        <v>0.99366660969099996</v>
      </c>
      <c r="E9411">
        <v>23.754000000000001</v>
      </c>
    </row>
    <row r="9412" spans="1:5">
      <c r="A9412" t="s">
        <v>39935</v>
      </c>
      <c r="B9412" t="s">
        <v>39940</v>
      </c>
      <c r="C9412">
        <f>0.210640979797</f>
        <v>0.210640979797</v>
      </c>
      <c r="D9412">
        <v>0.99366660969099996</v>
      </c>
      <c r="E9412">
        <v>23.754000000000001</v>
      </c>
    </row>
    <row r="9413" spans="1:5">
      <c r="A9413" t="s">
        <v>39935</v>
      </c>
      <c r="B9413" t="s">
        <v>39941</v>
      </c>
      <c r="C9413">
        <f>0.914148549174</f>
        <v>0.91414854917400001</v>
      </c>
      <c r="D9413">
        <v>0.99366660969099996</v>
      </c>
      <c r="E9413">
        <v>23.754000000000001</v>
      </c>
    </row>
    <row r="9414" spans="1:5">
      <c r="A9414" t="s">
        <v>39942</v>
      </c>
      <c r="B9414" t="s">
        <v>39943</v>
      </c>
      <c r="C9414">
        <v>0</v>
      </c>
      <c r="D9414">
        <v>0.67475344909400004</v>
      </c>
      <c r="E9414">
        <v>6.5519999999999996</v>
      </c>
    </row>
    <row r="9415" spans="1:5">
      <c r="A9415" t="s">
        <v>39942</v>
      </c>
      <c r="B9415" t="s">
        <v>39944</v>
      </c>
      <c r="C9415">
        <f>0.572343449094</f>
        <v>0.57234344909400003</v>
      </c>
      <c r="D9415">
        <v>0.67475344909400004</v>
      </c>
      <c r="E9415">
        <v>6.5519999999999996</v>
      </c>
    </row>
    <row r="9416" spans="1:5">
      <c r="A9416" t="s">
        <v>39945</v>
      </c>
      <c r="B9416" t="s">
        <v>5696</v>
      </c>
      <c r="C9416">
        <f>0</f>
        <v>0</v>
      </c>
      <c r="D9416">
        <v>0.83508701742400004</v>
      </c>
      <c r="E9416">
        <v>3.6840000000000002</v>
      </c>
    </row>
    <row r="9417" spans="1:5">
      <c r="A9417" t="s">
        <v>39945</v>
      </c>
      <c r="B9417" t="s">
        <v>5693</v>
      </c>
      <c r="C9417">
        <v>0.54479895645300003</v>
      </c>
      <c r="D9417">
        <v>0.83508701742400004</v>
      </c>
      <c r="E9417">
        <v>3.6840000000000002</v>
      </c>
    </row>
    <row r="9418" spans="1:5">
      <c r="A9418" t="s">
        <v>39945</v>
      </c>
      <c r="B9418" t="s">
        <v>5698</v>
      </c>
      <c r="C9418">
        <f>0</f>
        <v>0</v>
      </c>
      <c r="D9418">
        <v>0.83508701742400004</v>
      </c>
      <c r="E9418">
        <v>3.6840000000000002</v>
      </c>
    </row>
    <row r="9419" spans="1:5">
      <c r="A9419" t="s">
        <v>39945</v>
      </c>
      <c r="B9419" t="s">
        <v>5697</v>
      </c>
      <c r="C9419">
        <v>3.9101502668500002E-2</v>
      </c>
      <c r="D9419">
        <v>0.83508701742400004</v>
      </c>
      <c r="E9419">
        <v>3.6840000000000002</v>
      </c>
    </row>
    <row r="9420" spans="1:5">
      <c r="A9420" t="s">
        <v>39946</v>
      </c>
      <c r="B9420" t="s">
        <v>3774</v>
      </c>
      <c r="C9420">
        <v>0</v>
      </c>
      <c r="D9420" t="s">
        <v>106</v>
      </c>
      <c r="E9420">
        <v>10.878</v>
      </c>
    </row>
    <row r="9421" spans="1:5">
      <c r="A9421" t="s">
        <v>39946</v>
      </c>
      <c r="B9421" t="s">
        <v>3778</v>
      </c>
      <c r="C9421">
        <v>0</v>
      </c>
      <c r="D9421" t="s">
        <v>106</v>
      </c>
      <c r="E9421">
        <v>10.878</v>
      </c>
    </row>
    <row r="9422" spans="1:5">
      <c r="A9422" t="s">
        <v>39946</v>
      </c>
      <c r="B9422" t="s">
        <v>3773</v>
      </c>
      <c r="C9422">
        <v>0</v>
      </c>
      <c r="D9422" t="s">
        <v>106</v>
      </c>
      <c r="E9422">
        <v>10.878</v>
      </c>
    </row>
    <row r="9423" spans="1:5">
      <c r="A9423" t="s">
        <v>39947</v>
      </c>
      <c r="B9423" t="s">
        <v>32185</v>
      </c>
      <c r="C9423">
        <f>0</f>
        <v>0</v>
      </c>
      <c r="D9423">
        <v>0.641826271251</v>
      </c>
      <c r="E9423">
        <v>5.82</v>
      </c>
    </row>
    <row r="9424" spans="1:5">
      <c r="A9424" t="s">
        <v>39947</v>
      </c>
      <c r="B9424" t="s">
        <v>32175</v>
      </c>
      <c r="C9424">
        <v>0</v>
      </c>
      <c r="D9424">
        <v>0.641826271251</v>
      </c>
      <c r="E9424">
        <v>5.82</v>
      </c>
    </row>
    <row r="9425" spans="1:5">
      <c r="A9425" t="s">
        <v>39947</v>
      </c>
      <c r="B9425" t="s">
        <v>32174</v>
      </c>
      <c r="C9425">
        <v>0</v>
      </c>
      <c r="D9425">
        <v>0.641826271251</v>
      </c>
      <c r="E9425">
        <v>5.82</v>
      </c>
    </row>
    <row r="9426" spans="1:5">
      <c r="A9426" t="s">
        <v>39947</v>
      </c>
      <c r="B9426" t="s">
        <v>32173</v>
      </c>
      <c r="C9426">
        <f>0</f>
        <v>0</v>
      </c>
      <c r="D9426">
        <v>0.641826271251</v>
      </c>
      <c r="E9426">
        <v>5.82</v>
      </c>
    </row>
    <row r="9427" spans="1:5">
      <c r="A9427" t="s">
        <v>39947</v>
      </c>
      <c r="B9427" t="s">
        <v>32176</v>
      </c>
      <c r="C9427">
        <v>0</v>
      </c>
      <c r="D9427">
        <v>0.641826271251</v>
      </c>
      <c r="E9427">
        <v>5.82</v>
      </c>
    </row>
    <row r="9428" spans="1:5">
      <c r="A9428" t="s">
        <v>39947</v>
      </c>
      <c r="B9428" t="s">
        <v>32182</v>
      </c>
      <c r="C9428">
        <v>0</v>
      </c>
      <c r="D9428">
        <v>0.641826271251</v>
      </c>
      <c r="E9428">
        <v>5.82</v>
      </c>
    </row>
    <row r="9429" spans="1:5">
      <c r="A9429" t="s">
        <v>39947</v>
      </c>
      <c r="B9429" t="s">
        <v>32179</v>
      </c>
      <c r="C9429">
        <v>0.17941627125099999</v>
      </c>
      <c r="D9429">
        <v>0.641826271251</v>
      </c>
      <c r="E9429">
        <v>5.82</v>
      </c>
    </row>
    <row r="9430" spans="1:5">
      <c r="A9430" t="s">
        <v>39947</v>
      </c>
      <c r="B9430" t="s">
        <v>32183</v>
      </c>
      <c r="C9430">
        <v>0</v>
      </c>
      <c r="D9430">
        <v>0.641826271251</v>
      </c>
      <c r="E9430">
        <v>5.82</v>
      </c>
    </row>
    <row r="9431" spans="1:5">
      <c r="A9431" t="s">
        <v>39947</v>
      </c>
      <c r="B9431" t="s">
        <v>32181</v>
      </c>
      <c r="C9431">
        <v>0</v>
      </c>
      <c r="D9431">
        <v>0.641826271251</v>
      </c>
      <c r="E9431">
        <v>5.82</v>
      </c>
    </row>
    <row r="9432" spans="1:5">
      <c r="A9432" t="s">
        <v>39947</v>
      </c>
      <c r="B9432" t="s">
        <v>32180</v>
      </c>
      <c r="C9432">
        <v>0</v>
      </c>
      <c r="D9432">
        <v>0.641826271251</v>
      </c>
      <c r="E9432">
        <v>5.82</v>
      </c>
    </row>
    <row r="9433" spans="1:5">
      <c r="A9433" t="s">
        <v>39947</v>
      </c>
      <c r="B9433" t="s">
        <v>32184</v>
      </c>
      <c r="C9433">
        <v>0</v>
      </c>
      <c r="D9433">
        <v>0.641826271251</v>
      </c>
      <c r="E9433">
        <v>5.82</v>
      </c>
    </row>
    <row r="9434" spans="1:5">
      <c r="A9434" t="s">
        <v>39947</v>
      </c>
      <c r="B9434" t="s">
        <v>32177</v>
      </c>
      <c r="C9434">
        <v>0</v>
      </c>
      <c r="D9434">
        <v>0.641826271251</v>
      </c>
      <c r="E9434">
        <v>5.82</v>
      </c>
    </row>
    <row r="9435" spans="1:5">
      <c r="A9435" t="s">
        <v>39947</v>
      </c>
      <c r="B9435" t="s">
        <v>32186</v>
      </c>
      <c r="C9435">
        <v>0</v>
      </c>
      <c r="D9435">
        <v>0.641826271251</v>
      </c>
      <c r="E9435">
        <v>5.82</v>
      </c>
    </row>
    <row r="9436" spans="1:5">
      <c r="A9436" t="s">
        <v>39948</v>
      </c>
      <c r="B9436" t="s">
        <v>39949</v>
      </c>
      <c r="C9436">
        <f>0</f>
        <v>0</v>
      </c>
      <c r="D9436" t="s">
        <v>106</v>
      </c>
      <c r="E9436">
        <v>10.08</v>
      </c>
    </row>
    <row r="9437" spans="1:5">
      <c r="A9437" t="s">
        <v>39948</v>
      </c>
      <c r="B9437" t="s">
        <v>39950</v>
      </c>
      <c r="C9437">
        <f>0</f>
        <v>0</v>
      </c>
      <c r="D9437" t="s">
        <v>106</v>
      </c>
      <c r="E9437">
        <v>10.08</v>
      </c>
    </row>
    <row r="9438" spans="1:5">
      <c r="A9438" t="s">
        <v>39948</v>
      </c>
      <c r="B9438" t="s">
        <v>39951</v>
      </c>
      <c r="C9438">
        <v>0</v>
      </c>
      <c r="D9438" t="s">
        <v>106</v>
      </c>
      <c r="E9438">
        <v>10.08</v>
      </c>
    </row>
    <row r="9439" spans="1:5">
      <c r="A9439" t="s">
        <v>39948</v>
      </c>
      <c r="B9439" t="s">
        <v>39952</v>
      </c>
      <c r="C9439">
        <f>0</f>
        <v>0</v>
      </c>
      <c r="D9439" t="s">
        <v>106</v>
      </c>
      <c r="E9439">
        <v>10.08</v>
      </c>
    </row>
    <row r="9440" spans="1:5">
      <c r="A9440" t="s">
        <v>39948</v>
      </c>
      <c r="B9440" t="s">
        <v>39953</v>
      </c>
      <c r="C9440">
        <f>0</f>
        <v>0</v>
      </c>
      <c r="D9440" t="s">
        <v>106</v>
      </c>
      <c r="E9440">
        <v>10.08</v>
      </c>
    </row>
    <row r="9441" spans="1:5">
      <c r="A9441" t="s">
        <v>39954</v>
      </c>
      <c r="B9441" t="s">
        <v>39955</v>
      </c>
      <c r="C9441">
        <v>0</v>
      </c>
      <c r="D9441" t="s">
        <v>106</v>
      </c>
      <c r="E9441">
        <v>23.04</v>
      </c>
    </row>
    <row r="9442" spans="1:5">
      <c r="A9442" t="s">
        <v>39954</v>
      </c>
      <c r="B9442" t="s">
        <v>39956</v>
      </c>
      <c r="C9442">
        <v>0</v>
      </c>
      <c r="D9442" t="s">
        <v>106</v>
      </c>
      <c r="E9442">
        <v>23.04</v>
      </c>
    </row>
    <row r="9443" spans="1:5">
      <c r="A9443" t="s">
        <v>39954</v>
      </c>
      <c r="B9443" t="s">
        <v>39957</v>
      </c>
      <c r="C9443">
        <v>0</v>
      </c>
      <c r="D9443" t="s">
        <v>106</v>
      </c>
      <c r="E9443">
        <v>23.04</v>
      </c>
    </row>
    <row r="9444" spans="1:5">
      <c r="A9444" t="s">
        <v>39954</v>
      </c>
      <c r="B9444" t="s">
        <v>39958</v>
      </c>
      <c r="C9444">
        <v>0</v>
      </c>
      <c r="D9444" t="s">
        <v>106</v>
      </c>
      <c r="E9444">
        <v>23.04</v>
      </c>
    </row>
    <row r="9445" spans="1:5">
      <c r="A9445" t="s">
        <v>39959</v>
      </c>
      <c r="B9445" t="s">
        <v>39960</v>
      </c>
      <c r="C9445">
        <v>1.2108751874300001</v>
      </c>
      <c r="D9445">
        <v>0.999645331315</v>
      </c>
      <c r="E9445">
        <v>10.242000000000001</v>
      </c>
    </row>
    <row r="9446" spans="1:5">
      <c r="A9446" t="s">
        <v>39959</v>
      </c>
      <c r="B9446" t="s">
        <v>39961</v>
      </c>
      <c r="C9446">
        <f>0.812668190507</f>
        <v>0.81266819050700001</v>
      </c>
      <c r="D9446">
        <v>0.999645331315</v>
      </c>
      <c r="E9446">
        <v>10.242000000000001</v>
      </c>
    </row>
    <row r="9447" spans="1:5">
      <c r="A9447" t="s">
        <v>39959</v>
      </c>
      <c r="B9447" t="s">
        <v>39962</v>
      </c>
      <c r="C9447">
        <f>0.584054918356</f>
        <v>0.58405491835599999</v>
      </c>
      <c r="D9447">
        <v>0.999645331315</v>
      </c>
      <c r="E9447">
        <v>10.242000000000001</v>
      </c>
    </row>
    <row r="9448" spans="1:5">
      <c r="A9448" t="s">
        <v>39959</v>
      </c>
      <c r="B9448" t="s">
        <v>39963</v>
      </c>
      <c r="C9448">
        <v>7.0136952872599995E-2</v>
      </c>
      <c r="D9448">
        <v>0.999645331315</v>
      </c>
      <c r="E9448">
        <v>10.242000000000001</v>
      </c>
    </row>
    <row r="9449" spans="1:5">
      <c r="A9449" t="s">
        <v>39959</v>
      </c>
      <c r="B9449" t="s">
        <v>39964</v>
      </c>
      <c r="C9449">
        <v>0.125408502064</v>
      </c>
      <c r="D9449">
        <v>0.999645331315</v>
      </c>
      <c r="E9449">
        <v>10.242000000000001</v>
      </c>
    </row>
    <row r="9450" spans="1:5">
      <c r="A9450" t="s">
        <v>39959</v>
      </c>
      <c r="B9450" t="s">
        <v>39965</v>
      </c>
      <c r="C9450">
        <f>0.758630865128</f>
        <v>0.75863086512800004</v>
      </c>
      <c r="D9450">
        <v>0.999645331315</v>
      </c>
      <c r="E9450">
        <v>10.242000000000001</v>
      </c>
    </row>
    <row r="9451" spans="1:5">
      <c r="A9451" t="s">
        <v>39959</v>
      </c>
      <c r="B9451" t="s">
        <v>39966</v>
      </c>
      <c r="C9451">
        <v>0.31092345137499999</v>
      </c>
      <c r="D9451">
        <v>0.999645331315</v>
      </c>
      <c r="E9451">
        <v>10.242000000000001</v>
      </c>
    </row>
    <row r="9452" spans="1:5">
      <c r="A9452" t="s">
        <v>39967</v>
      </c>
      <c r="B9452" t="s">
        <v>39968</v>
      </c>
      <c r="C9452">
        <v>0</v>
      </c>
      <c r="D9452" t="s">
        <v>106</v>
      </c>
      <c r="E9452">
        <v>10.08</v>
      </c>
    </row>
    <row r="9453" spans="1:5">
      <c r="A9453" t="s">
        <v>39967</v>
      </c>
      <c r="B9453" t="s">
        <v>39969</v>
      </c>
      <c r="C9453">
        <v>0</v>
      </c>
      <c r="D9453" t="s">
        <v>106</v>
      </c>
      <c r="E9453">
        <v>10.08</v>
      </c>
    </row>
    <row r="9454" spans="1:5">
      <c r="A9454" t="s">
        <v>39967</v>
      </c>
      <c r="B9454" t="s">
        <v>39970</v>
      </c>
      <c r="C9454">
        <v>0</v>
      </c>
      <c r="D9454" t="s">
        <v>106</v>
      </c>
      <c r="E9454">
        <v>10.08</v>
      </c>
    </row>
    <row r="9455" spans="1:5">
      <c r="A9455" t="s">
        <v>39971</v>
      </c>
      <c r="B9455" t="s">
        <v>39972</v>
      </c>
      <c r="C9455">
        <v>0.81717527070999996</v>
      </c>
      <c r="D9455">
        <v>0.83316127038599996</v>
      </c>
      <c r="E9455">
        <v>0.82799999999999996</v>
      </c>
    </row>
    <row r="9456" spans="1:5">
      <c r="A9456" t="s">
        <v>39971</v>
      </c>
      <c r="B9456" t="s">
        <v>39973</v>
      </c>
      <c r="C9456">
        <v>0.441153739258</v>
      </c>
      <c r="D9456">
        <v>0.83316127038599996</v>
      </c>
      <c r="E9456">
        <v>0.82799999999999996</v>
      </c>
    </row>
    <row r="9457" spans="1:5">
      <c r="A9457" t="s">
        <v>39974</v>
      </c>
      <c r="B9457" t="s">
        <v>5100</v>
      </c>
      <c r="C9457">
        <v>0</v>
      </c>
      <c r="D9457" t="s">
        <v>106</v>
      </c>
      <c r="E9457">
        <v>8.4359999999999999</v>
      </c>
    </row>
    <row r="9458" spans="1:5">
      <c r="A9458" t="s">
        <v>39974</v>
      </c>
      <c r="B9458" t="s">
        <v>5102</v>
      </c>
      <c r="C9458">
        <v>0</v>
      </c>
      <c r="D9458" t="s">
        <v>106</v>
      </c>
      <c r="E9458">
        <v>8.4359999999999999</v>
      </c>
    </row>
    <row r="9459" spans="1:5">
      <c r="A9459" t="s">
        <v>39974</v>
      </c>
      <c r="B9459" t="s">
        <v>5101</v>
      </c>
      <c r="C9459">
        <v>0</v>
      </c>
      <c r="D9459" t="s">
        <v>106</v>
      </c>
      <c r="E9459">
        <v>8.4359999999999999</v>
      </c>
    </row>
    <row r="9460" spans="1:5">
      <c r="A9460" t="s">
        <v>39975</v>
      </c>
      <c r="B9460" t="s">
        <v>8647</v>
      </c>
      <c r="C9460">
        <f>0</f>
        <v>0</v>
      </c>
      <c r="D9460" t="s">
        <v>106</v>
      </c>
      <c r="E9460">
        <v>24</v>
      </c>
    </row>
    <row r="9461" spans="1:5">
      <c r="A9461" t="s">
        <v>39975</v>
      </c>
      <c r="B9461" t="s">
        <v>8646</v>
      </c>
      <c r="C9461">
        <f>0</f>
        <v>0</v>
      </c>
      <c r="D9461" t="s">
        <v>106</v>
      </c>
      <c r="E9461">
        <v>24</v>
      </c>
    </row>
    <row r="9462" spans="1:5">
      <c r="A9462" t="s">
        <v>39976</v>
      </c>
      <c r="B9462" t="s">
        <v>29279</v>
      </c>
      <c r="C9462">
        <f>0</f>
        <v>0</v>
      </c>
      <c r="D9462" t="s">
        <v>106</v>
      </c>
      <c r="E9462">
        <v>24</v>
      </c>
    </row>
    <row r="9463" spans="1:5">
      <c r="A9463" t="s">
        <v>39976</v>
      </c>
      <c r="B9463" t="s">
        <v>29282</v>
      </c>
      <c r="C9463">
        <f>0</f>
        <v>0</v>
      </c>
      <c r="D9463" t="s">
        <v>106</v>
      </c>
      <c r="E9463">
        <v>24</v>
      </c>
    </row>
    <row r="9464" spans="1:5">
      <c r="A9464" t="s">
        <v>39976</v>
      </c>
      <c r="B9464" t="s">
        <v>29283</v>
      </c>
      <c r="C9464">
        <f>0</f>
        <v>0</v>
      </c>
      <c r="D9464" t="s">
        <v>106</v>
      </c>
      <c r="E9464">
        <v>24</v>
      </c>
    </row>
    <row r="9465" spans="1:5">
      <c r="A9465" t="s">
        <v>39976</v>
      </c>
      <c r="B9465" t="s">
        <v>29280</v>
      </c>
      <c r="C9465">
        <f>0</f>
        <v>0</v>
      </c>
      <c r="D9465" t="s">
        <v>106</v>
      </c>
      <c r="E9465">
        <v>24</v>
      </c>
    </row>
    <row r="9466" spans="1:5">
      <c r="A9466" t="s">
        <v>39976</v>
      </c>
      <c r="B9466" t="s">
        <v>29284</v>
      </c>
      <c r="C9466">
        <f>0</f>
        <v>0</v>
      </c>
      <c r="D9466" t="s">
        <v>106</v>
      </c>
      <c r="E9466">
        <v>24</v>
      </c>
    </row>
    <row r="9467" spans="1:5">
      <c r="A9467" t="s">
        <v>39977</v>
      </c>
      <c r="B9467" t="s">
        <v>33930</v>
      </c>
      <c r="C9467">
        <v>0.12817638969</v>
      </c>
      <c r="D9467">
        <v>0.99926255023499999</v>
      </c>
      <c r="E9467">
        <v>0</v>
      </c>
    </row>
    <row r="9468" spans="1:5">
      <c r="A9468" t="s">
        <v>39977</v>
      </c>
      <c r="B9468" t="s">
        <v>33922</v>
      </c>
      <c r="C9468">
        <f>-1.08794020637</f>
        <v>-1.0879402063700001</v>
      </c>
      <c r="D9468">
        <v>0.99926255023499999</v>
      </c>
      <c r="E9468">
        <v>0</v>
      </c>
    </row>
    <row r="9469" spans="1:5">
      <c r="A9469" t="s">
        <v>39977</v>
      </c>
      <c r="B9469" t="s">
        <v>33927</v>
      </c>
      <c r="C9469">
        <v>0.26418596683099999</v>
      </c>
      <c r="D9469">
        <v>0.99926255023499999</v>
      </c>
      <c r="E9469">
        <v>0</v>
      </c>
    </row>
    <row r="9470" spans="1:5">
      <c r="A9470" t="s">
        <v>39977</v>
      </c>
      <c r="B9470" t="s">
        <v>33925</v>
      </c>
      <c r="C9470">
        <f>0.104155343405</f>
        <v>0.104155343405</v>
      </c>
      <c r="D9470">
        <v>0.99926255023499999</v>
      </c>
      <c r="E9470">
        <v>0</v>
      </c>
    </row>
    <row r="9471" spans="1:5">
      <c r="A9471" t="s">
        <v>39977</v>
      </c>
      <c r="B9471" t="s">
        <v>33928</v>
      </c>
      <c r="C9471">
        <f>0.429987884599</f>
        <v>0.429987884599</v>
      </c>
      <c r="D9471">
        <v>0.99926255023499999</v>
      </c>
      <c r="E9471">
        <v>0</v>
      </c>
    </row>
    <row r="9472" spans="1:5">
      <c r="A9472" t="s">
        <v>39977</v>
      </c>
      <c r="B9472" t="s">
        <v>33929</v>
      </c>
      <c r="C9472">
        <f>0.0402838212001</f>
        <v>4.0283821200100003E-2</v>
      </c>
      <c r="D9472">
        <v>0.99926255023499999</v>
      </c>
      <c r="E9472">
        <v>0</v>
      </c>
    </row>
    <row r="9473" spans="1:5">
      <c r="A9473" t="s">
        <v>39977</v>
      </c>
      <c r="B9473" t="s">
        <v>33926</v>
      </c>
      <c r="C9473">
        <v>0.28548833299100002</v>
      </c>
      <c r="D9473">
        <v>0.99926255023499999</v>
      </c>
      <c r="E9473">
        <v>0</v>
      </c>
    </row>
    <row r="9474" spans="1:5">
      <c r="A9474" t="s">
        <v>39978</v>
      </c>
      <c r="B9474" t="s">
        <v>17671</v>
      </c>
      <c r="C9474">
        <f>0</f>
        <v>0</v>
      </c>
      <c r="D9474" t="s">
        <v>106</v>
      </c>
      <c r="E9474">
        <v>20.963999999999999</v>
      </c>
    </row>
    <row r="9475" spans="1:5">
      <c r="A9475" t="s">
        <v>39978</v>
      </c>
      <c r="B9475" t="s">
        <v>17672</v>
      </c>
      <c r="C9475">
        <f>0</f>
        <v>0</v>
      </c>
      <c r="D9475" t="s">
        <v>106</v>
      </c>
      <c r="E9475">
        <v>20.963999999999999</v>
      </c>
    </row>
    <row r="9476" spans="1:5">
      <c r="A9476" t="s">
        <v>39979</v>
      </c>
      <c r="B9476" t="s">
        <v>9700</v>
      </c>
      <c r="C9476">
        <v>0.148927464294</v>
      </c>
      <c r="D9476">
        <v>0.99236187617899996</v>
      </c>
      <c r="E9476">
        <v>1.5720000000000001</v>
      </c>
    </row>
    <row r="9477" spans="1:5">
      <c r="A9477" t="s">
        <v>39979</v>
      </c>
      <c r="B9477" t="s">
        <v>9703</v>
      </c>
      <c r="C9477">
        <v>0.91051739646700003</v>
      </c>
      <c r="D9477">
        <v>0.99236187617899996</v>
      </c>
      <c r="E9477">
        <v>1.5720000000000001</v>
      </c>
    </row>
    <row r="9478" spans="1:5">
      <c r="A9478" t="s">
        <v>39979</v>
      </c>
      <c r="B9478" t="s">
        <v>9699</v>
      </c>
      <c r="C9478">
        <v>0.45238281885100001</v>
      </c>
      <c r="D9478">
        <v>0.99236187617899996</v>
      </c>
      <c r="E9478">
        <v>1.5720000000000001</v>
      </c>
    </row>
    <row r="9479" spans="1:5">
      <c r="A9479" t="s">
        <v>39979</v>
      </c>
      <c r="B9479" t="s">
        <v>9702</v>
      </c>
      <c r="C9479">
        <v>0.118680282436</v>
      </c>
      <c r="D9479">
        <v>0.99236187617899996</v>
      </c>
      <c r="E9479">
        <v>1.5720000000000001</v>
      </c>
    </row>
    <row r="9480" spans="1:5">
      <c r="A9480" t="s">
        <v>39980</v>
      </c>
      <c r="B9480" t="s">
        <v>15963</v>
      </c>
      <c r="C9480">
        <v>0.50544078547399995</v>
      </c>
      <c r="D9480">
        <v>0.59186751453599995</v>
      </c>
      <c r="E9480">
        <v>8.4359999999999999</v>
      </c>
    </row>
    <row r="9481" spans="1:5">
      <c r="A9481" t="s">
        <v>39980</v>
      </c>
      <c r="B9481" t="s">
        <v>15964</v>
      </c>
      <c r="C9481">
        <v>0.53602613133800003</v>
      </c>
      <c r="D9481">
        <v>0.59186751453599995</v>
      </c>
      <c r="E9481">
        <v>8.4359999999999999</v>
      </c>
    </row>
    <row r="9482" spans="1:5">
      <c r="A9482" t="s">
        <v>39981</v>
      </c>
      <c r="B9482" t="s">
        <v>13808</v>
      </c>
      <c r="C9482">
        <f>0</f>
        <v>0</v>
      </c>
      <c r="D9482" t="s">
        <v>106</v>
      </c>
      <c r="E9482">
        <v>1.6379999999999999</v>
      </c>
    </row>
    <row r="9483" spans="1:5">
      <c r="A9483" t="s">
        <v>39981</v>
      </c>
      <c r="B9483" t="s">
        <v>13809</v>
      </c>
      <c r="C9483">
        <v>0</v>
      </c>
      <c r="D9483" t="s">
        <v>106</v>
      </c>
      <c r="E9483">
        <v>1.6379999999999999</v>
      </c>
    </row>
    <row r="9484" spans="1:5">
      <c r="A9484" t="s">
        <v>39982</v>
      </c>
      <c r="B9484" t="s">
        <v>23646</v>
      </c>
      <c r="C9484">
        <f>0</f>
        <v>0</v>
      </c>
      <c r="D9484" t="s">
        <v>106</v>
      </c>
      <c r="E9484">
        <v>1.512</v>
      </c>
    </row>
    <row r="9485" spans="1:5">
      <c r="A9485" t="s">
        <v>39982</v>
      </c>
      <c r="B9485" t="s">
        <v>23649</v>
      </c>
      <c r="C9485">
        <f>0</f>
        <v>0</v>
      </c>
      <c r="D9485" t="s">
        <v>106</v>
      </c>
      <c r="E9485">
        <v>1.512</v>
      </c>
    </row>
    <row r="9486" spans="1:5">
      <c r="A9486" t="s">
        <v>39983</v>
      </c>
      <c r="B9486" t="s">
        <v>9492</v>
      </c>
      <c r="C9486">
        <v>0.16539232788700001</v>
      </c>
      <c r="D9486">
        <v>0.89253646932999997</v>
      </c>
      <c r="E9486">
        <v>1.764</v>
      </c>
    </row>
    <row r="9487" spans="1:5">
      <c r="A9487" t="s">
        <v>39983</v>
      </c>
      <c r="B9487" t="s">
        <v>9494</v>
      </c>
      <c r="C9487">
        <v>0.88699620050799999</v>
      </c>
      <c r="D9487">
        <v>0.89253646932999997</v>
      </c>
      <c r="E9487">
        <v>1.764</v>
      </c>
    </row>
    <row r="9488" spans="1:5">
      <c r="A9488" t="s">
        <v>39984</v>
      </c>
      <c r="B9488" t="s">
        <v>26656</v>
      </c>
      <c r="C9488">
        <f>0.468394952019</f>
        <v>0.468394952019</v>
      </c>
      <c r="D9488">
        <v>0.66743064941499997</v>
      </c>
      <c r="E9488">
        <v>5.4660000000000002</v>
      </c>
    </row>
    <row r="9489" spans="1:5">
      <c r="A9489" t="s">
        <v>39984</v>
      </c>
      <c r="B9489" t="s">
        <v>26655</v>
      </c>
      <c r="C9489">
        <f>0</f>
        <v>0</v>
      </c>
      <c r="D9489">
        <v>0.66743064941499997</v>
      </c>
      <c r="E9489">
        <v>5.4660000000000002</v>
      </c>
    </row>
    <row r="9490" spans="1:5">
      <c r="A9490" t="s">
        <v>39984</v>
      </c>
      <c r="B9490" t="s">
        <v>26658</v>
      </c>
      <c r="C9490">
        <v>2.80739508081E-2</v>
      </c>
      <c r="D9490">
        <v>0.66743064941499997</v>
      </c>
      <c r="E9490">
        <v>5.4660000000000002</v>
      </c>
    </row>
    <row r="9491" spans="1:5">
      <c r="A9491" t="s">
        <v>39984</v>
      </c>
      <c r="B9491" t="s">
        <v>26659</v>
      </c>
      <c r="C9491">
        <v>0</v>
      </c>
      <c r="D9491">
        <v>0.66743064941499997</v>
      </c>
      <c r="E9491">
        <v>5.4660000000000002</v>
      </c>
    </row>
    <row r="9492" spans="1:5">
      <c r="A9492" t="s">
        <v>39985</v>
      </c>
      <c r="B9492" t="s">
        <v>39986</v>
      </c>
      <c r="C9492">
        <v>0</v>
      </c>
      <c r="D9492" t="s">
        <v>106</v>
      </c>
      <c r="E9492">
        <v>1.224</v>
      </c>
    </row>
    <row r="9493" spans="1:5">
      <c r="A9493" t="s">
        <v>39985</v>
      </c>
      <c r="B9493" t="s">
        <v>39987</v>
      </c>
      <c r="C9493">
        <f>0</f>
        <v>0</v>
      </c>
      <c r="D9493" t="s">
        <v>106</v>
      </c>
      <c r="E9493">
        <v>1.224</v>
      </c>
    </row>
    <row r="9494" spans="1:5">
      <c r="A9494" t="s">
        <v>39988</v>
      </c>
      <c r="B9494" t="s">
        <v>39989</v>
      </c>
      <c r="C9494">
        <f>0</f>
        <v>0</v>
      </c>
      <c r="D9494" t="s">
        <v>106</v>
      </c>
      <c r="E9494">
        <v>24</v>
      </c>
    </row>
    <row r="9495" spans="1:5">
      <c r="A9495" t="s">
        <v>39988</v>
      </c>
      <c r="B9495" t="s">
        <v>39990</v>
      </c>
      <c r="C9495">
        <v>0</v>
      </c>
      <c r="D9495" t="s">
        <v>106</v>
      </c>
      <c r="E9495">
        <v>24</v>
      </c>
    </row>
    <row r="9496" spans="1:5">
      <c r="A9496" t="s">
        <v>39988</v>
      </c>
      <c r="B9496" t="s">
        <v>39991</v>
      </c>
      <c r="C9496">
        <f>0</f>
        <v>0</v>
      </c>
      <c r="D9496" t="s">
        <v>106</v>
      </c>
      <c r="E9496">
        <v>24</v>
      </c>
    </row>
    <row r="9497" spans="1:5">
      <c r="A9497" t="s">
        <v>39992</v>
      </c>
      <c r="B9497" t="s">
        <v>10279</v>
      </c>
      <c r="C9497">
        <f>0</f>
        <v>0</v>
      </c>
      <c r="D9497" t="s">
        <v>106</v>
      </c>
      <c r="E9497">
        <v>19.2</v>
      </c>
    </row>
    <row r="9498" spans="1:5">
      <c r="A9498" t="s">
        <v>39992</v>
      </c>
      <c r="B9498" t="s">
        <v>10280</v>
      </c>
      <c r="C9498">
        <v>0</v>
      </c>
      <c r="D9498" t="s">
        <v>106</v>
      </c>
      <c r="E9498">
        <v>19.2</v>
      </c>
    </row>
    <row r="9499" spans="1:5">
      <c r="A9499" t="s">
        <v>39993</v>
      </c>
      <c r="B9499" t="s">
        <v>8740</v>
      </c>
      <c r="C9499">
        <f>0.0877882469595</f>
        <v>8.7788246959499994E-2</v>
      </c>
      <c r="D9499">
        <v>0.55019824695999997</v>
      </c>
      <c r="E9499">
        <v>21.876000000000001</v>
      </c>
    </row>
    <row r="9500" spans="1:5">
      <c r="A9500" t="s">
        <v>39993</v>
      </c>
      <c r="B9500" t="s">
        <v>8741</v>
      </c>
      <c r="C9500">
        <v>0</v>
      </c>
      <c r="D9500">
        <v>0.55019824695999997</v>
      </c>
      <c r="E9500">
        <v>21.876000000000001</v>
      </c>
    </row>
    <row r="9501" spans="1:5">
      <c r="A9501" t="s">
        <v>39993</v>
      </c>
      <c r="B9501" t="s">
        <v>8742</v>
      </c>
      <c r="C9501">
        <v>0</v>
      </c>
      <c r="D9501">
        <v>0.55019824695999997</v>
      </c>
      <c r="E9501">
        <v>21.876000000000001</v>
      </c>
    </row>
    <row r="9502" spans="1:5">
      <c r="A9502" t="s">
        <v>39993</v>
      </c>
      <c r="B9502" t="s">
        <v>8743</v>
      </c>
      <c r="C9502">
        <v>0</v>
      </c>
      <c r="D9502">
        <v>0.55019824695999997</v>
      </c>
      <c r="E9502">
        <v>21.876000000000001</v>
      </c>
    </row>
    <row r="9503" spans="1:5">
      <c r="A9503" t="s">
        <v>39993</v>
      </c>
      <c r="B9503" t="s">
        <v>8744</v>
      </c>
      <c r="C9503">
        <v>0</v>
      </c>
      <c r="D9503">
        <v>0.55019824695999997</v>
      </c>
      <c r="E9503">
        <v>21.876000000000001</v>
      </c>
    </row>
    <row r="9504" spans="1:5">
      <c r="A9504" t="s">
        <v>39994</v>
      </c>
      <c r="B9504" t="s">
        <v>1669</v>
      </c>
      <c r="C9504">
        <f>0</f>
        <v>0</v>
      </c>
      <c r="D9504" t="s">
        <v>106</v>
      </c>
      <c r="E9504">
        <v>9.1679999999999993</v>
      </c>
    </row>
    <row r="9505" spans="1:5">
      <c r="A9505" t="s">
        <v>39994</v>
      </c>
      <c r="B9505" t="s">
        <v>1673</v>
      </c>
      <c r="C9505">
        <v>0</v>
      </c>
      <c r="D9505" t="s">
        <v>106</v>
      </c>
      <c r="E9505">
        <v>9.1679999999999993</v>
      </c>
    </row>
    <row r="9506" spans="1:5">
      <c r="A9506" t="s">
        <v>39995</v>
      </c>
      <c r="B9506" t="s">
        <v>39996</v>
      </c>
      <c r="C9506">
        <v>0.80561223607999999</v>
      </c>
      <c r="D9506">
        <v>0.99205667243700002</v>
      </c>
      <c r="E9506">
        <v>1.83</v>
      </c>
    </row>
    <row r="9507" spans="1:5">
      <c r="A9507" t="s">
        <v>39995</v>
      </c>
      <c r="B9507" t="s">
        <v>39997</v>
      </c>
      <c r="C9507">
        <f>0.0518882803993</f>
        <v>5.1888280399299998E-2</v>
      </c>
      <c r="D9507">
        <v>0.99205667243700002</v>
      </c>
      <c r="E9507">
        <v>1.83</v>
      </c>
    </row>
    <row r="9508" spans="1:5">
      <c r="A9508" t="s">
        <v>39995</v>
      </c>
      <c r="B9508" t="s">
        <v>39998</v>
      </c>
      <c r="C9508">
        <f>0.205546356919</f>
        <v>0.205546356919</v>
      </c>
      <c r="D9508">
        <v>0.99205667243700002</v>
      </c>
      <c r="E9508">
        <v>1.83</v>
      </c>
    </row>
    <row r="9509" spans="1:5">
      <c r="A9509" t="s">
        <v>39995</v>
      </c>
      <c r="B9509" t="s">
        <v>39999</v>
      </c>
      <c r="C9509">
        <f>0.304383689525</f>
        <v>0.304383689525</v>
      </c>
      <c r="D9509">
        <v>0.99205667243700002</v>
      </c>
      <c r="E9509">
        <v>1.83</v>
      </c>
    </row>
    <row r="9510" spans="1:5">
      <c r="A9510" t="s">
        <v>39995</v>
      </c>
      <c r="B9510" t="s">
        <v>40000</v>
      </c>
      <c r="C9510">
        <v>6.1227100927100001E-2</v>
      </c>
      <c r="D9510">
        <v>0.99205667243700002</v>
      </c>
      <c r="E9510">
        <v>1.83</v>
      </c>
    </row>
    <row r="9511" spans="1:5">
      <c r="A9511" t="s">
        <v>39995</v>
      </c>
      <c r="B9511" t="s">
        <v>40001</v>
      </c>
      <c r="C9511">
        <v>0</v>
      </c>
      <c r="D9511">
        <v>0.99205667243700002</v>
      </c>
      <c r="E9511">
        <v>1.83</v>
      </c>
    </row>
    <row r="9512" spans="1:5">
      <c r="A9512" t="s">
        <v>40002</v>
      </c>
      <c r="B9512" t="s">
        <v>31206</v>
      </c>
      <c r="C9512">
        <v>0.20203328524299999</v>
      </c>
      <c r="D9512">
        <v>0.68791511183300003</v>
      </c>
      <c r="E9512">
        <v>0.06</v>
      </c>
    </row>
    <row r="9513" spans="1:5">
      <c r="A9513" t="s">
        <v>40002</v>
      </c>
      <c r="B9513" t="s">
        <v>31208</v>
      </c>
      <c r="C9513">
        <f>0.227736778505</f>
        <v>0.22773677850499999</v>
      </c>
      <c r="D9513">
        <v>0.68791511183300003</v>
      </c>
      <c r="E9513">
        <v>0.06</v>
      </c>
    </row>
    <row r="9514" spans="1:5">
      <c r="A9514" t="s">
        <v>40002</v>
      </c>
      <c r="B9514" t="s">
        <v>31207</v>
      </c>
      <c r="C9514">
        <f>0</f>
        <v>0</v>
      </c>
      <c r="D9514">
        <v>0.68791511183300003</v>
      </c>
      <c r="E9514">
        <v>0.06</v>
      </c>
    </row>
    <row r="9515" spans="1:5">
      <c r="A9515" t="s">
        <v>40003</v>
      </c>
      <c r="B9515" t="s">
        <v>40004</v>
      </c>
      <c r="C9515">
        <v>0</v>
      </c>
      <c r="D9515">
        <v>0.84208687449599995</v>
      </c>
      <c r="E9515">
        <v>5.82</v>
      </c>
    </row>
    <row r="9516" spans="1:5">
      <c r="A9516" t="s">
        <v>40003</v>
      </c>
      <c r="B9516" t="s">
        <v>40005</v>
      </c>
      <c r="C9516">
        <f>0</f>
        <v>0</v>
      </c>
      <c r="D9516">
        <v>0.84208687449599995</v>
      </c>
      <c r="E9516">
        <v>5.82</v>
      </c>
    </row>
    <row r="9517" spans="1:5">
      <c r="A9517" t="s">
        <v>40003</v>
      </c>
      <c r="B9517" t="s">
        <v>40006</v>
      </c>
      <c r="C9517">
        <v>0</v>
      </c>
      <c r="D9517">
        <v>0.84208687449599995</v>
      </c>
      <c r="E9517">
        <v>5.82</v>
      </c>
    </row>
    <row r="9518" spans="1:5">
      <c r="A9518" t="s">
        <v>40003</v>
      </c>
      <c r="B9518" t="s">
        <v>40007</v>
      </c>
      <c r="C9518">
        <v>0</v>
      </c>
      <c r="D9518">
        <v>0.84208687449599995</v>
      </c>
      <c r="E9518">
        <v>5.82</v>
      </c>
    </row>
    <row r="9519" spans="1:5">
      <c r="A9519" t="s">
        <v>40003</v>
      </c>
      <c r="B9519" t="s">
        <v>40008</v>
      </c>
      <c r="C9519">
        <v>0</v>
      </c>
      <c r="D9519">
        <v>0.84208687449599995</v>
      </c>
      <c r="E9519">
        <v>5.82</v>
      </c>
    </row>
    <row r="9520" spans="1:5">
      <c r="A9520" t="s">
        <v>40003</v>
      </c>
      <c r="B9520" t="s">
        <v>40009</v>
      </c>
      <c r="C9520">
        <v>0.68207687449599996</v>
      </c>
      <c r="D9520">
        <v>0.84208687449599995</v>
      </c>
      <c r="E9520">
        <v>5.82</v>
      </c>
    </row>
    <row r="9521" spans="1:5">
      <c r="A9521" t="s">
        <v>40010</v>
      </c>
      <c r="B9521" t="s">
        <v>26797</v>
      </c>
      <c r="C9521">
        <v>0.190327952765</v>
      </c>
      <c r="D9521">
        <v>0.92205964590599998</v>
      </c>
      <c r="E9521">
        <v>0.26400000000000001</v>
      </c>
    </row>
    <row r="9522" spans="1:5">
      <c r="A9522" t="s">
        <v>40010</v>
      </c>
      <c r="B9522" t="s">
        <v>26803</v>
      </c>
      <c r="C9522">
        <v>0.77578388347100002</v>
      </c>
      <c r="D9522">
        <v>0.92205964590599998</v>
      </c>
      <c r="E9522">
        <v>0.26400000000000001</v>
      </c>
    </row>
    <row r="9523" spans="1:5">
      <c r="A9523" t="s">
        <v>40010</v>
      </c>
      <c r="B9523" t="s">
        <v>26799</v>
      </c>
      <c r="C9523">
        <f>0.18566568443</f>
        <v>0.18566568443000001</v>
      </c>
      <c r="D9523">
        <v>0.92205964590599998</v>
      </c>
      <c r="E9523">
        <v>0.26400000000000001</v>
      </c>
    </row>
    <row r="9524" spans="1:5">
      <c r="A9524" t="s">
        <v>40010</v>
      </c>
      <c r="B9524" t="s">
        <v>26800</v>
      </c>
      <c r="C9524">
        <v>0.175217209289</v>
      </c>
      <c r="D9524">
        <v>0.92205964590599998</v>
      </c>
      <c r="E9524">
        <v>0.26400000000000001</v>
      </c>
    </row>
    <row r="9525" spans="1:5">
      <c r="A9525" t="s">
        <v>40011</v>
      </c>
      <c r="B9525" t="s">
        <v>4103</v>
      </c>
      <c r="C9525">
        <f>0.889486010079</f>
        <v>0.88948601007899997</v>
      </c>
      <c r="D9525">
        <v>0.96103724984600003</v>
      </c>
      <c r="E9525">
        <v>23.52</v>
      </c>
    </row>
    <row r="9526" spans="1:5">
      <c r="A9526" t="s">
        <v>40011</v>
      </c>
      <c r="B9526" t="s">
        <v>4105</v>
      </c>
      <c r="C9526">
        <f>0.0118205630882</f>
        <v>1.18205630882E-2</v>
      </c>
      <c r="D9526">
        <v>0.96103724984600003</v>
      </c>
      <c r="E9526">
        <v>23.52</v>
      </c>
    </row>
    <row r="9527" spans="1:5">
      <c r="A9527" t="s">
        <v>40011</v>
      </c>
      <c r="B9527" t="s">
        <v>4107</v>
      </c>
      <c r="C9527">
        <v>0.43705359114300002</v>
      </c>
      <c r="D9527">
        <v>0.96103724984600003</v>
      </c>
      <c r="E9527">
        <v>23.52</v>
      </c>
    </row>
    <row r="9528" spans="1:5">
      <c r="A9528" t="s">
        <v>40011</v>
      </c>
      <c r="B9528" t="s">
        <v>4106</v>
      </c>
      <c r="C9528">
        <v>0</v>
      </c>
      <c r="D9528">
        <v>0.96103724984600003</v>
      </c>
      <c r="E9528">
        <v>23.52</v>
      </c>
    </row>
    <row r="9529" spans="1:5">
      <c r="A9529" t="s">
        <v>40011</v>
      </c>
      <c r="B9529" t="s">
        <v>4104</v>
      </c>
      <c r="C9529">
        <v>8.6165589481099994E-2</v>
      </c>
      <c r="D9529">
        <v>0.96103724984600003</v>
      </c>
      <c r="E9529">
        <v>23.52</v>
      </c>
    </row>
    <row r="9530" spans="1:5">
      <c r="A9530" t="s">
        <v>40012</v>
      </c>
      <c r="B9530" t="s">
        <v>26292</v>
      </c>
      <c r="C9530">
        <f>0</f>
        <v>0</v>
      </c>
      <c r="D9530" t="s">
        <v>106</v>
      </c>
      <c r="E9530">
        <v>6.8040000000000003</v>
      </c>
    </row>
    <row r="9531" spans="1:5">
      <c r="A9531" t="s">
        <v>40012</v>
      </c>
      <c r="B9531" t="s">
        <v>26293</v>
      </c>
      <c r="C9531">
        <f>0</f>
        <v>0</v>
      </c>
      <c r="D9531" t="s">
        <v>106</v>
      </c>
      <c r="E9531">
        <v>6.8040000000000003</v>
      </c>
    </row>
    <row r="9532" spans="1:5">
      <c r="A9532" t="s">
        <v>40013</v>
      </c>
      <c r="B9532" t="s">
        <v>40014</v>
      </c>
      <c r="C9532">
        <v>0</v>
      </c>
      <c r="D9532">
        <v>0.91942856929200001</v>
      </c>
      <c r="E9532">
        <v>2.1059999999999999</v>
      </c>
    </row>
    <row r="9533" spans="1:5">
      <c r="A9533" t="s">
        <v>40013</v>
      </c>
      <c r="B9533" t="s">
        <v>40015</v>
      </c>
      <c r="C9533">
        <v>0</v>
      </c>
      <c r="D9533">
        <v>0.91942856929200001</v>
      </c>
      <c r="E9533">
        <v>2.1059999999999999</v>
      </c>
    </row>
    <row r="9534" spans="1:5">
      <c r="A9534" t="s">
        <v>40013</v>
      </c>
      <c r="B9534" t="s">
        <v>40016</v>
      </c>
      <c r="C9534">
        <v>0.28527520830899999</v>
      </c>
      <c r="D9534">
        <v>0.91942856929200001</v>
      </c>
      <c r="E9534">
        <v>2.1059999999999999</v>
      </c>
    </row>
    <row r="9535" spans="1:5">
      <c r="A9535" t="s">
        <v>40013</v>
      </c>
      <c r="B9535" t="s">
        <v>40017</v>
      </c>
      <c r="C9535">
        <v>0.62228521582999996</v>
      </c>
      <c r="D9535">
        <v>0.91942856929200001</v>
      </c>
      <c r="E9535">
        <v>2.1059999999999999</v>
      </c>
    </row>
    <row r="9536" spans="1:5">
      <c r="A9536" t="s">
        <v>40018</v>
      </c>
      <c r="B9536" t="s">
        <v>40019</v>
      </c>
      <c r="C9536">
        <f>0</f>
        <v>0</v>
      </c>
      <c r="D9536" t="s">
        <v>106</v>
      </c>
      <c r="E9536">
        <v>10.554</v>
      </c>
    </row>
    <row r="9537" spans="1:5">
      <c r="A9537" t="s">
        <v>40018</v>
      </c>
      <c r="B9537" t="s">
        <v>40020</v>
      </c>
      <c r="C9537">
        <f>0</f>
        <v>0</v>
      </c>
      <c r="D9537" t="s">
        <v>106</v>
      </c>
      <c r="E9537">
        <v>10.554</v>
      </c>
    </row>
    <row r="9538" spans="1:5">
      <c r="A9538" t="s">
        <v>40018</v>
      </c>
      <c r="B9538" t="s">
        <v>40021</v>
      </c>
      <c r="C9538">
        <f>0</f>
        <v>0</v>
      </c>
      <c r="D9538" t="s">
        <v>106</v>
      </c>
      <c r="E9538">
        <v>10.554</v>
      </c>
    </row>
    <row r="9539" spans="1:5">
      <c r="A9539" t="s">
        <v>40018</v>
      </c>
      <c r="B9539" t="s">
        <v>40022</v>
      </c>
      <c r="C9539">
        <f>0</f>
        <v>0</v>
      </c>
      <c r="D9539" t="s">
        <v>106</v>
      </c>
      <c r="E9539">
        <v>10.554</v>
      </c>
    </row>
    <row r="9540" spans="1:5">
      <c r="A9540" t="s">
        <v>40018</v>
      </c>
      <c r="B9540" t="s">
        <v>40023</v>
      </c>
      <c r="C9540">
        <v>0</v>
      </c>
      <c r="D9540" t="s">
        <v>106</v>
      </c>
      <c r="E9540">
        <v>10.554</v>
      </c>
    </row>
    <row r="9541" spans="1:5">
      <c r="A9541" t="s">
        <v>40024</v>
      </c>
      <c r="B9541" t="s">
        <v>26274</v>
      </c>
      <c r="C9541">
        <v>0</v>
      </c>
      <c r="D9541" t="s">
        <v>106</v>
      </c>
      <c r="E9541">
        <v>24</v>
      </c>
    </row>
    <row r="9542" spans="1:5">
      <c r="A9542" t="s">
        <v>40024</v>
      </c>
      <c r="B9542" t="s">
        <v>26276</v>
      </c>
      <c r="C9542">
        <v>0</v>
      </c>
      <c r="D9542" t="s">
        <v>106</v>
      </c>
      <c r="E9542">
        <v>24</v>
      </c>
    </row>
    <row r="9543" spans="1:5">
      <c r="A9543" t="s">
        <v>40024</v>
      </c>
      <c r="B9543" t="s">
        <v>26277</v>
      </c>
      <c r="C9543">
        <f>0</f>
        <v>0</v>
      </c>
      <c r="D9543" t="s">
        <v>106</v>
      </c>
      <c r="E9543">
        <v>24</v>
      </c>
    </row>
    <row r="9544" spans="1:5">
      <c r="A9544" t="s">
        <v>40025</v>
      </c>
      <c r="B9544" t="s">
        <v>33340</v>
      </c>
      <c r="C9544">
        <v>0</v>
      </c>
      <c r="D9544" t="s">
        <v>106</v>
      </c>
      <c r="E9544">
        <v>24</v>
      </c>
    </row>
    <row r="9545" spans="1:5">
      <c r="A9545" t="s">
        <v>40025</v>
      </c>
      <c r="B9545" t="s">
        <v>33337</v>
      </c>
      <c r="C9545">
        <v>0</v>
      </c>
      <c r="D9545" t="s">
        <v>106</v>
      </c>
      <c r="E9545">
        <v>24</v>
      </c>
    </row>
    <row r="9546" spans="1:5">
      <c r="A9546" t="s">
        <v>40025</v>
      </c>
      <c r="B9546" t="s">
        <v>33339</v>
      </c>
      <c r="C9546">
        <v>0</v>
      </c>
      <c r="D9546" t="s">
        <v>106</v>
      </c>
      <c r="E9546">
        <v>24</v>
      </c>
    </row>
    <row r="9547" spans="1:5">
      <c r="A9547" t="s">
        <v>40025</v>
      </c>
      <c r="B9547" t="s">
        <v>33338</v>
      </c>
      <c r="C9547">
        <v>0</v>
      </c>
      <c r="D9547" t="s">
        <v>106</v>
      </c>
      <c r="E9547">
        <v>24</v>
      </c>
    </row>
    <row r="9548" spans="1:5">
      <c r="A9548" t="s">
        <v>40026</v>
      </c>
      <c r="B9548" t="s">
        <v>40027</v>
      </c>
      <c r="C9548">
        <f>0.279977352937</f>
        <v>0.27997735293699999</v>
      </c>
      <c r="D9548">
        <v>0.584440485899</v>
      </c>
      <c r="E9548">
        <v>5.4660000000000002</v>
      </c>
    </row>
    <row r="9549" spans="1:5">
      <c r="A9549" t="s">
        <v>40026</v>
      </c>
      <c r="B9549" t="s">
        <v>40028</v>
      </c>
      <c r="C9549">
        <f>0.0272181825143</f>
        <v>2.7218182514299999E-2</v>
      </c>
      <c r="D9549">
        <v>0.584440485899</v>
      </c>
      <c r="E9549">
        <v>5.4660000000000002</v>
      </c>
    </row>
    <row r="9550" spans="1:5">
      <c r="A9550" t="s">
        <v>40026</v>
      </c>
      <c r="B9550" t="s">
        <v>40029</v>
      </c>
      <c r="C9550">
        <v>0.47040526316499998</v>
      </c>
      <c r="D9550">
        <v>0.584440485899</v>
      </c>
      <c r="E9550">
        <v>5.4660000000000002</v>
      </c>
    </row>
    <row r="9551" spans="1:5">
      <c r="A9551" t="s">
        <v>40030</v>
      </c>
      <c r="B9551" t="s">
        <v>40031</v>
      </c>
      <c r="C9551">
        <v>0</v>
      </c>
      <c r="D9551">
        <v>0.78026452418600001</v>
      </c>
      <c r="E9551">
        <v>3.972</v>
      </c>
    </row>
    <row r="9552" spans="1:5">
      <c r="A9552" t="s">
        <v>40030</v>
      </c>
      <c r="B9552" t="s">
        <v>40032</v>
      </c>
      <c r="C9552">
        <f>0.0402195680427</f>
        <v>4.02195680427E-2</v>
      </c>
      <c r="D9552">
        <v>0.78026452418600001</v>
      </c>
      <c r="E9552">
        <v>3.972</v>
      </c>
    </row>
    <row r="9553" spans="1:5">
      <c r="A9553" t="s">
        <v>40030</v>
      </c>
      <c r="B9553" t="s">
        <v>40033</v>
      </c>
      <c r="C9553">
        <v>0</v>
      </c>
      <c r="D9553">
        <v>0.78026452418600001</v>
      </c>
      <c r="E9553">
        <v>3.972</v>
      </c>
    </row>
    <row r="9554" spans="1:5">
      <c r="A9554" t="s">
        <v>40030</v>
      </c>
      <c r="B9554" t="s">
        <v>40034</v>
      </c>
      <c r="C9554">
        <f>0</f>
        <v>0</v>
      </c>
      <c r="D9554">
        <v>0.78026452418600001</v>
      </c>
      <c r="E9554">
        <v>3.972</v>
      </c>
    </row>
    <row r="9555" spans="1:5">
      <c r="A9555" t="s">
        <v>40030</v>
      </c>
      <c r="B9555" t="s">
        <v>40035</v>
      </c>
      <c r="C9555">
        <v>0.648366514758</v>
      </c>
      <c r="D9555">
        <v>0.78026452418600001</v>
      </c>
      <c r="E9555">
        <v>3.972</v>
      </c>
    </row>
    <row r="9556" spans="1:5">
      <c r="A9556" t="s">
        <v>40036</v>
      </c>
      <c r="B9556" t="s">
        <v>40037</v>
      </c>
      <c r="C9556">
        <v>0</v>
      </c>
      <c r="D9556" t="s">
        <v>106</v>
      </c>
      <c r="E9556">
        <v>0.47399999999999998</v>
      </c>
    </row>
    <row r="9557" spans="1:5">
      <c r="A9557" t="s">
        <v>40036</v>
      </c>
      <c r="B9557" t="s">
        <v>40038</v>
      </c>
      <c r="C9557">
        <v>0</v>
      </c>
      <c r="D9557" t="s">
        <v>106</v>
      </c>
      <c r="E9557">
        <v>0.47399999999999998</v>
      </c>
    </row>
    <row r="9558" spans="1:5">
      <c r="A9558" t="s">
        <v>40039</v>
      </c>
      <c r="B9558" t="s">
        <v>211</v>
      </c>
      <c r="C9558">
        <v>0.93959789536899996</v>
      </c>
      <c r="D9558">
        <v>0.99986115220299998</v>
      </c>
      <c r="E9558">
        <v>2.718</v>
      </c>
    </row>
    <row r="9559" spans="1:5">
      <c r="A9559" t="s">
        <v>40039</v>
      </c>
      <c r="B9559" t="s">
        <v>216</v>
      </c>
      <c r="C9559">
        <f>0.229269188389</f>
        <v>0.22926918838900001</v>
      </c>
      <c r="D9559">
        <v>0.99986115220299998</v>
      </c>
      <c r="E9559">
        <v>2.718</v>
      </c>
    </row>
    <row r="9560" spans="1:5">
      <c r="A9560" t="s">
        <v>40039</v>
      </c>
      <c r="B9560" t="s">
        <v>213</v>
      </c>
      <c r="C9560">
        <v>0.62699564819300002</v>
      </c>
      <c r="D9560">
        <v>0.99986115220299998</v>
      </c>
      <c r="E9560">
        <v>2.718</v>
      </c>
    </row>
    <row r="9561" spans="1:5">
      <c r="A9561" t="s">
        <v>40039</v>
      </c>
      <c r="B9561" t="s">
        <v>215</v>
      </c>
      <c r="C9561">
        <f>0.887330423355</f>
        <v>0.88733042335500001</v>
      </c>
      <c r="D9561">
        <v>0.99986115220299998</v>
      </c>
      <c r="E9561">
        <v>2.718</v>
      </c>
    </row>
    <row r="9562" spans="1:5">
      <c r="A9562" t="s">
        <v>40039</v>
      </c>
      <c r="B9562" t="s">
        <v>221</v>
      </c>
      <c r="C9562">
        <f>0.294666747505</f>
        <v>0.29466674750499999</v>
      </c>
      <c r="D9562">
        <v>0.99986115220299998</v>
      </c>
      <c r="E9562">
        <v>2.718</v>
      </c>
    </row>
    <row r="9563" spans="1:5">
      <c r="A9563" t="s">
        <v>40039</v>
      </c>
      <c r="B9563" t="s">
        <v>218</v>
      </c>
      <c r="C9563">
        <v>0.421915118501</v>
      </c>
      <c r="D9563">
        <v>0.99986115220299998</v>
      </c>
      <c r="E9563">
        <v>2.718</v>
      </c>
    </row>
    <row r="9564" spans="1:5">
      <c r="A9564" t="s">
        <v>40040</v>
      </c>
      <c r="B9564" t="s">
        <v>22487</v>
      </c>
      <c r="C9564">
        <f>0</f>
        <v>0</v>
      </c>
      <c r="D9564">
        <v>0.99452490080300004</v>
      </c>
      <c r="E9564">
        <v>15.51</v>
      </c>
    </row>
    <row r="9565" spans="1:5">
      <c r="A9565" t="s">
        <v>40040</v>
      </c>
      <c r="B9565" t="s">
        <v>22490</v>
      </c>
      <c r="C9565">
        <v>0.164847904643</v>
      </c>
      <c r="D9565">
        <v>0.99452490080300004</v>
      </c>
      <c r="E9565">
        <v>15.51</v>
      </c>
    </row>
    <row r="9566" spans="1:5">
      <c r="A9566" t="s">
        <v>40040</v>
      </c>
      <c r="B9566" t="s">
        <v>22481</v>
      </c>
      <c r="C9566">
        <f>0.163552055649</f>
        <v>0.16355205564899999</v>
      </c>
      <c r="D9566">
        <v>0.99452490080300004</v>
      </c>
      <c r="E9566">
        <v>15.51</v>
      </c>
    </row>
    <row r="9567" spans="1:5">
      <c r="A9567" t="s">
        <v>40040</v>
      </c>
      <c r="B9567" t="s">
        <v>22489</v>
      </c>
      <c r="C9567">
        <v>2.71307780698E-2</v>
      </c>
      <c r="D9567">
        <v>0.99452490080300004</v>
      </c>
      <c r="E9567">
        <v>15.51</v>
      </c>
    </row>
    <row r="9568" spans="1:5">
      <c r="A9568" t="s">
        <v>40040</v>
      </c>
      <c r="B9568" t="s">
        <v>22482</v>
      </c>
      <c r="C9568">
        <f>0.684723227137</f>
        <v>0.68472322713699996</v>
      </c>
      <c r="D9568">
        <v>0.99452490080300004</v>
      </c>
      <c r="E9568">
        <v>15.51</v>
      </c>
    </row>
    <row r="9569" spans="1:5">
      <c r="A9569" t="s">
        <v>40040</v>
      </c>
      <c r="B9569" t="s">
        <v>22491</v>
      </c>
      <c r="C9569">
        <f>0.271845066181</f>
        <v>0.27184506618100002</v>
      </c>
      <c r="D9569">
        <v>0.99452490080300004</v>
      </c>
      <c r="E9569">
        <v>15.51</v>
      </c>
    </row>
    <row r="9570" spans="1:5">
      <c r="A9570" t="s">
        <v>40040</v>
      </c>
      <c r="B9570" t="s">
        <v>22484</v>
      </c>
      <c r="C9570">
        <f>0</f>
        <v>0</v>
      </c>
      <c r="D9570">
        <v>0.99452490080300004</v>
      </c>
      <c r="E9570">
        <v>15.51</v>
      </c>
    </row>
    <row r="9571" spans="1:5">
      <c r="A9571" t="s">
        <v>40041</v>
      </c>
      <c r="B9571" t="s">
        <v>40042</v>
      </c>
      <c r="C9571">
        <f>0.204517256241</f>
        <v>0.20451725624100001</v>
      </c>
      <c r="D9571">
        <v>0.99997965146099999</v>
      </c>
      <c r="E9571">
        <v>3.4079999999999999</v>
      </c>
    </row>
    <row r="9572" spans="1:5">
      <c r="A9572" t="s">
        <v>40041</v>
      </c>
      <c r="B9572" t="s">
        <v>40043</v>
      </c>
      <c r="C9572">
        <f>0.379824313134</f>
        <v>0.379824313134</v>
      </c>
      <c r="D9572">
        <v>0.99997965146099999</v>
      </c>
      <c r="E9572">
        <v>3.4079999999999999</v>
      </c>
    </row>
    <row r="9573" spans="1:5">
      <c r="A9573" t="s">
        <v>40041</v>
      </c>
      <c r="B9573" t="s">
        <v>40044</v>
      </c>
      <c r="C9573">
        <v>0.13898632010299999</v>
      </c>
      <c r="D9573">
        <v>0.99997965146099999</v>
      </c>
      <c r="E9573">
        <v>3.4079999999999999</v>
      </c>
    </row>
    <row r="9574" spans="1:5">
      <c r="A9574" t="s">
        <v>40041</v>
      </c>
      <c r="B9574" t="s">
        <v>40045</v>
      </c>
      <c r="C9574">
        <f>0.820949372777</f>
        <v>0.82094937277699997</v>
      </c>
      <c r="D9574">
        <v>0.99997965146099999</v>
      </c>
      <c r="E9574">
        <v>3.4079999999999999</v>
      </c>
    </row>
    <row r="9575" spans="1:5">
      <c r="A9575" t="s">
        <v>40041</v>
      </c>
      <c r="B9575" t="s">
        <v>40046</v>
      </c>
      <c r="C9575">
        <f>0.281050985537</f>
        <v>0.28105098553699998</v>
      </c>
      <c r="D9575">
        <v>0.99997965146099999</v>
      </c>
      <c r="E9575">
        <v>3.4079999999999999</v>
      </c>
    </row>
    <row r="9576" spans="1:5">
      <c r="A9576" t="s">
        <v>40041</v>
      </c>
      <c r="B9576" t="s">
        <v>40047</v>
      </c>
      <c r="C9576">
        <v>0.93700901733800002</v>
      </c>
      <c r="D9576">
        <v>0.99997965146099999</v>
      </c>
      <c r="E9576">
        <v>3.4079999999999999</v>
      </c>
    </row>
    <row r="9577" spans="1:5">
      <c r="A9577" t="s">
        <v>40041</v>
      </c>
      <c r="B9577" t="s">
        <v>40048</v>
      </c>
      <c r="C9577">
        <f>0.380246091958</f>
        <v>0.38024609195800002</v>
      </c>
      <c r="D9577">
        <v>0.99997965146099999</v>
      </c>
      <c r="E9577">
        <v>3.4079999999999999</v>
      </c>
    </row>
    <row r="9578" spans="1:5">
      <c r="A9578" t="s">
        <v>40049</v>
      </c>
      <c r="B9578" t="s">
        <v>16330</v>
      </c>
      <c r="C9578">
        <v>0.15925590037000001</v>
      </c>
      <c r="D9578">
        <v>0.679957296682</v>
      </c>
      <c r="E9578">
        <v>0.82799999999999996</v>
      </c>
    </row>
    <row r="9579" spans="1:5">
      <c r="A9579" t="s">
        <v>40049</v>
      </c>
      <c r="B9579" t="s">
        <v>16331</v>
      </c>
      <c r="C9579">
        <v>0.46501928411299998</v>
      </c>
      <c r="D9579">
        <v>0.679957296682</v>
      </c>
      <c r="E9579">
        <v>0.82799999999999996</v>
      </c>
    </row>
    <row r="9580" spans="1:5">
      <c r="A9580" t="s">
        <v>40050</v>
      </c>
      <c r="B9580" t="s">
        <v>28960</v>
      </c>
      <c r="C9580">
        <f>0.565580543543</f>
        <v>0.56558054354300002</v>
      </c>
      <c r="D9580">
        <v>0.84395313839599995</v>
      </c>
      <c r="E9580">
        <v>0</v>
      </c>
    </row>
    <row r="9581" spans="1:5">
      <c r="A9581" t="s">
        <v>40050</v>
      </c>
      <c r="B9581" t="s">
        <v>28961</v>
      </c>
      <c r="C9581">
        <v>1.17947168475</v>
      </c>
      <c r="D9581">
        <v>0.84395313839599995</v>
      </c>
      <c r="E9581">
        <v>0</v>
      </c>
    </row>
    <row r="9582" spans="1:5">
      <c r="A9582" t="s">
        <v>40050</v>
      </c>
      <c r="B9582" t="s">
        <v>28963</v>
      </c>
      <c r="C9582">
        <v>0.26779901193900002</v>
      </c>
      <c r="D9582">
        <v>0.84395313839599995</v>
      </c>
      <c r="E9582">
        <v>0</v>
      </c>
    </row>
    <row r="9583" spans="1:5">
      <c r="A9583" t="s">
        <v>40051</v>
      </c>
      <c r="B9583" t="s">
        <v>40052</v>
      </c>
      <c r="C9583">
        <v>0</v>
      </c>
      <c r="D9583" t="s">
        <v>106</v>
      </c>
      <c r="E9583">
        <v>7.734</v>
      </c>
    </row>
    <row r="9584" spans="1:5">
      <c r="A9584" t="s">
        <v>40051</v>
      </c>
      <c r="B9584" t="s">
        <v>40053</v>
      </c>
      <c r="C9584">
        <f>0</f>
        <v>0</v>
      </c>
      <c r="D9584" t="s">
        <v>106</v>
      </c>
      <c r="E9584">
        <v>7.734</v>
      </c>
    </row>
    <row r="9585" spans="1:5">
      <c r="A9585" t="s">
        <v>40051</v>
      </c>
      <c r="B9585" t="s">
        <v>40054</v>
      </c>
      <c r="C9585">
        <v>0</v>
      </c>
      <c r="D9585" t="s">
        <v>106</v>
      </c>
      <c r="E9585">
        <v>7.734</v>
      </c>
    </row>
    <row r="9586" spans="1:5">
      <c r="A9586" t="s">
        <v>40051</v>
      </c>
      <c r="B9586" t="s">
        <v>40055</v>
      </c>
      <c r="C9586">
        <v>0</v>
      </c>
      <c r="D9586" t="s">
        <v>106</v>
      </c>
      <c r="E9586">
        <v>7.734</v>
      </c>
    </row>
    <row r="9587" spans="1:5">
      <c r="A9587" t="s">
        <v>40056</v>
      </c>
      <c r="B9587" t="s">
        <v>28518</v>
      </c>
      <c r="C9587">
        <v>0</v>
      </c>
      <c r="D9587">
        <v>0.94298100263899998</v>
      </c>
      <c r="E9587">
        <v>1.3380000000000001</v>
      </c>
    </row>
    <row r="9588" spans="1:5">
      <c r="A9588" t="s">
        <v>40056</v>
      </c>
      <c r="B9588" t="s">
        <v>28519</v>
      </c>
      <c r="C9588">
        <v>0.91352633844599995</v>
      </c>
      <c r="D9588">
        <v>0.94298100263899998</v>
      </c>
      <c r="E9588">
        <v>1.3380000000000001</v>
      </c>
    </row>
    <row r="9589" spans="1:5">
      <c r="A9589" t="s">
        <v>40056</v>
      </c>
      <c r="B9589" t="s">
        <v>28517</v>
      </c>
      <c r="C9589">
        <f>0.106577977819</f>
        <v>0.106577977819</v>
      </c>
      <c r="D9589">
        <v>0.94298100263899998</v>
      </c>
      <c r="E9589">
        <v>1.3380000000000001</v>
      </c>
    </row>
    <row r="9590" spans="1:5">
      <c r="A9590" t="s">
        <v>40057</v>
      </c>
      <c r="B9590" t="s">
        <v>26814</v>
      </c>
      <c r="C9590">
        <v>0</v>
      </c>
      <c r="D9590" t="s">
        <v>106</v>
      </c>
      <c r="E9590">
        <v>23.754000000000001</v>
      </c>
    </row>
    <row r="9591" spans="1:5">
      <c r="A9591" t="s">
        <v>40057</v>
      </c>
      <c r="B9591" t="s">
        <v>26815</v>
      </c>
      <c r="C9591">
        <v>0</v>
      </c>
      <c r="D9591" t="s">
        <v>106</v>
      </c>
      <c r="E9591">
        <v>23.754000000000001</v>
      </c>
    </row>
    <row r="9592" spans="1:5">
      <c r="A9592" t="s">
        <v>40058</v>
      </c>
      <c r="B9592" t="s">
        <v>29208</v>
      </c>
      <c r="C9592">
        <v>0</v>
      </c>
      <c r="D9592">
        <v>0.76826118006999999</v>
      </c>
      <c r="E9592">
        <v>24</v>
      </c>
    </row>
    <row r="9593" spans="1:5">
      <c r="A9593" t="s">
        <v>40058</v>
      </c>
      <c r="B9593" t="s">
        <v>29209</v>
      </c>
      <c r="C9593">
        <v>0</v>
      </c>
      <c r="D9593">
        <v>0.76826118006999999</v>
      </c>
      <c r="E9593">
        <v>24</v>
      </c>
    </row>
    <row r="9594" spans="1:5">
      <c r="A9594" t="s">
        <v>40058</v>
      </c>
      <c r="B9594" t="s">
        <v>29211</v>
      </c>
      <c r="C9594">
        <v>0.229358006718</v>
      </c>
      <c r="D9594">
        <v>0.76826118006999999</v>
      </c>
      <c r="E9594">
        <v>24</v>
      </c>
    </row>
    <row r="9595" spans="1:5">
      <c r="A9595" t="s">
        <v>40058</v>
      </c>
      <c r="B9595" t="s">
        <v>29212</v>
      </c>
      <c r="C9595">
        <v>0</v>
      </c>
      <c r="D9595">
        <v>0.76826118006999999</v>
      </c>
      <c r="E9595">
        <v>24</v>
      </c>
    </row>
    <row r="9596" spans="1:5">
      <c r="A9596" t="s">
        <v>40058</v>
      </c>
      <c r="B9596" t="s">
        <v>29213</v>
      </c>
      <c r="C9596">
        <v>0.23408749956899999</v>
      </c>
      <c r="D9596">
        <v>0.76826118006999999</v>
      </c>
      <c r="E9596">
        <v>24</v>
      </c>
    </row>
    <row r="9597" spans="1:5">
      <c r="A9597" t="s">
        <v>40059</v>
      </c>
      <c r="B9597" t="s">
        <v>17467</v>
      </c>
      <c r="C9597">
        <v>0</v>
      </c>
      <c r="D9597">
        <v>0.73688673316499997</v>
      </c>
      <c r="E9597">
        <v>7.3319999999999999</v>
      </c>
    </row>
    <row r="9598" spans="1:5">
      <c r="A9598" t="s">
        <v>40059</v>
      </c>
      <c r="B9598" t="s">
        <v>17472</v>
      </c>
      <c r="C9598">
        <v>0.29454899798299999</v>
      </c>
      <c r="D9598">
        <v>0.73688673316499997</v>
      </c>
      <c r="E9598">
        <v>7.3319999999999999</v>
      </c>
    </row>
    <row r="9599" spans="1:5">
      <c r="A9599" t="s">
        <v>40059</v>
      </c>
      <c r="B9599" t="s">
        <v>17470</v>
      </c>
      <c r="C9599">
        <f>0</f>
        <v>0</v>
      </c>
      <c r="D9599">
        <v>0.73688673316499997</v>
      </c>
      <c r="E9599">
        <v>7.3319999999999999</v>
      </c>
    </row>
    <row r="9600" spans="1:5">
      <c r="A9600" t="s">
        <v>40059</v>
      </c>
      <c r="B9600" t="s">
        <v>17469</v>
      </c>
      <c r="C9600">
        <v>0.24190687605899999</v>
      </c>
      <c r="D9600">
        <v>0.73688673316499997</v>
      </c>
      <c r="E9600">
        <v>7.3319999999999999</v>
      </c>
    </row>
    <row r="9601" spans="1:5">
      <c r="A9601" t="s">
        <v>40059</v>
      </c>
      <c r="B9601" t="s">
        <v>17473</v>
      </c>
      <c r="C9601">
        <v>0</v>
      </c>
      <c r="D9601">
        <v>0.73688673316499997</v>
      </c>
      <c r="E9601">
        <v>7.3319999999999999</v>
      </c>
    </row>
    <row r="9602" spans="1:5">
      <c r="A9602" t="s">
        <v>40059</v>
      </c>
      <c r="B9602" t="s">
        <v>17471</v>
      </c>
      <c r="C9602">
        <v>0</v>
      </c>
      <c r="D9602">
        <v>0.73688673316499997</v>
      </c>
      <c r="E9602">
        <v>7.3319999999999999</v>
      </c>
    </row>
    <row r="9603" spans="1:5">
      <c r="A9603" t="s">
        <v>40060</v>
      </c>
      <c r="B9603" t="s">
        <v>21965</v>
      </c>
      <c r="C9603">
        <f>0.180720063992</f>
        <v>0.180720063992</v>
      </c>
      <c r="D9603">
        <v>0.99179295359200004</v>
      </c>
      <c r="E9603">
        <v>0</v>
      </c>
    </row>
    <row r="9604" spans="1:5">
      <c r="A9604" t="s">
        <v>40060</v>
      </c>
      <c r="B9604" t="s">
        <v>21966</v>
      </c>
      <c r="C9604">
        <f>0</f>
        <v>0</v>
      </c>
      <c r="D9604">
        <v>0.99179295359200004</v>
      </c>
      <c r="E9604">
        <v>0</v>
      </c>
    </row>
    <row r="9605" spans="1:5">
      <c r="A9605" t="s">
        <v>40060</v>
      </c>
      <c r="B9605" t="s">
        <v>21967</v>
      </c>
      <c r="C9605">
        <v>0</v>
      </c>
      <c r="D9605">
        <v>0.99179295359200004</v>
      </c>
      <c r="E9605">
        <v>0</v>
      </c>
    </row>
    <row r="9606" spans="1:5">
      <c r="A9606" t="s">
        <v>40060</v>
      </c>
      <c r="B9606" t="s">
        <v>21974</v>
      </c>
      <c r="C9606">
        <v>0.97210503212999999</v>
      </c>
      <c r="D9606">
        <v>0.99179295359200004</v>
      </c>
      <c r="E9606">
        <v>0</v>
      </c>
    </row>
    <row r="9607" spans="1:5">
      <c r="A9607" t="s">
        <v>40060</v>
      </c>
      <c r="B9607" t="s">
        <v>21973</v>
      </c>
      <c r="C9607">
        <v>0</v>
      </c>
      <c r="D9607">
        <v>0.99179295359200004</v>
      </c>
      <c r="E9607">
        <v>0</v>
      </c>
    </row>
    <row r="9608" spans="1:5">
      <c r="A9608" t="s">
        <v>40060</v>
      </c>
      <c r="B9608" t="s">
        <v>40061</v>
      </c>
      <c r="C9608">
        <f>0.458690507051</f>
        <v>0.45869050705100001</v>
      </c>
      <c r="D9608">
        <v>0.99179295359200004</v>
      </c>
      <c r="E9608">
        <v>0</v>
      </c>
    </row>
    <row r="9609" spans="1:5">
      <c r="A9609" t="s">
        <v>40060</v>
      </c>
      <c r="B9609" t="s">
        <v>21968</v>
      </c>
      <c r="C9609">
        <v>0.40540545149899998</v>
      </c>
      <c r="D9609">
        <v>0.99179295359200004</v>
      </c>
      <c r="E9609">
        <v>0</v>
      </c>
    </row>
    <row r="9610" spans="1:5">
      <c r="A9610" t="s">
        <v>40060</v>
      </c>
      <c r="B9610" t="s">
        <v>21970</v>
      </c>
      <c r="C9610">
        <f>0.534900134448</f>
        <v>0.534900134448</v>
      </c>
      <c r="D9610">
        <v>0.99179295359200004</v>
      </c>
      <c r="E9610">
        <v>0</v>
      </c>
    </row>
    <row r="9611" spans="1:5">
      <c r="A9611" t="s">
        <v>40060</v>
      </c>
      <c r="B9611" t="s">
        <v>21969</v>
      </c>
      <c r="C9611">
        <v>0.72639083400000004</v>
      </c>
      <c r="D9611">
        <v>0.99179295359200004</v>
      </c>
      <c r="E9611">
        <v>0</v>
      </c>
    </row>
    <row r="9612" spans="1:5">
      <c r="A9612" t="s">
        <v>40062</v>
      </c>
      <c r="B9612" t="s">
        <v>40063</v>
      </c>
      <c r="C9612">
        <v>7.7872188098300002E-2</v>
      </c>
      <c r="D9612">
        <v>0.75460353019100002</v>
      </c>
      <c r="E9612">
        <v>23.754000000000001</v>
      </c>
    </row>
    <row r="9613" spans="1:5">
      <c r="A9613" t="s">
        <v>40062</v>
      </c>
      <c r="B9613" t="s">
        <v>40064</v>
      </c>
      <c r="C9613">
        <v>0</v>
      </c>
      <c r="D9613">
        <v>0.75460353019100002</v>
      </c>
      <c r="E9613">
        <v>23.754000000000001</v>
      </c>
    </row>
    <row r="9614" spans="1:5">
      <c r="A9614" t="s">
        <v>40062</v>
      </c>
      <c r="B9614" t="s">
        <v>40065</v>
      </c>
      <c r="C9614">
        <f>0.701698640721</f>
        <v>0.70169864072099997</v>
      </c>
      <c r="D9614">
        <v>0.75460353019100002</v>
      </c>
      <c r="E9614">
        <v>23.754000000000001</v>
      </c>
    </row>
    <row r="9615" spans="1:5">
      <c r="A9615" t="s">
        <v>40066</v>
      </c>
      <c r="B9615" t="s">
        <v>16862</v>
      </c>
      <c r="C9615">
        <v>0</v>
      </c>
      <c r="D9615" t="s">
        <v>106</v>
      </c>
      <c r="E9615">
        <v>0</v>
      </c>
    </row>
    <row r="9616" spans="1:5">
      <c r="A9616" t="s">
        <v>40066</v>
      </c>
      <c r="B9616" t="s">
        <v>16864</v>
      </c>
      <c r="C9616">
        <v>0</v>
      </c>
      <c r="D9616" t="s">
        <v>106</v>
      </c>
      <c r="E9616">
        <v>0</v>
      </c>
    </row>
    <row r="9617" spans="1:5">
      <c r="A9617" t="s">
        <v>40066</v>
      </c>
      <c r="B9617" t="s">
        <v>16863</v>
      </c>
      <c r="C9617">
        <v>0</v>
      </c>
      <c r="D9617" t="s">
        <v>106</v>
      </c>
      <c r="E9617">
        <v>0</v>
      </c>
    </row>
    <row r="9618" spans="1:5">
      <c r="A9618" t="s">
        <v>40066</v>
      </c>
      <c r="B9618" t="s">
        <v>16865</v>
      </c>
      <c r="C9618">
        <v>0</v>
      </c>
      <c r="D9618" t="s">
        <v>106</v>
      </c>
      <c r="E9618">
        <v>0</v>
      </c>
    </row>
    <row r="9619" spans="1:5">
      <c r="A9619" t="s">
        <v>40067</v>
      </c>
      <c r="B9619" t="s">
        <v>22245</v>
      </c>
      <c r="C9619">
        <v>1.58440866754E-2</v>
      </c>
      <c r="D9619">
        <v>0.99803190501200001</v>
      </c>
      <c r="E9619">
        <v>0</v>
      </c>
    </row>
    <row r="9620" spans="1:5">
      <c r="A9620" t="s">
        <v>40067</v>
      </c>
      <c r="B9620" t="s">
        <v>22244</v>
      </c>
      <c r="C9620">
        <v>0</v>
      </c>
      <c r="D9620">
        <v>0.99803190501200001</v>
      </c>
      <c r="E9620">
        <v>0</v>
      </c>
    </row>
    <row r="9621" spans="1:5">
      <c r="A9621" t="s">
        <v>40067</v>
      </c>
      <c r="B9621" t="s">
        <v>22250</v>
      </c>
      <c r="C9621">
        <v>3.9150010974199997E-2</v>
      </c>
      <c r="D9621">
        <v>0.99803190501200001</v>
      </c>
      <c r="E9621">
        <v>0</v>
      </c>
    </row>
    <row r="9622" spans="1:5">
      <c r="A9622" t="s">
        <v>40067</v>
      </c>
      <c r="B9622" t="s">
        <v>22251</v>
      </c>
      <c r="C9622">
        <f>0.402377576916</f>
        <v>0.40237757691600001</v>
      </c>
      <c r="D9622">
        <v>0.99803190501200001</v>
      </c>
      <c r="E9622">
        <v>0</v>
      </c>
    </row>
    <row r="9623" spans="1:5">
      <c r="A9623" t="s">
        <v>40067</v>
      </c>
      <c r="B9623" t="s">
        <v>22248</v>
      </c>
      <c r="C9623">
        <v>0.196694066586</v>
      </c>
      <c r="D9623">
        <v>0.99803190501200001</v>
      </c>
      <c r="E9623">
        <v>0</v>
      </c>
    </row>
    <row r="9624" spans="1:5">
      <c r="A9624" t="s">
        <v>40067</v>
      </c>
      <c r="B9624" t="s">
        <v>22249</v>
      </c>
      <c r="C9624">
        <f>0.0560384526853</f>
        <v>5.60384526853E-2</v>
      </c>
      <c r="D9624">
        <v>0.99803190501200001</v>
      </c>
      <c r="E9624">
        <v>0</v>
      </c>
    </row>
    <row r="9625" spans="1:5">
      <c r="A9625" t="s">
        <v>40067</v>
      </c>
      <c r="B9625" t="s">
        <v>22246</v>
      </c>
      <c r="C9625">
        <v>1.1702865140200001</v>
      </c>
      <c r="D9625">
        <v>0.99803190501200001</v>
      </c>
      <c r="E9625">
        <v>0</v>
      </c>
    </row>
    <row r="9626" spans="1:5">
      <c r="A9626" t="s">
        <v>40067</v>
      </c>
      <c r="B9626" t="s">
        <v>22247</v>
      </c>
      <c r="C9626">
        <f>0.283543604737</f>
        <v>0.28354360473700002</v>
      </c>
      <c r="D9626">
        <v>0.99803190501200001</v>
      </c>
      <c r="E9626">
        <v>0</v>
      </c>
    </row>
    <row r="9627" spans="1:5">
      <c r="A9627" t="s">
        <v>40067</v>
      </c>
      <c r="B9627" t="s">
        <v>22242</v>
      </c>
      <c r="C9627">
        <f>0.413542269963</f>
        <v>0.41354226996299998</v>
      </c>
      <c r="D9627">
        <v>0.99803190501200001</v>
      </c>
      <c r="E9627">
        <v>0</v>
      </c>
    </row>
    <row r="9628" spans="1:5">
      <c r="A9628" t="s">
        <v>40068</v>
      </c>
      <c r="B9628" t="s">
        <v>16530</v>
      </c>
      <c r="C9628">
        <v>0</v>
      </c>
      <c r="D9628">
        <v>0.79537911754900004</v>
      </c>
      <c r="E9628">
        <v>24</v>
      </c>
    </row>
    <row r="9629" spans="1:5">
      <c r="A9629" t="s">
        <v>40068</v>
      </c>
      <c r="B9629" t="s">
        <v>16531</v>
      </c>
      <c r="C9629">
        <v>0.41022028272299998</v>
      </c>
      <c r="D9629">
        <v>0.79537911754900004</v>
      </c>
      <c r="E9629">
        <v>24</v>
      </c>
    </row>
    <row r="9630" spans="1:5">
      <c r="A9630" t="s">
        <v>40068</v>
      </c>
      <c r="B9630" t="s">
        <v>16533</v>
      </c>
      <c r="C9630">
        <v>0.362921110228</v>
      </c>
      <c r="D9630">
        <v>0.79537911754900004</v>
      </c>
      <c r="E9630">
        <v>24</v>
      </c>
    </row>
    <row r="9631" spans="1:5">
      <c r="A9631" t="s">
        <v>40069</v>
      </c>
      <c r="B9631" t="s">
        <v>12494</v>
      </c>
      <c r="C9631">
        <v>0.61321217555600005</v>
      </c>
      <c r="D9631">
        <v>0.96548658602699999</v>
      </c>
      <c r="E9631">
        <v>24</v>
      </c>
    </row>
    <row r="9632" spans="1:5">
      <c r="A9632" t="s">
        <v>40069</v>
      </c>
      <c r="B9632" t="s">
        <v>12495</v>
      </c>
      <c r="C9632">
        <v>0.54082366202599996</v>
      </c>
      <c r="D9632">
        <v>0.96548658602699999</v>
      </c>
      <c r="E9632">
        <v>24</v>
      </c>
    </row>
    <row r="9633" spans="1:5">
      <c r="A9633" t="s">
        <v>40069</v>
      </c>
      <c r="B9633" t="s">
        <v>12493</v>
      </c>
      <c r="C9633">
        <f>0.143298505408</f>
        <v>0.14329850540799999</v>
      </c>
      <c r="D9633">
        <v>0.96548658602699999</v>
      </c>
      <c r="E9633">
        <v>24</v>
      </c>
    </row>
    <row r="9634" spans="1:5">
      <c r="A9634" t="s">
        <v>40069</v>
      </c>
      <c r="B9634" t="s">
        <v>12500</v>
      </c>
      <c r="C9634">
        <v>0</v>
      </c>
      <c r="D9634">
        <v>0.96548658602699999</v>
      </c>
      <c r="E9634">
        <v>24</v>
      </c>
    </row>
    <row r="9635" spans="1:5">
      <c r="A9635" t="s">
        <v>40069</v>
      </c>
      <c r="B9635" t="s">
        <v>12499</v>
      </c>
      <c r="C9635">
        <f>0</f>
        <v>0</v>
      </c>
      <c r="D9635">
        <v>0.96548658602699999</v>
      </c>
      <c r="E9635">
        <v>24</v>
      </c>
    </row>
    <row r="9636" spans="1:5">
      <c r="A9636" t="s">
        <v>40069</v>
      </c>
      <c r="B9636" t="s">
        <v>12496</v>
      </c>
      <c r="C9636">
        <f>0.0221937040843</f>
        <v>2.2193704084299999E-2</v>
      </c>
      <c r="D9636">
        <v>0.96548658602699999</v>
      </c>
      <c r="E9636">
        <v>24</v>
      </c>
    </row>
    <row r="9637" spans="1:5">
      <c r="A9637" t="s">
        <v>40069</v>
      </c>
      <c r="B9637" t="s">
        <v>12497</v>
      </c>
      <c r="C9637">
        <v>0</v>
      </c>
      <c r="D9637">
        <v>0.96548658602699999</v>
      </c>
      <c r="E9637">
        <v>24</v>
      </c>
    </row>
    <row r="9638" spans="1:5">
      <c r="A9638" t="s">
        <v>40069</v>
      </c>
      <c r="B9638" t="s">
        <v>12498</v>
      </c>
      <c r="C9638">
        <f>0</f>
        <v>0</v>
      </c>
      <c r="D9638">
        <v>0.96548658602699999</v>
      </c>
      <c r="E9638">
        <v>24</v>
      </c>
    </row>
    <row r="9639" spans="1:5">
      <c r="A9639" t="s">
        <v>40070</v>
      </c>
      <c r="B9639" t="s">
        <v>24564</v>
      </c>
      <c r="C9639">
        <f>0</f>
        <v>0</v>
      </c>
      <c r="D9639" t="s">
        <v>106</v>
      </c>
      <c r="E9639">
        <v>22.806000000000001</v>
      </c>
    </row>
    <row r="9640" spans="1:5">
      <c r="A9640" t="s">
        <v>40070</v>
      </c>
      <c r="B9640" t="s">
        <v>24565</v>
      </c>
      <c r="C9640">
        <f>0</f>
        <v>0</v>
      </c>
      <c r="D9640" t="s">
        <v>106</v>
      </c>
      <c r="E9640">
        <v>22.806000000000001</v>
      </c>
    </row>
    <row r="9641" spans="1:5">
      <c r="A9641" t="s">
        <v>40071</v>
      </c>
      <c r="B9641" t="s">
        <v>29732</v>
      </c>
      <c r="C9641">
        <f>0</f>
        <v>0</v>
      </c>
      <c r="D9641" t="s">
        <v>106</v>
      </c>
      <c r="E9641">
        <v>16.097999999999999</v>
      </c>
    </row>
    <row r="9642" spans="1:5">
      <c r="A9642" t="s">
        <v>40071</v>
      </c>
      <c r="B9642" t="s">
        <v>29740</v>
      </c>
      <c r="C9642">
        <f>0</f>
        <v>0</v>
      </c>
      <c r="D9642" t="s">
        <v>106</v>
      </c>
      <c r="E9642">
        <v>16.097999999999999</v>
      </c>
    </row>
    <row r="9643" spans="1:5">
      <c r="A9643" t="s">
        <v>40071</v>
      </c>
      <c r="B9643" t="s">
        <v>29736</v>
      </c>
      <c r="C9643">
        <v>0</v>
      </c>
      <c r="D9643" t="s">
        <v>106</v>
      </c>
      <c r="E9643">
        <v>16.097999999999999</v>
      </c>
    </row>
    <row r="9644" spans="1:5">
      <c r="A9644" t="s">
        <v>40071</v>
      </c>
      <c r="B9644" t="s">
        <v>29741</v>
      </c>
      <c r="C9644">
        <f>0</f>
        <v>0</v>
      </c>
      <c r="D9644" t="s">
        <v>106</v>
      </c>
      <c r="E9644">
        <v>16.097999999999999</v>
      </c>
    </row>
    <row r="9645" spans="1:5">
      <c r="A9645" t="s">
        <v>40071</v>
      </c>
      <c r="B9645" t="s">
        <v>29737</v>
      </c>
      <c r="C9645">
        <v>0</v>
      </c>
      <c r="D9645" t="s">
        <v>106</v>
      </c>
      <c r="E9645">
        <v>16.097999999999999</v>
      </c>
    </row>
    <row r="9646" spans="1:5">
      <c r="A9646" t="s">
        <v>40072</v>
      </c>
      <c r="B9646" t="s">
        <v>40073</v>
      </c>
      <c r="C9646">
        <v>0</v>
      </c>
      <c r="D9646" t="s">
        <v>106</v>
      </c>
      <c r="E9646">
        <v>0.318</v>
      </c>
    </row>
    <row r="9647" spans="1:5">
      <c r="A9647" t="s">
        <v>40072</v>
      </c>
      <c r="B9647" t="s">
        <v>40074</v>
      </c>
      <c r="C9647">
        <f>0</f>
        <v>0</v>
      </c>
      <c r="D9647" t="s">
        <v>106</v>
      </c>
      <c r="E9647">
        <v>0.318</v>
      </c>
    </row>
    <row r="9648" spans="1:5">
      <c r="A9648" t="s">
        <v>40075</v>
      </c>
      <c r="B9648" t="s">
        <v>28709</v>
      </c>
      <c r="C9648">
        <f>0</f>
        <v>0</v>
      </c>
      <c r="D9648" t="s">
        <v>106</v>
      </c>
      <c r="E9648">
        <v>4.17</v>
      </c>
    </row>
    <row r="9649" spans="1:5">
      <c r="A9649" t="s">
        <v>40075</v>
      </c>
      <c r="B9649" t="s">
        <v>28708</v>
      </c>
      <c r="C9649">
        <v>0</v>
      </c>
      <c r="D9649" t="s">
        <v>106</v>
      </c>
      <c r="E9649">
        <v>4.17</v>
      </c>
    </row>
    <row r="9650" spans="1:5">
      <c r="A9650" t="s">
        <v>40076</v>
      </c>
      <c r="B9650" t="s">
        <v>12383</v>
      </c>
      <c r="C9650">
        <v>0.48790717746899998</v>
      </c>
      <c r="D9650">
        <v>0.79390935346699998</v>
      </c>
      <c r="E9650">
        <v>3.5999999999999997E-2</v>
      </c>
    </row>
    <row r="9651" spans="1:5">
      <c r="A9651" t="s">
        <v>40076</v>
      </c>
      <c r="B9651" t="s">
        <v>12384</v>
      </c>
      <c r="C9651">
        <v>0.53103872361799997</v>
      </c>
      <c r="D9651">
        <v>0.79390935346699998</v>
      </c>
      <c r="E9651">
        <v>3.5999999999999997E-2</v>
      </c>
    </row>
    <row r="9652" spans="1:5">
      <c r="A9652" t="s">
        <v>40076</v>
      </c>
      <c r="B9652" t="s">
        <v>12388</v>
      </c>
      <c r="C9652">
        <v>0.156553331446</v>
      </c>
      <c r="D9652">
        <v>0.79390935346699998</v>
      </c>
      <c r="E9652">
        <v>3.5999999999999997E-2</v>
      </c>
    </row>
    <row r="9653" spans="1:5">
      <c r="A9653" t="s">
        <v>40077</v>
      </c>
      <c r="B9653" t="s">
        <v>40078</v>
      </c>
      <c r="C9653">
        <v>1.0831388409499999E-3</v>
      </c>
      <c r="D9653">
        <v>0.99217216552700005</v>
      </c>
      <c r="E9653">
        <v>1.1160000000000001</v>
      </c>
    </row>
    <row r="9654" spans="1:5">
      <c r="A9654" t="s">
        <v>40077</v>
      </c>
      <c r="B9654" t="s">
        <v>40079</v>
      </c>
      <c r="C9654">
        <f>0.550380107617</f>
        <v>0.55038010761699996</v>
      </c>
      <c r="D9654">
        <v>0.99217216552700005</v>
      </c>
      <c r="E9654">
        <v>1.1160000000000001</v>
      </c>
    </row>
    <row r="9655" spans="1:5">
      <c r="A9655" t="s">
        <v>40077</v>
      </c>
      <c r="B9655" t="s">
        <v>40080</v>
      </c>
      <c r="C9655">
        <f>0.0178394308511</f>
        <v>1.7839430851099999E-2</v>
      </c>
      <c r="D9655">
        <v>0.99217216552700005</v>
      </c>
      <c r="E9655">
        <v>1.1160000000000001</v>
      </c>
    </row>
    <row r="9656" spans="1:5">
      <c r="A9656" t="s">
        <v>40077</v>
      </c>
      <c r="B9656" t="s">
        <v>40081</v>
      </c>
      <c r="C9656">
        <f>0.669474786188</f>
        <v>0.66947478618800005</v>
      </c>
      <c r="D9656">
        <v>0.99217216552700005</v>
      </c>
      <c r="E9656">
        <v>1.1160000000000001</v>
      </c>
    </row>
    <row r="9657" spans="1:5">
      <c r="A9657" t="s">
        <v>40077</v>
      </c>
      <c r="B9657" t="s">
        <v>40082</v>
      </c>
      <c r="C9657">
        <v>0.55432845609000003</v>
      </c>
      <c r="D9657">
        <v>0.99217216552700005</v>
      </c>
      <c r="E9657">
        <v>1.1160000000000001</v>
      </c>
    </row>
    <row r="9658" spans="1:5">
      <c r="A9658" t="s">
        <v>40077</v>
      </c>
      <c r="B9658" t="s">
        <v>40083</v>
      </c>
      <c r="C9658">
        <f>0.0270697983343</f>
        <v>2.70697983343E-2</v>
      </c>
      <c r="D9658">
        <v>0.99217216552700005</v>
      </c>
      <c r="E9658">
        <v>1.1160000000000001</v>
      </c>
    </row>
    <row r="9659" spans="1:5">
      <c r="A9659" t="s">
        <v>40084</v>
      </c>
      <c r="B9659" t="s">
        <v>10416</v>
      </c>
      <c r="C9659">
        <f>0.0371900242836</f>
        <v>3.71900242836E-2</v>
      </c>
      <c r="D9659">
        <v>0.80724561166999997</v>
      </c>
      <c r="E9659">
        <v>0.15</v>
      </c>
    </row>
    <row r="9660" spans="1:5">
      <c r="A9660" t="s">
        <v>40084</v>
      </c>
      <c r="B9660" t="s">
        <v>10423</v>
      </c>
      <c r="C9660">
        <f>0.589771205019</f>
        <v>0.58977120501900004</v>
      </c>
      <c r="D9660">
        <v>0.80724561166999997</v>
      </c>
      <c r="E9660">
        <v>0.15</v>
      </c>
    </row>
    <row r="9661" spans="1:5">
      <c r="A9661" t="s">
        <v>40084</v>
      </c>
      <c r="B9661" t="s">
        <v>10422</v>
      </c>
      <c r="C9661">
        <v>9.5943890269000007E-2</v>
      </c>
      <c r="D9661">
        <v>0.80724561166999997</v>
      </c>
      <c r="E9661">
        <v>0.15</v>
      </c>
    </row>
    <row r="9662" spans="1:5">
      <c r="A9662" t="s">
        <v>40084</v>
      </c>
      <c r="B9662" t="s">
        <v>10420</v>
      </c>
      <c r="C9662">
        <v>0</v>
      </c>
      <c r="D9662">
        <v>0.80724561166999997</v>
      </c>
      <c r="E9662">
        <v>0.15</v>
      </c>
    </row>
    <row r="9663" spans="1:5">
      <c r="A9663" t="s">
        <v>40084</v>
      </c>
      <c r="B9663" t="s">
        <v>10419</v>
      </c>
      <c r="C9663">
        <v>0</v>
      </c>
      <c r="D9663">
        <v>0.80724561166999997</v>
      </c>
      <c r="E9663">
        <v>0.15</v>
      </c>
    </row>
    <row r="9664" spans="1:5">
      <c r="A9664" t="s">
        <v>40084</v>
      </c>
      <c r="B9664" t="s">
        <v>10418</v>
      </c>
      <c r="C9664">
        <f>0</f>
        <v>0</v>
      </c>
      <c r="D9664">
        <v>0.80724561166999997</v>
      </c>
      <c r="E9664">
        <v>0.15</v>
      </c>
    </row>
    <row r="9665" spans="1:5">
      <c r="A9665" t="s">
        <v>40085</v>
      </c>
      <c r="B9665" t="s">
        <v>23693</v>
      </c>
      <c r="C9665">
        <f>0</f>
        <v>0</v>
      </c>
      <c r="D9665" t="s">
        <v>106</v>
      </c>
      <c r="E9665">
        <v>24</v>
      </c>
    </row>
    <row r="9666" spans="1:5">
      <c r="A9666" t="s">
        <v>40085</v>
      </c>
      <c r="B9666" t="s">
        <v>23692</v>
      </c>
      <c r="C9666">
        <v>0</v>
      </c>
      <c r="D9666" t="s">
        <v>106</v>
      </c>
      <c r="E9666">
        <v>24</v>
      </c>
    </row>
    <row r="9667" spans="1:5">
      <c r="A9667" t="s">
        <v>40085</v>
      </c>
      <c r="B9667" t="s">
        <v>23699</v>
      </c>
      <c r="C9667">
        <v>0</v>
      </c>
      <c r="D9667" t="s">
        <v>106</v>
      </c>
      <c r="E9667">
        <v>24</v>
      </c>
    </row>
    <row r="9668" spans="1:5">
      <c r="A9668" t="s">
        <v>40085</v>
      </c>
      <c r="B9668" t="s">
        <v>23698</v>
      </c>
      <c r="C9668">
        <v>0</v>
      </c>
      <c r="D9668" t="s">
        <v>106</v>
      </c>
      <c r="E9668">
        <v>24</v>
      </c>
    </row>
    <row r="9669" spans="1:5">
      <c r="A9669" t="s">
        <v>40085</v>
      </c>
      <c r="B9669" t="s">
        <v>23701</v>
      </c>
      <c r="C9669">
        <v>0</v>
      </c>
      <c r="D9669" t="s">
        <v>106</v>
      </c>
      <c r="E9669">
        <v>24</v>
      </c>
    </row>
    <row r="9670" spans="1:5">
      <c r="A9670" t="s">
        <v>40085</v>
      </c>
      <c r="B9670" t="s">
        <v>23702</v>
      </c>
      <c r="C9670">
        <f>0</f>
        <v>0</v>
      </c>
      <c r="D9670" t="s">
        <v>106</v>
      </c>
      <c r="E9670">
        <v>24</v>
      </c>
    </row>
    <row r="9671" spans="1:5">
      <c r="A9671" t="s">
        <v>40085</v>
      </c>
      <c r="B9671" t="s">
        <v>23700</v>
      </c>
      <c r="C9671">
        <f>0</f>
        <v>0</v>
      </c>
      <c r="D9671" t="s">
        <v>106</v>
      </c>
      <c r="E9671">
        <v>24</v>
      </c>
    </row>
    <row r="9672" spans="1:5">
      <c r="A9672" t="s">
        <v>40085</v>
      </c>
      <c r="B9672" t="s">
        <v>23704</v>
      </c>
      <c r="C9672">
        <v>0</v>
      </c>
      <c r="D9672" t="s">
        <v>106</v>
      </c>
      <c r="E9672">
        <v>24</v>
      </c>
    </row>
    <row r="9673" spans="1:5">
      <c r="A9673" t="s">
        <v>40086</v>
      </c>
      <c r="B9673" t="s">
        <v>29666</v>
      </c>
      <c r="C9673">
        <v>0.53503585578099999</v>
      </c>
      <c r="D9673">
        <v>0.59264585578100004</v>
      </c>
      <c r="E9673">
        <v>23.754000000000001</v>
      </c>
    </row>
    <row r="9674" spans="1:5">
      <c r="A9674" t="s">
        <v>40086</v>
      </c>
      <c r="B9674" t="s">
        <v>29665</v>
      </c>
      <c r="C9674">
        <v>0</v>
      </c>
      <c r="D9674">
        <v>0.59264585578100004</v>
      </c>
      <c r="E9674">
        <v>23.754000000000001</v>
      </c>
    </row>
    <row r="9675" spans="1:5">
      <c r="A9675" t="s">
        <v>40087</v>
      </c>
      <c r="B9675" t="s">
        <v>40088</v>
      </c>
      <c r="C9675">
        <f>-1.29094512001</f>
        <v>-1.2909451200099999</v>
      </c>
      <c r="D9675">
        <v>0.91807337567400005</v>
      </c>
      <c r="E9675">
        <v>6.4260000000000002</v>
      </c>
    </row>
    <row r="9676" spans="1:5">
      <c r="A9676" t="s">
        <v>40087</v>
      </c>
      <c r="B9676" t="s">
        <v>40089</v>
      </c>
      <c r="C9676">
        <v>1.72787953436</v>
      </c>
      <c r="D9676">
        <v>0.91807337567400005</v>
      </c>
      <c r="E9676">
        <v>6.4260000000000002</v>
      </c>
    </row>
    <row r="9677" spans="1:5">
      <c r="A9677" t="s">
        <v>40087</v>
      </c>
      <c r="B9677" t="s">
        <v>40090</v>
      </c>
      <c r="C9677">
        <v>0</v>
      </c>
      <c r="D9677">
        <v>0.91807337567400005</v>
      </c>
      <c r="E9677">
        <v>6.4260000000000002</v>
      </c>
    </row>
    <row r="9678" spans="1:5">
      <c r="A9678" t="s">
        <v>40091</v>
      </c>
      <c r="B9678" t="s">
        <v>28223</v>
      </c>
      <c r="C9678">
        <f>0</f>
        <v>0</v>
      </c>
      <c r="D9678" t="s">
        <v>106</v>
      </c>
      <c r="E9678">
        <v>7.1999999999999995E-2</v>
      </c>
    </row>
    <row r="9679" spans="1:5">
      <c r="A9679" t="s">
        <v>40091</v>
      </c>
      <c r="B9679" t="s">
        <v>28224</v>
      </c>
      <c r="C9679">
        <f>0</f>
        <v>0</v>
      </c>
      <c r="D9679" t="s">
        <v>106</v>
      </c>
      <c r="E9679">
        <v>7.1999999999999995E-2</v>
      </c>
    </row>
    <row r="9680" spans="1:5">
      <c r="A9680" t="s">
        <v>40092</v>
      </c>
      <c r="B9680" t="s">
        <v>23324</v>
      </c>
      <c r="C9680">
        <v>0</v>
      </c>
      <c r="D9680" t="s">
        <v>106</v>
      </c>
      <c r="E9680">
        <v>0.96599999999999997</v>
      </c>
    </row>
    <row r="9681" spans="1:5">
      <c r="A9681" t="s">
        <v>40092</v>
      </c>
      <c r="B9681" t="s">
        <v>23325</v>
      </c>
      <c r="C9681">
        <f>0</f>
        <v>0</v>
      </c>
      <c r="D9681" t="s">
        <v>106</v>
      </c>
      <c r="E9681">
        <v>0.96599999999999997</v>
      </c>
    </row>
    <row r="9682" spans="1:5">
      <c r="A9682" t="s">
        <v>40092</v>
      </c>
      <c r="B9682" t="s">
        <v>23327</v>
      </c>
      <c r="C9682">
        <v>0</v>
      </c>
      <c r="D9682" t="s">
        <v>106</v>
      </c>
      <c r="E9682">
        <v>0.96599999999999997</v>
      </c>
    </row>
    <row r="9683" spans="1:5">
      <c r="A9683" t="s">
        <v>40093</v>
      </c>
      <c r="B9683" t="s">
        <v>22621</v>
      </c>
      <c r="C9683">
        <v>0.80458166988000002</v>
      </c>
      <c r="D9683">
        <v>0.95127667754599998</v>
      </c>
      <c r="E9683">
        <v>23.754000000000001</v>
      </c>
    </row>
    <row r="9684" spans="1:5">
      <c r="A9684" t="s">
        <v>40093</v>
      </c>
      <c r="B9684" t="s">
        <v>22622</v>
      </c>
      <c r="C9684">
        <f>0.216191341521</f>
        <v>0.216191341521</v>
      </c>
      <c r="D9684">
        <v>0.95127667754599998</v>
      </c>
      <c r="E9684">
        <v>23.754000000000001</v>
      </c>
    </row>
    <row r="9685" spans="1:5">
      <c r="A9685" t="s">
        <v>40094</v>
      </c>
      <c r="B9685" t="s">
        <v>27623</v>
      </c>
      <c r="C9685">
        <v>0.64849578784799999</v>
      </c>
      <c r="D9685">
        <v>0.86082805727099998</v>
      </c>
      <c r="E9685">
        <v>3.6840000000000002</v>
      </c>
    </row>
    <row r="9686" spans="1:5">
      <c r="A9686" t="s">
        <v>40094</v>
      </c>
      <c r="B9686" t="s">
        <v>27631</v>
      </c>
      <c r="C9686">
        <v>0</v>
      </c>
      <c r="D9686">
        <v>0.86082805727099998</v>
      </c>
      <c r="E9686">
        <v>3.6840000000000002</v>
      </c>
    </row>
    <row r="9687" spans="1:5">
      <c r="A9687" t="s">
        <v>40094</v>
      </c>
      <c r="B9687" t="s">
        <v>27626</v>
      </c>
      <c r="C9687">
        <v>0</v>
      </c>
      <c r="D9687">
        <v>0.86082805727099998</v>
      </c>
      <c r="E9687">
        <v>3.6840000000000002</v>
      </c>
    </row>
    <row r="9688" spans="1:5">
      <c r="A9688" t="s">
        <v>40094</v>
      </c>
      <c r="B9688" t="s">
        <v>27630</v>
      </c>
      <c r="C9688">
        <f>0.329199116912</f>
        <v>0.32919911691199999</v>
      </c>
      <c r="D9688">
        <v>0.86082805727099998</v>
      </c>
      <c r="E9688">
        <v>3.6840000000000002</v>
      </c>
    </row>
    <row r="9689" spans="1:5">
      <c r="A9689" t="s">
        <v>40095</v>
      </c>
      <c r="B9689" t="s">
        <v>31422</v>
      </c>
      <c r="C9689">
        <v>0.68156133169300004</v>
      </c>
      <c r="D9689">
        <v>0.79339596078999997</v>
      </c>
      <c r="E9689">
        <v>23.754000000000001</v>
      </c>
    </row>
    <row r="9690" spans="1:5">
      <c r="A9690" t="s">
        <v>40095</v>
      </c>
      <c r="B9690" t="s">
        <v>31420</v>
      </c>
      <c r="C9690">
        <f>0.688056811783</f>
        <v>0.68805681178300004</v>
      </c>
      <c r="D9690">
        <v>0.79339596078999997</v>
      </c>
      <c r="E9690">
        <v>23.754000000000001</v>
      </c>
    </row>
    <row r="9691" spans="1:5">
      <c r="A9691" t="s">
        <v>40096</v>
      </c>
      <c r="B9691" t="s">
        <v>11880</v>
      </c>
      <c r="C9691">
        <f>0</f>
        <v>0</v>
      </c>
      <c r="D9691">
        <v>0.90860166376200002</v>
      </c>
      <c r="E9691">
        <v>1.1160000000000001</v>
      </c>
    </row>
    <row r="9692" spans="1:5">
      <c r="A9692" t="s">
        <v>40096</v>
      </c>
      <c r="B9692" t="s">
        <v>11881</v>
      </c>
      <c r="C9692">
        <f>0.806191663762</f>
        <v>0.80619166376200002</v>
      </c>
      <c r="D9692">
        <v>0.90860166376200002</v>
      </c>
      <c r="E9692">
        <v>1.1160000000000001</v>
      </c>
    </row>
    <row r="9693" spans="1:5">
      <c r="A9693" t="s">
        <v>40097</v>
      </c>
      <c r="B9693" t="s">
        <v>4979</v>
      </c>
      <c r="C9693">
        <f>0.452537125135</f>
        <v>0.452537125135</v>
      </c>
      <c r="D9693">
        <v>0.87765771404299997</v>
      </c>
      <c r="E9693">
        <v>1.17</v>
      </c>
    </row>
    <row r="9694" spans="1:5">
      <c r="A9694" t="s">
        <v>40097</v>
      </c>
      <c r="B9694" t="s">
        <v>4978</v>
      </c>
      <c r="C9694">
        <v>0.77934979861599996</v>
      </c>
      <c r="D9694">
        <v>0.87765771404299997</v>
      </c>
      <c r="E9694">
        <v>1.17</v>
      </c>
    </row>
    <row r="9695" spans="1:5">
      <c r="A9695" t="s">
        <v>40097</v>
      </c>
      <c r="B9695" t="s">
        <v>4980</v>
      </c>
      <c r="C9695">
        <f>0</f>
        <v>0</v>
      </c>
      <c r="D9695">
        <v>0.87765771404299997</v>
      </c>
      <c r="E9695">
        <v>1.17</v>
      </c>
    </row>
    <row r="9696" spans="1:5">
      <c r="A9696" t="s">
        <v>40098</v>
      </c>
      <c r="B9696" t="s">
        <v>27500</v>
      </c>
      <c r="C9696">
        <f>0</f>
        <v>0</v>
      </c>
      <c r="D9696" t="s">
        <v>106</v>
      </c>
      <c r="E9696">
        <v>17.513999999999999</v>
      </c>
    </row>
    <row r="9697" spans="1:5">
      <c r="A9697" t="s">
        <v>40098</v>
      </c>
      <c r="B9697" t="s">
        <v>27506</v>
      </c>
      <c r="C9697">
        <f>0</f>
        <v>0</v>
      </c>
      <c r="D9697" t="s">
        <v>106</v>
      </c>
      <c r="E9697">
        <v>17.513999999999999</v>
      </c>
    </row>
    <row r="9698" spans="1:5">
      <c r="A9698" t="s">
        <v>40098</v>
      </c>
      <c r="B9698" t="s">
        <v>27503</v>
      </c>
      <c r="C9698">
        <v>0</v>
      </c>
      <c r="D9698" t="s">
        <v>106</v>
      </c>
      <c r="E9698">
        <v>17.513999999999999</v>
      </c>
    </row>
    <row r="9699" spans="1:5">
      <c r="A9699" t="s">
        <v>40098</v>
      </c>
      <c r="B9699" t="s">
        <v>27504</v>
      </c>
      <c r="C9699">
        <v>0</v>
      </c>
      <c r="D9699" t="s">
        <v>106</v>
      </c>
      <c r="E9699">
        <v>17.513999999999999</v>
      </c>
    </row>
    <row r="9700" spans="1:5">
      <c r="A9700" t="s">
        <v>40099</v>
      </c>
      <c r="B9700" t="s">
        <v>40100</v>
      </c>
      <c r="C9700">
        <v>0.80934871604199998</v>
      </c>
      <c r="D9700">
        <v>0.91864626672100003</v>
      </c>
      <c r="E9700">
        <v>0</v>
      </c>
    </row>
    <row r="9701" spans="1:5">
      <c r="A9701" t="s">
        <v>40099</v>
      </c>
      <c r="B9701" t="s">
        <v>40101</v>
      </c>
      <c r="C9701">
        <v>0.10648429811100001</v>
      </c>
      <c r="D9701">
        <v>0.91864626672100003</v>
      </c>
      <c r="E9701">
        <v>0</v>
      </c>
    </row>
    <row r="9702" spans="1:5">
      <c r="A9702" t="s">
        <v>40102</v>
      </c>
      <c r="B9702" t="s">
        <v>40103</v>
      </c>
      <c r="C9702">
        <f>0</f>
        <v>0</v>
      </c>
      <c r="D9702" t="s">
        <v>106</v>
      </c>
      <c r="E9702">
        <v>0.378</v>
      </c>
    </row>
    <row r="9703" spans="1:5">
      <c r="A9703" t="s">
        <v>40102</v>
      </c>
      <c r="B9703" t="s">
        <v>40104</v>
      </c>
      <c r="C9703">
        <v>0</v>
      </c>
      <c r="D9703" t="s">
        <v>106</v>
      </c>
      <c r="E9703">
        <v>0.378</v>
      </c>
    </row>
    <row r="9704" spans="1:5">
      <c r="A9704" t="s">
        <v>40105</v>
      </c>
      <c r="B9704" t="s">
        <v>40106</v>
      </c>
      <c r="C9704">
        <v>0</v>
      </c>
      <c r="D9704" t="s">
        <v>106</v>
      </c>
      <c r="E9704">
        <v>19.853999999999999</v>
      </c>
    </row>
    <row r="9705" spans="1:5">
      <c r="A9705" t="s">
        <v>40105</v>
      </c>
      <c r="B9705" t="s">
        <v>40107</v>
      </c>
      <c r="C9705">
        <v>0</v>
      </c>
      <c r="D9705" t="s">
        <v>106</v>
      </c>
      <c r="E9705">
        <v>19.853999999999999</v>
      </c>
    </row>
    <row r="9706" spans="1:5">
      <c r="A9706" t="s">
        <v>40105</v>
      </c>
      <c r="B9706" t="s">
        <v>40108</v>
      </c>
      <c r="C9706">
        <f>0</f>
        <v>0</v>
      </c>
      <c r="D9706" t="s">
        <v>106</v>
      </c>
      <c r="E9706">
        <v>19.853999999999999</v>
      </c>
    </row>
    <row r="9707" spans="1:5">
      <c r="A9707" t="s">
        <v>40105</v>
      </c>
      <c r="B9707" t="s">
        <v>40109</v>
      </c>
      <c r="C9707">
        <v>0</v>
      </c>
      <c r="D9707" t="s">
        <v>106</v>
      </c>
      <c r="E9707">
        <v>19.853999999999999</v>
      </c>
    </row>
    <row r="9708" spans="1:5">
      <c r="A9708" t="s">
        <v>40105</v>
      </c>
      <c r="B9708" t="s">
        <v>40110</v>
      </c>
      <c r="C9708">
        <v>0</v>
      </c>
      <c r="D9708" t="s">
        <v>106</v>
      </c>
      <c r="E9708">
        <v>19.853999999999999</v>
      </c>
    </row>
    <row r="9709" spans="1:5">
      <c r="A9709" t="s">
        <v>40105</v>
      </c>
      <c r="B9709" t="s">
        <v>40111</v>
      </c>
      <c r="C9709">
        <v>0</v>
      </c>
      <c r="D9709" t="s">
        <v>106</v>
      </c>
      <c r="E9709">
        <v>19.853999999999999</v>
      </c>
    </row>
    <row r="9710" spans="1:5">
      <c r="A9710" t="s">
        <v>40105</v>
      </c>
      <c r="B9710" t="s">
        <v>40112</v>
      </c>
      <c r="C9710">
        <f>0</f>
        <v>0</v>
      </c>
      <c r="D9710" t="s">
        <v>106</v>
      </c>
      <c r="E9710">
        <v>19.853999999999999</v>
      </c>
    </row>
    <row r="9711" spans="1:5">
      <c r="A9711" t="s">
        <v>40105</v>
      </c>
      <c r="B9711" t="s">
        <v>40113</v>
      </c>
      <c r="C9711">
        <v>0</v>
      </c>
      <c r="D9711" t="s">
        <v>106</v>
      </c>
      <c r="E9711">
        <v>19.853999999999999</v>
      </c>
    </row>
    <row r="9712" spans="1:5">
      <c r="A9712" t="s">
        <v>40114</v>
      </c>
      <c r="B9712" t="s">
        <v>40115</v>
      </c>
      <c r="C9712">
        <f>0.262159803774</f>
        <v>0.262159803774</v>
      </c>
      <c r="D9712">
        <v>0.64519025091299997</v>
      </c>
      <c r="E9712">
        <v>24</v>
      </c>
    </row>
    <row r="9713" spans="1:5">
      <c r="A9713" t="s">
        <v>40114</v>
      </c>
      <c r="B9713" t="s">
        <v>40116</v>
      </c>
      <c r="C9713">
        <f>0.425129005842</f>
        <v>0.42512900584199997</v>
      </c>
      <c r="D9713">
        <v>0.64519025091299997</v>
      </c>
      <c r="E9713">
        <v>24</v>
      </c>
    </row>
    <row r="9714" spans="1:5">
      <c r="A9714" t="s">
        <v>40117</v>
      </c>
      <c r="B9714" t="s">
        <v>40118</v>
      </c>
      <c r="C9714">
        <v>0</v>
      </c>
      <c r="D9714">
        <v>0.99998546298299995</v>
      </c>
      <c r="E9714">
        <v>22.571999999999999</v>
      </c>
    </row>
    <row r="9715" spans="1:5">
      <c r="A9715" t="s">
        <v>40117</v>
      </c>
      <c r="B9715" t="s">
        <v>40119</v>
      </c>
      <c r="C9715">
        <f>0</f>
        <v>0</v>
      </c>
      <c r="D9715">
        <v>0.99998546298299995</v>
      </c>
      <c r="E9715">
        <v>22.571999999999999</v>
      </c>
    </row>
    <row r="9716" spans="1:5">
      <c r="A9716" t="s">
        <v>40117</v>
      </c>
      <c r="B9716" t="s">
        <v>40120</v>
      </c>
      <c r="C9716">
        <v>0</v>
      </c>
      <c r="D9716">
        <v>0.99998546298299995</v>
      </c>
      <c r="E9716">
        <v>22.571999999999999</v>
      </c>
    </row>
    <row r="9717" spans="1:5">
      <c r="A9717" t="s">
        <v>40117</v>
      </c>
      <c r="B9717" t="s">
        <v>40121</v>
      </c>
      <c r="C9717">
        <v>0.43937392604999997</v>
      </c>
      <c r="D9717">
        <v>0.99998546298299995</v>
      </c>
      <c r="E9717">
        <v>22.571999999999999</v>
      </c>
    </row>
    <row r="9718" spans="1:5">
      <c r="A9718" t="s">
        <v>40117</v>
      </c>
      <c r="B9718" t="s">
        <v>40122</v>
      </c>
      <c r="C9718">
        <v>0.61388845996999997</v>
      </c>
      <c r="D9718">
        <v>0.99998546298299995</v>
      </c>
      <c r="E9718">
        <v>22.571999999999999</v>
      </c>
    </row>
    <row r="9719" spans="1:5">
      <c r="A9719" t="s">
        <v>40117</v>
      </c>
      <c r="B9719" t="s">
        <v>40123</v>
      </c>
      <c r="C9719">
        <f>0.172350182793</f>
        <v>0.17235018279299999</v>
      </c>
      <c r="D9719">
        <v>0.99998546298299995</v>
      </c>
      <c r="E9719">
        <v>22.571999999999999</v>
      </c>
    </row>
    <row r="9720" spans="1:5">
      <c r="A9720" t="s">
        <v>40117</v>
      </c>
      <c r="B9720" t="s">
        <v>40124</v>
      </c>
      <c r="C9720">
        <v>0</v>
      </c>
      <c r="D9720">
        <v>0.99998546298299995</v>
      </c>
      <c r="E9720">
        <v>22.571999999999999</v>
      </c>
    </row>
    <row r="9721" spans="1:5">
      <c r="A9721" t="s">
        <v>40117</v>
      </c>
      <c r="B9721" t="s">
        <v>40125</v>
      </c>
      <c r="C9721">
        <v>0.21097615819099999</v>
      </c>
      <c r="D9721">
        <v>0.99998546298299995</v>
      </c>
      <c r="E9721">
        <v>22.571999999999999</v>
      </c>
    </row>
    <row r="9722" spans="1:5">
      <c r="A9722" t="s">
        <v>40117</v>
      </c>
      <c r="B9722" t="s">
        <v>40126</v>
      </c>
      <c r="C9722">
        <v>2.9447678470700001E-2</v>
      </c>
      <c r="D9722">
        <v>0.99998546298299995</v>
      </c>
      <c r="E9722">
        <v>22.571999999999999</v>
      </c>
    </row>
    <row r="9723" spans="1:5">
      <c r="A9723" t="s">
        <v>40117</v>
      </c>
      <c r="B9723" t="s">
        <v>40127</v>
      </c>
      <c r="C9723">
        <v>0.31772126195</v>
      </c>
      <c r="D9723">
        <v>0.99998546298299995</v>
      </c>
      <c r="E9723">
        <v>22.571999999999999</v>
      </c>
    </row>
    <row r="9724" spans="1:5">
      <c r="A9724" t="s">
        <v>40117</v>
      </c>
      <c r="B9724" t="s">
        <v>40128</v>
      </c>
      <c r="C9724">
        <f>0.0385040102674</f>
        <v>3.8504010267400003E-2</v>
      </c>
      <c r="D9724">
        <v>0.99998546298299995</v>
      </c>
      <c r="E9724">
        <v>22.571999999999999</v>
      </c>
    </row>
    <row r="9725" spans="1:5">
      <c r="A9725" t="s">
        <v>40129</v>
      </c>
      <c r="B9725" t="s">
        <v>40130</v>
      </c>
      <c r="C9725">
        <v>1.3959019424900001</v>
      </c>
      <c r="D9725">
        <v>0.97597206244900003</v>
      </c>
      <c r="E9725">
        <v>6.18</v>
      </c>
    </row>
    <row r="9726" spans="1:5">
      <c r="A9726" t="s">
        <v>40129</v>
      </c>
      <c r="B9726" t="s">
        <v>40131</v>
      </c>
      <c r="C9726">
        <f>0.680067669134</f>
        <v>0.68006766913399996</v>
      </c>
      <c r="D9726">
        <v>0.97597206244900003</v>
      </c>
      <c r="E9726">
        <v>6.18</v>
      </c>
    </row>
    <row r="9727" spans="1:5">
      <c r="A9727" t="s">
        <v>40129</v>
      </c>
      <c r="B9727" t="s">
        <v>40132</v>
      </c>
      <c r="C9727">
        <v>1.1160972258399999</v>
      </c>
      <c r="D9727">
        <v>0.97597206244900003</v>
      </c>
      <c r="E9727">
        <v>6.18</v>
      </c>
    </row>
    <row r="9728" spans="1:5">
      <c r="A9728" t="s">
        <v>40129</v>
      </c>
      <c r="B9728" t="s">
        <v>40133</v>
      </c>
      <c r="C9728">
        <v>1.32337957076</v>
      </c>
      <c r="D9728">
        <v>0.97597206244900003</v>
      </c>
      <c r="E9728">
        <v>6.18</v>
      </c>
    </row>
    <row r="9729" spans="1:5">
      <c r="A9729" t="s">
        <v>40129</v>
      </c>
      <c r="B9729" t="s">
        <v>40134</v>
      </c>
      <c r="C9729">
        <f>0.0391528311748</f>
        <v>3.91528311748E-2</v>
      </c>
      <c r="D9729">
        <v>0.97597206244900003</v>
      </c>
      <c r="E9729">
        <v>6.18</v>
      </c>
    </row>
    <row r="9730" spans="1:5">
      <c r="A9730" t="s">
        <v>40135</v>
      </c>
      <c r="B9730" t="s">
        <v>29654</v>
      </c>
      <c r="C9730">
        <v>0.73341311612899995</v>
      </c>
      <c r="D9730">
        <v>0.78153175339799996</v>
      </c>
      <c r="E9730">
        <v>4.5839999999999996</v>
      </c>
    </row>
    <row r="9731" spans="1:5">
      <c r="A9731" t="s">
        <v>40135</v>
      </c>
      <c r="B9731" t="s">
        <v>29653</v>
      </c>
      <c r="C9731">
        <v>2.8422944624399999E-2</v>
      </c>
      <c r="D9731">
        <v>0.78153175339799996</v>
      </c>
      <c r="E9731">
        <v>4.5839999999999996</v>
      </c>
    </row>
    <row r="9732" spans="1:5">
      <c r="A9732" t="s">
        <v>40136</v>
      </c>
      <c r="B9732" t="s">
        <v>33131</v>
      </c>
      <c r="C9732">
        <f>0</f>
        <v>0</v>
      </c>
      <c r="D9732">
        <v>0.81445293845099997</v>
      </c>
      <c r="E9732">
        <v>0.10199999999999999</v>
      </c>
    </row>
    <row r="9733" spans="1:5">
      <c r="A9733" t="s">
        <v>40136</v>
      </c>
      <c r="B9733" t="s">
        <v>33143</v>
      </c>
      <c r="C9733">
        <v>0</v>
      </c>
      <c r="D9733">
        <v>0.81445293845099997</v>
      </c>
      <c r="E9733">
        <v>0.10199999999999999</v>
      </c>
    </row>
    <row r="9734" spans="1:5">
      <c r="A9734" t="s">
        <v>40136</v>
      </c>
      <c r="B9734" t="s">
        <v>33130</v>
      </c>
      <c r="C9734">
        <f>0</f>
        <v>0</v>
      </c>
      <c r="D9734">
        <v>0.81445293845099997</v>
      </c>
      <c r="E9734">
        <v>0.10199999999999999</v>
      </c>
    </row>
    <row r="9735" spans="1:5">
      <c r="A9735" t="s">
        <v>40136</v>
      </c>
      <c r="B9735" t="s">
        <v>33139</v>
      </c>
      <c r="C9735">
        <v>0</v>
      </c>
      <c r="D9735">
        <v>0.81445293845099997</v>
      </c>
      <c r="E9735">
        <v>0.10199999999999999</v>
      </c>
    </row>
    <row r="9736" spans="1:5">
      <c r="A9736" t="s">
        <v>40136</v>
      </c>
      <c r="B9736" t="s">
        <v>33147</v>
      </c>
      <c r="C9736">
        <v>0</v>
      </c>
      <c r="D9736">
        <v>0.81445293845099997</v>
      </c>
      <c r="E9736">
        <v>0.10199999999999999</v>
      </c>
    </row>
    <row r="9737" spans="1:5">
      <c r="A9737" t="s">
        <v>40136</v>
      </c>
      <c r="B9737" t="s">
        <v>33146</v>
      </c>
      <c r="C9737">
        <v>0</v>
      </c>
      <c r="D9737">
        <v>0.81445293845099997</v>
      </c>
      <c r="E9737">
        <v>0.10199999999999999</v>
      </c>
    </row>
    <row r="9738" spans="1:5">
      <c r="A9738" t="s">
        <v>40136</v>
      </c>
      <c r="B9738" t="s">
        <v>33142</v>
      </c>
      <c r="C9738">
        <f>0</f>
        <v>0</v>
      </c>
      <c r="D9738">
        <v>0.81445293845099997</v>
      </c>
      <c r="E9738">
        <v>0.10199999999999999</v>
      </c>
    </row>
    <row r="9739" spans="1:5">
      <c r="A9739" t="s">
        <v>40136</v>
      </c>
      <c r="B9739" t="s">
        <v>33140</v>
      </c>
      <c r="C9739">
        <f>0</f>
        <v>0</v>
      </c>
      <c r="D9739">
        <v>0.81445293845099997</v>
      </c>
      <c r="E9739">
        <v>0.10199999999999999</v>
      </c>
    </row>
    <row r="9740" spans="1:5">
      <c r="A9740" t="s">
        <v>40136</v>
      </c>
      <c r="B9740" t="s">
        <v>33144</v>
      </c>
      <c r="C9740">
        <f>0.544042938451</f>
        <v>0.54404293845100005</v>
      </c>
      <c r="D9740">
        <v>0.81445293845099997</v>
      </c>
      <c r="E9740">
        <v>0.10199999999999999</v>
      </c>
    </row>
    <row r="9741" spans="1:5">
      <c r="A9741" t="s">
        <v>40137</v>
      </c>
      <c r="B9741" t="s">
        <v>40138</v>
      </c>
      <c r="C9741">
        <f>0</f>
        <v>0</v>
      </c>
      <c r="D9741" t="s">
        <v>106</v>
      </c>
      <c r="E9741">
        <v>24</v>
      </c>
    </row>
    <row r="9742" spans="1:5">
      <c r="A9742" t="s">
        <v>40137</v>
      </c>
      <c r="B9742" t="s">
        <v>40139</v>
      </c>
      <c r="C9742">
        <f>0</f>
        <v>0</v>
      </c>
      <c r="D9742" t="s">
        <v>106</v>
      </c>
      <c r="E9742">
        <v>24</v>
      </c>
    </row>
    <row r="9743" spans="1:5">
      <c r="A9743" t="s">
        <v>40137</v>
      </c>
      <c r="B9743" t="s">
        <v>40140</v>
      </c>
      <c r="C9743">
        <f>0</f>
        <v>0</v>
      </c>
      <c r="D9743" t="s">
        <v>106</v>
      </c>
      <c r="E9743">
        <v>24</v>
      </c>
    </row>
    <row r="9744" spans="1:5">
      <c r="A9744" t="s">
        <v>40137</v>
      </c>
      <c r="B9744" t="s">
        <v>40141</v>
      </c>
      <c r="C9744">
        <v>0</v>
      </c>
      <c r="D9744" t="s">
        <v>106</v>
      </c>
      <c r="E9744">
        <v>24</v>
      </c>
    </row>
    <row r="9745" spans="1:5">
      <c r="A9745" t="s">
        <v>40137</v>
      </c>
      <c r="B9745" t="s">
        <v>40142</v>
      </c>
      <c r="C9745">
        <v>0</v>
      </c>
      <c r="D9745" t="s">
        <v>106</v>
      </c>
      <c r="E9745">
        <v>24</v>
      </c>
    </row>
    <row r="9746" spans="1:5">
      <c r="A9746" t="s">
        <v>40137</v>
      </c>
      <c r="B9746" t="s">
        <v>40143</v>
      </c>
      <c r="C9746">
        <v>0</v>
      </c>
      <c r="D9746" t="s">
        <v>106</v>
      </c>
      <c r="E9746">
        <v>24</v>
      </c>
    </row>
    <row r="9747" spans="1:5">
      <c r="A9747" t="s">
        <v>40137</v>
      </c>
      <c r="B9747" t="s">
        <v>40144</v>
      </c>
      <c r="C9747">
        <f>0</f>
        <v>0</v>
      </c>
      <c r="D9747" t="s">
        <v>106</v>
      </c>
      <c r="E9747">
        <v>24</v>
      </c>
    </row>
    <row r="9748" spans="1:5">
      <c r="A9748" t="s">
        <v>40137</v>
      </c>
      <c r="B9748" t="s">
        <v>40145</v>
      </c>
      <c r="C9748">
        <v>0</v>
      </c>
      <c r="D9748" t="s">
        <v>106</v>
      </c>
      <c r="E9748">
        <v>24</v>
      </c>
    </row>
    <row r="9749" spans="1:5">
      <c r="A9749" t="s">
        <v>40137</v>
      </c>
      <c r="B9749" t="s">
        <v>40146</v>
      </c>
      <c r="C9749">
        <f>0</f>
        <v>0</v>
      </c>
      <c r="D9749" t="s">
        <v>106</v>
      </c>
      <c r="E9749">
        <v>24</v>
      </c>
    </row>
    <row r="9750" spans="1:5">
      <c r="A9750" t="s">
        <v>40137</v>
      </c>
      <c r="B9750" t="s">
        <v>40147</v>
      </c>
      <c r="C9750">
        <v>0</v>
      </c>
      <c r="D9750" t="s">
        <v>106</v>
      </c>
      <c r="E9750">
        <v>24</v>
      </c>
    </row>
    <row r="9751" spans="1:5">
      <c r="A9751" t="s">
        <v>40137</v>
      </c>
      <c r="B9751" t="s">
        <v>40148</v>
      </c>
      <c r="C9751">
        <v>0</v>
      </c>
      <c r="D9751" t="s">
        <v>106</v>
      </c>
      <c r="E9751">
        <v>24</v>
      </c>
    </row>
    <row r="9752" spans="1:5">
      <c r="A9752" t="s">
        <v>40149</v>
      </c>
      <c r="B9752" t="s">
        <v>29149</v>
      </c>
      <c r="C9752">
        <v>0</v>
      </c>
      <c r="D9752" t="s">
        <v>106</v>
      </c>
      <c r="E9752">
        <v>24</v>
      </c>
    </row>
    <row r="9753" spans="1:5">
      <c r="A9753" t="s">
        <v>40149</v>
      </c>
      <c r="B9753" t="s">
        <v>29148</v>
      </c>
      <c r="C9753">
        <v>0</v>
      </c>
      <c r="D9753" t="s">
        <v>106</v>
      </c>
      <c r="E9753">
        <v>24</v>
      </c>
    </row>
    <row r="9754" spans="1:5">
      <c r="A9754" t="s">
        <v>40150</v>
      </c>
      <c r="B9754" t="s">
        <v>4528</v>
      </c>
      <c r="C9754">
        <v>7.3640612893599994E-2</v>
      </c>
      <c r="D9754">
        <v>0.76701626740499995</v>
      </c>
      <c r="E9754">
        <v>2.964</v>
      </c>
    </row>
    <row r="9755" spans="1:5">
      <c r="A9755" t="s">
        <v>40150</v>
      </c>
      <c r="B9755" t="s">
        <v>4545</v>
      </c>
      <c r="C9755">
        <f>0.15306263538</f>
        <v>0.15306263538000001</v>
      </c>
      <c r="D9755">
        <v>0.76701626740499995</v>
      </c>
      <c r="E9755">
        <v>2.964</v>
      </c>
    </row>
    <row r="9756" spans="1:5">
      <c r="A9756" t="s">
        <v>40150</v>
      </c>
      <c r="B9756" t="s">
        <v>4535</v>
      </c>
      <c r="C9756">
        <f>0</f>
        <v>0</v>
      </c>
      <c r="D9756">
        <v>0.76701626740499995</v>
      </c>
      <c r="E9756">
        <v>2.964</v>
      </c>
    </row>
    <row r="9757" spans="1:5">
      <c r="A9757" t="s">
        <v>40150</v>
      </c>
      <c r="B9757" t="s">
        <v>4533</v>
      </c>
      <c r="C9757">
        <f>0</f>
        <v>0</v>
      </c>
      <c r="D9757">
        <v>0.76701626740499995</v>
      </c>
      <c r="E9757">
        <v>2.964</v>
      </c>
    </row>
    <row r="9758" spans="1:5">
      <c r="A9758" t="s">
        <v>40150</v>
      </c>
      <c r="B9758" t="s">
        <v>4543</v>
      </c>
      <c r="C9758">
        <v>0</v>
      </c>
      <c r="D9758">
        <v>0.76701626740499995</v>
      </c>
      <c r="E9758">
        <v>2.964</v>
      </c>
    </row>
    <row r="9759" spans="1:5">
      <c r="A9759" t="s">
        <v>40150</v>
      </c>
      <c r="B9759" t="s">
        <v>4538</v>
      </c>
      <c r="C9759">
        <f>0.24188746829</f>
        <v>0.24188746828999999</v>
      </c>
      <c r="D9759">
        <v>0.76701626740499995</v>
      </c>
      <c r="E9759">
        <v>2.964</v>
      </c>
    </row>
    <row r="9760" spans="1:5">
      <c r="A9760" t="s">
        <v>40150</v>
      </c>
      <c r="B9760" t="s">
        <v>4547</v>
      </c>
      <c r="C9760">
        <f>0</f>
        <v>0</v>
      </c>
      <c r="D9760">
        <v>0.76701626740499995</v>
      </c>
      <c r="E9760">
        <v>2.964</v>
      </c>
    </row>
    <row r="9761" spans="1:5">
      <c r="A9761" t="s">
        <v>40150</v>
      </c>
      <c r="B9761" t="s">
        <v>4539</v>
      </c>
      <c r="C9761">
        <f>0</f>
        <v>0</v>
      </c>
      <c r="D9761">
        <v>0.76701626740499995</v>
      </c>
      <c r="E9761">
        <v>2.964</v>
      </c>
    </row>
    <row r="9762" spans="1:5">
      <c r="A9762" t="s">
        <v>40150</v>
      </c>
      <c r="B9762" t="s">
        <v>4537</v>
      </c>
      <c r="C9762">
        <f>0</f>
        <v>0</v>
      </c>
      <c r="D9762">
        <v>0.76701626740499995</v>
      </c>
      <c r="E9762">
        <v>2.964</v>
      </c>
    </row>
    <row r="9763" spans="1:5">
      <c r="A9763" t="s">
        <v>40150</v>
      </c>
      <c r="B9763" t="s">
        <v>4536</v>
      </c>
      <c r="C9763">
        <f>0</f>
        <v>0</v>
      </c>
      <c r="D9763">
        <v>0.76701626740499995</v>
      </c>
      <c r="E9763">
        <v>2.964</v>
      </c>
    </row>
    <row r="9764" spans="1:5">
      <c r="A9764" t="s">
        <v>40151</v>
      </c>
      <c r="B9764" t="s">
        <v>17877</v>
      </c>
      <c r="C9764">
        <v>0.25010620077899998</v>
      </c>
      <c r="D9764">
        <v>0.95642905476200002</v>
      </c>
      <c r="E9764">
        <v>23.754000000000001</v>
      </c>
    </row>
    <row r="9765" spans="1:5">
      <c r="A9765" t="s">
        <v>40151</v>
      </c>
      <c r="B9765" t="s">
        <v>17873</v>
      </c>
      <c r="C9765">
        <v>0</v>
      </c>
      <c r="D9765">
        <v>0.95642905476200002</v>
      </c>
      <c r="E9765">
        <v>23.754000000000001</v>
      </c>
    </row>
    <row r="9766" spans="1:5">
      <c r="A9766" t="s">
        <v>40151</v>
      </c>
      <c r="B9766" t="s">
        <v>17874</v>
      </c>
      <c r="C9766">
        <f>0.29749652498</f>
        <v>0.29749652498000001</v>
      </c>
      <c r="D9766">
        <v>0.95642905476200002</v>
      </c>
      <c r="E9766">
        <v>23.754000000000001</v>
      </c>
    </row>
    <row r="9767" spans="1:5">
      <c r="A9767" t="s">
        <v>40151</v>
      </c>
      <c r="B9767" t="s">
        <v>17878</v>
      </c>
      <c r="C9767">
        <v>0</v>
      </c>
      <c r="D9767">
        <v>0.95642905476200002</v>
      </c>
      <c r="E9767">
        <v>23.754000000000001</v>
      </c>
    </row>
    <row r="9768" spans="1:5">
      <c r="A9768" t="s">
        <v>40151</v>
      </c>
      <c r="B9768" t="s">
        <v>17879</v>
      </c>
      <c r="C9768">
        <v>0</v>
      </c>
      <c r="D9768">
        <v>0.95642905476200002</v>
      </c>
      <c r="E9768">
        <v>23.754000000000001</v>
      </c>
    </row>
    <row r="9769" spans="1:5">
      <c r="A9769" t="s">
        <v>40151</v>
      </c>
      <c r="B9769" t="s">
        <v>17876</v>
      </c>
      <c r="C9769">
        <v>0.60145312365299997</v>
      </c>
      <c r="D9769">
        <v>0.95642905476200002</v>
      </c>
      <c r="E9769">
        <v>23.754000000000001</v>
      </c>
    </row>
    <row r="9770" spans="1:5">
      <c r="A9770" t="s">
        <v>40152</v>
      </c>
      <c r="B9770" t="s">
        <v>40153</v>
      </c>
      <c r="C9770">
        <f>0.062053039694</f>
        <v>6.2053039694000001E-2</v>
      </c>
      <c r="D9770">
        <v>0.99960681853</v>
      </c>
      <c r="E9770">
        <v>21.876000000000001</v>
      </c>
    </row>
    <row r="9771" spans="1:5">
      <c r="A9771" t="s">
        <v>40152</v>
      </c>
      <c r="B9771" t="s">
        <v>40154</v>
      </c>
      <c r="C9771">
        <v>0</v>
      </c>
      <c r="D9771">
        <v>0.99960681853</v>
      </c>
      <c r="E9771">
        <v>21.876000000000001</v>
      </c>
    </row>
    <row r="9772" spans="1:5">
      <c r="A9772" t="s">
        <v>40152</v>
      </c>
      <c r="B9772" t="s">
        <v>40155</v>
      </c>
      <c r="C9772">
        <f>0</f>
        <v>0</v>
      </c>
      <c r="D9772">
        <v>0.99960681853</v>
      </c>
      <c r="E9772">
        <v>21.876000000000001</v>
      </c>
    </row>
    <row r="9773" spans="1:5">
      <c r="A9773" t="s">
        <v>40152</v>
      </c>
      <c r="B9773" t="s">
        <v>40156</v>
      </c>
      <c r="C9773">
        <v>0.89051516904700001</v>
      </c>
      <c r="D9773">
        <v>0.99960681853</v>
      </c>
      <c r="E9773">
        <v>21.876000000000001</v>
      </c>
    </row>
    <row r="9774" spans="1:5">
      <c r="A9774" t="s">
        <v>40152</v>
      </c>
      <c r="B9774" t="s">
        <v>40157</v>
      </c>
      <c r="C9774">
        <v>6.8898435749899997E-2</v>
      </c>
      <c r="D9774">
        <v>0.99960681853</v>
      </c>
      <c r="E9774">
        <v>21.876000000000001</v>
      </c>
    </row>
    <row r="9775" spans="1:5">
      <c r="A9775" t="s">
        <v>40152</v>
      </c>
      <c r="B9775" t="s">
        <v>40158</v>
      </c>
      <c r="C9775">
        <f>0.00913165571759</f>
        <v>9.1316557175900002E-3</v>
      </c>
      <c r="D9775">
        <v>0.99960681853</v>
      </c>
      <c r="E9775">
        <v>21.876000000000001</v>
      </c>
    </row>
    <row r="9776" spans="1:5">
      <c r="A9776" t="s">
        <v>40152</v>
      </c>
      <c r="B9776" t="s">
        <v>40159</v>
      </c>
      <c r="C9776">
        <f>0.159819258745</f>
        <v>0.159819258745</v>
      </c>
      <c r="D9776">
        <v>0.99960681853</v>
      </c>
      <c r="E9776">
        <v>21.876000000000001</v>
      </c>
    </row>
    <row r="9777" spans="1:5">
      <c r="A9777" t="s">
        <v>40152</v>
      </c>
      <c r="B9777" t="s">
        <v>40160</v>
      </c>
      <c r="C9777">
        <f>0.0880748508349</f>
        <v>8.8074850834900006E-2</v>
      </c>
      <c r="D9777">
        <v>0.99960681853</v>
      </c>
      <c r="E9777">
        <v>21.876000000000001</v>
      </c>
    </row>
    <row r="9778" spans="1:5">
      <c r="A9778" t="s">
        <v>40152</v>
      </c>
      <c r="B9778" t="s">
        <v>40161</v>
      </c>
      <c r="C9778">
        <v>0</v>
      </c>
      <c r="D9778">
        <v>0.99960681853</v>
      </c>
      <c r="E9778">
        <v>21.876000000000001</v>
      </c>
    </row>
    <row r="9779" spans="1:5">
      <c r="A9779" t="s">
        <v>40152</v>
      </c>
      <c r="B9779" t="s">
        <v>40162</v>
      </c>
      <c r="C9779">
        <f>0</f>
        <v>0</v>
      </c>
      <c r="D9779">
        <v>0.99960681853</v>
      </c>
      <c r="E9779">
        <v>21.876000000000001</v>
      </c>
    </row>
    <row r="9780" spans="1:5">
      <c r="A9780" t="s">
        <v>40152</v>
      </c>
      <c r="B9780" t="s">
        <v>40163</v>
      </c>
      <c r="C9780">
        <f>0</f>
        <v>0</v>
      </c>
      <c r="D9780">
        <v>0.99960681853</v>
      </c>
      <c r="E9780">
        <v>21.876000000000001</v>
      </c>
    </row>
    <row r="9781" spans="1:5">
      <c r="A9781" t="s">
        <v>40164</v>
      </c>
      <c r="B9781" t="s">
        <v>24444</v>
      </c>
      <c r="C9781">
        <f>0</f>
        <v>0</v>
      </c>
      <c r="D9781">
        <v>0.86941975200800004</v>
      </c>
      <c r="E9781">
        <v>23.52</v>
      </c>
    </row>
    <row r="9782" spans="1:5">
      <c r="A9782" t="s">
        <v>40164</v>
      </c>
      <c r="B9782" t="s">
        <v>24448</v>
      </c>
      <c r="C9782">
        <v>0</v>
      </c>
      <c r="D9782">
        <v>0.86941975200800004</v>
      </c>
      <c r="E9782">
        <v>23.52</v>
      </c>
    </row>
    <row r="9783" spans="1:5">
      <c r="A9783" t="s">
        <v>40164</v>
      </c>
      <c r="B9783" t="s">
        <v>24446</v>
      </c>
      <c r="C9783">
        <v>0</v>
      </c>
      <c r="D9783">
        <v>0.86941975200800004</v>
      </c>
      <c r="E9783">
        <v>23.52</v>
      </c>
    </row>
    <row r="9784" spans="1:5">
      <c r="A9784" t="s">
        <v>40164</v>
      </c>
      <c r="B9784" t="s">
        <v>24447</v>
      </c>
      <c r="C9784">
        <v>0.70940975200800005</v>
      </c>
      <c r="D9784">
        <v>0.86941975200800004</v>
      </c>
      <c r="E9784">
        <v>23.52</v>
      </c>
    </row>
    <row r="9785" spans="1:5">
      <c r="A9785" t="s">
        <v>40165</v>
      </c>
      <c r="B9785" t="s">
        <v>40166</v>
      </c>
      <c r="C9785">
        <v>0</v>
      </c>
      <c r="D9785">
        <v>0.87860601413799999</v>
      </c>
      <c r="E9785">
        <v>24</v>
      </c>
    </row>
    <row r="9786" spans="1:5">
      <c r="A9786" t="s">
        <v>40165</v>
      </c>
      <c r="B9786" t="s">
        <v>40167</v>
      </c>
      <c r="C9786">
        <v>0</v>
      </c>
      <c r="D9786">
        <v>0.87860601413799999</v>
      </c>
      <c r="E9786">
        <v>24</v>
      </c>
    </row>
    <row r="9787" spans="1:5">
      <c r="A9787" t="s">
        <v>40165</v>
      </c>
      <c r="B9787" t="s">
        <v>40168</v>
      </c>
      <c r="C9787">
        <v>0</v>
      </c>
      <c r="D9787">
        <v>0.87860601413799999</v>
      </c>
      <c r="E9787">
        <v>24</v>
      </c>
    </row>
    <row r="9788" spans="1:5">
      <c r="A9788" t="s">
        <v>40165</v>
      </c>
      <c r="B9788" t="s">
        <v>40169</v>
      </c>
      <c r="C9788">
        <f>0</f>
        <v>0</v>
      </c>
      <c r="D9788">
        <v>0.87860601413799999</v>
      </c>
      <c r="E9788">
        <v>24</v>
      </c>
    </row>
    <row r="9789" spans="1:5">
      <c r="A9789" t="s">
        <v>40165</v>
      </c>
      <c r="B9789" t="s">
        <v>40170</v>
      </c>
      <c r="C9789">
        <f>0</f>
        <v>0</v>
      </c>
      <c r="D9789">
        <v>0.87860601413799999</v>
      </c>
      <c r="E9789">
        <v>24</v>
      </c>
    </row>
    <row r="9790" spans="1:5">
      <c r="A9790" t="s">
        <v>40165</v>
      </c>
      <c r="B9790" t="s">
        <v>40171</v>
      </c>
      <c r="C9790">
        <f>0</f>
        <v>0</v>
      </c>
      <c r="D9790">
        <v>0.87860601413799999</v>
      </c>
      <c r="E9790">
        <v>24</v>
      </c>
    </row>
    <row r="9791" spans="1:5">
      <c r="A9791" t="s">
        <v>40165</v>
      </c>
      <c r="B9791" t="s">
        <v>40172</v>
      </c>
      <c r="C9791">
        <f>0</f>
        <v>0</v>
      </c>
      <c r="D9791">
        <v>0.87860601413799999</v>
      </c>
      <c r="E9791">
        <v>24</v>
      </c>
    </row>
    <row r="9792" spans="1:5">
      <c r="A9792" t="s">
        <v>40165</v>
      </c>
      <c r="B9792" t="s">
        <v>40173</v>
      </c>
      <c r="C9792">
        <f>0</f>
        <v>0</v>
      </c>
      <c r="D9792">
        <v>0.87860601413799999</v>
      </c>
      <c r="E9792">
        <v>24</v>
      </c>
    </row>
    <row r="9793" spans="1:5">
      <c r="A9793" t="s">
        <v>40165</v>
      </c>
      <c r="B9793" t="s">
        <v>40174</v>
      </c>
      <c r="C9793">
        <f>0.648196014138</f>
        <v>0.64819601413799999</v>
      </c>
      <c r="D9793">
        <v>0.87860601413799999</v>
      </c>
      <c r="E9793">
        <v>24</v>
      </c>
    </row>
    <row r="9794" spans="1:5">
      <c r="A9794" t="s">
        <v>40165</v>
      </c>
      <c r="B9794" t="s">
        <v>40175</v>
      </c>
      <c r="C9794">
        <f>0</f>
        <v>0</v>
      </c>
      <c r="D9794">
        <v>0.87860601413799999</v>
      </c>
      <c r="E9794">
        <v>24</v>
      </c>
    </row>
    <row r="9795" spans="1:5">
      <c r="A9795" t="s">
        <v>40176</v>
      </c>
      <c r="B9795" t="s">
        <v>4351</v>
      </c>
      <c r="C9795">
        <f>0.478271017827</f>
        <v>0.47827101782699999</v>
      </c>
      <c r="D9795">
        <v>0.97138834242700001</v>
      </c>
      <c r="E9795">
        <v>9.1679999999999993</v>
      </c>
    </row>
    <row r="9796" spans="1:5">
      <c r="A9796" t="s">
        <v>40176</v>
      </c>
      <c r="B9796" t="s">
        <v>4352</v>
      </c>
      <c r="C9796">
        <f>0.350462204927</f>
        <v>0.35046220492699998</v>
      </c>
      <c r="D9796">
        <v>0.97138834242700001</v>
      </c>
      <c r="E9796">
        <v>9.1679999999999993</v>
      </c>
    </row>
    <row r="9797" spans="1:5">
      <c r="A9797" t="s">
        <v>40176</v>
      </c>
      <c r="B9797" t="s">
        <v>4356</v>
      </c>
      <c r="C9797">
        <f>0.558500415809</f>
        <v>0.55850041580900001</v>
      </c>
      <c r="D9797">
        <v>0.97138834242700001</v>
      </c>
      <c r="E9797">
        <v>9.1679999999999993</v>
      </c>
    </row>
    <row r="9798" spans="1:5">
      <c r="A9798" t="s">
        <v>40176</v>
      </c>
      <c r="B9798" t="s">
        <v>4355</v>
      </c>
      <c r="C9798">
        <v>5.2307999229700003E-2</v>
      </c>
      <c r="D9798">
        <v>0.97138834242700001</v>
      </c>
      <c r="E9798">
        <v>9.1679999999999993</v>
      </c>
    </row>
    <row r="9799" spans="1:5">
      <c r="A9799" t="s">
        <v>40177</v>
      </c>
      <c r="B9799" t="s">
        <v>26628</v>
      </c>
      <c r="C9799">
        <v>8.2747746219799995E-2</v>
      </c>
      <c r="D9799">
        <v>0.85853517527500001</v>
      </c>
      <c r="E9799">
        <v>9.9239999999999995</v>
      </c>
    </row>
    <row r="9800" spans="1:5">
      <c r="A9800" t="s">
        <v>40177</v>
      </c>
      <c r="B9800" t="s">
        <v>26629</v>
      </c>
      <c r="C9800">
        <v>0.38782161148599997</v>
      </c>
      <c r="D9800">
        <v>0.85853517527500001</v>
      </c>
      <c r="E9800">
        <v>9.9239999999999995</v>
      </c>
    </row>
    <row r="9801" spans="1:5">
      <c r="A9801" t="s">
        <v>40177</v>
      </c>
      <c r="B9801" t="s">
        <v>26631</v>
      </c>
      <c r="C9801">
        <f>0.360653869465</f>
        <v>0.360653869465</v>
      </c>
      <c r="D9801">
        <v>0.85853517527500001</v>
      </c>
      <c r="E9801">
        <v>9.9239999999999995</v>
      </c>
    </row>
    <row r="9802" spans="1:5">
      <c r="A9802" t="s">
        <v>40178</v>
      </c>
      <c r="B9802" t="s">
        <v>40179</v>
      </c>
      <c r="C9802">
        <v>0</v>
      </c>
      <c r="D9802" t="s">
        <v>106</v>
      </c>
      <c r="E9802">
        <v>0.17399999999999999</v>
      </c>
    </row>
    <row r="9803" spans="1:5">
      <c r="A9803" t="s">
        <v>40178</v>
      </c>
      <c r="B9803" t="s">
        <v>40180</v>
      </c>
      <c r="C9803">
        <v>0</v>
      </c>
      <c r="D9803" t="s">
        <v>106</v>
      </c>
      <c r="E9803">
        <v>0.17399999999999999</v>
      </c>
    </row>
    <row r="9804" spans="1:5">
      <c r="A9804" t="s">
        <v>40181</v>
      </c>
      <c r="B9804" t="s">
        <v>31719</v>
      </c>
      <c r="C9804">
        <f>0</f>
        <v>0</v>
      </c>
      <c r="D9804">
        <v>0.785311489699</v>
      </c>
      <c r="E9804">
        <v>10.554</v>
      </c>
    </row>
    <row r="9805" spans="1:5">
      <c r="A9805" t="s">
        <v>40181</v>
      </c>
      <c r="B9805" t="s">
        <v>31711</v>
      </c>
      <c r="C9805">
        <v>0</v>
      </c>
      <c r="D9805">
        <v>0.785311489699</v>
      </c>
      <c r="E9805">
        <v>10.554</v>
      </c>
    </row>
    <row r="9806" spans="1:5">
      <c r="A9806" t="s">
        <v>40181</v>
      </c>
      <c r="B9806" t="s">
        <v>31718</v>
      </c>
      <c r="C9806">
        <f>0</f>
        <v>0</v>
      </c>
      <c r="D9806">
        <v>0.785311489699</v>
      </c>
      <c r="E9806">
        <v>10.554</v>
      </c>
    </row>
    <row r="9807" spans="1:5">
      <c r="A9807" t="s">
        <v>40181</v>
      </c>
      <c r="B9807" t="s">
        <v>31716</v>
      </c>
      <c r="C9807">
        <f>0</f>
        <v>0</v>
      </c>
      <c r="D9807">
        <v>0.785311489699</v>
      </c>
      <c r="E9807">
        <v>10.554</v>
      </c>
    </row>
    <row r="9808" spans="1:5">
      <c r="A9808" t="s">
        <v>40181</v>
      </c>
      <c r="B9808" t="s">
        <v>31715</v>
      </c>
      <c r="C9808">
        <v>0</v>
      </c>
      <c r="D9808">
        <v>0.785311489699</v>
      </c>
      <c r="E9808">
        <v>10.554</v>
      </c>
    </row>
    <row r="9809" spans="1:5">
      <c r="A9809" t="s">
        <v>40181</v>
      </c>
      <c r="B9809" t="s">
        <v>31717</v>
      </c>
      <c r="C9809">
        <f>0</f>
        <v>0</v>
      </c>
      <c r="D9809">
        <v>0.785311489699</v>
      </c>
      <c r="E9809">
        <v>10.554</v>
      </c>
    </row>
    <row r="9810" spans="1:5">
      <c r="A9810" t="s">
        <v>40181</v>
      </c>
      <c r="B9810" t="s">
        <v>40182</v>
      </c>
      <c r="C9810">
        <v>0.37570148969900002</v>
      </c>
      <c r="D9810">
        <v>0.785311489699</v>
      </c>
      <c r="E9810">
        <v>10.554</v>
      </c>
    </row>
    <row r="9811" spans="1:5">
      <c r="A9811" t="s">
        <v>40183</v>
      </c>
      <c r="B9811" t="s">
        <v>6036</v>
      </c>
      <c r="C9811">
        <f>0.568641493144</f>
        <v>0.56864149314400003</v>
      </c>
      <c r="D9811">
        <v>0.86777170896300004</v>
      </c>
      <c r="E9811">
        <v>10.08</v>
      </c>
    </row>
    <row r="9812" spans="1:5">
      <c r="A9812" t="s">
        <v>40183</v>
      </c>
      <c r="B9812" t="s">
        <v>6037</v>
      </c>
      <c r="C9812">
        <f>0.348352350904</f>
        <v>0.34835235090400002</v>
      </c>
      <c r="D9812">
        <v>0.86777170896300004</v>
      </c>
      <c r="E9812">
        <v>10.08</v>
      </c>
    </row>
    <row r="9813" spans="1:5">
      <c r="A9813" t="s">
        <v>40184</v>
      </c>
      <c r="B9813" t="s">
        <v>40185</v>
      </c>
      <c r="C9813">
        <f>0</f>
        <v>0</v>
      </c>
      <c r="D9813" t="s">
        <v>106</v>
      </c>
      <c r="E9813">
        <v>0.47399999999999998</v>
      </c>
    </row>
    <row r="9814" spans="1:5">
      <c r="A9814" t="s">
        <v>40184</v>
      </c>
      <c r="B9814" t="s">
        <v>40186</v>
      </c>
      <c r="C9814">
        <f>0</f>
        <v>0</v>
      </c>
      <c r="D9814" t="s">
        <v>106</v>
      </c>
      <c r="E9814">
        <v>0.47399999999999998</v>
      </c>
    </row>
    <row r="9815" spans="1:5">
      <c r="A9815" t="s">
        <v>40184</v>
      </c>
      <c r="B9815" t="s">
        <v>40187</v>
      </c>
      <c r="C9815">
        <f>0</f>
        <v>0</v>
      </c>
      <c r="D9815" t="s">
        <v>106</v>
      </c>
      <c r="E9815">
        <v>0.47399999999999998</v>
      </c>
    </row>
    <row r="9816" spans="1:5">
      <c r="A9816" t="s">
        <v>40184</v>
      </c>
      <c r="B9816" t="s">
        <v>40188</v>
      </c>
      <c r="C9816">
        <f>0</f>
        <v>0</v>
      </c>
      <c r="D9816" t="s">
        <v>106</v>
      </c>
      <c r="E9816">
        <v>0.47399999999999998</v>
      </c>
    </row>
    <row r="9817" spans="1:5">
      <c r="A9817" t="s">
        <v>40189</v>
      </c>
      <c r="B9817" t="s">
        <v>40190</v>
      </c>
      <c r="C9817">
        <f>0.994571061808</f>
        <v>0.99457106180800003</v>
      </c>
      <c r="D9817">
        <v>0.87146728555700004</v>
      </c>
      <c r="E9817">
        <v>22.806000000000001</v>
      </c>
    </row>
    <row r="9818" spans="1:5">
      <c r="A9818" t="s">
        <v>40189</v>
      </c>
      <c r="B9818" t="s">
        <v>40191</v>
      </c>
      <c r="C9818">
        <v>0.21847928809</v>
      </c>
      <c r="D9818">
        <v>0.87146728555700004</v>
      </c>
      <c r="E9818">
        <v>22.806000000000001</v>
      </c>
    </row>
    <row r="9819" spans="1:5">
      <c r="A9819" t="s">
        <v>40189</v>
      </c>
      <c r="B9819" t="s">
        <v>40192</v>
      </c>
      <c r="C9819">
        <v>0.19122034590699999</v>
      </c>
      <c r="D9819">
        <v>0.87146728555700004</v>
      </c>
      <c r="E9819">
        <v>22.806000000000001</v>
      </c>
    </row>
    <row r="9820" spans="1:5">
      <c r="A9820" t="s">
        <v>40193</v>
      </c>
      <c r="B9820" t="s">
        <v>15679</v>
      </c>
      <c r="C9820">
        <f>0</f>
        <v>0</v>
      </c>
      <c r="D9820" t="s">
        <v>106</v>
      </c>
      <c r="E9820">
        <v>1.224</v>
      </c>
    </row>
    <row r="9821" spans="1:5">
      <c r="A9821" t="s">
        <v>40193</v>
      </c>
      <c r="B9821" t="s">
        <v>15681</v>
      </c>
      <c r="C9821">
        <f>0</f>
        <v>0</v>
      </c>
      <c r="D9821" t="s">
        <v>106</v>
      </c>
      <c r="E9821">
        <v>1.224</v>
      </c>
    </row>
    <row r="9822" spans="1:5">
      <c r="A9822" t="s">
        <v>40193</v>
      </c>
      <c r="B9822" t="s">
        <v>15687</v>
      </c>
      <c r="C9822">
        <v>0</v>
      </c>
      <c r="D9822" t="s">
        <v>106</v>
      </c>
      <c r="E9822">
        <v>1.224</v>
      </c>
    </row>
    <row r="9823" spans="1:5">
      <c r="A9823" t="s">
        <v>40193</v>
      </c>
      <c r="B9823" t="s">
        <v>15691</v>
      </c>
      <c r="C9823">
        <v>0</v>
      </c>
      <c r="D9823" t="s">
        <v>106</v>
      </c>
      <c r="E9823">
        <v>1.224</v>
      </c>
    </row>
    <row r="9824" spans="1:5">
      <c r="A9824" t="s">
        <v>40193</v>
      </c>
      <c r="B9824" t="s">
        <v>15685</v>
      </c>
      <c r="C9824">
        <v>0</v>
      </c>
      <c r="D9824" t="s">
        <v>106</v>
      </c>
      <c r="E9824">
        <v>1.224</v>
      </c>
    </row>
    <row r="9825" spans="1:5">
      <c r="A9825" t="s">
        <v>40193</v>
      </c>
      <c r="B9825" t="s">
        <v>15690</v>
      </c>
      <c r="C9825">
        <v>0</v>
      </c>
      <c r="D9825" t="s">
        <v>106</v>
      </c>
      <c r="E9825">
        <v>1.224</v>
      </c>
    </row>
    <row r="9826" spans="1:5">
      <c r="A9826" t="s">
        <v>40194</v>
      </c>
      <c r="B9826" t="s">
        <v>40195</v>
      </c>
      <c r="C9826">
        <v>0.60401921078300003</v>
      </c>
      <c r="D9826">
        <v>0.80986616597399996</v>
      </c>
      <c r="E9826">
        <v>5.2380000000000004</v>
      </c>
    </row>
    <row r="9827" spans="1:5">
      <c r="A9827" t="s">
        <v>40194</v>
      </c>
      <c r="B9827" t="s">
        <v>40196</v>
      </c>
      <c r="C9827">
        <f>0</f>
        <v>0</v>
      </c>
      <c r="D9827">
        <v>0.80986616597399996</v>
      </c>
      <c r="E9827">
        <v>5.2380000000000004</v>
      </c>
    </row>
    <row r="9828" spans="1:5">
      <c r="A9828" t="s">
        <v>40194</v>
      </c>
      <c r="B9828" t="s">
        <v>40197</v>
      </c>
      <c r="C9828">
        <f>0</f>
        <v>0</v>
      </c>
      <c r="D9828">
        <v>0.80986616597399996</v>
      </c>
      <c r="E9828">
        <v>5.2380000000000004</v>
      </c>
    </row>
    <row r="9829" spans="1:5">
      <c r="A9829" t="s">
        <v>40194</v>
      </c>
      <c r="B9829" t="s">
        <v>40198</v>
      </c>
      <c r="C9829">
        <v>0</v>
      </c>
      <c r="D9829">
        <v>0.80986616597399996</v>
      </c>
      <c r="E9829">
        <v>5.2380000000000004</v>
      </c>
    </row>
    <row r="9830" spans="1:5">
      <c r="A9830" t="s">
        <v>40194</v>
      </c>
      <c r="B9830" t="s">
        <v>40199</v>
      </c>
      <c r="C9830">
        <v>1.64203381483E-2</v>
      </c>
      <c r="D9830">
        <v>0.80986616597399996</v>
      </c>
      <c r="E9830">
        <v>5.2380000000000004</v>
      </c>
    </row>
    <row r="9831" spans="1:5">
      <c r="A9831" t="s">
        <v>40194</v>
      </c>
      <c r="B9831" t="s">
        <v>40200</v>
      </c>
      <c r="C9831">
        <f>0</f>
        <v>0</v>
      </c>
      <c r="D9831">
        <v>0.80986616597399996</v>
      </c>
      <c r="E9831">
        <v>5.2380000000000004</v>
      </c>
    </row>
    <row r="9832" spans="1:5">
      <c r="A9832" t="s">
        <v>40194</v>
      </c>
      <c r="B9832" t="s">
        <v>40201</v>
      </c>
      <c r="C9832">
        <f>0</f>
        <v>0</v>
      </c>
      <c r="D9832">
        <v>0.80986616597399996</v>
      </c>
      <c r="E9832">
        <v>5.2380000000000004</v>
      </c>
    </row>
    <row r="9833" spans="1:5">
      <c r="A9833" t="s">
        <v>40194</v>
      </c>
      <c r="B9833" t="s">
        <v>40202</v>
      </c>
      <c r="C9833">
        <f>0</f>
        <v>0</v>
      </c>
      <c r="D9833">
        <v>0.80986616597399996</v>
      </c>
      <c r="E9833">
        <v>5.2380000000000004</v>
      </c>
    </row>
    <row r="9834" spans="1:5">
      <c r="A9834" t="s">
        <v>40194</v>
      </c>
      <c r="B9834" t="s">
        <v>40203</v>
      </c>
      <c r="C9834">
        <v>0</v>
      </c>
      <c r="D9834">
        <v>0.80986616597399996</v>
      </c>
      <c r="E9834">
        <v>5.2380000000000004</v>
      </c>
    </row>
    <row r="9835" spans="1:5">
      <c r="A9835" t="s">
        <v>40204</v>
      </c>
      <c r="B9835" t="s">
        <v>40205</v>
      </c>
      <c r="C9835">
        <f>0</f>
        <v>0</v>
      </c>
      <c r="D9835" t="s">
        <v>106</v>
      </c>
      <c r="E9835">
        <v>15.318</v>
      </c>
    </row>
    <row r="9836" spans="1:5">
      <c r="A9836" t="s">
        <v>40204</v>
      </c>
      <c r="B9836" t="s">
        <v>40206</v>
      </c>
      <c r="C9836">
        <f>0</f>
        <v>0</v>
      </c>
      <c r="D9836" t="s">
        <v>106</v>
      </c>
      <c r="E9836">
        <v>15.318</v>
      </c>
    </row>
    <row r="9837" spans="1:5">
      <c r="A9837" t="s">
        <v>40207</v>
      </c>
      <c r="B9837" t="s">
        <v>33535</v>
      </c>
      <c r="C9837">
        <v>0</v>
      </c>
      <c r="D9837">
        <v>0.69643066217799998</v>
      </c>
      <c r="E9837">
        <v>13.272</v>
      </c>
    </row>
    <row r="9838" spans="1:5">
      <c r="A9838" t="s">
        <v>40207</v>
      </c>
      <c r="B9838" t="s">
        <v>33537</v>
      </c>
      <c r="C9838">
        <v>0.50282066217800003</v>
      </c>
      <c r="D9838">
        <v>0.69643066217799998</v>
      </c>
      <c r="E9838">
        <v>13.272</v>
      </c>
    </row>
    <row r="9839" spans="1:5">
      <c r="A9839" t="s">
        <v>40207</v>
      </c>
      <c r="B9839" t="s">
        <v>33536</v>
      </c>
      <c r="C9839">
        <v>0</v>
      </c>
      <c r="D9839">
        <v>0.69643066217799998</v>
      </c>
      <c r="E9839">
        <v>13.272</v>
      </c>
    </row>
    <row r="9840" spans="1:5">
      <c r="A9840" t="s">
        <v>40208</v>
      </c>
      <c r="B9840" t="s">
        <v>9289</v>
      </c>
      <c r="C9840">
        <v>0.71372987523300002</v>
      </c>
      <c r="D9840">
        <v>0.99997452427900002</v>
      </c>
      <c r="E9840">
        <v>6.8040000000000003</v>
      </c>
    </row>
    <row r="9841" spans="1:5">
      <c r="A9841" t="s">
        <v>40208</v>
      </c>
      <c r="B9841" t="s">
        <v>9286</v>
      </c>
      <c r="C9841">
        <v>0</v>
      </c>
      <c r="D9841">
        <v>0.99997452427900002</v>
      </c>
      <c r="E9841">
        <v>6.8040000000000003</v>
      </c>
    </row>
    <row r="9842" spans="1:5">
      <c r="A9842" t="s">
        <v>40208</v>
      </c>
      <c r="B9842" t="s">
        <v>9283</v>
      </c>
      <c r="C9842">
        <f>0.747403364329</f>
        <v>0.74740336432900001</v>
      </c>
      <c r="D9842">
        <v>0.99997452427900002</v>
      </c>
      <c r="E9842">
        <v>6.8040000000000003</v>
      </c>
    </row>
    <row r="9843" spans="1:5">
      <c r="A9843" t="s">
        <v>40208</v>
      </c>
      <c r="B9843" t="s">
        <v>9284</v>
      </c>
      <c r="C9843">
        <v>1.2726179150700001</v>
      </c>
      <c r="D9843">
        <v>0.99997452427900002</v>
      </c>
      <c r="E9843">
        <v>6.8040000000000003</v>
      </c>
    </row>
    <row r="9844" spans="1:5">
      <c r="A9844" t="s">
        <v>40208</v>
      </c>
      <c r="B9844" t="s">
        <v>9285</v>
      </c>
      <c r="C9844">
        <f>0.914031193117</f>
        <v>0.91403119311699998</v>
      </c>
      <c r="D9844">
        <v>0.99997452427900002</v>
      </c>
      <c r="E9844">
        <v>6.8040000000000003</v>
      </c>
    </row>
    <row r="9845" spans="1:5">
      <c r="A9845" t="s">
        <v>40208</v>
      </c>
      <c r="B9845" t="s">
        <v>9282</v>
      </c>
      <c r="C9845">
        <f>0.126683977713</f>
        <v>0.126683977713</v>
      </c>
      <c r="D9845">
        <v>0.99997452427900002</v>
      </c>
      <c r="E9845">
        <v>6.8040000000000003</v>
      </c>
    </row>
    <row r="9846" spans="1:5">
      <c r="A9846" t="s">
        <v>40208</v>
      </c>
      <c r="B9846" t="s">
        <v>9290</v>
      </c>
      <c r="C9846">
        <f>0.201309987888</f>
        <v>0.201309987888</v>
      </c>
      <c r="D9846">
        <v>0.99997452427900002</v>
      </c>
      <c r="E9846">
        <v>6.8040000000000003</v>
      </c>
    </row>
    <row r="9847" spans="1:5">
      <c r="A9847" t="s">
        <v>40208</v>
      </c>
      <c r="B9847" t="s">
        <v>9287</v>
      </c>
      <c r="C9847">
        <v>9.13921234537E-2</v>
      </c>
      <c r="D9847">
        <v>0.99997452427900002</v>
      </c>
      <c r="E9847">
        <v>6.8040000000000003</v>
      </c>
    </row>
    <row r="9848" spans="1:5">
      <c r="A9848" t="s">
        <v>40209</v>
      </c>
      <c r="B9848" t="s">
        <v>15605</v>
      </c>
      <c r="C9848">
        <f>0</f>
        <v>0</v>
      </c>
      <c r="D9848" t="s">
        <v>106</v>
      </c>
      <c r="E9848">
        <v>6.5519999999999996</v>
      </c>
    </row>
    <row r="9849" spans="1:5">
      <c r="A9849" t="s">
        <v>40209</v>
      </c>
      <c r="B9849" t="s">
        <v>15616</v>
      </c>
      <c r="C9849">
        <v>0</v>
      </c>
      <c r="D9849" t="s">
        <v>106</v>
      </c>
      <c r="E9849">
        <v>6.5519999999999996</v>
      </c>
    </row>
    <row r="9850" spans="1:5">
      <c r="A9850" t="s">
        <v>40209</v>
      </c>
      <c r="B9850" t="s">
        <v>15607</v>
      </c>
      <c r="C9850">
        <v>0</v>
      </c>
      <c r="D9850" t="s">
        <v>106</v>
      </c>
      <c r="E9850">
        <v>6.5519999999999996</v>
      </c>
    </row>
    <row r="9851" spans="1:5">
      <c r="A9851" t="s">
        <v>40209</v>
      </c>
      <c r="B9851" t="s">
        <v>15617</v>
      </c>
      <c r="C9851">
        <v>0</v>
      </c>
      <c r="D9851" t="s">
        <v>106</v>
      </c>
      <c r="E9851">
        <v>6.5519999999999996</v>
      </c>
    </row>
    <row r="9852" spans="1:5">
      <c r="A9852" t="s">
        <v>40209</v>
      </c>
      <c r="B9852" t="s">
        <v>15609</v>
      </c>
      <c r="C9852">
        <f>0</f>
        <v>0</v>
      </c>
      <c r="D9852" t="s">
        <v>106</v>
      </c>
      <c r="E9852">
        <v>6.5519999999999996</v>
      </c>
    </row>
    <row r="9853" spans="1:5">
      <c r="A9853" t="s">
        <v>40209</v>
      </c>
      <c r="B9853" t="s">
        <v>15613</v>
      </c>
      <c r="C9853">
        <v>0</v>
      </c>
      <c r="D9853" t="s">
        <v>106</v>
      </c>
      <c r="E9853">
        <v>6.5519999999999996</v>
      </c>
    </row>
    <row r="9854" spans="1:5">
      <c r="A9854" t="s">
        <v>40209</v>
      </c>
      <c r="B9854" t="s">
        <v>15618</v>
      </c>
      <c r="C9854">
        <v>0</v>
      </c>
      <c r="D9854" t="s">
        <v>106</v>
      </c>
      <c r="E9854">
        <v>6.5519999999999996</v>
      </c>
    </row>
    <row r="9855" spans="1:5">
      <c r="A9855" t="s">
        <v>40209</v>
      </c>
      <c r="B9855" t="s">
        <v>15614</v>
      </c>
      <c r="C9855">
        <v>0</v>
      </c>
      <c r="D9855" t="s">
        <v>106</v>
      </c>
      <c r="E9855">
        <v>6.5519999999999996</v>
      </c>
    </row>
    <row r="9856" spans="1:5">
      <c r="A9856" t="s">
        <v>40209</v>
      </c>
      <c r="B9856" t="s">
        <v>15608</v>
      </c>
      <c r="C9856">
        <f>0</f>
        <v>0</v>
      </c>
      <c r="D9856" t="s">
        <v>106</v>
      </c>
      <c r="E9856">
        <v>6.5519999999999996</v>
      </c>
    </row>
    <row r="9857" spans="1:5">
      <c r="A9857" t="s">
        <v>40209</v>
      </c>
      <c r="B9857" t="s">
        <v>15620</v>
      </c>
      <c r="C9857">
        <v>0</v>
      </c>
      <c r="D9857" t="s">
        <v>106</v>
      </c>
      <c r="E9857">
        <v>6.5519999999999996</v>
      </c>
    </row>
    <row r="9858" spans="1:5">
      <c r="A9858" t="s">
        <v>40209</v>
      </c>
      <c r="B9858" t="s">
        <v>15621</v>
      </c>
      <c r="C9858">
        <f>0</f>
        <v>0</v>
      </c>
      <c r="D9858" t="s">
        <v>106</v>
      </c>
      <c r="E9858">
        <v>6.5519999999999996</v>
      </c>
    </row>
    <row r="9859" spans="1:5">
      <c r="A9859" t="s">
        <v>40210</v>
      </c>
      <c r="B9859" t="s">
        <v>40211</v>
      </c>
      <c r="C9859">
        <v>0</v>
      </c>
      <c r="D9859" t="s">
        <v>106</v>
      </c>
      <c r="E9859">
        <v>15.318</v>
      </c>
    </row>
    <row r="9860" spans="1:5">
      <c r="A9860" t="s">
        <v>40210</v>
      </c>
      <c r="B9860" t="s">
        <v>40212</v>
      </c>
      <c r="C9860">
        <v>0</v>
      </c>
      <c r="D9860" t="s">
        <v>106</v>
      </c>
      <c r="E9860">
        <v>15.318</v>
      </c>
    </row>
    <row r="9861" spans="1:5">
      <c r="A9861" t="s">
        <v>40210</v>
      </c>
      <c r="B9861" t="s">
        <v>40213</v>
      </c>
      <c r="C9861">
        <f>0</f>
        <v>0</v>
      </c>
      <c r="D9861" t="s">
        <v>106</v>
      </c>
      <c r="E9861">
        <v>15.318</v>
      </c>
    </row>
    <row r="9862" spans="1:5">
      <c r="A9862" t="s">
        <v>40210</v>
      </c>
      <c r="B9862" t="s">
        <v>40214</v>
      </c>
      <c r="C9862">
        <v>0</v>
      </c>
      <c r="D9862" t="s">
        <v>106</v>
      </c>
      <c r="E9862">
        <v>15.318</v>
      </c>
    </row>
    <row r="9863" spans="1:5">
      <c r="A9863" t="s">
        <v>40210</v>
      </c>
      <c r="B9863" t="s">
        <v>40215</v>
      </c>
      <c r="C9863">
        <v>0</v>
      </c>
      <c r="D9863" t="s">
        <v>106</v>
      </c>
      <c r="E9863">
        <v>15.318</v>
      </c>
    </row>
    <row r="9864" spans="1:5">
      <c r="A9864" t="s">
        <v>40210</v>
      </c>
      <c r="B9864" t="s">
        <v>40216</v>
      </c>
      <c r="C9864">
        <v>0</v>
      </c>
      <c r="D9864" t="s">
        <v>106</v>
      </c>
      <c r="E9864">
        <v>15.318</v>
      </c>
    </row>
    <row r="9865" spans="1:5">
      <c r="A9865" t="s">
        <v>40217</v>
      </c>
      <c r="B9865" t="s">
        <v>3122</v>
      </c>
      <c r="C9865">
        <v>0</v>
      </c>
      <c r="D9865" t="s">
        <v>106</v>
      </c>
      <c r="E9865">
        <v>1.6379999999999999</v>
      </c>
    </row>
    <row r="9866" spans="1:5">
      <c r="A9866" t="s">
        <v>40217</v>
      </c>
      <c r="B9866" t="s">
        <v>3118</v>
      </c>
      <c r="C9866">
        <v>0</v>
      </c>
      <c r="D9866" t="s">
        <v>106</v>
      </c>
      <c r="E9866">
        <v>1.6379999999999999</v>
      </c>
    </row>
    <row r="9867" spans="1:5">
      <c r="A9867" t="s">
        <v>40217</v>
      </c>
      <c r="B9867" t="s">
        <v>3121</v>
      </c>
      <c r="C9867">
        <f>0</f>
        <v>0</v>
      </c>
      <c r="D9867" t="s">
        <v>106</v>
      </c>
      <c r="E9867">
        <v>1.6379999999999999</v>
      </c>
    </row>
    <row r="9868" spans="1:5">
      <c r="A9868" t="s">
        <v>40217</v>
      </c>
      <c r="B9868" t="s">
        <v>3119</v>
      </c>
      <c r="C9868">
        <v>0</v>
      </c>
      <c r="D9868" t="s">
        <v>106</v>
      </c>
      <c r="E9868">
        <v>1.6379999999999999</v>
      </c>
    </row>
    <row r="9869" spans="1:5">
      <c r="A9869" t="s">
        <v>40217</v>
      </c>
      <c r="B9869" t="s">
        <v>40218</v>
      </c>
      <c r="C9869">
        <v>0</v>
      </c>
      <c r="D9869" t="s">
        <v>106</v>
      </c>
      <c r="E9869">
        <v>1.6379999999999999</v>
      </c>
    </row>
    <row r="9870" spans="1:5">
      <c r="A9870" t="s">
        <v>40219</v>
      </c>
      <c r="B9870" t="s">
        <v>40220</v>
      </c>
      <c r="C9870">
        <f>0</f>
        <v>0</v>
      </c>
      <c r="D9870">
        <v>0.99998806308800003</v>
      </c>
      <c r="E9870">
        <v>11.04</v>
      </c>
    </row>
    <row r="9871" spans="1:5">
      <c r="A9871" t="s">
        <v>40219</v>
      </c>
      <c r="B9871" t="s">
        <v>40221</v>
      </c>
      <c r="C9871">
        <v>9.3643712744200004E-3</v>
      </c>
      <c r="D9871">
        <v>0.99998806308800003</v>
      </c>
      <c r="E9871">
        <v>11.04</v>
      </c>
    </row>
    <row r="9872" spans="1:5">
      <c r="A9872" t="s">
        <v>40219</v>
      </c>
      <c r="B9872" t="s">
        <v>40222</v>
      </c>
      <c r="C9872">
        <v>0</v>
      </c>
      <c r="D9872">
        <v>0.99998806308800003</v>
      </c>
      <c r="E9872">
        <v>11.04</v>
      </c>
    </row>
    <row r="9873" spans="1:5">
      <c r="A9873" t="s">
        <v>40219</v>
      </c>
      <c r="B9873" t="s">
        <v>40223</v>
      </c>
      <c r="C9873">
        <f>0.462290003155</f>
        <v>0.46229000315500002</v>
      </c>
      <c r="D9873">
        <v>0.99998806308800003</v>
      </c>
      <c r="E9873">
        <v>11.04</v>
      </c>
    </row>
    <row r="9874" spans="1:5">
      <c r="A9874" t="s">
        <v>40219</v>
      </c>
      <c r="B9874" t="s">
        <v>40224</v>
      </c>
      <c r="C9874">
        <v>0.48697209431400001</v>
      </c>
      <c r="D9874">
        <v>0.99998806308800003</v>
      </c>
      <c r="E9874">
        <v>11.04</v>
      </c>
    </row>
    <row r="9875" spans="1:5">
      <c r="A9875" t="s">
        <v>40219</v>
      </c>
      <c r="B9875" t="s">
        <v>40225</v>
      </c>
      <c r="C9875">
        <v>4.87166878782E-2</v>
      </c>
      <c r="D9875">
        <v>0.99998806308800003</v>
      </c>
      <c r="E9875">
        <v>11.04</v>
      </c>
    </row>
    <row r="9876" spans="1:5">
      <c r="A9876" t="s">
        <v>40219</v>
      </c>
      <c r="B9876" t="s">
        <v>40226</v>
      </c>
      <c r="C9876">
        <f>0.0148600757875</f>
        <v>1.48600757875E-2</v>
      </c>
      <c r="D9876">
        <v>0.99998806308800003</v>
      </c>
      <c r="E9876">
        <v>11.04</v>
      </c>
    </row>
    <row r="9877" spans="1:5">
      <c r="A9877" t="s">
        <v>40219</v>
      </c>
      <c r="B9877" t="s">
        <v>40227</v>
      </c>
      <c r="C9877">
        <v>0.53366062543000004</v>
      </c>
      <c r="D9877">
        <v>0.99998806308800003</v>
      </c>
      <c r="E9877">
        <v>11.04</v>
      </c>
    </row>
    <row r="9878" spans="1:5">
      <c r="A9878" t="s">
        <v>40219</v>
      </c>
      <c r="B9878" t="s">
        <v>40228</v>
      </c>
      <c r="C9878">
        <f>0.00941436495279</f>
        <v>9.4143649527899994E-3</v>
      </c>
      <c r="D9878">
        <v>0.99998806308800003</v>
      </c>
      <c r="E9878">
        <v>11.04</v>
      </c>
    </row>
    <row r="9879" spans="1:5">
      <c r="A9879" t="s">
        <v>40219</v>
      </c>
      <c r="B9879" t="s">
        <v>40229</v>
      </c>
      <c r="C9879">
        <v>4.0279561891499997E-2</v>
      </c>
      <c r="D9879">
        <v>0.99998806308800003</v>
      </c>
      <c r="E9879">
        <v>11.04</v>
      </c>
    </row>
    <row r="9880" spans="1:5">
      <c r="A9880" t="s">
        <v>40230</v>
      </c>
      <c r="B9880" t="s">
        <v>31604</v>
      </c>
      <c r="C9880">
        <f>-1.4430019836</f>
        <v>-1.4430019836000001</v>
      </c>
      <c r="D9880">
        <v>0.97590146879200002</v>
      </c>
      <c r="E9880">
        <v>24</v>
      </c>
    </row>
    <row r="9881" spans="1:5">
      <c r="A9881" t="s">
        <v>40230</v>
      </c>
      <c r="B9881" t="s">
        <v>31607</v>
      </c>
      <c r="C9881">
        <v>0.276169301225</v>
      </c>
      <c r="D9881">
        <v>0.97590146879200002</v>
      </c>
      <c r="E9881">
        <v>24</v>
      </c>
    </row>
    <row r="9882" spans="1:5">
      <c r="A9882" t="s">
        <v>40230</v>
      </c>
      <c r="B9882" t="s">
        <v>31605</v>
      </c>
      <c r="C9882">
        <f>-1.23862526769</f>
        <v>-1.23862526769</v>
      </c>
      <c r="D9882">
        <v>0.97590146879200002</v>
      </c>
      <c r="E9882">
        <v>24</v>
      </c>
    </row>
    <row r="9883" spans="1:5">
      <c r="A9883" t="s">
        <v>40230</v>
      </c>
      <c r="B9883" t="s">
        <v>31606</v>
      </c>
      <c r="C9883">
        <v>0.131937901735</v>
      </c>
      <c r="D9883">
        <v>0.97590146879200002</v>
      </c>
      <c r="E9883">
        <v>24</v>
      </c>
    </row>
    <row r="9884" spans="1:5">
      <c r="A9884" t="s">
        <v>40231</v>
      </c>
      <c r="B9884" t="s">
        <v>40232</v>
      </c>
      <c r="C9884">
        <v>0</v>
      </c>
      <c r="D9884" t="s">
        <v>106</v>
      </c>
      <c r="E9884">
        <v>1.764</v>
      </c>
    </row>
    <row r="9885" spans="1:5">
      <c r="A9885" t="s">
        <v>40231</v>
      </c>
      <c r="B9885" t="s">
        <v>40233</v>
      </c>
      <c r="C9885">
        <v>0</v>
      </c>
      <c r="D9885" t="s">
        <v>106</v>
      </c>
      <c r="E9885">
        <v>1.764</v>
      </c>
    </row>
    <row r="9886" spans="1:5">
      <c r="A9886" t="s">
        <v>40231</v>
      </c>
      <c r="B9886" t="s">
        <v>40234</v>
      </c>
      <c r="C9886">
        <v>0</v>
      </c>
      <c r="D9886" t="s">
        <v>106</v>
      </c>
      <c r="E9886">
        <v>1.764</v>
      </c>
    </row>
    <row r="9887" spans="1:5">
      <c r="A9887" t="s">
        <v>40235</v>
      </c>
      <c r="B9887" t="s">
        <v>40236</v>
      </c>
      <c r="C9887">
        <v>0.68503534977500002</v>
      </c>
      <c r="D9887">
        <v>0.69503590238500002</v>
      </c>
      <c r="E9887">
        <v>16.698</v>
      </c>
    </row>
    <row r="9888" spans="1:5">
      <c r="A9888" t="s">
        <v>40235</v>
      </c>
      <c r="B9888" t="s">
        <v>40237</v>
      </c>
      <c r="C9888">
        <f>0.163721993166</f>
        <v>0.163721993166</v>
      </c>
      <c r="D9888">
        <v>0.69503590238500002</v>
      </c>
      <c r="E9888">
        <v>16.698</v>
      </c>
    </row>
    <row r="9889" spans="1:5">
      <c r="A9889" t="s">
        <v>40235</v>
      </c>
      <c r="B9889" t="s">
        <v>40238</v>
      </c>
      <c r="C9889">
        <v>0</v>
      </c>
      <c r="D9889">
        <v>0.69503590238500002</v>
      </c>
      <c r="E9889">
        <v>16.698</v>
      </c>
    </row>
    <row r="9890" spans="1:5">
      <c r="A9890" t="s">
        <v>40239</v>
      </c>
      <c r="B9890" t="s">
        <v>17684</v>
      </c>
      <c r="C9890">
        <f>0</f>
        <v>0</v>
      </c>
      <c r="D9890">
        <v>0.56106639858499996</v>
      </c>
      <c r="E9890">
        <v>24</v>
      </c>
    </row>
    <row r="9891" spans="1:5">
      <c r="A9891" t="s">
        <v>40239</v>
      </c>
      <c r="B9891" t="s">
        <v>17686</v>
      </c>
      <c r="C9891">
        <v>0.15145639858500001</v>
      </c>
      <c r="D9891">
        <v>0.56106639858499996</v>
      </c>
      <c r="E9891">
        <v>24</v>
      </c>
    </row>
    <row r="9892" spans="1:5">
      <c r="A9892" t="s">
        <v>40240</v>
      </c>
      <c r="B9892" t="s">
        <v>40241</v>
      </c>
      <c r="C9892">
        <v>0</v>
      </c>
      <c r="D9892">
        <v>0.999984613962</v>
      </c>
      <c r="E9892">
        <v>3.0539999999999998</v>
      </c>
    </row>
    <row r="9893" spans="1:5">
      <c r="A9893" t="s">
        <v>40240</v>
      </c>
      <c r="B9893" t="s">
        <v>40242</v>
      </c>
      <c r="C9893">
        <v>0.74641988979899998</v>
      </c>
      <c r="D9893">
        <v>0.999984613962</v>
      </c>
      <c r="E9893">
        <v>3.0539999999999998</v>
      </c>
    </row>
    <row r="9894" spans="1:5">
      <c r="A9894" t="s">
        <v>40240</v>
      </c>
      <c r="B9894" t="s">
        <v>40243</v>
      </c>
      <c r="C9894">
        <f>0.398393739092</f>
        <v>0.39839373909199999</v>
      </c>
      <c r="D9894">
        <v>0.999984613962</v>
      </c>
      <c r="E9894">
        <v>3.0539999999999998</v>
      </c>
    </row>
    <row r="9895" spans="1:5">
      <c r="A9895" t="s">
        <v>40240</v>
      </c>
      <c r="B9895" t="s">
        <v>40244</v>
      </c>
      <c r="C9895">
        <v>3.9616520830099998E-2</v>
      </c>
      <c r="D9895">
        <v>0.999984613962</v>
      </c>
      <c r="E9895">
        <v>3.0539999999999998</v>
      </c>
    </row>
    <row r="9896" spans="1:5">
      <c r="A9896" t="s">
        <v>40240</v>
      </c>
      <c r="B9896" t="s">
        <v>40245</v>
      </c>
      <c r="C9896">
        <f>0.29103919406</f>
        <v>0.29103919406000001</v>
      </c>
      <c r="D9896">
        <v>0.999984613962</v>
      </c>
      <c r="E9896">
        <v>3.0539999999999998</v>
      </c>
    </row>
    <row r="9897" spans="1:5">
      <c r="A9897" t="s">
        <v>40240</v>
      </c>
      <c r="B9897" t="s">
        <v>40246</v>
      </c>
      <c r="C9897">
        <v>2.14726086722E-3</v>
      </c>
      <c r="D9897">
        <v>0.999984613962</v>
      </c>
      <c r="E9897">
        <v>3.0539999999999998</v>
      </c>
    </row>
    <row r="9898" spans="1:5">
      <c r="A9898" t="s">
        <v>40240</v>
      </c>
      <c r="B9898" t="s">
        <v>40247</v>
      </c>
      <c r="C9898">
        <f>0.0377292323478</f>
        <v>3.7729232347799999E-2</v>
      </c>
      <c r="D9898">
        <v>0.999984613962</v>
      </c>
      <c r="E9898">
        <v>3.0539999999999998</v>
      </c>
    </row>
    <row r="9899" spans="1:5">
      <c r="A9899" t="s">
        <v>40240</v>
      </c>
      <c r="B9899" t="s">
        <v>40248</v>
      </c>
      <c r="C9899">
        <v>0.228455707206</v>
      </c>
      <c r="D9899">
        <v>0.999984613962</v>
      </c>
      <c r="E9899">
        <v>3.0539999999999998</v>
      </c>
    </row>
    <row r="9900" spans="1:5">
      <c r="A9900" t="s">
        <v>40240</v>
      </c>
      <c r="B9900" t="s">
        <v>40249</v>
      </c>
      <c r="C9900">
        <v>0.39648112705400002</v>
      </c>
      <c r="D9900">
        <v>0.999984613962</v>
      </c>
      <c r="E9900">
        <v>3.0539999999999998</v>
      </c>
    </row>
    <row r="9901" spans="1:5">
      <c r="A9901" t="s">
        <v>40250</v>
      </c>
      <c r="B9901" t="s">
        <v>8783</v>
      </c>
      <c r="C9901">
        <v>0.56990539550099995</v>
      </c>
      <c r="D9901">
        <v>0.82939195624100004</v>
      </c>
      <c r="E9901">
        <v>12.39</v>
      </c>
    </row>
    <row r="9902" spans="1:5">
      <c r="A9902" t="s">
        <v>40250</v>
      </c>
      <c r="B9902" t="s">
        <v>8789</v>
      </c>
      <c r="C9902">
        <v>0</v>
      </c>
      <c r="D9902">
        <v>0.82939195624100004</v>
      </c>
      <c r="E9902">
        <v>12.39</v>
      </c>
    </row>
    <row r="9903" spans="1:5">
      <c r="A9903" t="s">
        <v>40250</v>
      </c>
      <c r="B9903" t="s">
        <v>8790</v>
      </c>
      <c r="C9903">
        <v>0</v>
      </c>
      <c r="D9903">
        <v>0.82939195624100004</v>
      </c>
      <c r="E9903">
        <v>12.39</v>
      </c>
    </row>
    <row r="9904" spans="1:5">
      <c r="A9904" t="s">
        <v>40250</v>
      </c>
      <c r="B9904" t="s">
        <v>8784</v>
      </c>
      <c r="C9904">
        <f>0.0318953055095</f>
        <v>3.1895305509499997E-2</v>
      </c>
      <c r="D9904">
        <v>0.82939195624100004</v>
      </c>
      <c r="E9904">
        <v>12.39</v>
      </c>
    </row>
    <row r="9905" spans="1:5">
      <c r="A9905" t="s">
        <v>40250</v>
      </c>
      <c r="B9905" t="s">
        <v>8786</v>
      </c>
      <c r="C9905">
        <v>7.6271432148900002E-3</v>
      </c>
      <c r="D9905">
        <v>0.82939195624100004</v>
      </c>
      <c r="E9905">
        <v>12.39</v>
      </c>
    </row>
    <row r="9906" spans="1:5">
      <c r="A9906" t="s">
        <v>40251</v>
      </c>
      <c r="B9906" t="s">
        <v>2120</v>
      </c>
      <c r="C9906">
        <v>0</v>
      </c>
      <c r="D9906" t="s">
        <v>106</v>
      </c>
      <c r="E9906">
        <v>24</v>
      </c>
    </row>
    <row r="9907" spans="1:5">
      <c r="A9907" t="s">
        <v>40251</v>
      </c>
      <c r="B9907" t="s">
        <v>2121</v>
      </c>
      <c r="C9907">
        <v>0</v>
      </c>
      <c r="D9907" t="s">
        <v>106</v>
      </c>
      <c r="E9907">
        <v>24</v>
      </c>
    </row>
    <row r="9908" spans="1:5">
      <c r="A9908" t="s">
        <v>40252</v>
      </c>
      <c r="B9908" t="s">
        <v>40253</v>
      </c>
      <c r="C9908">
        <v>0.27556430111000002</v>
      </c>
      <c r="D9908">
        <v>0.73797430110999995</v>
      </c>
      <c r="E9908">
        <v>22.806000000000001</v>
      </c>
    </row>
    <row r="9909" spans="1:5">
      <c r="A9909" t="s">
        <v>40252</v>
      </c>
      <c r="B9909" t="s">
        <v>40254</v>
      </c>
      <c r="C9909">
        <v>0</v>
      </c>
      <c r="D9909">
        <v>0.73797430110999995</v>
      </c>
      <c r="E9909">
        <v>22.806000000000001</v>
      </c>
    </row>
    <row r="9910" spans="1:5">
      <c r="A9910" t="s">
        <v>40255</v>
      </c>
      <c r="B9910" t="s">
        <v>40256</v>
      </c>
      <c r="C9910">
        <v>2.8452039115E-4</v>
      </c>
      <c r="D9910">
        <v>0.82554687473900001</v>
      </c>
      <c r="E9910">
        <v>24</v>
      </c>
    </row>
    <row r="9911" spans="1:5">
      <c r="A9911" t="s">
        <v>40255</v>
      </c>
      <c r="B9911" t="s">
        <v>40257</v>
      </c>
      <c r="C9911">
        <f>0</f>
        <v>0</v>
      </c>
      <c r="D9911">
        <v>0.82554687473900001</v>
      </c>
      <c r="E9911">
        <v>24</v>
      </c>
    </row>
    <row r="9912" spans="1:5">
      <c r="A9912" t="s">
        <v>40255</v>
      </c>
      <c r="B9912" t="s">
        <v>40258</v>
      </c>
      <c r="C9912">
        <f>0</f>
        <v>0</v>
      </c>
      <c r="D9912">
        <v>0.82554687473900001</v>
      </c>
      <c r="E9912">
        <v>24</v>
      </c>
    </row>
    <row r="9913" spans="1:5">
      <c r="A9913" t="s">
        <v>40255</v>
      </c>
      <c r="B9913" t="s">
        <v>40259</v>
      </c>
      <c r="C9913">
        <v>0</v>
      </c>
      <c r="D9913">
        <v>0.82554687473900001</v>
      </c>
      <c r="E9913">
        <v>24</v>
      </c>
    </row>
    <row r="9914" spans="1:5">
      <c r="A9914" t="s">
        <v>40255</v>
      </c>
      <c r="B9914" t="s">
        <v>40260</v>
      </c>
      <c r="C9914">
        <v>0</v>
      </c>
      <c r="D9914">
        <v>0.82554687473900001</v>
      </c>
      <c r="E9914">
        <v>24</v>
      </c>
    </row>
    <row r="9915" spans="1:5">
      <c r="A9915" t="s">
        <v>40255</v>
      </c>
      <c r="B9915" t="s">
        <v>40261</v>
      </c>
      <c r="C9915">
        <v>0</v>
      </c>
      <c r="D9915">
        <v>0.82554687473900001</v>
      </c>
      <c r="E9915">
        <v>24</v>
      </c>
    </row>
    <row r="9916" spans="1:5">
      <c r="A9916" t="s">
        <v>40255</v>
      </c>
      <c r="B9916" t="s">
        <v>40262</v>
      </c>
      <c r="C9916">
        <v>0.30677223814999999</v>
      </c>
      <c r="D9916">
        <v>0.82554687473900001</v>
      </c>
      <c r="E9916">
        <v>24</v>
      </c>
    </row>
    <row r="9917" spans="1:5">
      <c r="A9917" t="s">
        <v>40255</v>
      </c>
      <c r="B9917" t="s">
        <v>40263</v>
      </c>
      <c r="C9917">
        <v>0</v>
      </c>
      <c r="D9917">
        <v>0.82554687473900001</v>
      </c>
      <c r="E9917">
        <v>24</v>
      </c>
    </row>
    <row r="9918" spans="1:5">
      <c r="A9918" t="s">
        <v>40255</v>
      </c>
      <c r="B9918" t="s">
        <v>40264</v>
      </c>
      <c r="C9918">
        <v>0</v>
      </c>
      <c r="D9918">
        <v>0.82554687473900001</v>
      </c>
      <c r="E9918">
        <v>24</v>
      </c>
    </row>
    <row r="9919" spans="1:5">
      <c r="A9919" t="s">
        <v>40255</v>
      </c>
      <c r="B9919" t="s">
        <v>40265</v>
      </c>
      <c r="C9919">
        <v>0</v>
      </c>
      <c r="D9919">
        <v>0.82554687473900001</v>
      </c>
      <c r="E9919">
        <v>24</v>
      </c>
    </row>
    <row r="9920" spans="1:5">
      <c r="A9920" t="s">
        <v>40255</v>
      </c>
      <c r="B9920" t="s">
        <v>40266</v>
      </c>
      <c r="C9920">
        <v>0</v>
      </c>
      <c r="D9920">
        <v>0.82554687473900001</v>
      </c>
      <c r="E9920">
        <v>24</v>
      </c>
    </row>
    <row r="9921" spans="1:5">
      <c r="A9921" t="s">
        <v>40255</v>
      </c>
      <c r="B9921" t="s">
        <v>40267</v>
      </c>
      <c r="C9921">
        <v>0</v>
      </c>
      <c r="D9921">
        <v>0.82554687473900001</v>
      </c>
      <c r="E9921">
        <v>24</v>
      </c>
    </row>
    <row r="9922" spans="1:5">
      <c r="A9922" t="s">
        <v>40255</v>
      </c>
      <c r="B9922" t="s">
        <v>40268</v>
      </c>
      <c r="C9922">
        <f>0</f>
        <v>0</v>
      </c>
      <c r="D9922">
        <v>0.82554687473900001</v>
      </c>
      <c r="E9922">
        <v>24</v>
      </c>
    </row>
    <row r="9923" spans="1:5">
      <c r="A9923" t="s">
        <v>40255</v>
      </c>
      <c r="B9923" t="s">
        <v>40269</v>
      </c>
      <c r="C9923">
        <f>0</f>
        <v>0</v>
      </c>
      <c r="D9923">
        <v>0.82554687473900001</v>
      </c>
      <c r="E9923">
        <v>24</v>
      </c>
    </row>
    <row r="9924" spans="1:5">
      <c r="A9924" t="s">
        <v>40255</v>
      </c>
      <c r="B9924" t="s">
        <v>40270</v>
      </c>
      <c r="C9924">
        <v>0</v>
      </c>
      <c r="D9924">
        <v>0.82554687473900001</v>
      </c>
      <c r="E9924">
        <v>24</v>
      </c>
    </row>
    <row r="9925" spans="1:5">
      <c r="A9925" t="s">
        <v>40271</v>
      </c>
      <c r="B9925" t="s">
        <v>17628</v>
      </c>
      <c r="C9925">
        <v>1.2867562851000001</v>
      </c>
      <c r="D9925">
        <v>0.90734531880199998</v>
      </c>
      <c r="E9925">
        <v>8.4359999999999999</v>
      </c>
    </row>
    <row r="9926" spans="1:5">
      <c r="A9926" t="s">
        <v>40271</v>
      </c>
      <c r="B9926" t="s">
        <v>17631</v>
      </c>
      <c r="C9926">
        <v>1.56662554242</v>
      </c>
      <c r="D9926">
        <v>0.90734531880199998</v>
      </c>
      <c r="E9926">
        <v>8.4359999999999999</v>
      </c>
    </row>
    <row r="9927" spans="1:5">
      <c r="A9927" t="s">
        <v>40271</v>
      </c>
      <c r="B9927" t="s">
        <v>17633</v>
      </c>
      <c r="C9927">
        <f>0.732209082933</f>
        <v>0.73220908293300002</v>
      </c>
      <c r="D9927">
        <v>0.90734531880199998</v>
      </c>
      <c r="E9927">
        <v>8.4359999999999999</v>
      </c>
    </row>
    <row r="9928" spans="1:5">
      <c r="A9928" t="s">
        <v>40271</v>
      </c>
      <c r="B9928" t="s">
        <v>17629</v>
      </c>
      <c r="C9928">
        <f>-1.4620343828</f>
        <v>-1.4620343828</v>
      </c>
      <c r="D9928">
        <v>0.90734531880199998</v>
      </c>
      <c r="E9928">
        <v>8.4359999999999999</v>
      </c>
    </row>
    <row r="9929" spans="1:5">
      <c r="A9929" t="s">
        <v>40272</v>
      </c>
      <c r="B9929" t="s">
        <v>29242</v>
      </c>
      <c r="C9929">
        <v>0</v>
      </c>
      <c r="D9929">
        <v>0.83477025498599999</v>
      </c>
      <c r="E9929">
        <v>0.40799999999999997</v>
      </c>
    </row>
    <row r="9930" spans="1:5">
      <c r="A9930" t="s">
        <v>40272</v>
      </c>
      <c r="B9930" t="s">
        <v>29247</v>
      </c>
      <c r="C9930">
        <v>0.67476025498600001</v>
      </c>
      <c r="D9930">
        <v>0.83477025498599999</v>
      </c>
      <c r="E9930">
        <v>0.40799999999999997</v>
      </c>
    </row>
    <row r="9931" spans="1:5">
      <c r="A9931" t="s">
        <v>40272</v>
      </c>
      <c r="B9931" t="s">
        <v>29243</v>
      </c>
      <c r="C9931">
        <f>0</f>
        <v>0</v>
      </c>
      <c r="D9931">
        <v>0.83477025498599999</v>
      </c>
      <c r="E9931">
        <v>0.40799999999999997</v>
      </c>
    </row>
    <row r="9932" spans="1:5">
      <c r="A9932" t="s">
        <v>40272</v>
      </c>
      <c r="B9932" t="s">
        <v>29248</v>
      </c>
      <c r="C9932">
        <v>0</v>
      </c>
      <c r="D9932">
        <v>0.83477025498599999</v>
      </c>
      <c r="E9932">
        <v>0.40799999999999997</v>
      </c>
    </row>
    <row r="9933" spans="1:5">
      <c r="A9933" t="s">
        <v>40273</v>
      </c>
      <c r="B9933" t="s">
        <v>40274</v>
      </c>
      <c r="C9933">
        <v>0.72436095520099997</v>
      </c>
      <c r="D9933">
        <v>0.83062010145800003</v>
      </c>
      <c r="E9933">
        <v>2.88</v>
      </c>
    </row>
    <row r="9934" spans="1:5">
      <c r="A9934" t="s">
        <v>40273</v>
      </c>
      <c r="B9934" t="s">
        <v>40275</v>
      </c>
      <c r="C9934">
        <v>0.27010988844799999</v>
      </c>
      <c r="D9934">
        <v>0.83062010145800003</v>
      </c>
      <c r="E9934">
        <v>2.88</v>
      </c>
    </row>
    <row r="9935" spans="1:5">
      <c r="A9935" t="s">
        <v>40276</v>
      </c>
      <c r="B9935" t="s">
        <v>6220</v>
      </c>
      <c r="C9935">
        <f>0.578389446364</f>
        <v>0.57838944636400003</v>
      </c>
      <c r="D9935">
        <v>0.77842102243699995</v>
      </c>
      <c r="E9935">
        <v>20.963999999999999</v>
      </c>
    </row>
    <row r="9936" spans="1:5">
      <c r="A9936" t="s">
        <v>40276</v>
      </c>
      <c r="B9936" t="s">
        <v>6224</v>
      </c>
      <c r="C9936">
        <f>0.548668126343</f>
        <v>0.548668126343</v>
      </c>
      <c r="D9936">
        <v>0.77842102243699995</v>
      </c>
      <c r="E9936">
        <v>20.963999999999999</v>
      </c>
    </row>
    <row r="9937" spans="1:5">
      <c r="A9937" t="s">
        <v>40276</v>
      </c>
      <c r="B9937" t="s">
        <v>6222</v>
      </c>
      <c r="C9937">
        <v>0.25320750840099998</v>
      </c>
      <c r="D9937">
        <v>0.77842102243699995</v>
      </c>
      <c r="E9937">
        <v>20.963999999999999</v>
      </c>
    </row>
    <row r="9938" spans="1:5">
      <c r="A9938" t="s">
        <v>40277</v>
      </c>
      <c r="B9938" t="s">
        <v>40278</v>
      </c>
      <c r="C9938">
        <v>0</v>
      </c>
      <c r="D9938">
        <v>0.73729113971899995</v>
      </c>
      <c r="E9938">
        <v>23.754000000000001</v>
      </c>
    </row>
    <row r="9939" spans="1:5">
      <c r="A9939" t="s">
        <v>40277</v>
      </c>
      <c r="B9939" t="s">
        <v>40279</v>
      </c>
      <c r="C9939">
        <v>0.60768113971899995</v>
      </c>
      <c r="D9939">
        <v>0.73729113971899995</v>
      </c>
      <c r="E9939">
        <v>23.754000000000001</v>
      </c>
    </row>
    <row r="9940" spans="1:5">
      <c r="A9940" t="s">
        <v>40280</v>
      </c>
      <c r="B9940" t="s">
        <v>22160</v>
      </c>
      <c r="C9940">
        <f>0</f>
        <v>0</v>
      </c>
      <c r="D9940" t="s">
        <v>106</v>
      </c>
      <c r="E9940">
        <v>0.10199999999999999</v>
      </c>
    </row>
    <row r="9941" spans="1:5">
      <c r="A9941" t="s">
        <v>40280</v>
      </c>
      <c r="B9941" t="s">
        <v>22164</v>
      </c>
      <c r="C9941">
        <f>0</f>
        <v>0</v>
      </c>
      <c r="D9941" t="s">
        <v>106</v>
      </c>
      <c r="E9941">
        <v>0.10199999999999999</v>
      </c>
    </row>
    <row r="9942" spans="1:5">
      <c r="A9942" t="s">
        <v>40280</v>
      </c>
      <c r="B9942" t="s">
        <v>22165</v>
      </c>
      <c r="C9942">
        <f>0</f>
        <v>0</v>
      </c>
      <c r="D9942" t="s">
        <v>106</v>
      </c>
      <c r="E9942">
        <v>0.10199999999999999</v>
      </c>
    </row>
    <row r="9943" spans="1:5">
      <c r="A9943" t="s">
        <v>40280</v>
      </c>
      <c r="B9943" t="s">
        <v>22162</v>
      </c>
      <c r="C9943">
        <f>0</f>
        <v>0</v>
      </c>
      <c r="D9943" t="s">
        <v>106</v>
      </c>
      <c r="E9943">
        <v>0.10199999999999999</v>
      </c>
    </row>
    <row r="9944" spans="1:5">
      <c r="A9944" t="s">
        <v>40281</v>
      </c>
      <c r="B9944" t="s">
        <v>40282</v>
      </c>
      <c r="C9944">
        <v>0</v>
      </c>
      <c r="D9944">
        <v>0.88462483547199999</v>
      </c>
      <c r="E9944">
        <v>6.06</v>
      </c>
    </row>
    <row r="9945" spans="1:5">
      <c r="A9945" t="s">
        <v>40281</v>
      </c>
      <c r="B9945" t="s">
        <v>40283</v>
      </c>
      <c r="C9945">
        <f>0</f>
        <v>0</v>
      </c>
      <c r="D9945">
        <v>0.88462483547199999</v>
      </c>
      <c r="E9945">
        <v>6.06</v>
      </c>
    </row>
    <row r="9946" spans="1:5">
      <c r="A9946" t="s">
        <v>40281</v>
      </c>
      <c r="B9946" t="s">
        <v>40284</v>
      </c>
      <c r="C9946">
        <f>0</f>
        <v>0</v>
      </c>
      <c r="D9946">
        <v>0.88462483547199999</v>
      </c>
      <c r="E9946">
        <v>6.06</v>
      </c>
    </row>
    <row r="9947" spans="1:5">
      <c r="A9947" t="s">
        <v>40281</v>
      </c>
      <c r="B9947" t="s">
        <v>40285</v>
      </c>
      <c r="C9947">
        <v>0</v>
      </c>
      <c r="D9947">
        <v>0.88462483547199999</v>
      </c>
      <c r="E9947">
        <v>6.06</v>
      </c>
    </row>
    <row r="9948" spans="1:5">
      <c r="A9948" t="s">
        <v>40281</v>
      </c>
      <c r="B9948" t="s">
        <v>40286</v>
      </c>
      <c r="C9948">
        <f>0</f>
        <v>0</v>
      </c>
      <c r="D9948">
        <v>0.88462483547199999</v>
      </c>
      <c r="E9948">
        <v>6.06</v>
      </c>
    </row>
    <row r="9949" spans="1:5">
      <c r="A9949" t="s">
        <v>40281</v>
      </c>
      <c r="B9949" t="s">
        <v>40287</v>
      </c>
      <c r="C9949">
        <v>0</v>
      </c>
      <c r="D9949">
        <v>0.88462483547199999</v>
      </c>
      <c r="E9949">
        <v>6.06</v>
      </c>
    </row>
    <row r="9950" spans="1:5">
      <c r="A9950" t="s">
        <v>40281</v>
      </c>
      <c r="B9950" t="s">
        <v>40288</v>
      </c>
      <c r="C9950">
        <v>0.69101483547200004</v>
      </c>
      <c r="D9950">
        <v>0.88462483547199999</v>
      </c>
      <c r="E9950">
        <v>6.06</v>
      </c>
    </row>
    <row r="9951" spans="1:5">
      <c r="A9951" t="s">
        <v>40281</v>
      </c>
      <c r="B9951" t="s">
        <v>40289</v>
      </c>
      <c r="C9951">
        <v>0</v>
      </c>
      <c r="D9951">
        <v>0.88462483547199999</v>
      </c>
      <c r="E9951">
        <v>6.06</v>
      </c>
    </row>
    <row r="9952" spans="1:5">
      <c r="A9952" t="s">
        <v>40281</v>
      </c>
      <c r="B9952" t="s">
        <v>40290</v>
      </c>
      <c r="C9952">
        <v>0</v>
      </c>
      <c r="D9952">
        <v>0.88462483547199999</v>
      </c>
      <c r="E9952">
        <v>6.06</v>
      </c>
    </row>
    <row r="9953" spans="1:5">
      <c r="A9953" t="s">
        <v>40291</v>
      </c>
      <c r="B9953" t="s">
        <v>40292</v>
      </c>
      <c r="C9953">
        <v>1.0129628968500001E-2</v>
      </c>
      <c r="D9953">
        <v>0.989714585481</v>
      </c>
      <c r="E9953">
        <v>0</v>
      </c>
    </row>
    <row r="9954" spans="1:5">
      <c r="A9954" t="s">
        <v>40291</v>
      </c>
      <c r="B9954" t="s">
        <v>40293</v>
      </c>
      <c r="C9954">
        <v>5.6310396037899998E-3</v>
      </c>
      <c r="D9954">
        <v>0.989714585481</v>
      </c>
      <c r="E9954">
        <v>0</v>
      </c>
    </row>
    <row r="9955" spans="1:5">
      <c r="A9955" t="s">
        <v>40291</v>
      </c>
      <c r="B9955" t="s">
        <v>40294</v>
      </c>
      <c r="C9955">
        <v>1.2945040137599999</v>
      </c>
      <c r="D9955">
        <v>0.989714585481</v>
      </c>
      <c r="E9955">
        <v>0</v>
      </c>
    </row>
    <row r="9956" spans="1:5">
      <c r="A9956" t="s">
        <v>40291</v>
      </c>
      <c r="B9956" t="s">
        <v>40295</v>
      </c>
      <c r="C9956">
        <f>0.770593543629</f>
        <v>0.77059354362900001</v>
      </c>
      <c r="D9956">
        <v>0.989714585481</v>
      </c>
      <c r="E9956">
        <v>0</v>
      </c>
    </row>
    <row r="9957" spans="1:5">
      <c r="A9957" t="s">
        <v>40291</v>
      </c>
      <c r="B9957" t="s">
        <v>40296</v>
      </c>
      <c r="C9957">
        <v>0.237150518265</v>
      </c>
      <c r="D9957">
        <v>0.989714585481</v>
      </c>
      <c r="E9957">
        <v>0</v>
      </c>
    </row>
    <row r="9958" spans="1:5">
      <c r="A9958" t="s">
        <v>40291</v>
      </c>
      <c r="B9958" t="s">
        <v>40297</v>
      </c>
      <c r="C9958">
        <v>1.08452366368</v>
      </c>
      <c r="D9958">
        <v>0.989714585481</v>
      </c>
      <c r="E9958">
        <v>0</v>
      </c>
    </row>
    <row r="9959" spans="1:5">
      <c r="A9959" t="s">
        <v>40298</v>
      </c>
      <c r="B9959" t="s">
        <v>3764</v>
      </c>
      <c r="C9959">
        <v>0</v>
      </c>
      <c r="D9959" t="s">
        <v>106</v>
      </c>
      <c r="E9959">
        <v>24</v>
      </c>
    </row>
    <row r="9960" spans="1:5">
      <c r="A9960" t="s">
        <v>40298</v>
      </c>
      <c r="B9960" t="s">
        <v>3767</v>
      </c>
      <c r="C9960">
        <v>0</v>
      </c>
      <c r="D9960" t="s">
        <v>106</v>
      </c>
      <c r="E9960">
        <v>24</v>
      </c>
    </row>
    <row r="9961" spans="1:5">
      <c r="A9961" t="s">
        <v>40299</v>
      </c>
      <c r="B9961" t="s">
        <v>15048</v>
      </c>
      <c r="C9961">
        <f>0</f>
        <v>0</v>
      </c>
      <c r="D9961" t="s">
        <v>106</v>
      </c>
      <c r="E9961">
        <v>20.736000000000001</v>
      </c>
    </row>
    <row r="9962" spans="1:5">
      <c r="A9962" t="s">
        <v>40299</v>
      </c>
      <c r="B9962" t="s">
        <v>15044</v>
      </c>
      <c r="C9962">
        <f>0</f>
        <v>0</v>
      </c>
      <c r="D9962" t="s">
        <v>106</v>
      </c>
      <c r="E9962">
        <v>20.736000000000001</v>
      </c>
    </row>
    <row r="9963" spans="1:5">
      <c r="A9963" t="s">
        <v>40299</v>
      </c>
      <c r="B9963" t="s">
        <v>15047</v>
      </c>
      <c r="C9963">
        <v>0</v>
      </c>
      <c r="D9963" t="s">
        <v>106</v>
      </c>
      <c r="E9963">
        <v>20.736000000000001</v>
      </c>
    </row>
    <row r="9964" spans="1:5">
      <c r="A9964" t="s">
        <v>40300</v>
      </c>
      <c r="B9964" t="s">
        <v>40301</v>
      </c>
      <c r="C9964">
        <f>0</f>
        <v>0</v>
      </c>
      <c r="D9964" t="s">
        <v>106</v>
      </c>
      <c r="E9964">
        <v>11.706</v>
      </c>
    </row>
    <row r="9965" spans="1:5">
      <c r="A9965" t="s">
        <v>40300</v>
      </c>
      <c r="B9965" t="s">
        <v>40302</v>
      </c>
      <c r="C9965">
        <f>0</f>
        <v>0</v>
      </c>
      <c r="D9965" t="s">
        <v>106</v>
      </c>
      <c r="E9965">
        <v>11.706</v>
      </c>
    </row>
    <row r="9966" spans="1:5">
      <c r="A9966" t="s">
        <v>40300</v>
      </c>
      <c r="B9966" t="s">
        <v>40303</v>
      </c>
      <c r="C9966">
        <f>0</f>
        <v>0</v>
      </c>
      <c r="D9966" t="s">
        <v>106</v>
      </c>
      <c r="E9966">
        <v>11.706</v>
      </c>
    </row>
    <row r="9967" spans="1:5">
      <c r="A9967" t="s">
        <v>40300</v>
      </c>
      <c r="B9967" t="s">
        <v>40304</v>
      </c>
      <c r="C9967">
        <f>0</f>
        <v>0</v>
      </c>
      <c r="D9967" t="s">
        <v>106</v>
      </c>
      <c r="E9967">
        <v>11.706</v>
      </c>
    </row>
    <row r="9968" spans="1:5">
      <c r="A9968" t="s">
        <v>40300</v>
      </c>
      <c r="B9968" t="s">
        <v>40305</v>
      </c>
      <c r="C9968">
        <v>0</v>
      </c>
      <c r="D9968" t="s">
        <v>106</v>
      </c>
      <c r="E9968">
        <v>11.706</v>
      </c>
    </row>
    <row r="9969" spans="1:5">
      <c r="A9969" t="s">
        <v>40300</v>
      </c>
      <c r="B9969" t="s">
        <v>40306</v>
      </c>
      <c r="C9969">
        <v>0</v>
      </c>
      <c r="D9969" t="s">
        <v>106</v>
      </c>
      <c r="E9969">
        <v>11.706</v>
      </c>
    </row>
    <row r="9970" spans="1:5">
      <c r="A9970" t="s">
        <v>40307</v>
      </c>
      <c r="B9970" t="s">
        <v>40308</v>
      </c>
      <c r="C9970">
        <f>0</f>
        <v>0</v>
      </c>
      <c r="D9970">
        <v>0.99995007622800003</v>
      </c>
      <c r="E9970">
        <v>0</v>
      </c>
    </row>
    <row r="9971" spans="1:5">
      <c r="A9971" t="s">
        <v>40307</v>
      </c>
      <c r="B9971" t="s">
        <v>40309</v>
      </c>
      <c r="C9971">
        <v>0.19972517103099999</v>
      </c>
      <c r="D9971">
        <v>0.99995007622800003</v>
      </c>
      <c r="E9971">
        <v>0</v>
      </c>
    </row>
    <row r="9972" spans="1:5">
      <c r="A9972" t="s">
        <v>40307</v>
      </c>
      <c r="B9972" t="s">
        <v>40310</v>
      </c>
      <c r="C9972">
        <f>0</f>
        <v>0</v>
      </c>
      <c r="D9972">
        <v>0.99995007622800003</v>
      </c>
      <c r="E9972">
        <v>0</v>
      </c>
    </row>
    <row r="9973" spans="1:5">
      <c r="A9973" t="s">
        <v>40307</v>
      </c>
      <c r="B9973" t="s">
        <v>40311</v>
      </c>
      <c r="C9973">
        <f>0.353721229776</f>
        <v>0.35372122977600001</v>
      </c>
      <c r="D9973">
        <v>0.99995007622800003</v>
      </c>
      <c r="E9973">
        <v>0</v>
      </c>
    </row>
    <row r="9974" spans="1:5">
      <c r="A9974" t="s">
        <v>40307</v>
      </c>
      <c r="B9974" t="s">
        <v>40312</v>
      </c>
      <c r="C9974">
        <f>0.189704174308</f>
        <v>0.18970417430799999</v>
      </c>
      <c r="D9974">
        <v>0.99995007622800003</v>
      </c>
      <c r="E9974">
        <v>0</v>
      </c>
    </row>
    <row r="9975" spans="1:5">
      <c r="A9975" t="s">
        <v>40307</v>
      </c>
      <c r="B9975" t="s">
        <v>40313</v>
      </c>
      <c r="C9975">
        <f>0.14528353861</f>
        <v>0.14528353861000001</v>
      </c>
      <c r="D9975">
        <v>0.99995007622800003</v>
      </c>
      <c r="E9975">
        <v>0</v>
      </c>
    </row>
    <row r="9976" spans="1:5">
      <c r="A9976" t="s">
        <v>40307</v>
      </c>
      <c r="B9976" t="s">
        <v>40314</v>
      </c>
      <c r="C9976">
        <v>0</v>
      </c>
      <c r="D9976">
        <v>0.99995007622800003</v>
      </c>
      <c r="E9976">
        <v>0</v>
      </c>
    </row>
    <row r="9977" spans="1:5">
      <c r="A9977" t="s">
        <v>40307</v>
      </c>
      <c r="B9977" t="s">
        <v>40315</v>
      </c>
      <c r="C9977">
        <v>0</v>
      </c>
      <c r="D9977">
        <v>0.99995007622800003</v>
      </c>
      <c r="E9977">
        <v>0</v>
      </c>
    </row>
    <row r="9978" spans="1:5">
      <c r="A9978" t="s">
        <v>40307</v>
      </c>
      <c r="B9978" t="s">
        <v>40316</v>
      </c>
      <c r="C9978">
        <v>4.3703165906900002E-2</v>
      </c>
      <c r="D9978">
        <v>0.99995007622800003</v>
      </c>
      <c r="E9978">
        <v>0</v>
      </c>
    </row>
    <row r="9979" spans="1:5">
      <c r="A9979" t="s">
        <v>40307</v>
      </c>
      <c r="B9979" t="s">
        <v>40317</v>
      </c>
      <c r="C9979">
        <f>0.553694279322</f>
        <v>0.55369427932199999</v>
      </c>
      <c r="D9979">
        <v>0.99995007622800003</v>
      </c>
      <c r="E9979">
        <v>0</v>
      </c>
    </row>
    <row r="9980" spans="1:5">
      <c r="A9980" t="s">
        <v>40307</v>
      </c>
      <c r="B9980" t="s">
        <v>40318</v>
      </c>
      <c r="C9980">
        <f>0.299910119115</f>
        <v>0.29991011911499998</v>
      </c>
      <c r="D9980">
        <v>0.99995007622800003</v>
      </c>
      <c r="E9980">
        <v>0</v>
      </c>
    </row>
    <row r="9981" spans="1:5">
      <c r="A9981" t="s">
        <v>40319</v>
      </c>
      <c r="B9981" t="s">
        <v>17761</v>
      </c>
      <c r="C9981">
        <v>7.5707577357899999E-2</v>
      </c>
      <c r="D9981">
        <v>0.99728538958799995</v>
      </c>
      <c r="E9981">
        <v>0.17399999999999999</v>
      </c>
    </row>
    <row r="9982" spans="1:5">
      <c r="A9982" t="s">
        <v>40319</v>
      </c>
      <c r="B9982" t="s">
        <v>17763</v>
      </c>
      <c r="C9982">
        <f>0.78018967282</f>
        <v>0.78018967281999996</v>
      </c>
      <c r="D9982">
        <v>0.99728538958799995</v>
      </c>
      <c r="E9982">
        <v>0.17399999999999999</v>
      </c>
    </row>
    <row r="9983" spans="1:5">
      <c r="A9983" t="s">
        <v>40319</v>
      </c>
      <c r="B9983" t="s">
        <v>17771</v>
      </c>
      <c r="C9983">
        <v>0.87155512407799995</v>
      </c>
      <c r="D9983">
        <v>0.99728538958799995</v>
      </c>
      <c r="E9983">
        <v>0.17399999999999999</v>
      </c>
    </row>
    <row r="9984" spans="1:5">
      <c r="A9984" t="s">
        <v>40319</v>
      </c>
      <c r="B9984" t="s">
        <v>17767</v>
      </c>
      <c r="C9984">
        <f>0</f>
        <v>0</v>
      </c>
      <c r="D9984">
        <v>0.99728538958799995</v>
      </c>
      <c r="E9984">
        <v>0.17399999999999999</v>
      </c>
    </row>
    <row r="9985" spans="1:5">
      <c r="A9985" t="s">
        <v>40319</v>
      </c>
      <c r="B9985" t="s">
        <v>17765</v>
      </c>
      <c r="C9985">
        <v>0.21725532440000001</v>
      </c>
      <c r="D9985">
        <v>0.99728538958799995</v>
      </c>
      <c r="E9985">
        <v>0.17399999999999999</v>
      </c>
    </row>
    <row r="9986" spans="1:5">
      <c r="A9986" t="s">
        <v>40319</v>
      </c>
      <c r="B9986" t="s">
        <v>17769</v>
      </c>
      <c r="C9986">
        <v>0</v>
      </c>
      <c r="D9986">
        <v>0.99728538958799995</v>
      </c>
      <c r="E9986">
        <v>0.17399999999999999</v>
      </c>
    </row>
    <row r="9987" spans="1:5">
      <c r="A9987" t="s">
        <v>40319</v>
      </c>
      <c r="B9987" t="s">
        <v>17766</v>
      </c>
      <c r="C9987">
        <v>1.1125874624800001</v>
      </c>
      <c r="D9987">
        <v>0.99728538958799995</v>
      </c>
      <c r="E9987">
        <v>0.17399999999999999</v>
      </c>
    </row>
    <row r="9988" spans="1:5">
      <c r="A9988" t="s">
        <v>40319</v>
      </c>
      <c r="B9988" t="s">
        <v>17768</v>
      </c>
      <c r="C9988">
        <f>0</f>
        <v>0</v>
      </c>
      <c r="D9988">
        <v>0.99728538958799995</v>
      </c>
      <c r="E9988">
        <v>0.17399999999999999</v>
      </c>
    </row>
    <row r="9989" spans="1:5">
      <c r="A9989" t="s">
        <v>40320</v>
      </c>
      <c r="B9989" t="s">
        <v>40321</v>
      </c>
      <c r="C9989">
        <v>0.485014039304</v>
      </c>
      <c r="D9989">
        <v>0.81984685579000005</v>
      </c>
      <c r="E9989">
        <v>1.968</v>
      </c>
    </row>
    <row r="9990" spans="1:5">
      <c r="A9990" t="s">
        <v>40320</v>
      </c>
      <c r="B9990" t="s">
        <v>40322</v>
      </c>
      <c r="C9990">
        <v>0.297700510458</v>
      </c>
      <c r="D9990">
        <v>0.81984685579000005</v>
      </c>
      <c r="E9990">
        <v>1.968</v>
      </c>
    </row>
    <row r="9991" spans="1:5">
      <c r="A9991" t="s">
        <v>40320</v>
      </c>
      <c r="B9991" t="s">
        <v>40323</v>
      </c>
      <c r="C9991">
        <v>1.17902679955E-2</v>
      </c>
      <c r="D9991">
        <v>0.81984685579000005</v>
      </c>
      <c r="E9991">
        <v>1.968</v>
      </c>
    </row>
    <row r="9992" spans="1:5">
      <c r="A9992" t="s">
        <v>40320</v>
      </c>
      <c r="B9992" t="s">
        <v>40324</v>
      </c>
      <c r="C9992">
        <f>0</f>
        <v>0</v>
      </c>
      <c r="D9992">
        <v>0.81984685579000005</v>
      </c>
      <c r="E9992">
        <v>1.968</v>
      </c>
    </row>
    <row r="9993" spans="1:5">
      <c r="A9993" t="s">
        <v>40320</v>
      </c>
      <c r="B9993" t="s">
        <v>40325</v>
      </c>
      <c r="C9993">
        <v>0.22518409074699999</v>
      </c>
      <c r="D9993">
        <v>0.81984685579000005</v>
      </c>
      <c r="E9993">
        <v>1.968</v>
      </c>
    </row>
    <row r="9994" spans="1:5">
      <c r="A9994" t="s">
        <v>40320</v>
      </c>
      <c r="B9994" t="s">
        <v>40326</v>
      </c>
      <c r="C9994">
        <f>0</f>
        <v>0</v>
      </c>
      <c r="D9994">
        <v>0.81984685579000005</v>
      </c>
      <c r="E9994">
        <v>1.968</v>
      </c>
    </row>
    <row r="9995" spans="1:5">
      <c r="A9995" t="s">
        <v>40320</v>
      </c>
      <c r="B9995" t="s">
        <v>40327</v>
      </c>
      <c r="C9995">
        <v>0</v>
      </c>
      <c r="D9995">
        <v>0.81984685579000005</v>
      </c>
      <c r="E9995">
        <v>1.968</v>
      </c>
    </row>
    <row r="9996" spans="1:5">
      <c r="A9996" t="s">
        <v>40328</v>
      </c>
      <c r="B9996" t="s">
        <v>40329</v>
      </c>
      <c r="C9996">
        <v>0</v>
      </c>
      <c r="D9996" t="s">
        <v>106</v>
      </c>
      <c r="E9996">
        <v>0.438</v>
      </c>
    </row>
    <row r="9997" spans="1:5">
      <c r="A9997" t="s">
        <v>40328</v>
      </c>
      <c r="B9997" t="s">
        <v>40330</v>
      </c>
      <c r="C9997">
        <f>0</f>
        <v>0</v>
      </c>
      <c r="D9997" t="s">
        <v>106</v>
      </c>
      <c r="E9997">
        <v>0.438</v>
      </c>
    </row>
    <row r="9998" spans="1:5">
      <c r="A9998" t="s">
        <v>40328</v>
      </c>
      <c r="B9998" t="s">
        <v>40331</v>
      </c>
      <c r="C9998">
        <f>0</f>
        <v>0</v>
      </c>
      <c r="D9998" t="s">
        <v>106</v>
      </c>
      <c r="E9998">
        <v>0.438</v>
      </c>
    </row>
    <row r="9999" spans="1:5">
      <c r="A9999" t="s">
        <v>40332</v>
      </c>
      <c r="B9999" t="s">
        <v>11510</v>
      </c>
      <c r="C9999">
        <v>0</v>
      </c>
      <c r="D9999" t="s">
        <v>106</v>
      </c>
      <c r="E9999">
        <v>24</v>
      </c>
    </row>
    <row r="10000" spans="1:5">
      <c r="A10000" t="s">
        <v>40332</v>
      </c>
      <c r="B10000" t="s">
        <v>11511</v>
      </c>
      <c r="C10000">
        <f>0</f>
        <v>0</v>
      </c>
      <c r="D10000" t="s">
        <v>106</v>
      </c>
      <c r="E10000">
        <v>24</v>
      </c>
    </row>
    <row r="10001" spans="1:5">
      <c r="A10001" t="s">
        <v>40332</v>
      </c>
      <c r="B10001" t="s">
        <v>11512</v>
      </c>
      <c r="C10001">
        <v>0</v>
      </c>
      <c r="D10001" t="s">
        <v>106</v>
      </c>
      <c r="E10001">
        <v>24</v>
      </c>
    </row>
    <row r="10002" spans="1:5">
      <c r="A10002" t="s">
        <v>40332</v>
      </c>
      <c r="B10002" t="s">
        <v>11513</v>
      </c>
      <c r="C10002">
        <f>0</f>
        <v>0</v>
      </c>
      <c r="D10002" t="s">
        <v>106</v>
      </c>
      <c r="E10002">
        <v>24</v>
      </c>
    </row>
    <row r="10003" spans="1:5">
      <c r="A10003" t="s">
        <v>40333</v>
      </c>
      <c r="B10003" t="s">
        <v>40334</v>
      </c>
      <c r="C10003">
        <f>0</f>
        <v>0</v>
      </c>
      <c r="D10003" t="s">
        <v>106</v>
      </c>
      <c r="E10003">
        <v>24</v>
      </c>
    </row>
    <row r="10004" spans="1:5">
      <c r="A10004" t="s">
        <v>40333</v>
      </c>
      <c r="B10004" t="s">
        <v>40335</v>
      </c>
      <c r="C10004">
        <f>0</f>
        <v>0</v>
      </c>
      <c r="D10004" t="s">
        <v>106</v>
      </c>
      <c r="E10004">
        <v>24</v>
      </c>
    </row>
    <row r="10005" spans="1:5">
      <c r="A10005" t="s">
        <v>40333</v>
      </c>
      <c r="B10005" t="s">
        <v>40336</v>
      </c>
      <c r="C10005">
        <v>0</v>
      </c>
      <c r="D10005" t="s">
        <v>106</v>
      </c>
      <c r="E10005">
        <v>24</v>
      </c>
    </row>
    <row r="10006" spans="1:5">
      <c r="A10006" t="s">
        <v>40333</v>
      </c>
      <c r="B10006" t="s">
        <v>40337</v>
      </c>
      <c r="C10006">
        <f>0</f>
        <v>0</v>
      </c>
      <c r="D10006" t="s">
        <v>106</v>
      </c>
      <c r="E10006">
        <v>24</v>
      </c>
    </row>
    <row r="10007" spans="1:5">
      <c r="A10007" t="s">
        <v>40333</v>
      </c>
      <c r="B10007" t="s">
        <v>40338</v>
      </c>
      <c r="C10007">
        <f>0</f>
        <v>0</v>
      </c>
      <c r="D10007" t="s">
        <v>106</v>
      </c>
      <c r="E10007">
        <v>24</v>
      </c>
    </row>
    <row r="10008" spans="1:5">
      <c r="A10008" t="s">
        <v>40333</v>
      </c>
      <c r="B10008" t="s">
        <v>40339</v>
      </c>
      <c r="C10008">
        <v>0</v>
      </c>
      <c r="D10008" t="s">
        <v>106</v>
      </c>
      <c r="E10008">
        <v>24</v>
      </c>
    </row>
    <row r="10009" spans="1:5">
      <c r="A10009" t="s">
        <v>40333</v>
      </c>
      <c r="B10009" t="s">
        <v>40340</v>
      </c>
      <c r="C10009">
        <f>0</f>
        <v>0</v>
      </c>
      <c r="D10009" t="s">
        <v>106</v>
      </c>
      <c r="E10009">
        <v>24</v>
      </c>
    </row>
    <row r="10010" spans="1:5">
      <c r="A10010" t="s">
        <v>40333</v>
      </c>
      <c r="B10010" t="s">
        <v>40341</v>
      </c>
      <c r="C10010">
        <v>0</v>
      </c>
      <c r="D10010" t="s">
        <v>106</v>
      </c>
      <c r="E10010">
        <v>24</v>
      </c>
    </row>
    <row r="10011" spans="1:5">
      <c r="A10011" t="s">
        <v>40333</v>
      </c>
      <c r="B10011" t="s">
        <v>40342</v>
      </c>
      <c r="C10011">
        <f>0</f>
        <v>0</v>
      </c>
      <c r="D10011" t="s">
        <v>106</v>
      </c>
      <c r="E10011">
        <v>24</v>
      </c>
    </row>
    <row r="10012" spans="1:5">
      <c r="A10012" t="s">
        <v>40333</v>
      </c>
      <c r="B10012" t="s">
        <v>40343</v>
      </c>
      <c r="C10012">
        <f>0</f>
        <v>0</v>
      </c>
      <c r="D10012" t="s">
        <v>106</v>
      </c>
      <c r="E10012">
        <v>24</v>
      </c>
    </row>
    <row r="10013" spans="1:5">
      <c r="A10013" t="s">
        <v>40333</v>
      </c>
      <c r="B10013" t="s">
        <v>40344</v>
      </c>
      <c r="C10013">
        <f>0</f>
        <v>0</v>
      </c>
      <c r="D10013" t="s">
        <v>106</v>
      </c>
      <c r="E10013">
        <v>24</v>
      </c>
    </row>
    <row r="10014" spans="1:5">
      <c r="A10014" t="s">
        <v>40333</v>
      </c>
      <c r="B10014" t="s">
        <v>40345</v>
      </c>
      <c r="C10014">
        <f>0</f>
        <v>0</v>
      </c>
      <c r="D10014" t="s">
        <v>106</v>
      </c>
      <c r="E10014">
        <v>24</v>
      </c>
    </row>
    <row r="10015" spans="1:5">
      <c r="A10015" t="s">
        <v>40333</v>
      </c>
      <c r="B10015" t="s">
        <v>40346</v>
      </c>
      <c r="C10015">
        <f>0</f>
        <v>0</v>
      </c>
      <c r="D10015" t="s">
        <v>106</v>
      </c>
      <c r="E10015">
        <v>24</v>
      </c>
    </row>
    <row r="10016" spans="1:5">
      <c r="A10016" t="s">
        <v>40347</v>
      </c>
      <c r="B10016" t="s">
        <v>20209</v>
      </c>
      <c r="C10016">
        <v>0</v>
      </c>
      <c r="D10016" t="s">
        <v>106</v>
      </c>
      <c r="E10016">
        <v>24</v>
      </c>
    </row>
    <row r="10017" spans="1:5">
      <c r="A10017" t="s">
        <v>40347</v>
      </c>
      <c r="B10017" t="s">
        <v>20214</v>
      </c>
      <c r="C10017">
        <f>0</f>
        <v>0</v>
      </c>
      <c r="D10017" t="s">
        <v>106</v>
      </c>
      <c r="E10017">
        <v>24</v>
      </c>
    </row>
    <row r="10018" spans="1:5">
      <c r="A10018" t="s">
        <v>40348</v>
      </c>
      <c r="B10018" t="s">
        <v>40349</v>
      </c>
      <c r="C10018">
        <f>0.231423510451</f>
        <v>0.23142351045099999</v>
      </c>
      <c r="D10018">
        <v>0.99394576657400002</v>
      </c>
      <c r="E10018">
        <v>24</v>
      </c>
    </row>
    <row r="10019" spans="1:5">
      <c r="A10019" t="s">
        <v>40348</v>
      </c>
      <c r="B10019" t="s">
        <v>40350</v>
      </c>
      <c r="C10019">
        <f>-1.56306259186</f>
        <v>-1.5630625918600001</v>
      </c>
      <c r="D10019">
        <v>0.99394576657400002</v>
      </c>
      <c r="E10019">
        <v>24</v>
      </c>
    </row>
    <row r="10020" spans="1:5">
      <c r="A10020" t="s">
        <v>40348</v>
      </c>
      <c r="B10020" t="s">
        <v>40351</v>
      </c>
      <c r="C10020">
        <v>1.9241477070499999</v>
      </c>
      <c r="D10020">
        <v>0.99394576657400002</v>
      </c>
      <c r="E10020">
        <v>24</v>
      </c>
    </row>
    <row r="10021" spans="1:5">
      <c r="A10021" t="s">
        <v>40348</v>
      </c>
      <c r="B10021" t="s">
        <v>40352</v>
      </c>
      <c r="C10021">
        <f>0.0559773963592</f>
        <v>5.5977396359200002E-2</v>
      </c>
      <c r="D10021">
        <v>0.99394576657400002</v>
      </c>
      <c r="E10021">
        <v>24</v>
      </c>
    </row>
    <row r="10022" spans="1:5">
      <c r="A10022" t="s">
        <v>40353</v>
      </c>
      <c r="B10022" t="s">
        <v>15183</v>
      </c>
      <c r="C10022">
        <f>0.342555451501</f>
        <v>0.34255545150099997</v>
      </c>
      <c r="D10022">
        <v>0.99944054923100001</v>
      </c>
      <c r="E10022">
        <v>10.554</v>
      </c>
    </row>
    <row r="10023" spans="1:5">
      <c r="A10023" t="s">
        <v>40353</v>
      </c>
      <c r="B10023" t="s">
        <v>15186</v>
      </c>
      <c r="C10023">
        <v>0.95249244348100004</v>
      </c>
      <c r="D10023">
        <v>0.99944054923100001</v>
      </c>
      <c r="E10023">
        <v>10.554</v>
      </c>
    </row>
    <row r="10024" spans="1:5">
      <c r="A10024" t="s">
        <v>40353</v>
      </c>
      <c r="B10024" t="s">
        <v>15189</v>
      </c>
      <c r="C10024">
        <f>0.640450061976</f>
        <v>0.64045006197599996</v>
      </c>
      <c r="D10024">
        <v>0.99944054923100001</v>
      </c>
      <c r="E10024">
        <v>10.554</v>
      </c>
    </row>
    <row r="10025" spans="1:5">
      <c r="A10025" t="s">
        <v>40353</v>
      </c>
      <c r="B10025" t="s">
        <v>15184</v>
      </c>
      <c r="C10025">
        <v>0.34123609430099999</v>
      </c>
      <c r="D10025">
        <v>0.99944054923100001</v>
      </c>
      <c r="E10025">
        <v>10.554</v>
      </c>
    </row>
    <row r="10026" spans="1:5">
      <c r="A10026" t="s">
        <v>40353</v>
      </c>
      <c r="B10026" t="s">
        <v>40354</v>
      </c>
      <c r="C10026">
        <f>0.561637463046</f>
        <v>0.56163746304600004</v>
      </c>
      <c r="D10026">
        <v>0.99944054923100001</v>
      </c>
      <c r="E10026">
        <v>10.554</v>
      </c>
    </row>
    <row r="10027" spans="1:5">
      <c r="A10027" t="s">
        <v>40353</v>
      </c>
      <c r="B10027" t="s">
        <v>15188</v>
      </c>
      <c r="C10027">
        <v>1.29677408502</v>
      </c>
      <c r="D10027">
        <v>0.99944054923100001</v>
      </c>
      <c r="E10027">
        <v>10.554</v>
      </c>
    </row>
    <row r="10028" spans="1:5">
      <c r="A10028" t="s">
        <v>40353</v>
      </c>
      <c r="B10028" t="s">
        <v>15187</v>
      </c>
      <c r="C10028">
        <f>0.936553200852</f>
        <v>0.936553200852</v>
      </c>
      <c r="D10028">
        <v>0.99944054923100001</v>
      </c>
      <c r="E10028">
        <v>10.554</v>
      </c>
    </row>
    <row r="10029" spans="1:5">
      <c r="A10029" t="s">
        <v>40355</v>
      </c>
      <c r="B10029" t="s">
        <v>21276</v>
      </c>
      <c r="C10029">
        <f>0.839849188263</f>
        <v>0.83984918826300003</v>
      </c>
      <c r="D10029">
        <v>0.82554332986000001</v>
      </c>
      <c r="E10029">
        <v>0.318</v>
      </c>
    </row>
    <row r="10030" spans="1:5">
      <c r="A10030" t="s">
        <v>40355</v>
      </c>
      <c r="B10030" t="s">
        <v>21277</v>
      </c>
      <c r="C10030">
        <v>1.0339284401</v>
      </c>
      <c r="D10030">
        <v>0.82554332986000001</v>
      </c>
      <c r="E10030">
        <v>0.318</v>
      </c>
    </row>
    <row r="10031" spans="1:5">
      <c r="A10031" t="s">
        <v>40356</v>
      </c>
      <c r="B10031" t="s">
        <v>40357</v>
      </c>
      <c r="C10031">
        <v>0.430732933067</v>
      </c>
      <c r="D10031">
        <v>0.95168006595599997</v>
      </c>
      <c r="E10031">
        <v>24</v>
      </c>
    </row>
    <row r="10032" spans="1:5">
      <c r="A10032" t="s">
        <v>40356</v>
      </c>
      <c r="B10032" t="s">
        <v>40358</v>
      </c>
      <c r="C10032">
        <v>0.37734815128900001</v>
      </c>
      <c r="D10032">
        <v>0.95168006595599997</v>
      </c>
      <c r="E10032">
        <v>24</v>
      </c>
    </row>
    <row r="10033" spans="1:5">
      <c r="A10033" t="s">
        <v>40356</v>
      </c>
      <c r="B10033" t="s">
        <v>40359</v>
      </c>
      <c r="C10033">
        <f>0.251576654822</f>
        <v>0.25157665482199998</v>
      </c>
      <c r="D10033">
        <v>0.95168006595599997</v>
      </c>
      <c r="E10033">
        <v>24</v>
      </c>
    </row>
    <row r="10034" spans="1:5">
      <c r="A10034" t="s">
        <v>40356</v>
      </c>
      <c r="B10034" t="s">
        <v>40360</v>
      </c>
      <c r="C10034">
        <v>0.38408116201300002</v>
      </c>
      <c r="D10034">
        <v>0.95168006595599997</v>
      </c>
      <c r="E10034">
        <v>24</v>
      </c>
    </row>
    <row r="10035" spans="1:5">
      <c r="A10035" t="s">
        <v>40361</v>
      </c>
      <c r="B10035" t="s">
        <v>13841</v>
      </c>
      <c r="C10035">
        <v>0</v>
      </c>
      <c r="D10035">
        <v>0.39284204418399998</v>
      </c>
      <c r="E10035">
        <v>23.754000000000001</v>
      </c>
    </row>
    <row r="10036" spans="1:5">
      <c r="A10036" t="s">
        <v>40361</v>
      </c>
      <c r="B10036" t="s">
        <v>13842</v>
      </c>
      <c r="C10036">
        <v>0</v>
      </c>
      <c r="D10036">
        <v>0.39284204418399998</v>
      </c>
      <c r="E10036">
        <v>23.754000000000001</v>
      </c>
    </row>
    <row r="10037" spans="1:5">
      <c r="A10037" t="s">
        <v>40361</v>
      </c>
      <c r="B10037" t="s">
        <v>13844</v>
      </c>
      <c r="C10037">
        <v>0</v>
      </c>
      <c r="D10037">
        <v>0.39284204418399998</v>
      </c>
      <c r="E10037">
        <v>23.754000000000001</v>
      </c>
    </row>
    <row r="10038" spans="1:5">
      <c r="A10038" t="s">
        <v>40361</v>
      </c>
      <c r="B10038" t="s">
        <v>13845</v>
      </c>
      <c r="C10038">
        <v>0</v>
      </c>
      <c r="D10038">
        <v>0.39284204418399998</v>
      </c>
      <c r="E10038">
        <v>23.754000000000001</v>
      </c>
    </row>
    <row r="10039" spans="1:5">
      <c r="A10039" t="s">
        <v>40361</v>
      </c>
      <c r="B10039" t="s">
        <v>13843</v>
      </c>
      <c r="C10039">
        <v>7.9232044183899994E-2</v>
      </c>
      <c r="D10039">
        <v>0.39284204418399998</v>
      </c>
      <c r="E10039">
        <v>23.754000000000001</v>
      </c>
    </row>
    <row r="10040" spans="1:5">
      <c r="A10040" t="s">
        <v>40361</v>
      </c>
      <c r="B10040" t="s">
        <v>13847</v>
      </c>
      <c r="C10040">
        <f>0</f>
        <v>0</v>
      </c>
      <c r="D10040">
        <v>0.39284204418399998</v>
      </c>
      <c r="E10040">
        <v>23.754000000000001</v>
      </c>
    </row>
    <row r="10041" spans="1:5">
      <c r="A10041" t="s">
        <v>40361</v>
      </c>
      <c r="B10041" t="s">
        <v>13846</v>
      </c>
      <c r="C10041">
        <v>0</v>
      </c>
      <c r="D10041">
        <v>0.39284204418399998</v>
      </c>
      <c r="E10041">
        <v>23.754000000000001</v>
      </c>
    </row>
    <row r="10042" spans="1:5">
      <c r="A10042" t="s">
        <v>40362</v>
      </c>
      <c r="B10042" t="s">
        <v>6307</v>
      </c>
      <c r="C10042">
        <v>0.173151050064</v>
      </c>
      <c r="D10042">
        <v>0.99943577797700001</v>
      </c>
      <c r="E10042">
        <v>2.25</v>
      </c>
    </row>
    <row r="10043" spans="1:5">
      <c r="A10043" t="s">
        <v>40362</v>
      </c>
      <c r="B10043" t="s">
        <v>6308</v>
      </c>
      <c r="C10043">
        <f>0.745883733647</f>
        <v>0.745883733647</v>
      </c>
      <c r="D10043">
        <v>0.99943577797700001</v>
      </c>
      <c r="E10043">
        <v>2.25</v>
      </c>
    </row>
    <row r="10044" spans="1:5">
      <c r="A10044" t="s">
        <v>40362</v>
      </c>
      <c r="B10044" t="s">
        <v>6301</v>
      </c>
      <c r="C10044">
        <f>0.0365988013372</f>
        <v>3.6598801337199997E-2</v>
      </c>
      <c r="D10044">
        <v>0.99943577797700001</v>
      </c>
      <c r="E10044">
        <v>2.25</v>
      </c>
    </row>
    <row r="10045" spans="1:5">
      <c r="A10045" t="s">
        <v>40362</v>
      </c>
      <c r="B10045" t="s">
        <v>6306</v>
      </c>
      <c r="C10045">
        <v>1.40178631374</v>
      </c>
      <c r="D10045">
        <v>0.99943577797700001</v>
      </c>
      <c r="E10045">
        <v>2.25</v>
      </c>
    </row>
    <row r="10046" spans="1:5">
      <c r="A10046" t="s">
        <v>40362</v>
      </c>
      <c r="B10046" t="s">
        <v>6313</v>
      </c>
      <c r="C10046">
        <v>0.66816580877300003</v>
      </c>
      <c r="D10046">
        <v>0.99943577797700001</v>
      </c>
      <c r="E10046">
        <v>2.25</v>
      </c>
    </row>
    <row r="10047" spans="1:5">
      <c r="A10047" t="s">
        <v>40362</v>
      </c>
      <c r="B10047" t="s">
        <v>6310</v>
      </c>
      <c r="C10047">
        <f>-1.59373120175</f>
        <v>-1.59373120175</v>
      </c>
      <c r="D10047">
        <v>0.99943577797700001</v>
      </c>
      <c r="E10047">
        <v>2.25</v>
      </c>
    </row>
    <row r="10048" spans="1:5">
      <c r="A10048" t="s">
        <v>40362</v>
      </c>
      <c r="B10048" t="s">
        <v>6312</v>
      </c>
      <c r="C10048">
        <v>0.124037141665</v>
      </c>
      <c r="D10048">
        <v>0.99943577797700001</v>
      </c>
      <c r="E10048">
        <v>2.25</v>
      </c>
    </row>
    <row r="10049" spans="1:5">
      <c r="A10049" t="s">
        <v>40362</v>
      </c>
      <c r="B10049" t="s">
        <v>6311</v>
      </c>
      <c r="C10049">
        <v>0.56700993578900005</v>
      </c>
      <c r="D10049">
        <v>0.99943577797700001</v>
      </c>
      <c r="E10049">
        <v>2.25</v>
      </c>
    </row>
    <row r="10050" spans="1:5">
      <c r="A10050" t="s">
        <v>40363</v>
      </c>
      <c r="B10050" t="s">
        <v>40364</v>
      </c>
      <c r="C10050">
        <v>0</v>
      </c>
      <c r="D10050">
        <v>0.77673143006199996</v>
      </c>
      <c r="E10050">
        <v>10.554</v>
      </c>
    </row>
    <row r="10051" spans="1:5">
      <c r="A10051" t="s">
        <v>40363</v>
      </c>
      <c r="B10051" t="s">
        <v>40365</v>
      </c>
      <c r="C10051">
        <v>0</v>
      </c>
      <c r="D10051">
        <v>0.77673143006199996</v>
      </c>
      <c r="E10051">
        <v>10.554</v>
      </c>
    </row>
    <row r="10052" spans="1:5">
      <c r="A10052" t="s">
        <v>40363</v>
      </c>
      <c r="B10052" t="s">
        <v>40366</v>
      </c>
      <c r="C10052">
        <v>0</v>
      </c>
      <c r="D10052">
        <v>0.77673143006199996</v>
      </c>
      <c r="E10052">
        <v>10.554</v>
      </c>
    </row>
    <row r="10053" spans="1:5">
      <c r="A10053" t="s">
        <v>40363</v>
      </c>
      <c r="B10053" t="s">
        <v>40367</v>
      </c>
      <c r="C10053">
        <f>0.653078085833</f>
        <v>0.65307808583299998</v>
      </c>
      <c r="D10053">
        <v>0.77673143006199996</v>
      </c>
      <c r="E10053">
        <v>10.554</v>
      </c>
    </row>
    <row r="10054" spans="1:5">
      <c r="A10054" t="s">
        <v>40363</v>
      </c>
      <c r="B10054" t="s">
        <v>40368</v>
      </c>
      <c r="C10054">
        <f>0.128887680403</f>
        <v>0.128887680403</v>
      </c>
      <c r="D10054">
        <v>0.77673143006199996</v>
      </c>
      <c r="E10054">
        <v>10.554</v>
      </c>
    </row>
    <row r="10055" spans="1:5">
      <c r="A10055" t="s">
        <v>40363</v>
      </c>
      <c r="B10055" t="s">
        <v>40369</v>
      </c>
      <c r="C10055">
        <v>0</v>
      </c>
      <c r="D10055">
        <v>0.77673143006199996</v>
      </c>
      <c r="E10055">
        <v>10.554</v>
      </c>
    </row>
    <row r="10056" spans="1:5">
      <c r="A10056" t="s">
        <v>40370</v>
      </c>
      <c r="B10056" t="s">
        <v>40371</v>
      </c>
      <c r="C10056">
        <f>0</f>
        <v>0</v>
      </c>
      <c r="D10056" t="s">
        <v>106</v>
      </c>
      <c r="E10056">
        <v>18.768000000000001</v>
      </c>
    </row>
    <row r="10057" spans="1:5">
      <c r="A10057" t="s">
        <v>40370</v>
      </c>
      <c r="B10057" t="s">
        <v>40372</v>
      </c>
      <c r="C10057">
        <v>0</v>
      </c>
      <c r="D10057" t="s">
        <v>106</v>
      </c>
      <c r="E10057">
        <v>18.768000000000001</v>
      </c>
    </row>
    <row r="10058" spans="1:5">
      <c r="A10058" t="s">
        <v>40370</v>
      </c>
      <c r="B10058" t="s">
        <v>40373</v>
      </c>
      <c r="C10058">
        <v>0</v>
      </c>
      <c r="D10058" t="s">
        <v>106</v>
      </c>
      <c r="E10058">
        <v>18.768000000000001</v>
      </c>
    </row>
    <row r="10059" spans="1:5">
      <c r="A10059" t="s">
        <v>40374</v>
      </c>
      <c r="B10059" t="s">
        <v>40375</v>
      </c>
      <c r="C10059">
        <v>0.27988994167499998</v>
      </c>
      <c r="D10059">
        <v>0.79479908338500005</v>
      </c>
      <c r="E10059">
        <v>10.878</v>
      </c>
    </row>
    <row r="10060" spans="1:5">
      <c r="A10060" t="s">
        <v>40374</v>
      </c>
      <c r="B10060" t="s">
        <v>40376</v>
      </c>
      <c r="C10060">
        <v>0.60030750915800002</v>
      </c>
      <c r="D10060">
        <v>0.79479908338500005</v>
      </c>
      <c r="E10060">
        <v>10.878</v>
      </c>
    </row>
    <row r="10061" spans="1:5">
      <c r="A10061" t="s">
        <v>40377</v>
      </c>
      <c r="B10061" t="s">
        <v>7051</v>
      </c>
      <c r="C10061">
        <f>0</f>
        <v>0</v>
      </c>
      <c r="D10061" t="s">
        <v>106</v>
      </c>
      <c r="E10061">
        <v>23.52</v>
      </c>
    </row>
    <row r="10062" spans="1:5">
      <c r="A10062" t="s">
        <v>40377</v>
      </c>
      <c r="B10062" t="s">
        <v>7053</v>
      </c>
      <c r="C10062">
        <v>0</v>
      </c>
      <c r="D10062" t="s">
        <v>106</v>
      </c>
      <c r="E10062">
        <v>23.52</v>
      </c>
    </row>
    <row r="10063" spans="1:5">
      <c r="A10063" t="s">
        <v>40377</v>
      </c>
      <c r="B10063" t="s">
        <v>7054</v>
      </c>
      <c r="C10063">
        <v>0</v>
      </c>
      <c r="D10063" t="s">
        <v>106</v>
      </c>
      <c r="E10063">
        <v>23.52</v>
      </c>
    </row>
    <row r="10064" spans="1:5">
      <c r="A10064" t="s">
        <v>40377</v>
      </c>
      <c r="B10064" t="s">
        <v>7052</v>
      </c>
      <c r="C10064">
        <v>0</v>
      </c>
      <c r="D10064" t="s">
        <v>106</v>
      </c>
      <c r="E10064">
        <v>23.52</v>
      </c>
    </row>
    <row r="10065" spans="1:5">
      <c r="A10065" t="s">
        <v>40378</v>
      </c>
      <c r="B10065" t="s">
        <v>13866</v>
      </c>
      <c r="C10065">
        <f>0.181509844819</f>
        <v>0.18150984481900001</v>
      </c>
      <c r="D10065">
        <v>0.74725278534999995</v>
      </c>
      <c r="E10065">
        <v>0</v>
      </c>
    </row>
    <row r="10066" spans="1:5">
      <c r="A10066" t="s">
        <v>40378</v>
      </c>
      <c r="B10066" t="s">
        <v>13867</v>
      </c>
      <c r="C10066">
        <v>0.70384974641700004</v>
      </c>
      <c r="D10066">
        <v>0.74725278534999995</v>
      </c>
      <c r="E10066">
        <v>0</v>
      </c>
    </row>
    <row r="10067" spans="1:5">
      <c r="A10067" t="s">
        <v>40379</v>
      </c>
      <c r="B10067" t="s">
        <v>40380</v>
      </c>
      <c r="C10067">
        <v>0</v>
      </c>
      <c r="D10067">
        <v>0.59966092796799997</v>
      </c>
      <c r="E10067">
        <v>7.0679999999999996</v>
      </c>
    </row>
    <row r="10068" spans="1:5">
      <c r="A10068" t="s">
        <v>40379</v>
      </c>
      <c r="B10068" t="s">
        <v>40381</v>
      </c>
      <c r="C10068">
        <f>0.470050927968</f>
        <v>0.47005092796800002</v>
      </c>
      <c r="D10068">
        <v>0.59966092796799997</v>
      </c>
      <c r="E10068">
        <v>7.0679999999999996</v>
      </c>
    </row>
    <row r="10069" spans="1:5">
      <c r="A10069" t="s">
        <v>40382</v>
      </c>
      <c r="B10069" t="s">
        <v>40383</v>
      </c>
      <c r="C10069">
        <v>0.16096433285299999</v>
      </c>
      <c r="D10069">
        <v>0.91079406677899999</v>
      </c>
      <c r="E10069">
        <v>9.9239999999999995</v>
      </c>
    </row>
    <row r="10070" spans="1:5">
      <c r="A10070" t="s">
        <v>40382</v>
      </c>
      <c r="B10070" t="s">
        <v>40384</v>
      </c>
      <c r="C10070">
        <v>0.62103152456699995</v>
      </c>
      <c r="D10070">
        <v>0.91079406677899999</v>
      </c>
      <c r="E10070">
        <v>9.9239999999999995</v>
      </c>
    </row>
    <row r="10071" spans="1:5">
      <c r="A10071" t="s">
        <v>40382</v>
      </c>
      <c r="B10071" t="s">
        <v>40385</v>
      </c>
      <c r="C10071">
        <f>0</f>
        <v>0</v>
      </c>
      <c r="D10071">
        <v>0.91079406677899999</v>
      </c>
      <c r="E10071">
        <v>9.9239999999999995</v>
      </c>
    </row>
    <row r="10072" spans="1:5">
      <c r="A10072" t="s">
        <v>40382</v>
      </c>
      <c r="B10072" t="s">
        <v>40386</v>
      </c>
      <c r="C10072">
        <f>0</f>
        <v>0</v>
      </c>
      <c r="D10072">
        <v>0.91079406677899999</v>
      </c>
      <c r="E10072">
        <v>9.9239999999999995</v>
      </c>
    </row>
    <row r="10073" spans="1:5">
      <c r="A10073" t="s">
        <v>40382</v>
      </c>
      <c r="B10073" t="s">
        <v>40387</v>
      </c>
      <c r="C10073">
        <v>0</v>
      </c>
      <c r="D10073">
        <v>0.91079406677899999</v>
      </c>
      <c r="E10073">
        <v>9.9239999999999995</v>
      </c>
    </row>
    <row r="10074" spans="1:5">
      <c r="A10074" t="s">
        <v>40382</v>
      </c>
      <c r="B10074" t="s">
        <v>40388</v>
      </c>
      <c r="C10074">
        <f>0</f>
        <v>0</v>
      </c>
      <c r="D10074">
        <v>0.91079406677899999</v>
      </c>
      <c r="E10074">
        <v>9.9239999999999995</v>
      </c>
    </row>
    <row r="10075" spans="1:5">
      <c r="A10075" t="s">
        <v>40389</v>
      </c>
      <c r="B10075" t="s">
        <v>29507</v>
      </c>
      <c r="C10075">
        <v>0</v>
      </c>
      <c r="D10075" t="s">
        <v>106</v>
      </c>
      <c r="E10075">
        <v>6.8040000000000003</v>
      </c>
    </row>
    <row r="10076" spans="1:5">
      <c r="A10076" t="s">
        <v>40389</v>
      </c>
      <c r="B10076" t="s">
        <v>29508</v>
      </c>
      <c r="C10076">
        <v>0</v>
      </c>
      <c r="D10076" t="s">
        <v>106</v>
      </c>
      <c r="E10076">
        <v>6.8040000000000003</v>
      </c>
    </row>
    <row r="10077" spans="1:5">
      <c r="A10077" t="s">
        <v>40390</v>
      </c>
      <c r="B10077" t="s">
        <v>40391</v>
      </c>
      <c r="C10077">
        <v>0</v>
      </c>
      <c r="D10077">
        <v>0.51275049741400003</v>
      </c>
      <c r="E10077">
        <v>3.972</v>
      </c>
    </row>
    <row r="10078" spans="1:5">
      <c r="A10078" t="s">
        <v>40390</v>
      </c>
      <c r="B10078" t="s">
        <v>40392</v>
      </c>
      <c r="C10078">
        <v>0</v>
      </c>
      <c r="D10078">
        <v>0.51275049741400003</v>
      </c>
      <c r="E10078">
        <v>3.972</v>
      </c>
    </row>
    <row r="10079" spans="1:5">
      <c r="A10079" t="s">
        <v>40390</v>
      </c>
      <c r="B10079" t="s">
        <v>40393</v>
      </c>
      <c r="C10079">
        <f>0</f>
        <v>0</v>
      </c>
      <c r="D10079">
        <v>0.51275049741400003</v>
      </c>
      <c r="E10079">
        <v>3.972</v>
      </c>
    </row>
    <row r="10080" spans="1:5">
      <c r="A10080" t="s">
        <v>40390</v>
      </c>
      <c r="B10080" t="s">
        <v>40394</v>
      </c>
      <c r="C10080">
        <f>0</f>
        <v>0</v>
      </c>
      <c r="D10080">
        <v>0.51275049741400003</v>
      </c>
      <c r="E10080">
        <v>3.972</v>
      </c>
    </row>
    <row r="10081" spans="1:5">
      <c r="A10081" t="s">
        <v>40390</v>
      </c>
      <c r="B10081" t="s">
        <v>40395</v>
      </c>
      <c r="C10081">
        <v>0</v>
      </c>
      <c r="D10081">
        <v>0.51275049741400003</v>
      </c>
      <c r="E10081">
        <v>3.972</v>
      </c>
    </row>
    <row r="10082" spans="1:5">
      <c r="A10082" t="s">
        <v>40390</v>
      </c>
      <c r="B10082" t="s">
        <v>40396</v>
      </c>
      <c r="C10082">
        <v>0</v>
      </c>
      <c r="D10082">
        <v>0.51275049741400003</v>
      </c>
      <c r="E10082">
        <v>3.972</v>
      </c>
    </row>
    <row r="10083" spans="1:5">
      <c r="A10083" t="s">
        <v>40390</v>
      </c>
      <c r="B10083" t="s">
        <v>40397</v>
      </c>
      <c r="C10083">
        <v>0.28234049741400002</v>
      </c>
      <c r="D10083">
        <v>0.51275049741400003</v>
      </c>
      <c r="E10083">
        <v>3.972</v>
      </c>
    </row>
    <row r="10084" spans="1:5">
      <c r="A10084" t="s">
        <v>40390</v>
      </c>
      <c r="B10084" t="s">
        <v>40398</v>
      </c>
      <c r="C10084">
        <v>0</v>
      </c>
      <c r="D10084">
        <v>0.51275049741400003</v>
      </c>
      <c r="E10084">
        <v>3.972</v>
      </c>
    </row>
    <row r="10085" spans="1:5">
      <c r="A10085" t="s">
        <v>40390</v>
      </c>
      <c r="B10085" t="s">
        <v>40399</v>
      </c>
      <c r="C10085">
        <v>0</v>
      </c>
      <c r="D10085">
        <v>0.51275049741400003</v>
      </c>
      <c r="E10085">
        <v>3.972</v>
      </c>
    </row>
    <row r="10086" spans="1:5">
      <c r="A10086" t="s">
        <v>40400</v>
      </c>
      <c r="B10086" t="s">
        <v>40401</v>
      </c>
      <c r="C10086">
        <f>0</f>
        <v>0</v>
      </c>
      <c r="D10086" t="s">
        <v>106</v>
      </c>
      <c r="E10086">
        <v>5.4660000000000002</v>
      </c>
    </row>
    <row r="10087" spans="1:5">
      <c r="A10087" t="s">
        <v>40400</v>
      </c>
      <c r="B10087" t="s">
        <v>40402</v>
      </c>
      <c r="C10087">
        <f>0</f>
        <v>0</v>
      </c>
      <c r="D10087" t="s">
        <v>106</v>
      </c>
      <c r="E10087">
        <v>5.4660000000000002</v>
      </c>
    </row>
    <row r="10088" spans="1:5">
      <c r="A10088" t="s">
        <v>40403</v>
      </c>
      <c r="B10088" t="s">
        <v>6118</v>
      </c>
      <c r="C10088">
        <f>0</f>
        <v>0</v>
      </c>
      <c r="D10088" t="s">
        <v>106</v>
      </c>
      <c r="E10088">
        <v>23.754000000000001</v>
      </c>
    </row>
    <row r="10089" spans="1:5">
      <c r="A10089" t="s">
        <v>40403</v>
      </c>
      <c r="B10089" t="s">
        <v>6121</v>
      </c>
      <c r="C10089">
        <v>0</v>
      </c>
      <c r="D10089" t="s">
        <v>106</v>
      </c>
      <c r="E10089">
        <v>23.754000000000001</v>
      </c>
    </row>
    <row r="10090" spans="1:5">
      <c r="A10090" t="s">
        <v>40403</v>
      </c>
      <c r="B10090" t="s">
        <v>6124</v>
      </c>
      <c r="C10090">
        <v>0</v>
      </c>
      <c r="D10090" t="s">
        <v>106</v>
      </c>
      <c r="E10090">
        <v>23.754000000000001</v>
      </c>
    </row>
    <row r="10091" spans="1:5">
      <c r="A10091" t="s">
        <v>40403</v>
      </c>
      <c r="B10091" t="s">
        <v>6120</v>
      </c>
      <c r="C10091">
        <v>0</v>
      </c>
      <c r="D10091" t="s">
        <v>106</v>
      </c>
      <c r="E10091">
        <v>23.754000000000001</v>
      </c>
    </row>
    <row r="10092" spans="1:5">
      <c r="A10092" t="s">
        <v>40403</v>
      </c>
      <c r="B10092" t="s">
        <v>6123</v>
      </c>
      <c r="C10092">
        <f>0</f>
        <v>0</v>
      </c>
      <c r="D10092" t="s">
        <v>106</v>
      </c>
      <c r="E10092">
        <v>23.754000000000001</v>
      </c>
    </row>
    <row r="10093" spans="1:5">
      <c r="A10093" t="s">
        <v>40403</v>
      </c>
      <c r="B10093" t="s">
        <v>6119</v>
      </c>
      <c r="C10093">
        <f>0</f>
        <v>0</v>
      </c>
      <c r="D10093" t="s">
        <v>106</v>
      </c>
      <c r="E10093">
        <v>23.754000000000001</v>
      </c>
    </row>
    <row r="10094" spans="1:5">
      <c r="A10094" t="s">
        <v>40404</v>
      </c>
      <c r="B10094" t="s">
        <v>40405</v>
      </c>
      <c r="C10094">
        <v>0</v>
      </c>
      <c r="D10094" t="s">
        <v>106</v>
      </c>
      <c r="E10094">
        <v>2.6339999999999999</v>
      </c>
    </row>
    <row r="10095" spans="1:5">
      <c r="A10095" t="s">
        <v>40404</v>
      </c>
      <c r="B10095" t="s">
        <v>40406</v>
      </c>
      <c r="C10095">
        <f>0</f>
        <v>0</v>
      </c>
      <c r="D10095" t="s">
        <v>106</v>
      </c>
      <c r="E10095">
        <v>2.6339999999999999</v>
      </c>
    </row>
    <row r="10096" spans="1:5">
      <c r="A10096" t="s">
        <v>40407</v>
      </c>
      <c r="B10096" t="s">
        <v>40408</v>
      </c>
      <c r="C10096">
        <f>0</f>
        <v>0</v>
      </c>
      <c r="D10096" t="s">
        <v>106</v>
      </c>
      <c r="E10096">
        <v>1.512</v>
      </c>
    </row>
    <row r="10097" spans="1:5">
      <c r="A10097" t="s">
        <v>40407</v>
      </c>
      <c r="B10097" t="s">
        <v>40409</v>
      </c>
      <c r="C10097">
        <f>0</f>
        <v>0</v>
      </c>
      <c r="D10097" t="s">
        <v>106</v>
      </c>
      <c r="E10097">
        <v>1.512</v>
      </c>
    </row>
    <row r="10098" spans="1:5">
      <c r="A10098" t="s">
        <v>40407</v>
      </c>
      <c r="B10098" t="s">
        <v>40410</v>
      </c>
      <c r="C10098">
        <v>0</v>
      </c>
      <c r="D10098" t="s">
        <v>106</v>
      </c>
      <c r="E10098">
        <v>1.512</v>
      </c>
    </row>
    <row r="10099" spans="1:5">
      <c r="A10099" t="s">
        <v>40407</v>
      </c>
      <c r="B10099" t="s">
        <v>40411</v>
      </c>
      <c r="C10099">
        <f>0</f>
        <v>0</v>
      </c>
      <c r="D10099" t="s">
        <v>106</v>
      </c>
      <c r="E10099">
        <v>1.512</v>
      </c>
    </row>
    <row r="10100" spans="1:5">
      <c r="A10100" t="s">
        <v>40407</v>
      </c>
      <c r="B10100" t="s">
        <v>40412</v>
      </c>
      <c r="C10100">
        <f>0</f>
        <v>0</v>
      </c>
      <c r="D10100" t="s">
        <v>106</v>
      </c>
      <c r="E10100">
        <v>1.512</v>
      </c>
    </row>
    <row r="10101" spans="1:5">
      <c r="A10101" t="s">
        <v>40413</v>
      </c>
      <c r="B10101" t="s">
        <v>40414</v>
      </c>
      <c r="C10101">
        <f>0</f>
        <v>0</v>
      </c>
      <c r="D10101">
        <v>0.82598501905400001</v>
      </c>
      <c r="E10101">
        <v>23.754000000000001</v>
      </c>
    </row>
    <row r="10102" spans="1:5">
      <c r="A10102" t="s">
        <v>40413</v>
      </c>
      <c r="B10102" t="s">
        <v>40415</v>
      </c>
      <c r="C10102">
        <f>0.518724873502</f>
        <v>0.51872487350200003</v>
      </c>
      <c r="D10102">
        <v>0.82598501905400001</v>
      </c>
      <c r="E10102">
        <v>23.754000000000001</v>
      </c>
    </row>
    <row r="10103" spans="1:5">
      <c r="A10103" t="s">
        <v>40413</v>
      </c>
      <c r="B10103" t="s">
        <v>40416</v>
      </c>
      <c r="C10103">
        <v>0.14014611628900001</v>
      </c>
      <c r="D10103">
        <v>0.82598501905400001</v>
      </c>
      <c r="E10103">
        <v>23.754000000000001</v>
      </c>
    </row>
    <row r="10104" spans="1:5">
      <c r="A10104" t="s">
        <v>40413</v>
      </c>
      <c r="B10104" t="s">
        <v>40417</v>
      </c>
      <c r="C10104">
        <v>0</v>
      </c>
      <c r="D10104">
        <v>0.82598501905400001</v>
      </c>
      <c r="E10104">
        <v>23.754000000000001</v>
      </c>
    </row>
    <row r="10105" spans="1:5">
      <c r="A10105" t="s">
        <v>40413</v>
      </c>
      <c r="B10105" t="s">
        <v>40418</v>
      </c>
      <c r="C10105">
        <v>0</v>
      </c>
      <c r="D10105">
        <v>0.82598501905400001</v>
      </c>
      <c r="E10105">
        <v>23.754000000000001</v>
      </c>
    </row>
    <row r="10106" spans="1:5">
      <c r="A10106" t="s">
        <v>40413</v>
      </c>
      <c r="B10106" t="s">
        <v>40419</v>
      </c>
      <c r="C10106">
        <v>3.5862524201299997E-2</v>
      </c>
      <c r="D10106">
        <v>0.82598501905400001</v>
      </c>
      <c r="E10106">
        <v>23.754000000000001</v>
      </c>
    </row>
    <row r="10107" spans="1:5">
      <c r="A10107" t="s">
        <v>40413</v>
      </c>
      <c r="B10107" t="s">
        <v>40420</v>
      </c>
      <c r="C10107">
        <f>0</f>
        <v>0</v>
      </c>
      <c r="D10107">
        <v>0.82598501905400001</v>
      </c>
      <c r="E10107">
        <v>23.754000000000001</v>
      </c>
    </row>
    <row r="10108" spans="1:5">
      <c r="A10108" t="s">
        <v>40421</v>
      </c>
      <c r="B10108" t="s">
        <v>16922</v>
      </c>
      <c r="C10108">
        <f>0</f>
        <v>0</v>
      </c>
      <c r="D10108" t="s">
        <v>106</v>
      </c>
      <c r="E10108">
        <v>9.6180000000000003</v>
      </c>
    </row>
    <row r="10109" spans="1:5">
      <c r="A10109" t="s">
        <v>40421</v>
      </c>
      <c r="B10109" t="s">
        <v>16923</v>
      </c>
      <c r="C10109">
        <v>0</v>
      </c>
      <c r="D10109" t="s">
        <v>106</v>
      </c>
      <c r="E10109">
        <v>9.6180000000000003</v>
      </c>
    </row>
    <row r="10110" spans="1:5">
      <c r="A10110" t="s">
        <v>40422</v>
      </c>
      <c r="B10110" t="s">
        <v>3849</v>
      </c>
      <c r="C10110">
        <f>0.457267741101</f>
        <v>0.45726774110099999</v>
      </c>
      <c r="D10110">
        <v>0.86054538285399995</v>
      </c>
      <c r="E10110">
        <v>0</v>
      </c>
    </row>
    <row r="10111" spans="1:5">
      <c r="A10111" t="s">
        <v>40422</v>
      </c>
      <c r="B10111" t="s">
        <v>3852</v>
      </c>
      <c r="C10111">
        <v>0.115464317988</v>
      </c>
      <c r="D10111">
        <v>0.86054538285399995</v>
      </c>
      <c r="E10111">
        <v>0</v>
      </c>
    </row>
    <row r="10112" spans="1:5">
      <c r="A10112" t="s">
        <v>40422</v>
      </c>
      <c r="B10112" t="s">
        <v>3851</v>
      </c>
      <c r="C10112">
        <v>0.29847041135899999</v>
      </c>
      <c r="D10112">
        <v>0.86054538285399995</v>
      </c>
      <c r="E10112">
        <v>0</v>
      </c>
    </row>
    <row r="10113" spans="1:5">
      <c r="A10113" t="s">
        <v>40422</v>
      </c>
      <c r="B10113" t="s">
        <v>3850</v>
      </c>
      <c r="C10113">
        <v>0</v>
      </c>
      <c r="D10113">
        <v>0.86054538285399995</v>
      </c>
      <c r="E10113">
        <v>0</v>
      </c>
    </row>
    <row r="10114" spans="1:5">
      <c r="A10114" t="s">
        <v>40423</v>
      </c>
      <c r="B10114" t="s">
        <v>28943</v>
      </c>
      <c r="C10114">
        <f>0</f>
        <v>0</v>
      </c>
      <c r="D10114" t="s">
        <v>106</v>
      </c>
      <c r="E10114">
        <v>1.278</v>
      </c>
    </row>
    <row r="10115" spans="1:5">
      <c r="A10115" t="s">
        <v>40423</v>
      </c>
      <c r="B10115" t="s">
        <v>28944</v>
      </c>
      <c r="C10115">
        <v>0</v>
      </c>
      <c r="D10115" t="s">
        <v>106</v>
      </c>
      <c r="E10115">
        <v>1.278</v>
      </c>
    </row>
    <row r="10116" spans="1:5">
      <c r="A10116" t="s">
        <v>40423</v>
      </c>
      <c r="B10116" t="s">
        <v>28942</v>
      </c>
      <c r="C10116">
        <v>0</v>
      </c>
      <c r="D10116" t="s">
        <v>106</v>
      </c>
      <c r="E10116">
        <v>1.278</v>
      </c>
    </row>
    <row r="10117" spans="1:5">
      <c r="A10117" t="s">
        <v>40423</v>
      </c>
      <c r="B10117" t="s">
        <v>28937</v>
      </c>
      <c r="C10117">
        <v>0</v>
      </c>
      <c r="D10117" t="s">
        <v>106</v>
      </c>
      <c r="E10117">
        <v>1.278</v>
      </c>
    </row>
    <row r="10118" spans="1:5">
      <c r="A10118" t="s">
        <v>40423</v>
      </c>
      <c r="B10118" t="s">
        <v>28939</v>
      </c>
      <c r="C10118">
        <f>0</f>
        <v>0</v>
      </c>
      <c r="D10118" t="s">
        <v>106</v>
      </c>
      <c r="E10118">
        <v>1.278</v>
      </c>
    </row>
    <row r="10119" spans="1:5">
      <c r="A10119" t="s">
        <v>40424</v>
      </c>
      <c r="B10119" t="s">
        <v>32574</v>
      </c>
      <c r="C10119">
        <v>0.59253634405099997</v>
      </c>
      <c r="D10119">
        <v>0.72214634405099998</v>
      </c>
      <c r="E10119">
        <v>24</v>
      </c>
    </row>
    <row r="10120" spans="1:5">
      <c r="A10120" t="s">
        <v>40424</v>
      </c>
      <c r="B10120" t="s">
        <v>32577</v>
      </c>
      <c r="C10120">
        <f>0</f>
        <v>0</v>
      </c>
      <c r="D10120">
        <v>0.72214634405099998</v>
      </c>
      <c r="E10120">
        <v>24</v>
      </c>
    </row>
    <row r="10121" spans="1:5">
      <c r="A10121" t="s">
        <v>40424</v>
      </c>
      <c r="B10121" t="s">
        <v>32576</v>
      </c>
      <c r="C10121">
        <f>0</f>
        <v>0</v>
      </c>
      <c r="D10121">
        <v>0.72214634405099998</v>
      </c>
      <c r="E10121">
        <v>24</v>
      </c>
    </row>
    <row r="10122" spans="1:5">
      <c r="A10122" t="s">
        <v>40425</v>
      </c>
      <c r="B10122" t="s">
        <v>40426</v>
      </c>
      <c r="C10122">
        <v>0.13843955708399999</v>
      </c>
      <c r="D10122">
        <v>0.63017014388399994</v>
      </c>
      <c r="E10122">
        <v>23.52</v>
      </c>
    </row>
    <row r="10123" spans="1:5">
      <c r="A10123" t="s">
        <v>40425</v>
      </c>
      <c r="B10123" t="s">
        <v>40427</v>
      </c>
      <c r="C10123">
        <v>0.37914618424500002</v>
      </c>
      <c r="D10123">
        <v>0.63017014388399994</v>
      </c>
      <c r="E10123">
        <v>23.52</v>
      </c>
    </row>
    <row r="10124" spans="1:5">
      <c r="A10124" t="s">
        <v>40428</v>
      </c>
      <c r="B10124" t="s">
        <v>2064</v>
      </c>
      <c r="C10124">
        <f>0.0111564728853</f>
        <v>1.1156472885300001E-2</v>
      </c>
      <c r="D10124">
        <v>0.60110886945800002</v>
      </c>
      <c r="E10124">
        <v>24</v>
      </c>
    </row>
    <row r="10125" spans="1:5">
      <c r="A10125" t="s">
        <v>40428</v>
      </c>
      <c r="B10125" t="s">
        <v>2065</v>
      </c>
      <c r="C10125">
        <v>0.47203621181700001</v>
      </c>
      <c r="D10125">
        <v>0.60110886945800002</v>
      </c>
      <c r="E10125">
        <v>24</v>
      </c>
    </row>
    <row r="10126" spans="1:5">
      <c r="A10126" t="s">
        <v>40429</v>
      </c>
      <c r="B10126" t="s">
        <v>16852</v>
      </c>
      <c r="C10126">
        <f>0</f>
        <v>0</v>
      </c>
      <c r="D10126" t="s">
        <v>106</v>
      </c>
      <c r="E10126">
        <v>24</v>
      </c>
    </row>
    <row r="10127" spans="1:5">
      <c r="A10127" t="s">
        <v>40429</v>
      </c>
      <c r="B10127" t="s">
        <v>16846</v>
      </c>
      <c r="C10127">
        <v>0</v>
      </c>
      <c r="D10127" t="s">
        <v>106</v>
      </c>
      <c r="E10127">
        <v>24</v>
      </c>
    </row>
    <row r="10128" spans="1:5">
      <c r="A10128" t="s">
        <v>40429</v>
      </c>
      <c r="B10128" t="s">
        <v>16847</v>
      </c>
      <c r="C10128">
        <v>0</v>
      </c>
      <c r="D10128" t="s">
        <v>106</v>
      </c>
      <c r="E10128">
        <v>24</v>
      </c>
    </row>
    <row r="10129" spans="1:5">
      <c r="A10129" t="s">
        <v>40429</v>
      </c>
      <c r="B10129" t="s">
        <v>16848</v>
      </c>
      <c r="C10129">
        <f>0</f>
        <v>0</v>
      </c>
      <c r="D10129" t="s">
        <v>106</v>
      </c>
      <c r="E10129">
        <v>24</v>
      </c>
    </row>
    <row r="10130" spans="1:5">
      <c r="A10130" t="s">
        <v>40429</v>
      </c>
      <c r="B10130" t="s">
        <v>16849</v>
      </c>
      <c r="C10130">
        <f>0</f>
        <v>0</v>
      </c>
      <c r="D10130" t="s">
        <v>106</v>
      </c>
      <c r="E10130">
        <v>24</v>
      </c>
    </row>
    <row r="10131" spans="1:5">
      <c r="A10131" t="s">
        <v>40429</v>
      </c>
      <c r="B10131" t="s">
        <v>16851</v>
      </c>
      <c r="C10131">
        <f>0</f>
        <v>0</v>
      </c>
      <c r="D10131" t="s">
        <v>106</v>
      </c>
      <c r="E10131">
        <v>24</v>
      </c>
    </row>
    <row r="10132" spans="1:5">
      <c r="A10132" t="s">
        <v>40429</v>
      </c>
      <c r="B10132" t="s">
        <v>16855</v>
      </c>
      <c r="C10132">
        <v>0</v>
      </c>
      <c r="D10132" t="s">
        <v>106</v>
      </c>
      <c r="E10132">
        <v>24</v>
      </c>
    </row>
    <row r="10133" spans="1:5">
      <c r="A10133" t="s">
        <v>40429</v>
      </c>
      <c r="B10133" t="s">
        <v>16853</v>
      </c>
      <c r="C10133">
        <v>0</v>
      </c>
      <c r="D10133" t="s">
        <v>106</v>
      </c>
      <c r="E10133">
        <v>24</v>
      </c>
    </row>
    <row r="10134" spans="1:5">
      <c r="A10134" t="s">
        <v>40430</v>
      </c>
      <c r="B10134" t="s">
        <v>1317</v>
      </c>
      <c r="C10134">
        <f>0.633138282527</f>
        <v>0.633138282527</v>
      </c>
      <c r="D10134">
        <v>0.88947891370800003</v>
      </c>
      <c r="E10134">
        <v>1.3380000000000001</v>
      </c>
    </row>
    <row r="10135" spans="1:5">
      <c r="A10135" t="s">
        <v>40430</v>
      </c>
      <c r="B10135" t="s">
        <v>1320</v>
      </c>
      <c r="C10135">
        <f>0.921727998363</f>
        <v>0.92172799836300001</v>
      </c>
      <c r="D10135">
        <v>0.88947891370800003</v>
      </c>
      <c r="E10135">
        <v>1.3380000000000001</v>
      </c>
    </row>
    <row r="10136" spans="1:5">
      <c r="A10136" t="s">
        <v>40430</v>
      </c>
      <c r="B10136" t="s">
        <v>1319</v>
      </c>
      <c r="C10136">
        <v>0.70438927520299999</v>
      </c>
      <c r="D10136">
        <v>0.88947891370800003</v>
      </c>
      <c r="E10136">
        <v>1.3380000000000001</v>
      </c>
    </row>
    <row r="10137" spans="1:5">
      <c r="A10137" t="s">
        <v>40431</v>
      </c>
      <c r="B10137" t="s">
        <v>40432</v>
      </c>
      <c r="C10137">
        <f>0.566081783941</f>
        <v>0.56608178394099995</v>
      </c>
      <c r="D10137">
        <v>0.78529842175700004</v>
      </c>
      <c r="E10137">
        <v>4.2720000000000002</v>
      </c>
    </row>
    <row r="10138" spans="1:5">
      <c r="A10138" t="s">
        <v>40431</v>
      </c>
      <c r="B10138" t="s">
        <v>40433</v>
      </c>
      <c r="C10138">
        <v>0.275594809627</v>
      </c>
      <c r="D10138">
        <v>0.78529842175700004</v>
      </c>
      <c r="E10138">
        <v>4.2720000000000002</v>
      </c>
    </row>
    <row r="10139" spans="1:5">
      <c r="A10139" t="s">
        <v>40434</v>
      </c>
      <c r="B10139" t="s">
        <v>997</v>
      </c>
      <c r="C10139">
        <f>0</f>
        <v>0</v>
      </c>
      <c r="D10139" t="s">
        <v>106</v>
      </c>
      <c r="E10139">
        <v>24</v>
      </c>
    </row>
    <row r="10140" spans="1:5">
      <c r="A10140" t="s">
        <v>40434</v>
      </c>
      <c r="B10140" t="s">
        <v>998</v>
      </c>
      <c r="C10140">
        <v>0</v>
      </c>
      <c r="D10140" t="s">
        <v>106</v>
      </c>
      <c r="E10140">
        <v>24</v>
      </c>
    </row>
    <row r="10141" spans="1:5">
      <c r="A10141" t="s">
        <v>40435</v>
      </c>
      <c r="B10141" t="s">
        <v>3821</v>
      </c>
      <c r="C10141">
        <v>0</v>
      </c>
      <c r="D10141" t="s">
        <v>106</v>
      </c>
      <c r="E10141">
        <v>0</v>
      </c>
    </row>
    <row r="10142" spans="1:5">
      <c r="A10142" t="s">
        <v>40435</v>
      </c>
      <c r="B10142" t="s">
        <v>3822</v>
      </c>
      <c r="C10142">
        <v>0</v>
      </c>
      <c r="D10142" t="s">
        <v>106</v>
      </c>
      <c r="E10142">
        <v>0</v>
      </c>
    </row>
    <row r="10143" spans="1:5">
      <c r="A10143" t="s">
        <v>40435</v>
      </c>
      <c r="B10143" t="s">
        <v>3829</v>
      </c>
      <c r="C10143">
        <f>0</f>
        <v>0</v>
      </c>
      <c r="D10143" t="s">
        <v>106</v>
      </c>
      <c r="E10143">
        <v>0</v>
      </c>
    </row>
    <row r="10144" spans="1:5">
      <c r="A10144" t="s">
        <v>40435</v>
      </c>
      <c r="B10144" t="s">
        <v>3826</v>
      </c>
      <c r="C10144">
        <f>0</f>
        <v>0</v>
      </c>
      <c r="D10144" t="s">
        <v>106</v>
      </c>
      <c r="E10144">
        <v>0</v>
      </c>
    </row>
    <row r="10145" spans="1:5">
      <c r="A10145" t="s">
        <v>40435</v>
      </c>
      <c r="B10145" t="s">
        <v>3828</v>
      </c>
      <c r="C10145">
        <f>0</f>
        <v>0</v>
      </c>
      <c r="D10145" t="s">
        <v>106</v>
      </c>
      <c r="E10145">
        <v>0</v>
      </c>
    </row>
    <row r="10146" spans="1:5">
      <c r="A10146" t="s">
        <v>40435</v>
      </c>
      <c r="B10146" t="s">
        <v>3830</v>
      </c>
      <c r="C10146">
        <f>0</f>
        <v>0</v>
      </c>
      <c r="D10146" t="s">
        <v>106</v>
      </c>
      <c r="E10146">
        <v>0</v>
      </c>
    </row>
    <row r="10147" spans="1:5">
      <c r="A10147" t="s">
        <v>40435</v>
      </c>
      <c r="B10147" t="s">
        <v>3825</v>
      </c>
      <c r="C10147">
        <v>0</v>
      </c>
      <c r="D10147" t="s">
        <v>106</v>
      </c>
      <c r="E10147">
        <v>0</v>
      </c>
    </row>
    <row r="10148" spans="1:5">
      <c r="A10148" t="s">
        <v>40436</v>
      </c>
      <c r="B10148" t="s">
        <v>12757</v>
      </c>
      <c r="C10148">
        <v>0</v>
      </c>
      <c r="D10148">
        <v>0.87589864539100004</v>
      </c>
      <c r="E10148">
        <v>1.6379999999999999</v>
      </c>
    </row>
    <row r="10149" spans="1:5">
      <c r="A10149" t="s">
        <v>40436</v>
      </c>
      <c r="B10149" t="s">
        <v>12761</v>
      </c>
      <c r="C10149">
        <v>0.45076965716900003</v>
      </c>
      <c r="D10149">
        <v>0.87589864539100004</v>
      </c>
      <c r="E10149">
        <v>1.6379999999999999</v>
      </c>
    </row>
    <row r="10150" spans="1:5">
      <c r="A10150" t="s">
        <v>40436</v>
      </c>
      <c r="B10150" t="s">
        <v>12756</v>
      </c>
      <c r="C10150">
        <v>0.42527870943599999</v>
      </c>
      <c r="D10150">
        <v>0.87589864539100004</v>
      </c>
      <c r="E10150">
        <v>1.6379999999999999</v>
      </c>
    </row>
    <row r="10151" spans="1:5">
      <c r="A10151" t="s">
        <v>40436</v>
      </c>
      <c r="B10151" t="s">
        <v>12760</v>
      </c>
      <c r="C10151">
        <v>0</v>
      </c>
      <c r="D10151">
        <v>0.87589864539100004</v>
      </c>
      <c r="E10151">
        <v>1.6379999999999999</v>
      </c>
    </row>
    <row r="10152" spans="1:5">
      <c r="A10152" t="s">
        <v>40436</v>
      </c>
      <c r="B10152" t="s">
        <v>12759</v>
      </c>
      <c r="C10152">
        <v>0.23037609906500001</v>
      </c>
      <c r="D10152">
        <v>0.87589864539100004</v>
      </c>
      <c r="E10152">
        <v>1.6379999999999999</v>
      </c>
    </row>
    <row r="10153" spans="1:5">
      <c r="A10153" t="s">
        <v>40437</v>
      </c>
      <c r="B10153" t="s">
        <v>40438</v>
      </c>
      <c r="C10153">
        <v>0.93492203210400004</v>
      </c>
      <c r="D10153">
        <v>0.90965690910999997</v>
      </c>
      <c r="E10153">
        <v>10.878</v>
      </c>
    </row>
    <row r="10154" spans="1:5">
      <c r="A10154" t="s">
        <v>40437</v>
      </c>
      <c r="B10154" t="s">
        <v>40439</v>
      </c>
      <c r="C10154">
        <v>0.243952485873</v>
      </c>
      <c r="D10154">
        <v>0.90965690910999997</v>
      </c>
      <c r="E10154">
        <v>10.878</v>
      </c>
    </row>
    <row r="10155" spans="1:5">
      <c r="A10155" t="s">
        <v>40437</v>
      </c>
      <c r="B10155" t="s">
        <v>40440</v>
      </c>
      <c r="C10155">
        <f>0.0693102510696</f>
        <v>6.9310251069599996E-2</v>
      </c>
      <c r="D10155">
        <v>0.90965690910999997</v>
      </c>
      <c r="E10155">
        <v>10.878</v>
      </c>
    </row>
    <row r="10156" spans="1:5">
      <c r="A10156" t="s">
        <v>40441</v>
      </c>
      <c r="B10156" t="s">
        <v>40442</v>
      </c>
      <c r="C10156">
        <v>0.47819524874800001</v>
      </c>
      <c r="D10156">
        <v>0.919751475928</v>
      </c>
      <c r="E10156">
        <v>1.1160000000000001</v>
      </c>
    </row>
    <row r="10157" spans="1:5">
      <c r="A10157" t="s">
        <v>40441</v>
      </c>
      <c r="B10157" t="s">
        <v>40443</v>
      </c>
      <c r="C10157">
        <v>0</v>
      </c>
      <c r="D10157">
        <v>0.919751475928</v>
      </c>
      <c r="E10157">
        <v>1.1160000000000001</v>
      </c>
    </row>
    <row r="10158" spans="1:5">
      <c r="A10158" t="s">
        <v>40441</v>
      </c>
      <c r="B10158" t="s">
        <v>40444</v>
      </c>
      <c r="C10158">
        <v>0.30493076217300003</v>
      </c>
      <c r="D10158">
        <v>0.919751475928</v>
      </c>
      <c r="E10158">
        <v>1.1160000000000001</v>
      </c>
    </row>
    <row r="10159" spans="1:5">
      <c r="A10159" t="s">
        <v>40441</v>
      </c>
      <c r="B10159" t="s">
        <v>40445</v>
      </c>
      <c r="C10159">
        <v>0</v>
      </c>
      <c r="D10159">
        <v>0.919751475928</v>
      </c>
      <c r="E10159">
        <v>1.1160000000000001</v>
      </c>
    </row>
    <row r="10160" spans="1:5">
      <c r="A10160" t="s">
        <v>40441</v>
      </c>
      <c r="B10160" t="s">
        <v>40446</v>
      </c>
      <c r="C10160">
        <v>0</v>
      </c>
      <c r="D10160">
        <v>0.919751475928</v>
      </c>
      <c r="E10160">
        <v>1.1160000000000001</v>
      </c>
    </row>
    <row r="10161" spans="1:5">
      <c r="A10161" t="s">
        <v>40447</v>
      </c>
      <c r="B10161" t="s">
        <v>31155</v>
      </c>
      <c r="C10161">
        <v>0.63620432884800004</v>
      </c>
      <c r="D10161">
        <v>0.81221329199900005</v>
      </c>
      <c r="E10161">
        <v>0.378</v>
      </c>
    </row>
    <row r="10162" spans="1:5">
      <c r="A10162" t="s">
        <v>40447</v>
      </c>
      <c r="B10162" t="s">
        <v>31157</v>
      </c>
      <c r="C10162">
        <v>0.23731128822399999</v>
      </c>
      <c r="D10162">
        <v>0.81221329199900005</v>
      </c>
      <c r="E10162">
        <v>0.378</v>
      </c>
    </row>
    <row r="10163" spans="1:5">
      <c r="A10163" t="s">
        <v>40448</v>
      </c>
      <c r="B10163" t="s">
        <v>40449</v>
      </c>
      <c r="C10163">
        <v>1.0087082817799999</v>
      </c>
      <c r="D10163">
        <v>0.90405671694</v>
      </c>
      <c r="E10163">
        <v>24</v>
      </c>
    </row>
    <row r="10164" spans="1:5">
      <c r="A10164" t="s">
        <v>40448</v>
      </c>
      <c r="B10164" t="s">
        <v>40450</v>
      </c>
      <c r="C10164">
        <v>0.98317697199800003</v>
      </c>
      <c r="D10164">
        <v>0.90405671694</v>
      </c>
      <c r="E10164">
        <v>24</v>
      </c>
    </row>
    <row r="10165" spans="1:5">
      <c r="A10165" t="s">
        <v>40448</v>
      </c>
      <c r="B10165" t="s">
        <v>40451</v>
      </c>
      <c r="C10165">
        <v>0.34158479540499997</v>
      </c>
      <c r="D10165">
        <v>0.90405671694</v>
      </c>
      <c r="E10165">
        <v>24</v>
      </c>
    </row>
    <row r="10166" spans="1:5">
      <c r="A10166" t="s">
        <v>40452</v>
      </c>
      <c r="B10166" t="s">
        <v>18189</v>
      </c>
      <c r="C10166">
        <v>0.29772993163900002</v>
      </c>
      <c r="D10166">
        <v>0.92322659876799995</v>
      </c>
      <c r="E10166">
        <v>0.26400000000000001</v>
      </c>
    </row>
    <row r="10167" spans="1:5">
      <c r="A10167" t="s">
        <v>40452</v>
      </c>
      <c r="B10167" t="s">
        <v>18191</v>
      </c>
      <c r="C10167">
        <f>0</f>
        <v>0</v>
      </c>
      <c r="D10167">
        <v>0.92322659876799995</v>
      </c>
      <c r="E10167">
        <v>0.26400000000000001</v>
      </c>
    </row>
    <row r="10168" spans="1:5">
      <c r="A10168" t="s">
        <v>40452</v>
      </c>
      <c r="B10168" t="s">
        <v>18190</v>
      </c>
      <c r="C10168">
        <v>2.0702767412799999E-2</v>
      </c>
      <c r="D10168">
        <v>0.92322659876799995</v>
      </c>
      <c r="E10168">
        <v>0.26400000000000001</v>
      </c>
    </row>
    <row r="10169" spans="1:5">
      <c r="A10169" t="s">
        <v>40452</v>
      </c>
      <c r="B10169" t="s">
        <v>18200</v>
      </c>
      <c r="C10169">
        <f>0.149318371686</f>
        <v>0.14931837168600001</v>
      </c>
      <c r="D10169">
        <v>0.92322659876799995</v>
      </c>
      <c r="E10169">
        <v>0.26400000000000001</v>
      </c>
    </row>
    <row r="10170" spans="1:5">
      <c r="A10170" t="s">
        <v>40452</v>
      </c>
      <c r="B10170" t="s">
        <v>18199</v>
      </c>
      <c r="C10170">
        <f>0</f>
        <v>0</v>
      </c>
      <c r="D10170">
        <v>0.92322659876799995</v>
      </c>
      <c r="E10170">
        <v>0.26400000000000001</v>
      </c>
    </row>
    <row r="10171" spans="1:5">
      <c r="A10171" t="s">
        <v>40452</v>
      </c>
      <c r="B10171" t="s">
        <v>18197</v>
      </c>
      <c r="C10171">
        <f>0</f>
        <v>0</v>
      </c>
      <c r="D10171">
        <v>0.92322659876799995</v>
      </c>
      <c r="E10171">
        <v>0.26400000000000001</v>
      </c>
    </row>
    <row r="10172" spans="1:5">
      <c r="A10172" t="s">
        <v>40452</v>
      </c>
      <c r="B10172" t="s">
        <v>18193</v>
      </c>
      <c r="C10172">
        <f>0</f>
        <v>0</v>
      </c>
      <c r="D10172">
        <v>0.92322659876799995</v>
      </c>
      <c r="E10172">
        <v>0.26400000000000001</v>
      </c>
    </row>
    <row r="10173" spans="1:5">
      <c r="A10173" t="s">
        <v>40452</v>
      </c>
      <c r="B10173" t="s">
        <v>18192</v>
      </c>
      <c r="C10173">
        <f>0.418859236066</f>
        <v>0.41885923606600001</v>
      </c>
      <c r="D10173">
        <v>0.92322659876799995</v>
      </c>
      <c r="E10173">
        <v>0.26400000000000001</v>
      </c>
    </row>
    <row r="10174" spans="1:5">
      <c r="A10174" t="s">
        <v>40453</v>
      </c>
      <c r="B10174" t="s">
        <v>7572</v>
      </c>
      <c r="C10174">
        <f>0.826343764563</f>
        <v>0.82634376456299996</v>
      </c>
      <c r="D10174">
        <v>0.98925522346299999</v>
      </c>
      <c r="E10174">
        <v>13.997999999999999</v>
      </c>
    </row>
    <row r="10175" spans="1:5">
      <c r="A10175" t="s">
        <v>40453</v>
      </c>
      <c r="B10175" t="s">
        <v>7571</v>
      </c>
      <c r="C10175">
        <f>0.449366273033</f>
        <v>0.44936627303299997</v>
      </c>
      <c r="D10175">
        <v>0.98925522346299999</v>
      </c>
      <c r="E10175">
        <v>13.997999999999999</v>
      </c>
    </row>
    <row r="10176" spans="1:5">
      <c r="A10176" t="s">
        <v>40453</v>
      </c>
      <c r="B10176" t="s">
        <v>7577</v>
      </c>
      <c r="C10176">
        <v>0.27179393963199999</v>
      </c>
      <c r="D10176">
        <v>0.98925522346299999</v>
      </c>
      <c r="E10176">
        <v>13.997999999999999</v>
      </c>
    </row>
    <row r="10177" spans="1:5">
      <c r="A10177" t="s">
        <v>40453</v>
      </c>
      <c r="B10177" t="s">
        <v>7574</v>
      </c>
      <c r="C10177">
        <v>0.88188991608199996</v>
      </c>
      <c r="D10177">
        <v>0.98925522346299999</v>
      </c>
      <c r="E10177">
        <v>13.997999999999999</v>
      </c>
    </row>
    <row r="10178" spans="1:5">
      <c r="A10178" t="s">
        <v>40454</v>
      </c>
      <c r="B10178" t="s">
        <v>8514</v>
      </c>
      <c r="C10178">
        <v>0.77061657496799996</v>
      </c>
      <c r="D10178">
        <v>0.90022657496799996</v>
      </c>
      <c r="E10178">
        <v>1.452</v>
      </c>
    </row>
    <row r="10179" spans="1:5">
      <c r="A10179" t="s">
        <v>40454</v>
      </c>
      <c r="B10179" t="s">
        <v>8520</v>
      </c>
      <c r="C10179">
        <v>0</v>
      </c>
      <c r="D10179">
        <v>0.90022657496799996</v>
      </c>
      <c r="E10179">
        <v>1.452</v>
      </c>
    </row>
    <row r="10180" spans="1:5">
      <c r="A10180" t="s">
        <v>40454</v>
      </c>
      <c r="B10180" t="s">
        <v>8523</v>
      </c>
      <c r="C10180">
        <v>0</v>
      </c>
      <c r="D10180">
        <v>0.90022657496799996</v>
      </c>
      <c r="E10180">
        <v>1.452</v>
      </c>
    </row>
    <row r="10181" spans="1:5">
      <c r="A10181" t="s">
        <v>40454</v>
      </c>
      <c r="B10181" t="s">
        <v>8521</v>
      </c>
      <c r="C10181">
        <f>0</f>
        <v>0</v>
      </c>
      <c r="D10181">
        <v>0.90022657496799996</v>
      </c>
      <c r="E10181">
        <v>1.452</v>
      </c>
    </row>
    <row r="10182" spans="1:5">
      <c r="A10182" t="s">
        <v>40455</v>
      </c>
      <c r="B10182" t="s">
        <v>40456</v>
      </c>
      <c r="C10182">
        <v>0</v>
      </c>
      <c r="D10182" t="s">
        <v>106</v>
      </c>
      <c r="E10182">
        <v>4.4820000000000002</v>
      </c>
    </row>
    <row r="10183" spans="1:5">
      <c r="A10183" t="s">
        <v>40455</v>
      </c>
      <c r="B10183" t="s">
        <v>40457</v>
      </c>
      <c r="C10183">
        <v>0</v>
      </c>
      <c r="D10183" t="s">
        <v>106</v>
      </c>
      <c r="E10183">
        <v>4.4820000000000002</v>
      </c>
    </row>
    <row r="10184" spans="1:5">
      <c r="A10184" t="s">
        <v>40455</v>
      </c>
      <c r="B10184" t="s">
        <v>40458</v>
      </c>
      <c r="C10184">
        <v>0</v>
      </c>
      <c r="D10184" t="s">
        <v>106</v>
      </c>
      <c r="E10184">
        <v>4.4820000000000002</v>
      </c>
    </row>
    <row r="10185" spans="1:5">
      <c r="A10185" t="s">
        <v>40455</v>
      </c>
      <c r="B10185" t="s">
        <v>40459</v>
      </c>
      <c r="C10185">
        <v>0</v>
      </c>
      <c r="D10185" t="s">
        <v>106</v>
      </c>
      <c r="E10185">
        <v>4.4820000000000002</v>
      </c>
    </row>
    <row r="10186" spans="1:5">
      <c r="A10186" t="s">
        <v>40455</v>
      </c>
      <c r="B10186" t="s">
        <v>40460</v>
      </c>
      <c r="C10186">
        <f>0</f>
        <v>0</v>
      </c>
      <c r="D10186" t="s">
        <v>106</v>
      </c>
      <c r="E10186">
        <v>4.4820000000000002</v>
      </c>
    </row>
    <row r="10187" spans="1:5">
      <c r="A10187" t="s">
        <v>40461</v>
      </c>
      <c r="B10187" t="s">
        <v>40462</v>
      </c>
      <c r="C10187">
        <f>0.954624661912</f>
        <v>0.95462466191200002</v>
      </c>
      <c r="D10187">
        <v>0.98315421567200001</v>
      </c>
      <c r="E10187">
        <v>4.9080000000000004</v>
      </c>
    </row>
    <row r="10188" spans="1:5">
      <c r="A10188" t="s">
        <v>40461</v>
      </c>
      <c r="B10188" t="s">
        <v>40463</v>
      </c>
      <c r="C10188">
        <f>0.471887741394</f>
        <v>0.47188774139400003</v>
      </c>
      <c r="D10188">
        <v>0.98315421567200001</v>
      </c>
      <c r="E10188">
        <v>4.9080000000000004</v>
      </c>
    </row>
    <row r="10189" spans="1:5">
      <c r="A10189" t="s">
        <v>40461</v>
      </c>
      <c r="B10189" t="s">
        <v>40464</v>
      </c>
      <c r="C10189">
        <v>0.92892975323799998</v>
      </c>
      <c r="D10189">
        <v>0.98315421567200001</v>
      </c>
      <c r="E10189">
        <v>4.9080000000000004</v>
      </c>
    </row>
    <row r="10190" spans="1:5">
      <c r="A10190" t="s">
        <v>40461</v>
      </c>
      <c r="B10190" t="s">
        <v>40465</v>
      </c>
      <c r="C10190">
        <f>0.616089905014</f>
        <v>0.61608990501399996</v>
      </c>
      <c r="D10190">
        <v>0.98315421567200001</v>
      </c>
      <c r="E10190">
        <v>4.9080000000000004</v>
      </c>
    </row>
    <row r="10191" spans="1:5">
      <c r="A10191" t="s">
        <v>40461</v>
      </c>
      <c r="B10191" t="s">
        <v>40466</v>
      </c>
      <c r="C10191">
        <v>1.08682431895</v>
      </c>
      <c r="D10191">
        <v>0.98315421567200001</v>
      </c>
      <c r="E10191">
        <v>4.9080000000000004</v>
      </c>
    </row>
    <row r="10192" spans="1:5">
      <c r="A10192" t="s">
        <v>40467</v>
      </c>
      <c r="B10192" t="s">
        <v>11075</v>
      </c>
      <c r="C10192">
        <f>0</f>
        <v>0</v>
      </c>
      <c r="D10192">
        <v>0.96306525061600001</v>
      </c>
      <c r="E10192">
        <v>1.3919999999999999</v>
      </c>
    </row>
    <row r="10193" spans="1:5">
      <c r="A10193" t="s">
        <v>40467</v>
      </c>
      <c r="B10193" t="s">
        <v>11076</v>
      </c>
      <c r="C10193">
        <f>0.300555562265</f>
        <v>0.30055556226500002</v>
      </c>
      <c r="D10193">
        <v>0.96306525061600001</v>
      </c>
      <c r="E10193">
        <v>1.3919999999999999</v>
      </c>
    </row>
    <row r="10194" spans="1:5">
      <c r="A10194" t="s">
        <v>40467</v>
      </c>
      <c r="B10194" t="s">
        <v>11079</v>
      </c>
      <c r="C10194">
        <v>0.87284782835499997</v>
      </c>
      <c r="D10194">
        <v>0.96306525061600001</v>
      </c>
      <c r="E10194">
        <v>1.3919999999999999</v>
      </c>
    </row>
    <row r="10195" spans="1:5">
      <c r="A10195" t="s">
        <v>40467</v>
      </c>
      <c r="B10195" t="s">
        <v>11078</v>
      </c>
      <c r="C10195">
        <f>0.0235529437098</f>
        <v>2.35529437098E-2</v>
      </c>
      <c r="D10195">
        <v>0.96306525061600001</v>
      </c>
      <c r="E10195">
        <v>1.3919999999999999</v>
      </c>
    </row>
    <row r="10196" spans="1:5">
      <c r="A10196" t="s">
        <v>40467</v>
      </c>
      <c r="B10196" t="s">
        <v>11084</v>
      </c>
      <c r="C10196">
        <v>0</v>
      </c>
      <c r="D10196">
        <v>0.96306525061600001</v>
      </c>
      <c r="E10196">
        <v>1.3919999999999999</v>
      </c>
    </row>
    <row r="10197" spans="1:5">
      <c r="A10197" t="s">
        <v>40468</v>
      </c>
      <c r="B10197" t="s">
        <v>7472</v>
      </c>
      <c r="C10197">
        <f>0</f>
        <v>0</v>
      </c>
      <c r="D10197" t="s">
        <v>106</v>
      </c>
      <c r="E10197">
        <v>13.452</v>
      </c>
    </row>
    <row r="10198" spans="1:5">
      <c r="A10198" t="s">
        <v>40468</v>
      </c>
      <c r="B10198" t="s">
        <v>7470</v>
      </c>
      <c r="C10198">
        <v>0</v>
      </c>
      <c r="D10198" t="s">
        <v>106</v>
      </c>
      <c r="E10198">
        <v>13.452</v>
      </c>
    </row>
    <row r="10199" spans="1:5">
      <c r="A10199" t="s">
        <v>40468</v>
      </c>
      <c r="B10199" t="s">
        <v>7477</v>
      </c>
      <c r="C10199">
        <f>0</f>
        <v>0</v>
      </c>
      <c r="D10199" t="s">
        <v>106</v>
      </c>
      <c r="E10199">
        <v>13.452</v>
      </c>
    </row>
    <row r="10200" spans="1:5">
      <c r="A10200" t="s">
        <v>40468</v>
      </c>
      <c r="B10200" t="s">
        <v>7474</v>
      </c>
      <c r="C10200">
        <f>0</f>
        <v>0</v>
      </c>
      <c r="D10200" t="s">
        <v>106</v>
      </c>
      <c r="E10200">
        <v>13.452</v>
      </c>
    </row>
    <row r="10201" spans="1:5">
      <c r="A10201" t="s">
        <v>40468</v>
      </c>
      <c r="B10201" t="s">
        <v>7478</v>
      </c>
      <c r="C10201">
        <f>0</f>
        <v>0</v>
      </c>
      <c r="D10201" t="s">
        <v>106</v>
      </c>
      <c r="E10201">
        <v>13.452</v>
      </c>
    </row>
    <row r="10202" spans="1:5">
      <c r="A10202" t="s">
        <v>40468</v>
      </c>
      <c r="B10202" t="s">
        <v>7480</v>
      </c>
      <c r="C10202">
        <v>0</v>
      </c>
      <c r="D10202" t="s">
        <v>106</v>
      </c>
      <c r="E10202">
        <v>13.452</v>
      </c>
    </row>
    <row r="10203" spans="1:5">
      <c r="A10203" t="s">
        <v>40468</v>
      </c>
      <c r="B10203" t="s">
        <v>7476</v>
      </c>
      <c r="C10203">
        <f>0</f>
        <v>0</v>
      </c>
      <c r="D10203" t="s">
        <v>106</v>
      </c>
      <c r="E10203">
        <v>13.452</v>
      </c>
    </row>
    <row r="10204" spans="1:5">
      <c r="A10204" t="s">
        <v>40468</v>
      </c>
      <c r="B10204" t="s">
        <v>7473</v>
      </c>
      <c r="C10204">
        <f>0</f>
        <v>0</v>
      </c>
      <c r="D10204" t="s">
        <v>106</v>
      </c>
      <c r="E10204">
        <v>13.452</v>
      </c>
    </row>
    <row r="10205" spans="1:5">
      <c r="A10205" t="s">
        <v>40468</v>
      </c>
      <c r="B10205" t="s">
        <v>40469</v>
      </c>
      <c r="C10205">
        <f>0</f>
        <v>0</v>
      </c>
      <c r="D10205" t="s">
        <v>106</v>
      </c>
      <c r="E10205">
        <v>13.452</v>
      </c>
    </row>
    <row r="10206" spans="1:5">
      <c r="A10206" t="s">
        <v>40468</v>
      </c>
      <c r="B10206" t="s">
        <v>7475</v>
      </c>
      <c r="C10206">
        <v>0</v>
      </c>
      <c r="D10206" t="s">
        <v>106</v>
      </c>
      <c r="E10206">
        <v>13.452</v>
      </c>
    </row>
    <row r="10207" spans="1:5">
      <c r="A10207" t="s">
        <v>40470</v>
      </c>
      <c r="B10207" t="s">
        <v>21781</v>
      </c>
      <c r="C10207">
        <f>0</f>
        <v>0</v>
      </c>
      <c r="D10207" t="s">
        <v>106</v>
      </c>
      <c r="E10207">
        <v>12.738</v>
      </c>
    </row>
    <row r="10208" spans="1:5">
      <c r="A10208" t="s">
        <v>40470</v>
      </c>
      <c r="B10208" t="s">
        <v>21785</v>
      </c>
      <c r="C10208">
        <f>0</f>
        <v>0</v>
      </c>
      <c r="D10208" t="s">
        <v>106</v>
      </c>
      <c r="E10208">
        <v>12.738</v>
      </c>
    </row>
    <row r="10209" spans="1:5">
      <c r="A10209" t="s">
        <v>40470</v>
      </c>
      <c r="B10209" t="s">
        <v>21783</v>
      </c>
      <c r="C10209">
        <v>0</v>
      </c>
      <c r="D10209" t="s">
        <v>106</v>
      </c>
      <c r="E10209">
        <v>12.738</v>
      </c>
    </row>
    <row r="10210" spans="1:5">
      <c r="A10210" t="s">
        <v>40470</v>
      </c>
      <c r="B10210" t="s">
        <v>21782</v>
      </c>
      <c r="C10210">
        <f>0</f>
        <v>0</v>
      </c>
      <c r="D10210" t="s">
        <v>106</v>
      </c>
      <c r="E10210">
        <v>12.738</v>
      </c>
    </row>
    <row r="10211" spans="1:5">
      <c r="A10211" t="s">
        <v>40470</v>
      </c>
      <c r="B10211" t="s">
        <v>21793</v>
      </c>
      <c r="C10211">
        <f>0</f>
        <v>0</v>
      </c>
      <c r="D10211" t="s">
        <v>106</v>
      </c>
      <c r="E10211">
        <v>12.738</v>
      </c>
    </row>
    <row r="10212" spans="1:5">
      <c r="A10212" t="s">
        <v>40470</v>
      </c>
      <c r="B10212" t="s">
        <v>21794</v>
      </c>
      <c r="C10212">
        <f>0</f>
        <v>0</v>
      </c>
      <c r="D10212" t="s">
        <v>106</v>
      </c>
      <c r="E10212">
        <v>12.738</v>
      </c>
    </row>
    <row r="10213" spans="1:5">
      <c r="A10213" t="s">
        <v>40470</v>
      </c>
      <c r="B10213" t="s">
        <v>21789</v>
      </c>
      <c r="C10213">
        <f>0</f>
        <v>0</v>
      </c>
      <c r="D10213" t="s">
        <v>106</v>
      </c>
      <c r="E10213">
        <v>12.738</v>
      </c>
    </row>
    <row r="10214" spans="1:5">
      <c r="A10214" t="s">
        <v>40470</v>
      </c>
      <c r="B10214" t="s">
        <v>21790</v>
      </c>
      <c r="C10214">
        <f>0</f>
        <v>0</v>
      </c>
      <c r="D10214" t="s">
        <v>106</v>
      </c>
      <c r="E10214">
        <v>12.738</v>
      </c>
    </row>
    <row r="10215" spans="1:5">
      <c r="A10215" t="s">
        <v>40470</v>
      </c>
      <c r="B10215" t="s">
        <v>21795</v>
      </c>
      <c r="C10215">
        <f>0</f>
        <v>0</v>
      </c>
      <c r="D10215" t="s">
        <v>106</v>
      </c>
      <c r="E10215">
        <v>12.738</v>
      </c>
    </row>
    <row r="10216" spans="1:5">
      <c r="A10216" t="s">
        <v>40470</v>
      </c>
      <c r="B10216" t="s">
        <v>21792</v>
      </c>
      <c r="C10216">
        <f>0</f>
        <v>0</v>
      </c>
      <c r="D10216" t="s">
        <v>106</v>
      </c>
      <c r="E10216">
        <v>12.738</v>
      </c>
    </row>
    <row r="10217" spans="1:5">
      <c r="A10217" t="s">
        <v>40470</v>
      </c>
      <c r="B10217" t="s">
        <v>40471</v>
      </c>
      <c r="C10217">
        <f>0</f>
        <v>0</v>
      </c>
      <c r="D10217" t="s">
        <v>106</v>
      </c>
      <c r="E10217">
        <v>12.738</v>
      </c>
    </row>
    <row r="10218" spans="1:5">
      <c r="A10218" t="s">
        <v>40472</v>
      </c>
      <c r="B10218" t="s">
        <v>11895</v>
      </c>
      <c r="C10218">
        <f>0</f>
        <v>0</v>
      </c>
      <c r="D10218">
        <v>0.76689652149200005</v>
      </c>
      <c r="E10218">
        <v>23.754000000000001</v>
      </c>
    </row>
    <row r="10219" spans="1:5">
      <c r="A10219" t="s">
        <v>40472</v>
      </c>
      <c r="B10219" t="s">
        <v>11897</v>
      </c>
      <c r="C10219">
        <f>0.453286521492</f>
        <v>0.45328652149199999</v>
      </c>
      <c r="D10219">
        <v>0.76689652149200005</v>
      </c>
      <c r="E10219">
        <v>23.754000000000001</v>
      </c>
    </row>
    <row r="10220" spans="1:5">
      <c r="A10220" t="s">
        <v>40472</v>
      </c>
      <c r="B10220" t="s">
        <v>11898</v>
      </c>
      <c r="C10220">
        <f>0</f>
        <v>0</v>
      </c>
      <c r="D10220">
        <v>0.76689652149200005</v>
      </c>
      <c r="E10220">
        <v>23.754000000000001</v>
      </c>
    </row>
    <row r="10221" spans="1:5">
      <c r="A10221" t="s">
        <v>40472</v>
      </c>
      <c r="B10221" t="s">
        <v>11896</v>
      </c>
      <c r="C10221">
        <f>0</f>
        <v>0</v>
      </c>
      <c r="D10221">
        <v>0.76689652149200005</v>
      </c>
      <c r="E10221">
        <v>23.754000000000001</v>
      </c>
    </row>
    <row r="10222" spans="1:5">
      <c r="A10222" t="s">
        <v>40473</v>
      </c>
      <c r="B10222" t="s">
        <v>8436</v>
      </c>
      <c r="C10222">
        <f>0</f>
        <v>0</v>
      </c>
      <c r="D10222" t="s">
        <v>106</v>
      </c>
      <c r="E10222">
        <v>24</v>
      </c>
    </row>
    <row r="10223" spans="1:5">
      <c r="A10223" t="s">
        <v>40473</v>
      </c>
      <c r="B10223" t="s">
        <v>8437</v>
      </c>
      <c r="C10223">
        <f>0</f>
        <v>0</v>
      </c>
      <c r="D10223" t="s">
        <v>106</v>
      </c>
      <c r="E10223">
        <v>24</v>
      </c>
    </row>
    <row r="10224" spans="1:5">
      <c r="A10224" t="s">
        <v>40473</v>
      </c>
      <c r="B10224" t="s">
        <v>8442</v>
      </c>
      <c r="C10224">
        <f>0</f>
        <v>0</v>
      </c>
      <c r="D10224" t="s">
        <v>106</v>
      </c>
      <c r="E10224">
        <v>24</v>
      </c>
    </row>
    <row r="10225" spans="1:5">
      <c r="A10225" t="s">
        <v>40473</v>
      </c>
      <c r="B10225" t="s">
        <v>8445</v>
      </c>
      <c r="C10225">
        <f>0</f>
        <v>0</v>
      </c>
      <c r="D10225" t="s">
        <v>106</v>
      </c>
      <c r="E10225">
        <v>24</v>
      </c>
    </row>
    <row r="10226" spans="1:5">
      <c r="A10226" t="s">
        <v>40473</v>
      </c>
      <c r="B10226" t="s">
        <v>8439</v>
      </c>
      <c r="C10226">
        <f>0</f>
        <v>0</v>
      </c>
      <c r="D10226" t="s">
        <v>106</v>
      </c>
      <c r="E10226">
        <v>24</v>
      </c>
    </row>
    <row r="10227" spans="1:5">
      <c r="A10227" t="s">
        <v>40474</v>
      </c>
      <c r="B10227" t="s">
        <v>40475</v>
      </c>
      <c r="C10227">
        <v>0.22927280078000001</v>
      </c>
      <c r="D10227">
        <v>0.999999850523</v>
      </c>
      <c r="E10227">
        <v>6.3</v>
      </c>
    </row>
    <row r="10228" spans="1:5">
      <c r="A10228" t="s">
        <v>40474</v>
      </c>
      <c r="B10228" t="s">
        <v>40476</v>
      </c>
      <c r="C10228">
        <v>0.48739620167300002</v>
      </c>
      <c r="D10228">
        <v>0.999999850523</v>
      </c>
      <c r="E10228">
        <v>6.3</v>
      </c>
    </row>
    <row r="10229" spans="1:5">
      <c r="A10229" t="s">
        <v>40474</v>
      </c>
      <c r="B10229" t="s">
        <v>40477</v>
      </c>
      <c r="C10229">
        <v>0.32217229126399999</v>
      </c>
      <c r="D10229">
        <v>0.999999850523</v>
      </c>
      <c r="E10229">
        <v>6.3</v>
      </c>
    </row>
    <row r="10230" spans="1:5">
      <c r="A10230" t="s">
        <v>40474</v>
      </c>
      <c r="B10230" t="s">
        <v>40478</v>
      </c>
      <c r="C10230">
        <f>0.904350778395</f>
        <v>0.904350778395</v>
      </c>
      <c r="D10230">
        <v>0.999999850523</v>
      </c>
      <c r="E10230">
        <v>6.3</v>
      </c>
    </row>
    <row r="10231" spans="1:5">
      <c r="A10231" t="s">
        <v>40474</v>
      </c>
      <c r="B10231" t="s">
        <v>40479</v>
      </c>
      <c r="C10231">
        <v>0.31115380691200001</v>
      </c>
      <c r="D10231">
        <v>0.999999850523</v>
      </c>
      <c r="E10231">
        <v>6.3</v>
      </c>
    </row>
    <row r="10232" spans="1:5">
      <c r="A10232" t="s">
        <v>40474</v>
      </c>
      <c r="B10232" t="s">
        <v>40480</v>
      </c>
      <c r="C10232">
        <v>0.23625264243499999</v>
      </c>
      <c r="D10232">
        <v>0.999999850523</v>
      </c>
      <c r="E10232">
        <v>6.3</v>
      </c>
    </row>
    <row r="10233" spans="1:5">
      <c r="A10233" t="s">
        <v>40474</v>
      </c>
      <c r="B10233" t="s">
        <v>40481</v>
      </c>
      <c r="C10233">
        <f>0.314785367658</f>
        <v>0.31478536765800003</v>
      </c>
      <c r="D10233">
        <v>0.999999850523</v>
      </c>
      <c r="E10233">
        <v>6.3</v>
      </c>
    </row>
    <row r="10234" spans="1:5">
      <c r="A10234" t="s">
        <v>40474</v>
      </c>
      <c r="B10234" t="s">
        <v>40482</v>
      </c>
      <c r="C10234">
        <v>4.2890525984799997E-2</v>
      </c>
      <c r="D10234">
        <v>0.999999850523</v>
      </c>
      <c r="E10234">
        <v>6.3</v>
      </c>
    </row>
    <row r="10235" spans="1:5">
      <c r="A10235" t="s">
        <v>40474</v>
      </c>
      <c r="B10235" t="s">
        <v>40483</v>
      </c>
      <c r="C10235">
        <f>0.115630185977</f>
        <v>0.11563018597700001</v>
      </c>
      <c r="D10235">
        <v>0.999999850523</v>
      </c>
      <c r="E10235">
        <v>6.3</v>
      </c>
    </row>
    <row r="10236" spans="1:5">
      <c r="A10236" t="s">
        <v>40474</v>
      </c>
      <c r="B10236" t="s">
        <v>40484</v>
      </c>
      <c r="C10236">
        <v>7.7539768250699997E-2</v>
      </c>
      <c r="D10236">
        <v>0.999999850523</v>
      </c>
      <c r="E10236">
        <v>6.3</v>
      </c>
    </row>
    <row r="10237" spans="1:5">
      <c r="A10237" t="s">
        <v>40474</v>
      </c>
      <c r="B10237" t="s">
        <v>40485</v>
      </c>
      <c r="C10237">
        <f>0.359698591086</f>
        <v>0.359698591086</v>
      </c>
      <c r="D10237">
        <v>0.999999850523</v>
      </c>
      <c r="E10237">
        <v>6.3</v>
      </c>
    </row>
    <row r="10238" spans="1:5">
      <c r="A10238" t="s">
        <v>40486</v>
      </c>
      <c r="B10238" t="s">
        <v>26600</v>
      </c>
      <c r="C10238">
        <f>0</f>
        <v>0</v>
      </c>
      <c r="D10238">
        <v>0.66382571153500003</v>
      </c>
      <c r="E10238">
        <v>0</v>
      </c>
    </row>
    <row r="10239" spans="1:5">
      <c r="A10239" t="s">
        <v>40486</v>
      </c>
      <c r="B10239" t="s">
        <v>26601</v>
      </c>
      <c r="C10239">
        <f>0</f>
        <v>0</v>
      </c>
      <c r="D10239">
        <v>0.66382571153500003</v>
      </c>
      <c r="E10239">
        <v>0</v>
      </c>
    </row>
    <row r="10240" spans="1:5">
      <c r="A10240" t="s">
        <v>40486</v>
      </c>
      <c r="B10240" t="s">
        <v>26604</v>
      </c>
      <c r="C10240">
        <v>0.48076270364200002</v>
      </c>
      <c r="D10240">
        <v>0.66382571153500003</v>
      </c>
      <c r="E10240">
        <v>0</v>
      </c>
    </row>
    <row r="10241" spans="1:5">
      <c r="A10241" t="s">
        <v>40486</v>
      </c>
      <c r="B10241" t="s">
        <v>26603</v>
      </c>
      <c r="C10241">
        <f>0</f>
        <v>0</v>
      </c>
      <c r="D10241">
        <v>0.66382571153500003</v>
      </c>
      <c r="E10241">
        <v>0</v>
      </c>
    </row>
    <row r="10242" spans="1:5">
      <c r="A10242" t="s">
        <v>40486</v>
      </c>
      <c r="B10242" t="s">
        <v>26602</v>
      </c>
      <c r="C10242">
        <v>7.0113771929700003E-2</v>
      </c>
      <c r="D10242">
        <v>0.66382571153500003</v>
      </c>
      <c r="E10242">
        <v>0</v>
      </c>
    </row>
    <row r="10243" spans="1:5">
      <c r="A10243" t="s">
        <v>40487</v>
      </c>
      <c r="B10243" t="s">
        <v>10538</v>
      </c>
      <c r="C10243">
        <v>0</v>
      </c>
      <c r="D10243">
        <v>0.85570006438000001</v>
      </c>
      <c r="E10243">
        <v>1.0680000000000001</v>
      </c>
    </row>
    <row r="10244" spans="1:5">
      <c r="A10244" t="s">
        <v>40487</v>
      </c>
      <c r="B10244" t="s">
        <v>10540</v>
      </c>
      <c r="C10244">
        <f>0</f>
        <v>0</v>
      </c>
      <c r="D10244">
        <v>0.85570006438000001</v>
      </c>
      <c r="E10244">
        <v>1.0680000000000001</v>
      </c>
    </row>
    <row r="10245" spans="1:5">
      <c r="A10245" t="s">
        <v>40487</v>
      </c>
      <c r="B10245" t="s">
        <v>10539</v>
      </c>
      <c r="C10245">
        <v>0</v>
      </c>
      <c r="D10245">
        <v>0.85570006438000001</v>
      </c>
      <c r="E10245">
        <v>1.0680000000000001</v>
      </c>
    </row>
    <row r="10246" spans="1:5">
      <c r="A10246" t="s">
        <v>40487</v>
      </c>
      <c r="B10246" t="s">
        <v>10541</v>
      </c>
      <c r="C10246">
        <f>0</f>
        <v>0</v>
      </c>
      <c r="D10246">
        <v>0.85570006438000001</v>
      </c>
      <c r="E10246">
        <v>1.0680000000000001</v>
      </c>
    </row>
    <row r="10247" spans="1:5">
      <c r="A10247" t="s">
        <v>40487</v>
      </c>
      <c r="B10247" t="s">
        <v>10542</v>
      </c>
      <c r="C10247">
        <v>4.0781696743499997E-2</v>
      </c>
      <c r="D10247">
        <v>0.85570006438000001</v>
      </c>
      <c r="E10247">
        <v>1.0680000000000001</v>
      </c>
    </row>
    <row r="10248" spans="1:5">
      <c r="A10248" t="s">
        <v>40487</v>
      </c>
      <c r="B10248" t="s">
        <v>10543</v>
      </c>
      <c r="C10248">
        <f>0.607112513354</f>
        <v>0.60711251335399996</v>
      </c>
      <c r="D10248">
        <v>0.85570006438000001</v>
      </c>
      <c r="E10248">
        <v>1.0680000000000001</v>
      </c>
    </row>
    <row r="10249" spans="1:5">
      <c r="A10249" t="s">
        <v>40488</v>
      </c>
      <c r="B10249" t="s">
        <v>192</v>
      </c>
      <c r="C10249">
        <f>0.497504495118</f>
        <v>0.49750449511799999</v>
      </c>
      <c r="D10249">
        <v>0.99988333042599997</v>
      </c>
      <c r="E10249">
        <v>24</v>
      </c>
    </row>
    <row r="10250" spans="1:5">
      <c r="A10250" t="s">
        <v>40488</v>
      </c>
      <c r="B10250" t="s">
        <v>201</v>
      </c>
      <c r="C10250">
        <v>0.31560210472599998</v>
      </c>
      <c r="D10250">
        <v>0.99988333042599997</v>
      </c>
      <c r="E10250">
        <v>24</v>
      </c>
    </row>
    <row r="10251" spans="1:5">
      <c r="A10251" t="s">
        <v>40488</v>
      </c>
      <c r="B10251" t="s">
        <v>191</v>
      </c>
      <c r="C10251">
        <v>0.47125517876099998</v>
      </c>
      <c r="D10251">
        <v>0.99988333042599997</v>
      </c>
      <c r="E10251">
        <v>24</v>
      </c>
    </row>
    <row r="10252" spans="1:5">
      <c r="A10252" t="s">
        <v>40488</v>
      </c>
      <c r="B10252" t="s">
        <v>198</v>
      </c>
      <c r="C10252">
        <v>2.5600956041699999E-2</v>
      </c>
      <c r="D10252">
        <v>0.99988333042599997</v>
      </c>
      <c r="E10252">
        <v>24</v>
      </c>
    </row>
    <row r="10253" spans="1:5">
      <c r="A10253" t="s">
        <v>40488</v>
      </c>
      <c r="B10253" t="s">
        <v>193</v>
      </c>
      <c r="C10253">
        <f>0</f>
        <v>0</v>
      </c>
      <c r="D10253">
        <v>0.99988333042599997</v>
      </c>
      <c r="E10253">
        <v>24</v>
      </c>
    </row>
    <row r="10254" spans="1:5">
      <c r="A10254" t="s">
        <v>40488</v>
      </c>
      <c r="B10254" t="s">
        <v>199</v>
      </c>
      <c r="C10254">
        <f>0.39441769491</f>
        <v>0.39441769491000001</v>
      </c>
      <c r="D10254">
        <v>0.99988333042599997</v>
      </c>
      <c r="E10254">
        <v>24</v>
      </c>
    </row>
    <row r="10255" spans="1:5">
      <c r="A10255" t="s">
        <v>40488</v>
      </c>
      <c r="B10255" t="s">
        <v>205</v>
      </c>
      <c r="C10255">
        <v>0.87607002441100001</v>
      </c>
      <c r="D10255">
        <v>0.99988333042599997</v>
      </c>
      <c r="E10255">
        <v>24</v>
      </c>
    </row>
    <row r="10256" spans="1:5">
      <c r="A10256" t="s">
        <v>40488</v>
      </c>
      <c r="B10256" t="s">
        <v>203</v>
      </c>
      <c r="C10256">
        <f>0.0306353014808</f>
        <v>3.0635301480800001E-2</v>
      </c>
      <c r="D10256">
        <v>0.99988333042599997</v>
      </c>
      <c r="E10256">
        <v>24</v>
      </c>
    </row>
    <row r="10257" spans="1:5">
      <c r="A10257" t="s">
        <v>40488</v>
      </c>
      <c r="B10257" t="s">
        <v>200</v>
      </c>
      <c r="C10257">
        <f>0.0656124617909</f>
        <v>6.5612461790899995E-2</v>
      </c>
      <c r="D10257">
        <v>0.99988333042599997</v>
      </c>
      <c r="E10257">
        <v>24</v>
      </c>
    </row>
    <row r="10258" spans="1:5">
      <c r="A10258" t="s">
        <v>40488</v>
      </c>
      <c r="B10258" t="s">
        <v>189</v>
      </c>
      <c r="C10258">
        <v>8.3133580077900004E-2</v>
      </c>
      <c r="D10258">
        <v>0.99988333042599997</v>
      </c>
      <c r="E10258">
        <v>24</v>
      </c>
    </row>
    <row r="10259" spans="1:5">
      <c r="A10259" t="s">
        <v>40489</v>
      </c>
      <c r="B10259" t="s">
        <v>2295</v>
      </c>
      <c r="C10259">
        <f>-1.24501540471</f>
        <v>-1.2450154047099999</v>
      </c>
      <c r="D10259">
        <v>0.94289511468499998</v>
      </c>
      <c r="E10259">
        <v>23.754000000000001</v>
      </c>
    </row>
    <row r="10260" spans="1:5">
      <c r="A10260" t="s">
        <v>40489</v>
      </c>
      <c r="B10260" t="s">
        <v>2296</v>
      </c>
      <c r="C10260">
        <v>1.5435430753399999</v>
      </c>
      <c r="D10260">
        <v>0.94289511468499998</v>
      </c>
      <c r="E10260">
        <v>23.754000000000001</v>
      </c>
    </row>
    <row r="10261" spans="1:5">
      <c r="A10261" t="s">
        <v>40489</v>
      </c>
      <c r="B10261" t="s">
        <v>2298</v>
      </c>
      <c r="C10261">
        <f>0.175951054167</f>
        <v>0.17595105416699999</v>
      </c>
      <c r="D10261">
        <v>0.94289511468499998</v>
      </c>
      <c r="E10261">
        <v>23.754000000000001</v>
      </c>
    </row>
    <row r="10262" spans="1:5">
      <c r="A10262" t="s">
        <v>40489</v>
      </c>
      <c r="B10262" t="s">
        <v>2297</v>
      </c>
      <c r="C10262">
        <f>0.202777094682</f>
        <v>0.202777094682</v>
      </c>
      <c r="D10262">
        <v>0.94289511468499998</v>
      </c>
      <c r="E10262">
        <v>23.754000000000001</v>
      </c>
    </row>
    <row r="10263" spans="1:5">
      <c r="A10263" t="s">
        <v>40490</v>
      </c>
      <c r="B10263" t="s">
        <v>28144</v>
      </c>
      <c r="C10263">
        <v>0</v>
      </c>
      <c r="D10263" t="s">
        <v>106</v>
      </c>
      <c r="E10263">
        <v>10.554</v>
      </c>
    </row>
    <row r="10264" spans="1:5">
      <c r="A10264" t="s">
        <v>40490</v>
      </c>
      <c r="B10264" t="s">
        <v>28145</v>
      </c>
      <c r="C10264">
        <v>0</v>
      </c>
      <c r="D10264" t="s">
        <v>106</v>
      </c>
      <c r="E10264">
        <v>10.554</v>
      </c>
    </row>
    <row r="10265" spans="1:5">
      <c r="A10265" t="s">
        <v>40490</v>
      </c>
      <c r="B10265" t="s">
        <v>28147</v>
      </c>
      <c r="C10265">
        <v>0</v>
      </c>
      <c r="D10265" t="s">
        <v>106</v>
      </c>
      <c r="E10265">
        <v>10.554</v>
      </c>
    </row>
    <row r="10266" spans="1:5">
      <c r="A10266" t="s">
        <v>40491</v>
      </c>
      <c r="B10266" t="s">
        <v>21698</v>
      </c>
      <c r="C10266">
        <v>0</v>
      </c>
      <c r="D10266" t="s">
        <v>106</v>
      </c>
      <c r="E10266">
        <v>24</v>
      </c>
    </row>
    <row r="10267" spans="1:5">
      <c r="A10267" t="s">
        <v>40491</v>
      </c>
      <c r="B10267" t="s">
        <v>21701</v>
      </c>
      <c r="C10267">
        <f>0</f>
        <v>0</v>
      </c>
      <c r="D10267" t="s">
        <v>106</v>
      </c>
      <c r="E10267">
        <v>24</v>
      </c>
    </row>
    <row r="10268" spans="1:5">
      <c r="A10268" t="s">
        <v>40491</v>
      </c>
      <c r="B10268" t="s">
        <v>21703</v>
      </c>
      <c r="C10268">
        <v>0</v>
      </c>
      <c r="D10268" t="s">
        <v>106</v>
      </c>
      <c r="E10268">
        <v>24</v>
      </c>
    </row>
    <row r="10269" spans="1:5">
      <c r="A10269" t="s">
        <v>40491</v>
      </c>
      <c r="B10269" t="s">
        <v>21700</v>
      </c>
      <c r="C10269">
        <v>0</v>
      </c>
      <c r="D10269" t="s">
        <v>106</v>
      </c>
      <c r="E10269">
        <v>24</v>
      </c>
    </row>
    <row r="10270" spans="1:5">
      <c r="A10270" t="s">
        <v>40491</v>
      </c>
      <c r="B10270" t="s">
        <v>21706</v>
      </c>
      <c r="C10270">
        <v>0</v>
      </c>
      <c r="D10270" t="s">
        <v>106</v>
      </c>
      <c r="E10270">
        <v>24</v>
      </c>
    </row>
    <row r="10271" spans="1:5">
      <c r="A10271" t="s">
        <v>40491</v>
      </c>
      <c r="B10271" t="s">
        <v>21702</v>
      </c>
      <c r="C10271">
        <v>0</v>
      </c>
      <c r="D10271" t="s">
        <v>106</v>
      </c>
      <c r="E10271">
        <v>24</v>
      </c>
    </row>
    <row r="10272" spans="1:5">
      <c r="A10272" t="s">
        <v>40492</v>
      </c>
      <c r="B10272" t="s">
        <v>40493</v>
      </c>
      <c r="C10272">
        <v>0</v>
      </c>
      <c r="D10272">
        <v>0.99866372670100001</v>
      </c>
      <c r="E10272">
        <v>5.58</v>
      </c>
    </row>
    <row r="10273" spans="1:5">
      <c r="A10273" t="s">
        <v>40492</v>
      </c>
      <c r="B10273" t="s">
        <v>40494</v>
      </c>
      <c r="C10273">
        <v>2.82351077858E-2</v>
      </c>
      <c r="D10273">
        <v>0.99866372670100001</v>
      </c>
      <c r="E10273">
        <v>5.58</v>
      </c>
    </row>
    <row r="10274" spans="1:5">
      <c r="A10274" t="s">
        <v>40492</v>
      </c>
      <c r="B10274" t="s">
        <v>40495</v>
      </c>
      <c r="C10274">
        <v>0.23438756052699999</v>
      </c>
      <c r="D10274">
        <v>0.99866372670100001</v>
      </c>
      <c r="E10274">
        <v>5.58</v>
      </c>
    </row>
    <row r="10275" spans="1:5">
      <c r="A10275" t="s">
        <v>40492</v>
      </c>
      <c r="B10275" t="s">
        <v>40496</v>
      </c>
      <c r="C10275">
        <f>0</f>
        <v>0</v>
      </c>
      <c r="D10275">
        <v>0.99866372670100001</v>
      </c>
      <c r="E10275">
        <v>5.58</v>
      </c>
    </row>
    <row r="10276" spans="1:5">
      <c r="A10276" t="s">
        <v>40492</v>
      </c>
      <c r="B10276" t="s">
        <v>40497</v>
      </c>
      <c r="C10276">
        <f>0.0369039177899</f>
        <v>3.6903917789900001E-2</v>
      </c>
      <c r="D10276">
        <v>0.99866372670100001</v>
      </c>
      <c r="E10276">
        <v>5.58</v>
      </c>
    </row>
    <row r="10277" spans="1:5">
      <c r="A10277" t="s">
        <v>40492</v>
      </c>
      <c r="B10277" t="s">
        <v>40498</v>
      </c>
      <c r="C10277">
        <f>0.0817685409211</f>
        <v>8.1768540921100002E-2</v>
      </c>
      <c r="D10277">
        <v>0.99866372670100001</v>
      </c>
      <c r="E10277">
        <v>5.58</v>
      </c>
    </row>
    <row r="10278" spans="1:5">
      <c r="A10278" t="s">
        <v>40492</v>
      </c>
      <c r="B10278" t="s">
        <v>40499</v>
      </c>
      <c r="C10278">
        <f>0.740140503965</f>
        <v>0.74014050396499997</v>
      </c>
      <c r="D10278">
        <v>0.99866372670100001</v>
      </c>
      <c r="E10278">
        <v>5.58</v>
      </c>
    </row>
    <row r="10279" spans="1:5">
      <c r="A10279" t="s">
        <v>40492</v>
      </c>
      <c r="B10279" t="s">
        <v>40500</v>
      </c>
      <c r="C10279">
        <f>0</f>
        <v>0</v>
      </c>
      <c r="D10279">
        <v>0.99866372670100001</v>
      </c>
      <c r="E10279">
        <v>5.58</v>
      </c>
    </row>
    <row r="10280" spans="1:5">
      <c r="A10280" t="s">
        <v>40492</v>
      </c>
      <c r="B10280" t="s">
        <v>40501</v>
      </c>
      <c r="C10280">
        <v>0.29476439270400001</v>
      </c>
      <c r="D10280">
        <v>0.99866372670100001</v>
      </c>
      <c r="E10280">
        <v>5.58</v>
      </c>
    </row>
    <row r="10281" spans="1:5">
      <c r="A10281" t="s">
        <v>40502</v>
      </c>
      <c r="B10281" t="s">
        <v>40503</v>
      </c>
      <c r="C10281">
        <v>1.7890420142099999E-3</v>
      </c>
      <c r="D10281">
        <v>0.96714076542399996</v>
      </c>
      <c r="E10281">
        <v>4.4820000000000002</v>
      </c>
    </row>
    <row r="10282" spans="1:5">
      <c r="A10282" t="s">
        <v>40502</v>
      </c>
      <c r="B10282" t="s">
        <v>40504</v>
      </c>
      <c r="C10282">
        <v>0.31968349251599998</v>
      </c>
      <c r="D10282">
        <v>0.96714076542399996</v>
      </c>
      <c r="E10282">
        <v>4.4820000000000002</v>
      </c>
    </row>
    <row r="10283" spans="1:5">
      <c r="A10283" t="s">
        <v>40502</v>
      </c>
      <c r="B10283" t="s">
        <v>40505</v>
      </c>
      <c r="C10283">
        <v>0</v>
      </c>
      <c r="D10283">
        <v>0.96714076542399996</v>
      </c>
      <c r="E10283">
        <v>4.4820000000000002</v>
      </c>
    </row>
    <row r="10284" spans="1:5">
      <c r="A10284" t="s">
        <v>40502</v>
      </c>
      <c r="B10284" t="s">
        <v>40506</v>
      </c>
      <c r="C10284">
        <v>0.47476510371699998</v>
      </c>
      <c r="D10284">
        <v>0.96714076542399996</v>
      </c>
      <c r="E10284">
        <v>4.4820000000000002</v>
      </c>
    </row>
    <row r="10285" spans="1:5">
      <c r="A10285" t="s">
        <v>40502</v>
      </c>
      <c r="B10285" t="s">
        <v>40507</v>
      </c>
      <c r="C10285">
        <f>0.271654568798</f>
        <v>0.27165456879799998</v>
      </c>
      <c r="D10285">
        <v>0.96714076542399996</v>
      </c>
      <c r="E10285">
        <v>4.4820000000000002</v>
      </c>
    </row>
    <row r="10286" spans="1:5">
      <c r="A10286" t="s">
        <v>40502</v>
      </c>
      <c r="B10286" t="s">
        <v>40508</v>
      </c>
      <c r="C10286">
        <v>0.299794526866</v>
      </c>
      <c r="D10286">
        <v>0.96714076542399996</v>
      </c>
      <c r="E10286">
        <v>4.4820000000000002</v>
      </c>
    </row>
    <row r="10287" spans="1:5">
      <c r="A10287" t="s">
        <v>40509</v>
      </c>
      <c r="B10287" t="s">
        <v>40510</v>
      </c>
      <c r="C10287">
        <v>1.7765433737999999E-2</v>
      </c>
      <c r="D10287">
        <v>0.99998250370999997</v>
      </c>
      <c r="E10287">
        <v>2.3279999999999998</v>
      </c>
    </row>
    <row r="10288" spans="1:5">
      <c r="A10288" t="s">
        <v>40509</v>
      </c>
      <c r="B10288" t="s">
        <v>40511</v>
      </c>
      <c r="C10288">
        <f>0.248705916625</f>
        <v>0.248705916625</v>
      </c>
      <c r="D10288">
        <v>0.99998250370999997</v>
      </c>
      <c r="E10288">
        <v>2.3279999999999998</v>
      </c>
    </row>
    <row r="10289" spans="1:5">
      <c r="A10289" t="s">
        <v>40509</v>
      </c>
      <c r="B10289" t="s">
        <v>40512</v>
      </c>
      <c r="C10289">
        <v>0.19315427714300001</v>
      </c>
      <c r="D10289">
        <v>0.99998250370999997</v>
      </c>
      <c r="E10289">
        <v>2.3279999999999998</v>
      </c>
    </row>
    <row r="10290" spans="1:5">
      <c r="A10290" t="s">
        <v>40509</v>
      </c>
      <c r="B10290" t="s">
        <v>40513</v>
      </c>
      <c r="C10290">
        <f>0</f>
        <v>0</v>
      </c>
      <c r="D10290">
        <v>0.99998250370999997</v>
      </c>
      <c r="E10290">
        <v>2.3279999999999998</v>
      </c>
    </row>
    <row r="10291" spans="1:5">
      <c r="A10291" t="s">
        <v>40509</v>
      </c>
      <c r="B10291" t="s">
        <v>40514</v>
      </c>
      <c r="C10291">
        <f>0.581494671803</f>
        <v>0.58149467180299996</v>
      </c>
      <c r="D10291">
        <v>0.99998250370999997</v>
      </c>
      <c r="E10291">
        <v>2.3279999999999998</v>
      </c>
    </row>
    <row r="10292" spans="1:5">
      <c r="A10292" t="s">
        <v>40509</v>
      </c>
      <c r="B10292" t="s">
        <v>40515</v>
      </c>
      <c r="C10292">
        <v>0.46338620572799999</v>
      </c>
      <c r="D10292">
        <v>0.99998250370999997</v>
      </c>
      <c r="E10292">
        <v>2.3279999999999998</v>
      </c>
    </row>
    <row r="10293" spans="1:5">
      <c r="A10293" t="s">
        <v>40509</v>
      </c>
      <c r="B10293" t="s">
        <v>40516</v>
      </c>
      <c r="C10293">
        <v>0.14950384430700001</v>
      </c>
      <c r="D10293">
        <v>0.99998250370999997</v>
      </c>
      <c r="E10293">
        <v>2.3279999999999998</v>
      </c>
    </row>
    <row r="10294" spans="1:5">
      <c r="A10294" t="s">
        <v>40509</v>
      </c>
      <c r="B10294" t="s">
        <v>40517</v>
      </c>
      <c r="C10294">
        <f>0</f>
        <v>0</v>
      </c>
      <c r="D10294">
        <v>0.99998250370999997</v>
      </c>
      <c r="E10294">
        <v>2.3279999999999998</v>
      </c>
    </row>
    <row r="10295" spans="1:5">
      <c r="A10295" t="s">
        <v>40509</v>
      </c>
      <c r="B10295" t="s">
        <v>40518</v>
      </c>
      <c r="C10295">
        <v>2.5506414462099999E-2</v>
      </c>
      <c r="D10295">
        <v>0.99998250370999997</v>
      </c>
      <c r="E10295">
        <v>2.3279999999999998</v>
      </c>
    </row>
    <row r="10296" spans="1:5">
      <c r="A10296" t="s">
        <v>40509</v>
      </c>
      <c r="B10296" t="s">
        <v>40519</v>
      </c>
      <c r="C10296">
        <v>0</v>
      </c>
      <c r="D10296">
        <v>0.99998250370999997</v>
      </c>
      <c r="E10296">
        <v>2.3279999999999998</v>
      </c>
    </row>
    <row r="10297" spans="1:5">
      <c r="A10297" t="s">
        <v>40509</v>
      </c>
      <c r="B10297" t="s">
        <v>40520</v>
      </c>
      <c r="C10297">
        <f>0.978363133945</f>
        <v>0.97836313394499996</v>
      </c>
      <c r="D10297">
        <v>0.99998250370999997</v>
      </c>
      <c r="E10297">
        <v>2.3279999999999998</v>
      </c>
    </row>
    <row r="10298" spans="1:5">
      <c r="A10298" t="s">
        <v>40521</v>
      </c>
      <c r="B10298" t="s">
        <v>33955</v>
      </c>
      <c r="C10298">
        <f>0</f>
        <v>0</v>
      </c>
      <c r="D10298" t="s">
        <v>106</v>
      </c>
      <c r="E10298">
        <v>4.8</v>
      </c>
    </row>
    <row r="10299" spans="1:5">
      <c r="A10299" t="s">
        <v>40521</v>
      </c>
      <c r="B10299" t="s">
        <v>33958</v>
      </c>
      <c r="C10299">
        <v>0</v>
      </c>
      <c r="D10299" t="s">
        <v>106</v>
      </c>
      <c r="E10299">
        <v>4.8</v>
      </c>
    </row>
    <row r="10300" spans="1:5">
      <c r="A10300" t="s">
        <v>40522</v>
      </c>
      <c r="B10300" t="s">
        <v>24826</v>
      </c>
      <c r="C10300">
        <f>0</f>
        <v>0</v>
      </c>
      <c r="D10300">
        <v>0.77363868410199998</v>
      </c>
      <c r="E10300">
        <v>0.438</v>
      </c>
    </row>
    <row r="10301" spans="1:5">
      <c r="A10301" t="s">
        <v>40522</v>
      </c>
      <c r="B10301" t="s">
        <v>24827</v>
      </c>
      <c r="C10301">
        <v>0.71602868410200005</v>
      </c>
      <c r="D10301">
        <v>0.77363868410199998</v>
      </c>
      <c r="E10301">
        <v>0.438</v>
      </c>
    </row>
    <row r="10302" spans="1:5">
      <c r="A10302" t="s">
        <v>40523</v>
      </c>
      <c r="B10302" t="s">
        <v>40524</v>
      </c>
      <c r="C10302">
        <v>0</v>
      </c>
      <c r="D10302">
        <v>0.99873177810900005</v>
      </c>
      <c r="E10302">
        <v>24</v>
      </c>
    </row>
    <row r="10303" spans="1:5">
      <c r="A10303" t="s">
        <v>40523</v>
      </c>
      <c r="B10303" t="s">
        <v>40525</v>
      </c>
      <c r="C10303">
        <v>1.1569193260499999</v>
      </c>
      <c r="D10303">
        <v>0.99873177810900005</v>
      </c>
      <c r="E10303">
        <v>24</v>
      </c>
    </row>
    <row r="10304" spans="1:5">
      <c r="A10304" t="s">
        <v>40523</v>
      </c>
      <c r="B10304" t="s">
        <v>40526</v>
      </c>
      <c r="C10304">
        <v>0.50194267603200005</v>
      </c>
      <c r="D10304">
        <v>0.99873177810900005</v>
      </c>
      <c r="E10304">
        <v>24</v>
      </c>
    </row>
    <row r="10305" spans="1:5">
      <c r="A10305" t="s">
        <v>40523</v>
      </c>
      <c r="B10305" t="s">
        <v>40527</v>
      </c>
      <c r="C10305">
        <v>0.27968990753400003</v>
      </c>
      <c r="D10305">
        <v>0.99873177810900005</v>
      </c>
      <c r="E10305">
        <v>24</v>
      </c>
    </row>
    <row r="10306" spans="1:5">
      <c r="A10306" t="s">
        <v>40523</v>
      </c>
      <c r="B10306" t="s">
        <v>40528</v>
      </c>
      <c r="C10306">
        <f>0.364240085501</f>
        <v>0.36424008550100001</v>
      </c>
      <c r="D10306">
        <v>0.99873177810900005</v>
      </c>
      <c r="E10306">
        <v>24</v>
      </c>
    </row>
    <row r="10307" spans="1:5">
      <c r="A10307" t="s">
        <v>40523</v>
      </c>
      <c r="B10307" t="s">
        <v>40529</v>
      </c>
      <c r="C10307">
        <f>-1.16211264711</f>
        <v>-1.1621126471100001</v>
      </c>
      <c r="D10307">
        <v>0.99873177810900005</v>
      </c>
      <c r="E10307">
        <v>24</v>
      </c>
    </row>
    <row r="10308" spans="1:5">
      <c r="A10308" t="s">
        <v>40523</v>
      </c>
      <c r="B10308" t="s">
        <v>40530</v>
      </c>
      <c r="C10308">
        <f>0.453751152206</f>
        <v>0.45375115220599999</v>
      </c>
      <c r="D10308">
        <v>0.99873177810900005</v>
      </c>
      <c r="E10308">
        <v>24</v>
      </c>
    </row>
    <row r="10309" spans="1:5">
      <c r="A10309" t="s">
        <v>40531</v>
      </c>
      <c r="B10309" t="s">
        <v>32790</v>
      </c>
      <c r="C10309">
        <f>0.266579977576</f>
        <v>0.26657997757599999</v>
      </c>
      <c r="D10309">
        <v>0.91471923118700005</v>
      </c>
      <c r="E10309">
        <v>5.82</v>
      </c>
    </row>
    <row r="10310" spans="1:5">
      <c r="A10310" t="s">
        <v>40531</v>
      </c>
      <c r="B10310" t="s">
        <v>32789</v>
      </c>
      <c r="C10310">
        <v>0.40240692749599999</v>
      </c>
      <c r="D10310">
        <v>0.91471923118700005</v>
      </c>
      <c r="E10310">
        <v>5.82</v>
      </c>
    </row>
    <row r="10311" spans="1:5">
      <c r="A10311" t="s">
        <v>40531</v>
      </c>
      <c r="B10311" t="s">
        <v>32792</v>
      </c>
      <c r="C10311">
        <f>0</f>
        <v>0</v>
      </c>
      <c r="D10311">
        <v>0.91471923118700005</v>
      </c>
      <c r="E10311">
        <v>5.82</v>
      </c>
    </row>
    <row r="10312" spans="1:5">
      <c r="A10312" t="s">
        <v>40531</v>
      </c>
      <c r="B10312" t="s">
        <v>32794</v>
      </c>
      <c r="C10312">
        <f>0.0340598523122</f>
        <v>3.4059852312199997E-2</v>
      </c>
      <c r="D10312">
        <v>0.91471923118700005</v>
      </c>
      <c r="E10312">
        <v>5.82</v>
      </c>
    </row>
    <row r="10313" spans="1:5">
      <c r="A10313" t="s">
        <v>40531</v>
      </c>
      <c r="B10313" t="s">
        <v>32793</v>
      </c>
      <c r="C10313">
        <f>0.550615501215</f>
        <v>0.55061550121500002</v>
      </c>
      <c r="D10313">
        <v>0.91471923118700005</v>
      </c>
      <c r="E10313">
        <v>5.82</v>
      </c>
    </row>
    <row r="10314" spans="1:5">
      <c r="A10314" t="s">
        <v>40532</v>
      </c>
      <c r="B10314" t="s">
        <v>40533</v>
      </c>
      <c r="C10314">
        <v>0.54502175690400001</v>
      </c>
      <c r="D10314">
        <v>0.99934336598999995</v>
      </c>
      <c r="E10314">
        <v>24</v>
      </c>
    </row>
    <row r="10315" spans="1:5">
      <c r="A10315" t="s">
        <v>40532</v>
      </c>
      <c r="B10315" t="s">
        <v>40534</v>
      </c>
      <c r="C10315">
        <v>0.39048660166600002</v>
      </c>
      <c r="D10315">
        <v>0.99934336598999995</v>
      </c>
      <c r="E10315">
        <v>24</v>
      </c>
    </row>
    <row r="10316" spans="1:5">
      <c r="A10316" t="s">
        <v>40532</v>
      </c>
      <c r="B10316" t="s">
        <v>40535</v>
      </c>
      <c r="C10316">
        <v>1.55466201876E-2</v>
      </c>
      <c r="D10316">
        <v>0.99934336598999995</v>
      </c>
      <c r="E10316">
        <v>24</v>
      </c>
    </row>
    <row r="10317" spans="1:5">
      <c r="A10317" t="s">
        <v>40532</v>
      </c>
      <c r="B10317" t="s">
        <v>40536</v>
      </c>
      <c r="C10317">
        <f>-1.36764760048</f>
        <v>-1.36764760048</v>
      </c>
      <c r="D10317">
        <v>0.99934336598999995</v>
      </c>
      <c r="E10317">
        <v>24</v>
      </c>
    </row>
    <row r="10318" spans="1:5">
      <c r="A10318" t="s">
        <v>40532</v>
      </c>
      <c r="B10318" t="s">
        <v>40537</v>
      </c>
      <c r="C10318">
        <v>0.35567957205</v>
      </c>
      <c r="D10318">
        <v>0.99934336598999995</v>
      </c>
      <c r="E10318">
        <v>24</v>
      </c>
    </row>
    <row r="10319" spans="1:5">
      <c r="A10319" t="s">
        <v>40538</v>
      </c>
      <c r="B10319" t="s">
        <v>13441</v>
      </c>
      <c r="C10319">
        <v>0</v>
      </c>
      <c r="D10319" t="s">
        <v>106</v>
      </c>
      <c r="E10319">
        <v>0.10199999999999999</v>
      </c>
    </row>
    <row r="10320" spans="1:5">
      <c r="A10320" t="s">
        <v>40538</v>
      </c>
      <c r="B10320" t="s">
        <v>13442</v>
      </c>
      <c r="C10320">
        <f>0</f>
        <v>0</v>
      </c>
      <c r="D10320" t="s">
        <v>106</v>
      </c>
      <c r="E10320">
        <v>0.10199999999999999</v>
      </c>
    </row>
    <row r="10321" spans="1:5">
      <c r="A10321" t="s">
        <v>40539</v>
      </c>
      <c r="B10321" t="s">
        <v>40540</v>
      </c>
      <c r="C10321">
        <f>0.269495437131</f>
        <v>0.26949543713099999</v>
      </c>
      <c r="D10321">
        <v>0.99984579481400004</v>
      </c>
      <c r="E10321">
        <v>20.963999999999999</v>
      </c>
    </row>
    <row r="10322" spans="1:5">
      <c r="A10322" t="s">
        <v>40539</v>
      </c>
      <c r="B10322" t="s">
        <v>40541</v>
      </c>
      <c r="C10322">
        <f>0.573727420843</f>
        <v>0.57372742084299999</v>
      </c>
      <c r="D10322">
        <v>0.99984579481400004</v>
      </c>
      <c r="E10322">
        <v>20.963999999999999</v>
      </c>
    </row>
    <row r="10323" spans="1:5">
      <c r="A10323" t="s">
        <v>40539</v>
      </c>
      <c r="B10323" t="s">
        <v>40542</v>
      </c>
      <c r="C10323">
        <v>0.16535053089099999</v>
      </c>
      <c r="D10323">
        <v>0.99984579481400004</v>
      </c>
      <c r="E10323">
        <v>20.963999999999999</v>
      </c>
    </row>
    <row r="10324" spans="1:5">
      <c r="A10324" t="s">
        <v>40539</v>
      </c>
      <c r="B10324" t="s">
        <v>40543</v>
      </c>
      <c r="C10324">
        <f>0.0377746431047</f>
        <v>3.7774643104700002E-2</v>
      </c>
      <c r="D10324">
        <v>0.99984579481400004</v>
      </c>
      <c r="E10324">
        <v>20.963999999999999</v>
      </c>
    </row>
    <row r="10325" spans="1:5">
      <c r="A10325" t="s">
        <v>40539</v>
      </c>
      <c r="B10325" t="s">
        <v>40544</v>
      </c>
      <c r="C10325">
        <f>0</f>
        <v>0</v>
      </c>
      <c r="D10325">
        <v>0.99984579481400004</v>
      </c>
      <c r="E10325">
        <v>20.963999999999999</v>
      </c>
    </row>
    <row r="10326" spans="1:5">
      <c r="A10326" t="s">
        <v>40539</v>
      </c>
      <c r="B10326" t="s">
        <v>40545</v>
      </c>
      <c r="C10326">
        <v>0.91538493685900002</v>
      </c>
      <c r="D10326">
        <v>0.99984579481400004</v>
      </c>
      <c r="E10326">
        <v>20.963999999999999</v>
      </c>
    </row>
    <row r="10327" spans="1:5">
      <c r="A10327" t="s">
        <v>40539</v>
      </c>
      <c r="B10327" t="s">
        <v>40546</v>
      </c>
      <c r="C10327">
        <f>0.0230012108807</f>
        <v>2.30012108807E-2</v>
      </c>
      <c r="D10327">
        <v>0.99984579481400004</v>
      </c>
      <c r="E10327">
        <v>20.963999999999999</v>
      </c>
    </row>
    <row r="10328" spans="1:5">
      <c r="A10328" t="s">
        <v>40539</v>
      </c>
      <c r="B10328" t="s">
        <v>40547</v>
      </c>
      <c r="C10328">
        <v>0.30715042659800001</v>
      </c>
      <c r="D10328">
        <v>0.99984579481400004</v>
      </c>
      <c r="E10328">
        <v>20.963999999999999</v>
      </c>
    </row>
    <row r="10329" spans="1:5">
      <c r="A10329" t="s">
        <v>40548</v>
      </c>
      <c r="B10329" t="s">
        <v>40549</v>
      </c>
      <c r="C10329">
        <f>0.185873250122</f>
        <v>0.18587325012200001</v>
      </c>
      <c r="D10329">
        <v>0.45628325012199999</v>
      </c>
      <c r="E10329">
        <v>12.048</v>
      </c>
    </row>
    <row r="10330" spans="1:5">
      <c r="A10330" t="s">
        <v>40548</v>
      </c>
      <c r="B10330" t="s">
        <v>40550</v>
      </c>
      <c r="C10330">
        <f>0</f>
        <v>0</v>
      </c>
      <c r="D10330">
        <v>0.45628325012199999</v>
      </c>
      <c r="E10330">
        <v>12.048</v>
      </c>
    </row>
    <row r="10331" spans="1:5">
      <c r="A10331" t="s">
        <v>40551</v>
      </c>
      <c r="B10331" t="s">
        <v>40552</v>
      </c>
      <c r="C10331">
        <v>0</v>
      </c>
      <c r="D10331">
        <v>0.93667019128200002</v>
      </c>
      <c r="E10331">
        <v>15.318</v>
      </c>
    </row>
    <row r="10332" spans="1:5">
      <c r="A10332" t="s">
        <v>40551</v>
      </c>
      <c r="B10332" t="s">
        <v>40553</v>
      </c>
      <c r="C10332">
        <v>0.58507404272399999</v>
      </c>
      <c r="D10332">
        <v>0.93667019128200002</v>
      </c>
      <c r="E10332">
        <v>15.318</v>
      </c>
    </row>
    <row r="10333" spans="1:5">
      <c r="A10333" t="s">
        <v>40551</v>
      </c>
      <c r="B10333" t="s">
        <v>40554</v>
      </c>
      <c r="C10333">
        <v>0.57253963348900005</v>
      </c>
      <c r="D10333">
        <v>0.93667019128200002</v>
      </c>
      <c r="E10333">
        <v>15.318</v>
      </c>
    </row>
    <row r="10334" spans="1:5">
      <c r="A10334" t="s">
        <v>40551</v>
      </c>
      <c r="B10334" t="s">
        <v>40555</v>
      </c>
      <c r="C10334">
        <f>0.310049988232</f>
        <v>0.31004998823199997</v>
      </c>
      <c r="D10334">
        <v>0.93667019128200002</v>
      </c>
      <c r="E10334">
        <v>15.318</v>
      </c>
    </row>
    <row r="10335" spans="1:5">
      <c r="A10335" t="s">
        <v>40556</v>
      </c>
      <c r="B10335" t="s">
        <v>40557</v>
      </c>
      <c r="C10335">
        <f>0.0288790005839</f>
        <v>2.88790005839E-2</v>
      </c>
      <c r="D10335">
        <v>0.79589192265800002</v>
      </c>
      <c r="E10335">
        <v>9.3179999999999996</v>
      </c>
    </row>
    <row r="10336" spans="1:5">
      <c r="A10336" t="s">
        <v>40556</v>
      </c>
      <c r="B10336" t="s">
        <v>40558</v>
      </c>
      <c r="C10336">
        <f>0.261769076589</f>
        <v>0.261769076589</v>
      </c>
      <c r="D10336">
        <v>0.79589192265800002</v>
      </c>
      <c r="E10336">
        <v>9.3179999999999996</v>
      </c>
    </row>
    <row r="10337" spans="1:5">
      <c r="A10337" t="s">
        <v>40556</v>
      </c>
      <c r="B10337" t="s">
        <v>40559</v>
      </c>
      <c r="C10337">
        <v>0</v>
      </c>
      <c r="D10337">
        <v>0.79589192265800002</v>
      </c>
      <c r="E10337">
        <v>9.3179999999999996</v>
      </c>
    </row>
    <row r="10338" spans="1:5">
      <c r="A10338" t="s">
        <v>40556</v>
      </c>
      <c r="B10338" t="s">
        <v>40560</v>
      </c>
      <c r="C10338">
        <f>0</f>
        <v>0</v>
      </c>
      <c r="D10338">
        <v>0.79589192265800002</v>
      </c>
      <c r="E10338">
        <v>9.3179999999999996</v>
      </c>
    </row>
    <row r="10339" spans="1:5">
      <c r="A10339" t="s">
        <v>40556</v>
      </c>
      <c r="B10339" t="s">
        <v>40561</v>
      </c>
      <c r="C10339">
        <f>0</f>
        <v>0</v>
      </c>
      <c r="D10339">
        <v>0.79589192265800002</v>
      </c>
      <c r="E10339">
        <v>9.3179999999999996</v>
      </c>
    </row>
    <row r="10340" spans="1:5">
      <c r="A10340" t="s">
        <v>40556</v>
      </c>
      <c r="B10340" t="s">
        <v>40562</v>
      </c>
      <c r="C10340">
        <v>0.45989138023699999</v>
      </c>
      <c r="D10340">
        <v>0.79589192265800002</v>
      </c>
      <c r="E10340">
        <v>9.3179999999999996</v>
      </c>
    </row>
    <row r="10341" spans="1:5">
      <c r="A10341" t="s">
        <v>40563</v>
      </c>
      <c r="B10341" t="s">
        <v>18535</v>
      </c>
      <c r="C10341">
        <f>0</f>
        <v>0</v>
      </c>
      <c r="D10341" t="s">
        <v>106</v>
      </c>
      <c r="E10341">
        <v>24</v>
      </c>
    </row>
    <row r="10342" spans="1:5">
      <c r="A10342" t="s">
        <v>40563</v>
      </c>
      <c r="B10342" t="s">
        <v>18536</v>
      </c>
      <c r="C10342">
        <f>0</f>
        <v>0</v>
      </c>
      <c r="D10342" t="s">
        <v>106</v>
      </c>
      <c r="E10342">
        <v>24</v>
      </c>
    </row>
    <row r="10343" spans="1:5">
      <c r="A10343" t="s">
        <v>40564</v>
      </c>
      <c r="B10343" t="s">
        <v>7031</v>
      </c>
      <c r="C10343">
        <v>0.44839368821800002</v>
      </c>
      <c r="D10343">
        <v>0.86348904496699996</v>
      </c>
      <c r="E10343">
        <v>23.754000000000001</v>
      </c>
    </row>
    <row r="10344" spans="1:5">
      <c r="A10344" t="s">
        <v>40564</v>
      </c>
      <c r="B10344" t="s">
        <v>7033</v>
      </c>
      <c r="C10344">
        <v>0.472073373809</v>
      </c>
      <c r="D10344">
        <v>0.86348904496699996</v>
      </c>
      <c r="E10344">
        <v>23.754000000000001</v>
      </c>
    </row>
    <row r="10345" spans="1:5">
      <c r="A10345" t="s">
        <v>40565</v>
      </c>
      <c r="B10345" t="s">
        <v>34467</v>
      </c>
      <c r="C10345">
        <f>0.75212813333</f>
        <v>0.75212813332999995</v>
      </c>
      <c r="D10345">
        <v>0.93054609823199996</v>
      </c>
      <c r="E10345">
        <v>24</v>
      </c>
    </row>
    <row r="10346" spans="1:5">
      <c r="A10346" t="s">
        <v>40565</v>
      </c>
      <c r="B10346" t="s">
        <v>34464</v>
      </c>
      <c r="C10346">
        <f>0</f>
        <v>0</v>
      </c>
      <c r="D10346">
        <v>0.93054609823199996</v>
      </c>
      <c r="E10346">
        <v>24</v>
      </c>
    </row>
    <row r="10347" spans="1:5">
      <c r="A10347" t="s">
        <v>40565</v>
      </c>
      <c r="B10347" t="s">
        <v>34460</v>
      </c>
      <c r="C10347">
        <f>0</f>
        <v>0</v>
      </c>
      <c r="D10347">
        <v>0.93054609823199996</v>
      </c>
      <c r="E10347">
        <v>24</v>
      </c>
    </row>
    <row r="10348" spans="1:5">
      <c r="A10348" t="s">
        <v>40565</v>
      </c>
      <c r="B10348" t="s">
        <v>34462</v>
      </c>
      <c r="C10348">
        <f>0</f>
        <v>0</v>
      </c>
      <c r="D10348">
        <v>0.93054609823199996</v>
      </c>
      <c r="E10348">
        <v>24</v>
      </c>
    </row>
    <row r="10349" spans="1:5">
      <c r="A10349" t="s">
        <v>40565</v>
      </c>
      <c r="B10349" t="s">
        <v>34463</v>
      </c>
      <c r="C10349">
        <f>0</f>
        <v>0</v>
      </c>
      <c r="D10349">
        <v>0.93054609823199996</v>
      </c>
      <c r="E10349">
        <v>24</v>
      </c>
    </row>
    <row r="10350" spans="1:5">
      <c r="A10350" t="s">
        <v>40565</v>
      </c>
      <c r="B10350" t="s">
        <v>34466</v>
      </c>
      <c r="C10350">
        <f>0</f>
        <v>0</v>
      </c>
      <c r="D10350">
        <v>0.93054609823199996</v>
      </c>
      <c r="E10350">
        <v>24</v>
      </c>
    </row>
    <row r="10351" spans="1:5">
      <c r="A10351" t="s">
        <v>40565</v>
      </c>
      <c r="B10351" t="s">
        <v>34468</v>
      </c>
      <c r="C10351">
        <f>0.0234194039521</f>
        <v>2.3419403952100001E-2</v>
      </c>
      <c r="D10351">
        <v>0.93054609823199996</v>
      </c>
      <c r="E10351">
        <v>24</v>
      </c>
    </row>
    <row r="10352" spans="1:5">
      <c r="A10352" t="s">
        <v>40565</v>
      </c>
      <c r="B10352" t="s">
        <v>34465</v>
      </c>
      <c r="C10352">
        <v>0</v>
      </c>
      <c r="D10352">
        <v>0.93054609823199996</v>
      </c>
      <c r="E10352">
        <v>24</v>
      </c>
    </row>
    <row r="10353" spans="1:5">
      <c r="A10353" t="s">
        <v>40566</v>
      </c>
      <c r="B10353" t="s">
        <v>15589</v>
      </c>
      <c r="C10353">
        <f>0</f>
        <v>0</v>
      </c>
      <c r="D10353" t="s">
        <v>106</v>
      </c>
      <c r="E10353">
        <v>23.754000000000001</v>
      </c>
    </row>
    <row r="10354" spans="1:5">
      <c r="A10354" t="s">
        <v>40566</v>
      </c>
      <c r="B10354" t="s">
        <v>15590</v>
      </c>
      <c r="C10354">
        <v>0</v>
      </c>
      <c r="D10354" t="s">
        <v>106</v>
      </c>
      <c r="E10354">
        <v>23.754000000000001</v>
      </c>
    </row>
    <row r="10355" spans="1:5">
      <c r="A10355" t="s">
        <v>40567</v>
      </c>
      <c r="B10355" t="s">
        <v>40568</v>
      </c>
      <c r="C10355">
        <v>0</v>
      </c>
      <c r="D10355" t="s">
        <v>106</v>
      </c>
      <c r="E10355">
        <v>22.806000000000001</v>
      </c>
    </row>
    <row r="10356" spans="1:5">
      <c r="A10356" t="s">
        <v>40567</v>
      </c>
      <c r="B10356" t="s">
        <v>40569</v>
      </c>
      <c r="C10356">
        <v>0</v>
      </c>
      <c r="D10356" t="s">
        <v>106</v>
      </c>
      <c r="E10356">
        <v>22.806000000000001</v>
      </c>
    </row>
    <row r="10357" spans="1:5">
      <c r="A10357" t="s">
        <v>40567</v>
      </c>
      <c r="B10357" t="s">
        <v>40570</v>
      </c>
      <c r="C10357">
        <v>0</v>
      </c>
      <c r="D10357" t="s">
        <v>106</v>
      </c>
      <c r="E10357">
        <v>22.806000000000001</v>
      </c>
    </row>
    <row r="10358" spans="1:5">
      <c r="A10358" t="s">
        <v>40567</v>
      </c>
      <c r="B10358" t="s">
        <v>40571</v>
      </c>
      <c r="C10358">
        <v>0</v>
      </c>
      <c r="D10358" t="s">
        <v>106</v>
      </c>
      <c r="E10358">
        <v>22.806000000000001</v>
      </c>
    </row>
    <row r="10359" spans="1:5">
      <c r="A10359" t="s">
        <v>40572</v>
      </c>
      <c r="B10359" t="s">
        <v>30486</v>
      </c>
      <c r="C10359">
        <v>0</v>
      </c>
      <c r="D10359" t="s">
        <v>106</v>
      </c>
      <c r="E10359">
        <v>0.82799999999999996</v>
      </c>
    </row>
    <row r="10360" spans="1:5">
      <c r="A10360" t="s">
        <v>40572</v>
      </c>
      <c r="B10360" t="s">
        <v>30487</v>
      </c>
      <c r="C10360">
        <v>0</v>
      </c>
      <c r="D10360" t="s">
        <v>106</v>
      </c>
      <c r="E10360">
        <v>0.82799999999999996</v>
      </c>
    </row>
    <row r="10361" spans="1:5">
      <c r="A10361" t="s">
        <v>40573</v>
      </c>
      <c r="B10361" t="s">
        <v>22192</v>
      </c>
      <c r="C10361">
        <v>0.12093647798</v>
      </c>
      <c r="D10361">
        <v>0.60632193892599995</v>
      </c>
      <c r="E10361">
        <v>23.754000000000001</v>
      </c>
    </row>
    <row r="10362" spans="1:5">
      <c r="A10362" t="s">
        <v>40573</v>
      </c>
      <c r="B10362" t="s">
        <v>22193</v>
      </c>
      <c r="C10362">
        <v>0.43795011216599999</v>
      </c>
      <c r="D10362">
        <v>0.60632193892599995</v>
      </c>
      <c r="E10362">
        <v>23.754000000000001</v>
      </c>
    </row>
    <row r="10363" spans="1:5">
      <c r="A10363" t="s">
        <v>40573</v>
      </c>
      <c r="B10363" t="s">
        <v>22194</v>
      </c>
      <c r="C10363">
        <f>0.379904336598</f>
        <v>0.37990433659799999</v>
      </c>
      <c r="D10363">
        <v>0.60632193892599995</v>
      </c>
      <c r="E10363">
        <v>23.754000000000001</v>
      </c>
    </row>
    <row r="10364" spans="1:5">
      <c r="A10364" t="s">
        <v>40574</v>
      </c>
      <c r="B10364" t="s">
        <v>26506</v>
      </c>
      <c r="C10364">
        <v>6.6566495521799995E-2</v>
      </c>
      <c r="D10364">
        <v>0.76444067556799999</v>
      </c>
      <c r="E10364">
        <v>8.01</v>
      </c>
    </row>
    <row r="10365" spans="1:5">
      <c r="A10365" t="s">
        <v>40574</v>
      </c>
      <c r="B10365" t="s">
        <v>26509</v>
      </c>
      <c r="C10365">
        <v>0.69266202873100002</v>
      </c>
      <c r="D10365">
        <v>0.76444067556799999</v>
      </c>
      <c r="E10365">
        <v>8.01</v>
      </c>
    </row>
    <row r="10366" spans="1:5">
      <c r="A10366" t="s">
        <v>40575</v>
      </c>
      <c r="B10366" t="s">
        <v>40576</v>
      </c>
      <c r="C10366">
        <v>1.0326985826599999</v>
      </c>
      <c r="D10366">
        <v>0.99629776537000003</v>
      </c>
      <c r="E10366">
        <v>23.52</v>
      </c>
    </row>
    <row r="10367" spans="1:5">
      <c r="A10367" t="s">
        <v>40575</v>
      </c>
      <c r="B10367" t="s">
        <v>40577</v>
      </c>
      <c r="C10367">
        <f>0.624305534839</f>
        <v>0.62430553483899998</v>
      </c>
      <c r="D10367">
        <v>0.99629776537000003</v>
      </c>
      <c r="E10367">
        <v>23.52</v>
      </c>
    </row>
    <row r="10368" spans="1:5">
      <c r="A10368" t="s">
        <v>40575</v>
      </c>
      <c r="B10368" t="s">
        <v>40578</v>
      </c>
      <c r="C10368">
        <f>-1.03047992795</f>
        <v>-1.0304799279500001</v>
      </c>
      <c r="D10368">
        <v>0.99629776537000003</v>
      </c>
      <c r="E10368">
        <v>23.52</v>
      </c>
    </row>
    <row r="10369" spans="1:5">
      <c r="A10369" t="s">
        <v>40575</v>
      </c>
      <c r="B10369" t="s">
        <v>40579</v>
      </c>
      <c r="C10369">
        <f>0.0705885599948</f>
        <v>7.0588559994800001E-2</v>
      </c>
      <c r="D10369">
        <v>0.99629776537000003</v>
      </c>
      <c r="E10369">
        <v>23.52</v>
      </c>
    </row>
    <row r="10370" spans="1:5">
      <c r="A10370" t="s">
        <v>40575</v>
      </c>
      <c r="B10370" t="s">
        <v>40580</v>
      </c>
      <c r="C10370">
        <v>1.27361472407</v>
      </c>
      <c r="D10370">
        <v>0.99629776537000003</v>
      </c>
      <c r="E10370">
        <v>23.52</v>
      </c>
    </row>
    <row r="10371" spans="1:5">
      <c r="A10371" t="s">
        <v>40575</v>
      </c>
      <c r="B10371" t="s">
        <v>40581</v>
      </c>
      <c r="C10371">
        <f>0.363096817218</f>
        <v>0.36309681721800002</v>
      </c>
      <c r="D10371">
        <v>0.99629776537000003</v>
      </c>
      <c r="E10371">
        <v>23.52</v>
      </c>
    </row>
    <row r="10372" spans="1:5">
      <c r="A10372" t="s">
        <v>40582</v>
      </c>
      <c r="B10372" t="s">
        <v>40583</v>
      </c>
      <c r="C10372">
        <f>0.376367616678</f>
        <v>0.37636761667800001</v>
      </c>
      <c r="D10372">
        <v>0.99939879916499996</v>
      </c>
      <c r="E10372">
        <v>1.17</v>
      </c>
    </row>
    <row r="10373" spans="1:5">
      <c r="A10373" t="s">
        <v>40582</v>
      </c>
      <c r="B10373" t="s">
        <v>40584</v>
      </c>
      <c r="C10373">
        <v>0</v>
      </c>
      <c r="D10373">
        <v>0.99939879916499996</v>
      </c>
      <c r="E10373">
        <v>1.17</v>
      </c>
    </row>
    <row r="10374" spans="1:5">
      <c r="A10374" t="s">
        <v>40582</v>
      </c>
      <c r="B10374" t="s">
        <v>40585</v>
      </c>
      <c r="C10374">
        <v>0.38223302677499998</v>
      </c>
      <c r="D10374">
        <v>0.99939879916499996</v>
      </c>
      <c r="E10374">
        <v>1.17</v>
      </c>
    </row>
    <row r="10375" spans="1:5">
      <c r="A10375" t="s">
        <v>40582</v>
      </c>
      <c r="B10375" t="s">
        <v>40586</v>
      </c>
      <c r="C10375">
        <v>0.33231553401800001</v>
      </c>
      <c r="D10375">
        <v>0.99939879916499996</v>
      </c>
      <c r="E10375">
        <v>1.17</v>
      </c>
    </row>
    <row r="10376" spans="1:5">
      <c r="A10376" t="s">
        <v>40582</v>
      </c>
      <c r="B10376" t="s">
        <v>40587</v>
      </c>
      <c r="C10376">
        <f>0.0616003053001</f>
        <v>6.1600305300100001E-2</v>
      </c>
      <c r="D10376">
        <v>0.99939879916499996</v>
      </c>
      <c r="E10376">
        <v>1.17</v>
      </c>
    </row>
    <row r="10377" spans="1:5">
      <c r="A10377" t="s">
        <v>40582</v>
      </c>
      <c r="B10377" t="s">
        <v>40588</v>
      </c>
      <c r="C10377">
        <v>0.215253824757</v>
      </c>
      <c r="D10377">
        <v>0.99939879916499996</v>
      </c>
      <c r="E10377">
        <v>1.17</v>
      </c>
    </row>
    <row r="10378" spans="1:5">
      <c r="A10378" t="s">
        <v>40582</v>
      </c>
      <c r="B10378" t="s">
        <v>40589</v>
      </c>
      <c r="C10378">
        <v>0.70830566858400001</v>
      </c>
      <c r="D10378">
        <v>0.99939879916499996</v>
      </c>
      <c r="E10378">
        <v>1.17</v>
      </c>
    </row>
    <row r="10379" spans="1:5">
      <c r="A10379" t="s">
        <v>40582</v>
      </c>
      <c r="B10379" t="s">
        <v>40590</v>
      </c>
      <c r="C10379">
        <v>0</v>
      </c>
      <c r="D10379">
        <v>0.99939879916499996</v>
      </c>
      <c r="E10379">
        <v>1.17</v>
      </c>
    </row>
    <row r="10380" spans="1:5">
      <c r="A10380" t="s">
        <v>40582</v>
      </c>
      <c r="B10380" t="s">
        <v>40591</v>
      </c>
      <c r="C10380">
        <f>0.0993835347607</f>
        <v>9.9383534760699999E-2</v>
      </c>
      <c r="D10380">
        <v>0.99939879916499996</v>
      </c>
      <c r="E10380">
        <v>1.17</v>
      </c>
    </row>
    <row r="10381" spans="1:5">
      <c r="A10381" t="s">
        <v>40582</v>
      </c>
      <c r="B10381" t="s">
        <v>40592</v>
      </c>
      <c r="C10381">
        <f>0.485428772935</f>
        <v>0.48542877293499997</v>
      </c>
      <c r="D10381">
        <v>0.99939879916499996</v>
      </c>
      <c r="E10381">
        <v>1.17</v>
      </c>
    </row>
    <row r="10382" spans="1:5">
      <c r="A10382" t="s">
        <v>40593</v>
      </c>
      <c r="B10382" t="s">
        <v>40594</v>
      </c>
      <c r="C10382">
        <f>0</f>
        <v>0</v>
      </c>
      <c r="D10382">
        <v>0.93711341340300003</v>
      </c>
      <c r="E10382">
        <v>0</v>
      </c>
    </row>
    <row r="10383" spans="1:5">
      <c r="A10383" t="s">
        <v>40593</v>
      </c>
      <c r="B10383" t="s">
        <v>40595</v>
      </c>
      <c r="C10383">
        <f>0.0430218016144</f>
        <v>4.3021801614400002E-2</v>
      </c>
      <c r="D10383">
        <v>0.93711341340300003</v>
      </c>
      <c r="E10383">
        <v>0</v>
      </c>
    </row>
    <row r="10384" spans="1:5">
      <c r="A10384" t="s">
        <v>40593</v>
      </c>
      <c r="B10384" t="s">
        <v>40596</v>
      </c>
      <c r="C10384">
        <f>0.230969826288</f>
        <v>0.230969826288</v>
      </c>
      <c r="D10384">
        <v>0.93711341340300003</v>
      </c>
      <c r="E10384">
        <v>0</v>
      </c>
    </row>
    <row r="10385" spans="1:5">
      <c r="A10385" t="s">
        <v>40593</v>
      </c>
      <c r="B10385" t="s">
        <v>40597</v>
      </c>
      <c r="C10385">
        <f>0.63221937967</f>
        <v>0.63221937966999997</v>
      </c>
      <c r="D10385">
        <v>0.93711341340300003</v>
      </c>
      <c r="E10385">
        <v>0</v>
      </c>
    </row>
    <row r="10386" spans="1:5">
      <c r="A10386" t="s">
        <v>40593</v>
      </c>
      <c r="B10386" t="s">
        <v>40598</v>
      </c>
      <c r="C10386">
        <v>0.50426883465899996</v>
      </c>
      <c r="D10386">
        <v>0.93711341340300003</v>
      </c>
      <c r="E10386">
        <v>0</v>
      </c>
    </row>
    <row r="10387" spans="1:5">
      <c r="A10387" t="s">
        <v>40593</v>
      </c>
      <c r="B10387" t="s">
        <v>40599</v>
      </c>
      <c r="C10387">
        <v>0.26852333538700002</v>
      </c>
      <c r="D10387">
        <v>0.93711341340300003</v>
      </c>
      <c r="E10387">
        <v>0</v>
      </c>
    </row>
    <row r="10388" spans="1:5">
      <c r="A10388" t="s">
        <v>40600</v>
      </c>
      <c r="B10388" t="s">
        <v>4000</v>
      </c>
      <c r="C10388">
        <f>0</f>
        <v>0</v>
      </c>
      <c r="D10388" t="s">
        <v>106</v>
      </c>
      <c r="E10388">
        <v>13.818</v>
      </c>
    </row>
    <row r="10389" spans="1:5">
      <c r="A10389" t="s">
        <v>40600</v>
      </c>
      <c r="B10389" t="s">
        <v>3997</v>
      </c>
      <c r="C10389">
        <v>0</v>
      </c>
      <c r="D10389" t="s">
        <v>106</v>
      </c>
      <c r="E10389">
        <v>13.818</v>
      </c>
    </row>
    <row r="10390" spans="1:5">
      <c r="A10390" t="s">
        <v>40600</v>
      </c>
      <c r="B10390" t="s">
        <v>3998</v>
      </c>
      <c r="C10390">
        <v>0</v>
      </c>
      <c r="D10390" t="s">
        <v>106</v>
      </c>
      <c r="E10390">
        <v>13.818</v>
      </c>
    </row>
    <row r="10391" spans="1:5">
      <c r="A10391" t="s">
        <v>40601</v>
      </c>
      <c r="B10391" t="s">
        <v>32094</v>
      </c>
      <c r="C10391">
        <v>0</v>
      </c>
      <c r="D10391" t="s">
        <v>106</v>
      </c>
      <c r="E10391">
        <v>1.764</v>
      </c>
    </row>
    <row r="10392" spans="1:5">
      <c r="A10392" t="s">
        <v>40601</v>
      </c>
      <c r="B10392" t="s">
        <v>32097</v>
      </c>
      <c r="C10392">
        <f>0</f>
        <v>0</v>
      </c>
      <c r="D10392" t="s">
        <v>106</v>
      </c>
      <c r="E10392">
        <v>1.764</v>
      </c>
    </row>
    <row r="10393" spans="1:5">
      <c r="A10393" t="s">
        <v>40601</v>
      </c>
      <c r="B10393" t="s">
        <v>32096</v>
      </c>
      <c r="C10393">
        <f>0</f>
        <v>0</v>
      </c>
      <c r="D10393" t="s">
        <v>106</v>
      </c>
      <c r="E10393">
        <v>1.764</v>
      </c>
    </row>
    <row r="10394" spans="1:5">
      <c r="A10394" t="s">
        <v>40601</v>
      </c>
      <c r="B10394" t="s">
        <v>32095</v>
      </c>
      <c r="C10394">
        <f>0</f>
        <v>0</v>
      </c>
      <c r="D10394" t="s">
        <v>106</v>
      </c>
      <c r="E10394">
        <v>1.764</v>
      </c>
    </row>
    <row r="10395" spans="1:5">
      <c r="A10395" t="s">
        <v>40601</v>
      </c>
      <c r="B10395" t="s">
        <v>32099</v>
      </c>
      <c r="C10395">
        <f>0</f>
        <v>0</v>
      </c>
      <c r="D10395" t="s">
        <v>106</v>
      </c>
      <c r="E10395">
        <v>1.764</v>
      </c>
    </row>
    <row r="10396" spans="1:5">
      <c r="A10396" t="s">
        <v>40602</v>
      </c>
      <c r="B10396" t="s">
        <v>16928</v>
      </c>
      <c r="C10396">
        <v>0</v>
      </c>
      <c r="D10396" t="s">
        <v>106</v>
      </c>
      <c r="E10396">
        <v>4.9080000000000004</v>
      </c>
    </row>
    <row r="10397" spans="1:5">
      <c r="A10397" t="s">
        <v>40602</v>
      </c>
      <c r="B10397" t="s">
        <v>16933</v>
      </c>
      <c r="C10397">
        <v>0</v>
      </c>
      <c r="D10397" t="s">
        <v>106</v>
      </c>
      <c r="E10397">
        <v>4.9080000000000004</v>
      </c>
    </row>
    <row r="10398" spans="1:5">
      <c r="A10398" t="s">
        <v>40602</v>
      </c>
      <c r="B10398" t="s">
        <v>16930</v>
      </c>
      <c r="C10398">
        <f>0</f>
        <v>0</v>
      </c>
      <c r="D10398" t="s">
        <v>106</v>
      </c>
      <c r="E10398">
        <v>4.9080000000000004</v>
      </c>
    </row>
    <row r="10399" spans="1:5">
      <c r="A10399" t="s">
        <v>40603</v>
      </c>
      <c r="B10399" t="s">
        <v>15436</v>
      </c>
      <c r="C10399">
        <f>0</f>
        <v>0</v>
      </c>
      <c r="D10399">
        <v>0.92137755482799999</v>
      </c>
      <c r="E10399">
        <v>18.984000000000002</v>
      </c>
    </row>
    <row r="10400" spans="1:5">
      <c r="A10400" t="s">
        <v>40603</v>
      </c>
      <c r="B10400" t="s">
        <v>40604</v>
      </c>
      <c r="C10400">
        <v>0.71377579030299998</v>
      </c>
      <c r="D10400">
        <v>0.92137755482799999</v>
      </c>
      <c r="E10400">
        <v>18.984000000000002</v>
      </c>
    </row>
    <row r="10401" spans="1:5">
      <c r="A10401" t="s">
        <v>40603</v>
      </c>
      <c r="B10401" t="s">
        <v>15439</v>
      </c>
      <c r="C10401">
        <v>7.9704917036899997E-2</v>
      </c>
      <c r="D10401">
        <v>0.92137755482799999</v>
      </c>
      <c r="E10401">
        <v>18.984000000000002</v>
      </c>
    </row>
    <row r="10402" spans="1:5">
      <c r="A10402" t="s">
        <v>40603</v>
      </c>
      <c r="B10402" t="s">
        <v>15437</v>
      </c>
      <c r="C10402">
        <f>0.275763671137</f>
        <v>0.27576367113700001</v>
      </c>
      <c r="D10402">
        <v>0.92137755482799999</v>
      </c>
      <c r="E10402">
        <v>18.984000000000002</v>
      </c>
    </row>
    <row r="10403" spans="1:5">
      <c r="A10403" t="s">
        <v>40603</v>
      </c>
      <c r="B10403" t="s">
        <v>15445</v>
      </c>
      <c r="C10403">
        <v>4.6957817587000003E-2</v>
      </c>
      <c r="D10403">
        <v>0.92137755482799999</v>
      </c>
      <c r="E10403">
        <v>18.984000000000002</v>
      </c>
    </row>
    <row r="10404" spans="1:5">
      <c r="A10404" t="s">
        <v>40603</v>
      </c>
      <c r="B10404" t="s">
        <v>15441</v>
      </c>
      <c r="C10404">
        <v>0</v>
      </c>
      <c r="D10404">
        <v>0.92137755482799999</v>
      </c>
      <c r="E10404">
        <v>18.984000000000002</v>
      </c>
    </row>
    <row r="10405" spans="1:5">
      <c r="A10405" t="s">
        <v>40605</v>
      </c>
      <c r="B10405" t="s">
        <v>33717</v>
      </c>
      <c r="C10405">
        <v>1.24214434981</v>
      </c>
      <c r="D10405">
        <v>0.97767080265799999</v>
      </c>
      <c r="E10405">
        <v>23.52</v>
      </c>
    </row>
    <row r="10406" spans="1:5">
      <c r="A10406" t="s">
        <v>40605</v>
      </c>
      <c r="B10406" t="s">
        <v>33714</v>
      </c>
      <c r="C10406">
        <v>0.52834963012400005</v>
      </c>
      <c r="D10406">
        <v>0.97767080265799999</v>
      </c>
      <c r="E10406">
        <v>23.52</v>
      </c>
    </row>
    <row r="10407" spans="1:5">
      <c r="A10407" t="s">
        <v>40605</v>
      </c>
      <c r="B10407" t="s">
        <v>33718</v>
      </c>
      <c r="C10407">
        <f>0.250178381322</f>
        <v>0.25017838132199999</v>
      </c>
      <c r="D10407">
        <v>0.97767080265799999</v>
      </c>
      <c r="E10407">
        <v>23.52</v>
      </c>
    </row>
    <row r="10408" spans="1:5">
      <c r="A10408" t="s">
        <v>40605</v>
      </c>
      <c r="B10408" t="s">
        <v>33719</v>
      </c>
      <c r="C10408">
        <f>0.474705274692</f>
        <v>0.47470527469200002</v>
      </c>
      <c r="D10408">
        <v>0.97767080265799999</v>
      </c>
      <c r="E10408">
        <v>23.52</v>
      </c>
    </row>
    <row r="10409" spans="1:5">
      <c r="A10409" t="s">
        <v>40605</v>
      </c>
      <c r="B10409" t="s">
        <v>33716</v>
      </c>
      <c r="C10409">
        <f>0.140136735797</f>
        <v>0.14013673579700001</v>
      </c>
      <c r="D10409">
        <v>0.97767080265799999</v>
      </c>
      <c r="E10409">
        <v>23.52</v>
      </c>
    </row>
    <row r="10410" spans="1:5">
      <c r="A10410" t="s">
        <v>40605</v>
      </c>
      <c r="B10410" t="s">
        <v>33715</v>
      </c>
      <c r="C10410">
        <f>0.401162161434</f>
        <v>0.40116216143400002</v>
      </c>
      <c r="D10410">
        <v>0.97767080265799999</v>
      </c>
      <c r="E10410">
        <v>23.52</v>
      </c>
    </row>
    <row r="10411" spans="1:5">
      <c r="A10411" t="s">
        <v>40606</v>
      </c>
      <c r="B10411" t="s">
        <v>40607</v>
      </c>
      <c r="C10411">
        <v>0.32328457752700002</v>
      </c>
      <c r="D10411">
        <v>0.55369457752700002</v>
      </c>
      <c r="E10411">
        <v>24</v>
      </c>
    </row>
    <row r="10412" spans="1:5">
      <c r="A10412" t="s">
        <v>40606</v>
      </c>
      <c r="B10412" t="s">
        <v>40608</v>
      </c>
      <c r="C10412">
        <v>0</v>
      </c>
      <c r="D10412">
        <v>0.55369457752700002</v>
      </c>
      <c r="E10412">
        <v>24</v>
      </c>
    </row>
    <row r="10413" spans="1:5">
      <c r="A10413" t="s">
        <v>40609</v>
      </c>
      <c r="B10413" t="s">
        <v>40610</v>
      </c>
      <c r="C10413">
        <f>0.429292830697</f>
        <v>0.42929283069700003</v>
      </c>
      <c r="D10413">
        <v>0.98755368566000001</v>
      </c>
      <c r="E10413">
        <v>10.554</v>
      </c>
    </row>
    <row r="10414" spans="1:5">
      <c r="A10414" t="s">
        <v>40609</v>
      </c>
      <c r="B10414" t="s">
        <v>40611</v>
      </c>
      <c r="C10414">
        <v>0.55570710980600002</v>
      </c>
      <c r="D10414">
        <v>0.98755368566000001</v>
      </c>
      <c r="E10414">
        <v>10.554</v>
      </c>
    </row>
    <row r="10415" spans="1:5">
      <c r="A10415" t="s">
        <v>40609</v>
      </c>
      <c r="B10415" t="s">
        <v>40612</v>
      </c>
      <c r="C10415">
        <v>0.46939952217300002</v>
      </c>
      <c r="D10415">
        <v>0.98755368566000001</v>
      </c>
      <c r="E10415">
        <v>10.554</v>
      </c>
    </row>
    <row r="10416" spans="1:5">
      <c r="A10416" t="s">
        <v>40609</v>
      </c>
      <c r="B10416" t="s">
        <v>40613</v>
      </c>
      <c r="C10416">
        <v>1.11212728107</v>
      </c>
      <c r="D10416">
        <v>0.98755368566000001</v>
      </c>
      <c r="E10416">
        <v>10.554</v>
      </c>
    </row>
    <row r="10417" spans="1:5">
      <c r="A10417" t="s">
        <v>40614</v>
      </c>
      <c r="B10417" t="s">
        <v>21773</v>
      </c>
      <c r="C10417">
        <v>0.222378259454</v>
      </c>
      <c r="D10417">
        <v>0.72521545793300002</v>
      </c>
      <c r="E10417">
        <v>8.01</v>
      </c>
    </row>
    <row r="10418" spans="1:5">
      <c r="A10418" t="s">
        <v>40614</v>
      </c>
      <c r="B10418" t="s">
        <v>21775</v>
      </c>
      <c r="C10418">
        <f>0.324512178432</f>
        <v>0.32451217843199998</v>
      </c>
      <c r="D10418">
        <v>0.72521545793300002</v>
      </c>
      <c r="E10418">
        <v>8.01</v>
      </c>
    </row>
    <row r="10419" spans="1:5">
      <c r="A10419" t="s">
        <v>40614</v>
      </c>
      <c r="B10419" t="s">
        <v>21774</v>
      </c>
      <c r="C10419">
        <f>0.473814105265</f>
        <v>0.47381410526500001</v>
      </c>
      <c r="D10419">
        <v>0.72521545793300002</v>
      </c>
      <c r="E10419">
        <v>8.01</v>
      </c>
    </row>
    <row r="10420" spans="1:5">
      <c r="A10420" t="s">
        <v>40615</v>
      </c>
      <c r="B10420" t="s">
        <v>27293</v>
      </c>
      <c r="C10420">
        <v>0.107118306846</v>
      </c>
      <c r="D10420">
        <v>0.92352500414700001</v>
      </c>
      <c r="E10420">
        <v>0.114</v>
      </c>
    </row>
    <row r="10421" spans="1:5">
      <c r="A10421" t="s">
        <v>40615</v>
      </c>
      <c r="B10421" t="s">
        <v>27295</v>
      </c>
      <c r="C10421">
        <v>0.57815492211499997</v>
      </c>
      <c r="D10421">
        <v>0.92352500414700001</v>
      </c>
      <c r="E10421">
        <v>0.114</v>
      </c>
    </row>
    <row r="10422" spans="1:5">
      <c r="A10422" t="s">
        <v>40615</v>
      </c>
      <c r="B10422" t="s">
        <v>27294</v>
      </c>
      <c r="C10422">
        <f>0.68958274332</f>
        <v>0.68958274332000002</v>
      </c>
      <c r="D10422">
        <v>0.92352500414700001</v>
      </c>
      <c r="E10422">
        <v>0.114</v>
      </c>
    </row>
    <row r="10423" spans="1:5">
      <c r="A10423" t="s">
        <v>40616</v>
      </c>
      <c r="B10423" t="s">
        <v>3593</v>
      </c>
      <c r="C10423">
        <f>0</f>
        <v>0</v>
      </c>
      <c r="D10423">
        <v>0.71731090444500001</v>
      </c>
      <c r="E10423">
        <v>6.5519999999999996</v>
      </c>
    </row>
    <row r="10424" spans="1:5">
      <c r="A10424" t="s">
        <v>40616</v>
      </c>
      <c r="B10424" t="s">
        <v>3595</v>
      </c>
      <c r="C10424">
        <v>0.44690090444500002</v>
      </c>
      <c r="D10424">
        <v>0.71731090444500001</v>
      </c>
      <c r="E10424">
        <v>6.5519999999999996</v>
      </c>
    </row>
    <row r="10425" spans="1:5">
      <c r="A10425" t="s">
        <v>40616</v>
      </c>
      <c r="B10425" t="s">
        <v>3596</v>
      </c>
      <c r="C10425">
        <v>0</v>
      </c>
      <c r="D10425">
        <v>0.71731090444500001</v>
      </c>
      <c r="E10425">
        <v>6.5519999999999996</v>
      </c>
    </row>
    <row r="10426" spans="1:5">
      <c r="A10426" t="s">
        <v>40617</v>
      </c>
      <c r="B10426" t="s">
        <v>32329</v>
      </c>
      <c r="C10426">
        <f>0</f>
        <v>0</v>
      </c>
      <c r="D10426">
        <v>0.76761059072299997</v>
      </c>
      <c r="E10426">
        <v>2.556</v>
      </c>
    </row>
    <row r="10427" spans="1:5">
      <c r="A10427" t="s">
        <v>40617</v>
      </c>
      <c r="B10427" t="s">
        <v>32332</v>
      </c>
      <c r="C10427">
        <v>0</v>
      </c>
      <c r="D10427">
        <v>0.76761059072299997</v>
      </c>
      <c r="E10427">
        <v>2.556</v>
      </c>
    </row>
    <row r="10428" spans="1:5">
      <c r="A10428" t="s">
        <v>40617</v>
      </c>
      <c r="B10428" t="s">
        <v>32334</v>
      </c>
      <c r="C10428">
        <v>0</v>
      </c>
      <c r="D10428">
        <v>0.76761059072299997</v>
      </c>
      <c r="E10428">
        <v>2.556</v>
      </c>
    </row>
    <row r="10429" spans="1:5">
      <c r="A10429" t="s">
        <v>40617</v>
      </c>
      <c r="B10429" t="s">
        <v>32333</v>
      </c>
      <c r="C10429">
        <v>0</v>
      </c>
      <c r="D10429">
        <v>0.76761059072299997</v>
      </c>
      <c r="E10429">
        <v>2.556</v>
      </c>
    </row>
    <row r="10430" spans="1:5">
      <c r="A10430" t="s">
        <v>40617</v>
      </c>
      <c r="B10430" t="s">
        <v>32330</v>
      </c>
      <c r="C10430">
        <v>0</v>
      </c>
      <c r="D10430">
        <v>0.76761059072299997</v>
      </c>
      <c r="E10430">
        <v>2.556</v>
      </c>
    </row>
    <row r="10431" spans="1:5">
      <c r="A10431" t="s">
        <v>40617</v>
      </c>
      <c r="B10431" t="s">
        <v>32331</v>
      </c>
      <c r="C10431">
        <v>0</v>
      </c>
      <c r="D10431">
        <v>0.76761059072299997</v>
      </c>
      <c r="E10431">
        <v>2.556</v>
      </c>
    </row>
    <row r="10432" spans="1:5">
      <c r="A10432" t="s">
        <v>40617</v>
      </c>
      <c r="B10432" t="s">
        <v>40618</v>
      </c>
      <c r="C10432">
        <v>0.30520059072299999</v>
      </c>
      <c r="D10432">
        <v>0.76761059072299997</v>
      </c>
      <c r="E10432">
        <v>2.556</v>
      </c>
    </row>
    <row r="10433" spans="1:5">
      <c r="A10433" t="s">
        <v>40619</v>
      </c>
      <c r="B10433" t="s">
        <v>23139</v>
      </c>
      <c r="C10433">
        <f>0.9935250104</f>
        <v>0.99352501039999996</v>
      </c>
      <c r="D10433">
        <v>0.878551816973</v>
      </c>
      <c r="E10433">
        <v>0.438</v>
      </c>
    </row>
    <row r="10434" spans="1:5">
      <c r="A10434" t="s">
        <v>40619</v>
      </c>
      <c r="B10434" t="s">
        <v>23140</v>
      </c>
      <c r="C10434">
        <v>0.45623106380900003</v>
      </c>
      <c r="D10434">
        <v>0.878551816973</v>
      </c>
      <c r="E10434">
        <v>0.438</v>
      </c>
    </row>
    <row r="10435" spans="1:5">
      <c r="A10435" t="s">
        <v>40619</v>
      </c>
      <c r="B10435" t="s">
        <v>23141</v>
      </c>
      <c r="C10435">
        <v>0.49547890522299998</v>
      </c>
      <c r="D10435">
        <v>0.878551816973</v>
      </c>
      <c r="E10435">
        <v>0.438</v>
      </c>
    </row>
    <row r="10436" spans="1:5">
      <c r="A10436" t="s">
        <v>40620</v>
      </c>
      <c r="B10436" t="s">
        <v>28185</v>
      </c>
      <c r="C10436">
        <v>0</v>
      </c>
      <c r="D10436" t="s">
        <v>106</v>
      </c>
      <c r="E10436">
        <v>24</v>
      </c>
    </row>
    <row r="10437" spans="1:5">
      <c r="A10437" t="s">
        <v>40620</v>
      </c>
      <c r="B10437" t="s">
        <v>28184</v>
      </c>
      <c r="C10437">
        <f>0</f>
        <v>0</v>
      </c>
      <c r="D10437" t="s">
        <v>106</v>
      </c>
      <c r="E10437">
        <v>24</v>
      </c>
    </row>
    <row r="10438" spans="1:5">
      <c r="A10438" t="s">
        <v>40621</v>
      </c>
      <c r="B10438" t="s">
        <v>31250</v>
      </c>
      <c r="C10438">
        <v>0.55151481558399995</v>
      </c>
      <c r="D10438">
        <v>0.68112481558399995</v>
      </c>
      <c r="E10438">
        <v>0</v>
      </c>
    </row>
    <row r="10439" spans="1:5">
      <c r="A10439" t="s">
        <v>40621</v>
      </c>
      <c r="B10439" t="s">
        <v>31251</v>
      </c>
      <c r="C10439">
        <f>0</f>
        <v>0</v>
      </c>
      <c r="D10439">
        <v>0.68112481558399995</v>
      </c>
      <c r="E10439">
        <v>0</v>
      </c>
    </row>
    <row r="10440" spans="1:5">
      <c r="A10440" t="s">
        <v>40622</v>
      </c>
      <c r="B10440" t="s">
        <v>1918</v>
      </c>
      <c r="C10440">
        <f>0</f>
        <v>0</v>
      </c>
      <c r="D10440">
        <v>0.60529710730300001</v>
      </c>
      <c r="E10440">
        <v>0.61799999999999999</v>
      </c>
    </row>
    <row r="10441" spans="1:5">
      <c r="A10441" t="s">
        <v>40622</v>
      </c>
      <c r="B10441" t="s">
        <v>1912</v>
      </c>
      <c r="C10441">
        <v>0</v>
      </c>
      <c r="D10441">
        <v>0.60529710730300001</v>
      </c>
      <c r="E10441">
        <v>0.61799999999999999</v>
      </c>
    </row>
    <row r="10442" spans="1:5">
      <c r="A10442" t="s">
        <v>40622</v>
      </c>
      <c r="B10442" t="s">
        <v>1915</v>
      </c>
      <c r="C10442">
        <v>0.24528710730299999</v>
      </c>
      <c r="D10442">
        <v>0.60529710730300001</v>
      </c>
      <c r="E10442">
        <v>0.61799999999999999</v>
      </c>
    </row>
    <row r="10443" spans="1:5">
      <c r="A10443" t="s">
        <v>40622</v>
      </c>
      <c r="B10443" t="s">
        <v>1916</v>
      </c>
      <c r="C10443">
        <v>0</v>
      </c>
      <c r="D10443">
        <v>0.60529710730300001</v>
      </c>
      <c r="E10443">
        <v>0.61799999999999999</v>
      </c>
    </row>
    <row r="10444" spans="1:5">
      <c r="A10444" t="s">
        <v>40623</v>
      </c>
      <c r="B10444" t="s">
        <v>1210</v>
      </c>
      <c r="C10444">
        <f>0.313224637352</f>
        <v>0.31322463735200001</v>
      </c>
      <c r="D10444">
        <v>0.99976797978900001</v>
      </c>
      <c r="E10444">
        <v>0</v>
      </c>
    </row>
    <row r="10445" spans="1:5">
      <c r="A10445" t="s">
        <v>40623</v>
      </c>
      <c r="B10445" t="s">
        <v>1214</v>
      </c>
      <c r="C10445">
        <f>0.251233122635</f>
        <v>0.25123312263499997</v>
      </c>
      <c r="D10445">
        <v>0.99976797978900001</v>
      </c>
      <c r="E10445">
        <v>0</v>
      </c>
    </row>
    <row r="10446" spans="1:5">
      <c r="A10446" t="s">
        <v>40623</v>
      </c>
      <c r="B10446" t="s">
        <v>1218</v>
      </c>
      <c r="C10446">
        <f>0.1814004681</f>
        <v>0.18140046809999999</v>
      </c>
      <c r="D10446">
        <v>0.99976797978900001</v>
      </c>
      <c r="E10446">
        <v>0</v>
      </c>
    </row>
    <row r="10447" spans="1:5">
      <c r="A10447" t="s">
        <v>40623</v>
      </c>
      <c r="B10447" t="s">
        <v>1223</v>
      </c>
      <c r="C10447">
        <f>0.487857736082</f>
        <v>0.487857736082</v>
      </c>
      <c r="D10447">
        <v>0.99976797978900001</v>
      </c>
      <c r="E10447">
        <v>0</v>
      </c>
    </row>
    <row r="10448" spans="1:5">
      <c r="A10448" t="s">
        <v>40623</v>
      </c>
      <c r="B10448" t="s">
        <v>1219</v>
      </c>
      <c r="C10448">
        <v>1.0337296352200001</v>
      </c>
      <c r="D10448">
        <v>0.99976797978900001</v>
      </c>
      <c r="E10448">
        <v>0</v>
      </c>
    </row>
    <row r="10449" spans="1:5">
      <c r="A10449" t="s">
        <v>40623</v>
      </c>
      <c r="B10449" t="s">
        <v>1221</v>
      </c>
      <c r="C10449">
        <v>0.32942042822099998</v>
      </c>
      <c r="D10449">
        <v>0.99976797978900001</v>
      </c>
      <c r="E10449">
        <v>0</v>
      </c>
    </row>
    <row r="10450" spans="1:5">
      <c r="A10450" t="s">
        <v>40623</v>
      </c>
      <c r="B10450" t="s">
        <v>1224</v>
      </c>
      <c r="C10450">
        <f>0.322263483155</f>
        <v>0.32226348315499997</v>
      </c>
      <c r="D10450">
        <v>0.99976797978900001</v>
      </c>
      <c r="E10450">
        <v>0</v>
      </c>
    </row>
    <row r="10451" spans="1:5">
      <c r="A10451" t="s">
        <v>40624</v>
      </c>
      <c r="B10451" t="s">
        <v>40625</v>
      </c>
      <c r="C10451">
        <v>0.147920657186</v>
      </c>
      <c r="D10451">
        <v>0.99469723719699998</v>
      </c>
      <c r="E10451">
        <v>24</v>
      </c>
    </row>
    <row r="10452" spans="1:5">
      <c r="A10452" t="s">
        <v>40624</v>
      </c>
      <c r="B10452" t="s">
        <v>40626</v>
      </c>
      <c r="C10452">
        <v>0.94034888219799995</v>
      </c>
      <c r="D10452">
        <v>0.99469723719699998</v>
      </c>
      <c r="E10452">
        <v>24</v>
      </c>
    </row>
    <row r="10453" spans="1:5">
      <c r="A10453" t="s">
        <v>40624</v>
      </c>
      <c r="B10453" t="s">
        <v>40627</v>
      </c>
      <c r="C10453">
        <v>8.0895805576399998E-2</v>
      </c>
      <c r="D10453">
        <v>0.99469723719699998</v>
      </c>
      <c r="E10453">
        <v>24</v>
      </c>
    </row>
    <row r="10454" spans="1:5">
      <c r="A10454" t="s">
        <v>40624</v>
      </c>
      <c r="B10454" t="s">
        <v>40628</v>
      </c>
      <c r="C10454">
        <f>0.260465640845</f>
        <v>0.26046564084500001</v>
      </c>
      <c r="D10454">
        <v>0.99469723719699998</v>
      </c>
      <c r="E10454">
        <v>24</v>
      </c>
    </row>
    <row r="10455" spans="1:5">
      <c r="A10455" t="s">
        <v>40624</v>
      </c>
      <c r="B10455" t="s">
        <v>40629</v>
      </c>
      <c r="C10455">
        <f>0.2538195432</f>
        <v>0.2538195432</v>
      </c>
      <c r="D10455">
        <v>0.99469723719699998</v>
      </c>
      <c r="E10455">
        <v>24</v>
      </c>
    </row>
    <row r="10456" spans="1:5">
      <c r="A10456" t="s">
        <v>40624</v>
      </c>
      <c r="B10456" t="s">
        <v>40630</v>
      </c>
      <c r="C10456">
        <f>0.406192710717</f>
        <v>0.40619271071700003</v>
      </c>
      <c r="D10456">
        <v>0.99469723719699998</v>
      </c>
      <c r="E10456">
        <v>24</v>
      </c>
    </row>
    <row r="10457" spans="1:5">
      <c r="A10457" t="s">
        <v>40631</v>
      </c>
      <c r="B10457" t="s">
        <v>40632</v>
      </c>
      <c r="C10457">
        <f>0</f>
        <v>0</v>
      </c>
      <c r="D10457" t="s">
        <v>106</v>
      </c>
      <c r="E10457">
        <v>8.1539999999999999</v>
      </c>
    </row>
    <row r="10458" spans="1:5">
      <c r="A10458" t="s">
        <v>40631</v>
      </c>
      <c r="B10458" t="s">
        <v>40633</v>
      </c>
      <c r="C10458">
        <f>0</f>
        <v>0</v>
      </c>
      <c r="D10458" t="s">
        <v>106</v>
      </c>
      <c r="E10458">
        <v>8.1539999999999999</v>
      </c>
    </row>
    <row r="10459" spans="1:5">
      <c r="A10459" t="s">
        <v>40631</v>
      </c>
      <c r="B10459" t="s">
        <v>40634</v>
      </c>
      <c r="C10459">
        <v>0</v>
      </c>
      <c r="D10459" t="s">
        <v>106</v>
      </c>
      <c r="E10459">
        <v>8.1539999999999999</v>
      </c>
    </row>
    <row r="10460" spans="1:5">
      <c r="A10460" t="s">
        <v>40635</v>
      </c>
      <c r="B10460" t="s">
        <v>40636</v>
      </c>
      <c r="C10460">
        <f>0.911679642343</f>
        <v>0.91167964234300003</v>
      </c>
      <c r="D10460">
        <v>0.96928964234299997</v>
      </c>
      <c r="E10460">
        <v>3.78</v>
      </c>
    </row>
    <row r="10461" spans="1:5">
      <c r="A10461" t="s">
        <v>40635</v>
      </c>
      <c r="B10461" t="s">
        <v>40637</v>
      </c>
      <c r="C10461">
        <v>0</v>
      </c>
      <c r="D10461">
        <v>0.96928964234299997</v>
      </c>
      <c r="E10461">
        <v>3.78</v>
      </c>
    </row>
    <row r="10462" spans="1:5">
      <c r="A10462" t="s">
        <v>40638</v>
      </c>
      <c r="B10462" t="s">
        <v>33909</v>
      </c>
      <c r="C10462">
        <f>0.257223723969</f>
        <v>0.25722372396900001</v>
      </c>
      <c r="D10462">
        <v>0.93667899470399996</v>
      </c>
      <c r="E10462">
        <v>2.718</v>
      </c>
    </row>
    <row r="10463" spans="1:5">
      <c r="A10463" t="s">
        <v>40638</v>
      </c>
      <c r="B10463" t="s">
        <v>33910</v>
      </c>
      <c r="C10463">
        <f>0</f>
        <v>0</v>
      </c>
      <c r="D10463">
        <v>0.93667899470399996</v>
      </c>
      <c r="E10463">
        <v>2.718</v>
      </c>
    </row>
    <row r="10464" spans="1:5">
      <c r="A10464" t="s">
        <v>40638</v>
      </c>
      <c r="B10464" t="s">
        <v>33911</v>
      </c>
      <c r="C10464">
        <f>0.267471097998</f>
        <v>0.26747109799800001</v>
      </c>
      <c r="D10464">
        <v>0.93667899470399996</v>
      </c>
      <c r="E10464">
        <v>2.718</v>
      </c>
    </row>
    <row r="10465" spans="1:5">
      <c r="A10465" t="s">
        <v>40638</v>
      </c>
      <c r="B10465" t="s">
        <v>33908</v>
      </c>
      <c r="C10465">
        <f>0.484363079158</f>
        <v>0.48436307915799998</v>
      </c>
      <c r="D10465">
        <v>0.93667899470399996</v>
      </c>
      <c r="E10465">
        <v>2.718</v>
      </c>
    </row>
    <row r="10466" spans="1:5">
      <c r="A10466" t="s">
        <v>40639</v>
      </c>
      <c r="B10466" t="s">
        <v>40640</v>
      </c>
      <c r="C10466">
        <v>0.65031569688000002</v>
      </c>
      <c r="D10466">
        <v>0.77872795799200001</v>
      </c>
      <c r="E10466">
        <v>23.754000000000001</v>
      </c>
    </row>
    <row r="10467" spans="1:5">
      <c r="A10467" t="s">
        <v>40639</v>
      </c>
      <c r="B10467" t="s">
        <v>40641</v>
      </c>
      <c r="C10467">
        <v>0.66370509096800001</v>
      </c>
      <c r="D10467">
        <v>0.77872795799200001</v>
      </c>
      <c r="E10467">
        <v>23.754000000000001</v>
      </c>
    </row>
    <row r="10468" spans="1:5">
      <c r="A10468" t="s">
        <v>40642</v>
      </c>
      <c r="B10468" t="s">
        <v>40643</v>
      </c>
      <c r="C10468">
        <v>0.42978439509299998</v>
      </c>
      <c r="D10468">
        <v>0.80918426324199999</v>
      </c>
      <c r="E10468">
        <v>24</v>
      </c>
    </row>
    <row r="10469" spans="1:5">
      <c r="A10469" t="s">
        <v>40642</v>
      </c>
      <c r="B10469" t="s">
        <v>40644</v>
      </c>
      <c r="C10469">
        <v>3.7096807033699997E-2</v>
      </c>
      <c r="D10469">
        <v>0.80918426324199999</v>
      </c>
      <c r="E10469">
        <v>24</v>
      </c>
    </row>
    <row r="10470" spans="1:5">
      <c r="A10470" t="s">
        <v>40642</v>
      </c>
      <c r="B10470" t="s">
        <v>40645</v>
      </c>
      <c r="C10470">
        <v>0.43666562061300002</v>
      </c>
      <c r="D10470">
        <v>0.80918426324199999</v>
      </c>
      <c r="E10470">
        <v>24</v>
      </c>
    </row>
    <row r="10471" spans="1:5">
      <c r="A10471" t="s">
        <v>40642</v>
      </c>
      <c r="B10471" t="s">
        <v>40646</v>
      </c>
      <c r="C10471">
        <v>0</v>
      </c>
      <c r="D10471">
        <v>0.80918426324199999</v>
      </c>
      <c r="E10471">
        <v>24</v>
      </c>
    </row>
    <row r="10472" spans="1:5">
      <c r="A10472" t="s">
        <v>40647</v>
      </c>
      <c r="B10472" t="s">
        <v>26775</v>
      </c>
      <c r="C10472">
        <f>0.320315946032</f>
        <v>0.32031594603199998</v>
      </c>
      <c r="D10472">
        <v>0.55072594603199998</v>
      </c>
      <c r="E10472">
        <v>3.5999999999999997E-2</v>
      </c>
    </row>
    <row r="10473" spans="1:5">
      <c r="A10473" t="s">
        <v>40647</v>
      </c>
      <c r="B10473" t="s">
        <v>26776</v>
      </c>
      <c r="C10473">
        <v>0</v>
      </c>
      <c r="D10473">
        <v>0.55072594603199998</v>
      </c>
      <c r="E10473">
        <v>3.5999999999999997E-2</v>
      </c>
    </row>
    <row r="10474" spans="1:5">
      <c r="A10474" t="s">
        <v>40647</v>
      </c>
      <c r="B10474" t="s">
        <v>26778</v>
      </c>
      <c r="C10474">
        <v>0</v>
      </c>
      <c r="D10474">
        <v>0.55072594603199998</v>
      </c>
      <c r="E10474">
        <v>3.5999999999999997E-2</v>
      </c>
    </row>
    <row r="10475" spans="1:5">
      <c r="A10475" t="s">
        <v>40647</v>
      </c>
      <c r="B10475" t="s">
        <v>26779</v>
      </c>
      <c r="C10475">
        <v>0</v>
      </c>
      <c r="D10475">
        <v>0.55072594603199998</v>
      </c>
      <c r="E10475">
        <v>3.5999999999999997E-2</v>
      </c>
    </row>
    <row r="10476" spans="1:5">
      <c r="A10476" t="s">
        <v>40648</v>
      </c>
      <c r="B10476" t="s">
        <v>8506</v>
      </c>
      <c r="C10476">
        <v>0</v>
      </c>
      <c r="D10476">
        <v>0.95311959446899996</v>
      </c>
      <c r="E10476">
        <v>24</v>
      </c>
    </row>
    <row r="10477" spans="1:5">
      <c r="A10477" t="s">
        <v>40648</v>
      </c>
      <c r="B10477" t="s">
        <v>8511</v>
      </c>
      <c r="C10477">
        <v>0.240660011796</v>
      </c>
      <c r="D10477">
        <v>0.95311959446899996</v>
      </c>
      <c r="E10477">
        <v>24</v>
      </c>
    </row>
    <row r="10478" spans="1:5">
      <c r="A10478" t="s">
        <v>40648</v>
      </c>
      <c r="B10478" t="s">
        <v>8510</v>
      </c>
      <c r="C10478">
        <v>0.78415118423600005</v>
      </c>
      <c r="D10478">
        <v>0.95311959446899996</v>
      </c>
      <c r="E10478">
        <v>24</v>
      </c>
    </row>
    <row r="10479" spans="1:5">
      <c r="A10479" t="s">
        <v>40648</v>
      </c>
      <c r="B10479" t="s">
        <v>8509</v>
      </c>
      <c r="C10479">
        <f>0.329343303937</f>
        <v>0.32934330393700001</v>
      </c>
      <c r="D10479">
        <v>0.95311959446899996</v>
      </c>
      <c r="E10479">
        <v>24</v>
      </c>
    </row>
    <row r="10480" spans="1:5">
      <c r="A10480" t="s">
        <v>40649</v>
      </c>
      <c r="B10480" t="s">
        <v>31546</v>
      </c>
      <c r="C10480">
        <f>0</f>
        <v>0</v>
      </c>
      <c r="D10480" t="s">
        <v>106</v>
      </c>
      <c r="E10480">
        <v>17.928000000000001</v>
      </c>
    </row>
    <row r="10481" spans="1:5">
      <c r="A10481" t="s">
        <v>40649</v>
      </c>
      <c r="B10481" t="s">
        <v>31548</v>
      </c>
      <c r="C10481">
        <v>0</v>
      </c>
      <c r="D10481" t="s">
        <v>106</v>
      </c>
      <c r="E10481">
        <v>17.928000000000001</v>
      </c>
    </row>
    <row r="10482" spans="1:5">
      <c r="A10482" t="s">
        <v>40650</v>
      </c>
      <c r="B10482" t="s">
        <v>26766</v>
      </c>
      <c r="C10482">
        <f>0</f>
        <v>0</v>
      </c>
      <c r="D10482">
        <v>0.450378202038</v>
      </c>
      <c r="E10482">
        <v>24</v>
      </c>
    </row>
    <row r="10483" spans="1:5">
      <c r="A10483" t="s">
        <v>40650</v>
      </c>
      <c r="B10483" t="s">
        <v>26770</v>
      </c>
      <c r="C10483">
        <v>0</v>
      </c>
      <c r="D10483">
        <v>0.450378202038</v>
      </c>
      <c r="E10483">
        <v>24</v>
      </c>
    </row>
    <row r="10484" spans="1:5">
      <c r="A10484" t="s">
        <v>40650</v>
      </c>
      <c r="B10484" t="s">
        <v>26767</v>
      </c>
      <c r="C10484">
        <v>0</v>
      </c>
      <c r="D10484">
        <v>0.450378202038</v>
      </c>
      <c r="E10484">
        <v>24</v>
      </c>
    </row>
    <row r="10485" spans="1:5">
      <c r="A10485" t="s">
        <v>40650</v>
      </c>
      <c r="B10485" t="s">
        <v>26773</v>
      </c>
      <c r="C10485">
        <f>0</f>
        <v>0</v>
      </c>
      <c r="D10485">
        <v>0.450378202038</v>
      </c>
      <c r="E10485">
        <v>24</v>
      </c>
    </row>
    <row r="10486" spans="1:5">
      <c r="A10486" t="s">
        <v>40650</v>
      </c>
      <c r="B10486" t="s">
        <v>26769</v>
      </c>
      <c r="C10486">
        <v>0</v>
      </c>
      <c r="D10486">
        <v>0.450378202038</v>
      </c>
      <c r="E10486">
        <v>24</v>
      </c>
    </row>
    <row r="10487" spans="1:5">
      <c r="A10487" t="s">
        <v>40650</v>
      </c>
      <c r="B10487" t="s">
        <v>26771</v>
      </c>
      <c r="C10487">
        <f>0.0903682020381</f>
        <v>9.0368202038100004E-2</v>
      </c>
      <c r="D10487">
        <v>0.450378202038</v>
      </c>
      <c r="E10487">
        <v>24</v>
      </c>
    </row>
    <row r="10488" spans="1:5">
      <c r="A10488" t="s">
        <v>40650</v>
      </c>
      <c r="B10488" t="s">
        <v>26768</v>
      </c>
      <c r="C10488">
        <v>0</v>
      </c>
      <c r="D10488">
        <v>0.450378202038</v>
      </c>
      <c r="E10488">
        <v>24</v>
      </c>
    </row>
    <row r="10489" spans="1:5">
      <c r="A10489" t="s">
        <v>40651</v>
      </c>
      <c r="B10489" t="s">
        <v>40652</v>
      </c>
      <c r="C10489">
        <v>0</v>
      </c>
      <c r="D10489" t="s">
        <v>106</v>
      </c>
      <c r="E10489">
        <v>8.01</v>
      </c>
    </row>
    <row r="10490" spans="1:5">
      <c r="A10490" t="s">
        <v>40651</v>
      </c>
      <c r="B10490" t="s">
        <v>40653</v>
      </c>
      <c r="C10490">
        <v>0</v>
      </c>
      <c r="D10490" t="s">
        <v>106</v>
      </c>
      <c r="E10490">
        <v>8.01</v>
      </c>
    </row>
    <row r="10491" spans="1:5">
      <c r="A10491" t="s">
        <v>40651</v>
      </c>
      <c r="B10491" t="s">
        <v>40654</v>
      </c>
      <c r="C10491">
        <f>0</f>
        <v>0</v>
      </c>
      <c r="D10491" t="s">
        <v>106</v>
      </c>
      <c r="E10491">
        <v>8.01</v>
      </c>
    </row>
    <row r="10492" spans="1:5">
      <c r="A10492" t="s">
        <v>40651</v>
      </c>
      <c r="B10492" t="s">
        <v>40655</v>
      </c>
      <c r="C10492">
        <f>0</f>
        <v>0</v>
      </c>
      <c r="D10492" t="s">
        <v>106</v>
      </c>
      <c r="E10492">
        <v>8.01</v>
      </c>
    </row>
    <row r="10493" spans="1:5">
      <c r="A10493" t="s">
        <v>40656</v>
      </c>
      <c r="B10493" t="s">
        <v>414</v>
      </c>
      <c r="C10493">
        <v>0.63867891498100005</v>
      </c>
      <c r="D10493">
        <v>0.88424375540800004</v>
      </c>
      <c r="E10493">
        <v>4.2720000000000002</v>
      </c>
    </row>
    <row r="10494" spans="1:5">
      <c r="A10494" t="s">
        <v>40656</v>
      </c>
      <c r="B10494" t="s">
        <v>419</v>
      </c>
      <c r="C10494">
        <v>0.32942268118700002</v>
      </c>
      <c r="D10494">
        <v>0.88424375540800004</v>
      </c>
      <c r="E10494">
        <v>4.2720000000000002</v>
      </c>
    </row>
    <row r="10495" spans="1:5">
      <c r="A10495" t="s">
        <v>40656</v>
      </c>
      <c r="B10495" t="s">
        <v>416</v>
      </c>
      <c r="C10495">
        <f>0.0303266638509</f>
        <v>3.03266638509E-2</v>
      </c>
      <c r="D10495">
        <v>0.88424375540800004</v>
      </c>
      <c r="E10495">
        <v>4.2720000000000002</v>
      </c>
    </row>
    <row r="10496" spans="1:5">
      <c r="A10496" t="s">
        <v>40657</v>
      </c>
      <c r="B10496" t="s">
        <v>40658</v>
      </c>
      <c r="C10496">
        <v>0.41336186231099997</v>
      </c>
      <c r="D10496">
        <v>0.64377186231100003</v>
      </c>
      <c r="E10496">
        <v>2.1779999999999999</v>
      </c>
    </row>
    <row r="10497" spans="1:5">
      <c r="A10497" t="s">
        <v>40657</v>
      </c>
      <c r="B10497" t="s">
        <v>40659</v>
      </c>
      <c r="C10497">
        <v>0</v>
      </c>
      <c r="D10497">
        <v>0.64377186231100003</v>
      </c>
      <c r="E10497">
        <v>2.1779999999999999</v>
      </c>
    </row>
    <row r="10498" spans="1:5">
      <c r="A10498" t="s">
        <v>40660</v>
      </c>
      <c r="B10498" t="s">
        <v>16690</v>
      </c>
      <c r="C10498">
        <v>0.50263939435399996</v>
      </c>
      <c r="D10498">
        <v>0.84428039215299999</v>
      </c>
      <c r="E10498">
        <v>7.1999999999999995E-2</v>
      </c>
    </row>
    <row r="10499" spans="1:5">
      <c r="A10499" t="s">
        <v>40660</v>
      </c>
      <c r="B10499" t="s">
        <v>16691</v>
      </c>
      <c r="C10499">
        <v>0.318373455162</v>
      </c>
      <c r="D10499">
        <v>0.84428039215299999</v>
      </c>
      <c r="E10499">
        <v>7.1999999999999995E-2</v>
      </c>
    </row>
    <row r="10500" spans="1:5">
      <c r="A10500" t="s">
        <v>40660</v>
      </c>
      <c r="B10500" t="s">
        <v>16689</v>
      </c>
      <c r="C10500">
        <v>0.17515901083499999</v>
      </c>
      <c r="D10500">
        <v>0.84428039215299999</v>
      </c>
      <c r="E10500">
        <v>7.1999999999999995E-2</v>
      </c>
    </row>
    <row r="10501" spans="1:5">
      <c r="A10501" t="s">
        <v>40661</v>
      </c>
      <c r="B10501" t="s">
        <v>40662</v>
      </c>
      <c r="C10501">
        <f>0.0364157233706</f>
        <v>3.6415723370599999E-2</v>
      </c>
      <c r="D10501">
        <v>0.83917919058299995</v>
      </c>
      <c r="E10501">
        <v>1.512</v>
      </c>
    </row>
    <row r="10502" spans="1:5">
      <c r="A10502" t="s">
        <v>40661</v>
      </c>
      <c r="B10502" t="s">
        <v>40663</v>
      </c>
      <c r="C10502">
        <v>0.104269538442</v>
      </c>
      <c r="D10502">
        <v>0.83917919058299995</v>
      </c>
      <c r="E10502">
        <v>1.512</v>
      </c>
    </row>
    <row r="10503" spans="1:5">
      <c r="A10503" t="s">
        <v>40661</v>
      </c>
      <c r="B10503" t="s">
        <v>40664</v>
      </c>
      <c r="C10503">
        <v>0.95861902557500001</v>
      </c>
      <c r="D10503">
        <v>0.83917919058299995</v>
      </c>
      <c r="E10503">
        <v>1.512</v>
      </c>
    </row>
    <row r="10504" spans="1:5">
      <c r="A10504" t="s">
        <v>40661</v>
      </c>
      <c r="B10504" t="s">
        <v>40665</v>
      </c>
      <c r="C10504">
        <f>0.260832043466</f>
        <v>0.26083204346599997</v>
      </c>
      <c r="D10504">
        <v>0.83917919058299995</v>
      </c>
      <c r="E10504">
        <v>1.512</v>
      </c>
    </row>
    <row r="10505" spans="1:5">
      <c r="A10505" t="s">
        <v>40666</v>
      </c>
      <c r="B10505" t="s">
        <v>40667</v>
      </c>
      <c r="C10505">
        <v>0</v>
      </c>
      <c r="D10505" t="s">
        <v>106</v>
      </c>
      <c r="E10505">
        <v>23.04</v>
      </c>
    </row>
    <row r="10506" spans="1:5">
      <c r="A10506" t="s">
        <v>40666</v>
      </c>
      <c r="B10506" t="s">
        <v>40668</v>
      </c>
      <c r="C10506">
        <v>0</v>
      </c>
      <c r="D10506" t="s">
        <v>106</v>
      </c>
      <c r="E10506">
        <v>23.04</v>
      </c>
    </row>
    <row r="10507" spans="1:5">
      <c r="A10507" t="s">
        <v>40666</v>
      </c>
      <c r="B10507" t="s">
        <v>40669</v>
      </c>
      <c r="C10507">
        <f>0</f>
        <v>0</v>
      </c>
      <c r="D10507" t="s">
        <v>106</v>
      </c>
      <c r="E10507">
        <v>23.04</v>
      </c>
    </row>
    <row r="10508" spans="1:5">
      <c r="A10508" t="s">
        <v>40670</v>
      </c>
      <c r="B10508" t="s">
        <v>17636</v>
      </c>
      <c r="C10508">
        <f>-1.60544651196</f>
        <v>-1.6054465119600001</v>
      </c>
      <c r="D10508">
        <v>0.99657456195100003</v>
      </c>
      <c r="E10508">
        <v>4.5839999999999996</v>
      </c>
    </row>
    <row r="10509" spans="1:5">
      <c r="A10509" t="s">
        <v>40670</v>
      </c>
      <c r="B10509" t="s">
        <v>17641</v>
      </c>
      <c r="C10509">
        <f>-1.46183223551</f>
        <v>-1.46183223551</v>
      </c>
      <c r="D10509">
        <v>0.99657456195100003</v>
      </c>
      <c r="E10509">
        <v>4.5839999999999996</v>
      </c>
    </row>
    <row r="10510" spans="1:5">
      <c r="A10510" t="s">
        <v>40670</v>
      </c>
      <c r="B10510" t="s">
        <v>17638</v>
      </c>
      <c r="C10510">
        <v>5.1291373884900002E-2</v>
      </c>
      <c r="D10510">
        <v>0.99657456195100003</v>
      </c>
      <c r="E10510">
        <v>4.5839999999999996</v>
      </c>
    </row>
    <row r="10511" spans="1:5">
      <c r="A10511" t="s">
        <v>40670</v>
      </c>
      <c r="B10511" t="s">
        <v>17637</v>
      </c>
      <c r="C10511">
        <v>0.27990739173399998</v>
      </c>
      <c r="D10511">
        <v>0.99657456195100003</v>
      </c>
      <c r="E10511">
        <v>4.5839999999999996</v>
      </c>
    </row>
    <row r="10512" spans="1:5">
      <c r="A10512" t="s">
        <v>40670</v>
      </c>
      <c r="B10512" t="s">
        <v>40671</v>
      </c>
      <c r="C10512">
        <f>0.0368931664315</f>
        <v>3.68931664315E-2</v>
      </c>
      <c r="D10512">
        <v>0.99657456195100003</v>
      </c>
      <c r="E10512">
        <v>4.5839999999999996</v>
      </c>
    </row>
    <row r="10513" spans="1:5">
      <c r="A10513" t="s">
        <v>40670</v>
      </c>
      <c r="B10513" t="s">
        <v>17640</v>
      </c>
      <c r="C10513">
        <v>1.19518200611</v>
      </c>
      <c r="D10513">
        <v>0.99657456195100003</v>
      </c>
      <c r="E10513">
        <v>4.5839999999999996</v>
      </c>
    </row>
    <row r="10514" spans="1:5">
      <c r="A10514" t="s">
        <v>40670</v>
      </c>
      <c r="B10514" t="s">
        <v>17635</v>
      </c>
      <c r="C10514">
        <v>0.601649043883</v>
      </c>
      <c r="D10514">
        <v>0.99657456195100003</v>
      </c>
      <c r="E10514">
        <v>4.5839999999999996</v>
      </c>
    </row>
    <row r="10515" spans="1:5">
      <c r="A10515" t="s">
        <v>40672</v>
      </c>
      <c r="B10515" t="s">
        <v>1853</v>
      </c>
      <c r="C10515">
        <v>0</v>
      </c>
      <c r="D10515">
        <v>0.51068818021600004</v>
      </c>
      <c r="E10515">
        <v>23.754000000000001</v>
      </c>
    </row>
    <row r="10516" spans="1:5">
      <c r="A10516" t="s">
        <v>40672</v>
      </c>
      <c r="B10516" t="s">
        <v>1854</v>
      </c>
      <c r="C10516">
        <f>0.0402413565408</f>
        <v>4.0241356540800001E-2</v>
      </c>
      <c r="D10516">
        <v>0.51068818021600004</v>
      </c>
      <c r="E10516">
        <v>23.754000000000001</v>
      </c>
    </row>
    <row r="10517" spans="1:5">
      <c r="A10517" t="s">
        <v>40672</v>
      </c>
      <c r="B10517" t="s">
        <v>1850</v>
      </c>
      <c r="C10517">
        <f>0</f>
        <v>0</v>
      </c>
      <c r="D10517">
        <v>0.51068818021600004</v>
      </c>
      <c r="E10517">
        <v>23.754000000000001</v>
      </c>
    </row>
    <row r="10518" spans="1:5">
      <c r="A10518" t="s">
        <v>40672</v>
      </c>
      <c r="B10518" t="s">
        <v>1851</v>
      </c>
      <c r="C10518">
        <f>0.29212806126</f>
        <v>0.29212806126000002</v>
      </c>
      <c r="D10518">
        <v>0.51068818021600004</v>
      </c>
      <c r="E10518">
        <v>23.754000000000001</v>
      </c>
    </row>
    <row r="10519" spans="1:5">
      <c r="A10519" t="s">
        <v>40672</v>
      </c>
      <c r="B10519" t="s">
        <v>1855</v>
      </c>
      <c r="C10519">
        <v>0</v>
      </c>
      <c r="D10519">
        <v>0.51068818021600004</v>
      </c>
      <c r="E10519">
        <v>23.754000000000001</v>
      </c>
    </row>
    <row r="10520" spans="1:5">
      <c r="A10520" t="s">
        <v>40673</v>
      </c>
      <c r="B10520" t="s">
        <v>11976</v>
      </c>
      <c r="C10520">
        <f>0.0733185299216</f>
        <v>7.3318529921599998E-2</v>
      </c>
      <c r="D10520">
        <v>0.81259583928599999</v>
      </c>
      <c r="E10520">
        <v>24</v>
      </c>
    </row>
    <row r="10521" spans="1:5">
      <c r="A10521" t="s">
        <v>40673</v>
      </c>
      <c r="B10521" t="s">
        <v>11978</v>
      </c>
      <c r="C10521">
        <f>0</f>
        <v>0</v>
      </c>
      <c r="D10521">
        <v>0.81259583928599999</v>
      </c>
      <c r="E10521">
        <v>24</v>
      </c>
    </row>
    <row r="10522" spans="1:5">
      <c r="A10522" t="s">
        <v>40673</v>
      </c>
      <c r="B10522" t="s">
        <v>11979</v>
      </c>
      <c r="C10522">
        <f>0</f>
        <v>0</v>
      </c>
      <c r="D10522">
        <v>0.81259583928599999</v>
      </c>
      <c r="E10522">
        <v>24</v>
      </c>
    </row>
    <row r="10523" spans="1:5">
      <c r="A10523" t="s">
        <v>40673</v>
      </c>
      <c r="B10523" t="s">
        <v>11977</v>
      </c>
      <c r="C10523">
        <v>0.64781935994600004</v>
      </c>
      <c r="D10523">
        <v>0.81259583928599999</v>
      </c>
      <c r="E10523">
        <v>24</v>
      </c>
    </row>
    <row r="10524" spans="1:5">
      <c r="A10524" t="s">
        <v>40674</v>
      </c>
      <c r="B10524" t="s">
        <v>14731</v>
      </c>
      <c r="C10524">
        <v>0</v>
      </c>
      <c r="D10524">
        <v>0.93818692513799995</v>
      </c>
      <c r="E10524">
        <v>7.1999999999999995E-2</v>
      </c>
    </row>
    <row r="10525" spans="1:5">
      <c r="A10525" t="s">
        <v>40674</v>
      </c>
      <c r="B10525" t="s">
        <v>14739</v>
      </c>
      <c r="C10525">
        <v>0.610873159444</v>
      </c>
      <c r="D10525">
        <v>0.93818692513799995</v>
      </c>
      <c r="E10525">
        <v>7.1999999999999995E-2</v>
      </c>
    </row>
    <row r="10526" spans="1:5">
      <c r="A10526" t="s">
        <v>40674</v>
      </c>
      <c r="B10526" t="s">
        <v>14738</v>
      </c>
      <c r="C10526">
        <v>0</v>
      </c>
      <c r="D10526">
        <v>0.93818692513799995</v>
      </c>
      <c r="E10526">
        <v>7.1999999999999995E-2</v>
      </c>
    </row>
    <row r="10527" spans="1:5">
      <c r="A10527" t="s">
        <v>40674</v>
      </c>
      <c r="B10527" t="s">
        <v>14737</v>
      </c>
      <c r="C10527">
        <v>0</v>
      </c>
      <c r="D10527">
        <v>0.93818692513799995</v>
      </c>
      <c r="E10527">
        <v>7.1999999999999995E-2</v>
      </c>
    </row>
    <row r="10528" spans="1:5">
      <c r="A10528" t="s">
        <v>40674</v>
      </c>
      <c r="B10528" t="s">
        <v>14743</v>
      </c>
      <c r="C10528">
        <v>0</v>
      </c>
      <c r="D10528">
        <v>0.93818692513799995</v>
      </c>
      <c r="E10528">
        <v>7.1999999999999995E-2</v>
      </c>
    </row>
    <row r="10529" spans="1:5">
      <c r="A10529" t="s">
        <v>40674</v>
      </c>
      <c r="B10529" t="s">
        <v>14740</v>
      </c>
      <c r="C10529">
        <v>0.145306269914</v>
      </c>
      <c r="D10529">
        <v>0.93818692513799995</v>
      </c>
      <c r="E10529">
        <v>7.1999999999999995E-2</v>
      </c>
    </row>
    <row r="10530" spans="1:5">
      <c r="A10530" t="s">
        <v>40674</v>
      </c>
      <c r="B10530" t="s">
        <v>14736</v>
      </c>
      <c r="C10530">
        <f>0</f>
        <v>0</v>
      </c>
      <c r="D10530">
        <v>0.93818692513799995</v>
      </c>
      <c r="E10530">
        <v>7.1999999999999995E-2</v>
      </c>
    </row>
    <row r="10531" spans="1:5">
      <c r="A10531" t="s">
        <v>40674</v>
      </c>
      <c r="B10531" t="s">
        <v>14734</v>
      </c>
      <c r="C10531">
        <v>5.5614889001199999E-2</v>
      </c>
      <c r="D10531">
        <v>0.93818692513799995</v>
      </c>
      <c r="E10531">
        <v>7.1999999999999995E-2</v>
      </c>
    </row>
    <row r="10532" spans="1:5">
      <c r="A10532" t="s">
        <v>40674</v>
      </c>
      <c r="B10532" t="s">
        <v>14735</v>
      </c>
      <c r="C10532">
        <v>0</v>
      </c>
      <c r="D10532">
        <v>0.93818692513799995</v>
      </c>
      <c r="E10532">
        <v>7.1999999999999995E-2</v>
      </c>
    </row>
    <row r="10533" spans="1:5">
      <c r="A10533" t="s">
        <v>40674</v>
      </c>
      <c r="B10533" t="s">
        <v>14742</v>
      </c>
      <c r="C10533">
        <v>0.340297853373</v>
      </c>
      <c r="D10533">
        <v>0.93818692513799995</v>
      </c>
      <c r="E10533">
        <v>7.1999999999999995E-2</v>
      </c>
    </row>
    <row r="10534" spans="1:5">
      <c r="A10534" t="s">
        <v>40674</v>
      </c>
      <c r="B10534" t="s">
        <v>14741</v>
      </c>
      <c r="C10534">
        <v>0</v>
      </c>
      <c r="D10534">
        <v>0.93818692513799995</v>
      </c>
      <c r="E10534">
        <v>7.1999999999999995E-2</v>
      </c>
    </row>
    <row r="10535" spans="1:5">
      <c r="A10535" t="s">
        <v>40675</v>
      </c>
      <c r="B10535" t="s">
        <v>25743</v>
      </c>
      <c r="C10535">
        <f>0.218711127595</f>
        <v>0.218711127595</v>
      </c>
      <c r="D10535">
        <v>0.99999307380000002</v>
      </c>
      <c r="E10535">
        <v>18.768000000000001</v>
      </c>
    </row>
    <row r="10536" spans="1:5">
      <c r="A10536" t="s">
        <v>40675</v>
      </c>
      <c r="B10536" t="s">
        <v>25746</v>
      </c>
      <c r="C10536">
        <f>0.620517995934</f>
        <v>0.62051799593400003</v>
      </c>
      <c r="D10536">
        <v>0.99999307380000002</v>
      </c>
      <c r="E10536">
        <v>18.768000000000001</v>
      </c>
    </row>
    <row r="10537" spans="1:5">
      <c r="A10537" t="s">
        <v>40675</v>
      </c>
      <c r="B10537" t="s">
        <v>25742</v>
      </c>
      <c r="C10537">
        <v>0.153084288382</v>
      </c>
      <c r="D10537">
        <v>0.99999307380000002</v>
      </c>
      <c r="E10537">
        <v>18.768000000000001</v>
      </c>
    </row>
    <row r="10538" spans="1:5">
      <c r="A10538" t="s">
        <v>40675</v>
      </c>
      <c r="B10538" t="s">
        <v>25747</v>
      </c>
      <c r="C10538">
        <f>0.271105335244</f>
        <v>0.27110533524399999</v>
      </c>
      <c r="D10538">
        <v>0.99999307380000002</v>
      </c>
      <c r="E10538">
        <v>18.768000000000001</v>
      </c>
    </row>
    <row r="10539" spans="1:5">
      <c r="A10539" t="s">
        <v>40675</v>
      </c>
      <c r="B10539" t="s">
        <v>25752</v>
      </c>
      <c r="C10539">
        <v>0.274661491403</v>
      </c>
      <c r="D10539">
        <v>0.99999307380000002</v>
      </c>
      <c r="E10539">
        <v>18.768000000000001</v>
      </c>
    </row>
    <row r="10540" spans="1:5">
      <c r="A10540" t="s">
        <v>40675</v>
      </c>
      <c r="B10540" t="s">
        <v>25753</v>
      </c>
      <c r="C10540">
        <f>0.92350688511</f>
        <v>0.92350688511000001</v>
      </c>
      <c r="D10540">
        <v>0.99999307380000002</v>
      </c>
      <c r="E10540">
        <v>18.768000000000001</v>
      </c>
    </row>
    <row r="10541" spans="1:5">
      <c r="A10541" t="s">
        <v>40675</v>
      </c>
      <c r="B10541" t="s">
        <v>25751</v>
      </c>
      <c r="C10541">
        <v>0.3054647157</v>
      </c>
      <c r="D10541">
        <v>0.99999307380000002</v>
      </c>
      <c r="E10541">
        <v>18.768000000000001</v>
      </c>
    </row>
    <row r="10542" spans="1:5">
      <c r="A10542" t="s">
        <v>40676</v>
      </c>
      <c r="B10542" t="s">
        <v>9119</v>
      </c>
      <c r="C10542">
        <v>0</v>
      </c>
      <c r="D10542" t="s">
        <v>106</v>
      </c>
      <c r="E10542">
        <v>18.768000000000001</v>
      </c>
    </row>
    <row r="10543" spans="1:5">
      <c r="A10543" t="s">
        <v>40676</v>
      </c>
      <c r="B10543" t="s">
        <v>9122</v>
      </c>
      <c r="C10543">
        <v>0</v>
      </c>
      <c r="D10543" t="s">
        <v>106</v>
      </c>
      <c r="E10543">
        <v>18.768000000000001</v>
      </c>
    </row>
    <row r="10544" spans="1:5">
      <c r="A10544" t="s">
        <v>40676</v>
      </c>
      <c r="B10544" t="s">
        <v>9120</v>
      </c>
      <c r="C10544">
        <f>0</f>
        <v>0</v>
      </c>
      <c r="D10544" t="s">
        <v>106</v>
      </c>
      <c r="E10544">
        <v>18.768000000000001</v>
      </c>
    </row>
    <row r="10545" spans="1:5">
      <c r="A10545" t="s">
        <v>40676</v>
      </c>
      <c r="B10545" t="s">
        <v>9121</v>
      </c>
      <c r="C10545">
        <v>0</v>
      </c>
      <c r="D10545" t="s">
        <v>106</v>
      </c>
      <c r="E10545">
        <v>18.768000000000001</v>
      </c>
    </row>
    <row r="10546" spans="1:5">
      <c r="A10546" t="s">
        <v>40677</v>
      </c>
      <c r="B10546" t="s">
        <v>32938</v>
      </c>
      <c r="C10546">
        <v>0</v>
      </c>
      <c r="D10546" t="s">
        <v>106</v>
      </c>
      <c r="E10546">
        <v>0.318</v>
      </c>
    </row>
    <row r="10547" spans="1:5">
      <c r="A10547" t="s">
        <v>40677</v>
      </c>
      <c r="B10547" t="s">
        <v>32937</v>
      </c>
      <c r="C10547">
        <f>0</f>
        <v>0</v>
      </c>
      <c r="D10547" t="s">
        <v>106</v>
      </c>
      <c r="E10547">
        <v>0.318</v>
      </c>
    </row>
    <row r="10548" spans="1:5">
      <c r="A10548" t="s">
        <v>40678</v>
      </c>
      <c r="B10548" t="s">
        <v>2139</v>
      </c>
      <c r="C10548">
        <v>0.15471932102800001</v>
      </c>
      <c r="D10548">
        <v>0.93745901124099995</v>
      </c>
      <c r="E10548">
        <v>6.3</v>
      </c>
    </row>
    <row r="10549" spans="1:5">
      <c r="A10549" t="s">
        <v>40678</v>
      </c>
      <c r="B10549" t="s">
        <v>2136</v>
      </c>
      <c r="C10549">
        <f>0</f>
        <v>0</v>
      </c>
      <c r="D10549">
        <v>0.93745901124099995</v>
      </c>
      <c r="E10549">
        <v>6.3</v>
      </c>
    </row>
    <row r="10550" spans="1:5">
      <c r="A10550" t="s">
        <v>40678</v>
      </c>
      <c r="B10550" t="s">
        <v>2133</v>
      </c>
      <c r="C10550">
        <f>0.294427845582</f>
        <v>0.29442784558200003</v>
      </c>
      <c r="D10550">
        <v>0.93745901124099995</v>
      </c>
      <c r="E10550">
        <v>6.3</v>
      </c>
    </row>
    <row r="10551" spans="1:5">
      <c r="A10551" t="s">
        <v>40678</v>
      </c>
      <c r="B10551" t="s">
        <v>2137</v>
      </c>
      <c r="C10551">
        <v>0</v>
      </c>
      <c r="D10551">
        <v>0.93745901124099995</v>
      </c>
      <c r="E10551">
        <v>6.3</v>
      </c>
    </row>
    <row r="10552" spans="1:5">
      <c r="A10552" t="s">
        <v>40678</v>
      </c>
      <c r="B10552" t="s">
        <v>2140</v>
      </c>
      <c r="C10552">
        <v>0</v>
      </c>
      <c r="D10552">
        <v>0.93745901124099995</v>
      </c>
      <c r="E10552">
        <v>6.3</v>
      </c>
    </row>
    <row r="10553" spans="1:5">
      <c r="A10553" t="s">
        <v>40678</v>
      </c>
      <c r="B10553" t="s">
        <v>2131</v>
      </c>
      <c r="C10553">
        <f>0</f>
        <v>0</v>
      </c>
      <c r="D10553">
        <v>0.93745901124099995</v>
      </c>
      <c r="E10553">
        <v>6.3</v>
      </c>
    </row>
    <row r="10554" spans="1:5">
      <c r="A10554" t="s">
        <v>40678</v>
      </c>
      <c r="B10554" t="s">
        <v>2134</v>
      </c>
      <c r="C10554">
        <v>0.43447708109200001</v>
      </c>
      <c r="D10554">
        <v>0.93745901124099995</v>
      </c>
      <c r="E10554">
        <v>6.3</v>
      </c>
    </row>
    <row r="10555" spans="1:5">
      <c r="A10555" t="s">
        <v>40678</v>
      </c>
      <c r="B10555" t="s">
        <v>2138</v>
      </c>
      <c r="C10555">
        <f>0</f>
        <v>0</v>
      </c>
      <c r="D10555">
        <v>0.93745901124099995</v>
      </c>
      <c r="E10555">
        <v>6.3</v>
      </c>
    </row>
    <row r="10556" spans="1:5">
      <c r="A10556" t="s">
        <v>40679</v>
      </c>
      <c r="B10556" t="s">
        <v>21132</v>
      </c>
      <c r="C10556">
        <f>0.322294869709</f>
        <v>0.32229486970900001</v>
      </c>
      <c r="D10556">
        <v>0.90594261176099999</v>
      </c>
      <c r="E10556">
        <v>0</v>
      </c>
    </row>
    <row r="10557" spans="1:5">
      <c r="A10557" t="s">
        <v>40679</v>
      </c>
      <c r="B10557" t="s">
        <v>21133</v>
      </c>
      <c r="C10557">
        <v>1.0556901224499999</v>
      </c>
      <c r="D10557">
        <v>0.90594261176099999</v>
      </c>
      <c r="E10557">
        <v>0</v>
      </c>
    </row>
    <row r="10558" spans="1:5">
      <c r="A10558" t="s">
        <v>40680</v>
      </c>
      <c r="B10558" t="s">
        <v>32141</v>
      </c>
      <c r="C10558">
        <f>0.199870304269</f>
        <v>0.19987030426899999</v>
      </c>
      <c r="D10558">
        <v>0.93148904041799996</v>
      </c>
      <c r="E10558">
        <v>23.754000000000001</v>
      </c>
    </row>
    <row r="10559" spans="1:5">
      <c r="A10559" t="s">
        <v>40680</v>
      </c>
      <c r="B10559" t="s">
        <v>32138</v>
      </c>
      <c r="C10559">
        <f>-1.35688327889</f>
        <v>-1.35688327889</v>
      </c>
      <c r="D10559">
        <v>0.93148904041799996</v>
      </c>
      <c r="E10559">
        <v>23.754000000000001</v>
      </c>
    </row>
    <row r="10560" spans="1:5">
      <c r="A10560" t="s">
        <v>40680</v>
      </c>
      <c r="B10560" t="s">
        <v>32140</v>
      </c>
      <c r="C10560">
        <v>0.134255134212</v>
      </c>
      <c r="D10560">
        <v>0.93148904041799996</v>
      </c>
      <c r="E10560">
        <v>23.754000000000001</v>
      </c>
    </row>
    <row r="10561" spans="1:5">
      <c r="A10561" t="s">
        <v>40680</v>
      </c>
      <c r="B10561" t="s">
        <v>32139</v>
      </c>
      <c r="C10561">
        <v>0.53497520412199995</v>
      </c>
      <c r="D10561">
        <v>0.93148904041799996</v>
      </c>
      <c r="E10561">
        <v>23.754000000000001</v>
      </c>
    </row>
    <row r="10562" spans="1:5">
      <c r="A10562" t="s">
        <v>40681</v>
      </c>
      <c r="B10562" t="s">
        <v>26997</v>
      </c>
      <c r="C10562">
        <v>0.41829543840099997</v>
      </c>
      <c r="D10562">
        <v>0.52070543840100003</v>
      </c>
      <c r="E10562">
        <v>23.52</v>
      </c>
    </row>
    <row r="10563" spans="1:5">
      <c r="A10563" t="s">
        <v>40681</v>
      </c>
      <c r="B10563" t="s">
        <v>26999</v>
      </c>
      <c r="C10563">
        <v>0</v>
      </c>
      <c r="D10563">
        <v>0.52070543840100003</v>
      </c>
      <c r="E10563">
        <v>23.52</v>
      </c>
    </row>
    <row r="10564" spans="1:5">
      <c r="A10564" t="s">
        <v>40682</v>
      </c>
      <c r="B10564" t="s">
        <v>17974</v>
      </c>
      <c r="C10564">
        <v>0</v>
      </c>
      <c r="D10564" t="s">
        <v>106</v>
      </c>
      <c r="E10564">
        <v>24</v>
      </c>
    </row>
    <row r="10565" spans="1:5">
      <c r="A10565" t="s">
        <v>40682</v>
      </c>
      <c r="B10565" t="s">
        <v>17976</v>
      </c>
      <c r="C10565">
        <v>0</v>
      </c>
      <c r="D10565" t="s">
        <v>106</v>
      </c>
      <c r="E10565">
        <v>24</v>
      </c>
    </row>
    <row r="10566" spans="1:5">
      <c r="A10566" t="s">
        <v>40683</v>
      </c>
      <c r="B10566" t="s">
        <v>40684</v>
      </c>
      <c r="C10566">
        <v>0</v>
      </c>
      <c r="D10566">
        <v>0.66666309851200001</v>
      </c>
      <c r="E10566">
        <v>19.2</v>
      </c>
    </row>
    <row r="10567" spans="1:5">
      <c r="A10567" t="s">
        <v>40683</v>
      </c>
      <c r="B10567" t="s">
        <v>40685</v>
      </c>
      <c r="C10567">
        <v>0.39625309851200002</v>
      </c>
      <c r="D10567">
        <v>0.66666309851200001</v>
      </c>
      <c r="E10567">
        <v>19.2</v>
      </c>
    </row>
    <row r="10568" spans="1:5">
      <c r="A10568" t="s">
        <v>40683</v>
      </c>
      <c r="B10568" t="s">
        <v>40686</v>
      </c>
      <c r="C10568">
        <v>0</v>
      </c>
      <c r="D10568">
        <v>0.66666309851200001</v>
      </c>
      <c r="E10568">
        <v>19.2</v>
      </c>
    </row>
    <row r="10569" spans="1:5">
      <c r="A10569" t="s">
        <v>40683</v>
      </c>
      <c r="B10569" t="s">
        <v>40687</v>
      </c>
      <c r="C10569">
        <f>0</f>
        <v>0</v>
      </c>
      <c r="D10569">
        <v>0.66666309851200001</v>
      </c>
      <c r="E10569">
        <v>19.2</v>
      </c>
    </row>
    <row r="10570" spans="1:5">
      <c r="A10570" t="s">
        <v>40683</v>
      </c>
      <c r="B10570" t="s">
        <v>40688</v>
      </c>
      <c r="C10570">
        <v>0</v>
      </c>
      <c r="D10570">
        <v>0.66666309851200001</v>
      </c>
      <c r="E10570">
        <v>19.2</v>
      </c>
    </row>
    <row r="10571" spans="1:5">
      <c r="A10571" t="s">
        <v>40683</v>
      </c>
      <c r="B10571" t="s">
        <v>40689</v>
      </c>
      <c r="C10571">
        <f>0</f>
        <v>0</v>
      </c>
      <c r="D10571">
        <v>0.66666309851200001</v>
      </c>
      <c r="E10571">
        <v>19.2</v>
      </c>
    </row>
    <row r="10572" spans="1:5">
      <c r="A10572" t="s">
        <v>40683</v>
      </c>
      <c r="B10572" t="s">
        <v>40690</v>
      </c>
      <c r="C10572">
        <f>0</f>
        <v>0</v>
      </c>
      <c r="D10572">
        <v>0.66666309851200001</v>
      </c>
      <c r="E10572">
        <v>19.2</v>
      </c>
    </row>
    <row r="10573" spans="1:5">
      <c r="A10573" t="s">
        <v>40691</v>
      </c>
      <c r="B10573" t="s">
        <v>2516</v>
      </c>
      <c r="C10573">
        <f>0</f>
        <v>0</v>
      </c>
      <c r="D10573" t="s">
        <v>106</v>
      </c>
      <c r="E10573">
        <v>2.4E-2</v>
      </c>
    </row>
    <row r="10574" spans="1:5">
      <c r="A10574" t="s">
        <v>40691</v>
      </c>
      <c r="B10574" t="s">
        <v>2518</v>
      </c>
      <c r="C10574">
        <v>0</v>
      </c>
      <c r="D10574" t="s">
        <v>106</v>
      </c>
      <c r="E10574">
        <v>2.4E-2</v>
      </c>
    </row>
    <row r="10575" spans="1:5">
      <c r="A10575" t="s">
        <v>40691</v>
      </c>
      <c r="B10575" t="s">
        <v>2519</v>
      </c>
      <c r="C10575">
        <v>0</v>
      </c>
      <c r="D10575" t="s">
        <v>106</v>
      </c>
      <c r="E10575">
        <v>2.4E-2</v>
      </c>
    </row>
    <row r="10576" spans="1:5">
      <c r="A10576" t="s">
        <v>40691</v>
      </c>
      <c r="B10576" t="s">
        <v>2521</v>
      </c>
      <c r="C10576">
        <v>0</v>
      </c>
      <c r="D10576" t="s">
        <v>106</v>
      </c>
      <c r="E10576">
        <v>2.4E-2</v>
      </c>
    </row>
    <row r="10577" spans="1:5">
      <c r="A10577" t="s">
        <v>40691</v>
      </c>
      <c r="B10577" t="s">
        <v>2520</v>
      </c>
      <c r="C10577">
        <v>0</v>
      </c>
      <c r="D10577" t="s">
        <v>106</v>
      </c>
      <c r="E10577">
        <v>2.4E-2</v>
      </c>
    </row>
    <row r="10578" spans="1:5">
      <c r="A10578" t="s">
        <v>40692</v>
      </c>
      <c r="B10578" t="s">
        <v>40693</v>
      </c>
      <c r="C10578">
        <f>0.859737520942</f>
        <v>0.85973752094199996</v>
      </c>
      <c r="D10578">
        <v>0.99256101329500002</v>
      </c>
      <c r="E10578">
        <v>13.818</v>
      </c>
    </row>
    <row r="10579" spans="1:5">
      <c r="A10579" t="s">
        <v>40692</v>
      </c>
      <c r="B10579" t="s">
        <v>40694</v>
      </c>
      <c r="C10579">
        <v>0.42626756062100002</v>
      </c>
      <c r="D10579">
        <v>0.99256101329500002</v>
      </c>
      <c r="E10579">
        <v>13.818</v>
      </c>
    </row>
    <row r="10580" spans="1:5">
      <c r="A10580" t="s">
        <v>40692</v>
      </c>
      <c r="B10580" t="s">
        <v>40695</v>
      </c>
      <c r="C10580">
        <f>0.378553948398</f>
        <v>0.378553948398</v>
      </c>
      <c r="D10580">
        <v>0.99256101329500002</v>
      </c>
      <c r="E10580">
        <v>13.818</v>
      </c>
    </row>
    <row r="10581" spans="1:5">
      <c r="A10581" t="s">
        <v>40692</v>
      </c>
      <c r="B10581" t="s">
        <v>40696</v>
      </c>
      <c r="C10581">
        <f>-1.06385969243</f>
        <v>-1.0638596924299999</v>
      </c>
      <c r="D10581">
        <v>0.99256101329500002</v>
      </c>
      <c r="E10581">
        <v>13.818</v>
      </c>
    </row>
    <row r="10582" spans="1:5">
      <c r="A10582" t="s">
        <v>40692</v>
      </c>
      <c r="B10582" t="s">
        <v>40697</v>
      </c>
      <c r="C10582">
        <f>0.186135019625</f>
        <v>0.18613501962500001</v>
      </c>
      <c r="D10582">
        <v>0.99256101329500002</v>
      </c>
      <c r="E10582">
        <v>13.818</v>
      </c>
    </row>
    <row r="10583" spans="1:5">
      <c r="A10583" t="s">
        <v>40698</v>
      </c>
      <c r="B10583" t="s">
        <v>2981</v>
      </c>
      <c r="C10583">
        <f>0.192896768293</f>
        <v>0.19289676829300001</v>
      </c>
      <c r="D10583">
        <v>0.89958276743300003</v>
      </c>
      <c r="E10583">
        <v>3.78</v>
      </c>
    </row>
    <row r="10584" spans="1:5">
      <c r="A10584" t="s">
        <v>40698</v>
      </c>
      <c r="B10584" t="s">
        <v>2991</v>
      </c>
      <c r="C10584">
        <f>0</f>
        <v>0</v>
      </c>
      <c r="D10584">
        <v>0.89958276743300003</v>
      </c>
      <c r="E10584">
        <v>3.78</v>
      </c>
    </row>
    <row r="10585" spans="1:5">
      <c r="A10585" t="s">
        <v>40698</v>
      </c>
      <c r="B10585" t="s">
        <v>2987</v>
      </c>
      <c r="C10585">
        <v>0</v>
      </c>
      <c r="D10585">
        <v>0.89958276743300003</v>
      </c>
      <c r="E10585">
        <v>3.78</v>
      </c>
    </row>
    <row r="10586" spans="1:5">
      <c r="A10586" t="s">
        <v>40698</v>
      </c>
      <c r="B10586" t="s">
        <v>2995</v>
      </c>
      <c r="C10586">
        <f>0.363676308952</f>
        <v>0.36367630895199998</v>
      </c>
      <c r="D10586">
        <v>0.89958276743300003</v>
      </c>
      <c r="E10586">
        <v>3.78</v>
      </c>
    </row>
    <row r="10587" spans="1:5">
      <c r="A10587" t="s">
        <v>40698</v>
      </c>
      <c r="B10587" t="s">
        <v>2990</v>
      </c>
      <c r="C10587">
        <f>0</f>
        <v>0</v>
      </c>
      <c r="D10587">
        <v>0.89958276743300003</v>
      </c>
      <c r="E10587">
        <v>3.78</v>
      </c>
    </row>
    <row r="10588" spans="1:5">
      <c r="A10588" t="s">
        <v>40698</v>
      </c>
      <c r="B10588" t="s">
        <v>2986</v>
      </c>
      <c r="C10588">
        <f>0.319794412327</f>
        <v>0.31979441232700001</v>
      </c>
      <c r="D10588">
        <v>0.89958276743300003</v>
      </c>
      <c r="E10588">
        <v>3.78</v>
      </c>
    </row>
    <row r="10589" spans="1:5">
      <c r="A10589" t="s">
        <v>40698</v>
      </c>
      <c r="B10589" t="s">
        <v>2989</v>
      </c>
      <c r="C10589">
        <f>0</f>
        <v>0</v>
      </c>
      <c r="D10589">
        <v>0.89958276743300003</v>
      </c>
      <c r="E10589">
        <v>3.78</v>
      </c>
    </row>
    <row r="10590" spans="1:5">
      <c r="A10590" t="s">
        <v>40698</v>
      </c>
      <c r="B10590" t="s">
        <v>2983</v>
      </c>
      <c r="C10590">
        <f>0</f>
        <v>0</v>
      </c>
      <c r="D10590">
        <v>0.89958276743300003</v>
      </c>
      <c r="E10590">
        <v>3.78</v>
      </c>
    </row>
    <row r="10591" spans="1:5">
      <c r="A10591" t="s">
        <v>40698</v>
      </c>
      <c r="B10591" t="s">
        <v>2994</v>
      </c>
      <c r="C10591">
        <f>0</f>
        <v>0</v>
      </c>
      <c r="D10591">
        <v>0.89958276743300003</v>
      </c>
      <c r="E10591">
        <v>3.78</v>
      </c>
    </row>
    <row r="10592" spans="1:5">
      <c r="A10592" t="s">
        <v>40699</v>
      </c>
      <c r="B10592" t="s">
        <v>30256</v>
      </c>
      <c r="C10592">
        <f>0</f>
        <v>0</v>
      </c>
      <c r="D10592" t="s">
        <v>106</v>
      </c>
      <c r="E10592">
        <v>24</v>
      </c>
    </row>
    <row r="10593" spans="1:5">
      <c r="A10593" t="s">
        <v>40699</v>
      </c>
      <c r="B10593" t="s">
        <v>30247</v>
      </c>
      <c r="C10593">
        <f>0</f>
        <v>0</v>
      </c>
      <c r="D10593" t="s">
        <v>106</v>
      </c>
      <c r="E10593">
        <v>24</v>
      </c>
    </row>
    <row r="10594" spans="1:5">
      <c r="A10594" t="s">
        <v>40699</v>
      </c>
      <c r="B10594" t="s">
        <v>30249</v>
      </c>
      <c r="C10594">
        <f>0</f>
        <v>0</v>
      </c>
      <c r="D10594" t="s">
        <v>106</v>
      </c>
      <c r="E10594">
        <v>24</v>
      </c>
    </row>
    <row r="10595" spans="1:5">
      <c r="A10595" t="s">
        <v>40699</v>
      </c>
      <c r="B10595" t="s">
        <v>30251</v>
      </c>
      <c r="C10595">
        <v>0</v>
      </c>
      <c r="D10595" t="s">
        <v>106</v>
      </c>
      <c r="E10595">
        <v>24</v>
      </c>
    </row>
    <row r="10596" spans="1:5">
      <c r="A10596" t="s">
        <v>40699</v>
      </c>
      <c r="B10596" t="s">
        <v>30252</v>
      </c>
      <c r="C10596">
        <f>0</f>
        <v>0</v>
      </c>
      <c r="D10596" t="s">
        <v>106</v>
      </c>
      <c r="E10596">
        <v>24</v>
      </c>
    </row>
    <row r="10597" spans="1:5">
      <c r="A10597" t="s">
        <v>40699</v>
      </c>
      <c r="B10597" t="s">
        <v>30250</v>
      </c>
      <c r="C10597">
        <v>0</v>
      </c>
      <c r="D10597" t="s">
        <v>106</v>
      </c>
      <c r="E10597">
        <v>24</v>
      </c>
    </row>
    <row r="10598" spans="1:5">
      <c r="A10598" t="s">
        <v>40700</v>
      </c>
      <c r="B10598" t="s">
        <v>2386</v>
      </c>
      <c r="C10598">
        <f>0.0105925563358</f>
        <v>1.05925563358E-2</v>
      </c>
      <c r="D10598">
        <v>0.99959862014500001</v>
      </c>
      <c r="E10598">
        <v>23.754000000000001</v>
      </c>
    </row>
    <row r="10599" spans="1:5">
      <c r="A10599" t="s">
        <v>40700</v>
      </c>
      <c r="B10599" t="s">
        <v>2389</v>
      </c>
      <c r="C10599">
        <v>0.58817260710899999</v>
      </c>
      <c r="D10599">
        <v>0.99959862014500001</v>
      </c>
      <c r="E10599">
        <v>23.754000000000001</v>
      </c>
    </row>
    <row r="10600" spans="1:5">
      <c r="A10600" t="s">
        <v>40700</v>
      </c>
      <c r="B10600" t="s">
        <v>2388</v>
      </c>
      <c r="C10600">
        <v>0.59852700134100001</v>
      </c>
      <c r="D10600">
        <v>0.99959862014500001</v>
      </c>
      <c r="E10600">
        <v>23.754000000000001</v>
      </c>
    </row>
    <row r="10601" spans="1:5">
      <c r="A10601" t="s">
        <v>40700</v>
      </c>
      <c r="B10601" t="s">
        <v>2392</v>
      </c>
      <c r="C10601">
        <f>0.557314979678</f>
        <v>0.55731497967800003</v>
      </c>
      <c r="D10601">
        <v>0.99959862014500001</v>
      </c>
      <c r="E10601">
        <v>23.754000000000001</v>
      </c>
    </row>
    <row r="10602" spans="1:5">
      <c r="A10602" t="s">
        <v>40700</v>
      </c>
      <c r="B10602" t="s">
        <v>2391</v>
      </c>
      <c r="C10602">
        <v>0.96331588405799995</v>
      </c>
      <c r="D10602">
        <v>0.99959862014500001</v>
      </c>
      <c r="E10602">
        <v>23.754000000000001</v>
      </c>
    </row>
    <row r="10603" spans="1:5">
      <c r="A10603" t="s">
        <v>40700</v>
      </c>
      <c r="B10603" t="s">
        <v>2393</v>
      </c>
      <c r="C10603">
        <v>0.197589315944</v>
      </c>
      <c r="D10603">
        <v>0.99959862014500001</v>
      </c>
      <c r="E10603">
        <v>23.754000000000001</v>
      </c>
    </row>
    <row r="10604" spans="1:5">
      <c r="A10604" t="s">
        <v>40701</v>
      </c>
      <c r="B10604" t="s">
        <v>40702</v>
      </c>
      <c r="C10604">
        <v>0</v>
      </c>
      <c r="D10604">
        <v>0.961740607139</v>
      </c>
      <c r="E10604">
        <v>4.5839999999999996</v>
      </c>
    </row>
    <row r="10605" spans="1:5">
      <c r="A10605" t="s">
        <v>40701</v>
      </c>
      <c r="B10605" t="s">
        <v>40703</v>
      </c>
      <c r="C10605">
        <v>1.4253721217499999</v>
      </c>
      <c r="D10605">
        <v>0.961740607139</v>
      </c>
      <c r="E10605">
        <v>4.5839999999999996</v>
      </c>
    </row>
    <row r="10606" spans="1:5">
      <c r="A10606" t="s">
        <v>40701</v>
      </c>
      <c r="B10606" t="s">
        <v>40704</v>
      </c>
      <c r="C10606">
        <v>0.46169888128499997</v>
      </c>
      <c r="D10606">
        <v>0.961740607139</v>
      </c>
      <c r="E10606">
        <v>4.5839999999999996</v>
      </c>
    </row>
    <row r="10607" spans="1:5">
      <c r="A10607" t="s">
        <v>40701</v>
      </c>
      <c r="B10607" t="s">
        <v>40705</v>
      </c>
      <c r="C10607">
        <v>0</v>
      </c>
      <c r="D10607">
        <v>0.961740607139</v>
      </c>
      <c r="E10607">
        <v>4.5839999999999996</v>
      </c>
    </row>
    <row r="10608" spans="1:5">
      <c r="A10608" t="s">
        <v>40701</v>
      </c>
      <c r="B10608" t="s">
        <v>40706</v>
      </c>
      <c r="C10608">
        <f>0.952214160752</f>
        <v>0.95221416075200005</v>
      </c>
      <c r="D10608">
        <v>0.961740607139</v>
      </c>
      <c r="E10608">
        <v>4.5839999999999996</v>
      </c>
    </row>
    <row r="10609" spans="1:5">
      <c r="A10609" t="s">
        <v>40701</v>
      </c>
      <c r="B10609" t="s">
        <v>40707</v>
      </c>
      <c r="C10609">
        <f>0</f>
        <v>0</v>
      </c>
      <c r="D10609">
        <v>0.961740607139</v>
      </c>
      <c r="E10609">
        <v>4.5839999999999996</v>
      </c>
    </row>
    <row r="10610" spans="1:5">
      <c r="A10610" t="s">
        <v>40701</v>
      </c>
      <c r="B10610" t="s">
        <v>40708</v>
      </c>
      <c r="C10610">
        <f>0.0214000580178</f>
        <v>2.1400058017800001E-2</v>
      </c>
      <c r="D10610">
        <v>0.961740607139</v>
      </c>
      <c r="E10610">
        <v>4.5839999999999996</v>
      </c>
    </row>
    <row r="10611" spans="1:5">
      <c r="A10611" t="s">
        <v>40709</v>
      </c>
      <c r="B10611" t="s">
        <v>40710</v>
      </c>
      <c r="C10611">
        <v>0.37122541505399997</v>
      </c>
      <c r="D10611">
        <v>0.616958240883</v>
      </c>
      <c r="E10611">
        <v>0</v>
      </c>
    </row>
    <row r="10612" spans="1:5">
      <c r="A10612" t="s">
        <v>40709</v>
      </c>
      <c r="B10612" t="s">
        <v>40711</v>
      </c>
      <c r="C10612">
        <f>0.714468881908</f>
        <v>0.71446888190799995</v>
      </c>
      <c r="D10612">
        <v>0.616958240883</v>
      </c>
      <c r="E10612">
        <v>0</v>
      </c>
    </row>
    <row r="10613" spans="1:5">
      <c r="A10613" t="s">
        <v>40712</v>
      </c>
      <c r="B10613" t="s">
        <v>40713</v>
      </c>
      <c r="C10613">
        <v>0.48244833893200001</v>
      </c>
      <c r="D10613">
        <v>0.87104125960900003</v>
      </c>
      <c r="E10613">
        <v>10.554</v>
      </c>
    </row>
    <row r="10614" spans="1:5">
      <c r="A10614" t="s">
        <v>40712</v>
      </c>
      <c r="B10614" t="s">
        <v>40714</v>
      </c>
      <c r="C10614">
        <v>0.92202836920800002</v>
      </c>
      <c r="D10614">
        <v>0.87104125960900003</v>
      </c>
      <c r="E10614">
        <v>10.554</v>
      </c>
    </row>
    <row r="10615" spans="1:5">
      <c r="A10615" t="s">
        <v>40712</v>
      </c>
      <c r="B10615" t="s">
        <v>40715</v>
      </c>
      <c r="C10615">
        <f>0</f>
        <v>0</v>
      </c>
      <c r="D10615">
        <v>0.87104125960900003</v>
      </c>
      <c r="E10615">
        <v>10.554</v>
      </c>
    </row>
    <row r="10616" spans="1:5">
      <c r="A10616" t="s">
        <v>40712</v>
      </c>
      <c r="B10616" t="s">
        <v>40716</v>
      </c>
      <c r="C10616">
        <v>0</v>
      </c>
      <c r="D10616">
        <v>0.87104125960900003</v>
      </c>
      <c r="E10616">
        <v>10.554</v>
      </c>
    </row>
    <row r="10617" spans="1:5">
      <c r="A10617" t="s">
        <v>40717</v>
      </c>
      <c r="B10617" t="s">
        <v>28950</v>
      </c>
      <c r="C10617">
        <f>0</f>
        <v>0</v>
      </c>
      <c r="D10617">
        <v>0.80818008750899994</v>
      </c>
      <c r="E10617">
        <v>6.4260000000000002</v>
      </c>
    </row>
    <row r="10618" spans="1:5">
      <c r="A10618" t="s">
        <v>40717</v>
      </c>
      <c r="B10618" t="s">
        <v>28957</v>
      </c>
      <c r="C10618">
        <v>0</v>
      </c>
      <c r="D10618">
        <v>0.80818008750899994</v>
      </c>
      <c r="E10618">
        <v>6.4260000000000002</v>
      </c>
    </row>
    <row r="10619" spans="1:5">
      <c r="A10619" t="s">
        <v>40717</v>
      </c>
      <c r="B10619" t="s">
        <v>28952</v>
      </c>
      <c r="C10619">
        <f>0.59613024382</f>
        <v>0.59613024382000002</v>
      </c>
      <c r="D10619">
        <v>0.80818008750899994</v>
      </c>
      <c r="E10619">
        <v>6.4260000000000002</v>
      </c>
    </row>
    <row r="10620" spans="1:5">
      <c r="A10620" t="s">
        <v>40717</v>
      </c>
      <c r="B10620" t="s">
        <v>28951</v>
      </c>
      <c r="C10620">
        <f>0</f>
        <v>0</v>
      </c>
      <c r="D10620">
        <v>0.80818008750899994</v>
      </c>
      <c r="E10620">
        <v>6.4260000000000002</v>
      </c>
    </row>
    <row r="10621" spans="1:5">
      <c r="A10621" t="s">
        <v>40717</v>
      </c>
      <c r="B10621" t="s">
        <v>28955</v>
      </c>
      <c r="C10621">
        <f>0.0435419291697</f>
        <v>4.3541929169699997E-2</v>
      </c>
      <c r="D10621">
        <v>0.80818008750899994</v>
      </c>
      <c r="E10621">
        <v>6.4260000000000002</v>
      </c>
    </row>
    <row r="10622" spans="1:5">
      <c r="A10622" t="s">
        <v>40717</v>
      </c>
      <c r="B10622" t="s">
        <v>28956</v>
      </c>
      <c r="C10622">
        <f>0</f>
        <v>0</v>
      </c>
      <c r="D10622">
        <v>0.80818008750899994</v>
      </c>
      <c r="E10622">
        <v>6.4260000000000002</v>
      </c>
    </row>
    <row r="10623" spans="1:5">
      <c r="A10623" t="s">
        <v>40718</v>
      </c>
      <c r="B10623" t="s">
        <v>40719</v>
      </c>
      <c r="C10623">
        <f>0.623437898688</f>
        <v>0.62343789868800004</v>
      </c>
      <c r="D10623">
        <v>0.985562268633</v>
      </c>
      <c r="E10623">
        <v>2.1779999999999999</v>
      </c>
    </row>
    <row r="10624" spans="1:5">
      <c r="A10624" t="s">
        <v>40718</v>
      </c>
      <c r="B10624" t="s">
        <v>40720</v>
      </c>
      <c r="C10624">
        <f>0.098176867308</f>
        <v>9.8176867308000001E-2</v>
      </c>
      <c r="D10624">
        <v>0.985562268633</v>
      </c>
      <c r="E10624">
        <v>2.1779999999999999</v>
      </c>
    </row>
    <row r="10625" spans="1:5">
      <c r="A10625" t="s">
        <v>40718</v>
      </c>
      <c r="B10625" t="s">
        <v>40721</v>
      </c>
      <c r="C10625">
        <v>0.188090910651</v>
      </c>
      <c r="D10625">
        <v>0.985562268633</v>
      </c>
      <c r="E10625">
        <v>2.1779999999999999</v>
      </c>
    </row>
    <row r="10626" spans="1:5">
      <c r="A10626" t="s">
        <v>40718</v>
      </c>
      <c r="B10626" t="s">
        <v>40722</v>
      </c>
      <c r="C10626">
        <v>1.3720361350700001</v>
      </c>
      <c r="D10626">
        <v>0.985562268633</v>
      </c>
      <c r="E10626">
        <v>2.1779999999999999</v>
      </c>
    </row>
    <row r="10627" spans="1:5">
      <c r="A10627" t="s">
        <v>40718</v>
      </c>
      <c r="B10627" t="s">
        <v>40723</v>
      </c>
      <c r="C10627">
        <f>0.321006092162</f>
        <v>0.32100609216199999</v>
      </c>
      <c r="D10627">
        <v>0.985562268633</v>
      </c>
      <c r="E10627">
        <v>2.1779999999999999</v>
      </c>
    </row>
    <row r="10628" spans="1:5">
      <c r="A10628" t="s">
        <v>40724</v>
      </c>
      <c r="B10628" t="s">
        <v>17696</v>
      </c>
      <c r="C10628">
        <v>0.22030397879899999</v>
      </c>
      <c r="D10628">
        <v>0.55702992993400002</v>
      </c>
      <c r="E10628">
        <v>4.3739999999999997</v>
      </c>
    </row>
    <row r="10629" spans="1:5">
      <c r="A10629" t="s">
        <v>40724</v>
      </c>
      <c r="B10629" t="s">
        <v>17698</v>
      </c>
      <c r="C10629">
        <v>0.43067413546799999</v>
      </c>
      <c r="D10629">
        <v>0.55702992993400002</v>
      </c>
      <c r="E10629">
        <v>4.3739999999999997</v>
      </c>
    </row>
    <row r="10630" spans="1:5">
      <c r="A10630" t="s">
        <v>40725</v>
      </c>
      <c r="B10630" t="s">
        <v>7058</v>
      </c>
      <c r="C10630">
        <v>0</v>
      </c>
      <c r="D10630">
        <v>0.87202585419199996</v>
      </c>
      <c r="E10630">
        <v>6.5519999999999996</v>
      </c>
    </row>
    <row r="10631" spans="1:5">
      <c r="A10631" t="s">
        <v>40725</v>
      </c>
      <c r="B10631" t="s">
        <v>7059</v>
      </c>
      <c r="C10631">
        <f>0.712237777945</f>
        <v>0.71223777794499998</v>
      </c>
      <c r="D10631">
        <v>0.87202585419199996</v>
      </c>
      <c r="E10631">
        <v>6.5519999999999996</v>
      </c>
    </row>
    <row r="10632" spans="1:5">
      <c r="A10632" t="s">
        <v>40725</v>
      </c>
      <c r="B10632" t="s">
        <v>7056</v>
      </c>
      <c r="C10632">
        <v>2.4301451534999999E-3</v>
      </c>
      <c r="D10632">
        <v>0.87202585419199996</v>
      </c>
      <c r="E10632">
        <v>6.5519999999999996</v>
      </c>
    </row>
    <row r="10633" spans="1:5">
      <c r="A10633" t="s">
        <v>40725</v>
      </c>
      <c r="B10633" t="s">
        <v>7062</v>
      </c>
      <c r="C10633">
        <f>0</f>
        <v>0</v>
      </c>
      <c r="D10633">
        <v>0.87202585419199996</v>
      </c>
      <c r="E10633">
        <v>6.5519999999999996</v>
      </c>
    </row>
    <row r="10634" spans="1:5">
      <c r="A10634" t="s">
        <v>40725</v>
      </c>
      <c r="B10634" t="s">
        <v>7057</v>
      </c>
      <c r="C10634">
        <v>0</v>
      </c>
      <c r="D10634">
        <v>0.87202585419199996</v>
      </c>
      <c r="E10634">
        <v>6.5519999999999996</v>
      </c>
    </row>
    <row r="10635" spans="1:5">
      <c r="A10635" t="s">
        <v>40726</v>
      </c>
      <c r="B10635" t="s">
        <v>22797</v>
      </c>
      <c r="C10635">
        <f>0.490459488087</f>
        <v>0.49045948808700002</v>
      </c>
      <c r="D10635">
        <v>0.82716781110199999</v>
      </c>
      <c r="E10635">
        <v>10.878</v>
      </c>
    </row>
    <row r="10636" spans="1:5">
      <c r="A10636" t="s">
        <v>40726</v>
      </c>
      <c r="B10636" t="s">
        <v>22798</v>
      </c>
      <c r="C10636">
        <f>0.405112478734</f>
        <v>0.40511247873400003</v>
      </c>
      <c r="D10636">
        <v>0.82716781110199999</v>
      </c>
      <c r="E10636">
        <v>10.878</v>
      </c>
    </row>
    <row r="10637" spans="1:5">
      <c r="A10637" t="s">
        <v>40727</v>
      </c>
      <c r="B10637" t="s">
        <v>3905</v>
      </c>
      <c r="C10637">
        <f>0.247691030542</f>
        <v>0.24769103054200001</v>
      </c>
      <c r="D10637">
        <v>0.959421038723</v>
      </c>
      <c r="E10637">
        <v>10.08</v>
      </c>
    </row>
    <row r="10638" spans="1:5">
      <c r="A10638" t="s">
        <v>40727</v>
      </c>
      <c r="B10638" t="s">
        <v>3902</v>
      </c>
      <c r="C10638">
        <v>0.64000436429100005</v>
      </c>
      <c r="D10638">
        <v>0.959421038723</v>
      </c>
      <c r="E10638">
        <v>10.08</v>
      </c>
    </row>
    <row r="10639" spans="1:5">
      <c r="A10639" t="s">
        <v>40727</v>
      </c>
      <c r="B10639" t="s">
        <v>3904</v>
      </c>
      <c r="C10639">
        <v>0</v>
      </c>
      <c r="D10639">
        <v>0.959421038723</v>
      </c>
      <c r="E10639">
        <v>10.08</v>
      </c>
    </row>
    <row r="10640" spans="1:5">
      <c r="A10640" t="s">
        <v>40727</v>
      </c>
      <c r="B10640" t="s">
        <v>3903</v>
      </c>
      <c r="C10640">
        <v>0.368162281536</v>
      </c>
      <c r="D10640">
        <v>0.959421038723</v>
      </c>
      <c r="E10640">
        <v>10.08</v>
      </c>
    </row>
    <row r="10641" spans="1:5">
      <c r="A10641" t="s">
        <v>40728</v>
      </c>
      <c r="B10641" t="s">
        <v>40729</v>
      </c>
      <c r="C10641">
        <f>0.345955017093</f>
        <v>0.34595501709299997</v>
      </c>
      <c r="D10641">
        <v>0.999999999513</v>
      </c>
      <c r="E10641">
        <v>0.114</v>
      </c>
    </row>
    <row r="10642" spans="1:5">
      <c r="A10642" t="s">
        <v>40728</v>
      </c>
      <c r="B10642" t="s">
        <v>40730</v>
      </c>
      <c r="C10642">
        <v>0.44278703002399999</v>
      </c>
      <c r="D10642">
        <v>0.999999999513</v>
      </c>
      <c r="E10642">
        <v>0.114</v>
      </c>
    </row>
    <row r="10643" spans="1:5">
      <c r="A10643" t="s">
        <v>40728</v>
      </c>
      <c r="B10643" t="s">
        <v>40731</v>
      </c>
      <c r="C10643">
        <f>0.0935772404739</f>
        <v>9.3577240473899995E-2</v>
      </c>
      <c r="D10643">
        <v>0.999999999513</v>
      </c>
      <c r="E10643">
        <v>0.114</v>
      </c>
    </row>
    <row r="10644" spans="1:5">
      <c r="A10644" t="s">
        <v>40728</v>
      </c>
      <c r="B10644" t="s">
        <v>40732</v>
      </c>
      <c r="C10644">
        <v>0.18719413734599999</v>
      </c>
      <c r="D10644">
        <v>0.999999999513</v>
      </c>
      <c r="E10644">
        <v>0.114</v>
      </c>
    </row>
    <row r="10645" spans="1:5">
      <c r="A10645" t="s">
        <v>40728</v>
      </c>
      <c r="B10645" t="s">
        <v>40733</v>
      </c>
      <c r="C10645">
        <f>0.412406892709</f>
        <v>0.41240689270899999</v>
      </c>
      <c r="D10645">
        <v>0.999999999513</v>
      </c>
      <c r="E10645">
        <v>0.114</v>
      </c>
    </row>
    <row r="10646" spans="1:5">
      <c r="A10646" t="s">
        <v>40728</v>
      </c>
      <c r="B10646" t="s">
        <v>40734</v>
      </c>
      <c r="C10646">
        <v>0.17029522156099999</v>
      </c>
      <c r="D10646">
        <v>0.999999999513</v>
      </c>
      <c r="E10646">
        <v>0.114</v>
      </c>
    </row>
    <row r="10647" spans="1:5">
      <c r="A10647" t="s">
        <v>40728</v>
      </c>
      <c r="B10647" t="s">
        <v>40735</v>
      </c>
      <c r="C10647">
        <f>0.375249487493</f>
        <v>0.37524948749300002</v>
      </c>
      <c r="D10647">
        <v>0.999999999513</v>
      </c>
      <c r="E10647">
        <v>0.114</v>
      </c>
    </row>
    <row r="10648" spans="1:5">
      <c r="A10648" t="s">
        <v>40728</v>
      </c>
      <c r="B10648" t="s">
        <v>40736</v>
      </c>
      <c r="C10648">
        <f>0.331769830215</f>
        <v>0.33176983021500001</v>
      </c>
      <c r="D10648">
        <v>0.999999999513</v>
      </c>
      <c r="E10648">
        <v>0.114</v>
      </c>
    </row>
    <row r="10649" spans="1:5">
      <c r="A10649" t="s">
        <v>40728</v>
      </c>
      <c r="B10649" t="s">
        <v>40737</v>
      </c>
      <c r="C10649">
        <f>0.274179751003</f>
        <v>0.27417975100300002</v>
      </c>
      <c r="D10649">
        <v>0.999999999513</v>
      </c>
      <c r="E10649">
        <v>0.114</v>
      </c>
    </row>
    <row r="10650" spans="1:5">
      <c r="A10650" t="s">
        <v>40728</v>
      </c>
      <c r="B10650" t="s">
        <v>40738</v>
      </c>
      <c r="C10650">
        <v>0.125266775946</v>
      </c>
      <c r="D10650">
        <v>0.999999999513</v>
      </c>
      <c r="E10650">
        <v>0.114</v>
      </c>
    </row>
    <row r="10651" spans="1:5">
      <c r="A10651" t="s">
        <v>40728</v>
      </c>
      <c r="B10651" t="s">
        <v>40739</v>
      </c>
      <c r="C10651">
        <f>0.352579279915</f>
        <v>0.35257927991499999</v>
      </c>
      <c r="D10651">
        <v>0.999999999513</v>
      </c>
      <c r="E10651">
        <v>0.114</v>
      </c>
    </row>
    <row r="10652" spans="1:5">
      <c r="A10652" t="s">
        <v>40728</v>
      </c>
      <c r="B10652" t="s">
        <v>40740</v>
      </c>
      <c r="C10652">
        <f>0.0672391293998</f>
        <v>6.7239129399799993E-2</v>
      </c>
      <c r="D10652">
        <v>0.999999999513</v>
      </c>
      <c r="E10652">
        <v>0.114</v>
      </c>
    </row>
    <row r="10653" spans="1:5">
      <c r="A10653" t="s">
        <v>40728</v>
      </c>
      <c r="B10653" t="s">
        <v>40741</v>
      </c>
      <c r="C10653">
        <f>0.0405734063586</f>
        <v>4.0573406358600003E-2</v>
      </c>
      <c r="D10653">
        <v>0.999999999513</v>
      </c>
      <c r="E10653">
        <v>0.114</v>
      </c>
    </row>
    <row r="10654" spans="1:5">
      <c r="A10654" t="s">
        <v>40728</v>
      </c>
      <c r="B10654" t="s">
        <v>40742</v>
      </c>
      <c r="C10654">
        <v>0.23676584262200001</v>
      </c>
      <c r="D10654">
        <v>0.999999999513</v>
      </c>
      <c r="E10654">
        <v>0.114</v>
      </c>
    </row>
    <row r="10655" spans="1:5">
      <c r="A10655" t="s">
        <v>40728</v>
      </c>
      <c r="B10655" t="s">
        <v>40743</v>
      </c>
      <c r="C10655">
        <f>0.132475476802</f>
        <v>0.132475476802</v>
      </c>
      <c r="D10655">
        <v>0.999999999513</v>
      </c>
      <c r="E10655">
        <v>0.114</v>
      </c>
    </row>
    <row r="10656" spans="1:5">
      <c r="A10656" t="s">
        <v>40728</v>
      </c>
      <c r="B10656" t="s">
        <v>40744</v>
      </c>
      <c r="C10656">
        <f>0.000713752544732</f>
        <v>7.1375254473199997E-4</v>
      </c>
      <c r="D10656">
        <v>0.999999999513</v>
      </c>
      <c r="E10656">
        <v>0.114</v>
      </c>
    </row>
    <row r="10657" spans="1:5">
      <c r="A10657" t="s">
        <v>40728</v>
      </c>
      <c r="B10657" t="s">
        <v>40745</v>
      </c>
      <c r="C10657">
        <v>1.4929194896199999E-2</v>
      </c>
      <c r="D10657">
        <v>0.999999999513</v>
      </c>
      <c r="E10657">
        <v>0.114</v>
      </c>
    </row>
    <row r="10658" spans="1:5">
      <c r="A10658" t="s">
        <v>40728</v>
      </c>
      <c r="B10658" t="s">
        <v>40746</v>
      </c>
      <c r="C10658">
        <f>0.00671823153071</f>
        <v>6.7182315307100001E-3</v>
      </c>
      <c r="D10658">
        <v>0.999999999513</v>
      </c>
      <c r="E10658">
        <v>0.114</v>
      </c>
    </row>
    <row r="10659" spans="1:5">
      <c r="A10659" t="s">
        <v>40728</v>
      </c>
      <c r="B10659" t="s">
        <v>40747</v>
      </c>
      <c r="C10659">
        <f>0.190096704405</f>
        <v>0.19009670440500001</v>
      </c>
      <c r="D10659">
        <v>0.999999999513</v>
      </c>
      <c r="E10659">
        <v>0.114</v>
      </c>
    </row>
    <row r="10660" spans="1:5">
      <c r="A10660" t="s">
        <v>40728</v>
      </c>
      <c r="B10660" t="s">
        <v>40748</v>
      </c>
      <c r="C10660">
        <v>0.15820773964900001</v>
      </c>
      <c r="D10660">
        <v>0.999999999513</v>
      </c>
      <c r="E10660">
        <v>0.114</v>
      </c>
    </row>
    <row r="10661" spans="1:5">
      <c r="A10661" t="s">
        <v>40728</v>
      </c>
      <c r="B10661" t="s">
        <v>40749</v>
      </c>
      <c r="C10661">
        <f>0.0063762447318</f>
        <v>6.3762447317999996E-3</v>
      </c>
      <c r="D10661">
        <v>0.999999999513</v>
      </c>
      <c r="E10661">
        <v>0.114</v>
      </c>
    </row>
    <row r="10662" spans="1:5">
      <c r="A10662" t="s">
        <v>40728</v>
      </c>
      <c r="B10662" t="s">
        <v>40750</v>
      </c>
      <c r="C10662">
        <v>0.16386851772200001</v>
      </c>
      <c r="D10662">
        <v>0.999999999513</v>
      </c>
      <c r="E10662">
        <v>0.114</v>
      </c>
    </row>
    <row r="10663" spans="1:5">
      <c r="A10663" t="s">
        <v>40728</v>
      </c>
      <c r="B10663" t="s">
        <v>40751</v>
      </c>
      <c r="C10663">
        <f>0.114306962745</f>
        <v>0.114306962745</v>
      </c>
      <c r="D10663">
        <v>0.999999999513</v>
      </c>
      <c r="E10663">
        <v>0.114</v>
      </c>
    </row>
    <row r="10664" spans="1:5">
      <c r="A10664" t="s">
        <v>40728</v>
      </c>
      <c r="B10664" t="s">
        <v>40752</v>
      </c>
      <c r="C10664">
        <v>0.163844936774</v>
      </c>
      <c r="D10664">
        <v>0.999999999513</v>
      </c>
      <c r="E10664">
        <v>0.114</v>
      </c>
    </row>
    <row r="10665" spans="1:5">
      <c r="A10665" t="s">
        <v>40728</v>
      </c>
      <c r="B10665" t="s">
        <v>40753</v>
      </c>
      <c r="C10665">
        <f>0.0475056415953</f>
        <v>4.7505641595299998E-2</v>
      </c>
      <c r="D10665">
        <v>0.999999999513</v>
      </c>
      <c r="E10665">
        <v>0.114</v>
      </c>
    </row>
    <row r="10666" spans="1:5">
      <c r="A10666" t="s">
        <v>40728</v>
      </c>
      <c r="B10666" t="s">
        <v>40754</v>
      </c>
      <c r="C10666">
        <f>0.118760175974</f>
        <v>0.118760175974</v>
      </c>
      <c r="D10666">
        <v>0.999999999513</v>
      </c>
      <c r="E10666">
        <v>0.114</v>
      </c>
    </row>
    <row r="10667" spans="1:5">
      <c r="A10667" t="s">
        <v>40728</v>
      </c>
      <c r="B10667" t="s">
        <v>40755</v>
      </c>
      <c r="C10667">
        <v>6.1304661315299998E-2</v>
      </c>
      <c r="D10667">
        <v>0.999999999513</v>
      </c>
      <c r="E10667">
        <v>0.114</v>
      </c>
    </row>
    <row r="10668" spans="1:5">
      <c r="A10668" t="s">
        <v>40728</v>
      </c>
      <c r="B10668" t="s">
        <v>40756</v>
      </c>
      <c r="C10668">
        <f>0.0039468612787</f>
        <v>3.9468612787E-3</v>
      </c>
      <c r="D10668">
        <v>0.999999999513</v>
      </c>
      <c r="E10668">
        <v>0.114</v>
      </c>
    </row>
    <row r="10669" spans="1:5">
      <c r="A10669" t="s">
        <v>40728</v>
      </c>
      <c r="B10669" t="s">
        <v>40757</v>
      </c>
      <c r="C10669">
        <v>8.6630928801100002E-2</v>
      </c>
      <c r="D10669">
        <v>0.999999999513</v>
      </c>
      <c r="E10669">
        <v>0.114</v>
      </c>
    </row>
    <row r="10670" spans="1:5">
      <c r="A10670" t="s">
        <v>40728</v>
      </c>
      <c r="B10670" t="s">
        <v>40758</v>
      </c>
      <c r="C10670">
        <v>6.2529317409500004E-2</v>
      </c>
      <c r="D10670">
        <v>0.999999999513</v>
      </c>
      <c r="E10670">
        <v>0.114</v>
      </c>
    </row>
    <row r="10671" spans="1:5">
      <c r="A10671" t="s">
        <v>40728</v>
      </c>
      <c r="B10671" t="s">
        <v>40759</v>
      </c>
      <c r="C10671">
        <f>0.101298148565</f>
        <v>0.101298148565</v>
      </c>
      <c r="D10671">
        <v>0.999999999513</v>
      </c>
      <c r="E10671">
        <v>0.114</v>
      </c>
    </row>
    <row r="10672" spans="1:5">
      <c r="A10672" t="s">
        <v>40760</v>
      </c>
      <c r="B10672" t="s">
        <v>29843</v>
      </c>
      <c r="C10672">
        <v>0.89622796261299997</v>
      </c>
      <c r="D10672">
        <v>0.99869602048799999</v>
      </c>
      <c r="E10672">
        <v>1.512</v>
      </c>
    </row>
    <row r="10673" spans="1:5">
      <c r="A10673" t="s">
        <v>40760</v>
      </c>
      <c r="B10673" t="s">
        <v>29853</v>
      </c>
      <c r="C10673">
        <f>0.151077773468</f>
        <v>0.151077773468</v>
      </c>
      <c r="D10673">
        <v>0.99869602048799999</v>
      </c>
      <c r="E10673">
        <v>1.512</v>
      </c>
    </row>
    <row r="10674" spans="1:5">
      <c r="A10674" t="s">
        <v>40760</v>
      </c>
      <c r="B10674" t="s">
        <v>29852</v>
      </c>
      <c r="C10674">
        <v>0.199248955226</v>
      </c>
      <c r="D10674">
        <v>0.99869602048799999</v>
      </c>
      <c r="E10674">
        <v>1.512</v>
      </c>
    </row>
    <row r="10675" spans="1:5">
      <c r="A10675" t="s">
        <v>40760</v>
      </c>
      <c r="B10675" t="s">
        <v>29851</v>
      </c>
      <c r="C10675">
        <f>0.051605151673</f>
        <v>5.1605151672999998E-2</v>
      </c>
      <c r="D10675">
        <v>0.99869602048799999</v>
      </c>
      <c r="E10675">
        <v>1.512</v>
      </c>
    </row>
    <row r="10676" spans="1:5">
      <c r="A10676" t="s">
        <v>40760</v>
      </c>
      <c r="B10676" t="s">
        <v>29846</v>
      </c>
      <c r="C10676">
        <v>0.99459864086600003</v>
      </c>
      <c r="D10676">
        <v>0.99869602048799999</v>
      </c>
      <c r="E10676">
        <v>1.512</v>
      </c>
    </row>
    <row r="10677" spans="1:5">
      <c r="A10677" t="s">
        <v>40760</v>
      </c>
      <c r="B10677" t="s">
        <v>29854</v>
      </c>
      <c r="C10677">
        <f>0.668177726922</f>
        <v>0.66817772692199995</v>
      </c>
      <c r="D10677">
        <v>0.99869602048799999</v>
      </c>
      <c r="E10677">
        <v>1.512</v>
      </c>
    </row>
    <row r="10678" spans="1:5">
      <c r="A10678" t="s">
        <v>40761</v>
      </c>
      <c r="B10678" t="s">
        <v>40762</v>
      </c>
      <c r="C10678">
        <f>0</f>
        <v>0</v>
      </c>
      <c r="D10678" t="s">
        <v>106</v>
      </c>
      <c r="E10678">
        <v>16.494</v>
      </c>
    </row>
    <row r="10679" spans="1:5">
      <c r="A10679" t="s">
        <v>40761</v>
      </c>
      <c r="B10679" t="s">
        <v>40763</v>
      </c>
      <c r="C10679">
        <f>0</f>
        <v>0</v>
      </c>
      <c r="D10679" t="s">
        <v>106</v>
      </c>
      <c r="E10679">
        <v>16.494</v>
      </c>
    </row>
    <row r="10680" spans="1:5">
      <c r="A10680" t="s">
        <v>40761</v>
      </c>
      <c r="B10680" t="s">
        <v>40764</v>
      </c>
      <c r="C10680">
        <v>0</v>
      </c>
      <c r="D10680" t="s">
        <v>106</v>
      </c>
      <c r="E10680">
        <v>16.494</v>
      </c>
    </row>
    <row r="10681" spans="1:5">
      <c r="A10681" t="s">
        <v>40761</v>
      </c>
      <c r="B10681" t="s">
        <v>40765</v>
      </c>
      <c r="C10681">
        <f>0</f>
        <v>0</v>
      </c>
      <c r="D10681" t="s">
        <v>106</v>
      </c>
      <c r="E10681">
        <v>16.494</v>
      </c>
    </row>
    <row r="10682" spans="1:5">
      <c r="A10682" t="s">
        <v>40761</v>
      </c>
      <c r="B10682" t="s">
        <v>40766</v>
      </c>
      <c r="C10682">
        <f>0</f>
        <v>0</v>
      </c>
      <c r="D10682" t="s">
        <v>106</v>
      </c>
      <c r="E10682">
        <v>16.494</v>
      </c>
    </row>
    <row r="10683" spans="1:5">
      <c r="A10683" t="s">
        <v>40761</v>
      </c>
      <c r="B10683" t="s">
        <v>40767</v>
      </c>
      <c r="C10683">
        <f>0</f>
        <v>0</v>
      </c>
      <c r="D10683" t="s">
        <v>106</v>
      </c>
      <c r="E10683">
        <v>16.494</v>
      </c>
    </row>
    <row r="10684" spans="1:5">
      <c r="A10684" t="s">
        <v>40768</v>
      </c>
      <c r="B10684" t="s">
        <v>5729</v>
      </c>
      <c r="C10684">
        <v>0</v>
      </c>
      <c r="D10684" t="s">
        <v>106</v>
      </c>
      <c r="E10684">
        <v>24</v>
      </c>
    </row>
    <row r="10685" spans="1:5">
      <c r="A10685" t="s">
        <v>40768</v>
      </c>
      <c r="B10685" t="s">
        <v>5725</v>
      </c>
      <c r="C10685">
        <v>0</v>
      </c>
      <c r="D10685" t="s">
        <v>106</v>
      </c>
      <c r="E10685">
        <v>24</v>
      </c>
    </row>
    <row r="10686" spans="1:5">
      <c r="A10686" t="s">
        <v>40768</v>
      </c>
      <c r="B10686" t="s">
        <v>5717</v>
      </c>
      <c r="C10686">
        <f>0</f>
        <v>0</v>
      </c>
      <c r="D10686" t="s">
        <v>106</v>
      </c>
      <c r="E10686">
        <v>24</v>
      </c>
    </row>
    <row r="10687" spans="1:5">
      <c r="A10687" t="s">
        <v>40768</v>
      </c>
      <c r="B10687" t="s">
        <v>5719</v>
      </c>
      <c r="C10687">
        <f>0</f>
        <v>0</v>
      </c>
      <c r="D10687" t="s">
        <v>106</v>
      </c>
      <c r="E10687">
        <v>24</v>
      </c>
    </row>
    <row r="10688" spans="1:5">
      <c r="A10688" t="s">
        <v>40768</v>
      </c>
      <c r="B10688" t="s">
        <v>5727</v>
      </c>
      <c r="C10688">
        <v>0</v>
      </c>
      <c r="D10688" t="s">
        <v>106</v>
      </c>
      <c r="E10688">
        <v>24</v>
      </c>
    </row>
    <row r="10689" spans="1:5">
      <c r="A10689" t="s">
        <v>40768</v>
      </c>
      <c r="B10689" t="s">
        <v>5722</v>
      </c>
      <c r="C10689">
        <v>0</v>
      </c>
      <c r="D10689" t="s">
        <v>106</v>
      </c>
      <c r="E10689">
        <v>24</v>
      </c>
    </row>
    <row r="10690" spans="1:5">
      <c r="A10690" t="s">
        <v>40768</v>
      </c>
      <c r="B10690" t="s">
        <v>5723</v>
      </c>
      <c r="C10690">
        <v>0</v>
      </c>
      <c r="D10690" t="s">
        <v>106</v>
      </c>
      <c r="E10690">
        <v>24</v>
      </c>
    </row>
    <row r="10691" spans="1:5">
      <c r="A10691" t="s">
        <v>40768</v>
      </c>
      <c r="B10691" t="s">
        <v>5731</v>
      </c>
      <c r="C10691">
        <v>0</v>
      </c>
      <c r="D10691" t="s">
        <v>106</v>
      </c>
      <c r="E10691">
        <v>24</v>
      </c>
    </row>
    <row r="10692" spans="1:5">
      <c r="A10692" t="s">
        <v>40769</v>
      </c>
      <c r="B10692" t="s">
        <v>1700</v>
      </c>
      <c r="C10692">
        <f>0.280036404569</f>
        <v>0.28003640456899997</v>
      </c>
      <c r="D10692">
        <v>0.85087604965999997</v>
      </c>
      <c r="E10692">
        <v>24</v>
      </c>
    </row>
    <row r="10693" spans="1:5">
      <c r="A10693" t="s">
        <v>40769</v>
      </c>
      <c r="B10693" t="s">
        <v>1701</v>
      </c>
      <c r="C10693">
        <f>0</f>
        <v>0</v>
      </c>
      <c r="D10693">
        <v>0.85087604965999997</v>
      </c>
      <c r="E10693">
        <v>24</v>
      </c>
    </row>
    <row r="10694" spans="1:5">
      <c r="A10694" t="s">
        <v>40769</v>
      </c>
      <c r="B10694" t="s">
        <v>1704</v>
      </c>
      <c r="C10694">
        <f>0.0987732305012</f>
        <v>9.8773230501200002E-2</v>
      </c>
      <c r="D10694">
        <v>0.85087604965999997</v>
      </c>
      <c r="E10694">
        <v>24</v>
      </c>
    </row>
    <row r="10695" spans="1:5">
      <c r="A10695" t="s">
        <v>40769</v>
      </c>
      <c r="B10695" t="s">
        <v>1705</v>
      </c>
      <c r="C10695">
        <v>0</v>
      </c>
      <c r="D10695">
        <v>0.85087604965999997</v>
      </c>
      <c r="E10695">
        <v>24</v>
      </c>
    </row>
    <row r="10696" spans="1:5">
      <c r="A10696" t="s">
        <v>40769</v>
      </c>
      <c r="B10696" t="s">
        <v>1703</v>
      </c>
      <c r="C10696">
        <f>0.563620091402</f>
        <v>0.56362009140199998</v>
      </c>
      <c r="D10696">
        <v>0.85087604965999997</v>
      </c>
      <c r="E10696">
        <v>24</v>
      </c>
    </row>
    <row r="10697" spans="1:5">
      <c r="A10697" t="s">
        <v>40770</v>
      </c>
      <c r="B10697" t="s">
        <v>29559</v>
      </c>
      <c r="C10697">
        <f>0.150959616324</f>
        <v>0.15095961632400001</v>
      </c>
      <c r="D10697">
        <v>0.97108594170600004</v>
      </c>
      <c r="E10697">
        <v>1.8959999999999999</v>
      </c>
    </row>
    <row r="10698" spans="1:5">
      <c r="A10698" t="s">
        <v>40770</v>
      </c>
      <c r="B10698" t="s">
        <v>29562</v>
      </c>
      <c r="C10698">
        <f>0.15231141394</f>
        <v>0.15231141394</v>
      </c>
      <c r="D10698">
        <v>0.97108594170600004</v>
      </c>
      <c r="E10698">
        <v>1.8959999999999999</v>
      </c>
    </row>
    <row r="10699" spans="1:5">
      <c r="A10699" t="s">
        <v>40770</v>
      </c>
      <c r="B10699" t="s">
        <v>29564</v>
      </c>
      <c r="C10699">
        <f>0.410847655663</f>
        <v>0.41084765566300002</v>
      </c>
      <c r="D10699">
        <v>0.97108594170600004</v>
      </c>
      <c r="E10699">
        <v>1.8959999999999999</v>
      </c>
    </row>
    <row r="10700" spans="1:5">
      <c r="A10700" t="s">
        <v>40770</v>
      </c>
      <c r="B10700" t="s">
        <v>29568</v>
      </c>
      <c r="C10700">
        <v>1.0293841943500001E-4</v>
      </c>
      <c r="D10700">
        <v>0.97108594170600004</v>
      </c>
      <c r="E10700">
        <v>1.8959999999999999</v>
      </c>
    </row>
    <row r="10701" spans="1:5">
      <c r="A10701" t="s">
        <v>40770</v>
      </c>
      <c r="B10701" t="s">
        <v>29563</v>
      </c>
      <c r="C10701">
        <v>1.0189529337700001</v>
      </c>
      <c r="D10701">
        <v>0.97108594170600004</v>
      </c>
      <c r="E10701">
        <v>1.8959999999999999</v>
      </c>
    </row>
    <row r="10702" spans="1:5">
      <c r="A10702" t="s">
        <v>40770</v>
      </c>
      <c r="B10702" t="s">
        <v>29567</v>
      </c>
      <c r="C10702">
        <f>0.148860870651</f>
        <v>0.14886087065100001</v>
      </c>
      <c r="D10702">
        <v>0.97108594170600004</v>
      </c>
      <c r="E10702">
        <v>1.8959999999999999</v>
      </c>
    </row>
    <row r="10703" spans="1:5">
      <c r="A10703" t="s">
        <v>40771</v>
      </c>
      <c r="B10703" t="s">
        <v>2641</v>
      </c>
      <c r="C10703">
        <v>0</v>
      </c>
      <c r="D10703">
        <v>0.394024967324</v>
      </c>
      <c r="E10703">
        <v>23.754000000000001</v>
      </c>
    </row>
    <row r="10704" spans="1:5">
      <c r="A10704" t="s">
        <v>40771</v>
      </c>
      <c r="B10704" t="s">
        <v>2642</v>
      </c>
      <c r="C10704">
        <f>0.163614967324</f>
        <v>0.16361496732399999</v>
      </c>
      <c r="D10704">
        <v>0.394024967324</v>
      </c>
      <c r="E10704">
        <v>23.754000000000001</v>
      </c>
    </row>
    <row r="10705" spans="1:5">
      <c r="A10705" t="s">
        <v>40772</v>
      </c>
      <c r="B10705" t="s">
        <v>40773</v>
      </c>
      <c r="C10705">
        <v>0</v>
      </c>
      <c r="D10705" t="s">
        <v>106</v>
      </c>
      <c r="E10705">
        <v>24</v>
      </c>
    </row>
    <row r="10706" spans="1:5">
      <c r="A10706" t="s">
        <v>40772</v>
      </c>
      <c r="B10706" t="s">
        <v>40774</v>
      </c>
      <c r="C10706">
        <v>0</v>
      </c>
      <c r="D10706" t="s">
        <v>106</v>
      </c>
      <c r="E10706">
        <v>24</v>
      </c>
    </row>
    <row r="10707" spans="1:5">
      <c r="A10707" t="s">
        <v>40775</v>
      </c>
      <c r="B10707" t="s">
        <v>40776</v>
      </c>
      <c r="C10707">
        <f>0</f>
        <v>0</v>
      </c>
      <c r="D10707">
        <v>0.888763216405</v>
      </c>
      <c r="E10707">
        <v>0.10199999999999999</v>
      </c>
    </row>
    <row r="10708" spans="1:5">
      <c r="A10708" t="s">
        <v>40775</v>
      </c>
      <c r="B10708" t="s">
        <v>40777</v>
      </c>
      <c r="C10708">
        <v>0.71209006339400005</v>
      </c>
      <c r="D10708">
        <v>0.888763216405</v>
      </c>
      <c r="E10708">
        <v>0.10199999999999999</v>
      </c>
    </row>
    <row r="10709" spans="1:5">
      <c r="A10709" t="s">
        <v>40775</v>
      </c>
      <c r="B10709" t="s">
        <v>40778</v>
      </c>
      <c r="C10709">
        <v>0</v>
      </c>
      <c r="D10709">
        <v>0.888763216405</v>
      </c>
      <c r="E10709">
        <v>0.10199999999999999</v>
      </c>
    </row>
    <row r="10710" spans="1:5">
      <c r="A10710" t="s">
        <v>40775</v>
      </c>
      <c r="B10710" t="s">
        <v>40779</v>
      </c>
      <c r="C10710">
        <v>0</v>
      </c>
      <c r="D10710">
        <v>0.888763216405</v>
      </c>
      <c r="E10710">
        <v>0.10199999999999999</v>
      </c>
    </row>
    <row r="10711" spans="1:5">
      <c r="A10711" t="s">
        <v>40775</v>
      </c>
      <c r="B10711" t="s">
        <v>40780</v>
      </c>
      <c r="C10711">
        <v>0</v>
      </c>
      <c r="D10711">
        <v>0.888763216405</v>
      </c>
      <c r="E10711">
        <v>0.10199999999999999</v>
      </c>
    </row>
    <row r="10712" spans="1:5">
      <c r="A10712" t="s">
        <v>40775</v>
      </c>
      <c r="B10712" t="s">
        <v>40781</v>
      </c>
      <c r="C10712">
        <f>0.0868376866277</f>
        <v>8.68376866277E-2</v>
      </c>
      <c r="D10712">
        <v>0.888763216405</v>
      </c>
      <c r="E10712">
        <v>0.10199999999999999</v>
      </c>
    </row>
    <row r="10713" spans="1:5">
      <c r="A10713" t="s">
        <v>40775</v>
      </c>
      <c r="B10713" t="s">
        <v>40782</v>
      </c>
      <c r="C10713">
        <f>0</f>
        <v>0</v>
      </c>
      <c r="D10713">
        <v>0.888763216405</v>
      </c>
      <c r="E10713">
        <v>0.10199999999999999</v>
      </c>
    </row>
    <row r="10714" spans="1:5">
      <c r="A10714" t="s">
        <v>40775</v>
      </c>
      <c r="B10714" t="s">
        <v>40783</v>
      </c>
      <c r="C10714">
        <v>0</v>
      </c>
      <c r="D10714">
        <v>0.888763216405</v>
      </c>
      <c r="E10714">
        <v>0.10199999999999999</v>
      </c>
    </row>
    <row r="10715" spans="1:5">
      <c r="A10715" t="s">
        <v>40784</v>
      </c>
      <c r="B10715" t="s">
        <v>40785</v>
      </c>
      <c r="C10715">
        <v>0</v>
      </c>
      <c r="D10715">
        <v>0.97864227330499998</v>
      </c>
      <c r="E10715">
        <v>1.698</v>
      </c>
    </row>
    <row r="10716" spans="1:5">
      <c r="A10716" t="s">
        <v>40784</v>
      </c>
      <c r="B10716" t="s">
        <v>40786</v>
      </c>
      <c r="C10716">
        <v>9.4343424303799994E-2</v>
      </c>
      <c r="D10716">
        <v>0.97864227330499998</v>
      </c>
      <c r="E10716">
        <v>1.698</v>
      </c>
    </row>
    <row r="10717" spans="1:5">
      <c r="A10717" t="s">
        <v>40784</v>
      </c>
      <c r="B10717" t="s">
        <v>40787</v>
      </c>
      <c r="C10717">
        <v>0</v>
      </c>
      <c r="D10717">
        <v>0.97864227330499998</v>
      </c>
      <c r="E10717">
        <v>1.698</v>
      </c>
    </row>
    <row r="10718" spans="1:5">
      <c r="A10718" t="s">
        <v>40784</v>
      </c>
      <c r="B10718" t="s">
        <v>40788</v>
      </c>
      <c r="C10718">
        <f>0</f>
        <v>0</v>
      </c>
      <c r="D10718">
        <v>0.97864227330499998</v>
      </c>
      <c r="E10718">
        <v>1.698</v>
      </c>
    </row>
    <row r="10719" spans="1:5">
      <c r="A10719" t="s">
        <v>40784</v>
      </c>
      <c r="B10719" t="s">
        <v>40789</v>
      </c>
      <c r="C10719">
        <f>0</f>
        <v>0</v>
      </c>
      <c r="D10719">
        <v>0.97864227330499998</v>
      </c>
      <c r="E10719">
        <v>1.698</v>
      </c>
    </row>
    <row r="10720" spans="1:5">
      <c r="A10720" t="s">
        <v>40784</v>
      </c>
      <c r="B10720" t="s">
        <v>40790</v>
      </c>
      <c r="C10720">
        <v>0</v>
      </c>
      <c r="D10720">
        <v>0.97864227330499998</v>
      </c>
      <c r="E10720">
        <v>1.698</v>
      </c>
    </row>
    <row r="10721" spans="1:5">
      <c r="A10721" t="s">
        <v>40784</v>
      </c>
      <c r="B10721" t="s">
        <v>40791</v>
      </c>
      <c r="C10721">
        <f>0.495028222778</f>
        <v>0.49502822277800002</v>
      </c>
      <c r="D10721">
        <v>0.97864227330499998</v>
      </c>
      <c r="E10721">
        <v>1.698</v>
      </c>
    </row>
    <row r="10722" spans="1:5">
      <c r="A10722" t="s">
        <v>40784</v>
      </c>
      <c r="B10722" t="s">
        <v>40792</v>
      </c>
      <c r="C10722">
        <v>0</v>
      </c>
      <c r="D10722">
        <v>0.97864227330499998</v>
      </c>
      <c r="E10722">
        <v>1.698</v>
      </c>
    </row>
    <row r="10723" spans="1:5">
      <c r="A10723" t="s">
        <v>40784</v>
      </c>
      <c r="B10723" t="s">
        <v>40793</v>
      </c>
      <c r="C10723">
        <f>0</f>
        <v>0</v>
      </c>
      <c r="D10723">
        <v>0.97864227330499998</v>
      </c>
      <c r="E10723">
        <v>1.698</v>
      </c>
    </row>
    <row r="10724" spans="1:5">
      <c r="A10724" t="s">
        <v>40784</v>
      </c>
      <c r="B10724" t="s">
        <v>40794</v>
      </c>
      <c r="C10724">
        <v>0.50279265296700004</v>
      </c>
      <c r="D10724">
        <v>0.97864227330499998</v>
      </c>
      <c r="E10724">
        <v>1.698</v>
      </c>
    </row>
    <row r="10725" spans="1:5">
      <c r="A10725" t="s">
        <v>40784</v>
      </c>
      <c r="B10725" t="s">
        <v>40795</v>
      </c>
      <c r="C10725">
        <f>0.293477154787</f>
        <v>0.29347715478699998</v>
      </c>
      <c r="D10725">
        <v>0.97864227330499998</v>
      </c>
      <c r="E10725">
        <v>1.698</v>
      </c>
    </row>
    <row r="10726" spans="1:5">
      <c r="A10726" t="s">
        <v>40784</v>
      </c>
      <c r="B10726" t="s">
        <v>40796</v>
      </c>
      <c r="C10726">
        <v>0.159020489396</v>
      </c>
      <c r="D10726">
        <v>0.97864227330499998</v>
      </c>
      <c r="E10726">
        <v>1.698</v>
      </c>
    </row>
    <row r="10727" spans="1:5">
      <c r="A10727" t="s">
        <v>40784</v>
      </c>
      <c r="B10727" t="s">
        <v>40797</v>
      </c>
      <c r="C10727">
        <v>0</v>
      </c>
      <c r="D10727">
        <v>0.97864227330499998</v>
      </c>
      <c r="E10727">
        <v>1.698</v>
      </c>
    </row>
    <row r="10728" spans="1:5">
      <c r="A10728" t="s">
        <v>40784</v>
      </c>
      <c r="B10728" t="s">
        <v>40798</v>
      </c>
      <c r="C10728">
        <v>0</v>
      </c>
      <c r="D10728">
        <v>0.97864227330499998</v>
      </c>
      <c r="E10728">
        <v>1.698</v>
      </c>
    </row>
    <row r="10729" spans="1:5">
      <c r="A10729" t="s">
        <v>40784</v>
      </c>
      <c r="B10729" t="s">
        <v>40799</v>
      </c>
      <c r="C10729">
        <v>0</v>
      </c>
      <c r="D10729">
        <v>0.97864227330499998</v>
      </c>
      <c r="E10729">
        <v>1.698</v>
      </c>
    </row>
    <row r="10730" spans="1:5">
      <c r="A10730" t="s">
        <v>40800</v>
      </c>
      <c r="B10730" t="s">
        <v>10478</v>
      </c>
      <c r="C10730">
        <v>0.91965375845499997</v>
      </c>
      <c r="D10730">
        <v>0.74487525513999997</v>
      </c>
      <c r="E10730">
        <v>23.754000000000001</v>
      </c>
    </row>
    <row r="10731" spans="1:5">
      <c r="A10731" t="s">
        <v>40800</v>
      </c>
      <c r="B10731" t="s">
        <v>10479</v>
      </c>
      <c r="C10731">
        <f>0.403035640008</f>
        <v>0.40303564000800002</v>
      </c>
      <c r="D10731">
        <v>0.74487525513999997</v>
      </c>
      <c r="E10731">
        <v>23.754000000000001</v>
      </c>
    </row>
    <row r="10732" spans="1:5">
      <c r="A10732" t="s">
        <v>40801</v>
      </c>
      <c r="B10732" t="s">
        <v>30551</v>
      </c>
      <c r="C10732">
        <v>0</v>
      </c>
      <c r="D10732" t="s">
        <v>106</v>
      </c>
      <c r="E10732">
        <v>6.4260000000000002</v>
      </c>
    </row>
    <row r="10733" spans="1:5">
      <c r="A10733" t="s">
        <v>40801</v>
      </c>
      <c r="B10733" t="s">
        <v>30552</v>
      </c>
      <c r="C10733">
        <f>0</f>
        <v>0</v>
      </c>
      <c r="D10733" t="s">
        <v>106</v>
      </c>
      <c r="E10733">
        <v>6.4260000000000002</v>
      </c>
    </row>
    <row r="10734" spans="1:5">
      <c r="A10734" t="s">
        <v>40802</v>
      </c>
      <c r="B10734" t="s">
        <v>2463</v>
      </c>
      <c r="C10734">
        <v>0</v>
      </c>
      <c r="D10734" t="s">
        <v>106</v>
      </c>
      <c r="E10734">
        <v>24</v>
      </c>
    </row>
    <row r="10735" spans="1:5">
      <c r="A10735" t="s">
        <v>40802</v>
      </c>
      <c r="B10735" t="s">
        <v>2464</v>
      </c>
      <c r="C10735">
        <f>0</f>
        <v>0</v>
      </c>
      <c r="D10735" t="s">
        <v>106</v>
      </c>
      <c r="E10735">
        <v>24</v>
      </c>
    </row>
    <row r="10736" spans="1:5">
      <c r="A10736" t="s">
        <v>40802</v>
      </c>
      <c r="B10736" t="s">
        <v>2466</v>
      </c>
      <c r="C10736">
        <f>0</f>
        <v>0</v>
      </c>
      <c r="D10736" t="s">
        <v>106</v>
      </c>
      <c r="E10736">
        <v>24</v>
      </c>
    </row>
    <row r="10737" spans="1:5">
      <c r="A10737" t="s">
        <v>40802</v>
      </c>
      <c r="B10737" t="s">
        <v>2465</v>
      </c>
      <c r="C10737">
        <f>0</f>
        <v>0</v>
      </c>
      <c r="D10737" t="s">
        <v>106</v>
      </c>
      <c r="E10737">
        <v>24</v>
      </c>
    </row>
    <row r="10738" spans="1:5">
      <c r="A10738" t="s">
        <v>40803</v>
      </c>
      <c r="B10738" t="s">
        <v>14523</v>
      </c>
      <c r="C10738">
        <v>0.89867211696799998</v>
      </c>
      <c r="D10738">
        <v>0.95151674336299996</v>
      </c>
      <c r="E10738">
        <v>24</v>
      </c>
    </row>
    <row r="10739" spans="1:5">
      <c r="A10739" t="s">
        <v>40803</v>
      </c>
      <c r="B10739" t="s">
        <v>14519</v>
      </c>
      <c r="C10739">
        <v>0.52247715503199998</v>
      </c>
      <c r="D10739">
        <v>0.95151674336299996</v>
      </c>
      <c r="E10739">
        <v>24</v>
      </c>
    </row>
    <row r="10740" spans="1:5">
      <c r="A10740" t="s">
        <v>40803</v>
      </c>
      <c r="B10740" t="s">
        <v>14518</v>
      </c>
      <c r="C10740">
        <f>0.0812661321234</f>
        <v>8.1266132123400003E-2</v>
      </c>
      <c r="D10740">
        <v>0.95151674336299996</v>
      </c>
      <c r="E10740">
        <v>24</v>
      </c>
    </row>
    <row r="10741" spans="1:5">
      <c r="A10741" t="s">
        <v>40803</v>
      </c>
      <c r="B10741" t="s">
        <v>14521</v>
      </c>
      <c r="C10741">
        <f>0.58462766257</f>
        <v>0.58462766256999998</v>
      </c>
      <c r="D10741">
        <v>0.95151674336299996</v>
      </c>
      <c r="E10741">
        <v>24</v>
      </c>
    </row>
    <row r="10742" spans="1:5">
      <c r="A10742" t="s">
        <v>40803</v>
      </c>
      <c r="B10742" t="s">
        <v>14517</v>
      </c>
      <c r="C10742">
        <v>0</v>
      </c>
      <c r="D10742">
        <v>0.95151674336299996</v>
      </c>
      <c r="E10742">
        <v>24</v>
      </c>
    </row>
    <row r="10743" spans="1:5">
      <c r="A10743" t="s">
        <v>40804</v>
      </c>
      <c r="B10743" t="s">
        <v>40805</v>
      </c>
      <c r="C10743">
        <v>0.17524242906199999</v>
      </c>
      <c r="D10743">
        <v>0.96520820286999998</v>
      </c>
      <c r="E10743">
        <v>1.6379999999999999</v>
      </c>
    </row>
    <row r="10744" spans="1:5">
      <c r="A10744" t="s">
        <v>40804</v>
      </c>
      <c r="B10744" t="s">
        <v>40806</v>
      </c>
      <c r="C10744">
        <f>0</f>
        <v>0</v>
      </c>
      <c r="D10744">
        <v>0.96520820286999998</v>
      </c>
      <c r="E10744">
        <v>1.6379999999999999</v>
      </c>
    </row>
    <row r="10745" spans="1:5">
      <c r="A10745" t="s">
        <v>40804</v>
      </c>
      <c r="B10745" t="s">
        <v>40807</v>
      </c>
      <c r="C10745">
        <v>0.76663022349200005</v>
      </c>
      <c r="D10745">
        <v>0.96520820286999998</v>
      </c>
      <c r="E10745">
        <v>1.6379999999999999</v>
      </c>
    </row>
    <row r="10746" spans="1:5">
      <c r="A10746" t="s">
        <v>40804</v>
      </c>
      <c r="B10746" t="s">
        <v>40808</v>
      </c>
      <c r="C10746">
        <v>0</v>
      </c>
      <c r="D10746">
        <v>0.96520820286999998</v>
      </c>
      <c r="E10746">
        <v>1.6379999999999999</v>
      </c>
    </row>
    <row r="10747" spans="1:5">
      <c r="A10747" t="s">
        <v>40804</v>
      </c>
      <c r="B10747" t="s">
        <v>40809</v>
      </c>
      <c r="C10747">
        <v>0</v>
      </c>
      <c r="D10747">
        <v>0.96520820286999998</v>
      </c>
      <c r="E10747">
        <v>1.6379999999999999</v>
      </c>
    </row>
    <row r="10748" spans="1:5">
      <c r="A10748" t="s">
        <v>40810</v>
      </c>
      <c r="B10748" t="s">
        <v>13143</v>
      </c>
      <c r="C10748">
        <v>0</v>
      </c>
      <c r="D10748" t="s">
        <v>106</v>
      </c>
      <c r="E10748">
        <v>12.215999999999999</v>
      </c>
    </row>
    <row r="10749" spans="1:5">
      <c r="A10749" t="s">
        <v>40810</v>
      </c>
      <c r="B10749" t="s">
        <v>13144</v>
      </c>
      <c r="C10749">
        <v>0</v>
      </c>
      <c r="D10749" t="s">
        <v>106</v>
      </c>
      <c r="E10749">
        <v>12.215999999999999</v>
      </c>
    </row>
    <row r="10750" spans="1:5">
      <c r="A10750" t="s">
        <v>40811</v>
      </c>
      <c r="B10750" t="s">
        <v>40812</v>
      </c>
      <c r="C10750">
        <v>0</v>
      </c>
      <c r="D10750" t="s">
        <v>106</v>
      </c>
      <c r="E10750">
        <v>23.754000000000001</v>
      </c>
    </row>
    <row r="10751" spans="1:5">
      <c r="A10751" t="s">
        <v>40811</v>
      </c>
      <c r="B10751" t="s">
        <v>40813</v>
      </c>
      <c r="C10751">
        <f>0</f>
        <v>0</v>
      </c>
      <c r="D10751" t="s">
        <v>106</v>
      </c>
      <c r="E10751">
        <v>23.754000000000001</v>
      </c>
    </row>
    <row r="10752" spans="1:5">
      <c r="A10752" t="s">
        <v>40811</v>
      </c>
      <c r="B10752" t="s">
        <v>40814</v>
      </c>
      <c r="C10752">
        <f>0</f>
        <v>0</v>
      </c>
      <c r="D10752" t="s">
        <v>106</v>
      </c>
      <c r="E10752">
        <v>23.754000000000001</v>
      </c>
    </row>
    <row r="10753" spans="1:5">
      <c r="A10753" t="s">
        <v>40811</v>
      </c>
      <c r="B10753" t="s">
        <v>40815</v>
      </c>
      <c r="C10753">
        <v>0</v>
      </c>
      <c r="D10753" t="s">
        <v>106</v>
      </c>
      <c r="E10753">
        <v>23.754000000000001</v>
      </c>
    </row>
    <row r="10754" spans="1:5">
      <c r="A10754" t="s">
        <v>40816</v>
      </c>
      <c r="B10754" t="s">
        <v>34456</v>
      </c>
      <c r="C10754">
        <v>0.58838411330399998</v>
      </c>
      <c r="D10754">
        <v>0.71799411330399998</v>
      </c>
      <c r="E10754">
        <v>2.718</v>
      </c>
    </row>
    <row r="10755" spans="1:5">
      <c r="A10755" t="s">
        <v>40816</v>
      </c>
      <c r="B10755" t="s">
        <v>34457</v>
      </c>
      <c r="C10755">
        <v>0</v>
      </c>
      <c r="D10755">
        <v>0.71799411330399998</v>
      </c>
      <c r="E10755">
        <v>2.718</v>
      </c>
    </row>
    <row r="10756" spans="1:5">
      <c r="A10756" t="s">
        <v>40817</v>
      </c>
      <c r="B10756" t="s">
        <v>28289</v>
      </c>
      <c r="C10756">
        <f>0</f>
        <v>0</v>
      </c>
      <c r="D10756" t="s">
        <v>106</v>
      </c>
      <c r="E10756">
        <v>24</v>
      </c>
    </row>
    <row r="10757" spans="1:5">
      <c r="A10757" t="s">
        <v>40817</v>
      </c>
      <c r="B10757" t="s">
        <v>28288</v>
      </c>
      <c r="C10757">
        <v>0</v>
      </c>
      <c r="D10757" t="s">
        <v>106</v>
      </c>
      <c r="E10757">
        <v>24</v>
      </c>
    </row>
    <row r="10758" spans="1:5">
      <c r="A10758" t="s">
        <v>40818</v>
      </c>
      <c r="B10758" t="s">
        <v>40819</v>
      </c>
      <c r="C10758">
        <f>0.826203583859</f>
        <v>0.82620358385899995</v>
      </c>
      <c r="D10758">
        <v>0.98387049295100004</v>
      </c>
      <c r="E10758">
        <v>18.768000000000001</v>
      </c>
    </row>
    <row r="10759" spans="1:5">
      <c r="A10759" t="s">
        <v>40818</v>
      </c>
      <c r="B10759" t="s">
        <v>40820</v>
      </c>
      <c r="C10759">
        <v>0</v>
      </c>
      <c r="D10759">
        <v>0.98387049295100004</v>
      </c>
      <c r="E10759">
        <v>18.768000000000001</v>
      </c>
    </row>
    <row r="10760" spans="1:5">
      <c r="A10760" t="s">
        <v>40818</v>
      </c>
      <c r="B10760" t="s">
        <v>40821</v>
      </c>
      <c r="C10760">
        <f>0.286237366871</f>
        <v>0.28623736687099999</v>
      </c>
      <c r="D10760">
        <v>0.98387049295100004</v>
      </c>
      <c r="E10760">
        <v>18.768000000000001</v>
      </c>
    </row>
    <row r="10761" spans="1:5">
      <c r="A10761" t="s">
        <v>40818</v>
      </c>
      <c r="B10761" t="s">
        <v>40822</v>
      </c>
      <c r="C10761">
        <v>0.64263875905500001</v>
      </c>
      <c r="D10761">
        <v>0.98387049295100004</v>
      </c>
      <c r="E10761">
        <v>18.768000000000001</v>
      </c>
    </row>
    <row r="10762" spans="1:5">
      <c r="A10762" t="s">
        <v>40818</v>
      </c>
      <c r="B10762" t="s">
        <v>40823</v>
      </c>
      <c r="C10762">
        <v>7.36355792151E-3</v>
      </c>
      <c r="D10762">
        <v>0.98387049295100004</v>
      </c>
      <c r="E10762">
        <v>18.768000000000001</v>
      </c>
    </row>
    <row r="10763" spans="1:5">
      <c r="A10763" t="s">
        <v>40818</v>
      </c>
      <c r="B10763" t="s">
        <v>40824</v>
      </c>
      <c r="C10763">
        <f>0</f>
        <v>0</v>
      </c>
      <c r="D10763">
        <v>0.98387049295100004</v>
      </c>
      <c r="E10763">
        <v>18.768000000000001</v>
      </c>
    </row>
    <row r="10764" spans="1:5">
      <c r="A10764" t="s">
        <v>40825</v>
      </c>
      <c r="B10764" t="s">
        <v>7586</v>
      </c>
      <c r="C10764">
        <f>0</f>
        <v>0</v>
      </c>
      <c r="D10764" t="s">
        <v>106</v>
      </c>
      <c r="E10764">
        <v>11.706</v>
      </c>
    </row>
    <row r="10765" spans="1:5">
      <c r="A10765" t="s">
        <v>40825</v>
      </c>
      <c r="B10765" t="s">
        <v>7588</v>
      </c>
      <c r="C10765">
        <f>0</f>
        <v>0</v>
      </c>
      <c r="D10765" t="s">
        <v>106</v>
      </c>
      <c r="E10765">
        <v>11.706</v>
      </c>
    </row>
    <row r="10766" spans="1:5">
      <c r="A10766" t="s">
        <v>40825</v>
      </c>
      <c r="B10766" t="s">
        <v>7587</v>
      </c>
      <c r="C10766">
        <f>0</f>
        <v>0</v>
      </c>
      <c r="D10766" t="s">
        <v>106</v>
      </c>
      <c r="E10766">
        <v>11.706</v>
      </c>
    </row>
    <row r="10767" spans="1:5">
      <c r="A10767" t="s">
        <v>40825</v>
      </c>
      <c r="B10767" t="s">
        <v>7594</v>
      </c>
      <c r="C10767">
        <v>0</v>
      </c>
      <c r="D10767" t="s">
        <v>106</v>
      </c>
      <c r="E10767">
        <v>11.706</v>
      </c>
    </row>
    <row r="10768" spans="1:5">
      <c r="A10768" t="s">
        <v>40826</v>
      </c>
      <c r="B10768" t="s">
        <v>7137</v>
      </c>
      <c r="C10768">
        <v>0.641739202999</v>
      </c>
      <c r="D10768">
        <v>0.76325348026100004</v>
      </c>
      <c r="E10768">
        <v>4.5839999999999996</v>
      </c>
    </row>
    <row r="10769" spans="1:5">
      <c r="A10769" t="s">
        <v>40826</v>
      </c>
      <c r="B10769" t="s">
        <v>7138</v>
      </c>
      <c r="C10769">
        <v>7.1261202793200001E-2</v>
      </c>
      <c r="D10769">
        <v>0.76325348026100004</v>
      </c>
      <c r="E10769">
        <v>4.5839999999999996</v>
      </c>
    </row>
    <row r="10770" spans="1:5">
      <c r="A10770" t="s">
        <v>40827</v>
      </c>
      <c r="B10770" t="s">
        <v>12065</v>
      </c>
      <c r="C10770">
        <v>0.757232918393</v>
      </c>
      <c r="D10770">
        <v>0.96569718770900004</v>
      </c>
      <c r="E10770">
        <v>23.28</v>
      </c>
    </row>
    <row r="10771" spans="1:5">
      <c r="A10771" t="s">
        <v>40827</v>
      </c>
      <c r="B10771" t="s">
        <v>12062</v>
      </c>
      <c r="C10771">
        <v>1.23336905189</v>
      </c>
      <c r="D10771">
        <v>0.96569718770900004</v>
      </c>
      <c r="E10771">
        <v>23.28</v>
      </c>
    </row>
    <row r="10772" spans="1:5">
      <c r="A10772" t="s">
        <v>40827</v>
      </c>
      <c r="B10772" t="s">
        <v>12067</v>
      </c>
      <c r="C10772">
        <v>0.74600693401100004</v>
      </c>
      <c r="D10772">
        <v>0.96569718770900004</v>
      </c>
      <c r="E10772">
        <v>23.28</v>
      </c>
    </row>
    <row r="10773" spans="1:5">
      <c r="A10773" t="s">
        <v>40827</v>
      </c>
      <c r="B10773" t="s">
        <v>12059</v>
      </c>
      <c r="C10773">
        <f>0.421070472296</f>
        <v>0.42107047229599998</v>
      </c>
      <c r="D10773">
        <v>0.96569718770900004</v>
      </c>
      <c r="E10773">
        <v>23.28</v>
      </c>
    </row>
    <row r="10774" spans="1:5">
      <c r="A10774" t="s">
        <v>40828</v>
      </c>
      <c r="B10774" t="s">
        <v>40829</v>
      </c>
      <c r="C10774">
        <f>0.220679496014</f>
        <v>0.220679496014</v>
      </c>
      <c r="D10774">
        <v>0.99784972914900005</v>
      </c>
      <c r="E10774">
        <v>0.26400000000000001</v>
      </c>
    </row>
    <row r="10775" spans="1:5">
      <c r="A10775" t="s">
        <v>40828</v>
      </c>
      <c r="B10775" t="s">
        <v>40830</v>
      </c>
      <c r="C10775">
        <v>0.34101460033600001</v>
      </c>
      <c r="D10775">
        <v>0.99784972914900005</v>
      </c>
      <c r="E10775">
        <v>0.26400000000000001</v>
      </c>
    </row>
    <row r="10776" spans="1:5">
      <c r="A10776" t="s">
        <v>40828</v>
      </c>
      <c r="B10776" t="s">
        <v>40831</v>
      </c>
      <c r="C10776">
        <f>0.532621891355</f>
        <v>0.53262189135500004</v>
      </c>
      <c r="D10776">
        <v>0.99784972914900005</v>
      </c>
      <c r="E10776">
        <v>0.26400000000000001</v>
      </c>
    </row>
    <row r="10777" spans="1:5">
      <c r="A10777" t="s">
        <v>40828</v>
      </c>
      <c r="B10777" t="s">
        <v>40832</v>
      </c>
      <c r="C10777">
        <f>0.566652730893</f>
        <v>0.56665273089299995</v>
      </c>
      <c r="D10777">
        <v>0.99784972914900005</v>
      </c>
      <c r="E10777">
        <v>0.26400000000000001</v>
      </c>
    </row>
    <row r="10778" spans="1:5">
      <c r="A10778" t="s">
        <v>40828</v>
      </c>
      <c r="B10778" t="s">
        <v>40833</v>
      </c>
      <c r="C10778">
        <v>0.162978877982</v>
      </c>
      <c r="D10778">
        <v>0.99784972914900005</v>
      </c>
      <c r="E10778">
        <v>0.26400000000000001</v>
      </c>
    </row>
    <row r="10779" spans="1:5">
      <c r="A10779" t="s">
        <v>40828</v>
      </c>
      <c r="B10779" t="s">
        <v>40834</v>
      </c>
      <c r="C10779">
        <v>0.91211062210000005</v>
      </c>
      <c r="D10779">
        <v>0.99784972914900005</v>
      </c>
      <c r="E10779">
        <v>0.26400000000000001</v>
      </c>
    </row>
    <row r="10780" spans="1:5">
      <c r="A10780" t="s">
        <v>40835</v>
      </c>
      <c r="B10780" t="s">
        <v>26613</v>
      </c>
      <c r="C10780">
        <v>0</v>
      </c>
      <c r="D10780" t="s">
        <v>106</v>
      </c>
      <c r="E10780">
        <v>24</v>
      </c>
    </row>
    <row r="10781" spans="1:5">
      <c r="A10781" t="s">
        <v>40835</v>
      </c>
      <c r="B10781" t="s">
        <v>26616</v>
      </c>
      <c r="C10781">
        <v>0</v>
      </c>
      <c r="D10781" t="s">
        <v>106</v>
      </c>
      <c r="E10781">
        <v>24</v>
      </c>
    </row>
    <row r="10782" spans="1:5">
      <c r="A10782" t="s">
        <v>40835</v>
      </c>
      <c r="B10782" t="s">
        <v>26614</v>
      </c>
      <c r="C10782">
        <v>0</v>
      </c>
      <c r="D10782" t="s">
        <v>106</v>
      </c>
      <c r="E10782">
        <v>24</v>
      </c>
    </row>
    <row r="10783" spans="1:5">
      <c r="A10783" t="s">
        <v>40835</v>
      </c>
      <c r="B10783" t="s">
        <v>26615</v>
      </c>
      <c r="C10783">
        <f>0</f>
        <v>0</v>
      </c>
      <c r="D10783" t="s">
        <v>106</v>
      </c>
      <c r="E10783">
        <v>24</v>
      </c>
    </row>
    <row r="10784" spans="1:5">
      <c r="A10784" t="s">
        <v>40836</v>
      </c>
      <c r="B10784" t="s">
        <v>1901</v>
      </c>
      <c r="C10784">
        <f>0.50104469964</f>
        <v>0.50104469963999998</v>
      </c>
      <c r="D10784">
        <v>0.90216969794299995</v>
      </c>
      <c r="E10784">
        <v>1.512</v>
      </c>
    </row>
    <row r="10785" spans="1:5">
      <c r="A10785" t="s">
        <v>40836</v>
      </c>
      <c r="B10785" t="s">
        <v>1904</v>
      </c>
      <c r="C10785">
        <f>0.243507067557</f>
        <v>0.243507067557</v>
      </c>
      <c r="D10785">
        <v>0.90216969794299995</v>
      </c>
      <c r="E10785">
        <v>1.512</v>
      </c>
    </row>
    <row r="10786" spans="1:5">
      <c r="A10786" t="s">
        <v>40836</v>
      </c>
      <c r="B10786" t="s">
        <v>1902</v>
      </c>
      <c r="C10786">
        <v>0.826950623552</v>
      </c>
      <c r="D10786">
        <v>0.90216969794299995</v>
      </c>
      <c r="E10786">
        <v>1.512</v>
      </c>
    </row>
    <row r="10787" spans="1:5">
      <c r="A10787" t="s">
        <v>40837</v>
      </c>
      <c r="B10787" t="s">
        <v>40838</v>
      </c>
      <c r="C10787">
        <f>0</f>
        <v>0</v>
      </c>
      <c r="D10787">
        <v>0.99694305710499997</v>
      </c>
      <c r="E10787">
        <v>1.224</v>
      </c>
    </row>
    <row r="10788" spans="1:5">
      <c r="A10788" t="s">
        <v>40837</v>
      </c>
      <c r="B10788" t="s">
        <v>40839</v>
      </c>
      <c r="C10788">
        <f>0</f>
        <v>0</v>
      </c>
      <c r="D10788">
        <v>0.99694305710499997</v>
      </c>
      <c r="E10788">
        <v>1.224</v>
      </c>
    </row>
    <row r="10789" spans="1:5">
      <c r="A10789" t="s">
        <v>40837</v>
      </c>
      <c r="B10789" t="s">
        <v>40840</v>
      </c>
      <c r="C10789">
        <v>0</v>
      </c>
      <c r="D10789">
        <v>0.99694305710499997</v>
      </c>
      <c r="E10789">
        <v>1.224</v>
      </c>
    </row>
    <row r="10790" spans="1:5">
      <c r="A10790" t="s">
        <v>40837</v>
      </c>
      <c r="B10790" t="s">
        <v>40841</v>
      </c>
      <c r="C10790">
        <v>0.36166539458000002</v>
      </c>
      <c r="D10790">
        <v>0.99694305710499997</v>
      </c>
      <c r="E10790">
        <v>1.224</v>
      </c>
    </row>
    <row r="10791" spans="1:5">
      <c r="A10791" t="s">
        <v>40837</v>
      </c>
      <c r="B10791" t="s">
        <v>40842</v>
      </c>
      <c r="C10791">
        <f>0.162845249737</f>
        <v>0.16284524973699999</v>
      </c>
      <c r="D10791">
        <v>0.99694305710499997</v>
      </c>
      <c r="E10791">
        <v>1.224</v>
      </c>
    </row>
    <row r="10792" spans="1:5">
      <c r="A10792" t="s">
        <v>40837</v>
      </c>
      <c r="B10792" t="s">
        <v>40843</v>
      </c>
      <c r="C10792">
        <v>0</v>
      </c>
      <c r="D10792">
        <v>0.99694305710499997</v>
      </c>
      <c r="E10792">
        <v>1.224</v>
      </c>
    </row>
    <row r="10793" spans="1:5">
      <c r="A10793" t="s">
        <v>40837</v>
      </c>
      <c r="B10793" t="s">
        <v>40844</v>
      </c>
      <c r="C10793">
        <f>0</f>
        <v>0</v>
      </c>
      <c r="D10793">
        <v>0.99694305710499997</v>
      </c>
      <c r="E10793">
        <v>1.224</v>
      </c>
    </row>
    <row r="10794" spans="1:5">
      <c r="A10794" t="s">
        <v>40837</v>
      </c>
      <c r="B10794" t="s">
        <v>40845</v>
      </c>
      <c r="C10794">
        <f>0</f>
        <v>0</v>
      </c>
      <c r="D10794">
        <v>0.99694305710499997</v>
      </c>
      <c r="E10794">
        <v>1.224</v>
      </c>
    </row>
    <row r="10795" spans="1:5">
      <c r="A10795" t="s">
        <v>40837</v>
      </c>
      <c r="B10795" t="s">
        <v>40846</v>
      </c>
      <c r="C10795">
        <f>0</f>
        <v>0</v>
      </c>
      <c r="D10795">
        <v>0.99694305710499997</v>
      </c>
      <c r="E10795">
        <v>1.224</v>
      </c>
    </row>
    <row r="10796" spans="1:5">
      <c r="A10796" t="s">
        <v>40837</v>
      </c>
      <c r="B10796" t="s">
        <v>40847</v>
      </c>
      <c r="C10796">
        <f>0</f>
        <v>0</v>
      </c>
      <c r="D10796">
        <v>0.99694305710499997</v>
      </c>
      <c r="E10796">
        <v>1.224</v>
      </c>
    </row>
    <row r="10797" spans="1:5">
      <c r="A10797" t="s">
        <v>40837</v>
      </c>
      <c r="B10797" t="s">
        <v>40848</v>
      </c>
      <c r="C10797">
        <f>0</f>
        <v>0</v>
      </c>
      <c r="D10797">
        <v>0.99694305710499997</v>
      </c>
      <c r="E10797">
        <v>1.224</v>
      </c>
    </row>
    <row r="10798" spans="1:5">
      <c r="A10798" t="s">
        <v>40837</v>
      </c>
      <c r="B10798" t="s">
        <v>40849</v>
      </c>
      <c r="C10798">
        <f>0.0634460687381</f>
        <v>6.3446068738100006E-2</v>
      </c>
      <c r="D10798">
        <v>0.99694305710499997</v>
      </c>
      <c r="E10798">
        <v>1.224</v>
      </c>
    </row>
    <row r="10799" spans="1:5">
      <c r="A10799" t="s">
        <v>40837</v>
      </c>
      <c r="B10799" t="s">
        <v>40850</v>
      </c>
      <c r="C10799">
        <f>0.757320841631</f>
        <v>0.757320841631</v>
      </c>
      <c r="D10799">
        <v>0.99694305710499997</v>
      </c>
      <c r="E10799">
        <v>1.224</v>
      </c>
    </row>
    <row r="10800" spans="1:5">
      <c r="A10800" t="s">
        <v>40837</v>
      </c>
      <c r="B10800" t="s">
        <v>40851</v>
      </c>
      <c r="C10800">
        <f>0</f>
        <v>0</v>
      </c>
      <c r="D10800">
        <v>0.99694305710499997</v>
      </c>
      <c r="E10800">
        <v>1.224</v>
      </c>
    </row>
    <row r="10801" spans="1:5">
      <c r="A10801" t="s">
        <v>40837</v>
      </c>
      <c r="B10801" t="s">
        <v>40852</v>
      </c>
      <c r="C10801">
        <v>0.35409441809499997</v>
      </c>
      <c r="D10801">
        <v>0.99694305710499997</v>
      </c>
      <c r="E10801">
        <v>1.224</v>
      </c>
    </row>
    <row r="10802" spans="1:5">
      <c r="A10802" t="s">
        <v>40837</v>
      </c>
      <c r="B10802" t="s">
        <v>40853</v>
      </c>
      <c r="C10802">
        <f>0.0185225665273</f>
        <v>1.85225665273E-2</v>
      </c>
      <c r="D10802">
        <v>0.99694305710499997</v>
      </c>
      <c r="E10802">
        <v>1.224</v>
      </c>
    </row>
    <row r="10803" spans="1:5">
      <c r="A10803" t="s">
        <v>40837</v>
      </c>
      <c r="B10803" t="s">
        <v>40854</v>
      </c>
      <c r="C10803">
        <v>0</v>
      </c>
      <c r="D10803">
        <v>0.99694305710499997</v>
      </c>
      <c r="E10803">
        <v>1.224</v>
      </c>
    </row>
    <row r="10804" spans="1:5">
      <c r="A10804" t="s">
        <v>40837</v>
      </c>
      <c r="B10804" t="s">
        <v>40855</v>
      </c>
      <c r="C10804">
        <f>0</f>
        <v>0</v>
      </c>
      <c r="D10804">
        <v>0.99694305710499997</v>
      </c>
      <c r="E10804">
        <v>1.224</v>
      </c>
    </row>
    <row r="10805" spans="1:5">
      <c r="A10805" t="s">
        <v>40837</v>
      </c>
      <c r="B10805" t="s">
        <v>40856</v>
      </c>
      <c r="C10805">
        <f>0</f>
        <v>0</v>
      </c>
      <c r="D10805">
        <v>0.99694305710499997</v>
      </c>
      <c r="E10805">
        <v>1.224</v>
      </c>
    </row>
    <row r="10806" spans="1:5">
      <c r="A10806" t="s">
        <v>40857</v>
      </c>
      <c r="B10806" t="s">
        <v>40858</v>
      </c>
      <c r="C10806">
        <f>0.532023433556</f>
        <v>0.53202343355600001</v>
      </c>
      <c r="D10806">
        <v>0.97606085560199995</v>
      </c>
      <c r="E10806">
        <v>0.78</v>
      </c>
    </row>
    <row r="10807" spans="1:5">
      <c r="A10807" t="s">
        <v>40857</v>
      </c>
      <c r="B10807" t="s">
        <v>40859</v>
      </c>
      <c r="C10807">
        <f>0.538308137922</f>
        <v>0.53830813792200005</v>
      </c>
      <c r="D10807">
        <v>0.97606085560199995</v>
      </c>
      <c r="E10807">
        <v>0.78</v>
      </c>
    </row>
    <row r="10808" spans="1:5">
      <c r="A10808" t="s">
        <v>40857</v>
      </c>
      <c r="B10808" t="s">
        <v>40860</v>
      </c>
      <c r="C10808">
        <v>0</v>
      </c>
      <c r="D10808">
        <v>0.97606085560199995</v>
      </c>
      <c r="E10808">
        <v>0.78</v>
      </c>
    </row>
    <row r="10809" spans="1:5">
      <c r="A10809" t="s">
        <v>40857</v>
      </c>
      <c r="B10809" t="s">
        <v>40861</v>
      </c>
      <c r="C10809">
        <f>0.300403817609</f>
        <v>0.30040381760899998</v>
      </c>
      <c r="D10809">
        <v>0.97606085560199995</v>
      </c>
      <c r="E10809">
        <v>0.78</v>
      </c>
    </row>
    <row r="10810" spans="1:5">
      <c r="A10810" t="s">
        <v>40857</v>
      </c>
      <c r="B10810" t="s">
        <v>40862</v>
      </c>
      <c r="C10810">
        <f>0</f>
        <v>0</v>
      </c>
      <c r="D10810">
        <v>0.97606085560199995</v>
      </c>
      <c r="E10810">
        <v>0.78</v>
      </c>
    </row>
    <row r="10811" spans="1:5">
      <c r="A10811" t="s">
        <v>40857</v>
      </c>
      <c r="B10811" t="s">
        <v>40863</v>
      </c>
      <c r="C10811">
        <f>0</f>
        <v>0</v>
      </c>
      <c r="D10811">
        <v>0.97606085560199995</v>
      </c>
      <c r="E10811">
        <v>0.78</v>
      </c>
    </row>
    <row r="10812" spans="1:5">
      <c r="A10812" t="s">
        <v>40857</v>
      </c>
      <c r="B10812" t="s">
        <v>40864</v>
      </c>
      <c r="C10812">
        <v>6.7669936850599993E-2</v>
      </c>
      <c r="D10812">
        <v>0.97606085560199995</v>
      </c>
      <c r="E10812">
        <v>0.78</v>
      </c>
    </row>
    <row r="10813" spans="1:5">
      <c r="A10813" t="s">
        <v>40865</v>
      </c>
      <c r="B10813" t="s">
        <v>24109</v>
      </c>
      <c r="C10813">
        <f>0.316258018356</f>
        <v>0.31625801835599998</v>
      </c>
      <c r="D10813">
        <v>0.99902128598899997</v>
      </c>
      <c r="E10813">
        <v>23.754000000000001</v>
      </c>
    </row>
    <row r="10814" spans="1:5">
      <c r="A10814" t="s">
        <v>40865</v>
      </c>
      <c r="B10814" t="s">
        <v>24101</v>
      </c>
      <c r="C10814">
        <f>0.0808551605158</f>
        <v>8.0855160515799995E-2</v>
      </c>
      <c r="D10814">
        <v>0.99902128598899997</v>
      </c>
      <c r="E10814">
        <v>23.754000000000001</v>
      </c>
    </row>
    <row r="10815" spans="1:5">
      <c r="A10815" t="s">
        <v>40865</v>
      </c>
      <c r="B10815" t="s">
        <v>24103</v>
      </c>
      <c r="C10815">
        <f>0.466907473883</f>
        <v>0.46690747388300002</v>
      </c>
      <c r="D10815">
        <v>0.99902128598899997</v>
      </c>
      <c r="E10815">
        <v>23.754000000000001</v>
      </c>
    </row>
    <row r="10816" spans="1:5">
      <c r="A10816" t="s">
        <v>40865</v>
      </c>
      <c r="B10816" t="s">
        <v>24107</v>
      </c>
      <c r="C10816">
        <v>0.10754302954599999</v>
      </c>
      <c r="D10816">
        <v>0.99902128598899997</v>
      </c>
      <c r="E10816">
        <v>23.754000000000001</v>
      </c>
    </row>
    <row r="10817" spans="1:5">
      <c r="A10817" t="s">
        <v>40865</v>
      </c>
      <c r="B10817" t="s">
        <v>24106</v>
      </c>
      <c r="C10817">
        <f>0.492671154815</f>
        <v>0.49267115481500001</v>
      </c>
      <c r="D10817">
        <v>0.99902128598899997</v>
      </c>
      <c r="E10817">
        <v>23.754000000000001</v>
      </c>
    </row>
    <row r="10818" spans="1:5">
      <c r="A10818" t="s">
        <v>40865</v>
      </c>
      <c r="B10818" t="s">
        <v>40866</v>
      </c>
      <c r="C10818">
        <v>0.92477302543499995</v>
      </c>
      <c r="D10818">
        <v>0.99902128598899997</v>
      </c>
      <c r="E10818">
        <v>23.754000000000001</v>
      </c>
    </row>
    <row r="10819" spans="1:5">
      <c r="A10819" t="s">
        <v>40865</v>
      </c>
      <c r="B10819" t="s">
        <v>24108</v>
      </c>
      <c r="C10819">
        <f>0.118042240657</f>
        <v>0.118042240657</v>
      </c>
      <c r="D10819">
        <v>0.99902128598899997</v>
      </c>
      <c r="E10819">
        <v>23.754000000000001</v>
      </c>
    </row>
    <row r="10820" spans="1:5">
      <c r="A10820" t="s">
        <v>40865</v>
      </c>
      <c r="B10820" t="s">
        <v>24105</v>
      </c>
      <c r="C10820">
        <f>0.0567436881303</f>
        <v>5.67436881303E-2</v>
      </c>
      <c r="D10820">
        <v>0.99902128598899997</v>
      </c>
      <c r="E10820">
        <v>23.754000000000001</v>
      </c>
    </row>
    <row r="10821" spans="1:5">
      <c r="A10821" t="s">
        <v>40867</v>
      </c>
      <c r="B10821" t="s">
        <v>40868</v>
      </c>
      <c r="C10821">
        <f>0</f>
        <v>0</v>
      </c>
      <c r="D10821" t="s">
        <v>106</v>
      </c>
      <c r="E10821">
        <v>7.734</v>
      </c>
    </row>
    <row r="10822" spans="1:5">
      <c r="A10822" t="s">
        <v>40867</v>
      </c>
      <c r="B10822" t="s">
        <v>40869</v>
      </c>
      <c r="C10822">
        <v>0</v>
      </c>
      <c r="D10822" t="s">
        <v>106</v>
      </c>
      <c r="E10822">
        <v>7.734</v>
      </c>
    </row>
    <row r="10823" spans="1:5">
      <c r="A10823" t="s">
        <v>40867</v>
      </c>
      <c r="B10823" t="s">
        <v>40870</v>
      </c>
      <c r="C10823">
        <f>0</f>
        <v>0</v>
      </c>
      <c r="D10823" t="s">
        <v>106</v>
      </c>
      <c r="E10823">
        <v>7.734</v>
      </c>
    </row>
    <row r="10824" spans="1:5">
      <c r="A10824" t="s">
        <v>40867</v>
      </c>
      <c r="B10824" t="s">
        <v>40871</v>
      </c>
      <c r="C10824">
        <f>0</f>
        <v>0</v>
      </c>
      <c r="D10824" t="s">
        <v>106</v>
      </c>
      <c r="E10824">
        <v>7.734</v>
      </c>
    </row>
    <row r="10825" spans="1:5">
      <c r="A10825" t="s">
        <v>40872</v>
      </c>
      <c r="B10825" t="s">
        <v>14556</v>
      </c>
      <c r="C10825">
        <f>0.693957704594</f>
        <v>0.69395770459399997</v>
      </c>
      <c r="D10825">
        <v>0.97600199563500001</v>
      </c>
      <c r="E10825">
        <v>6.06</v>
      </c>
    </row>
    <row r="10826" spans="1:5">
      <c r="A10826" t="s">
        <v>40872</v>
      </c>
      <c r="B10826" t="s">
        <v>14557</v>
      </c>
      <c r="C10826">
        <f>0.0277308158539</f>
        <v>2.7730815853900002E-2</v>
      </c>
      <c r="D10826">
        <v>0.97600199563500001</v>
      </c>
      <c r="E10826">
        <v>6.06</v>
      </c>
    </row>
    <row r="10827" spans="1:5">
      <c r="A10827" t="s">
        <v>40872</v>
      </c>
      <c r="B10827" t="s">
        <v>14569</v>
      </c>
      <c r="C10827">
        <v>0.43678146870099999</v>
      </c>
      <c r="D10827">
        <v>0.97600199563500001</v>
      </c>
      <c r="E10827">
        <v>6.06</v>
      </c>
    </row>
    <row r="10828" spans="1:5">
      <c r="A10828" t="s">
        <v>40872</v>
      </c>
      <c r="B10828" t="s">
        <v>14558</v>
      </c>
      <c r="C10828">
        <v>0</v>
      </c>
      <c r="D10828">
        <v>0.97600199563500001</v>
      </c>
      <c r="E10828">
        <v>6.06</v>
      </c>
    </row>
    <row r="10829" spans="1:5">
      <c r="A10829" t="s">
        <v>40872</v>
      </c>
      <c r="B10829" t="s">
        <v>14563</v>
      </c>
      <c r="C10829">
        <v>6.2634585492400002E-2</v>
      </c>
      <c r="D10829">
        <v>0.97600199563500001</v>
      </c>
      <c r="E10829">
        <v>6.06</v>
      </c>
    </row>
    <row r="10830" spans="1:5">
      <c r="A10830" t="s">
        <v>40872</v>
      </c>
      <c r="B10830" t="s">
        <v>14571</v>
      </c>
      <c r="C10830">
        <v>0.380328145482</v>
      </c>
      <c r="D10830">
        <v>0.97600199563500001</v>
      </c>
      <c r="E10830">
        <v>6.06</v>
      </c>
    </row>
    <row r="10831" spans="1:5">
      <c r="A10831" t="s">
        <v>40872</v>
      </c>
      <c r="B10831" t="s">
        <v>14568</v>
      </c>
      <c r="C10831">
        <f>0</f>
        <v>0</v>
      </c>
      <c r="D10831">
        <v>0.97600199563500001</v>
      </c>
      <c r="E10831">
        <v>6.06</v>
      </c>
    </row>
    <row r="10832" spans="1:5">
      <c r="A10832" t="s">
        <v>40873</v>
      </c>
      <c r="B10832" t="s">
        <v>40874</v>
      </c>
      <c r="C10832">
        <v>0</v>
      </c>
      <c r="D10832">
        <v>0.55502029504999995</v>
      </c>
      <c r="E10832">
        <v>23.28</v>
      </c>
    </row>
    <row r="10833" spans="1:5">
      <c r="A10833" t="s">
        <v>40873</v>
      </c>
      <c r="B10833" t="s">
        <v>40875</v>
      </c>
      <c r="C10833">
        <v>0</v>
      </c>
      <c r="D10833">
        <v>0.55502029504999995</v>
      </c>
      <c r="E10833">
        <v>23.28</v>
      </c>
    </row>
    <row r="10834" spans="1:5">
      <c r="A10834" t="s">
        <v>40873</v>
      </c>
      <c r="B10834" t="s">
        <v>40876</v>
      </c>
      <c r="C10834">
        <f>0.19501029505</f>
        <v>0.19501029505</v>
      </c>
      <c r="D10834">
        <v>0.55502029504999995</v>
      </c>
      <c r="E10834">
        <v>23.28</v>
      </c>
    </row>
    <row r="10835" spans="1:5">
      <c r="A10835" t="s">
        <v>40873</v>
      </c>
      <c r="B10835" t="s">
        <v>40877</v>
      </c>
      <c r="C10835">
        <v>0</v>
      </c>
      <c r="D10835">
        <v>0.55502029504999995</v>
      </c>
      <c r="E10835">
        <v>23.28</v>
      </c>
    </row>
    <row r="10836" spans="1:5">
      <c r="A10836" t="s">
        <v>40878</v>
      </c>
      <c r="B10836" t="s">
        <v>40879</v>
      </c>
      <c r="C10836">
        <v>0.35712748943700001</v>
      </c>
      <c r="D10836">
        <v>0.830195672316</v>
      </c>
      <c r="E10836">
        <v>13.997999999999999</v>
      </c>
    </row>
    <row r="10837" spans="1:5">
      <c r="A10837" t="s">
        <v>40878</v>
      </c>
      <c r="B10837" t="s">
        <v>40880</v>
      </c>
      <c r="C10837">
        <f>0</f>
        <v>0</v>
      </c>
      <c r="D10837">
        <v>0.830195672316</v>
      </c>
      <c r="E10837">
        <v>13.997999999999999</v>
      </c>
    </row>
    <row r="10838" spans="1:5">
      <c r="A10838" t="s">
        <v>40878</v>
      </c>
      <c r="B10838" t="s">
        <v>40881</v>
      </c>
      <c r="C10838">
        <v>3.4880634669499998E-2</v>
      </c>
      <c r="D10838">
        <v>0.830195672316</v>
      </c>
      <c r="E10838">
        <v>13.997999999999999</v>
      </c>
    </row>
    <row r="10839" spans="1:5">
      <c r="A10839" t="s">
        <v>40878</v>
      </c>
      <c r="B10839" t="s">
        <v>40882</v>
      </c>
      <c r="C10839">
        <v>0.48344385954399999</v>
      </c>
      <c r="D10839">
        <v>0.830195672316</v>
      </c>
      <c r="E10839">
        <v>13.997999999999999</v>
      </c>
    </row>
    <row r="10840" spans="1:5">
      <c r="A10840" t="s">
        <v>40883</v>
      </c>
      <c r="B10840" t="s">
        <v>21361</v>
      </c>
      <c r="C10840">
        <v>0.252376864747</v>
      </c>
      <c r="D10840">
        <v>0.99336818153499995</v>
      </c>
      <c r="E10840">
        <v>17.303999999999998</v>
      </c>
    </row>
    <row r="10841" spans="1:5">
      <c r="A10841" t="s">
        <v>40883</v>
      </c>
      <c r="B10841" t="s">
        <v>21363</v>
      </c>
      <c r="C10841">
        <f>0.0282075827733</f>
        <v>2.8207582773299999E-2</v>
      </c>
      <c r="D10841">
        <v>0.99336818153499995</v>
      </c>
      <c r="E10841">
        <v>17.303999999999998</v>
      </c>
    </row>
    <row r="10842" spans="1:5">
      <c r="A10842" t="s">
        <v>40883</v>
      </c>
      <c r="B10842" t="s">
        <v>21362</v>
      </c>
      <c r="C10842">
        <v>0.56441381119</v>
      </c>
      <c r="D10842">
        <v>0.99336818153499995</v>
      </c>
      <c r="E10842">
        <v>17.303999999999998</v>
      </c>
    </row>
    <row r="10843" spans="1:5">
      <c r="A10843" t="s">
        <v>40883</v>
      </c>
      <c r="B10843" t="s">
        <v>21365</v>
      </c>
      <c r="C10843">
        <v>0.23230952824199999</v>
      </c>
      <c r="D10843">
        <v>0.99336818153499995</v>
      </c>
      <c r="E10843">
        <v>17.303999999999998</v>
      </c>
    </row>
    <row r="10844" spans="1:5">
      <c r="A10844" t="s">
        <v>40884</v>
      </c>
      <c r="B10844" t="s">
        <v>40885</v>
      </c>
      <c r="C10844">
        <v>0</v>
      </c>
      <c r="D10844" t="s">
        <v>106</v>
      </c>
      <c r="E10844">
        <v>6.0000000000000001E-3</v>
      </c>
    </row>
    <row r="10845" spans="1:5">
      <c r="A10845" t="s">
        <v>40884</v>
      </c>
      <c r="B10845" t="s">
        <v>40886</v>
      </c>
      <c r="C10845">
        <v>0</v>
      </c>
      <c r="D10845" t="s">
        <v>106</v>
      </c>
      <c r="E10845">
        <v>6.0000000000000001E-3</v>
      </c>
    </row>
    <row r="10846" spans="1:5">
      <c r="A10846" t="s">
        <v>40887</v>
      </c>
      <c r="B10846" t="s">
        <v>40888</v>
      </c>
      <c r="C10846">
        <v>0</v>
      </c>
      <c r="D10846" t="s">
        <v>106</v>
      </c>
      <c r="E10846">
        <v>2.4E-2</v>
      </c>
    </row>
    <row r="10847" spans="1:5">
      <c r="A10847" t="s">
        <v>40887</v>
      </c>
      <c r="B10847" t="s">
        <v>40889</v>
      </c>
      <c r="C10847">
        <v>0</v>
      </c>
      <c r="D10847" t="s">
        <v>106</v>
      </c>
      <c r="E10847">
        <v>2.4E-2</v>
      </c>
    </row>
    <row r="10848" spans="1:5">
      <c r="A10848" t="s">
        <v>40887</v>
      </c>
      <c r="B10848" t="s">
        <v>40890</v>
      </c>
      <c r="C10848">
        <v>0</v>
      </c>
      <c r="D10848" t="s">
        <v>106</v>
      </c>
      <c r="E10848">
        <v>2.4E-2</v>
      </c>
    </row>
    <row r="10849" spans="1:5">
      <c r="A10849" t="s">
        <v>40887</v>
      </c>
      <c r="B10849" t="s">
        <v>40891</v>
      </c>
      <c r="C10849">
        <v>0</v>
      </c>
      <c r="D10849" t="s">
        <v>106</v>
      </c>
      <c r="E10849">
        <v>2.4E-2</v>
      </c>
    </row>
    <row r="10850" spans="1:5">
      <c r="A10850" t="s">
        <v>40887</v>
      </c>
      <c r="B10850" t="s">
        <v>40892</v>
      </c>
      <c r="C10850">
        <f>0</f>
        <v>0</v>
      </c>
      <c r="D10850" t="s">
        <v>106</v>
      </c>
      <c r="E10850">
        <v>2.4E-2</v>
      </c>
    </row>
    <row r="10851" spans="1:5">
      <c r="A10851" t="s">
        <v>40887</v>
      </c>
      <c r="B10851" t="s">
        <v>40893</v>
      </c>
      <c r="C10851">
        <f>0</f>
        <v>0</v>
      </c>
      <c r="D10851" t="s">
        <v>106</v>
      </c>
      <c r="E10851">
        <v>2.4E-2</v>
      </c>
    </row>
    <row r="10852" spans="1:5">
      <c r="A10852" t="s">
        <v>40887</v>
      </c>
      <c r="B10852" t="s">
        <v>40894</v>
      </c>
      <c r="C10852">
        <f>0</f>
        <v>0</v>
      </c>
      <c r="D10852" t="s">
        <v>106</v>
      </c>
      <c r="E10852">
        <v>2.4E-2</v>
      </c>
    </row>
    <row r="10853" spans="1:5">
      <c r="A10853" t="s">
        <v>40887</v>
      </c>
      <c r="B10853" t="s">
        <v>40895</v>
      </c>
      <c r="C10853">
        <f>0</f>
        <v>0</v>
      </c>
      <c r="D10853" t="s">
        <v>106</v>
      </c>
      <c r="E10853">
        <v>2.4E-2</v>
      </c>
    </row>
    <row r="10854" spans="1:5">
      <c r="A10854" t="s">
        <v>40896</v>
      </c>
      <c r="B10854" t="s">
        <v>29439</v>
      </c>
      <c r="C10854">
        <v>0</v>
      </c>
      <c r="D10854" t="s">
        <v>106</v>
      </c>
      <c r="E10854">
        <v>9.1679999999999993</v>
      </c>
    </row>
    <row r="10855" spans="1:5">
      <c r="A10855" t="s">
        <v>40896</v>
      </c>
      <c r="B10855" t="s">
        <v>29443</v>
      </c>
      <c r="C10855">
        <v>0</v>
      </c>
      <c r="D10855" t="s">
        <v>106</v>
      </c>
      <c r="E10855">
        <v>9.1679999999999993</v>
      </c>
    </row>
    <row r="10856" spans="1:5">
      <c r="A10856" t="s">
        <v>40896</v>
      </c>
      <c r="B10856" t="s">
        <v>29442</v>
      </c>
      <c r="C10856">
        <f>0</f>
        <v>0</v>
      </c>
      <c r="D10856" t="s">
        <v>106</v>
      </c>
      <c r="E10856">
        <v>9.1679999999999993</v>
      </c>
    </row>
    <row r="10857" spans="1:5">
      <c r="A10857" t="s">
        <v>40896</v>
      </c>
      <c r="B10857" t="s">
        <v>29441</v>
      </c>
      <c r="C10857">
        <f>0</f>
        <v>0</v>
      </c>
      <c r="D10857" t="s">
        <v>106</v>
      </c>
      <c r="E10857">
        <v>9.1679999999999993</v>
      </c>
    </row>
    <row r="10858" spans="1:5">
      <c r="A10858" t="s">
        <v>40896</v>
      </c>
      <c r="B10858" t="s">
        <v>29444</v>
      </c>
      <c r="C10858">
        <f>0</f>
        <v>0</v>
      </c>
      <c r="D10858" t="s">
        <v>106</v>
      </c>
      <c r="E10858">
        <v>9.1679999999999993</v>
      </c>
    </row>
    <row r="10859" spans="1:5">
      <c r="A10859" t="s">
        <v>40896</v>
      </c>
      <c r="B10859" t="s">
        <v>29440</v>
      </c>
      <c r="C10859">
        <v>0</v>
      </c>
      <c r="D10859" t="s">
        <v>106</v>
      </c>
      <c r="E10859">
        <v>9.1679999999999993</v>
      </c>
    </row>
    <row r="10860" spans="1:5">
      <c r="A10860" t="s">
        <v>40897</v>
      </c>
      <c r="B10860" t="s">
        <v>26547</v>
      </c>
      <c r="C10860">
        <f>0</f>
        <v>0</v>
      </c>
      <c r="D10860">
        <v>0.80316084452100001</v>
      </c>
      <c r="E10860">
        <v>14.183999999999999</v>
      </c>
    </row>
    <row r="10861" spans="1:5">
      <c r="A10861" t="s">
        <v>40897</v>
      </c>
      <c r="B10861" t="s">
        <v>26549</v>
      </c>
      <c r="C10861">
        <v>0</v>
      </c>
      <c r="D10861">
        <v>0.80316084452100001</v>
      </c>
      <c r="E10861">
        <v>14.183999999999999</v>
      </c>
    </row>
    <row r="10862" spans="1:5">
      <c r="A10862" t="s">
        <v>40897</v>
      </c>
      <c r="B10862" t="s">
        <v>26548</v>
      </c>
      <c r="C10862">
        <v>0.243877905132</v>
      </c>
      <c r="D10862">
        <v>0.80316084452100001</v>
      </c>
      <c r="E10862">
        <v>14.183999999999999</v>
      </c>
    </row>
    <row r="10863" spans="1:5">
      <c r="A10863" t="s">
        <v>40897</v>
      </c>
      <c r="B10863" t="s">
        <v>26550</v>
      </c>
      <c r="C10863">
        <v>0</v>
      </c>
      <c r="D10863">
        <v>0.80316084452100001</v>
      </c>
      <c r="E10863">
        <v>14.183999999999999</v>
      </c>
    </row>
    <row r="10864" spans="1:5">
      <c r="A10864" t="s">
        <v>40897</v>
      </c>
      <c r="B10864" t="s">
        <v>26551</v>
      </c>
      <c r="C10864">
        <v>0.26961568934399999</v>
      </c>
      <c r="D10864">
        <v>0.80316084452100001</v>
      </c>
      <c r="E10864">
        <v>14.183999999999999</v>
      </c>
    </row>
    <row r="10865" spans="1:5">
      <c r="A10865" t="s">
        <v>40897</v>
      </c>
      <c r="B10865" t="s">
        <v>26552</v>
      </c>
      <c r="C10865">
        <v>0</v>
      </c>
      <c r="D10865">
        <v>0.80316084452100001</v>
      </c>
      <c r="E10865">
        <v>14.183999999999999</v>
      </c>
    </row>
    <row r="10866" spans="1:5">
      <c r="A10866" t="s">
        <v>40898</v>
      </c>
      <c r="B10866" t="s">
        <v>40899</v>
      </c>
      <c r="C10866">
        <f>0</f>
        <v>0</v>
      </c>
      <c r="D10866" t="s">
        <v>106</v>
      </c>
      <c r="E10866">
        <v>1.2E-2</v>
      </c>
    </row>
    <row r="10867" spans="1:5">
      <c r="A10867" t="s">
        <v>40898</v>
      </c>
      <c r="B10867" t="s">
        <v>40900</v>
      </c>
      <c r="C10867">
        <v>0</v>
      </c>
      <c r="D10867" t="s">
        <v>106</v>
      </c>
      <c r="E10867">
        <v>1.2E-2</v>
      </c>
    </row>
    <row r="10868" spans="1:5">
      <c r="A10868" t="s">
        <v>40901</v>
      </c>
      <c r="B10868" t="s">
        <v>5171</v>
      </c>
      <c r="C10868">
        <f>0</f>
        <v>0</v>
      </c>
      <c r="D10868">
        <v>0.685812791413</v>
      </c>
      <c r="E10868">
        <v>0</v>
      </c>
    </row>
    <row r="10869" spans="1:5">
      <c r="A10869" t="s">
        <v>40901</v>
      </c>
      <c r="B10869" t="s">
        <v>5177</v>
      </c>
      <c r="C10869">
        <f>0.015452364171</f>
        <v>1.5452364171E-2</v>
      </c>
      <c r="D10869">
        <v>0.685812791413</v>
      </c>
      <c r="E10869">
        <v>0</v>
      </c>
    </row>
    <row r="10870" spans="1:5">
      <c r="A10870" t="s">
        <v>40901</v>
      </c>
      <c r="B10870" t="s">
        <v>5175</v>
      </c>
      <c r="C10870">
        <f>0.308763761837</f>
        <v>0.30876376183699999</v>
      </c>
      <c r="D10870">
        <v>0.685812791413</v>
      </c>
      <c r="E10870">
        <v>0</v>
      </c>
    </row>
    <row r="10871" spans="1:5">
      <c r="A10871" t="s">
        <v>40901</v>
      </c>
      <c r="B10871" t="s">
        <v>5174</v>
      </c>
      <c r="C10871">
        <f>0</f>
        <v>0</v>
      </c>
      <c r="D10871">
        <v>0.685812791413</v>
      </c>
      <c r="E10871">
        <v>0</v>
      </c>
    </row>
    <row r="10872" spans="1:5">
      <c r="A10872" t="s">
        <v>40901</v>
      </c>
      <c r="B10872" t="s">
        <v>5179</v>
      </c>
      <c r="C10872">
        <f>0</f>
        <v>0</v>
      </c>
      <c r="D10872">
        <v>0.685812791413</v>
      </c>
      <c r="E10872">
        <v>0</v>
      </c>
    </row>
    <row r="10873" spans="1:5">
      <c r="A10873" t="s">
        <v>40901</v>
      </c>
      <c r="B10873" t="s">
        <v>5176</v>
      </c>
      <c r="C10873">
        <f>0</f>
        <v>0</v>
      </c>
      <c r="D10873">
        <v>0.685812791413</v>
      </c>
      <c r="E10873">
        <v>0</v>
      </c>
    </row>
    <row r="10874" spans="1:5">
      <c r="A10874" t="s">
        <v>40901</v>
      </c>
      <c r="B10874" t="s">
        <v>5182</v>
      </c>
      <c r="C10874">
        <v>0</v>
      </c>
      <c r="D10874">
        <v>0.685812791413</v>
      </c>
      <c r="E10874">
        <v>0</v>
      </c>
    </row>
    <row r="10875" spans="1:5">
      <c r="A10875" t="s">
        <v>40902</v>
      </c>
      <c r="B10875" t="s">
        <v>31043</v>
      </c>
      <c r="C10875">
        <f>0</f>
        <v>0</v>
      </c>
      <c r="D10875" t="s">
        <v>106</v>
      </c>
      <c r="E10875">
        <v>2.556</v>
      </c>
    </row>
    <row r="10876" spans="1:5">
      <c r="A10876" t="s">
        <v>40902</v>
      </c>
      <c r="B10876" t="s">
        <v>31047</v>
      </c>
      <c r="C10876">
        <f>0</f>
        <v>0</v>
      </c>
      <c r="D10876" t="s">
        <v>106</v>
      </c>
      <c r="E10876">
        <v>2.556</v>
      </c>
    </row>
    <row r="10877" spans="1:5">
      <c r="A10877" t="s">
        <v>40902</v>
      </c>
      <c r="B10877" t="s">
        <v>31041</v>
      </c>
      <c r="C10877">
        <f>0</f>
        <v>0</v>
      </c>
      <c r="D10877" t="s">
        <v>106</v>
      </c>
      <c r="E10877">
        <v>2.556</v>
      </c>
    </row>
    <row r="10878" spans="1:5">
      <c r="A10878" t="s">
        <v>40902</v>
      </c>
      <c r="B10878" t="s">
        <v>31044</v>
      </c>
      <c r="C10878">
        <f>0</f>
        <v>0</v>
      </c>
      <c r="D10878" t="s">
        <v>106</v>
      </c>
      <c r="E10878">
        <v>2.556</v>
      </c>
    </row>
    <row r="10879" spans="1:5">
      <c r="A10879" t="s">
        <v>40902</v>
      </c>
      <c r="B10879" t="s">
        <v>31042</v>
      </c>
      <c r="C10879">
        <f>0</f>
        <v>0</v>
      </c>
      <c r="D10879" t="s">
        <v>106</v>
      </c>
      <c r="E10879">
        <v>2.556</v>
      </c>
    </row>
    <row r="10880" spans="1:5">
      <c r="A10880" t="s">
        <v>40903</v>
      </c>
      <c r="B10880" t="s">
        <v>8160</v>
      </c>
      <c r="C10880">
        <v>8.2848288846500001E-2</v>
      </c>
      <c r="D10880">
        <v>0.39645828884700002</v>
      </c>
      <c r="E10880">
        <v>3.3180000000000001</v>
      </c>
    </row>
    <row r="10881" spans="1:5">
      <c r="A10881" t="s">
        <v>40903</v>
      </c>
      <c r="B10881" t="s">
        <v>8158</v>
      </c>
      <c r="C10881">
        <f>0</f>
        <v>0</v>
      </c>
      <c r="D10881">
        <v>0.39645828884700002</v>
      </c>
      <c r="E10881">
        <v>3.3180000000000001</v>
      </c>
    </row>
    <row r="10882" spans="1:5">
      <c r="A10882" t="s">
        <v>40903</v>
      </c>
      <c r="B10882" t="s">
        <v>8161</v>
      </c>
      <c r="C10882">
        <v>0</v>
      </c>
      <c r="D10882">
        <v>0.39645828884700002</v>
      </c>
      <c r="E10882">
        <v>3.3180000000000001</v>
      </c>
    </row>
    <row r="10883" spans="1:5">
      <c r="A10883" t="s">
        <v>40903</v>
      </c>
      <c r="B10883" t="s">
        <v>8159</v>
      </c>
      <c r="C10883">
        <f>0</f>
        <v>0</v>
      </c>
      <c r="D10883">
        <v>0.39645828884700002</v>
      </c>
      <c r="E10883">
        <v>3.3180000000000001</v>
      </c>
    </row>
    <row r="10884" spans="1:5">
      <c r="A10884" t="s">
        <v>40904</v>
      </c>
      <c r="B10884" t="s">
        <v>18209</v>
      </c>
      <c r="C10884">
        <f>0</f>
        <v>0</v>
      </c>
      <c r="D10884">
        <v>0.87114063471900005</v>
      </c>
      <c r="E10884">
        <v>1.3919999999999999</v>
      </c>
    </row>
    <row r="10885" spans="1:5">
      <c r="A10885" t="s">
        <v>40904</v>
      </c>
      <c r="B10885" t="s">
        <v>18210</v>
      </c>
      <c r="C10885">
        <v>0.61665257382700001</v>
      </c>
      <c r="D10885">
        <v>0.87114063471900005</v>
      </c>
      <c r="E10885">
        <v>1.3919999999999999</v>
      </c>
    </row>
    <row r="10886" spans="1:5">
      <c r="A10886" t="s">
        <v>40904</v>
      </c>
      <c r="B10886" t="s">
        <v>18211</v>
      </c>
      <c r="C10886">
        <v>0</v>
      </c>
      <c r="D10886">
        <v>0.87114063471900005</v>
      </c>
      <c r="E10886">
        <v>1.3919999999999999</v>
      </c>
    </row>
    <row r="10887" spans="1:5">
      <c r="A10887" t="s">
        <v>40904</v>
      </c>
      <c r="B10887" t="s">
        <v>18213</v>
      </c>
      <c r="C10887">
        <f>0.297334963411</f>
        <v>0.29733496341100002</v>
      </c>
      <c r="D10887">
        <v>0.87114063471900005</v>
      </c>
      <c r="E10887">
        <v>1.3919999999999999</v>
      </c>
    </row>
    <row r="10888" spans="1:5">
      <c r="A10888" t="s">
        <v>40905</v>
      </c>
      <c r="B10888" t="s">
        <v>40906</v>
      </c>
      <c r="C10888">
        <f>0.142716776194</f>
        <v>0.142716776194</v>
      </c>
      <c r="D10888">
        <v>0.89835290685500002</v>
      </c>
      <c r="E10888">
        <v>4.9080000000000004</v>
      </c>
    </row>
    <row r="10889" spans="1:5">
      <c r="A10889" t="s">
        <v>40905</v>
      </c>
      <c r="B10889" t="s">
        <v>40907</v>
      </c>
      <c r="C10889">
        <v>0.52985139852999996</v>
      </c>
      <c r="D10889">
        <v>0.89835290685500002</v>
      </c>
      <c r="E10889">
        <v>4.9080000000000004</v>
      </c>
    </row>
    <row r="10890" spans="1:5">
      <c r="A10890" t="s">
        <v>40905</v>
      </c>
      <c r="B10890" t="s">
        <v>40908</v>
      </c>
      <c r="C10890">
        <f>0</f>
        <v>0</v>
      </c>
      <c r="D10890">
        <v>0.89835290685500002</v>
      </c>
      <c r="E10890">
        <v>4.9080000000000004</v>
      </c>
    </row>
    <row r="10891" spans="1:5">
      <c r="A10891" t="s">
        <v>40905</v>
      </c>
      <c r="B10891" t="s">
        <v>40909</v>
      </c>
      <c r="C10891">
        <f>0.611354576414</f>
        <v>0.61135457641400004</v>
      </c>
      <c r="D10891">
        <v>0.89835290685500002</v>
      </c>
      <c r="E10891">
        <v>4.9080000000000004</v>
      </c>
    </row>
    <row r="10892" spans="1:5">
      <c r="A10892" t="s">
        <v>40910</v>
      </c>
      <c r="B10892" t="s">
        <v>40911</v>
      </c>
      <c r="C10892">
        <f>0</f>
        <v>0</v>
      </c>
      <c r="D10892" t="s">
        <v>106</v>
      </c>
      <c r="E10892">
        <v>23.754000000000001</v>
      </c>
    </row>
    <row r="10893" spans="1:5">
      <c r="A10893" t="s">
        <v>40910</v>
      </c>
      <c r="B10893" t="s">
        <v>40912</v>
      </c>
      <c r="C10893">
        <f>0</f>
        <v>0</v>
      </c>
      <c r="D10893" t="s">
        <v>106</v>
      </c>
      <c r="E10893">
        <v>23.754000000000001</v>
      </c>
    </row>
    <row r="10894" spans="1:5">
      <c r="A10894" t="s">
        <v>40910</v>
      </c>
      <c r="B10894" t="s">
        <v>40913</v>
      </c>
      <c r="C10894">
        <v>0</v>
      </c>
      <c r="D10894" t="s">
        <v>106</v>
      </c>
      <c r="E10894">
        <v>23.754000000000001</v>
      </c>
    </row>
    <row r="10895" spans="1:5">
      <c r="A10895" t="s">
        <v>40914</v>
      </c>
      <c r="B10895" t="s">
        <v>40915</v>
      </c>
      <c r="C10895">
        <v>0</v>
      </c>
      <c r="D10895" t="s">
        <v>106</v>
      </c>
      <c r="E10895">
        <v>7.734</v>
      </c>
    </row>
    <row r="10896" spans="1:5">
      <c r="A10896" t="s">
        <v>40914</v>
      </c>
      <c r="B10896" t="s">
        <v>40916</v>
      </c>
      <c r="C10896">
        <v>0</v>
      </c>
      <c r="D10896" t="s">
        <v>106</v>
      </c>
      <c r="E10896">
        <v>7.734</v>
      </c>
    </row>
    <row r="10897" spans="1:5">
      <c r="A10897" t="s">
        <v>40914</v>
      </c>
      <c r="B10897" t="s">
        <v>40917</v>
      </c>
      <c r="C10897">
        <f>0</f>
        <v>0</v>
      </c>
      <c r="D10897" t="s">
        <v>106</v>
      </c>
      <c r="E10897">
        <v>7.734</v>
      </c>
    </row>
    <row r="10898" spans="1:5">
      <c r="A10898" t="s">
        <v>40914</v>
      </c>
      <c r="B10898" t="s">
        <v>40918</v>
      </c>
      <c r="C10898">
        <f>0</f>
        <v>0</v>
      </c>
      <c r="D10898" t="s">
        <v>106</v>
      </c>
      <c r="E10898">
        <v>7.734</v>
      </c>
    </row>
    <row r="10899" spans="1:5">
      <c r="A10899" t="s">
        <v>40914</v>
      </c>
      <c r="B10899" t="s">
        <v>40919</v>
      </c>
      <c r="C10899">
        <v>0</v>
      </c>
      <c r="D10899" t="s">
        <v>106</v>
      </c>
      <c r="E10899">
        <v>7.734</v>
      </c>
    </row>
    <row r="10900" spans="1:5">
      <c r="A10900" t="s">
        <v>40914</v>
      </c>
      <c r="B10900" t="s">
        <v>40920</v>
      </c>
      <c r="C10900">
        <f>0</f>
        <v>0</v>
      </c>
      <c r="D10900" t="s">
        <v>106</v>
      </c>
      <c r="E10900">
        <v>7.734</v>
      </c>
    </row>
    <row r="10901" spans="1:5">
      <c r="A10901" t="s">
        <v>40914</v>
      </c>
      <c r="B10901" t="s">
        <v>40921</v>
      </c>
      <c r="C10901">
        <v>0</v>
      </c>
      <c r="D10901" t="s">
        <v>106</v>
      </c>
      <c r="E10901">
        <v>7.734</v>
      </c>
    </row>
    <row r="10902" spans="1:5">
      <c r="A10902" t="s">
        <v>40914</v>
      </c>
      <c r="B10902" t="s">
        <v>40922</v>
      </c>
      <c r="C10902">
        <v>0</v>
      </c>
      <c r="D10902" t="s">
        <v>106</v>
      </c>
      <c r="E10902">
        <v>7.734</v>
      </c>
    </row>
    <row r="10903" spans="1:5">
      <c r="A10903" t="s">
        <v>40914</v>
      </c>
      <c r="B10903" t="s">
        <v>40923</v>
      </c>
      <c r="C10903">
        <v>0</v>
      </c>
      <c r="D10903" t="s">
        <v>106</v>
      </c>
      <c r="E10903">
        <v>7.734</v>
      </c>
    </row>
    <row r="10904" spans="1:5">
      <c r="A10904" t="s">
        <v>40924</v>
      </c>
      <c r="B10904" t="s">
        <v>4260</v>
      </c>
      <c r="C10904">
        <f>0</f>
        <v>0</v>
      </c>
      <c r="D10904">
        <v>0.74330394251099996</v>
      </c>
      <c r="E10904">
        <v>11.706</v>
      </c>
    </row>
    <row r="10905" spans="1:5">
      <c r="A10905" t="s">
        <v>40924</v>
      </c>
      <c r="B10905" t="s">
        <v>4263</v>
      </c>
      <c r="C10905">
        <v>0</v>
      </c>
      <c r="D10905">
        <v>0.74330394251099996</v>
      </c>
      <c r="E10905">
        <v>11.706</v>
      </c>
    </row>
    <row r="10906" spans="1:5">
      <c r="A10906" t="s">
        <v>40924</v>
      </c>
      <c r="B10906" t="s">
        <v>4267</v>
      </c>
      <c r="C10906">
        <v>0</v>
      </c>
      <c r="D10906">
        <v>0.74330394251099996</v>
      </c>
      <c r="E10906">
        <v>11.706</v>
      </c>
    </row>
    <row r="10907" spans="1:5">
      <c r="A10907" t="s">
        <v>40924</v>
      </c>
      <c r="B10907" t="s">
        <v>4268</v>
      </c>
      <c r="C10907">
        <v>0</v>
      </c>
      <c r="D10907">
        <v>0.74330394251099996</v>
      </c>
      <c r="E10907">
        <v>11.706</v>
      </c>
    </row>
    <row r="10908" spans="1:5">
      <c r="A10908" t="s">
        <v>40924</v>
      </c>
      <c r="B10908" t="s">
        <v>4271</v>
      </c>
      <c r="C10908">
        <f>0</f>
        <v>0</v>
      </c>
      <c r="D10908">
        <v>0.74330394251099996</v>
      </c>
      <c r="E10908">
        <v>11.706</v>
      </c>
    </row>
    <row r="10909" spans="1:5">
      <c r="A10909" t="s">
        <v>40924</v>
      </c>
      <c r="B10909" t="s">
        <v>4265</v>
      </c>
      <c r="C10909">
        <f>0</f>
        <v>0</v>
      </c>
      <c r="D10909">
        <v>0.74330394251099996</v>
      </c>
      <c r="E10909">
        <v>11.706</v>
      </c>
    </row>
    <row r="10910" spans="1:5">
      <c r="A10910" t="s">
        <v>40924</v>
      </c>
      <c r="B10910" t="s">
        <v>4269</v>
      </c>
      <c r="C10910">
        <f>0</f>
        <v>0</v>
      </c>
      <c r="D10910">
        <v>0.74330394251099996</v>
      </c>
      <c r="E10910">
        <v>11.706</v>
      </c>
    </row>
    <row r="10911" spans="1:5">
      <c r="A10911" t="s">
        <v>40924</v>
      </c>
      <c r="B10911" t="s">
        <v>4261</v>
      </c>
      <c r="C10911">
        <v>0</v>
      </c>
      <c r="D10911">
        <v>0.74330394251099996</v>
      </c>
      <c r="E10911">
        <v>11.706</v>
      </c>
    </row>
    <row r="10912" spans="1:5">
      <c r="A10912" t="s">
        <v>40924</v>
      </c>
      <c r="B10912" t="s">
        <v>4270</v>
      </c>
      <c r="C10912">
        <v>0.38329394251100002</v>
      </c>
      <c r="D10912">
        <v>0.74330394251099996</v>
      </c>
      <c r="E10912">
        <v>11.706</v>
      </c>
    </row>
    <row r="10913" spans="1:5">
      <c r="A10913" t="s">
        <v>40925</v>
      </c>
      <c r="B10913" t="s">
        <v>22640</v>
      </c>
      <c r="C10913">
        <v>0.66528162615700004</v>
      </c>
      <c r="D10913">
        <v>0.841809776836</v>
      </c>
      <c r="E10913">
        <v>23.754000000000001</v>
      </c>
    </row>
    <row r="10914" spans="1:5">
      <c r="A10914" t="s">
        <v>40925</v>
      </c>
      <c r="B10914" t="s">
        <v>22641</v>
      </c>
      <c r="C10914">
        <f>0.989718488987</f>
        <v>0.98971848898699999</v>
      </c>
      <c r="D10914">
        <v>0.841809776836</v>
      </c>
      <c r="E10914">
        <v>23.754000000000001</v>
      </c>
    </row>
    <row r="10915" spans="1:5">
      <c r="A10915" t="s">
        <v>40926</v>
      </c>
      <c r="B10915" t="s">
        <v>40927</v>
      </c>
      <c r="C10915">
        <f>0</f>
        <v>0</v>
      </c>
      <c r="D10915">
        <v>0.88877919084699997</v>
      </c>
      <c r="E10915">
        <v>3.2280000000000002</v>
      </c>
    </row>
    <row r="10916" spans="1:5">
      <c r="A10916" t="s">
        <v>40926</v>
      </c>
      <c r="B10916" t="s">
        <v>40928</v>
      </c>
      <c r="C10916">
        <v>8.1205131813799999E-2</v>
      </c>
      <c r="D10916">
        <v>0.88877919084699997</v>
      </c>
      <c r="E10916">
        <v>3.2280000000000002</v>
      </c>
    </row>
    <row r="10917" spans="1:5">
      <c r="A10917" t="s">
        <v>40926</v>
      </c>
      <c r="B10917" t="s">
        <v>40929</v>
      </c>
      <c r="C10917">
        <f>0</f>
        <v>0</v>
      </c>
      <c r="D10917">
        <v>0.88877919084699997</v>
      </c>
      <c r="E10917">
        <v>3.2280000000000002</v>
      </c>
    </row>
    <row r="10918" spans="1:5">
      <c r="A10918" t="s">
        <v>40926</v>
      </c>
      <c r="B10918" t="s">
        <v>40930</v>
      </c>
      <c r="C10918">
        <f>0.777411796908</f>
        <v>0.777411796908</v>
      </c>
      <c r="D10918">
        <v>0.88877919084699997</v>
      </c>
      <c r="E10918">
        <v>3.2280000000000002</v>
      </c>
    </row>
    <row r="10919" spans="1:5">
      <c r="A10919" t="s">
        <v>40926</v>
      </c>
      <c r="B10919" t="s">
        <v>40931</v>
      </c>
      <c r="C10919">
        <v>0.13378022696799999</v>
      </c>
      <c r="D10919">
        <v>0.88877919084699997</v>
      </c>
      <c r="E10919">
        <v>3.2280000000000002</v>
      </c>
    </row>
    <row r="10920" spans="1:5">
      <c r="A10920" t="s">
        <v>40932</v>
      </c>
      <c r="B10920" t="s">
        <v>19533</v>
      </c>
      <c r="C10920">
        <f>0.0994852185171</f>
        <v>9.9485218517100002E-2</v>
      </c>
      <c r="D10920">
        <v>0.999387177839</v>
      </c>
      <c r="E10920">
        <v>2.556</v>
      </c>
    </row>
    <row r="10921" spans="1:5">
      <c r="A10921" t="s">
        <v>40932</v>
      </c>
      <c r="B10921" t="s">
        <v>19520</v>
      </c>
      <c r="C10921">
        <v>0.35809894163400002</v>
      </c>
      <c r="D10921">
        <v>0.999387177839</v>
      </c>
      <c r="E10921">
        <v>2.556</v>
      </c>
    </row>
    <row r="10922" spans="1:5">
      <c r="A10922" t="s">
        <v>40932</v>
      </c>
      <c r="B10922" t="s">
        <v>19534</v>
      </c>
      <c r="C10922">
        <v>0.55870978774500002</v>
      </c>
      <c r="D10922">
        <v>0.999387177839</v>
      </c>
      <c r="E10922">
        <v>2.556</v>
      </c>
    </row>
    <row r="10923" spans="1:5">
      <c r="A10923" t="s">
        <v>40932</v>
      </c>
      <c r="B10923" t="s">
        <v>19529</v>
      </c>
      <c r="C10923">
        <f>0.244143450554</f>
        <v>0.244143450554</v>
      </c>
      <c r="D10923">
        <v>0.999387177839</v>
      </c>
      <c r="E10923">
        <v>2.556</v>
      </c>
    </row>
    <row r="10924" spans="1:5">
      <c r="A10924" t="s">
        <v>40932</v>
      </c>
      <c r="B10924" t="s">
        <v>19531</v>
      </c>
      <c r="C10924">
        <f>0</f>
        <v>0</v>
      </c>
      <c r="D10924">
        <v>0.999387177839</v>
      </c>
      <c r="E10924">
        <v>2.556</v>
      </c>
    </row>
    <row r="10925" spans="1:5">
      <c r="A10925" t="s">
        <v>40932</v>
      </c>
      <c r="B10925" t="s">
        <v>19535</v>
      </c>
      <c r="C10925">
        <v>0.75468488489300001</v>
      </c>
      <c r="D10925">
        <v>0.999387177839</v>
      </c>
      <c r="E10925">
        <v>2.556</v>
      </c>
    </row>
    <row r="10926" spans="1:5">
      <c r="A10926" t="s">
        <v>40932</v>
      </c>
      <c r="B10926" t="s">
        <v>19524</v>
      </c>
      <c r="C10926">
        <v>0</v>
      </c>
      <c r="D10926">
        <v>0.999387177839</v>
      </c>
      <c r="E10926">
        <v>2.556</v>
      </c>
    </row>
    <row r="10927" spans="1:5">
      <c r="A10927" t="s">
        <v>40932</v>
      </c>
      <c r="B10927" t="s">
        <v>19523</v>
      </c>
      <c r="C10927">
        <v>4.3486245351999998E-2</v>
      </c>
      <c r="D10927">
        <v>0.999387177839</v>
      </c>
      <c r="E10927">
        <v>2.556</v>
      </c>
    </row>
    <row r="10928" spans="1:5">
      <c r="A10928" t="s">
        <v>40933</v>
      </c>
      <c r="B10928" t="s">
        <v>40934</v>
      </c>
      <c r="C10928">
        <v>0</v>
      </c>
      <c r="D10928" t="s">
        <v>106</v>
      </c>
      <c r="E10928">
        <v>7.0679999999999996</v>
      </c>
    </row>
    <row r="10929" spans="1:5">
      <c r="A10929" t="s">
        <v>40933</v>
      </c>
      <c r="B10929" t="s">
        <v>40935</v>
      </c>
      <c r="C10929">
        <v>0</v>
      </c>
      <c r="D10929" t="s">
        <v>106</v>
      </c>
      <c r="E10929">
        <v>7.0679999999999996</v>
      </c>
    </row>
    <row r="10930" spans="1:5">
      <c r="A10930" t="s">
        <v>40933</v>
      </c>
      <c r="B10930" t="s">
        <v>40936</v>
      </c>
      <c r="C10930">
        <f>0</f>
        <v>0</v>
      </c>
      <c r="D10930" t="s">
        <v>106</v>
      </c>
      <c r="E10930">
        <v>7.0679999999999996</v>
      </c>
    </row>
    <row r="10931" spans="1:5">
      <c r="A10931" t="s">
        <v>40933</v>
      </c>
      <c r="B10931" t="s">
        <v>40937</v>
      </c>
      <c r="C10931">
        <f>0</f>
        <v>0</v>
      </c>
      <c r="D10931" t="s">
        <v>106</v>
      </c>
      <c r="E10931">
        <v>7.0679999999999996</v>
      </c>
    </row>
    <row r="10932" spans="1:5">
      <c r="A10932" t="s">
        <v>40938</v>
      </c>
      <c r="B10932" t="s">
        <v>40939</v>
      </c>
      <c r="C10932">
        <v>0</v>
      </c>
      <c r="D10932">
        <v>0.67752701600300003</v>
      </c>
      <c r="E10932">
        <v>4.6920000000000002</v>
      </c>
    </row>
    <row r="10933" spans="1:5">
      <c r="A10933" t="s">
        <v>40938</v>
      </c>
      <c r="B10933" t="s">
        <v>40940</v>
      </c>
      <c r="C10933">
        <v>0</v>
      </c>
      <c r="D10933">
        <v>0.67752701600300003</v>
      </c>
      <c r="E10933">
        <v>4.6920000000000002</v>
      </c>
    </row>
    <row r="10934" spans="1:5">
      <c r="A10934" t="s">
        <v>40938</v>
      </c>
      <c r="B10934" t="s">
        <v>40941</v>
      </c>
      <c r="C10934">
        <v>0.40711701600299999</v>
      </c>
      <c r="D10934">
        <v>0.67752701600300003</v>
      </c>
      <c r="E10934">
        <v>4.6920000000000002</v>
      </c>
    </row>
    <row r="10935" spans="1:5">
      <c r="A10935" t="s">
        <v>40942</v>
      </c>
      <c r="B10935" t="s">
        <v>20877</v>
      </c>
      <c r="C10935">
        <v>0</v>
      </c>
      <c r="D10935">
        <v>0.72555165691599999</v>
      </c>
      <c r="E10935">
        <v>4.9080000000000004</v>
      </c>
    </row>
    <row r="10936" spans="1:5">
      <c r="A10936" t="s">
        <v>40942</v>
      </c>
      <c r="B10936" t="s">
        <v>20882</v>
      </c>
      <c r="C10936">
        <v>0.55162729724500004</v>
      </c>
      <c r="D10936">
        <v>0.72555165691599999</v>
      </c>
      <c r="E10936">
        <v>4.9080000000000004</v>
      </c>
    </row>
    <row r="10937" spans="1:5">
      <c r="A10937" t="s">
        <v>40942</v>
      </c>
      <c r="B10937" t="s">
        <v>20883</v>
      </c>
      <c r="C10937">
        <f>0</f>
        <v>0</v>
      </c>
      <c r="D10937">
        <v>0.72555165691599999</v>
      </c>
      <c r="E10937">
        <v>4.9080000000000004</v>
      </c>
    </row>
    <row r="10938" spans="1:5">
      <c r="A10938" t="s">
        <v>40942</v>
      </c>
      <c r="B10938" t="s">
        <v>20884</v>
      </c>
      <c r="C10938">
        <v>1.9799859277399998E-2</v>
      </c>
      <c r="D10938">
        <v>0.72555165691599999</v>
      </c>
      <c r="E10938">
        <v>4.9080000000000004</v>
      </c>
    </row>
    <row r="10939" spans="1:5">
      <c r="A10939" t="s">
        <v>40943</v>
      </c>
      <c r="B10939" t="s">
        <v>1587</v>
      </c>
      <c r="C10939">
        <f>0.50920877765</f>
        <v>0.50920877765000006</v>
      </c>
      <c r="D10939">
        <v>0.70281877765</v>
      </c>
      <c r="E10939">
        <v>14.747999999999999</v>
      </c>
    </row>
    <row r="10940" spans="1:5">
      <c r="A10940" t="s">
        <v>40943</v>
      </c>
      <c r="B10940" t="s">
        <v>1588</v>
      </c>
      <c r="C10940">
        <f>0</f>
        <v>0</v>
      </c>
      <c r="D10940">
        <v>0.70281877765</v>
      </c>
      <c r="E10940">
        <v>14.747999999999999</v>
      </c>
    </row>
    <row r="10941" spans="1:5">
      <c r="A10941" t="s">
        <v>40944</v>
      </c>
      <c r="B10941" t="s">
        <v>34012</v>
      </c>
      <c r="C10941">
        <v>0.58411196428500001</v>
      </c>
      <c r="D10941">
        <v>0.77772196428499996</v>
      </c>
      <c r="E10941">
        <v>21.192</v>
      </c>
    </row>
    <row r="10942" spans="1:5">
      <c r="A10942" t="s">
        <v>40944</v>
      </c>
      <c r="B10942" t="s">
        <v>34013</v>
      </c>
      <c r="C10942">
        <v>0</v>
      </c>
      <c r="D10942">
        <v>0.77772196428499996</v>
      </c>
      <c r="E10942">
        <v>21.192</v>
      </c>
    </row>
    <row r="10943" spans="1:5">
      <c r="A10943" t="s">
        <v>40945</v>
      </c>
      <c r="B10943" t="s">
        <v>24754</v>
      </c>
      <c r="C10943">
        <f>0.738592799266</f>
        <v>0.73859279926599997</v>
      </c>
      <c r="D10943">
        <v>0.99999990566200003</v>
      </c>
      <c r="E10943">
        <v>24</v>
      </c>
    </row>
    <row r="10944" spans="1:5">
      <c r="A10944" t="s">
        <v>40945</v>
      </c>
      <c r="B10944" t="s">
        <v>24762</v>
      </c>
      <c r="C10944">
        <f>0.0112961932523</f>
        <v>1.12961932523E-2</v>
      </c>
      <c r="D10944">
        <v>0.99999990566200003</v>
      </c>
      <c r="E10944">
        <v>24</v>
      </c>
    </row>
    <row r="10945" spans="1:5">
      <c r="A10945" t="s">
        <v>40945</v>
      </c>
      <c r="B10945" t="s">
        <v>24766</v>
      </c>
      <c r="C10945">
        <v>0.30458675635999999</v>
      </c>
      <c r="D10945">
        <v>0.99999990566200003</v>
      </c>
      <c r="E10945">
        <v>24</v>
      </c>
    </row>
    <row r="10946" spans="1:5">
      <c r="A10946" t="s">
        <v>40945</v>
      </c>
      <c r="B10946" t="s">
        <v>24767</v>
      </c>
      <c r="C10946">
        <f>0.165208989898</f>
        <v>0.16520898989800001</v>
      </c>
      <c r="D10946">
        <v>0.99999990566200003</v>
      </c>
      <c r="E10946">
        <v>24</v>
      </c>
    </row>
    <row r="10947" spans="1:5">
      <c r="A10947" t="s">
        <v>40945</v>
      </c>
      <c r="B10947" t="s">
        <v>24757</v>
      </c>
      <c r="C10947">
        <f>0.0814286012581</f>
        <v>8.1428601258100003E-2</v>
      </c>
      <c r="D10947">
        <v>0.99999990566200003</v>
      </c>
      <c r="E10947">
        <v>24</v>
      </c>
    </row>
    <row r="10948" spans="1:5">
      <c r="A10948" t="s">
        <v>40945</v>
      </c>
      <c r="B10948" t="s">
        <v>24763</v>
      </c>
      <c r="C10948">
        <f>0.157814959983</f>
        <v>0.15781495998299999</v>
      </c>
      <c r="D10948">
        <v>0.99999990566200003</v>
      </c>
      <c r="E10948">
        <v>24</v>
      </c>
    </row>
    <row r="10949" spans="1:5">
      <c r="A10949" t="s">
        <v>40945</v>
      </c>
      <c r="B10949" t="s">
        <v>24768</v>
      </c>
      <c r="C10949">
        <v>0.51996304759400003</v>
      </c>
      <c r="D10949">
        <v>0.99999990566200003</v>
      </c>
      <c r="E10949">
        <v>24</v>
      </c>
    </row>
    <row r="10950" spans="1:5">
      <c r="A10950" t="s">
        <v>40945</v>
      </c>
      <c r="B10950" t="s">
        <v>24760</v>
      </c>
      <c r="C10950">
        <v>0.397879143303</v>
      </c>
      <c r="D10950">
        <v>0.99999990566200003</v>
      </c>
      <c r="E10950">
        <v>24</v>
      </c>
    </row>
    <row r="10951" spans="1:5">
      <c r="A10951" t="s">
        <v>40945</v>
      </c>
      <c r="B10951" t="s">
        <v>24770</v>
      </c>
      <c r="C10951">
        <v>0.11982033302</v>
      </c>
      <c r="D10951">
        <v>0.99999990566200003</v>
      </c>
      <c r="E10951">
        <v>24</v>
      </c>
    </row>
    <row r="10952" spans="1:5">
      <c r="A10952" t="s">
        <v>40945</v>
      </c>
      <c r="B10952" t="s">
        <v>24759</v>
      </c>
      <c r="C10952">
        <f>0.330898240716</f>
        <v>0.33089824071599999</v>
      </c>
      <c r="D10952">
        <v>0.99999990566200003</v>
      </c>
      <c r="E10952">
        <v>24</v>
      </c>
    </row>
    <row r="10953" spans="1:5">
      <c r="A10953" t="s">
        <v>40945</v>
      </c>
      <c r="B10953" t="s">
        <v>24761</v>
      </c>
      <c r="C10953">
        <v>0.41699048869799998</v>
      </c>
      <c r="D10953">
        <v>0.99999990566200003</v>
      </c>
      <c r="E10953">
        <v>24</v>
      </c>
    </row>
    <row r="10954" spans="1:5">
      <c r="A10954" t="s">
        <v>40946</v>
      </c>
      <c r="B10954" t="s">
        <v>40947</v>
      </c>
      <c r="C10954">
        <v>1.1914844244</v>
      </c>
      <c r="D10954">
        <v>0.99999976691600001</v>
      </c>
      <c r="E10954">
        <v>3.0539999999999998</v>
      </c>
    </row>
    <row r="10955" spans="1:5">
      <c r="A10955" t="s">
        <v>40946</v>
      </c>
      <c r="B10955" t="s">
        <v>40948</v>
      </c>
      <c r="C10955">
        <f>0.447498097278</f>
        <v>0.447498097278</v>
      </c>
      <c r="D10955">
        <v>0.99999976691600001</v>
      </c>
      <c r="E10955">
        <v>3.0539999999999998</v>
      </c>
    </row>
    <row r="10956" spans="1:5">
      <c r="A10956" t="s">
        <v>40946</v>
      </c>
      <c r="B10956" t="s">
        <v>40949</v>
      </c>
      <c r="C10956">
        <f>0.0474134525836</f>
        <v>4.7413452583600003E-2</v>
      </c>
      <c r="D10956">
        <v>0.99999976691600001</v>
      </c>
      <c r="E10956">
        <v>3.0539999999999998</v>
      </c>
    </row>
    <row r="10957" spans="1:5">
      <c r="A10957" t="s">
        <v>40946</v>
      </c>
      <c r="B10957" t="s">
        <v>40950</v>
      </c>
      <c r="C10957">
        <v>0.11836178079699999</v>
      </c>
      <c r="D10957">
        <v>0.99999976691600001</v>
      </c>
      <c r="E10957">
        <v>3.0539999999999998</v>
      </c>
    </row>
    <row r="10958" spans="1:5">
      <c r="A10958" t="s">
        <v>40946</v>
      </c>
      <c r="B10958" t="s">
        <v>40951</v>
      </c>
      <c r="C10958">
        <v>0.37259858254099998</v>
      </c>
      <c r="D10958">
        <v>0.99999976691600001</v>
      </c>
      <c r="E10958">
        <v>3.0539999999999998</v>
      </c>
    </row>
    <row r="10959" spans="1:5">
      <c r="A10959" t="s">
        <v>40946</v>
      </c>
      <c r="B10959" t="s">
        <v>40952</v>
      </c>
      <c r="C10959">
        <v>0.45634545617799999</v>
      </c>
      <c r="D10959">
        <v>0.99999976691600001</v>
      </c>
      <c r="E10959">
        <v>3.0539999999999998</v>
      </c>
    </row>
    <row r="10960" spans="1:5">
      <c r="A10960" t="s">
        <v>40946</v>
      </c>
      <c r="B10960" t="s">
        <v>40953</v>
      </c>
      <c r="C10960">
        <f>0.138325250475</f>
        <v>0.13832525047499999</v>
      </c>
      <c r="D10960">
        <v>0.99999976691600001</v>
      </c>
      <c r="E10960">
        <v>3.0539999999999998</v>
      </c>
    </row>
    <row r="10961" spans="1:5">
      <c r="A10961" t="s">
        <v>40946</v>
      </c>
      <c r="B10961" t="s">
        <v>40954</v>
      </c>
      <c r="C10961">
        <v>0.42115828577699999</v>
      </c>
      <c r="D10961">
        <v>0.99999976691600001</v>
      </c>
      <c r="E10961">
        <v>3.0539999999999998</v>
      </c>
    </row>
    <row r="10962" spans="1:5">
      <c r="A10962" t="s">
        <v>40946</v>
      </c>
      <c r="B10962" t="s">
        <v>40955</v>
      </c>
      <c r="C10962">
        <f>0.268704793833</f>
        <v>0.268704793833</v>
      </c>
      <c r="D10962">
        <v>0.99999976691600001</v>
      </c>
      <c r="E10962">
        <v>3.0539999999999998</v>
      </c>
    </row>
    <row r="10963" spans="1:5">
      <c r="A10963" t="s">
        <v>40956</v>
      </c>
      <c r="B10963" t="s">
        <v>28077</v>
      </c>
      <c r="C10963">
        <v>0</v>
      </c>
      <c r="D10963">
        <v>0.99988777944100005</v>
      </c>
      <c r="E10963">
        <v>0.69599999999999995</v>
      </c>
    </row>
    <row r="10964" spans="1:5">
      <c r="A10964" t="s">
        <v>40956</v>
      </c>
      <c r="B10964" t="s">
        <v>28081</v>
      </c>
      <c r="C10964">
        <v>0.22141440163699999</v>
      </c>
      <c r="D10964">
        <v>0.99988777944100005</v>
      </c>
      <c r="E10964">
        <v>0.69599999999999995</v>
      </c>
    </row>
    <row r="10965" spans="1:5">
      <c r="A10965" t="s">
        <v>40956</v>
      </c>
      <c r="B10965" t="s">
        <v>28080</v>
      </c>
      <c r="C10965">
        <v>0.13588621280499999</v>
      </c>
      <c r="D10965">
        <v>0.99988777944100005</v>
      </c>
      <c r="E10965">
        <v>0.69599999999999995</v>
      </c>
    </row>
    <row r="10966" spans="1:5">
      <c r="A10966" t="s">
        <v>40956</v>
      </c>
      <c r="B10966" t="s">
        <v>28078</v>
      </c>
      <c r="C10966">
        <v>0</v>
      </c>
      <c r="D10966">
        <v>0.99988777944100005</v>
      </c>
      <c r="E10966">
        <v>0.69599999999999995</v>
      </c>
    </row>
    <row r="10967" spans="1:5">
      <c r="A10967" t="s">
        <v>40956</v>
      </c>
      <c r="B10967" t="s">
        <v>28082</v>
      </c>
      <c r="C10967">
        <v>0.329575203983</v>
      </c>
      <c r="D10967">
        <v>0.99988777944100005</v>
      </c>
      <c r="E10967">
        <v>0.69599999999999995</v>
      </c>
    </row>
    <row r="10968" spans="1:5">
      <c r="A10968" t="s">
        <v>40956</v>
      </c>
      <c r="B10968" t="s">
        <v>28084</v>
      </c>
      <c r="C10968">
        <f>0.464285307638</f>
        <v>0.46428530763800002</v>
      </c>
      <c r="D10968">
        <v>0.99988777944100005</v>
      </c>
      <c r="E10968">
        <v>0.69599999999999995</v>
      </c>
    </row>
    <row r="10969" spans="1:5">
      <c r="A10969" t="s">
        <v>40956</v>
      </c>
      <c r="B10969" t="s">
        <v>28085</v>
      </c>
      <c r="C10969">
        <f>0.240107311862</f>
        <v>0.24010731186199999</v>
      </c>
      <c r="D10969">
        <v>0.99988777944100005</v>
      </c>
      <c r="E10969">
        <v>0.69599999999999995</v>
      </c>
    </row>
    <row r="10970" spans="1:5">
      <c r="A10970" t="s">
        <v>40956</v>
      </c>
      <c r="B10970" t="s">
        <v>28083</v>
      </c>
      <c r="C10970">
        <v>0.141427864663</v>
      </c>
      <c r="D10970">
        <v>0.99988777944100005</v>
      </c>
      <c r="E10970">
        <v>0.69599999999999995</v>
      </c>
    </row>
    <row r="10971" spans="1:5">
      <c r="A10971" t="s">
        <v>40957</v>
      </c>
      <c r="B10971" t="s">
        <v>25095</v>
      </c>
      <c r="C10971">
        <f>0.172619961674</f>
        <v>0.17261996167400001</v>
      </c>
      <c r="D10971">
        <v>0.91393972853799998</v>
      </c>
      <c r="E10971">
        <v>24</v>
      </c>
    </row>
    <row r="10972" spans="1:5">
      <c r="A10972" t="s">
        <v>40957</v>
      </c>
      <c r="B10972" t="s">
        <v>25098</v>
      </c>
      <c r="C10972">
        <v>8.5987088361399996E-2</v>
      </c>
      <c r="D10972">
        <v>0.91393972853799998</v>
      </c>
      <c r="E10972">
        <v>24</v>
      </c>
    </row>
    <row r="10973" spans="1:5">
      <c r="A10973" t="s">
        <v>40957</v>
      </c>
      <c r="B10973" t="s">
        <v>25090</v>
      </c>
      <c r="C10973">
        <v>0</v>
      </c>
      <c r="D10973">
        <v>0.91393972853799998</v>
      </c>
      <c r="E10973">
        <v>24</v>
      </c>
    </row>
    <row r="10974" spans="1:5">
      <c r="A10974" t="s">
        <v>40957</v>
      </c>
      <c r="B10974" t="s">
        <v>25097</v>
      </c>
      <c r="C10974">
        <v>0.83346364730699996</v>
      </c>
      <c r="D10974">
        <v>0.91393972853799998</v>
      </c>
      <c r="E10974">
        <v>24</v>
      </c>
    </row>
    <row r="10975" spans="1:5">
      <c r="A10975" t="s">
        <v>40957</v>
      </c>
      <c r="B10975" t="s">
        <v>25099</v>
      </c>
      <c r="C10975">
        <v>0</v>
      </c>
      <c r="D10975">
        <v>0.91393972853799998</v>
      </c>
      <c r="E10975">
        <v>24</v>
      </c>
    </row>
    <row r="10976" spans="1:5">
      <c r="A10976" t="s">
        <v>40957</v>
      </c>
      <c r="B10976" t="s">
        <v>25091</v>
      </c>
      <c r="C10976">
        <f>0.113826069174</f>
        <v>0.113826069174</v>
      </c>
      <c r="D10976">
        <v>0.91393972853799998</v>
      </c>
      <c r="E10976">
        <v>24</v>
      </c>
    </row>
    <row r="10977" spans="1:5">
      <c r="A10977" t="s">
        <v>40957</v>
      </c>
      <c r="B10977" t="s">
        <v>25094</v>
      </c>
      <c r="C10977">
        <v>0.140990142309</v>
      </c>
      <c r="D10977">
        <v>0.91393972853799998</v>
      </c>
      <c r="E10977">
        <v>24</v>
      </c>
    </row>
    <row r="10978" spans="1:5">
      <c r="A10978" t="s">
        <v>40958</v>
      </c>
      <c r="B10978" t="s">
        <v>40959</v>
      </c>
      <c r="C10978">
        <v>0</v>
      </c>
      <c r="D10978" t="s">
        <v>106</v>
      </c>
      <c r="E10978">
        <v>15.708</v>
      </c>
    </row>
    <row r="10979" spans="1:5">
      <c r="A10979" t="s">
        <v>40958</v>
      </c>
      <c r="B10979" t="s">
        <v>40960</v>
      </c>
      <c r="C10979">
        <v>0</v>
      </c>
      <c r="D10979" t="s">
        <v>106</v>
      </c>
      <c r="E10979">
        <v>15.708</v>
      </c>
    </row>
    <row r="10980" spans="1:5">
      <c r="A10980" t="s">
        <v>40958</v>
      </c>
      <c r="B10980" t="s">
        <v>40961</v>
      </c>
      <c r="C10980">
        <v>0</v>
      </c>
      <c r="D10980" t="s">
        <v>106</v>
      </c>
      <c r="E10980">
        <v>15.708</v>
      </c>
    </row>
    <row r="10981" spans="1:5">
      <c r="A10981" t="s">
        <v>40958</v>
      </c>
      <c r="B10981" t="s">
        <v>40962</v>
      </c>
      <c r="C10981">
        <v>0</v>
      </c>
      <c r="D10981" t="s">
        <v>106</v>
      </c>
      <c r="E10981">
        <v>15.708</v>
      </c>
    </row>
    <row r="10982" spans="1:5">
      <c r="A10982" t="s">
        <v>40963</v>
      </c>
      <c r="B10982" t="s">
        <v>12491</v>
      </c>
      <c r="C10982">
        <v>0</v>
      </c>
      <c r="D10982" t="s">
        <v>106</v>
      </c>
      <c r="E10982">
        <v>1.83</v>
      </c>
    </row>
    <row r="10983" spans="1:5">
      <c r="A10983" t="s">
        <v>40963</v>
      </c>
      <c r="B10983" t="s">
        <v>12486</v>
      </c>
      <c r="C10983">
        <f>0</f>
        <v>0</v>
      </c>
      <c r="D10983" t="s">
        <v>106</v>
      </c>
      <c r="E10983">
        <v>1.83</v>
      </c>
    </row>
    <row r="10984" spans="1:5">
      <c r="A10984" t="s">
        <v>40963</v>
      </c>
      <c r="B10984" t="s">
        <v>12489</v>
      </c>
      <c r="C10984">
        <f>0</f>
        <v>0</v>
      </c>
      <c r="D10984" t="s">
        <v>106</v>
      </c>
      <c r="E10984">
        <v>1.83</v>
      </c>
    </row>
    <row r="10985" spans="1:5">
      <c r="A10985" t="s">
        <v>40963</v>
      </c>
      <c r="B10985" t="s">
        <v>12487</v>
      </c>
      <c r="C10985">
        <f>0</f>
        <v>0</v>
      </c>
      <c r="D10985" t="s">
        <v>106</v>
      </c>
      <c r="E10985">
        <v>1.83</v>
      </c>
    </row>
    <row r="10986" spans="1:5">
      <c r="A10986" t="s">
        <v>40963</v>
      </c>
      <c r="B10986" t="s">
        <v>12485</v>
      </c>
      <c r="C10986">
        <f>0</f>
        <v>0</v>
      </c>
      <c r="D10986" t="s">
        <v>106</v>
      </c>
      <c r="E10986">
        <v>1.83</v>
      </c>
    </row>
    <row r="10987" spans="1:5">
      <c r="A10987" t="s">
        <v>40963</v>
      </c>
      <c r="B10987" t="s">
        <v>12490</v>
      </c>
      <c r="C10987">
        <f>0</f>
        <v>0</v>
      </c>
      <c r="D10987" t="s">
        <v>106</v>
      </c>
      <c r="E10987">
        <v>1.83</v>
      </c>
    </row>
    <row r="10988" spans="1:5">
      <c r="A10988" t="s">
        <v>40964</v>
      </c>
      <c r="B10988" t="s">
        <v>14549</v>
      </c>
      <c r="C10988">
        <v>6.8827403779200005E-2</v>
      </c>
      <c r="D10988">
        <v>0.841022718058</v>
      </c>
      <c r="E10988">
        <v>7.6020000000000003</v>
      </c>
    </row>
    <row r="10989" spans="1:5">
      <c r="A10989" t="s">
        <v>40964</v>
      </c>
      <c r="B10989" t="s">
        <v>14548</v>
      </c>
      <c r="C10989">
        <f>0</f>
        <v>0</v>
      </c>
      <c r="D10989">
        <v>0.841022718058</v>
      </c>
      <c r="E10989">
        <v>7.6020000000000003</v>
      </c>
    </row>
    <row r="10990" spans="1:5">
      <c r="A10990" t="s">
        <v>40964</v>
      </c>
      <c r="B10990" t="s">
        <v>14554</v>
      </c>
      <c r="C10990">
        <v>0.41171303475499998</v>
      </c>
      <c r="D10990">
        <v>0.841022718058</v>
      </c>
      <c r="E10990">
        <v>7.6020000000000003</v>
      </c>
    </row>
    <row r="10991" spans="1:5">
      <c r="A10991" t="s">
        <v>40964</v>
      </c>
      <c r="B10991" t="s">
        <v>14550</v>
      </c>
      <c r="C10991">
        <f>0</f>
        <v>0</v>
      </c>
      <c r="D10991">
        <v>0.841022718058</v>
      </c>
      <c r="E10991">
        <v>7.6020000000000003</v>
      </c>
    </row>
    <row r="10992" spans="1:5">
      <c r="A10992" t="s">
        <v>40964</v>
      </c>
      <c r="B10992" t="s">
        <v>14551</v>
      </c>
      <c r="C10992">
        <f>0</f>
        <v>0</v>
      </c>
      <c r="D10992">
        <v>0.841022718058</v>
      </c>
      <c r="E10992">
        <v>7.6020000000000003</v>
      </c>
    </row>
    <row r="10993" spans="1:5">
      <c r="A10993" t="s">
        <v>40964</v>
      </c>
      <c r="B10993" t="s">
        <v>14553</v>
      </c>
      <c r="C10993">
        <v>0.243031187934</v>
      </c>
      <c r="D10993">
        <v>0.841022718058</v>
      </c>
      <c r="E10993">
        <v>7.6020000000000003</v>
      </c>
    </row>
    <row r="10994" spans="1:5">
      <c r="A10994" t="s">
        <v>40965</v>
      </c>
      <c r="B10994" t="s">
        <v>2550</v>
      </c>
      <c r="C10994">
        <v>0</v>
      </c>
      <c r="D10994">
        <v>0.76442861452099997</v>
      </c>
      <c r="E10994">
        <v>0.24</v>
      </c>
    </row>
    <row r="10995" spans="1:5">
      <c r="A10995" t="s">
        <v>40965</v>
      </c>
      <c r="B10995" t="s">
        <v>2547</v>
      </c>
      <c r="C10995">
        <v>0</v>
      </c>
      <c r="D10995">
        <v>0.76442861452099997</v>
      </c>
      <c r="E10995">
        <v>0.24</v>
      </c>
    </row>
    <row r="10996" spans="1:5">
      <c r="A10996" t="s">
        <v>40965</v>
      </c>
      <c r="B10996" t="s">
        <v>2549</v>
      </c>
      <c r="C10996">
        <v>0</v>
      </c>
      <c r="D10996">
        <v>0.76442861452099997</v>
      </c>
      <c r="E10996">
        <v>0.24</v>
      </c>
    </row>
    <row r="10997" spans="1:5">
      <c r="A10997" t="s">
        <v>40965</v>
      </c>
      <c r="B10997" t="s">
        <v>2548</v>
      </c>
      <c r="C10997">
        <f>0</f>
        <v>0</v>
      </c>
      <c r="D10997">
        <v>0.76442861452099997</v>
      </c>
      <c r="E10997">
        <v>0.24</v>
      </c>
    </row>
    <row r="10998" spans="1:5">
      <c r="A10998" t="s">
        <v>40965</v>
      </c>
      <c r="B10998" t="s">
        <v>2553</v>
      </c>
      <c r="C10998">
        <v>0.38321113901300002</v>
      </c>
      <c r="D10998">
        <v>0.76442861452099997</v>
      </c>
      <c r="E10998">
        <v>0.24</v>
      </c>
    </row>
    <row r="10999" spans="1:5">
      <c r="A10999" t="s">
        <v>40965</v>
      </c>
      <c r="B10999" t="s">
        <v>2546</v>
      </c>
      <c r="C10999">
        <f>0.725701868995</f>
        <v>0.725701868995</v>
      </c>
      <c r="D10999">
        <v>0.76442861452099997</v>
      </c>
      <c r="E10999">
        <v>0.24</v>
      </c>
    </row>
    <row r="11000" spans="1:5">
      <c r="A11000" t="s">
        <v>40966</v>
      </c>
      <c r="B11000" t="s">
        <v>40967</v>
      </c>
      <c r="C11000">
        <f>0.269488477321</f>
        <v>0.26948847732100001</v>
      </c>
      <c r="D11000">
        <v>0.86406929086899997</v>
      </c>
      <c r="E11000">
        <v>24</v>
      </c>
    </row>
    <row r="11001" spans="1:5">
      <c r="A11001" t="s">
        <v>40966</v>
      </c>
      <c r="B11001" t="s">
        <v>40968</v>
      </c>
      <c r="C11001">
        <f>0</f>
        <v>0</v>
      </c>
      <c r="D11001">
        <v>0.86406929086899997</v>
      </c>
      <c r="E11001">
        <v>24</v>
      </c>
    </row>
    <row r="11002" spans="1:5">
      <c r="A11002" t="s">
        <v>40966</v>
      </c>
      <c r="B11002" t="s">
        <v>40969</v>
      </c>
      <c r="C11002">
        <v>0</v>
      </c>
      <c r="D11002">
        <v>0.86406929086899997</v>
      </c>
      <c r="E11002">
        <v>24</v>
      </c>
    </row>
    <row r="11003" spans="1:5">
      <c r="A11003" t="s">
        <v>40966</v>
      </c>
      <c r="B11003" t="s">
        <v>40970</v>
      </c>
      <c r="C11003">
        <f>0.483976254241</f>
        <v>0.48397625424099999</v>
      </c>
      <c r="D11003">
        <v>0.86406929086899997</v>
      </c>
      <c r="E11003">
        <v>24</v>
      </c>
    </row>
    <row r="11004" spans="1:5">
      <c r="A11004" t="s">
        <v>40966</v>
      </c>
      <c r="B11004" t="s">
        <v>40971</v>
      </c>
      <c r="C11004">
        <f>0</f>
        <v>0</v>
      </c>
      <c r="D11004">
        <v>0.86406929086899997</v>
      </c>
      <c r="E11004">
        <v>24</v>
      </c>
    </row>
    <row r="11005" spans="1:5">
      <c r="A11005" t="s">
        <v>40966</v>
      </c>
      <c r="B11005" t="s">
        <v>40972</v>
      </c>
      <c r="C11005">
        <f>0</f>
        <v>0</v>
      </c>
      <c r="D11005">
        <v>0.86406929086899997</v>
      </c>
      <c r="E11005">
        <v>24</v>
      </c>
    </row>
    <row r="11006" spans="1:5">
      <c r="A11006" t="s">
        <v>40966</v>
      </c>
      <c r="B11006" t="s">
        <v>40973</v>
      </c>
      <c r="C11006">
        <v>0</v>
      </c>
      <c r="D11006">
        <v>0.86406929086899997</v>
      </c>
      <c r="E11006">
        <v>24</v>
      </c>
    </row>
    <row r="11007" spans="1:5">
      <c r="A11007" t="s">
        <v>40974</v>
      </c>
      <c r="B11007" t="s">
        <v>26571</v>
      </c>
      <c r="C11007">
        <f>0.485713581733</f>
        <v>0.485713581733</v>
      </c>
      <c r="D11007">
        <v>0.958870191835</v>
      </c>
      <c r="E11007">
        <v>8.01</v>
      </c>
    </row>
    <row r="11008" spans="1:5">
      <c r="A11008" t="s">
        <v>40974</v>
      </c>
      <c r="B11008" t="s">
        <v>26567</v>
      </c>
      <c r="C11008">
        <v>0.23817652510000001</v>
      </c>
      <c r="D11008">
        <v>0.958870191835</v>
      </c>
      <c r="E11008">
        <v>8.01</v>
      </c>
    </row>
    <row r="11009" spans="1:5">
      <c r="A11009" t="s">
        <v>40974</v>
      </c>
      <c r="B11009" t="s">
        <v>26576</v>
      </c>
      <c r="C11009">
        <v>0.46848526621499997</v>
      </c>
      <c r="D11009">
        <v>0.958870191835</v>
      </c>
      <c r="E11009">
        <v>8.01</v>
      </c>
    </row>
    <row r="11010" spans="1:5">
      <c r="A11010" t="s">
        <v>40974</v>
      </c>
      <c r="B11010" t="s">
        <v>26575</v>
      </c>
      <c r="C11010">
        <f>0</f>
        <v>0</v>
      </c>
      <c r="D11010">
        <v>0.958870191835</v>
      </c>
      <c r="E11010">
        <v>8.01</v>
      </c>
    </row>
    <row r="11011" spans="1:5">
      <c r="A11011" t="s">
        <v>40974</v>
      </c>
      <c r="B11011" t="s">
        <v>26577</v>
      </c>
      <c r="C11011">
        <f>0.5099258192</f>
        <v>0.50992581920000002</v>
      </c>
      <c r="D11011">
        <v>0.958870191835</v>
      </c>
      <c r="E11011">
        <v>8.01</v>
      </c>
    </row>
    <row r="11012" spans="1:5">
      <c r="A11012" t="s">
        <v>40974</v>
      </c>
      <c r="B11012" t="s">
        <v>26573</v>
      </c>
      <c r="C11012">
        <f>0.507500158981</f>
        <v>0.50750015898099998</v>
      </c>
      <c r="D11012">
        <v>0.958870191835</v>
      </c>
      <c r="E11012">
        <v>8.01</v>
      </c>
    </row>
    <row r="11013" spans="1:5">
      <c r="A11013" t="s">
        <v>40975</v>
      </c>
      <c r="B11013" t="s">
        <v>7713</v>
      </c>
      <c r="C11013">
        <v>0</v>
      </c>
      <c r="D11013" t="s">
        <v>106</v>
      </c>
      <c r="E11013">
        <v>0.24</v>
      </c>
    </row>
    <row r="11014" spans="1:5">
      <c r="A11014" t="s">
        <v>40975</v>
      </c>
      <c r="B11014" t="s">
        <v>7715</v>
      </c>
      <c r="C11014">
        <v>0</v>
      </c>
      <c r="D11014" t="s">
        <v>106</v>
      </c>
      <c r="E11014">
        <v>0.24</v>
      </c>
    </row>
    <row r="11015" spans="1:5">
      <c r="A11015" t="s">
        <v>40976</v>
      </c>
      <c r="B11015" t="s">
        <v>40977</v>
      </c>
      <c r="C11015">
        <v>0</v>
      </c>
      <c r="D11015" t="s">
        <v>106</v>
      </c>
      <c r="E11015">
        <v>23.04</v>
      </c>
    </row>
    <row r="11016" spans="1:5">
      <c r="A11016" t="s">
        <v>40976</v>
      </c>
      <c r="B11016" t="s">
        <v>40978</v>
      </c>
      <c r="C11016">
        <v>0</v>
      </c>
      <c r="D11016" t="s">
        <v>106</v>
      </c>
      <c r="E11016">
        <v>23.04</v>
      </c>
    </row>
    <row r="11017" spans="1:5">
      <c r="A11017" t="s">
        <v>40976</v>
      </c>
      <c r="B11017" t="s">
        <v>40979</v>
      </c>
      <c r="C11017">
        <f>0</f>
        <v>0</v>
      </c>
      <c r="D11017" t="s">
        <v>106</v>
      </c>
      <c r="E11017">
        <v>23.04</v>
      </c>
    </row>
    <row r="11018" spans="1:5">
      <c r="A11018" t="s">
        <v>40976</v>
      </c>
      <c r="B11018" t="s">
        <v>40980</v>
      </c>
      <c r="C11018">
        <f>0</f>
        <v>0</v>
      </c>
      <c r="D11018" t="s">
        <v>106</v>
      </c>
      <c r="E11018">
        <v>23.04</v>
      </c>
    </row>
    <row r="11019" spans="1:5">
      <c r="A11019" t="s">
        <v>40976</v>
      </c>
      <c r="B11019" t="s">
        <v>40981</v>
      </c>
      <c r="C11019">
        <v>0</v>
      </c>
      <c r="D11019" t="s">
        <v>106</v>
      </c>
      <c r="E11019">
        <v>23.04</v>
      </c>
    </row>
    <row r="11020" spans="1:5">
      <c r="A11020" t="s">
        <v>40982</v>
      </c>
      <c r="B11020" t="s">
        <v>30123</v>
      </c>
      <c r="C11020">
        <v>0</v>
      </c>
      <c r="D11020" t="s">
        <v>106</v>
      </c>
      <c r="E11020">
        <v>4.2720000000000002</v>
      </c>
    </row>
    <row r="11021" spans="1:5">
      <c r="A11021" t="s">
        <v>40982</v>
      </c>
      <c r="B11021" t="s">
        <v>30124</v>
      </c>
      <c r="C11021">
        <v>0</v>
      </c>
      <c r="D11021" t="s">
        <v>106</v>
      </c>
      <c r="E11021">
        <v>4.2720000000000002</v>
      </c>
    </row>
    <row r="11022" spans="1:5">
      <c r="A11022" t="s">
        <v>40983</v>
      </c>
      <c r="B11022" t="s">
        <v>14283</v>
      </c>
      <c r="C11022">
        <v>0.710566503889</v>
      </c>
      <c r="D11022">
        <v>0.86797488425900005</v>
      </c>
      <c r="E11022">
        <v>23.754000000000001</v>
      </c>
    </row>
    <row r="11023" spans="1:5">
      <c r="A11023" t="s">
        <v>40983</v>
      </c>
      <c r="B11023" t="s">
        <v>14285</v>
      </c>
      <c r="C11023">
        <f>0.520198837456</f>
        <v>0.52019883745600004</v>
      </c>
      <c r="D11023">
        <v>0.86797488425900005</v>
      </c>
      <c r="E11023">
        <v>23.754000000000001</v>
      </c>
    </row>
    <row r="11024" spans="1:5">
      <c r="A11024" t="s">
        <v>40984</v>
      </c>
      <c r="B11024" t="s">
        <v>40985</v>
      </c>
      <c r="C11024">
        <f>0</f>
        <v>0</v>
      </c>
      <c r="D11024" t="s">
        <v>106</v>
      </c>
      <c r="E11024">
        <v>11.37</v>
      </c>
    </row>
    <row r="11025" spans="1:5">
      <c r="A11025" t="s">
        <v>40984</v>
      </c>
      <c r="B11025" t="s">
        <v>40986</v>
      </c>
      <c r="C11025">
        <f>0</f>
        <v>0</v>
      </c>
      <c r="D11025" t="s">
        <v>106</v>
      </c>
      <c r="E11025">
        <v>11.37</v>
      </c>
    </row>
    <row r="11026" spans="1:5">
      <c r="A11026" t="s">
        <v>40984</v>
      </c>
      <c r="B11026" t="s">
        <v>40987</v>
      </c>
      <c r="C11026">
        <v>0</v>
      </c>
      <c r="D11026" t="s">
        <v>106</v>
      </c>
      <c r="E11026">
        <v>11.37</v>
      </c>
    </row>
    <row r="11027" spans="1:5">
      <c r="A11027" t="s">
        <v>40984</v>
      </c>
      <c r="B11027" t="s">
        <v>40988</v>
      </c>
      <c r="C11027">
        <f>0</f>
        <v>0</v>
      </c>
      <c r="D11027" t="s">
        <v>106</v>
      </c>
      <c r="E11027">
        <v>11.37</v>
      </c>
    </row>
    <row r="11028" spans="1:5">
      <c r="A11028" t="s">
        <v>40989</v>
      </c>
      <c r="B11028" t="s">
        <v>24012</v>
      </c>
      <c r="C11028">
        <v>0</v>
      </c>
      <c r="D11028">
        <v>0.91339229844199998</v>
      </c>
      <c r="E11028">
        <v>0.87</v>
      </c>
    </row>
    <row r="11029" spans="1:5">
      <c r="A11029" t="s">
        <v>40989</v>
      </c>
      <c r="B11029" t="s">
        <v>24014</v>
      </c>
      <c r="C11029">
        <f>0.819256676411</f>
        <v>0.81925667641099997</v>
      </c>
      <c r="D11029">
        <v>0.91339229844199998</v>
      </c>
      <c r="E11029">
        <v>0.87</v>
      </c>
    </row>
    <row r="11030" spans="1:5">
      <c r="A11030" t="s">
        <v>40989</v>
      </c>
      <c r="B11030" t="s">
        <v>24016</v>
      </c>
      <c r="C11030">
        <f>0.0933546769966</f>
        <v>9.3354676996599995E-2</v>
      </c>
      <c r="D11030">
        <v>0.91339229844199998</v>
      </c>
      <c r="E11030">
        <v>0.87</v>
      </c>
    </row>
    <row r="11031" spans="1:5">
      <c r="A11031" t="s">
        <v>40989</v>
      </c>
      <c r="B11031" t="s">
        <v>24020</v>
      </c>
      <c r="C11031">
        <v>1.02695968725</v>
      </c>
      <c r="D11031">
        <v>0.91339229844199998</v>
      </c>
      <c r="E11031">
        <v>0.87</v>
      </c>
    </row>
    <row r="11032" spans="1:5">
      <c r="A11032" t="s">
        <v>40989</v>
      </c>
      <c r="B11032" t="s">
        <v>24009</v>
      </c>
      <c r="C11032">
        <v>0</v>
      </c>
      <c r="D11032">
        <v>0.91339229844199998</v>
      </c>
      <c r="E11032">
        <v>0.87</v>
      </c>
    </row>
    <row r="11033" spans="1:5">
      <c r="A11033" t="s">
        <v>40990</v>
      </c>
      <c r="B11033" t="s">
        <v>13282</v>
      </c>
      <c r="C11033">
        <f>0</f>
        <v>0</v>
      </c>
      <c r="D11033" t="s">
        <v>106</v>
      </c>
      <c r="E11033">
        <v>6.3</v>
      </c>
    </row>
    <row r="11034" spans="1:5">
      <c r="A11034" t="s">
        <v>40990</v>
      </c>
      <c r="B11034" t="s">
        <v>13296</v>
      </c>
      <c r="C11034">
        <f>0</f>
        <v>0</v>
      </c>
      <c r="D11034" t="s">
        <v>106</v>
      </c>
      <c r="E11034">
        <v>6.3</v>
      </c>
    </row>
    <row r="11035" spans="1:5">
      <c r="A11035" t="s">
        <v>40990</v>
      </c>
      <c r="B11035" t="s">
        <v>13288</v>
      </c>
      <c r="C11035">
        <v>0</v>
      </c>
      <c r="D11035" t="s">
        <v>106</v>
      </c>
      <c r="E11035">
        <v>6.3</v>
      </c>
    </row>
    <row r="11036" spans="1:5">
      <c r="A11036" t="s">
        <v>40990</v>
      </c>
      <c r="B11036" t="s">
        <v>13293</v>
      </c>
      <c r="C11036">
        <v>0</v>
      </c>
      <c r="D11036" t="s">
        <v>106</v>
      </c>
      <c r="E11036">
        <v>6.3</v>
      </c>
    </row>
    <row r="11037" spans="1:5">
      <c r="A11037" t="s">
        <v>40990</v>
      </c>
      <c r="B11037" t="s">
        <v>13290</v>
      </c>
      <c r="C11037">
        <f>0</f>
        <v>0</v>
      </c>
      <c r="D11037" t="s">
        <v>106</v>
      </c>
      <c r="E11037">
        <v>6.3</v>
      </c>
    </row>
    <row r="11038" spans="1:5">
      <c r="A11038" t="s">
        <v>40990</v>
      </c>
      <c r="B11038" t="s">
        <v>13289</v>
      </c>
      <c r="C11038">
        <f>0</f>
        <v>0</v>
      </c>
      <c r="D11038" t="s">
        <v>106</v>
      </c>
      <c r="E11038">
        <v>6.3</v>
      </c>
    </row>
    <row r="11039" spans="1:5">
      <c r="A11039" t="s">
        <v>40990</v>
      </c>
      <c r="B11039" t="s">
        <v>13291</v>
      </c>
      <c r="C11039">
        <f>0</f>
        <v>0</v>
      </c>
      <c r="D11039" t="s">
        <v>106</v>
      </c>
      <c r="E11039">
        <v>6.3</v>
      </c>
    </row>
    <row r="11040" spans="1:5">
      <c r="A11040" t="s">
        <v>40990</v>
      </c>
      <c r="B11040" t="s">
        <v>13294</v>
      </c>
      <c r="C11040">
        <v>0</v>
      </c>
      <c r="D11040" t="s">
        <v>106</v>
      </c>
      <c r="E11040">
        <v>6.3</v>
      </c>
    </row>
    <row r="11041" spans="1:5">
      <c r="A11041" t="s">
        <v>40991</v>
      </c>
      <c r="B11041" t="s">
        <v>27804</v>
      </c>
      <c r="C11041">
        <v>0.35316503815599998</v>
      </c>
      <c r="D11041">
        <v>0.96262776817700002</v>
      </c>
      <c r="E11041">
        <v>0.114</v>
      </c>
    </row>
    <row r="11042" spans="1:5">
      <c r="A11042" t="s">
        <v>40991</v>
      </c>
      <c r="B11042" t="s">
        <v>27805</v>
      </c>
      <c r="C11042">
        <v>0.87946135395500002</v>
      </c>
      <c r="D11042">
        <v>0.96262776817700002</v>
      </c>
      <c r="E11042">
        <v>0.114</v>
      </c>
    </row>
    <row r="11043" spans="1:5">
      <c r="A11043" t="s">
        <v>40991</v>
      </c>
      <c r="B11043" t="s">
        <v>27802</v>
      </c>
      <c r="C11043">
        <v>7.6246851260500001E-2</v>
      </c>
      <c r="D11043">
        <v>0.96262776817700002</v>
      </c>
      <c r="E11043">
        <v>0.114</v>
      </c>
    </row>
    <row r="11044" spans="1:5">
      <c r="A11044" t="s">
        <v>40991</v>
      </c>
      <c r="B11044" t="s">
        <v>27806</v>
      </c>
      <c r="C11044">
        <v>0.89736855992700004</v>
      </c>
      <c r="D11044">
        <v>0.96262776817700002</v>
      </c>
      <c r="E11044">
        <v>0.114</v>
      </c>
    </row>
    <row r="11045" spans="1:5">
      <c r="A11045" t="s">
        <v>40992</v>
      </c>
      <c r="B11045" t="s">
        <v>12817</v>
      </c>
      <c r="C11045">
        <v>0.58101466736899998</v>
      </c>
      <c r="D11045">
        <v>0.89898208312000005</v>
      </c>
      <c r="E11045">
        <v>1.512</v>
      </c>
    </row>
    <row r="11046" spans="1:5">
      <c r="A11046" t="s">
        <v>40992</v>
      </c>
      <c r="B11046" t="s">
        <v>12819</v>
      </c>
      <c r="C11046">
        <f>0</f>
        <v>0</v>
      </c>
      <c r="D11046">
        <v>0.89898208312000005</v>
      </c>
      <c r="E11046">
        <v>1.512</v>
      </c>
    </row>
    <row r="11047" spans="1:5">
      <c r="A11047" t="s">
        <v>40992</v>
      </c>
      <c r="B11047" t="s">
        <v>12818</v>
      </c>
      <c r="C11047">
        <f>0</f>
        <v>0</v>
      </c>
      <c r="D11047">
        <v>0.89898208312000005</v>
      </c>
      <c r="E11047">
        <v>1.512</v>
      </c>
    </row>
    <row r="11048" spans="1:5">
      <c r="A11048" t="s">
        <v>40992</v>
      </c>
      <c r="B11048" t="s">
        <v>12822</v>
      </c>
      <c r="C11048">
        <v>0</v>
      </c>
      <c r="D11048">
        <v>0.89898208312000005</v>
      </c>
      <c r="E11048">
        <v>1.512</v>
      </c>
    </row>
    <row r="11049" spans="1:5">
      <c r="A11049" t="s">
        <v>40992</v>
      </c>
      <c r="B11049" t="s">
        <v>12823</v>
      </c>
      <c r="C11049">
        <f>0</f>
        <v>0</v>
      </c>
      <c r="D11049">
        <v>0.89898208312000005</v>
      </c>
      <c r="E11049">
        <v>1.512</v>
      </c>
    </row>
    <row r="11050" spans="1:5">
      <c r="A11050" t="s">
        <v>40992</v>
      </c>
      <c r="B11050" t="s">
        <v>12825</v>
      </c>
      <c r="C11050">
        <f>0</f>
        <v>0</v>
      </c>
      <c r="D11050">
        <v>0.89898208312000005</v>
      </c>
      <c r="E11050">
        <v>1.512</v>
      </c>
    </row>
    <row r="11051" spans="1:5">
      <c r="A11051" t="s">
        <v>40992</v>
      </c>
      <c r="B11051" t="s">
        <v>12821</v>
      </c>
      <c r="C11051">
        <v>0.296581181689</v>
      </c>
      <c r="D11051">
        <v>0.89898208312000005</v>
      </c>
      <c r="E11051">
        <v>1.512</v>
      </c>
    </row>
    <row r="11052" spans="1:5">
      <c r="A11052" t="s">
        <v>40993</v>
      </c>
      <c r="B11052" t="s">
        <v>1127</v>
      </c>
      <c r="C11052">
        <f>0.220442201748</f>
        <v>0.220442201748</v>
      </c>
      <c r="D11052">
        <v>0.85122998712300002</v>
      </c>
      <c r="E11052">
        <v>0.73799999999999999</v>
      </c>
    </row>
    <row r="11053" spans="1:5">
      <c r="A11053" t="s">
        <v>40993</v>
      </c>
      <c r="B11053" t="s">
        <v>1131</v>
      </c>
      <c r="C11053">
        <v>0.84443570243599997</v>
      </c>
      <c r="D11053">
        <v>0.85122998712300002</v>
      </c>
      <c r="E11053">
        <v>0.73799999999999999</v>
      </c>
    </row>
    <row r="11054" spans="1:5">
      <c r="A11054" t="s">
        <v>40994</v>
      </c>
      <c r="B11054" t="s">
        <v>40995</v>
      </c>
      <c r="C11054">
        <v>0</v>
      </c>
      <c r="D11054">
        <v>0.95607013364100002</v>
      </c>
      <c r="E11054">
        <v>0.17399999999999999</v>
      </c>
    </row>
    <row r="11055" spans="1:5">
      <c r="A11055" t="s">
        <v>40994</v>
      </c>
      <c r="B11055" t="s">
        <v>40996</v>
      </c>
      <c r="C11055">
        <f>0.11158452975</f>
        <v>0.11158452974999999</v>
      </c>
      <c r="D11055">
        <v>0.95607013364100002</v>
      </c>
      <c r="E11055">
        <v>0.17399999999999999</v>
      </c>
    </row>
    <row r="11056" spans="1:5">
      <c r="A11056" t="s">
        <v>40994</v>
      </c>
      <c r="B11056" t="s">
        <v>40997</v>
      </c>
      <c r="C11056">
        <v>0</v>
      </c>
      <c r="D11056">
        <v>0.95607013364100002</v>
      </c>
      <c r="E11056">
        <v>0.17399999999999999</v>
      </c>
    </row>
    <row r="11057" spans="1:5">
      <c r="A11057" t="s">
        <v>40994</v>
      </c>
      <c r="B11057" t="s">
        <v>40998</v>
      </c>
      <c r="C11057">
        <v>0.52020684919799998</v>
      </c>
      <c r="D11057">
        <v>0.95607013364100002</v>
      </c>
      <c r="E11057">
        <v>0.17399999999999999</v>
      </c>
    </row>
    <row r="11058" spans="1:5">
      <c r="A11058" t="s">
        <v>40994</v>
      </c>
      <c r="B11058" t="s">
        <v>40999</v>
      </c>
      <c r="C11058">
        <f>0</f>
        <v>0</v>
      </c>
      <c r="D11058">
        <v>0.95607013364100002</v>
      </c>
      <c r="E11058">
        <v>0.17399999999999999</v>
      </c>
    </row>
    <row r="11059" spans="1:5">
      <c r="A11059" t="s">
        <v>40994</v>
      </c>
      <c r="B11059" t="s">
        <v>41000</v>
      </c>
      <c r="C11059">
        <v>0.28844598323699999</v>
      </c>
      <c r="D11059">
        <v>0.95607013364100002</v>
      </c>
      <c r="E11059">
        <v>0.17399999999999999</v>
      </c>
    </row>
    <row r="11060" spans="1:5">
      <c r="A11060" t="s">
        <v>40994</v>
      </c>
      <c r="B11060" t="s">
        <v>41001</v>
      </c>
      <c r="C11060">
        <v>0</v>
      </c>
      <c r="D11060">
        <v>0.95607013364100002</v>
      </c>
      <c r="E11060">
        <v>0.17399999999999999</v>
      </c>
    </row>
    <row r="11061" spans="1:5">
      <c r="A11061" t="s">
        <v>40994</v>
      </c>
      <c r="B11061" t="s">
        <v>41002</v>
      </c>
      <c r="C11061">
        <f>0</f>
        <v>0</v>
      </c>
      <c r="D11061">
        <v>0.95607013364100002</v>
      </c>
      <c r="E11061">
        <v>0.17399999999999999</v>
      </c>
    </row>
    <row r="11062" spans="1:5">
      <c r="A11062" t="s">
        <v>41003</v>
      </c>
      <c r="B11062" t="s">
        <v>10959</v>
      </c>
      <c r="C11062">
        <f>0</f>
        <v>0</v>
      </c>
      <c r="D11062" t="s">
        <v>106</v>
      </c>
      <c r="E11062">
        <v>2.88</v>
      </c>
    </row>
    <row r="11063" spans="1:5">
      <c r="A11063" t="s">
        <v>41003</v>
      </c>
      <c r="B11063" t="s">
        <v>10961</v>
      </c>
      <c r="C11063">
        <f>0</f>
        <v>0</v>
      </c>
      <c r="D11063" t="s">
        <v>106</v>
      </c>
      <c r="E11063">
        <v>2.88</v>
      </c>
    </row>
    <row r="11064" spans="1:5">
      <c r="A11064" t="s">
        <v>41004</v>
      </c>
      <c r="B11064" t="s">
        <v>28151</v>
      </c>
      <c r="C11064">
        <f>0.588650580588</f>
        <v>0.58865058058800002</v>
      </c>
      <c r="D11064">
        <v>0.75269288694199998</v>
      </c>
      <c r="E11064">
        <v>3.6840000000000002</v>
      </c>
    </row>
    <row r="11065" spans="1:5">
      <c r="A11065" t="s">
        <v>41004</v>
      </c>
      <c r="B11065" t="s">
        <v>28153</v>
      </c>
      <c r="C11065">
        <v>0.30854033454699997</v>
      </c>
      <c r="D11065">
        <v>0.75269288694199998</v>
      </c>
      <c r="E11065">
        <v>3.6840000000000002</v>
      </c>
    </row>
    <row r="11066" spans="1:5">
      <c r="A11066" t="s">
        <v>41005</v>
      </c>
      <c r="B11066" t="s">
        <v>15547</v>
      </c>
      <c r="C11066">
        <v>0</v>
      </c>
      <c r="D11066">
        <v>0.60303805930599996</v>
      </c>
      <c r="E11066">
        <v>14.747999999999999</v>
      </c>
    </row>
    <row r="11067" spans="1:5">
      <c r="A11067" t="s">
        <v>41005</v>
      </c>
      <c r="B11067" t="s">
        <v>15554</v>
      </c>
      <c r="C11067">
        <f>0</f>
        <v>0</v>
      </c>
      <c r="D11067">
        <v>0.60303805930599996</v>
      </c>
      <c r="E11067">
        <v>14.747999999999999</v>
      </c>
    </row>
    <row r="11068" spans="1:5">
      <c r="A11068" t="s">
        <v>41005</v>
      </c>
      <c r="B11068" t="s">
        <v>15555</v>
      </c>
      <c r="C11068">
        <f>0.0570407371891</f>
        <v>5.7040737189100001E-2</v>
      </c>
      <c r="D11068">
        <v>0.60303805930599996</v>
      </c>
      <c r="E11068">
        <v>14.747999999999999</v>
      </c>
    </row>
    <row r="11069" spans="1:5">
      <c r="A11069" t="s">
        <v>41005</v>
      </c>
      <c r="B11069" t="s">
        <v>15552</v>
      </c>
      <c r="C11069">
        <f>0.362472349441</f>
        <v>0.36247234944099999</v>
      </c>
      <c r="D11069">
        <v>0.60303805930599996</v>
      </c>
      <c r="E11069">
        <v>14.747999999999999</v>
      </c>
    </row>
    <row r="11070" spans="1:5">
      <c r="A11070" t="s">
        <v>41005</v>
      </c>
      <c r="B11070" t="s">
        <v>15551</v>
      </c>
      <c r="C11070">
        <v>0</v>
      </c>
      <c r="D11070">
        <v>0.60303805930599996</v>
      </c>
      <c r="E11070">
        <v>14.747999999999999</v>
      </c>
    </row>
    <row r="11071" spans="1:5">
      <c r="A11071" t="s">
        <v>41006</v>
      </c>
      <c r="B11071" t="s">
        <v>2879</v>
      </c>
      <c r="C11071">
        <v>0</v>
      </c>
      <c r="D11071">
        <v>0.77500610761300004</v>
      </c>
      <c r="E11071">
        <v>23.754000000000001</v>
      </c>
    </row>
    <row r="11072" spans="1:5">
      <c r="A11072" t="s">
        <v>41006</v>
      </c>
      <c r="B11072" t="s">
        <v>2881</v>
      </c>
      <c r="C11072">
        <f>0</f>
        <v>0</v>
      </c>
      <c r="D11072">
        <v>0.77500610761300004</v>
      </c>
      <c r="E11072">
        <v>23.754000000000001</v>
      </c>
    </row>
    <row r="11073" spans="1:5">
      <c r="A11073" t="s">
        <v>41006</v>
      </c>
      <c r="B11073" t="s">
        <v>2880</v>
      </c>
      <c r="C11073">
        <v>0.64539610761300004</v>
      </c>
      <c r="D11073">
        <v>0.77500610761300004</v>
      </c>
      <c r="E11073">
        <v>23.754000000000001</v>
      </c>
    </row>
    <row r="11074" spans="1:5">
      <c r="A11074" t="s">
        <v>41007</v>
      </c>
      <c r="B11074" t="s">
        <v>41008</v>
      </c>
      <c r="C11074">
        <f>0</f>
        <v>0</v>
      </c>
      <c r="D11074" t="s">
        <v>106</v>
      </c>
      <c r="E11074">
        <v>23.754000000000001</v>
      </c>
    </row>
    <row r="11075" spans="1:5">
      <c r="A11075" t="s">
        <v>41007</v>
      </c>
      <c r="B11075" t="s">
        <v>41009</v>
      </c>
      <c r="C11075">
        <f>0</f>
        <v>0</v>
      </c>
      <c r="D11075" t="s">
        <v>106</v>
      </c>
      <c r="E11075">
        <v>23.754000000000001</v>
      </c>
    </row>
    <row r="11076" spans="1:5">
      <c r="A11076" t="s">
        <v>41007</v>
      </c>
      <c r="B11076" t="s">
        <v>41010</v>
      </c>
      <c r="C11076">
        <v>0</v>
      </c>
      <c r="D11076" t="s">
        <v>106</v>
      </c>
      <c r="E11076">
        <v>23.754000000000001</v>
      </c>
    </row>
    <row r="11077" spans="1:5">
      <c r="A11077" t="s">
        <v>41007</v>
      </c>
      <c r="B11077" t="s">
        <v>41011</v>
      </c>
      <c r="C11077">
        <v>0</v>
      </c>
      <c r="D11077" t="s">
        <v>106</v>
      </c>
      <c r="E11077">
        <v>23.754000000000001</v>
      </c>
    </row>
    <row r="11078" spans="1:5">
      <c r="A11078" t="s">
        <v>41007</v>
      </c>
      <c r="B11078" t="s">
        <v>41012</v>
      </c>
      <c r="C11078">
        <v>0</v>
      </c>
      <c r="D11078" t="s">
        <v>106</v>
      </c>
      <c r="E11078">
        <v>23.754000000000001</v>
      </c>
    </row>
    <row r="11079" spans="1:5">
      <c r="A11079" t="s">
        <v>41007</v>
      </c>
      <c r="B11079" t="s">
        <v>41013</v>
      </c>
      <c r="C11079">
        <f>0</f>
        <v>0</v>
      </c>
      <c r="D11079" t="s">
        <v>106</v>
      </c>
      <c r="E11079">
        <v>23.754000000000001</v>
      </c>
    </row>
    <row r="11080" spans="1:5">
      <c r="A11080" t="s">
        <v>41007</v>
      </c>
      <c r="B11080" t="s">
        <v>41014</v>
      </c>
      <c r="C11080">
        <f>0</f>
        <v>0</v>
      </c>
      <c r="D11080" t="s">
        <v>106</v>
      </c>
      <c r="E11080">
        <v>23.754000000000001</v>
      </c>
    </row>
    <row r="11081" spans="1:5">
      <c r="A11081" t="s">
        <v>41015</v>
      </c>
      <c r="B11081" t="s">
        <v>41016</v>
      </c>
      <c r="C11081">
        <v>0.107153424442</v>
      </c>
      <c r="D11081">
        <v>0.98873030943600004</v>
      </c>
      <c r="E11081">
        <v>0</v>
      </c>
    </row>
    <row r="11082" spans="1:5">
      <c r="A11082" t="s">
        <v>41015</v>
      </c>
      <c r="B11082" t="s">
        <v>41017</v>
      </c>
      <c r="C11082">
        <v>0.718888572487</v>
      </c>
      <c r="D11082">
        <v>0.98873030943600004</v>
      </c>
      <c r="E11082">
        <v>0</v>
      </c>
    </row>
    <row r="11083" spans="1:5">
      <c r="A11083" t="s">
        <v>41015</v>
      </c>
      <c r="B11083" t="s">
        <v>41018</v>
      </c>
      <c r="C11083">
        <v>0.48369995352900003</v>
      </c>
      <c r="D11083">
        <v>0.98873030943600004</v>
      </c>
      <c r="E11083">
        <v>0</v>
      </c>
    </row>
    <row r="11084" spans="1:5">
      <c r="A11084" t="s">
        <v>41015</v>
      </c>
      <c r="B11084" t="s">
        <v>41019</v>
      </c>
      <c r="C11084">
        <f>0.628333312823</f>
        <v>0.62833331282299998</v>
      </c>
      <c r="D11084">
        <v>0.98873030943600004</v>
      </c>
      <c r="E11084">
        <v>0</v>
      </c>
    </row>
    <row r="11085" spans="1:5">
      <c r="A11085" t="s">
        <v>41015</v>
      </c>
      <c r="B11085" t="s">
        <v>41020</v>
      </c>
      <c r="C11085">
        <f>0.576306635165</f>
        <v>0.57630663516500003</v>
      </c>
      <c r="D11085">
        <v>0.98873030943600004</v>
      </c>
      <c r="E11085">
        <v>0</v>
      </c>
    </row>
    <row r="11086" spans="1:5">
      <c r="A11086" t="s">
        <v>41015</v>
      </c>
      <c r="B11086" t="s">
        <v>41021</v>
      </c>
      <c r="C11086">
        <f>0.416238719279</f>
        <v>0.41623871927900002</v>
      </c>
      <c r="D11086">
        <v>0.98873030943600004</v>
      </c>
      <c r="E11086">
        <v>0</v>
      </c>
    </row>
    <row r="11087" spans="1:5">
      <c r="A11087" t="s">
        <v>41022</v>
      </c>
      <c r="B11087" t="s">
        <v>16490</v>
      </c>
      <c r="C11087">
        <v>0</v>
      </c>
      <c r="D11087" t="s">
        <v>106</v>
      </c>
      <c r="E11087">
        <v>24</v>
      </c>
    </row>
    <row r="11088" spans="1:5">
      <c r="A11088" t="s">
        <v>41022</v>
      </c>
      <c r="B11088" t="s">
        <v>16494</v>
      </c>
      <c r="C11088">
        <v>0</v>
      </c>
      <c r="D11088" t="s">
        <v>106</v>
      </c>
      <c r="E11088">
        <v>24</v>
      </c>
    </row>
    <row r="11089" spans="1:5">
      <c r="A11089" t="s">
        <v>41022</v>
      </c>
      <c r="B11089" t="s">
        <v>16497</v>
      </c>
      <c r="C11089">
        <f>0</f>
        <v>0</v>
      </c>
      <c r="D11089" t="s">
        <v>106</v>
      </c>
      <c r="E11089">
        <v>24</v>
      </c>
    </row>
    <row r="11090" spans="1:5">
      <c r="A11090" t="s">
        <v>41022</v>
      </c>
      <c r="B11090" t="s">
        <v>16493</v>
      </c>
      <c r="C11090">
        <v>0</v>
      </c>
      <c r="D11090" t="s">
        <v>106</v>
      </c>
      <c r="E11090">
        <v>24</v>
      </c>
    </row>
    <row r="11091" spans="1:5">
      <c r="A11091" t="s">
        <v>41022</v>
      </c>
      <c r="B11091" t="s">
        <v>16492</v>
      </c>
      <c r="C11091">
        <f>0</f>
        <v>0</v>
      </c>
      <c r="D11091" t="s">
        <v>106</v>
      </c>
      <c r="E11091">
        <v>24</v>
      </c>
    </row>
    <row r="11092" spans="1:5">
      <c r="A11092" t="s">
        <v>41022</v>
      </c>
      <c r="B11092" t="s">
        <v>16491</v>
      </c>
      <c r="C11092">
        <v>0</v>
      </c>
      <c r="D11092" t="s">
        <v>106</v>
      </c>
      <c r="E11092">
        <v>24</v>
      </c>
    </row>
    <row r="11093" spans="1:5">
      <c r="A11093" t="s">
        <v>41022</v>
      </c>
      <c r="B11093" t="s">
        <v>16495</v>
      </c>
      <c r="C11093">
        <f>0</f>
        <v>0</v>
      </c>
      <c r="D11093" t="s">
        <v>106</v>
      </c>
      <c r="E11093">
        <v>24</v>
      </c>
    </row>
    <row r="11094" spans="1:5">
      <c r="A11094" t="s">
        <v>41023</v>
      </c>
      <c r="B11094" t="s">
        <v>28245</v>
      </c>
      <c r="C11094">
        <v>0</v>
      </c>
      <c r="D11094" t="s">
        <v>106</v>
      </c>
      <c r="E11094">
        <v>0.40799999999999997</v>
      </c>
    </row>
    <row r="11095" spans="1:5">
      <c r="A11095" t="s">
        <v>41023</v>
      </c>
      <c r="B11095" t="s">
        <v>28246</v>
      </c>
      <c r="C11095">
        <v>0</v>
      </c>
      <c r="D11095" t="s">
        <v>106</v>
      </c>
      <c r="E11095">
        <v>0.40799999999999997</v>
      </c>
    </row>
    <row r="11096" spans="1:5">
      <c r="A11096" t="s">
        <v>41023</v>
      </c>
      <c r="B11096" t="s">
        <v>28248</v>
      </c>
      <c r="C11096">
        <v>0</v>
      </c>
      <c r="D11096" t="s">
        <v>106</v>
      </c>
      <c r="E11096">
        <v>0.40799999999999997</v>
      </c>
    </row>
    <row r="11097" spans="1:5">
      <c r="A11097" t="s">
        <v>41024</v>
      </c>
      <c r="B11097" t="s">
        <v>41025</v>
      </c>
      <c r="C11097">
        <f>0.27565046987</f>
        <v>0.27565046987000003</v>
      </c>
      <c r="D11097">
        <v>0.79269756602599994</v>
      </c>
      <c r="E11097">
        <v>24</v>
      </c>
    </row>
    <row r="11098" spans="1:5">
      <c r="A11098" t="s">
        <v>41024</v>
      </c>
      <c r="B11098" t="s">
        <v>41026</v>
      </c>
      <c r="C11098">
        <f>0</f>
        <v>0</v>
      </c>
      <c r="D11098">
        <v>0.79269756602599994</v>
      </c>
      <c r="E11098">
        <v>24</v>
      </c>
    </row>
    <row r="11099" spans="1:5">
      <c r="A11099" t="s">
        <v>41024</v>
      </c>
      <c r="B11099" t="s">
        <v>41027</v>
      </c>
      <c r="C11099">
        <f>0.568796060627</f>
        <v>0.56879606062700006</v>
      </c>
      <c r="D11099">
        <v>0.79269756602599994</v>
      </c>
      <c r="E11099">
        <v>24</v>
      </c>
    </row>
    <row r="11100" spans="1:5">
      <c r="A11100" t="s">
        <v>41028</v>
      </c>
      <c r="B11100" t="s">
        <v>10603</v>
      </c>
      <c r="C11100">
        <v>0</v>
      </c>
      <c r="D11100">
        <v>0.95565440110099997</v>
      </c>
      <c r="E11100">
        <v>22.338000000000001</v>
      </c>
    </row>
    <row r="11101" spans="1:5">
      <c r="A11101" t="s">
        <v>41028</v>
      </c>
      <c r="B11101" t="s">
        <v>10593</v>
      </c>
      <c r="C11101">
        <v>0.43633357627500002</v>
      </c>
      <c r="D11101">
        <v>0.95565440110099997</v>
      </c>
      <c r="E11101">
        <v>22.338000000000001</v>
      </c>
    </row>
    <row r="11102" spans="1:5">
      <c r="A11102" t="s">
        <v>41028</v>
      </c>
      <c r="B11102" t="s">
        <v>10592</v>
      </c>
      <c r="C11102">
        <f>0</f>
        <v>0</v>
      </c>
      <c r="D11102">
        <v>0.95565440110099997</v>
      </c>
      <c r="E11102">
        <v>22.338000000000001</v>
      </c>
    </row>
    <row r="11103" spans="1:5">
      <c r="A11103" t="s">
        <v>41028</v>
      </c>
      <c r="B11103" t="s">
        <v>10612</v>
      </c>
      <c r="C11103">
        <v>0</v>
      </c>
      <c r="D11103">
        <v>0.95565440110099997</v>
      </c>
      <c r="E11103">
        <v>22.338000000000001</v>
      </c>
    </row>
    <row r="11104" spans="1:5">
      <c r="A11104" t="s">
        <v>41028</v>
      </c>
      <c r="B11104" t="s">
        <v>10594</v>
      </c>
      <c r="C11104">
        <v>5.1844878784799997E-4</v>
      </c>
      <c r="D11104">
        <v>0.95565440110099997</v>
      </c>
      <c r="E11104">
        <v>22.338000000000001</v>
      </c>
    </row>
    <row r="11105" spans="1:5">
      <c r="A11105" t="s">
        <v>41028</v>
      </c>
      <c r="B11105" t="s">
        <v>10600</v>
      </c>
      <c r="C11105">
        <f>0.411037155875</f>
        <v>0.411037155875</v>
      </c>
      <c r="D11105">
        <v>0.95565440110099997</v>
      </c>
      <c r="E11105">
        <v>22.338000000000001</v>
      </c>
    </row>
    <row r="11106" spans="1:5">
      <c r="A11106" t="s">
        <v>41028</v>
      </c>
      <c r="B11106" t="s">
        <v>10604</v>
      </c>
      <c r="C11106">
        <v>0</v>
      </c>
      <c r="D11106">
        <v>0.95565440110099997</v>
      </c>
      <c r="E11106">
        <v>22.338000000000001</v>
      </c>
    </row>
    <row r="11107" spans="1:5">
      <c r="A11107" t="s">
        <v>41028</v>
      </c>
      <c r="B11107" t="s">
        <v>10615</v>
      </c>
      <c r="C11107">
        <f>0</f>
        <v>0</v>
      </c>
      <c r="D11107">
        <v>0.95565440110099997</v>
      </c>
      <c r="E11107">
        <v>22.338000000000001</v>
      </c>
    </row>
    <row r="11108" spans="1:5">
      <c r="A11108" t="s">
        <v>41028</v>
      </c>
      <c r="B11108" t="s">
        <v>10601</v>
      </c>
      <c r="C11108">
        <v>0</v>
      </c>
      <c r="D11108">
        <v>0.95565440110099997</v>
      </c>
      <c r="E11108">
        <v>22.338000000000001</v>
      </c>
    </row>
    <row r="11109" spans="1:5">
      <c r="A11109" t="s">
        <v>41028</v>
      </c>
      <c r="B11109" t="s">
        <v>10597</v>
      </c>
      <c r="C11109">
        <f>0</f>
        <v>0</v>
      </c>
      <c r="D11109">
        <v>0.95565440110099997</v>
      </c>
      <c r="E11109">
        <v>22.338000000000001</v>
      </c>
    </row>
    <row r="11110" spans="1:5">
      <c r="A11110" t="s">
        <v>41028</v>
      </c>
      <c r="B11110" t="s">
        <v>10608</v>
      </c>
      <c r="C11110">
        <v>0</v>
      </c>
      <c r="D11110">
        <v>0.95565440110099997</v>
      </c>
      <c r="E11110">
        <v>22.338000000000001</v>
      </c>
    </row>
    <row r="11111" spans="1:5">
      <c r="A11111" t="s">
        <v>41028</v>
      </c>
      <c r="B11111" t="s">
        <v>10606</v>
      </c>
      <c r="C11111">
        <f>0</f>
        <v>0</v>
      </c>
      <c r="D11111">
        <v>0.95565440110099997</v>
      </c>
      <c r="E11111">
        <v>22.338000000000001</v>
      </c>
    </row>
    <row r="11112" spans="1:5">
      <c r="A11112" t="s">
        <v>41028</v>
      </c>
      <c r="B11112" t="s">
        <v>10613</v>
      </c>
      <c r="C11112">
        <f>0</f>
        <v>0</v>
      </c>
      <c r="D11112">
        <v>0.95565440110099997</v>
      </c>
      <c r="E11112">
        <v>22.338000000000001</v>
      </c>
    </row>
    <row r="11113" spans="1:5">
      <c r="A11113" t="s">
        <v>41028</v>
      </c>
      <c r="B11113" t="s">
        <v>10607</v>
      </c>
      <c r="C11113">
        <f>0</f>
        <v>0</v>
      </c>
      <c r="D11113">
        <v>0.95565440110099997</v>
      </c>
      <c r="E11113">
        <v>22.338000000000001</v>
      </c>
    </row>
    <row r="11114" spans="1:5">
      <c r="A11114" t="s">
        <v>41028</v>
      </c>
      <c r="B11114" t="s">
        <v>10614</v>
      </c>
      <c r="C11114">
        <v>0</v>
      </c>
      <c r="D11114">
        <v>0.95565440110099997</v>
      </c>
      <c r="E11114">
        <v>22.338000000000001</v>
      </c>
    </row>
    <row r="11115" spans="1:5">
      <c r="A11115" t="s">
        <v>41029</v>
      </c>
      <c r="B11115" t="s">
        <v>41030</v>
      </c>
      <c r="C11115">
        <v>0.47307878041599999</v>
      </c>
      <c r="D11115">
        <v>0.70348878041600005</v>
      </c>
      <c r="E11115">
        <v>7.4640000000000004</v>
      </c>
    </row>
    <row r="11116" spans="1:5">
      <c r="A11116" t="s">
        <v>41029</v>
      </c>
      <c r="B11116" t="s">
        <v>41031</v>
      </c>
      <c r="C11116">
        <f>0</f>
        <v>0</v>
      </c>
      <c r="D11116">
        <v>0.70348878041600005</v>
      </c>
      <c r="E11116">
        <v>7.4640000000000004</v>
      </c>
    </row>
    <row r="11117" spans="1:5">
      <c r="A11117" t="s">
        <v>41029</v>
      </c>
      <c r="B11117" t="s">
        <v>41032</v>
      </c>
      <c r="C11117">
        <v>0</v>
      </c>
      <c r="D11117">
        <v>0.70348878041600005</v>
      </c>
      <c r="E11117">
        <v>7.4640000000000004</v>
      </c>
    </row>
    <row r="11118" spans="1:5">
      <c r="A11118" t="s">
        <v>41033</v>
      </c>
      <c r="B11118" t="s">
        <v>8941</v>
      </c>
      <c r="C11118">
        <v>0</v>
      </c>
      <c r="D11118" t="s">
        <v>106</v>
      </c>
      <c r="E11118">
        <v>11.874000000000001</v>
      </c>
    </row>
    <row r="11119" spans="1:5">
      <c r="A11119" t="s">
        <v>41033</v>
      </c>
      <c r="B11119" t="s">
        <v>8950</v>
      </c>
      <c r="C11119">
        <f>0</f>
        <v>0</v>
      </c>
      <c r="D11119" t="s">
        <v>106</v>
      </c>
      <c r="E11119">
        <v>11.874000000000001</v>
      </c>
    </row>
    <row r="11120" spans="1:5">
      <c r="A11120" t="s">
        <v>41034</v>
      </c>
      <c r="B11120" t="s">
        <v>26527</v>
      </c>
      <c r="C11120">
        <f>0.240234660513</f>
        <v>0.24023466051299999</v>
      </c>
      <c r="D11120">
        <v>0.95413004547699998</v>
      </c>
      <c r="E11120">
        <v>12.048</v>
      </c>
    </row>
    <row r="11121" spans="1:5">
      <c r="A11121" t="s">
        <v>41034</v>
      </c>
      <c r="B11121" t="s">
        <v>26534</v>
      </c>
      <c r="C11121">
        <v>0.91204028859999997</v>
      </c>
      <c r="D11121">
        <v>0.95413004547699998</v>
      </c>
      <c r="E11121">
        <v>12.048</v>
      </c>
    </row>
    <row r="11122" spans="1:5">
      <c r="A11122" t="s">
        <v>41034</v>
      </c>
      <c r="B11122" t="s">
        <v>41035</v>
      </c>
      <c r="C11122">
        <v>0.29648376500099999</v>
      </c>
      <c r="D11122">
        <v>0.95413004547699998</v>
      </c>
      <c r="E11122">
        <v>12.048</v>
      </c>
    </row>
    <row r="11123" spans="1:5">
      <c r="A11123" t="s">
        <v>41034</v>
      </c>
      <c r="B11123" t="s">
        <v>26536</v>
      </c>
      <c r="C11123">
        <v>0.44460199291800001</v>
      </c>
      <c r="D11123">
        <v>0.95413004547699998</v>
      </c>
      <c r="E11123">
        <v>12.048</v>
      </c>
    </row>
    <row r="11124" spans="1:5">
      <c r="A11124" t="s">
        <v>41036</v>
      </c>
      <c r="B11124" t="s">
        <v>24964</v>
      </c>
      <c r="C11124">
        <v>0.54204838764600005</v>
      </c>
      <c r="D11124">
        <v>0.70205838764600004</v>
      </c>
      <c r="E11124">
        <v>1.3919999999999999</v>
      </c>
    </row>
    <row r="11125" spans="1:5">
      <c r="A11125" t="s">
        <v>41036</v>
      </c>
      <c r="B11125" t="s">
        <v>24966</v>
      </c>
      <c r="C11125">
        <v>0</v>
      </c>
      <c r="D11125">
        <v>0.70205838764600004</v>
      </c>
      <c r="E11125">
        <v>1.3919999999999999</v>
      </c>
    </row>
    <row r="11126" spans="1:5">
      <c r="A11126" t="s">
        <v>41036</v>
      </c>
      <c r="B11126" t="s">
        <v>24968</v>
      </c>
      <c r="C11126">
        <f>0</f>
        <v>0</v>
      </c>
      <c r="D11126">
        <v>0.70205838764600004</v>
      </c>
      <c r="E11126">
        <v>1.3919999999999999</v>
      </c>
    </row>
    <row r="11127" spans="1:5">
      <c r="A11127" t="s">
        <v>41037</v>
      </c>
      <c r="B11127" t="s">
        <v>41038</v>
      </c>
      <c r="C11127">
        <f>0</f>
        <v>0</v>
      </c>
      <c r="D11127">
        <v>0.89933511357600004</v>
      </c>
      <c r="E11127">
        <v>2.1779999999999999</v>
      </c>
    </row>
    <row r="11128" spans="1:5">
      <c r="A11128" t="s">
        <v>41037</v>
      </c>
      <c r="B11128" t="s">
        <v>41039</v>
      </c>
      <c r="C11128">
        <f>0.477607985106</f>
        <v>0.477607985106</v>
      </c>
      <c r="D11128">
        <v>0.89933511357600004</v>
      </c>
      <c r="E11128">
        <v>2.1779999999999999</v>
      </c>
    </row>
    <row r="11129" spans="1:5">
      <c r="A11129" t="s">
        <v>41037</v>
      </c>
      <c r="B11129" t="s">
        <v>41040</v>
      </c>
      <c r="C11129">
        <f>0.0258384031387</f>
        <v>2.5838403138699999E-2</v>
      </c>
      <c r="D11129">
        <v>0.89933511357600004</v>
      </c>
      <c r="E11129">
        <v>2.1779999999999999</v>
      </c>
    </row>
    <row r="11130" spans="1:5">
      <c r="A11130" t="s">
        <v>41037</v>
      </c>
      <c r="B11130" t="s">
        <v>41041</v>
      </c>
      <c r="C11130">
        <f>0.285841445754</f>
        <v>0.285841445754</v>
      </c>
      <c r="D11130">
        <v>0.89933511357600004</v>
      </c>
      <c r="E11130">
        <v>2.1779999999999999</v>
      </c>
    </row>
    <row r="11131" spans="1:5">
      <c r="A11131" t="s">
        <v>41037</v>
      </c>
      <c r="B11131" t="s">
        <v>41042</v>
      </c>
      <c r="C11131">
        <v>0.65551607174399995</v>
      </c>
      <c r="D11131">
        <v>0.89933511357600004</v>
      </c>
      <c r="E11131">
        <v>2.1779999999999999</v>
      </c>
    </row>
    <row r="11132" spans="1:5">
      <c r="A11132" t="s">
        <v>41037</v>
      </c>
      <c r="B11132" t="s">
        <v>41043</v>
      </c>
      <c r="C11132">
        <f>0.439128789973</f>
        <v>0.43912878997299998</v>
      </c>
      <c r="D11132">
        <v>0.89933511357600004</v>
      </c>
      <c r="E11132">
        <v>2.1779999999999999</v>
      </c>
    </row>
    <row r="11133" spans="1:5">
      <c r="A11133" t="s">
        <v>41044</v>
      </c>
      <c r="B11133" t="s">
        <v>23211</v>
      </c>
      <c r="C11133">
        <v>0.514805123162</v>
      </c>
      <c r="D11133">
        <v>0.79228487005100001</v>
      </c>
      <c r="E11133">
        <v>24</v>
      </c>
    </row>
    <row r="11134" spans="1:5">
      <c r="A11134" t="s">
        <v>41044</v>
      </c>
      <c r="B11134" t="s">
        <v>23208</v>
      </c>
      <c r="C11134">
        <v>6.5132100940099996E-2</v>
      </c>
      <c r="D11134">
        <v>0.79228487005100001</v>
      </c>
      <c r="E11134">
        <v>24</v>
      </c>
    </row>
    <row r="11135" spans="1:5">
      <c r="A11135" t="s">
        <v>41044</v>
      </c>
      <c r="B11135" t="s">
        <v>23207</v>
      </c>
      <c r="C11135">
        <f>0</f>
        <v>0</v>
      </c>
      <c r="D11135">
        <v>0.79228487005100001</v>
      </c>
      <c r="E11135">
        <v>24</v>
      </c>
    </row>
    <row r="11136" spans="1:5">
      <c r="A11136" t="s">
        <v>41045</v>
      </c>
      <c r="B11136" t="s">
        <v>41046</v>
      </c>
      <c r="C11136">
        <v>0.25617726134300001</v>
      </c>
      <c r="D11136">
        <v>0.71858726134299999</v>
      </c>
      <c r="E11136">
        <v>1.1160000000000001</v>
      </c>
    </row>
    <row r="11137" spans="1:5">
      <c r="A11137" t="s">
        <v>41045</v>
      </c>
      <c r="B11137" t="s">
        <v>41047</v>
      </c>
      <c r="C11137">
        <v>0</v>
      </c>
      <c r="D11137">
        <v>0.71858726134299999</v>
      </c>
      <c r="E11137">
        <v>1.1160000000000001</v>
      </c>
    </row>
    <row r="11138" spans="1:5">
      <c r="A11138" t="s">
        <v>41045</v>
      </c>
      <c r="B11138" t="s">
        <v>41048</v>
      </c>
      <c r="C11138">
        <f>0</f>
        <v>0</v>
      </c>
      <c r="D11138">
        <v>0.71858726134299999</v>
      </c>
      <c r="E11138">
        <v>1.1160000000000001</v>
      </c>
    </row>
    <row r="11139" spans="1:5">
      <c r="A11139" t="s">
        <v>41049</v>
      </c>
      <c r="B11139" t="s">
        <v>41050</v>
      </c>
      <c r="C11139">
        <f>0.713573743444</f>
        <v>0.71357374344400004</v>
      </c>
      <c r="D11139">
        <v>0.79883493245100001</v>
      </c>
      <c r="E11139">
        <v>24</v>
      </c>
    </row>
    <row r="11140" spans="1:5">
      <c r="A11140" t="s">
        <v>41049</v>
      </c>
      <c r="B11140" t="s">
        <v>41051</v>
      </c>
      <c r="C11140">
        <v>0</v>
      </c>
      <c r="D11140">
        <v>0.79883493245100001</v>
      </c>
      <c r="E11140">
        <v>24</v>
      </c>
    </row>
    <row r="11141" spans="1:5">
      <c r="A11141" t="s">
        <v>41049</v>
      </c>
      <c r="B11141" t="s">
        <v>41052</v>
      </c>
      <c r="C11141">
        <f>0</f>
        <v>0</v>
      </c>
      <c r="D11141">
        <v>0.79883493245100001</v>
      </c>
      <c r="E11141">
        <v>24</v>
      </c>
    </row>
    <row r="11142" spans="1:5">
      <c r="A11142" t="s">
        <v>41049</v>
      </c>
      <c r="B11142" t="s">
        <v>41053</v>
      </c>
      <c r="C11142">
        <v>0.168686510042</v>
      </c>
      <c r="D11142">
        <v>0.79883493245100001</v>
      </c>
      <c r="E11142">
        <v>24</v>
      </c>
    </row>
    <row r="11143" spans="1:5">
      <c r="A11143" t="s">
        <v>41049</v>
      </c>
      <c r="B11143" t="s">
        <v>41054</v>
      </c>
      <c r="C11143">
        <f>0</f>
        <v>0</v>
      </c>
      <c r="D11143">
        <v>0.79883493245100001</v>
      </c>
      <c r="E11143">
        <v>24</v>
      </c>
    </row>
    <row r="11144" spans="1:5">
      <c r="A11144" t="s">
        <v>41055</v>
      </c>
      <c r="B11144" t="s">
        <v>41056</v>
      </c>
      <c r="C11144">
        <v>0</v>
      </c>
      <c r="D11144" t="s">
        <v>106</v>
      </c>
      <c r="E11144">
        <v>1.17</v>
      </c>
    </row>
    <row r="11145" spans="1:5">
      <c r="A11145" t="s">
        <v>41055</v>
      </c>
      <c r="B11145" t="s">
        <v>41057</v>
      </c>
      <c r="C11145">
        <f>0</f>
        <v>0</v>
      </c>
      <c r="D11145" t="s">
        <v>106</v>
      </c>
      <c r="E11145">
        <v>1.17</v>
      </c>
    </row>
    <row r="11146" spans="1:5">
      <c r="A11146" t="s">
        <v>41058</v>
      </c>
      <c r="B11146" t="s">
        <v>32250</v>
      </c>
      <c r="C11146">
        <v>0</v>
      </c>
      <c r="D11146" t="s">
        <v>106</v>
      </c>
      <c r="E11146">
        <v>20.292000000000002</v>
      </c>
    </row>
    <row r="11147" spans="1:5">
      <c r="A11147" t="s">
        <v>41058</v>
      </c>
      <c r="B11147" t="s">
        <v>32251</v>
      </c>
      <c r="C11147">
        <v>0</v>
      </c>
      <c r="D11147" t="s">
        <v>106</v>
      </c>
      <c r="E11147">
        <v>20.292000000000002</v>
      </c>
    </row>
    <row r="11148" spans="1:5">
      <c r="A11148" t="s">
        <v>41058</v>
      </c>
      <c r="B11148" t="s">
        <v>32256</v>
      </c>
      <c r="C11148">
        <v>0</v>
      </c>
      <c r="D11148" t="s">
        <v>106</v>
      </c>
      <c r="E11148">
        <v>20.292000000000002</v>
      </c>
    </row>
    <row r="11149" spans="1:5">
      <c r="A11149" t="s">
        <v>41058</v>
      </c>
      <c r="B11149" t="s">
        <v>32253</v>
      </c>
      <c r="C11149">
        <v>0</v>
      </c>
      <c r="D11149" t="s">
        <v>106</v>
      </c>
      <c r="E11149">
        <v>20.292000000000002</v>
      </c>
    </row>
    <row r="11150" spans="1:5">
      <c r="A11150" t="s">
        <v>41059</v>
      </c>
      <c r="B11150" t="s">
        <v>41060</v>
      </c>
      <c r="C11150">
        <v>0.96781077274799998</v>
      </c>
      <c r="D11150">
        <v>0.95599426014199995</v>
      </c>
      <c r="E11150">
        <v>7.2</v>
      </c>
    </row>
    <row r="11151" spans="1:5">
      <c r="A11151" t="s">
        <v>41059</v>
      </c>
      <c r="B11151" t="s">
        <v>41061</v>
      </c>
      <c r="C11151">
        <f>0.343002734151</f>
        <v>0.34300273415100002</v>
      </c>
      <c r="D11151">
        <v>0.95599426014199995</v>
      </c>
      <c r="E11151">
        <v>7.2</v>
      </c>
    </row>
    <row r="11152" spans="1:5">
      <c r="A11152" t="s">
        <v>41059</v>
      </c>
      <c r="B11152" t="s">
        <v>41062</v>
      </c>
      <c r="C11152">
        <f>0.500031883036</f>
        <v>0.50003188303599999</v>
      </c>
      <c r="D11152">
        <v>0.95599426014199995</v>
      </c>
      <c r="E11152">
        <v>7.2</v>
      </c>
    </row>
    <row r="11153" spans="1:5">
      <c r="A11153" t="s">
        <v>41063</v>
      </c>
      <c r="B11153" t="s">
        <v>27839</v>
      </c>
      <c r="C11153">
        <v>0.19311241309900001</v>
      </c>
      <c r="D11153">
        <v>0.89245142891899998</v>
      </c>
      <c r="E11153">
        <v>24</v>
      </c>
    </row>
    <row r="11154" spans="1:5">
      <c r="A11154" t="s">
        <v>41063</v>
      </c>
      <c r="B11154" t="s">
        <v>27838</v>
      </c>
      <c r="C11154">
        <v>0.88198439857599997</v>
      </c>
      <c r="D11154">
        <v>0.89245142891899998</v>
      </c>
      <c r="E11154">
        <v>24</v>
      </c>
    </row>
    <row r="11155" spans="1:5">
      <c r="A11155" t="s">
        <v>41064</v>
      </c>
      <c r="B11155" t="s">
        <v>3061</v>
      </c>
      <c r="C11155">
        <v>0.74275276353399999</v>
      </c>
      <c r="D11155">
        <v>0.838057303162</v>
      </c>
      <c r="E11155">
        <v>13.818</v>
      </c>
    </row>
    <row r="11156" spans="1:5">
      <c r="A11156" t="s">
        <v>41064</v>
      </c>
      <c r="B11156" t="s">
        <v>3063</v>
      </c>
      <c r="C11156">
        <v>0.376874287365</v>
      </c>
      <c r="D11156">
        <v>0.838057303162</v>
      </c>
      <c r="E11156">
        <v>13.818</v>
      </c>
    </row>
    <row r="11157" spans="1:5">
      <c r="A11157" t="s">
        <v>41065</v>
      </c>
      <c r="B11157" t="s">
        <v>19076</v>
      </c>
      <c r="C11157">
        <v>0.20915257197699999</v>
      </c>
      <c r="D11157">
        <v>0.99992071317599995</v>
      </c>
      <c r="E11157">
        <v>1.17</v>
      </c>
    </row>
    <row r="11158" spans="1:5">
      <c r="A11158" t="s">
        <v>41065</v>
      </c>
      <c r="B11158" t="s">
        <v>19077</v>
      </c>
      <c r="C11158">
        <v>0.41999726308200003</v>
      </c>
      <c r="D11158">
        <v>0.99992071317599995</v>
      </c>
      <c r="E11158">
        <v>1.17</v>
      </c>
    </row>
    <row r="11159" spans="1:5">
      <c r="A11159" t="s">
        <v>41065</v>
      </c>
      <c r="B11159" t="s">
        <v>41066</v>
      </c>
      <c r="C11159">
        <v>0.40167885807199999</v>
      </c>
      <c r="D11159">
        <v>0.99992071317599995</v>
      </c>
      <c r="E11159">
        <v>1.17</v>
      </c>
    </row>
    <row r="11160" spans="1:5">
      <c r="A11160" t="s">
        <v>41065</v>
      </c>
      <c r="B11160" t="s">
        <v>19083</v>
      </c>
      <c r="C11160">
        <v>0.67056194484700005</v>
      </c>
      <c r="D11160">
        <v>0.99992071317599995</v>
      </c>
      <c r="E11160">
        <v>1.17</v>
      </c>
    </row>
    <row r="11161" spans="1:5">
      <c r="A11161" t="s">
        <v>41065</v>
      </c>
      <c r="B11161" t="s">
        <v>19073</v>
      </c>
      <c r="C11161">
        <v>0.49907728976299998</v>
      </c>
      <c r="D11161">
        <v>0.99992071317599995</v>
      </c>
      <c r="E11161">
        <v>1.17</v>
      </c>
    </row>
    <row r="11162" spans="1:5">
      <c r="A11162" t="s">
        <v>41065</v>
      </c>
      <c r="B11162" t="s">
        <v>19079</v>
      </c>
      <c r="C11162">
        <v>3.1970188462399997E-2</v>
      </c>
      <c r="D11162">
        <v>0.99992071317599995</v>
      </c>
      <c r="E11162">
        <v>1.17</v>
      </c>
    </row>
    <row r="11163" spans="1:5">
      <c r="A11163" t="s">
        <v>41065</v>
      </c>
      <c r="B11163" t="s">
        <v>19080</v>
      </c>
      <c r="C11163">
        <f>0.674262363398</f>
        <v>0.67426236339800005</v>
      </c>
      <c r="D11163">
        <v>0.99992071317599995</v>
      </c>
      <c r="E11163">
        <v>1.17</v>
      </c>
    </row>
    <row r="11164" spans="1:5">
      <c r="A11164" t="s">
        <v>41067</v>
      </c>
      <c r="B11164" t="s">
        <v>715</v>
      </c>
      <c r="C11164">
        <f>0</f>
        <v>0</v>
      </c>
      <c r="D11164" t="s">
        <v>106</v>
      </c>
      <c r="E11164">
        <v>1.5720000000000001</v>
      </c>
    </row>
    <row r="11165" spans="1:5">
      <c r="A11165" t="s">
        <v>41067</v>
      </c>
      <c r="B11165" t="s">
        <v>716</v>
      </c>
      <c r="C11165">
        <v>0</v>
      </c>
      <c r="D11165" t="s">
        <v>106</v>
      </c>
      <c r="E11165">
        <v>1.5720000000000001</v>
      </c>
    </row>
    <row r="11166" spans="1:5">
      <c r="A11166" t="s">
        <v>41067</v>
      </c>
      <c r="B11166" t="s">
        <v>717</v>
      </c>
      <c r="C11166">
        <f>0</f>
        <v>0</v>
      </c>
      <c r="D11166" t="s">
        <v>106</v>
      </c>
      <c r="E11166">
        <v>1.5720000000000001</v>
      </c>
    </row>
    <row r="11167" spans="1:5">
      <c r="A11167" t="s">
        <v>41068</v>
      </c>
      <c r="B11167" t="s">
        <v>33381</v>
      </c>
      <c r="C11167">
        <v>0</v>
      </c>
      <c r="D11167" t="s">
        <v>106</v>
      </c>
      <c r="E11167">
        <v>0.114</v>
      </c>
    </row>
    <row r="11168" spans="1:5">
      <c r="A11168" t="s">
        <v>41068</v>
      </c>
      <c r="B11168" t="s">
        <v>33384</v>
      </c>
      <c r="C11168">
        <f>0</f>
        <v>0</v>
      </c>
      <c r="D11168" t="s">
        <v>106</v>
      </c>
      <c r="E11168">
        <v>0.114</v>
      </c>
    </row>
    <row r="11169" spans="1:5">
      <c r="A11169" t="s">
        <v>41068</v>
      </c>
      <c r="B11169" t="s">
        <v>33383</v>
      </c>
      <c r="C11169">
        <v>0</v>
      </c>
      <c r="D11169" t="s">
        <v>106</v>
      </c>
      <c r="E11169">
        <v>0.114</v>
      </c>
    </row>
    <row r="11170" spans="1:5">
      <c r="A11170" t="s">
        <v>41068</v>
      </c>
      <c r="B11170" t="s">
        <v>33382</v>
      </c>
      <c r="C11170">
        <f>0</f>
        <v>0</v>
      </c>
      <c r="D11170" t="s">
        <v>106</v>
      </c>
      <c r="E11170">
        <v>0.114</v>
      </c>
    </row>
    <row r="11171" spans="1:5">
      <c r="A11171" t="s">
        <v>41069</v>
      </c>
      <c r="B11171" t="s">
        <v>21000</v>
      </c>
      <c r="C11171">
        <v>0</v>
      </c>
      <c r="D11171" t="s">
        <v>106</v>
      </c>
      <c r="E11171">
        <v>18.138000000000002</v>
      </c>
    </row>
    <row r="11172" spans="1:5">
      <c r="A11172" t="s">
        <v>41069</v>
      </c>
      <c r="B11172" t="s">
        <v>21006</v>
      </c>
      <c r="C11172">
        <v>0</v>
      </c>
      <c r="D11172" t="s">
        <v>106</v>
      </c>
      <c r="E11172">
        <v>18.138000000000002</v>
      </c>
    </row>
    <row r="11173" spans="1:5">
      <c r="A11173" t="s">
        <v>41069</v>
      </c>
      <c r="B11173" t="s">
        <v>21007</v>
      </c>
      <c r="C11173">
        <v>0</v>
      </c>
      <c r="D11173" t="s">
        <v>106</v>
      </c>
      <c r="E11173">
        <v>18.138000000000002</v>
      </c>
    </row>
    <row r="11174" spans="1:5">
      <c r="A11174" t="s">
        <v>41069</v>
      </c>
      <c r="B11174" t="s">
        <v>21004</v>
      </c>
      <c r="C11174">
        <f>0</f>
        <v>0</v>
      </c>
      <c r="D11174" t="s">
        <v>106</v>
      </c>
      <c r="E11174">
        <v>18.138000000000002</v>
      </c>
    </row>
    <row r="11175" spans="1:5">
      <c r="A11175" t="s">
        <v>41069</v>
      </c>
      <c r="B11175" t="s">
        <v>20999</v>
      </c>
      <c r="C11175">
        <v>0</v>
      </c>
      <c r="D11175" t="s">
        <v>106</v>
      </c>
      <c r="E11175">
        <v>18.138000000000002</v>
      </c>
    </row>
    <row r="11176" spans="1:5">
      <c r="A11176" t="s">
        <v>41070</v>
      </c>
      <c r="B11176" t="s">
        <v>5825</v>
      </c>
      <c r="C11176">
        <f>0.361514724034</f>
        <v>0.36151472403399998</v>
      </c>
      <c r="D11176">
        <v>0.99992980293199996</v>
      </c>
      <c r="E11176">
        <v>2.1779999999999999</v>
      </c>
    </row>
    <row r="11177" spans="1:5">
      <c r="A11177" t="s">
        <v>41070</v>
      </c>
      <c r="B11177" t="s">
        <v>5816</v>
      </c>
      <c r="C11177">
        <f>0</f>
        <v>0</v>
      </c>
      <c r="D11177">
        <v>0.99992980293199996</v>
      </c>
      <c r="E11177">
        <v>2.1779999999999999</v>
      </c>
    </row>
    <row r="11178" spans="1:5">
      <c r="A11178" t="s">
        <v>41070</v>
      </c>
      <c r="B11178" t="s">
        <v>5822</v>
      </c>
      <c r="C11178">
        <f>0.714052206994</f>
        <v>0.71405220699399996</v>
      </c>
      <c r="D11178">
        <v>0.99992980293199996</v>
      </c>
      <c r="E11178">
        <v>2.1779999999999999</v>
      </c>
    </row>
    <row r="11179" spans="1:5">
      <c r="A11179" t="s">
        <v>41070</v>
      </c>
      <c r="B11179" t="s">
        <v>5823</v>
      </c>
      <c r="C11179">
        <f>0.223214639973</f>
        <v>0.22321463997300001</v>
      </c>
      <c r="D11179">
        <v>0.99992980293199996</v>
      </c>
      <c r="E11179">
        <v>2.1779999999999999</v>
      </c>
    </row>
    <row r="11180" spans="1:5">
      <c r="A11180" t="s">
        <v>41070</v>
      </c>
      <c r="B11180" t="s">
        <v>5819</v>
      </c>
      <c r="C11180">
        <f>0.18443797619</f>
        <v>0.18443797618999999</v>
      </c>
      <c r="D11180">
        <v>0.99992980293199996</v>
      </c>
      <c r="E11180">
        <v>2.1779999999999999</v>
      </c>
    </row>
    <row r="11181" spans="1:5">
      <c r="A11181" t="s">
        <v>41070</v>
      </c>
      <c r="B11181" t="s">
        <v>5826</v>
      </c>
      <c r="C11181">
        <f>0</f>
        <v>0</v>
      </c>
      <c r="D11181">
        <v>0.99992980293199996</v>
      </c>
      <c r="E11181">
        <v>2.1779999999999999</v>
      </c>
    </row>
    <row r="11182" spans="1:5">
      <c r="A11182" t="s">
        <v>41070</v>
      </c>
      <c r="B11182" t="s">
        <v>5820</v>
      </c>
      <c r="C11182">
        <f>0.413319180064</f>
        <v>0.41331918006399998</v>
      </c>
      <c r="D11182">
        <v>0.99992980293199996</v>
      </c>
      <c r="E11182">
        <v>2.1779999999999999</v>
      </c>
    </row>
    <row r="11183" spans="1:5">
      <c r="A11183" t="s">
        <v>41070</v>
      </c>
      <c r="B11183" t="s">
        <v>5824</v>
      </c>
      <c r="C11183">
        <v>0</v>
      </c>
      <c r="D11183">
        <v>0.99992980293199996</v>
      </c>
      <c r="E11183">
        <v>2.1779999999999999</v>
      </c>
    </row>
    <row r="11184" spans="1:5">
      <c r="A11184" t="s">
        <v>41070</v>
      </c>
      <c r="B11184" t="s">
        <v>5815</v>
      </c>
      <c r="C11184">
        <v>0.112375450719</v>
      </c>
      <c r="D11184">
        <v>0.99992980293199996</v>
      </c>
      <c r="E11184">
        <v>2.1779999999999999</v>
      </c>
    </row>
    <row r="11185" spans="1:5">
      <c r="A11185" t="s">
        <v>41070</v>
      </c>
      <c r="B11185" t="s">
        <v>5814</v>
      </c>
      <c r="C11185">
        <f>0.255558295399</f>
        <v>0.25555829539899999</v>
      </c>
      <c r="D11185">
        <v>0.99992980293199996</v>
      </c>
      <c r="E11185">
        <v>2.1779999999999999</v>
      </c>
    </row>
    <row r="11186" spans="1:5">
      <c r="A11186" t="s">
        <v>41070</v>
      </c>
      <c r="B11186" t="s">
        <v>5821</v>
      </c>
      <c r="C11186">
        <v>0.54335603565099999</v>
      </c>
      <c r="D11186">
        <v>0.99992980293199996</v>
      </c>
      <c r="E11186">
        <v>2.1779999999999999</v>
      </c>
    </row>
    <row r="11187" spans="1:5">
      <c r="A11187" t="s">
        <v>41070</v>
      </c>
      <c r="B11187" t="s">
        <v>5818</v>
      </c>
      <c r="C11187">
        <f>0</f>
        <v>0</v>
      </c>
      <c r="D11187">
        <v>0.99992980293199996</v>
      </c>
      <c r="E11187">
        <v>2.1779999999999999</v>
      </c>
    </row>
    <row r="11188" spans="1:5">
      <c r="A11188" t="s">
        <v>41071</v>
      </c>
      <c r="B11188" t="s">
        <v>41072</v>
      </c>
      <c r="C11188">
        <v>0</v>
      </c>
      <c r="D11188" t="s">
        <v>106</v>
      </c>
      <c r="E11188">
        <v>6.0000000000000001E-3</v>
      </c>
    </row>
    <row r="11189" spans="1:5">
      <c r="A11189" t="s">
        <v>41071</v>
      </c>
      <c r="B11189" t="s">
        <v>41073</v>
      </c>
      <c r="C11189">
        <v>0</v>
      </c>
      <c r="D11189" t="s">
        <v>106</v>
      </c>
      <c r="E11189">
        <v>6.0000000000000001E-3</v>
      </c>
    </row>
    <row r="11190" spans="1:5">
      <c r="A11190" t="s">
        <v>41074</v>
      </c>
      <c r="B11190" t="s">
        <v>24626</v>
      </c>
      <c r="C11190">
        <f>0.357527902115</f>
        <v>0.35752790211500002</v>
      </c>
      <c r="D11190">
        <v>0.73925649681399996</v>
      </c>
      <c r="E11190">
        <v>0.47399999999999998</v>
      </c>
    </row>
    <row r="11191" spans="1:5">
      <c r="A11191" t="s">
        <v>41074</v>
      </c>
      <c r="B11191" t="s">
        <v>24625</v>
      </c>
      <c r="C11191">
        <v>0</v>
      </c>
      <c r="D11191">
        <v>0.73925649681399996</v>
      </c>
      <c r="E11191">
        <v>0.47399999999999998</v>
      </c>
    </row>
    <row r="11192" spans="1:5">
      <c r="A11192" t="s">
        <v>41074</v>
      </c>
      <c r="B11192" t="s">
        <v>24622</v>
      </c>
      <c r="C11192">
        <v>0.34814012263799998</v>
      </c>
      <c r="D11192">
        <v>0.73925649681399996</v>
      </c>
      <c r="E11192">
        <v>0.47399999999999998</v>
      </c>
    </row>
    <row r="11193" spans="1:5">
      <c r="A11193" t="s">
        <v>41075</v>
      </c>
      <c r="B11193" t="s">
        <v>27403</v>
      </c>
      <c r="C11193">
        <f>-1.48037824216</f>
        <v>-1.48037824216</v>
      </c>
      <c r="D11193">
        <v>0.96045863927800001</v>
      </c>
      <c r="E11193">
        <v>5.9340000000000002</v>
      </c>
    </row>
    <row r="11194" spans="1:5">
      <c r="A11194" t="s">
        <v>41075</v>
      </c>
      <c r="B11194" t="s">
        <v>27401</v>
      </c>
      <c r="C11194">
        <v>0.42974657587800003</v>
      </c>
      <c r="D11194">
        <v>0.96045863927800001</v>
      </c>
      <c r="E11194">
        <v>5.9340000000000002</v>
      </c>
    </row>
    <row r="11195" spans="1:5">
      <c r="A11195" t="s">
        <v>41075</v>
      </c>
      <c r="B11195" t="s">
        <v>27397</v>
      </c>
      <c r="C11195">
        <v>0.94524827177000004</v>
      </c>
      <c r="D11195">
        <v>0.96045863927800001</v>
      </c>
      <c r="E11195">
        <v>5.9340000000000002</v>
      </c>
    </row>
    <row r="11196" spans="1:5">
      <c r="A11196" t="s">
        <v>41075</v>
      </c>
      <c r="B11196" t="s">
        <v>41076</v>
      </c>
      <c r="C11196">
        <v>0</v>
      </c>
      <c r="D11196">
        <v>0.96045863927800001</v>
      </c>
      <c r="E11196">
        <v>5.9340000000000002</v>
      </c>
    </row>
    <row r="11197" spans="1:5">
      <c r="A11197" t="s">
        <v>41075</v>
      </c>
      <c r="B11197" t="s">
        <v>27398</v>
      </c>
      <c r="C11197">
        <v>0.92630053037600002</v>
      </c>
      <c r="D11197">
        <v>0.96045863927800001</v>
      </c>
      <c r="E11197">
        <v>5.9340000000000002</v>
      </c>
    </row>
    <row r="11198" spans="1:5">
      <c r="A11198" t="s">
        <v>41077</v>
      </c>
      <c r="B11198" t="s">
        <v>31125</v>
      </c>
      <c r="C11198">
        <f>0</f>
        <v>0</v>
      </c>
      <c r="D11198" t="s">
        <v>106</v>
      </c>
      <c r="E11198">
        <v>24</v>
      </c>
    </row>
    <row r="11199" spans="1:5">
      <c r="A11199" t="s">
        <v>41077</v>
      </c>
      <c r="B11199" t="s">
        <v>31127</v>
      </c>
      <c r="C11199">
        <f>0</f>
        <v>0</v>
      </c>
      <c r="D11199" t="s">
        <v>106</v>
      </c>
      <c r="E11199">
        <v>24</v>
      </c>
    </row>
    <row r="11200" spans="1:5">
      <c r="A11200" t="s">
        <v>41077</v>
      </c>
      <c r="B11200" t="s">
        <v>31126</v>
      </c>
      <c r="C11200">
        <f>0</f>
        <v>0</v>
      </c>
      <c r="D11200" t="s">
        <v>106</v>
      </c>
      <c r="E11200">
        <v>24</v>
      </c>
    </row>
    <row r="11201" spans="1:5">
      <c r="A11201" t="s">
        <v>41078</v>
      </c>
      <c r="B11201" t="s">
        <v>25326</v>
      </c>
      <c r="C11201">
        <f>0</f>
        <v>0</v>
      </c>
      <c r="D11201">
        <v>0.79248521498199997</v>
      </c>
      <c r="E11201">
        <v>4.8</v>
      </c>
    </row>
    <row r="11202" spans="1:5">
      <c r="A11202" t="s">
        <v>41078</v>
      </c>
      <c r="B11202" t="s">
        <v>25336</v>
      </c>
      <c r="C11202">
        <f>0</f>
        <v>0</v>
      </c>
      <c r="D11202">
        <v>0.79248521498199997</v>
      </c>
      <c r="E11202">
        <v>4.8</v>
      </c>
    </row>
    <row r="11203" spans="1:5">
      <c r="A11203" t="s">
        <v>41078</v>
      </c>
      <c r="B11203" t="s">
        <v>25329</v>
      </c>
      <c r="C11203">
        <f>0</f>
        <v>0</v>
      </c>
      <c r="D11203">
        <v>0.79248521498199997</v>
      </c>
      <c r="E11203">
        <v>4.8</v>
      </c>
    </row>
    <row r="11204" spans="1:5">
      <c r="A11204" t="s">
        <v>41078</v>
      </c>
      <c r="B11204" t="s">
        <v>25330</v>
      </c>
      <c r="C11204">
        <v>0</v>
      </c>
      <c r="D11204">
        <v>0.79248521498199997</v>
      </c>
      <c r="E11204">
        <v>4.8</v>
      </c>
    </row>
    <row r="11205" spans="1:5">
      <c r="A11205" t="s">
        <v>41078</v>
      </c>
      <c r="B11205" t="s">
        <v>25335</v>
      </c>
      <c r="C11205">
        <f>0</f>
        <v>0</v>
      </c>
      <c r="D11205">
        <v>0.79248521498199997</v>
      </c>
      <c r="E11205">
        <v>4.8</v>
      </c>
    </row>
    <row r="11206" spans="1:5">
      <c r="A11206" t="s">
        <v>41078</v>
      </c>
      <c r="B11206" t="s">
        <v>25333</v>
      </c>
      <c r="C11206">
        <v>0</v>
      </c>
      <c r="D11206">
        <v>0.79248521498199997</v>
      </c>
      <c r="E11206">
        <v>4.8</v>
      </c>
    </row>
    <row r="11207" spans="1:5">
      <c r="A11207" t="s">
        <v>41078</v>
      </c>
      <c r="B11207" t="s">
        <v>25338</v>
      </c>
      <c r="C11207">
        <v>0.382875214982</v>
      </c>
      <c r="D11207">
        <v>0.79248521498199997</v>
      </c>
      <c r="E11207">
        <v>4.8</v>
      </c>
    </row>
    <row r="11208" spans="1:5">
      <c r="A11208" t="s">
        <v>41078</v>
      </c>
      <c r="B11208" t="s">
        <v>25341</v>
      </c>
      <c r="C11208">
        <v>0</v>
      </c>
      <c r="D11208">
        <v>0.79248521498199997</v>
      </c>
      <c r="E11208">
        <v>4.8</v>
      </c>
    </row>
    <row r="11209" spans="1:5">
      <c r="A11209" t="s">
        <v>41078</v>
      </c>
      <c r="B11209" t="s">
        <v>25334</v>
      </c>
      <c r="C11209">
        <f>0</f>
        <v>0</v>
      </c>
      <c r="D11209">
        <v>0.79248521498199997</v>
      </c>
      <c r="E11209">
        <v>4.8</v>
      </c>
    </row>
    <row r="11210" spans="1:5">
      <c r="A11210" t="s">
        <v>41078</v>
      </c>
      <c r="B11210" t="s">
        <v>25342</v>
      </c>
      <c r="C11210">
        <v>0</v>
      </c>
      <c r="D11210">
        <v>0.79248521498199997</v>
      </c>
      <c r="E11210">
        <v>4.8</v>
      </c>
    </row>
    <row r="11211" spans="1:5">
      <c r="A11211" t="s">
        <v>41078</v>
      </c>
      <c r="B11211" t="s">
        <v>25340</v>
      </c>
      <c r="C11211">
        <v>0</v>
      </c>
      <c r="D11211">
        <v>0.79248521498199997</v>
      </c>
      <c r="E11211">
        <v>4.8</v>
      </c>
    </row>
    <row r="11212" spans="1:5">
      <c r="A11212" t="s">
        <v>41078</v>
      </c>
      <c r="B11212" t="s">
        <v>25339</v>
      </c>
      <c r="C11212">
        <v>0</v>
      </c>
      <c r="D11212">
        <v>0.79248521498199997</v>
      </c>
      <c r="E11212">
        <v>4.8</v>
      </c>
    </row>
    <row r="11213" spans="1:5">
      <c r="A11213" t="s">
        <v>41078</v>
      </c>
      <c r="B11213" t="s">
        <v>25332</v>
      </c>
      <c r="C11213">
        <f>0</f>
        <v>0</v>
      </c>
      <c r="D11213">
        <v>0.79248521498199997</v>
      </c>
      <c r="E11213">
        <v>4.8</v>
      </c>
    </row>
    <row r="11214" spans="1:5">
      <c r="A11214" t="s">
        <v>41078</v>
      </c>
      <c r="B11214" t="s">
        <v>25328</v>
      </c>
      <c r="C11214">
        <f>0</f>
        <v>0</v>
      </c>
      <c r="D11214">
        <v>0.79248521498199997</v>
      </c>
      <c r="E11214">
        <v>4.8</v>
      </c>
    </row>
    <row r="11215" spans="1:5">
      <c r="A11215" t="s">
        <v>41079</v>
      </c>
      <c r="B11215" t="s">
        <v>18958</v>
      </c>
      <c r="C11215">
        <v>0.37230027773699997</v>
      </c>
      <c r="D11215">
        <v>0.99849628901300003</v>
      </c>
      <c r="E11215">
        <v>23.754000000000001</v>
      </c>
    </row>
    <row r="11216" spans="1:5">
      <c r="A11216" t="s">
        <v>41079</v>
      </c>
      <c r="B11216" t="s">
        <v>18961</v>
      </c>
      <c r="C11216">
        <f>0</f>
        <v>0</v>
      </c>
      <c r="D11216">
        <v>0.99849628901300003</v>
      </c>
      <c r="E11216">
        <v>23.754000000000001</v>
      </c>
    </row>
    <row r="11217" spans="1:5">
      <c r="A11217" t="s">
        <v>41079</v>
      </c>
      <c r="B11217" t="s">
        <v>18970</v>
      </c>
      <c r="C11217">
        <f>0</f>
        <v>0</v>
      </c>
      <c r="D11217">
        <v>0.99849628901300003</v>
      </c>
      <c r="E11217">
        <v>23.754000000000001</v>
      </c>
    </row>
    <row r="11218" spans="1:5">
      <c r="A11218" t="s">
        <v>41079</v>
      </c>
      <c r="B11218" t="s">
        <v>18969</v>
      </c>
      <c r="C11218">
        <f>0.0201678619301</f>
        <v>2.0167861930099999E-2</v>
      </c>
      <c r="D11218">
        <v>0.99849628901300003</v>
      </c>
      <c r="E11218">
        <v>23.754000000000001</v>
      </c>
    </row>
    <row r="11219" spans="1:5">
      <c r="A11219" t="s">
        <v>41079</v>
      </c>
      <c r="B11219" t="s">
        <v>18968</v>
      </c>
      <c r="C11219">
        <v>0.23707941460199999</v>
      </c>
      <c r="D11219">
        <v>0.99849628901300003</v>
      </c>
      <c r="E11219">
        <v>23.754000000000001</v>
      </c>
    </row>
    <row r="11220" spans="1:5">
      <c r="A11220" t="s">
        <v>41079</v>
      </c>
      <c r="B11220" t="s">
        <v>18964</v>
      </c>
      <c r="C11220">
        <f>0.067193705619</f>
        <v>6.7193705618999996E-2</v>
      </c>
      <c r="D11220">
        <v>0.99849628901300003</v>
      </c>
      <c r="E11220">
        <v>23.754000000000001</v>
      </c>
    </row>
    <row r="11221" spans="1:5">
      <c r="A11221" t="s">
        <v>41079</v>
      </c>
      <c r="B11221" t="s">
        <v>41080</v>
      </c>
      <c r="C11221">
        <v>0.228272805499</v>
      </c>
      <c r="D11221">
        <v>0.99849628901300003</v>
      </c>
      <c r="E11221">
        <v>23.754000000000001</v>
      </c>
    </row>
    <row r="11222" spans="1:5">
      <c r="A11222" t="s">
        <v>41079</v>
      </c>
      <c r="B11222" t="s">
        <v>18959</v>
      </c>
      <c r="C11222">
        <v>0.69965203254800001</v>
      </c>
      <c r="D11222">
        <v>0.99849628901300003</v>
      </c>
      <c r="E11222">
        <v>23.754000000000001</v>
      </c>
    </row>
    <row r="11223" spans="1:5">
      <c r="A11223" t="s">
        <v>41079</v>
      </c>
      <c r="B11223" t="s">
        <v>18971</v>
      </c>
      <c r="C11223">
        <v>0.32860193957599998</v>
      </c>
      <c r="D11223">
        <v>0.99849628901300003</v>
      </c>
      <c r="E11223">
        <v>23.754000000000001</v>
      </c>
    </row>
    <row r="11224" spans="1:5">
      <c r="A11224" t="s">
        <v>41079</v>
      </c>
      <c r="B11224" t="s">
        <v>18965</v>
      </c>
      <c r="C11224">
        <f>0.094048798247</f>
        <v>9.4048798247000007E-2</v>
      </c>
      <c r="D11224">
        <v>0.99849628901300003</v>
      </c>
      <c r="E11224">
        <v>23.754000000000001</v>
      </c>
    </row>
    <row r="11225" spans="1:5">
      <c r="A11225" t="s">
        <v>41079</v>
      </c>
      <c r="B11225" t="s">
        <v>18957</v>
      </c>
      <c r="C11225">
        <v>0</v>
      </c>
      <c r="D11225">
        <v>0.99849628901300003</v>
      </c>
      <c r="E11225">
        <v>23.754000000000001</v>
      </c>
    </row>
    <row r="11226" spans="1:5">
      <c r="A11226" t="s">
        <v>41081</v>
      </c>
      <c r="B11226" t="s">
        <v>41082</v>
      </c>
      <c r="C11226">
        <v>0</v>
      </c>
      <c r="D11226" t="s">
        <v>106</v>
      </c>
      <c r="E11226">
        <v>12.048</v>
      </c>
    </row>
    <row r="11227" spans="1:5">
      <c r="A11227" t="s">
        <v>41081</v>
      </c>
      <c r="B11227" t="s">
        <v>41083</v>
      </c>
      <c r="C11227">
        <v>0</v>
      </c>
      <c r="D11227" t="s">
        <v>106</v>
      </c>
      <c r="E11227">
        <v>12.048</v>
      </c>
    </row>
    <row r="11228" spans="1:5">
      <c r="A11228" t="s">
        <v>41084</v>
      </c>
      <c r="B11228" t="s">
        <v>26925</v>
      </c>
      <c r="C11228">
        <v>0.72211835175500005</v>
      </c>
      <c r="D11228">
        <v>0.94715709560000005</v>
      </c>
      <c r="E11228">
        <v>0</v>
      </c>
    </row>
    <row r="11229" spans="1:5">
      <c r="A11229" t="s">
        <v>41084</v>
      </c>
      <c r="B11229" t="s">
        <v>26926</v>
      </c>
      <c r="C11229">
        <f>-1.08139161993</f>
        <v>-1.08139161993</v>
      </c>
      <c r="D11229">
        <v>0.94715709560000005</v>
      </c>
      <c r="E11229">
        <v>0</v>
      </c>
    </row>
    <row r="11230" spans="1:5">
      <c r="A11230" t="s">
        <v>41084</v>
      </c>
      <c r="B11230" t="s">
        <v>41085</v>
      </c>
      <c r="C11230">
        <f>0.0803449545255</f>
        <v>8.0344954525500001E-2</v>
      </c>
      <c r="D11230">
        <v>0.94715709560000005</v>
      </c>
      <c r="E11230">
        <v>0</v>
      </c>
    </row>
    <row r="11231" spans="1:5">
      <c r="A11231" t="s">
        <v>41086</v>
      </c>
      <c r="B11231" t="s">
        <v>34481</v>
      </c>
      <c r="C11231">
        <v>0.84238657208400003</v>
      </c>
      <c r="D11231">
        <v>0.98020454551299996</v>
      </c>
      <c r="E11231">
        <v>0</v>
      </c>
    </row>
    <row r="11232" spans="1:5">
      <c r="A11232" t="s">
        <v>41086</v>
      </c>
      <c r="B11232" t="s">
        <v>34482</v>
      </c>
      <c r="C11232">
        <v>0.17437682579</v>
      </c>
      <c r="D11232">
        <v>0.98020454551299996</v>
      </c>
      <c r="E11232">
        <v>0</v>
      </c>
    </row>
    <row r="11233" spans="1:5">
      <c r="A11233" t="s">
        <v>41086</v>
      </c>
      <c r="B11233" t="s">
        <v>34483</v>
      </c>
      <c r="C11233">
        <v>0.126847512552</v>
      </c>
      <c r="D11233">
        <v>0.98020454551299996</v>
      </c>
      <c r="E11233">
        <v>0</v>
      </c>
    </row>
    <row r="11234" spans="1:5">
      <c r="A11234" t="s">
        <v>41086</v>
      </c>
      <c r="B11234" t="s">
        <v>34480</v>
      </c>
      <c r="C11234">
        <f>0.274208212403</f>
        <v>0.27420821240299997</v>
      </c>
      <c r="D11234">
        <v>0.98020454551299996</v>
      </c>
      <c r="E11234">
        <v>0</v>
      </c>
    </row>
    <row r="11235" spans="1:5">
      <c r="A11235" t="s">
        <v>41086</v>
      </c>
      <c r="B11235" t="s">
        <v>34484</v>
      </c>
      <c r="C11235">
        <f>0.04034508287</f>
        <v>4.034508287E-2</v>
      </c>
      <c r="D11235">
        <v>0.98020454551299996</v>
      </c>
      <c r="E11235">
        <v>0</v>
      </c>
    </row>
    <row r="11236" spans="1:5">
      <c r="A11236" t="s">
        <v>41087</v>
      </c>
      <c r="B11236" t="s">
        <v>18757</v>
      </c>
      <c r="C11236">
        <f>0</f>
        <v>0</v>
      </c>
      <c r="D11236" t="s">
        <v>106</v>
      </c>
      <c r="E11236">
        <v>0.24</v>
      </c>
    </row>
    <row r="11237" spans="1:5">
      <c r="A11237" t="s">
        <v>41087</v>
      </c>
      <c r="B11237" t="s">
        <v>18758</v>
      </c>
      <c r="C11237">
        <f>0</f>
        <v>0</v>
      </c>
      <c r="D11237" t="s">
        <v>106</v>
      </c>
      <c r="E11237">
        <v>0.24</v>
      </c>
    </row>
    <row r="11238" spans="1:5">
      <c r="A11238" t="s">
        <v>41088</v>
      </c>
      <c r="B11238" t="s">
        <v>30340</v>
      </c>
      <c r="C11238">
        <v>7.81211258292E-2</v>
      </c>
      <c r="D11238">
        <v>0.51817066784200005</v>
      </c>
      <c r="E11238">
        <v>24</v>
      </c>
    </row>
    <row r="11239" spans="1:5">
      <c r="A11239" t="s">
        <v>41088</v>
      </c>
      <c r="B11239" t="s">
        <v>30341</v>
      </c>
      <c r="C11239">
        <v>0.35751657549600002</v>
      </c>
      <c r="D11239">
        <v>0.51817066784200005</v>
      </c>
      <c r="E11239">
        <v>24</v>
      </c>
    </row>
    <row r="11240" spans="1:5">
      <c r="A11240" t="s">
        <v>41089</v>
      </c>
      <c r="B11240" t="s">
        <v>41090</v>
      </c>
      <c r="C11240">
        <v>0.33125548897899998</v>
      </c>
      <c r="D11240">
        <v>0.71195351363500003</v>
      </c>
      <c r="E11240">
        <v>5.82</v>
      </c>
    </row>
    <row r="11241" spans="1:5">
      <c r="A11241" t="s">
        <v>41089</v>
      </c>
      <c r="B11241" t="s">
        <v>41091</v>
      </c>
      <c r="C11241">
        <v>0.14481680970899999</v>
      </c>
      <c r="D11241">
        <v>0.71195351363500003</v>
      </c>
      <c r="E11241">
        <v>5.82</v>
      </c>
    </row>
    <row r="11242" spans="1:5">
      <c r="A11242" t="s">
        <v>41089</v>
      </c>
      <c r="B11242" t="s">
        <v>41092</v>
      </c>
      <c r="C11242">
        <f>0</f>
        <v>0</v>
      </c>
      <c r="D11242">
        <v>0.71195351363500003</v>
      </c>
      <c r="E11242">
        <v>5.82</v>
      </c>
    </row>
    <row r="11243" spans="1:5">
      <c r="A11243" t="s">
        <v>41089</v>
      </c>
      <c r="B11243" t="s">
        <v>41093</v>
      </c>
      <c r="C11243">
        <v>0.13884916675799999</v>
      </c>
      <c r="D11243">
        <v>0.71195351363500003</v>
      </c>
      <c r="E11243">
        <v>5.82</v>
      </c>
    </row>
    <row r="11244" spans="1:5">
      <c r="A11244" t="s">
        <v>41094</v>
      </c>
      <c r="B11244" t="s">
        <v>25496</v>
      </c>
      <c r="C11244">
        <v>0.31193359138299998</v>
      </c>
      <c r="D11244">
        <v>0.95725573939300002</v>
      </c>
      <c r="E11244">
        <v>2.4780000000000002</v>
      </c>
    </row>
    <row r="11245" spans="1:5">
      <c r="A11245" t="s">
        <v>41094</v>
      </c>
      <c r="B11245" t="s">
        <v>25512</v>
      </c>
      <c r="C11245">
        <f>0.596024944531</f>
        <v>0.59602494453099997</v>
      </c>
      <c r="D11245">
        <v>0.95725573939300002</v>
      </c>
      <c r="E11245">
        <v>2.4780000000000002</v>
      </c>
    </row>
    <row r="11246" spans="1:5">
      <c r="A11246" t="s">
        <v>41094</v>
      </c>
      <c r="B11246" t="s">
        <v>25515</v>
      </c>
      <c r="C11246">
        <v>0.59210207845899998</v>
      </c>
      <c r="D11246">
        <v>0.95725573939300002</v>
      </c>
      <c r="E11246">
        <v>2.4780000000000002</v>
      </c>
    </row>
    <row r="11247" spans="1:5">
      <c r="A11247" t="s">
        <v>41094</v>
      </c>
      <c r="B11247" t="s">
        <v>25514</v>
      </c>
      <c r="C11247">
        <v>0.29486691014799998</v>
      </c>
      <c r="D11247">
        <v>0.95725573939300002</v>
      </c>
      <c r="E11247">
        <v>2.4780000000000002</v>
      </c>
    </row>
    <row r="11248" spans="1:5">
      <c r="A11248" t="s">
        <v>41094</v>
      </c>
      <c r="B11248" t="s">
        <v>25505</v>
      </c>
      <c r="C11248">
        <v>3.2944719369000001E-2</v>
      </c>
      <c r="D11248">
        <v>0.95725573939300002</v>
      </c>
      <c r="E11248">
        <v>2.4780000000000002</v>
      </c>
    </row>
    <row r="11249" spans="1:5">
      <c r="A11249" t="s">
        <v>41095</v>
      </c>
      <c r="B11249" t="s">
        <v>41096</v>
      </c>
      <c r="C11249">
        <v>0</v>
      </c>
      <c r="D11249" t="s">
        <v>106</v>
      </c>
      <c r="E11249">
        <v>16.295999999999999</v>
      </c>
    </row>
    <row r="11250" spans="1:5">
      <c r="A11250" t="s">
        <v>41095</v>
      </c>
      <c r="B11250" t="s">
        <v>41097</v>
      </c>
      <c r="C11250">
        <v>0</v>
      </c>
      <c r="D11250" t="s">
        <v>106</v>
      </c>
      <c r="E11250">
        <v>16.295999999999999</v>
      </c>
    </row>
    <row r="11251" spans="1:5">
      <c r="A11251" t="s">
        <v>41098</v>
      </c>
      <c r="B11251" t="s">
        <v>41099</v>
      </c>
      <c r="C11251">
        <v>0.39550208467100001</v>
      </c>
      <c r="D11251">
        <v>0.98948666797600004</v>
      </c>
      <c r="E11251">
        <v>1.8959999999999999</v>
      </c>
    </row>
    <row r="11252" spans="1:5">
      <c r="A11252" t="s">
        <v>41098</v>
      </c>
      <c r="B11252" t="s">
        <v>41100</v>
      </c>
      <c r="C11252">
        <v>1.31379290621</v>
      </c>
      <c r="D11252">
        <v>0.98948666797600004</v>
      </c>
      <c r="E11252">
        <v>1.8959999999999999</v>
      </c>
    </row>
    <row r="11253" spans="1:5">
      <c r="A11253" t="s">
        <v>41098</v>
      </c>
      <c r="B11253" t="s">
        <v>41101</v>
      </c>
      <c r="C11253">
        <f>0.199552280289</f>
        <v>0.19955228028899999</v>
      </c>
      <c r="D11253">
        <v>0.98948666797600004</v>
      </c>
      <c r="E11253">
        <v>1.8959999999999999</v>
      </c>
    </row>
    <row r="11254" spans="1:5">
      <c r="A11254" t="s">
        <v>41098</v>
      </c>
      <c r="B11254" t="s">
        <v>41102</v>
      </c>
      <c r="C11254">
        <v>0.77494083859399998</v>
      </c>
      <c r="D11254">
        <v>0.98948666797600004</v>
      </c>
      <c r="E11254">
        <v>1.8959999999999999</v>
      </c>
    </row>
    <row r="11255" spans="1:5">
      <c r="A11255" t="s">
        <v>41098</v>
      </c>
      <c r="B11255" t="s">
        <v>41103</v>
      </c>
      <c r="C11255">
        <f>0.677285328465</f>
        <v>0.677285328465</v>
      </c>
      <c r="D11255">
        <v>0.98948666797600004</v>
      </c>
      <c r="E11255">
        <v>1.8959999999999999</v>
      </c>
    </row>
    <row r="11256" spans="1:5">
      <c r="A11256" t="s">
        <v>41098</v>
      </c>
      <c r="B11256" t="s">
        <v>41104</v>
      </c>
      <c r="C11256">
        <f>0.0565385903456</f>
        <v>5.65385903456E-2</v>
      </c>
      <c r="D11256">
        <v>0.98948666797600004</v>
      </c>
      <c r="E11256">
        <v>1.8959999999999999</v>
      </c>
    </row>
    <row r="11257" spans="1:5">
      <c r="A11257" t="s">
        <v>41105</v>
      </c>
      <c r="B11257" t="s">
        <v>41106</v>
      </c>
      <c r="C11257">
        <v>0.44641381701799998</v>
      </c>
      <c r="D11257">
        <v>0.85177037960500002</v>
      </c>
      <c r="E11257">
        <v>5.1239999999999997</v>
      </c>
    </row>
    <row r="11258" spans="1:5">
      <c r="A11258" t="s">
        <v>41105</v>
      </c>
      <c r="B11258" t="s">
        <v>41107</v>
      </c>
      <c r="C11258">
        <f>0</f>
        <v>0</v>
      </c>
      <c r="D11258">
        <v>0.85177037960500002</v>
      </c>
      <c r="E11258">
        <v>5.1239999999999997</v>
      </c>
    </row>
    <row r="11259" spans="1:5">
      <c r="A11259" t="s">
        <v>41105</v>
      </c>
      <c r="B11259" t="s">
        <v>41108</v>
      </c>
      <c r="C11259">
        <v>0.29400591101099999</v>
      </c>
      <c r="D11259">
        <v>0.85177037960500002</v>
      </c>
      <c r="E11259">
        <v>5.1239999999999997</v>
      </c>
    </row>
    <row r="11260" spans="1:5">
      <c r="A11260" t="s">
        <v>41109</v>
      </c>
      <c r="B11260" t="s">
        <v>1461</v>
      </c>
      <c r="C11260">
        <f>0</f>
        <v>0</v>
      </c>
      <c r="D11260" t="s">
        <v>106</v>
      </c>
      <c r="E11260">
        <v>3.972</v>
      </c>
    </row>
    <row r="11261" spans="1:5">
      <c r="A11261" t="s">
        <v>41109</v>
      </c>
      <c r="B11261" t="s">
        <v>1462</v>
      </c>
      <c r="C11261">
        <v>0</v>
      </c>
      <c r="D11261" t="s">
        <v>106</v>
      </c>
      <c r="E11261">
        <v>3.972</v>
      </c>
    </row>
    <row r="11262" spans="1:5">
      <c r="A11262" t="s">
        <v>41110</v>
      </c>
      <c r="B11262" t="s">
        <v>7913</v>
      </c>
      <c r="C11262">
        <v>0</v>
      </c>
      <c r="D11262" t="s">
        <v>106</v>
      </c>
      <c r="E11262">
        <v>24</v>
      </c>
    </row>
    <row r="11263" spans="1:5">
      <c r="A11263" t="s">
        <v>41110</v>
      </c>
      <c r="B11263" t="s">
        <v>7920</v>
      </c>
      <c r="C11263">
        <f>0</f>
        <v>0</v>
      </c>
      <c r="D11263" t="s">
        <v>106</v>
      </c>
      <c r="E11263">
        <v>24</v>
      </c>
    </row>
    <row r="11264" spans="1:5">
      <c r="A11264" t="s">
        <v>41111</v>
      </c>
      <c r="B11264" t="s">
        <v>31183</v>
      </c>
      <c r="C11264">
        <f>0</f>
        <v>0</v>
      </c>
      <c r="D11264">
        <v>0.769340458048</v>
      </c>
      <c r="E11264">
        <v>24</v>
      </c>
    </row>
    <row r="11265" spans="1:5">
      <c r="A11265" t="s">
        <v>41111</v>
      </c>
      <c r="B11265" t="s">
        <v>31186</v>
      </c>
      <c r="C11265">
        <v>0</v>
      </c>
      <c r="D11265">
        <v>0.769340458048</v>
      </c>
      <c r="E11265">
        <v>24</v>
      </c>
    </row>
    <row r="11266" spans="1:5">
      <c r="A11266" t="s">
        <v>41111</v>
      </c>
      <c r="B11266" t="s">
        <v>31185</v>
      </c>
      <c r="C11266">
        <v>0.25093045804800002</v>
      </c>
      <c r="D11266">
        <v>0.769340458048</v>
      </c>
      <c r="E11266">
        <v>24</v>
      </c>
    </row>
    <row r="11267" spans="1:5">
      <c r="A11267" t="s">
        <v>41111</v>
      </c>
      <c r="B11267" t="s">
        <v>31184</v>
      </c>
      <c r="C11267">
        <v>0</v>
      </c>
      <c r="D11267">
        <v>0.769340458048</v>
      </c>
      <c r="E11267">
        <v>24</v>
      </c>
    </row>
    <row r="11268" spans="1:5">
      <c r="A11268" t="s">
        <v>41111</v>
      </c>
      <c r="B11268" t="s">
        <v>31188</v>
      </c>
      <c r="C11268">
        <v>0</v>
      </c>
      <c r="D11268">
        <v>0.769340458048</v>
      </c>
      <c r="E11268">
        <v>24</v>
      </c>
    </row>
    <row r="11269" spans="1:5">
      <c r="A11269" t="s">
        <v>41112</v>
      </c>
      <c r="B11269" t="s">
        <v>13530</v>
      </c>
      <c r="C11269">
        <v>9.1921586274599995E-2</v>
      </c>
      <c r="D11269">
        <v>0.45193158627500002</v>
      </c>
      <c r="E11269">
        <v>24</v>
      </c>
    </row>
    <row r="11270" spans="1:5">
      <c r="A11270" t="s">
        <v>41112</v>
      </c>
      <c r="B11270" t="s">
        <v>13533</v>
      </c>
      <c r="C11270">
        <f>0</f>
        <v>0</v>
      </c>
      <c r="D11270">
        <v>0.45193158627500002</v>
      </c>
      <c r="E11270">
        <v>24</v>
      </c>
    </row>
    <row r="11271" spans="1:5">
      <c r="A11271" t="s">
        <v>41113</v>
      </c>
      <c r="B11271" t="s">
        <v>12190</v>
      </c>
      <c r="C11271">
        <f>0.431084550678</f>
        <v>0.431084550678</v>
      </c>
      <c r="D11271">
        <v>0.801814826491</v>
      </c>
      <c r="E11271">
        <v>0</v>
      </c>
    </row>
    <row r="11272" spans="1:5">
      <c r="A11272" t="s">
        <v>41113</v>
      </c>
      <c r="B11272" t="s">
        <v>12189</v>
      </c>
      <c r="C11272">
        <v>0.73448059709500002</v>
      </c>
      <c r="D11272">
        <v>0.801814826491</v>
      </c>
      <c r="E11272">
        <v>0</v>
      </c>
    </row>
    <row r="11273" spans="1:5">
      <c r="A11273" t="s">
        <v>41114</v>
      </c>
      <c r="B11273" t="s">
        <v>10685</v>
      </c>
      <c r="C11273">
        <v>0</v>
      </c>
      <c r="D11273">
        <v>0.980968503529</v>
      </c>
      <c r="E11273">
        <v>10.715999999999999</v>
      </c>
    </row>
    <row r="11274" spans="1:5">
      <c r="A11274" t="s">
        <v>41114</v>
      </c>
      <c r="B11274" t="s">
        <v>10698</v>
      </c>
      <c r="C11274">
        <f>0.600412307937</f>
        <v>0.60041230793699996</v>
      </c>
      <c r="D11274">
        <v>0.980968503529</v>
      </c>
      <c r="E11274">
        <v>10.715999999999999</v>
      </c>
    </row>
    <row r="11275" spans="1:5">
      <c r="A11275" t="s">
        <v>41114</v>
      </c>
      <c r="B11275" t="s">
        <v>10700</v>
      </c>
      <c r="C11275">
        <v>0.89754481250100004</v>
      </c>
      <c r="D11275">
        <v>0.980968503529</v>
      </c>
      <c r="E11275">
        <v>10.715999999999999</v>
      </c>
    </row>
    <row r="11276" spans="1:5">
      <c r="A11276" t="s">
        <v>41114</v>
      </c>
      <c r="B11276" t="s">
        <v>10696</v>
      </c>
      <c r="C11276">
        <f>0</f>
        <v>0</v>
      </c>
      <c r="D11276">
        <v>0.980968503529</v>
      </c>
      <c r="E11276">
        <v>10.715999999999999</v>
      </c>
    </row>
    <row r="11277" spans="1:5">
      <c r="A11277" t="s">
        <v>41114</v>
      </c>
      <c r="B11277" t="s">
        <v>10701</v>
      </c>
      <c r="C11277">
        <f>0</f>
        <v>0</v>
      </c>
      <c r="D11277">
        <v>0.980968503529</v>
      </c>
      <c r="E11277">
        <v>10.715999999999999</v>
      </c>
    </row>
    <row r="11278" spans="1:5">
      <c r="A11278" t="s">
        <v>41114</v>
      </c>
      <c r="B11278" t="s">
        <v>10699</v>
      </c>
      <c r="C11278">
        <f>0</f>
        <v>0</v>
      </c>
      <c r="D11278">
        <v>0.980968503529</v>
      </c>
      <c r="E11278">
        <v>10.715999999999999</v>
      </c>
    </row>
    <row r="11279" spans="1:5">
      <c r="A11279" t="s">
        <v>41114</v>
      </c>
      <c r="B11279" t="s">
        <v>10695</v>
      </c>
      <c r="C11279">
        <v>0.265052562459</v>
      </c>
      <c r="D11279">
        <v>0.980968503529</v>
      </c>
      <c r="E11279">
        <v>10.715999999999999</v>
      </c>
    </row>
    <row r="11280" spans="1:5">
      <c r="A11280" t="s">
        <v>41114</v>
      </c>
      <c r="B11280" t="s">
        <v>10702</v>
      </c>
      <c r="C11280">
        <v>0</v>
      </c>
      <c r="D11280">
        <v>0.980968503529</v>
      </c>
      <c r="E11280">
        <v>10.715999999999999</v>
      </c>
    </row>
    <row r="11281" spans="1:5">
      <c r="A11281" t="s">
        <v>41114</v>
      </c>
      <c r="B11281" t="s">
        <v>10703</v>
      </c>
      <c r="C11281">
        <v>0</v>
      </c>
      <c r="D11281">
        <v>0.980968503529</v>
      </c>
      <c r="E11281">
        <v>10.715999999999999</v>
      </c>
    </row>
    <row r="11282" spans="1:5">
      <c r="A11282" t="s">
        <v>41114</v>
      </c>
      <c r="B11282" t="s">
        <v>10690</v>
      </c>
      <c r="C11282">
        <f>0</f>
        <v>0</v>
      </c>
      <c r="D11282">
        <v>0.980968503529</v>
      </c>
      <c r="E11282">
        <v>10.715999999999999</v>
      </c>
    </row>
    <row r="11283" spans="1:5">
      <c r="A11283" t="s">
        <v>41114</v>
      </c>
      <c r="B11283" t="s">
        <v>10693</v>
      </c>
      <c r="C11283">
        <f>0</f>
        <v>0</v>
      </c>
      <c r="D11283">
        <v>0.980968503529</v>
      </c>
      <c r="E11283">
        <v>10.715999999999999</v>
      </c>
    </row>
    <row r="11284" spans="1:5">
      <c r="A11284" t="s">
        <v>41114</v>
      </c>
      <c r="B11284" t="s">
        <v>10688</v>
      </c>
      <c r="C11284">
        <f>0.106661600802</f>
        <v>0.106661600802</v>
      </c>
      <c r="D11284">
        <v>0.980968503529</v>
      </c>
      <c r="E11284">
        <v>10.715999999999999</v>
      </c>
    </row>
    <row r="11285" spans="1:5">
      <c r="A11285" t="s">
        <v>41115</v>
      </c>
      <c r="B11285" t="s">
        <v>24311</v>
      </c>
      <c r="C11285">
        <f>0</f>
        <v>0</v>
      </c>
      <c r="D11285">
        <v>0.97698114813299997</v>
      </c>
      <c r="E11285">
        <v>3.3180000000000001</v>
      </c>
    </row>
    <row r="11286" spans="1:5">
      <c r="A11286" t="s">
        <v>41115</v>
      </c>
      <c r="B11286" t="s">
        <v>24313</v>
      </c>
      <c r="C11286">
        <v>0.960550640457</v>
      </c>
      <c r="D11286">
        <v>0.97698114813299997</v>
      </c>
      <c r="E11286">
        <v>3.3180000000000001</v>
      </c>
    </row>
    <row r="11287" spans="1:5">
      <c r="A11287" t="s">
        <v>41115</v>
      </c>
      <c r="B11287" t="s">
        <v>24318</v>
      </c>
      <c r="C11287">
        <f>0</f>
        <v>0</v>
      </c>
      <c r="D11287">
        <v>0.97698114813299997</v>
      </c>
      <c r="E11287">
        <v>3.3180000000000001</v>
      </c>
    </row>
    <row r="11288" spans="1:5">
      <c r="A11288" t="s">
        <v>41115</v>
      </c>
      <c r="B11288" t="s">
        <v>24316</v>
      </c>
      <c r="C11288">
        <v>0.27928522293300001</v>
      </c>
      <c r="D11288">
        <v>0.97698114813299997</v>
      </c>
      <c r="E11288">
        <v>3.3180000000000001</v>
      </c>
    </row>
    <row r="11289" spans="1:5">
      <c r="A11289" t="s">
        <v>41115</v>
      </c>
      <c r="B11289" t="s">
        <v>24322</v>
      </c>
      <c r="C11289">
        <f>0.139381561091</f>
        <v>0.139381561091</v>
      </c>
      <c r="D11289">
        <v>0.97698114813299997</v>
      </c>
      <c r="E11289">
        <v>3.3180000000000001</v>
      </c>
    </row>
    <row r="11290" spans="1:5">
      <c r="A11290" t="s">
        <v>41115</v>
      </c>
      <c r="B11290" t="s">
        <v>24315</v>
      </c>
      <c r="C11290">
        <f>0</f>
        <v>0</v>
      </c>
      <c r="D11290">
        <v>0.97698114813299997</v>
      </c>
      <c r="E11290">
        <v>3.3180000000000001</v>
      </c>
    </row>
    <row r="11291" spans="1:5">
      <c r="A11291" t="s">
        <v>41115</v>
      </c>
      <c r="B11291" t="s">
        <v>24314</v>
      </c>
      <c r="C11291">
        <f>0</f>
        <v>0</v>
      </c>
      <c r="D11291">
        <v>0.97698114813299997</v>
      </c>
      <c r="E11291">
        <v>3.3180000000000001</v>
      </c>
    </row>
    <row r="11292" spans="1:5">
      <c r="A11292" t="s">
        <v>41115</v>
      </c>
      <c r="B11292" t="s">
        <v>24319</v>
      </c>
      <c r="C11292">
        <f>0</f>
        <v>0</v>
      </c>
      <c r="D11292">
        <v>0.97698114813299997</v>
      </c>
      <c r="E11292">
        <v>3.3180000000000001</v>
      </c>
    </row>
    <row r="11293" spans="1:5">
      <c r="A11293" t="s">
        <v>41115</v>
      </c>
      <c r="B11293" t="s">
        <v>24320</v>
      </c>
      <c r="C11293">
        <f>0.254975656776</f>
        <v>0.25497565677599998</v>
      </c>
      <c r="D11293">
        <v>0.97698114813299997</v>
      </c>
      <c r="E11293">
        <v>3.3180000000000001</v>
      </c>
    </row>
    <row r="11294" spans="1:5">
      <c r="A11294" t="s">
        <v>41115</v>
      </c>
      <c r="B11294" t="s">
        <v>24312</v>
      </c>
      <c r="C11294">
        <f>0</f>
        <v>0</v>
      </c>
      <c r="D11294">
        <v>0.97698114813299997</v>
      </c>
      <c r="E11294">
        <v>3.3180000000000001</v>
      </c>
    </row>
    <row r="11295" spans="1:5">
      <c r="A11295" t="s">
        <v>41115</v>
      </c>
      <c r="B11295" t="s">
        <v>24323</v>
      </c>
      <c r="C11295">
        <f>0</f>
        <v>0</v>
      </c>
      <c r="D11295">
        <v>0.97698114813299997</v>
      </c>
      <c r="E11295">
        <v>3.3180000000000001</v>
      </c>
    </row>
    <row r="11296" spans="1:5">
      <c r="A11296" t="s">
        <v>41116</v>
      </c>
      <c r="B11296" t="s">
        <v>23663</v>
      </c>
      <c r="C11296">
        <v>0</v>
      </c>
      <c r="D11296">
        <v>0.90408292559500003</v>
      </c>
      <c r="E11296">
        <v>3.8759999999999999</v>
      </c>
    </row>
    <row r="11297" spans="1:5">
      <c r="A11297" t="s">
        <v>41116</v>
      </c>
      <c r="B11297" t="s">
        <v>23661</v>
      </c>
      <c r="C11297">
        <f>0</f>
        <v>0</v>
      </c>
      <c r="D11297">
        <v>0.90408292559500003</v>
      </c>
      <c r="E11297">
        <v>3.8759999999999999</v>
      </c>
    </row>
    <row r="11298" spans="1:5">
      <c r="A11298" t="s">
        <v>41116</v>
      </c>
      <c r="B11298" t="s">
        <v>23662</v>
      </c>
      <c r="C11298">
        <f>0</f>
        <v>0</v>
      </c>
      <c r="D11298">
        <v>0.90408292559500003</v>
      </c>
      <c r="E11298">
        <v>3.8759999999999999</v>
      </c>
    </row>
    <row r="11299" spans="1:5">
      <c r="A11299" t="s">
        <v>41116</v>
      </c>
      <c r="B11299" t="s">
        <v>23664</v>
      </c>
      <c r="C11299">
        <v>0.309717878226</v>
      </c>
      <c r="D11299">
        <v>0.90408292559500003</v>
      </c>
      <c r="E11299">
        <v>3.8759999999999999</v>
      </c>
    </row>
    <row r="11300" spans="1:5">
      <c r="A11300" t="s">
        <v>41116</v>
      </c>
      <c r="B11300" t="s">
        <v>23669</v>
      </c>
      <c r="C11300">
        <v>3.3768180100699999E-2</v>
      </c>
      <c r="D11300">
        <v>0.90408292559500003</v>
      </c>
      <c r="E11300">
        <v>3.8759999999999999</v>
      </c>
    </row>
    <row r="11301" spans="1:5">
      <c r="A11301" t="s">
        <v>41116</v>
      </c>
      <c r="B11301" t="s">
        <v>23666</v>
      </c>
      <c r="C11301">
        <v>0.65330488531700004</v>
      </c>
      <c r="D11301">
        <v>0.90408292559500003</v>
      </c>
      <c r="E11301">
        <v>3.8759999999999999</v>
      </c>
    </row>
    <row r="11302" spans="1:5">
      <c r="A11302" t="s">
        <v>41117</v>
      </c>
      <c r="B11302" t="s">
        <v>41118</v>
      </c>
      <c r="C11302">
        <v>0.192782230153</v>
      </c>
      <c r="D11302">
        <v>0.60239223015300003</v>
      </c>
      <c r="E11302">
        <v>24</v>
      </c>
    </row>
    <row r="11303" spans="1:5">
      <c r="A11303" t="s">
        <v>41117</v>
      </c>
      <c r="B11303" t="s">
        <v>41119</v>
      </c>
      <c r="C11303">
        <v>0</v>
      </c>
      <c r="D11303">
        <v>0.60239223015300003</v>
      </c>
      <c r="E11303">
        <v>24</v>
      </c>
    </row>
    <row r="11304" spans="1:5">
      <c r="A11304" t="s">
        <v>41120</v>
      </c>
      <c r="B11304" t="s">
        <v>41121</v>
      </c>
      <c r="C11304">
        <v>0.53773662985299997</v>
      </c>
      <c r="D11304">
        <v>0.94949743948700005</v>
      </c>
      <c r="E11304">
        <v>24</v>
      </c>
    </row>
    <row r="11305" spans="1:5">
      <c r="A11305" t="s">
        <v>41120</v>
      </c>
      <c r="B11305" t="s">
        <v>41122</v>
      </c>
      <c r="C11305">
        <v>0.600355826313</v>
      </c>
      <c r="D11305">
        <v>0.94949743948700005</v>
      </c>
      <c r="E11305">
        <v>24</v>
      </c>
    </row>
    <row r="11306" spans="1:5">
      <c r="A11306" t="s">
        <v>41123</v>
      </c>
      <c r="B11306" t="s">
        <v>41124</v>
      </c>
      <c r="C11306">
        <v>0</v>
      </c>
      <c r="D11306">
        <v>0.90105165613100002</v>
      </c>
      <c r="E11306">
        <v>6.8040000000000003</v>
      </c>
    </row>
    <row r="11307" spans="1:5">
      <c r="A11307" t="s">
        <v>41123</v>
      </c>
      <c r="B11307" t="s">
        <v>41125</v>
      </c>
      <c r="C11307">
        <f>0</f>
        <v>0</v>
      </c>
      <c r="D11307">
        <v>0.90105165613100002</v>
      </c>
      <c r="E11307">
        <v>6.8040000000000003</v>
      </c>
    </row>
    <row r="11308" spans="1:5">
      <c r="A11308" t="s">
        <v>41123</v>
      </c>
      <c r="B11308" t="s">
        <v>41126</v>
      </c>
      <c r="C11308">
        <f>0</f>
        <v>0</v>
      </c>
      <c r="D11308">
        <v>0.90105165613100002</v>
      </c>
      <c r="E11308">
        <v>6.8040000000000003</v>
      </c>
    </row>
    <row r="11309" spans="1:5">
      <c r="A11309" t="s">
        <v>41123</v>
      </c>
      <c r="B11309" t="s">
        <v>41127</v>
      </c>
      <c r="C11309">
        <v>0.63233453715999999</v>
      </c>
      <c r="D11309">
        <v>0.90105165613100002</v>
      </c>
      <c r="E11309">
        <v>6.8040000000000003</v>
      </c>
    </row>
    <row r="11310" spans="1:5">
      <c r="A11310" t="s">
        <v>41123</v>
      </c>
      <c r="B11310" t="s">
        <v>41128</v>
      </c>
      <c r="C11310">
        <v>0.38812823015699999</v>
      </c>
      <c r="D11310">
        <v>0.90105165613100002</v>
      </c>
      <c r="E11310">
        <v>6.8040000000000003</v>
      </c>
    </row>
    <row r="11311" spans="1:5">
      <c r="A11311" t="s">
        <v>41123</v>
      </c>
      <c r="B11311" t="s">
        <v>41129</v>
      </c>
      <c r="C11311">
        <v>0</v>
      </c>
      <c r="D11311">
        <v>0.90105165613100002</v>
      </c>
      <c r="E11311">
        <v>6.8040000000000003</v>
      </c>
    </row>
    <row r="11312" spans="1:5">
      <c r="A11312" t="s">
        <v>41130</v>
      </c>
      <c r="B11312" t="s">
        <v>2864</v>
      </c>
      <c r="C11312">
        <v>3.04343367919E-2</v>
      </c>
      <c r="D11312">
        <v>0.88419644649499995</v>
      </c>
      <c r="E11312">
        <v>9.7739999999999991</v>
      </c>
    </row>
    <row r="11313" spans="1:5">
      <c r="A11313" t="s">
        <v>41130</v>
      </c>
      <c r="B11313" t="s">
        <v>2870</v>
      </c>
      <c r="C11313">
        <f>0.32849511012</f>
        <v>0.32849511011999999</v>
      </c>
      <c r="D11313">
        <v>0.88419644649499995</v>
      </c>
      <c r="E11313">
        <v>9.7739999999999991</v>
      </c>
    </row>
    <row r="11314" spans="1:5">
      <c r="A11314" t="s">
        <v>41130</v>
      </c>
      <c r="B11314" t="s">
        <v>2872</v>
      </c>
      <c r="C11314">
        <f>0.0434891992792</f>
        <v>4.3489199279200003E-2</v>
      </c>
      <c r="D11314">
        <v>0.88419644649499995</v>
      </c>
      <c r="E11314">
        <v>9.7739999999999991</v>
      </c>
    </row>
    <row r="11315" spans="1:5">
      <c r="A11315" t="s">
        <v>41130</v>
      </c>
      <c r="B11315" t="s">
        <v>2868</v>
      </c>
      <c r="C11315">
        <v>0.55122887233999995</v>
      </c>
      <c r="D11315">
        <v>0.88419644649499995</v>
      </c>
      <c r="E11315">
        <v>9.7739999999999991</v>
      </c>
    </row>
    <row r="11316" spans="1:5">
      <c r="A11316" t="s">
        <v>41130</v>
      </c>
      <c r="B11316" t="s">
        <v>2866</v>
      </c>
      <c r="C11316">
        <v>0.16895225335200001</v>
      </c>
      <c r="D11316">
        <v>0.88419644649499995</v>
      </c>
      <c r="E11316">
        <v>9.7739999999999991</v>
      </c>
    </row>
    <row r="11317" spans="1:5">
      <c r="A11317" t="s">
        <v>41130</v>
      </c>
      <c r="B11317" t="s">
        <v>2871</v>
      </c>
      <c r="C11317">
        <f>0</f>
        <v>0</v>
      </c>
      <c r="D11317">
        <v>0.88419644649499995</v>
      </c>
      <c r="E11317">
        <v>9.7739999999999991</v>
      </c>
    </row>
    <row r="11318" spans="1:5">
      <c r="A11318" t="s">
        <v>41131</v>
      </c>
      <c r="B11318" t="s">
        <v>4470</v>
      </c>
      <c r="C11318">
        <f>0</f>
        <v>0</v>
      </c>
      <c r="D11318">
        <v>0.76687501974700001</v>
      </c>
      <c r="E11318">
        <v>5.3520000000000003</v>
      </c>
    </row>
    <row r="11319" spans="1:5">
      <c r="A11319" t="s">
        <v>41131</v>
      </c>
      <c r="B11319" t="s">
        <v>4474</v>
      </c>
      <c r="C11319">
        <v>0.548917642072</v>
      </c>
      <c r="D11319">
        <v>0.76687501974700001</v>
      </c>
      <c r="E11319">
        <v>5.3520000000000003</v>
      </c>
    </row>
    <row r="11320" spans="1:5">
      <c r="A11320" t="s">
        <v>41131</v>
      </c>
      <c r="B11320" t="s">
        <v>4471</v>
      </c>
      <c r="C11320">
        <f>0</f>
        <v>0</v>
      </c>
      <c r="D11320">
        <v>0.76687501974700001</v>
      </c>
      <c r="E11320">
        <v>5.3520000000000003</v>
      </c>
    </row>
    <row r="11321" spans="1:5">
      <c r="A11321" t="s">
        <v>41131</v>
      </c>
      <c r="B11321" t="s">
        <v>4473</v>
      </c>
      <c r="C11321">
        <f>0.16056170128</f>
        <v>0.16056170128</v>
      </c>
      <c r="D11321">
        <v>0.76687501974700001</v>
      </c>
      <c r="E11321">
        <v>5.3520000000000003</v>
      </c>
    </row>
    <row r="11322" spans="1:5">
      <c r="A11322" t="s">
        <v>41131</v>
      </c>
      <c r="B11322" t="s">
        <v>4472</v>
      </c>
      <c r="C11322">
        <v>0</v>
      </c>
      <c r="D11322">
        <v>0.76687501974700001</v>
      </c>
      <c r="E11322">
        <v>5.3520000000000003</v>
      </c>
    </row>
    <row r="11323" spans="1:5">
      <c r="A11323" t="s">
        <v>41132</v>
      </c>
      <c r="B11323" t="s">
        <v>41133</v>
      </c>
      <c r="C11323">
        <v>0</v>
      </c>
      <c r="D11323" t="s">
        <v>106</v>
      </c>
      <c r="E11323">
        <v>14.37</v>
      </c>
    </row>
    <row r="11324" spans="1:5">
      <c r="A11324" t="s">
        <v>41132</v>
      </c>
      <c r="B11324" t="s">
        <v>41134</v>
      </c>
      <c r="C11324">
        <v>0</v>
      </c>
      <c r="D11324" t="s">
        <v>106</v>
      </c>
      <c r="E11324">
        <v>14.37</v>
      </c>
    </row>
    <row r="11325" spans="1:5">
      <c r="A11325" t="s">
        <v>41132</v>
      </c>
      <c r="B11325" t="s">
        <v>41135</v>
      </c>
      <c r="C11325">
        <f>0</f>
        <v>0</v>
      </c>
      <c r="D11325" t="s">
        <v>106</v>
      </c>
      <c r="E11325">
        <v>14.37</v>
      </c>
    </row>
    <row r="11326" spans="1:5">
      <c r="A11326" t="s">
        <v>41136</v>
      </c>
      <c r="B11326" t="s">
        <v>27123</v>
      </c>
      <c r="C11326">
        <f>0</f>
        <v>0</v>
      </c>
      <c r="D11326" t="s">
        <v>106</v>
      </c>
      <c r="E11326">
        <v>1.83</v>
      </c>
    </row>
    <row r="11327" spans="1:5">
      <c r="A11327" t="s">
        <v>41136</v>
      </c>
      <c r="B11327" t="s">
        <v>27119</v>
      </c>
      <c r="C11327">
        <v>0</v>
      </c>
      <c r="D11327" t="s">
        <v>106</v>
      </c>
      <c r="E11327">
        <v>1.83</v>
      </c>
    </row>
    <row r="11328" spans="1:5">
      <c r="A11328" t="s">
        <v>41136</v>
      </c>
      <c r="B11328" t="s">
        <v>27122</v>
      </c>
      <c r="C11328">
        <f>0</f>
        <v>0</v>
      </c>
      <c r="D11328" t="s">
        <v>106</v>
      </c>
      <c r="E11328">
        <v>1.83</v>
      </c>
    </row>
    <row r="11329" spans="1:5">
      <c r="A11329" t="s">
        <v>41136</v>
      </c>
      <c r="B11329" t="s">
        <v>27124</v>
      </c>
      <c r="C11329">
        <v>0</v>
      </c>
      <c r="D11329" t="s">
        <v>106</v>
      </c>
      <c r="E11329">
        <v>1.83</v>
      </c>
    </row>
    <row r="11330" spans="1:5">
      <c r="A11330" t="s">
        <v>41136</v>
      </c>
      <c r="B11330" t="s">
        <v>27126</v>
      </c>
      <c r="C11330">
        <v>0</v>
      </c>
      <c r="D11330" t="s">
        <v>106</v>
      </c>
      <c r="E11330">
        <v>1.83</v>
      </c>
    </row>
    <row r="11331" spans="1:5">
      <c r="A11331" t="s">
        <v>41136</v>
      </c>
      <c r="B11331" t="s">
        <v>27125</v>
      </c>
      <c r="C11331">
        <f>0</f>
        <v>0</v>
      </c>
      <c r="D11331" t="s">
        <v>106</v>
      </c>
      <c r="E11331">
        <v>1.83</v>
      </c>
    </row>
    <row r="11332" spans="1:5">
      <c r="A11332" t="s">
        <v>41137</v>
      </c>
      <c r="B11332" t="s">
        <v>41138</v>
      </c>
      <c r="C11332">
        <v>0.129898468564</v>
      </c>
      <c r="D11332">
        <v>0.98231319697399999</v>
      </c>
      <c r="E11332">
        <v>0.61799999999999999</v>
      </c>
    </row>
    <row r="11333" spans="1:5">
      <c r="A11333" t="s">
        <v>41137</v>
      </c>
      <c r="B11333" t="s">
        <v>41139</v>
      </c>
      <c r="C11333">
        <v>0.67148254017499998</v>
      </c>
      <c r="D11333">
        <v>0.98231319697399999</v>
      </c>
      <c r="E11333">
        <v>0.61799999999999999</v>
      </c>
    </row>
    <row r="11334" spans="1:5">
      <c r="A11334" t="s">
        <v>41137</v>
      </c>
      <c r="B11334" t="s">
        <v>41140</v>
      </c>
      <c r="C11334">
        <v>0.167721092057</v>
      </c>
      <c r="D11334">
        <v>0.98231319697399999</v>
      </c>
      <c r="E11334">
        <v>0.61799999999999999</v>
      </c>
    </row>
    <row r="11335" spans="1:5">
      <c r="A11335" t="s">
        <v>41141</v>
      </c>
      <c r="B11335" t="s">
        <v>30462</v>
      </c>
      <c r="C11335">
        <v>0</v>
      </c>
      <c r="D11335" t="s">
        <v>106</v>
      </c>
      <c r="E11335">
        <v>4.3739999999999997</v>
      </c>
    </row>
    <row r="11336" spans="1:5">
      <c r="A11336" t="s">
        <v>41141</v>
      </c>
      <c r="B11336" t="s">
        <v>30464</v>
      </c>
      <c r="C11336">
        <v>0</v>
      </c>
      <c r="D11336" t="s">
        <v>106</v>
      </c>
      <c r="E11336">
        <v>4.3739999999999997</v>
      </c>
    </row>
    <row r="11337" spans="1:5">
      <c r="A11337" t="s">
        <v>41141</v>
      </c>
      <c r="B11337" t="s">
        <v>30466</v>
      </c>
      <c r="C11337">
        <v>0</v>
      </c>
      <c r="D11337" t="s">
        <v>106</v>
      </c>
      <c r="E11337">
        <v>4.3739999999999997</v>
      </c>
    </row>
    <row r="11338" spans="1:5">
      <c r="A11338" t="s">
        <v>41142</v>
      </c>
      <c r="B11338" t="s">
        <v>41143</v>
      </c>
      <c r="C11338">
        <f>0</f>
        <v>0</v>
      </c>
      <c r="D11338" t="s">
        <v>106</v>
      </c>
      <c r="E11338">
        <v>24</v>
      </c>
    </row>
    <row r="11339" spans="1:5">
      <c r="A11339" t="s">
        <v>41142</v>
      </c>
      <c r="B11339" t="s">
        <v>41144</v>
      </c>
      <c r="C11339">
        <v>0</v>
      </c>
      <c r="D11339" t="s">
        <v>106</v>
      </c>
      <c r="E11339">
        <v>24</v>
      </c>
    </row>
    <row r="11340" spans="1:5">
      <c r="A11340" t="s">
        <v>41142</v>
      </c>
      <c r="B11340" t="s">
        <v>41145</v>
      </c>
      <c r="C11340">
        <f>0</f>
        <v>0</v>
      </c>
      <c r="D11340" t="s">
        <v>106</v>
      </c>
      <c r="E11340">
        <v>24</v>
      </c>
    </row>
    <row r="11341" spans="1:5">
      <c r="A11341" t="s">
        <v>41142</v>
      </c>
      <c r="B11341" t="s">
        <v>41146</v>
      </c>
      <c r="C11341">
        <v>0</v>
      </c>
      <c r="D11341" t="s">
        <v>106</v>
      </c>
      <c r="E11341">
        <v>24</v>
      </c>
    </row>
    <row r="11342" spans="1:5">
      <c r="A11342" t="s">
        <v>41142</v>
      </c>
      <c r="B11342" t="s">
        <v>41147</v>
      </c>
      <c r="C11342">
        <f>0</f>
        <v>0</v>
      </c>
      <c r="D11342" t="s">
        <v>106</v>
      </c>
      <c r="E11342">
        <v>24</v>
      </c>
    </row>
    <row r="11343" spans="1:5">
      <c r="A11343" t="s">
        <v>41148</v>
      </c>
      <c r="B11343" t="s">
        <v>6939</v>
      </c>
      <c r="C11343">
        <f>0</f>
        <v>0</v>
      </c>
      <c r="D11343">
        <v>0.85803536258699997</v>
      </c>
      <c r="E11343">
        <v>6.8040000000000003</v>
      </c>
    </row>
    <row r="11344" spans="1:5">
      <c r="A11344" t="s">
        <v>41148</v>
      </c>
      <c r="B11344" t="s">
        <v>6941</v>
      </c>
      <c r="C11344">
        <f>0</f>
        <v>0</v>
      </c>
      <c r="D11344">
        <v>0.85803536258699997</v>
      </c>
      <c r="E11344">
        <v>6.8040000000000003</v>
      </c>
    </row>
    <row r="11345" spans="1:5">
      <c r="A11345" t="s">
        <v>41148</v>
      </c>
      <c r="B11345" t="s">
        <v>6938</v>
      </c>
      <c r="C11345">
        <v>0.66442536258700002</v>
      </c>
      <c r="D11345">
        <v>0.85803536258699997</v>
      </c>
      <c r="E11345">
        <v>6.8040000000000003</v>
      </c>
    </row>
    <row r="11346" spans="1:5">
      <c r="A11346" t="s">
        <v>41149</v>
      </c>
      <c r="B11346" t="s">
        <v>41150</v>
      </c>
      <c r="C11346">
        <v>0.70169983996700003</v>
      </c>
      <c r="D11346">
        <v>0.94509105751400002</v>
      </c>
      <c r="E11346">
        <v>0.69599999999999995</v>
      </c>
    </row>
    <row r="11347" spans="1:5">
      <c r="A11347" t="s">
        <v>41149</v>
      </c>
      <c r="B11347" t="s">
        <v>41151</v>
      </c>
      <c r="C11347">
        <v>0.11767025394</v>
      </c>
      <c r="D11347">
        <v>0.94509105751400002</v>
      </c>
      <c r="E11347">
        <v>0.69599999999999995</v>
      </c>
    </row>
    <row r="11348" spans="1:5">
      <c r="A11348" t="s">
        <v>41149</v>
      </c>
      <c r="B11348" t="s">
        <v>41152</v>
      </c>
      <c r="C11348">
        <v>0.23324978817899999</v>
      </c>
      <c r="D11348">
        <v>0.94509105751400002</v>
      </c>
      <c r="E11348">
        <v>0.69599999999999995</v>
      </c>
    </row>
    <row r="11349" spans="1:5">
      <c r="A11349" t="s">
        <v>41149</v>
      </c>
      <c r="B11349" t="s">
        <v>41153</v>
      </c>
      <c r="C11349">
        <f>0.0544587012766</f>
        <v>5.4458701276599998E-2</v>
      </c>
      <c r="D11349">
        <v>0.94509105751400002</v>
      </c>
      <c r="E11349">
        <v>0.69599999999999995</v>
      </c>
    </row>
    <row r="11350" spans="1:5">
      <c r="A11350" t="s">
        <v>41154</v>
      </c>
      <c r="B11350" t="s">
        <v>1753</v>
      </c>
      <c r="C11350">
        <f>0</f>
        <v>0</v>
      </c>
      <c r="D11350">
        <v>0.96934566509499998</v>
      </c>
      <c r="E11350">
        <v>3.4079999999999999</v>
      </c>
    </row>
    <row r="11351" spans="1:5">
      <c r="A11351" t="s">
        <v>41154</v>
      </c>
      <c r="B11351" t="s">
        <v>1757</v>
      </c>
      <c r="C11351">
        <v>0.116272654344</v>
      </c>
      <c r="D11351">
        <v>0.96934566509499998</v>
      </c>
      <c r="E11351">
        <v>3.4079999999999999</v>
      </c>
    </row>
    <row r="11352" spans="1:5">
      <c r="A11352" t="s">
        <v>41154</v>
      </c>
      <c r="B11352" t="s">
        <v>1752</v>
      </c>
      <c r="C11352">
        <v>0.79758517865599998</v>
      </c>
      <c r="D11352">
        <v>0.96934566509499998</v>
      </c>
      <c r="E11352">
        <v>3.4079999999999999</v>
      </c>
    </row>
    <row r="11353" spans="1:5">
      <c r="A11353" t="s">
        <v>41154</v>
      </c>
      <c r="B11353" t="s">
        <v>1758</v>
      </c>
      <c r="C11353">
        <v>0</v>
      </c>
      <c r="D11353">
        <v>0.96934566509499998</v>
      </c>
      <c r="E11353">
        <v>3.4079999999999999</v>
      </c>
    </row>
    <row r="11354" spans="1:5">
      <c r="A11354" t="s">
        <v>41154</v>
      </c>
      <c r="B11354" t="s">
        <v>1756</v>
      </c>
      <c r="C11354">
        <f>0.23496808995</f>
        <v>0.23496808994999999</v>
      </c>
      <c r="D11354">
        <v>0.96934566509499998</v>
      </c>
      <c r="E11354">
        <v>3.4079999999999999</v>
      </c>
    </row>
    <row r="11355" spans="1:5">
      <c r="A11355" t="s">
        <v>41155</v>
      </c>
      <c r="B11355" t="s">
        <v>13801</v>
      </c>
      <c r="C11355">
        <f>0.117054759216</f>
        <v>0.117054759216</v>
      </c>
      <c r="D11355">
        <v>0.492268708891</v>
      </c>
      <c r="E11355">
        <v>11.538</v>
      </c>
    </row>
    <row r="11356" spans="1:5">
      <c r="A11356" t="s">
        <v>41155</v>
      </c>
      <c r="B11356" t="s">
        <v>13805</v>
      </c>
      <c r="C11356">
        <f>0</f>
        <v>0</v>
      </c>
      <c r="D11356">
        <v>0.492268708891</v>
      </c>
      <c r="E11356">
        <v>11.538</v>
      </c>
    </row>
    <row r="11357" spans="1:5">
      <c r="A11357" t="s">
        <v>41155</v>
      </c>
      <c r="B11357" t="s">
        <v>13802</v>
      </c>
      <c r="C11357">
        <v>0</v>
      </c>
      <c r="D11357">
        <v>0.492268708891</v>
      </c>
      <c r="E11357">
        <v>11.538</v>
      </c>
    </row>
    <row r="11358" spans="1:5">
      <c r="A11358" t="s">
        <v>41155</v>
      </c>
      <c r="B11358" t="s">
        <v>13803</v>
      </c>
      <c r="C11358">
        <f>0</f>
        <v>0</v>
      </c>
      <c r="D11358">
        <v>0.492268708891</v>
      </c>
      <c r="E11358">
        <v>11.538</v>
      </c>
    </row>
    <row r="11359" spans="1:5">
      <c r="A11359" t="s">
        <v>41155</v>
      </c>
      <c r="B11359" t="s">
        <v>13806</v>
      </c>
      <c r="C11359">
        <f>0.226988129787</f>
        <v>0.226988129787</v>
      </c>
      <c r="D11359">
        <v>0.492268708891</v>
      </c>
      <c r="E11359">
        <v>11.538</v>
      </c>
    </row>
    <row r="11360" spans="1:5">
      <c r="A11360" t="s">
        <v>41155</v>
      </c>
      <c r="B11360" t="s">
        <v>13804</v>
      </c>
      <c r="C11360">
        <f>0</f>
        <v>0</v>
      </c>
      <c r="D11360">
        <v>0.492268708891</v>
      </c>
      <c r="E11360">
        <v>11.538</v>
      </c>
    </row>
    <row r="11361" spans="1:5">
      <c r="A11361" t="s">
        <v>41156</v>
      </c>
      <c r="B11361" t="s">
        <v>34289</v>
      </c>
      <c r="C11361">
        <v>0</v>
      </c>
      <c r="D11361" t="s">
        <v>106</v>
      </c>
      <c r="E11361">
        <v>0</v>
      </c>
    </row>
    <row r="11362" spans="1:5">
      <c r="A11362" t="s">
        <v>41156</v>
      </c>
      <c r="B11362" t="s">
        <v>41157</v>
      </c>
      <c r="C11362">
        <v>0</v>
      </c>
      <c r="D11362" t="s">
        <v>106</v>
      </c>
      <c r="E11362">
        <v>0</v>
      </c>
    </row>
    <row r="11363" spans="1:5">
      <c r="A11363" t="s">
        <v>41156</v>
      </c>
      <c r="B11363" t="s">
        <v>34292</v>
      </c>
      <c r="C11363">
        <f>0</f>
        <v>0</v>
      </c>
      <c r="D11363" t="s">
        <v>106</v>
      </c>
      <c r="E11363">
        <v>0</v>
      </c>
    </row>
    <row r="11364" spans="1:5">
      <c r="A11364" t="s">
        <v>41156</v>
      </c>
      <c r="B11364" t="s">
        <v>34294</v>
      </c>
      <c r="C11364">
        <v>0</v>
      </c>
      <c r="D11364" t="s">
        <v>106</v>
      </c>
      <c r="E11364">
        <v>0</v>
      </c>
    </row>
    <row r="11365" spans="1:5">
      <c r="A11365" t="s">
        <v>41156</v>
      </c>
      <c r="B11365" t="s">
        <v>34293</v>
      </c>
      <c r="C11365">
        <v>0</v>
      </c>
      <c r="D11365" t="s">
        <v>106</v>
      </c>
      <c r="E11365">
        <v>0</v>
      </c>
    </row>
    <row r="11366" spans="1:5">
      <c r="A11366" t="s">
        <v>41158</v>
      </c>
      <c r="B11366" t="s">
        <v>26254</v>
      </c>
      <c r="C11366">
        <v>0.44074870987600001</v>
      </c>
      <c r="D11366">
        <v>0.76653821098800001</v>
      </c>
      <c r="E11366">
        <v>24</v>
      </c>
    </row>
    <row r="11367" spans="1:5">
      <c r="A11367" t="s">
        <v>41158</v>
      </c>
      <c r="B11367" t="s">
        <v>26258</v>
      </c>
      <c r="C11367">
        <f>0.296745496712</f>
        <v>0.29674549671200001</v>
      </c>
      <c r="D11367">
        <v>0.76653821098800001</v>
      </c>
      <c r="E11367">
        <v>24</v>
      </c>
    </row>
    <row r="11368" spans="1:5">
      <c r="A11368" t="s">
        <v>41158</v>
      </c>
      <c r="B11368" t="s">
        <v>26256</v>
      </c>
      <c r="C11368">
        <f>0</f>
        <v>0</v>
      </c>
      <c r="D11368">
        <v>0.76653821098800001</v>
      </c>
      <c r="E11368">
        <v>24</v>
      </c>
    </row>
    <row r="11369" spans="1:5">
      <c r="A11369" t="s">
        <v>41158</v>
      </c>
      <c r="B11369" t="s">
        <v>26259</v>
      </c>
      <c r="C11369">
        <v>0.62314322509200004</v>
      </c>
      <c r="D11369">
        <v>0.76653821098800001</v>
      </c>
      <c r="E11369">
        <v>24</v>
      </c>
    </row>
    <row r="11370" spans="1:5">
      <c r="A11370" t="s">
        <v>41159</v>
      </c>
      <c r="B11370" t="s">
        <v>41160</v>
      </c>
      <c r="C11370">
        <v>0.15025668039000001</v>
      </c>
      <c r="D11370">
        <v>0.97794335378800001</v>
      </c>
      <c r="E11370">
        <v>10.554</v>
      </c>
    </row>
    <row r="11371" spans="1:5">
      <c r="A11371" t="s">
        <v>41159</v>
      </c>
      <c r="B11371" t="s">
        <v>41161</v>
      </c>
      <c r="C11371">
        <v>0</v>
      </c>
      <c r="D11371">
        <v>0.97794335378800001</v>
      </c>
      <c r="E11371">
        <v>10.554</v>
      </c>
    </row>
    <row r="11372" spans="1:5">
      <c r="A11372" t="s">
        <v>41159</v>
      </c>
      <c r="B11372" t="s">
        <v>41162</v>
      </c>
      <c r="C11372">
        <v>0.53367672742700001</v>
      </c>
      <c r="D11372">
        <v>0.97794335378800001</v>
      </c>
      <c r="E11372">
        <v>10.554</v>
      </c>
    </row>
    <row r="11373" spans="1:5">
      <c r="A11373" t="s">
        <v>41159</v>
      </c>
      <c r="B11373" t="s">
        <v>41163</v>
      </c>
      <c r="C11373">
        <f>0.0970078709094</f>
        <v>9.7007870909399996E-2</v>
      </c>
      <c r="D11373">
        <v>0.97794335378800001</v>
      </c>
      <c r="E11373">
        <v>10.554</v>
      </c>
    </row>
    <row r="11374" spans="1:5">
      <c r="A11374" t="s">
        <v>41159</v>
      </c>
      <c r="B11374" t="s">
        <v>41164</v>
      </c>
      <c r="C11374">
        <v>0</v>
      </c>
      <c r="D11374">
        <v>0.97794335378800001</v>
      </c>
      <c r="E11374">
        <v>10.554</v>
      </c>
    </row>
    <row r="11375" spans="1:5">
      <c r="A11375" t="s">
        <v>41159</v>
      </c>
      <c r="B11375" t="s">
        <v>41165</v>
      </c>
      <c r="C11375">
        <f>0.510585550094</f>
        <v>0.51058555009399997</v>
      </c>
      <c r="D11375">
        <v>0.97794335378800001</v>
      </c>
      <c r="E11375">
        <v>10.554</v>
      </c>
    </row>
    <row r="11376" spans="1:5">
      <c r="A11376" t="s">
        <v>41159</v>
      </c>
      <c r="B11376" t="s">
        <v>41166</v>
      </c>
      <c r="C11376">
        <f>0.127804386669</f>
        <v>0.12780438666899999</v>
      </c>
      <c r="D11376">
        <v>0.97794335378800001</v>
      </c>
      <c r="E11376">
        <v>10.554</v>
      </c>
    </row>
    <row r="11377" spans="1:5">
      <c r="A11377" t="s">
        <v>41159</v>
      </c>
      <c r="B11377" t="s">
        <v>41167</v>
      </c>
      <c r="C11377">
        <f>0.0247368960629</f>
        <v>2.4736896062899999E-2</v>
      </c>
      <c r="D11377">
        <v>0.97794335378800001</v>
      </c>
      <c r="E11377">
        <v>10.554</v>
      </c>
    </row>
    <row r="11378" spans="1:5">
      <c r="A11378" t="s">
        <v>41159</v>
      </c>
      <c r="B11378" t="s">
        <v>41168</v>
      </c>
      <c r="C11378">
        <f>0</f>
        <v>0</v>
      </c>
      <c r="D11378">
        <v>0.97794335378800001</v>
      </c>
      <c r="E11378">
        <v>10.554</v>
      </c>
    </row>
    <row r="11379" spans="1:5">
      <c r="A11379" t="s">
        <v>41169</v>
      </c>
      <c r="B11379" t="s">
        <v>41170</v>
      </c>
      <c r="C11379">
        <v>1.44558967805E-3</v>
      </c>
      <c r="D11379">
        <v>0.86594179617900002</v>
      </c>
      <c r="E11379">
        <v>3.972</v>
      </c>
    </row>
    <row r="11380" spans="1:5">
      <c r="A11380" t="s">
        <v>41169</v>
      </c>
      <c r="B11380" t="s">
        <v>41171</v>
      </c>
      <c r="C11380">
        <v>0</v>
      </c>
      <c r="D11380">
        <v>0.86594179617900002</v>
      </c>
      <c r="E11380">
        <v>3.972</v>
      </c>
    </row>
    <row r="11381" spans="1:5">
      <c r="A11381" t="s">
        <v>41169</v>
      </c>
      <c r="B11381" t="s">
        <v>41172</v>
      </c>
      <c r="C11381">
        <v>0.69049986808099995</v>
      </c>
      <c r="D11381">
        <v>0.86594179617900002</v>
      </c>
      <c r="E11381">
        <v>3.972</v>
      </c>
    </row>
    <row r="11382" spans="1:5">
      <c r="A11382" t="s">
        <v>41169</v>
      </c>
      <c r="B11382" t="s">
        <v>41173</v>
      </c>
      <c r="C11382">
        <f>0</f>
        <v>0</v>
      </c>
      <c r="D11382">
        <v>0.86594179617900002</v>
      </c>
      <c r="E11382">
        <v>3.972</v>
      </c>
    </row>
    <row r="11383" spans="1:5">
      <c r="A11383" t="s">
        <v>41169</v>
      </c>
      <c r="B11383" t="s">
        <v>41174</v>
      </c>
      <c r="C11383">
        <v>0.218334120434</v>
      </c>
      <c r="D11383">
        <v>0.86594179617900002</v>
      </c>
      <c r="E11383">
        <v>3.972</v>
      </c>
    </row>
    <row r="11384" spans="1:5">
      <c r="A11384" t="s">
        <v>41169</v>
      </c>
      <c r="B11384" t="s">
        <v>41175</v>
      </c>
      <c r="C11384">
        <f>0</f>
        <v>0</v>
      </c>
      <c r="D11384">
        <v>0.86594179617900002</v>
      </c>
      <c r="E11384">
        <v>3.972</v>
      </c>
    </row>
    <row r="11385" spans="1:5">
      <c r="A11385" t="s">
        <v>41176</v>
      </c>
      <c r="B11385" t="s">
        <v>25607</v>
      </c>
      <c r="C11385">
        <f>0</f>
        <v>0</v>
      </c>
      <c r="D11385" t="s">
        <v>106</v>
      </c>
      <c r="E11385">
        <v>2.4780000000000002</v>
      </c>
    </row>
    <row r="11386" spans="1:5">
      <c r="A11386" t="s">
        <v>41176</v>
      </c>
      <c r="B11386" t="s">
        <v>25614</v>
      </c>
      <c r="C11386">
        <f>0</f>
        <v>0</v>
      </c>
      <c r="D11386" t="s">
        <v>106</v>
      </c>
      <c r="E11386">
        <v>2.4780000000000002</v>
      </c>
    </row>
    <row r="11387" spans="1:5">
      <c r="A11387" t="s">
        <v>41176</v>
      </c>
      <c r="B11387" t="s">
        <v>25615</v>
      </c>
      <c r="C11387">
        <f>0</f>
        <v>0</v>
      </c>
      <c r="D11387" t="s">
        <v>106</v>
      </c>
      <c r="E11387">
        <v>2.4780000000000002</v>
      </c>
    </row>
    <row r="11388" spans="1:5">
      <c r="A11388" t="s">
        <v>41176</v>
      </c>
      <c r="B11388" t="s">
        <v>25617</v>
      </c>
      <c r="C11388">
        <f>0</f>
        <v>0</v>
      </c>
      <c r="D11388" t="s">
        <v>106</v>
      </c>
      <c r="E11388">
        <v>2.4780000000000002</v>
      </c>
    </row>
    <row r="11389" spans="1:5">
      <c r="A11389" t="s">
        <v>41176</v>
      </c>
      <c r="B11389" t="s">
        <v>25608</v>
      </c>
      <c r="C11389">
        <f>0</f>
        <v>0</v>
      </c>
      <c r="D11389" t="s">
        <v>106</v>
      </c>
      <c r="E11389">
        <v>2.4780000000000002</v>
      </c>
    </row>
    <row r="11390" spans="1:5">
      <c r="A11390" t="s">
        <v>41176</v>
      </c>
      <c r="B11390" t="s">
        <v>25612</v>
      </c>
      <c r="C11390">
        <f>0</f>
        <v>0</v>
      </c>
      <c r="D11390" t="s">
        <v>106</v>
      </c>
      <c r="E11390">
        <v>2.4780000000000002</v>
      </c>
    </row>
    <row r="11391" spans="1:5">
      <c r="A11391" t="s">
        <v>41176</v>
      </c>
      <c r="B11391" t="s">
        <v>25611</v>
      </c>
      <c r="C11391">
        <f>0</f>
        <v>0</v>
      </c>
      <c r="D11391" t="s">
        <v>106</v>
      </c>
      <c r="E11391">
        <v>2.4780000000000002</v>
      </c>
    </row>
    <row r="11392" spans="1:5">
      <c r="A11392" t="s">
        <v>41176</v>
      </c>
      <c r="B11392" t="s">
        <v>25616</v>
      </c>
      <c r="C11392">
        <f>0</f>
        <v>0</v>
      </c>
      <c r="D11392" t="s">
        <v>106</v>
      </c>
      <c r="E11392">
        <v>2.4780000000000002</v>
      </c>
    </row>
    <row r="11393" spans="1:5">
      <c r="A11393" t="s">
        <v>41176</v>
      </c>
      <c r="B11393" t="s">
        <v>25613</v>
      </c>
      <c r="C11393">
        <v>0</v>
      </c>
      <c r="D11393" t="s">
        <v>106</v>
      </c>
      <c r="E11393">
        <v>2.4780000000000002</v>
      </c>
    </row>
    <row r="11394" spans="1:5">
      <c r="A11394" t="s">
        <v>41176</v>
      </c>
      <c r="B11394" t="s">
        <v>25609</v>
      </c>
      <c r="C11394">
        <f>0</f>
        <v>0</v>
      </c>
      <c r="D11394" t="s">
        <v>106</v>
      </c>
      <c r="E11394">
        <v>2.4780000000000002</v>
      </c>
    </row>
    <row r="11395" spans="1:5">
      <c r="A11395" t="s">
        <v>41177</v>
      </c>
      <c r="B11395" t="s">
        <v>7675</v>
      </c>
      <c r="C11395">
        <v>0</v>
      </c>
      <c r="D11395" t="s">
        <v>106</v>
      </c>
      <c r="E11395">
        <v>10.398</v>
      </c>
    </row>
    <row r="11396" spans="1:5">
      <c r="A11396" t="s">
        <v>41177</v>
      </c>
      <c r="B11396" t="s">
        <v>7674</v>
      </c>
      <c r="C11396">
        <v>0</v>
      </c>
      <c r="D11396" t="s">
        <v>106</v>
      </c>
      <c r="E11396">
        <v>10.398</v>
      </c>
    </row>
    <row r="11397" spans="1:5">
      <c r="A11397" t="s">
        <v>41177</v>
      </c>
      <c r="B11397" t="s">
        <v>7678</v>
      </c>
      <c r="C11397">
        <v>0</v>
      </c>
      <c r="D11397" t="s">
        <v>106</v>
      </c>
      <c r="E11397">
        <v>10.398</v>
      </c>
    </row>
    <row r="11398" spans="1:5">
      <c r="A11398" t="s">
        <v>41178</v>
      </c>
      <c r="B11398" t="s">
        <v>2502</v>
      </c>
      <c r="C11398">
        <f>0</f>
        <v>0</v>
      </c>
      <c r="D11398" t="s">
        <v>106</v>
      </c>
      <c r="E11398">
        <v>0.91800000000000004</v>
      </c>
    </row>
    <row r="11399" spans="1:5">
      <c r="A11399" t="s">
        <v>41178</v>
      </c>
      <c r="B11399" t="s">
        <v>2505</v>
      </c>
      <c r="C11399">
        <v>0</v>
      </c>
      <c r="D11399" t="s">
        <v>106</v>
      </c>
      <c r="E11399">
        <v>0.91800000000000004</v>
      </c>
    </row>
    <row r="11400" spans="1:5">
      <c r="A11400" t="s">
        <v>41178</v>
      </c>
      <c r="B11400" t="s">
        <v>2503</v>
      </c>
      <c r="C11400">
        <v>0</v>
      </c>
      <c r="D11400" t="s">
        <v>106</v>
      </c>
      <c r="E11400">
        <v>0.91800000000000004</v>
      </c>
    </row>
    <row r="11401" spans="1:5">
      <c r="A11401" t="s">
        <v>41178</v>
      </c>
      <c r="B11401" t="s">
        <v>2504</v>
      </c>
      <c r="C11401">
        <v>0</v>
      </c>
      <c r="D11401" t="s">
        <v>106</v>
      </c>
      <c r="E11401">
        <v>0.91800000000000004</v>
      </c>
    </row>
    <row r="11402" spans="1:5">
      <c r="A11402" t="s">
        <v>41179</v>
      </c>
      <c r="B11402" t="s">
        <v>17011</v>
      </c>
      <c r="C11402">
        <f>0</f>
        <v>0</v>
      </c>
      <c r="D11402">
        <v>0.77052178243400005</v>
      </c>
      <c r="E11402">
        <v>24</v>
      </c>
    </row>
    <row r="11403" spans="1:5">
      <c r="A11403" t="s">
        <v>41179</v>
      </c>
      <c r="B11403" t="s">
        <v>17002</v>
      </c>
      <c r="C11403">
        <v>0</v>
      </c>
      <c r="D11403">
        <v>0.77052178243400005</v>
      </c>
      <c r="E11403">
        <v>24</v>
      </c>
    </row>
    <row r="11404" spans="1:5">
      <c r="A11404" t="s">
        <v>41179</v>
      </c>
      <c r="B11404" t="s">
        <v>17008</v>
      </c>
      <c r="C11404">
        <v>0.19291178243400001</v>
      </c>
      <c r="D11404">
        <v>0.77052178243400005</v>
      </c>
      <c r="E11404">
        <v>24</v>
      </c>
    </row>
    <row r="11405" spans="1:5">
      <c r="A11405" t="s">
        <v>41179</v>
      </c>
      <c r="B11405" t="s">
        <v>17009</v>
      </c>
      <c r="C11405">
        <f>0</f>
        <v>0</v>
      </c>
      <c r="D11405">
        <v>0.77052178243400005</v>
      </c>
      <c r="E11405">
        <v>24</v>
      </c>
    </row>
    <row r="11406" spans="1:5">
      <c r="A11406" t="s">
        <v>41179</v>
      </c>
      <c r="B11406" t="s">
        <v>17004</v>
      </c>
      <c r="C11406">
        <f>0</f>
        <v>0</v>
      </c>
      <c r="D11406">
        <v>0.77052178243400005</v>
      </c>
      <c r="E11406">
        <v>24</v>
      </c>
    </row>
    <row r="11407" spans="1:5">
      <c r="A11407" t="s">
        <v>41179</v>
      </c>
      <c r="B11407" t="s">
        <v>17007</v>
      </c>
      <c r="C11407">
        <v>0</v>
      </c>
      <c r="D11407">
        <v>0.77052178243400005</v>
      </c>
      <c r="E11407">
        <v>24</v>
      </c>
    </row>
    <row r="11408" spans="1:5">
      <c r="A11408" t="s">
        <v>41180</v>
      </c>
      <c r="B11408" t="s">
        <v>4057</v>
      </c>
      <c r="C11408">
        <v>0</v>
      </c>
      <c r="D11408">
        <v>0.98720867287000003</v>
      </c>
      <c r="E11408">
        <v>6.3</v>
      </c>
    </row>
    <row r="11409" spans="1:5">
      <c r="A11409" t="s">
        <v>41180</v>
      </c>
      <c r="B11409" t="s">
        <v>4060</v>
      </c>
      <c r="C11409">
        <v>0.144748396231</v>
      </c>
      <c r="D11409">
        <v>0.98720867287000003</v>
      </c>
      <c r="E11409">
        <v>6.3</v>
      </c>
    </row>
    <row r="11410" spans="1:5">
      <c r="A11410" t="s">
        <v>41180</v>
      </c>
      <c r="B11410" t="s">
        <v>4063</v>
      </c>
      <c r="C11410">
        <v>0.81093375230300002</v>
      </c>
      <c r="D11410">
        <v>0.98720867287000003</v>
      </c>
      <c r="E11410">
        <v>6.3</v>
      </c>
    </row>
    <row r="11411" spans="1:5">
      <c r="A11411" t="s">
        <v>41180</v>
      </c>
      <c r="B11411" t="s">
        <v>4071</v>
      </c>
      <c r="C11411">
        <v>0</v>
      </c>
      <c r="D11411">
        <v>0.98720867287000003</v>
      </c>
      <c r="E11411">
        <v>6.3</v>
      </c>
    </row>
    <row r="11412" spans="1:5">
      <c r="A11412" t="s">
        <v>41180</v>
      </c>
      <c r="B11412" t="s">
        <v>4066</v>
      </c>
      <c r="C11412">
        <v>0</v>
      </c>
      <c r="D11412">
        <v>0.98720867287000003</v>
      </c>
      <c r="E11412">
        <v>6.3</v>
      </c>
    </row>
    <row r="11413" spans="1:5">
      <c r="A11413" t="s">
        <v>41180</v>
      </c>
      <c r="B11413" t="s">
        <v>4055</v>
      </c>
      <c r="C11413">
        <v>0</v>
      </c>
      <c r="D11413">
        <v>0.98720867287000003</v>
      </c>
      <c r="E11413">
        <v>6.3</v>
      </c>
    </row>
    <row r="11414" spans="1:5">
      <c r="A11414" t="s">
        <v>41180</v>
      </c>
      <c r="B11414" t="s">
        <v>4067</v>
      </c>
      <c r="C11414">
        <f>0.155053280335</f>
        <v>0.15505328033499999</v>
      </c>
      <c r="D11414">
        <v>0.98720867287000003</v>
      </c>
      <c r="E11414">
        <v>6.3</v>
      </c>
    </row>
    <row r="11415" spans="1:5">
      <c r="A11415" t="s">
        <v>41181</v>
      </c>
      <c r="B11415" t="s">
        <v>9007</v>
      </c>
      <c r="C11415">
        <v>0</v>
      </c>
      <c r="D11415">
        <v>0.99396653147000003</v>
      </c>
      <c r="E11415">
        <v>4.5839999999999996</v>
      </c>
    </row>
    <row r="11416" spans="1:5">
      <c r="A11416" t="s">
        <v>41181</v>
      </c>
      <c r="B11416" t="s">
        <v>9010</v>
      </c>
      <c r="C11416">
        <f>0.735933165387</f>
        <v>0.73593316538700004</v>
      </c>
      <c r="D11416">
        <v>0.99396653147000003</v>
      </c>
      <c r="E11416">
        <v>4.5839999999999996</v>
      </c>
    </row>
    <row r="11417" spans="1:5">
      <c r="A11417" t="s">
        <v>41181</v>
      </c>
      <c r="B11417" t="s">
        <v>9013</v>
      </c>
      <c r="C11417">
        <v>1.0326672825800001</v>
      </c>
      <c r="D11417">
        <v>0.99396653147000003</v>
      </c>
      <c r="E11417">
        <v>4.5839999999999996</v>
      </c>
    </row>
    <row r="11418" spans="1:5">
      <c r="A11418" t="s">
        <v>41181</v>
      </c>
      <c r="B11418" t="s">
        <v>9015</v>
      </c>
      <c r="C11418">
        <v>0</v>
      </c>
      <c r="D11418">
        <v>0.99396653147000003</v>
      </c>
      <c r="E11418">
        <v>4.5839999999999996</v>
      </c>
    </row>
    <row r="11419" spans="1:5">
      <c r="A11419" t="s">
        <v>41181</v>
      </c>
      <c r="B11419" t="s">
        <v>9011</v>
      </c>
      <c r="C11419">
        <v>0.81853294138699995</v>
      </c>
      <c r="D11419">
        <v>0.99396653147000003</v>
      </c>
      <c r="E11419">
        <v>4.5839999999999996</v>
      </c>
    </row>
    <row r="11420" spans="1:5">
      <c r="A11420" t="s">
        <v>41181</v>
      </c>
      <c r="B11420" t="s">
        <v>9004</v>
      </c>
      <c r="C11420">
        <f>0.163195204989</f>
        <v>0.163195204989</v>
      </c>
      <c r="D11420">
        <v>0.99396653147000003</v>
      </c>
      <c r="E11420">
        <v>4.5839999999999996</v>
      </c>
    </row>
    <row r="11421" spans="1:5">
      <c r="A11421" t="s">
        <v>41182</v>
      </c>
      <c r="B11421" t="s">
        <v>41183</v>
      </c>
      <c r="C11421">
        <v>0.80152766757000005</v>
      </c>
      <c r="D11421">
        <v>0.90020229408600005</v>
      </c>
      <c r="E11421">
        <v>2.0339999999999998</v>
      </c>
    </row>
    <row r="11422" spans="1:5">
      <c r="A11422" t="s">
        <v>41182</v>
      </c>
      <c r="B11422" t="s">
        <v>41184</v>
      </c>
      <c r="C11422">
        <f>0.018588084489</f>
        <v>1.8588084489000001E-2</v>
      </c>
      <c r="D11422">
        <v>0.90020229408600005</v>
      </c>
      <c r="E11422">
        <v>2.0339999999999998</v>
      </c>
    </row>
    <row r="11423" spans="1:5">
      <c r="A11423" t="s">
        <v>41182</v>
      </c>
      <c r="B11423" t="s">
        <v>41185</v>
      </c>
      <c r="C11423">
        <v>0</v>
      </c>
      <c r="D11423">
        <v>0.90020229408600005</v>
      </c>
      <c r="E11423">
        <v>2.0339999999999998</v>
      </c>
    </row>
    <row r="11424" spans="1:5">
      <c r="A11424" t="s">
        <v>41186</v>
      </c>
      <c r="B11424" t="s">
        <v>12259</v>
      </c>
      <c r="C11424">
        <f>0</f>
        <v>0</v>
      </c>
      <c r="D11424" t="s">
        <v>106</v>
      </c>
      <c r="E11424">
        <v>2.0339999999999998</v>
      </c>
    </row>
    <row r="11425" spans="1:5">
      <c r="A11425" t="s">
        <v>41186</v>
      </c>
      <c r="B11425" t="s">
        <v>12261</v>
      </c>
      <c r="C11425">
        <v>0</v>
      </c>
      <c r="D11425" t="s">
        <v>106</v>
      </c>
      <c r="E11425">
        <v>2.0339999999999998</v>
      </c>
    </row>
    <row r="11426" spans="1:5">
      <c r="A11426" t="s">
        <v>41186</v>
      </c>
      <c r="B11426" t="s">
        <v>12266</v>
      </c>
      <c r="C11426">
        <f>0</f>
        <v>0</v>
      </c>
      <c r="D11426" t="s">
        <v>106</v>
      </c>
      <c r="E11426">
        <v>2.0339999999999998</v>
      </c>
    </row>
    <row r="11427" spans="1:5">
      <c r="A11427" t="s">
        <v>41186</v>
      </c>
      <c r="B11427" t="s">
        <v>12267</v>
      </c>
      <c r="C11427">
        <v>0</v>
      </c>
      <c r="D11427" t="s">
        <v>106</v>
      </c>
      <c r="E11427">
        <v>2.0339999999999998</v>
      </c>
    </row>
    <row r="11428" spans="1:5">
      <c r="A11428" t="s">
        <v>41186</v>
      </c>
      <c r="B11428" t="s">
        <v>12269</v>
      </c>
      <c r="C11428">
        <f>0</f>
        <v>0</v>
      </c>
      <c r="D11428" t="s">
        <v>106</v>
      </c>
      <c r="E11428">
        <v>2.0339999999999998</v>
      </c>
    </row>
    <row r="11429" spans="1:5">
      <c r="A11429" t="s">
        <v>41186</v>
      </c>
      <c r="B11429" t="s">
        <v>12264</v>
      </c>
      <c r="C11429">
        <f>0</f>
        <v>0</v>
      </c>
      <c r="D11429" t="s">
        <v>106</v>
      </c>
      <c r="E11429">
        <v>2.0339999999999998</v>
      </c>
    </row>
    <row r="11430" spans="1:5">
      <c r="A11430" t="s">
        <v>41186</v>
      </c>
      <c r="B11430" t="s">
        <v>12268</v>
      </c>
      <c r="C11430">
        <v>0</v>
      </c>
      <c r="D11430" t="s">
        <v>106</v>
      </c>
      <c r="E11430">
        <v>2.0339999999999998</v>
      </c>
    </row>
    <row r="11431" spans="1:5">
      <c r="A11431" t="s">
        <v>41186</v>
      </c>
      <c r="B11431" t="s">
        <v>12262</v>
      </c>
      <c r="C11431">
        <f>0</f>
        <v>0</v>
      </c>
      <c r="D11431" t="s">
        <v>106</v>
      </c>
      <c r="E11431">
        <v>2.0339999999999998</v>
      </c>
    </row>
    <row r="11432" spans="1:5">
      <c r="A11432" t="s">
        <v>41186</v>
      </c>
      <c r="B11432" t="s">
        <v>12263</v>
      </c>
      <c r="C11432">
        <f>0</f>
        <v>0</v>
      </c>
      <c r="D11432" t="s">
        <v>106</v>
      </c>
      <c r="E11432">
        <v>2.0339999999999998</v>
      </c>
    </row>
    <row r="11433" spans="1:5">
      <c r="A11433" t="s">
        <v>41186</v>
      </c>
      <c r="B11433" t="s">
        <v>12265</v>
      </c>
      <c r="C11433">
        <f>0</f>
        <v>0</v>
      </c>
      <c r="D11433" t="s">
        <v>106</v>
      </c>
      <c r="E11433">
        <v>2.0339999999999998</v>
      </c>
    </row>
    <row r="11434" spans="1:5">
      <c r="A11434" t="s">
        <v>41187</v>
      </c>
      <c r="B11434" t="s">
        <v>1995</v>
      </c>
      <c r="C11434">
        <f>0.103446775649</f>
        <v>0.103446775649</v>
      </c>
      <c r="D11434">
        <v>0.77386923638600003</v>
      </c>
      <c r="E11434">
        <v>1.698</v>
      </c>
    </row>
    <row r="11435" spans="1:5">
      <c r="A11435" t="s">
        <v>41187</v>
      </c>
      <c r="B11435" t="s">
        <v>1999</v>
      </c>
      <c r="C11435">
        <f>0.414765084145</f>
        <v>0.41476508414500002</v>
      </c>
      <c r="D11435">
        <v>0.77386923638600003</v>
      </c>
      <c r="E11435">
        <v>1.698</v>
      </c>
    </row>
    <row r="11436" spans="1:5">
      <c r="A11436" t="s">
        <v>41187</v>
      </c>
      <c r="B11436" t="s">
        <v>41188</v>
      </c>
      <c r="C11436">
        <f>0</f>
        <v>0</v>
      </c>
      <c r="D11436">
        <v>0.77386923638600003</v>
      </c>
      <c r="E11436">
        <v>1.698</v>
      </c>
    </row>
    <row r="11437" spans="1:5">
      <c r="A11437" t="s">
        <v>41187</v>
      </c>
      <c r="B11437" t="s">
        <v>1996</v>
      </c>
      <c r="C11437">
        <f>0</f>
        <v>0</v>
      </c>
      <c r="D11437">
        <v>0.77386923638600003</v>
      </c>
      <c r="E11437">
        <v>1.698</v>
      </c>
    </row>
    <row r="11438" spans="1:5">
      <c r="A11438" t="s">
        <v>41187</v>
      </c>
      <c r="B11438" t="s">
        <v>2000</v>
      </c>
      <c r="C11438">
        <f>0.426375970788</f>
        <v>0.42637597078799999</v>
      </c>
      <c r="D11438">
        <v>0.77386923638600003</v>
      </c>
      <c r="E11438">
        <v>1.698</v>
      </c>
    </row>
    <row r="11439" spans="1:5">
      <c r="A11439" t="s">
        <v>41187</v>
      </c>
      <c r="B11439" t="s">
        <v>1997</v>
      </c>
      <c r="C11439">
        <v>0.14711829308999999</v>
      </c>
      <c r="D11439">
        <v>0.77386923638600003</v>
      </c>
      <c r="E11439">
        <v>1.698</v>
      </c>
    </row>
    <row r="11440" spans="1:5">
      <c r="A11440" t="s">
        <v>41189</v>
      </c>
      <c r="B11440" t="s">
        <v>31331</v>
      </c>
      <c r="C11440">
        <f>0</f>
        <v>0</v>
      </c>
      <c r="D11440">
        <v>0.82039834851899995</v>
      </c>
      <c r="E11440">
        <v>13.092000000000001</v>
      </c>
    </row>
    <row r="11441" spans="1:5">
      <c r="A11441" t="s">
        <v>41189</v>
      </c>
      <c r="B11441" t="s">
        <v>31337</v>
      </c>
      <c r="C11441">
        <f>0.589988348519</f>
        <v>0.58998834851899995</v>
      </c>
      <c r="D11441">
        <v>0.82039834851899995</v>
      </c>
      <c r="E11441">
        <v>13.092000000000001</v>
      </c>
    </row>
    <row r="11442" spans="1:5">
      <c r="A11442" t="s">
        <v>41189</v>
      </c>
      <c r="B11442" t="s">
        <v>31336</v>
      </c>
      <c r="C11442">
        <f>0</f>
        <v>0</v>
      </c>
      <c r="D11442">
        <v>0.82039834851899995</v>
      </c>
      <c r="E11442">
        <v>13.092000000000001</v>
      </c>
    </row>
    <row r="11443" spans="1:5">
      <c r="A11443" t="s">
        <v>41189</v>
      </c>
      <c r="B11443" t="s">
        <v>31332</v>
      </c>
      <c r="C11443">
        <v>0</v>
      </c>
      <c r="D11443">
        <v>0.82039834851899995</v>
      </c>
      <c r="E11443">
        <v>13.092000000000001</v>
      </c>
    </row>
    <row r="11444" spans="1:5">
      <c r="A11444" t="s">
        <v>41190</v>
      </c>
      <c r="B11444" t="s">
        <v>41191</v>
      </c>
      <c r="C11444">
        <f>0</f>
        <v>0</v>
      </c>
      <c r="D11444">
        <v>0.95408991008099997</v>
      </c>
      <c r="E11444">
        <v>23.754000000000001</v>
      </c>
    </row>
    <row r="11445" spans="1:5">
      <c r="A11445" t="s">
        <v>41190</v>
      </c>
      <c r="B11445" t="s">
        <v>41192</v>
      </c>
      <c r="C11445">
        <v>0</v>
      </c>
      <c r="D11445">
        <v>0.95408991008099997</v>
      </c>
      <c r="E11445">
        <v>23.754000000000001</v>
      </c>
    </row>
    <row r="11446" spans="1:5">
      <c r="A11446" t="s">
        <v>41190</v>
      </c>
      <c r="B11446" t="s">
        <v>41193</v>
      </c>
      <c r="C11446">
        <v>0.62367084194599998</v>
      </c>
      <c r="D11446">
        <v>0.95408991008099997</v>
      </c>
      <c r="E11446">
        <v>23.754000000000001</v>
      </c>
    </row>
    <row r="11447" spans="1:5">
      <c r="A11447" t="s">
        <v>41190</v>
      </c>
      <c r="B11447" t="s">
        <v>41194</v>
      </c>
      <c r="C11447">
        <f>0.727703488836</f>
        <v>0.727703488836</v>
      </c>
      <c r="D11447">
        <v>0.95408991008099997</v>
      </c>
      <c r="E11447">
        <v>23.754000000000001</v>
      </c>
    </row>
    <row r="11448" spans="1:5">
      <c r="A11448" t="s">
        <v>41190</v>
      </c>
      <c r="B11448" t="s">
        <v>41195</v>
      </c>
      <c r="C11448">
        <v>0.15576252856700001</v>
      </c>
      <c r="D11448">
        <v>0.95408991008099997</v>
      </c>
      <c r="E11448">
        <v>23.754000000000001</v>
      </c>
    </row>
    <row r="11449" spans="1:5">
      <c r="A11449" t="s">
        <v>41190</v>
      </c>
      <c r="B11449" t="s">
        <v>41196</v>
      </c>
      <c r="C11449">
        <v>6.6857806590500002E-2</v>
      </c>
      <c r="D11449">
        <v>0.95408991008099997</v>
      </c>
      <c r="E11449">
        <v>23.754000000000001</v>
      </c>
    </row>
    <row r="11450" spans="1:5">
      <c r="A11450" t="s">
        <v>41197</v>
      </c>
      <c r="B11450" t="s">
        <v>25107</v>
      </c>
      <c r="C11450">
        <v>0</v>
      </c>
      <c r="D11450" t="s">
        <v>106</v>
      </c>
      <c r="E11450">
        <v>1.6379999999999999</v>
      </c>
    </row>
    <row r="11451" spans="1:5">
      <c r="A11451" t="s">
        <v>41197</v>
      </c>
      <c r="B11451" t="s">
        <v>25108</v>
      </c>
      <c r="C11451">
        <f>0</f>
        <v>0</v>
      </c>
      <c r="D11451" t="s">
        <v>106</v>
      </c>
      <c r="E11451">
        <v>1.6379999999999999</v>
      </c>
    </row>
    <row r="11452" spans="1:5">
      <c r="A11452" t="s">
        <v>41197</v>
      </c>
      <c r="B11452" t="s">
        <v>25112</v>
      </c>
      <c r="C11452">
        <f>0</f>
        <v>0</v>
      </c>
      <c r="D11452" t="s">
        <v>106</v>
      </c>
      <c r="E11452">
        <v>1.6379999999999999</v>
      </c>
    </row>
    <row r="11453" spans="1:5">
      <c r="A11453" t="s">
        <v>41197</v>
      </c>
      <c r="B11453" t="s">
        <v>25114</v>
      </c>
      <c r="C11453">
        <v>0</v>
      </c>
      <c r="D11453" t="s">
        <v>106</v>
      </c>
      <c r="E11453">
        <v>1.6379999999999999</v>
      </c>
    </row>
    <row r="11454" spans="1:5">
      <c r="A11454" t="s">
        <v>41197</v>
      </c>
      <c r="B11454" t="s">
        <v>25110</v>
      </c>
      <c r="C11454">
        <v>0</v>
      </c>
      <c r="D11454" t="s">
        <v>106</v>
      </c>
      <c r="E11454">
        <v>1.6379999999999999</v>
      </c>
    </row>
    <row r="11455" spans="1:5">
      <c r="A11455" t="s">
        <v>41197</v>
      </c>
      <c r="B11455" t="s">
        <v>25111</v>
      </c>
      <c r="C11455">
        <v>0</v>
      </c>
      <c r="D11455" t="s">
        <v>106</v>
      </c>
      <c r="E11455">
        <v>1.6379999999999999</v>
      </c>
    </row>
    <row r="11456" spans="1:5">
      <c r="A11456" t="s">
        <v>41197</v>
      </c>
      <c r="B11456" t="s">
        <v>25115</v>
      </c>
      <c r="C11456">
        <v>0</v>
      </c>
      <c r="D11456" t="s">
        <v>106</v>
      </c>
      <c r="E11456">
        <v>1.6379999999999999</v>
      </c>
    </row>
    <row r="11457" spans="1:5">
      <c r="A11457" t="s">
        <v>41197</v>
      </c>
      <c r="B11457" t="s">
        <v>25109</v>
      </c>
      <c r="C11457">
        <v>0</v>
      </c>
      <c r="D11457" t="s">
        <v>106</v>
      </c>
      <c r="E11457">
        <v>1.6379999999999999</v>
      </c>
    </row>
    <row r="11458" spans="1:5">
      <c r="A11458" t="s">
        <v>41198</v>
      </c>
      <c r="B11458" t="s">
        <v>4178</v>
      </c>
      <c r="C11458">
        <v>0</v>
      </c>
      <c r="D11458">
        <v>0.98146747725200001</v>
      </c>
      <c r="E11458">
        <v>3.78</v>
      </c>
    </row>
    <row r="11459" spans="1:5">
      <c r="A11459" t="s">
        <v>41198</v>
      </c>
      <c r="B11459" t="s">
        <v>4177</v>
      </c>
      <c r="C11459">
        <v>1.1028820741600001</v>
      </c>
      <c r="D11459">
        <v>0.98146747725200001</v>
      </c>
      <c r="E11459">
        <v>3.78</v>
      </c>
    </row>
    <row r="11460" spans="1:5">
      <c r="A11460" t="s">
        <v>41198</v>
      </c>
      <c r="B11460" t="s">
        <v>41199</v>
      </c>
      <c r="C11460">
        <v>0</v>
      </c>
      <c r="D11460">
        <v>0.98146747725200001</v>
      </c>
      <c r="E11460">
        <v>3.78</v>
      </c>
    </row>
    <row r="11461" spans="1:5">
      <c r="A11461" t="s">
        <v>41198</v>
      </c>
      <c r="B11461" t="s">
        <v>4179</v>
      </c>
      <c r="C11461">
        <f>0.177183217305</f>
        <v>0.177183217305</v>
      </c>
      <c r="D11461">
        <v>0.98146747725200001</v>
      </c>
      <c r="E11461">
        <v>3.78</v>
      </c>
    </row>
    <row r="11462" spans="1:5">
      <c r="A11462" t="s">
        <v>41200</v>
      </c>
      <c r="B11462" t="s">
        <v>10786</v>
      </c>
      <c r="C11462">
        <f>0.479778163124</f>
        <v>0.47977816312400001</v>
      </c>
      <c r="D11462">
        <v>0.98102248070300002</v>
      </c>
      <c r="E11462">
        <v>0</v>
      </c>
    </row>
    <row r="11463" spans="1:5">
      <c r="A11463" t="s">
        <v>41200</v>
      </c>
      <c r="B11463" t="s">
        <v>10781</v>
      </c>
      <c r="C11463">
        <v>0.93727066212300003</v>
      </c>
      <c r="D11463">
        <v>0.98102248070300002</v>
      </c>
      <c r="E11463">
        <v>0</v>
      </c>
    </row>
    <row r="11464" spans="1:5">
      <c r="A11464" t="s">
        <v>41200</v>
      </c>
      <c r="B11464" t="s">
        <v>10789</v>
      </c>
      <c r="C11464">
        <v>0.19024763398</v>
      </c>
      <c r="D11464">
        <v>0.98102248070300002</v>
      </c>
      <c r="E11464">
        <v>0</v>
      </c>
    </row>
    <row r="11465" spans="1:5">
      <c r="A11465" t="s">
        <v>41200</v>
      </c>
      <c r="B11465" t="s">
        <v>10782</v>
      </c>
      <c r="C11465">
        <v>0</v>
      </c>
      <c r="D11465">
        <v>0.98102248070300002</v>
      </c>
      <c r="E11465">
        <v>0</v>
      </c>
    </row>
    <row r="11466" spans="1:5">
      <c r="A11466" t="s">
        <v>41200</v>
      </c>
      <c r="B11466" t="s">
        <v>10784</v>
      </c>
      <c r="C11466">
        <v>2.2520005515999999E-2</v>
      </c>
      <c r="D11466">
        <v>0.98102248070300002</v>
      </c>
      <c r="E11466">
        <v>0</v>
      </c>
    </row>
    <row r="11467" spans="1:5">
      <c r="A11467" t="s">
        <v>41201</v>
      </c>
      <c r="B11467" t="s">
        <v>23462</v>
      </c>
      <c r="C11467">
        <v>0</v>
      </c>
      <c r="D11467" t="s">
        <v>106</v>
      </c>
      <c r="E11467">
        <v>6.9359999999999999</v>
      </c>
    </row>
    <row r="11468" spans="1:5">
      <c r="A11468" t="s">
        <v>41201</v>
      </c>
      <c r="B11468" t="s">
        <v>23465</v>
      </c>
      <c r="C11468">
        <f>0</f>
        <v>0</v>
      </c>
      <c r="D11468" t="s">
        <v>106</v>
      </c>
      <c r="E11468">
        <v>6.9359999999999999</v>
      </c>
    </row>
    <row r="11469" spans="1:5">
      <c r="A11469" t="s">
        <v>41201</v>
      </c>
      <c r="B11469" t="s">
        <v>23472</v>
      </c>
      <c r="C11469">
        <f>0</f>
        <v>0</v>
      </c>
      <c r="D11469" t="s">
        <v>106</v>
      </c>
      <c r="E11469">
        <v>6.9359999999999999</v>
      </c>
    </row>
    <row r="11470" spans="1:5">
      <c r="A11470" t="s">
        <v>41201</v>
      </c>
      <c r="B11470" t="s">
        <v>23464</v>
      </c>
      <c r="C11470">
        <f>0</f>
        <v>0</v>
      </c>
      <c r="D11470" t="s">
        <v>106</v>
      </c>
      <c r="E11470">
        <v>6.9359999999999999</v>
      </c>
    </row>
    <row r="11471" spans="1:5">
      <c r="A11471" t="s">
        <v>41201</v>
      </c>
      <c r="B11471" t="s">
        <v>23469</v>
      </c>
      <c r="C11471">
        <f>0</f>
        <v>0</v>
      </c>
      <c r="D11471" t="s">
        <v>106</v>
      </c>
      <c r="E11471">
        <v>6.9359999999999999</v>
      </c>
    </row>
    <row r="11472" spans="1:5">
      <c r="A11472" t="s">
        <v>41201</v>
      </c>
      <c r="B11472" t="s">
        <v>23467</v>
      </c>
      <c r="C11472">
        <f>0</f>
        <v>0</v>
      </c>
      <c r="D11472" t="s">
        <v>106</v>
      </c>
      <c r="E11472">
        <v>6.9359999999999999</v>
      </c>
    </row>
    <row r="11473" spans="1:5">
      <c r="A11473" t="s">
        <v>41202</v>
      </c>
      <c r="B11473" t="s">
        <v>5408</v>
      </c>
      <c r="C11473">
        <v>0.75910340445199997</v>
      </c>
      <c r="D11473">
        <v>0.98146235682399996</v>
      </c>
      <c r="E11473">
        <v>10.878</v>
      </c>
    </row>
    <row r="11474" spans="1:5">
      <c r="A11474" t="s">
        <v>41202</v>
      </c>
      <c r="B11474" t="s">
        <v>5411</v>
      </c>
      <c r="C11474">
        <f>0.31020741894</f>
        <v>0.31020741893999998</v>
      </c>
      <c r="D11474">
        <v>0.98146235682399996</v>
      </c>
      <c r="E11474">
        <v>10.878</v>
      </c>
    </row>
    <row r="11475" spans="1:5">
      <c r="A11475" t="s">
        <v>41202</v>
      </c>
      <c r="B11475" t="s">
        <v>5410</v>
      </c>
      <c r="C11475">
        <v>0.60766012874599995</v>
      </c>
      <c r="D11475">
        <v>0.98146235682399996</v>
      </c>
      <c r="E11475">
        <v>10.878</v>
      </c>
    </row>
    <row r="11476" spans="1:5">
      <c r="A11476" t="s">
        <v>41202</v>
      </c>
      <c r="B11476" t="s">
        <v>5409</v>
      </c>
      <c r="C11476">
        <v>0.16670732986100001</v>
      </c>
      <c r="D11476">
        <v>0.98146235682399996</v>
      </c>
      <c r="E11476">
        <v>10.878</v>
      </c>
    </row>
    <row r="11477" spans="1:5">
      <c r="A11477" t="s">
        <v>41202</v>
      </c>
      <c r="B11477" t="s">
        <v>5412</v>
      </c>
      <c r="C11477">
        <v>5.4145615502700001E-2</v>
      </c>
      <c r="D11477">
        <v>0.98146235682399996</v>
      </c>
      <c r="E11477">
        <v>10.878</v>
      </c>
    </row>
    <row r="11478" spans="1:5">
      <c r="A11478" t="s">
        <v>41203</v>
      </c>
      <c r="B11478" t="s">
        <v>11202</v>
      </c>
      <c r="C11478">
        <v>0</v>
      </c>
      <c r="D11478" t="s">
        <v>106</v>
      </c>
      <c r="E11478">
        <v>24</v>
      </c>
    </row>
    <row r="11479" spans="1:5">
      <c r="A11479" t="s">
        <v>41203</v>
      </c>
      <c r="B11479" t="s">
        <v>11200</v>
      </c>
      <c r="C11479">
        <v>0</v>
      </c>
      <c r="D11479" t="s">
        <v>106</v>
      </c>
      <c r="E11479">
        <v>24</v>
      </c>
    </row>
    <row r="11480" spans="1:5">
      <c r="A11480" t="s">
        <v>41203</v>
      </c>
      <c r="B11480" t="s">
        <v>11208</v>
      </c>
      <c r="C11480">
        <f>0</f>
        <v>0</v>
      </c>
      <c r="D11480" t="s">
        <v>106</v>
      </c>
      <c r="E11480">
        <v>24</v>
      </c>
    </row>
    <row r="11481" spans="1:5">
      <c r="A11481" t="s">
        <v>41203</v>
      </c>
      <c r="B11481" t="s">
        <v>11207</v>
      </c>
      <c r="C11481">
        <f>0</f>
        <v>0</v>
      </c>
      <c r="D11481" t="s">
        <v>106</v>
      </c>
      <c r="E11481">
        <v>24</v>
      </c>
    </row>
    <row r="11482" spans="1:5">
      <c r="A11482" t="s">
        <v>41203</v>
      </c>
      <c r="B11482" t="s">
        <v>11205</v>
      </c>
      <c r="C11482">
        <v>0</v>
      </c>
      <c r="D11482" t="s">
        <v>106</v>
      </c>
      <c r="E11482">
        <v>24</v>
      </c>
    </row>
    <row r="11483" spans="1:5">
      <c r="A11483" t="s">
        <v>41203</v>
      </c>
      <c r="B11483" t="s">
        <v>11206</v>
      </c>
      <c r="C11483">
        <v>0</v>
      </c>
      <c r="D11483" t="s">
        <v>106</v>
      </c>
      <c r="E11483">
        <v>24</v>
      </c>
    </row>
    <row r="11484" spans="1:5">
      <c r="A11484" t="s">
        <v>41203</v>
      </c>
      <c r="B11484" t="s">
        <v>11201</v>
      </c>
      <c r="C11484">
        <f>0</f>
        <v>0</v>
      </c>
      <c r="D11484" t="s">
        <v>106</v>
      </c>
      <c r="E11484">
        <v>24</v>
      </c>
    </row>
    <row r="11485" spans="1:5">
      <c r="A11485" t="s">
        <v>41203</v>
      </c>
      <c r="B11485" t="s">
        <v>11203</v>
      </c>
      <c r="C11485">
        <f>0</f>
        <v>0</v>
      </c>
      <c r="D11485" t="s">
        <v>106</v>
      </c>
      <c r="E11485">
        <v>24</v>
      </c>
    </row>
    <row r="11486" spans="1:5">
      <c r="A11486" t="s">
        <v>41203</v>
      </c>
      <c r="B11486" t="s">
        <v>11204</v>
      </c>
      <c r="C11486">
        <f>0</f>
        <v>0</v>
      </c>
      <c r="D11486" t="s">
        <v>106</v>
      </c>
      <c r="E11486">
        <v>24</v>
      </c>
    </row>
    <row r="11487" spans="1:5">
      <c r="A11487" t="s">
        <v>41204</v>
      </c>
      <c r="B11487" t="s">
        <v>15249</v>
      </c>
      <c r="C11487">
        <f>0.0449564353518</f>
        <v>4.4956435351800002E-2</v>
      </c>
      <c r="D11487">
        <v>0.99996467547300005</v>
      </c>
      <c r="E11487">
        <v>23.52</v>
      </c>
    </row>
    <row r="11488" spans="1:5">
      <c r="A11488" t="s">
        <v>41204</v>
      </c>
      <c r="B11488" t="s">
        <v>15242</v>
      </c>
      <c r="C11488">
        <v>1.2697682852200001</v>
      </c>
      <c r="D11488">
        <v>0.99996467547300005</v>
      </c>
      <c r="E11488">
        <v>23.52</v>
      </c>
    </row>
    <row r="11489" spans="1:5">
      <c r="A11489" t="s">
        <v>41204</v>
      </c>
      <c r="B11489" t="s">
        <v>15243</v>
      </c>
      <c r="C11489">
        <v>6.0229114315799998E-2</v>
      </c>
      <c r="D11489">
        <v>0.99996467547300005</v>
      </c>
      <c r="E11489">
        <v>23.52</v>
      </c>
    </row>
    <row r="11490" spans="1:5">
      <c r="A11490" t="s">
        <v>41204</v>
      </c>
      <c r="B11490" t="s">
        <v>15246</v>
      </c>
      <c r="C11490">
        <f>0.27508678648</f>
        <v>0.27508678648000001</v>
      </c>
      <c r="D11490">
        <v>0.99996467547300005</v>
      </c>
      <c r="E11490">
        <v>23.52</v>
      </c>
    </row>
    <row r="11491" spans="1:5">
      <c r="A11491" t="s">
        <v>41204</v>
      </c>
      <c r="B11491" t="s">
        <v>15245</v>
      </c>
      <c r="C11491">
        <f>0.249723414727</f>
        <v>0.24972341472699999</v>
      </c>
      <c r="D11491">
        <v>0.99996467547300005</v>
      </c>
      <c r="E11491">
        <v>23.52</v>
      </c>
    </row>
    <row r="11492" spans="1:5">
      <c r="A11492" t="s">
        <v>41204</v>
      </c>
      <c r="B11492" t="s">
        <v>15248</v>
      </c>
      <c r="C11492">
        <v>3.2020572190700002E-2</v>
      </c>
      <c r="D11492">
        <v>0.99996467547300005</v>
      </c>
      <c r="E11492">
        <v>23.52</v>
      </c>
    </row>
    <row r="11493" spans="1:5">
      <c r="A11493" t="s">
        <v>41204</v>
      </c>
      <c r="B11493" t="s">
        <v>15244</v>
      </c>
      <c r="C11493">
        <v>5.1921714571399998E-2</v>
      </c>
      <c r="D11493">
        <v>0.99996467547300005</v>
      </c>
      <c r="E11493">
        <v>23.52</v>
      </c>
    </row>
    <row r="11494" spans="1:5">
      <c r="A11494" t="s">
        <v>41204</v>
      </c>
      <c r="B11494" t="s">
        <v>15247</v>
      </c>
      <c r="C11494">
        <f>0.271432245288</f>
        <v>0.27143224528799997</v>
      </c>
      <c r="D11494">
        <v>0.99996467547300005</v>
      </c>
      <c r="E11494">
        <v>23.52</v>
      </c>
    </row>
    <row r="11495" spans="1:5">
      <c r="A11495" t="s">
        <v>41205</v>
      </c>
      <c r="B11495" t="s">
        <v>41206</v>
      </c>
      <c r="C11495">
        <v>0</v>
      </c>
      <c r="D11495" t="s">
        <v>106</v>
      </c>
      <c r="E11495">
        <v>0.192</v>
      </c>
    </row>
    <row r="11496" spans="1:5">
      <c r="A11496" t="s">
        <v>41205</v>
      </c>
      <c r="B11496" t="s">
        <v>41207</v>
      </c>
      <c r="C11496">
        <v>0</v>
      </c>
      <c r="D11496" t="s">
        <v>106</v>
      </c>
      <c r="E11496">
        <v>0.192</v>
      </c>
    </row>
    <row r="11497" spans="1:5">
      <c r="A11497" t="s">
        <v>41208</v>
      </c>
      <c r="B11497" t="s">
        <v>32198</v>
      </c>
      <c r="C11497">
        <f>0.497569178132</f>
        <v>0.49756917813200002</v>
      </c>
      <c r="D11497">
        <v>0.67636880153800005</v>
      </c>
      <c r="E11497">
        <v>0.06</v>
      </c>
    </row>
    <row r="11498" spans="1:5">
      <c r="A11498" t="s">
        <v>41208</v>
      </c>
      <c r="B11498" t="s">
        <v>32199</v>
      </c>
      <c r="C11498">
        <f>0.022461543406</f>
        <v>2.2461543406000001E-2</v>
      </c>
      <c r="D11498">
        <v>0.67636880153800005</v>
      </c>
      <c r="E11498">
        <v>0.06</v>
      </c>
    </row>
    <row r="11499" spans="1:5">
      <c r="A11499" t="s">
        <v>41208</v>
      </c>
      <c r="B11499" t="s">
        <v>32201</v>
      </c>
      <c r="C11499">
        <f>0</f>
        <v>0</v>
      </c>
      <c r="D11499">
        <v>0.67636880153800005</v>
      </c>
      <c r="E11499">
        <v>0.06</v>
      </c>
    </row>
    <row r="11500" spans="1:5">
      <c r="A11500" t="s">
        <v>41209</v>
      </c>
      <c r="B11500" t="s">
        <v>25298</v>
      </c>
      <c r="C11500">
        <v>0</v>
      </c>
      <c r="D11500" t="s">
        <v>106</v>
      </c>
      <c r="E11500">
        <v>24</v>
      </c>
    </row>
    <row r="11501" spans="1:5">
      <c r="A11501" t="s">
        <v>41209</v>
      </c>
      <c r="B11501" t="s">
        <v>25302</v>
      </c>
      <c r="C11501">
        <v>0</v>
      </c>
      <c r="D11501" t="s">
        <v>106</v>
      </c>
      <c r="E11501">
        <v>24</v>
      </c>
    </row>
    <row r="11502" spans="1:5">
      <c r="A11502" t="s">
        <v>41209</v>
      </c>
      <c r="B11502" t="s">
        <v>25299</v>
      </c>
      <c r="C11502">
        <f>0</f>
        <v>0</v>
      </c>
      <c r="D11502" t="s">
        <v>106</v>
      </c>
      <c r="E11502">
        <v>24</v>
      </c>
    </row>
    <row r="11503" spans="1:5">
      <c r="A11503" t="s">
        <v>41209</v>
      </c>
      <c r="B11503" t="s">
        <v>25303</v>
      </c>
      <c r="C11503">
        <v>0</v>
      </c>
      <c r="D11503" t="s">
        <v>106</v>
      </c>
      <c r="E11503">
        <v>24</v>
      </c>
    </row>
    <row r="11504" spans="1:5">
      <c r="A11504" t="s">
        <v>41209</v>
      </c>
      <c r="B11504" t="s">
        <v>25301</v>
      </c>
      <c r="C11504">
        <v>0</v>
      </c>
      <c r="D11504" t="s">
        <v>106</v>
      </c>
      <c r="E11504">
        <v>24</v>
      </c>
    </row>
    <row r="11505" spans="1:5">
      <c r="A11505" t="s">
        <v>41210</v>
      </c>
      <c r="B11505" t="s">
        <v>17943</v>
      </c>
      <c r="C11505">
        <f>0</f>
        <v>0</v>
      </c>
      <c r="D11505" t="s">
        <v>106</v>
      </c>
      <c r="E11505">
        <v>4.17</v>
      </c>
    </row>
    <row r="11506" spans="1:5">
      <c r="A11506" t="s">
        <v>41210</v>
      </c>
      <c r="B11506" t="s">
        <v>17946</v>
      </c>
      <c r="C11506">
        <v>0</v>
      </c>
      <c r="D11506" t="s">
        <v>106</v>
      </c>
      <c r="E11506">
        <v>4.17</v>
      </c>
    </row>
    <row r="11507" spans="1:5">
      <c r="A11507" t="s">
        <v>41210</v>
      </c>
      <c r="B11507" t="s">
        <v>17947</v>
      </c>
      <c r="C11507">
        <v>0</v>
      </c>
      <c r="D11507" t="s">
        <v>106</v>
      </c>
      <c r="E11507">
        <v>4.17</v>
      </c>
    </row>
    <row r="11508" spans="1:5">
      <c r="A11508" t="s">
        <v>41210</v>
      </c>
      <c r="B11508" t="s">
        <v>17951</v>
      </c>
      <c r="C11508">
        <f>0</f>
        <v>0</v>
      </c>
      <c r="D11508" t="s">
        <v>106</v>
      </c>
      <c r="E11508">
        <v>4.17</v>
      </c>
    </row>
    <row r="11509" spans="1:5">
      <c r="A11509" t="s">
        <v>41210</v>
      </c>
      <c r="B11509" t="s">
        <v>17953</v>
      </c>
      <c r="C11509">
        <v>0</v>
      </c>
      <c r="D11509" t="s">
        <v>106</v>
      </c>
      <c r="E11509">
        <v>4.17</v>
      </c>
    </row>
    <row r="11510" spans="1:5">
      <c r="A11510" t="s">
        <v>41210</v>
      </c>
      <c r="B11510" t="s">
        <v>17949</v>
      </c>
      <c r="C11510">
        <v>0</v>
      </c>
      <c r="D11510" t="s">
        <v>106</v>
      </c>
      <c r="E11510">
        <v>4.17</v>
      </c>
    </row>
    <row r="11511" spans="1:5">
      <c r="A11511" t="s">
        <v>41210</v>
      </c>
      <c r="B11511" t="s">
        <v>17960</v>
      </c>
      <c r="C11511">
        <v>0</v>
      </c>
      <c r="D11511" t="s">
        <v>106</v>
      </c>
      <c r="E11511">
        <v>4.17</v>
      </c>
    </row>
    <row r="11512" spans="1:5">
      <c r="A11512" t="s">
        <v>41210</v>
      </c>
      <c r="B11512" t="s">
        <v>17957</v>
      </c>
      <c r="C11512">
        <v>0</v>
      </c>
      <c r="D11512" t="s">
        <v>106</v>
      </c>
      <c r="E11512">
        <v>4.17</v>
      </c>
    </row>
    <row r="11513" spans="1:5">
      <c r="A11513" t="s">
        <v>41210</v>
      </c>
      <c r="B11513" t="s">
        <v>17955</v>
      </c>
      <c r="C11513">
        <v>0</v>
      </c>
      <c r="D11513" t="s">
        <v>106</v>
      </c>
      <c r="E11513">
        <v>4.17</v>
      </c>
    </row>
    <row r="11514" spans="1:5">
      <c r="A11514" t="s">
        <v>41210</v>
      </c>
      <c r="B11514" t="s">
        <v>17954</v>
      </c>
      <c r="C11514">
        <v>0</v>
      </c>
      <c r="D11514" t="s">
        <v>106</v>
      </c>
      <c r="E11514">
        <v>4.17</v>
      </c>
    </row>
    <row r="11515" spans="1:5">
      <c r="A11515" t="s">
        <v>41210</v>
      </c>
      <c r="B11515" t="s">
        <v>17944</v>
      </c>
      <c r="C11515">
        <f>0</f>
        <v>0</v>
      </c>
      <c r="D11515" t="s">
        <v>106</v>
      </c>
      <c r="E11515">
        <v>4.17</v>
      </c>
    </row>
    <row r="11516" spans="1:5">
      <c r="A11516" t="s">
        <v>41211</v>
      </c>
      <c r="B11516" t="s">
        <v>22976</v>
      </c>
      <c r="C11516">
        <v>0.62949530698400002</v>
      </c>
      <c r="D11516">
        <v>0.79996134032999999</v>
      </c>
      <c r="E11516">
        <v>24</v>
      </c>
    </row>
    <row r="11517" spans="1:5">
      <c r="A11517" t="s">
        <v>41211</v>
      </c>
      <c r="B11517" t="s">
        <v>22978</v>
      </c>
      <c r="C11517">
        <v>0</v>
      </c>
      <c r="D11517">
        <v>0.79996134032999999</v>
      </c>
      <c r="E11517">
        <v>24</v>
      </c>
    </row>
    <row r="11518" spans="1:5">
      <c r="A11518" t="s">
        <v>41211</v>
      </c>
      <c r="B11518" t="s">
        <v>22981</v>
      </c>
      <c r="C11518">
        <v>0.31159318417600002</v>
      </c>
      <c r="D11518">
        <v>0.79996134032999999</v>
      </c>
      <c r="E11518">
        <v>24</v>
      </c>
    </row>
    <row r="11519" spans="1:5">
      <c r="A11519" t="s">
        <v>41211</v>
      </c>
      <c r="B11519" t="s">
        <v>22975</v>
      </c>
      <c r="C11519">
        <v>0</v>
      </c>
      <c r="D11519">
        <v>0.79996134032999999</v>
      </c>
      <c r="E11519">
        <v>24</v>
      </c>
    </row>
    <row r="11520" spans="1:5">
      <c r="A11520" t="s">
        <v>41212</v>
      </c>
      <c r="B11520" t="s">
        <v>41213</v>
      </c>
      <c r="C11520">
        <v>9.4369304383499997E-2</v>
      </c>
      <c r="D11520">
        <v>0.92104346045399998</v>
      </c>
      <c r="E11520">
        <v>10.554</v>
      </c>
    </row>
    <row r="11521" spans="1:5">
      <c r="A11521" t="s">
        <v>41212</v>
      </c>
      <c r="B11521" t="s">
        <v>41214</v>
      </c>
      <c r="C11521">
        <f>0</f>
        <v>0</v>
      </c>
      <c r="D11521">
        <v>0.92104346045399998</v>
      </c>
      <c r="E11521">
        <v>10.554</v>
      </c>
    </row>
    <row r="11522" spans="1:5">
      <c r="A11522" t="s">
        <v>41212</v>
      </c>
      <c r="B11522" t="s">
        <v>41215</v>
      </c>
      <c r="C11522">
        <f>0.111944778696</f>
        <v>0.111944778696</v>
      </c>
      <c r="D11522">
        <v>0.92104346045399998</v>
      </c>
      <c r="E11522">
        <v>10.554</v>
      </c>
    </row>
    <row r="11523" spans="1:5">
      <c r="A11523" t="s">
        <v>41212</v>
      </c>
      <c r="B11523" t="s">
        <v>41216</v>
      </c>
      <c r="C11523">
        <v>0</v>
      </c>
      <c r="D11523">
        <v>0.92104346045399998</v>
      </c>
      <c r="E11523">
        <v>10.554</v>
      </c>
    </row>
    <row r="11524" spans="1:5">
      <c r="A11524" t="s">
        <v>41212</v>
      </c>
      <c r="B11524" t="s">
        <v>41217</v>
      </c>
      <c r="C11524">
        <v>4.3676328571599999E-3</v>
      </c>
      <c r="D11524">
        <v>0.92104346045399998</v>
      </c>
      <c r="E11524">
        <v>10.554</v>
      </c>
    </row>
    <row r="11525" spans="1:5">
      <c r="A11525" t="s">
        <v>41212</v>
      </c>
      <c r="B11525" t="s">
        <v>41218</v>
      </c>
      <c r="C11525">
        <f>0</f>
        <v>0</v>
      </c>
      <c r="D11525">
        <v>0.92104346045399998</v>
      </c>
      <c r="E11525">
        <v>10.554</v>
      </c>
    </row>
    <row r="11526" spans="1:5">
      <c r="A11526" t="s">
        <v>41212</v>
      </c>
      <c r="B11526" t="s">
        <v>41219</v>
      </c>
      <c r="C11526">
        <f>0.718242342406</f>
        <v>0.71824234240600004</v>
      </c>
      <c r="D11526">
        <v>0.92104346045399998</v>
      </c>
      <c r="E11526">
        <v>10.554</v>
      </c>
    </row>
    <row r="11527" spans="1:5">
      <c r="A11527" t="s">
        <v>41212</v>
      </c>
      <c r="B11527" t="s">
        <v>41220</v>
      </c>
      <c r="C11527">
        <f>0</f>
        <v>0</v>
      </c>
      <c r="D11527">
        <v>0.92104346045399998</v>
      </c>
      <c r="E11527">
        <v>10.554</v>
      </c>
    </row>
    <row r="11528" spans="1:5">
      <c r="A11528" t="s">
        <v>41212</v>
      </c>
      <c r="B11528" t="s">
        <v>41221</v>
      </c>
      <c r="C11528">
        <f>0</f>
        <v>0</v>
      </c>
      <c r="D11528">
        <v>0.92104346045399998</v>
      </c>
      <c r="E11528">
        <v>10.554</v>
      </c>
    </row>
    <row r="11529" spans="1:5">
      <c r="A11529" t="s">
        <v>41212</v>
      </c>
      <c r="B11529" t="s">
        <v>41222</v>
      </c>
      <c r="C11529">
        <f>0</f>
        <v>0</v>
      </c>
      <c r="D11529">
        <v>0.92104346045399998</v>
      </c>
      <c r="E11529">
        <v>10.554</v>
      </c>
    </row>
    <row r="11530" spans="1:5">
      <c r="A11530" t="s">
        <v>41223</v>
      </c>
      <c r="B11530" t="s">
        <v>21764</v>
      </c>
      <c r="C11530">
        <v>0.27404056082099998</v>
      </c>
      <c r="D11530">
        <v>0.75182953788499995</v>
      </c>
      <c r="E11530">
        <v>9.9239999999999995</v>
      </c>
    </row>
    <row r="11531" spans="1:5">
      <c r="A11531" t="s">
        <v>41223</v>
      </c>
      <c r="B11531" t="s">
        <v>21765</v>
      </c>
      <c r="C11531">
        <v>0.261702786139</v>
      </c>
      <c r="D11531">
        <v>0.75182953788499995</v>
      </c>
      <c r="E11531">
        <v>9.9239999999999995</v>
      </c>
    </row>
    <row r="11532" spans="1:5">
      <c r="A11532" t="s">
        <v>41223</v>
      </c>
      <c r="B11532" t="s">
        <v>21769</v>
      </c>
      <c r="C11532">
        <v>0</v>
      </c>
      <c r="D11532">
        <v>0.75182953788499995</v>
      </c>
      <c r="E11532">
        <v>9.9239999999999995</v>
      </c>
    </row>
    <row r="11533" spans="1:5">
      <c r="A11533" t="s">
        <v>41223</v>
      </c>
      <c r="B11533" t="s">
        <v>21768</v>
      </c>
      <c r="C11533">
        <f>0.048627565575</f>
        <v>4.8627565574999997E-2</v>
      </c>
      <c r="D11533">
        <v>0.75182953788499995</v>
      </c>
      <c r="E11533">
        <v>9.9239999999999995</v>
      </c>
    </row>
    <row r="11534" spans="1:5">
      <c r="A11534" t="s">
        <v>41224</v>
      </c>
      <c r="B11534" t="s">
        <v>12195</v>
      </c>
      <c r="C11534">
        <v>0</v>
      </c>
      <c r="D11534" t="s">
        <v>106</v>
      </c>
      <c r="E11534">
        <v>0.73799999999999999</v>
      </c>
    </row>
    <row r="11535" spans="1:5">
      <c r="A11535" t="s">
        <v>41224</v>
      </c>
      <c r="B11535" t="s">
        <v>12196</v>
      </c>
      <c r="C11535">
        <v>0</v>
      </c>
      <c r="D11535" t="s">
        <v>106</v>
      </c>
      <c r="E11535">
        <v>0.73799999999999999</v>
      </c>
    </row>
    <row r="11536" spans="1:5">
      <c r="A11536" t="s">
        <v>41225</v>
      </c>
      <c r="B11536" t="s">
        <v>41226</v>
      </c>
      <c r="C11536">
        <v>0</v>
      </c>
      <c r="D11536">
        <v>0.93000049613900004</v>
      </c>
      <c r="E11536">
        <v>0.15</v>
      </c>
    </row>
    <row r="11537" spans="1:5">
      <c r="A11537" t="s">
        <v>41225</v>
      </c>
      <c r="B11537" t="s">
        <v>41227</v>
      </c>
      <c r="C11537">
        <v>0</v>
      </c>
      <c r="D11537">
        <v>0.93000049613900004</v>
      </c>
      <c r="E11537">
        <v>0.15</v>
      </c>
    </row>
    <row r="11538" spans="1:5">
      <c r="A11538" t="s">
        <v>41225</v>
      </c>
      <c r="B11538" t="s">
        <v>41228</v>
      </c>
      <c r="C11538">
        <v>0</v>
      </c>
      <c r="D11538">
        <v>0.93000049613900004</v>
      </c>
      <c r="E11538">
        <v>0.15</v>
      </c>
    </row>
    <row r="11539" spans="1:5">
      <c r="A11539" t="s">
        <v>41225</v>
      </c>
      <c r="B11539" t="s">
        <v>41229</v>
      </c>
      <c r="C11539">
        <v>0.88999049613900005</v>
      </c>
      <c r="D11539">
        <v>0.93000049613900004</v>
      </c>
      <c r="E11539">
        <v>0.15</v>
      </c>
    </row>
    <row r="11540" spans="1:5">
      <c r="A11540" t="s">
        <v>41230</v>
      </c>
      <c r="B11540" t="s">
        <v>41231</v>
      </c>
      <c r="C11540">
        <v>0</v>
      </c>
      <c r="D11540" t="s">
        <v>106</v>
      </c>
      <c r="E11540">
        <v>9.0180000000000007</v>
      </c>
    </row>
    <row r="11541" spans="1:5">
      <c r="A11541" t="s">
        <v>41230</v>
      </c>
      <c r="B11541" t="s">
        <v>41232</v>
      </c>
      <c r="C11541">
        <f>0</f>
        <v>0</v>
      </c>
      <c r="D11541" t="s">
        <v>106</v>
      </c>
      <c r="E11541">
        <v>9.0180000000000007</v>
      </c>
    </row>
    <row r="11542" spans="1:5">
      <c r="A11542" t="s">
        <v>41230</v>
      </c>
      <c r="B11542" t="s">
        <v>41233</v>
      </c>
      <c r="C11542">
        <f>0</f>
        <v>0</v>
      </c>
      <c r="D11542" t="s">
        <v>106</v>
      </c>
      <c r="E11542">
        <v>9.0180000000000007</v>
      </c>
    </row>
    <row r="11543" spans="1:5">
      <c r="A11543" t="s">
        <v>41230</v>
      </c>
      <c r="B11543" t="s">
        <v>41234</v>
      </c>
      <c r="C11543">
        <f>0</f>
        <v>0</v>
      </c>
      <c r="D11543" t="s">
        <v>106</v>
      </c>
      <c r="E11543">
        <v>9.0180000000000007</v>
      </c>
    </row>
    <row r="11544" spans="1:5">
      <c r="A11544" t="s">
        <v>41230</v>
      </c>
      <c r="B11544" t="s">
        <v>41235</v>
      </c>
      <c r="C11544">
        <f>0</f>
        <v>0</v>
      </c>
      <c r="D11544" t="s">
        <v>106</v>
      </c>
      <c r="E11544">
        <v>9.0180000000000007</v>
      </c>
    </row>
    <row r="11545" spans="1:5">
      <c r="A11545" t="s">
        <v>41230</v>
      </c>
      <c r="B11545" t="s">
        <v>41236</v>
      </c>
      <c r="C11545">
        <f>0</f>
        <v>0</v>
      </c>
      <c r="D11545" t="s">
        <v>106</v>
      </c>
      <c r="E11545">
        <v>9.0180000000000007</v>
      </c>
    </row>
    <row r="11546" spans="1:5">
      <c r="A11546" t="s">
        <v>41237</v>
      </c>
      <c r="B11546" t="s">
        <v>7905</v>
      </c>
      <c r="C11546">
        <f>0</f>
        <v>0</v>
      </c>
      <c r="D11546">
        <v>0.70440982114600004</v>
      </c>
      <c r="E11546">
        <v>4.5839999999999996</v>
      </c>
    </row>
    <row r="11547" spans="1:5">
      <c r="A11547" t="s">
        <v>41237</v>
      </c>
      <c r="B11547" t="s">
        <v>7904</v>
      </c>
      <c r="C11547">
        <f>0.082089249869</f>
        <v>8.2089249869E-2</v>
      </c>
      <c r="D11547">
        <v>0.70440982114600004</v>
      </c>
      <c r="E11547">
        <v>4.5839999999999996</v>
      </c>
    </row>
    <row r="11548" spans="1:5">
      <c r="A11548" t="s">
        <v>41237</v>
      </c>
      <c r="B11548" t="s">
        <v>7911</v>
      </c>
      <c r="C11548">
        <f>0.284061216452</f>
        <v>0.284061216452</v>
      </c>
      <c r="D11548">
        <v>0.70440982114600004</v>
      </c>
      <c r="E11548">
        <v>4.5839999999999996</v>
      </c>
    </row>
    <row r="11549" spans="1:5">
      <c r="A11549" t="s">
        <v>41237</v>
      </c>
      <c r="B11549" t="s">
        <v>7909</v>
      </c>
      <c r="C11549">
        <f>0.324647065276</f>
        <v>0.32464706527600001</v>
      </c>
      <c r="D11549">
        <v>0.70440982114600004</v>
      </c>
      <c r="E11549">
        <v>4.5839999999999996</v>
      </c>
    </row>
    <row r="11550" spans="1:5">
      <c r="A11550" t="s">
        <v>41238</v>
      </c>
      <c r="B11550" t="s">
        <v>29237</v>
      </c>
      <c r="C11550">
        <f>0.509034659514</f>
        <v>0.50903465951399995</v>
      </c>
      <c r="D11550">
        <v>0.99056905052400002</v>
      </c>
      <c r="E11550">
        <v>0.73799999999999999</v>
      </c>
    </row>
    <row r="11551" spans="1:5">
      <c r="A11551" t="s">
        <v>41238</v>
      </c>
      <c r="B11551" t="s">
        <v>29234</v>
      </c>
      <c r="C11551">
        <v>0.36378095947599998</v>
      </c>
      <c r="D11551">
        <v>0.99056905052400002</v>
      </c>
      <c r="E11551">
        <v>0.73799999999999999</v>
      </c>
    </row>
    <row r="11552" spans="1:5">
      <c r="A11552" t="s">
        <v>41238</v>
      </c>
      <c r="B11552" t="s">
        <v>29223</v>
      </c>
      <c r="C11552">
        <v>0</v>
      </c>
      <c r="D11552">
        <v>0.99056905052400002</v>
      </c>
      <c r="E11552">
        <v>0.73799999999999999</v>
      </c>
    </row>
    <row r="11553" spans="1:5">
      <c r="A11553" t="s">
        <v>41238</v>
      </c>
      <c r="B11553" t="s">
        <v>29226</v>
      </c>
      <c r="C11553">
        <v>0</v>
      </c>
      <c r="D11553">
        <v>0.99056905052400002</v>
      </c>
      <c r="E11553">
        <v>0.73799999999999999</v>
      </c>
    </row>
    <row r="11554" spans="1:5">
      <c r="A11554" t="s">
        <v>41238</v>
      </c>
      <c r="B11554" t="s">
        <v>29225</v>
      </c>
      <c r="C11554">
        <f>0</f>
        <v>0</v>
      </c>
      <c r="D11554">
        <v>0.99056905052400002</v>
      </c>
      <c r="E11554">
        <v>0.73799999999999999</v>
      </c>
    </row>
    <row r="11555" spans="1:5">
      <c r="A11555" t="s">
        <v>41238</v>
      </c>
      <c r="B11555" t="s">
        <v>29230</v>
      </c>
      <c r="C11555">
        <f>0.148262423869</f>
        <v>0.14826242386899999</v>
      </c>
      <c r="D11555">
        <v>0.99056905052400002</v>
      </c>
      <c r="E11555">
        <v>0.73799999999999999</v>
      </c>
    </row>
    <row r="11556" spans="1:5">
      <c r="A11556" t="s">
        <v>41238</v>
      </c>
      <c r="B11556" t="s">
        <v>29233</v>
      </c>
      <c r="C11556">
        <f>0.64245960356</f>
        <v>0.64245960355999998</v>
      </c>
      <c r="D11556">
        <v>0.99056905052400002</v>
      </c>
      <c r="E11556">
        <v>0.73799999999999999</v>
      </c>
    </row>
    <row r="11557" spans="1:5">
      <c r="A11557" t="s">
        <v>41238</v>
      </c>
      <c r="B11557" t="s">
        <v>29238</v>
      </c>
      <c r="C11557">
        <f>0.0561546754338</f>
        <v>5.6154675433799997E-2</v>
      </c>
      <c r="D11557">
        <v>0.99056905052400002</v>
      </c>
      <c r="E11557">
        <v>0.73799999999999999</v>
      </c>
    </row>
    <row r="11558" spans="1:5">
      <c r="A11558" t="s">
        <v>41238</v>
      </c>
      <c r="B11558" t="s">
        <v>29236</v>
      </c>
      <c r="C11558">
        <f>0.173213762159</f>
        <v>0.173213762159</v>
      </c>
      <c r="D11558">
        <v>0.99056905052400002</v>
      </c>
      <c r="E11558">
        <v>0.73799999999999999</v>
      </c>
    </row>
    <row r="11559" spans="1:5">
      <c r="A11559" t="s">
        <v>41239</v>
      </c>
      <c r="B11559" t="s">
        <v>9740</v>
      </c>
      <c r="C11559">
        <f>0</f>
        <v>0</v>
      </c>
      <c r="D11559" t="s">
        <v>106</v>
      </c>
      <c r="E11559">
        <v>0.318</v>
      </c>
    </row>
    <row r="11560" spans="1:5">
      <c r="A11560" t="s">
        <v>41239</v>
      </c>
      <c r="B11560" t="s">
        <v>9750</v>
      </c>
      <c r="C11560">
        <v>0</v>
      </c>
      <c r="D11560" t="s">
        <v>106</v>
      </c>
      <c r="E11560">
        <v>0.318</v>
      </c>
    </row>
    <row r="11561" spans="1:5">
      <c r="A11561" t="s">
        <v>41239</v>
      </c>
      <c r="B11561" t="s">
        <v>9744</v>
      </c>
      <c r="C11561">
        <v>0</v>
      </c>
      <c r="D11561" t="s">
        <v>106</v>
      </c>
      <c r="E11561">
        <v>0.318</v>
      </c>
    </row>
    <row r="11562" spans="1:5">
      <c r="A11562" t="s">
        <v>41239</v>
      </c>
      <c r="B11562" t="s">
        <v>9742</v>
      </c>
      <c r="C11562">
        <f>0</f>
        <v>0</v>
      </c>
      <c r="D11562" t="s">
        <v>106</v>
      </c>
      <c r="E11562">
        <v>0.318</v>
      </c>
    </row>
    <row r="11563" spans="1:5">
      <c r="A11563" t="s">
        <v>41239</v>
      </c>
      <c r="B11563" t="s">
        <v>9741</v>
      </c>
      <c r="C11563">
        <v>0</v>
      </c>
      <c r="D11563" t="s">
        <v>106</v>
      </c>
      <c r="E11563">
        <v>0.318</v>
      </c>
    </row>
    <row r="11564" spans="1:5">
      <c r="A11564" t="s">
        <v>41239</v>
      </c>
      <c r="B11564" t="s">
        <v>9743</v>
      </c>
      <c r="C11564">
        <v>0</v>
      </c>
      <c r="D11564" t="s">
        <v>106</v>
      </c>
      <c r="E11564">
        <v>0.318</v>
      </c>
    </row>
    <row r="11565" spans="1:5">
      <c r="A11565" t="s">
        <v>41240</v>
      </c>
      <c r="B11565" t="s">
        <v>6066</v>
      </c>
      <c r="C11565">
        <v>1.17012868957</v>
      </c>
      <c r="D11565">
        <v>0.92190849670300001</v>
      </c>
      <c r="E11565">
        <v>0.378</v>
      </c>
    </row>
    <row r="11566" spans="1:5">
      <c r="A11566" t="s">
        <v>41240</v>
      </c>
      <c r="B11566" t="s">
        <v>6068</v>
      </c>
      <c r="C11566">
        <v>0.51284558062700003</v>
      </c>
      <c r="D11566">
        <v>0.92190849670300001</v>
      </c>
      <c r="E11566">
        <v>0.378</v>
      </c>
    </row>
    <row r="11567" spans="1:5">
      <c r="A11567" t="s">
        <v>41240</v>
      </c>
      <c r="B11567" t="s">
        <v>6067</v>
      </c>
      <c r="C11567">
        <f>0.497394720626</f>
        <v>0.49739472062599999</v>
      </c>
      <c r="D11567">
        <v>0.92190849670300001</v>
      </c>
      <c r="E11567">
        <v>0.378</v>
      </c>
    </row>
    <row r="11568" spans="1:5">
      <c r="A11568" t="s">
        <v>41241</v>
      </c>
      <c r="B11568" t="s">
        <v>22256</v>
      </c>
      <c r="C11568">
        <v>0</v>
      </c>
      <c r="D11568" t="s">
        <v>106</v>
      </c>
      <c r="E11568">
        <v>21.42</v>
      </c>
    </row>
    <row r="11569" spans="1:5">
      <c r="A11569" t="s">
        <v>41241</v>
      </c>
      <c r="B11569" t="s">
        <v>22257</v>
      </c>
      <c r="C11569">
        <f>0</f>
        <v>0</v>
      </c>
      <c r="D11569" t="s">
        <v>106</v>
      </c>
      <c r="E11569">
        <v>21.42</v>
      </c>
    </row>
    <row r="11570" spans="1:5">
      <c r="A11570" t="s">
        <v>41241</v>
      </c>
      <c r="B11570" t="s">
        <v>22255</v>
      </c>
      <c r="C11570">
        <f>0</f>
        <v>0</v>
      </c>
      <c r="D11570" t="s">
        <v>106</v>
      </c>
      <c r="E11570">
        <v>21.42</v>
      </c>
    </row>
    <row r="11571" spans="1:5">
      <c r="A11571" t="s">
        <v>41241</v>
      </c>
      <c r="B11571" t="s">
        <v>22258</v>
      </c>
      <c r="C11571">
        <f>0</f>
        <v>0</v>
      </c>
      <c r="D11571" t="s">
        <v>106</v>
      </c>
      <c r="E11571">
        <v>21.42</v>
      </c>
    </row>
    <row r="11572" spans="1:5">
      <c r="A11572" t="s">
        <v>41241</v>
      </c>
      <c r="B11572" t="s">
        <v>22254</v>
      </c>
      <c r="C11572">
        <f>0</f>
        <v>0</v>
      </c>
      <c r="D11572" t="s">
        <v>106</v>
      </c>
      <c r="E11572">
        <v>21.42</v>
      </c>
    </row>
    <row r="11573" spans="1:5">
      <c r="A11573" t="s">
        <v>41242</v>
      </c>
      <c r="B11573" t="s">
        <v>32741</v>
      </c>
      <c r="C11573">
        <f>0.282444773038</f>
        <v>0.28244477303799997</v>
      </c>
      <c r="D11573">
        <v>0.98144416746999996</v>
      </c>
      <c r="E11573">
        <v>0.318</v>
      </c>
    </row>
    <row r="11574" spans="1:5">
      <c r="A11574" t="s">
        <v>41242</v>
      </c>
      <c r="B11574" t="s">
        <v>32745</v>
      </c>
      <c r="C11574">
        <v>0</v>
      </c>
      <c r="D11574">
        <v>0.98144416746999996</v>
      </c>
      <c r="E11574">
        <v>0.318</v>
      </c>
    </row>
    <row r="11575" spans="1:5">
      <c r="A11575" t="s">
        <v>41242</v>
      </c>
      <c r="B11575" t="s">
        <v>32740</v>
      </c>
      <c r="C11575">
        <f>0.430278796727</f>
        <v>0.43027879672699998</v>
      </c>
      <c r="D11575">
        <v>0.98144416746999996</v>
      </c>
      <c r="E11575">
        <v>0.318</v>
      </c>
    </row>
    <row r="11576" spans="1:5">
      <c r="A11576" t="s">
        <v>41242</v>
      </c>
      <c r="B11576" t="s">
        <v>32742</v>
      </c>
      <c r="C11576">
        <f>0.517489528568</f>
        <v>0.51748952856800001</v>
      </c>
      <c r="D11576">
        <v>0.98144416746999996</v>
      </c>
      <c r="E11576">
        <v>0.318</v>
      </c>
    </row>
    <row r="11577" spans="1:5">
      <c r="A11577" t="s">
        <v>41242</v>
      </c>
      <c r="B11577" t="s">
        <v>32743</v>
      </c>
      <c r="C11577">
        <v>0.15530137077299999</v>
      </c>
      <c r="D11577">
        <v>0.98144416746999996</v>
      </c>
      <c r="E11577">
        <v>0.318</v>
      </c>
    </row>
    <row r="11578" spans="1:5">
      <c r="A11578" t="s">
        <v>41243</v>
      </c>
      <c r="B11578" t="s">
        <v>4298</v>
      </c>
      <c r="C11578">
        <f>0.353578340547</f>
        <v>0.35357834054699999</v>
      </c>
      <c r="D11578">
        <v>0.974870020221</v>
      </c>
      <c r="E11578">
        <v>10.878</v>
      </c>
    </row>
    <row r="11579" spans="1:5">
      <c r="A11579" t="s">
        <v>41243</v>
      </c>
      <c r="B11579" t="s">
        <v>4300</v>
      </c>
      <c r="C11579">
        <v>0.120519637702</v>
      </c>
      <c r="D11579">
        <v>0.974870020221</v>
      </c>
      <c r="E11579">
        <v>10.878</v>
      </c>
    </row>
    <row r="11580" spans="1:5">
      <c r="A11580" t="s">
        <v>41243</v>
      </c>
      <c r="B11580" t="s">
        <v>4299</v>
      </c>
      <c r="C11580">
        <v>0.283623565957</v>
      </c>
      <c r="D11580">
        <v>0.974870020221</v>
      </c>
      <c r="E11580">
        <v>10.878</v>
      </c>
    </row>
    <row r="11581" spans="1:5">
      <c r="A11581" t="s">
        <v>41243</v>
      </c>
      <c r="B11581" t="s">
        <v>4303</v>
      </c>
      <c r="C11581">
        <f>0.771299100487</f>
        <v>0.77129910048700001</v>
      </c>
      <c r="D11581">
        <v>0.974870020221</v>
      </c>
      <c r="E11581">
        <v>10.878</v>
      </c>
    </row>
    <row r="11582" spans="1:5">
      <c r="A11582" t="s">
        <v>41243</v>
      </c>
      <c r="B11582" t="s">
        <v>4301</v>
      </c>
      <c r="C11582">
        <v>0</v>
      </c>
      <c r="D11582">
        <v>0.974870020221</v>
      </c>
      <c r="E11582">
        <v>10.878</v>
      </c>
    </row>
    <row r="11583" spans="1:5">
      <c r="A11583" t="s">
        <v>41243</v>
      </c>
      <c r="B11583" t="s">
        <v>4302</v>
      </c>
      <c r="C11583">
        <v>0.99558487315699995</v>
      </c>
      <c r="D11583">
        <v>0.974870020221</v>
      </c>
      <c r="E11583">
        <v>10.878</v>
      </c>
    </row>
    <row r="11584" spans="1:5">
      <c r="A11584" t="s">
        <v>41244</v>
      </c>
      <c r="B11584" t="s">
        <v>4797</v>
      </c>
      <c r="C11584">
        <v>0.24368112723900001</v>
      </c>
      <c r="D11584">
        <v>0.99264768346400001</v>
      </c>
      <c r="E11584">
        <v>1.968</v>
      </c>
    </row>
    <row r="11585" spans="1:5">
      <c r="A11585" t="s">
        <v>41244</v>
      </c>
      <c r="B11585" t="s">
        <v>4795</v>
      </c>
      <c r="C11585">
        <v>0.32111763089200002</v>
      </c>
      <c r="D11585">
        <v>0.99264768346400001</v>
      </c>
      <c r="E11585">
        <v>1.968</v>
      </c>
    </row>
    <row r="11586" spans="1:5">
      <c r="A11586" t="s">
        <v>41244</v>
      </c>
      <c r="B11586" t="s">
        <v>4796</v>
      </c>
      <c r="C11586">
        <v>0.52819522381899997</v>
      </c>
      <c r="D11586">
        <v>0.99264768346400001</v>
      </c>
      <c r="E11586">
        <v>1.968</v>
      </c>
    </row>
    <row r="11587" spans="1:5">
      <c r="A11587" t="s">
        <v>41245</v>
      </c>
      <c r="B11587" t="s">
        <v>41246</v>
      </c>
      <c r="C11587">
        <f>0</f>
        <v>0</v>
      </c>
      <c r="D11587">
        <v>0.993304927615</v>
      </c>
      <c r="E11587">
        <v>0</v>
      </c>
    </row>
    <row r="11588" spans="1:5">
      <c r="A11588" t="s">
        <v>41245</v>
      </c>
      <c r="B11588" t="s">
        <v>41247</v>
      </c>
      <c r="C11588">
        <v>0</v>
      </c>
      <c r="D11588">
        <v>0.993304927615</v>
      </c>
      <c r="E11588">
        <v>0</v>
      </c>
    </row>
    <row r="11589" spans="1:5">
      <c r="A11589" t="s">
        <v>41245</v>
      </c>
      <c r="B11589" t="s">
        <v>41248</v>
      </c>
      <c r="C11589">
        <v>0</v>
      </c>
      <c r="D11589">
        <v>0.993304927615</v>
      </c>
      <c r="E11589">
        <v>0</v>
      </c>
    </row>
    <row r="11590" spans="1:5">
      <c r="A11590" t="s">
        <v>41245</v>
      </c>
      <c r="B11590" t="s">
        <v>41249</v>
      </c>
      <c r="C11590">
        <f>0.403436740542</f>
        <v>0.40343674054200002</v>
      </c>
      <c r="D11590">
        <v>0.993304927615</v>
      </c>
      <c r="E11590">
        <v>0</v>
      </c>
    </row>
    <row r="11591" spans="1:5">
      <c r="A11591" t="s">
        <v>41245</v>
      </c>
      <c r="B11591" t="s">
        <v>41250</v>
      </c>
      <c r="C11591">
        <f>0</f>
        <v>0</v>
      </c>
      <c r="D11591">
        <v>0.993304927615</v>
      </c>
      <c r="E11591">
        <v>0</v>
      </c>
    </row>
    <row r="11592" spans="1:5">
      <c r="A11592" t="s">
        <v>41245</v>
      </c>
      <c r="B11592" t="s">
        <v>41251</v>
      </c>
      <c r="C11592">
        <v>0.15488725164700001</v>
      </c>
      <c r="D11592">
        <v>0.993304927615</v>
      </c>
      <c r="E11592">
        <v>0</v>
      </c>
    </row>
    <row r="11593" spans="1:5">
      <c r="A11593" t="s">
        <v>41245</v>
      </c>
      <c r="B11593" t="s">
        <v>41252</v>
      </c>
      <c r="C11593">
        <f>-1.15472968293</f>
        <v>-1.15472968293</v>
      </c>
      <c r="D11593">
        <v>0.993304927615</v>
      </c>
      <c r="E11593">
        <v>0</v>
      </c>
    </row>
    <row r="11594" spans="1:5">
      <c r="A11594" t="s">
        <v>41245</v>
      </c>
      <c r="B11594" t="s">
        <v>41253</v>
      </c>
      <c r="C11594">
        <v>0</v>
      </c>
      <c r="D11594">
        <v>0.993304927615</v>
      </c>
      <c r="E11594">
        <v>0</v>
      </c>
    </row>
    <row r="11595" spans="1:5">
      <c r="A11595" t="s">
        <v>41245</v>
      </c>
      <c r="B11595" t="s">
        <v>41254</v>
      </c>
      <c r="C11595">
        <v>0.37652011803399998</v>
      </c>
      <c r="D11595">
        <v>0.993304927615</v>
      </c>
      <c r="E11595">
        <v>0</v>
      </c>
    </row>
    <row r="11596" spans="1:5">
      <c r="A11596" t="s">
        <v>41245</v>
      </c>
      <c r="B11596" t="s">
        <v>41255</v>
      </c>
      <c r="C11596">
        <f>0.149447304311</f>
        <v>0.14944730431100001</v>
      </c>
      <c r="D11596">
        <v>0.993304927615</v>
      </c>
      <c r="E11596">
        <v>0</v>
      </c>
    </row>
    <row r="11597" spans="1:5">
      <c r="A11597" t="s">
        <v>41245</v>
      </c>
      <c r="B11597" t="s">
        <v>41256</v>
      </c>
      <c r="C11597">
        <v>5.9812375654299997E-2</v>
      </c>
      <c r="D11597">
        <v>0.993304927615</v>
      </c>
      <c r="E11597">
        <v>0</v>
      </c>
    </row>
    <row r="11598" spans="1:5">
      <c r="A11598" t="s">
        <v>41257</v>
      </c>
      <c r="B11598" t="s">
        <v>41258</v>
      </c>
      <c r="C11598">
        <f>0</f>
        <v>0</v>
      </c>
      <c r="D11598" t="s">
        <v>106</v>
      </c>
      <c r="E11598">
        <v>0.318</v>
      </c>
    </row>
    <row r="11599" spans="1:5">
      <c r="A11599" t="s">
        <v>41257</v>
      </c>
      <c r="B11599" t="s">
        <v>41259</v>
      </c>
      <c r="C11599">
        <v>0</v>
      </c>
      <c r="D11599" t="s">
        <v>106</v>
      </c>
      <c r="E11599">
        <v>0.318</v>
      </c>
    </row>
    <row r="11600" spans="1:5">
      <c r="A11600" t="s">
        <v>41257</v>
      </c>
      <c r="B11600" t="s">
        <v>41260</v>
      </c>
      <c r="C11600">
        <f>0</f>
        <v>0</v>
      </c>
      <c r="D11600" t="s">
        <v>106</v>
      </c>
      <c r="E11600">
        <v>0.318</v>
      </c>
    </row>
    <row r="11601" spans="1:5">
      <c r="A11601" t="s">
        <v>41261</v>
      </c>
      <c r="B11601" t="s">
        <v>34207</v>
      </c>
      <c r="C11601">
        <v>0.46272859184600001</v>
      </c>
      <c r="D11601">
        <v>0.69313859184600002</v>
      </c>
      <c r="E11601">
        <v>2.4E-2</v>
      </c>
    </row>
    <row r="11602" spans="1:5">
      <c r="A11602" t="s">
        <v>41261</v>
      </c>
      <c r="B11602" t="s">
        <v>34208</v>
      </c>
      <c r="C11602">
        <f>0</f>
        <v>0</v>
      </c>
      <c r="D11602">
        <v>0.69313859184600002</v>
      </c>
      <c r="E11602">
        <v>2.4E-2</v>
      </c>
    </row>
    <row r="11603" spans="1:5">
      <c r="A11603" t="s">
        <v>41262</v>
      </c>
      <c r="B11603" t="s">
        <v>27002</v>
      </c>
      <c r="C11603">
        <v>1.04893764888</v>
      </c>
      <c r="D11603">
        <v>0.92391774803500004</v>
      </c>
      <c r="E11603">
        <v>23.04</v>
      </c>
    </row>
    <row r="11604" spans="1:5">
      <c r="A11604" t="s">
        <v>41262</v>
      </c>
      <c r="B11604" t="s">
        <v>41263</v>
      </c>
      <c r="C11604">
        <f>0.209907729844</f>
        <v>0.209907729844</v>
      </c>
      <c r="D11604">
        <v>0.92391774803500004</v>
      </c>
      <c r="E11604">
        <v>23.04</v>
      </c>
    </row>
    <row r="11605" spans="1:5">
      <c r="A11605" t="s">
        <v>41264</v>
      </c>
      <c r="B11605" t="s">
        <v>28398</v>
      </c>
      <c r="C11605">
        <f>0</f>
        <v>0</v>
      </c>
      <c r="D11605">
        <v>0.99993170980199997</v>
      </c>
      <c r="E11605">
        <v>22.338000000000001</v>
      </c>
    </row>
    <row r="11606" spans="1:5">
      <c r="A11606" t="s">
        <v>41264</v>
      </c>
      <c r="B11606" t="s">
        <v>28397</v>
      </c>
      <c r="C11606">
        <f>0.626528093821</f>
        <v>0.62652809382100005</v>
      </c>
      <c r="D11606">
        <v>0.99993170980199997</v>
      </c>
      <c r="E11606">
        <v>22.338000000000001</v>
      </c>
    </row>
    <row r="11607" spans="1:5">
      <c r="A11607" t="s">
        <v>41264</v>
      </c>
      <c r="B11607" t="s">
        <v>28400</v>
      </c>
      <c r="C11607">
        <v>6.3801245909700002E-2</v>
      </c>
      <c r="D11607">
        <v>0.99993170980199997</v>
      </c>
      <c r="E11607">
        <v>22.338000000000001</v>
      </c>
    </row>
    <row r="11608" spans="1:5">
      <c r="A11608" t="s">
        <v>41264</v>
      </c>
      <c r="B11608" t="s">
        <v>28402</v>
      </c>
      <c r="C11608">
        <v>0</v>
      </c>
      <c r="D11608">
        <v>0.99993170980199997</v>
      </c>
      <c r="E11608">
        <v>22.338000000000001</v>
      </c>
    </row>
    <row r="11609" spans="1:5">
      <c r="A11609" t="s">
        <v>41264</v>
      </c>
      <c r="B11609" t="s">
        <v>28401</v>
      </c>
      <c r="C11609">
        <f>0.261566325035</f>
        <v>0.26156632503499999</v>
      </c>
      <c r="D11609">
        <v>0.99993170980199997</v>
      </c>
      <c r="E11609">
        <v>22.338000000000001</v>
      </c>
    </row>
    <row r="11610" spans="1:5">
      <c r="A11610" t="s">
        <v>41264</v>
      </c>
      <c r="B11610" t="s">
        <v>28399</v>
      </c>
      <c r="C11610">
        <f>0.100215176816</f>
        <v>0.10021517681600001</v>
      </c>
      <c r="D11610">
        <v>0.99993170980199997</v>
      </c>
      <c r="E11610">
        <v>22.338000000000001</v>
      </c>
    </row>
    <row r="11611" spans="1:5">
      <c r="A11611" t="s">
        <v>41264</v>
      </c>
      <c r="B11611" t="s">
        <v>28404</v>
      </c>
      <c r="C11611">
        <v>0.67834846872700005</v>
      </c>
      <c r="D11611">
        <v>0.99993170980199997</v>
      </c>
      <c r="E11611">
        <v>22.338000000000001</v>
      </c>
    </row>
    <row r="11612" spans="1:5">
      <c r="A11612" t="s">
        <v>41264</v>
      </c>
      <c r="B11612" t="s">
        <v>28406</v>
      </c>
      <c r="C11612">
        <v>0.48390887806299998</v>
      </c>
      <c r="D11612">
        <v>0.99993170980199997</v>
      </c>
      <c r="E11612">
        <v>22.338000000000001</v>
      </c>
    </row>
    <row r="11613" spans="1:5">
      <c r="A11613" t="s">
        <v>41264</v>
      </c>
      <c r="B11613" t="s">
        <v>28403</v>
      </c>
      <c r="C11613">
        <f>0.41027527661</f>
        <v>0.41027527661000002</v>
      </c>
      <c r="D11613">
        <v>0.99993170980199997</v>
      </c>
      <c r="E11613">
        <v>22.338000000000001</v>
      </c>
    </row>
    <row r="11614" spans="1:5">
      <c r="A11614" t="s">
        <v>41264</v>
      </c>
      <c r="B11614" t="s">
        <v>28405</v>
      </c>
      <c r="C11614">
        <v>0</v>
      </c>
      <c r="D11614">
        <v>0.99993170980199997</v>
      </c>
      <c r="E11614">
        <v>22.338000000000001</v>
      </c>
    </row>
    <row r="11615" spans="1:5">
      <c r="A11615" t="s">
        <v>41265</v>
      </c>
      <c r="B11615" t="s">
        <v>41266</v>
      </c>
      <c r="C11615">
        <v>0</v>
      </c>
      <c r="D11615" t="s">
        <v>106</v>
      </c>
      <c r="E11615">
        <v>12.917999999999999</v>
      </c>
    </row>
    <row r="11616" spans="1:5">
      <c r="A11616" t="s">
        <v>41265</v>
      </c>
      <c r="B11616" t="s">
        <v>41267</v>
      </c>
      <c r="C11616">
        <v>0</v>
      </c>
      <c r="D11616" t="s">
        <v>106</v>
      </c>
      <c r="E11616">
        <v>12.917999999999999</v>
      </c>
    </row>
    <row r="11617" spans="1:5">
      <c r="A11617" t="s">
        <v>41268</v>
      </c>
      <c r="B11617" t="s">
        <v>767</v>
      </c>
      <c r="C11617">
        <v>0</v>
      </c>
      <c r="D11617">
        <v>0.70658938703100005</v>
      </c>
      <c r="E11617">
        <v>5.7</v>
      </c>
    </row>
    <row r="11618" spans="1:5">
      <c r="A11618" t="s">
        <v>41268</v>
      </c>
      <c r="B11618" t="s">
        <v>770</v>
      </c>
      <c r="C11618">
        <v>0.26786240957000002</v>
      </c>
      <c r="D11618">
        <v>0.70658938703100005</v>
      </c>
      <c r="E11618">
        <v>5.7</v>
      </c>
    </row>
    <row r="11619" spans="1:5">
      <c r="A11619" t="s">
        <v>41268</v>
      </c>
      <c r="B11619" t="s">
        <v>768</v>
      </c>
      <c r="C11619">
        <v>0.25513575040499997</v>
      </c>
      <c r="D11619">
        <v>0.70658938703100005</v>
      </c>
      <c r="E11619">
        <v>5.7</v>
      </c>
    </row>
    <row r="11620" spans="1:5">
      <c r="A11620" t="s">
        <v>41268</v>
      </c>
      <c r="B11620" t="s">
        <v>766</v>
      </c>
      <c r="C11620">
        <v>0</v>
      </c>
      <c r="D11620">
        <v>0.70658938703100005</v>
      </c>
      <c r="E11620">
        <v>5.7</v>
      </c>
    </row>
    <row r="11621" spans="1:5">
      <c r="A11621" t="s">
        <v>41269</v>
      </c>
      <c r="B11621" t="s">
        <v>41270</v>
      </c>
      <c r="C11621">
        <f>0</f>
        <v>0</v>
      </c>
      <c r="D11621">
        <v>0.99815260145200002</v>
      </c>
      <c r="E11621">
        <v>10.715999999999999</v>
      </c>
    </row>
    <row r="11622" spans="1:5">
      <c r="A11622" t="s">
        <v>41269</v>
      </c>
      <c r="B11622" t="s">
        <v>41271</v>
      </c>
      <c r="C11622">
        <f>0.355120908294</f>
        <v>0.355120908294</v>
      </c>
      <c r="D11622">
        <v>0.99815260145200002</v>
      </c>
      <c r="E11622">
        <v>10.715999999999999</v>
      </c>
    </row>
    <row r="11623" spans="1:5">
      <c r="A11623" t="s">
        <v>41269</v>
      </c>
      <c r="B11623" t="s">
        <v>41272</v>
      </c>
      <c r="C11623">
        <v>8.4395124540700001E-2</v>
      </c>
      <c r="D11623">
        <v>0.99815260145200002</v>
      </c>
      <c r="E11623">
        <v>10.715999999999999</v>
      </c>
    </row>
    <row r="11624" spans="1:5">
      <c r="A11624" t="s">
        <v>41269</v>
      </c>
      <c r="B11624" t="s">
        <v>41273</v>
      </c>
      <c r="C11624">
        <f>0.0246466593691</f>
        <v>2.4646659369099998E-2</v>
      </c>
      <c r="D11624">
        <v>0.99815260145200002</v>
      </c>
      <c r="E11624">
        <v>10.715999999999999</v>
      </c>
    </row>
    <row r="11625" spans="1:5">
      <c r="A11625" t="s">
        <v>41269</v>
      </c>
      <c r="B11625" t="s">
        <v>41274</v>
      </c>
      <c r="C11625">
        <f>0.231776687138</f>
        <v>0.23177668713800001</v>
      </c>
      <c r="D11625">
        <v>0.99815260145200002</v>
      </c>
      <c r="E11625">
        <v>10.715999999999999</v>
      </c>
    </row>
    <row r="11626" spans="1:5">
      <c r="A11626" t="s">
        <v>41269</v>
      </c>
      <c r="B11626" t="s">
        <v>41275</v>
      </c>
      <c r="C11626">
        <f>0.202260475927</f>
        <v>0.202260475927</v>
      </c>
      <c r="D11626">
        <v>0.99815260145200002</v>
      </c>
      <c r="E11626">
        <v>10.715999999999999</v>
      </c>
    </row>
    <row r="11627" spans="1:5">
      <c r="A11627" t="s">
        <v>41269</v>
      </c>
      <c r="B11627" t="s">
        <v>41276</v>
      </c>
      <c r="C11627">
        <f>0.32010982259</f>
        <v>0.32010982258999998</v>
      </c>
      <c r="D11627">
        <v>0.99815260145200002</v>
      </c>
      <c r="E11627">
        <v>10.715999999999999</v>
      </c>
    </row>
    <row r="11628" spans="1:5">
      <c r="A11628" t="s">
        <v>41269</v>
      </c>
      <c r="B11628" t="s">
        <v>41277</v>
      </c>
      <c r="C11628">
        <f>0</f>
        <v>0</v>
      </c>
      <c r="D11628">
        <v>0.99815260145200002</v>
      </c>
      <c r="E11628">
        <v>10.715999999999999</v>
      </c>
    </row>
    <row r="11629" spans="1:5">
      <c r="A11629" t="s">
        <v>41269</v>
      </c>
      <c r="B11629" t="s">
        <v>41278</v>
      </c>
      <c r="C11629">
        <v>0</v>
      </c>
      <c r="D11629">
        <v>0.99815260145200002</v>
      </c>
      <c r="E11629">
        <v>10.715999999999999</v>
      </c>
    </row>
    <row r="11630" spans="1:5">
      <c r="A11630" t="s">
        <v>41269</v>
      </c>
      <c r="B11630" t="s">
        <v>41279</v>
      </c>
      <c r="C11630">
        <f>0.255527549361</f>
        <v>0.25552754936099997</v>
      </c>
      <c r="D11630">
        <v>0.99815260145200002</v>
      </c>
      <c r="E11630">
        <v>10.715999999999999</v>
      </c>
    </row>
    <row r="11631" spans="1:5">
      <c r="A11631" t="s">
        <v>41269</v>
      </c>
      <c r="B11631" t="s">
        <v>41280</v>
      </c>
      <c r="C11631">
        <f>0</f>
        <v>0</v>
      </c>
      <c r="D11631">
        <v>0.99815260145200002</v>
      </c>
      <c r="E11631">
        <v>10.715999999999999</v>
      </c>
    </row>
    <row r="11632" spans="1:5">
      <c r="A11632" t="s">
        <v>41269</v>
      </c>
      <c r="B11632" t="s">
        <v>41281</v>
      </c>
      <c r="C11632">
        <v>0</v>
      </c>
      <c r="D11632">
        <v>0.99815260145200002</v>
      </c>
      <c r="E11632">
        <v>10.715999999999999</v>
      </c>
    </row>
    <row r="11633" spans="1:5">
      <c r="A11633" t="s">
        <v>41269</v>
      </c>
      <c r="B11633" t="s">
        <v>41282</v>
      </c>
      <c r="C11633">
        <f>0</f>
        <v>0</v>
      </c>
      <c r="D11633">
        <v>0.99815260145200002</v>
      </c>
      <c r="E11633">
        <v>10.715999999999999</v>
      </c>
    </row>
    <row r="11634" spans="1:5">
      <c r="A11634" t="s">
        <v>41283</v>
      </c>
      <c r="B11634" t="s">
        <v>41284</v>
      </c>
      <c r="C11634">
        <v>0.113268895912</v>
      </c>
      <c r="D11634">
        <v>0.61623854585100002</v>
      </c>
      <c r="E11634">
        <v>5.9340000000000002</v>
      </c>
    </row>
    <row r="11635" spans="1:5">
      <c r="A11635" t="s">
        <v>41283</v>
      </c>
      <c r="B11635" t="s">
        <v>41285</v>
      </c>
      <c r="C11635">
        <v>0.43032691734799999</v>
      </c>
      <c r="D11635">
        <v>0.61623854585100002</v>
      </c>
      <c r="E11635">
        <v>5.9340000000000002</v>
      </c>
    </row>
    <row r="11636" spans="1:5">
      <c r="A11636" t="s">
        <v>41286</v>
      </c>
      <c r="B11636" t="s">
        <v>18519</v>
      </c>
      <c r="C11636">
        <f>0.377967975019</f>
        <v>0.37796797501899998</v>
      </c>
      <c r="D11636">
        <v>0.81844908073199996</v>
      </c>
      <c r="E11636">
        <v>20.07</v>
      </c>
    </row>
    <row r="11637" spans="1:5">
      <c r="A11637" t="s">
        <v>41286</v>
      </c>
      <c r="B11637" t="s">
        <v>18523</v>
      </c>
      <c r="C11637">
        <f>0.869887711045</f>
        <v>0.86988771104499996</v>
      </c>
      <c r="D11637">
        <v>0.81844908073199996</v>
      </c>
      <c r="E11637">
        <v>20.07</v>
      </c>
    </row>
    <row r="11638" spans="1:5">
      <c r="A11638" t="s">
        <v>41286</v>
      </c>
      <c r="B11638" t="s">
        <v>18521</v>
      </c>
      <c r="C11638">
        <v>0.198136003964</v>
      </c>
      <c r="D11638">
        <v>0.81844908073199996</v>
      </c>
      <c r="E11638">
        <v>20.07</v>
      </c>
    </row>
    <row r="11639" spans="1:5">
      <c r="A11639" t="s">
        <v>41287</v>
      </c>
      <c r="B11639" t="s">
        <v>41288</v>
      </c>
      <c r="C11639">
        <v>0.273952552786</v>
      </c>
      <c r="D11639">
        <v>0.95890049397800003</v>
      </c>
      <c r="E11639">
        <v>1.512</v>
      </c>
    </row>
    <row r="11640" spans="1:5">
      <c r="A11640" t="s">
        <v>41287</v>
      </c>
      <c r="B11640" t="s">
        <v>41289</v>
      </c>
      <c r="C11640">
        <v>0.67525036622599999</v>
      </c>
      <c r="D11640">
        <v>0.95890049397800003</v>
      </c>
      <c r="E11640">
        <v>1.512</v>
      </c>
    </row>
    <row r="11641" spans="1:5">
      <c r="A11641" t="s">
        <v>41287</v>
      </c>
      <c r="B11641" t="s">
        <v>41290</v>
      </c>
      <c r="C11641">
        <v>0</v>
      </c>
      <c r="D11641">
        <v>0.95890049397800003</v>
      </c>
      <c r="E11641">
        <v>1.512</v>
      </c>
    </row>
    <row r="11642" spans="1:5">
      <c r="A11642" t="s">
        <v>41287</v>
      </c>
      <c r="B11642" t="s">
        <v>41291</v>
      </c>
      <c r="C11642">
        <f>0.633512602791</f>
        <v>0.63351260279099997</v>
      </c>
      <c r="D11642">
        <v>0.95890049397800003</v>
      </c>
      <c r="E11642">
        <v>1.512</v>
      </c>
    </row>
    <row r="11643" spans="1:5">
      <c r="A11643" t="s">
        <v>41292</v>
      </c>
      <c r="B11643" t="s">
        <v>31849</v>
      </c>
      <c r="C11643">
        <v>0</v>
      </c>
      <c r="D11643" t="s">
        <v>106</v>
      </c>
      <c r="E11643">
        <v>3.6840000000000002</v>
      </c>
    </row>
    <row r="11644" spans="1:5">
      <c r="A11644" t="s">
        <v>41292</v>
      </c>
      <c r="B11644" t="s">
        <v>31852</v>
      </c>
      <c r="C11644">
        <f>0</f>
        <v>0</v>
      </c>
      <c r="D11644" t="s">
        <v>106</v>
      </c>
      <c r="E11644">
        <v>3.6840000000000002</v>
      </c>
    </row>
    <row r="11645" spans="1:5">
      <c r="A11645" t="s">
        <v>41292</v>
      </c>
      <c r="B11645" t="s">
        <v>31850</v>
      </c>
      <c r="C11645">
        <v>0</v>
      </c>
      <c r="D11645" t="s">
        <v>106</v>
      </c>
      <c r="E11645">
        <v>3.6840000000000002</v>
      </c>
    </row>
    <row r="11646" spans="1:5">
      <c r="A11646" t="s">
        <v>41292</v>
      </c>
      <c r="B11646" t="s">
        <v>31856</v>
      </c>
      <c r="C11646">
        <f>0</f>
        <v>0</v>
      </c>
      <c r="D11646" t="s">
        <v>106</v>
      </c>
      <c r="E11646">
        <v>3.6840000000000002</v>
      </c>
    </row>
    <row r="11647" spans="1:5">
      <c r="A11647" t="s">
        <v>41292</v>
      </c>
      <c r="B11647" t="s">
        <v>31853</v>
      </c>
      <c r="C11647">
        <f>0</f>
        <v>0</v>
      </c>
      <c r="D11647" t="s">
        <v>106</v>
      </c>
      <c r="E11647">
        <v>3.6840000000000002</v>
      </c>
    </row>
    <row r="11648" spans="1:5">
      <c r="A11648" t="s">
        <v>41293</v>
      </c>
      <c r="B11648" t="s">
        <v>41294</v>
      </c>
      <c r="C11648">
        <f>0</f>
        <v>0</v>
      </c>
      <c r="D11648" t="s">
        <v>106</v>
      </c>
      <c r="E11648">
        <v>3.6840000000000002</v>
      </c>
    </row>
    <row r="11649" spans="1:5">
      <c r="A11649" t="s">
        <v>41293</v>
      </c>
      <c r="B11649" t="s">
        <v>41295</v>
      </c>
      <c r="C11649">
        <v>0</v>
      </c>
      <c r="D11649" t="s">
        <v>106</v>
      </c>
      <c r="E11649">
        <v>3.6840000000000002</v>
      </c>
    </row>
    <row r="11650" spans="1:5">
      <c r="A11650" t="s">
        <v>41293</v>
      </c>
      <c r="B11650" t="s">
        <v>41296</v>
      </c>
      <c r="C11650">
        <v>0</v>
      </c>
      <c r="D11650" t="s">
        <v>106</v>
      </c>
      <c r="E11650">
        <v>3.6840000000000002</v>
      </c>
    </row>
    <row r="11651" spans="1:5">
      <c r="A11651" t="s">
        <v>41293</v>
      </c>
      <c r="B11651" t="s">
        <v>41297</v>
      </c>
      <c r="C11651">
        <v>0</v>
      </c>
      <c r="D11651" t="s">
        <v>106</v>
      </c>
      <c r="E11651">
        <v>3.6840000000000002</v>
      </c>
    </row>
    <row r="11652" spans="1:5">
      <c r="A11652" t="s">
        <v>41298</v>
      </c>
      <c r="B11652" t="s">
        <v>2270</v>
      </c>
      <c r="C11652">
        <v>0</v>
      </c>
      <c r="D11652" t="s">
        <v>106</v>
      </c>
      <c r="E11652">
        <v>2.88</v>
      </c>
    </row>
    <row r="11653" spans="1:5">
      <c r="A11653" t="s">
        <v>41298</v>
      </c>
      <c r="B11653" t="s">
        <v>2271</v>
      </c>
      <c r="C11653">
        <f>0</f>
        <v>0</v>
      </c>
      <c r="D11653" t="s">
        <v>106</v>
      </c>
      <c r="E11653">
        <v>2.88</v>
      </c>
    </row>
    <row r="11654" spans="1:5">
      <c r="A11654" t="s">
        <v>41299</v>
      </c>
      <c r="B11654" t="s">
        <v>31566</v>
      </c>
      <c r="C11654">
        <f>0.521801325931</f>
        <v>0.52180132593100004</v>
      </c>
      <c r="D11654">
        <v>0.71541132593099999</v>
      </c>
      <c r="E11654">
        <v>24</v>
      </c>
    </row>
    <row r="11655" spans="1:5">
      <c r="A11655" t="s">
        <v>41299</v>
      </c>
      <c r="B11655" t="s">
        <v>31565</v>
      </c>
      <c r="C11655">
        <f>0</f>
        <v>0</v>
      </c>
      <c r="D11655">
        <v>0.71541132593099999</v>
      </c>
      <c r="E11655">
        <v>24</v>
      </c>
    </row>
    <row r="11656" spans="1:5">
      <c r="A11656" t="s">
        <v>41299</v>
      </c>
      <c r="B11656" t="s">
        <v>31568</v>
      </c>
      <c r="C11656">
        <f>0</f>
        <v>0</v>
      </c>
      <c r="D11656">
        <v>0.71541132593099999</v>
      </c>
      <c r="E11656">
        <v>24</v>
      </c>
    </row>
    <row r="11657" spans="1:5">
      <c r="A11657" t="s">
        <v>41300</v>
      </c>
      <c r="B11657" t="s">
        <v>41301</v>
      </c>
      <c r="C11657">
        <f>0</f>
        <v>0</v>
      </c>
      <c r="D11657" t="s">
        <v>106</v>
      </c>
      <c r="E11657">
        <v>21.42</v>
      </c>
    </row>
    <row r="11658" spans="1:5">
      <c r="A11658" t="s">
        <v>41300</v>
      </c>
      <c r="B11658" t="s">
        <v>41302</v>
      </c>
      <c r="C11658">
        <f>0</f>
        <v>0</v>
      </c>
      <c r="D11658" t="s">
        <v>106</v>
      </c>
      <c r="E11658">
        <v>21.42</v>
      </c>
    </row>
    <row r="11659" spans="1:5">
      <c r="A11659" t="s">
        <v>41300</v>
      </c>
      <c r="B11659" t="s">
        <v>41303</v>
      </c>
      <c r="C11659">
        <f>0</f>
        <v>0</v>
      </c>
      <c r="D11659" t="s">
        <v>106</v>
      </c>
      <c r="E11659">
        <v>21.42</v>
      </c>
    </row>
    <row r="11660" spans="1:5">
      <c r="A11660" t="s">
        <v>41300</v>
      </c>
      <c r="B11660" t="s">
        <v>41304</v>
      </c>
      <c r="C11660">
        <f>0</f>
        <v>0</v>
      </c>
      <c r="D11660" t="s">
        <v>106</v>
      </c>
      <c r="E11660">
        <v>21.42</v>
      </c>
    </row>
    <row r="11661" spans="1:5">
      <c r="A11661" t="s">
        <v>41305</v>
      </c>
      <c r="B11661" t="s">
        <v>41306</v>
      </c>
      <c r="C11661">
        <v>7.0507663304099993E-2</v>
      </c>
      <c r="D11661">
        <v>0.97562276537100001</v>
      </c>
      <c r="E11661">
        <v>6.06</v>
      </c>
    </row>
    <row r="11662" spans="1:5">
      <c r="A11662" t="s">
        <v>41305</v>
      </c>
      <c r="B11662" t="s">
        <v>41307</v>
      </c>
      <c r="C11662">
        <v>0.93712290360299999</v>
      </c>
      <c r="D11662">
        <v>0.97562276537100001</v>
      </c>
      <c r="E11662">
        <v>6.06</v>
      </c>
    </row>
    <row r="11663" spans="1:5">
      <c r="A11663" t="s">
        <v>41305</v>
      </c>
      <c r="B11663" t="s">
        <v>41308</v>
      </c>
      <c r="C11663">
        <f>0.281730886004</f>
        <v>0.28173088600399998</v>
      </c>
      <c r="D11663">
        <v>0.97562276537100001</v>
      </c>
      <c r="E11663">
        <v>6.06</v>
      </c>
    </row>
    <row r="11664" spans="1:5">
      <c r="A11664" t="s">
        <v>41309</v>
      </c>
      <c r="B11664" t="s">
        <v>28060</v>
      </c>
      <c r="C11664">
        <v>0</v>
      </c>
      <c r="D11664" t="s">
        <v>106</v>
      </c>
      <c r="E11664">
        <v>23.754000000000001</v>
      </c>
    </row>
    <row r="11665" spans="1:5">
      <c r="A11665" t="s">
        <v>41309</v>
      </c>
      <c r="B11665" t="s">
        <v>28062</v>
      </c>
      <c r="C11665">
        <f>0</f>
        <v>0</v>
      </c>
      <c r="D11665" t="s">
        <v>106</v>
      </c>
      <c r="E11665">
        <v>23.754000000000001</v>
      </c>
    </row>
    <row r="11666" spans="1:5">
      <c r="A11666" t="s">
        <v>41309</v>
      </c>
      <c r="B11666" t="s">
        <v>28064</v>
      </c>
      <c r="C11666">
        <f>0</f>
        <v>0</v>
      </c>
      <c r="D11666" t="s">
        <v>106</v>
      </c>
      <c r="E11666">
        <v>23.754000000000001</v>
      </c>
    </row>
    <row r="11667" spans="1:5">
      <c r="A11667" t="s">
        <v>41310</v>
      </c>
      <c r="B11667" t="s">
        <v>41311</v>
      </c>
      <c r="C11667">
        <v>0.48749593783799999</v>
      </c>
      <c r="D11667">
        <v>0.99999900734199998</v>
      </c>
      <c r="E11667">
        <v>1.3919999999999999</v>
      </c>
    </row>
    <row r="11668" spans="1:5">
      <c r="A11668" t="s">
        <v>41310</v>
      </c>
      <c r="B11668" t="s">
        <v>41312</v>
      </c>
      <c r="C11668">
        <f>0.0147243129507</f>
        <v>1.4724312950699999E-2</v>
      </c>
      <c r="D11668">
        <v>0.99999900734199998</v>
      </c>
      <c r="E11668">
        <v>1.3919999999999999</v>
      </c>
    </row>
    <row r="11669" spans="1:5">
      <c r="A11669" t="s">
        <v>41310</v>
      </c>
      <c r="B11669" t="s">
        <v>41313</v>
      </c>
      <c r="C11669">
        <f>0.264224436561</f>
        <v>0.26422443656099998</v>
      </c>
      <c r="D11669">
        <v>0.99999900734199998</v>
      </c>
      <c r="E11669">
        <v>1.3919999999999999</v>
      </c>
    </row>
    <row r="11670" spans="1:5">
      <c r="A11670" t="s">
        <v>41310</v>
      </c>
      <c r="B11670" t="s">
        <v>41314</v>
      </c>
      <c r="C11670">
        <v>0.95913112475899998</v>
      </c>
      <c r="D11670">
        <v>0.99999900734199998</v>
      </c>
      <c r="E11670">
        <v>1.3919999999999999</v>
      </c>
    </row>
    <row r="11671" spans="1:5">
      <c r="A11671" t="s">
        <v>41310</v>
      </c>
      <c r="B11671" t="s">
        <v>41315</v>
      </c>
      <c r="C11671">
        <v>0.25531980863499998</v>
      </c>
      <c r="D11671">
        <v>0.99999900734199998</v>
      </c>
      <c r="E11671">
        <v>1.3919999999999999</v>
      </c>
    </row>
    <row r="11672" spans="1:5">
      <c r="A11672" t="s">
        <v>41310</v>
      </c>
      <c r="B11672" t="s">
        <v>41316</v>
      </c>
      <c r="C11672">
        <v>9.1154871549499999E-2</v>
      </c>
      <c r="D11672">
        <v>0.99999900734199998</v>
      </c>
      <c r="E11672">
        <v>1.3919999999999999</v>
      </c>
    </row>
    <row r="11673" spans="1:5">
      <c r="A11673" t="s">
        <v>41310</v>
      </c>
      <c r="B11673" t="s">
        <v>41317</v>
      </c>
      <c r="C11673">
        <f>0.139267676542</f>
        <v>0.13926767654200001</v>
      </c>
      <c r="D11673">
        <v>0.99999900734199998</v>
      </c>
      <c r="E11673">
        <v>1.3919999999999999</v>
      </c>
    </row>
    <row r="11674" spans="1:5">
      <c r="A11674" t="s">
        <v>41310</v>
      </c>
      <c r="B11674" t="s">
        <v>41318</v>
      </c>
      <c r="C11674">
        <f>0.907235703673</f>
        <v>0.90723570367299999</v>
      </c>
      <c r="D11674">
        <v>0.99999900734199998</v>
      </c>
      <c r="E11674">
        <v>1.3919999999999999</v>
      </c>
    </row>
    <row r="11675" spans="1:5">
      <c r="A11675" t="s">
        <v>41319</v>
      </c>
      <c r="B11675" t="s">
        <v>56</v>
      </c>
      <c r="C11675">
        <v>0.28766891824099999</v>
      </c>
      <c r="D11675">
        <v>0.99988089878700004</v>
      </c>
      <c r="E11675">
        <v>7.734</v>
      </c>
    </row>
    <row r="11676" spans="1:5">
      <c r="A11676" t="s">
        <v>41319</v>
      </c>
      <c r="B11676" t="s">
        <v>61</v>
      </c>
      <c r="C11676">
        <f>0.381115245725</f>
        <v>0.381115245725</v>
      </c>
      <c r="D11676">
        <v>0.99988089878700004</v>
      </c>
      <c r="E11676">
        <v>7.734</v>
      </c>
    </row>
    <row r="11677" spans="1:5">
      <c r="A11677" t="s">
        <v>41319</v>
      </c>
      <c r="B11677" t="s">
        <v>55</v>
      </c>
      <c r="C11677">
        <v>1.2911967717099999</v>
      </c>
      <c r="D11677">
        <v>0.99988089878700004</v>
      </c>
      <c r="E11677">
        <v>7.734</v>
      </c>
    </row>
    <row r="11678" spans="1:5">
      <c r="A11678" t="s">
        <v>41319</v>
      </c>
      <c r="B11678" t="s">
        <v>54</v>
      </c>
      <c r="C11678">
        <f>0.623165237464</f>
        <v>0.62316523746399999</v>
      </c>
      <c r="D11678">
        <v>0.99988089878700004</v>
      </c>
      <c r="E11678">
        <v>7.734</v>
      </c>
    </row>
    <row r="11679" spans="1:5">
      <c r="A11679" t="s">
        <v>41319</v>
      </c>
      <c r="B11679" t="s">
        <v>60</v>
      </c>
      <c r="C11679">
        <v>0.172994052881</v>
      </c>
      <c r="D11679">
        <v>0.99988089878700004</v>
      </c>
      <c r="E11679">
        <v>7.734</v>
      </c>
    </row>
    <row r="11680" spans="1:5">
      <c r="A11680" t="s">
        <v>41319</v>
      </c>
      <c r="B11680" t="s">
        <v>57</v>
      </c>
      <c r="C11680">
        <f>0.0305937731931</f>
        <v>3.0593773193099999E-2</v>
      </c>
      <c r="D11680">
        <v>0.99988089878700004</v>
      </c>
      <c r="E11680">
        <v>7.734</v>
      </c>
    </row>
    <row r="11681" spans="1:5">
      <c r="A11681" t="s">
        <v>41319</v>
      </c>
      <c r="B11681" t="s">
        <v>41320</v>
      </c>
      <c r="C11681">
        <v>0.41683221623900002</v>
      </c>
      <c r="D11681">
        <v>0.99988089878700004</v>
      </c>
      <c r="E11681">
        <v>7.734</v>
      </c>
    </row>
    <row r="11682" spans="1:5">
      <c r="A11682" t="s">
        <v>41321</v>
      </c>
      <c r="B11682" t="s">
        <v>41322</v>
      </c>
      <c r="C11682">
        <v>0</v>
      </c>
      <c r="D11682" t="s">
        <v>106</v>
      </c>
      <c r="E11682">
        <v>24</v>
      </c>
    </row>
    <row r="11683" spans="1:5">
      <c r="A11683" t="s">
        <v>41321</v>
      </c>
      <c r="B11683" t="s">
        <v>41323</v>
      </c>
      <c r="C11683">
        <f>0</f>
        <v>0</v>
      </c>
      <c r="D11683" t="s">
        <v>106</v>
      </c>
      <c r="E11683">
        <v>24</v>
      </c>
    </row>
    <row r="11684" spans="1:5">
      <c r="A11684" t="s">
        <v>41324</v>
      </c>
      <c r="B11684" t="s">
        <v>41325</v>
      </c>
      <c r="C11684">
        <v>0</v>
      </c>
      <c r="D11684">
        <v>0.56674904146899996</v>
      </c>
      <c r="E11684">
        <v>4.8000000000000001E-2</v>
      </c>
    </row>
    <row r="11685" spans="1:5">
      <c r="A11685" t="s">
        <v>41324</v>
      </c>
      <c r="B11685" t="s">
        <v>41326</v>
      </c>
      <c r="C11685">
        <f>0.296339041469</f>
        <v>0.29633904146899998</v>
      </c>
      <c r="D11685">
        <v>0.56674904146899996</v>
      </c>
      <c r="E11685">
        <v>4.8000000000000001E-2</v>
      </c>
    </row>
    <row r="11686" spans="1:5">
      <c r="A11686" t="s">
        <v>41327</v>
      </c>
      <c r="B11686" t="s">
        <v>5573</v>
      </c>
      <c r="C11686">
        <v>0</v>
      </c>
      <c r="D11686" t="s">
        <v>106</v>
      </c>
      <c r="E11686">
        <v>18.558</v>
      </c>
    </row>
    <row r="11687" spans="1:5">
      <c r="A11687" t="s">
        <v>41327</v>
      </c>
      <c r="B11687" t="s">
        <v>5580</v>
      </c>
      <c r="C11687">
        <f>0</f>
        <v>0</v>
      </c>
      <c r="D11687" t="s">
        <v>106</v>
      </c>
      <c r="E11687">
        <v>18.558</v>
      </c>
    </row>
    <row r="11688" spans="1:5">
      <c r="A11688" t="s">
        <v>41327</v>
      </c>
      <c r="B11688" t="s">
        <v>5576</v>
      </c>
      <c r="C11688">
        <v>0</v>
      </c>
      <c r="D11688" t="s">
        <v>106</v>
      </c>
      <c r="E11688">
        <v>18.558</v>
      </c>
    </row>
    <row r="11689" spans="1:5">
      <c r="A11689" t="s">
        <v>41327</v>
      </c>
      <c r="B11689" t="s">
        <v>5578</v>
      </c>
      <c r="C11689">
        <f>0</f>
        <v>0</v>
      </c>
      <c r="D11689" t="s">
        <v>106</v>
      </c>
      <c r="E11689">
        <v>18.558</v>
      </c>
    </row>
    <row r="11690" spans="1:5">
      <c r="A11690" t="s">
        <v>41327</v>
      </c>
      <c r="B11690" t="s">
        <v>5577</v>
      </c>
      <c r="C11690">
        <v>0</v>
      </c>
      <c r="D11690" t="s">
        <v>106</v>
      </c>
      <c r="E11690">
        <v>18.558</v>
      </c>
    </row>
    <row r="11691" spans="1:5">
      <c r="A11691" t="s">
        <v>41328</v>
      </c>
      <c r="B11691" t="s">
        <v>41329</v>
      </c>
      <c r="C11691">
        <f>0</f>
        <v>0</v>
      </c>
      <c r="D11691" t="s">
        <v>106</v>
      </c>
      <c r="E11691">
        <v>24</v>
      </c>
    </row>
    <row r="11692" spans="1:5">
      <c r="A11692" t="s">
        <v>41328</v>
      </c>
      <c r="B11692" t="s">
        <v>41330</v>
      </c>
      <c r="C11692">
        <f>0</f>
        <v>0</v>
      </c>
      <c r="D11692" t="s">
        <v>106</v>
      </c>
      <c r="E11692">
        <v>24</v>
      </c>
    </row>
    <row r="11693" spans="1:5">
      <c r="A11693" t="s">
        <v>41331</v>
      </c>
      <c r="B11693" t="s">
        <v>41332</v>
      </c>
      <c r="C11693">
        <f>0.494399309675</f>
        <v>0.49439930967500001</v>
      </c>
      <c r="D11693">
        <v>0.99999988195099998</v>
      </c>
      <c r="E11693">
        <v>10.715999999999999</v>
      </c>
    </row>
    <row r="11694" spans="1:5">
      <c r="A11694" t="s">
        <v>41331</v>
      </c>
      <c r="B11694" t="s">
        <v>41333</v>
      </c>
      <c r="C11694">
        <v>0.94370691770100001</v>
      </c>
      <c r="D11694">
        <v>0.99999988195099998</v>
      </c>
      <c r="E11694">
        <v>10.715999999999999</v>
      </c>
    </row>
    <row r="11695" spans="1:5">
      <c r="A11695" t="s">
        <v>41331</v>
      </c>
      <c r="B11695" t="s">
        <v>41334</v>
      </c>
      <c r="C11695">
        <v>0.21710297552300001</v>
      </c>
      <c r="D11695">
        <v>0.99999988195099998</v>
      </c>
      <c r="E11695">
        <v>10.715999999999999</v>
      </c>
    </row>
    <row r="11696" spans="1:5">
      <c r="A11696" t="s">
        <v>41331</v>
      </c>
      <c r="B11696" t="s">
        <v>41335</v>
      </c>
      <c r="C11696">
        <v>1.1714475836899999E-2</v>
      </c>
      <c r="D11696">
        <v>0.99999988195099998</v>
      </c>
      <c r="E11696">
        <v>10.715999999999999</v>
      </c>
    </row>
    <row r="11697" spans="1:5">
      <c r="A11697" t="s">
        <v>41331</v>
      </c>
      <c r="B11697" t="s">
        <v>41336</v>
      </c>
      <c r="C11697">
        <f>0.0320930833359</f>
        <v>3.2093083335899997E-2</v>
      </c>
      <c r="D11697">
        <v>0.99999988195099998</v>
      </c>
      <c r="E11697">
        <v>10.715999999999999</v>
      </c>
    </row>
    <row r="11698" spans="1:5">
      <c r="A11698" t="s">
        <v>41331</v>
      </c>
      <c r="B11698" t="s">
        <v>41337</v>
      </c>
      <c r="C11698">
        <v>0.164955379815</v>
      </c>
      <c r="D11698">
        <v>0.99999988195099998</v>
      </c>
      <c r="E11698">
        <v>10.715999999999999</v>
      </c>
    </row>
    <row r="11699" spans="1:5">
      <c r="A11699" t="s">
        <v>41331</v>
      </c>
      <c r="B11699" t="s">
        <v>41338</v>
      </c>
      <c r="C11699">
        <f>0.0367555938673</f>
        <v>3.6755593867299999E-2</v>
      </c>
      <c r="D11699">
        <v>0.99999988195099998</v>
      </c>
      <c r="E11699">
        <v>10.715999999999999</v>
      </c>
    </row>
    <row r="11700" spans="1:5">
      <c r="A11700" t="s">
        <v>41331</v>
      </c>
      <c r="B11700" t="s">
        <v>41339</v>
      </c>
      <c r="C11700">
        <v>0.161846257386</v>
      </c>
      <c r="D11700">
        <v>0.99999988195099998</v>
      </c>
      <c r="E11700">
        <v>10.715999999999999</v>
      </c>
    </row>
    <row r="11701" spans="1:5">
      <c r="A11701" t="s">
        <v>41331</v>
      </c>
      <c r="B11701" t="s">
        <v>41340</v>
      </c>
      <c r="C11701">
        <f>0.198610868125</f>
        <v>0.19861086812500001</v>
      </c>
      <c r="D11701">
        <v>0.99999988195099998</v>
      </c>
      <c r="E11701">
        <v>10.715999999999999</v>
      </c>
    </row>
    <row r="11702" spans="1:5">
      <c r="A11702" t="s">
        <v>41341</v>
      </c>
      <c r="B11702" t="s">
        <v>25310</v>
      </c>
      <c r="C11702">
        <v>0.342420534271</v>
      </c>
      <c r="D11702">
        <v>0.85266279816199997</v>
      </c>
      <c r="E11702">
        <v>5.2380000000000004</v>
      </c>
    </row>
    <row r="11703" spans="1:5">
      <c r="A11703" t="s">
        <v>41341</v>
      </c>
      <c r="B11703" t="s">
        <v>25311</v>
      </c>
      <c r="C11703">
        <v>0</v>
      </c>
      <c r="D11703">
        <v>0.85266279816199997</v>
      </c>
      <c r="E11703">
        <v>5.2380000000000004</v>
      </c>
    </row>
    <row r="11704" spans="1:5">
      <c r="A11704" t="s">
        <v>41341</v>
      </c>
      <c r="B11704" t="s">
        <v>25312</v>
      </c>
      <c r="C11704">
        <v>0.62597201378</v>
      </c>
      <c r="D11704">
        <v>0.85266279816199997</v>
      </c>
      <c r="E11704">
        <v>5.2380000000000004</v>
      </c>
    </row>
    <row r="11705" spans="1:5">
      <c r="A11705" t="s">
        <v>41342</v>
      </c>
      <c r="B11705" t="s">
        <v>41343</v>
      </c>
      <c r="C11705">
        <v>0.97085562187800001</v>
      </c>
      <c r="D11705">
        <v>0.99999996469499997</v>
      </c>
      <c r="E11705">
        <v>11.208</v>
      </c>
    </row>
    <row r="11706" spans="1:5">
      <c r="A11706" t="s">
        <v>41342</v>
      </c>
      <c r="B11706" t="s">
        <v>41344</v>
      </c>
      <c r="C11706">
        <f>0.186724278725</f>
        <v>0.186724278725</v>
      </c>
      <c r="D11706">
        <v>0.99999996469499997</v>
      </c>
      <c r="E11706">
        <v>11.208</v>
      </c>
    </row>
    <row r="11707" spans="1:5">
      <c r="A11707" t="s">
        <v>41342</v>
      </c>
      <c r="B11707" t="s">
        <v>41345</v>
      </c>
      <c r="C11707">
        <f>0.0208069447868</f>
        <v>2.0806944786800001E-2</v>
      </c>
      <c r="D11707">
        <v>0.99999996469499997</v>
      </c>
      <c r="E11707">
        <v>11.208</v>
      </c>
    </row>
    <row r="11708" spans="1:5">
      <c r="A11708" t="s">
        <v>41342</v>
      </c>
      <c r="B11708" t="s">
        <v>41346</v>
      </c>
      <c r="C11708">
        <v>2.2256627649899999E-2</v>
      </c>
      <c r="D11708">
        <v>0.99999996469499997</v>
      </c>
      <c r="E11708">
        <v>11.208</v>
      </c>
    </row>
    <row r="11709" spans="1:5">
      <c r="A11709" t="s">
        <v>41342</v>
      </c>
      <c r="B11709" t="s">
        <v>41347</v>
      </c>
      <c r="C11709">
        <f>0.119469850302</f>
        <v>0.119469850302</v>
      </c>
      <c r="D11709">
        <v>0.99999996469499997</v>
      </c>
      <c r="E11709">
        <v>11.208</v>
      </c>
    </row>
    <row r="11710" spans="1:5">
      <c r="A11710" t="s">
        <v>41342</v>
      </c>
      <c r="B11710" t="s">
        <v>41348</v>
      </c>
      <c r="C11710">
        <v>5.8872195047400003E-2</v>
      </c>
      <c r="D11710">
        <v>0.99999996469499997</v>
      </c>
      <c r="E11710">
        <v>11.208</v>
      </c>
    </row>
    <row r="11711" spans="1:5">
      <c r="A11711" t="s">
        <v>41342</v>
      </c>
      <c r="B11711" t="s">
        <v>41349</v>
      </c>
      <c r="C11711">
        <v>0.13946958384800001</v>
      </c>
      <c r="D11711">
        <v>0.99999996469499997</v>
      </c>
      <c r="E11711">
        <v>11.208</v>
      </c>
    </row>
    <row r="11712" spans="1:5">
      <c r="A11712" t="s">
        <v>41342</v>
      </c>
      <c r="B11712" t="s">
        <v>41350</v>
      </c>
      <c r="C11712">
        <v>2.1408174756999999E-2</v>
      </c>
      <c r="D11712">
        <v>0.99999996469499997</v>
      </c>
      <c r="E11712">
        <v>11.208</v>
      </c>
    </row>
    <row r="11713" spans="1:5">
      <c r="A11713" t="s">
        <v>41342</v>
      </c>
      <c r="B11713" t="s">
        <v>41351</v>
      </c>
      <c r="C11713">
        <f>0.264777595037</f>
        <v>0.26477759503699999</v>
      </c>
      <c r="D11713">
        <v>0.99999996469499997</v>
      </c>
      <c r="E11713">
        <v>11.208</v>
      </c>
    </row>
    <row r="11714" spans="1:5">
      <c r="A11714" t="s">
        <v>41342</v>
      </c>
      <c r="B11714" t="s">
        <v>41352</v>
      </c>
      <c r="C11714">
        <v>2.9173958780900001E-2</v>
      </c>
      <c r="D11714">
        <v>0.99999996469499997</v>
      </c>
      <c r="E11714">
        <v>11.208</v>
      </c>
    </row>
    <row r="11715" spans="1:5">
      <c r="A11715" t="s">
        <v>41342</v>
      </c>
      <c r="B11715" t="s">
        <v>41353</v>
      </c>
      <c r="C11715">
        <f>0.00899510015622</f>
        <v>8.9951001562199994E-3</v>
      </c>
      <c r="D11715">
        <v>0.99999996469499997</v>
      </c>
      <c r="E11715">
        <v>11.208</v>
      </c>
    </row>
    <row r="11716" spans="1:5">
      <c r="A11716" t="s">
        <v>41342</v>
      </c>
      <c r="B11716" t="s">
        <v>41354</v>
      </c>
      <c r="C11716">
        <f>0.0657830639275</f>
        <v>6.5783063927499996E-2</v>
      </c>
      <c r="D11716">
        <v>0.99999996469499997</v>
      </c>
      <c r="E11716">
        <v>11.208</v>
      </c>
    </row>
    <row r="11717" spans="1:5">
      <c r="A11717" t="s">
        <v>41342</v>
      </c>
      <c r="B11717" t="s">
        <v>41355</v>
      </c>
      <c r="C11717">
        <f>0.0047231361951</f>
        <v>4.7231361950999997E-3</v>
      </c>
      <c r="D11717">
        <v>0.99999996469499997</v>
      </c>
      <c r="E11717">
        <v>11.208</v>
      </c>
    </row>
    <row r="11718" spans="1:5">
      <c r="A11718" t="s">
        <v>41356</v>
      </c>
      <c r="B11718" t="s">
        <v>41357</v>
      </c>
      <c r="C11718">
        <f>0.2916424882</f>
        <v>0.29164248819999999</v>
      </c>
      <c r="D11718">
        <v>0.52205248820000005</v>
      </c>
      <c r="E11718">
        <v>6.4260000000000002</v>
      </c>
    </row>
    <row r="11719" spans="1:5">
      <c r="A11719" t="s">
        <v>41356</v>
      </c>
      <c r="B11719" t="s">
        <v>41358</v>
      </c>
      <c r="C11719">
        <v>0</v>
      </c>
      <c r="D11719">
        <v>0.52205248820000005</v>
      </c>
      <c r="E11719">
        <v>6.4260000000000002</v>
      </c>
    </row>
    <row r="11720" spans="1:5">
      <c r="A11720" t="s">
        <v>41356</v>
      </c>
      <c r="B11720" t="s">
        <v>41359</v>
      </c>
      <c r="C11720">
        <v>0</v>
      </c>
      <c r="D11720">
        <v>0.52205248820000005</v>
      </c>
      <c r="E11720">
        <v>6.4260000000000002</v>
      </c>
    </row>
    <row r="11721" spans="1:5">
      <c r="A11721" t="s">
        <v>41360</v>
      </c>
      <c r="B11721" t="s">
        <v>22610</v>
      </c>
      <c r="C11721">
        <v>1.18175229309</v>
      </c>
      <c r="D11721">
        <v>0.59870923570900003</v>
      </c>
      <c r="E11721">
        <v>22.571999999999999</v>
      </c>
    </row>
    <row r="11722" spans="1:5">
      <c r="A11722" t="s">
        <v>41360</v>
      </c>
      <c r="B11722" t="s">
        <v>22611</v>
      </c>
      <c r="C11722">
        <f>0.850304989158</f>
        <v>0.85030498915800001</v>
      </c>
      <c r="D11722">
        <v>0.59870923570900003</v>
      </c>
      <c r="E11722">
        <v>22.571999999999999</v>
      </c>
    </row>
    <row r="11723" spans="1:5">
      <c r="A11723" t="s">
        <v>41361</v>
      </c>
      <c r="B11723" t="s">
        <v>24483</v>
      </c>
      <c r="C11723">
        <f>0</f>
        <v>0</v>
      </c>
      <c r="D11723">
        <v>0.97096891501600002</v>
      </c>
      <c r="E11723">
        <v>6.3</v>
      </c>
    </row>
    <row r="11724" spans="1:5">
      <c r="A11724" t="s">
        <v>41361</v>
      </c>
      <c r="B11724" t="s">
        <v>24479</v>
      </c>
      <c r="C11724">
        <v>6.6702805566699996E-2</v>
      </c>
      <c r="D11724">
        <v>0.97096891501600002</v>
      </c>
      <c r="E11724">
        <v>6.3</v>
      </c>
    </row>
    <row r="11725" spans="1:5">
      <c r="A11725" t="s">
        <v>41361</v>
      </c>
      <c r="B11725" t="s">
        <v>24491</v>
      </c>
      <c r="C11725">
        <v>1.61842623067E-2</v>
      </c>
      <c r="D11725">
        <v>0.97096891501600002</v>
      </c>
      <c r="E11725">
        <v>6.3</v>
      </c>
    </row>
    <row r="11726" spans="1:5">
      <c r="A11726" t="s">
        <v>41361</v>
      </c>
      <c r="B11726" t="s">
        <v>24484</v>
      </c>
      <c r="C11726">
        <f>0</f>
        <v>0</v>
      </c>
      <c r="D11726">
        <v>0.97096891501600002</v>
      </c>
      <c r="E11726">
        <v>6.3</v>
      </c>
    </row>
    <row r="11727" spans="1:5">
      <c r="A11727" t="s">
        <v>41361</v>
      </c>
      <c r="B11727" t="s">
        <v>24485</v>
      </c>
      <c r="C11727">
        <f>0</f>
        <v>0</v>
      </c>
      <c r="D11727">
        <v>0.97096891501600002</v>
      </c>
      <c r="E11727">
        <v>6.3</v>
      </c>
    </row>
    <row r="11728" spans="1:5">
      <c r="A11728" t="s">
        <v>41361</v>
      </c>
      <c r="B11728" t="s">
        <v>24486</v>
      </c>
      <c r="C11728">
        <f>0</f>
        <v>0</v>
      </c>
      <c r="D11728">
        <v>0.97096891501600002</v>
      </c>
      <c r="E11728">
        <v>6.3</v>
      </c>
    </row>
    <row r="11729" spans="1:5">
      <c r="A11729" t="s">
        <v>41361</v>
      </c>
      <c r="B11729" t="s">
        <v>24478</v>
      </c>
      <c r="C11729">
        <v>0</v>
      </c>
      <c r="D11729">
        <v>0.97096891501600002</v>
      </c>
      <c r="E11729">
        <v>6.3</v>
      </c>
    </row>
    <row r="11730" spans="1:5">
      <c r="A11730" t="s">
        <v>41361</v>
      </c>
      <c r="B11730" t="s">
        <v>24488</v>
      </c>
      <c r="C11730">
        <f>0.773032974812</f>
        <v>0.77303297481199995</v>
      </c>
      <c r="D11730">
        <v>0.97096891501600002</v>
      </c>
      <c r="E11730">
        <v>6.3</v>
      </c>
    </row>
    <row r="11731" spans="1:5">
      <c r="A11731" t="s">
        <v>41361</v>
      </c>
      <c r="B11731" t="s">
        <v>24489</v>
      </c>
      <c r="C11731">
        <f>0</f>
        <v>0</v>
      </c>
      <c r="D11731">
        <v>0.97096891501600002</v>
      </c>
      <c r="E11731">
        <v>6.3</v>
      </c>
    </row>
    <row r="11732" spans="1:5">
      <c r="A11732" t="s">
        <v>41361</v>
      </c>
      <c r="B11732" t="s">
        <v>24487</v>
      </c>
      <c r="C11732">
        <f>0</f>
        <v>0</v>
      </c>
      <c r="D11732">
        <v>0.97096891501600002</v>
      </c>
      <c r="E11732">
        <v>6.3</v>
      </c>
    </row>
    <row r="11733" spans="1:5">
      <c r="A11733" t="s">
        <v>41361</v>
      </c>
      <c r="B11733" t="s">
        <v>24492</v>
      </c>
      <c r="C11733">
        <v>0</v>
      </c>
      <c r="D11733">
        <v>0.97096891501600002</v>
      </c>
      <c r="E11733">
        <v>6.3</v>
      </c>
    </row>
    <row r="11734" spans="1:5">
      <c r="A11734" t="s">
        <v>41361</v>
      </c>
      <c r="B11734" t="s">
        <v>24490</v>
      </c>
      <c r="C11734">
        <f>0.384442734174</f>
        <v>0.38444273417399999</v>
      </c>
      <c r="D11734">
        <v>0.97096891501600002</v>
      </c>
      <c r="E11734">
        <v>6.3</v>
      </c>
    </row>
    <row r="11735" spans="1:5">
      <c r="A11735" t="s">
        <v>41362</v>
      </c>
      <c r="B11735" t="s">
        <v>26347</v>
      </c>
      <c r="C11735">
        <f>0.520843391077</f>
        <v>0.52084339107699995</v>
      </c>
      <c r="D11735">
        <v>0.99999805480600001</v>
      </c>
      <c r="E11735">
        <v>23.04</v>
      </c>
    </row>
    <row r="11736" spans="1:5">
      <c r="A11736" t="s">
        <v>41362</v>
      </c>
      <c r="B11736" t="s">
        <v>26341</v>
      </c>
      <c r="C11736">
        <f>0.390800449983</f>
        <v>0.39080044998300001</v>
      </c>
      <c r="D11736">
        <v>0.99999805480600001</v>
      </c>
      <c r="E11736">
        <v>23.04</v>
      </c>
    </row>
    <row r="11737" spans="1:5">
      <c r="A11737" t="s">
        <v>41362</v>
      </c>
      <c r="B11737" t="s">
        <v>26345</v>
      </c>
      <c r="C11737">
        <v>0.64879539102799999</v>
      </c>
      <c r="D11737">
        <v>0.99999805480600001</v>
      </c>
      <c r="E11737">
        <v>23.04</v>
      </c>
    </row>
    <row r="11738" spans="1:5">
      <c r="A11738" t="s">
        <v>41362</v>
      </c>
      <c r="B11738" t="s">
        <v>26346</v>
      </c>
      <c r="C11738">
        <f>0.341542262219</f>
        <v>0.34154226221900003</v>
      </c>
      <c r="D11738">
        <v>0.99999805480600001</v>
      </c>
      <c r="E11738">
        <v>23.04</v>
      </c>
    </row>
    <row r="11739" spans="1:5">
      <c r="A11739" t="s">
        <v>41362</v>
      </c>
      <c r="B11739" t="s">
        <v>26349</v>
      </c>
      <c r="C11739">
        <v>7.3130943947600002E-2</v>
      </c>
      <c r="D11739">
        <v>0.99999805480600001</v>
      </c>
      <c r="E11739">
        <v>23.04</v>
      </c>
    </row>
    <row r="11740" spans="1:5">
      <c r="A11740" t="s">
        <v>41362</v>
      </c>
      <c r="B11740" t="s">
        <v>26344</v>
      </c>
      <c r="C11740">
        <f>0.479086129081</f>
        <v>0.47908612908100001</v>
      </c>
      <c r="D11740">
        <v>0.99999805480600001</v>
      </c>
      <c r="E11740">
        <v>23.04</v>
      </c>
    </row>
    <row r="11741" spans="1:5">
      <c r="A11741" t="s">
        <v>41362</v>
      </c>
      <c r="B11741" t="s">
        <v>26348</v>
      </c>
      <c r="C11741">
        <f>0.817559420883</f>
        <v>0.81755942088300004</v>
      </c>
      <c r="D11741">
        <v>0.99999805480600001</v>
      </c>
      <c r="E11741">
        <v>23.04</v>
      </c>
    </row>
    <row r="11742" spans="1:5">
      <c r="A11742" t="s">
        <v>41362</v>
      </c>
      <c r="B11742" t="s">
        <v>26350</v>
      </c>
      <c r="C11742">
        <v>0.90194017836499996</v>
      </c>
      <c r="D11742">
        <v>0.99999805480600001</v>
      </c>
      <c r="E11742">
        <v>23.04</v>
      </c>
    </row>
    <row r="11743" spans="1:5">
      <c r="A11743" t="s">
        <v>41362</v>
      </c>
      <c r="B11743" t="s">
        <v>26352</v>
      </c>
      <c r="C11743">
        <v>0.81039266660499998</v>
      </c>
      <c r="D11743">
        <v>0.99999805480600001</v>
      </c>
      <c r="E11743">
        <v>23.04</v>
      </c>
    </row>
    <row r="11744" spans="1:5">
      <c r="A11744" t="s">
        <v>41363</v>
      </c>
      <c r="B11744" t="s">
        <v>27410</v>
      </c>
      <c r="C11744">
        <f>0</f>
        <v>0</v>
      </c>
      <c r="D11744" t="s">
        <v>106</v>
      </c>
      <c r="E11744">
        <v>19.853999999999999</v>
      </c>
    </row>
    <row r="11745" spans="1:5">
      <c r="A11745" t="s">
        <v>41363</v>
      </c>
      <c r="B11745" t="s">
        <v>27409</v>
      </c>
      <c r="C11745">
        <v>0</v>
      </c>
      <c r="D11745" t="s">
        <v>106</v>
      </c>
      <c r="E11745">
        <v>19.853999999999999</v>
      </c>
    </row>
    <row r="11746" spans="1:5">
      <c r="A11746" t="s">
        <v>41364</v>
      </c>
      <c r="B11746" t="s">
        <v>18362</v>
      </c>
      <c r="C11746">
        <v>0</v>
      </c>
      <c r="D11746">
        <v>0.605262943183</v>
      </c>
      <c r="E11746">
        <v>24</v>
      </c>
    </row>
    <row r="11747" spans="1:5">
      <c r="A11747" t="s">
        <v>41364</v>
      </c>
      <c r="B11747" t="s">
        <v>18366</v>
      </c>
      <c r="C11747">
        <v>0</v>
      </c>
      <c r="D11747">
        <v>0.605262943183</v>
      </c>
      <c r="E11747">
        <v>24</v>
      </c>
    </row>
    <row r="11748" spans="1:5">
      <c r="A11748" t="s">
        <v>41364</v>
      </c>
      <c r="B11748" t="s">
        <v>18364</v>
      </c>
      <c r="C11748">
        <v>0.14285294318299999</v>
      </c>
      <c r="D11748">
        <v>0.605262943183</v>
      </c>
      <c r="E11748">
        <v>24</v>
      </c>
    </row>
    <row r="11749" spans="1:5">
      <c r="A11749" t="s">
        <v>41364</v>
      </c>
      <c r="B11749" t="s">
        <v>18365</v>
      </c>
      <c r="C11749">
        <v>0</v>
      </c>
      <c r="D11749">
        <v>0.605262943183</v>
      </c>
      <c r="E11749">
        <v>24</v>
      </c>
    </row>
    <row r="11750" spans="1:5">
      <c r="A11750" t="s">
        <v>41365</v>
      </c>
      <c r="B11750" t="s">
        <v>41366</v>
      </c>
      <c r="C11750">
        <v>0.35967135963800001</v>
      </c>
      <c r="D11750">
        <v>0.99447839345900002</v>
      </c>
      <c r="E11750">
        <v>0</v>
      </c>
    </row>
    <row r="11751" spans="1:5">
      <c r="A11751" t="s">
        <v>41365</v>
      </c>
      <c r="B11751" t="s">
        <v>41367</v>
      </c>
      <c r="C11751">
        <v>0.51549410200800005</v>
      </c>
      <c r="D11751">
        <v>0.99447839345900002</v>
      </c>
      <c r="E11751">
        <v>0</v>
      </c>
    </row>
    <row r="11752" spans="1:5">
      <c r="A11752" t="s">
        <v>41365</v>
      </c>
      <c r="B11752" t="s">
        <v>41368</v>
      </c>
      <c r="C11752">
        <f>0.0633643461726</f>
        <v>6.3364346172600006E-2</v>
      </c>
      <c r="D11752">
        <v>0.99447839345900002</v>
      </c>
      <c r="E11752">
        <v>0</v>
      </c>
    </row>
    <row r="11753" spans="1:5">
      <c r="A11753" t="s">
        <v>41365</v>
      </c>
      <c r="B11753" t="s">
        <v>41369</v>
      </c>
      <c r="C11753">
        <f>0.0152234496513</f>
        <v>1.52234496513E-2</v>
      </c>
      <c r="D11753">
        <v>0.99447839345900002</v>
      </c>
      <c r="E11753">
        <v>0</v>
      </c>
    </row>
    <row r="11754" spans="1:5">
      <c r="A11754" t="s">
        <v>41365</v>
      </c>
      <c r="B11754" t="s">
        <v>41370</v>
      </c>
      <c r="C11754">
        <f>0.591555758377</f>
        <v>0.59155575837700003</v>
      </c>
      <c r="D11754">
        <v>0.99447839345900002</v>
      </c>
      <c r="E11754">
        <v>0</v>
      </c>
    </row>
    <row r="11755" spans="1:5">
      <c r="A11755" t="s">
        <v>41365</v>
      </c>
      <c r="B11755" t="s">
        <v>41371</v>
      </c>
      <c r="C11755">
        <v>0.14619392896300001</v>
      </c>
      <c r="D11755">
        <v>0.99447839345900002</v>
      </c>
      <c r="E11755">
        <v>0</v>
      </c>
    </row>
    <row r="11756" spans="1:5">
      <c r="A11756" t="s">
        <v>41365</v>
      </c>
      <c r="B11756" t="s">
        <v>41372</v>
      </c>
      <c r="C11756">
        <v>0</v>
      </c>
      <c r="D11756">
        <v>0.99447839345900002</v>
      </c>
      <c r="E11756">
        <v>0</v>
      </c>
    </row>
    <row r="11757" spans="1:5">
      <c r="A11757" t="s">
        <v>41365</v>
      </c>
      <c r="B11757" t="s">
        <v>41373</v>
      </c>
      <c r="C11757">
        <v>0</v>
      </c>
      <c r="D11757">
        <v>0.99447839345900002</v>
      </c>
      <c r="E11757">
        <v>0</v>
      </c>
    </row>
    <row r="11758" spans="1:5">
      <c r="A11758" t="s">
        <v>41365</v>
      </c>
      <c r="B11758" t="s">
        <v>41374</v>
      </c>
      <c r="C11758">
        <v>0.61213451479799996</v>
      </c>
      <c r="D11758">
        <v>0.99447839345900002</v>
      </c>
      <c r="E11758">
        <v>0</v>
      </c>
    </row>
    <row r="11759" spans="1:5">
      <c r="A11759" t="s">
        <v>41375</v>
      </c>
      <c r="B11759" t="s">
        <v>41376</v>
      </c>
      <c r="C11759">
        <f>0</f>
        <v>0</v>
      </c>
      <c r="D11759">
        <v>0.96498506150499996</v>
      </c>
      <c r="E11759">
        <v>4.6920000000000002</v>
      </c>
    </row>
    <row r="11760" spans="1:5">
      <c r="A11760" t="s">
        <v>41375</v>
      </c>
      <c r="B11760" t="s">
        <v>41377</v>
      </c>
      <c r="C11760">
        <v>0.125006418797</v>
      </c>
      <c r="D11760">
        <v>0.96498506150499996</v>
      </c>
      <c r="E11760">
        <v>4.6920000000000002</v>
      </c>
    </row>
    <row r="11761" spans="1:5">
      <c r="A11761" t="s">
        <v>41375</v>
      </c>
      <c r="B11761" t="s">
        <v>41378</v>
      </c>
      <c r="C11761">
        <v>0.82955988734099995</v>
      </c>
      <c r="D11761">
        <v>0.96498506150499996</v>
      </c>
      <c r="E11761">
        <v>4.6920000000000002</v>
      </c>
    </row>
    <row r="11762" spans="1:5">
      <c r="A11762" t="s">
        <v>41375</v>
      </c>
      <c r="B11762" t="s">
        <v>41379</v>
      </c>
      <c r="C11762">
        <f>0.107639067538</f>
        <v>0.107639067538</v>
      </c>
      <c r="D11762">
        <v>0.96498506150499996</v>
      </c>
      <c r="E11762">
        <v>4.6920000000000002</v>
      </c>
    </row>
    <row r="11763" spans="1:5">
      <c r="A11763" t="s">
        <v>41375</v>
      </c>
      <c r="B11763" t="s">
        <v>41380</v>
      </c>
      <c r="C11763">
        <v>8.6936203427799993E-2</v>
      </c>
      <c r="D11763">
        <v>0.96498506150499996</v>
      </c>
      <c r="E11763">
        <v>4.6920000000000002</v>
      </c>
    </row>
    <row r="11764" spans="1:5">
      <c r="A11764" t="s">
        <v>41381</v>
      </c>
      <c r="B11764" t="s">
        <v>26096</v>
      </c>
      <c r="C11764">
        <v>5.4460796149999997E-2</v>
      </c>
      <c r="D11764">
        <v>0.86563170487800001</v>
      </c>
      <c r="E11764">
        <v>24</v>
      </c>
    </row>
    <row r="11765" spans="1:5">
      <c r="A11765" t="s">
        <v>41381</v>
      </c>
      <c r="B11765" t="s">
        <v>26101</v>
      </c>
      <c r="C11765">
        <v>0.71793177170099998</v>
      </c>
      <c r="D11765">
        <v>0.86563170487800001</v>
      </c>
      <c r="E11765">
        <v>24</v>
      </c>
    </row>
    <row r="11766" spans="1:5">
      <c r="A11766" t="s">
        <v>41381</v>
      </c>
      <c r="B11766" t="s">
        <v>26100</v>
      </c>
      <c r="C11766">
        <v>0.46904892847700003</v>
      </c>
      <c r="D11766">
        <v>0.86563170487800001</v>
      </c>
      <c r="E11766">
        <v>24</v>
      </c>
    </row>
    <row r="11767" spans="1:5">
      <c r="A11767" t="s">
        <v>41382</v>
      </c>
      <c r="B11767" t="s">
        <v>41383</v>
      </c>
      <c r="C11767">
        <v>0.45360999222999998</v>
      </c>
      <c r="D11767">
        <v>0.81503286826099997</v>
      </c>
      <c r="E11767">
        <v>4.6920000000000002</v>
      </c>
    </row>
    <row r="11768" spans="1:5">
      <c r="A11768" t="s">
        <v>41382</v>
      </c>
      <c r="B11768" t="s">
        <v>41384</v>
      </c>
      <c r="C11768">
        <v>0.43347862992800001</v>
      </c>
      <c r="D11768">
        <v>0.81503286826099997</v>
      </c>
      <c r="E11768">
        <v>4.6920000000000002</v>
      </c>
    </row>
    <row r="11769" spans="1:5">
      <c r="A11769" t="s">
        <v>41385</v>
      </c>
      <c r="B11769" t="s">
        <v>1623</v>
      </c>
      <c r="C11769">
        <v>0</v>
      </c>
      <c r="D11769" t="s">
        <v>106</v>
      </c>
      <c r="E11769">
        <v>14.183999999999999</v>
      </c>
    </row>
    <row r="11770" spans="1:5">
      <c r="A11770" t="s">
        <v>41385</v>
      </c>
      <c r="B11770" t="s">
        <v>1628</v>
      </c>
      <c r="C11770">
        <v>0</v>
      </c>
      <c r="D11770" t="s">
        <v>106</v>
      </c>
      <c r="E11770">
        <v>14.183999999999999</v>
      </c>
    </row>
    <row r="11771" spans="1:5">
      <c r="A11771" t="s">
        <v>41385</v>
      </c>
      <c r="B11771" t="s">
        <v>1626</v>
      </c>
      <c r="C11771">
        <v>0</v>
      </c>
      <c r="D11771" t="s">
        <v>106</v>
      </c>
      <c r="E11771">
        <v>14.183999999999999</v>
      </c>
    </row>
    <row r="11772" spans="1:5">
      <c r="A11772" t="s">
        <v>41385</v>
      </c>
      <c r="B11772" t="s">
        <v>1624</v>
      </c>
      <c r="C11772">
        <f>0</f>
        <v>0</v>
      </c>
      <c r="D11772" t="s">
        <v>106</v>
      </c>
      <c r="E11772">
        <v>14.183999999999999</v>
      </c>
    </row>
    <row r="11773" spans="1:5">
      <c r="A11773" t="s">
        <v>41386</v>
      </c>
      <c r="B11773" t="s">
        <v>34204</v>
      </c>
      <c r="C11773">
        <v>0.366253133886</v>
      </c>
      <c r="D11773">
        <v>0.82866313388599999</v>
      </c>
      <c r="E11773">
        <v>18.138000000000002</v>
      </c>
    </row>
    <row r="11774" spans="1:5">
      <c r="A11774" t="s">
        <v>41386</v>
      </c>
      <c r="B11774" t="s">
        <v>34202</v>
      </c>
      <c r="C11774">
        <v>0</v>
      </c>
      <c r="D11774">
        <v>0.82866313388599999</v>
      </c>
      <c r="E11774">
        <v>18.138000000000002</v>
      </c>
    </row>
    <row r="11775" spans="1:5">
      <c r="A11775" t="s">
        <v>41386</v>
      </c>
      <c r="B11775" t="s">
        <v>34200</v>
      </c>
      <c r="C11775">
        <v>0</v>
      </c>
      <c r="D11775">
        <v>0.82866313388599999</v>
      </c>
      <c r="E11775">
        <v>18.138000000000002</v>
      </c>
    </row>
    <row r="11776" spans="1:5">
      <c r="A11776" t="s">
        <v>41386</v>
      </c>
      <c r="B11776" t="s">
        <v>34205</v>
      </c>
      <c r="C11776">
        <v>0</v>
      </c>
      <c r="D11776">
        <v>0.82866313388599999</v>
      </c>
      <c r="E11776">
        <v>18.138000000000002</v>
      </c>
    </row>
    <row r="11777" spans="1:5">
      <c r="A11777" t="s">
        <v>41386</v>
      </c>
      <c r="B11777" t="s">
        <v>34199</v>
      </c>
      <c r="C11777">
        <v>0</v>
      </c>
      <c r="D11777">
        <v>0.82866313388599999</v>
      </c>
      <c r="E11777">
        <v>18.138000000000002</v>
      </c>
    </row>
    <row r="11778" spans="1:5">
      <c r="A11778" t="s">
        <v>41387</v>
      </c>
      <c r="B11778" t="s">
        <v>41388</v>
      </c>
      <c r="C11778">
        <f>0.202927864626</f>
        <v>0.20292786462599999</v>
      </c>
      <c r="D11778">
        <v>0.96439358188699997</v>
      </c>
      <c r="E11778">
        <v>8.1539999999999999</v>
      </c>
    </row>
    <row r="11779" spans="1:5">
      <c r="A11779" t="s">
        <v>41387</v>
      </c>
      <c r="B11779" t="s">
        <v>41389</v>
      </c>
      <c r="C11779">
        <v>0</v>
      </c>
      <c r="D11779">
        <v>0.96439358188699997</v>
      </c>
      <c r="E11779">
        <v>8.1539999999999999</v>
      </c>
    </row>
    <row r="11780" spans="1:5">
      <c r="A11780" t="s">
        <v>41387</v>
      </c>
      <c r="B11780" t="s">
        <v>41390</v>
      </c>
      <c r="C11780">
        <v>0.367026008091</v>
      </c>
      <c r="D11780">
        <v>0.96439358188699997</v>
      </c>
      <c r="E11780">
        <v>8.1539999999999999</v>
      </c>
    </row>
    <row r="11781" spans="1:5">
      <c r="A11781" t="s">
        <v>41387</v>
      </c>
      <c r="B11781" t="s">
        <v>41391</v>
      </c>
      <c r="C11781">
        <f>0.323840137122</f>
        <v>0.32384013712199999</v>
      </c>
      <c r="D11781">
        <v>0.96439358188699997</v>
      </c>
      <c r="E11781">
        <v>8.1539999999999999</v>
      </c>
    </row>
    <row r="11782" spans="1:5">
      <c r="A11782" t="s">
        <v>41387</v>
      </c>
      <c r="B11782" t="s">
        <v>41392</v>
      </c>
      <c r="C11782">
        <f>0.356211255072</f>
        <v>0.35621125507200002</v>
      </c>
      <c r="D11782">
        <v>0.96439358188699997</v>
      </c>
      <c r="E11782">
        <v>8.1539999999999999</v>
      </c>
    </row>
    <row r="11783" spans="1:5">
      <c r="A11783" t="s">
        <v>41393</v>
      </c>
      <c r="B11783" t="s">
        <v>29987</v>
      </c>
      <c r="C11783">
        <v>0</v>
      </c>
      <c r="D11783" t="s">
        <v>106</v>
      </c>
      <c r="E11783">
        <v>0.26400000000000001</v>
      </c>
    </row>
    <row r="11784" spans="1:5">
      <c r="A11784" t="s">
        <v>41393</v>
      </c>
      <c r="B11784" t="s">
        <v>29989</v>
      </c>
      <c r="C11784">
        <v>0</v>
      </c>
      <c r="D11784" t="s">
        <v>106</v>
      </c>
      <c r="E11784">
        <v>0.26400000000000001</v>
      </c>
    </row>
    <row r="11785" spans="1:5">
      <c r="A11785" t="s">
        <v>41393</v>
      </c>
      <c r="B11785" t="s">
        <v>29988</v>
      </c>
      <c r="C11785">
        <v>0</v>
      </c>
      <c r="D11785" t="s">
        <v>106</v>
      </c>
      <c r="E11785">
        <v>0.26400000000000001</v>
      </c>
    </row>
    <row r="11786" spans="1:5">
      <c r="A11786" t="s">
        <v>41394</v>
      </c>
      <c r="B11786" t="s">
        <v>26751</v>
      </c>
      <c r="C11786">
        <v>1.1738911514999999</v>
      </c>
      <c r="D11786">
        <v>0.94262854203900004</v>
      </c>
      <c r="E11786">
        <v>0</v>
      </c>
    </row>
    <row r="11787" spans="1:5">
      <c r="A11787" t="s">
        <v>41394</v>
      </c>
      <c r="B11787" t="s">
        <v>26748</v>
      </c>
      <c r="C11787">
        <v>1.0089083937800001</v>
      </c>
      <c r="D11787">
        <v>0.94262854203900004</v>
      </c>
      <c r="E11787">
        <v>0</v>
      </c>
    </row>
    <row r="11788" spans="1:5">
      <c r="A11788" t="s">
        <v>41394</v>
      </c>
      <c r="B11788" t="s">
        <v>26747</v>
      </c>
      <c r="C11788">
        <f>0.745552080119</f>
        <v>0.74555208011899998</v>
      </c>
      <c r="D11788">
        <v>0.94262854203900004</v>
      </c>
      <c r="E11788">
        <v>0</v>
      </c>
    </row>
    <row r="11789" spans="1:5">
      <c r="A11789" t="s">
        <v>41394</v>
      </c>
      <c r="B11789" t="s">
        <v>26749</v>
      </c>
      <c r="C11789">
        <f>0.741398477381</f>
        <v>0.74139847738099995</v>
      </c>
      <c r="D11789">
        <v>0.94262854203900004</v>
      </c>
      <c r="E11789">
        <v>0</v>
      </c>
    </row>
    <row r="11790" spans="1:5">
      <c r="A11790" t="s">
        <v>41395</v>
      </c>
      <c r="B11790" t="s">
        <v>2808</v>
      </c>
      <c r="C11790">
        <v>0</v>
      </c>
      <c r="D11790">
        <v>0.55984886334600004</v>
      </c>
      <c r="E11790">
        <v>22.571999999999999</v>
      </c>
    </row>
    <row r="11791" spans="1:5">
      <c r="A11791" t="s">
        <v>41395</v>
      </c>
      <c r="B11791" t="s">
        <v>2807</v>
      </c>
      <c r="C11791">
        <f>0</f>
        <v>0</v>
      </c>
      <c r="D11791">
        <v>0.55984886334600004</v>
      </c>
      <c r="E11791">
        <v>22.571999999999999</v>
      </c>
    </row>
    <row r="11792" spans="1:5">
      <c r="A11792" t="s">
        <v>41395</v>
      </c>
      <c r="B11792" t="s">
        <v>2806</v>
      </c>
      <c r="C11792">
        <v>9.74388633458E-2</v>
      </c>
      <c r="D11792">
        <v>0.55984886334600004</v>
      </c>
      <c r="E11792">
        <v>22.571999999999999</v>
      </c>
    </row>
    <row r="11793" spans="1:5">
      <c r="A11793" t="s">
        <v>41395</v>
      </c>
      <c r="B11793" t="s">
        <v>2805</v>
      </c>
      <c r="C11793">
        <f>0</f>
        <v>0</v>
      </c>
      <c r="D11793">
        <v>0.55984886334600004</v>
      </c>
      <c r="E11793">
        <v>22.571999999999999</v>
      </c>
    </row>
    <row r="11794" spans="1:5">
      <c r="A11794" t="s">
        <v>41396</v>
      </c>
      <c r="B11794" t="s">
        <v>6089</v>
      </c>
      <c r="C11794">
        <f>0</f>
        <v>0</v>
      </c>
      <c r="D11794">
        <v>0.90007161097099997</v>
      </c>
      <c r="E11794">
        <v>3.5880000000000001</v>
      </c>
    </row>
    <row r="11795" spans="1:5">
      <c r="A11795" t="s">
        <v>41396</v>
      </c>
      <c r="B11795" t="s">
        <v>6096</v>
      </c>
      <c r="C11795">
        <v>0.90405678012299995</v>
      </c>
      <c r="D11795">
        <v>0.90007161097099997</v>
      </c>
      <c r="E11795">
        <v>3.5880000000000001</v>
      </c>
    </row>
    <row r="11796" spans="1:5">
      <c r="A11796" t="s">
        <v>41396</v>
      </c>
      <c r="B11796" t="s">
        <v>6092</v>
      </c>
      <c r="C11796">
        <v>0</v>
      </c>
      <c r="D11796">
        <v>0.90007161097099997</v>
      </c>
      <c r="E11796">
        <v>3.5880000000000001</v>
      </c>
    </row>
    <row r="11797" spans="1:5">
      <c r="A11797" t="s">
        <v>41396</v>
      </c>
      <c r="B11797" t="s">
        <v>6094</v>
      </c>
      <c r="C11797">
        <v>0.19651305720600001</v>
      </c>
      <c r="D11797">
        <v>0.90007161097099997</v>
      </c>
      <c r="E11797">
        <v>3.5880000000000001</v>
      </c>
    </row>
    <row r="11798" spans="1:5">
      <c r="A11798" t="s">
        <v>41396</v>
      </c>
      <c r="B11798" t="s">
        <v>6093</v>
      </c>
      <c r="C11798">
        <f>0.130529651938</f>
        <v>0.13052965193800001</v>
      </c>
      <c r="D11798">
        <v>0.90007161097099997</v>
      </c>
      <c r="E11798">
        <v>3.5880000000000001</v>
      </c>
    </row>
    <row r="11799" spans="1:5">
      <c r="A11799" t="s">
        <v>41397</v>
      </c>
      <c r="B11799" t="s">
        <v>14026</v>
      </c>
      <c r="C11799">
        <v>9.1343163643700001E-2</v>
      </c>
      <c r="D11799">
        <v>0.76691483593599996</v>
      </c>
      <c r="E11799">
        <v>8.1539999999999999</v>
      </c>
    </row>
    <row r="11800" spans="1:5">
      <c r="A11800" t="s">
        <v>41397</v>
      </c>
      <c r="B11800" t="s">
        <v>14030</v>
      </c>
      <c r="C11800">
        <v>0</v>
      </c>
      <c r="D11800">
        <v>0.76691483593599996</v>
      </c>
      <c r="E11800">
        <v>8.1539999999999999</v>
      </c>
    </row>
    <row r="11801" spans="1:5">
      <c r="A11801" t="s">
        <v>41397</v>
      </c>
      <c r="B11801" t="s">
        <v>14029</v>
      </c>
      <c r="C11801">
        <f>0.509308403264</f>
        <v>0.50930840326399995</v>
      </c>
      <c r="D11801">
        <v>0.76691483593599996</v>
      </c>
      <c r="E11801">
        <v>8.1539999999999999</v>
      </c>
    </row>
    <row r="11802" spans="1:5">
      <c r="A11802" t="s">
        <v>41397</v>
      </c>
      <c r="B11802" t="s">
        <v>14032</v>
      </c>
      <c r="C11802">
        <f>0</f>
        <v>0</v>
      </c>
      <c r="D11802">
        <v>0.76691483593599996</v>
      </c>
      <c r="E11802">
        <v>8.1539999999999999</v>
      </c>
    </row>
    <row r="11803" spans="1:5">
      <c r="A11803" t="s">
        <v>41397</v>
      </c>
      <c r="B11803" t="s">
        <v>14031</v>
      </c>
      <c r="C11803">
        <f>0</f>
        <v>0</v>
      </c>
      <c r="D11803">
        <v>0.76691483593599996</v>
      </c>
      <c r="E11803">
        <v>8.1539999999999999</v>
      </c>
    </row>
    <row r="11804" spans="1:5">
      <c r="A11804" t="s">
        <v>41398</v>
      </c>
      <c r="B11804" t="s">
        <v>41399</v>
      </c>
      <c r="C11804">
        <v>0</v>
      </c>
      <c r="D11804" t="s">
        <v>106</v>
      </c>
      <c r="E11804">
        <v>22.338000000000001</v>
      </c>
    </row>
    <row r="11805" spans="1:5">
      <c r="A11805" t="s">
        <v>41398</v>
      </c>
      <c r="B11805" t="s">
        <v>41400</v>
      </c>
      <c r="C11805">
        <f>0</f>
        <v>0</v>
      </c>
      <c r="D11805" t="s">
        <v>106</v>
      </c>
      <c r="E11805">
        <v>22.338000000000001</v>
      </c>
    </row>
    <row r="11806" spans="1:5">
      <c r="A11806" t="s">
        <v>41398</v>
      </c>
      <c r="B11806" t="s">
        <v>41401</v>
      </c>
      <c r="C11806">
        <f>0</f>
        <v>0</v>
      </c>
      <c r="D11806" t="s">
        <v>106</v>
      </c>
      <c r="E11806">
        <v>22.338000000000001</v>
      </c>
    </row>
    <row r="11807" spans="1:5">
      <c r="A11807" t="s">
        <v>41398</v>
      </c>
      <c r="B11807" t="s">
        <v>41402</v>
      </c>
      <c r="C11807">
        <f>0</f>
        <v>0</v>
      </c>
      <c r="D11807" t="s">
        <v>106</v>
      </c>
      <c r="E11807">
        <v>22.338000000000001</v>
      </c>
    </row>
    <row r="11808" spans="1:5">
      <c r="A11808" t="s">
        <v>41398</v>
      </c>
      <c r="B11808" t="s">
        <v>41403</v>
      </c>
      <c r="C11808">
        <v>0</v>
      </c>
      <c r="D11808" t="s">
        <v>106</v>
      </c>
      <c r="E11808">
        <v>22.338000000000001</v>
      </c>
    </row>
    <row r="11809" spans="1:5">
      <c r="A11809" t="s">
        <v>41398</v>
      </c>
      <c r="B11809" t="s">
        <v>41404</v>
      </c>
      <c r="C11809">
        <v>0</v>
      </c>
      <c r="D11809" t="s">
        <v>106</v>
      </c>
      <c r="E11809">
        <v>22.338000000000001</v>
      </c>
    </row>
    <row r="11810" spans="1:5">
      <c r="A11810" t="s">
        <v>41405</v>
      </c>
      <c r="B11810" t="s">
        <v>29326</v>
      </c>
      <c r="C11810">
        <v>0</v>
      </c>
      <c r="D11810">
        <v>0.57487293587199995</v>
      </c>
      <c r="E11810">
        <v>6.6779999999999999</v>
      </c>
    </row>
    <row r="11811" spans="1:5">
      <c r="A11811" t="s">
        <v>41405</v>
      </c>
      <c r="B11811" t="s">
        <v>29318</v>
      </c>
      <c r="C11811">
        <v>0</v>
      </c>
      <c r="D11811">
        <v>0.57487293587199995</v>
      </c>
      <c r="E11811">
        <v>6.6779999999999999</v>
      </c>
    </row>
    <row r="11812" spans="1:5">
      <c r="A11812" t="s">
        <v>41405</v>
      </c>
      <c r="B11812" t="s">
        <v>29328</v>
      </c>
      <c r="C11812">
        <v>0</v>
      </c>
      <c r="D11812">
        <v>0.57487293587199995</v>
      </c>
      <c r="E11812">
        <v>6.6779999999999999</v>
      </c>
    </row>
    <row r="11813" spans="1:5">
      <c r="A11813" t="s">
        <v>41405</v>
      </c>
      <c r="B11813" t="s">
        <v>29325</v>
      </c>
      <c r="C11813">
        <v>0</v>
      </c>
      <c r="D11813">
        <v>0.57487293587199995</v>
      </c>
      <c r="E11813">
        <v>6.6779999999999999</v>
      </c>
    </row>
    <row r="11814" spans="1:5">
      <c r="A11814" t="s">
        <v>41405</v>
      </c>
      <c r="B11814" t="s">
        <v>29319</v>
      </c>
      <c r="C11814">
        <v>0</v>
      </c>
      <c r="D11814">
        <v>0.57487293587199995</v>
      </c>
      <c r="E11814">
        <v>6.6779999999999999</v>
      </c>
    </row>
    <row r="11815" spans="1:5">
      <c r="A11815" t="s">
        <v>41405</v>
      </c>
      <c r="B11815" t="s">
        <v>29329</v>
      </c>
      <c r="C11815">
        <v>0</v>
      </c>
      <c r="D11815">
        <v>0.57487293587199995</v>
      </c>
      <c r="E11815">
        <v>6.6779999999999999</v>
      </c>
    </row>
    <row r="11816" spans="1:5">
      <c r="A11816" t="s">
        <v>41405</v>
      </c>
      <c r="B11816" t="s">
        <v>29330</v>
      </c>
      <c r="C11816">
        <f>0</f>
        <v>0</v>
      </c>
      <c r="D11816">
        <v>0.57487293587199995</v>
      </c>
      <c r="E11816">
        <v>6.6779999999999999</v>
      </c>
    </row>
    <row r="11817" spans="1:5">
      <c r="A11817" t="s">
        <v>41405</v>
      </c>
      <c r="B11817" t="s">
        <v>29331</v>
      </c>
      <c r="C11817">
        <f>0.165262935872</f>
        <v>0.165262935872</v>
      </c>
      <c r="D11817">
        <v>0.57487293587199995</v>
      </c>
      <c r="E11817">
        <v>6.6779999999999999</v>
      </c>
    </row>
    <row r="11818" spans="1:5">
      <c r="A11818" t="s">
        <v>41406</v>
      </c>
      <c r="B11818" t="s">
        <v>24294</v>
      </c>
      <c r="C11818">
        <f>0.0874234922432</f>
        <v>8.7423492243199993E-2</v>
      </c>
      <c r="D11818">
        <v>0.99936474867799996</v>
      </c>
      <c r="E11818">
        <v>9.468</v>
      </c>
    </row>
    <row r="11819" spans="1:5">
      <c r="A11819" t="s">
        <v>41406</v>
      </c>
      <c r="B11819" t="s">
        <v>24293</v>
      </c>
      <c r="C11819">
        <f>0.160957606633</f>
        <v>0.16095760663299999</v>
      </c>
      <c r="D11819">
        <v>0.99936474867799996</v>
      </c>
      <c r="E11819">
        <v>9.468</v>
      </c>
    </row>
    <row r="11820" spans="1:5">
      <c r="A11820" t="s">
        <v>41406</v>
      </c>
      <c r="B11820" t="s">
        <v>24300</v>
      </c>
      <c r="C11820">
        <v>0.22032552535399999</v>
      </c>
      <c r="D11820">
        <v>0.99936474867799996</v>
      </c>
      <c r="E11820">
        <v>9.468</v>
      </c>
    </row>
    <row r="11821" spans="1:5">
      <c r="A11821" t="s">
        <v>41406</v>
      </c>
      <c r="B11821" t="s">
        <v>24295</v>
      </c>
      <c r="C11821">
        <v>0.488038978387</v>
      </c>
      <c r="D11821">
        <v>0.99936474867799996</v>
      </c>
      <c r="E11821">
        <v>9.468</v>
      </c>
    </row>
    <row r="11822" spans="1:5">
      <c r="A11822" t="s">
        <v>41406</v>
      </c>
      <c r="B11822" t="s">
        <v>24299</v>
      </c>
      <c r="C11822">
        <v>7.2556557690300005E-2</v>
      </c>
      <c r="D11822">
        <v>0.99936474867799996</v>
      </c>
      <c r="E11822">
        <v>9.468</v>
      </c>
    </row>
    <row r="11823" spans="1:5">
      <c r="A11823" t="s">
        <v>41406</v>
      </c>
      <c r="B11823" t="s">
        <v>24297</v>
      </c>
      <c r="C11823">
        <f>0</f>
        <v>0</v>
      </c>
      <c r="D11823">
        <v>0.99936474867799996</v>
      </c>
      <c r="E11823">
        <v>9.468</v>
      </c>
    </row>
    <row r="11824" spans="1:5">
      <c r="A11824" t="s">
        <v>41406</v>
      </c>
      <c r="B11824" t="s">
        <v>24301</v>
      </c>
      <c r="C11824">
        <f>0.0445507521562</f>
        <v>4.4550752156200003E-2</v>
      </c>
      <c r="D11824">
        <v>0.99936474867799996</v>
      </c>
      <c r="E11824">
        <v>9.468</v>
      </c>
    </row>
    <row r="11825" spans="1:5">
      <c r="A11825" t="s">
        <v>41406</v>
      </c>
      <c r="B11825" t="s">
        <v>24302</v>
      </c>
      <c r="C11825">
        <f>-1.23157425961</f>
        <v>-1.2315742596100001</v>
      </c>
      <c r="D11825">
        <v>0.99936474867799996</v>
      </c>
      <c r="E11825">
        <v>9.468</v>
      </c>
    </row>
    <row r="11826" spans="1:5">
      <c r="A11826" t="s">
        <v>41407</v>
      </c>
      <c r="B11826" t="s">
        <v>7448</v>
      </c>
      <c r="C11826">
        <v>0</v>
      </c>
      <c r="D11826" t="s">
        <v>106</v>
      </c>
      <c r="E11826">
        <v>14.747999999999999</v>
      </c>
    </row>
    <row r="11827" spans="1:5">
      <c r="A11827" t="s">
        <v>41407</v>
      </c>
      <c r="B11827" t="s">
        <v>7449</v>
      </c>
      <c r="C11827">
        <f>0</f>
        <v>0</v>
      </c>
      <c r="D11827" t="s">
        <v>106</v>
      </c>
      <c r="E11827">
        <v>14.747999999999999</v>
      </c>
    </row>
    <row r="11828" spans="1:5">
      <c r="A11828" t="s">
        <v>41407</v>
      </c>
      <c r="B11828" t="s">
        <v>7450</v>
      </c>
      <c r="C11828">
        <v>0</v>
      </c>
      <c r="D11828" t="s">
        <v>106</v>
      </c>
      <c r="E11828">
        <v>14.747999999999999</v>
      </c>
    </row>
    <row r="11829" spans="1:5">
      <c r="A11829" t="s">
        <v>41407</v>
      </c>
      <c r="B11829" t="s">
        <v>7457</v>
      </c>
      <c r="C11829">
        <v>0</v>
      </c>
      <c r="D11829" t="s">
        <v>106</v>
      </c>
      <c r="E11829">
        <v>14.747999999999999</v>
      </c>
    </row>
    <row r="11830" spans="1:5">
      <c r="A11830" t="s">
        <v>41407</v>
      </c>
      <c r="B11830" t="s">
        <v>7456</v>
      </c>
      <c r="C11830">
        <v>0</v>
      </c>
      <c r="D11830" t="s">
        <v>106</v>
      </c>
      <c r="E11830">
        <v>14.747999999999999</v>
      </c>
    </row>
    <row r="11831" spans="1:5">
      <c r="A11831" t="s">
        <v>41407</v>
      </c>
      <c r="B11831" t="s">
        <v>7459</v>
      </c>
      <c r="C11831">
        <f>0</f>
        <v>0</v>
      </c>
      <c r="D11831" t="s">
        <v>106</v>
      </c>
      <c r="E11831">
        <v>14.747999999999999</v>
      </c>
    </row>
    <row r="11832" spans="1:5">
      <c r="A11832" t="s">
        <v>41407</v>
      </c>
      <c r="B11832" t="s">
        <v>7451</v>
      </c>
      <c r="C11832">
        <v>0</v>
      </c>
      <c r="D11832" t="s">
        <v>106</v>
      </c>
      <c r="E11832">
        <v>14.747999999999999</v>
      </c>
    </row>
    <row r="11833" spans="1:5">
      <c r="A11833" t="s">
        <v>41407</v>
      </c>
      <c r="B11833" t="s">
        <v>7458</v>
      </c>
      <c r="C11833">
        <v>0</v>
      </c>
      <c r="D11833" t="s">
        <v>106</v>
      </c>
      <c r="E11833">
        <v>14.747999999999999</v>
      </c>
    </row>
    <row r="11834" spans="1:5">
      <c r="A11834" t="s">
        <v>41407</v>
      </c>
      <c r="B11834" t="s">
        <v>7454</v>
      </c>
      <c r="C11834">
        <f>0</f>
        <v>0</v>
      </c>
      <c r="D11834" t="s">
        <v>106</v>
      </c>
      <c r="E11834">
        <v>14.747999999999999</v>
      </c>
    </row>
    <row r="11835" spans="1:5">
      <c r="A11835" t="s">
        <v>41407</v>
      </c>
      <c r="B11835" t="s">
        <v>7453</v>
      </c>
      <c r="C11835">
        <f>0</f>
        <v>0</v>
      </c>
      <c r="D11835" t="s">
        <v>106</v>
      </c>
      <c r="E11835">
        <v>14.747999999999999</v>
      </c>
    </row>
    <row r="11836" spans="1:5">
      <c r="A11836" t="s">
        <v>41407</v>
      </c>
      <c r="B11836" t="s">
        <v>7455</v>
      </c>
      <c r="C11836">
        <v>0</v>
      </c>
      <c r="D11836" t="s">
        <v>106</v>
      </c>
      <c r="E11836">
        <v>14.747999999999999</v>
      </c>
    </row>
    <row r="11837" spans="1:5">
      <c r="A11837" t="s">
        <v>41408</v>
      </c>
      <c r="B11837" t="s">
        <v>41409</v>
      </c>
      <c r="C11837">
        <v>0</v>
      </c>
      <c r="D11837">
        <v>0.70318248957600005</v>
      </c>
      <c r="E11837">
        <v>0.438</v>
      </c>
    </row>
    <row r="11838" spans="1:5">
      <c r="A11838" t="s">
        <v>41408</v>
      </c>
      <c r="B11838" t="s">
        <v>41410</v>
      </c>
      <c r="C11838">
        <f>0.353390759958</f>
        <v>0.35339075995800001</v>
      </c>
      <c r="D11838">
        <v>0.70318248957600005</v>
      </c>
      <c r="E11838">
        <v>0.438</v>
      </c>
    </row>
    <row r="11839" spans="1:5">
      <c r="A11839" t="s">
        <v>41408</v>
      </c>
      <c r="B11839" t="s">
        <v>41411</v>
      </c>
      <c r="C11839">
        <v>0</v>
      </c>
      <c r="D11839">
        <v>0.70318248957600005</v>
      </c>
      <c r="E11839">
        <v>0.438</v>
      </c>
    </row>
    <row r="11840" spans="1:5">
      <c r="A11840" t="s">
        <v>41408</v>
      </c>
      <c r="B11840" t="s">
        <v>41412</v>
      </c>
      <c r="C11840">
        <v>0</v>
      </c>
      <c r="D11840">
        <v>0.70318248957600005</v>
      </c>
      <c r="E11840">
        <v>0.438</v>
      </c>
    </row>
    <row r="11841" spans="1:5">
      <c r="A11841" t="s">
        <v>41408</v>
      </c>
      <c r="B11841" t="s">
        <v>41413</v>
      </c>
      <c r="C11841">
        <v>9.4283871979200004E-2</v>
      </c>
      <c r="D11841">
        <v>0.70318248957600005</v>
      </c>
      <c r="E11841">
        <v>0.438</v>
      </c>
    </row>
    <row r="11842" spans="1:5">
      <c r="A11842" t="s">
        <v>41408</v>
      </c>
      <c r="B11842" t="s">
        <v>41414</v>
      </c>
      <c r="C11842">
        <f>0</f>
        <v>0</v>
      </c>
      <c r="D11842">
        <v>0.70318248957600005</v>
      </c>
      <c r="E11842">
        <v>0.438</v>
      </c>
    </row>
    <row r="11843" spans="1:5">
      <c r="A11843" t="s">
        <v>41408</v>
      </c>
      <c r="B11843" t="s">
        <v>41415</v>
      </c>
      <c r="C11843">
        <f>0</f>
        <v>0</v>
      </c>
      <c r="D11843">
        <v>0.70318248957600005</v>
      </c>
      <c r="E11843">
        <v>0.438</v>
      </c>
    </row>
    <row r="11844" spans="1:5">
      <c r="A11844" t="s">
        <v>41408</v>
      </c>
      <c r="B11844" t="s">
        <v>41416</v>
      </c>
      <c r="C11844">
        <v>0</v>
      </c>
      <c r="D11844">
        <v>0.70318248957600005</v>
      </c>
      <c r="E11844">
        <v>0.438</v>
      </c>
    </row>
    <row r="11845" spans="1:5">
      <c r="A11845" t="s">
        <v>41417</v>
      </c>
      <c r="B11845" t="s">
        <v>33506</v>
      </c>
      <c r="C11845">
        <f>0</f>
        <v>0</v>
      </c>
      <c r="D11845">
        <v>0.53187644835799996</v>
      </c>
      <c r="E11845">
        <v>0.17399999999999999</v>
      </c>
    </row>
    <row r="11846" spans="1:5">
      <c r="A11846" t="s">
        <v>41417</v>
      </c>
      <c r="B11846" t="s">
        <v>33507</v>
      </c>
      <c r="C11846">
        <v>0.171866448358</v>
      </c>
      <c r="D11846">
        <v>0.53187644835799996</v>
      </c>
      <c r="E11846">
        <v>0.17399999999999999</v>
      </c>
    </row>
    <row r="11847" spans="1:5">
      <c r="A11847" t="s">
        <v>41417</v>
      </c>
      <c r="B11847" t="s">
        <v>33508</v>
      </c>
      <c r="C11847">
        <v>0</v>
      </c>
      <c r="D11847">
        <v>0.53187644835799996</v>
      </c>
      <c r="E11847">
        <v>0.17399999999999999</v>
      </c>
    </row>
    <row r="11848" spans="1:5">
      <c r="A11848" t="s">
        <v>41417</v>
      </c>
      <c r="B11848" t="s">
        <v>33509</v>
      </c>
      <c r="C11848">
        <v>0</v>
      </c>
      <c r="D11848">
        <v>0.53187644835799996</v>
      </c>
      <c r="E11848">
        <v>0.17399999999999999</v>
      </c>
    </row>
    <row r="11849" spans="1:5">
      <c r="A11849" t="s">
        <v>41418</v>
      </c>
      <c r="B11849" t="s">
        <v>5354</v>
      </c>
      <c r="C11849">
        <f>0.554878956498</f>
        <v>0.55487895649800001</v>
      </c>
      <c r="D11849">
        <v>0.69124716834199995</v>
      </c>
      <c r="E11849">
        <v>0.10199999999999999</v>
      </c>
    </row>
    <row r="11850" spans="1:5">
      <c r="A11850" t="s">
        <v>41418</v>
      </c>
      <c r="B11850" t="s">
        <v>5356</v>
      </c>
      <c r="C11850">
        <v>0.28899855528599999</v>
      </c>
      <c r="D11850">
        <v>0.69124716834199995</v>
      </c>
      <c r="E11850">
        <v>0.10199999999999999</v>
      </c>
    </row>
    <row r="11851" spans="1:5">
      <c r="A11851" t="s">
        <v>41419</v>
      </c>
      <c r="B11851" t="s">
        <v>41420</v>
      </c>
      <c r="C11851">
        <v>0</v>
      </c>
      <c r="D11851">
        <v>0.82348595597800001</v>
      </c>
      <c r="E11851">
        <v>24</v>
      </c>
    </row>
    <row r="11852" spans="1:5">
      <c r="A11852" t="s">
        <v>41419</v>
      </c>
      <c r="B11852" t="s">
        <v>41421</v>
      </c>
      <c r="C11852">
        <f>0</f>
        <v>0</v>
      </c>
      <c r="D11852">
        <v>0.82348595597800001</v>
      </c>
      <c r="E11852">
        <v>24</v>
      </c>
    </row>
    <row r="11853" spans="1:5">
      <c r="A11853" t="s">
        <v>41419</v>
      </c>
      <c r="B11853" t="s">
        <v>41422</v>
      </c>
      <c r="C11853">
        <v>0.45567589466399999</v>
      </c>
      <c r="D11853">
        <v>0.82348595597800001</v>
      </c>
      <c r="E11853">
        <v>24</v>
      </c>
    </row>
    <row r="11854" spans="1:5">
      <c r="A11854" t="s">
        <v>41419</v>
      </c>
      <c r="B11854" t="s">
        <v>41423</v>
      </c>
      <c r="C11854">
        <v>0</v>
      </c>
      <c r="D11854">
        <v>0.82348595597800001</v>
      </c>
      <c r="E11854">
        <v>24</v>
      </c>
    </row>
    <row r="11855" spans="1:5">
      <c r="A11855" t="s">
        <v>41419</v>
      </c>
      <c r="B11855" t="s">
        <v>41424</v>
      </c>
      <c r="C11855">
        <v>9.8332164841099991E-3</v>
      </c>
      <c r="D11855">
        <v>0.82348595597800001</v>
      </c>
      <c r="E11855">
        <v>24</v>
      </c>
    </row>
    <row r="11856" spans="1:5">
      <c r="A11856" t="s">
        <v>41419</v>
      </c>
      <c r="B11856" t="s">
        <v>41425</v>
      </c>
      <c r="C11856">
        <f>0</f>
        <v>0</v>
      </c>
      <c r="D11856">
        <v>0.82348595597800001</v>
      </c>
      <c r="E11856">
        <v>24</v>
      </c>
    </row>
    <row r="11857" spans="1:5">
      <c r="A11857" t="s">
        <v>41419</v>
      </c>
      <c r="B11857" t="s">
        <v>41426</v>
      </c>
      <c r="C11857">
        <v>0.38248053724199998</v>
      </c>
      <c r="D11857">
        <v>0.82348595597800001</v>
      </c>
      <c r="E11857">
        <v>24</v>
      </c>
    </row>
    <row r="11858" spans="1:5">
      <c r="A11858" t="s">
        <v>41427</v>
      </c>
      <c r="B11858" t="s">
        <v>22845</v>
      </c>
      <c r="C11858">
        <v>0</v>
      </c>
      <c r="D11858" t="s">
        <v>106</v>
      </c>
      <c r="E11858">
        <v>2.4E-2</v>
      </c>
    </row>
    <row r="11859" spans="1:5">
      <c r="A11859" t="s">
        <v>41427</v>
      </c>
      <c r="B11859" t="s">
        <v>41428</v>
      </c>
      <c r="C11859">
        <f>0</f>
        <v>0</v>
      </c>
      <c r="D11859" t="s">
        <v>106</v>
      </c>
      <c r="E11859">
        <v>2.4E-2</v>
      </c>
    </row>
    <row r="11860" spans="1:5">
      <c r="A11860" t="s">
        <v>41427</v>
      </c>
      <c r="B11860" t="s">
        <v>22844</v>
      </c>
      <c r="C11860">
        <f>0</f>
        <v>0</v>
      </c>
      <c r="D11860" t="s">
        <v>106</v>
      </c>
      <c r="E11860">
        <v>2.4E-2</v>
      </c>
    </row>
    <row r="11861" spans="1:5">
      <c r="A11861" t="s">
        <v>41429</v>
      </c>
      <c r="B11861" t="s">
        <v>13179</v>
      </c>
      <c r="C11861">
        <v>0.440540612888</v>
      </c>
      <c r="D11861">
        <v>0.67095061288799995</v>
      </c>
      <c r="E11861">
        <v>1.764</v>
      </c>
    </row>
    <row r="11862" spans="1:5">
      <c r="A11862" t="s">
        <v>41429</v>
      </c>
      <c r="B11862" t="s">
        <v>13181</v>
      </c>
      <c r="C11862">
        <f>0</f>
        <v>0</v>
      </c>
      <c r="D11862">
        <v>0.67095061288799995</v>
      </c>
      <c r="E11862">
        <v>1.764</v>
      </c>
    </row>
    <row r="11863" spans="1:5">
      <c r="A11863" t="s">
        <v>41430</v>
      </c>
      <c r="B11863" t="s">
        <v>17292</v>
      </c>
      <c r="C11863">
        <v>0.52271645238099995</v>
      </c>
      <c r="D11863">
        <v>0.84573256357100002</v>
      </c>
      <c r="E11863">
        <v>1.3380000000000001</v>
      </c>
    </row>
    <row r="11864" spans="1:5">
      <c r="A11864" t="s">
        <v>41430</v>
      </c>
      <c r="B11864" t="s">
        <v>17293</v>
      </c>
      <c r="C11864">
        <v>0.953476789321</v>
      </c>
      <c r="D11864">
        <v>0.84573256357100002</v>
      </c>
      <c r="E11864">
        <v>1.3380000000000001</v>
      </c>
    </row>
    <row r="11865" spans="1:5">
      <c r="A11865" t="s">
        <v>41430</v>
      </c>
      <c r="B11865" t="s">
        <v>17295</v>
      </c>
      <c r="C11865">
        <v>0</v>
      </c>
      <c r="D11865">
        <v>0.84573256357100002</v>
      </c>
      <c r="E11865">
        <v>1.3380000000000001</v>
      </c>
    </row>
    <row r="11866" spans="1:5">
      <c r="A11866" t="s">
        <v>41431</v>
      </c>
      <c r="B11866" t="s">
        <v>28302</v>
      </c>
      <c r="C11866">
        <v>0.56978171169500003</v>
      </c>
      <c r="D11866">
        <v>0.92012939043999997</v>
      </c>
      <c r="E11866">
        <v>1.5720000000000001</v>
      </c>
    </row>
    <row r="11867" spans="1:5">
      <c r="A11867" t="s">
        <v>41431</v>
      </c>
      <c r="B11867" t="s">
        <v>28304</v>
      </c>
      <c r="C11867">
        <v>0</v>
      </c>
      <c r="D11867">
        <v>0.92012939043999997</v>
      </c>
      <c r="E11867">
        <v>1.5720000000000001</v>
      </c>
    </row>
    <row r="11868" spans="1:5">
      <c r="A11868" t="s">
        <v>41431</v>
      </c>
      <c r="B11868" t="s">
        <v>28294</v>
      </c>
      <c r="C11868">
        <v>0</v>
      </c>
      <c r="D11868">
        <v>0.92012939043999997</v>
      </c>
      <c r="E11868">
        <v>1.5720000000000001</v>
      </c>
    </row>
    <row r="11869" spans="1:5">
      <c r="A11869" t="s">
        <v>41431</v>
      </c>
      <c r="B11869" t="s">
        <v>28300</v>
      </c>
      <c r="C11869">
        <v>0</v>
      </c>
      <c r="D11869">
        <v>0.92012939043999997</v>
      </c>
      <c r="E11869">
        <v>1.5720000000000001</v>
      </c>
    </row>
    <row r="11870" spans="1:5">
      <c r="A11870" t="s">
        <v>41431</v>
      </c>
      <c r="B11870" t="s">
        <v>28301</v>
      </c>
      <c r="C11870">
        <v>0.28865818661600001</v>
      </c>
      <c r="D11870">
        <v>0.92012939043999997</v>
      </c>
      <c r="E11870">
        <v>1.5720000000000001</v>
      </c>
    </row>
    <row r="11871" spans="1:5">
      <c r="A11871" t="s">
        <v>41432</v>
      </c>
      <c r="B11871" t="s">
        <v>18688</v>
      </c>
      <c r="C11871">
        <f>0</f>
        <v>0</v>
      </c>
      <c r="D11871" t="s">
        <v>106</v>
      </c>
      <c r="E11871">
        <v>0</v>
      </c>
    </row>
    <row r="11872" spans="1:5">
      <c r="A11872" t="s">
        <v>41432</v>
      </c>
      <c r="B11872" t="s">
        <v>18687</v>
      </c>
      <c r="C11872">
        <f>0</f>
        <v>0</v>
      </c>
      <c r="D11872" t="s">
        <v>106</v>
      </c>
      <c r="E11872">
        <v>0</v>
      </c>
    </row>
    <row r="11873" spans="1:5">
      <c r="A11873" t="s">
        <v>41432</v>
      </c>
      <c r="B11873" t="s">
        <v>18691</v>
      </c>
      <c r="C11873">
        <f>0</f>
        <v>0</v>
      </c>
      <c r="D11873" t="s">
        <v>106</v>
      </c>
      <c r="E11873">
        <v>0</v>
      </c>
    </row>
    <row r="11874" spans="1:5">
      <c r="A11874" t="s">
        <v>41432</v>
      </c>
      <c r="B11874" t="s">
        <v>18685</v>
      </c>
      <c r="C11874">
        <f>0</f>
        <v>0</v>
      </c>
      <c r="D11874" t="s">
        <v>106</v>
      </c>
      <c r="E11874">
        <v>0</v>
      </c>
    </row>
    <row r="11875" spans="1:5">
      <c r="A11875" t="s">
        <v>41432</v>
      </c>
      <c r="B11875" t="s">
        <v>18686</v>
      </c>
      <c r="C11875">
        <v>0</v>
      </c>
      <c r="D11875" t="s">
        <v>106</v>
      </c>
      <c r="E11875">
        <v>0</v>
      </c>
    </row>
    <row r="11876" spans="1:5">
      <c r="A11876" t="s">
        <v>41433</v>
      </c>
      <c r="B11876" t="s">
        <v>2245</v>
      </c>
      <c r="C11876">
        <v>0.92036663662600005</v>
      </c>
      <c r="D11876">
        <v>0.97374028723600003</v>
      </c>
      <c r="E11876">
        <v>10.554</v>
      </c>
    </row>
    <row r="11877" spans="1:5">
      <c r="A11877" t="s">
        <v>41433</v>
      </c>
      <c r="B11877" t="s">
        <v>2247</v>
      </c>
      <c r="C11877">
        <f>0.333636541397</f>
        <v>0.333636541397</v>
      </c>
      <c r="D11877">
        <v>0.97374028723600003</v>
      </c>
      <c r="E11877">
        <v>10.554</v>
      </c>
    </row>
    <row r="11878" spans="1:5">
      <c r="A11878" t="s">
        <v>41433</v>
      </c>
      <c r="B11878" t="s">
        <v>2249</v>
      </c>
      <c r="C11878">
        <v>0.101311274595</v>
      </c>
      <c r="D11878">
        <v>0.97374028723600003</v>
      </c>
      <c r="E11878">
        <v>10.554</v>
      </c>
    </row>
    <row r="11879" spans="1:5">
      <c r="A11879" t="s">
        <v>41434</v>
      </c>
      <c r="B11879" t="s">
        <v>22024</v>
      </c>
      <c r="C11879">
        <v>0.25522905144500002</v>
      </c>
      <c r="D11879">
        <v>0.78533413696099996</v>
      </c>
      <c r="E11879">
        <v>2.1059999999999999</v>
      </c>
    </row>
    <row r="11880" spans="1:5">
      <c r="A11880" t="s">
        <v>41434</v>
      </c>
      <c r="B11880" t="s">
        <v>22028</v>
      </c>
      <c r="C11880">
        <v>0</v>
      </c>
      <c r="D11880">
        <v>0.78533413696099996</v>
      </c>
      <c r="E11880">
        <v>2.1059999999999999</v>
      </c>
    </row>
    <row r="11881" spans="1:5">
      <c r="A11881" t="s">
        <v>41434</v>
      </c>
      <c r="B11881" t="s">
        <v>22026</v>
      </c>
      <c r="C11881">
        <v>0</v>
      </c>
      <c r="D11881">
        <v>0.78533413696099996</v>
      </c>
      <c r="E11881">
        <v>2.1059999999999999</v>
      </c>
    </row>
    <row r="11882" spans="1:5">
      <c r="A11882" t="s">
        <v>41434</v>
      </c>
      <c r="B11882" t="s">
        <v>22029</v>
      </c>
      <c r="C11882">
        <f>0</f>
        <v>0</v>
      </c>
      <c r="D11882">
        <v>0.78533413696099996</v>
      </c>
      <c r="E11882">
        <v>2.1059999999999999</v>
      </c>
    </row>
    <row r="11883" spans="1:5">
      <c r="A11883" t="s">
        <v>41434</v>
      </c>
      <c r="B11883" t="s">
        <v>22033</v>
      </c>
      <c r="C11883">
        <v>0.41342927133899998</v>
      </c>
      <c r="D11883">
        <v>0.78533413696099996</v>
      </c>
      <c r="E11883">
        <v>2.1059999999999999</v>
      </c>
    </row>
    <row r="11884" spans="1:5">
      <c r="A11884" t="s">
        <v>41434</v>
      </c>
      <c r="B11884" t="s">
        <v>22027</v>
      </c>
      <c r="C11884">
        <v>0</v>
      </c>
      <c r="D11884">
        <v>0.78533413696099996</v>
      </c>
      <c r="E11884">
        <v>2.1059999999999999</v>
      </c>
    </row>
    <row r="11885" spans="1:5">
      <c r="A11885" t="s">
        <v>41435</v>
      </c>
      <c r="B11885" t="s">
        <v>15131</v>
      </c>
      <c r="C11885">
        <v>0</v>
      </c>
      <c r="D11885" t="s">
        <v>106</v>
      </c>
      <c r="E11885">
        <v>13.632</v>
      </c>
    </row>
    <row r="11886" spans="1:5">
      <c r="A11886" t="s">
        <v>41435</v>
      </c>
      <c r="B11886" t="s">
        <v>15133</v>
      </c>
      <c r="C11886">
        <v>0</v>
      </c>
      <c r="D11886" t="s">
        <v>106</v>
      </c>
      <c r="E11886">
        <v>13.632</v>
      </c>
    </row>
    <row r="11887" spans="1:5">
      <c r="A11887" t="s">
        <v>41436</v>
      </c>
      <c r="B11887" t="s">
        <v>16980</v>
      </c>
      <c r="C11887">
        <f>0</f>
        <v>0</v>
      </c>
      <c r="D11887">
        <v>0.85881058830799994</v>
      </c>
      <c r="E11887">
        <v>18.347999999999999</v>
      </c>
    </row>
    <row r="11888" spans="1:5">
      <c r="A11888" t="s">
        <v>41436</v>
      </c>
      <c r="B11888" t="s">
        <v>16985</v>
      </c>
      <c r="C11888">
        <f>0.506390356927</f>
        <v>0.50639035692699996</v>
      </c>
      <c r="D11888">
        <v>0.85881058830799994</v>
      </c>
      <c r="E11888">
        <v>18.347999999999999</v>
      </c>
    </row>
    <row r="11889" spans="1:5">
      <c r="A11889" t="s">
        <v>41436</v>
      </c>
      <c r="B11889" t="s">
        <v>16986</v>
      </c>
      <c r="C11889">
        <f>0</f>
        <v>0</v>
      </c>
      <c r="D11889">
        <v>0.85881058830799994</v>
      </c>
      <c r="E11889">
        <v>18.347999999999999</v>
      </c>
    </row>
    <row r="11890" spans="1:5">
      <c r="A11890" t="s">
        <v>41436</v>
      </c>
      <c r="B11890" t="s">
        <v>16983</v>
      </c>
      <c r="C11890">
        <f>0</f>
        <v>0</v>
      </c>
      <c r="D11890">
        <v>0.85881058830799994</v>
      </c>
      <c r="E11890">
        <v>18.347999999999999</v>
      </c>
    </row>
    <row r="11891" spans="1:5">
      <c r="A11891" t="s">
        <v>41436</v>
      </c>
      <c r="B11891" t="s">
        <v>16987</v>
      </c>
      <c r="C11891">
        <v>0.26878711418599999</v>
      </c>
      <c r="D11891">
        <v>0.85881058830799994</v>
      </c>
      <c r="E11891">
        <v>18.347999999999999</v>
      </c>
    </row>
    <row r="11892" spans="1:5">
      <c r="A11892" t="s">
        <v>41436</v>
      </c>
      <c r="B11892" t="s">
        <v>16988</v>
      </c>
      <c r="C11892">
        <v>0</v>
      </c>
      <c r="D11892">
        <v>0.85881058830799994</v>
      </c>
      <c r="E11892">
        <v>18.347999999999999</v>
      </c>
    </row>
    <row r="11893" spans="1:5">
      <c r="A11893" t="s">
        <v>41436</v>
      </c>
      <c r="B11893" t="s">
        <v>16984</v>
      </c>
      <c r="C11893">
        <f>0</f>
        <v>0</v>
      </c>
      <c r="D11893">
        <v>0.85881058830799994</v>
      </c>
      <c r="E11893">
        <v>18.347999999999999</v>
      </c>
    </row>
    <row r="11894" spans="1:5">
      <c r="A11894" t="s">
        <v>41437</v>
      </c>
      <c r="B11894" t="s">
        <v>20167</v>
      </c>
      <c r="C11894">
        <f>0</f>
        <v>0</v>
      </c>
      <c r="D11894">
        <v>0.86897625997200001</v>
      </c>
      <c r="E11894">
        <v>14.747999999999999</v>
      </c>
    </row>
    <row r="11895" spans="1:5">
      <c r="A11895" t="s">
        <v>41437</v>
      </c>
      <c r="B11895" t="s">
        <v>20168</v>
      </c>
      <c r="C11895">
        <v>0.79298748212900005</v>
      </c>
      <c r="D11895">
        <v>0.86897625997200001</v>
      </c>
      <c r="E11895">
        <v>14.747999999999999</v>
      </c>
    </row>
    <row r="11896" spans="1:5">
      <c r="A11896" t="s">
        <v>41437</v>
      </c>
      <c r="B11896" t="s">
        <v>20171</v>
      </c>
      <c r="C11896">
        <f>0.155476914964</f>
        <v>0.15547691496400001</v>
      </c>
      <c r="D11896">
        <v>0.86897625997200001</v>
      </c>
      <c r="E11896">
        <v>14.747999999999999</v>
      </c>
    </row>
    <row r="11897" spans="1:5">
      <c r="A11897" t="s">
        <v>41437</v>
      </c>
      <c r="B11897" t="s">
        <v>20169</v>
      </c>
      <c r="C11897">
        <v>2.0711317192099999E-2</v>
      </c>
      <c r="D11897">
        <v>0.86897625997200001</v>
      </c>
      <c r="E11897">
        <v>14.747999999999999</v>
      </c>
    </row>
    <row r="11898" spans="1:5">
      <c r="A11898" t="s">
        <v>41438</v>
      </c>
      <c r="B11898" t="s">
        <v>17963</v>
      </c>
      <c r="C11898">
        <v>0</v>
      </c>
      <c r="D11898" t="s">
        <v>106</v>
      </c>
      <c r="E11898">
        <v>0.192</v>
      </c>
    </row>
    <row r="11899" spans="1:5">
      <c r="A11899" t="s">
        <v>41438</v>
      </c>
      <c r="B11899" t="s">
        <v>17964</v>
      </c>
      <c r="C11899">
        <v>0</v>
      </c>
      <c r="D11899" t="s">
        <v>106</v>
      </c>
      <c r="E11899">
        <v>0.192</v>
      </c>
    </row>
    <row r="11900" spans="1:5">
      <c r="A11900" t="s">
        <v>41439</v>
      </c>
      <c r="B11900" t="s">
        <v>41440</v>
      </c>
      <c r="C11900">
        <v>9.9347253512200001E-2</v>
      </c>
      <c r="D11900">
        <v>0.95899865472800006</v>
      </c>
      <c r="E11900">
        <v>0.73799999999999999</v>
      </c>
    </row>
    <row r="11901" spans="1:5">
      <c r="A11901" t="s">
        <v>41439</v>
      </c>
      <c r="B11901" t="s">
        <v>41441</v>
      </c>
      <c r="C11901">
        <v>0</v>
      </c>
      <c r="D11901">
        <v>0.95899865472800006</v>
      </c>
      <c r="E11901">
        <v>0.73799999999999999</v>
      </c>
    </row>
    <row r="11902" spans="1:5">
      <c r="A11902" t="s">
        <v>41439</v>
      </c>
      <c r="B11902" t="s">
        <v>41442</v>
      </c>
      <c r="C11902">
        <v>0.56625084603099995</v>
      </c>
      <c r="D11902">
        <v>0.95899865472800006</v>
      </c>
      <c r="E11902">
        <v>0.73799999999999999</v>
      </c>
    </row>
    <row r="11903" spans="1:5">
      <c r="A11903" t="s">
        <v>41439</v>
      </c>
      <c r="B11903" t="s">
        <v>41443</v>
      </c>
      <c r="C11903">
        <v>0.25615196226999998</v>
      </c>
      <c r="D11903">
        <v>0.95899865472800006</v>
      </c>
      <c r="E11903">
        <v>0.73799999999999999</v>
      </c>
    </row>
    <row r="11904" spans="1:5">
      <c r="A11904" t="s">
        <v>41444</v>
      </c>
      <c r="B11904" t="s">
        <v>41445</v>
      </c>
      <c r="C11904">
        <f>0.34889269079</f>
        <v>0.34889269079000002</v>
      </c>
      <c r="D11904">
        <v>0.89601854000100001</v>
      </c>
      <c r="E11904">
        <v>0</v>
      </c>
    </row>
    <row r="11905" spans="1:5">
      <c r="A11905" t="s">
        <v>41444</v>
      </c>
      <c r="B11905" t="s">
        <v>41446</v>
      </c>
      <c r="C11905">
        <v>0.91550907341300003</v>
      </c>
      <c r="D11905">
        <v>0.89601854000100001</v>
      </c>
      <c r="E11905">
        <v>0</v>
      </c>
    </row>
    <row r="11906" spans="1:5">
      <c r="A11906" t="s">
        <v>41447</v>
      </c>
      <c r="B11906" t="s">
        <v>41448</v>
      </c>
      <c r="C11906">
        <v>0</v>
      </c>
      <c r="D11906" t="s">
        <v>106</v>
      </c>
      <c r="E11906">
        <v>24</v>
      </c>
    </row>
    <row r="11907" spans="1:5">
      <c r="A11907" t="s">
        <v>41447</v>
      </c>
      <c r="B11907" t="s">
        <v>41449</v>
      </c>
      <c r="C11907">
        <v>0</v>
      </c>
      <c r="D11907" t="s">
        <v>106</v>
      </c>
      <c r="E11907">
        <v>24</v>
      </c>
    </row>
    <row r="11908" spans="1:5">
      <c r="A11908" t="s">
        <v>41447</v>
      </c>
      <c r="B11908" t="s">
        <v>41450</v>
      </c>
      <c r="C11908">
        <v>0</v>
      </c>
      <c r="D11908" t="s">
        <v>106</v>
      </c>
      <c r="E11908">
        <v>24</v>
      </c>
    </row>
    <row r="11909" spans="1:5">
      <c r="A11909" t="s">
        <v>41451</v>
      </c>
      <c r="B11909" t="s">
        <v>41452</v>
      </c>
      <c r="C11909">
        <f>0.863982873329</f>
        <v>0.86398287332900003</v>
      </c>
      <c r="D11909">
        <v>0.81369874760100003</v>
      </c>
      <c r="E11909">
        <v>4.17</v>
      </c>
    </row>
    <row r="11910" spans="1:5">
      <c r="A11910" t="s">
        <v>41451</v>
      </c>
      <c r="B11910" t="s">
        <v>41453</v>
      </c>
      <c r="C11910">
        <v>0.22654820262600001</v>
      </c>
      <c r="D11910">
        <v>0.81369874760100003</v>
      </c>
      <c r="E11910">
        <v>4.17</v>
      </c>
    </row>
    <row r="11911" spans="1:5">
      <c r="A11911" t="s">
        <v>41454</v>
      </c>
      <c r="B11911" t="s">
        <v>29721</v>
      </c>
      <c r="C11911">
        <f>0</f>
        <v>0</v>
      </c>
      <c r="D11911" t="s">
        <v>106</v>
      </c>
      <c r="E11911">
        <v>3.5999999999999997E-2</v>
      </c>
    </row>
    <row r="11912" spans="1:5">
      <c r="A11912" t="s">
        <v>41454</v>
      </c>
      <c r="B11912" t="s">
        <v>29718</v>
      </c>
      <c r="C11912">
        <v>0</v>
      </c>
      <c r="D11912" t="s">
        <v>106</v>
      </c>
      <c r="E11912">
        <v>3.5999999999999997E-2</v>
      </c>
    </row>
    <row r="11913" spans="1:5">
      <c r="A11913" t="s">
        <v>41454</v>
      </c>
      <c r="B11913" t="s">
        <v>29719</v>
      </c>
      <c r="C11913">
        <f>0</f>
        <v>0</v>
      </c>
      <c r="D11913" t="s">
        <v>106</v>
      </c>
      <c r="E11913">
        <v>3.5999999999999997E-2</v>
      </c>
    </row>
    <row r="11914" spans="1:5">
      <c r="A11914" t="s">
        <v>41455</v>
      </c>
      <c r="B11914" t="s">
        <v>32158</v>
      </c>
      <c r="C11914">
        <v>0</v>
      </c>
      <c r="D11914">
        <v>0.55322820672100004</v>
      </c>
      <c r="E11914">
        <v>17.928000000000001</v>
      </c>
    </row>
    <row r="11915" spans="1:5">
      <c r="A11915" t="s">
        <v>41455</v>
      </c>
      <c r="B11915" t="s">
        <v>32152</v>
      </c>
      <c r="C11915">
        <f>0.282818206721</f>
        <v>0.282818206721</v>
      </c>
      <c r="D11915">
        <v>0.55322820672100004</v>
      </c>
      <c r="E11915">
        <v>17.928000000000001</v>
      </c>
    </row>
    <row r="11916" spans="1:5">
      <c r="A11916" t="s">
        <v>41455</v>
      </c>
      <c r="B11916" t="s">
        <v>32164</v>
      </c>
      <c r="C11916">
        <v>0</v>
      </c>
      <c r="D11916">
        <v>0.55322820672100004</v>
      </c>
      <c r="E11916">
        <v>17.928000000000001</v>
      </c>
    </row>
    <row r="11917" spans="1:5">
      <c r="A11917" t="s">
        <v>41455</v>
      </c>
      <c r="B11917" t="s">
        <v>32161</v>
      </c>
      <c r="C11917">
        <v>0</v>
      </c>
      <c r="D11917">
        <v>0.55322820672100004</v>
      </c>
      <c r="E11917">
        <v>17.928000000000001</v>
      </c>
    </row>
    <row r="11918" spans="1:5">
      <c r="A11918" t="s">
        <v>41455</v>
      </c>
      <c r="B11918" t="s">
        <v>32154</v>
      </c>
      <c r="C11918">
        <f>0</f>
        <v>0</v>
      </c>
      <c r="D11918">
        <v>0.55322820672100004</v>
      </c>
      <c r="E11918">
        <v>17.928000000000001</v>
      </c>
    </row>
    <row r="11919" spans="1:5">
      <c r="A11919" t="s">
        <v>41455</v>
      </c>
      <c r="B11919" t="s">
        <v>32159</v>
      </c>
      <c r="C11919">
        <f>0</f>
        <v>0</v>
      </c>
      <c r="D11919">
        <v>0.55322820672100004</v>
      </c>
      <c r="E11919">
        <v>17.928000000000001</v>
      </c>
    </row>
    <row r="11920" spans="1:5">
      <c r="A11920" t="s">
        <v>41456</v>
      </c>
      <c r="B11920" t="s">
        <v>25202</v>
      </c>
      <c r="C11920">
        <f>0</f>
        <v>0</v>
      </c>
      <c r="D11920" t="s">
        <v>106</v>
      </c>
      <c r="E11920">
        <v>24</v>
      </c>
    </row>
    <row r="11921" spans="1:5">
      <c r="A11921" t="s">
        <v>41456</v>
      </c>
      <c r="B11921" t="s">
        <v>25203</v>
      </c>
      <c r="C11921">
        <f>0</f>
        <v>0</v>
      </c>
      <c r="D11921" t="s">
        <v>106</v>
      </c>
      <c r="E11921">
        <v>24</v>
      </c>
    </row>
    <row r="11922" spans="1:5">
      <c r="A11922" t="s">
        <v>41457</v>
      </c>
      <c r="B11922" t="s">
        <v>5841</v>
      </c>
      <c r="C11922">
        <v>0.65370250737799995</v>
      </c>
      <c r="D11922">
        <v>0.949077628851</v>
      </c>
      <c r="E11922">
        <v>20.963999999999999</v>
      </c>
    </row>
    <row r="11923" spans="1:5">
      <c r="A11923" t="s">
        <v>41457</v>
      </c>
      <c r="B11923" t="s">
        <v>5845</v>
      </c>
      <c r="C11923">
        <f>0.745928977301</f>
        <v>0.74592897730100005</v>
      </c>
      <c r="D11923">
        <v>0.949077628851</v>
      </c>
      <c r="E11923">
        <v>20.963999999999999</v>
      </c>
    </row>
    <row r="11924" spans="1:5">
      <c r="A11924" t="s">
        <v>41457</v>
      </c>
      <c r="B11924" t="s">
        <v>5846</v>
      </c>
      <c r="C11924">
        <f>0.673467043916</f>
        <v>0.67346704391599999</v>
      </c>
      <c r="D11924">
        <v>0.949077628851</v>
      </c>
      <c r="E11924">
        <v>20.963999999999999</v>
      </c>
    </row>
    <row r="11925" spans="1:5">
      <c r="A11925" t="s">
        <v>41457</v>
      </c>
      <c r="B11925" t="s">
        <v>5844</v>
      </c>
      <c r="C11925">
        <v>0.92877834418600003</v>
      </c>
      <c r="D11925">
        <v>0.949077628851</v>
      </c>
      <c r="E11925">
        <v>20.963999999999999</v>
      </c>
    </row>
    <row r="11926" spans="1:5">
      <c r="A11926" t="s">
        <v>41457</v>
      </c>
      <c r="B11926" t="s">
        <v>5840</v>
      </c>
      <c r="C11926">
        <f>0.052107967477</f>
        <v>5.2107967477E-2</v>
      </c>
      <c r="D11926">
        <v>0.949077628851</v>
      </c>
      <c r="E11926">
        <v>20.963999999999999</v>
      </c>
    </row>
    <row r="11927" spans="1:5">
      <c r="A11927" t="s">
        <v>41458</v>
      </c>
      <c r="B11927" t="s">
        <v>41459</v>
      </c>
      <c r="C11927">
        <v>0.47887734224200001</v>
      </c>
      <c r="D11927">
        <v>0.746842226715</v>
      </c>
      <c r="E11927">
        <v>4.5839999999999996</v>
      </c>
    </row>
    <row r="11928" spans="1:5">
      <c r="A11928" t="s">
        <v>41458</v>
      </c>
      <c r="B11928" t="s">
        <v>41460</v>
      </c>
      <c r="C11928">
        <v>0.25001262276300001</v>
      </c>
      <c r="D11928">
        <v>0.746842226715</v>
      </c>
      <c r="E11928">
        <v>4.5839999999999996</v>
      </c>
    </row>
    <row r="11929" spans="1:5">
      <c r="A11929" t="s">
        <v>41461</v>
      </c>
      <c r="B11929" t="s">
        <v>12695</v>
      </c>
      <c r="C11929">
        <v>0</v>
      </c>
      <c r="D11929">
        <v>0.68987343950500002</v>
      </c>
      <c r="E11929">
        <v>19.853999999999999</v>
      </c>
    </row>
    <row r="11930" spans="1:5">
      <c r="A11930" t="s">
        <v>41461</v>
      </c>
      <c r="B11930" t="s">
        <v>12696</v>
      </c>
      <c r="C11930">
        <v>0.227463439505</v>
      </c>
      <c r="D11930">
        <v>0.68987343950500002</v>
      </c>
      <c r="E11930">
        <v>19.853999999999999</v>
      </c>
    </row>
    <row r="11931" spans="1:5">
      <c r="A11931" t="s">
        <v>41461</v>
      </c>
      <c r="B11931" t="s">
        <v>12697</v>
      </c>
      <c r="C11931">
        <f>0</f>
        <v>0</v>
      </c>
      <c r="D11931">
        <v>0.68987343950500002</v>
      </c>
      <c r="E11931">
        <v>19.853999999999999</v>
      </c>
    </row>
    <row r="11932" spans="1:5">
      <c r="A11932" t="s">
        <v>41461</v>
      </c>
      <c r="B11932" t="s">
        <v>12698</v>
      </c>
      <c r="C11932">
        <f>0</f>
        <v>0</v>
      </c>
      <c r="D11932">
        <v>0.68987343950500002</v>
      </c>
      <c r="E11932">
        <v>19.853999999999999</v>
      </c>
    </row>
    <row r="11933" spans="1:5">
      <c r="A11933" t="s">
        <v>41462</v>
      </c>
      <c r="B11933" t="s">
        <v>1489</v>
      </c>
      <c r="C11933">
        <v>0.56074002223099995</v>
      </c>
      <c r="D11933">
        <v>0.98958368770600003</v>
      </c>
      <c r="E11933">
        <v>3.78</v>
      </c>
    </row>
    <row r="11934" spans="1:5">
      <c r="A11934" t="s">
        <v>41462</v>
      </c>
      <c r="B11934" t="s">
        <v>1493</v>
      </c>
      <c r="C11934">
        <v>0.202387175108</v>
      </c>
      <c r="D11934">
        <v>0.98958368770600003</v>
      </c>
      <c r="E11934">
        <v>3.78</v>
      </c>
    </row>
    <row r="11935" spans="1:5">
      <c r="A11935" t="s">
        <v>41462</v>
      </c>
      <c r="B11935" t="s">
        <v>1497</v>
      </c>
      <c r="C11935">
        <f>-1.27179888304</f>
        <v>-1.27179888304</v>
      </c>
      <c r="D11935">
        <v>0.98958368770600003</v>
      </c>
      <c r="E11935">
        <v>3.78</v>
      </c>
    </row>
    <row r="11936" spans="1:5">
      <c r="A11936" t="s">
        <v>41462</v>
      </c>
      <c r="B11936" t="s">
        <v>1490</v>
      </c>
      <c r="C11936">
        <f>0.0964958650381</f>
        <v>9.6495865038099995E-2</v>
      </c>
      <c r="D11936">
        <v>0.98958368770600003</v>
      </c>
      <c r="E11936">
        <v>3.78</v>
      </c>
    </row>
    <row r="11937" spans="1:5">
      <c r="A11937" t="s">
        <v>41462</v>
      </c>
      <c r="B11937" t="s">
        <v>1492</v>
      </c>
      <c r="C11937">
        <f>0.164662233468</f>
        <v>0.16466223346799999</v>
      </c>
      <c r="D11937">
        <v>0.98958368770600003</v>
      </c>
      <c r="E11937">
        <v>3.78</v>
      </c>
    </row>
    <row r="11938" spans="1:5">
      <c r="A11938" t="s">
        <v>41462</v>
      </c>
      <c r="B11938" t="s">
        <v>1496</v>
      </c>
      <c r="C11938">
        <v>0.86424393079299999</v>
      </c>
      <c r="D11938">
        <v>0.98958368770600003</v>
      </c>
      <c r="E11938">
        <v>3.78</v>
      </c>
    </row>
    <row r="11939" spans="1:5">
      <c r="A11939" t="s">
        <v>41463</v>
      </c>
      <c r="B11939" t="s">
        <v>34331</v>
      </c>
      <c r="C11939">
        <v>0</v>
      </c>
      <c r="D11939" t="s">
        <v>106</v>
      </c>
      <c r="E11939">
        <v>22.806000000000001</v>
      </c>
    </row>
    <row r="11940" spans="1:5">
      <c r="A11940" t="s">
        <v>41463</v>
      </c>
      <c r="B11940" t="s">
        <v>34329</v>
      </c>
      <c r="C11940">
        <f>0</f>
        <v>0</v>
      </c>
      <c r="D11940" t="s">
        <v>106</v>
      </c>
      <c r="E11940">
        <v>22.806000000000001</v>
      </c>
    </row>
    <row r="11941" spans="1:5">
      <c r="A11941" t="s">
        <v>41463</v>
      </c>
      <c r="B11941" t="s">
        <v>34333</v>
      </c>
      <c r="C11941">
        <f>0</f>
        <v>0</v>
      </c>
      <c r="D11941" t="s">
        <v>106</v>
      </c>
      <c r="E11941">
        <v>22.806000000000001</v>
      </c>
    </row>
    <row r="11942" spans="1:5">
      <c r="A11942" t="s">
        <v>41463</v>
      </c>
      <c r="B11942" t="s">
        <v>34337</v>
      </c>
      <c r="C11942">
        <f>0</f>
        <v>0</v>
      </c>
      <c r="D11942" t="s">
        <v>106</v>
      </c>
      <c r="E11942">
        <v>22.806000000000001</v>
      </c>
    </row>
    <row r="11943" spans="1:5">
      <c r="A11943" t="s">
        <v>41463</v>
      </c>
      <c r="B11943" t="s">
        <v>34332</v>
      </c>
      <c r="C11943">
        <v>0</v>
      </c>
      <c r="D11943" t="s">
        <v>106</v>
      </c>
      <c r="E11943">
        <v>22.806000000000001</v>
      </c>
    </row>
    <row r="11944" spans="1:5">
      <c r="A11944" t="s">
        <v>41464</v>
      </c>
      <c r="B11944" t="s">
        <v>24061</v>
      </c>
      <c r="C11944">
        <v>0.48905139568900002</v>
      </c>
      <c r="D11944">
        <v>0.99999365446599997</v>
      </c>
      <c r="E11944">
        <v>23.754000000000001</v>
      </c>
    </row>
    <row r="11945" spans="1:5">
      <c r="A11945" t="s">
        <v>41464</v>
      </c>
      <c r="B11945" t="s">
        <v>24062</v>
      </c>
      <c r="C11945">
        <v>0.95431832975800002</v>
      </c>
      <c r="D11945">
        <v>0.99999365446599997</v>
      </c>
      <c r="E11945">
        <v>23.754000000000001</v>
      </c>
    </row>
    <row r="11946" spans="1:5">
      <c r="A11946" t="s">
        <v>41464</v>
      </c>
      <c r="B11946" t="s">
        <v>24073</v>
      </c>
      <c r="C11946">
        <v>0</v>
      </c>
      <c r="D11946">
        <v>0.99999365446599997</v>
      </c>
      <c r="E11946">
        <v>23.754000000000001</v>
      </c>
    </row>
    <row r="11947" spans="1:5">
      <c r="A11947" t="s">
        <v>41464</v>
      </c>
      <c r="B11947" t="s">
        <v>24068</v>
      </c>
      <c r="C11947">
        <f>0</f>
        <v>0</v>
      </c>
      <c r="D11947">
        <v>0.99999365446599997</v>
      </c>
      <c r="E11947">
        <v>23.754000000000001</v>
      </c>
    </row>
    <row r="11948" spans="1:5">
      <c r="A11948" t="s">
        <v>41464</v>
      </c>
      <c r="B11948" t="s">
        <v>24066</v>
      </c>
      <c r="C11948">
        <f>0.326084634666</f>
        <v>0.32608463466600002</v>
      </c>
      <c r="D11948">
        <v>0.99999365446599997</v>
      </c>
      <c r="E11948">
        <v>23.754000000000001</v>
      </c>
    </row>
    <row r="11949" spans="1:5">
      <c r="A11949" t="s">
        <v>41464</v>
      </c>
      <c r="B11949" t="s">
        <v>24070</v>
      </c>
      <c r="C11949">
        <v>3.1191506860399999E-2</v>
      </c>
      <c r="D11949">
        <v>0.99999365446599997</v>
      </c>
      <c r="E11949">
        <v>23.754000000000001</v>
      </c>
    </row>
    <row r="11950" spans="1:5">
      <c r="A11950" t="s">
        <v>41464</v>
      </c>
      <c r="B11950" t="s">
        <v>24069</v>
      </c>
      <c r="C11950">
        <f>0.159114541035</f>
        <v>0.159114541035</v>
      </c>
      <c r="D11950">
        <v>0.99999365446599997</v>
      </c>
      <c r="E11950">
        <v>23.754000000000001</v>
      </c>
    </row>
    <row r="11951" spans="1:5">
      <c r="A11951" t="s">
        <v>41464</v>
      </c>
      <c r="B11951" t="s">
        <v>24065</v>
      </c>
      <c r="C11951">
        <f>0.0793841209771</f>
        <v>7.9384120977100001E-2</v>
      </c>
      <c r="D11951">
        <v>0.99999365446599997</v>
      </c>
      <c r="E11951">
        <v>23.754000000000001</v>
      </c>
    </row>
    <row r="11952" spans="1:5">
      <c r="A11952" t="s">
        <v>41465</v>
      </c>
      <c r="B11952" t="s">
        <v>30939</v>
      </c>
      <c r="C11952">
        <f>0.586126813981</f>
        <v>0.58612681398099997</v>
      </c>
      <c r="D11952">
        <v>0.996994633031</v>
      </c>
      <c r="E11952">
        <v>23.754000000000001</v>
      </c>
    </row>
    <row r="11953" spans="1:5">
      <c r="A11953" t="s">
        <v>41465</v>
      </c>
      <c r="B11953" t="s">
        <v>30943</v>
      </c>
      <c r="C11953">
        <f>0.198373468613</f>
        <v>0.19837346861300001</v>
      </c>
      <c r="D11953">
        <v>0.996994633031</v>
      </c>
      <c r="E11953">
        <v>23.754000000000001</v>
      </c>
    </row>
    <row r="11954" spans="1:5">
      <c r="A11954" t="s">
        <v>41465</v>
      </c>
      <c r="B11954" t="s">
        <v>30941</v>
      </c>
      <c r="C11954">
        <v>0.75488600871</v>
      </c>
      <c r="D11954">
        <v>0.996994633031</v>
      </c>
      <c r="E11954">
        <v>23.754000000000001</v>
      </c>
    </row>
    <row r="11955" spans="1:5">
      <c r="A11955" t="s">
        <v>41465</v>
      </c>
      <c r="B11955" t="s">
        <v>30948</v>
      </c>
      <c r="C11955">
        <f>0.669408381551</f>
        <v>0.66940838155100002</v>
      </c>
      <c r="D11955">
        <v>0.996994633031</v>
      </c>
      <c r="E11955">
        <v>23.754000000000001</v>
      </c>
    </row>
    <row r="11956" spans="1:5">
      <c r="A11956" t="s">
        <v>41465</v>
      </c>
      <c r="B11956" t="s">
        <v>30942</v>
      </c>
      <c r="C11956">
        <f>0</f>
        <v>0</v>
      </c>
      <c r="D11956">
        <v>0.996994633031</v>
      </c>
      <c r="E11956">
        <v>23.754000000000001</v>
      </c>
    </row>
    <row r="11957" spans="1:5">
      <c r="A11957" t="s">
        <v>41465</v>
      </c>
      <c r="B11957" t="s">
        <v>30944</v>
      </c>
      <c r="C11957">
        <v>0</v>
      </c>
      <c r="D11957">
        <v>0.996994633031</v>
      </c>
      <c r="E11957">
        <v>23.754000000000001</v>
      </c>
    </row>
    <row r="11958" spans="1:5">
      <c r="A11958" t="s">
        <v>41465</v>
      </c>
      <c r="B11958" t="s">
        <v>30945</v>
      </c>
      <c r="C11958">
        <v>0.27061173634399999</v>
      </c>
      <c r="D11958">
        <v>0.996994633031</v>
      </c>
      <c r="E11958">
        <v>23.754000000000001</v>
      </c>
    </row>
    <row r="11959" spans="1:5">
      <c r="A11959" t="s">
        <v>41465</v>
      </c>
      <c r="B11959" t="s">
        <v>30946</v>
      </c>
      <c r="C11959">
        <v>2.4249313545600001E-2</v>
      </c>
      <c r="D11959">
        <v>0.996994633031</v>
      </c>
      <c r="E11959">
        <v>23.754000000000001</v>
      </c>
    </row>
    <row r="11960" spans="1:5">
      <c r="A11960" t="s">
        <v>41466</v>
      </c>
      <c r="B11960" t="s">
        <v>2429</v>
      </c>
      <c r="C11960">
        <f>0</f>
        <v>0</v>
      </c>
      <c r="D11960" t="s">
        <v>106</v>
      </c>
      <c r="E11960">
        <v>0.73799999999999999</v>
      </c>
    </row>
    <row r="11961" spans="1:5">
      <c r="A11961" t="s">
        <v>41466</v>
      </c>
      <c r="B11961" t="s">
        <v>2426</v>
      </c>
      <c r="C11961">
        <v>0</v>
      </c>
      <c r="D11961" t="s">
        <v>106</v>
      </c>
      <c r="E11961">
        <v>0.73799999999999999</v>
      </c>
    </row>
    <row r="11962" spans="1:5">
      <c r="A11962" t="s">
        <v>41466</v>
      </c>
      <c r="B11962" t="s">
        <v>2433</v>
      </c>
      <c r="C11962">
        <v>0</v>
      </c>
      <c r="D11962" t="s">
        <v>106</v>
      </c>
      <c r="E11962">
        <v>0.73799999999999999</v>
      </c>
    </row>
    <row r="11963" spans="1:5">
      <c r="A11963" t="s">
        <v>41467</v>
      </c>
      <c r="B11963" t="s">
        <v>41468</v>
      </c>
      <c r="C11963">
        <f>0.476135611951</f>
        <v>0.47613561195100002</v>
      </c>
      <c r="D11963">
        <v>0.99026968086400002</v>
      </c>
      <c r="E11963">
        <v>1.17</v>
      </c>
    </row>
    <row r="11964" spans="1:5">
      <c r="A11964" t="s">
        <v>41467</v>
      </c>
      <c r="B11964" t="s">
        <v>41469</v>
      </c>
      <c r="C11964">
        <f>0.293314688941</f>
        <v>0.29331468894099999</v>
      </c>
      <c r="D11964">
        <v>0.99026968086400002</v>
      </c>
      <c r="E11964">
        <v>1.17</v>
      </c>
    </row>
    <row r="11965" spans="1:5">
      <c r="A11965" t="s">
        <v>41467</v>
      </c>
      <c r="B11965" t="s">
        <v>41470</v>
      </c>
      <c r="C11965">
        <f>0.26005052582</f>
        <v>0.26005052581999999</v>
      </c>
      <c r="D11965">
        <v>0.99026968086400002</v>
      </c>
      <c r="E11965">
        <v>1.17</v>
      </c>
    </row>
    <row r="11966" spans="1:5">
      <c r="A11966" t="s">
        <v>41467</v>
      </c>
      <c r="B11966" t="s">
        <v>41471</v>
      </c>
      <c r="C11966">
        <f>0.362364363267</f>
        <v>0.362364363267</v>
      </c>
      <c r="D11966">
        <v>0.99026968086400002</v>
      </c>
      <c r="E11966">
        <v>1.17</v>
      </c>
    </row>
    <row r="11967" spans="1:5">
      <c r="A11967" t="s">
        <v>41467</v>
      </c>
      <c r="B11967" t="s">
        <v>41472</v>
      </c>
      <c r="C11967">
        <f>0</f>
        <v>0</v>
      </c>
      <c r="D11967">
        <v>0.99026968086400002</v>
      </c>
      <c r="E11967">
        <v>1.17</v>
      </c>
    </row>
    <row r="11968" spans="1:5">
      <c r="A11968" t="s">
        <v>41467</v>
      </c>
      <c r="B11968" t="s">
        <v>41473</v>
      </c>
      <c r="C11968">
        <v>0.248206694659</v>
      </c>
      <c r="D11968">
        <v>0.99026968086400002</v>
      </c>
      <c r="E11968">
        <v>1.17</v>
      </c>
    </row>
    <row r="11969" spans="1:5">
      <c r="A11969" t="s">
        <v>41474</v>
      </c>
      <c r="B11969" t="s">
        <v>26781</v>
      </c>
      <c r="C11969">
        <f>0</f>
        <v>0</v>
      </c>
      <c r="D11969">
        <v>0.93687342627000003</v>
      </c>
      <c r="E11969">
        <v>1.1160000000000001</v>
      </c>
    </row>
    <row r="11970" spans="1:5">
      <c r="A11970" t="s">
        <v>41474</v>
      </c>
      <c r="B11970" t="s">
        <v>41475</v>
      </c>
      <c r="C11970">
        <v>0</v>
      </c>
      <c r="D11970">
        <v>0.93687342627000003</v>
      </c>
      <c r="E11970">
        <v>1.1160000000000001</v>
      </c>
    </row>
    <row r="11971" spans="1:5">
      <c r="A11971" t="s">
        <v>41474</v>
      </c>
      <c r="B11971" t="s">
        <v>26790</v>
      </c>
      <c r="C11971">
        <v>0.117412878363</v>
      </c>
      <c r="D11971">
        <v>0.93687342627000003</v>
      </c>
      <c r="E11971">
        <v>1.1160000000000001</v>
      </c>
    </row>
    <row r="11972" spans="1:5">
      <c r="A11972" t="s">
        <v>41474</v>
      </c>
      <c r="B11972" t="s">
        <v>26787</v>
      </c>
      <c r="C11972">
        <v>0.67304708256000001</v>
      </c>
      <c r="D11972">
        <v>0.93687342627000003</v>
      </c>
      <c r="E11972">
        <v>1.1160000000000001</v>
      </c>
    </row>
    <row r="11973" spans="1:5">
      <c r="A11973" t="s">
        <v>41474</v>
      </c>
      <c r="B11973" t="s">
        <v>26783</v>
      </c>
      <c r="C11973">
        <v>0.39485840732499999</v>
      </c>
      <c r="D11973">
        <v>0.93687342627000003</v>
      </c>
      <c r="E11973">
        <v>1.1160000000000001</v>
      </c>
    </row>
    <row r="11974" spans="1:5">
      <c r="A11974" t="s">
        <v>41474</v>
      </c>
      <c r="B11974" t="s">
        <v>26794</v>
      </c>
      <c r="C11974">
        <f>0.625276596397</f>
        <v>0.62527659639699995</v>
      </c>
      <c r="D11974">
        <v>0.93687342627000003</v>
      </c>
      <c r="E11974">
        <v>1.1160000000000001</v>
      </c>
    </row>
    <row r="11975" spans="1:5">
      <c r="A11975" t="s">
        <v>41476</v>
      </c>
      <c r="B11975" t="s">
        <v>229</v>
      </c>
      <c r="C11975">
        <v>0</v>
      </c>
      <c r="D11975">
        <v>0.76983149068400003</v>
      </c>
      <c r="E11975">
        <v>7.8719999999999999</v>
      </c>
    </row>
    <row r="11976" spans="1:5">
      <c r="A11976" t="s">
        <v>41476</v>
      </c>
      <c r="B11976" t="s">
        <v>224</v>
      </c>
      <c r="C11976">
        <v>0</v>
      </c>
      <c r="D11976">
        <v>0.76983149068400003</v>
      </c>
      <c r="E11976">
        <v>7.8719999999999999</v>
      </c>
    </row>
    <row r="11977" spans="1:5">
      <c r="A11977" t="s">
        <v>41476</v>
      </c>
      <c r="B11977" t="s">
        <v>226</v>
      </c>
      <c r="C11977">
        <v>0.45622149068399998</v>
      </c>
      <c r="D11977">
        <v>0.76983149068400003</v>
      </c>
      <c r="E11977">
        <v>7.8719999999999999</v>
      </c>
    </row>
    <row r="11978" spans="1:5">
      <c r="A11978" t="s">
        <v>41477</v>
      </c>
      <c r="B11978" t="s">
        <v>21014</v>
      </c>
      <c r="C11978">
        <f>0</f>
        <v>0</v>
      </c>
      <c r="D11978" t="s">
        <v>106</v>
      </c>
      <c r="E11978">
        <v>24</v>
      </c>
    </row>
    <row r="11979" spans="1:5">
      <c r="A11979" t="s">
        <v>41477</v>
      </c>
      <c r="B11979" t="s">
        <v>21016</v>
      </c>
      <c r="C11979">
        <f>0</f>
        <v>0</v>
      </c>
      <c r="D11979" t="s">
        <v>106</v>
      </c>
      <c r="E11979">
        <v>24</v>
      </c>
    </row>
    <row r="11980" spans="1:5">
      <c r="A11980" t="s">
        <v>41477</v>
      </c>
      <c r="B11980" t="s">
        <v>21018</v>
      </c>
      <c r="C11980">
        <v>0</v>
      </c>
      <c r="D11980" t="s">
        <v>106</v>
      </c>
      <c r="E11980">
        <v>24</v>
      </c>
    </row>
    <row r="11981" spans="1:5">
      <c r="A11981" t="s">
        <v>41478</v>
      </c>
      <c r="B11981" t="s">
        <v>10327</v>
      </c>
      <c r="C11981">
        <f>0</f>
        <v>0</v>
      </c>
      <c r="D11981" t="s">
        <v>106</v>
      </c>
      <c r="E11981">
        <v>4.8</v>
      </c>
    </row>
    <row r="11982" spans="1:5">
      <c r="A11982" t="s">
        <v>41478</v>
      </c>
      <c r="B11982" t="s">
        <v>10329</v>
      </c>
      <c r="C11982">
        <v>0</v>
      </c>
      <c r="D11982" t="s">
        <v>106</v>
      </c>
      <c r="E11982">
        <v>4.8</v>
      </c>
    </row>
    <row r="11983" spans="1:5">
      <c r="A11983" t="s">
        <v>41479</v>
      </c>
      <c r="B11983" t="s">
        <v>9811</v>
      </c>
      <c r="C11983">
        <v>0</v>
      </c>
      <c r="D11983" t="s">
        <v>106</v>
      </c>
      <c r="E11983">
        <v>1.278</v>
      </c>
    </row>
    <row r="11984" spans="1:5">
      <c r="A11984" t="s">
        <v>41479</v>
      </c>
      <c r="B11984" t="s">
        <v>9817</v>
      </c>
      <c r="C11984">
        <v>0</v>
      </c>
      <c r="D11984" t="s">
        <v>106</v>
      </c>
      <c r="E11984">
        <v>1.278</v>
      </c>
    </row>
    <row r="11985" spans="1:5">
      <c r="A11985" t="s">
        <v>41479</v>
      </c>
      <c r="B11985" t="s">
        <v>9816</v>
      </c>
      <c r="C11985">
        <f>0</f>
        <v>0</v>
      </c>
      <c r="D11985" t="s">
        <v>106</v>
      </c>
      <c r="E11985">
        <v>1.278</v>
      </c>
    </row>
    <row r="11986" spans="1:5">
      <c r="A11986" t="s">
        <v>41479</v>
      </c>
      <c r="B11986" t="s">
        <v>9814</v>
      </c>
      <c r="C11986">
        <f>0</f>
        <v>0</v>
      </c>
      <c r="D11986" t="s">
        <v>106</v>
      </c>
      <c r="E11986">
        <v>1.278</v>
      </c>
    </row>
    <row r="11987" spans="1:5">
      <c r="A11987" t="s">
        <v>41480</v>
      </c>
      <c r="B11987" t="s">
        <v>41481</v>
      </c>
      <c r="C11987">
        <v>2.9289042087199998E-2</v>
      </c>
      <c r="D11987">
        <v>0.99999277236999995</v>
      </c>
      <c r="E11987">
        <v>0</v>
      </c>
    </row>
    <row r="11988" spans="1:5">
      <c r="A11988" t="s">
        <v>41480</v>
      </c>
      <c r="B11988" t="s">
        <v>41482</v>
      </c>
      <c r="C11988">
        <f>0.0207815158312</f>
        <v>2.0781515831200002E-2</v>
      </c>
      <c r="D11988">
        <v>0.99999277236999995</v>
      </c>
      <c r="E11988">
        <v>0</v>
      </c>
    </row>
    <row r="11989" spans="1:5">
      <c r="A11989" t="s">
        <v>41480</v>
      </c>
      <c r="B11989" t="s">
        <v>41483</v>
      </c>
      <c r="C11989">
        <f>0</f>
        <v>0</v>
      </c>
      <c r="D11989">
        <v>0.99999277236999995</v>
      </c>
      <c r="E11989">
        <v>0</v>
      </c>
    </row>
    <row r="11990" spans="1:5">
      <c r="A11990" t="s">
        <v>41480</v>
      </c>
      <c r="B11990" t="s">
        <v>41484</v>
      </c>
      <c r="C11990">
        <f>0.187965753214</f>
        <v>0.187965753214</v>
      </c>
      <c r="D11990">
        <v>0.99999277236999995</v>
      </c>
      <c r="E11990">
        <v>0</v>
      </c>
    </row>
    <row r="11991" spans="1:5">
      <c r="A11991" t="s">
        <v>41480</v>
      </c>
      <c r="B11991" t="s">
        <v>41485</v>
      </c>
      <c r="C11991">
        <v>0</v>
      </c>
      <c r="D11991">
        <v>0.99999277236999995</v>
      </c>
      <c r="E11991">
        <v>0</v>
      </c>
    </row>
    <row r="11992" spans="1:5">
      <c r="A11992" t="s">
        <v>41480</v>
      </c>
      <c r="B11992" t="s">
        <v>41486</v>
      </c>
      <c r="C11992">
        <f>0.0402836702242</f>
        <v>4.0283670224199999E-2</v>
      </c>
      <c r="D11992">
        <v>0.99999277236999995</v>
      </c>
      <c r="E11992">
        <v>0</v>
      </c>
    </row>
    <row r="11993" spans="1:5">
      <c r="A11993" t="s">
        <v>41480</v>
      </c>
      <c r="B11993" t="s">
        <v>41487</v>
      </c>
      <c r="C11993">
        <f>0.120163872154</f>
        <v>0.120163872154</v>
      </c>
      <c r="D11993">
        <v>0.99999277236999995</v>
      </c>
      <c r="E11993">
        <v>0</v>
      </c>
    </row>
    <row r="11994" spans="1:5">
      <c r="A11994" t="s">
        <v>41480</v>
      </c>
      <c r="B11994" t="s">
        <v>41488</v>
      </c>
      <c r="C11994">
        <v>0.78775270073600001</v>
      </c>
      <c r="D11994">
        <v>0.99999277236999995</v>
      </c>
      <c r="E11994">
        <v>0</v>
      </c>
    </row>
    <row r="11995" spans="1:5">
      <c r="A11995" t="s">
        <v>41480</v>
      </c>
      <c r="B11995" t="s">
        <v>41489</v>
      </c>
      <c r="C11995">
        <f>0.18992854358</f>
        <v>0.18992854358</v>
      </c>
      <c r="D11995">
        <v>0.99999277236999995</v>
      </c>
      <c r="E11995">
        <v>0</v>
      </c>
    </row>
    <row r="11996" spans="1:5">
      <c r="A11996" t="s">
        <v>41480</v>
      </c>
      <c r="B11996" t="s">
        <v>41490</v>
      </c>
      <c r="C11996">
        <f>0</f>
        <v>0</v>
      </c>
      <c r="D11996">
        <v>0.99999277236999995</v>
      </c>
      <c r="E11996">
        <v>0</v>
      </c>
    </row>
    <row r="11997" spans="1:5">
      <c r="A11997" t="s">
        <v>41480</v>
      </c>
      <c r="B11997" t="s">
        <v>41491</v>
      </c>
      <c r="C11997">
        <f>0.105378358314</f>
        <v>0.105378358314</v>
      </c>
      <c r="D11997">
        <v>0.99999277236999995</v>
      </c>
      <c r="E11997">
        <v>0</v>
      </c>
    </row>
    <row r="11998" spans="1:5">
      <c r="A11998" t="s">
        <v>41480</v>
      </c>
      <c r="B11998" t="s">
        <v>41492</v>
      </c>
      <c r="C11998">
        <f>0</f>
        <v>0</v>
      </c>
      <c r="D11998">
        <v>0.99999277236999995</v>
      </c>
      <c r="E11998">
        <v>0</v>
      </c>
    </row>
    <row r="11999" spans="1:5">
      <c r="A11999" t="s">
        <v>41480</v>
      </c>
      <c r="B11999" t="s">
        <v>41493</v>
      </c>
      <c r="C11999">
        <f>0</f>
        <v>0</v>
      </c>
      <c r="D11999">
        <v>0.99999277236999995</v>
      </c>
      <c r="E11999">
        <v>0</v>
      </c>
    </row>
    <row r="12000" spans="1:5">
      <c r="A12000" t="s">
        <v>41480</v>
      </c>
      <c r="B12000" t="s">
        <v>41494</v>
      </c>
      <c r="C12000">
        <f>0</f>
        <v>0</v>
      </c>
      <c r="D12000">
        <v>0.99999277236999995</v>
      </c>
      <c r="E12000">
        <v>0</v>
      </c>
    </row>
    <row r="12001" spans="1:5">
      <c r="A12001" t="s">
        <v>41495</v>
      </c>
      <c r="B12001" t="s">
        <v>41496</v>
      </c>
      <c r="C12001">
        <f>-1.09187765727</f>
        <v>-1.09187765727</v>
      </c>
      <c r="D12001">
        <v>0.90595724669300004</v>
      </c>
      <c r="E12001">
        <v>2.4780000000000002</v>
      </c>
    </row>
    <row r="12002" spans="1:5">
      <c r="A12002" t="s">
        <v>41495</v>
      </c>
      <c r="B12002" t="s">
        <v>41497</v>
      </c>
      <c r="C12002">
        <v>0.647746155331</v>
      </c>
      <c r="D12002">
        <v>0.90595724669300004</v>
      </c>
      <c r="E12002">
        <v>2.4780000000000002</v>
      </c>
    </row>
    <row r="12003" spans="1:5">
      <c r="A12003" t="s">
        <v>41495</v>
      </c>
      <c r="B12003" t="s">
        <v>41498</v>
      </c>
      <c r="C12003">
        <v>0.60609259104900004</v>
      </c>
      <c r="D12003">
        <v>0.90595724669300004</v>
      </c>
      <c r="E12003">
        <v>2.4780000000000002</v>
      </c>
    </row>
    <row r="12004" spans="1:5">
      <c r="A12004" t="s">
        <v>41499</v>
      </c>
      <c r="B12004" t="s">
        <v>8093</v>
      </c>
      <c r="C12004">
        <f>0.271670323201</f>
        <v>0.27167032320099999</v>
      </c>
      <c r="D12004">
        <v>0.99726795720299999</v>
      </c>
      <c r="E12004">
        <v>16.494</v>
      </c>
    </row>
    <row r="12005" spans="1:5">
      <c r="A12005" t="s">
        <v>41499</v>
      </c>
      <c r="B12005" t="s">
        <v>8095</v>
      </c>
      <c r="C12005">
        <f>0.649615642199</f>
        <v>0.64961564219900003</v>
      </c>
      <c r="D12005">
        <v>0.99726795720299999</v>
      </c>
      <c r="E12005">
        <v>16.494</v>
      </c>
    </row>
    <row r="12006" spans="1:5">
      <c r="A12006" t="s">
        <v>41499</v>
      </c>
      <c r="B12006" t="s">
        <v>8091</v>
      </c>
      <c r="C12006">
        <v>0.189534201603</v>
      </c>
      <c r="D12006">
        <v>0.99726795720299999</v>
      </c>
      <c r="E12006">
        <v>16.494</v>
      </c>
    </row>
    <row r="12007" spans="1:5">
      <c r="A12007" t="s">
        <v>41499</v>
      </c>
      <c r="B12007" t="s">
        <v>8096</v>
      </c>
      <c r="C12007">
        <f>0.850820916286</f>
        <v>0.85082091628599998</v>
      </c>
      <c r="D12007">
        <v>0.99726795720299999</v>
      </c>
      <c r="E12007">
        <v>16.494</v>
      </c>
    </row>
    <row r="12008" spans="1:5">
      <c r="A12008" t="s">
        <v>41499</v>
      </c>
      <c r="B12008" t="s">
        <v>8089</v>
      </c>
      <c r="C12008">
        <v>0.665388808316</v>
      </c>
      <c r="D12008">
        <v>0.99726795720299999</v>
      </c>
      <c r="E12008">
        <v>16.494</v>
      </c>
    </row>
    <row r="12009" spans="1:5">
      <c r="A12009" t="s">
        <v>41500</v>
      </c>
      <c r="B12009" t="s">
        <v>13997</v>
      </c>
      <c r="C12009">
        <f>0.24392230962</f>
        <v>0.24392230962</v>
      </c>
      <c r="D12009">
        <v>0.76683566785099999</v>
      </c>
      <c r="E12009">
        <v>4.4820000000000002</v>
      </c>
    </row>
    <row r="12010" spans="1:5">
      <c r="A12010" t="s">
        <v>41500</v>
      </c>
      <c r="B12010" t="s">
        <v>13996</v>
      </c>
      <c r="C12010">
        <v>0.40778960152600002</v>
      </c>
      <c r="D12010">
        <v>0.76683566785099999</v>
      </c>
      <c r="E12010">
        <v>4.4820000000000002</v>
      </c>
    </row>
    <row r="12011" spans="1:5">
      <c r="A12011" t="s">
        <v>41500</v>
      </c>
      <c r="B12011" t="s">
        <v>13993</v>
      </c>
      <c r="C12011">
        <f>0</f>
        <v>0</v>
      </c>
      <c r="D12011">
        <v>0.76683566785099999</v>
      </c>
      <c r="E12011">
        <v>4.4820000000000002</v>
      </c>
    </row>
    <row r="12012" spans="1:5">
      <c r="A12012" t="s">
        <v>41500</v>
      </c>
      <c r="B12012" t="s">
        <v>13994</v>
      </c>
      <c r="C12012">
        <v>0</v>
      </c>
      <c r="D12012">
        <v>0.76683566785099999</v>
      </c>
      <c r="E12012">
        <v>4.4820000000000002</v>
      </c>
    </row>
    <row r="12013" spans="1:5">
      <c r="A12013" t="s">
        <v>41501</v>
      </c>
      <c r="B12013" t="s">
        <v>15404</v>
      </c>
      <c r="C12013">
        <f>0</f>
        <v>0</v>
      </c>
      <c r="D12013" t="s">
        <v>106</v>
      </c>
      <c r="E12013">
        <v>24</v>
      </c>
    </row>
    <row r="12014" spans="1:5">
      <c r="A12014" t="s">
        <v>41501</v>
      </c>
      <c r="B12014" t="s">
        <v>15407</v>
      </c>
      <c r="C12014">
        <f>0</f>
        <v>0</v>
      </c>
      <c r="D12014" t="s">
        <v>106</v>
      </c>
      <c r="E12014">
        <v>24</v>
      </c>
    </row>
    <row r="12015" spans="1:5">
      <c r="A12015" t="s">
        <v>41501</v>
      </c>
      <c r="B12015" t="s">
        <v>15405</v>
      </c>
      <c r="C12015">
        <f>0</f>
        <v>0</v>
      </c>
      <c r="D12015" t="s">
        <v>106</v>
      </c>
      <c r="E12015">
        <v>24</v>
      </c>
    </row>
    <row r="12016" spans="1:5">
      <c r="A12016" t="s">
        <v>41502</v>
      </c>
      <c r="B12016" t="s">
        <v>26759</v>
      </c>
      <c r="C12016">
        <f>0</f>
        <v>0</v>
      </c>
      <c r="D12016" t="s">
        <v>106</v>
      </c>
      <c r="E12016">
        <v>1.512</v>
      </c>
    </row>
    <row r="12017" spans="1:5">
      <c r="A12017" t="s">
        <v>41502</v>
      </c>
      <c r="B12017" t="s">
        <v>26760</v>
      </c>
      <c r="C12017">
        <f>0</f>
        <v>0</v>
      </c>
      <c r="D12017" t="s">
        <v>106</v>
      </c>
      <c r="E12017">
        <v>1.512</v>
      </c>
    </row>
    <row r="12018" spans="1:5">
      <c r="A12018" t="s">
        <v>41503</v>
      </c>
      <c r="B12018" t="s">
        <v>20609</v>
      </c>
      <c r="C12018">
        <f>0.657258904932</f>
        <v>0.65725890493200001</v>
      </c>
      <c r="D12018">
        <v>0.85456477667599995</v>
      </c>
      <c r="E12018">
        <v>3.972</v>
      </c>
    </row>
    <row r="12019" spans="1:5">
      <c r="A12019" t="s">
        <v>41503</v>
      </c>
      <c r="B12019" t="s">
        <v>20608</v>
      </c>
      <c r="C12019">
        <f>0.360507895881</f>
        <v>0.36050789588100002</v>
      </c>
      <c r="D12019">
        <v>0.85456477667599995</v>
      </c>
      <c r="E12019">
        <v>3.972</v>
      </c>
    </row>
    <row r="12020" spans="1:5">
      <c r="A12020" t="s">
        <v>41504</v>
      </c>
      <c r="B12020" t="s">
        <v>26831</v>
      </c>
      <c r="C12020">
        <v>1.4843341907200001</v>
      </c>
      <c r="D12020">
        <v>0.99826828184100003</v>
      </c>
      <c r="E12020">
        <v>1.014</v>
      </c>
    </row>
    <row r="12021" spans="1:5">
      <c r="A12021" t="s">
        <v>41504</v>
      </c>
      <c r="B12021" t="s">
        <v>26833</v>
      </c>
      <c r="C12021">
        <f>0.861712155527</f>
        <v>0.86171215552699998</v>
      </c>
      <c r="D12021">
        <v>0.99826828184100003</v>
      </c>
      <c r="E12021">
        <v>1.014</v>
      </c>
    </row>
    <row r="12022" spans="1:5">
      <c r="A12022" t="s">
        <v>41504</v>
      </c>
      <c r="B12022" t="s">
        <v>26837</v>
      </c>
      <c r="C12022">
        <v>0.52271310908699997</v>
      </c>
      <c r="D12022">
        <v>0.99826828184100003</v>
      </c>
      <c r="E12022">
        <v>1.014</v>
      </c>
    </row>
    <row r="12023" spans="1:5">
      <c r="A12023" t="s">
        <v>41504</v>
      </c>
      <c r="B12023" t="s">
        <v>26838</v>
      </c>
      <c r="C12023">
        <v>0.54072420077899996</v>
      </c>
      <c r="D12023">
        <v>0.99826828184100003</v>
      </c>
      <c r="E12023">
        <v>1.014</v>
      </c>
    </row>
    <row r="12024" spans="1:5">
      <c r="A12024" t="s">
        <v>41504</v>
      </c>
      <c r="B12024" t="s">
        <v>26840</v>
      </c>
      <c r="C12024">
        <f>0.665293297645</f>
        <v>0.665293297645</v>
      </c>
      <c r="D12024">
        <v>0.99826828184100003</v>
      </c>
      <c r="E12024">
        <v>1.014</v>
      </c>
    </row>
    <row r="12025" spans="1:5">
      <c r="A12025" t="s">
        <v>41504</v>
      </c>
      <c r="B12025" t="s">
        <v>26834</v>
      </c>
      <c r="C12025">
        <f>-1.17644281501</f>
        <v>-1.1764428150099999</v>
      </c>
      <c r="D12025">
        <v>0.99826828184100003</v>
      </c>
      <c r="E12025">
        <v>1.014</v>
      </c>
    </row>
    <row r="12026" spans="1:5">
      <c r="A12026" t="s">
        <v>41505</v>
      </c>
      <c r="B12026" t="s">
        <v>41506</v>
      </c>
      <c r="C12026">
        <v>0.99775948199499997</v>
      </c>
      <c r="D12026">
        <v>0.98749875086500005</v>
      </c>
      <c r="E12026">
        <v>0.40799999999999997</v>
      </c>
    </row>
    <row r="12027" spans="1:5">
      <c r="A12027" t="s">
        <v>41505</v>
      </c>
      <c r="B12027" t="s">
        <v>41507</v>
      </c>
      <c r="C12027">
        <v>5.3946869235E-2</v>
      </c>
      <c r="D12027">
        <v>0.98749875086500005</v>
      </c>
      <c r="E12027">
        <v>0.40799999999999997</v>
      </c>
    </row>
    <row r="12028" spans="1:5">
      <c r="A12028" t="s">
        <v>41505</v>
      </c>
      <c r="B12028" t="s">
        <v>41508</v>
      </c>
      <c r="C12028">
        <v>0.16768575930400001</v>
      </c>
      <c r="D12028">
        <v>0.98749875086500005</v>
      </c>
      <c r="E12028">
        <v>0.40799999999999997</v>
      </c>
    </row>
    <row r="12029" spans="1:5">
      <c r="A12029" t="s">
        <v>41505</v>
      </c>
      <c r="B12029" t="s">
        <v>41509</v>
      </c>
      <c r="C12029">
        <v>0.56849751765699996</v>
      </c>
      <c r="D12029">
        <v>0.98749875086500005</v>
      </c>
      <c r="E12029">
        <v>0.40799999999999997</v>
      </c>
    </row>
    <row r="12030" spans="1:5">
      <c r="A12030" t="s">
        <v>41505</v>
      </c>
      <c r="B12030" t="s">
        <v>41510</v>
      </c>
      <c r="C12030">
        <f>0.493694425074</f>
        <v>0.49369442507400002</v>
      </c>
      <c r="D12030">
        <v>0.98749875086500005</v>
      </c>
      <c r="E12030">
        <v>0.40799999999999997</v>
      </c>
    </row>
    <row r="12031" spans="1:5">
      <c r="A12031" t="s">
        <v>41505</v>
      </c>
      <c r="B12031" t="s">
        <v>41511</v>
      </c>
      <c r="C12031">
        <f>0.0877224657891</f>
        <v>8.7722465789099993E-2</v>
      </c>
      <c r="D12031">
        <v>0.98749875086500005</v>
      </c>
      <c r="E12031">
        <v>0.40799999999999997</v>
      </c>
    </row>
    <row r="12032" spans="1:5">
      <c r="A12032" t="s">
        <v>41512</v>
      </c>
      <c r="B12032" t="s">
        <v>4021</v>
      </c>
      <c r="C12032">
        <f>0</f>
        <v>0</v>
      </c>
      <c r="D12032" t="s">
        <v>106</v>
      </c>
      <c r="E12032">
        <v>7.3319999999999999</v>
      </c>
    </row>
    <row r="12033" spans="1:5">
      <c r="A12033" t="s">
        <v>41512</v>
      </c>
      <c r="B12033" t="s">
        <v>4022</v>
      </c>
      <c r="C12033">
        <f>0</f>
        <v>0</v>
      </c>
      <c r="D12033" t="s">
        <v>106</v>
      </c>
      <c r="E12033">
        <v>7.3319999999999999</v>
      </c>
    </row>
    <row r="12034" spans="1:5">
      <c r="A12034" t="s">
        <v>41512</v>
      </c>
      <c r="B12034" t="s">
        <v>4031</v>
      </c>
      <c r="C12034">
        <v>0</v>
      </c>
      <c r="D12034" t="s">
        <v>106</v>
      </c>
      <c r="E12034">
        <v>7.3319999999999999</v>
      </c>
    </row>
    <row r="12035" spans="1:5">
      <c r="A12035" t="s">
        <v>41512</v>
      </c>
      <c r="B12035" t="s">
        <v>4032</v>
      </c>
      <c r="C12035">
        <v>0</v>
      </c>
      <c r="D12035" t="s">
        <v>106</v>
      </c>
      <c r="E12035">
        <v>7.3319999999999999</v>
      </c>
    </row>
    <row r="12036" spans="1:5">
      <c r="A12036" t="s">
        <v>41512</v>
      </c>
      <c r="B12036" t="s">
        <v>4029</v>
      </c>
      <c r="C12036">
        <v>0</v>
      </c>
      <c r="D12036" t="s">
        <v>106</v>
      </c>
      <c r="E12036">
        <v>7.3319999999999999</v>
      </c>
    </row>
    <row r="12037" spans="1:5">
      <c r="A12037" t="s">
        <v>41512</v>
      </c>
      <c r="B12037" t="s">
        <v>4024</v>
      </c>
      <c r="C12037">
        <f>0</f>
        <v>0</v>
      </c>
      <c r="D12037" t="s">
        <v>106</v>
      </c>
      <c r="E12037">
        <v>7.3319999999999999</v>
      </c>
    </row>
    <row r="12038" spans="1:5">
      <c r="A12038" t="s">
        <v>41512</v>
      </c>
      <c r="B12038" t="s">
        <v>4025</v>
      </c>
      <c r="C12038">
        <v>0</v>
      </c>
      <c r="D12038" t="s">
        <v>106</v>
      </c>
      <c r="E12038">
        <v>7.3319999999999999</v>
      </c>
    </row>
    <row r="12039" spans="1:5">
      <c r="A12039" t="s">
        <v>41512</v>
      </c>
      <c r="B12039" t="s">
        <v>4027</v>
      </c>
      <c r="C12039">
        <v>0</v>
      </c>
      <c r="D12039" t="s">
        <v>106</v>
      </c>
      <c r="E12039">
        <v>7.3319999999999999</v>
      </c>
    </row>
    <row r="12040" spans="1:5">
      <c r="A12040" t="s">
        <v>41512</v>
      </c>
      <c r="B12040" t="s">
        <v>4028</v>
      </c>
      <c r="C12040">
        <v>0</v>
      </c>
      <c r="D12040" t="s">
        <v>106</v>
      </c>
      <c r="E12040">
        <v>7.3319999999999999</v>
      </c>
    </row>
    <row r="12041" spans="1:5">
      <c r="A12041" t="s">
        <v>41512</v>
      </c>
      <c r="B12041" t="s">
        <v>4023</v>
      </c>
      <c r="C12041">
        <f>0</f>
        <v>0</v>
      </c>
      <c r="D12041" t="s">
        <v>106</v>
      </c>
      <c r="E12041">
        <v>7.3319999999999999</v>
      </c>
    </row>
    <row r="12042" spans="1:5">
      <c r="A12042" t="s">
        <v>41513</v>
      </c>
      <c r="B12042" t="s">
        <v>1884</v>
      </c>
      <c r="C12042">
        <v>3.3415331781799999E-2</v>
      </c>
      <c r="D12042">
        <v>0.99157397981399997</v>
      </c>
      <c r="E12042">
        <v>5.82</v>
      </c>
    </row>
    <row r="12043" spans="1:5">
      <c r="A12043" t="s">
        <v>41513</v>
      </c>
      <c r="B12043" t="s">
        <v>1876</v>
      </c>
      <c r="C12043">
        <f>0.137553108019</f>
        <v>0.137553108019</v>
      </c>
      <c r="D12043">
        <v>0.99157397981399997</v>
      </c>
      <c r="E12043">
        <v>5.82</v>
      </c>
    </row>
    <row r="12044" spans="1:5">
      <c r="A12044" t="s">
        <v>41513</v>
      </c>
      <c r="B12044" t="s">
        <v>1887</v>
      </c>
      <c r="C12044">
        <v>0</v>
      </c>
      <c r="D12044">
        <v>0.99157397981399997</v>
      </c>
      <c r="E12044">
        <v>5.82</v>
      </c>
    </row>
    <row r="12045" spans="1:5">
      <c r="A12045" t="s">
        <v>41513</v>
      </c>
      <c r="B12045" t="s">
        <v>1881</v>
      </c>
      <c r="C12045">
        <f>0.521195584455</f>
        <v>0.52119558445500003</v>
      </c>
      <c r="D12045">
        <v>0.99157397981399997</v>
      </c>
      <c r="E12045">
        <v>5.82</v>
      </c>
    </row>
    <row r="12046" spans="1:5">
      <c r="A12046" t="s">
        <v>41513</v>
      </c>
      <c r="B12046" t="s">
        <v>1888</v>
      </c>
      <c r="C12046">
        <v>0</v>
      </c>
      <c r="D12046">
        <v>0.99157397981399997</v>
      </c>
      <c r="E12046">
        <v>5.82</v>
      </c>
    </row>
    <row r="12047" spans="1:5">
      <c r="A12047" t="s">
        <v>41513</v>
      </c>
      <c r="B12047" t="s">
        <v>1885</v>
      </c>
      <c r="C12047">
        <v>0.22071931071199999</v>
      </c>
      <c r="D12047">
        <v>0.99157397981399997</v>
      </c>
      <c r="E12047">
        <v>5.82</v>
      </c>
    </row>
    <row r="12048" spans="1:5">
      <c r="A12048" t="s">
        <v>41513</v>
      </c>
      <c r="B12048" t="s">
        <v>1880</v>
      </c>
      <c r="C12048">
        <v>0.42408697554399999</v>
      </c>
      <c r="D12048">
        <v>0.99157397981399997</v>
      </c>
      <c r="E12048">
        <v>5.82</v>
      </c>
    </row>
    <row r="12049" spans="1:5">
      <c r="A12049" t="s">
        <v>41513</v>
      </c>
      <c r="B12049" t="s">
        <v>1886</v>
      </c>
      <c r="C12049">
        <f>0.189162312791</f>
        <v>0.18916231279099999</v>
      </c>
      <c r="D12049">
        <v>0.99157397981399997</v>
      </c>
      <c r="E12049">
        <v>5.82</v>
      </c>
    </row>
    <row r="12050" spans="1:5">
      <c r="A12050" t="s">
        <v>41514</v>
      </c>
      <c r="B12050" t="s">
        <v>41515</v>
      </c>
      <c r="C12050">
        <v>0.151937325043</v>
      </c>
      <c r="D12050">
        <v>0.88115499901799998</v>
      </c>
      <c r="E12050">
        <v>1.0680000000000001</v>
      </c>
    </row>
    <row r="12051" spans="1:5">
      <c r="A12051" t="s">
        <v>41514</v>
      </c>
      <c r="B12051" t="s">
        <v>41516</v>
      </c>
      <c r="C12051">
        <v>0.81618968364400002</v>
      </c>
      <c r="D12051">
        <v>0.88115499901799998</v>
      </c>
      <c r="E12051">
        <v>1.0680000000000001</v>
      </c>
    </row>
    <row r="12052" spans="1:5">
      <c r="A12052" t="s">
        <v>41517</v>
      </c>
      <c r="B12052" t="s">
        <v>12683</v>
      </c>
      <c r="C12052">
        <f>0</f>
        <v>0</v>
      </c>
      <c r="D12052" t="s">
        <v>106</v>
      </c>
      <c r="E12052">
        <v>7.2</v>
      </c>
    </row>
    <row r="12053" spans="1:5">
      <c r="A12053" t="s">
        <v>41517</v>
      </c>
      <c r="B12053" t="s">
        <v>12692</v>
      </c>
      <c r="C12053">
        <f>0</f>
        <v>0</v>
      </c>
      <c r="D12053" t="s">
        <v>106</v>
      </c>
      <c r="E12053">
        <v>7.2</v>
      </c>
    </row>
    <row r="12054" spans="1:5">
      <c r="A12054" t="s">
        <v>41517</v>
      </c>
      <c r="B12054" t="s">
        <v>12685</v>
      </c>
      <c r="C12054">
        <v>0</v>
      </c>
      <c r="D12054" t="s">
        <v>106</v>
      </c>
      <c r="E12054">
        <v>7.2</v>
      </c>
    </row>
    <row r="12055" spans="1:5">
      <c r="A12055" t="s">
        <v>41517</v>
      </c>
      <c r="B12055" t="s">
        <v>12687</v>
      </c>
      <c r="C12055">
        <v>0</v>
      </c>
      <c r="D12055" t="s">
        <v>106</v>
      </c>
      <c r="E12055">
        <v>7.2</v>
      </c>
    </row>
    <row r="12056" spans="1:5">
      <c r="A12056" t="s">
        <v>41517</v>
      </c>
      <c r="B12056" t="s">
        <v>12684</v>
      </c>
      <c r="C12056">
        <f>0</f>
        <v>0</v>
      </c>
      <c r="D12056" t="s">
        <v>106</v>
      </c>
      <c r="E12056">
        <v>7.2</v>
      </c>
    </row>
    <row r="12057" spans="1:5">
      <c r="A12057" t="s">
        <v>41517</v>
      </c>
      <c r="B12057" t="s">
        <v>12681</v>
      </c>
      <c r="C12057">
        <v>0</v>
      </c>
      <c r="D12057" t="s">
        <v>106</v>
      </c>
      <c r="E12057">
        <v>7.2</v>
      </c>
    </row>
    <row r="12058" spans="1:5">
      <c r="A12058" t="s">
        <v>41517</v>
      </c>
      <c r="B12058" t="s">
        <v>12690</v>
      </c>
      <c r="C12058">
        <v>0</v>
      </c>
      <c r="D12058" t="s">
        <v>106</v>
      </c>
      <c r="E12058">
        <v>7.2</v>
      </c>
    </row>
    <row r="12059" spans="1:5">
      <c r="A12059" t="s">
        <v>41517</v>
      </c>
      <c r="B12059" t="s">
        <v>12693</v>
      </c>
      <c r="C12059">
        <f>0</f>
        <v>0</v>
      </c>
      <c r="D12059" t="s">
        <v>106</v>
      </c>
      <c r="E12059">
        <v>7.2</v>
      </c>
    </row>
    <row r="12060" spans="1:5">
      <c r="A12060" t="s">
        <v>41517</v>
      </c>
      <c r="B12060" t="s">
        <v>12688</v>
      </c>
      <c r="C12060">
        <v>0</v>
      </c>
      <c r="D12060" t="s">
        <v>106</v>
      </c>
      <c r="E12060">
        <v>7.2</v>
      </c>
    </row>
    <row r="12061" spans="1:5">
      <c r="A12061" t="s">
        <v>41517</v>
      </c>
      <c r="B12061" t="s">
        <v>12689</v>
      </c>
      <c r="C12061">
        <f>0</f>
        <v>0</v>
      </c>
      <c r="D12061" t="s">
        <v>106</v>
      </c>
      <c r="E12061">
        <v>7.2</v>
      </c>
    </row>
    <row r="12062" spans="1:5">
      <c r="A12062" t="s">
        <v>41517</v>
      </c>
      <c r="B12062" t="s">
        <v>12680</v>
      </c>
      <c r="C12062">
        <f>0</f>
        <v>0</v>
      </c>
      <c r="D12062" t="s">
        <v>106</v>
      </c>
      <c r="E12062">
        <v>7.2</v>
      </c>
    </row>
    <row r="12063" spans="1:5">
      <c r="A12063" t="s">
        <v>41518</v>
      </c>
      <c r="B12063" t="s">
        <v>41519</v>
      </c>
      <c r="C12063">
        <f>0</f>
        <v>0</v>
      </c>
      <c r="D12063" t="s">
        <v>106</v>
      </c>
      <c r="E12063">
        <v>13.997999999999999</v>
      </c>
    </row>
    <row r="12064" spans="1:5">
      <c r="A12064" t="s">
        <v>41518</v>
      </c>
      <c r="B12064" t="s">
        <v>41520</v>
      </c>
      <c r="C12064">
        <v>0</v>
      </c>
      <c r="D12064" t="s">
        <v>106</v>
      </c>
      <c r="E12064">
        <v>13.997999999999999</v>
      </c>
    </row>
    <row r="12065" spans="1:5">
      <c r="A12065" t="s">
        <v>41521</v>
      </c>
      <c r="B12065" t="s">
        <v>23749</v>
      </c>
      <c r="C12065">
        <v>0.51420215224200005</v>
      </c>
      <c r="D12065">
        <v>0.874212152242</v>
      </c>
      <c r="E12065">
        <v>1.014</v>
      </c>
    </row>
    <row r="12066" spans="1:5">
      <c r="A12066" t="s">
        <v>41521</v>
      </c>
      <c r="B12066" t="s">
        <v>23761</v>
      </c>
      <c r="C12066">
        <v>0</v>
      </c>
      <c r="D12066">
        <v>0.874212152242</v>
      </c>
      <c r="E12066">
        <v>1.014</v>
      </c>
    </row>
    <row r="12067" spans="1:5">
      <c r="A12067" t="s">
        <v>41521</v>
      </c>
      <c r="B12067" t="s">
        <v>23750</v>
      </c>
      <c r="C12067">
        <f>0</f>
        <v>0</v>
      </c>
      <c r="D12067">
        <v>0.874212152242</v>
      </c>
      <c r="E12067">
        <v>1.014</v>
      </c>
    </row>
    <row r="12068" spans="1:5">
      <c r="A12068" t="s">
        <v>41521</v>
      </c>
      <c r="B12068" t="s">
        <v>23757</v>
      </c>
      <c r="C12068">
        <f>0</f>
        <v>0</v>
      </c>
      <c r="D12068">
        <v>0.874212152242</v>
      </c>
      <c r="E12068">
        <v>1.014</v>
      </c>
    </row>
    <row r="12069" spans="1:5">
      <c r="A12069" t="s">
        <v>41521</v>
      </c>
      <c r="B12069" t="s">
        <v>23753</v>
      </c>
      <c r="C12069">
        <v>0</v>
      </c>
      <c r="D12069">
        <v>0.874212152242</v>
      </c>
      <c r="E12069">
        <v>1.014</v>
      </c>
    </row>
    <row r="12070" spans="1:5">
      <c r="A12070" t="s">
        <v>41521</v>
      </c>
      <c r="B12070" t="s">
        <v>23762</v>
      </c>
      <c r="C12070">
        <f>0</f>
        <v>0</v>
      </c>
      <c r="D12070">
        <v>0.874212152242</v>
      </c>
      <c r="E12070">
        <v>1.014</v>
      </c>
    </row>
    <row r="12071" spans="1:5">
      <c r="A12071" t="s">
        <v>41521</v>
      </c>
      <c r="B12071" t="s">
        <v>23752</v>
      </c>
      <c r="C12071">
        <f>0</f>
        <v>0</v>
      </c>
      <c r="D12071">
        <v>0.874212152242</v>
      </c>
      <c r="E12071">
        <v>1.014</v>
      </c>
    </row>
    <row r="12072" spans="1:5">
      <c r="A12072" t="s">
        <v>41522</v>
      </c>
      <c r="B12072" t="s">
        <v>4815</v>
      </c>
      <c r="C12072">
        <v>0.77081562772599999</v>
      </c>
      <c r="D12072">
        <v>0.95591651975799996</v>
      </c>
      <c r="E12072">
        <v>0.73799999999999999</v>
      </c>
    </row>
    <row r="12073" spans="1:5">
      <c r="A12073" t="s">
        <v>41522</v>
      </c>
      <c r="B12073" t="s">
        <v>4817</v>
      </c>
      <c r="C12073">
        <f>0.760676983966</f>
        <v>0.76067698396600003</v>
      </c>
      <c r="D12073">
        <v>0.95591651975799996</v>
      </c>
      <c r="E12073">
        <v>0.73799999999999999</v>
      </c>
    </row>
    <row r="12074" spans="1:5">
      <c r="A12074" t="s">
        <v>41522</v>
      </c>
      <c r="B12074" t="s">
        <v>4818</v>
      </c>
      <c r="C12074">
        <f>0.319950025101</f>
        <v>0.31995002510100001</v>
      </c>
      <c r="D12074">
        <v>0.95591651975799996</v>
      </c>
      <c r="E12074">
        <v>0.73799999999999999</v>
      </c>
    </row>
    <row r="12075" spans="1:5">
      <c r="A12075" t="s">
        <v>41522</v>
      </c>
      <c r="B12075" t="s">
        <v>4816</v>
      </c>
      <c r="C12075">
        <v>0.19696025353900001</v>
      </c>
      <c r="D12075">
        <v>0.95591651975799996</v>
      </c>
      <c r="E12075">
        <v>0.73799999999999999</v>
      </c>
    </row>
    <row r="12076" spans="1:5">
      <c r="A12076" t="s">
        <v>41523</v>
      </c>
      <c r="B12076" t="s">
        <v>30056</v>
      </c>
      <c r="C12076">
        <f>0</f>
        <v>0</v>
      </c>
      <c r="D12076" t="s">
        <v>106</v>
      </c>
      <c r="E12076">
        <v>10.715999999999999</v>
      </c>
    </row>
    <row r="12077" spans="1:5">
      <c r="A12077" t="s">
        <v>41523</v>
      </c>
      <c r="B12077" t="s">
        <v>30057</v>
      </c>
      <c r="C12077">
        <f>0</f>
        <v>0</v>
      </c>
      <c r="D12077" t="s">
        <v>106</v>
      </c>
      <c r="E12077">
        <v>10.715999999999999</v>
      </c>
    </row>
    <row r="12078" spans="1:5">
      <c r="A12078" t="s">
        <v>41523</v>
      </c>
      <c r="B12078" t="s">
        <v>30061</v>
      </c>
      <c r="C12078">
        <v>0</v>
      </c>
      <c r="D12078" t="s">
        <v>106</v>
      </c>
      <c r="E12078">
        <v>10.715999999999999</v>
      </c>
    </row>
    <row r="12079" spans="1:5">
      <c r="A12079" t="s">
        <v>41523</v>
      </c>
      <c r="B12079" t="s">
        <v>30059</v>
      </c>
      <c r="C12079">
        <f>0</f>
        <v>0</v>
      </c>
      <c r="D12079" t="s">
        <v>106</v>
      </c>
      <c r="E12079">
        <v>10.715999999999999</v>
      </c>
    </row>
    <row r="12080" spans="1:5">
      <c r="A12080" t="s">
        <v>41523</v>
      </c>
      <c r="B12080" t="s">
        <v>30058</v>
      </c>
      <c r="C12080">
        <v>0</v>
      </c>
      <c r="D12080" t="s">
        <v>106</v>
      </c>
      <c r="E12080">
        <v>10.715999999999999</v>
      </c>
    </row>
    <row r="12081" spans="1:5">
      <c r="A12081" t="s">
        <v>41524</v>
      </c>
      <c r="B12081" t="s">
        <v>20418</v>
      </c>
      <c r="C12081">
        <f>0</f>
        <v>0</v>
      </c>
      <c r="D12081" t="s">
        <v>106</v>
      </c>
      <c r="E12081">
        <v>24</v>
      </c>
    </row>
    <row r="12082" spans="1:5">
      <c r="A12082" t="s">
        <v>41524</v>
      </c>
      <c r="B12082" t="s">
        <v>20425</v>
      </c>
      <c r="C12082">
        <f>0</f>
        <v>0</v>
      </c>
      <c r="D12082" t="s">
        <v>106</v>
      </c>
      <c r="E12082">
        <v>24</v>
      </c>
    </row>
    <row r="12083" spans="1:5">
      <c r="A12083" t="s">
        <v>41524</v>
      </c>
      <c r="B12083" t="s">
        <v>20444</v>
      </c>
      <c r="C12083">
        <f>0</f>
        <v>0</v>
      </c>
      <c r="D12083" t="s">
        <v>106</v>
      </c>
      <c r="E12083">
        <v>24</v>
      </c>
    </row>
    <row r="12084" spans="1:5">
      <c r="A12084" t="s">
        <v>41524</v>
      </c>
      <c r="B12084" t="s">
        <v>20417</v>
      </c>
      <c r="C12084">
        <v>0</v>
      </c>
      <c r="D12084" t="s">
        <v>106</v>
      </c>
      <c r="E12084">
        <v>24</v>
      </c>
    </row>
    <row r="12085" spans="1:5">
      <c r="A12085" t="s">
        <v>41524</v>
      </c>
      <c r="B12085" t="s">
        <v>20443</v>
      </c>
      <c r="C12085">
        <f>0</f>
        <v>0</v>
      </c>
      <c r="D12085" t="s">
        <v>106</v>
      </c>
      <c r="E12085">
        <v>24</v>
      </c>
    </row>
    <row r="12086" spans="1:5">
      <c r="A12086" t="s">
        <v>41524</v>
      </c>
      <c r="B12086" t="s">
        <v>20439</v>
      </c>
      <c r="C12086">
        <f>0</f>
        <v>0</v>
      </c>
      <c r="D12086" t="s">
        <v>106</v>
      </c>
      <c r="E12086">
        <v>24</v>
      </c>
    </row>
    <row r="12087" spans="1:5">
      <c r="A12087" t="s">
        <v>41524</v>
      </c>
      <c r="B12087" t="s">
        <v>20430</v>
      </c>
      <c r="C12087">
        <f>0</f>
        <v>0</v>
      </c>
      <c r="D12087" t="s">
        <v>106</v>
      </c>
      <c r="E12087">
        <v>24</v>
      </c>
    </row>
    <row r="12088" spans="1:5">
      <c r="A12088" t="s">
        <v>41524</v>
      </c>
      <c r="B12088" t="s">
        <v>20438</v>
      </c>
      <c r="C12088">
        <f>0</f>
        <v>0</v>
      </c>
      <c r="D12088" t="s">
        <v>106</v>
      </c>
      <c r="E12088">
        <v>24</v>
      </c>
    </row>
    <row r="12089" spans="1:5">
      <c r="A12089" t="s">
        <v>41524</v>
      </c>
      <c r="B12089" t="s">
        <v>20450</v>
      </c>
      <c r="C12089">
        <f>0</f>
        <v>0</v>
      </c>
      <c r="D12089" t="s">
        <v>106</v>
      </c>
      <c r="E12089">
        <v>24</v>
      </c>
    </row>
    <row r="12090" spans="1:5">
      <c r="A12090" t="s">
        <v>41524</v>
      </c>
      <c r="B12090" t="s">
        <v>20426</v>
      </c>
      <c r="C12090">
        <f>0</f>
        <v>0</v>
      </c>
      <c r="D12090" t="s">
        <v>106</v>
      </c>
      <c r="E12090">
        <v>24</v>
      </c>
    </row>
    <row r="12091" spans="1:5">
      <c r="A12091" t="s">
        <v>41524</v>
      </c>
      <c r="B12091" t="s">
        <v>20447</v>
      </c>
      <c r="C12091">
        <v>0</v>
      </c>
      <c r="D12091" t="s">
        <v>106</v>
      </c>
      <c r="E12091">
        <v>24</v>
      </c>
    </row>
    <row r="12092" spans="1:5">
      <c r="A12092" t="s">
        <v>41524</v>
      </c>
      <c r="B12092" t="s">
        <v>20427</v>
      </c>
      <c r="C12092">
        <f>0</f>
        <v>0</v>
      </c>
      <c r="D12092" t="s">
        <v>106</v>
      </c>
      <c r="E12092">
        <v>24</v>
      </c>
    </row>
    <row r="12093" spans="1:5">
      <c r="A12093" t="s">
        <v>41524</v>
      </c>
      <c r="B12093" t="s">
        <v>20428</v>
      </c>
      <c r="C12093">
        <v>0</v>
      </c>
      <c r="D12093" t="s">
        <v>106</v>
      </c>
      <c r="E12093">
        <v>24</v>
      </c>
    </row>
    <row r="12094" spans="1:5">
      <c r="A12094" t="s">
        <v>41524</v>
      </c>
      <c r="B12094" t="s">
        <v>20445</v>
      </c>
      <c r="C12094">
        <f>0</f>
        <v>0</v>
      </c>
      <c r="D12094" t="s">
        <v>106</v>
      </c>
      <c r="E12094">
        <v>24</v>
      </c>
    </row>
    <row r="12095" spans="1:5">
      <c r="A12095" t="s">
        <v>41524</v>
      </c>
      <c r="B12095" t="s">
        <v>20422</v>
      </c>
      <c r="C12095">
        <f>0</f>
        <v>0</v>
      </c>
      <c r="D12095" t="s">
        <v>106</v>
      </c>
      <c r="E12095">
        <v>24</v>
      </c>
    </row>
    <row r="12096" spans="1:5">
      <c r="A12096" t="s">
        <v>41524</v>
      </c>
      <c r="B12096" t="s">
        <v>20442</v>
      </c>
      <c r="C12096">
        <f>0</f>
        <v>0</v>
      </c>
      <c r="D12096" t="s">
        <v>106</v>
      </c>
      <c r="E12096">
        <v>24</v>
      </c>
    </row>
    <row r="12097" spans="1:5">
      <c r="A12097" t="s">
        <v>41524</v>
      </c>
      <c r="B12097" t="s">
        <v>20421</v>
      </c>
      <c r="C12097">
        <f>0</f>
        <v>0</v>
      </c>
      <c r="D12097" t="s">
        <v>106</v>
      </c>
      <c r="E12097">
        <v>24</v>
      </c>
    </row>
    <row r="12098" spans="1:5">
      <c r="A12098" t="s">
        <v>41524</v>
      </c>
      <c r="B12098" t="s">
        <v>20416</v>
      </c>
      <c r="C12098">
        <f>0</f>
        <v>0</v>
      </c>
      <c r="D12098" t="s">
        <v>106</v>
      </c>
      <c r="E12098">
        <v>24</v>
      </c>
    </row>
    <row r="12099" spans="1:5">
      <c r="A12099" t="s">
        <v>41524</v>
      </c>
      <c r="B12099" t="s">
        <v>20419</v>
      </c>
      <c r="C12099">
        <f>0</f>
        <v>0</v>
      </c>
      <c r="D12099" t="s">
        <v>106</v>
      </c>
      <c r="E12099">
        <v>24</v>
      </c>
    </row>
    <row r="12100" spans="1:5">
      <c r="A12100" t="s">
        <v>41524</v>
      </c>
      <c r="B12100" t="s">
        <v>20437</v>
      </c>
      <c r="C12100">
        <f>0</f>
        <v>0</v>
      </c>
      <c r="D12100" t="s">
        <v>106</v>
      </c>
      <c r="E12100">
        <v>24</v>
      </c>
    </row>
    <row r="12101" spans="1:5">
      <c r="A12101" t="s">
        <v>41524</v>
      </c>
      <c r="B12101" t="s">
        <v>20452</v>
      </c>
      <c r="C12101">
        <f>0</f>
        <v>0</v>
      </c>
      <c r="D12101" t="s">
        <v>106</v>
      </c>
      <c r="E12101">
        <v>24</v>
      </c>
    </row>
    <row r="12102" spans="1:5">
      <c r="A12102" t="s">
        <v>41524</v>
      </c>
      <c r="B12102" t="s">
        <v>20454</v>
      </c>
      <c r="C12102">
        <v>0</v>
      </c>
      <c r="D12102" t="s">
        <v>106</v>
      </c>
      <c r="E12102">
        <v>24</v>
      </c>
    </row>
    <row r="12103" spans="1:5">
      <c r="A12103" t="s">
        <v>41524</v>
      </c>
      <c r="B12103" t="s">
        <v>20453</v>
      </c>
      <c r="C12103">
        <f>0</f>
        <v>0</v>
      </c>
      <c r="D12103" t="s">
        <v>106</v>
      </c>
      <c r="E12103">
        <v>24</v>
      </c>
    </row>
    <row r="12104" spans="1:5">
      <c r="A12104" t="s">
        <v>41524</v>
      </c>
      <c r="B12104" t="s">
        <v>20446</v>
      </c>
      <c r="C12104">
        <f>0</f>
        <v>0</v>
      </c>
      <c r="D12104" t="s">
        <v>106</v>
      </c>
      <c r="E12104">
        <v>24</v>
      </c>
    </row>
    <row r="12105" spans="1:5">
      <c r="A12105" t="s">
        <v>41524</v>
      </c>
      <c r="B12105" t="s">
        <v>20441</v>
      </c>
      <c r="C12105">
        <f>0</f>
        <v>0</v>
      </c>
      <c r="D12105" t="s">
        <v>106</v>
      </c>
      <c r="E12105">
        <v>24</v>
      </c>
    </row>
    <row r="12106" spans="1:5">
      <c r="A12106" t="s">
        <v>41524</v>
      </c>
      <c r="B12106" t="s">
        <v>20432</v>
      </c>
      <c r="C12106">
        <f>0</f>
        <v>0</v>
      </c>
      <c r="D12106" t="s">
        <v>106</v>
      </c>
      <c r="E12106">
        <v>24</v>
      </c>
    </row>
    <row r="12107" spans="1:5">
      <c r="A12107" t="s">
        <v>41524</v>
      </c>
      <c r="B12107" t="s">
        <v>20424</v>
      </c>
      <c r="C12107">
        <f>0</f>
        <v>0</v>
      </c>
      <c r="D12107" t="s">
        <v>106</v>
      </c>
      <c r="E12107">
        <v>24</v>
      </c>
    </row>
    <row r="12108" spans="1:5">
      <c r="A12108" t="s">
        <v>41524</v>
      </c>
      <c r="B12108" t="s">
        <v>20434</v>
      </c>
      <c r="C12108">
        <f>0</f>
        <v>0</v>
      </c>
      <c r="D12108" t="s">
        <v>106</v>
      </c>
      <c r="E12108">
        <v>24</v>
      </c>
    </row>
    <row r="12109" spans="1:5">
      <c r="A12109" t="s">
        <v>41524</v>
      </c>
      <c r="B12109" t="s">
        <v>20429</v>
      </c>
      <c r="C12109">
        <f>0</f>
        <v>0</v>
      </c>
      <c r="D12109" t="s">
        <v>106</v>
      </c>
      <c r="E12109">
        <v>24</v>
      </c>
    </row>
    <row r="12110" spans="1:5">
      <c r="A12110" t="s">
        <v>41524</v>
      </c>
      <c r="B12110" t="s">
        <v>20455</v>
      </c>
      <c r="C12110">
        <f>0</f>
        <v>0</v>
      </c>
      <c r="D12110" t="s">
        <v>106</v>
      </c>
      <c r="E12110">
        <v>24</v>
      </c>
    </row>
    <row r="12111" spans="1:5">
      <c r="A12111" t="s">
        <v>41525</v>
      </c>
      <c r="B12111" t="s">
        <v>27846</v>
      </c>
      <c r="C12111">
        <v>0.28902192351</v>
      </c>
      <c r="D12111">
        <v>0.77438077299200003</v>
      </c>
      <c r="E12111">
        <v>6.06</v>
      </c>
    </row>
    <row r="12112" spans="1:5">
      <c r="A12112" t="s">
        <v>41525</v>
      </c>
      <c r="B12112" t="s">
        <v>27847</v>
      </c>
      <c r="C12112">
        <v>0.27695765308199999</v>
      </c>
      <c r="D12112">
        <v>0.77438077299200003</v>
      </c>
      <c r="E12112">
        <v>6.06</v>
      </c>
    </row>
    <row r="12113" spans="1:5">
      <c r="A12113" t="s">
        <v>41525</v>
      </c>
      <c r="B12113" t="s">
        <v>27849</v>
      </c>
      <c r="C12113">
        <v>0</v>
      </c>
      <c r="D12113">
        <v>0.77438077299200003</v>
      </c>
      <c r="E12113">
        <v>6.06</v>
      </c>
    </row>
    <row r="12114" spans="1:5">
      <c r="A12114" t="s">
        <v>41526</v>
      </c>
      <c r="B12114" t="s">
        <v>41527</v>
      </c>
      <c r="C12114">
        <v>0</v>
      </c>
      <c r="D12114" t="s">
        <v>106</v>
      </c>
      <c r="E12114">
        <v>15.51</v>
      </c>
    </row>
    <row r="12115" spans="1:5">
      <c r="A12115" t="s">
        <v>41526</v>
      </c>
      <c r="B12115" t="s">
        <v>41528</v>
      </c>
      <c r="C12115">
        <v>0</v>
      </c>
      <c r="D12115" t="s">
        <v>106</v>
      </c>
      <c r="E12115">
        <v>15.51</v>
      </c>
    </row>
    <row r="12116" spans="1:5">
      <c r="A12116" t="s">
        <v>41526</v>
      </c>
      <c r="B12116" t="s">
        <v>41529</v>
      </c>
      <c r="C12116">
        <f>0</f>
        <v>0</v>
      </c>
      <c r="D12116" t="s">
        <v>106</v>
      </c>
      <c r="E12116">
        <v>15.51</v>
      </c>
    </row>
    <row r="12117" spans="1:5">
      <c r="A12117" t="s">
        <v>41530</v>
      </c>
      <c r="B12117" t="s">
        <v>24894</v>
      </c>
      <c r="C12117">
        <f>0</f>
        <v>0</v>
      </c>
      <c r="D12117">
        <v>0.84125742976899998</v>
      </c>
      <c r="E12117">
        <v>24</v>
      </c>
    </row>
    <row r="12118" spans="1:5">
      <c r="A12118" t="s">
        <v>41530</v>
      </c>
      <c r="B12118" t="s">
        <v>24901</v>
      </c>
      <c r="C12118">
        <v>0</v>
      </c>
      <c r="D12118">
        <v>0.84125742976899998</v>
      </c>
      <c r="E12118">
        <v>24</v>
      </c>
    </row>
    <row r="12119" spans="1:5">
      <c r="A12119" t="s">
        <v>41530</v>
      </c>
      <c r="B12119" t="s">
        <v>24902</v>
      </c>
      <c r="C12119">
        <v>0.662074189383</v>
      </c>
      <c r="D12119">
        <v>0.84125742976899998</v>
      </c>
      <c r="E12119">
        <v>24</v>
      </c>
    </row>
    <row r="12120" spans="1:5">
      <c r="A12120" t="s">
        <v>41530</v>
      </c>
      <c r="B12120" t="s">
        <v>24898</v>
      </c>
      <c r="C12120">
        <f>0</f>
        <v>0</v>
      </c>
      <c r="D12120">
        <v>0.84125742976899998</v>
      </c>
      <c r="E12120">
        <v>24</v>
      </c>
    </row>
    <row r="12121" spans="1:5">
      <c r="A12121" t="s">
        <v>41530</v>
      </c>
      <c r="B12121" t="s">
        <v>41531</v>
      </c>
      <c r="C12121">
        <f>0.0855249397767</f>
        <v>8.5524939776700004E-2</v>
      </c>
      <c r="D12121">
        <v>0.84125742976899998</v>
      </c>
      <c r="E12121">
        <v>24</v>
      </c>
    </row>
    <row r="12122" spans="1:5">
      <c r="A12122" t="s">
        <v>41530</v>
      </c>
      <c r="B12122" t="s">
        <v>24899</v>
      </c>
      <c r="C12122">
        <f>0</f>
        <v>0</v>
      </c>
      <c r="D12122">
        <v>0.84125742976899998</v>
      </c>
      <c r="E12122">
        <v>24</v>
      </c>
    </row>
    <row r="12123" spans="1:5">
      <c r="A12123" t="s">
        <v>41530</v>
      </c>
      <c r="B12123" t="s">
        <v>24904</v>
      </c>
      <c r="C12123">
        <v>0.25583088168899998</v>
      </c>
      <c r="D12123">
        <v>0.84125742976899998</v>
      </c>
      <c r="E12123">
        <v>24</v>
      </c>
    </row>
    <row r="12124" spans="1:5">
      <c r="A12124" t="s">
        <v>41532</v>
      </c>
      <c r="B12124" t="s">
        <v>41533</v>
      </c>
      <c r="C12124">
        <v>0</v>
      </c>
      <c r="D12124">
        <v>0.80903826058100003</v>
      </c>
      <c r="E12124">
        <v>18.558</v>
      </c>
    </row>
    <row r="12125" spans="1:5">
      <c r="A12125" t="s">
        <v>41532</v>
      </c>
      <c r="B12125" t="s">
        <v>41534</v>
      </c>
      <c r="C12125">
        <f>0.376336130477</f>
        <v>0.37633613047699999</v>
      </c>
      <c r="D12125">
        <v>0.80903826058100003</v>
      </c>
      <c r="E12125">
        <v>18.558</v>
      </c>
    </row>
    <row r="12126" spans="1:5">
      <c r="A12126" t="s">
        <v>41532</v>
      </c>
      <c r="B12126" t="s">
        <v>41535</v>
      </c>
      <c r="C12126">
        <f>0</f>
        <v>0</v>
      </c>
      <c r="D12126">
        <v>0.80903826058100003</v>
      </c>
      <c r="E12126">
        <v>18.558</v>
      </c>
    </row>
    <row r="12127" spans="1:5">
      <c r="A12127" t="s">
        <v>41532</v>
      </c>
      <c r="B12127" t="s">
        <v>41536</v>
      </c>
      <c r="C12127">
        <v>0.52986741524199998</v>
      </c>
      <c r="D12127">
        <v>0.80903826058100003</v>
      </c>
      <c r="E12127">
        <v>18.558</v>
      </c>
    </row>
    <row r="12128" spans="1:5">
      <c r="A12128" t="s">
        <v>41532</v>
      </c>
      <c r="B12128" t="s">
        <v>41537</v>
      </c>
      <c r="C12128">
        <f>0</f>
        <v>0</v>
      </c>
      <c r="D12128">
        <v>0.80903826058100003</v>
      </c>
      <c r="E12128">
        <v>18.558</v>
      </c>
    </row>
    <row r="12129" spans="1:5">
      <c r="A12129" t="s">
        <v>41538</v>
      </c>
      <c r="B12129" t="s">
        <v>41539</v>
      </c>
      <c r="C12129">
        <v>0.62455436353799998</v>
      </c>
      <c r="D12129">
        <v>0.81816436353800004</v>
      </c>
      <c r="E12129">
        <v>5.82</v>
      </c>
    </row>
    <row r="12130" spans="1:5">
      <c r="A12130" t="s">
        <v>41538</v>
      </c>
      <c r="B12130" t="s">
        <v>41540</v>
      </c>
      <c r="C12130">
        <f>0</f>
        <v>0</v>
      </c>
      <c r="D12130">
        <v>0.81816436353800004</v>
      </c>
      <c r="E12130">
        <v>5.82</v>
      </c>
    </row>
    <row r="12131" spans="1:5">
      <c r="A12131" t="s">
        <v>41538</v>
      </c>
      <c r="B12131" t="s">
        <v>41541</v>
      </c>
      <c r="C12131">
        <v>0</v>
      </c>
      <c r="D12131">
        <v>0.81816436353800004</v>
      </c>
      <c r="E12131">
        <v>5.82</v>
      </c>
    </row>
    <row r="12132" spans="1:5">
      <c r="A12132" t="s">
        <v>41542</v>
      </c>
      <c r="B12132" t="s">
        <v>41543</v>
      </c>
      <c r="C12132">
        <f>0</f>
        <v>0</v>
      </c>
      <c r="D12132" t="s">
        <v>106</v>
      </c>
      <c r="E12132">
        <v>24</v>
      </c>
    </row>
    <row r="12133" spans="1:5">
      <c r="A12133" t="s">
        <v>41542</v>
      </c>
      <c r="B12133" t="s">
        <v>41544</v>
      </c>
      <c r="C12133">
        <f>0</f>
        <v>0</v>
      </c>
      <c r="D12133" t="s">
        <v>106</v>
      </c>
      <c r="E12133">
        <v>24</v>
      </c>
    </row>
    <row r="12134" spans="1:5">
      <c r="A12134" t="s">
        <v>41542</v>
      </c>
      <c r="B12134" t="s">
        <v>41545</v>
      </c>
      <c r="C12134">
        <v>0</v>
      </c>
      <c r="D12134" t="s">
        <v>106</v>
      </c>
      <c r="E12134">
        <v>24</v>
      </c>
    </row>
    <row r="12135" spans="1:5">
      <c r="A12135" t="s">
        <v>41542</v>
      </c>
      <c r="B12135" t="s">
        <v>41546</v>
      </c>
      <c r="C12135">
        <f>0</f>
        <v>0</v>
      </c>
      <c r="D12135" t="s">
        <v>106</v>
      </c>
      <c r="E12135">
        <v>24</v>
      </c>
    </row>
    <row r="12136" spans="1:5">
      <c r="A12136" t="s">
        <v>41547</v>
      </c>
      <c r="B12136" t="s">
        <v>41548</v>
      </c>
      <c r="C12136">
        <v>0.27726506401200002</v>
      </c>
      <c r="D12136">
        <v>0.97989356826600005</v>
      </c>
      <c r="E12136">
        <v>17.513999999999999</v>
      </c>
    </row>
    <row r="12137" spans="1:5">
      <c r="A12137" t="s">
        <v>41547</v>
      </c>
      <c r="B12137" t="s">
        <v>41549</v>
      </c>
      <c r="C12137">
        <v>0</v>
      </c>
      <c r="D12137">
        <v>0.97989356826600005</v>
      </c>
      <c r="E12137">
        <v>17.513999999999999</v>
      </c>
    </row>
    <row r="12138" spans="1:5">
      <c r="A12138" t="s">
        <v>41547</v>
      </c>
      <c r="B12138" t="s">
        <v>41550</v>
      </c>
      <c r="C12138">
        <f>0.568383954464</f>
        <v>0.56838395446400003</v>
      </c>
      <c r="D12138">
        <v>0.97989356826600005</v>
      </c>
      <c r="E12138">
        <v>17.513999999999999</v>
      </c>
    </row>
    <row r="12139" spans="1:5">
      <c r="A12139" t="s">
        <v>41547</v>
      </c>
      <c r="B12139" t="s">
        <v>41551</v>
      </c>
      <c r="C12139">
        <f>0.116531030788</f>
        <v>0.11653103078800001</v>
      </c>
      <c r="D12139">
        <v>0.97989356826600005</v>
      </c>
      <c r="E12139">
        <v>17.513999999999999</v>
      </c>
    </row>
    <row r="12140" spans="1:5">
      <c r="A12140" t="s">
        <v>41547</v>
      </c>
      <c r="B12140" t="s">
        <v>41552</v>
      </c>
      <c r="C12140">
        <v>0.95108541347499997</v>
      </c>
      <c r="D12140">
        <v>0.97989356826600005</v>
      </c>
      <c r="E12140">
        <v>17.513999999999999</v>
      </c>
    </row>
    <row r="12141" spans="1:5">
      <c r="A12141" t="s">
        <v>41553</v>
      </c>
      <c r="B12141" t="s">
        <v>31831</v>
      </c>
      <c r="C12141">
        <f>0.479981357851</f>
        <v>0.47998135785099999</v>
      </c>
      <c r="D12141">
        <v>0.81236690439299997</v>
      </c>
      <c r="E12141">
        <v>0.17399999999999999</v>
      </c>
    </row>
    <row r="12142" spans="1:5">
      <c r="A12142" t="s">
        <v>41553</v>
      </c>
      <c r="B12142" t="s">
        <v>31832</v>
      </c>
      <c r="C12142">
        <v>0.469180173097</v>
      </c>
      <c r="D12142">
        <v>0.81236690439299997</v>
      </c>
      <c r="E12142">
        <v>0.17399999999999999</v>
      </c>
    </row>
    <row r="12143" spans="1:5">
      <c r="A12143" t="s">
        <v>41554</v>
      </c>
      <c r="B12143" t="s">
        <v>10473</v>
      </c>
      <c r="C12143">
        <v>0</v>
      </c>
      <c r="D12143">
        <v>0.68096157195200002</v>
      </c>
      <c r="E12143">
        <v>24</v>
      </c>
    </row>
    <row r="12144" spans="1:5">
      <c r="A12144" t="s">
        <v>41554</v>
      </c>
      <c r="B12144" t="s">
        <v>10472</v>
      </c>
      <c r="C12144">
        <f>0.346829503562</f>
        <v>0.34682950356199999</v>
      </c>
      <c r="D12144">
        <v>0.68096157195200002</v>
      </c>
      <c r="E12144">
        <v>24</v>
      </c>
    </row>
    <row r="12145" spans="1:5">
      <c r="A12145" t="s">
        <v>41554</v>
      </c>
      <c r="B12145" t="s">
        <v>10474</v>
      </c>
      <c r="C12145">
        <f>0</f>
        <v>0</v>
      </c>
      <c r="D12145">
        <v>0.68096157195200002</v>
      </c>
      <c r="E12145">
        <v>24</v>
      </c>
    </row>
    <row r="12146" spans="1:5">
      <c r="A12146" t="s">
        <v>41554</v>
      </c>
      <c r="B12146" t="s">
        <v>10475</v>
      </c>
      <c r="C12146">
        <f>0</f>
        <v>0</v>
      </c>
      <c r="D12146">
        <v>0.68096157195200002</v>
      </c>
      <c r="E12146">
        <v>24</v>
      </c>
    </row>
    <row r="12147" spans="1:5">
      <c r="A12147" t="s">
        <v>41554</v>
      </c>
      <c r="B12147" t="s">
        <v>10476</v>
      </c>
      <c r="C12147">
        <f>0.074881964689</f>
        <v>7.4881964689000005E-2</v>
      </c>
      <c r="D12147">
        <v>0.68096157195200002</v>
      </c>
      <c r="E12147">
        <v>24</v>
      </c>
    </row>
    <row r="12148" spans="1:5">
      <c r="A12148" t="s">
        <v>41555</v>
      </c>
      <c r="B12148" t="s">
        <v>5351</v>
      </c>
      <c r="C12148">
        <v>2.6538752672800001</v>
      </c>
      <c r="D12148">
        <v>0.68557122013500005</v>
      </c>
      <c r="E12148">
        <v>12.215999999999999</v>
      </c>
    </row>
    <row r="12149" spans="1:5">
      <c r="A12149" t="s">
        <v>41555</v>
      </c>
      <c r="B12149" t="s">
        <v>5352</v>
      </c>
      <c r="C12149">
        <f>-2.3812009542</f>
        <v>-2.3812009542000001</v>
      </c>
      <c r="D12149">
        <v>0.68557122013500005</v>
      </c>
      <c r="E12149">
        <v>12.215999999999999</v>
      </c>
    </row>
    <row r="12150" spans="1:5">
      <c r="A12150" t="s">
        <v>41556</v>
      </c>
      <c r="B12150" t="s">
        <v>18099</v>
      </c>
      <c r="C12150">
        <v>0</v>
      </c>
      <c r="D12150">
        <v>0.45400707853299999</v>
      </c>
      <c r="E12150">
        <v>4.9080000000000004</v>
      </c>
    </row>
    <row r="12151" spans="1:5">
      <c r="A12151" t="s">
        <v>41556</v>
      </c>
      <c r="B12151" t="s">
        <v>18100</v>
      </c>
      <c r="C12151">
        <f>0.293997078533</f>
        <v>0.293997078533</v>
      </c>
      <c r="D12151">
        <v>0.45400707853299999</v>
      </c>
      <c r="E12151">
        <v>4.9080000000000004</v>
      </c>
    </row>
    <row r="12152" spans="1:5">
      <c r="A12152" t="s">
        <v>41557</v>
      </c>
      <c r="B12152" t="s">
        <v>847</v>
      </c>
      <c r="C12152">
        <v>0</v>
      </c>
      <c r="D12152" t="s">
        <v>106</v>
      </c>
      <c r="E12152">
        <v>4.2720000000000002</v>
      </c>
    </row>
    <row r="12153" spans="1:5">
      <c r="A12153" t="s">
        <v>41557</v>
      </c>
      <c r="B12153" t="s">
        <v>848</v>
      </c>
      <c r="C12153">
        <v>0</v>
      </c>
      <c r="D12153" t="s">
        <v>106</v>
      </c>
      <c r="E12153">
        <v>4.2720000000000002</v>
      </c>
    </row>
    <row r="12154" spans="1:5">
      <c r="A12154" t="s">
        <v>41558</v>
      </c>
      <c r="B12154" t="s">
        <v>31063</v>
      </c>
      <c r="C12154">
        <f>0.0916026603593</f>
        <v>9.1602660359299995E-2</v>
      </c>
      <c r="D12154">
        <v>0.867888813471</v>
      </c>
      <c r="E12154">
        <v>23.754000000000001</v>
      </c>
    </row>
    <row r="12155" spans="1:5">
      <c r="A12155" t="s">
        <v>41558</v>
      </c>
      <c r="B12155" t="s">
        <v>31064</v>
      </c>
      <c r="C12155">
        <v>0.60861771690699995</v>
      </c>
      <c r="D12155">
        <v>0.867888813471</v>
      </c>
      <c r="E12155">
        <v>23.754000000000001</v>
      </c>
    </row>
    <row r="12156" spans="1:5">
      <c r="A12156" t="s">
        <v>41558</v>
      </c>
      <c r="B12156" t="s">
        <v>31065</v>
      </c>
      <c r="C12156">
        <v>0.26992904222899999</v>
      </c>
      <c r="D12156">
        <v>0.867888813471</v>
      </c>
      <c r="E12156">
        <v>23.754000000000001</v>
      </c>
    </row>
    <row r="12157" spans="1:5">
      <c r="A12157" t="s">
        <v>41559</v>
      </c>
      <c r="B12157" t="s">
        <v>842</v>
      </c>
      <c r="C12157">
        <f>0</f>
        <v>0</v>
      </c>
      <c r="D12157" t="s">
        <v>106</v>
      </c>
      <c r="E12157">
        <v>6.0000000000000001E-3</v>
      </c>
    </row>
    <row r="12158" spans="1:5">
      <c r="A12158" t="s">
        <v>41559</v>
      </c>
      <c r="B12158" t="s">
        <v>843</v>
      </c>
      <c r="C12158">
        <f>0</f>
        <v>0</v>
      </c>
      <c r="D12158" t="s">
        <v>106</v>
      </c>
      <c r="E12158">
        <v>6.0000000000000001E-3</v>
      </c>
    </row>
    <row r="12159" spans="1:5">
      <c r="A12159" t="s">
        <v>41560</v>
      </c>
      <c r="B12159" t="s">
        <v>11672</v>
      </c>
      <c r="C12159">
        <f>0.00672987054383</f>
        <v>6.7298705438299999E-3</v>
      </c>
      <c r="D12159">
        <v>0.58433987054400005</v>
      </c>
      <c r="E12159">
        <v>15.9</v>
      </c>
    </row>
    <row r="12160" spans="1:5">
      <c r="A12160" t="s">
        <v>41560</v>
      </c>
      <c r="B12160" t="s">
        <v>11675</v>
      </c>
      <c r="C12160">
        <f>0</f>
        <v>0</v>
      </c>
      <c r="D12160">
        <v>0.58433987054400005</v>
      </c>
      <c r="E12160">
        <v>15.9</v>
      </c>
    </row>
    <row r="12161" spans="1:5">
      <c r="A12161" t="s">
        <v>41560</v>
      </c>
      <c r="B12161" t="s">
        <v>11674</v>
      </c>
      <c r="C12161">
        <f>0</f>
        <v>0</v>
      </c>
      <c r="D12161">
        <v>0.58433987054400005</v>
      </c>
      <c r="E12161">
        <v>15.9</v>
      </c>
    </row>
    <row r="12162" spans="1:5">
      <c r="A12162" t="s">
        <v>41561</v>
      </c>
      <c r="B12162" t="s">
        <v>41562</v>
      </c>
      <c r="C12162">
        <f>0</f>
        <v>0</v>
      </c>
      <c r="D12162" t="s">
        <v>106</v>
      </c>
      <c r="E12162">
        <v>0.78</v>
      </c>
    </row>
    <row r="12163" spans="1:5">
      <c r="A12163" t="s">
        <v>41561</v>
      </c>
      <c r="B12163" t="s">
        <v>41563</v>
      </c>
      <c r="C12163">
        <v>0</v>
      </c>
      <c r="D12163" t="s">
        <v>106</v>
      </c>
      <c r="E12163">
        <v>0.78</v>
      </c>
    </row>
    <row r="12164" spans="1:5">
      <c r="A12164" t="s">
        <v>41561</v>
      </c>
      <c r="B12164" t="s">
        <v>41564</v>
      </c>
      <c r="C12164">
        <f>0</f>
        <v>0</v>
      </c>
      <c r="D12164" t="s">
        <v>106</v>
      </c>
      <c r="E12164">
        <v>0.78</v>
      </c>
    </row>
    <row r="12165" spans="1:5">
      <c r="A12165" t="s">
        <v>41565</v>
      </c>
      <c r="B12165" t="s">
        <v>41566</v>
      </c>
      <c r="C12165">
        <v>0.48767572807300003</v>
      </c>
      <c r="D12165">
        <v>0.89935115793700005</v>
      </c>
      <c r="E12165">
        <v>19.416</v>
      </c>
    </row>
    <row r="12166" spans="1:5">
      <c r="A12166" t="s">
        <v>41565</v>
      </c>
      <c r="B12166" t="s">
        <v>41567</v>
      </c>
      <c r="C12166">
        <f>0.514626101837</f>
        <v>0.51462610183699997</v>
      </c>
      <c r="D12166">
        <v>0.89935115793700005</v>
      </c>
      <c r="E12166">
        <v>19.416</v>
      </c>
    </row>
    <row r="12167" spans="1:5">
      <c r="A12167" t="s">
        <v>41565</v>
      </c>
      <c r="B12167" t="s">
        <v>41568</v>
      </c>
      <c r="C12167">
        <v>0.83935151837599997</v>
      </c>
      <c r="D12167">
        <v>0.89935115793700005</v>
      </c>
      <c r="E12167">
        <v>19.416</v>
      </c>
    </row>
    <row r="12168" spans="1:5">
      <c r="A12168" t="s">
        <v>41565</v>
      </c>
      <c r="B12168" t="s">
        <v>41569</v>
      </c>
      <c r="C12168">
        <v>0.498238393763</v>
      </c>
      <c r="D12168">
        <v>0.89935115793700005</v>
      </c>
      <c r="E12168">
        <v>19.416</v>
      </c>
    </row>
    <row r="12169" spans="1:5">
      <c r="A12169" t="s">
        <v>41570</v>
      </c>
      <c r="B12169" t="s">
        <v>33265</v>
      </c>
      <c r="C12169">
        <v>0</v>
      </c>
      <c r="D12169" t="s">
        <v>106</v>
      </c>
      <c r="E12169">
        <v>5.82</v>
      </c>
    </row>
    <row r="12170" spans="1:5">
      <c r="A12170" t="s">
        <v>41570</v>
      </c>
      <c r="B12170" t="s">
        <v>33263</v>
      </c>
      <c r="C12170">
        <f>0</f>
        <v>0</v>
      </c>
      <c r="D12170" t="s">
        <v>106</v>
      </c>
      <c r="E12170">
        <v>5.82</v>
      </c>
    </row>
    <row r="12171" spans="1:5">
      <c r="A12171" t="s">
        <v>41570</v>
      </c>
      <c r="B12171" t="s">
        <v>33268</v>
      </c>
      <c r="C12171">
        <v>0</v>
      </c>
      <c r="D12171" t="s">
        <v>106</v>
      </c>
      <c r="E12171">
        <v>5.82</v>
      </c>
    </row>
    <row r="12172" spans="1:5">
      <c r="A12172" t="s">
        <v>41570</v>
      </c>
      <c r="B12172" t="s">
        <v>33270</v>
      </c>
      <c r="C12172">
        <f>0</f>
        <v>0</v>
      </c>
      <c r="D12172" t="s">
        <v>106</v>
      </c>
      <c r="E12172">
        <v>5.82</v>
      </c>
    </row>
    <row r="12173" spans="1:5">
      <c r="A12173" t="s">
        <v>41570</v>
      </c>
      <c r="B12173" t="s">
        <v>33266</v>
      </c>
      <c r="C12173">
        <f>0</f>
        <v>0</v>
      </c>
      <c r="D12173" t="s">
        <v>106</v>
      </c>
      <c r="E12173">
        <v>5.82</v>
      </c>
    </row>
    <row r="12174" spans="1:5">
      <c r="A12174" t="s">
        <v>41571</v>
      </c>
      <c r="B12174" t="s">
        <v>2625</v>
      </c>
      <c r="C12174">
        <v>0.73028361116499996</v>
      </c>
      <c r="D12174">
        <v>0.89530541796399998</v>
      </c>
      <c r="E12174">
        <v>12.048</v>
      </c>
    </row>
    <row r="12175" spans="1:5">
      <c r="A12175" t="s">
        <v>41571</v>
      </c>
      <c r="B12175" t="s">
        <v>2626</v>
      </c>
      <c r="C12175">
        <v>0.16119198502500001</v>
      </c>
      <c r="D12175">
        <v>0.89530541796399998</v>
      </c>
      <c r="E12175">
        <v>12.048</v>
      </c>
    </row>
    <row r="12176" spans="1:5">
      <c r="A12176" t="s">
        <v>41572</v>
      </c>
      <c r="B12176" t="s">
        <v>41573</v>
      </c>
      <c r="C12176">
        <f>0</f>
        <v>0</v>
      </c>
      <c r="D12176">
        <v>0.72506278661000001</v>
      </c>
      <c r="E12176">
        <v>16.896000000000001</v>
      </c>
    </row>
    <row r="12177" spans="1:5">
      <c r="A12177" t="s">
        <v>41572</v>
      </c>
      <c r="B12177" t="s">
        <v>41574</v>
      </c>
      <c r="C12177">
        <f>0.62265278661</f>
        <v>0.62265278661000001</v>
      </c>
      <c r="D12177">
        <v>0.72506278661000001</v>
      </c>
      <c r="E12177">
        <v>16.896000000000001</v>
      </c>
    </row>
    <row r="12178" spans="1:5">
      <c r="A12178" t="s">
        <v>41575</v>
      </c>
      <c r="B12178" t="s">
        <v>41576</v>
      </c>
      <c r="C12178">
        <v>0</v>
      </c>
      <c r="D12178">
        <v>0.65006569851399998</v>
      </c>
      <c r="E12178">
        <v>5.3520000000000003</v>
      </c>
    </row>
    <row r="12179" spans="1:5">
      <c r="A12179" t="s">
        <v>41575</v>
      </c>
      <c r="B12179" t="s">
        <v>41577</v>
      </c>
      <c r="C12179">
        <f>0.379655698514</f>
        <v>0.379655698514</v>
      </c>
      <c r="D12179">
        <v>0.65006569851399998</v>
      </c>
      <c r="E12179">
        <v>5.3520000000000003</v>
      </c>
    </row>
    <row r="12180" spans="1:5">
      <c r="A12180" t="s">
        <v>41575</v>
      </c>
      <c r="B12180" t="s">
        <v>41578</v>
      </c>
      <c r="C12180">
        <f>0</f>
        <v>0</v>
      </c>
      <c r="D12180">
        <v>0.65006569851399998</v>
      </c>
      <c r="E12180">
        <v>5.3520000000000003</v>
      </c>
    </row>
    <row r="12181" spans="1:5">
      <c r="A12181" t="s">
        <v>41579</v>
      </c>
      <c r="B12181" t="s">
        <v>41580</v>
      </c>
      <c r="C12181">
        <f>0.408576891998</f>
        <v>0.40857689199800001</v>
      </c>
      <c r="D12181">
        <v>0.678986891998</v>
      </c>
      <c r="E12181">
        <v>0.91800000000000004</v>
      </c>
    </row>
    <row r="12182" spans="1:5">
      <c r="A12182" t="s">
        <v>41579</v>
      </c>
      <c r="B12182" t="s">
        <v>41581</v>
      </c>
      <c r="C12182">
        <f>0</f>
        <v>0</v>
      </c>
      <c r="D12182">
        <v>0.678986891998</v>
      </c>
      <c r="E12182">
        <v>0.91800000000000004</v>
      </c>
    </row>
    <row r="12183" spans="1:5">
      <c r="A12183" t="s">
        <v>41579</v>
      </c>
      <c r="B12183" t="s">
        <v>41582</v>
      </c>
      <c r="C12183">
        <f>0</f>
        <v>0</v>
      </c>
      <c r="D12183">
        <v>0.678986891998</v>
      </c>
      <c r="E12183">
        <v>0.91800000000000004</v>
      </c>
    </row>
    <row r="12184" spans="1:5">
      <c r="A12184" t="s">
        <v>41579</v>
      </c>
      <c r="B12184" t="s">
        <v>41583</v>
      </c>
      <c r="C12184">
        <v>0</v>
      </c>
      <c r="D12184">
        <v>0.678986891998</v>
      </c>
      <c r="E12184">
        <v>0.91800000000000004</v>
      </c>
    </row>
    <row r="12185" spans="1:5">
      <c r="A12185" t="s">
        <v>41579</v>
      </c>
      <c r="B12185" t="s">
        <v>41584</v>
      </c>
      <c r="C12185">
        <v>0</v>
      </c>
      <c r="D12185">
        <v>0.678986891998</v>
      </c>
      <c r="E12185">
        <v>0.91800000000000004</v>
      </c>
    </row>
    <row r="12186" spans="1:5">
      <c r="A12186" t="s">
        <v>41585</v>
      </c>
      <c r="B12186" t="s">
        <v>19834</v>
      </c>
      <c r="C12186">
        <v>2.8366162305899998</v>
      </c>
      <c r="D12186">
        <v>0.88046505727400004</v>
      </c>
      <c r="E12186">
        <v>5.2380000000000004</v>
      </c>
    </row>
    <row r="12187" spans="1:5">
      <c r="A12187" t="s">
        <v>41585</v>
      </c>
      <c r="B12187" t="s">
        <v>19833</v>
      </c>
      <c r="C12187">
        <f>-2.65316860956</f>
        <v>-2.6531686095599998</v>
      </c>
      <c r="D12187">
        <v>0.88046505727400004</v>
      </c>
      <c r="E12187">
        <v>5.2380000000000004</v>
      </c>
    </row>
    <row r="12188" spans="1:5">
      <c r="A12188" t="s">
        <v>41585</v>
      </c>
      <c r="B12188" t="s">
        <v>19835</v>
      </c>
      <c r="C12188">
        <f>0.0696425417317</f>
        <v>6.9642541731699995E-2</v>
      </c>
      <c r="D12188">
        <v>0.88046505727400004</v>
      </c>
      <c r="E12188">
        <v>5.2380000000000004</v>
      </c>
    </row>
    <row r="12189" spans="1:5">
      <c r="A12189" t="s">
        <v>41586</v>
      </c>
      <c r="B12189" t="s">
        <v>41587</v>
      </c>
      <c r="C12189">
        <v>5.2590878197900003E-2</v>
      </c>
      <c r="D12189">
        <v>0.94118613273899998</v>
      </c>
      <c r="E12189">
        <v>1.6379999999999999</v>
      </c>
    </row>
    <row r="12190" spans="1:5">
      <c r="A12190" t="s">
        <v>41586</v>
      </c>
      <c r="B12190" t="s">
        <v>41588</v>
      </c>
      <c r="C12190">
        <v>0.90603448769499995</v>
      </c>
      <c r="D12190">
        <v>0.94118613273899998</v>
      </c>
      <c r="E12190">
        <v>1.6379999999999999</v>
      </c>
    </row>
    <row r="12191" spans="1:5">
      <c r="A12191" t="s">
        <v>41586</v>
      </c>
      <c r="B12191" t="s">
        <v>41589</v>
      </c>
      <c r="C12191">
        <v>0.49800768238600002</v>
      </c>
      <c r="D12191">
        <v>0.94118613273899998</v>
      </c>
      <c r="E12191">
        <v>1.6379999999999999</v>
      </c>
    </row>
    <row r="12192" spans="1:5">
      <c r="A12192" t="s">
        <v>41590</v>
      </c>
      <c r="B12192" t="s">
        <v>14135</v>
      </c>
      <c r="C12192">
        <f>0</f>
        <v>0</v>
      </c>
      <c r="D12192" t="s">
        <v>106</v>
      </c>
      <c r="E12192">
        <v>0.65400000000000003</v>
      </c>
    </row>
    <row r="12193" spans="1:5">
      <c r="A12193" t="s">
        <v>41590</v>
      </c>
      <c r="B12193" t="s">
        <v>14134</v>
      </c>
      <c r="C12193">
        <v>0</v>
      </c>
      <c r="D12193" t="s">
        <v>106</v>
      </c>
      <c r="E12193">
        <v>0.65400000000000003</v>
      </c>
    </row>
    <row r="12194" spans="1:5">
      <c r="A12194" t="s">
        <v>41591</v>
      </c>
      <c r="B12194" t="s">
        <v>23603</v>
      </c>
      <c r="C12194">
        <v>0</v>
      </c>
      <c r="D12194">
        <v>0.63588169699899999</v>
      </c>
      <c r="E12194">
        <v>3.6840000000000002</v>
      </c>
    </row>
    <row r="12195" spans="1:5">
      <c r="A12195" t="s">
        <v>41591</v>
      </c>
      <c r="B12195" t="s">
        <v>23604</v>
      </c>
      <c r="C12195">
        <f>0.405471696999</f>
        <v>0.40547169699899999</v>
      </c>
      <c r="D12195">
        <v>0.63588169699899999</v>
      </c>
      <c r="E12195">
        <v>3.6840000000000002</v>
      </c>
    </row>
    <row r="12196" spans="1:5">
      <c r="A12196" t="s">
        <v>41591</v>
      </c>
      <c r="B12196" t="s">
        <v>23605</v>
      </c>
      <c r="C12196">
        <f>0</f>
        <v>0</v>
      </c>
      <c r="D12196">
        <v>0.63588169699899999</v>
      </c>
      <c r="E12196">
        <v>3.6840000000000002</v>
      </c>
    </row>
    <row r="12197" spans="1:5">
      <c r="A12197" t="s">
        <v>41592</v>
      </c>
      <c r="B12197" t="s">
        <v>14833</v>
      </c>
      <c r="C12197">
        <f>0</f>
        <v>0</v>
      </c>
      <c r="D12197" t="s">
        <v>106</v>
      </c>
      <c r="E12197">
        <v>24</v>
      </c>
    </row>
    <row r="12198" spans="1:5">
      <c r="A12198" t="s">
        <v>41592</v>
      </c>
      <c r="B12198" t="s">
        <v>14834</v>
      </c>
      <c r="C12198">
        <f>0</f>
        <v>0</v>
      </c>
      <c r="D12198" t="s">
        <v>106</v>
      </c>
      <c r="E12198">
        <v>24</v>
      </c>
    </row>
    <row r="12199" spans="1:5">
      <c r="A12199" t="s">
        <v>41593</v>
      </c>
      <c r="B12199" t="s">
        <v>9414</v>
      </c>
      <c r="C12199">
        <f>0</f>
        <v>0</v>
      </c>
      <c r="D12199">
        <v>0.93758624580200001</v>
      </c>
      <c r="E12199">
        <v>9.9239999999999995</v>
      </c>
    </row>
    <row r="12200" spans="1:5">
      <c r="A12200" t="s">
        <v>41593</v>
      </c>
      <c r="B12200" t="s">
        <v>9415</v>
      </c>
      <c r="C12200">
        <f>0.150660539258</f>
        <v>0.15066053925799999</v>
      </c>
      <c r="D12200">
        <v>0.93758624580200001</v>
      </c>
      <c r="E12200">
        <v>9.9239999999999995</v>
      </c>
    </row>
    <row r="12201" spans="1:5">
      <c r="A12201" t="s">
        <v>41593</v>
      </c>
      <c r="B12201" t="s">
        <v>9413</v>
      </c>
      <c r="C12201">
        <v>0.68070035480299995</v>
      </c>
      <c r="D12201">
        <v>0.93758624580200001</v>
      </c>
      <c r="E12201">
        <v>9.9239999999999995</v>
      </c>
    </row>
    <row r="12202" spans="1:5">
      <c r="A12202" t="s">
        <v>41593</v>
      </c>
      <c r="B12202" t="s">
        <v>9417</v>
      </c>
      <c r="C12202">
        <v>0.40369052278500001</v>
      </c>
      <c r="D12202">
        <v>0.93758624580200001</v>
      </c>
      <c r="E12202">
        <v>9.9239999999999995</v>
      </c>
    </row>
    <row r="12203" spans="1:5">
      <c r="A12203" t="s">
        <v>41594</v>
      </c>
      <c r="B12203" t="s">
        <v>26392</v>
      </c>
      <c r="C12203">
        <f>0</f>
        <v>0</v>
      </c>
      <c r="D12203" t="s">
        <v>106</v>
      </c>
      <c r="E12203">
        <v>0.26400000000000001</v>
      </c>
    </row>
    <row r="12204" spans="1:5">
      <c r="A12204" t="s">
        <v>41594</v>
      </c>
      <c r="B12204" t="s">
        <v>26391</v>
      </c>
      <c r="C12204">
        <v>0</v>
      </c>
      <c r="D12204" t="s">
        <v>106</v>
      </c>
      <c r="E12204">
        <v>0.26400000000000001</v>
      </c>
    </row>
    <row r="12205" spans="1:5">
      <c r="A12205" t="s">
        <v>41594</v>
      </c>
      <c r="B12205" t="s">
        <v>26393</v>
      </c>
      <c r="C12205">
        <v>0</v>
      </c>
      <c r="D12205" t="s">
        <v>106</v>
      </c>
      <c r="E12205">
        <v>0.26400000000000001</v>
      </c>
    </row>
    <row r="12206" spans="1:5">
      <c r="A12206" t="s">
        <v>41595</v>
      </c>
      <c r="B12206" t="s">
        <v>4161</v>
      </c>
      <c r="C12206">
        <v>0.47130638596199997</v>
      </c>
      <c r="D12206">
        <v>0.96470606824799998</v>
      </c>
      <c r="E12206">
        <v>7.8719999999999999</v>
      </c>
    </row>
    <row r="12207" spans="1:5">
      <c r="A12207" t="s">
        <v>41595</v>
      </c>
      <c r="B12207" t="s">
        <v>4162</v>
      </c>
      <c r="C12207">
        <v>0.97268370252900005</v>
      </c>
      <c r="D12207">
        <v>0.96470606824799998</v>
      </c>
      <c r="E12207">
        <v>7.8719999999999999</v>
      </c>
    </row>
    <row r="12208" spans="1:5">
      <c r="A12208" t="s">
        <v>41595</v>
      </c>
      <c r="B12208" t="s">
        <v>4164</v>
      </c>
      <c r="C12208">
        <f>-1.38849154929</f>
        <v>-1.3884915492900001</v>
      </c>
      <c r="D12208">
        <v>0.96470606824799998</v>
      </c>
      <c r="E12208">
        <v>7.8719999999999999</v>
      </c>
    </row>
    <row r="12209" spans="1:5">
      <c r="A12209" t="s">
        <v>41595</v>
      </c>
      <c r="B12209" t="s">
        <v>4163</v>
      </c>
      <c r="C12209">
        <v>0.24447530871100001</v>
      </c>
      <c r="D12209">
        <v>0.96470606824799998</v>
      </c>
      <c r="E12209">
        <v>7.8719999999999999</v>
      </c>
    </row>
    <row r="12210" spans="1:5">
      <c r="A12210" t="s">
        <v>41596</v>
      </c>
      <c r="B12210" t="s">
        <v>41597</v>
      </c>
      <c r="C12210">
        <f>-1.25032516841</f>
        <v>-1.2503251684100001</v>
      </c>
      <c r="D12210">
        <v>0.94389651861099999</v>
      </c>
      <c r="E12210">
        <v>24</v>
      </c>
    </row>
    <row r="12211" spans="1:5">
      <c r="A12211" t="s">
        <v>41596</v>
      </c>
      <c r="B12211" t="s">
        <v>41598</v>
      </c>
      <c r="C12211">
        <v>0.87693160721999996</v>
      </c>
      <c r="D12211">
        <v>0.94389651861099999</v>
      </c>
      <c r="E12211">
        <v>24</v>
      </c>
    </row>
    <row r="12212" spans="1:5">
      <c r="A12212" t="s">
        <v>41599</v>
      </c>
      <c r="B12212" t="s">
        <v>33090</v>
      </c>
      <c r="C12212">
        <f>0</f>
        <v>0</v>
      </c>
      <c r="D12212" t="s">
        <v>106</v>
      </c>
      <c r="E12212">
        <v>24</v>
      </c>
    </row>
    <row r="12213" spans="1:5">
      <c r="A12213" t="s">
        <v>41599</v>
      </c>
      <c r="B12213" t="s">
        <v>33093</v>
      </c>
      <c r="C12213">
        <f>0</f>
        <v>0</v>
      </c>
      <c r="D12213" t="s">
        <v>106</v>
      </c>
      <c r="E12213">
        <v>24</v>
      </c>
    </row>
    <row r="12214" spans="1:5">
      <c r="A12214" t="s">
        <v>41599</v>
      </c>
      <c r="B12214" t="s">
        <v>33092</v>
      </c>
      <c r="C12214">
        <v>0</v>
      </c>
      <c r="D12214" t="s">
        <v>106</v>
      </c>
      <c r="E12214">
        <v>24</v>
      </c>
    </row>
    <row r="12215" spans="1:5">
      <c r="A12215" t="s">
        <v>41599</v>
      </c>
      <c r="B12215" t="s">
        <v>33094</v>
      </c>
      <c r="C12215">
        <v>0</v>
      </c>
      <c r="D12215" t="s">
        <v>106</v>
      </c>
      <c r="E12215">
        <v>24</v>
      </c>
    </row>
    <row r="12216" spans="1:5">
      <c r="A12216" t="s">
        <v>41600</v>
      </c>
      <c r="B12216" t="s">
        <v>17895</v>
      </c>
      <c r="C12216">
        <v>0</v>
      </c>
      <c r="D12216">
        <v>0.51112742778499998</v>
      </c>
      <c r="E12216">
        <v>24</v>
      </c>
    </row>
    <row r="12217" spans="1:5">
      <c r="A12217" t="s">
        <v>41600</v>
      </c>
      <c r="B12217" t="s">
        <v>17894</v>
      </c>
      <c r="C12217">
        <f>0</f>
        <v>0</v>
      </c>
      <c r="D12217">
        <v>0.51112742778499998</v>
      </c>
      <c r="E12217">
        <v>24</v>
      </c>
    </row>
    <row r="12218" spans="1:5">
      <c r="A12218" t="s">
        <v>41600</v>
      </c>
      <c r="B12218" t="s">
        <v>17893</v>
      </c>
      <c r="C12218">
        <f>0.0235748640947</f>
        <v>2.3574864094699999E-2</v>
      </c>
      <c r="D12218">
        <v>0.51112742778499998</v>
      </c>
      <c r="E12218">
        <v>24</v>
      </c>
    </row>
    <row r="12219" spans="1:5">
      <c r="A12219" t="s">
        <v>41600</v>
      </c>
      <c r="B12219" t="s">
        <v>17898</v>
      </c>
      <c r="C12219">
        <f>0.216253958611</f>
        <v>0.216253958611</v>
      </c>
      <c r="D12219">
        <v>0.51112742778499998</v>
      </c>
      <c r="E12219">
        <v>24</v>
      </c>
    </row>
    <row r="12220" spans="1:5">
      <c r="A12220" t="s">
        <v>41601</v>
      </c>
      <c r="B12220" t="s">
        <v>41602</v>
      </c>
      <c r="C12220">
        <f>0.0268898193232</f>
        <v>2.68898193232E-2</v>
      </c>
      <c r="D12220">
        <v>0.84435479483999998</v>
      </c>
      <c r="E12220">
        <v>1.452</v>
      </c>
    </row>
    <row r="12221" spans="1:5">
      <c r="A12221" t="s">
        <v>41601</v>
      </c>
      <c r="B12221" t="s">
        <v>41603</v>
      </c>
      <c r="C12221">
        <f>0</f>
        <v>0</v>
      </c>
      <c r="D12221">
        <v>0.84435479483999998</v>
      </c>
      <c r="E12221">
        <v>1.452</v>
      </c>
    </row>
    <row r="12222" spans="1:5">
      <c r="A12222" t="s">
        <v>41601</v>
      </c>
      <c r="B12222" t="s">
        <v>41604</v>
      </c>
      <c r="C12222">
        <f>0</f>
        <v>0</v>
      </c>
      <c r="D12222">
        <v>0.84435479483999998</v>
      </c>
      <c r="E12222">
        <v>1.452</v>
      </c>
    </row>
    <row r="12223" spans="1:5">
      <c r="A12223" t="s">
        <v>41601</v>
      </c>
      <c r="B12223" t="s">
        <v>41605</v>
      </c>
      <c r="C12223">
        <f>0</f>
        <v>0</v>
      </c>
      <c r="D12223">
        <v>0.84435479483999998</v>
      </c>
      <c r="E12223">
        <v>1.452</v>
      </c>
    </row>
    <row r="12224" spans="1:5">
      <c r="A12224" t="s">
        <v>41601</v>
      </c>
      <c r="B12224" t="s">
        <v>41606</v>
      </c>
      <c r="C12224">
        <f>0.511005848653</f>
        <v>0.51100584865300003</v>
      </c>
      <c r="D12224">
        <v>0.84435479483999998</v>
      </c>
      <c r="E12224">
        <v>1.452</v>
      </c>
    </row>
    <row r="12225" spans="1:5">
      <c r="A12225" t="s">
        <v>41601</v>
      </c>
      <c r="B12225" t="s">
        <v>41607</v>
      </c>
      <c r="C12225">
        <v>0</v>
      </c>
      <c r="D12225">
        <v>0.84435479483999998</v>
      </c>
      <c r="E12225">
        <v>1.452</v>
      </c>
    </row>
    <row r="12226" spans="1:5">
      <c r="A12226" t="s">
        <v>41601</v>
      </c>
      <c r="B12226" t="s">
        <v>41608</v>
      </c>
      <c r="C12226">
        <f>0</f>
        <v>0</v>
      </c>
      <c r="D12226">
        <v>0.84435479483999998</v>
      </c>
      <c r="E12226">
        <v>1.452</v>
      </c>
    </row>
    <row r="12227" spans="1:5">
      <c r="A12227" t="s">
        <v>41601</v>
      </c>
      <c r="B12227" t="s">
        <v>41609</v>
      </c>
      <c r="C12227">
        <v>0</v>
      </c>
      <c r="D12227">
        <v>0.84435479483999998</v>
      </c>
      <c r="E12227">
        <v>1.452</v>
      </c>
    </row>
    <row r="12228" spans="1:5">
      <c r="A12228" t="s">
        <v>41601</v>
      </c>
      <c r="B12228" t="s">
        <v>41610</v>
      </c>
      <c r="C12228">
        <v>0</v>
      </c>
      <c r="D12228">
        <v>0.84435479483999998</v>
      </c>
      <c r="E12228">
        <v>1.452</v>
      </c>
    </row>
    <row r="12229" spans="1:5">
      <c r="A12229" t="s">
        <v>41601</v>
      </c>
      <c r="B12229" t="s">
        <v>41611</v>
      </c>
      <c r="C12229">
        <v>0</v>
      </c>
      <c r="D12229">
        <v>0.84435479483999998</v>
      </c>
      <c r="E12229">
        <v>1.452</v>
      </c>
    </row>
    <row r="12230" spans="1:5">
      <c r="A12230" t="s">
        <v>41601</v>
      </c>
      <c r="B12230" t="s">
        <v>41612</v>
      </c>
      <c r="C12230">
        <f>0</f>
        <v>0</v>
      </c>
      <c r="D12230">
        <v>0.84435479483999998</v>
      </c>
      <c r="E12230">
        <v>1.452</v>
      </c>
    </row>
    <row r="12231" spans="1:5">
      <c r="A12231" t="s">
        <v>41601</v>
      </c>
      <c r="B12231" t="s">
        <v>41613</v>
      </c>
      <c r="C12231">
        <v>0</v>
      </c>
      <c r="D12231">
        <v>0.84435479483999998</v>
      </c>
      <c r="E12231">
        <v>1.452</v>
      </c>
    </row>
    <row r="12232" spans="1:5">
      <c r="A12232" t="s">
        <v>41614</v>
      </c>
      <c r="B12232" t="s">
        <v>33794</v>
      </c>
      <c r="C12232">
        <v>0</v>
      </c>
      <c r="D12232">
        <v>0.74502935320100006</v>
      </c>
      <c r="E12232">
        <v>24</v>
      </c>
    </row>
    <row r="12233" spans="1:5">
      <c r="A12233" t="s">
        <v>41614</v>
      </c>
      <c r="B12233" t="s">
        <v>33800</v>
      </c>
      <c r="C12233">
        <f>0</f>
        <v>0</v>
      </c>
      <c r="D12233">
        <v>0.74502935320100006</v>
      </c>
      <c r="E12233">
        <v>24</v>
      </c>
    </row>
    <row r="12234" spans="1:5">
      <c r="A12234" t="s">
        <v>41614</v>
      </c>
      <c r="B12234" t="s">
        <v>33796</v>
      </c>
      <c r="C12234">
        <v>0</v>
      </c>
      <c r="D12234">
        <v>0.74502935320100006</v>
      </c>
      <c r="E12234">
        <v>24</v>
      </c>
    </row>
    <row r="12235" spans="1:5">
      <c r="A12235" t="s">
        <v>41614</v>
      </c>
      <c r="B12235" t="s">
        <v>33798</v>
      </c>
      <c r="C12235">
        <f>0.104600393209</f>
        <v>0.104600393209</v>
      </c>
      <c r="D12235">
        <v>0.74502935320100006</v>
      </c>
      <c r="E12235">
        <v>24</v>
      </c>
    </row>
    <row r="12236" spans="1:5">
      <c r="A12236" t="s">
        <v>41614</v>
      </c>
      <c r="B12236" t="s">
        <v>33797</v>
      </c>
      <c r="C12236">
        <f>0.335270250327</f>
        <v>0.33527025032699997</v>
      </c>
      <c r="D12236">
        <v>0.74502935320100006</v>
      </c>
      <c r="E12236">
        <v>24</v>
      </c>
    </row>
    <row r="12237" spans="1:5">
      <c r="A12237" t="s">
        <v>41614</v>
      </c>
      <c r="B12237" t="s">
        <v>33801</v>
      </c>
      <c r="C12237">
        <f>0</f>
        <v>0</v>
      </c>
      <c r="D12237">
        <v>0.74502935320100006</v>
      </c>
      <c r="E12237">
        <v>24</v>
      </c>
    </row>
    <row r="12238" spans="1:5">
      <c r="A12238" t="s">
        <v>41614</v>
      </c>
      <c r="B12238" t="s">
        <v>33795</v>
      </c>
      <c r="C12238">
        <f>0</f>
        <v>0</v>
      </c>
      <c r="D12238">
        <v>0.74502935320100006</v>
      </c>
      <c r="E12238">
        <v>24</v>
      </c>
    </row>
    <row r="12239" spans="1:5">
      <c r="A12239" t="s">
        <v>41615</v>
      </c>
      <c r="B12239" t="s">
        <v>33677</v>
      </c>
      <c r="C12239">
        <v>0.41257406512</v>
      </c>
      <c r="D12239">
        <v>0.95384976294900004</v>
      </c>
      <c r="E12239">
        <v>24</v>
      </c>
    </row>
    <row r="12240" spans="1:5">
      <c r="A12240" t="s">
        <v>41615</v>
      </c>
      <c r="B12240" t="s">
        <v>33679</v>
      </c>
      <c r="C12240">
        <v>0.54514840819099997</v>
      </c>
      <c r="D12240">
        <v>0.95384976294900004</v>
      </c>
      <c r="E12240">
        <v>24</v>
      </c>
    </row>
    <row r="12241" spans="1:5">
      <c r="A12241" t="s">
        <v>41616</v>
      </c>
      <c r="B12241" t="s">
        <v>3113</v>
      </c>
      <c r="C12241">
        <f>0</f>
        <v>0</v>
      </c>
      <c r="D12241">
        <v>0.79066053624099997</v>
      </c>
      <c r="E12241">
        <v>11.706</v>
      </c>
    </row>
    <row r="12242" spans="1:5">
      <c r="A12242" t="s">
        <v>41616</v>
      </c>
      <c r="B12242" t="s">
        <v>3115</v>
      </c>
      <c r="C12242">
        <v>0</v>
      </c>
      <c r="D12242">
        <v>0.79066053624099997</v>
      </c>
      <c r="E12242">
        <v>11.706</v>
      </c>
    </row>
    <row r="12243" spans="1:5">
      <c r="A12243" t="s">
        <v>41616</v>
      </c>
      <c r="B12243" t="s">
        <v>3109</v>
      </c>
      <c r="C12243">
        <v>0</v>
      </c>
      <c r="D12243">
        <v>0.79066053624099997</v>
      </c>
      <c r="E12243">
        <v>11.706</v>
      </c>
    </row>
    <row r="12244" spans="1:5">
      <c r="A12244" t="s">
        <v>41616</v>
      </c>
      <c r="B12244" t="s">
        <v>3116</v>
      </c>
      <c r="C12244">
        <f>0.0241051079098</f>
        <v>2.41051079098E-2</v>
      </c>
      <c r="D12244">
        <v>0.79066053624099997</v>
      </c>
      <c r="E12244">
        <v>11.706</v>
      </c>
    </row>
    <row r="12245" spans="1:5">
      <c r="A12245" t="s">
        <v>41616</v>
      </c>
      <c r="B12245" t="s">
        <v>3112</v>
      </c>
      <c r="C12245">
        <f>0</f>
        <v>0</v>
      </c>
      <c r="D12245">
        <v>0.79066053624099997</v>
      </c>
      <c r="E12245">
        <v>11.706</v>
      </c>
    </row>
    <row r="12246" spans="1:5">
      <c r="A12246" t="s">
        <v>41616</v>
      </c>
      <c r="B12246" t="s">
        <v>3111</v>
      </c>
      <c r="C12246">
        <f>0.0142070558472</f>
        <v>1.4207055847200001E-2</v>
      </c>
      <c r="D12246">
        <v>0.79066053624099997</v>
      </c>
      <c r="E12246">
        <v>11.706</v>
      </c>
    </row>
    <row r="12247" spans="1:5">
      <c r="A12247" t="s">
        <v>41616</v>
      </c>
      <c r="B12247" t="s">
        <v>3110</v>
      </c>
      <c r="C12247">
        <f>0.395651379721</f>
        <v>0.39565137972100001</v>
      </c>
      <c r="D12247">
        <v>0.79066053624099997</v>
      </c>
      <c r="E12247">
        <v>11.706</v>
      </c>
    </row>
    <row r="12248" spans="1:5">
      <c r="A12248" t="s">
        <v>41617</v>
      </c>
      <c r="B12248" t="s">
        <v>31673</v>
      </c>
      <c r="C12248">
        <f>0</f>
        <v>0</v>
      </c>
      <c r="D12248" t="s">
        <v>106</v>
      </c>
      <c r="E12248">
        <v>24</v>
      </c>
    </row>
    <row r="12249" spans="1:5">
      <c r="A12249" t="s">
        <v>41617</v>
      </c>
      <c r="B12249" t="s">
        <v>31666</v>
      </c>
      <c r="C12249">
        <v>0</v>
      </c>
      <c r="D12249" t="s">
        <v>106</v>
      </c>
      <c r="E12249">
        <v>24</v>
      </c>
    </row>
    <row r="12250" spans="1:5">
      <c r="A12250" t="s">
        <v>41617</v>
      </c>
      <c r="B12250" t="s">
        <v>31668</v>
      </c>
      <c r="C12250">
        <v>0</v>
      </c>
      <c r="D12250" t="s">
        <v>106</v>
      </c>
      <c r="E12250">
        <v>24</v>
      </c>
    </row>
    <row r="12251" spans="1:5">
      <c r="A12251" t="s">
        <v>41617</v>
      </c>
      <c r="B12251" t="s">
        <v>31671</v>
      </c>
      <c r="C12251">
        <f>0</f>
        <v>0</v>
      </c>
      <c r="D12251" t="s">
        <v>106</v>
      </c>
      <c r="E12251">
        <v>24</v>
      </c>
    </row>
    <row r="12252" spans="1:5">
      <c r="A12252" t="s">
        <v>41617</v>
      </c>
      <c r="B12252" t="s">
        <v>31667</v>
      </c>
      <c r="C12252">
        <v>0</v>
      </c>
      <c r="D12252" t="s">
        <v>106</v>
      </c>
      <c r="E12252">
        <v>24</v>
      </c>
    </row>
    <row r="12253" spans="1:5">
      <c r="A12253" t="s">
        <v>41617</v>
      </c>
      <c r="B12253" t="s">
        <v>31674</v>
      </c>
      <c r="C12253">
        <v>0</v>
      </c>
      <c r="D12253" t="s">
        <v>106</v>
      </c>
      <c r="E12253">
        <v>24</v>
      </c>
    </row>
    <row r="12254" spans="1:5">
      <c r="A12254" t="s">
        <v>41617</v>
      </c>
      <c r="B12254" t="s">
        <v>31669</v>
      </c>
      <c r="C12254">
        <v>0</v>
      </c>
      <c r="D12254" t="s">
        <v>106</v>
      </c>
      <c r="E12254">
        <v>24</v>
      </c>
    </row>
    <row r="12255" spans="1:5">
      <c r="A12255" t="s">
        <v>41618</v>
      </c>
      <c r="B12255" t="s">
        <v>27395</v>
      </c>
      <c r="C12255">
        <v>0</v>
      </c>
      <c r="D12255" t="s">
        <v>106</v>
      </c>
      <c r="E12255">
        <v>12.39</v>
      </c>
    </row>
    <row r="12256" spans="1:5">
      <c r="A12256" t="s">
        <v>41618</v>
      </c>
      <c r="B12256" t="s">
        <v>27394</v>
      </c>
      <c r="C12256">
        <f>0</f>
        <v>0</v>
      </c>
      <c r="D12256" t="s">
        <v>106</v>
      </c>
      <c r="E12256">
        <v>12.39</v>
      </c>
    </row>
    <row r="12257" spans="1:5">
      <c r="A12257" t="s">
        <v>41618</v>
      </c>
      <c r="B12257" t="s">
        <v>27392</v>
      </c>
      <c r="C12257">
        <f>0</f>
        <v>0</v>
      </c>
      <c r="D12257" t="s">
        <v>106</v>
      </c>
      <c r="E12257">
        <v>12.39</v>
      </c>
    </row>
    <row r="12258" spans="1:5">
      <c r="A12258" t="s">
        <v>41619</v>
      </c>
      <c r="B12258" t="s">
        <v>18107</v>
      </c>
      <c r="C12258">
        <v>0</v>
      </c>
      <c r="D12258">
        <v>0.93132480567099996</v>
      </c>
      <c r="E12258">
        <v>11.706</v>
      </c>
    </row>
    <row r="12259" spans="1:5">
      <c r="A12259" t="s">
        <v>41619</v>
      </c>
      <c r="B12259" t="s">
        <v>18109</v>
      </c>
      <c r="C12259">
        <f>0.828914805671</f>
        <v>0.82891480567099995</v>
      </c>
      <c r="D12259">
        <v>0.93132480567099996</v>
      </c>
      <c r="E12259">
        <v>11.706</v>
      </c>
    </row>
    <row r="12260" spans="1:5">
      <c r="A12260" t="s">
        <v>41619</v>
      </c>
      <c r="B12260" t="s">
        <v>18108</v>
      </c>
      <c r="C12260">
        <v>0</v>
      </c>
      <c r="D12260">
        <v>0.93132480567099996</v>
      </c>
      <c r="E12260">
        <v>11.706</v>
      </c>
    </row>
    <row r="12261" spans="1:5">
      <c r="A12261" t="s">
        <v>41619</v>
      </c>
      <c r="B12261" t="s">
        <v>18103</v>
      </c>
      <c r="C12261">
        <f>0</f>
        <v>0</v>
      </c>
      <c r="D12261">
        <v>0.93132480567099996</v>
      </c>
      <c r="E12261">
        <v>11.706</v>
      </c>
    </row>
    <row r="12262" spans="1:5">
      <c r="A12262" t="s">
        <v>41619</v>
      </c>
      <c r="B12262" t="s">
        <v>18104</v>
      </c>
      <c r="C12262">
        <f>0</f>
        <v>0</v>
      </c>
      <c r="D12262">
        <v>0.93132480567099996</v>
      </c>
      <c r="E12262">
        <v>11.706</v>
      </c>
    </row>
    <row r="12263" spans="1:5">
      <c r="A12263" t="s">
        <v>41620</v>
      </c>
      <c r="B12263" t="s">
        <v>12471</v>
      </c>
      <c r="C12263">
        <v>0</v>
      </c>
      <c r="D12263">
        <v>0.69216382310500002</v>
      </c>
      <c r="E12263">
        <v>5.58</v>
      </c>
    </row>
    <row r="12264" spans="1:5">
      <c r="A12264" t="s">
        <v>41620</v>
      </c>
      <c r="B12264" t="s">
        <v>12472</v>
      </c>
      <c r="C12264">
        <v>0</v>
      </c>
      <c r="D12264">
        <v>0.69216382310500002</v>
      </c>
      <c r="E12264">
        <v>5.58</v>
      </c>
    </row>
    <row r="12265" spans="1:5">
      <c r="A12265" t="s">
        <v>41620</v>
      </c>
      <c r="B12265" t="s">
        <v>12470</v>
      </c>
      <c r="C12265">
        <v>0</v>
      </c>
      <c r="D12265">
        <v>0.69216382310500002</v>
      </c>
      <c r="E12265">
        <v>5.58</v>
      </c>
    </row>
    <row r="12266" spans="1:5">
      <c r="A12266" t="s">
        <v>41620</v>
      </c>
      <c r="B12266" t="s">
        <v>12469</v>
      </c>
      <c r="C12266">
        <v>0.17375382310500001</v>
      </c>
      <c r="D12266">
        <v>0.69216382310500002</v>
      </c>
      <c r="E12266">
        <v>5.58</v>
      </c>
    </row>
    <row r="12267" spans="1:5">
      <c r="A12267" t="s">
        <v>41621</v>
      </c>
      <c r="B12267" t="s">
        <v>26819</v>
      </c>
      <c r="C12267">
        <v>0.27339124348100002</v>
      </c>
      <c r="D12267">
        <v>0.93355423069599996</v>
      </c>
      <c r="E12267">
        <v>1.512</v>
      </c>
    </row>
    <row r="12268" spans="1:5">
      <c r="A12268" t="s">
        <v>41621</v>
      </c>
      <c r="B12268" t="s">
        <v>26820</v>
      </c>
      <c r="C12268">
        <v>0.69614771388399999</v>
      </c>
      <c r="D12268">
        <v>0.93355423069599996</v>
      </c>
      <c r="E12268">
        <v>1.512</v>
      </c>
    </row>
    <row r="12269" spans="1:5">
      <c r="A12269" t="s">
        <v>41622</v>
      </c>
      <c r="B12269" t="s">
        <v>30153</v>
      </c>
      <c r="C12269">
        <v>0</v>
      </c>
      <c r="D12269" t="s">
        <v>106</v>
      </c>
      <c r="E12269">
        <v>19.416</v>
      </c>
    </row>
    <row r="12270" spans="1:5">
      <c r="A12270" t="s">
        <v>41622</v>
      </c>
      <c r="B12270" t="s">
        <v>30158</v>
      </c>
      <c r="C12270">
        <v>0</v>
      </c>
      <c r="D12270" t="s">
        <v>106</v>
      </c>
      <c r="E12270">
        <v>19.416</v>
      </c>
    </row>
    <row r="12271" spans="1:5">
      <c r="A12271" t="s">
        <v>41622</v>
      </c>
      <c r="B12271" t="s">
        <v>30156</v>
      </c>
      <c r="C12271">
        <v>0</v>
      </c>
      <c r="D12271" t="s">
        <v>106</v>
      </c>
      <c r="E12271">
        <v>19.416</v>
      </c>
    </row>
    <row r="12272" spans="1:5">
      <c r="A12272" t="s">
        <v>41622</v>
      </c>
      <c r="B12272" t="s">
        <v>30154</v>
      </c>
      <c r="C12272">
        <v>0</v>
      </c>
      <c r="D12272" t="s">
        <v>106</v>
      </c>
      <c r="E12272">
        <v>19.416</v>
      </c>
    </row>
    <row r="12273" spans="1:5">
      <c r="A12273" t="s">
        <v>41622</v>
      </c>
      <c r="B12273" t="s">
        <v>30151</v>
      </c>
      <c r="C12273">
        <v>0</v>
      </c>
      <c r="D12273" t="s">
        <v>106</v>
      </c>
      <c r="E12273">
        <v>19.416</v>
      </c>
    </row>
    <row r="12274" spans="1:5">
      <c r="A12274" t="s">
        <v>41622</v>
      </c>
      <c r="B12274" t="s">
        <v>30152</v>
      </c>
      <c r="C12274">
        <f>0</f>
        <v>0</v>
      </c>
      <c r="D12274" t="s">
        <v>106</v>
      </c>
      <c r="E12274">
        <v>19.416</v>
      </c>
    </row>
    <row r="12275" spans="1:5">
      <c r="A12275" t="s">
        <v>41622</v>
      </c>
      <c r="B12275" t="s">
        <v>30159</v>
      </c>
      <c r="C12275">
        <v>0</v>
      </c>
      <c r="D12275" t="s">
        <v>106</v>
      </c>
      <c r="E12275">
        <v>19.416</v>
      </c>
    </row>
    <row r="12276" spans="1:5">
      <c r="A12276" t="s">
        <v>41623</v>
      </c>
      <c r="B12276" t="s">
        <v>41624</v>
      </c>
      <c r="C12276">
        <v>0.92474032283399998</v>
      </c>
      <c r="D12276">
        <v>0.93915032283400002</v>
      </c>
      <c r="E12276">
        <v>12.738</v>
      </c>
    </row>
    <row r="12277" spans="1:5">
      <c r="A12277" t="s">
        <v>41623</v>
      </c>
      <c r="B12277" t="s">
        <v>41625</v>
      </c>
      <c r="C12277">
        <f>0</f>
        <v>0</v>
      </c>
      <c r="D12277">
        <v>0.93915032283400002</v>
      </c>
      <c r="E12277">
        <v>12.738</v>
      </c>
    </row>
    <row r="12278" spans="1:5">
      <c r="A12278" t="s">
        <v>41626</v>
      </c>
      <c r="B12278" t="s">
        <v>21127</v>
      </c>
      <c r="C12278">
        <f>0.0355852948766</f>
        <v>3.5585294876599997E-2</v>
      </c>
      <c r="D12278">
        <v>0.65593156667999997</v>
      </c>
      <c r="E12278">
        <v>24</v>
      </c>
    </row>
    <row r="12279" spans="1:5">
      <c r="A12279" t="s">
        <v>41626</v>
      </c>
      <c r="B12279" t="s">
        <v>21130</v>
      </c>
      <c r="C12279">
        <f>0.43983195482</f>
        <v>0.43983195481999998</v>
      </c>
      <c r="D12279">
        <v>0.65593156667999997</v>
      </c>
      <c r="E12279">
        <v>24</v>
      </c>
    </row>
    <row r="12280" spans="1:5">
      <c r="A12280" t="s">
        <v>41627</v>
      </c>
      <c r="B12280" t="s">
        <v>41628</v>
      </c>
      <c r="C12280">
        <v>0</v>
      </c>
      <c r="D12280" t="s">
        <v>106</v>
      </c>
      <c r="E12280">
        <v>23.04</v>
      </c>
    </row>
    <row r="12281" spans="1:5">
      <c r="A12281" t="s">
        <v>41627</v>
      </c>
      <c r="B12281" t="s">
        <v>41629</v>
      </c>
      <c r="C12281">
        <v>0</v>
      </c>
      <c r="D12281" t="s">
        <v>106</v>
      </c>
      <c r="E12281">
        <v>23.04</v>
      </c>
    </row>
    <row r="12282" spans="1:5">
      <c r="A12282" t="s">
        <v>41627</v>
      </c>
      <c r="B12282" t="s">
        <v>41630</v>
      </c>
      <c r="C12282">
        <v>0</v>
      </c>
      <c r="D12282" t="s">
        <v>106</v>
      </c>
      <c r="E12282">
        <v>23.04</v>
      </c>
    </row>
    <row r="12283" spans="1:5">
      <c r="A12283" t="s">
        <v>41631</v>
      </c>
      <c r="B12283" t="s">
        <v>41632</v>
      </c>
      <c r="C12283">
        <f>0</f>
        <v>0</v>
      </c>
      <c r="D12283" t="s">
        <v>106</v>
      </c>
      <c r="E12283">
        <v>10.242000000000001</v>
      </c>
    </row>
    <row r="12284" spans="1:5">
      <c r="A12284" t="s">
        <v>41631</v>
      </c>
      <c r="B12284" t="s">
        <v>41633</v>
      </c>
      <c r="C12284">
        <v>0</v>
      </c>
      <c r="D12284" t="s">
        <v>106</v>
      </c>
      <c r="E12284">
        <v>10.242000000000001</v>
      </c>
    </row>
    <row r="12285" spans="1:5">
      <c r="A12285" t="s">
        <v>41631</v>
      </c>
      <c r="B12285" t="s">
        <v>41634</v>
      </c>
      <c r="C12285">
        <v>0</v>
      </c>
      <c r="D12285" t="s">
        <v>106</v>
      </c>
      <c r="E12285">
        <v>10.242000000000001</v>
      </c>
    </row>
    <row r="12286" spans="1:5">
      <c r="A12286" t="s">
        <v>41631</v>
      </c>
      <c r="B12286" t="s">
        <v>41635</v>
      </c>
      <c r="C12286">
        <v>0</v>
      </c>
      <c r="D12286" t="s">
        <v>106</v>
      </c>
      <c r="E12286">
        <v>10.242000000000001</v>
      </c>
    </row>
    <row r="12287" spans="1:5">
      <c r="A12287" t="s">
        <v>41631</v>
      </c>
      <c r="B12287" t="s">
        <v>41636</v>
      </c>
      <c r="C12287">
        <f>0</f>
        <v>0</v>
      </c>
      <c r="D12287" t="s">
        <v>106</v>
      </c>
      <c r="E12287">
        <v>10.242000000000001</v>
      </c>
    </row>
    <row r="12288" spans="1:5">
      <c r="A12288" t="s">
        <v>41637</v>
      </c>
      <c r="B12288" t="s">
        <v>15056</v>
      </c>
      <c r="C12288">
        <v>0</v>
      </c>
      <c r="D12288" t="s">
        <v>106</v>
      </c>
      <c r="E12288">
        <v>0.318</v>
      </c>
    </row>
    <row r="12289" spans="1:5">
      <c r="A12289" t="s">
        <v>41637</v>
      </c>
      <c r="B12289" t="s">
        <v>15057</v>
      </c>
      <c r="C12289">
        <v>0</v>
      </c>
      <c r="D12289" t="s">
        <v>106</v>
      </c>
      <c r="E12289">
        <v>0.318</v>
      </c>
    </row>
    <row r="12290" spans="1:5">
      <c r="A12290" t="s">
        <v>41638</v>
      </c>
      <c r="B12290" t="s">
        <v>26661</v>
      </c>
      <c r="C12290">
        <v>1.02901741836</v>
      </c>
      <c r="D12290">
        <v>0.93242272816399996</v>
      </c>
      <c r="E12290">
        <v>2.25</v>
      </c>
    </row>
    <row r="12291" spans="1:5">
      <c r="A12291" t="s">
        <v>41638</v>
      </c>
      <c r="B12291" t="s">
        <v>26662</v>
      </c>
      <c r="C12291">
        <f>0.352826426035</f>
        <v>0.35282642603499997</v>
      </c>
      <c r="D12291">
        <v>0.93242272816399996</v>
      </c>
      <c r="E12291">
        <v>2.25</v>
      </c>
    </row>
    <row r="12292" spans="1:5">
      <c r="A12292" t="s">
        <v>41639</v>
      </c>
      <c r="B12292" t="s">
        <v>6409</v>
      </c>
      <c r="C12292">
        <v>0</v>
      </c>
      <c r="D12292" t="s">
        <v>106</v>
      </c>
      <c r="E12292">
        <v>24</v>
      </c>
    </row>
    <row r="12293" spans="1:5">
      <c r="A12293" t="s">
        <v>41639</v>
      </c>
      <c r="B12293" t="s">
        <v>6411</v>
      </c>
      <c r="C12293">
        <v>0</v>
      </c>
      <c r="D12293" t="s">
        <v>106</v>
      </c>
      <c r="E12293">
        <v>24</v>
      </c>
    </row>
    <row r="12294" spans="1:5">
      <c r="A12294" t="s">
        <v>41639</v>
      </c>
      <c r="B12294" t="s">
        <v>6408</v>
      </c>
      <c r="C12294">
        <v>0</v>
      </c>
      <c r="D12294" t="s">
        <v>106</v>
      </c>
      <c r="E12294">
        <v>24</v>
      </c>
    </row>
    <row r="12295" spans="1:5">
      <c r="A12295" t="s">
        <v>41639</v>
      </c>
      <c r="B12295" t="s">
        <v>6413</v>
      </c>
      <c r="C12295">
        <v>0</v>
      </c>
      <c r="D12295" t="s">
        <v>106</v>
      </c>
      <c r="E12295">
        <v>24</v>
      </c>
    </row>
    <row r="12296" spans="1:5">
      <c r="A12296" t="s">
        <v>41639</v>
      </c>
      <c r="B12296" t="s">
        <v>6410</v>
      </c>
      <c r="C12296">
        <v>0</v>
      </c>
      <c r="D12296" t="s">
        <v>106</v>
      </c>
      <c r="E12296">
        <v>24</v>
      </c>
    </row>
    <row r="12297" spans="1:5">
      <c r="A12297" t="s">
        <v>41639</v>
      </c>
      <c r="B12297" t="s">
        <v>6412</v>
      </c>
      <c r="C12297">
        <v>0</v>
      </c>
      <c r="D12297" t="s">
        <v>106</v>
      </c>
      <c r="E12297">
        <v>24</v>
      </c>
    </row>
    <row r="12298" spans="1:5">
      <c r="A12298" t="s">
        <v>41640</v>
      </c>
      <c r="B12298" t="s">
        <v>3135</v>
      </c>
      <c r="C12298">
        <v>0</v>
      </c>
      <c r="D12298">
        <v>0.97922517354299998</v>
      </c>
      <c r="E12298">
        <v>24</v>
      </c>
    </row>
    <row r="12299" spans="1:5">
      <c r="A12299" t="s">
        <v>41640</v>
      </c>
      <c r="B12299" t="s">
        <v>3136</v>
      </c>
      <c r="C12299">
        <f>0</f>
        <v>0</v>
      </c>
      <c r="D12299">
        <v>0.97922517354299998</v>
      </c>
      <c r="E12299">
        <v>24</v>
      </c>
    </row>
    <row r="12300" spans="1:5">
      <c r="A12300" t="s">
        <v>41640</v>
      </c>
      <c r="B12300" t="s">
        <v>3141</v>
      </c>
      <c r="C12300">
        <f>0</f>
        <v>0</v>
      </c>
      <c r="D12300">
        <v>0.97922517354299998</v>
      </c>
      <c r="E12300">
        <v>24</v>
      </c>
    </row>
    <row r="12301" spans="1:5">
      <c r="A12301" t="s">
        <v>41640</v>
      </c>
      <c r="B12301" t="s">
        <v>3139</v>
      </c>
      <c r="C12301">
        <f>0.128692584958</f>
        <v>0.12869258495800001</v>
      </c>
      <c r="D12301">
        <v>0.97922517354299998</v>
      </c>
      <c r="E12301">
        <v>24</v>
      </c>
    </row>
    <row r="12302" spans="1:5">
      <c r="A12302" t="s">
        <v>41640</v>
      </c>
      <c r="B12302" t="s">
        <v>3142</v>
      </c>
      <c r="C12302">
        <f>0</f>
        <v>0</v>
      </c>
      <c r="D12302">
        <v>0.97922517354299998</v>
      </c>
      <c r="E12302">
        <v>24</v>
      </c>
    </row>
    <row r="12303" spans="1:5">
      <c r="A12303" t="s">
        <v>41640</v>
      </c>
      <c r="B12303" t="s">
        <v>3143</v>
      </c>
      <c r="C12303">
        <v>0.90869351289300004</v>
      </c>
      <c r="D12303">
        <v>0.97922517354299998</v>
      </c>
      <c r="E12303">
        <v>24</v>
      </c>
    </row>
    <row r="12304" spans="1:5">
      <c r="A12304" t="s">
        <v>41641</v>
      </c>
      <c r="B12304" t="s">
        <v>41642</v>
      </c>
      <c r="C12304">
        <f>0.226958139748</f>
        <v>0.226958139748</v>
      </c>
      <c r="D12304">
        <v>0.982340844923</v>
      </c>
      <c r="E12304">
        <v>4.6920000000000002</v>
      </c>
    </row>
    <row r="12305" spans="1:5">
      <c r="A12305" t="s">
        <v>41641</v>
      </c>
      <c r="B12305" t="s">
        <v>41643</v>
      </c>
      <c r="C12305">
        <v>1.0645739679899999</v>
      </c>
      <c r="D12305">
        <v>0.982340844923</v>
      </c>
      <c r="E12305">
        <v>4.6920000000000002</v>
      </c>
    </row>
    <row r="12306" spans="1:5">
      <c r="A12306" t="s">
        <v>41641</v>
      </c>
      <c r="B12306" t="s">
        <v>41644</v>
      </c>
      <c r="C12306">
        <v>0.99762657724899995</v>
      </c>
      <c r="D12306">
        <v>0.982340844923</v>
      </c>
      <c r="E12306">
        <v>4.6920000000000002</v>
      </c>
    </row>
    <row r="12307" spans="1:5">
      <c r="A12307" t="s">
        <v>41641</v>
      </c>
      <c r="B12307" t="s">
        <v>41645</v>
      </c>
      <c r="C12307">
        <f>-1.19282715898</f>
        <v>-1.1928271589799999</v>
      </c>
      <c r="D12307">
        <v>0.982340844923</v>
      </c>
      <c r="E12307">
        <v>4.6920000000000002</v>
      </c>
    </row>
    <row r="12308" spans="1:5">
      <c r="A12308" t="s">
        <v>41641</v>
      </c>
      <c r="B12308" t="s">
        <v>41646</v>
      </c>
      <c r="C12308">
        <v>0.70339070314100005</v>
      </c>
      <c r="D12308">
        <v>0.982340844923</v>
      </c>
      <c r="E12308">
        <v>4.6920000000000002</v>
      </c>
    </row>
    <row r="12309" spans="1:5">
      <c r="A12309" t="s">
        <v>41647</v>
      </c>
      <c r="B12309" t="s">
        <v>19874</v>
      </c>
      <c r="C12309">
        <v>0</v>
      </c>
      <c r="D12309" t="s">
        <v>106</v>
      </c>
      <c r="E12309">
        <v>0</v>
      </c>
    </row>
    <row r="12310" spans="1:5">
      <c r="A12310" t="s">
        <v>41647</v>
      </c>
      <c r="B12310" t="s">
        <v>19875</v>
      </c>
      <c r="C12310">
        <v>0</v>
      </c>
      <c r="D12310" t="s">
        <v>106</v>
      </c>
      <c r="E12310">
        <v>0</v>
      </c>
    </row>
    <row r="12311" spans="1:5">
      <c r="A12311" t="s">
        <v>41647</v>
      </c>
      <c r="B12311" t="s">
        <v>19876</v>
      </c>
      <c r="C12311">
        <v>0</v>
      </c>
      <c r="D12311" t="s">
        <v>106</v>
      </c>
      <c r="E12311">
        <v>0</v>
      </c>
    </row>
    <row r="12312" spans="1:5">
      <c r="A12312" t="s">
        <v>41647</v>
      </c>
      <c r="B12312" t="s">
        <v>19873</v>
      </c>
      <c r="C12312">
        <v>0</v>
      </c>
      <c r="D12312" t="s">
        <v>106</v>
      </c>
      <c r="E12312">
        <v>0</v>
      </c>
    </row>
    <row r="12313" spans="1:5">
      <c r="A12313" t="s">
        <v>41647</v>
      </c>
      <c r="B12313" t="s">
        <v>19879</v>
      </c>
      <c r="C12313">
        <v>0</v>
      </c>
      <c r="D12313" t="s">
        <v>106</v>
      </c>
      <c r="E12313">
        <v>0</v>
      </c>
    </row>
    <row r="12314" spans="1:5">
      <c r="A12314" t="s">
        <v>41648</v>
      </c>
      <c r="B12314" t="s">
        <v>3325</v>
      </c>
      <c r="C12314">
        <f>0.631485239347</f>
        <v>0.63148523934699996</v>
      </c>
      <c r="D12314">
        <v>0.71440317199500003</v>
      </c>
      <c r="E12314">
        <v>23.754000000000001</v>
      </c>
    </row>
    <row r="12315" spans="1:5">
      <c r="A12315" t="s">
        <v>41648</v>
      </c>
      <c r="B12315" t="s">
        <v>3326</v>
      </c>
      <c r="C12315">
        <f>0.0186257901537</f>
        <v>1.86257901537E-2</v>
      </c>
      <c r="D12315">
        <v>0.71440317199500003</v>
      </c>
      <c r="E12315">
        <v>23.754000000000001</v>
      </c>
    </row>
    <row r="12316" spans="1:5">
      <c r="A12316" t="s">
        <v>41649</v>
      </c>
      <c r="B12316" t="s">
        <v>41650</v>
      </c>
      <c r="C12316">
        <f>0</f>
        <v>0</v>
      </c>
      <c r="D12316" t="s">
        <v>106</v>
      </c>
      <c r="E12316">
        <v>23.754000000000001</v>
      </c>
    </row>
    <row r="12317" spans="1:5">
      <c r="A12317" t="s">
        <v>41649</v>
      </c>
      <c r="B12317" t="s">
        <v>41651</v>
      </c>
      <c r="C12317">
        <f>0</f>
        <v>0</v>
      </c>
      <c r="D12317" t="s">
        <v>106</v>
      </c>
      <c r="E12317">
        <v>23.754000000000001</v>
      </c>
    </row>
    <row r="12318" spans="1:5">
      <c r="A12318" t="s">
        <v>41649</v>
      </c>
      <c r="B12318" t="s">
        <v>41652</v>
      </c>
      <c r="C12318">
        <f>0</f>
        <v>0</v>
      </c>
      <c r="D12318" t="s">
        <v>106</v>
      </c>
      <c r="E12318">
        <v>23.754000000000001</v>
      </c>
    </row>
    <row r="12319" spans="1:5">
      <c r="A12319" t="s">
        <v>41649</v>
      </c>
      <c r="B12319" t="s">
        <v>41653</v>
      </c>
      <c r="C12319">
        <f>0</f>
        <v>0</v>
      </c>
      <c r="D12319" t="s">
        <v>106</v>
      </c>
      <c r="E12319">
        <v>23.754000000000001</v>
      </c>
    </row>
    <row r="12320" spans="1:5">
      <c r="A12320" t="s">
        <v>41649</v>
      </c>
      <c r="B12320" t="s">
        <v>41654</v>
      </c>
      <c r="C12320">
        <f>0</f>
        <v>0</v>
      </c>
      <c r="D12320" t="s">
        <v>106</v>
      </c>
      <c r="E12320">
        <v>23.754000000000001</v>
      </c>
    </row>
    <row r="12321" spans="1:5">
      <c r="A12321" t="s">
        <v>41649</v>
      </c>
      <c r="B12321" t="s">
        <v>41655</v>
      </c>
      <c r="C12321">
        <f>0</f>
        <v>0</v>
      </c>
      <c r="D12321" t="s">
        <v>106</v>
      </c>
      <c r="E12321">
        <v>23.754000000000001</v>
      </c>
    </row>
    <row r="12322" spans="1:5">
      <c r="A12322" t="s">
        <v>41649</v>
      </c>
      <c r="B12322" t="s">
        <v>41656</v>
      </c>
      <c r="C12322">
        <f>0</f>
        <v>0</v>
      </c>
      <c r="D12322" t="s">
        <v>106</v>
      </c>
      <c r="E12322">
        <v>23.754000000000001</v>
      </c>
    </row>
    <row r="12323" spans="1:5">
      <c r="A12323" t="s">
        <v>41657</v>
      </c>
      <c r="B12323" t="s">
        <v>1710</v>
      </c>
      <c r="C12323">
        <f>0</f>
        <v>0</v>
      </c>
      <c r="D12323">
        <v>0.823436559964</v>
      </c>
      <c r="E12323">
        <v>24</v>
      </c>
    </row>
    <row r="12324" spans="1:5">
      <c r="A12324" t="s">
        <v>41657</v>
      </c>
      <c r="B12324" t="s">
        <v>1707</v>
      </c>
      <c r="C12324">
        <f>0.210388928316</f>
        <v>0.21038892831600001</v>
      </c>
      <c r="D12324">
        <v>0.823436559964</v>
      </c>
      <c r="E12324">
        <v>24</v>
      </c>
    </row>
    <row r="12325" spans="1:5">
      <c r="A12325" t="s">
        <v>41657</v>
      </c>
      <c r="B12325" t="s">
        <v>1709</v>
      </c>
      <c r="C12325">
        <f>0</f>
        <v>0</v>
      </c>
      <c r="D12325">
        <v>0.823436559964</v>
      </c>
      <c r="E12325">
        <v>24</v>
      </c>
    </row>
    <row r="12326" spans="1:5">
      <c r="A12326" t="s">
        <v>41657</v>
      </c>
      <c r="B12326" t="s">
        <v>1708</v>
      </c>
      <c r="C12326">
        <f>0.609226052299</f>
        <v>0.60922605229899995</v>
      </c>
      <c r="D12326">
        <v>0.823436559964</v>
      </c>
      <c r="E12326">
        <v>24</v>
      </c>
    </row>
    <row r="12327" spans="1:5">
      <c r="A12327" t="s">
        <v>41658</v>
      </c>
      <c r="B12327" t="s">
        <v>41659</v>
      </c>
      <c r="C12327">
        <v>5.88683346336E-2</v>
      </c>
      <c r="D12327">
        <v>0.99820358463299996</v>
      </c>
      <c r="E12327">
        <v>1.278</v>
      </c>
    </row>
    <row r="12328" spans="1:5">
      <c r="A12328" t="s">
        <v>41658</v>
      </c>
      <c r="B12328" t="s">
        <v>41660</v>
      </c>
      <c r="C12328">
        <f>-1.84899001692</f>
        <v>-1.84899001692</v>
      </c>
      <c r="D12328">
        <v>0.99820358463299996</v>
      </c>
      <c r="E12328">
        <v>1.278</v>
      </c>
    </row>
    <row r="12329" spans="1:5">
      <c r="A12329" t="s">
        <v>41658</v>
      </c>
      <c r="B12329" t="s">
        <v>41661</v>
      </c>
      <c r="C12329">
        <v>0.95719088834199995</v>
      </c>
      <c r="D12329">
        <v>0.99820358463299996</v>
      </c>
      <c r="E12329">
        <v>1.278</v>
      </c>
    </row>
    <row r="12330" spans="1:5">
      <c r="A12330" t="s">
        <v>41658</v>
      </c>
      <c r="B12330" t="s">
        <v>41662</v>
      </c>
      <c r="C12330">
        <f>0.346518209968</f>
        <v>0.34651820996799998</v>
      </c>
      <c r="D12330">
        <v>0.99820358463299996</v>
      </c>
      <c r="E12330">
        <v>1.278</v>
      </c>
    </row>
    <row r="12331" spans="1:5">
      <c r="A12331" t="s">
        <v>41658</v>
      </c>
      <c r="B12331" t="s">
        <v>41663</v>
      </c>
      <c r="C12331">
        <f>-1.36129420832</f>
        <v>-1.3612942083199999</v>
      </c>
      <c r="D12331">
        <v>0.99820358463299996</v>
      </c>
      <c r="E12331">
        <v>1.278</v>
      </c>
    </row>
    <row r="12332" spans="1:5">
      <c r="A12332" t="s">
        <v>41658</v>
      </c>
      <c r="B12332" t="s">
        <v>41664</v>
      </c>
      <c r="C12332">
        <v>1.2256766131000001</v>
      </c>
      <c r="D12332">
        <v>0.99820358463299996</v>
      </c>
      <c r="E12332">
        <v>1.278</v>
      </c>
    </row>
    <row r="12333" spans="1:5">
      <c r="A12333" t="s">
        <v>41658</v>
      </c>
      <c r="B12333" t="s">
        <v>41665</v>
      </c>
      <c r="C12333">
        <f>0.322584449995</f>
        <v>0.32258444999500002</v>
      </c>
      <c r="D12333">
        <v>0.99820358463299996</v>
      </c>
      <c r="E12333">
        <v>1.278</v>
      </c>
    </row>
    <row r="12334" spans="1:5">
      <c r="A12334" t="s">
        <v>41666</v>
      </c>
      <c r="B12334" t="s">
        <v>41667</v>
      </c>
      <c r="C12334">
        <v>0</v>
      </c>
      <c r="D12334" t="s">
        <v>106</v>
      </c>
      <c r="E12334">
        <v>24</v>
      </c>
    </row>
    <row r="12335" spans="1:5">
      <c r="A12335" t="s">
        <v>41666</v>
      </c>
      <c r="B12335" t="s">
        <v>41668</v>
      </c>
      <c r="C12335">
        <v>0</v>
      </c>
      <c r="D12335" t="s">
        <v>106</v>
      </c>
      <c r="E12335">
        <v>24</v>
      </c>
    </row>
    <row r="12336" spans="1:5">
      <c r="A12336" t="s">
        <v>41666</v>
      </c>
      <c r="B12336" t="s">
        <v>41669</v>
      </c>
      <c r="C12336">
        <v>0</v>
      </c>
      <c r="D12336" t="s">
        <v>106</v>
      </c>
      <c r="E12336">
        <v>24</v>
      </c>
    </row>
    <row r="12337" spans="1:5">
      <c r="A12337" t="s">
        <v>41666</v>
      </c>
      <c r="B12337" t="s">
        <v>41670</v>
      </c>
      <c r="C12337">
        <v>0</v>
      </c>
      <c r="D12337" t="s">
        <v>106</v>
      </c>
      <c r="E12337">
        <v>24</v>
      </c>
    </row>
    <row r="12338" spans="1:5">
      <c r="A12338" t="s">
        <v>41671</v>
      </c>
      <c r="B12338" t="s">
        <v>9429</v>
      </c>
      <c r="C12338">
        <f>0.395075048359</f>
        <v>0.39507504835899998</v>
      </c>
      <c r="D12338">
        <v>0.58868504835900004</v>
      </c>
      <c r="E12338">
        <v>6.5519999999999996</v>
      </c>
    </row>
    <row r="12339" spans="1:5">
      <c r="A12339" t="s">
        <v>41671</v>
      </c>
      <c r="B12339" t="s">
        <v>9432</v>
      </c>
      <c r="C12339">
        <v>0</v>
      </c>
      <c r="D12339">
        <v>0.58868504835900004</v>
      </c>
      <c r="E12339">
        <v>6.5519999999999996</v>
      </c>
    </row>
    <row r="12340" spans="1:5">
      <c r="A12340" t="s">
        <v>41672</v>
      </c>
      <c r="B12340" t="s">
        <v>25117</v>
      </c>
      <c r="C12340">
        <v>0.43317224089299999</v>
      </c>
      <c r="D12340">
        <v>0.71116980351799997</v>
      </c>
      <c r="E12340">
        <v>16.494</v>
      </c>
    </row>
    <row r="12341" spans="1:5">
      <c r="A12341" t="s">
        <v>41672</v>
      </c>
      <c r="B12341" t="s">
        <v>25119</v>
      </c>
      <c r="C12341">
        <f>0.46152064299</f>
        <v>0.46152064299000001</v>
      </c>
      <c r="D12341">
        <v>0.71116980351799997</v>
      </c>
      <c r="E12341">
        <v>16.494</v>
      </c>
    </row>
    <row r="12342" spans="1:5">
      <c r="A12342" t="s">
        <v>41673</v>
      </c>
      <c r="B12342" t="s">
        <v>31168</v>
      </c>
      <c r="C12342">
        <f>0.193308070674</f>
        <v>0.19330807067399999</v>
      </c>
      <c r="D12342">
        <v>0.85486829940599995</v>
      </c>
      <c r="E12342">
        <v>4.5839999999999996</v>
      </c>
    </row>
    <row r="12343" spans="1:5">
      <c r="A12343" t="s">
        <v>41673</v>
      </c>
      <c r="B12343" t="s">
        <v>31169</v>
      </c>
      <c r="C12343">
        <v>0.932840414048</v>
      </c>
      <c r="D12343">
        <v>0.85486829940599995</v>
      </c>
      <c r="E12343">
        <v>4.5839999999999996</v>
      </c>
    </row>
    <row r="12344" spans="1:5">
      <c r="A12344" t="s">
        <v>41674</v>
      </c>
      <c r="B12344" t="s">
        <v>23721</v>
      </c>
      <c r="C12344">
        <v>0.59601636571500005</v>
      </c>
      <c r="D12344">
        <v>0.75602636571500004</v>
      </c>
      <c r="E12344">
        <v>9.1679999999999993</v>
      </c>
    </row>
    <row r="12345" spans="1:5">
      <c r="A12345" t="s">
        <v>41674</v>
      </c>
      <c r="B12345" t="s">
        <v>23724</v>
      </c>
      <c r="C12345">
        <f>0</f>
        <v>0</v>
      </c>
      <c r="D12345">
        <v>0.75602636571500004</v>
      </c>
      <c r="E12345">
        <v>9.1679999999999993</v>
      </c>
    </row>
    <row r="12346" spans="1:5">
      <c r="A12346" t="s">
        <v>41675</v>
      </c>
      <c r="B12346" t="s">
        <v>25720</v>
      </c>
      <c r="C12346">
        <v>0</v>
      </c>
      <c r="D12346">
        <v>0.59652376569499999</v>
      </c>
      <c r="E12346">
        <v>2.718</v>
      </c>
    </row>
    <row r="12347" spans="1:5">
      <c r="A12347" t="s">
        <v>41675</v>
      </c>
      <c r="B12347" t="s">
        <v>25722</v>
      </c>
      <c r="C12347">
        <f>0.0605108410332</f>
        <v>6.0510841033200001E-2</v>
      </c>
      <c r="D12347">
        <v>0.59652376569499999</v>
      </c>
      <c r="E12347">
        <v>2.718</v>
      </c>
    </row>
    <row r="12348" spans="1:5">
      <c r="A12348" t="s">
        <v>41675</v>
      </c>
      <c r="B12348" t="s">
        <v>25721</v>
      </c>
      <c r="C12348">
        <f>0.446788842169</f>
        <v>0.446788842169</v>
      </c>
      <c r="D12348">
        <v>0.59652376569499999</v>
      </c>
      <c r="E12348">
        <v>2.718</v>
      </c>
    </row>
    <row r="12349" spans="1:5">
      <c r="A12349" t="s">
        <v>41676</v>
      </c>
      <c r="B12349" t="s">
        <v>41677</v>
      </c>
      <c r="C12349">
        <v>0</v>
      </c>
      <c r="D12349">
        <v>0.95349312767700001</v>
      </c>
      <c r="E12349">
        <v>0.10199999999999999</v>
      </c>
    </row>
    <row r="12350" spans="1:5">
      <c r="A12350" t="s">
        <v>41676</v>
      </c>
      <c r="B12350" t="s">
        <v>41678</v>
      </c>
      <c r="C12350">
        <f>0.221973518258</f>
        <v>0.22197351825799999</v>
      </c>
      <c r="D12350">
        <v>0.95349312767700001</v>
      </c>
      <c r="E12350">
        <v>0.10199999999999999</v>
      </c>
    </row>
    <row r="12351" spans="1:5">
      <c r="A12351" t="s">
        <v>41676</v>
      </c>
      <c r="B12351" t="s">
        <v>41679</v>
      </c>
      <c r="C12351">
        <v>0.404836792123</v>
      </c>
      <c r="D12351">
        <v>0.95349312767700001</v>
      </c>
      <c r="E12351">
        <v>0.10199999999999999</v>
      </c>
    </row>
    <row r="12352" spans="1:5">
      <c r="A12352" t="s">
        <v>41676</v>
      </c>
      <c r="B12352" t="s">
        <v>41680</v>
      </c>
      <c r="C12352">
        <f>0.239883109455</f>
        <v>0.23988310945499999</v>
      </c>
      <c r="D12352">
        <v>0.95349312767700001</v>
      </c>
      <c r="E12352">
        <v>0.10199999999999999</v>
      </c>
    </row>
    <row r="12353" spans="1:5">
      <c r="A12353" t="s">
        <v>41676</v>
      </c>
      <c r="B12353" t="s">
        <v>41681</v>
      </c>
      <c r="C12353">
        <f>0</f>
        <v>0</v>
      </c>
      <c r="D12353">
        <v>0.95349312767700001</v>
      </c>
      <c r="E12353">
        <v>0.10199999999999999</v>
      </c>
    </row>
    <row r="12354" spans="1:5">
      <c r="A12354" t="s">
        <v>41676</v>
      </c>
      <c r="B12354" t="s">
        <v>41682</v>
      </c>
      <c r="C12354">
        <v>0.65632890667699995</v>
      </c>
      <c r="D12354">
        <v>0.95349312767700001</v>
      </c>
      <c r="E12354">
        <v>0.10199999999999999</v>
      </c>
    </row>
    <row r="12355" spans="1:5">
      <c r="A12355" t="s">
        <v>41676</v>
      </c>
      <c r="B12355" t="s">
        <v>41683</v>
      </c>
      <c r="C12355">
        <v>0</v>
      </c>
      <c r="D12355">
        <v>0.95349312767700001</v>
      </c>
      <c r="E12355">
        <v>0.10199999999999999</v>
      </c>
    </row>
    <row r="12356" spans="1:5">
      <c r="A12356" t="s">
        <v>41676</v>
      </c>
      <c r="B12356" t="s">
        <v>41684</v>
      </c>
      <c r="C12356">
        <f>0</f>
        <v>0</v>
      </c>
      <c r="D12356">
        <v>0.95349312767700001</v>
      </c>
      <c r="E12356">
        <v>0.10199999999999999</v>
      </c>
    </row>
    <row r="12357" spans="1:5">
      <c r="A12357" t="s">
        <v>41685</v>
      </c>
      <c r="B12357" t="s">
        <v>41686</v>
      </c>
      <c r="C12357">
        <v>0</v>
      </c>
      <c r="D12357">
        <v>0.87180108126400002</v>
      </c>
      <c r="E12357">
        <v>24</v>
      </c>
    </row>
    <row r="12358" spans="1:5">
      <c r="A12358" t="s">
        <v>41685</v>
      </c>
      <c r="B12358" t="s">
        <v>41687</v>
      </c>
      <c r="C12358">
        <f>0.322374963418</f>
        <v>0.32237496341799998</v>
      </c>
      <c r="D12358">
        <v>0.87180108126400002</v>
      </c>
      <c r="E12358">
        <v>24</v>
      </c>
    </row>
    <row r="12359" spans="1:5">
      <c r="A12359" t="s">
        <v>41685</v>
      </c>
      <c r="B12359" t="s">
        <v>41688</v>
      </c>
      <c r="C12359">
        <v>0.65111579444699996</v>
      </c>
      <c r="D12359">
        <v>0.87180108126400002</v>
      </c>
      <c r="E12359">
        <v>24</v>
      </c>
    </row>
    <row r="12360" spans="1:5">
      <c r="A12360" t="s">
        <v>41689</v>
      </c>
      <c r="B12360" t="s">
        <v>20796</v>
      </c>
      <c r="C12360">
        <v>0.59793358559599996</v>
      </c>
      <c r="D12360">
        <v>0.75794358559599995</v>
      </c>
      <c r="E12360">
        <v>1.014</v>
      </c>
    </row>
    <row r="12361" spans="1:5">
      <c r="A12361" t="s">
        <v>41689</v>
      </c>
      <c r="B12361" t="s">
        <v>20795</v>
      </c>
      <c r="C12361">
        <v>0</v>
      </c>
      <c r="D12361">
        <v>0.75794358559599995</v>
      </c>
      <c r="E12361">
        <v>1.014</v>
      </c>
    </row>
    <row r="12362" spans="1:5">
      <c r="A12362" t="s">
        <v>41690</v>
      </c>
      <c r="B12362" t="s">
        <v>23582</v>
      </c>
      <c r="C12362">
        <f>0</f>
        <v>0</v>
      </c>
      <c r="D12362">
        <v>0.99901821235999999</v>
      </c>
      <c r="E12362">
        <v>0.438</v>
      </c>
    </row>
    <row r="12363" spans="1:5">
      <c r="A12363" t="s">
        <v>41690</v>
      </c>
      <c r="B12363" t="s">
        <v>23587</v>
      </c>
      <c r="C12363">
        <v>0.96837249539199999</v>
      </c>
      <c r="D12363">
        <v>0.99901821235999999</v>
      </c>
      <c r="E12363">
        <v>0.438</v>
      </c>
    </row>
    <row r="12364" spans="1:5">
      <c r="A12364" t="s">
        <v>41690</v>
      </c>
      <c r="B12364" t="s">
        <v>23584</v>
      </c>
      <c r="C12364">
        <f>0.43645710479</f>
        <v>0.43645710478999999</v>
      </c>
      <c r="D12364">
        <v>0.99901821235999999</v>
      </c>
      <c r="E12364">
        <v>0.438</v>
      </c>
    </row>
    <row r="12365" spans="1:5">
      <c r="A12365" t="s">
        <v>41690</v>
      </c>
      <c r="B12365" t="s">
        <v>23586</v>
      </c>
      <c r="C12365">
        <v>4.9939571717699999E-2</v>
      </c>
      <c r="D12365">
        <v>0.99901821235999999</v>
      </c>
      <c r="E12365">
        <v>0.438</v>
      </c>
    </row>
    <row r="12366" spans="1:5">
      <c r="A12366" t="s">
        <v>41690</v>
      </c>
      <c r="B12366" t="s">
        <v>23589</v>
      </c>
      <c r="C12366">
        <f>-1.16027996893</f>
        <v>-1.1602799689300001</v>
      </c>
      <c r="D12366">
        <v>0.99901821235999999</v>
      </c>
      <c r="E12366">
        <v>0.438</v>
      </c>
    </row>
    <row r="12367" spans="1:5">
      <c r="A12367" t="s">
        <v>41690</v>
      </c>
      <c r="B12367" t="s">
        <v>23583</v>
      </c>
      <c r="C12367">
        <v>0.57658058543699997</v>
      </c>
      <c r="D12367">
        <v>0.99901821235999999</v>
      </c>
      <c r="E12367">
        <v>0.438</v>
      </c>
    </row>
    <row r="12368" spans="1:5">
      <c r="A12368" t="s">
        <v>41690</v>
      </c>
      <c r="B12368" t="s">
        <v>23585</v>
      </c>
      <c r="C12368">
        <v>1.05157728698</v>
      </c>
      <c r="D12368">
        <v>0.99901821235999999</v>
      </c>
      <c r="E12368">
        <v>0.438</v>
      </c>
    </row>
    <row r="12369" spans="1:5">
      <c r="A12369" t="s">
        <v>41690</v>
      </c>
      <c r="B12369" t="s">
        <v>23588</v>
      </c>
      <c r="C12369">
        <v>0</v>
      </c>
      <c r="D12369">
        <v>0.99901821235999999</v>
      </c>
      <c r="E12369">
        <v>0.438</v>
      </c>
    </row>
    <row r="12370" spans="1:5">
      <c r="A12370" t="s">
        <v>41691</v>
      </c>
      <c r="B12370" t="s">
        <v>41692</v>
      </c>
      <c r="C12370">
        <f>0</f>
        <v>0</v>
      </c>
      <c r="D12370" t="s">
        <v>106</v>
      </c>
      <c r="E12370">
        <v>24</v>
      </c>
    </row>
    <row r="12371" spans="1:5">
      <c r="A12371" t="s">
        <v>41691</v>
      </c>
      <c r="B12371" t="s">
        <v>41693</v>
      </c>
      <c r="C12371">
        <f>0</f>
        <v>0</v>
      </c>
      <c r="D12371" t="s">
        <v>106</v>
      </c>
      <c r="E12371">
        <v>24</v>
      </c>
    </row>
    <row r="12372" spans="1:5">
      <c r="A12372" t="s">
        <v>41691</v>
      </c>
      <c r="B12372" t="s">
        <v>41694</v>
      </c>
      <c r="C12372">
        <v>0</v>
      </c>
      <c r="D12372" t="s">
        <v>106</v>
      </c>
      <c r="E12372">
        <v>24</v>
      </c>
    </row>
    <row r="12373" spans="1:5">
      <c r="A12373" t="s">
        <v>41691</v>
      </c>
      <c r="B12373" t="s">
        <v>41695</v>
      </c>
      <c r="C12373">
        <v>0</v>
      </c>
      <c r="D12373" t="s">
        <v>106</v>
      </c>
      <c r="E12373">
        <v>24</v>
      </c>
    </row>
    <row r="12374" spans="1:5">
      <c r="A12374" t="s">
        <v>41691</v>
      </c>
      <c r="B12374" t="s">
        <v>41696</v>
      </c>
      <c r="C12374">
        <f>0</f>
        <v>0</v>
      </c>
      <c r="D12374" t="s">
        <v>106</v>
      </c>
      <c r="E12374">
        <v>24</v>
      </c>
    </row>
    <row r="12375" spans="1:5">
      <c r="A12375" t="s">
        <v>41697</v>
      </c>
      <c r="B12375" t="s">
        <v>41698</v>
      </c>
      <c r="C12375">
        <f>0</f>
        <v>0</v>
      </c>
      <c r="D12375" t="s">
        <v>106</v>
      </c>
      <c r="E12375">
        <v>5.9340000000000002</v>
      </c>
    </row>
    <row r="12376" spans="1:5">
      <c r="A12376" t="s">
        <v>41697</v>
      </c>
      <c r="B12376" t="s">
        <v>41699</v>
      </c>
      <c r="C12376">
        <f>0</f>
        <v>0</v>
      </c>
      <c r="D12376" t="s">
        <v>106</v>
      </c>
      <c r="E12376">
        <v>5.9340000000000002</v>
      </c>
    </row>
    <row r="12377" spans="1:5">
      <c r="A12377" t="s">
        <v>41697</v>
      </c>
      <c r="B12377" t="s">
        <v>41700</v>
      </c>
      <c r="C12377">
        <v>0</v>
      </c>
      <c r="D12377" t="s">
        <v>106</v>
      </c>
      <c r="E12377">
        <v>5.9340000000000002</v>
      </c>
    </row>
    <row r="12378" spans="1:5">
      <c r="A12378" t="s">
        <v>41701</v>
      </c>
      <c r="B12378" t="s">
        <v>34432</v>
      </c>
      <c r="C12378">
        <f>0.602337241915</f>
        <v>0.60233724191500004</v>
      </c>
      <c r="D12378">
        <v>0.98930522059000003</v>
      </c>
      <c r="E12378">
        <v>7.734</v>
      </c>
    </row>
    <row r="12379" spans="1:5">
      <c r="A12379" t="s">
        <v>41701</v>
      </c>
      <c r="B12379" t="s">
        <v>34435</v>
      </c>
      <c r="C12379">
        <v>1.1064308777</v>
      </c>
      <c r="D12379">
        <v>0.98930522059000003</v>
      </c>
      <c r="E12379">
        <v>7.734</v>
      </c>
    </row>
    <row r="12380" spans="1:5">
      <c r="A12380" t="s">
        <v>41701</v>
      </c>
      <c r="B12380" t="s">
        <v>34434</v>
      </c>
      <c r="C12380">
        <v>0.32406385818400002</v>
      </c>
      <c r="D12380">
        <v>0.98930522059000003</v>
      </c>
      <c r="E12380">
        <v>7.734</v>
      </c>
    </row>
    <row r="12381" spans="1:5">
      <c r="A12381" t="s">
        <v>41702</v>
      </c>
      <c r="B12381" t="s">
        <v>41703</v>
      </c>
      <c r="C12381">
        <f>0</f>
        <v>0</v>
      </c>
      <c r="D12381">
        <v>0.55523334545900005</v>
      </c>
      <c r="E12381">
        <v>3.8759999999999999</v>
      </c>
    </row>
    <row r="12382" spans="1:5">
      <c r="A12382" t="s">
        <v>41702</v>
      </c>
      <c r="B12382" t="s">
        <v>41704</v>
      </c>
      <c r="C12382">
        <v>0.39522334545900001</v>
      </c>
      <c r="D12382">
        <v>0.55523334545900005</v>
      </c>
      <c r="E12382">
        <v>3.8759999999999999</v>
      </c>
    </row>
    <row r="12383" spans="1:5">
      <c r="A12383" t="s">
        <v>41705</v>
      </c>
      <c r="B12383" t="s">
        <v>30609</v>
      </c>
      <c r="C12383">
        <f>0</f>
        <v>0</v>
      </c>
      <c r="D12383">
        <v>0.73821320409500002</v>
      </c>
      <c r="E12383">
        <v>17.928000000000001</v>
      </c>
    </row>
    <row r="12384" spans="1:5">
      <c r="A12384" t="s">
        <v>41705</v>
      </c>
      <c r="B12384" t="s">
        <v>30616</v>
      </c>
      <c r="C12384">
        <f>0</f>
        <v>0</v>
      </c>
      <c r="D12384">
        <v>0.73821320409500002</v>
      </c>
      <c r="E12384">
        <v>17.928000000000001</v>
      </c>
    </row>
    <row r="12385" spans="1:5">
      <c r="A12385" t="s">
        <v>41705</v>
      </c>
      <c r="B12385" t="s">
        <v>30619</v>
      </c>
      <c r="C12385">
        <f>0</f>
        <v>0</v>
      </c>
      <c r="D12385">
        <v>0.73821320409500002</v>
      </c>
      <c r="E12385">
        <v>17.928000000000001</v>
      </c>
    </row>
    <row r="12386" spans="1:5">
      <c r="A12386" t="s">
        <v>41705</v>
      </c>
      <c r="B12386" t="s">
        <v>30629</v>
      </c>
      <c r="C12386">
        <f>0</f>
        <v>0</v>
      </c>
      <c r="D12386">
        <v>0.73821320409500002</v>
      </c>
      <c r="E12386">
        <v>17.928000000000001</v>
      </c>
    </row>
    <row r="12387" spans="1:5">
      <c r="A12387" t="s">
        <v>41705</v>
      </c>
      <c r="B12387" t="s">
        <v>30621</v>
      </c>
      <c r="C12387">
        <f>0</f>
        <v>0</v>
      </c>
      <c r="D12387">
        <v>0.73821320409500002</v>
      </c>
      <c r="E12387">
        <v>17.928000000000001</v>
      </c>
    </row>
    <row r="12388" spans="1:5">
      <c r="A12388" t="s">
        <v>41705</v>
      </c>
      <c r="B12388" t="s">
        <v>30617</v>
      </c>
      <c r="C12388">
        <f>0</f>
        <v>0</v>
      </c>
      <c r="D12388">
        <v>0.73821320409500002</v>
      </c>
      <c r="E12388">
        <v>17.928000000000001</v>
      </c>
    </row>
    <row r="12389" spans="1:5">
      <c r="A12389" t="s">
        <v>41705</v>
      </c>
      <c r="B12389" t="s">
        <v>30622</v>
      </c>
      <c r="C12389">
        <f>0</f>
        <v>0</v>
      </c>
      <c r="D12389">
        <v>0.73821320409500002</v>
      </c>
      <c r="E12389">
        <v>17.928000000000001</v>
      </c>
    </row>
    <row r="12390" spans="1:5">
      <c r="A12390" t="s">
        <v>41705</v>
      </c>
      <c r="B12390" t="s">
        <v>41706</v>
      </c>
      <c r="C12390">
        <f>0</f>
        <v>0</v>
      </c>
      <c r="D12390">
        <v>0.73821320409500002</v>
      </c>
      <c r="E12390">
        <v>17.928000000000001</v>
      </c>
    </row>
    <row r="12391" spans="1:5">
      <c r="A12391" t="s">
        <v>41705</v>
      </c>
      <c r="B12391" t="s">
        <v>30611</v>
      </c>
      <c r="C12391">
        <f>0</f>
        <v>0</v>
      </c>
      <c r="D12391">
        <v>0.73821320409500002</v>
      </c>
      <c r="E12391">
        <v>17.928000000000001</v>
      </c>
    </row>
    <row r="12392" spans="1:5">
      <c r="A12392" t="s">
        <v>41705</v>
      </c>
      <c r="B12392" t="s">
        <v>30613</v>
      </c>
      <c r="C12392">
        <f>0.0606890012138</f>
        <v>6.0689001213799998E-2</v>
      </c>
      <c r="D12392">
        <v>0.73821320409500002</v>
      </c>
      <c r="E12392">
        <v>17.928000000000001</v>
      </c>
    </row>
    <row r="12393" spans="1:5">
      <c r="A12393" t="s">
        <v>41705</v>
      </c>
      <c r="B12393" t="s">
        <v>30625</v>
      </c>
      <c r="C12393">
        <v>0</v>
      </c>
      <c r="D12393">
        <v>0.73821320409500002</v>
      </c>
      <c r="E12393">
        <v>17.928000000000001</v>
      </c>
    </row>
    <row r="12394" spans="1:5">
      <c r="A12394" t="s">
        <v>41705</v>
      </c>
      <c r="B12394" t="s">
        <v>30618</v>
      </c>
      <c r="C12394">
        <f>0</f>
        <v>0</v>
      </c>
      <c r="D12394">
        <v>0.73821320409500002</v>
      </c>
      <c r="E12394">
        <v>17.928000000000001</v>
      </c>
    </row>
    <row r="12395" spans="1:5">
      <c r="A12395" t="s">
        <v>41705</v>
      </c>
      <c r="B12395" t="s">
        <v>30628</v>
      </c>
      <c r="C12395">
        <f>0</f>
        <v>0</v>
      </c>
      <c r="D12395">
        <v>0.73821320409500002</v>
      </c>
      <c r="E12395">
        <v>17.928000000000001</v>
      </c>
    </row>
    <row r="12396" spans="1:5">
      <c r="A12396" t="s">
        <v>41705</v>
      </c>
      <c r="B12396" t="s">
        <v>30623</v>
      </c>
      <c r="C12396">
        <f>0</f>
        <v>0</v>
      </c>
      <c r="D12396">
        <v>0.73821320409500002</v>
      </c>
      <c r="E12396">
        <v>17.928000000000001</v>
      </c>
    </row>
    <row r="12397" spans="1:5">
      <c r="A12397" t="s">
        <v>41705</v>
      </c>
      <c r="B12397" t="s">
        <v>30626</v>
      </c>
      <c r="C12397">
        <f>0</f>
        <v>0</v>
      </c>
      <c r="D12397">
        <v>0.73821320409500002</v>
      </c>
      <c r="E12397">
        <v>17.928000000000001</v>
      </c>
    </row>
    <row r="12398" spans="1:5">
      <c r="A12398" t="s">
        <v>41705</v>
      </c>
      <c r="B12398" t="s">
        <v>30614</v>
      </c>
      <c r="C12398">
        <f>0.208882004338</f>
        <v>0.208882004338</v>
      </c>
      <c r="D12398">
        <v>0.73821320409500002</v>
      </c>
      <c r="E12398">
        <v>17.928000000000001</v>
      </c>
    </row>
    <row r="12399" spans="1:5">
      <c r="A12399" t="s">
        <v>41705</v>
      </c>
      <c r="B12399" t="s">
        <v>30612</v>
      </c>
      <c r="C12399">
        <f>0</f>
        <v>0</v>
      </c>
      <c r="D12399">
        <v>0.73821320409500002</v>
      </c>
      <c r="E12399">
        <v>17.928000000000001</v>
      </c>
    </row>
    <row r="12400" spans="1:5">
      <c r="A12400" t="s">
        <v>41707</v>
      </c>
      <c r="B12400" t="s">
        <v>41708</v>
      </c>
      <c r="C12400">
        <v>0</v>
      </c>
      <c r="D12400">
        <v>0.860608631475</v>
      </c>
      <c r="E12400">
        <v>5.82</v>
      </c>
    </row>
    <row r="12401" spans="1:5">
      <c r="A12401" t="s">
        <v>41707</v>
      </c>
      <c r="B12401" t="s">
        <v>41709</v>
      </c>
      <c r="C12401">
        <v>0</v>
      </c>
      <c r="D12401">
        <v>0.860608631475</v>
      </c>
      <c r="E12401">
        <v>5.82</v>
      </c>
    </row>
    <row r="12402" spans="1:5">
      <c r="A12402" t="s">
        <v>41707</v>
      </c>
      <c r="B12402" t="s">
        <v>41710</v>
      </c>
      <c r="C12402">
        <f>0.245687260134</f>
        <v>0.245687260134</v>
      </c>
      <c r="D12402">
        <v>0.860608631475</v>
      </c>
      <c r="E12402">
        <v>5.82</v>
      </c>
    </row>
    <row r="12403" spans="1:5">
      <c r="A12403" t="s">
        <v>41707</v>
      </c>
      <c r="B12403" t="s">
        <v>41711</v>
      </c>
      <c r="C12403">
        <v>9.9049833124799994E-2</v>
      </c>
      <c r="D12403">
        <v>0.860608631475</v>
      </c>
      <c r="E12403">
        <v>5.82</v>
      </c>
    </row>
    <row r="12404" spans="1:5">
      <c r="A12404" t="s">
        <v>41707</v>
      </c>
      <c r="B12404" t="s">
        <v>41712</v>
      </c>
      <c r="C12404">
        <v>0</v>
      </c>
      <c r="D12404">
        <v>0.860608631475</v>
      </c>
      <c r="E12404">
        <v>5.82</v>
      </c>
    </row>
    <row r="12405" spans="1:5">
      <c r="A12405" t="s">
        <v>41707</v>
      </c>
      <c r="B12405" t="s">
        <v>41713</v>
      </c>
      <c r="C12405">
        <v>0.39099313280600001</v>
      </c>
      <c r="D12405">
        <v>0.860608631475</v>
      </c>
      <c r="E12405">
        <v>5.82</v>
      </c>
    </row>
    <row r="12406" spans="1:5">
      <c r="A12406" t="s">
        <v>41707</v>
      </c>
      <c r="B12406" t="s">
        <v>41714</v>
      </c>
      <c r="C12406">
        <v>0</v>
      </c>
      <c r="D12406">
        <v>0.860608631475</v>
      </c>
      <c r="E12406">
        <v>5.82</v>
      </c>
    </row>
    <row r="12407" spans="1:5">
      <c r="A12407" t="s">
        <v>41707</v>
      </c>
      <c r="B12407" t="s">
        <v>41715</v>
      </c>
      <c r="C12407">
        <v>0</v>
      </c>
      <c r="D12407">
        <v>0.860608631475</v>
      </c>
      <c r="E12407">
        <v>5.82</v>
      </c>
    </row>
    <row r="12408" spans="1:5">
      <c r="A12408" t="s">
        <v>41716</v>
      </c>
      <c r="B12408" t="s">
        <v>41717</v>
      </c>
      <c r="C12408">
        <v>0</v>
      </c>
      <c r="D12408" t="s">
        <v>106</v>
      </c>
      <c r="E12408">
        <v>23.754000000000001</v>
      </c>
    </row>
    <row r="12409" spans="1:5">
      <c r="A12409" t="s">
        <v>41716</v>
      </c>
      <c r="B12409" t="s">
        <v>41718</v>
      </c>
      <c r="C12409">
        <v>0</v>
      </c>
      <c r="D12409" t="s">
        <v>106</v>
      </c>
      <c r="E12409">
        <v>23.754000000000001</v>
      </c>
    </row>
    <row r="12410" spans="1:5">
      <c r="A12410" t="s">
        <v>41716</v>
      </c>
      <c r="B12410" t="s">
        <v>41719</v>
      </c>
      <c r="C12410">
        <v>0</v>
      </c>
      <c r="D12410" t="s">
        <v>106</v>
      </c>
      <c r="E12410">
        <v>23.754000000000001</v>
      </c>
    </row>
    <row r="12411" spans="1:5">
      <c r="A12411" t="s">
        <v>41720</v>
      </c>
      <c r="B12411" t="s">
        <v>41721</v>
      </c>
      <c r="C12411">
        <f>0</f>
        <v>0</v>
      </c>
      <c r="D12411">
        <v>0.91759247847799996</v>
      </c>
      <c r="E12411">
        <v>23.754000000000001</v>
      </c>
    </row>
    <row r="12412" spans="1:5">
      <c r="A12412" t="s">
        <v>41720</v>
      </c>
      <c r="B12412" t="s">
        <v>41722</v>
      </c>
      <c r="C12412">
        <f>0</f>
        <v>0</v>
      </c>
      <c r="D12412">
        <v>0.91759247847799996</v>
      </c>
      <c r="E12412">
        <v>23.754000000000001</v>
      </c>
    </row>
    <row r="12413" spans="1:5">
      <c r="A12413" t="s">
        <v>41720</v>
      </c>
      <c r="B12413" t="s">
        <v>41723</v>
      </c>
      <c r="C12413">
        <v>0</v>
      </c>
      <c r="D12413">
        <v>0.91759247847799996</v>
      </c>
      <c r="E12413">
        <v>23.754000000000001</v>
      </c>
    </row>
    <row r="12414" spans="1:5">
      <c r="A12414" t="s">
        <v>41720</v>
      </c>
      <c r="B12414" t="s">
        <v>41724</v>
      </c>
      <c r="C12414">
        <f>0.787982478478</f>
        <v>0.78798247847799996</v>
      </c>
      <c r="D12414">
        <v>0.91759247847799996</v>
      </c>
      <c r="E12414">
        <v>23.754000000000001</v>
      </c>
    </row>
    <row r="12415" spans="1:5">
      <c r="A12415" t="s">
        <v>41725</v>
      </c>
      <c r="B12415" t="s">
        <v>41726</v>
      </c>
      <c r="C12415">
        <f>0</f>
        <v>0</v>
      </c>
      <c r="D12415">
        <v>0.77344245920499999</v>
      </c>
      <c r="E12415">
        <v>24</v>
      </c>
    </row>
    <row r="12416" spans="1:5">
      <c r="A12416" t="s">
        <v>41725</v>
      </c>
      <c r="B12416" t="s">
        <v>41727</v>
      </c>
      <c r="C12416">
        <f>0.579832459205</f>
        <v>0.57983245920500004</v>
      </c>
      <c r="D12416">
        <v>0.77344245920499999</v>
      </c>
      <c r="E12416">
        <v>24</v>
      </c>
    </row>
    <row r="12417" spans="1:5">
      <c r="A12417" t="s">
        <v>41728</v>
      </c>
      <c r="B12417" t="s">
        <v>25928</v>
      </c>
      <c r="C12417">
        <v>0</v>
      </c>
      <c r="D12417" t="s">
        <v>106</v>
      </c>
      <c r="E12417">
        <v>18.138000000000002</v>
      </c>
    </row>
    <row r="12418" spans="1:5">
      <c r="A12418" t="s">
        <v>41728</v>
      </c>
      <c r="B12418" t="s">
        <v>25933</v>
      </c>
      <c r="C12418">
        <f>0</f>
        <v>0</v>
      </c>
      <c r="D12418" t="s">
        <v>106</v>
      </c>
      <c r="E12418">
        <v>18.138000000000002</v>
      </c>
    </row>
    <row r="12419" spans="1:5">
      <c r="A12419" t="s">
        <v>41728</v>
      </c>
      <c r="B12419" t="s">
        <v>25930</v>
      </c>
      <c r="C12419">
        <v>0</v>
      </c>
      <c r="D12419" t="s">
        <v>106</v>
      </c>
      <c r="E12419">
        <v>18.138000000000002</v>
      </c>
    </row>
    <row r="12420" spans="1:5">
      <c r="A12420" t="s">
        <v>41728</v>
      </c>
      <c r="B12420" t="s">
        <v>25934</v>
      </c>
      <c r="C12420">
        <f>0</f>
        <v>0</v>
      </c>
      <c r="D12420" t="s">
        <v>106</v>
      </c>
      <c r="E12420">
        <v>18.138000000000002</v>
      </c>
    </row>
    <row r="12421" spans="1:5">
      <c r="A12421" t="s">
        <v>41729</v>
      </c>
      <c r="B12421" t="s">
        <v>41730</v>
      </c>
      <c r="C12421">
        <f>0</f>
        <v>0</v>
      </c>
      <c r="D12421">
        <v>0.98804625448000005</v>
      </c>
      <c r="E12421">
        <v>0.378</v>
      </c>
    </row>
    <row r="12422" spans="1:5">
      <c r="A12422" t="s">
        <v>41729</v>
      </c>
      <c r="B12422" t="s">
        <v>41731</v>
      </c>
      <c r="C12422">
        <v>0.47103109636899998</v>
      </c>
      <c r="D12422">
        <v>0.98804625448000005</v>
      </c>
      <c r="E12422">
        <v>0.378</v>
      </c>
    </row>
    <row r="12423" spans="1:5">
      <c r="A12423" t="s">
        <v>41729</v>
      </c>
      <c r="B12423" t="s">
        <v>41732</v>
      </c>
      <c r="C12423">
        <v>0.141402807184</v>
      </c>
      <c r="D12423">
        <v>0.98804625448000005</v>
      </c>
      <c r="E12423">
        <v>0.378</v>
      </c>
    </row>
    <row r="12424" spans="1:5">
      <c r="A12424" t="s">
        <v>41729</v>
      </c>
      <c r="B12424" t="s">
        <v>41733</v>
      </c>
      <c r="C12424">
        <f>0.185748236682</f>
        <v>0.185748236682</v>
      </c>
      <c r="D12424">
        <v>0.98804625448000005</v>
      </c>
      <c r="E12424">
        <v>0.378</v>
      </c>
    </row>
    <row r="12425" spans="1:5">
      <c r="A12425" t="s">
        <v>41729</v>
      </c>
      <c r="B12425" t="s">
        <v>41734</v>
      </c>
      <c r="C12425">
        <f>0.460044227894</f>
        <v>0.46004422789400001</v>
      </c>
      <c r="D12425">
        <v>0.98804625448000005</v>
      </c>
      <c r="E12425">
        <v>0.378</v>
      </c>
    </row>
    <row r="12426" spans="1:5">
      <c r="A12426" t="s">
        <v>41729</v>
      </c>
      <c r="B12426" t="s">
        <v>41735</v>
      </c>
      <c r="C12426">
        <f>0</f>
        <v>0</v>
      </c>
      <c r="D12426">
        <v>0.98804625448000005</v>
      </c>
      <c r="E12426">
        <v>0.378</v>
      </c>
    </row>
    <row r="12427" spans="1:5">
      <c r="A12427" t="s">
        <v>41729</v>
      </c>
      <c r="B12427" t="s">
        <v>41736</v>
      </c>
      <c r="C12427">
        <v>0.625045965732</v>
      </c>
      <c r="D12427">
        <v>0.98804625448000005</v>
      </c>
      <c r="E12427">
        <v>0.378</v>
      </c>
    </row>
    <row r="12428" spans="1:5">
      <c r="A12428" t="s">
        <v>41737</v>
      </c>
      <c r="B12428" t="s">
        <v>851</v>
      </c>
      <c r="C12428">
        <f>0</f>
        <v>0</v>
      </c>
      <c r="D12428">
        <v>0.57269136876000004</v>
      </c>
      <c r="E12428">
        <v>10.398</v>
      </c>
    </row>
    <row r="12429" spans="1:5">
      <c r="A12429" t="s">
        <v>41737</v>
      </c>
      <c r="B12429" t="s">
        <v>854</v>
      </c>
      <c r="C12429">
        <f>0.25908136876</f>
        <v>0.25908136875999999</v>
      </c>
      <c r="D12429">
        <v>0.57269136876000004</v>
      </c>
      <c r="E12429">
        <v>10.398</v>
      </c>
    </row>
    <row r="12430" spans="1:5">
      <c r="A12430" t="s">
        <v>41737</v>
      </c>
      <c r="B12430" t="s">
        <v>853</v>
      </c>
      <c r="C12430">
        <f>0</f>
        <v>0</v>
      </c>
      <c r="D12430">
        <v>0.57269136876000004</v>
      </c>
      <c r="E12430">
        <v>10.398</v>
      </c>
    </row>
    <row r="12431" spans="1:5">
      <c r="A12431" t="s">
        <v>41737</v>
      </c>
      <c r="B12431" t="s">
        <v>855</v>
      </c>
      <c r="C12431">
        <v>0</v>
      </c>
      <c r="D12431">
        <v>0.57269136876000004</v>
      </c>
      <c r="E12431">
        <v>10.398</v>
      </c>
    </row>
    <row r="12432" spans="1:5">
      <c r="A12432" t="s">
        <v>41738</v>
      </c>
      <c r="B12432" t="s">
        <v>41739</v>
      </c>
      <c r="C12432">
        <v>0.82977658494499995</v>
      </c>
      <c r="D12432">
        <v>0.99881797692700003</v>
      </c>
      <c r="E12432">
        <v>5.9340000000000002</v>
      </c>
    </row>
    <row r="12433" spans="1:5">
      <c r="A12433" t="s">
        <v>41738</v>
      </c>
      <c r="B12433" t="s">
        <v>41740</v>
      </c>
      <c r="C12433">
        <v>0.50237415296499999</v>
      </c>
      <c r="D12433">
        <v>0.99881797692700003</v>
      </c>
      <c r="E12433">
        <v>5.9340000000000002</v>
      </c>
    </row>
    <row r="12434" spans="1:5">
      <c r="A12434" t="s">
        <v>41738</v>
      </c>
      <c r="B12434" t="s">
        <v>41741</v>
      </c>
      <c r="C12434">
        <v>0.107761443289</v>
      </c>
      <c r="D12434">
        <v>0.99881797692700003</v>
      </c>
      <c r="E12434">
        <v>5.9340000000000002</v>
      </c>
    </row>
    <row r="12435" spans="1:5">
      <c r="A12435" t="s">
        <v>41738</v>
      </c>
      <c r="B12435" t="s">
        <v>41742</v>
      </c>
      <c r="C12435">
        <v>0</v>
      </c>
      <c r="D12435">
        <v>0.99881797692700003</v>
      </c>
      <c r="E12435">
        <v>5.9340000000000002</v>
      </c>
    </row>
    <row r="12436" spans="1:5">
      <c r="A12436" t="s">
        <v>41738</v>
      </c>
      <c r="B12436" t="s">
        <v>41743</v>
      </c>
      <c r="C12436">
        <v>0.39617222780700001</v>
      </c>
      <c r="D12436">
        <v>0.99881797692700003</v>
      </c>
      <c r="E12436">
        <v>5.9340000000000002</v>
      </c>
    </row>
    <row r="12437" spans="1:5">
      <c r="A12437" t="s">
        <v>41738</v>
      </c>
      <c r="B12437" t="s">
        <v>41744</v>
      </c>
      <c r="C12437">
        <v>0.24574091628899999</v>
      </c>
      <c r="D12437">
        <v>0.99881797692700003</v>
      </c>
      <c r="E12437">
        <v>5.9340000000000002</v>
      </c>
    </row>
    <row r="12438" spans="1:5">
      <c r="A12438" t="s">
        <v>41738</v>
      </c>
      <c r="B12438" t="s">
        <v>41745</v>
      </c>
      <c r="C12438">
        <f>0.741278867245</f>
        <v>0.74127886724500003</v>
      </c>
      <c r="D12438">
        <v>0.99881797692700003</v>
      </c>
      <c r="E12438">
        <v>5.9340000000000002</v>
      </c>
    </row>
    <row r="12439" spans="1:5">
      <c r="A12439" t="s">
        <v>41738</v>
      </c>
      <c r="B12439" t="s">
        <v>41746</v>
      </c>
      <c r="C12439">
        <f>0.0134957844127</f>
        <v>1.3495784412699999E-2</v>
      </c>
      <c r="D12439">
        <v>0.99881797692700003</v>
      </c>
      <c r="E12439">
        <v>5.9340000000000002</v>
      </c>
    </row>
    <row r="12440" spans="1:5">
      <c r="A12440" t="s">
        <v>41747</v>
      </c>
      <c r="B12440" t="s">
        <v>31941</v>
      </c>
      <c r="C12440">
        <v>0.48823934434600003</v>
      </c>
      <c r="D12440">
        <v>0.78801231149200002</v>
      </c>
      <c r="E12440">
        <v>19.632000000000001</v>
      </c>
    </row>
    <row r="12441" spans="1:5">
      <c r="A12441" t="s">
        <v>41747</v>
      </c>
      <c r="B12441" t="s">
        <v>31943</v>
      </c>
      <c r="C12441">
        <v>0.48925593038699999</v>
      </c>
      <c r="D12441">
        <v>0.78801231149200002</v>
      </c>
      <c r="E12441">
        <v>19.632000000000001</v>
      </c>
    </row>
    <row r="12442" spans="1:5">
      <c r="A12442" t="s">
        <v>41748</v>
      </c>
      <c r="B12442" t="s">
        <v>8002</v>
      </c>
      <c r="C12442">
        <f>0.644849122754</f>
        <v>0.64484912275399997</v>
      </c>
      <c r="D12442">
        <v>0.82109934924399997</v>
      </c>
      <c r="E12442">
        <v>0</v>
      </c>
    </row>
    <row r="12443" spans="1:5">
      <c r="A12443" t="s">
        <v>41748</v>
      </c>
      <c r="B12443" t="s">
        <v>8004</v>
      </c>
      <c r="C12443">
        <v>0.14690396355999999</v>
      </c>
      <c r="D12443">
        <v>0.82109934924399997</v>
      </c>
      <c r="E12443">
        <v>0</v>
      </c>
    </row>
    <row r="12444" spans="1:5">
      <c r="A12444" t="s">
        <v>41748</v>
      </c>
      <c r="B12444" t="s">
        <v>8003</v>
      </c>
      <c r="C12444">
        <v>0</v>
      </c>
      <c r="D12444">
        <v>0.82109934924399997</v>
      </c>
      <c r="E12444">
        <v>0</v>
      </c>
    </row>
    <row r="12445" spans="1:5">
      <c r="A12445" t="s">
        <v>41749</v>
      </c>
      <c r="B12445" t="s">
        <v>41750</v>
      </c>
      <c r="C12445">
        <v>0</v>
      </c>
      <c r="D12445" t="s">
        <v>106</v>
      </c>
      <c r="E12445">
        <v>0.82799999999999996</v>
      </c>
    </row>
    <row r="12446" spans="1:5">
      <c r="A12446" t="s">
        <v>41749</v>
      </c>
      <c r="B12446" t="s">
        <v>41751</v>
      </c>
      <c r="C12446">
        <v>0</v>
      </c>
      <c r="D12446" t="s">
        <v>106</v>
      </c>
      <c r="E12446">
        <v>0.82799999999999996</v>
      </c>
    </row>
    <row r="12447" spans="1:5">
      <c r="A12447" t="s">
        <v>41752</v>
      </c>
      <c r="B12447" t="s">
        <v>11072</v>
      </c>
      <c r="C12447">
        <v>0</v>
      </c>
      <c r="D12447" t="s">
        <v>106</v>
      </c>
      <c r="E12447">
        <v>22.338000000000001</v>
      </c>
    </row>
    <row r="12448" spans="1:5">
      <c r="A12448" t="s">
        <v>41752</v>
      </c>
      <c r="B12448" t="s">
        <v>11064</v>
      </c>
      <c r="C12448">
        <v>0</v>
      </c>
      <c r="D12448" t="s">
        <v>106</v>
      </c>
      <c r="E12448">
        <v>22.338000000000001</v>
      </c>
    </row>
    <row r="12449" spans="1:5">
      <c r="A12449" t="s">
        <v>41752</v>
      </c>
      <c r="B12449" t="s">
        <v>41753</v>
      </c>
      <c r="C12449">
        <f>0</f>
        <v>0</v>
      </c>
      <c r="D12449" t="s">
        <v>106</v>
      </c>
      <c r="E12449">
        <v>22.338000000000001</v>
      </c>
    </row>
    <row r="12450" spans="1:5">
      <c r="A12450" t="s">
        <v>41752</v>
      </c>
      <c r="B12450" t="s">
        <v>11073</v>
      </c>
      <c r="C12450">
        <f>0</f>
        <v>0</v>
      </c>
      <c r="D12450" t="s">
        <v>106</v>
      </c>
      <c r="E12450">
        <v>22.338000000000001</v>
      </c>
    </row>
    <row r="12451" spans="1:5">
      <c r="A12451" t="s">
        <v>41752</v>
      </c>
      <c r="B12451" t="s">
        <v>11069</v>
      </c>
      <c r="C12451">
        <v>0</v>
      </c>
      <c r="D12451" t="s">
        <v>106</v>
      </c>
      <c r="E12451">
        <v>22.338000000000001</v>
      </c>
    </row>
    <row r="12452" spans="1:5">
      <c r="A12452" t="s">
        <v>41752</v>
      </c>
      <c r="B12452" t="s">
        <v>11065</v>
      </c>
      <c r="C12452">
        <v>0</v>
      </c>
      <c r="D12452" t="s">
        <v>106</v>
      </c>
      <c r="E12452">
        <v>22.338000000000001</v>
      </c>
    </row>
    <row r="12453" spans="1:5">
      <c r="A12453" t="s">
        <v>41752</v>
      </c>
      <c r="B12453" t="s">
        <v>11067</v>
      </c>
      <c r="C12453">
        <v>0</v>
      </c>
      <c r="D12453" t="s">
        <v>106</v>
      </c>
      <c r="E12453">
        <v>22.338000000000001</v>
      </c>
    </row>
    <row r="12454" spans="1:5">
      <c r="A12454" t="s">
        <v>41752</v>
      </c>
      <c r="B12454" t="s">
        <v>41754</v>
      </c>
      <c r="C12454">
        <f>0</f>
        <v>0</v>
      </c>
      <c r="D12454" t="s">
        <v>106</v>
      </c>
      <c r="E12454">
        <v>22.338000000000001</v>
      </c>
    </row>
    <row r="12455" spans="1:5">
      <c r="A12455" t="s">
        <v>41755</v>
      </c>
      <c r="B12455" t="s">
        <v>22472</v>
      </c>
      <c r="C12455">
        <v>0</v>
      </c>
      <c r="D12455" t="s">
        <v>106</v>
      </c>
      <c r="E12455">
        <v>17.928000000000001</v>
      </c>
    </row>
    <row r="12456" spans="1:5">
      <c r="A12456" t="s">
        <v>41755</v>
      </c>
      <c r="B12456" t="s">
        <v>22474</v>
      </c>
      <c r="C12456">
        <f>0</f>
        <v>0</v>
      </c>
      <c r="D12456" t="s">
        <v>106</v>
      </c>
      <c r="E12456">
        <v>17.928000000000001</v>
      </c>
    </row>
    <row r="12457" spans="1:5">
      <c r="A12457" t="s">
        <v>41756</v>
      </c>
      <c r="B12457" t="s">
        <v>509</v>
      </c>
      <c r="C12457">
        <f>0</f>
        <v>0</v>
      </c>
      <c r="D12457" t="s">
        <v>106</v>
      </c>
      <c r="E12457">
        <v>0</v>
      </c>
    </row>
    <row r="12458" spans="1:5">
      <c r="A12458" t="s">
        <v>41756</v>
      </c>
      <c r="B12458" t="s">
        <v>508</v>
      </c>
      <c r="C12458">
        <v>0</v>
      </c>
      <c r="D12458" t="s">
        <v>106</v>
      </c>
      <c r="E12458">
        <v>0</v>
      </c>
    </row>
    <row r="12459" spans="1:5">
      <c r="A12459" t="s">
        <v>41757</v>
      </c>
      <c r="B12459" t="s">
        <v>11357</v>
      </c>
      <c r="C12459">
        <f>0</f>
        <v>0</v>
      </c>
      <c r="D12459">
        <v>0.76650544704099999</v>
      </c>
      <c r="E12459">
        <v>21.42</v>
      </c>
    </row>
    <row r="12460" spans="1:5">
      <c r="A12460" t="s">
        <v>41757</v>
      </c>
      <c r="B12460" t="s">
        <v>11360</v>
      </c>
      <c r="C12460">
        <v>0</v>
      </c>
      <c r="D12460">
        <v>0.76650544704099999</v>
      </c>
      <c r="E12460">
        <v>21.42</v>
      </c>
    </row>
    <row r="12461" spans="1:5">
      <c r="A12461" t="s">
        <v>41757</v>
      </c>
      <c r="B12461" t="s">
        <v>11359</v>
      </c>
      <c r="C12461">
        <f>0.126495447041</f>
        <v>0.12649544704099999</v>
      </c>
      <c r="D12461">
        <v>0.76650544704099999</v>
      </c>
      <c r="E12461">
        <v>21.42</v>
      </c>
    </row>
    <row r="12462" spans="1:5">
      <c r="A12462" t="s">
        <v>41757</v>
      </c>
      <c r="B12462" t="s">
        <v>11361</v>
      </c>
      <c r="C12462">
        <v>0</v>
      </c>
      <c r="D12462">
        <v>0.76650544704099999</v>
      </c>
      <c r="E12462">
        <v>21.42</v>
      </c>
    </row>
    <row r="12463" spans="1:5">
      <c r="A12463" t="s">
        <v>41758</v>
      </c>
      <c r="B12463" t="s">
        <v>2914</v>
      </c>
      <c r="C12463">
        <f>0.156333351655</f>
        <v>0.15633335165500001</v>
      </c>
      <c r="D12463">
        <v>0.77076935881499997</v>
      </c>
      <c r="E12463">
        <v>19.853999999999999</v>
      </c>
    </row>
    <row r="12464" spans="1:5">
      <c r="A12464" t="s">
        <v>41758</v>
      </c>
      <c r="B12464" t="s">
        <v>2913</v>
      </c>
      <c r="C12464">
        <v>0</v>
      </c>
      <c r="D12464">
        <v>0.77076935881499997</v>
      </c>
      <c r="E12464">
        <v>19.853999999999999</v>
      </c>
    </row>
    <row r="12465" spans="1:5">
      <c r="A12465" t="s">
        <v>41758</v>
      </c>
      <c r="B12465" t="s">
        <v>2910</v>
      </c>
      <c r="C12465">
        <v>0</v>
      </c>
      <c r="D12465">
        <v>0.77076935881499997</v>
      </c>
      <c r="E12465">
        <v>19.853999999999999</v>
      </c>
    </row>
    <row r="12466" spans="1:5">
      <c r="A12466" t="s">
        <v>41758</v>
      </c>
      <c r="B12466" t="s">
        <v>2912</v>
      </c>
      <c r="C12466">
        <v>0</v>
      </c>
      <c r="D12466">
        <v>0.77076935881499997</v>
      </c>
      <c r="E12466">
        <v>19.853999999999999</v>
      </c>
    </row>
    <row r="12467" spans="1:5">
      <c r="A12467" t="s">
        <v>41758</v>
      </c>
      <c r="B12467" t="s">
        <v>2917</v>
      </c>
      <c r="C12467">
        <v>0.57556588490899996</v>
      </c>
      <c r="D12467">
        <v>0.77076935881499997</v>
      </c>
      <c r="E12467">
        <v>19.853999999999999</v>
      </c>
    </row>
    <row r="12468" spans="1:5">
      <c r="A12468" t="s">
        <v>41759</v>
      </c>
      <c r="B12468" t="s">
        <v>22508</v>
      </c>
      <c r="C12468">
        <f>0.0667978619164</f>
        <v>6.6797861916399998E-2</v>
      </c>
      <c r="D12468">
        <v>0.69585140242599997</v>
      </c>
      <c r="E12468">
        <v>0</v>
      </c>
    </row>
    <row r="12469" spans="1:5">
      <c r="A12469" t="s">
        <v>41759</v>
      </c>
      <c r="B12469" t="s">
        <v>22509</v>
      </c>
      <c r="C12469">
        <f>0.547039515647</f>
        <v>0.54703951564700004</v>
      </c>
      <c r="D12469">
        <v>0.69585140242599997</v>
      </c>
      <c r="E12469">
        <v>0</v>
      </c>
    </row>
    <row r="12470" spans="1:5">
      <c r="A12470" t="s">
        <v>41760</v>
      </c>
      <c r="B12470" t="s">
        <v>41761</v>
      </c>
      <c r="C12470">
        <f>0</f>
        <v>0</v>
      </c>
      <c r="D12470" t="s">
        <v>106</v>
      </c>
      <c r="E12470">
        <v>2.0339999999999998</v>
      </c>
    </row>
    <row r="12471" spans="1:5">
      <c r="A12471" t="s">
        <v>41760</v>
      </c>
      <c r="B12471" t="s">
        <v>41762</v>
      </c>
      <c r="C12471">
        <f>0</f>
        <v>0</v>
      </c>
      <c r="D12471" t="s">
        <v>106</v>
      </c>
      <c r="E12471">
        <v>2.0339999999999998</v>
      </c>
    </row>
    <row r="12472" spans="1:5">
      <c r="A12472" t="s">
        <v>41760</v>
      </c>
      <c r="B12472" t="s">
        <v>41763</v>
      </c>
      <c r="C12472">
        <f>0</f>
        <v>0</v>
      </c>
      <c r="D12472" t="s">
        <v>106</v>
      </c>
      <c r="E12472">
        <v>2.0339999999999998</v>
      </c>
    </row>
    <row r="12473" spans="1:5">
      <c r="A12473" t="s">
        <v>41760</v>
      </c>
      <c r="B12473" t="s">
        <v>41764</v>
      </c>
      <c r="C12473">
        <f>0</f>
        <v>0</v>
      </c>
      <c r="D12473" t="s">
        <v>106</v>
      </c>
      <c r="E12473">
        <v>2.0339999999999998</v>
      </c>
    </row>
    <row r="12474" spans="1:5">
      <c r="A12474" t="s">
        <v>41765</v>
      </c>
      <c r="B12474" t="s">
        <v>12483</v>
      </c>
      <c r="C12474">
        <f>0.348774181769</f>
        <v>0.34877418176899999</v>
      </c>
      <c r="D12474">
        <v>0.75838418176900002</v>
      </c>
      <c r="E12474">
        <v>23.754000000000001</v>
      </c>
    </row>
    <row r="12475" spans="1:5">
      <c r="A12475" t="s">
        <v>41765</v>
      </c>
      <c r="B12475" t="s">
        <v>12481</v>
      </c>
      <c r="C12475">
        <v>0</v>
      </c>
      <c r="D12475">
        <v>0.75838418176900002</v>
      </c>
      <c r="E12475">
        <v>23.754000000000001</v>
      </c>
    </row>
    <row r="12476" spans="1:5">
      <c r="A12476" t="s">
        <v>41766</v>
      </c>
      <c r="B12476" t="s">
        <v>12006</v>
      </c>
      <c r="C12476">
        <f>0</f>
        <v>0</v>
      </c>
      <c r="D12476" t="s">
        <v>106</v>
      </c>
      <c r="E12476">
        <v>23.754000000000001</v>
      </c>
    </row>
    <row r="12477" spans="1:5">
      <c r="A12477" t="s">
        <v>41766</v>
      </c>
      <c r="B12477" t="s">
        <v>12008</v>
      </c>
      <c r="C12477">
        <f>0</f>
        <v>0</v>
      </c>
      <c r="D12477" t="s">
        <v>106</v>
      </c>
      <c r="E12477">
        <v>23.754000000000001</v>
      </c>
    </row>
    <row r="12478" spans="1:5">
      <c r="A12478" t="s">
        <v>41767</v>
      </c>
      <c r="B12478" t="s">
        <v>29515</v>
      </c>
      <c r="C12478">
        <v>0</v>
      </c>
      <c r="D12478" t="s">
        <v>106</v>
      </c>
      <c r="E12478">
        <v>6.4260000000000002</v>
      </c>
    </row>
    <row r="12479" spans="1:5">
      <c r="A12479" t="s">
        <v>41767</v>
      </c>
      <c r="B12479" t="s">
        <v>29520</v>
      </c>
      <c r="C12479">
        <v>0</v>
      </c>
      <c r="D12479" t="s">
        <v>106</v>
      </c>
      <c r="E12479">
        <v>6.4260000000000002</v>
      </c>
    </row>
    <row r="12480" spans="1:5">
      <c r="A12480" t="s">
        <v>41768</v>
      </c>
      <c r="B12480" t="s">
        <v>41769</v>
      </c>
      <c r="C12480">
        <f>0</f>
        <v>0</v>
      </c>
      <c r="D12480">
        <v>0.61768642775799998</v>
      </c>
      <c r="E12480">
        <v>9.6180000000000003</v>
      </c>
    </row>
    <row r="12481" spans="1:5">
      <c r="A12481" t="s">
        <v>41768</v>
      </c>
      <c r="B12481" t="s">
        <v>41770</v>
      </c>
      <c r="C12481">
        <v>0</v>
      </c>
      <c r="D12481">
        <v>0.61768642775799998</v>
      </c>
      <c r="E12481">
        <v>9.6180000000000003</v>
      </c>
    </row>
    <row r="12482" spans="1:5">
      <c r="A12482" t="s">
        <v>41768</v>
      </c>
      <c r="B12482" t="s">
        <v>41771</v>
      </c>
      <c r="C12482">
        <f>0.257676427758</f>
        <v>0.25767642775799998</v>
      </c>
      <c r="D12482">
        <v>0.61768642775799998</v>
      </c>
      <c r="E12482">
        <v>9.6180000000000003</v>
      </c>
    </row>
    <row r="12483" spans="1:5">
      <c r="A12483" t="s">
        <v>41768</v>
      </c>
      <c r="B12483" t="s">
        <v>41772</v>
      </c>
      <c r="C12483">
        <f>0</f>
        <v>0</v>
      </c>
      <c r="D12483">
        <v>0.61768642775799998</v>
      </c>
      <c r="E12483">
        <v>9.6180000000000003</v>
      </c>
    </row>
    <row r="12484" spans="1:5">
      <c r="A12484" t="s">
        <v>41768</v>
      </c>
      <c r="B12484" t="s">
        <v>41773</v>
      </c>
      <c r="C12484">
        <f>0</f>
        <v>0</v>
      </c>
      <c r="D12484">
        <v>0.61768642775799998</v>
      </c>
      <c r="E12484">
        <v>9.6180000000000003</v>
      </c>
    </row>
    <row r="12485" spans="1:5">
      <c r="A12485" t="s">
        <v>41768</v>
      </c>
      <c r="B12485" t="s">
        <v>41774</v>
      </c>
      <c r="C12485">
        <v>0</v>
      </c>
      <c r="D12485">
        <v>0.61768642775799998</v>
      </c>
      <c r="E12485">
        <v>9.6180000000000003</v>
      </c>
    </row>
    <row r="12486" spans="1:5">
      <c r="A12486" t="s">
        <v>41775</v>
      </c>
      <c r="B12486" t="s">
        <v>41776</v>
      </c>
      <c r="C12486">
        <v>0</v>
      </c>
      <c r="D12486">
        <v>0.61415459403200001</v>
      </c>
      <c r="E12486">
        <v>14.933999999999999</v>
      </c>
    </row>
    <row r="12487" spans="1:5">
      <c r="A12487" t="s">
        <v>41775</v>
      </c>
      <c r="B12487" t="s">
        <v>41777</v>
      </c>
      <c r="C12487">
        <v>9.5744594032000002E-2</v>
      </c>
      <c r="D12487">
        <v>0.61415459403200001</v>
      </c>
      <c r="E12487">
        <v>14.933999999999999</v>
      </c>
    </row>
    <row r="12488" spans="1:5">
      <c r="A12488" t="s">
        <v>41775</v>
      </c>
      <c r="B12488" t="s">
        <v>41778</v>
      </c>
      <c r="C12488">
        <f>0</f>
        <v>0</v>
      </c>
      <c r="D12488">
        <v>0.61415459403200001</v>
      </c>
      <c r="E12488">
        <v>14.933999999999999</v>
      </c>
    </row>
    <row r="12489" spans="1:5">
      <c r="A12489" t="s">
        <v>41775</v>
      </c>
      <c r="B12489" t="s">
        <v>41779</v>
      </c>
      <c r="C12489">
        <v>0</v>
      </c>
      <c r="D12489">
        <v>0.61415459403200001</v>
      </c>
      <c r="E12489">
        <v>14.933999999999999</v>
      </c>
    </row>
    <row r="12490" spans="1:5">
      <c r="A12490" t="s">
        <v>41780</v>
      </c>
      <c r="B12490" t="s">
        <v>41781</v>
      </c>
      <c r="C12490">
        <f>-1.40037790729</f>
        <v>-1.40037790729</v>
      </c>
      <c r="D12490">
        <v>0.97301720769300004</v>
      </c>
      <c r="E12490">
        <v>1.764</v>
      </c>
    </row>
    <row r="12491" spans="1:5">
      <c r="A12491" t="s">
        <v>41780</v>
      </c>
      <c r="B12491" t="s">
        <v>41782</v>
      </c>
      <c r="C12491">
        <v>1.9628666729899999</v>
      </c>
      <c r="D12491">
        <v>0.97301720769300004</v>
      </c>
      <c r="E12491">
        <v>1.764</v>
      </c>
    </row>
    <row r="12492" spans="1:5">
      <c r="A12492" t="s">
        <v>41780</v>
      </c>
      <c r="B12492" t="s">
        <v>41783</v>
      </c>
      <c r="C12492">
        <v>1.9514065970700001</v>
      </c>
      <c r="D12492">
        <v>0.97301720769300004</v>
      </c>
      <c r="E12492">
        <v>1.764</v>
      </c>
    </row>
    <row r="12493" spans="1:5">
      <c r="A12493" t="s">
        <v>41780</v>
      </c>
      <c r="B12493" t="s">
        <v>41784</v>
      </c>
      <c r="C12493">
        <v>0.17671143016300001</v>
      </c>
      <c r="D12493">
        <v>0.97301720769300004</v>
      </c>
      <c r="E12493">
        <v>1.764</v>
      </c>
    </row>
    <row r="12494" spans="1:5">
      <c r="A12494" t="s">
        <v>41780</v>
      </c>
      <c r="B12494" t="s">
        <v>41785</v>
      </c>
      <c r="C12494">
        <f>-2.33529268806</f>
        <v>-2.33529268806</v>
      </c>
      <c r="D12494">
        <v>0.97301720769300004</v>
      </c>
      <c r="E12494">
        <v>1.764</v>
      </c>
    </row>
    <row r="12495" spans="1:5">
      <c r="A12495" t="s">
        <v>41786</v>
      </c>
      <c r="B12495" t="s">
        <v>9397</v>
      </c>
      <c r="C12495">
        <f>0.272165627822</f>
        <v>0.27216562782199999</v>
      </c>
      <c r="D12495">
        <v>0.96139234623100001</v>
      </c>
      <c r="E12495">
        <v>11.874000000000001</v>
      </c>
    </row>
    <row r="12496" spans="1:5">
      <c r="A12496" t="s">
        <v>41786</v>
      </c>
      <c r="B12496" t="s">
        <v>9400</v>
      </c>
      <c r="C12496">
        <v>0</v>
      </c>
      <c r="D12496">
        <v>0.96139234623100001</v>
      </c>
      <c r="E12496">
        <v>11.874000000000001</v>
      </c>
    </row>
    <row r="12497" spans="1:5">
      <c r="A12497" t="s">
        <v>41786</v>
      </c>
      <c r="B12497" t="s">
        <v>9402</v>
      </c>
      <c r="C12497">
        <f>0.382948008244</f>
        <v>0.38294800824399999</v>
      </c>
      <c r="D12497">
        <v>0.96139234623100001</v>
      </c>
      <c r="E12497">
        <v>11.874000000000001</v>
      </c>
    </row>
    <row r="12498" spans="1:5">
      <c r="A12498" t="s">
        <v>41786</v>
      </c>
      <c r="B12498" t="s">
        <v>9404</v>
      </c>
      <c r="C12498">
        <f>0</f>
        <v>0</v>
      </c>
      <c r="D12498">
        <v>0.96139234623100001</v>
      </c>
      <c r="E12498">
        <v>11.874000000000001</v>
      </c>
    </row>
    <row r="12499" spans="1:5">
      <c r="A12499" t="s">
        <v>41786</v>
      </c>
      <c r="B12499" t="s">
        <v>9405</v>
      </c>
      <c r="C12499">
        <f>0.678777895152</f>
        <v>0.67877789515200004</v>
      </c>
      <c r="D12499">
        <v>0.96139234623100001</v>
      </c>
      <c r="E12499">
        <v>11.874000000000001</v>
      </c>
    </row>
    <row r="12500" spans="1:5">
      <c r="A12500" t="s">
        <v>41786</v>
      </c>
      <c r="B12500" t="s">
        <v>9403</v>
      </c>
      <c r="C12500">
        <v>0.78857356341100004</v>
      </c>
      <c r="D12500">
        <v>0.96139234623100001</v>
      </c>
      <c r="E12500">
        <v>11.874000000000001</v>
      </c>
    </row>
    <row r="12501" spans="1:5">
      <c r="A12501" t="s">
        <v>41786</v>
      </c>
      <c r="B12501" t="s">
        <v>9398</v>
      </c>
      <c r="C12501">
        <f>0.0955724958562</f>
        <v>9.5572495856199993E-2</v>
      </c>
      <c r="D12501">
        <v>0.96139234623100001</v>
      </c>
      <c r="E12501">
        <v>11.874000000000001</v>
      </c>
    </row>
    <row r="12502" spans="1:5">
      <c r="A12502" t="s">
        <v>41787</v>
      </c>
      <c r="B12502" t="s">
        <v>41788</v>
      </c>
      <c r="C12502">
        <f>0</f>
        <v>0</v>
      </c>
      <c r="D12502" t="s">
        <v>106</v>
      </c>
      <c r="E12502">
        <v>24</v>
      </c>
    </row>
    <row r="12503" spans="1:5">
      <c r="A12503" t="s">
        <v>41787</v>
      </c>
      <c r="B12503" t="s">
        <v>41789</v>
      </c>
      <c r="C12503">
        <v>0</v>
      </c>
      <c r="D12503" t="s">
        <v>106</v>
      </c>
      <c r="E12503">
        <v>24</v>
      </c>
    </row>
    <row r="12504" spans="1:5">
      <c r="A12504" t="s">
        <v>41787</v>
      </c>
      <c r="B12504" t="s">
        <v>41790</v>
      </c>
      <c r="C12504">
        <v>0</v>
      </c>
      <c r="D12504" t="s">
        <v>106</v>
      </c>
      <c r="E12504">
        <v>24</v>
      </c>
    </row>
    <row r="12505" spans="1:5">
      <c r="A12505" t="s">
        <v>41787</v>
      </c>
      <c r="B12505" t="s">
        <v>41791</v>
      </c>
      <c r="C12505">
        <v>0</v>
      </c>
      <c r="D12505" t="s">
        <v>106</v>
      </c>
      <c r="E12505">
        <v>24</v>
      </c>
    </row>
    <row r="12506" spans="1:5">
      <c r="A12506" t="s">
        <v>41792</v>
      </c>
      <c r="B12506" t="s">
        <v>12010</v>
      </c>
      <c r="C12506">
        <f>0</f>
        <v>0</v>
      </c>
      <c r="D12506" t="s">
        <v>106</v>
      </c>
      <c r="E12506">
        <v>24</v>
      </c>
    </row>
    <row r="12507" spans="1:5">
      <c r="A12507" t="s">
        <v>41792</v>
      </c>
      <c r="B12507" t="s">
        <v>12011</v>
      </c>
      <c r="C12507">
        <v>0</v>
      </c>
      <c r="D12507" t="s">
        <v>106</v>
      </c>
      <c r="E12507">
        <v>24</v>
      </c>
    </row>
    <row r="12508" spans="1:5">
      <c r="A12508" t="s">
        <v>41792</v>
      </c>
      <c r="B12508" t="s">
        <v>12012</v>
      </c>
      <c r="C12508">
        <v>0</v>
      </c>
      <c r="D12508" t="s">
        <v>106</v>
      </c>
      <c r="E12508">
        <v>24</v>
      </c>
    </row>
    <row r="12509" spans="1:5">
      <c r="A12509" t="s">
        <v>41793</v>
      </c>
      <c r="B12509" t="s">
        <v>24818</v>
      </c>
      <c r="C12509">
        <f>0</f>
        <v>0</v>
      </c>
      <c r="D12509" t="s">
        <v>106</v>
      </c>
      <c r="E12509">
        <v>24</v>
      </c>
    </row>
    <row r="12510" spans="1:5">
      <c r="A12510" t="s">
        <v>41793</v>
      </c>
      <c r="B12510" t="s">
        <v>24817</v>
      </c>
      <c r="C12510">
        <v>0</v>
      </c>
      <c r="D12510" t="s">
        <v>106</v>
      </c>
      <c r="E12510">
        <v>24</v>
      </c>
    </row>
    <row r="12511" spans="1:5">
      <c r="A12511" t="s">
        <v>41793</v>
      </c>
      <c r="B12511" t="s">
        <v>24816</v>
      </c>
      <c r="C12511">
        <v>0</v>
      </c>
      <c r="D12511" t="s">
        <v>106</v>
      </c>
      <c r="E12511">
        <v>24</v>
      </c>
    </row>
    <row r="12512" spans="1:5">
      <c r="A12512" t="s">
        <v>41794</v>
      </c>
      <c r="B12512" t="s">
        <v>21839</v>
      </c>
      <c r="C12512">
        <v>0</v>
      </c>
      <c r="D12512" t="s">
        <v>106</v>
      </c>
      <c r="E12512">
        <v>2.4</v>
      </c>
    </row>
    <row r="12513" spans="1:5">
      <c r="A12513" t="s">
        <v>41794</v>
      </c>
      <c r="B12513" t="s">
        <v>21840</v>
      </c>
      <c r="C12513">
        <v>0</v>
      </c>
      <c r="D12513" t="s">
        <v>106</v>
      </c>
      <c r="E12513">
        <v>2.4</v>
      </c>
    </row>
    <row r="12514" spans="1:5">
      <c r="A12514" t="s">
        <v>41795</v>
      </c>
      <c r="B12514" t="s">
        <v>22297</v>
      </c>
      <c r="C12514">
        <f>0.0885037084074</f>
        <v>8.8503708407400003E-2</v>
      </c>
      <c r="D12514">
        <v>0.82012731600800004</v>
      </c>
      <c r="E12514">
        <v>23.754000000000001</v>
      </c>
    </row>
    <row r="12515" spans="1:5">
      <c r="A12515" t="s">
        <v>41795</v>
      </c>
      <c r="B12515" t="s">
        <v>22296</v>
      </c>
      <c r="C12515">
        <f>0.151533253549</f>
        <v>0.15153325354899999</v>
      </c>
      <c r="D12515">
        <v>0.82012731600800004</v>
      </c>
      <c r="E12515">
        <v>23.754000000000001</v>
      </c>
    </row>
    <row r="12516" spans="1:5">
      <c r="A12516" t="s">
        <v>41795</v>
      </c>
      <c r="B12516" t="s">
        <v>22300</v>
      </c>
      <c r="C12516">
        <v>0.44669454594399999</v>
      </c>
      <c r="D12516">
        <v>0.82012731600800004</v>
      </c>
      <c r="E12516">
        <v>23.754000000000001</v>
      </c>
    </row>
    <row r="12517" spans="1:5">
      <c r="A12517" t="s">
        <v>41795</v>
      </c>
      <c r="B12517" t="s">
        <v>22298</v>
      </c>
      <c r="C12517">
        <f>0</f>
        <v>0</v>
      </c>
      <c r="D12517">
        <v>0.82012731600800004</v>
      </c>
      <c r="E12517">
        <v>23.754000000000001</v>
      </c>
    </row>
    <row r="12518" spans="1:5">
      <c r="A12518" t="s">
        <v>41796</v>
      </c>
      <c r="B12518" t="s">
        <v>32336</v>
      </c>
      <c r="C12518">
        <f>0.577464047978</f>
        <v>0.57746404797799999</v>
      </c>
      <c r="D12518">
        <v>0.82291214585100003</v>
      </c>
      <c r="E12518">
        <v>0</v>
      </c>
    </row>
    <row r="12519" spans="1:5">
      <c r="A12519" t="s">
        <v>41796</v>
      </c>
      <c r="B12519" t="s">
        <v>32337</v>
      </c>
      <c r="C12519">
        <v>1.0357086871700001</v>
      </c>
      <c r="D12519">
        <v>0.82291214585100003</v>
      </c>
      <c r="E12519">
        <v>0</v>
      </c>
    </row>
    <row r="12520" spans="1:5">
      <c r="A12520" t="s">
        <v>41797</v>
      </c>
      <c r="B12520" t="s">
        <v>2555</v>
      </c>
      <c r="C12520">
        <v>0.18875347611099999</v>
      </c>
      <c r="D12520">
        <v>0.90575498278900002</v>
      </c>
      <c r="E12520">
        <v>3.3180000000000001</v>
      </c>
    </row>
    <row r="12521" spans="1:5">
      <c r="A12521" t="s">
        <v>41797</v>
      </c>
      <c r="B12521" t="s">
        <v>2559</v>
      </c>
      <c r="C12521">
        <f>0.730723821388</f>
        <v>0.73072382138799996</v>
      </c>
      <c r="D12521">
        <v>0.90575498278900002</v>
      </c>
      <c r="E12521">
        <v>3.3180000000000001</v>
      </c>
    </row>
    <row r="12522" spans="1:5">
      <c r="A12522" t="s">
        <v>41797</v>
      </c>
      <c r="B12522" t="s">
        <v>2558</v>
      </c>
      <c r="C12522">
        <v>0</v>
      </c>
      <c r="D12522">
        <v>0.90575498278900002</v>
      </c>
      <c r="E12522">
        <v>3.3180000000000001</v>
      </c>
    </row>
    <row r="12523" spans="1:5">
      <c r="A12523" t="s">
        <v>41797</v>
      </c>
      <c r="B12523" t="s">
        <v>2562</v>
      </c>
      <c r="C12523">
        <f>0.293731166039</f>
        <v>0.29373116603900001</v>
      </c>
      <c r="D12523">
        <v>0.90575498278900002</v>
      </c>
      <c r="E12523">
        <v>3.3180000000000001</v>
      </c>
    </row>
    <row r="12524" spans="1:5">
      <c r="A12524" t="s">
        <v>41797</v>
      </c>
      <c r="B12524" t="s">
        <v>2556</v>
      </c>
      <c r="C12524">
        <f>0.037734474805</f>
        <v>3.7734474805000001E-2</v>
      </c>
      <c r="D12524">
        <v>0.90575498278900002</v>
      </c>
      <c r="E12524">
        <v>3.3180000000000001</v>
      </c>
    </row>
    <row r="12525" spans="1:5">
      <c r="A12525" t="s">
        <v>41798</v>
      </c>
      <c r="B12525" t="s">
        <v>41799</v>
      </c>
      <c r="C12525">
        <f>0</f>
        <v>0</v>
      </c>
      <c r="D12525" t="s">
        <v>106</v>
      </c>
      <c r="E12525">
        <v>24</v>
      </c>
    </row>
    <row r="12526" spans="1:5">
      <c r="A12526" t="s">
        <v>41798</v>
      </c>
      <c r="B12526" t="s">
        <v>41800</v>
      </c>
      <c r="C12526">
        <v>0</v>
      </c>
      <c r="D12526" t="s">
        <v>106</v>
      </c>
      <c r="E12526">
        <v>24</v>
      </c>
    </row>
    <row r="12527" spans="1:5">
      <c r="A12527" t="s">
        <v>41798</v>
      </c>
      <c r="B12527" t="s">
        <v>41801</v>
      </c>
      <c r="C12527">
        <f>0</f>
        <v>0</v>
      </c>
      <c r="D12527" t="s">
        <v>106</v>
      </c>
      <c r="E12527">
        <v>24</v>
      </c>
    </row>
    <row r="12528" spans="1:5">
      <c r="A12528" t="s">
        <v>41802</v>
      </c>
      <c r="B12528" t="s">
        <v>41803</v>
      </c>
      <c r="C12528">
        <v>0.32762522930900001</v>
      </c>
      <c r="D12528">
        <v>0.90232905555800003</v>
      </c>
      <c r="E12528">
        <v>24</v>
      </c>
    </row>
    <row r="12529" spans="1:5">
      <c r="A12529" t="s">
        <v>41802</v>
      </c>
      <c r="B12529" t="s">
        <v>41804</v>
      </c>
      <c r="C12529">
        <f>0.182672171828</f>
        <v>0.182672171828</v>
      </c>
      <c r="D12529">
        <v>0.90232905555800003</v>
      </c>
      <c r="E12529">
        <v>24</v>
      </c>
    </row>
    <row r="12530" spans="1:5">
      <c r="A12530" t="s">
        <v>41802</v>
      </c>
      <c r="B12530" t="s">
        <v>41805</v>
      </c>
      <c r="C12530">
        <v>2.67472295696E-2</v>
      </c>
      <c r="D12530">
        <v>0.90232905555800003</v>
      </c>
      <c r="E12530">
        <v>24</v>
      </c>
    </row>
    <row r="12531" spans="1:5">
      <c r="A12531" t="s">
        <v>41802</v>
      </c>
      <c r="B12531" t="s">
        <v>41806</v>
      </c>
      <c r="C12531">
        <v>0.75908745198399996</v>
      </c>
      <c r="D12531">
        <v>0.90232905555800003</v>
      </c>
      <c r="E12531">
        <v>24</v>
      </c>
    </row>
    <row r="12532" spans="1:5">
      <c r="A12532" t="s">
        <v>41807</v>
      </c>
      <c r="B12532" t="s">
        <v>12535</v>
      </c>
      <c r="C12532">
        <v>0.52240583193400003</v>
      </c>
      <c r="D12532">
        <v>0.95048140011299997</v>
      </c>
      <c r="E12532">
        <v>5.1239999999999997</v>
      </c>
    </row>
    <row r="12533" spans="1:5">
      <c r="A12533" t="s">
        <v>41807</v>
      </c>
      <c r="B12533" t="s">
        <v>12533</v>
      </c>
      <c r="C12533">
        <v>0.23140220620800001</v>
      </c>
      <c r="D12533">
        <v>0.95048140011299997</v>
      </c>
      <c r="E12533">
        <v>5.1239999999999997</v>
      </c>
    </row>
    <row r="12534" spans="1:5">
      <c r="A12534" t="s">
        <v>41807</v>
      </c>
      <c r="B12534" t="s">
        <v>12525</v>
      </c>
      <c r="C12534">
        <v>0</v>
      </c>
      <c r="D12534">
        <v>0.95048140011299997</v>
      </c>
      <c r="E12534">
        <v>5.1239999999999997</v>
      </c>
    </row>
    <row r="12535" spans="1:5">
      <c r="A12535" t="s">
        <v>41807</v>
      </c>
      <c r="B12535" t="s">
        <v>12524</v>
      </c>
      <c r="C12535">
        <v>0.34005953619399998</v>
      </c>
      <c r="D12535">
        <v>0.95048140011299997</v>
      </c>
      <c r="E12535">
        <v>5.1239999999999997</v>
      </c>
    </row>
    <row r="12536" spans="1:5">
      <c r="A12536" t="s">
        <v>41807</v>
      </c>
      <c r="B12536" t="s">
        <v>12530</v>
      </c>
      <c r="C12536">
        <f>0</f>
        <v>0</v>
      </c>
      <c r="D12536">
        <v>0.95048140011299997</v>
      </c>
      <c r="E12536">
        <v>5.1239999999999997</v>
      </c>
    </row>
    <row r="12537" spans="1:5">
      <c r="A12537" t="s">
        <v>41807</v>
      </c>
      <c r="B12537" t="s">
        <v>12534</v>
      </c>
      <c r="C12537">
        <v>0</v>
      </c>
      <c r="D12537">
        <v>0.95048140011299997</v>
      </c>
      <c r="E12537">
        <v>5.1239999999999997</v>
      </c>
    </row>
    <row r="12538" spans="1:5">
      <c r="A12538" t="s">
        <v>41807</v>
      </c>
      <c r="B12538" t="s">
        <v>12527</v>
      </c>
      <c r="C12538">
        <f>0.230064987427</f>
        <v>0.23006498742699999</v>
      </c>
      <c r="D12538">
        <v>0.95048140011299997</v>
      </c>
      <c r="E12538">
        <v>5.1239999999999997</v>
      </c>
    </row>
    <row r="12539" spans="1:5">
      <c r="A12539" t="s">
        <v>41807</v>
      </c>
      <c r="B12539" t="s">
        <v>12526</v>
      </c>
      <c r="C12539">
        <f>0</f>
        <v>0</v>
      </c>
      <c r="D12539">
        <v>0.95048140011299997</v>
      </c>
      <c r="E12539">
        <v>5.1239999999999997</v>
      </c>
    </row>
    <row r="12540" spans="1:5">
      <c r="A12540" t="s">
        <v>41808</v>
      </c>
      <c r="B12540" t="s">
        <v>8339</v>
      </c>
      <c r="C12540">
        <f>0</f>
        <v>0</v>
      </c>
      <c r="D12540">
        <v>0.84097891015000004</v>
      </c>
      <c r="E12540">
        <v>9.9239999999999995</v>
      </c>
    </row>
    <row r="12541" spans="1:5">
      <c r="A12541" t="s">
        <v>41808</v>
      </c>
      <c r="B12541" t="s">
        <v>8349</v>
      </c>
      <c r="C12541">
        <f>0</f>
        <v>0</v>
      </c>
      <c r="D12541">
        <v>0.84097891015000004</v>
      </c>
      <c r="E12541">
        <v>9.9239999999999995</v>
      </c>
    </row>
    <row r="12542" spans="1:5">
      <c r="A12542" t="s">
        <v>41808</v>
      </c>
      <c r="B12542" t="s">
        <v>8342</v>
      </c>
      <c r="C12542">
        <f>0</f>
        <v>0</v>
      </c>
      <c r="D12542">
        <v>0.84097891015000004</v>
      </c>
      <c r="E12542">
        <v>9.9239999999999995</v>
      </c>
    </row>
    <row r="12543" spans="1:5">
      <c r="A12543" t="s">
        <v>41808</v>
      </c>
      <c r="B12543" t="s">
        <v>8344</v>
      </c>
      <c r="C12543">
        <v>0</v>
      </c>
      <c r="D12543">
        <v>0.84097891015000004</v>
      </c>
      <c r="E12543">
        <v>9.9239999999999995</v>
      </c>
    </row>
    <row r="12544" spans="1:5">
      <c r="A12544" t="s">
        <v>41808</v>
      </c>
      <c r="B12544" t="s">
        <v>8341</v>
      </c>
      <c r="C12544">
        <f>0.158777816357</f>
        <v>0.158777816357</v>
      </c>
      <c r="D12544">
        <v>0.84097891015000004</v>
      </c>
      <c r="E12544">
        <v>9.9239999999999995</v>
      </c>
    </row>
    <row r="12545" spans="1:5">
      <c r="A12545" t="s">
        <v>41808</v>
      </c>
      <c r="B12545" t="s">
        <v>8348</v>
      </c>
      <c r="C12545">
        <f>0.489778779058</f>
        <v>0.48977877905799999</v>
      </c>
      <c r="D12545">
        <v>0.84097891015000004</v>
      </c>
      <c r="E12545">
        <v>9.9239999999999995</v>
      </c>
    </row>
    <row r="12546" spans="1:5">
      <c r="A12546" t="s">
        <v>41808</v>
      </c>
      <c r="B12546" t="s">
        <v>8346</v>
      </c>
      <c r="C12546">
        <f>0</f>
        <v>0</v>
      </c>
      <c r="D12546">
        <v>0.84097891015000004</v>
      </c>
      <c r="E12546">
        <v>9.9239999999999995</v>
      </c>
    </row>
    <row r="12547" spans="1:5">
      <c r="A12547" t="s">
        <v>41808</v>
      </c>
      <c r="B12547" t="s">
        <v>8345</v>
      </c>
      <c r="C12547">
        <f>0</f>
        <v>0</v>
      </c>
      <c r="D12547">
        <v>0.84097891015000004</v>
      </c>
      <c r="E12547">
        <v>9.9239999999999995</v>
      </c>
    </row>
    <row r="12548" spans="1:5">
      <c r="A12548" t="s">
        <v>41808</v>
      </c>
      <c r="B12548" t="s">
        <v>8343</v>
      </c>
      <c r="C12548">
        <f>0</f>
        <v>0</v>
      </c>
      <c r="D12548">
        <v>0.84097891015000004</v>
      </c>
      <c r="E12548">
        <v>9.9239999999999995</v>
      </c>
    </row>
    <row r="12549" spans="1:5">
      <c r="A12549" t="s">
        <v>41808</v>
      </c>
      <c r="B12549" t="s">
        <v>8347</v>
      </c>
      <c r="C12549">
        <f>0</f>
        <v>0</v>
      </c>
      <c r="D12549">
        <v>0.84097891015000004</v>
      </c>
      <c r="E12549">
        <v>9.9239999999999995</v>
      </c>
    </row>
    <row r="12550" spans="1:5">
      <c r="A12550" t="s">
        <v>41809</v>
      </c>
      <c r="B12550" t="s">
        <v>31080</v>
      </c>
      <c r="C12550">
        <v>0.69739899437700004</v>
      </c>
      <c r="D12550">
        <v>0.85740899437700002</v>
      </c>
      <c r="E12550">
        <v>5.9340000000000002</v>
      </c>
    </row>
    <row r="12551" spans="1:5">
      <c r="A12551" t="s">
        <v>41809</v>
      </c>
      <c r="B12551" t="s">
        <v>31084</v>
      </c>
      <c r="C12551">
        <v>0</v>
      </c>
      <c r="D12551">
        <v>0.85740899437700002</v>
      </c>
      <c r="E12551">
        <v>5.9340000000000002</v>
      </c>
    </row>
    <row r="12552" spans="1:5">
      <c r="A12552" t="s">
        <v>41810</v>
      </c>
      <c r="B12552" t="s">
        <v>41811</v>
      </c>
      <c r="C12552">
        <v>0.73095753013200004</v>
      </c>
      <c r="D12552">
        <v>0.72854173741100003</v>
      </c>
      <c r="E12552">
        <v>4.4820000000000002</v>
      </c>
    </row>
    <row r="12553" spans="1:5">
      <c r="A12553" t="s">
        <v>41810</v>
      </c>
      <c r="B12553" t="s">
        <v>41812</v>
      </c>
      <c r="C12553">
        <f>0.255975573676</f>
        <v>0.25597557367599999</v>
      </c>
      <c r="D12553">
        <v>0.72854173741100003</v>
      </c>
      <c r="E12553">
        <v>4.4820000000000002</v>
      </c>
    </row>
    <row r="12554" spans="1:5">
      <c r="A12554" t="s">
        <v>41813</v>
      </c>
      <c r="B12554" t="s">
        <v>15819</v>
      </c>
      <c r="C12554">
        <f>0.109099608247</f>
        <v>0.109099608247</v>
      </c>
      <c r="D12554">
        <v>0.97082216176400005</v>
      </c>
      <c r="E12554">
        <v>5.9340000000000002</v>
      </c>
    </row>
    <row r="12555" spans="1:5">
      <c r="A12555" t="s">
        <v>41813</v>
      </c>
      <c r="B12555" t="s">
        <v>15820</v>
      </c>
      <c r="C12555">
        <f>0.223938869659</f>
        <v>0.22393886965900001</v>
      </c>
      <c r="D12555">
        <v>0.97082216176400005</v>
      </c>
      <c r="E12555">
        <v>5.9340000000000002</v>
      </c>
    </row>
    <row r="12556" spans="1:5">
      <c r="A12556" t="s">
        <v>41813</v>
      </c>
      <c r="B12556" t="s">
        <v>15822</v>
      </c>
      <c r="C12556">
        <f>0.193764078095</f>
        <v>0.19376407809499999</v>
      </c>
      <c r="D12556">
        <v>0.97082216176400005</v>
      </c>
      <c r="E12556">
        <v>5.9340000000000002</v>
      </c>
    </row>
    <row r="12557" spans="1:5">
      <c r="A12557" t="s">
        <v>41813</v>
      </c>
      <c r="B12557" t="s">
        <v>15825</v>
      </c>
      <c r="C12557">
        <f>0.595529216366</f>
        <v>0.59552921636599998</v>
      </c>
      <c r="D12557">
        <v>0.97082216176400005</v>
      </c>
      <c r="E12557">
        <v>5.9340000000000002</v>
      </c>
    </row>
    <row r="12558" spans="1:5">
      <c r="A12558" t="s">
        <v>41813</v>
      </c>
      <c r="B12558" t="s">
        <v>15824</v>
      </c>
      <c r="C12558">
        <v>0.71802702980599997</v>
      </c>
      <c r="D12558">
        <v>0.97082216176400005</v>
      </c>
      <c r="E12558">
        <v>5.9340000000000002</v>
      </c>
    </row>
    <row r="12559" spans="1:5">
      <c r="A12559" t="s">
        <v>41814</v>
      </c>
      <c r="B12559" t="s">
        <v>41815</v>
      </c>
      <c r="C12559">
        <v>0</v>
      </c>
      <c r="D12559">
        <v>0.42813401033499998</v>
      </c>
      <c r="E12559">
        <v>23.754000000000001</v>
      </c>
    </row>
    <row r="12560" spans="1:5">
      <c r="A12560" t="s">
        <v>41814</v>
      </c>
      <c r="B12560" t="s">
        <v>41816</v>
      </c>
      <c r="C12560">
        <f>0.157724010335</f>
        <v>0.157724010335</v>
      </c>
      <c r="D12560">
        <v>0.42813401033499998</v>
      </c>
      <c r="E12560">
        <v>23.754000000000001</v>
      </c>
    </row>
    <row r="12561" spans="1:5">
      <c r="A12561" t="s">
        <v>41814</v>
      </c>
      <c r="B12561" t="s">
        <v>41817</v>
      </c>
      <c r="C12561">
        <f>0</f>
        <v>0</v>
      </c>
      <c r="D12561">
        <v>0.42813401033499998</v>
      </c>
      <c r="E12561">
        <v>23.754000000000001</v>
      </c>
    </row>
    <row r="12562" spans="1:5">
      <c r="A12562" t="s">
        <v>41814</v>
      </c>
      <c r="B12562" t="s">
        <v>41818</v>
      </c>
      <c r="C12562">
        <f>0</f>
        <v>0</v>
      </c>
      <c r="D12562">
        <v>0.42813401033499998</v>
      </c>
      <c r="E12562">
        <v>23.754000000000001</v>
      </c>
    </row>
    <row r="12563" spans="1:5">
      <c r="A12563" t="s">
        <v>41819</v>
      </c>
      <c r="B12563" t="s">
        <v>41820</v>
      </c>
      <c r="C12563">
        <v>1.3071930036799999</v>
      </c>
      <c r="D12563">
        <v>0.98742992442999999</v>
      </c>
      <c r="E12563">
        <v>14.183999999999999</v>
      </c>
    </row>
    <row r="12564" spans="1:5">
      <c r="A12564" t="s">
        <v>41819</v>
      </c>
      <c r="B12564" t="s">
        <v>41821</v>
      </c>
      <c r="C12564">
        <f>0.7150985509</f>
        <v>0.71509855089999996</v>
      </c>
      <c r="D12564">
        <v>0.98742992442999999</v>
      </c>
      <c r="E12564">
        <v>14.183999999999999</v>
      </c>
    </row>
    <row r="12565" spans="1:5">
      <c r="A12565" t="s">
        <v>41819</v>
      </c>
      <c r="B12565" t="s">
        <v>41822</v>
      </c>
      <c r="C12565">
        <v>0.97748527714</v>
      </c>
      <c r="D12565">
        <v>0.98742992442999999</v>
      </c>
      <c r="E12565">
        <v>14.183999999999999</v>
      </c>
    </row>
    <row r="12566" spans="1:5">
      <c r="A12566" t="s">
        <v>41819</v>
      </c>
      <c r="B12566" t="s">
        <v>41823</v>
      </c>
      <c r="C12566">
        <v>0.71065168796900002</v>
      </c>
      <c r="D12566">
        <v>0.98742992442999999</v>
      </c>
      <c r="E12566">
        <v>14.183999999999999</v>
      </c>
    </row>
    <row r="12567" spans="1:5">
      <c r="A12567" t="s">
        <v>41819</v>
      </c>
      <c r="B12567" t="s">
        <v>41824</v>
      </c>
      <c r="C12567">
        <f>0.829079228634</f>
        <v>0.82907922863399997</v>
      </c>
      <c r="D12567">
        <v>0.98742992442999999</v>
      </c>
      <c r="E12567">
        <v>14.183999999999999</v>
      </c>
    </row>
    <row r="12568" spans="1:5">
      <c r="A12568" t="s">
        <v>41819</v>
      </c>
      <c r="B12568" t="s">
        <v>41825</v>
      </c>
      <c r="C12568">
        <f>0.581680679428</f>
        <v>0.58168067942799995</v>
      </c>
      <c r="D12568">
        <v>0.98742992442999999</v>
      </c>
      <c r="E12568">
        <v>14.183999999999999</v>
      </c>
    </row>
    <row r="12569" spans="1:5">
      <c r="A12569" t="s">
        <v>41826</v>
      </c>
      <c r="B12569" t="s">
        <v>4505</v>
      </c>
      <c r="C12569">
        <v>0</v>
      </c>
      <c r="D12569">
        <v>0.98081425139599998</v>
      </c>
      <c r="E12569">
        <v>24</v>
      </c>
    </row>
    <row r="12570" spans="1:5">
      <c r="A12570" t="s">
        <v>41826</v>
      </c>
      <c r="B12570" t="s">
        <v>4509</v>
      </c>
      <c r="C12570">
        <f>0</f>
        <v>0</v>
      </c>
      <c r="D12570">
        <v>0.98081425139599998</v>
      </c>
      <c r="E12570">
        <v>24</v>
      </c>
    </row>
    <row r="12571" spans="1:5">
      <c r="A12571" t="s">
        <v>41826</v>
      </c>
      <c r="B12571" t="s">
        <v>4506</v>
      </c>
      <c r="C12571">
        <f>0</f>
        <v>0</v>
      </c>
      <c r="D12571">
        <v>0.98081425139599998</v>
      </c>
      <c r="E12571">
        <v>24</v>
      </c>
    </row>
    <row r="12572" spans="1:5">
      <c r="A12572" t="s">
        <v>41826</v>
      </c>
      <c r="B12572" t="s">
        <v>4511</v>
      </c>
      <c r="C12572">
        <v>0.48445293368999998</v>
      </c>
      <c r="D12572">
        <v>0.98081425139599998</v>
      </c>
      <c r="E12572">
        <v>24</v>
      </c>
    </row>
    <row r="12573" spans="1:5">
      <c r="A12573" t="s">
        <v>41826</v>
      </c>
      <c r="B12573" t="s">
        <v>4513</v>
      </c>
      <c r="C12573">
        <f>0.224533087932</f>
        <v>0.224533087932</v>
      </c>
      <c r="D12573">
        <v>0.98081425139599998</v>
      </c>
      <c r="E12573">
        <v>24</v>
      </c>
    </row>
    <row r="12574" spans="1:5">
      <c r="A12574" t="s">
        <v>41826</v>
      </c>
      <c r="B12574" t="s">
        <v>4510</v>
      </c>
      <c r="C12574">
        <f>0</f>
        <v>0</v>
      </c>
      <c r="D12574">
        <v>0.98081425139599998</v>
      </c>
      <c r="E12574">
        <v>24</v>
      </c>
    </row>
    <row r="12575" spans="1:5">
      <c r="A12575" t="s">
        <v>41826</v>
      </c>
      <c r="B12575" t="s">
        <v>4512</v>
      </c>
      <c r="C12575">
        <f>0.412704131769</f>
        <v>0.412704131769</v>
      </c>
      <c r="D12575">
        <v>0.98081425139599998</v>
      </c>
      <c r="E12575">
        <v>24</v>
      </c>
    </row>
    <row r="12576" spans="1:5">
      <c r="A12576" t="s">
        <v>41826</v>
      </c>
      <c r="B12576" t="s">
        <v>4514</v>
      </c>
      <c r="C12576">
        <v>0.58287373677300003</v>
      </c>
      <c r="D12576">
        <v>0.98081425139599998</v>
      </c>
      <c r="E12576">
        <v>24</v>
      </c>
    </row>
    <row r="12577" spans="1:5">
      <c r="A12577" t="s">
        <v>41826</v>
      </c>
      <c r="B12577" t="s">
        <v>4515</v>
      </c>
      <c r="C12577">
        <f>0</f>
        <v>0</v>
      </c>
      <c r="D12577">
        <v>0.98081425139599998</v>
      </c>
      <c r="E12577">
        <v>24</v>
      </c>
    </row>
    <row r="12578" spans="1:5">
      <c r="A12578" t="s">
        <v>41827</v>
      </c>
      <c r="B12578" t="s">
        <v>41828</v>
      </c>
      <c r="C12578">
        <f>0</f>
        <v>0</v>
      </c>
      <c r="D12578" t="s">
        <v>106</v>
      </c>
      <c r="E12578">
        <v>3.1379999999999999</v>
      </c>
    </row>
    <row r="12579" spans="1:5">
      <c r="A12579" t="s">
        <v>41827</v>
      </c>
      <c r="B12579" t="s">
        <v>41829</v>
      </c>
      <c r="C12579">
        <v>0</v>
      </c>
      <c r="D12579" t="s">
        <v>106</v>
      </c>
      <c r="E12579">
        <v>3.1379999999999999</v>
      </c>
    </row>
    <row r="12580" spans="1:5">
      <c r="A12580" t="s">
        <v>41830</v>
      </c>
      <c r="B12580" t="s">
        <v>17435</v>
      </c>
      <c r="C12580">
        <v>0</v>
      </c>
      <c r="D12580" t="s">
        <v>106</v>
      </c>
      <c r="E12580">
        <v>0.114</v>
      </c>
    </row>
    <row r="12581" spans="1:5">
      <c r="A12581" t="s">
        <v>41830</v>
      </c>
      <c r="B12581" t="s">
        <v>17439</v>
      </c>
      <c r="C12581">
        <v>0</v>
      </c>
      <c r="D12581" t="s">
        <v>106</v>
      </c>
      <c r="E12581">
        <v>0.114</v>
      </c>
    </row>
    <row r="12582" spans="1:5">
      <c r="A12582" t="s">
        <v>41830</v>
      </c>
      <c r="B12582" t="s">
        <v>17438</v>
      </c>
      <c r="C12582">
        <v>0</v>
      </c>
      <c r="D12582" t="s">
        <v>106</v>
      </c>
      <c r="E12582">
        <v>0.114</v>
      </c>
    </row>
    <row r="12583" spans="1:5">
      <c r="A12583" t="s">
        <v>41830</v>
      </c>
      <c r="B12583" t="s">
        <v>17437</v>
      </c>
      <c r="C12583">
        <v>0</v>
      </c>
      <c r="D12583" t="s">
        <v>106</v>
      </c>
      <c r="E12583">
        <v>0.114</v>
      </c>
    </row>
    <row r="12584" spans="1:5">
      <c r="A12584" t="s">
        <v>41831</v>
      </c>
      <c r="B12584" t="s">
        <v>3047</v>
      </c>
      <c r="C12584">
        <v>0.131073433899</v>
      </c>
      <c r="D12584">
        <v>0.99839730066499999</v>
      </c>
      <c r="E12584">
        <v>11.208</v>
      </c>
    </row>
    <row r="12585" spans="1:5">
      <c r="A12585" t="s">
        <v>41831</v>
      </c>
      <c r="B12585" t="s">
        <v>3051</v>
      </c>
      <c r="C12585">
        <f>0.0637264362933</f>
        <v>6.3726436293300007E-2</v>
      </c>
      <c r="D12585">
        <v>0.99839730066499999</v>
      </c>
      <c r="E12585">
        <v>11.208</v>
      </c>
    </row>
    <row r="12586" spans="1:5">
      <c r="A12586" t="s">
        <v>41831</v>
      </c>
      <c r="B12586" t="s">
        <v>3048</v>
      </c>
      <c r="C12586">
        <v>0.54415912885100004</v>
      </c>
      <c r="D12586">
        <v>0.99839730066499999</v>
      </c>
      <c r="E12586">
        <v>11.208</v>
      </c>
    </row>
    <row r="12587" spans="1:5">
      <c r="A12587" t="s">
        <v>41831</v>
      </c>
      <c r="B12587" t="s">
        <v>3049</v>
      </c>
      <c r="C12587">
        <f>0.0422907691173</f>
        <v>4.2290769117300002E-2</v>
      </c>
      <c r="D12587">
        <v>0.99839730066499999</v>
      </c>
      <c r="E12587">
        <v>11.208</v>
      </c>
    </row>
    <row r="12588" spans="1:5">
      <c r="A12588" t="s">
        <v>41831</v>
      </c>
      <c r="B12588" t="s">
        <v>3050</v>
      </c>
      <c r="C12588">
        <v>0.38001627933999998</v>
      </c>
      <c r="D12588">
        <v>0.99839730066499999</v>
      </c>
      <c r="E12588">
        <v>11.208</v>
      </c>
    </row>
    <row r="12589" spans="1:5">
      <c r="A12589" t="s">
        <v>41832</v>
      </c>
      <c r="B12589" t="s">
        <v>30198</v>
      </c>
      <c r="C12589">
        <v>0</v>
      </c>
      <c r="D12589" t="s">
        <v>106</v>
      </c>
      <c r="E12589">
        <v>24</v>
      </c>
    </row>
    <row r="12590" spans="1:5">
      <c r="A12590" t="s">
        <v>41832</v>
      </c>
      <c r="B12590" t="s">
        <v>30199</v>
      </c>
      <c r="C12590">
        <v>0</v>
      </c>
      <c r="D12590" t="s">
        <v>106</v>
      </c>
      <c r="E12590">
        <v>24</v>
      </c>
    </row>
    <row r="12591" spans="1:5">
      <c r="A12591" t="s">
        <v>41832</v>
      </c>
      <c r="B12591" t="s">
        <v>30201</v>
      </c>
      <c r="C12591">
        <f>0</f>
        <v>0</v>
      </c>
      <c r="D12591" t="s">
        <v>106</v>
      </c>
      <c r="E12591">
        <v>24</v>
      </c>
    </row>
    <row r="12592" spans="1:5">
      <c r="A12592" t="s">
        <v>41832</v>
      </c>
      <c r="B12592" t="s">
        <v>30200</v>
      </c>
      <c r="C12592">
        <f>0</f>
        <v>0</v>
      </c>
      <c r="D12592" t="s">
        <v>106</v>
      </c>
      <c r="E12592">
        <v>24</v>
      </c>
    </row>
    <row r="12593" spans="1:5">
      <c r="A12593" t="s">
        <v>41833</v>
      </c>
      <c r="B12593" t="s">
        <v>18592</v>
      </c>
      <c r="C12593">
        <f>0.68027557989</f>
        <v>0.68027557988999998</v>
      </c>
      <c r="D12593">
        <v>0.80988557988999998</v>
      </c>
      <c r="E12593">
        <v>8.8680000000000003</v>
      </c>
    </row>
    <row r="12594" spans="1:5">
      <c r="A12594" t="s">
        <v>41833</v>
      </c>
      <c r="B12594" t="s">
        <v>18593</v>
      </c>
      <c r="C12594">
        <v>0</v>
      </c>
      <c r="D12594">
        <v>0.80988557988999998</v>
      </c>
      <c r="E12594">
        <v>8.8680000000000003</v>
      </c>
    </row>
    <row r="12595" spans="1:5">
      <c r="A12595" t="s">
        <v>41834</v>
      </c>
      <c r="B12595" t="s">
        <v>27852</v>
      </c>
      <c r="C12595">
        <v>0</v>
      </c>
      <c r="D12595">
        <v>0.855592443112</v>
      </c>
      <c r="E12595">
        <v>10.878</v>
      </c>
    </row>
    <row r="12596" spans="1:5">
      <c r="A12596" t="s">
        <v>41834</v>
      </c>
      <c r="B12596" t="s">
        <v>27855</v>
      </c>
      <c r="C12596">
        <v>0.625182443112</v>
      </c>
      <c r="D12596">
        <v>0.855592443112</v>
      </c>
      <c r="E12596">
        <v>10.878</v>
      </c>
    </row>
    <row r="12597" spans="1:5">
      <c r="A12597" t="s">
        <v>41834</v>
      </c>
      <c r="B12597" t="s">
        <v>27854</v>
      </c>
      <c r="C12597">
        <v>0</v>
      </c>
      <c r="D12597">
        <v>0.855592443112</v>
      </c>
      <c r="E12597">
        <v>10.878</v>
      </c>
    </row>
    <row r="12598" spans="1:5">
      <c r="A12598" t="s">
        <v>41834</v>
      </c>
      <c r="B12598" t="s">
        <v>27853</v>
      </c>
      <c r="C12598">
        <f>0</f>
        <v>0</v>
      </c>
      <c r="D12598">
        <v>0.855592443112</v>
      </c>
      <c r="E12598">
        <v>10.878</v>
      </c>
    </row>
    <row r="12599" spans="1:5">
      <c r="A12599" t="s">
        <v>41834</v>
      </c>
      <c r="B12599" t="s">
        <v>27857</v>
      </c>
      <c r="C12599">
        <v>0</v>
      </c>
      <c r="D12599">
        <v>0.855592443112</v>
      </c>
      <c r="E12599">
        <v>10.878</v>
      </c>
    </row>
    <row r="12600" spans="1:5">
      <c r="A12600" t="s">
        <v>41834</v>
      </c>
      <c r="B12600" t="s">
        <v>27856</v>
      </c>
      <c r="C12600">
        <v>0</v>
      </c>
      <c r="D12600">
        <v>0.855592443112</v>
      </c>
      <c r="E12600">
        <v>10.878</v>
      </c>
    </row>
    <row r="12601" spans="1:5">
      <c r="A12601" t="s">
        <v>41834</v>
      </c>
      <c r="B12601" t="s">
        <v>27858</v>
      </c>
      <c r="C12601">
        <f>0</f>
        <v>0</v>
      </c>
      <c r="D12601">
        <v>0.855592443112</v>
      </c>
      <c r="E12601">
        <v>10.878</v>
      </c>
    </row>
    <row r="12602" spans="1:5">
      <c r="A12602" t="s">
        <v>41835</v>
      </c>
      <c r="B12602" t="s">
        <v>41836</v>
      </c>
      <c r="C12602">
        <f>0</f>
        <v>0</v>
      </c>
      <c r="D12602" t="s">
        <v>106</v>
      </c>
      <c r="E12602">
        <v>21.648</v>
      </c>
    </row>
    <row r="12603" spans="1:5">
      <c r="A12603" t="s">
        <v>41835</v>
      </c>
      <c r="B12603" t="s">
        <v>41837</v>
      </c>
      <c r="C12603">
        <f>0</f>
        <v>0</v>
      </c>
      <c r="D12603" t="s">
        <v>106</v>
      </c>
      <c r="E12603">
        <v>21.648</v>
      </c>
    </row>
    <row r="12604" spans="1:5">
      <c r="A12604" t="s">
        <v>41835</v>
      </c>
      <c r="B12604" t="s">
        <v>41838</v>
      </c>
      <c r="C12604">
        <v>0</v>
      </c>
      <c r="D12604" t="s">
        <v>106</v>
      </c>
      <c r="E12604">
        <v>21.648</v>
      </c>
    </row>
    <row r="12605" spans="1:5">
      <c r="A12605" t="s">
        <v>41839</v>
      </c>
      <c r="B12605" t="s">
        <v>26564</v>
      </c>
      <c r="C12605">
        <v>0</v>
      </c>
      <c r="D12605" t="s">
        <v>106</v>
      </c>
      <c r="E12605">
        <v>24</v>
      </c>
    </row>
    <row r="12606" spans="1:5">
      <c r="A12606" t="s">
        <v>41839</v>
      </c>
      <c r="B12606" t="s">
        <v>26563</v>
      </c>
      <c r="C12606">
        <f>0</f>
        <v>0</v>
      </c>
      <c r="D12606" t="s">
        <v>106</v>
      </c>
      <c r="E12606">
        <v>24</v>
      </c>
    </row>
    <row r="12607" spans="1:5">
      <c r="A12607" t="s">
        <v>41839</v>
      </c>
      <c r="B12607" t="s">
        <v>26559</v>
      </c>
      <c r="C12607">
        <v>0</v>
      </c>
      <c r="D12607" t="s">
        <v>106</v>
      </c>
      <c r="E12607">
        <v>24</v>
      </c>
    </row>
    <row r="12608" spans="1:5">
      <c r="A12608" t="s">
        <v>41839</v>
      </c>
      <c r="B12608" t="s">
        <v>26561</v>
      </c>
      <c r="C12608">
        <f>0</f>
        <v>0</v>
      </c>
      <c r="D12608" t="s">
        <v>106</v>
      </c>
      <c r="E12608">
        <v>24</v>
      </c>
    </row>
    <row r="12609" spans="1:5">
      <c r="A12609" t="s">
        <v>41839</v>
      </c>
      <c r="B12609" t="s">
        <v>26565</v>
      </c>
      <c r="C12609">
        <f>0</f>
        <v>0</v>
      </c>
      <c r="D12609" t="s">
        <v>106</v>
      </c>
      <c r="E12609">
        <v>24</v>
      </c>
    </row>
    <row r="12610" spans="1:5">
      <c r="A12610" t="s">
        <v>41840</v>
      </c>
      <c r="B12610" t="s">
        <v>15388</v>
      </c>
      <c r="C12610">
        <f>0</f>
        <v>0</v>
      </c>
      <c r="D12610">
        <v>0.86581620939500004</v>
      </c>
      <c r="E12610">
        <v>9.7739999999999991</v>
      </c>
    </row>
    <row r="12611" spans="1:5">
      <c r="A12611" t="s">
        <v>41840</v>
      </c>
      <c r="B12611" t="s">
        <v>15386</v>
      </c>
      <c r="C12611">
        <v>0.306880141138</v>
      </c>
      <c r="D12611">
        <v>0.86581620939500004</v>
      </c>
      <c r="E12611">
        <v>9.7739999999999991</v>
      </c>
    </row>
    <row r="12612" spans="1:5">
      <c r="A12612" t="s">
        <v>41840</v>
      </c>
      <c r="B12612" t="s">
        <v>15385</v>
      </c>
      <c r="C12612">
        <v>0</v>
      </c>
      <c r="D12612">
        <v>0.86581620939500004</v>
      </c>
      <c r="E12612">
        <v>9.7739999999999991</v>
      </c>
    </row>
    <row r="12613" spans="1:5">
      <c r="A12613" t="s">
        <v>41840</v>
      </c>
      <c r="B12613" t="s">
        <v>15387</v>
      </c>
      <c r="C12613">
        <v>0</v>
      </c>
      <c r="D12613">
        <v>0.86581620939500004</v>
      </c>
      <c r="E12613">
        <v>9.7739999999999991</v>
      </c>
    </row>
    <row r="12614" spans="1:5">
      <c r="A12614" t="s">
        <v>41840</v>
      </c>
      <c r="B12614" t="s">
        <v>15390</v>
      </c>
      <c r="C12614">
        <f>0.264898306591</f>
        <v>0.264898306591</v>
      </c>
      <c r="D12614">
        <v>0.86581620939500004</v>
      </c>
      <c r="E12614">
        <v>9.7739999999999991</v>
      </c>
    </row>
    <row r="12615" spans="1:5">
      <c r="A12615" t="s">
        <v>41840</v>
      </c>
      <c r="B12615" t="s">
        <v>15389</v>
      </c>
      <c r="C12615">
        <f>0</f>
        <v>0</v>
      </c>
      <c r="D12615">
        <v>0.86581620939500004</v>
      </c>
      <c r="E12615">
        <v>9.7739999999999991</v>
      </c>
    </row>
    <row r="12616" spans="1:5">
      <c r="A12616" t="s">
        <v>41841</v>
      </c>
      <c r="B12616" t="s">
        <v>41842</v>
      </c>
      <c r="C12616">
        <f>0.964435850465</f>
        <v>0.96443585046500002</v>
      </c>
      <c r="D12616">
        <v>0.68110705756800005</v>
      </c>
      <c r="E12616">
        <v>23.754000000000001</v>
      </c>
    </row>
    <row r="12617" spans="1:5">
      <c r="A12617" t="s">
        <v>41841</v>
      </c>
      <c r="B12617" t="s">
        <v>41843</v>
      </c>
      <c r="C12617">
        <v>0.67288791293299999</v>
      </c>
      <c r="D12617">
        <v>0.68110705756800005</v>
      </c>
      <c r="E12617">
        <v>23.754000000000001</v>
      </c>
    </row>
    <row r="12618" spans="1:5">
      <c r="A12618" t="s">
        <v>41844</v>
      </c>
      <c r="B12618" t="s">
        <v>9064</v>
      </c>
      <c r="C12618">
        <v>0</v>
      </c>
      <c r="D12618">
        <v>0.91830479899799999</v>
      </c>
      <c r="E12618">
        <v>23.754000000000001</v>
      </c>
    </row>
    <row r="12619" spans="1:5">
      <c r="A12619" t="s">
        <v>41844</v>
      </c>
      <c r="B12619" t="s">
        <v>9065</v>
      </c>
      <c r="C12619">
        <f>0.332901571362</f>
        <v>0.33290157136199999</v>
      </c>
      <c r="D12619">
        <v>0.91830479899799999</v>
      </c>
      <c r="E12619">
        <v>23.754000000000001</v>
      </c>
    </row>
    <row r="12620" spans="1:5">
      <c r="A12620" t="s">
        <v>41844</v>
      </c>
      <c r="B12620" t="s">
        <v>9072</v>
      </c>
      <c r="C12620">
        <v>0</v>
      </c>
      <c r="D12620">
        <v>0.91830479899799999</v>
      </c>
      <c r="E12620">
        <v>23.754000000000001</v>
      </c>
    </row>
    <row r="12621" spans="1:5">
      <c r="A12621" t="s">
        <v>41844</v>
      </c>
      <c r="B12621" t="s">
        <v>9066</v>
      </c>
      <c r="C12621">
        <f>0</f>
        <v>0</v>
      </c>
      <c r="D12621">
        <v>0.91830479899799999</v>
      </c>
      <c r="E12621">
        <v>23.754000000000001</v>
      </c>
    </row>
    <row r="12622" spans="1:5">
      <c r="A12622" t="s">
        <v>41844</v>
      </c>
      <c r="B12622" t="s">
        <v>9071</v>
      </c>
      <c r="C12622">
        <f>0.614726779087</f>
        <v>0.61472677908700002</v>
      </c>
      <c r="D12622">
        <v>0.91830479899799999</v>
      </c>
      <c r="E12622">
        <v>23.754000000000001</v>
      </c>
    </row>
    <row r="12623" spans="1:5">
      <c r="A12623" t="s">
        <v>41845</v>
      </c>
      <c r="B12623" t="s">
        <v>41846</v>
      </c>
      <c r="C12623">
        <f>0.288851501586</f>
        <v>0.28885150158599998</v>
      </c>
      <c r="D12623">
        <v>0.96151541152099995</v>
      </c>
      <c r="E12623">
        <v>7.734</v>
      </c>
    </row>
    <row r="12624" spans="1:5">
      <c r="A12624" t="s">
        <v>41845</v>
      </c>
      <c r="B12624" t="s">
        <v>41847</v>
      </c>
      <c r="C12624">
        <v>1.3420849318500001</v>
      </c>
      <c r="D12624">
        <v>0.96151541152099995</v>
      </c>
      <c r="E12624">
        <v>7.734</v>
      </c>
    </row>
    <row r="12625" spans="1:5">
      <c r="A12625" t="s">
        <v>41845</v>
      </c>
      <c r="B12625" t="s">
        <v>41848</v>
      </c>
      <c r="C12625">
        <v>0</v>
      </c>
      <c r="D12625">
        <v>0.96151541152099995</v>
      </c>
      <c r="E12625">
        <v>7.734</v>
      </c>
    </row>
    <row r="12626" spans="1:5">
      <c r="A12626" t="s">
        <v>41845</v>
      </c>
      <c r="B12626" t="s">
        <v>41849</v>
      </c>
      <c r="C12626">
        <v>0</v>
      </c>
      <c r="D12626">
        <v>0.96151541152099995</v>
      </c>
      <c r="E12626">
        <v>7.734</v>
      </c>
    </row>
    <row r="12627" spans="1:5">
      <c r="A12627" t="s">
        <v>41845</v>
      </c>
      <c r="B12627" t="s">
        <v>41850</v>
      </c>
      <c r="C12627">
        <f>-1.15347217401</f>
        <v>-1.15347217401</v>
      </c>
      <c r="D12627">
        <v>0.96151541152099995</v>
      </c>
      <c r="E12627">
        <v>7.734</v>
      </c>
    </row>
    <row r="12628" spans="1:5">
      <c r="A12628" t="s">
        <v>41845</v>
      </c>
      <c r="B12628" t="s">
        <v>41851</v>
      </c>
      <c r="C12628">
        <f>0</f>
        <v>0</v>
      </c>
      <c r="D12628">
        <v>0.96151541152099995</v>
      </c>
      <c r="E12628">
        <v>7.734</v>
      </c>
    </row>
    <row r="12629" spans="1:5">
      <c r="A12629" t="s">
        <v>41845</v>
      </c>
      <c r="B12629" t="s">
        <v>41852</v>
      </c>
      <c r="C12629">
        <f>0.927368948013</f>
        <v>0.92736894801299996</v>
      </c>
      <c r="D12629">
        <v>0.96151541152099995</v>
      </c>
      <c r="E12629">
        <v>7.734</v>
      </c>
    </row>
    <row r="12630" spans="1:5">
      <c r="A12630" t="s">
        <v>41853</v>
      </c>
      <c r="B12630" t="s">
        <v>41854</v>
      </c>
      <c r="C12630">
        <v>0.77474261314100001</v>
      </c>
      <c r="D12630">
        <v>0.782508588211</v>
      </c>
      <c r="E12630">
        <v>2.718</v>
      </c>
    </row>
    <row r="12631" spans="1:5">
      <c r="A12631" t="s">
        <v>41853</v>
      </c>
      <c r="B12631" t="s">
        <v>41855</v>
      </c>
      <c r="C12631">
        <f>0.086643685367</f>
        <v>8.6643685366999998E-2</v>
      </c>
      <c r="D12631">
        <v>0.782508588211</v>
      </c>
      <c r="E12631">
        <v>2.718</v>
      </c>
    </row>
    <row r="12632" spans="1:5">
      <c r="A12632" t="s">
        <v>41856</v>
      </c>
      <c r="B12632" t="s">
        <v>41857</v>
      </c>
      <c r="C12632">
        <f>0</f>
        <v>0</v>
      </c>
      <c r="D12632">
        <v>0.85834937536300004</v>
      </c>
      <c r="E12632">
        <v>23.754000000000001</v>
      </c>
    </row>
    <row r="12633" spans="1:5">
      <c r="A12633" t="s">
        <v>41856</v>
      </c>
      <c r="B12633" t="s">
        <v>41858</v>
      </c>
      <c r="C12633">
        <f>0.180187383368</f>
        <v>0.180187383368</v>
      </c>
      <c r="D12633">
        <v>0.85834937536300004</v>
      </c>
      <c r="E12633">
        <v>23.754000000000001</v>
      </c>
    </row>
    <row r="12634" spans="1:5">
      <c r="A12634" t="s">
        <v>41856</v>
      </c>
      <c r="B12634" t="s">
        <v>41859</v>
      </c>
      <c r="C12634">
        <f>0</f>
        <v>0</v>
      </c>
      <c r="D12634">
        <v>0.85834937536300004</v>
      </c>
      <c r="E12634">
        <v>23.754000000000001</v>
      </c>
    </row>
    <row r="12635" spans="1:5">
      <c r="A12635" t="s">
        <v>41856</v>
      </c>
      <c r="B12635" t="s">
        <v>41860</v>
      </c>
      <c r="C12635">
        <f>0.63649778444</f>
        <v>0.63649778444000005</v>
      </c>
      <c r="D12635">
        <v>0.85834937536300004</v>
      </c>
      <c r="E12635">
        <v>23.754000000000001</v>
      </c>
    </row>
    <row r="12636" spans="1:5">
      <c r="A12636" t="s">
        <v>41861</v>
      </c>
      <c r="B12636" t="s">
        <v>21469</v>
      </c>
      <c r="C12636">
        <v>0.48820351368699999</v>
      </c>
      <c r="D12636">
        <v>0.70054763064600001</v>
      </c>
      <c r="E12636">
        <v>13.092000000000001</v>
      </c>
    </row>
    <row r="12637" spans="1:5">
      <c r="A12637" t="s">
        <v>41861</v>
      </c>
      <c r="B12637" t="s">
        <v>21470</v>
      </c>
      <c r="C12637">
        <v>0.168036426717</v>
      </c>
      <c r="D12637">
        <v>0.70054763064600001</v>
      </c>
      <c r="E12637">
        <v>13.092000000000001</v>
      </c>
    </row>
    <row r="12638" spans="1:5">
      <c r="A12638" t="s">
        <v>41862</v>
      </c>
      <c r="B12638" t="s">
        <v>24389</v>
      </c>
      <c r="C12638">
        <f>0</f>
        <v>0</v>
      </c>
      <c r="D12638">
        <v>0.37219934896500001</v>
      </c>
      <c r="E12638">
        <v>3.6840000000000002</v>
      </c>
    </row>
    <row r="12639" spans="1:5">
      <c r="A12639" t="s">
        <v>41862</v>
      </c>
      <c r="B12639" t="s">
        <v>24394</v>
      </c>
      <c r="C12639">
        <f>0</f>
        <v>0</v>
      </c>
      <c r="D12639">
        <v>0.37219934896500001</v>
      </c>
      <c r="E12639">
        <v>3.6840000000000002</v>
      </c>
    </row>
    <row r="12640" spans="1:5">
      <c r="A12640" t="s">
        <v>41862</v>
      </c>
      <c r="B12640" t="s">
        <v>24393</v>
      </c>
      <c r="C12640">
        <v>0.17858934896500001</v>
      </c>
      <c r="D12640">
        <v>0.37219934896500001</v>
      </c>
      <c r="E12640">
        <v>3.6840000000000002</v>
      </c>
    </row>
    <row r="12641" spans="1:5">
      <c r="A12641" t="s">
        <v>41863</v>
      </c>
      <c r="B12641" t="s">
        <v>2605</v>
      </c>
      <c r="C12641">
        <v>0</v>
      </c>
      <c r="D12641">
        <v>0.87184379874700002</v>
      </c>
      <c r="E12641">
        <v>19.416</v>
      </c>
    </row>
    <row r="12642" spans="1:5">
      <c r="A12642" t="s">
        <v>41863</v>
      </c>
      <c r="B12642" t="s">
        <v>2606</v>
      </c>
      <c r="C12642">
        <v>0.76943379874700002</v>
      </c>
      <c r="D12642">
        <v>0.87184379874700002</v>
      </c>
      <c r="E12642">
        <v>19.416</v>
      </c>
    </row>
    <row r="12643" spans="1:5">
      <c r="A12643" t="s">
        <v>41864</v>
      </c>
      <c r="B12643" t="s">
        <v>25782</v>
      </c>
      <c r="C12643">
        <v>0.67378013875300002</v>
      </c>
      <c r="D12643">
        <v>0.90315425548600003</v>
      </c>
      <c r="E12643">
        <v>3.0539999999999998</v>
      </c>
    </row>
    <row r="12644" spans="1:5">
      <c r="A12644" t="s">
        <v>41864</v>
      </c>
      <c r="B12644" t="s">
        <v>25777</v>
      </c>
      <c r="C12644">
        <v>0.44030371115200001</v>
      </c>
      <c r="D12644">
        <v>0.90315425548600003</v>
      </c>
      <c r="E12644">
        <v>3.0539999999999998</v>
      </c>
    </row>
    <row r="12645" spans="1:5">
      <c r="A12645" t="s">
        <v>41864</v>
      </c>
      <c r="B12645" t="s">
        <v>25776</v>
      </c>
      <c r="C12645">
        <f>0.320928102446</f>
        <v>0.32092810244600001</v>
      </c>
      <c r="D12645">
        <v>0.90315425548600003</v>
      </c>
      <c r="E12645">
        <v>3.0539999999999998</v>
      </c>
    </row>
    <row r="12646" spans="1:5">
      <c r="A12646" t="s">
        <v>41865</v>
      </c>
      <c r="B12646" t="s">
        <v>41866</v>
      </c>
      <c r="C12646">
        <v>0.31142930022900001</v>
      </c>
      <c r="D12646">
        <v>0.62503930022900001</v>
      </c>
      <c r="E12646">
        <v>2.25</v>
      </c>
    </row>
    <row r="12647" spans="1:5">
      <c r="A12647" t="s">
        <v>41865</v>
      </c>
      <c r="B12647" t="s">
        <v>41867</v>
      </c>
      <c r="C12647">
        <f>0</f>
        <v>0</v>
      </c>
      <c r="D12647">
        <v>0.62503930022900001</v>
      </c>
      <c r="E12647">
        <v>2.25</v>
      </c>
    </row>
    <row r="12648" spans="1:5">
      <c r="A12648" t="s">
        <v>41865</v>
      </c>
      <c r="B12648" t="s">
        <v>41868</v>
      </c>
      <c r="C12648">
        <v>0</v>
      </c>
      <c r="D12648">
        <v>0.62503930022900001</v>
      </c>
      <c r="E12648">
        <v>2.25</v>
      </c>
    </row>
    <row r="12649" spans="1:5">
      <c r="A12649" t="s">
        <v>41869</v>
      </c>
      <c r="B12649" t="s">
        <v>41870</v>
      </c>
      <c r="C12649">
        <f>0.318940140364</f>
        <v>0.31894014036399998</v>
      </c>
      <c r="D12649">
        <v>0.99011535125700001</v>
      </c>
      <c r="E12649">
        <v>0</v>
      </c>
    </row>
    <row r="12650" spans="1:5">
      <c r="A12650" t="s">
        <v>41869</v>
      </c>
      <c r="B12650" t="s">
        <v>41871</v>
      </c>
      <c r="C12650">
        <f>0</f>
        <v>0</v>
      </c>
      <c r="D12650">
        <v>0.99011535125700001</v>
      </c>
      <c r="E12650">
        <v>0</v>
      </c>
    </row>
    <row r="12651" spans="1:5">
      <c r="A12651" t="s">
        <v>41869</v>
      </c>
      <c r="B12651" t="s">
        <v>41872</v>
      </c>
      <c r="C12651">
        <v>0</v>
      </c>
      <c r="D12651">
        <v>0.99011535125700001</v>
      </c>
      <c r="E12651">
        <v>0</v>
      </c>
    </row>
    <row r="12652" spans="1:5">
      <c r="A12652" t="s">
        <v>41869</v>
      </c>
      <c r="B12652" t="s">
        <v>41873</v>
      </c>
      <c r="C12652">
        <v>0.61747456101499998</v>
      </c>
      <c r="D12652">
        <v>0.99011535125700001</v>
      </c>
      <c r="E12652">
        <v>0</v>
      </c>
    </row>
    <row r="12653" spans="1:5">
      <c r="A12653" t="s">
        <v>41869</v>
      </c>
      <c r="B12653" t="s">
        <v>41874</v>
      </c>
      <c r="C12653">
        <f>0.0328387947866</f>
        <v>3.2838794786599998E-2</v>
      </c>
      <c r="D12653">
        <v>0.99011535125700001</v>
      </c>
      <c r="E12653">
        <v>0</v>
      </c>
    </row>
    <row r="12654" spans="1:5">
      <c r="A12654" t="s">
        <v>41869</v>
      </c>
      <c r="B12654" t="s">
        <v>41875</v>
      </c>
      <c r="C12654">
        <v>0.13198935564399999</v>
      </c>
      <c r="D12654">
        <v>0.99011535125700001</v>
      </c>
      <c r="E12654">
        <v>0</v>
      </c>
    </row>
    <row r="12655" spans="1:5">
      <c r="A12655" t="s">
        <v>41876</v>
      </c>
      <c r="B12655" t="s">
        <v>26851</v>
      </c>
      <c r="C12655">
        <f>0</f>
        <v>0</v>
      </c>
      <c r="D12655">
        <v>0.77268875021500005</v>
      </c>
      <c r="E12655">
        <v>24</v>
      </c>
    </row>
    <row r="12656" spans="1:5">
      <c r="A12656" t="s">
        <v>41876</v>
      </c>
      <c r="B12656" t="s">
        <v>26856</v>
      </c>
      <c r="C12656">
        <f>0</f>
        <v>0</v>
      </c>
      <c r="D12656">
        <v>0.77268875021500005</v>
      </c>
      <c r="E12656">
        <v>24</v>
      </c>
    </row>
    <row r="12657" spans="1:5">
      <c r="A12657" t="s">
        <v>41876</v>
      </c>
      <c r="B12657" t="s">
        <v>26855</v>
      </c>
      <c r="C12657">
        <v>0.132678750215</v>
      </c>
      <c r="D12657">
        <v>0.77268875021500005</v>
      </c>
      <c r="E12657">
        <v>24</v>
      </c>
    </row>
    <row r="12658" spans="1:5">
      <c r="A12658" t="s">
        <v>41876</v>
      </c>
      <c r="B12658" t="s">
        <v>26853</v>
      </c>
      <c r="C12658">
        <v>0</v>
      </c>
      <c r="D12658">
        <v>0.77268875021500005</v>
      </c>
      <c r="E12658">
        <v>24</v>
      </c>
    </row>
    <row r="12659" spans="1:5">
      <c r="A12659" t="s">
        <v>41877</v>
      </c>
      <c r="B12659" t="s">
        <v>41878</v>
      </c>
      <c r="C12659">
        <v>0.623605776512</v>
      </c>
      <c r="D12659">
        <v>0.88912754838600006</v>
      </c>
      <c r="E12659">
        <v>0.34799999999999998</v>
      </c>
    </row>
    <row r="12660" spans="1:5">
      <c r="A12660" t="s">
        <v>41877</v>
      </c>
      <c r="B12660" t="s">
        <v>41879</v>
      </c>
      <c r="C12660">
        <f>0</f>
        <v>0</v>
      </c>
      <c r="D12660">
        <v>0.88912754838600006</v>
      </c>
      <c r="E12660">
        <v>0.34799999999999998</v>
      </c>
    </row>
    <row r="12661" spans="1:5">
      <c r="A12661" t="s">
        <v>41877</v>
      </c>
      <c r="B12661" t="s">
        <v>41880</v>
      </c>
      <c r="C12661">
        <v>0.225981520012</v>
      </c>
      <c r="D12661">
        <v>0.88912754838600006</v>
      </c>
      <c r="E12661">
        <v>0.34799999999999998</v>
      </c>
    </row>
    <row r="12662" spans="1:5">
      <c r="A12662" t="s">
        <v>41877</v>
      </c>
      <c r="B12662" t="s">
        <v>41881</v>
      </c>
      <c r="C12662">
        <v>0</v>
      </c>
      <c r="D12662">
        <v>0.88912754838600006</v>
      </c>
      <c r="E12662">
        <v>0.34799999999999998</v>
      </c>
    </row>
    <row r="12663" spans="1:5">
      <c r="A12663" t="s">
        <v>41877</v>
      </c>
      <c r="B12663" t="s">
        <v>41882</v>
      </c>
      <c r="C12663">
        <v>0</v>
      </c>
      <c r="D12663">
        <v>0.88912754838600006</v>
      </c>
      <c r="E12663">
        <v>0.34799999999999998</v>
      </c>
    </row>
    <row r="12664" spans="1:5">
      <c r="A12664" t="s">
        <v>41883</v>
      </c>
      <c r="B12664" t="s">
        <v>41884</v>
      </c>
      <c r="C12664">
        <f>0.0231681529498</f>
        <v>2.31681529498E-2</v>
      </c>
      <c r="D12664">
        <v>0.99999288750000004</v>
      </c>
      <c r="E12664">
        <v>24</v>
      </c>
    </row>
    <row r="12665" spans="1:5">
      <c r="A12665" t="s">
        <v>41883</v>
      </c>
      <c r="B12665" t="s">
        <v>41885</v>
      </c>
      <c r="C12665">
        <f>0.234640761288</f>
        <v>0.23464076128799999</v>
      </c>
      <c r="D12665">
        <v>0.99999288750000004</v>
      </c>
      <c r="E12665">
        <v>24</v>
      </c>
    </row>
    <row r="12666" spans="1:5">
      <c r="A12666" t="s">
        <v>41883</v>
      </c>
      <c r="B12666" t="s">
        <v>41886</v>
      </c>
      <c r="C12666">
        <f>0</f>
        <v>0</v>
      </c>
      <c r="D12666">
        <v>0.99999288750000004</v>
      </c>
      <c r="E12666">
        <v>24</v>
      </c>
    </row>
    <row r="12667" spans="1:5">
      <c r="A12667" t="s">
        <v>41883</v>
      </c>
      <c r="B12667" t="s">
        <v>41887</v>
      </c>
      <c r="C12667">
        <v>7.1183253928299994E-2</v>
      </c>
      <c r="D12667">
        <v>0.99999288750000004</v>
      </c>
      <c r="E12667">
        <v>24</v>
      </c>
    </row>
    <row r="12668" spans="1:5">
      <c r="A12668" t="s">
        <v>41883</v>
      </c>
      <c r="B12668" t="s">
        <v>41888</v>
      </c>
      <c r="C12668">
        <v>0</v>
      </c>
      <c r="D12668">
        <v>0.99999288750000004</v>
      </c>
      <c r="E12668">
        <v>24</v>
      </c>
    </row>
    <row r="12669" spans="1:5">
      <c r="A12669" t="s">
        <v>41883</v>
      </c>
      <c r="B12669" t="s">
        <v>41889</v>
      </c>
      <c r="C12669">
        <v>0</v>
      </c>
      <c r="D12669">
        <v>0.99999288750000004</v>
      </c>
      <c r="E12669">
        <v>24</v>
      </c>
    </row>
    <row r="12670" spans="1:5">
      <c r="A12670" t="s">
        <v>41883</v>
      </c>
      <c r="B12670" t="s">
        <v>41890</v>
      </c>
      <c r="C12670">
        <v>0</v>
      </c>
      <c r="D12670">
        <v>0.99999288750000004</v>
      </c>
      <c r="E12670">
        <v>24</v>
      </c>
    </row>
    <row r="12671" spans="1:5">
      <c r="A12671" t="s">
        <v>41883</v>
      </c>
      <c r="B12671" t="s">
        <v>41891</v>
      </c>
      <c r="C12671">
        <f>0.0250741259262</f>
        <v>2.5074125926200001E-2</v>
      </c>
      <c r="D12671">
        <v>0.99999288750000004</v>
      </c>
      <c r="E12671">
        <v>24</v>
      </c>
    </row>
    <row r="12672" spans="1:5">
      <c r="A12672" t="s">
        <v>41883</v>
      </c>
      <c r="B12672" t="s">
        <v>41892</v>
      </c>
      <c r="C12672">
        <v>0.11678665800099999</v>
      </c>
      <c r="D12672">
        <v>0.99999288750000004</v>
      </c>
      <c r="E12672">
        <v>24</v>
      </c>
    </row>
    <row r="12673" spans="1:5">
      <c r="A12673" t="s">
        <v>41883</v>
      </c>
      <c r="B12673" t="s">
        <v>41893</v>
      </c>
      <c r="C12673">
        <v>0.44194618338300001</v>
      </c>
      <c r="D12673">
        <v>0.99999288750000004</v>
      </c>
      <c r="E12673">
        <v>24</v>
      </c>
    </row>
    <row r="12674" spans="1:5">
      <c r="A12674" t="s">
        <v>41883</v>
      </c>
      <c r="B12674" t="s">
        <v>41894</v>
      </c>
      <c r="C12674">
        <f>0</f>
        <v>0</v>
      </c>
      <c r="D12674">
        <v>0.99999288750000004</v>
      </c>
      <c r="E12674">
        <v>24</v>
      </c>
    </row>
    <row r="12675" spans="1:5">
      <c r="A12675" t="s">
        <v>41883</v>
      </c>
      <c r="B12675" t="s">
        <v>41895</v>
      </c>
      <c r="C12675">
        <f>0</f>
        <v>0</v>
      </c>
      <c r="D12675">
        <v>0.99999288750000004</v>
      </c>
      <c r="E12675">
        <v>24</v>
      </c>
    </row>
    <row r="12676" spans="1:5">
      <c r="A12676" t="s">
        <v>41883</v>
      </c>
      <c r="B12676" t="s">
        <v>41896</v>
      </c>
      <c r="C12676">
        <f>0.9724631522</f>
        <v>0.97246315220000001</v>
      </c>
      <c r="D12676">
        <v>0.99999288750000004</v>
      </c>
      <c r="E12676">
        <v>24</v>
      </c>
    </row>
    <row r="12677" spans="1:5">
      <c r="A12677" t="s">
        <v>41883</v>
      </c>
      <c r="B12677" t="s">
        <v>41897</v>
      </c>
      <c r="C12677">
        <v>0</v>
      </c>
      <c r="D12677">
        <v>0.99999288750000004</v>
      </c>
      <c r="E12677">
        <v>24</v>
      </c>
    </row>
    <row r="12678" spans="1:5">
      <c r="A12678" t="s">
        <v>41883</v>
      </c>
      <c r="B12678" t="s">
        <v>41898</v>
      </c>
      <c r="C12678">
        <v>0.27783838026199997</v>
      </c>
      <c r="D12678">
        <v>0.99999288750000004</v>
      </c>
      <c r="E12678">
        <v>24</v>
      </c>
    </row>
    <row r="12679" spans="1:5">
      <c r="A12679" t="s">
        <v>41883</v>
      </c>
      <c r="B12679" t="s">
        <v>41899</v>
      </c>
      <c r="C12679">
        <v>0.17998883762500001</v>
      </c>
      <c r="D12679">
        <v>0.99999288750000004</v>
      </c>
      <c r="E12679">
        <v>24</v>
      </c>
    </row>
    <row r="12680" spans="1:5">
      <c r="A12680" t="s">
        <v>41883</v>
      </c>
      <c r="B12680" t="s">
        <v>41900</v>
      </c>
      <c r="C12680">
        <v>0</v>
      </c>
      <c r="D12680">
        <v>0.99999288750000004</v>
      </c>
      <c r="E12680">
        <v>24</v>
      </c>
    </row>
    <row r="12681" spans="1:5">
      <c r="A12681" t="s">
        <v>41901</v>
      </c>
      <c r="B12681" t="s">
        <v>41902</v>
      </c>
      <c r="C12681">
        <v>0.85199400567500005</v>
      </c>
      <c r="D12681">
        <v>0.94925154739399997</v>
      </c>
      <c r="E12681">
        <v>1.278</v>
      </c>
    </row>
    <row r="12682" spans="1:5">
      <c r="A12682" t="s">
        <v>41901</v>
      </c>
      <c r="B12682" t="s">
        <v>41903</v>
      </c>
      <c r="C12682">
        <f>0.43688311572</f>
        <v>0.43688311571999999</v>
      </c>
      <c r="D12682">
        <v>0.94925154739399997</v>
      </c>
      <c r="E12682">
        <v>1.278</v>
      </c>
    </row>
    <row r="12683" spans="1:5">
      <c r="A12683" t="s">
        <v>41901</v>
      </c>
      <c r="B12683" t="s">
        <v>41904</v>
      </c>
      <c r="C12683">
        <f>0.0567088935576</f>
        <v>5.6708893557599997E-2</v>
      </c>
      <c r="D12683">
        <v>0.94925154739399997</v>
      </c>
      <c r="E12683">
        <v>1.278</v>
      </c>
    </row>
    <row r="12684" spans="1:5">
      <c r="A12684" t="s">
        <v>41901</v>
      </c>
      <c r="B12684" t="s">
        <v>41905</v>
      </c>
      <c r="C12684">
        <f>0.334768658497</f>
        <v>0.33476865849699999</v>
      </c>
      <c r="D12684">
        <v>0.94925154739399997</v>
      </c>
      <c r="E12684">
        <v>1.278</v>
      </c>
    </row>
    <row r="12685" spans="1:5">
      <c r="A12685" t="s">
        <v>41901</v>
      </c>
      <c r="B12685" t="s">
        <v>41906</v>
      </c>
      <c r="C12685">
        <v>0.31793731139600001</v>
      </c>
      <c r="D12685">
        <v>0.94925154739399997</v>
      </c>
      <c r="E12685">
        <v>1.278</v>
      </c>
    </row>
    <row r="12686" spans="1:5">
      <c r="A12686" t="s">
        <v>41907</v>
      </c>
      <c r="B12686" t="s">
        <v>41908</v>
      </c>
      <c r="C12686">
        <v>0</v>
      </c>
      <c r="D12686" t="s">
        <v>106</v>
      </c>
      <c r="E12686">
        <v>18.347999999999999</v>
      </c>
    </row>
    <row r="12687" spans="1:5">
      <c r="A12687" t="s">
        <v>41907</v>
      </c>
      <c r="B12687" t="s">
        <v>41909</v>
      </c>
      <c r="C12687">
        <f>0</f>
        <v>0</v>
      </c>
      <c r="D12687" t="s">
        <v>106</v>
      </c>
      <c r="E12687">
        <v>18.347999999999999</v>
      </c>
    </row>
    <row r="12688" spans="1:5">
      <c r="A12688" t="s">
        <v>41907</v>
      </c>
      <c r="B12688" t="s">
        <v>41910</v>
      </c>
      <c r="C12688">
        <v>0</v>
      </c>
      <c r="D12688" t="s">
        <v>106</v>
      </c>
      <c r="E12688">
        <v>18.347999999999999</v>
      </c>
    </row>
    <row r="12689" spans="1:5">
      <c r="A12689" t="s">
        <v>41907</v>
      </c>
      <c r="B12689" t="s">
        <v>41911</v>
      </c>
      <c r="C12689">
        <v>0</v>
      </c>
      <c r="D12689" t="s">
        <v>106</v>
      </c>
      <c r="E12689">
        <v>18.347999999999999</v>
      </c>
    </row>
    <row r="12690" spans="1:5">
      <c r="A12690" t="s">
        <v>41912</v>
      </c>
      <c r="B12690" t="s">
        <v>41913</v>
      </c>
      <c r="C12690">
        <v>0</v>
      </c>
      <c r="D12690" t="s">
        <v>106</v>
      </c>
      <c r="E12690">
        <v>1.6379999999999999</v>
      </c>
    </row>
    <row r="12691" spans="1:5">
      <c r="A12691" t="s">
        <v>41912</v>
      </c>
      <c r="B12691" t="s">
        <v>41914</v>
      </c>
      <c r="C12691">
        <v>0</v>
      </c>
      <c r="D12691" t="s">
        <v>106</v>
      </c>
      <c r="E12691">
        <v>1.6379999999999999</v>
      </c>
    </row>
    <row r="12692" spans="1:5">
      <c r="A12692" t="s">
        <v>41912</v>
      </c>
      <c r="B12692" t="s">
        <v>41915</v>
      </c>
      <c r="C12692">
        <f>0</f>
        <v>0</v>
      </c>
      <c r="D12692" t="s">
        <v>106</v>
      </c>
      <c r="E12692">
        <v>1.6379999999999999</v>
      </c>
    </row>
    <row r="12693" spans="1:5">
      <c r="A12693" t="s">
        <v>41912</v>
      </c>
      <c r="B12693" t="s">
        <v>41916</v>
      </c>
      <c r="C12693">
        <v>0</v>
      </c>
      <c r="D12693" t="s">
        <v>106</v>
      </c>
      <c r="E12693">
        <v>1.6379999999999999</v>
      </c>
    </row>
    <row r="12694" spans="1:5">
      <c r="A12694" t="s">
        <v>41917</v>
      </c>
      <c r="B12694" t="s">
        <v>41918</v>
      </c>
      <c r="C12694">
        <f>-1.04407583233</f>
        <v>-1.0440758323299999</v>
      </c>
      <c r="D12694">
        <v>0.97895539808200005</v>
      </c>
      <c r="E12694">
        <v>0</v>
      </c>
    </row>
    <row r="12695" spans="1:5">
      <c r="A12695" t="s">
        <v>41917</v>
      </c>
      <c r="B12695" t="s">
        <v>41919</v>
      </c>
      <c r="C12695">
        <f>0.804809957337</f>
        <v>0.804809957337</v>
      </c>
      <c r="D12695">
        <v>0.97895539808200005</v>
      </c>
      <c r="E12695">
        <v>0</v>
      </c>
    </row>
    <row r="12696" spans="1:5">
      <c r="A12696" t="s">
        <v>41917</v>
      </c>
      <c r="B12696" t="s">
        <v>41920</v>
      </c>
      <c r="C12696">
        <v>1.58983022424</v>
      </c>
      <c r="D12696">
        <v>0.97895539808200005</v>
      </c>
      <c r="E12696">
        <v>0</v>
      </c>
    </row>
    <row r="12697" spans="1:5">
      <c r="A12697" t="s">
        <v>41917</v>
      </c>
      <c r="B12697" t="s">
        <v>41921</v>
      </c>
      <c r="C12697">
        <v>0.31840297440199999</v>
      </c>
      <c r="D12697">
        <v>0.97895539808200005</v>
      </c>
      <c r="E12697">
        <v>0</v>
      </c>
    </row>
    <row r="12698" spans="1:5">
      <c r="A12698" t="s">
        <v>41922</v>
      </c>
      <c r="B12698" t="s">
        <v>41923</v>
      </c>
      <c r="C12698">
        <v>6.0018058677800003E-2</v>
      </c>
      <c r="D12698">
        <v>0.998068952718</v>
      </c>
      <c r="E12698">
        <v>23.52</v>
      </c>
    </row>
    <row r="12699" spans="1:5">
      <c r="A12699" t="s">
        <v>41922</v>
      </c>
      <c r="B12699" t="s">
        <v>41924</v>
      </c>
      <c r="C12699">
        <f>0.126965096411</f>
        <v>0.12696509641100001</v>
      </c>
      <c r="D12699">
        <v>0.998068952718</v>
      </c>
      <c r="E12699">
        <v>23.52</v>
      </c>
    </row>
    <row r="12700" spans="1:5">
      <c r="A12700" t="s">
        <v>41922</v>
      </c>
      <c r="B12700" t="s">
        <v>41925</v>
      </c>
      <c r="C12700">
        <v>0.69693315552799995</v>
      </c>
      <c r="D12700">
        <v>0.998068952718</v>
      </c>
      <c r="E12700">
        <v>23.52</v>
      </c>
    </row>
    <row r="12701" spans="1:5">
      <c r="A12701" t="s">
        <v>41922</v>
      </c>
      <c r="B12701" t="s">
        <v>41926</v>
      </c>
      <c r="C12701">
        <v>0.38183324106799998</v>
      </c>
      <c r="D12701">
        <v>0.998068952718</v>
      </c>
      <c r="E12701">
        <v>23.52</v>
      </c>
    </row>
    <row r="12702" spans="1:5">
      <c r="A12702" t="s">
        <v>41922</v>
      </c>
      <c r="B12702" t="s">
        <v>41927</v>
      </c>
      <c r="C12702">
        <f>0.106528658708</f>
        <v>0.106528658708</v>
      </c>
      <c r="D12702">
        <v>0.998068952718</v>
      </c>
      <c r="E12702">
        <v>23.52</v>
      </c>
    </row>
    <row r="12703" spans="1:5">
      <c r="A12703" t="s">
        <v>41922</v>
      </c>
      <c r="B12703" t="s">
        <v>41928</v>
      </c>
      <c r="C12703">
        <f>0.526438258645</f>
        <v>0.52643825864500005</v>
      </c>
      <c r="D12703">
        <v>0.998068952718</v>
      </c>
      <c r="E12703">
        <v>23.52</v>
      </c>
    </row>
    <row r="12704" spans="1:5">
      <c r="A12704" t="s">
        <v>41922</v>
      </c>
      <c r="B12704" t="s">
        <v>41929</v>
      </c>
      <c r="C12704">
        <v>0.12904499162399999</v>
      </c>
      <c r="D12704">
        <v>0.998068952718</v>
      </c>
      <c r="E12704">
        <v>23.52</v>
      </c>
    </row>
    <row r="12705" spans="1:5">
      <c r="A12705" t="s">
        <v>41930</v>
      </c>
      <c r="B12705" t="s">
        <v>30390</v>
      </c>
      <c r="C12705">
        <f>0</f>
        <v>0</v>
      </c>
      <c r="D12705">
        <v>0.51344749971799997</v>
      </c>
      <c r="E12705">
        <v>8.7240000000000002</v>
      </c>
    </row>
    <row r="12706" spans="1:5">
      <c r="A12706" t="s">
        <v>41930</v>
      </c>
      <c r="B12706" t="s">
        <v>30391</v>
      </c>
      <c r="C12706">
        <v>0</v>
      </c>
      <c r="D12706">
        <v>0.51344749971799997</v>
      </c>
      <c r="E12706">
        <v>8.7240000000000002</v>
      </c>
    </row>
    <row r="12707" spans="1:5">
      <c r="A12707" t="s">
        <v>41930</v>
      </c>
      <c r="B12707" t="s">
        <v>30393</v>
      </c>
      <c r="C12707">
        <f>0.243037499718</f>
        <v>0.24303749971800001</v>
      </c>
      <c r="D12707">
        <v>0.51344749971799997</v>
      </c>
      <c r="E12707">
        <v>8.7240000000000002</v>
      </c>
    </row>
    <row r="12708" spans="1:5">
      <c r="A12708" t="s">
        <v>41931</v>
      </c>
      <c r="B12708" t="s">
        <v>25362</v>
      </c>
      <c r="C12708">
        <f>0</f>
        <v>0</v>
      </c>
      <c r="D12708">
        <v>0.61631988827299999</v>
      </c>
      <c r="E12708">
        <v>10.715999999999999</v>
      </c>
    </row>
    <row r="12709" spans="1:5">
      <c r="A12709" t="s">
        <v>41931</v>
      </c>
      <c r="B12709" t="s">
        <v>25368</v>
      </c>
      <c r="C12709">
        <f>0</f>
        <v>0</v>
      </c>
      <c r="D12709">
        <v>0.61631988827299999</v>
      </c>
      <c r="E12709">
        <v>10.715999999999999</v>
      </c>
    </row>
    <row r="12710" spans="1:5">
      <c r="A12710" t="s">
        <v>41931</v>
      </c>
      <c r="B12710" t="s">
        <v>25367</v>
      </c>
      <c r="C12710">
        <v>0</v>
      </c>
      <c r="D12710">
        <v>0.61631988827299999</v>
      </c>
      <c r="E12710">
        <v>10.715999999999999</v>
      </c>
    </row>
    <row r="12711" spans="1:5">
      <c r="A12711" t="s">
        <v>41931</v>
      </c>
      <c r="B12711" t="s">
        <v>25364</v>
      </c>
      <c r="C12711">
        <f>0</f>
        <v>0</v>
      </c>
      <c r="D12711">
        <v>0.61631988827299999</v>
      </c>
      <c r="E12711">
        <v>10.715999999999999</v>
      </c>
    </row>
    <row r="12712" spans="1:5">
      <c r="A12712" t="s">
        <v>41931</v>
      </c>
      <c r="B12712" t="s">
        <v>25366</v>
      </c>
      <c r="C12712">
        <v>0</v>
      </c>
      <c r="D12712">
        <v>0.61631988827299999</v>
      </c>
      <c r="E12712">
        <v>10.715999999999999</v>
      </c>
    </row>
    <row r="12713" spans="1:5">
      <c r="A12713" t="s">
        <v>41931</v>
      </c>
      <c r="B12713" t="s">
        <v>41932</v>
      </c>
      <c r="C12713">
        <f>0.153909888273</f>
        <v>0.15390988827300001</v>
      </c>
      <c r="D12713">
        <v>0.61631988827299999</v>
      </c>
      <c r="E12713">
        <v>10.715999999999999</v>
      </c>
    </row>
    <row r="12714" spans="1:5">
      <c r="A12714" t="s">
        <v>41933</v>
      </c>
      <c r="B12714" t="s">
        <v>2372</v>
      </c>
      <c r="C12714">
        <v>0.26866996925300002</v>
      </c>
      <c r="D12714">
        <v>0.93940543325000003</v>
      </c>
      <c r="E12714">
        <v>23.754000000000001</v>
      </c>
    </row>
    <row r="12715" spans="1:5">
      <c r="A12715" t="s">
        <v>41933</v>
      </c>
      <c r="B12715" t="s">
        <v>2374</v>
      </c>
      <c r="C12715">
        <v>0.98619145395800001</v>
      </c>
      <c r="D12715">
        <v>0.93940543325000003</v>
      </c>
      <c r="E12715">
        <v>23.754000000000001</v>
      </c>
    </row>
    <row r="12716" spans="1:5">
      <c r="A12716" t="s">
        <v>41933</v>
      </c>
      <c r="B12716" t="s">
        <v>2373</v>
      </c>
      <c r="C12716">
        <v>0.362940466761</v>
      </c>
      <c r="D12716">
        <v>0.93940543325000003</v>
      </c>
      <c r="E12716">
        <v>23.754000000000001</v>
      </c>
    </row>
    <row r="12717" spans="1:5">
      <c r="A12717" t="s">
        <v>41934</v>
      </c>
      <c r="B12717" t="s">
        <v>28422</v>
      </c>
      <c r="C12717">
        <f>0</f>
        <v>0</v>
      </c>
      <c r="D12717" t="s">
        <v>106</v>
      </c>
      <c r="E12717">
        <v>3.4980000000000002</v>
      </c>
    </row>
    <row r="12718" spans="1:5">
      <c r="A12718" t="s">
        <v>41934</v>
      </c>
      <c r="B12718" t="s">
        <v>28433</v>
      </c>
      <c r="C12718">
        <v>0</v>
      </c>
      <c r="D12718" t="s">
        <v>106</v>
      </c>
      <c r="E12718">
        <v>3.4980000000000002</v>
      </c>
    </row>
    <row r="12719" spans="1:5">
      <c r="A12719" t="s">
        <v>41934</v>
      </c>
      <c r="B12719" t="s">
        <v>28425</v>
      </c>
      <c r="C12719">
        <f>0</f>
        <v>0</v>
      </c>
      <c r="D12719" t="s">
        <v>106</v>
      </c>
      <c r="E12719">
        <v>3.4980000000000002</v>
      </c>
    </row>
    <row r="12720" spans="1:5">
      <c r="A12720" t="s">
        <v>41934</v>
      </c>
      <c r="B12720" t="s">
        <v>28427</v>
      </c>
      <c r="C12720">
        <v>0</v>
      </c>
      <c r="D12720" t="s">
        <v>106</v>
      </c>
      <c r="E12720">
        <v>3.4980000000000002</v>
      </c>
    </row>
    <row r="12721" spans="1:5">
      <c r="A12721" t="s">
        <v>41934</v>
      </c>
      <c r="B12721" t="s">
        <v>28429</v>
      </c>
      <c r="C12721">
        <v>0</v>
      </c>
      <c r="D12721" t="s">
        <v>106</v>
      </c>
      <c r="E12721">
        <v>3.4980000000000002</v>
      </c>
    </row>
    <row r="12722" spans="1:5">
      <c r="A12722" t="s">
        <v>41935</v>
      </c>
      <c r="B12722" t="s">
        <v>24377</v>
      </c>
      <c r="C12722">
        <f>0.330943292765</f>
        <v>0.33094329276500001</v>
      </c>
      <c r="D12722">
        <v>0.96011522974100005</v>
      </c>
      <c r="E12722">
        <v>23.754000000000001</v>
      </c>
    </row>
    <row r="12723" spans="1:5">
      <c r="A12723" t="s">
        <v>41935</v>
      </c>
      <c r="B12723" t="s">
        <v>24378</v>
      </c>
      <c r="C12723">
        <v>0.98039886999199999</v>
      </c>
      <c r="D12723">
        <v>0.96011522974100005</v>
      </c>
      <c r="E12723">
        <v>23.754000000000001</v>
      </c>
    </row>
    <row r="12724" spans="1:5">
      <c r="A12724" t="s">
        <v>41935</v>
      </c>
      <c r="B12724" t="s">
        <v>24375</v>
      </c>
      <c r="C12724">
        <f>-1.21150522202</f>
        <v>-1.21150522202</v>
      </c>
      <c r="D12724">
        <v>0.96011522974100005</v>
      </c>
      <c r="E12724">
        <v>23.754000000000001</v>
      </c>
    </row>
    <row r="12725" spans="1:5">
      <c r="A12725" t="s">
        <v>41936</v>
      </c>
      <c r="B12725" t="s">
        <v>11435</v>
      </c>
      <c r="C12725">
        <v>0.53432288234900005</v>
      </c>
      <c r="D12725">
        <v>0.69433288234900004</v>
      </c>
      <c r="E12725">
        <v>24</v>
      </c>
    </row>
    <row r="12726" spans="1:5">
      <c r="A12726" t="s">
        <v>41936</v>
      </c>
      <c r="B12726" t="s">
        <v>11440</v>
      </c>
      <c r="C12726">
        <f>0</f>
        <v>0</v>
      </c>
      <c r="D12726">
        <v>0.69433288234900004</v>
      </c>
      <c r="E12726">
        <v>24</v>
      </c>
    </row>
    <row r="12727" spans="1:5">
      <c r="A12727" t="s">
        <v>41936</v>
      </c>
      <c r="B12727" t="s">
        <v>11438</v>
      </c>
      <c r="C12727">
        <v>0</v>
      </c>
      <c r="D12727">
        <v>0.69433288234900004</v>
      </c>
      <c r="E12727">
        <v>24</v>
      </c>
    </row>
    <row r="12728" spans="1:5">
      <c r="A12728" t="s">
        <v>41936</v>
      </c>
      <c r="B12728" t="s">
        <v>11442</v>
      </c>
      <c r="C12728">
        <v>0</v>
      </c>
      <c r="D12728">
        <v>0.69433288234900004</v>
      </c>
      <c r="E12728">
        <v>24</v>
      </c>
    </row>
    <row r="12729" spans="1:5">
      <c r="A12729" t="s">
        <v>41936</v>
      </c>
      <c r="B12729" t="s">
        <v>11441</v>
      </c>
      <c r="C12729">
        <v>0</v>
      </c>
      <c r="D12729">
        <v>0.69433288234900004</v>
      </c>
      <c r="E12729">
        <v>24</v>
      </c>
    </row>
    <row r="12730" spans="1:5">
      <c r="A12730" t="s">
        <v>41937</v>
      </c>
      <c r="B12730" t="s">
        <v>41938</v>
      </c>
      <c r="C12730">
        <f>0</f>
        <v>0</v>
      </c>
      <c r="D12730">
        <v>0.99548594542299995</v>
      </c>
      <c r="E12730">
        <v>5.016</v>
      </c>
    </row>
    <row r="12731" spans="1:5">
      <c r="A12731" t="s">
        <v>41937</v>
      </c>
      <c r="B12731" t="s">
        <v>41939</v>
      </c>
      <c r="C12731">
        <v>0</v>
      </c>
      <c r="D12731">
        <v>0.99548594542299995</v>
      </c>
      <c r="E12731">
        <v>5.016</v>
      </c>
    </row>
    <row r="12732" spans="1:5">
      <c r="A12732" t="s">
        <v>41937</v>
      </c>
      <c r="B12732" t="s">
        <v>41940</v>
      </c>
      <c r="C12732">
        <v>0</v>
      </c>
      <c r="D12732">
        <v>0.99548594542299995</v>
      </c>
      <c r="E12732">
        <v>5.016</v>
      </c>
    </row>
    <row r="12733" spans="1:5">
      <c r="A12733" t="s">
        <v>41937</v>
      </c>
      <c r="B12733" t="s">
        <v>41941</v>
      </c>
      <c r="C12733">
        <v>0</v>
      </c>
      <c r="D12733">
        <v>0.99548594542299995</v>
      </c>
      <c r="E12733">
        <v>5.016</v>
      </c>
    </row>
    <row r="12734" spans="1:5">
      <c r="A12734" t="s">
        <v>41937</v>
      </c>
      <c r="B12734" t="s">
        <v>41942</v>
      </c>
      <c r="C12734">
        <v>0</v>
      </c>
      <c r="D12734">
        <v>0.99548594542299995</v>
      </c>
      <c r="E12734">
        <v>5.016</v>
      </c>
    </row>
    <row r="12735" spans="1:5">
      <c r="A12735" t="s">
        <v>41937</v>
      </c>
      <c r="B12735" t="s">
        <v>41943</v>
      </c>
      <c r="C12735">
        <v>0</v>
      </c>
      <c r="D12735">
        <v>0.99548594542299995</v>
      </c>
      <c r="E12735">
        <v>5.016</v>
      </c>
    </row>
    <row r="12736" spans="1:5">
      <c r="A12736" t="s">
        <v>41937</v>
      </c>
      <c r="B12736" t="s">
        <v>41944</v>
      </c>
      <c r="C12736">
        <v>2.4068535005600002E-2</v>
      </c>
      <c r="D12736">
        <v>0.99548594542299995</v>
      </c>
      <c r="E12736">
        <v>5.016</v>
      </c>
    </row>
    <row r="12737" spans="1:5">
      <c r="A12737" t="s">
        <v>41937</v>
      </c>
      <c r="B12737" t="s">
        <v>41945</v>
      </c>
      <c r="C12737">
        <v>0.16837270744300001</v>
      </c>
      <c r="D12737">
        <v>0.99548594542299995</v>
      </c>
      <c r="E12737">
        <v>5.016</v>
      </c>
    </row>
    <row r="12738" spans="1:5">
      <c r="A12738" t="s">
        <v>41937</v>
      </c>
      <c r="B12738" t="s">
        <v>41946</v>
      </c>
      <c r="C12738">
        <v>0</v>
      </c>
      <c r="D12738">
        <v>0.99548594542299995</v>
      </c>
      <c r="E12738">
        <v>5.016</v>
      </c>
    </row>
    <row r="12739" spans="1:5">
      <c r="A12739" t="s">
        <v>41937</v>
      </c>
      <c r="B12739" t="s">
        <v>41947</v>
      </c>
      <c r="C12739">
        <v>0.32831697632899998</v>
      </c>
      <c r="D12739">
        <v>0.99548594542299995</v>
      </c>
      <c r="E12739">
        <v>5.016</v>
      </c>
    </row>
    <row r="12740" spans="1:5">
      <c r="A12740" t="s">
        <v>41937</v>
      </c>
      <c r="B12740" t="s">
        <v>41948</v>
      </c>
      <c r="C12740">
        <v>0.48252637927100001</v>
      </c>
      <c r="D12740">
        <v>0.99548594542299995</v>
      </c>
      <c r="E12740">
        <v>5.016</v>
      </c>
    </row>
    <row r="12741" spans="1:5">
      <c r="A12741" t="s">
        <v>41937</v>
      </c>
      <c r="B12741" t="s">
        <v>41949</v>
      </c>
      <c r="C12741">
        <v>0</v>
      </c>
      <c r="D12741">
        <v>0.99548594542299995</v>
      </c>
      <c r="E12741">
        <v>5.016</v>
      </c>
    </row>
    <row r="12742" spans="1:5">
      <c r="A12742" t="s">
        <v>41937</v>
      </c>
      <c r="B12742" t="s">
        <v>41950</v>
      </c>
      <c r="C12742">
        <v>0</v>
      </c>
      <c r="D12742">
        <v>0.99548594542299995</v>
      </c>
      <c r="E12742">
        <v>5.016</v>
      </c>
    </row>
    <row r="12743" spans="1:5">
      <c r="A12743" t="s">
        <v>41937</v>
      </c>
      <c r="B12743" t="s">
        <v>41951</v>
      </c>
      <c r="C12743">
        <f>0.163797879438</f>
        <v>0.163797879438</v>
      </c>
      <c r="D12743">
        <v>0.99548594542299995</v>
      </c>
      <c r="E12743">
        <v>5.016</v>
      </c>
    </row>
    <row r="12744" spans="1:5">
      <c r="A12744" t="s">
        <v>41952</v>
      </c>
      <c r="B12744" t="s">
        <v>16909</v>
      </c>
      <c r="C12744">
        <f>0.17396934948</f>
        <v>0.17396934948000001</v>
      </c>
      <c r="D12744">
        <v>0.98746699218599998</v>
      </c>
      <c r="E12744">
        <v>23.754000000000001</v>
      </c>
    </row>
    <row r="12745" spans="1:5">
      <c r="A12745" t="s">
        <v>41952</v>
      </c>
      <c r="B12745" t="s">
        <v>16911</v>
      </c>
      <c r="C12745">
        <f>-1.12364302571</f>
        <v>-1.1236430257100001</v>
      </c>
      <c r="D12745">
        <v>0.98746699218599998</v>
      </c>
      <c r="E12745">
        <v>23.754000000000001</v>
      </c>
    </row>
    <row r="12746" spans="1:5">
      <c r="A12746" t="s">
        <v>41952</v>
      </c>
      <c r="B12746" t="s">
        <v>41953</v>
      </c>
      <c r="C12746">
        <f>0.0905675870676</f>
        <v>9.05675870676E-2</v>
      </c>
      <c r="D12746">
        <v>0.98746699218599998</v>
      </c>
      <c r="E12746">
        <v>23.754000000000001</v>
      </c>
    </row>
    <row r="12747" spans="1:5">
      <c r="A12747" t="s">
        <v>41952</v>
      </c>
      <c r="B12747" t="s">
        <v>16912</v>
      </c>
      <c r="C12747">
        <v>0.77106923069</v>
      </c>
      <c r="D12747">
        <v>0.98746699218599998</v>
      </c>
      <c r="E12747">
        <v>23.754000000000001</v>
      </c>
    </row>
    <row r="12748" spans="1:5">
      <c r="A12748" t="s">
        <v>41954</v>
      </c>
      <c r="B12748" t="s">
        <v>41955</v>
      </c>
      <c r="C12748">
        <v>0</v>
      </c>
      <c r="D12748">
        <v>0.63744454337300005</v>
      </c>
      <c r="E12748">
        <v>0</v>
      </c>
    </row>
    <row r="12749" spans="1:5">
      <c r="A12749" t="s">
        <v>41954</v>
      </c>
      <c r="B12749" t="s">
        <v>1636</v>
      </c>
      <c r="C12749">
        <v>0.46905421216199999</v>
      </c>
      <c r="D12749">
        <v>0.63744454337300005</v>
      </c>
      <c r="E12749">
        <v>0</v>
      </c>
    </row>
    <row r="12750" spans="1:5">
      <c r="A12750" t="s">
        <v>41954</v>
      </c>
      <c r="B12750" t="s">
        <v>1637</v>
      </c>
      <c r="C12750">
        <f>0.0431115533984</f>
        <v>4.3111553398399997E-2</v>
      </c>
      <c r="D12750">
        <v>0.63744454337300005</v>
      </c>
      <c r="E12750">
        <v>0</v>
      </c>
    </row>
    <row r="12751" spans="1:5">
      <c r="A12751" t="s">
        <v>41956</v>
      </c>
      <c r="B12751" t="s">
        <v>41957</v>
      </c>
      <c r="C12751">
        <f>0</f>
        <v>0</v>
      </c>
      <c r="D12751" t="s">
        <v>106</v>
      </c>
      <c r="E12751">
        <v>24</v>
      </c>
    </row>
    <row r="12752" spans="1:5">
      <c r="A12752" t="s">
        <v>41956</v>
      </c>
      <c r="B12752" t="s">
        <v>41958</v>
      </c>
      <c r="C12752">
        <v>0</v>
      </c>
      <c r="D12752" t="s">
        <v>106</v>
      </c>
      <c r="E12752">
        <v>24</v>
      </c>
    </row>
    <row r="12753" spans="1:5">
      <c r="A12753" t="s">
        <v>41959</v>
      </c>
      <c r="B12753" t="s">
        <v>41960</v>
      </c>
      <c r="C12753">
        <f>-1.45388537156</f>
        <v>-1.45388537156</v>
      </c>
      <c r="D12753">
        <v>0.96513272170300002</v>
      </c>
      <c r="E12753">
        <v>24</v>
      </c>
    </row>
    <row r="12754" spans="1:5">
      <c r="A12754" t="s">
        <v>41959</v>
      </c>
      <c r="B12754" t="s">
        <v>41961</v>
      </c>
      <c r="C12754">
        <v>1.3096898367900001</v>
      </c>
      <c r="D12754">
        <v>0.96513272170300002</v>
      </c>
      <c r="E12754">
        <v>24</v>
      </c>
    </row>
    <row r="12755" spans="1:5">
      <c r="A12755" t="s">
        <v>41959</v>
      </c>
      <c r="B12755" t="s">
        <v>41962</v>
      </c>
      <c r="C12755">
        <v>1.1115939717600001</v>
      </c>
      <c r="D12755">
        <v>0.96513272170300002</v>
      </c>
      <c r="E12755">
        <v>24</v>
      </c>
    </row>
    <row r="12756" spans="1:5">
      <c r="A12756" t="s">
        <v>41959</v>
      </c>
      <c r="B12756" t="s">
        <v>41963</v>
      </c>
      <c r="C12756">
        <v>1.8196991465200001</v>
      </c>
      <c r="D12756">
        <v>0.96513272170300002</v>
      </c>
      <c r="E12756">
        <v>24</v>
      </c>
    </row>
    <row r="12757" spans="1:5">
      <c r="A12757" t="s">
        <v>41959</v>
      </c>
      <c r="B12757" t="s">
        <v>41964</v>
      </c>
      <c r="C12757">
        <v>1.1730807806500001</v>
      </c>
      <c r="D12757">
        <v>0.96513272170300002</v>
      </c>
      <c r="E12757">
        <v>24</v>
      </c>
    </row>
    <row r="12758" spans="1:5">
      <c r="A12758" t="s">
        <v>41965</v>
      </c>
      <c r="B12758" t="s">
        <v>29410</v>
      </c>
      <c r="C12758">
        <f>0</f>
        <v>0</v>
      </c>
      <c r="D12758">
        <v>0.62896302654500003</v>
      </c>
      <c r="E12758">
        <v>1.17</v>
      </c>
    </row>
    <row r="12759" spans="1:5">
      <c r="A12759" t="s">
        <v>41965</v>
      </c>
      <c r="B12759" t="s">
        <v>29412</v>
      </c>
      <c r="C12759">
        <f>0.468953026545</f>
        <v>0.46895302654499998</v>
      </c>
      <c r="D12759">
        <v>0.62896302654500003</v>
      </c>
      <c r="E12759">
        <v>1.17</v>
      </c>
    </row>
    <row r="12760" spans="1:5">
      <c r="A12760" t="s">
        <v>41965</v>
      </c>
      <c r="B12760" t="s">
        <v>29413</v>
      </c>
      <c r="C12760">
        <v>0</v>
      </c>
      <c r="D12760">
        <v>0.62896302654500003</v>
      </c>
      <c r="E12760">
        <v>1.17</v>
      </c>
    </row>
    <row r="12761" spans="1:5">
      <c r="A12761" t="s">
        <v>41966</v>
      </c>
      <c r="B12761" t="s">
        <v>41967</v>
      </c>
      <c r="C12761">
        <v>0</v>
      </c>
      <c r="D12761" t="s">
        <v>106</v>
      </c>
      <c r="E12761">
        <v>24</v>
      </c>
    </row>
    <row r="12762" spans="1:5">
      <c r="A12762" t="s">
        <v>41966</v>
      </c>
      <c r="B12762" t="s">
        <v>41968</v>
      </c>
      <c r="C12762">
        <f>0</f>
        <v>0</v>
      </c>
      <c r="D12762" t="s">
        <v>106</v>
      </c>
      <c r="E12762">
        <v>24</v>
      </c>
    </row>
    <row r="12763" spans="1:5">
      <c r="A12763" t="s">
        <v>41969</v>
      </c>
      <c r="B12763" t="s">
        <v>41970</v>
      </c>
      <c r="C12763">
        <v>0</v>
      </c>
      <c r="D12763" t="s">
        <v>106</v>
      </c>
      <c r="E12763">
        <v>24</v>
      </c>
    </row>
    <row r="12764" spans="1:5">
      <c r="A12764" t="s">
        <v>41969</v>
      </c>
      <c r="B12764" t="s">
        <v>41971</v>
      </c>
      <c r="C12764">
        <v>0</v>
      </c>
      <c r="D12764" t="s">
        <v>106</v>
      </c>
      <c r="E12764">
        <v>24</v>
      </c>
    </row>
    <row r="12765" spans="1:5">
      <c r="A12765" t="s">
        <v>41969</v>
      </c>
      <c r="B12765" t="s">
        <v>41972</v>
      </c>
      <c r="C12765">
        <v>0</v>
      </c>
      <c r="D12765" t="s">
        <v>106</v>
      </c>
      <c r="E12765">
        <v>24</v>
      </c>
    </row>
    <row r="12766" spans="1:5">
      <c r="A12766" t="s">
        <v>41973</v>
      </c>
      <c r="B12766" t="s">
        <v>16874</v>
      </c>
      <c r="C12766">
        <f>0.806849333994</f>
        <v>0.80684933399400005</v>
      </c>
      <c r="D12766">
        <v>0.93645933399400005</v>
      </c>
      <c r="E12766">
        <v>0.96599999999999997</v>
      </c>
    </row>
    <row r="12767" spans="1:5">
      <c r="A12767" t="s">
        <v>41973</v>
      </c>
      <c r="B12767" t="s">
        <v>16880</v>
      </c>
      <c r="C12767">
        <f>0</f>
        <v>0</v>
      </c>
      <c r="D12767">
        <v>0.93645933399400005</v>
      </c>
      <c r="E12767">
        <v>0.96599999999999997</v>
      </c>
    </row>
    <row r="12768" spans="1:5">
      <c r="A12768" t="s">
        <v>41973</v>
      </c>
      <c r="B12768" t="s">
        <v>16876</v>
      </c>
      <c r="C12768">
        <v>0</v>
      </c>
      <c r="D12768">
        <v>0.93645933399400005</v>
      </c>
      <c r="E12768">
        <v>0.96599999999999997</v>
      </c>
    </row>
    <row r="12769" spans="1:5">
      <c r="A12769" t="s">
        <v>41973</v>
      </c>
      <c r="B12769" t="s">
        <v>16878</v>
      </c>
      <c r="C12769">
        <f>0</f>
        <v>0</v>
      </c>
      <c r="D12769">
        <v>0.93645933399400005</v>
      </c>
      <c r="E12769">
        <v>0.96599999999999997</v>
      </c>
    </row>
    <row r="12770" spans="1:5">
      <c r="A12770" t="s">
        <v>41974</v>
      </c>
      <c r="B12770" t="s">
        <v>7659</v>
      </c>
      <c r="C12770">
        <v>0.36879931384199999</v>
      </c>
      <c r="D12770">
        <v>0.79222672976200004</v>
      </c>
      <c r="E12770">
        <v>5.82</v>
      </c>
    </row>
    <row r="12771" spans="1:5">
      <c r="A12771" t="s">
        <v>41974</v>
      </c>
      <c r="B12771" t="s">
        <v>7660</v>
      </c>
      <c r="C12771">
        <v>0.379901383398</v>
      </c>
      <c r="D12771">
        <v>0.79222672976200004</v>
      </c>
      <c r="E12771">
        <v>5.82</v>
      </c>
    </row>
    <row r="12772" spans="1:5">
      <c r="A12772" t="s">
        <v>41975</v>
      </c>
      <c r="B12772" t="s">
        <v>41976</v>
      </c>
      <c r="C12772">
        <v>0</v>
      </c>
      <c r="D12772">
        <v>0.71371144581599999</v>
      </c>
      <c r="E12772">
        <v>10.08</v>
      </c>
    </row>
    <row r="12773" spans="1:5">
      <c r="A12773" t="s">
        <v>41975</v>
      </c>
      <c r="B12773" t="s">
        <v>41977</v>
      </c>
      <c r="C12773">
        <v>0.25922939170999998</v>
      </c>
      <c r="D12773">
        <v>0.71371144581599999</v>
      </c>
      <c r="E12773">
        <v>10.08</v>
      </c>
    </row>
    <row r="12774" spans="1:5">
      <c r="A12774" t="s">
        <v>41975</v>
      </c>
      <c r="B12774" t="s">
        <v>41978</v>
      </c>
      <c r="C12774">
        <v>0</v>
      </c>
      <c r="D12774">
        <v>0.71371144581599999</v>
      </c>
      <c r="E12774">
        <v>10.08</v>
      </c>
    </row>
    <row r="12775" spans="1:5">
      <c r="A12775" t="s">
        <v>41975</v>
      </c>
      <c r="B12775" t="s">
        <v>41979</v>
      </c>
      <c r="C12775">
        <v>0.28983987094500002</v>
      </c>
      <c r="D12775">
        <v>0.71371144581599999</v>
      </c>
      <c r="E12775">
        <v>10.08</v>
      </c>
    </row>
    <row r="12776" spans="1:5">
      <c r="A12776" t="s">
        <v>41980</v>
      </c>
      <c r="B12776" t="s">
        <v>26136</v>
      </c>
      <c r="C12776">
        <f>0.879910758579</f>
        <v>0.87991075857900003</v>
      </c>
      <c r="D12776">
        <v>0.99999233242899999</v>
      </c>
      <c r="E12776">
        <v>24</v>
      </c>
    </row>
    <row r="12777" spans="1:5">
      <c r="A12777" t="s">
        <v>41980</v>
      </c>
      <c r="B12777" t="s">
        <v>26139</v>
      </c>
      <c r="C12777">
        <f>0.00318001952512</f>
        <v>3.1800195251200001E-3</v>
      </c>
      <c r="D12777">
        <v>0.99999233242899999</v>
      </c>
      <c r="E12777">
        <v>24</v>
      </c>
    </row>
    <row r="12778" spans="1:5">
      <c r="A12778" t="s">
        <v>41980</v>
      </c>
      <c r="B12778" t="s">
        <v>26144</v>
      </c>
      <c r="C12778">
        <f>0</f>
        <v>0</v>
      </c>
      <c r="D12778">
        <v>0.99999233242899999</v>
      </c>
      <c r="E12778">
        <v>24</v>
      </c>
    </row>
    <row r="12779" spans="1:5">
      <c r="A12779" t="s">
        <v>41980</v>
      </c>
      <c r="B12779" t="s">
        <v>26146</v>
      </c>
      <c r="C12779">
        <f>0.00608365389851</f>
        <v>6.0836538985100004E-3</v>
      </c>
      <c r="D12779">
        <v>0.99999233242899999</v>
      </c>
      <c r="E12779">
        <v>24</v>
      </c>
    </row>
    <row r="12780" spans="1:5">
      <c r="A12780" t="s">
        <v>41980</v>
      </c>
      <c r="B12780" t="s">
        <v>26143</v>
      </c>
      <c r="C12780">
        <f>0</f>
        <v>0</v>
      </c>
      <c r="D12780">
        <v>0.99999233242899999</v>
      </c>
      <c r="E12780">
        <v>24</v>
      </c>
    </row>
    <row r="12781" spans="1:5">
      <c r="A12781" t="s">
        <v>41980</v>
      </c>
      <c r="B12781" t="s">
        <v>41981</v>
      </c>
      <c r="C12781">
        <f>0</f>
        <v>0</v>
      </c>
      <c r="D12781">
        <v>0.99999233242899999</v>
      </c>
      <c r="E12781">
        <v>24</v>
      </c>
    </row>
    <row r="12782" spans="1:5">
      <c r="A12782" t="s">
        <v>41980</v>
      </c>
      <c r="B12782" t="s">
        <v>26141</v>
      </c>
      <c r="C12782">
        <f>0.0829860318296</f>
        <v>8.2986031829600002E-2</v>
      </c>
      <c r="D12782">
        <v>0.99999233242899999</v>
      </c>
      <c r="E12782">
        <v>24</v>
      </c>
    </row>
    <row r="12783" spans="1:5">
      <c r="A12783" t="s">
        <v>41980</v>
      </c>
      <c r="B12783" t="s">
        <v>26147</v>
      </c>
      <c r="C12783">
        <f>0.264926565114</f>
        <v>0.26492656511399998</v>
      </c>
      <c r="D12783">
        <v>0.99999233242899999</v>
      </c>
      <c r="E12783">
        <v>24</v>
      </c>
    </row>
    <row r="12784" spans="1:5">
      <c r="A12784" t="s">
        <v>41980</v>
      </c>
      <c r="B12784" t="s">
        <v>26138</v>
      </c>
      <c r="C12784">
        <v>0.35456996201399998</v>
      </c>
      <c r="D12784">
        <v>0.99999233242899999</v>
      </c>
      <c r="E12784">
        <v>24</v>
      </c>
    </row>
    <row r="12785" spans="1:5">
      <c r="A12785" t="s">
        <v>41980</v>
      </c>
      <c r="B12785" t="s">
        <v>26137</v>
      </c>
      <c r="C12785">
        <f>0.22537947588</f>
        <v>0.22537947588000001</v>
      </c>
      <c r="D12785">
        <v>0.99999233242899999</v>
      </c>
      <c r="E12785">
        <v>24</v>
      </c>
    </row>
    <row r="12786" spans="1:5">
      <c r="A12786" t="s">
        <v>41980</v>
      </c>
      <c r="B12786" t="s">
        <v>26140</v>
      </c>
      <c r="C12786">
        <f>0.0197853542003</f>
        <v>1.97853542003E-2</v>
      </c>
      <c r="D12786">
        <v>0.99999233242899999</v>
      </c>
      <c r="E12786">
        <v>24</v>
      </c>
    </row>
    <row r="12787" spans="1:5">
      <c r="A12787" t="s">
        <v>41982</v>
      </c>
      <c r="B12787" t="s">
        <v>22467</v>
      </c>
      <c r="C12787">
        <v>0.18362168546400001</v>
      </c>
      <c r="D12787">
        <v>0.78467795519600003</v>
      </c>
      <c r="E12787">
        <v>6.4260000000000002</v>
      </c>
    </row>
    <row r="12788" spans="1:5">
      <c r="A12788" t="s">
        <v>41982</v>
      </c>
      <c r="B12788" t="s">
        <v>22462</v>
      </c>
      <c r="C12788">
        <f>0.333249473553</f>
        <v>0.333249473553</v>
      </c>
      <c r="D12788">
        <v>0.78467795519600003</v>
      </c>
      <c r="E12788">
        <v>6.4260000000000002</v>
      </c>
    </row>
    <row r="12789" spans="1:5">
      <c r="A12789" t="s">
        <v>41982</v>
      </c>
      <c r="B12789" t="s">
        <v>22461</v>
      </c>
      <c r="C12789">
        <f>0</f>
        <v>0</v>
      </c>
      <c r="D12789">
        <v>0.78467795519600003</v>
      </c>
      <c r="E12789">
        <v>6.4260000000000002</v>
      </c>
    </row>
    <row r="12790" spans="1:5">
      <c r="A12790" t="s">
        <v>41982</v>
      </c>
      <c r="B12790" t="s">
        <v>22466</v>
      </c>
      <c r="C12790">
        <f>0.453293923025</f>
        <v>0.45329392302499999</v>
      </c>
      <c r="D12790">
        <v>0.78467795519600003</v>
      </c>
      <c r="E12790">
        <v>6.4260000000000002</v>
      </c>
    </row>
    <row r="12791" spans="1:5">
      <c r="A12791" t="s">
        <v>41982</v>
      </c>
      <c r="B12791" t="s">
        <v>22468</v>
      </c>
      <c r="C12791">
        <v>7.5689912998799999E-2</v>
      </c>
      <c r="D12791">
        <v>0.78467795519600003</v>
      </c>
      <c r="E12791">
        <v>6.4260000000000002</v>
      </c>
    </row>
    <row r="12792" spans="1:5">
      <c r="A12792" t="s">
        <v>41983</v>
      </c>
      <c r="B12792" t="s">
        <v>12357</v>
      </c>
      <c r="C12792">
        <f>0</f>
        <v>0</v>
      </c>
      <c r="D12792">
        <v>0.53917646312099998</v>
      </c>
      <c r="E12792">
        <v>4.6920000000000002</v>
      </c>
    </row>
    <row r="12793" spans="1:5">
      <c r="A12793" t="s">
        <v>41983</v>
      </c>
      <c r="B12793" t="s">
        <v>12359</v>
      </c>
      <c r="C12793">
        <v>0</v>
      </c>
      <c r="D12793">
        <v>0.53917646312099998</v>
      </c>
      <c r="E12793">
        <v>4.6920000000000002</v>
      </c>
    </row>
    <row r="12794" spans="1:5">
      <c r="A12794" t="s">
        <v>41983</v>
      </c>
      <c r="B12794" t="s">
        <v>12358</v>
      </c>
      <c r="C12794">
        <v>0.17916646312100001</v>
      </c>
      <c r="D12794">
        <v>0.53917646312099998</v>
      </c>
      <c r="E12794">
        <v>4.6920000000000002</v>
      </c>
    </row>
    <row r="12795" spans="1:5">
      <c r="A12795" t="s">
        <v>41984</v>
      </c>
      <c r="B12795" t="s">
        <v>22222</v>
      </c>
      <c r="C12795">
        <f>0.327940764195</f>
        <v>0.32794076419500001</v>
      </c>
      <c r="D12795">
        <v>0.41161913352500001</v>
      </c>
      <c r="E12795">
        <v>24</v>
      </c>
    </row>
    <row r="12796" spans="1:5">
      <c r="A12796" t="s">
        <v>41984</v>
      </c>
      <c r="B12796" t="s">
        <v>22225</v>
      </c>
      <c r="C12796">
        <f>0.341639674369</f>
        <v>0.341639674369</v>
      </c>
      <c r="D12796">
        <v>0.41161913352500001</v>
      </c>
      <c r="E12796">
        <v>24</v>
      </c>
    </row>
    <row r="12797" spans="1:5">
      <c r="A12797" t="s">
        <v>41985</v>
      </c>
      <c r="B12797" t="s">
        <v>21513</v>
      </c>
      <c r="C12797">
        <v>0.174192219146</v>
      </c>
      <c r="D12797">
        <v>0.97385648467399999</v>
      </c>
      <c r="E12797">
        <v>4.5839999999999996</v>
      </c>
    </row>
    <row r="12798" spans="1:5">
      <c r="A12798" t="s">
        <v>41985</v>
      </c>
      <c r="B12798" t="s">
        <v>21519</v>
      </c>
      <c r="C12798">
        <f>0.208111157533</f>
        <v>0.208111157533</v>
      </c>
      <c r="D12798">
        <v>0.97385648467399999</v>
      </c>
      <c r="E12798">
        <v>4.5839999999999996</v>
      </c>
    </row>
    <row r="12799" spans="1:5">
      <c r="A12799" t="s">
        <v>41985</v>
      </c>
      <c r="B12799" t="s">
        <v>21518</v>
      </c>
      <c r="C12799">
        <v>1.2752810326499999</v>
      </c>
      <c r="D12799">
        <v>0.97385648467399999</v>
      </c>
      <c r="E12799">
        <v>4.5839999999999996</v>
      </c>
    </row>
    <row r="12800" spans="1:5">
      <c r="A12800" t="s">
        <v>41985</v>
      </c>
      <c r="B12800" t="s">
        <v>21514</v>
      </c>
      <c r="C12800">
        <f>0.0709008997397</f>
        <v>7.0900899739699999E-2</v>
      </c>
      <c r="D12800">
        <v>0.97385648467399999</v>
      </c>
      <c r="E12800">
        <v>4.5839999999999996</v>
      </c>
    </row>
    <row r="12801" spans="1:5">
      <c r="A12801" t="s">
        <v>41986</v>
      </c>
      <c r="B12801" t="s">
        <v>41987</v>
      </c>
      <c r="C12801">
        <v>0</v>
      </c>
      <c r="D12801" t="s">
        <v>106</v>
      </c>
      <c r="E12801">
        <v>12.917999999999999</v>
      </c>
    </row>
    <row r="12802" spans="1:5">
      <c r="A12802" t="s">
        <v>41986</v>
      </c>
      <c r="B12802" t="s">
        <v>41988</v>
      </c>
      <c r="C12802">
        <v>0</v>
      </c>
      <c r="D12802" t="s">
        <v>106</v>
      </c>
      <c r="E12802">
        <v>12.917999999999999</v>
      </c>
    </row>
    <row r="12803" spans="1:5">
      <c r="A12803" t="s">
        <v>41986</v>
      </c>
      <c r="B12803" t="s">
        <v>41989</v>
      </c>
      <c r="C12803">
        <v>0</v>
      </c>
      <c r="D12803" t="s">
        <v>106</v>
      </c>
      <c r="E12803">
        <v>12.917999999999999</v>
      </c>
    </row>
    <row r="12804" spans="1:5">
      <c r="A12804" t="s">
        <v>41990</v>
      </c>
      <c r="B12804" t="s">
        <v>24779</v>
      </c>
      <c r="C12804">
        <f>0</f>
        <v>0</v>
      </c>
      <c r="D12804" t="s">
        <v>106</v>
      </c>
      <c r="E12804">
        <v>24</v>
      </c>
    </row>
    <row r="12805" spans="1:5">
      <c r="A12805" t="s">
        <v>41990</v>
      </c>
      <c r="B12805" t="s">
        <v>24777</v>
      </c>
      <c r="C12805">
        <v>0</v>
      </c>
      <c r="D12805" t="s">
        <v>106</v>
      </c>
      <c r="E12805">
        <v>24</v>
      </c>
    </row>
    <row r="12806" spans="1:5">
      <c r="A12806" t="s">
        <v>41990</v>
      </c>
      <c r="B12806" t="s">
        <v>24773</v>
      </c>
      <c r="C12806">
        <f>0</f>
        <v>0</v>
      </c>
      <c r="D12806" t="s">
        <v>106</v>
      </c>
      <c r="E12806">
        <v>24</v>
      </c>
    </row>
    <row r="12807" spans="1:5">
      <c r="A12807" t="s">
        <v>41990</v>
      </c>
      <c r="B12807" t="s">
        <v>24774</v>
      </c>
      <c r="C12807">
        <f>0</f>
        <v>0</v>
      </c>
      <c r="D12807" t="s">
        <v>106</v>
      </c>
      <c r="E12807">
        <v>24</v>
      </c>
    </row>
    <row r="12808" spans="1:5">
      <c r="A12808" t="s">
        <v>41991</v>
      </c>
      <c r="B12808" t="s">
        <v>41992</v>
      </c>
      <c r="C12808">
        <v>3.8825678410299998E-2</v>
      </c>
      <c r="D12808">
        <v>0.99998090691499997</v>
      </c>
      <c r="E12808">
        <v>6.5519999999999996</v>
      </c>
    </row>
    <row r="12809" spans="1:5">
      <c r="A12809" t="s">
        <v>41991</v>
      </c>
      <c r="B12809" t="s">
        <v>41993</v>
      </c>
      <c r="C12809">
        <v>6.6330013665899995E-2</v>
      </c>
      <c r="D12809">
        <v>0.99998090691499997</v>
      </c>
      <c r="E12809">
        <v>6.5519999999999996</v>
      </c>
    </row>
    <row r="12810" spans="1:5">
      <c r="A12810" t="s">
        <v>41991</v>
      </c>
      <c r="B12810" t="s">
        <v>41994</v>
      </c>
      <c r="C12810">
        <v>0</v>
      </c>
      <c r="D12810">
        <v>0.99998090691499997</v>
      </c>
      <c r="E12810">
        <v>6.5519999999999996</v>
      </c>
    </row>
    <row r="12811" spans="1:5">
      <c r="A12811" t="s">
        <v>41991</v>
      </c>
      <c r="B12811" t="s">
        <v>41995</v>
      </c>
      <c r="C12811">
        <f>0.0646649733177</f>
        <v>6.4664973317700006E-2</v>
      </c>
      <c r="D12811">
        <v>0.99998090691499997</v>
      </c>
      <c r="E12811">
        <v>6.5519999999999996</v>
      </c>
    </row>
    <row r="12812" spans="1:5">
      <c r="A12812" t="s">
        <v>41991</v>
      </c>
      <c r="B12812" t="s">
        <v>41996</v>
      </c>
      <c r="C12812">
        <v>0.20706940880300001</v>
      </c>
      <c r="D12812">
        <v>0.99998090691499997</v>
      </c>
      <c r="E12812">
        <v>6.5519999999999996</v>
      </c>
    </row>
    <row r="12813" spans="1:5">
      <c r="A12813" t="s">
        <v>41991</v>
      </c>
      <c r="B12813" t="s">
        <v>41997</v>
      </c>
      <c r="C12813">
        <v>3.83909196533E-2</v>
      </c>
      <c r="D12813">
        <v>0.99998090691499997</v>
      </c>
      <c r="E12813">
        <v>6.5519999999999996</v>
      </c>
    </row>
    <row r="12814" spans="1:5">
      <c r="A12814" t="s">
        <v>41991</v>
      </c>
      <c r="B12814" t="s">
        <v>41998</v>
      </c>
      <c r="C12814">
        <f>0.93588748332</f>
        <v>0.93588748332000005</v>
      </c>
      <c r="D12814">
        <v>0.99998090691499997</v>
      </c>
      <c r="E12814">
        <v>6.5519999999999996</v>
      </c>
    </row>
    <row r="12815" spans="1:5">
      <c r="A12815" t="s">
        <v>41991</v>
      </c>
      <c r="B12815" t="s">
        <v>41999</v>
      </c>
      <c r="C12815">
        <v>0</v>
      </c>
      <c r="D12815">
        <v>0.99998090691499997</v>
      </c>
      <c r="E12815">
        <v>6.5519999999999996</v>
      </c>
    </row>
    <row r="12816" spans="1:5">
      <c r="A12816" t="s">
        <v>41991</v>
      </c>
      <c r="B12816" t="s">
        <v>42000</v>
      </c>
      <c r="C12816">
        <v>0.38760211354399998</v>
      </c>
      <c r="D12816">
        <v>0.99998090691499997</v>
      </c>
      <c r="E12816">
        <v>6.5519999999999996</v>
      </c>
    </row>
    <row r="12817" spans="1:5">
      <c r="A12817" t="s">
        <v>41991</v>
      </c>
      <c r="B12817" t="s">
        <v>42001</v>
      </c>
      <c r="C12817">
        <v>0</v>
      </c>
      <c r="D12817">
        <v>0.99998090691499997</v>
      </c>
      <c r="E12817">
        <v>6.5519999999999996</v>
      </c>
    </row>
    <row r="12818" spans="1:5">
      <c r="A12818" t="s">
        <v>41991</v>
      </c>
      <c r="B12818" t="s">
        <v>42002</v>
      </c>
      <c r="C12818">
        <f>0.544802099004</f>
        <v>0.54480209900400001</v>
      </c>
      <c r="D12818">
        <v>0.99998090691499997</v>
      </c>
      <c r="E12818">
        <v>6.5519999999999996</v>
      </c>
    </row>
    <row r="12819" spans="1:5">
      <c r="A12819" t="s">
        <v>41991</v>
      </c>
      <c r="B12819" t="s">
        <v>42003</v>
      </c>
      <c r="C12819">
        <v>0.44822163259199999</v>
      </c>
      <c r="D12819">
        <v>0.99998090691499997</v>
      </c>
      <c r="E12819">
        <v>6.5519999999999996</v>
      </c>
    </row>
    <row r="12820" spans="1:5">
      <c r="A12820" t="s">
        <v>41991</v>
      </c>
      <c r="B12820" t="s">
        <v>42004</v>
      </c>
      <c r="C12820">
        <f>0</f>
        <v>0</v>
      </c>
      <c r="D12820">
        <v>0.99998090691499997</v>
      </c>
      <c r="E12820">
        <v>6.5519999999999996</v>
      </c>
    </row>
    <row r="12821" spans="1:5">
      <c r="A12821" t="s">
        <v>42005</v>
      </c>
      <c r="B12821" t="s">
        <v>42006</v>
      </c>
      <c r="C12821">
        <f>0.355717371804</f>
        <v>0.35571737180399998</v>
      </c>
      <c r="D12821">
        <v>0.95416976841500001</v>
      </c>
      <c r="E12821">
        <v>1.3380000000000001</v>
      </c>
    </row>
    <row r="12822" spans="1:5">
      <c r="A12822" t="s">
        <v>42005</v>
      </c>
      <c r="B12822" t="s">
        <v>42007</v>
      </c>
      <c r="C12822">
        <v>0.23117957196399999</v>
      </c>
      <c r="D12822">
        <v>0.95416976841500001</v>
      </c>
      <c r="E12822">
        <v>1.3380000000000001</v>
      </c>
    </row>
    <row r="12823" spans="1:5">
      <c r="A12823" t="s">
        <v>42005</v>
      </c>
      <c r="B12823" t="s">
        <v>42008</v>
      </c>
      <c r="C12823">
        <v>0.12635824648800001</v>
      </c>
      <c r="D12823">
        <v>0.95416976841500001</v>
      </c>
      <c r="E12823">
        <v>1.3380000000000001</v>
      </c>
    </row>
    <row r="12824" spans="1:5">
      <c r="A12824" t="s">
        <v>42005</v>
      </c>
      <c r="B12824" t="s">
        <v>42009</v>
      </c>
      <c r="C12824">
        <v>0</v>
      </c>
      <c r="D12824">
        <v>0.95416976841500001</v>
      </c>
      <c r="E12824">
        <v>1.3380000000000001</v>
      </c>
    </row>
    <row r="12825" spans="1:5">
      <c r="A12825" t="s">
        <v>42005</v>
      </c>
      <c r="B12825" t="s">
        <v>42010</v>
      </c>
      <c r="C12825">
        <f>0.0656914592035</f>
        <v>6.5691459203500002E-2</v>
      </c>
      <c r="D12825">
        <v>0.95416976841500001</v>
      </c>
      <c r="E12825">
        <v>1.3380000000000001</v>
      </c>
    </row>
    <row r="12826" spans="1:5">
      <c r="A12826" t="s">
        <v>42005</v>
      </c>
      <c r="B12826" t="s">
        <v>42011</v>
      </c>
      <c r="C12826">
        <v>0.40244060596699999</v>
      </c>
      <c r="D12826">
        <v>0.95416976841500001</v>
      </c>
      <c r="E12826">
        <v>1.3380000000000001</v>
      </c>
    </row>
    <row r="12827" spans="1:5">
      <c r="A12827" t="s">
        <v>42012</v>
      </c>
      <c r="B12827" t="s">
        <v>8163</v>
      </c>
      <c r="C12827">
        <v>0</v>
      </c>
      <c r="D12827" t="s">
        <v>106</v>
      </c>
      <c r="E12827">
        <v>10.715999999999999</v>
      </c>
    </row>
    <row r="12828" spans="1:5">
      <c r="A12828" t="s">
        <v>42012</v>
      </c>
      <c r="B12828" t="s">
        <v>8164</v>
      </c>
      <c r="C12828">
        <v>0</v>
      </c>
      <c r="D12828" t="s">
        <v>106</v>
      </c>
      <c r="E12828">
        <v>10.715999999999999</v>
      </c>
    </row>
    <row r="12829" spans="1:5">
      <c r="A12829" t="s">
        <v>42013</v>
      </c>
      <c r="B12829" t="s">
        <v>42014</v>
      </c>
      <c r="C12829">
        <v>0</v>
      </c>
      <c r="D12829">
        <v>0.54612904490500003</v>
      </c>
      <c r="E12829">
        <v>19.853999999999999</v>
      </c>
    </row>
    <row r="12830" spans="1:5">
      <c r="A12830" t="s">
        <v>42013</v>
      </c>
      <c r="B12830" t="s">
        <v>42015</v>
      </c>
      <c r="C12830">
        <f>0</f>
        <v>0</v>
      </c>
      <c r="D12830">
        <v>0.54612904490500003</v>
      </c>
      <c r="E12830">
        <v>19.853999999999999</v>
      </c>
    </row>
    <row r="12831" spans="1:5">
      <c r="A12831" t="s">
        <v>42013</v>
      </c>
      <c r="B12831" t="s">
        <v>42016</v>
      </c>
      <c r="C12831">
        <f>0</f>
        <v>0</v>
      </c>
      <c r="D12831">
        <v>0.54612904490500003</v>
      </c>
      <c r="E12831">
        <v>19.853999999999999</v>
      </c>
    </row>
    <row r="12832" spans="1:5">
      <c r="A12832" t="s">
        <v>42013</v>
      </c>
      <c r="B12832" t="s">
        <v>42017</v>
      </c>
      <c r="C12832">
        <f>0</f>
        <v>0</v>
      </c>
      <c r="D12832">
        <v>0.54612904490500003</v>
      </c>
      <c r="E12832">
        <v>19.853999999999999</v>
      </c>
    </row>
    <row r="12833" spans="1:5">
      <c r="A12833" t="s">
        <v>42013</v>
      </c>
      <c r="B12833" t="s">
        <v>42018</v>
      </c>
      <c r="C12833">
        <v>0</v>
      </c>
      <c r="D12833">
        <v>0.54612904490500003</v>
      </c>
      <c r="E12833">
        <v>19.853999999999999</v>
      </c>
    </row>
    <row r="12834" spans="1:5">
      <c r="A12834" t="s">
        <v>42013</v>
      </c>
      <c r="B12834" t="s">
        <v>42019</v>
      </c>
      <c r="C12834">
        <f>0.275719044905</f>
        <v>0.27571904490499999</v>
      </c>
      <c r="D12834">
        <v>0.54612904490500003</v>
      </c>
      <c r="E12834">
        <v>19.853999999999999</v>
      </c>
    </row>
    <row r="12835" spans="1:5">
      <c r="A12835" t="s">
        <v>42020</v>
      </c>
      <c r="B12835" t="s">
        <v>42021</v>
      </c>
      <c r="C12835">
        <v>1.4970968775200001E-2</v>
      </c>
      <c r="D12835">
        <v>0.99999809065800005</v>
      </c>
      <c r="E12835">
        <v>1.014</v>
      </c>
    </row>
    <row r="12836" spans="1:5">
      <c r="A12836" t="s">
        <v>42020</v>
      </c>
      <c r="B12836" t="s">
        <v>22323</v>
      </c>
      <c r="C12836">
        <v>0.13602209002400001</v>
      </c>
      <c r="D12836">
        <v>0.99999809065800005</v>
      </c>
      <c r="E12836">
        <v>1.014</v>
      </c>
    </row>
    <row r="12837" spans="1:5">
      <c r="A12837" t="s">
        <v>42020</v>
      </c>
      <c r="B12837" t="s">
        <v>22317</v>
      </c>
      <c r="C12837">
        <f>0.599248873345</f>
        <v>0.59924887334499999</v>
      </c>
      <c r="D12837">
        <v>0.99999809065800005</v>
      </c>
      <c r="E12837">
        <v>1.014</v>
      </c>
    </row>
    <row r="12838" spans="1:5">
      <c r="A12838" t="s">
        <v>42020</v>
      </c>
      <c r="B12838" t="s">
        <v>22319</v>
      </c>
      <c r="C12838">
        <f>0.378533485223</f>
        <v>0.37853348522300001</v>
      </c>
      <c r="D12838">
        <v>0.99999809065800005</v>
      </c>
      <c r="E12838">
        <v>1.014</v>
      </c>
    </row>
    <row r="12839" spans="1:5">
      <c r="A12839" t="s">
        <v>42020</v>
      </c>
      <c r="B12839" t="s">
        <v>22327</v>
      </c>
      <c r="C12839">
        <f>0.0183508224928</f>
        <v>1.8350822492800001E-2</v>
      </c>
      <c r="D12839">
        <v>0.99999809065800005</v>
      </c>
      <c r="E12839">
        <v>1.014</v>
      </c>
    </row>
    <row r="12840" spans="1:5">
      <c r="A12840" t="s">
        <v>42020</v>
      </c>
      <c r="B12840" t="s">
        <v>22325</v>
      </c>
      <c r="C12840">
        <f>0.462887435984</f>
        <v>0.46288743598400001</v>
      </c>
      <c r="D12840">
        <v>0.99999809065800005</v>
      </c>
      <c r="E12840">
        <v>1.014</v>
      </c>
    </row>
    <row r="12841" spans="1:5">
      <c r="A12841" t="s">
        <v>42020</v>
      </c>
      <c r="B12841" t="s">
        <v>22321</v>
      </c>
      <c r="C12841">
        <f>0.678658861376</f>
        <v>0.67865886137599996</v>
      </c>
      <c r="D12841">
        <v>0.99999809065800005</v>
      </c>
      <c r="E12841">
        <v>1.014</v>
      </c>
    </row>
    <row r="12842" spans="1:5">
      <c r="A12842" t="s">
        <v>42020</v>
      </c>
      <c r="B12842" t="s">
        <v>22322</v>
      </c>
      <c r="C12842">
        <v>0.25300223785300002</v>
      </c>
      <c r="D12842">
        <v>0.99999809065800005</v>
      </c>
      <c r="E12842">
        <v>1.014</v>
      </c>
    </row>
    <row r="12843" spans="1:5">
      <c r="A12843" t="s">
        <v>42020</v>
      </c>
      <c r="B12843" t="s">
        <v>22326</v>
      </c>
      <c r="C12843">
        <v>0.53941597793499996</v>
      </c>
      <c r="D12843">
        <v>0.99999809065800005</v>
      </c>
      <c r="E12843">
        <v>1.014</v>
      </c>
    </row>
    <row r="12844" spans="1:5">
      <c r="A12844" t="s">
        <v>42020</v>
      </c>
      <c r="B12844" t="s">
        <v>22318</v>
      </c>
      <c r="C12844">
        <f>0.653146829754</f>
        <v>0.65314682975399996</v>
      </c>
      <c r="D12844">
        <v>0.99999809065800005</v>
      </c>
      <c r="E12844">
        <v>1.014</v>
      </c>
    </row>
    <row r="12845" spans="1:5">
      <c r="A12845" t="s">
        <v>42022</v>
      </c>
      <c r="B12845" t="s">
        <v>42023</v>
      </c>
      <c r="C12845">
        <f>0.57814173045</f>
        <v>0.57814173044999995</v>
      </c>
      <c r="D12845">
        <v>0.963701960932</v>
      </c>
      <c r="E12845">
        <v>4.5839999999999996</v>
      </c>
    </row>
    <row r="12846" spans="1:5">
      <c r="A12846" t="s">
        <v>42022</v>
      </c>
      <c r="B12846" t="s">
        <v>42024</v>
      </c>
      <c r="C12846">
        <v>0.91093430562099997</v>
      </c>
      <c r="D12846">
        <v>0.963701960932</v>
      </c>
      <c r="E12846">
        <v>4.5839999999999996</v>
      </c>
    </row>
    <row r="12847" spans="1:5">
      <c r="A12847" t="s">
        <v>42022</v>
      </c>
      <c r="B12847" t="s">
        <v>42025</v>
      </c>
      <c r="C12847">
        <v>0.33635362815699998</v>
      </c>
      <c r="D12847">
        <v>0.963701960932</v>
      </c>
      <c r="E12847">
        <v>4.5839999999999996</v>
      </c>
    </row>
    <row r="12848" spans="1:5">
      <c r="A12848" t="s">
        <v>42022</v>
      </c>
      <c r="B12848" t="s">
        <v>42026</v>
      </c>
      <c r="C12848">
        <f>0</f>
        <v>0</v>
      </c>
      <c r="D12848">
        <v>0.963701960932</v>
      </c>
      <c r="E12848">
        <v>4.5839999999999996</v>
      </c>
    </row>
    <row r="12849" spans="1:5">
      <c r="A12849" t="s">
        <v>42027</v>
      </c>
      <c r="B12849" t="s">
        <v>7509</v>
      </c>
      <c r="C12849">
        <v>0</v>
      </c>
      <c r="D12849" t="s">
        <v>106</v>
      </c>
      <c r="E12849">
        <v>24</v>
      </c>
    </row>
    <row r="12850" spans="1:5">
      <c r="A12850" t="s">
        <v>42027</v>
      </c>
      <c r="B12850" t="s">
        <v>7510</v>
      </c>
      <c r="C12850">
        <f>0</f>
        <v>0</v>
      </c>
      <c r="D12850" t="s">
        <v>106</v>
      </c>
      <c r="E12850">
        <v>24</v>
      </c>
    </row>
    <row r="12851" spans="1:5">
      <c r="A12851" t="s">
        <v>42027</v>
      </c>
      <c r="B12851" t="s">
        <v>7513</v>
      </c>
      <c r="C12851">
        <v>0</v>
      </c>
      <c r="D12851" t="s">
        <v>106</v>
      </c>
      <c r="E12851">
        <v>24</v>
      </c>
    </row>
    <row r="12852" spans="1:5">
      <c r="A12852" t="s">
        <v>42027</v>
      </c>
      <c r="B12852" t="s">
        <v>7512</v>
      </c>
      <c r="C12852">
        <v>0</v>
      </c>
      <c r="D12852" t="s">
        <v>106</v>
      </c>
      <c r="E12852">
        <v>24</v>
      </c>
    </row>
    <row r="12853" spans="1:5">
      <c r="A12853" t="s">
        <v>42027</v>
      </c>
      <c r="B12853" t="s">
        <v>7518</v>
      </c>
      <c r="C12853">
        <v>0</v>
      </c>
      <c r="D12853" t="s">
        <v>106</v>
      </c>
      <c r="E12853">
        <v>24</v>
      </c>
    </row>
    <row r="12854" spans="1:5">
      <c r="A12854" t="s">
        <v>42027</v>
      </c>
      <c r="B12854" t="s">
        <v>7514</v>
      </c>
      <c r="C12854">
        <v>0</v>
      </c>
      <c r="D12854" t="s">
        <v>106</v>
      </c>
      <c r="E12854">
        <v>24</v>
      </c>
    </row>
    <row r="12855" spans="1:5">
      <c r="A12855" t="s">
        <v>42027</v>
      </c>
      <c r="B12855" t="s">
        <v>7515</v>
      </c>
      <c r="C12855">
        <v>0</v>
      </c>
      <c r="D12855" t="s">
        <v>106</v>
      </c>
      <c r="E12855">
        <v>24</v>
      </c>
    </row>
    <row r="12856" spans="1:5">
      <c r="A12856" t="s">
        <v>42027</v>
      </c>
      <c r="B12856" t="s">
        <v>7519</v>
      </c>
      <c r="C12856">
        <v>0</v>
      </c>
      <c r="D12856" t="s">
        <v>106</v>
      </c>
      <c r="E12856">
        <v>24</v>
      </c>
    </row>
    <row r="12857" spans="1:5">
      <c r="A12857" t="s">
        <v>42028</v>
      </c>
      <c r="B12857" t="s">
        <v>29290</v>
      </c>
      <c r="C12857">
        <f>0</f>
        <v>0</v>
      </c>
      <c r="D12857">
        <v>0.79975939978300004</v>
      </c>
      <c r="E12857">
        <v>2.1779999999999999</v>
      </c>
    </row>
    <row r="12858" spans="1:5">
      <c r="A12858" t="s">
        <v>42028</v>
      </c>
      <c r="B12858" t="s">
        <v>29293</v>
      </c>
      <c r="C12858">
        <f>0.199142756216</f>
        <v>0.199142756216</v>
      </c>
      <c r="D12858">
        <v>0.79975939978300004</v>
      </c>
      <c r="E12858">
        <v>2.1779999999999999</v>
      </c>
    </row>
    <row r="12859" spans="1:5">
      <c r="A12859" t="s">
        <v>42028</v>
      </c>
      <c r="B12859" t="s">
        <v>29298</v>
      </c>
      <c r="C12859">
        <f>0.0651815782381</f>
        <v>6.5181578238100002E-2</v>
      </c>
      <c r="D12859">
        <v>0.79975939978300004</v>
      </c>
      <c r="E12859">
        <v>2.1779999999999999</v>
      </c>
    </row>
    <row r="12860" spans="1:5">
      <c r="A12860" t="s">
        <v>42028</v>
      </c>
      <c r="B12860" t="s">
        <v>29297</v>
      </c>
      <c r="C12860">
        <f>0.413332716298</f>
        <v>0.413332716298</v>
      </c>
      <c r="D12860">
        <v>0.79975939978300004</v>
      </c>
      <c r="E12860">
        <v>2.1779999999999999</v>
      </c>
    </row>
    <row r="12861" spans="1:5">
      <c r="A12861" t="s">
        <v>42028</v>
      </c>
      <c r="B12861" t="s">
        <v>29296</v>
      </c>
      <c r="C12861">
        <f>0</f>
        <v>0</v>
      </c>
      <c r="D12861">
        <v>0.79975939978300004</v>
      </c>
      <c r="E12861">
        <v>2.1779999999999999</v>
      </c>
    </row>
    <row r="12862" spans="1:5">
      <c r="A12862" t="s">
        <v>42028</v>
      </c>
      <c r="B12862" t="s">
        <v>29294</v>
      </c>
      <c r="C12862">
        <v>0</v>
      </c>
      <c r="D12862">
        <v>0.79975939978300004</v>
      </c>
      <c r="E12862">
        <v>2.1779999999999999</v>
      </c>
    </row>
    <row r="12863" spans="1:5">
      <c r="A12863" t="s">
        <v>42028</v>
      </c>
      <c r="B12863" t="s">
        <v>29291</v>
      </c>
      <c r="C12863">
        <f>0</f>
        <v>0</v>
      </c>
      <c r="D12863">
        <v>0.79975939978300004</v>
      </c>
      <c r="E12863">
        <v>2.1779999999999999</v>
      </c>
    </row>
    <row r="12864" spans="1:5">
      <c r="A12864" t="s">
        <v>42029</v>
      </c>
      <c r="B12864" t="s">
        <v>42030</v>
      </c>
      <c r="C12864">
        <f>0.275527809577</f>
        <v>0.27552780957700002</v>
      </c>
      <c r="D12864">
        <v>0.93640643124199996</v>
      </c>
      <c r="E12864">
        <v>15.9</v>
      </c>
    </row>
    <row r="12865" spans="1:5">
      <c r="A12865" t="s">
        <v>42029</v>
      </c>
      <c r="B12865" t="s">
        <v>42031</v>
      </c>
      <c r="C12865">
        <f>0.459987508137</f>
        <v>0.45998750813700001</v>
      </c>
      <c r="D12865">
        <v>0.93640643124199996</v>
      </c>
      <c r="E12865">
        <v>15.9</v>
      </c>
    </row>
    <row r="12866" spans="1:5">
      <c r="A12866" t="s">
        <v>42029</v>
      </c>
      <c r="B12866" t="s">
        <v>42032</v>
      </c>
      <c r="C12866">
        <v>4.2448482732100001E-2</v>
      </c>
      <c r="D12866">
        <v>0.93640643124199996</v>
      </c>
      <c r="E12866">
        <v>15.9</v>
      </c>
    </row>
    <row r="12867" spans="1:5">
      <c r="A12867" t="s">
        <v>42029</v>
      </c>
      <c r="B12867" t="s">
        <v>42033</v>
      </c>
      <c r="C12867">
        <v>0</v>
      </c>
      <c r="D12867">
        <v>0.93640643124199996</v>
      </c>
      <c r="E12867">
        <v>15.9</v>
      </c>
    </row>
    <row r="12868" spans="1:5">
      <c r="A12868" t="s">
        <v>42029</v>
      </c>
      <c r="B12868" t="s">
        <v>42034</v>
      </c>
      <c r="C12868">
        <f>0.374529863027</f>
        <v>0.37452986302699998</v>
      </c>
      <c r="D12868">
        <v>0.93640643124199996</v>
      </c>
      <c r="E12868">
        <v>15.9</v>
      </c>
    </row>
    <row r="12869" spans="1:5">
      <c r="A12869" t="s">
        <v>42029</v>
      </c>
      <c r="B12869" t="s">
        <v>42035</v>
      </c>
      <c r="C12869">
        <v>0</v>
      </c>
      <c r="D12869">
        <v>0.93640643124199996</v>
      </c>
      <c r="E12869">
        <v>15.9</v>
      </c>
    </row>
    <row r="12870" spans="1:5">
      <c r="A12870" t="s">
        <v>42029</v>
      </c>
      <c r="B12870" t="s">
        <v>42036</v>
      </c>
      <c r="C12870">
        <f>0</f>
        <v>0</v>
      </c>
      <c r="D12870">
        <v>0.93640643124199996</v>
      </c>
      <c r="E12870">
        <v>15.9</v>
      </c>
    </row>
    <row r="12871" spans="1:5">
      <c r="A12871" t="s">
        <v>42029</v>
      </c>
      <c r="B12871" t="s">
        <v>42037</v>
      </c>
      <c r="C12871">
        <v>0</v>
      </c>
      <c r="D12871">
        <v>0.93640643124199996</v>
      </c>
      <c r="E12871">
        <v>15.9</v>
      </c>
    </row>
    <row r="12872" spans="1:5">
      <c r="A12872" t="s">
        <v>42038</v>
      </c>
      <c r="B12872" t="s">
        <v>21739</v>
      </c>
      <c r="C12872">
        <f>0.368181792105</f>
        <v>0.36818179210500002</v>
      </c>
      <c r="D12872">
        <v>0.499815642432</v>
      </c>
      <c r="E12872">
        <v>9.7739999999999991</v>
      </c>
    </row>
    <row r="12873" spans="1:5">
      <c r="A12873" t="s">
        <v>42038</v>
      </c>
      <c r="B12873" t="s">
        <v>21740</v>
      </c>
      <c r="C12873">
        <v>4.7680495973599999E-3</v>
      </c>
      <c r="D12873">
        <v>0.499815642432</v>
      </c>
      <c r="E12873">
        <v>9.7739999999999991</v>
      </c>
    </row>
    <row r="12874" spans="1:5">
      <c r="A12874" t="s">
        <v>42039</v>
      </c>
      <c r="B12874" t="s">
        <v>21976</v>
      </c>
      <c r="C12874">
        <v>0.66608180391299998</v>
      </c>
      <c r="D12874">
        <v>0.82609180391299997</v>
      </c>
      <c r="E12874">
        <v>10.715999999999999</v>
      </c>
    </row>
    <row r="12875" spans="1:5">
      <c r="A12875" t="s">
        <v>42039</v>
      </c>
      <c r="B12875" t="s">
        <v>21979</v>
      </c>
      <c r="C12875">
        <v>0</v>
      </c>
      <c r="D12875">
        <v>0.82609180391299997</v>
      </c>
      <c r="E12875">
        <v>10.715999999999999</v>
      </c>
    </row>
    <row r="12876" spans="1:5">
      <c r="A12876" t="s">
        <v>42039</v>
      </c>
      <c r="B12876" t="s">
        <v>21977</v>
      </c>
      <c r="C12876">
        <v>0</v>
      </c>
      <c r="D12876">
        <v>0.82609180391299997</v>
      </c>
      <c r="E12876">
        <v>10.715999999999999</v>
      </c>
    </row>
    <row r="12877" spans="1:5">
      <c r="A12877" t="s">
        <v>42040</v>
      </c>
      <c r="B12877" t="s">
        <v>5389</v>
      </c>
      <c r="C12877">
        <f>0.728439524004</f>
        <v>0.72843952400400003</v>
      </c>
      <c r="D12877">
        <v>0.89631411485300005</v>
      </c>
      <c r="E12877">
        <v>0</v>
      </c>
    </row>
    <row r="12878" spans="1:5">
      <c r="A12878" t="s">
        <v>42040</v>
      </c>
      <c r="B12878" t="s">
        <v>5388</v>
      </c>
      <c r="C12878">
        <f>0</f>
        <v>0</v>
      </c>
      <c r="D12878">
        <v>0.89631411485300005</v>
      </c>
      <c r="E12878">
        <v>0</v>
      </c>
    </row>
    <row r="12879" spans="1:5">
      <c r="A12879" t="s">
        <v>42040</v>
      </c>
      <c r="B12879" t="s">
        <v>5391</v>
      </c>
      <c r="C12879">
        <v>6.2426268607799998E-2</v>
      </c>
      <c r="D12879">
        <v>0.89631411485300005</v>
      </c>
      <c r="E12879">
        <v>0</v>
      </c>
    </row>
    <row r="12880" spans="1:5">
      <c r="A12880" t="s">
        <v>42040</v>
      </c>
      <c r="B12880" t="s">
        <v>5392</v>
      </c>
      <c r="C12880">
        <v>0</v>
      </c>
      <c r="D12880">
        <v>0.89631411485300005</v>
      </c>
      <c r="E12880">
        <v>0</v>
      </c>
    </row>
    <row r="12881" spans="1:5">
      <c r="A12881" t="s">
        <v>42041</v>
      </c>
      <c r="B12881" t="s">
        <v>4571</v>
      </c>
      <c r="C12881">
        <v>0</v>
      </c>
      <c r="D12881">
        <v>0.70293522631500005</v>
      </c>
      <c r="E12881">
        <v>20.736000000000001</v>
      </c>
    </row>
    <row r="12882" spans="1:5">
      <c r="A12882" t="s">
        <v>42041</v>
      </c>
      <c r="B12882" t="s">
        <v>4569</v>
      </c>
      <c r="C12882">
        <v>0.12532522631500001</v>
      </c>
      <c r="D12882">
        <v>0.70293522631500005</v>
      </c>
      <c r="E12882">
        <v>20.736000000000001</v>
      </c>
    </row>
    <row r="12883" spans="1:5">
      <c r="A12883" t="s">
        <v>42041</v>
      </c>
      <c r="B12883" t="s">
        <v>4570</v>
      </c>
      <c r="C12883">
        <v>0</v>
      </c>
      <c r="D12883">
        <v>0.70293522631500005</v>
      </c>
      <c r="E12883">
        <v>20.736000000000001</v>
      </c>
    </row>
    <row r="12884" spans="1:5">
      <c r="A12884" t="s">
        <v>42042</v>
      </c>
      <c r="B12884" t="s">
        <v>42043</v>
      </c>
      <c r="C12884">
        <f>0.565039870196</f>
        <v>0.56503987019599999</v>
      </c>
      <c r="D12884">
        <v>0.846245181613</v>
      </c>
      <c r="E12884">
        <v>24</v>
      </c>
    </row>
    <row r="12885" spans="1:5">
      <c r="A12885" t="s">
        <v>42042</v>
      </c>
      <c r="B12885" t="s">
        <v>42044</v>
      </c>
      <c r="C12885">
        <f>0.589205588781</f>
        <v>0.58920558878100004</v>
      </c>
      <c r="D12885">
        <v>0.846245181613</v>
      </c>
      <c r="E12885">
        <v>24</v>
      </c>
    </row>
    <row r="12886" spans="1:5">
      <c r="A12886" t="s">
        <v>42042</v>
      </c>
      <c r="B12886" t="s">
        <v>42045</v>
      </c>
      <c r="C12886">
        <f>0.316333176492</f>
        <v>0.31633317649199999</v>
      </c>
      <c r="D12886">
        <v>0.846245181613</v>
      </c>
      <c r="E12886">
        <v>24</v>
      </c>
    </row>
    <row r="12887" spans="1:5">
      <c r="A12887" t="s">
        <v>42046</v>
      </c>
      <c r="B12887" t="s">
        <v>24179</v>
      </c>
      <c r="C12887">
        <v>0.22914906638900001</v>
      </c>
      <c r="D12887">
        <v>0.90624179980800001</v>
      </c>
      <c r="E12887">
        <v>1.512</v>
      </c>
    </row>
    <row r="12888" spans="1:5">
      <c r="A12888" t="s">
        <v>42046</v>
      </c>
      <c r="B12888" t="s">
        <v>24181</v>
      </c>
      <c r="C12888">
        <v>0</v>
      </c>
      <c r="D12888">
        <v>0.90624179980800001</v>
      </c>
      <c r="E12888">
        <v>1.512</v>
      </c>
    </row>
    <row r="12889" spans="1:5">
      <c r="A12889" t="s">
        <v>42046</v>
      </c>
      <c r="B12889" t="s">
        <v>24187</v>
      </c>
      <c r="C12889">
        <f>0.52307328918</f>
        <v>0.52307328917999996</v>
      </c>
      <c r="D12889">
        <v>0.90624179980800001</v>
      </c>
      <c r="E12889">
        <v>1.512</v>
      </c>
    </row>
    <row r="12890" spans="1:5">
      <c r="A12890" t="s">
        <v>42046</v>
      </c>
      <c r="B12890" t="s">
        <v>24185</v>
      </c>
      <c r="C12890">
        <v>0</v>
      </c>
      <c r="D12890">
        <v>0.90624179980800001</v>
      </c>
      <c r="E12890">
        <v>1.512</v>
      </c>
    </row>
    <row r="12891" spans="1:5">
      <c r="A12891" t="s">
        <v>42047</v>
      </c>
      <c r="B12891" t="s">
        <v>29151</v>
      </c>
      <c r="C12891">
        <v>0.70602821909199998</v>
      </c>
      <c r="D12891">
        <v>0.91836222757099994</v>
      </c>
      <c r="E12891">
        <v>24</v>
      </c>
    </row>
    <row r="12892" spans="1:5">
      <c r="A12892" t="s">
        <v>42047</v>
      </c>
      <c r="B12892" t="s">
        <v>29153</v>
      </c>
      <c r="C12892">
        <v>3.4461542852600002E-2</v>
      </c>
      <c r="D12892">
        <v>0.91836222757099994</v>
      </c>
      <c r="E12892">
        <v>24</v>
      </c>
    </row>
    <row r="12893" spans="1:5">
      <c r="A12893" t="s">
        <v>42048</v>
      </c>
      <c r="B12893" t="s">
        <v>29345</v>
      </c>
      <c r="C12893">
        <v>0.61884014945499999</v>
      </c>
      <c r="D12893">
        <v>0.94393658627599997</v>
      </c>
      <c r="E12893">
        <v>24</v>
      </c>
    </row>
    <row r="12894" spans="1:5">
      <c r="A12894" t="s">
        <v>42048</v>
      </c>
      <c r="B12894" t="s">
        <v>29348</v>
      </c>
      <c r="C12894">
        <f>0</f>
        <v>0</v>
      </c>
      <c r="D12894">
        <v>0.94393658627599997</v>
      </c>
      <c r="E12894">
        <v>24</v>
      </c>
    </row>
    <row r="12895" spans="1:5">
      <c r="A12895" t="s">
        <v>42048</v>
      </c>
      <c r="B12895" t="s">
        <v>29347</v>
      </c>
      <c r="C12895">
        <v>0.404395469314</v>
      </c>
      <c r="D12895">
        <v>0.94393658627599997</v>
      </c>
      <c r="E12895">
        <v>24</v>
      </c>
    </row>
    <row r="12896" spans="1:5">
      <c r="A12896" t="s">
        <v>42049</v>
      </c>
      <c r="B12896" t="s">
        <v>1804</v>
      </c>
      <c r="C12896">
        <f>0</f>
        <v>0</v>
      </c>
      <c r="D12896" t="s">
        <v>106</v>
      </c>
      <c r="E12896">
        <v>0.61799999999999999</v>
      </c>
    </row>
    <row r="12897" spans="1:5">
      <c r="A12897" t="s">
        <v>42049</v>
      </c>
      <c r="B12897" t="s">
        <v>1806</v>
      </c>
      <c r="C12897">
        <v>0</v>
      </c>
      <c r="D12897" t="s">
        <v>106</v>
      </c>
      <c r="E12897">
        <v>0.61799999999999999</v>
      </c>
    </row>
    <row r="12898" spans="1:5">
      <c r="A12898" t="s">
        <v>42049</v>
      </c>
      <c r="B12898" t="s">
        <v>1805</v>
      </c>
      <c r="C12898">
        <v>0</v>
      </c>
      <c r="D12898" t="s">
        <v>106</v>
      </c>
      <c r="E12898">
        <v>0.61799999999999999</v>
      </c>
    </row>
    <row r="12899" spans="1:5">
      <c r="A12899" t="s">
        <v>42050</v>
      </c>
      <c r="B12899" t="s">
        <v>42051</v>
      </c>
      <c r="C12899">
        <v>0</v>
      </c>
      <c r="D12899" t="s">
        <v>106</v>
      </c>
      <c r="E12899">
        <v>0</v>
      </c>
    </row>
    <row r="12900" spans="1:5">
      <c r="A12900" t="s">
        <v>42050</v>
      </c>
      <c r="B12900" t="s">
        <v>42052</v>
      </c>
      <c r="C12900">
        <f>0</f>
        <v>0</v>
      </c>
      <c r="D12900" t="s">
        <v>106</v>
      </c>
      <c r="E12900">
        <v>0</v>
      </c>
    </row>
    <row r="12901" spans="1:5">
      <c r="A12901" t="s">
        <v>42053</v>
      </c>
      <c r="B12901" t="s">
        <v>15154</v>
      </c>
      <c r="C12901">
        <v>0</v>
      </c>
      <c r="D12901">
        <v>0.66221789110999996</v>
      </c>
      <c r="E12901">
        <v>0.438</v>
      </c>
    </row>
    <row r="12902" spans="1:5">
      <c r="A12902" t="s">
        <v>42053</v>
      </c>
      <c r="B12902" t="s">
        <v>15155</v>
      </c>
      <c r="C12902">
        <f>0</f>
        <v>0</v>
      </c>
      <c r="D12902">
        <v>0.66221789110999996</v>
      </c>
      <c r="E12902">
        <v>0.438</v>
      </c>
    </row>
    <row r="12903" spans="1:5">
      <c r="A12903" t="s">
        <v>42053</v>
      </c>
      <c r="B12903" t="s">
        <v>15159</v>
      </c>
      <c r="C12903">
        <v>0.30220789111000002</v>
      </c>
      <c r="D12903">
        <v>0.66221789110999996</v>
      </c>
      <c r="E12903">
        <v>0.438</v>
      </c>
    </row>
    <row r="12904" spans="1:5">
      <c r="A12904" t="s">
        <v>42053</v>
      </c>
      <c r="B12904" t="s">
        <v>15156</v>
      </c>
      <c r="C12904">
        <f>0</f>
        <v>0</v>
      </c>
      <c r="D12904">
        <v>0.66221789110999996</v>
      </c>
      <c r="E12904">
        <v>0.438</v>
      </c>
    </row>
    <row r="12905" spans="1:5">
      <c r="A12905" t="s">
        <v>42054</v>
      </c>
      <c r="B12905" t="s">
        <v>28487</v>
      </c>
      <c r="C12905">
        <f>0.494327633595</f>
        <v>0.49432763359499998</v>
      </c>
      <c r="D12905">
        <v>0.75251653391600004</v>
      </c>
      <c r="E12905">
        <v>24</v>
      </c>
    </row>
    <row r="12906" spans="1:5">
      <c r="A12906" t="s">
        <v>42054</v>
      </c>
      <c r="B12906" t="s">
        <v>28486</v>
      </c>
      <c r="C12906">
        <f>0.230086672139</f>
        <v>0.230086672139</v>
      </c>
      <c r="D12906">
        <v>0.75251653391600004</v>
      </c>
      <c r="E12906">
        <v>24</v>
      </c>
    </row>
    <row r="12907" spans="1:5">
      <c r="A12907" t="s">
        <v>42055</v>
      </c>
      <c r="B12907" t="s">
        <v>21638</v>
      </c>
      <c r="C12907">
        <f>0</f>
        <v>0</v>
      </c>
      <c r="D12907" t="s">
        <v>106</v>
      </c>
      <c r="E12907">
        <v>19.2</v>
      </c>
    </row>
    <row r="12908" spans="1:5">
      <c r="A12908" t="s">
        <v>42055</v>
      </c>
      <c r="B12908" t="s">
        <v>21640</v>
      </c>
      <c r="C12908">
        <v>0</v>
      </c>
      <c r="D12908" t="s">
        <v>106</v>
      </c>
      <c r="E12908">
        <v>19.2</v>
      </c>
    </row>
    <row r="12909" spans="1:5">
      <c r="A12909" t="s">
        <v>42056</v>
      </c>
      <c r="B12909" t="s">
        <v>7153</v>
      </c>
      <c r="C12909">
        <f>0</f>
        <v>0</v>
      </c>
      <c r="D12909">
        <v>0.97510401755300002</v>
      </c>
      <c r="E12909">
        <v>24</v>
      </c>
    </row>
    <row r="12910" spans="1:5">
      <c r="A12910" t="s">
        <v>42056</v>
      </c>
      <c r="B12910" t="s">
        <v>7152</v>
      </c>
      <c r="C12910">
        <f>0.640905778927</f>
        <v>0.64090577892699996</v>
      </c>
      <c r="D12910">
        <v>0.97510401755300002</v>
      </c>
      <c r="E12910">
        <v>24</v>
      </c>
    </row>
    <row r="12911" spans="1:5">
      <c r="A12911" t="s">
        <v>42056</v>
      </c>
      <c r="B12911" t="s">
        <v>7151</v>
      </c>
      <c r="C12911">
        <v>0.195004014797</v>
      </c>
      <c r="D12911">
        <v>0.97510401755300002</v>
      </c>
      <c r="E12911">
        <v>24</v>
      </c>
    </row>
    <row r="12912" spans="1:5">
      <c r="A12912" t="s">
        <v>42056</v>
      </c>
      <c r="B12912" t="s">
        <v>7171</v>
      </c>
      <c r="C12912">
        <f>0</f>
        <v>0</v>
      </c>
      <c r="D12912">
        <v>0.97510401755300002</v>
      </c>
      <c r="E12912">
        <v>24</v>
      </c>
    </row>
    <row r="12913" spans="1:5">
      <c r="A12913" t="s">
        <v>42056</v>
      </c>
      <c r="B12913" t="s">
        <v>7158</v>
      </c>
      <c r="C12913">
        <f>0</f>
        <v>0</v>
      </c>
      <c r="D12913">
        <v>0.97510401755300002</v>
      </c>
      <c r="E12913">
        <v>24</v>
      </c>
    </row>
    <row r="12914" spans="1:5">
      <c r="A12914" t="s">
        <v>42056</v>
      </c>
      <c r="B12914" t="s">
        <v>7155</v>
      </c>
      <c r="C12914">
        <f>0</f>
        <v>0</v>
      </c>
      <c r="D12914">
        <v>0.97510401755300002</v>
      </c>
      <c r="E12914">
        <v>24</v>
      </c>
    </row>
    <row r="12915" spans="1:5">
      <c r="A12915" t="s">
        <v>42056</v>
      </c>
      <c r="B12915" t="s">
        <v>7157</v>
      </c>
      <c r="C12915">
        <f>0.0481223485176</f>
        <v>4.81223485176E-2</v>
      </c>
      <c r="D12915">
        <v>0.97510401755300002</v>
      </c>
      <c r="E12915">
        <v>24</v>
      </c>
    </row>
    <row r="12916" spans="1:5">
      <c r="A12916" t="s">
        <v>42056</v>
      </c>
      <c r="B12916" t="s">
        <v>7166</v>
      </c>
      <c r="C12916">
        <f>0.671807368683</f>
        <v>0.67180736868299995</v>
      </c>
      <c r="D12916">
        <v>0.97510401755300002</v>
      </c>
      <c r="E12916">
        <v>24</v>
      </c>
    </row>
    <row r="12917" spans="1:5">
      <c r="A12917" t="s">
        <v>42056</v>
      </c>
      <c r="B12917" t="s">
        <v>7169</v>
      </c>
      <c r="C12917">
        <v>0</v>
      </c>
      <c r="D12917">
        <v>0.97510401755300002</v>
      </c>
      <c r="E12917">
        <v>24</v>
      </c>
    </row>
    <row r="12918" spans="1:5">
      <c r="A12918" t="s">
        <v>42057</v>
      </c>
      <c r="B12918" t="s">
        <v>42058</v>
      </c>
      <c r="C12918">
        <v>0.39034451896400002</v>
      </c>
      <c r="D12918">
        <v>0.89422645542099999</v>
      </c>
      <c r="E12918">
        <v>4.6920000000000002</v>
      </c>
    </row>
    <row r="12919" spans="1:5">
      <c r="A12919" t="s">
        <v>42057</v>
      </c>
      <c r="B12919" t="s">
        <v>42059</v>
      </c>
      <c r="C12919">
        <v>0.62862495693700005</v>
      </c>
      <c r="D12919">
        <v>0.89422645542099999</v>
      </c>
      <c r="E12919">
        <v>4.6920000000000002</v>
      </c>
    </row>
    <row r="12920" spans="1:5">
      <c r="A12920" t="s">
        <v>42060</v>
      </c>
      <c r="B12920" t="s">
        <v>25937</v>
      </c>
      <c r="C12920">
        <f>0</f>
        <v>0</v>
      </c>
      <c r="D12920" t="s">
        <v>106</v>
      </c>
      <c r="E12920">
        <v>24</v>
      </c>
    </row>
    <row r="12921" spans="1:5">
      <c r="A12921" t="s">
        <v>42060</v>
      </c>
      <c r="B12921" t="s">
        <v>25948</v>
      </c>
      <c r="C12921">
        <f>0</f>
        <v>0</v>
      </c>
      <c r="D12921" t="s">
        <v>106</v>
      </c>
      <c r="E12921">
        <v>24</v>
      </c>
    </row>
    <row r="12922" spans="1:5">
      <c r="A12922" t="s">
        <v>42060</v>
      </c>
      <c r="B12922" t="s">
        <v>25943</v>
      </c>
      <c r="C12922">
        <f>0</f>
        <v>0</v>
      </c>
      <c r="D12922" t="s">
        <v>106</v>
      </c>
      <c r="E12922">
        <v>24</v>
      </c>
    </row>
    <row r="12923" spans="1:5">
      <c r="A12923" t="s">
        <v>42060</v>
      </c>
      <c r="B12923" t="s">
        <v>25945</v>
      </c>
      <c r="C12923">
        <v>0</v>
      </c>
      <c r="D12923" t="s">
        <v>106</v>
      </c>
      <c r="E12923">
        <v>24</v>
      </c>
    </row>
    <row r="12924" spans="1:5">
      <c r="A12924" t="s">
        <v>42061</v>
      </c>
      <c r="B12924" t="s">
        <v>13447</v>
      </c>
      <c r="C12924">
        <v>0</v>
      </c>
      <c r="D12924" t="s">
        <v>106</v>
      </c>
      <c r="E12924">
        <v>5.2380000000000004</v>
      </c>
    </row>
    <row r="12925" spans="1:5">
      <c r="A12925" t="s">
        <v>42061</v>
      </c>
      <c r="B12925" t="s">
        <v>13448</v>
      </c>
      <c r="C12925">
        <f>0</f>
        <v>0</v>
      </c>
      <c r="D12925" t="s">
        <v>106</v>
      </c>
      <c r="E12925">
        <v>5.2380000000000004</v>
      </c>
    </row>
    <row r="12926" spans="1:5">
      <c r="A12926" t="s">
        <v>42062</v>
      </c>
      <c r="B12926" t="s">
        <v>14417</v>
      </c>
      <c r="C12926">
        <v>0</v>
      </c>
      <c r="D12926" t="s">
        <v>106</v>
      </c>
      <c r="E12926">
        <v>23.754000000000001</v>
      </c>
    </row>
    <row r="12927" spans="1:5">
      <c r="A12927" t="s">
        <v>42062</v>
      </c>
      <c r="B12927" t="s">
        <v>14422</v>
      </c>
      <c r="C12927">
        <v>0</v>
      </c>
      <c r="D12927" t="s">
        <v>106</v>
      </c>
      <c r="E12927">
        <v>23.754000000000001</v>
      </c>
    </row>
    <row r="12928" spans="1:5">
      <c r="A12928" t="s">
        <v>42062</v>
      </c>
      <c r="B12928" t="s">
        <v>14426</v>
      </c>
      <c r="C12928">
        <v>0</v>
      </c>
      <c r="D12928" t="s">
        <v>106</v>
      </c>
      <c r="E12928">
        <v>23.754000000000001</v>
      </c>
    </row>
    <row r="12929" spans="1:5">
      <c r="A12929" t="s">
        <v>42062</v>
      </c>
      <c r="B12929" t="s">
        <v>14419</v>
      </c>
      <c r="C12929">
        <v>0</v>
      </c>
      <c r="D12929" t="s">
        <v>106</v>
      </c>
      <c r="E12929">
        <v>23.754000000000001</v>
      </c>
    </row>
    <row r="12930" spans="1:5">
      <c r="A12930" t="s">
        <v>42062</v>
      </c>
      <c r="B12930" t="s">
        <v>14425</v>
      </c>
      <c r="C12930">
        <v>0</v>
      </c>
      <c r="D12930" t="s">
        <v>106</v>
      </c>
      <c r="E12930">
        <v>23.754000000000001</v>
      </c>
    </row>
    <row r="12931" spans="1:5">
      <c r="A12931" t="s">
        <v>42062</v>
      </c>
      <c r="B12931" t="s">
        <v>14420</v>
      </c>
      <c r="C12931">
        <v>0</v>
      </c>
      <c r="D12931" t="s">
        <v>106</v>
      </c>
      <c r="E12931">
        <v>23.754000000000001</v>
      </c>
    </row>
    <row r="12932" spans="1:5">
      <c r="A12932" t="s">
        <v>42062</v>
      </c>
      <c r="B12932" t="s">
        <v>14424</v>
      </c>
      <c r="C12932">
        <v>0</v>
      </c>
      <c r="D12932" t="s">
        <v>106</v>
      </c>
      <c r="E12932">
        <v>23.754000000000001</v>
      </c>
    </row>
    <row r="12933" spans="1:5">
      <c r="A12933" t="s">
        <v>42062</v>
      </c>
      <c r="B12933" t="s">
        <v>14421</v>
      </c>
      <c r="C12933">
        <v>0</v>
      </c>
      <c r="D12933" t="s">
        <v>106</v>
      </c>
      <c r="E12933">
        <v>23.754000000000001</v>
      </c>
    </row>
    <row r="12934" spans="1:5">
      <c r="A12934" t="s">
        <v>42063</v>
      </c>
      <c r="B12934" t="s">
        <v>10918</v>
      </c>
      <c r="C12934">
        <f>0.671280669907</f>
        <v>0.67128066990699997</v>
      </c>
      <c r="D12934">
        <v>0.91086449603200004</v>
      </c>
      <c r="E12934">
        <v>21.648</v>
      </c>
    </row>
    <row r="12935" spans="1:5">
      <c r="A12935" t="s">
        <v>42063</v>
      </c>
      <c r="B12935" t="s">
        <v>10919</v>
      </c>
      <c r="C12935">
        <v>0</v>
      </c>
      <c r="D12935">
        <v>0.91086449603200004</v>
      </c>
      <c r="E12935">
        <v>21.648</v>
      </c>
    </row>
    <row r="12936" spans="1:5">
      <c r="A12936" t="s">
        <v>42063</v>
      </c>
      <c r="B12936" t="s">
        <v>10925</v>
      </c>
      <c r="C12936">
        <v>0.47454880898399998</v>
      </c>
      <c r="D12936">
        <v>0.91086449603200004</v>
      </c>
      <c r="E12936">
        <v>21.648</v>
      </c>
    </row>
    <row r="12937" spans="1:5">
      <c r="A12937" t="s">
        <v>42063</v>
      </c>
      <c r="B12937" t="s">
        <v>10923</v>
      </c>
      <c r="C12937">
        <f>0</f>
        <v>0</v>
      </c>
      <c r="D12937">
        <v>0.91086449603200004</v>
      </c>
      <c r="E12937">
        <v>21.648</v>
      </c>
    </row>
    <row r="12938" spans="1:5">
      <c r="A12938" t="s">
        <v>42064</v>
      </c>
      <c r="B12938" t="s">
        <v>8853</v>
      </c>
      <c r="C12938">
        <f>0.48984631375</f>
        <v>0.48984631374999998</v>
      </c>
      <c r="D12938">
        <v>0.99157520907700003</v>
      </c>
      <c r="E12938">
        <v>1.1160000000000001</v>
      </c>
    </row>
    <row r="12939" spans="1:5">
      <c r="A12939" t="s">
        <v>42064</v>
      </c>
      <c r="B12939" t="s">
        <v>8855</v>
      </c>
      <c r="C12939">
        <f>0.10085525007</f>
        <v>0.10085525007</v>
      </c>
      <c r="D12939">
        <v>0.99157520907700003</v>
      </c>
      <c r="E12939">
        <v>1.1160000000000001</v>
      </c>
    </row>
    <row r="12940" spans="1:5">
      <c r="A12940" t="s">
        <v>42064</v>
      </c>
      <c r="B12940" t="s">
        <v>8858</v>
      </c>
      <c r="C12940">
        <v>0.87043422494199996</v>
      </c>
      <c r="D12940">
        <v>0.99157520907700003</v>
      </c>
      <c r="E12940">
        <v>1.1160000000000001</v>
      </c>
    </row>
    <row r="12941" spans="1:5">
      <c r="A12941" t="s">
        <v>42064</v>
      </c>
      <c r="B12941" t="s">
        <v>8856</v>
      </c>
      <c r="C12941">
        <v>0.112990568837</v>
      </c>
      <c r="D12941">
        <v>0.99157520907700003</v>
      </c>
      <c r="E12941">
        <v>1.1160000000000001</v>
      </c>
    </row>
    <row r="12942" spans="1:5">
      <c r="A12942" t="s">
        <v>42065</v>
      </c>
      <c r="B12942" t="s">
        <v>42066</v>
      </c>
      <c r="C12942">
        <v>0</v>
      </c>
      <c r="D12942" t="s">
        <v>106</v>
      </c>
      <c r="E12942">
        <v>3.4980000000000002</v>
      </c>
    </row>
    <row r="12943" spans="1:5">
      <c r="A12943" t="s">
        <v>42065</v>
      </c>
      <c r="B12943" t="s">
        <v>42067</v>
      </c>
      <c r="C12943">
        <v>0</v>
      </c>
      <c r="D12943" t="s">
        <v>106</v>
      </c>
      <c r="E12943">
        <v>3.4980000000000002</v>
      </c>
    </row>
    <row r="12944" spans="1:5">
      <c r="A12944" t="s">
        <v>42068</v>
      </c>
      <c r="B12944" t="s">
        <v>42069</v>
      </c>
      <c r="C12944">
        <f>0</f>
        <v>0</v>
      </c>
      <c r="D12944">
        <v>0.99995754060599995</v>
      </c>
      <c r="E12944">
        <v>5.1239999999999997</v>
      </c>
    </row>
    <row r="12945" spans="1:5">
      <c r="A12945" t="s">
        <v>42068</v>
      </c>
      <c r="B12945" t="s">
        <v>42070</v>
      </c>
      <c r="C12945">
        <f>0</f>
        <v>0</v>
      </c>
      <c r="D12945">
        <v>0.99995754060599995</v>
      </c>
      <c r="E12945">
        <v>5.1239999999999997</v>
      </c>
    </row>
    <row r="12946" spans="1:5">
      <c r="A12946" t="s">
        <v>42068</v>
      </c>
      <c r="B12946" t="s">
        <v>42071</v>
      </c>
      <c r="C12946">
        <v>0.22886477693500001</v>
      </c>
      <c r="D12946">
        <v>0.99995754060599995</v>
      </c>
      <c r="E12946">
        <v>5.1239999999999997</v>
      </c>
    </row>
    <row r="12947" spans="1:5">
      <c r="A12947" t="s">
        <v>42068</v>
      </c>
      <c r="B12947" t="s">
        <v>42072</v>
      </c>
      <c r="C12947">
        <v>0</v>
      </c>
      <c r="D12947">
        <v>0.99995754060599995</v>
      </c>
      <c r="E12947">
        <v>5.1239999999999997</v>
      </c>
    </row>
    <row r="12948" spans="1:5">
      <c r="A12948" t="s">
        <v>42068</v>
      </c>
      <c r="B12948" t="s">
        <v>42073</v>
      </c>
      <c r="C12948">
        <v>1.4837546594E-2</v>
      </c>
      <c r="D12948">
        <v>0.99995754060599995</v>
      </c>
      <c r="E12948">
        <v>5.1239999999999997</v>
      </c>
    </row>
    <row r="12949" spans="1:5">
      <c r="A12949" t="s">
        <v>42068</v>
      </c>
      <c r="B12949" t="s">
        <v>42074</v>
      </c>
      <c r="C12949">
        <v>0.28233590416400001</v>
      </c>
      <c r="D12949">
        <v>0.99995754060599995</v>
      </c>
      <c r="E12949">
        <v>5.1239999999999997</v>
      </c>
    </row>
    <row r="12950" spans="1:5">
      <c r="A12950" t="s">
        <v>42068</v>
      </c>
      <c r="B12950" t="s">
        <v>42075</v>
      </c>
      <c r="C12950">
        <v>0.16148145768700001</v>
      </c>
      <c r="D12950">
        <v>0.99995754060599995</v>
      </c>
      <c r="E12950">
        <v>5.1239999999999997</v>
      </c>
    </row>
    <row r="12951" spans="1:5">
      <c r="A12951" t="s">
        <v>42068</v>
      </c>
      <c r="B12951" t="s">
        <v>42076</v>
      </c>
      <c r="C12951">
        <f>0.497484076586</f>
        <v>0.49748407658600002</v>
      </c>
      <c r="D12951">
        <v>0.99995754060599995</v>
      </c>
      <c r="E12951">
        <v>5.1239999999999997</v>
      </c>
    </row>
    <row r="12952" spans="1:5">
      <c r="A12952" t="s">
        <v>42068</v>
      </c>
      <c r="B12952" t="s">
        <v>42077</v>
      </c>
      <c r="C12952">
        <v>0.78871891648799997</v>
      </c>
      <c r="D12952">
        <v>0.99995754060599995</v>
      </c>
      <c r="E12952">
        <v>5.1239999999999997</v>
      </c>
    </row>
    <row r="12953" spans="1:5">
      <c r="A12953" t="s">
        <v>42068</v>
      </c>
      <c r="B12953" t="s">
        <v>42078</v>
      </c>
      <c r="C12953">
        <v>0</v>
      </c>
      <c r="D12953">
        <v>0.99995754060599995</v>
      </c>
      <c r="E12953">
        <v>5.1239999999999997</v>
      </c>
    </row>
    <row r="12954" spans="1:5">
      <c r="A12954" t="s">
        <v>42068</v>
      </c>
      <c r="B12954" t="s">
        <v>42079</v>
      </c>
      <c r="C12954">
        <f>0.303602293256</f>
        <v>0.30360229325600002</v>
      </c>
      <c r="D12954">
        <v>0.99995754060599995</v>
      </c>
      <c r="E12954">
        <v>5.1239999999999997</v>
      </c>
    </row>
    <row r="12955" spans="1:5">
      <c r="A12955" t="s">
        <v>42080</v>
      </c>
      <c r="B12955" t="s">
        <v>8992</v>
      </c>
      <c r="C12955">
        <f>0.638906936314</f>
        <v>0.63890693631399997</v>
      </c>
      <c r="D12955">
        <v>0.99980847634000003</v>
      </c>
      <c r="E12955">
        <v>3.8759999999999999</v>
      </c>
    </row>
    <row r="12956" spans="1:5">
      <c r="A12956" t="s">
        <v>42080</v>
      </c>
      <c r="B12956" t="s">
        <v>8996</v>
      </c>
      <c r="C12956">
        <f>0.665348499542</f>
        <v>0.66534849954200004</v>
      </c>
      <c r="D12956">
        <v>0.99980847634000003</v>
      </c>
      <c r="E12956">
        <v>3.8759999999999999</v>
      </c>
    </row>
    <row r="12957" spans="1:5">
      <c r="A12957" t="s">
        <v>42080</v>
      </c>
      <c r="B12957" t="s">
        <v>8995</v>
      </c>
      <c r="C12957">
        <f>0.345747086461</f>
        <v>0.345747086461</v>
      </c>
      <c r="D12957">
        <v>0.99980847634000003</v>
      </c>
      <c r="E12957">
        <v>3.8759999999999999</v>
      </c>
    </row>
    <row r="12958" spans="1:5">
      <c r="A12958" t="s">
        <v>42080</v>
      </c>
      <c r="B12958" t="s">
        <v>8993</v>
      </c>
      <c r="C12958">
        <v>1.1915195159300001</v>
      </c>
      <c r="D12958">
        <v>0.99980847634000003</v>
      </c>
      <c r="E12958">
        <v>3.8759999999999999</v>
      </c>
    </row>
    <row r="12959" spans="1:5">
      <c r="A12959" t="s">
        <v>42080</v>
      </c>
      <c r="B12959" t="s">
        <v>8999</v>
      </c>
      <c r="C12959">
        <f>0.789475916733</f>
        <v>0.78947591673299999</v>
      </c>
      <c r="D12959">
        <v>0.99980847634000003</v>
      </c>
      <c r="E12959">
        <v>3.8759999999999999</v>
      </c>
    </row>
    <row r="12960" spans="1:5">
      <c r="A12960" t="s">
        <v>42080</v>
      </c>
      <c r="B12960" t="s">
        <v>8997</v>
      </c>
      <c r="C12960">
        <v>1.4649265659699999E-2</v>
      </c>
      <c r="D12960">
        <v>0.99980847634000003</v>
      </c>
      <c r="E12960">
        <v>3.8759999999999999</v>
      </c>
    </row>
    <row r="12961" spans="1:5">
      <c r="A12961" t="s">
        <v>42081</v>
      </c>
      <c r="B12961" t="s">
        <v>42082</v>
      </c>
      <c r="C12961">
        <v>0</v>
      </c>
      <c r="D12961">
        <v>0.75957715150899996</v>
      </c>
      <c r="E12961">
        <v>3.5999999999999997E-2</v>
      </c>
    </row>
    <row r="12962" spans="1:5">
      <c r="A12962" t="s">
        <v>42081</v>
      </c>
      <c r="B12962" t="s">
        <v>42083</v>
      </c>
      <c r="C12962">
        <f>0</f>
        <v>0</v>
      </c>
      <c r="D12962">
        <v>0.75957715150899996</v>
      </c>
      <c r="E12962">
        <v>3.5999999999999997E-2</v>
      </c>
    </row>
    <row r="12963" spans="1:5">
      <c r="A12963" t="s">
        <v>42081</v>
      </c>
      <c r="B12963" t="s">
        <v>42084</v>
      </c>
      <c r="C12963">
        <v>0</v>
      </c>
      <c r="D12963">
        <v>0.75957715150899996</v>
      </c>
      <c r="E12963">
        <v>3.5999999999999997E-2</v>
      </c>
    </row>
    <row r="12964" spans="1:5">
      <c r="A12964" t="s">
        <v>42081</v>
      </c>
      <c r="B12964" t="s">
        <v>42085</v>
      </c>
      <c r="C12964">
        <v>0.44596715150900001</v>
      </c>
      <c r="D12964">
        <v>0.75957715150899996</v>
      </c>
      <c r="E12964">
        <v>3.5999999999999997E-2</v>
      </c>
    </row>
    <row r="12965" spans="1:5">
      <c r="A12965" t="s">
        <v>42081</v>
      </c>
      <c r="B12965" t="s">
        <v>42086</v>
      </c>
      <c r="C12965">
        <v>0</v>
      </c>
      <c r="D12965">
        <v>0.75957715150899996</v>
      </c>
      <c r="E12965">
        <v>3.5999999999999997E-2</v>
      </c>
    </row>
    <row r="12966" spans="1:5">
      <c r="A12966" t="s">
        <v>42081</v>
      </c>
      <c r="B12966" t="s">
        <v>42087</v>
      </c>
      <c r="C12966">
        <f>0</f>
        <v>0</v>
      </c>
      <c r="D12966">
        <v>0.75957715150899996</v>
      </c>
      <c r="E12966">
        <v>3.5999999999999997E-2</v>
      </c>
    </row>
    <row r="12967" spans="1:5">
      <c r="A12967" t="s">
        <v>42081</v>
      </c>
      <c r="B12967" t="s">
        <v>42088</v>
      </c>
      <c r="C12967">
        <v>0</v>
      </c>
      <c r="D12967">
        <v>0.75957715150899996</v>
      </c>
      <c r="E12967">
        <v>3.5999999999999997E-2</v>
      </c>
    </row>
    <row r="12968" spans="1:5">
      <c r="A12968" t="s">
        <v>42081</v>
      </c>
      <c r="B12968" t="s">
        <v>42089</v>
      </c>
      <c r="C12968">
        <v>0</v>
      </c>
      <c r="D12968">
        <v>0.75957715150899996</v>
      </c>
      <c r="E12968">
        <v>3.5999999999999997E-2</v>
      </c>
    </row>
    <row r="12969" spans="1:5">
      <c r="A12969" t="s">
        <v>42081</v>
      </c>
      <c r="B12969" t="s">
        <v>42090</v>
      </c>
      <c r="C12969">
        <v>0</v>
      </c>
      <c r="D12969">
        <v>0.75957715150899996</v>
      </c>
      <c r="E12969">
        <v>3.5999999999999997E-2</v>
      </c>
    </row>
    <row r="12970" spans="1:5">
      <c r="A12970" t="s">
        <v>42091</v>
      </c>
      <c r="B12970" t="s">
        <v>42092</v>
      </c>
      <c r="C12970">
        <f>0.185528789436</f>
        <v>0.18552878943600001</v>
      </c>
      <c r="D12970">
        <v>0.67617950193200005</v>
      </c>
      <c r="E12970">
        <v>18.138000000000002</v>
      </c>
    </row>
    <row r="12971" spans="1:5">
      <c r="A12971" t="s">
        <v>42091</v>
      </c>
      <c r="B12971" t="s">
        <v>42093</v>
      </c>
      <c r="C12971">
        <f>0.546792593068</f>
        <v>0.54679259306799999</v>
      </c>
      <c r="D12971">
        <v>0.67617950193200005</v>
      </c>
      <c r="E12971">
        <v>18.138000000000002</v>
      </c>
    </row>
    <row r="12972" spans="1:5">
      <c r="A12972" t="s">
        <v>42094</v>
      </c>
      <c r="B12972" t="s">
        <v>5865</v>
      </c>
      <c r="C12972">
        <f>0.680786082511</f>
        <v>0.68078608251100003</v>
      </c>
      <c r="D12972">
        <v>0.99917843623900005</v>
      </c>
      <c r="E12972">
        <v>2.0339999999999998</v>
      </c>
    </row>
    <row r="12973" spans="1:5">
      <c r="A12973" t="s">
        <v>42094</v>
      </c>
      <c r="B12973" t="s">
        <v>5864</v>
      </c>
      <c r="C12973">
        <f>0.587177200817</f>
        <v>0.58717720081699998</v>
      </c>
      <c r="D12973">
        <v>0.99917843623900005</v>
      </c>
      <c r="E12973">
        <v>2.0339999999999998</v>
      </c>
    </row>
    <row r="12974" spans="1:5">
      <c r="A12974" t="s">
        <v>42094</v>
      </c>
      <c r="B12974" t="s">
        <v>5866</v>
      </c>
      <c r="C12974">
        <v>0.69830553931399997</v>
      </c>
      <c r="D12974">
        <v>0.99917843623900005</v>
      </c>
      <c r="E12974">
        <v>2.0339999999999998</v>
      </c>
    </row>
    <row r="12975" spans="1:5">
      <c r="A12975" t="s">
        <v>42094</v>
      </c>
      <c r="B12975" t="s">
        <v>5873</v>
      </c>
      <c r="C12975">
        <v>0.14156905936600001</v>
      </c>
      <c r="D12975">
        <v>0.99917843623900005</v>
      </c>
      <c r="E12975">
        <v>2.0339999999999998</v>
      </c>
    </row>
    <row r="12976" spans="1:5">
      <c r="A12976" t="s">
        <v>42094</v>
      </c>
      <c r="B12976" t="s">
        <v>5868</v>
      </c>
      <c r="C12976">
        <v>0.126521812599</v>
      </c>
      <c r="D12976">
        <v>0.99917843623900005</v>
      </c>
      <c r="E12976">
        <v>2.0339999999999998</v>
      </c>
    </row>
    <row r="12977" spans="1:5">
      <c r="A12977" t="s">
        <v>42094</v>
      </c>
      <c r="B12977" t="s">
        <v>5867</v>
      </c>
      <c r="C12977">
        <f>0</f>
        <v>0</v>
      </c>
      <c r="D12977">
        <v>0.99917843623900005</v>
      </c>
      <c r="E12977">
        <v>2.0339999999999998</v>
      </c>
    </row>
    <row r="12978" spans="1:5">
      <c r="A12978" t="s">
        <v>42094</v>
      </c>
      <c r="B12978" t="s">
        <v>5870</v>
      </c>
      <c r="C12978">
        <f>0.168189387089</f>
        <v>0.168189387089</v>
      </c>
      <c r="D12978">
        <v>0.99917843623900005</v>
      </c>
      <c r="E12978">
        <v>2.0339999999999998</v>
      </c>
    </row>
    <row r="12979" spans="1:5">
      <c r="A12979" t="s">
        <v>42095</v>
      </c>
      <c r="B12979" t="s">
        <v>29603</v>
      </c>
      <c r="C12979">
        <v>0.99073006010800002</v>
      </c>
      <c r="D12979">
        <v>0.91575714457599999</v>
      </c>
      <c r="E12979">
        <v>3.1379999999999999</v>
      </c>
    </row>
    <row r="12980" spans="1:5">
      <c r="A12980" t="s">
        <v>42095</v>
      </c>
      <c r="B12980" t="s">
        <v>29609</v>
      </c>
      <c r="C12980">
        <f>0.266912862167</f>
        <v>0.266912862167</v>
      </c>
      <c r="D12980">
        <v>0.91575714457599999</v>
      </c>
      <c r="E12980">
        <v>3.1379999999999999</v>
      </c>
    </row>
    <row r="12981" spans="1:5">
      <c r="A12981" t="s">
        <v>42095</v>
      </c>
      <c r="B12981" t="s">
        <v>29607</v>
      </c>
      <c r="C12981">
        <v>0.96638492898600004</v>
      </c>
      <c r="D12981">
        <v>0.91575714457599999</v>
      </c>
      <c r="E12981">
        <v>3.1379999999999999</v>
      </c>
    </row>
    <row r="12982" spans="1:5">
      <c r="A12982" t="s">
        <v>42095</v>
      </c>
      <c r="B12982" t="s">
        <v>29606</v>
      </c>
      <c r="C12982">
        <v>0</v>
      </c>
      <c r="D12982">
        <v>0.91575714457599999</v>
      </c>
      <c r="E12982">
        <v>3.1379999999999999</v>
      </c>
    </row>
    <row r="12983" spans="1:5">
      <c r="A12983" t="s">
        <v>42095</v>
      </c>
      <c r="B12983" t="s">
        <v>29605</v>
      </c>
      <c r="C12983">
        <v>0</v>
      </c>
      <c r="D12983">
        <v>0.91575714457599999</v>
      </c>
      <c r="E12983">
        <v>3.1379999999999999</v>
      </c>
    </row>
    <row r="12984" spans="1:5">
      <c r="A12984" t="s">
        <v>42096</v>
      </c>
      <c r="B12984" t="s">
        <v>27933</v>
      </c>
      <c r="C12984">
        <f>0</f>
        <v>0</v>
      </c>
      <c r="D12984">
        <v>0.97648076892900004</v>
      </c>
      <c r="E12984">
        <v>2.3279999999999998</v>
      </c>
    </row>
    <row r="12985" spans="1:5">
      <c r="A12985" t="s">
        <v>42096</v>
      </c>
      <c r="B12985" t="s">
        <v>27938</v>
      </c>
      <c r="C12985">
        <v>0.94060302407399998</v>
      </c>
      <c r="D12985">
        <v>0.97648076892900004</v>
      </c>
      <c r="E12985">
        <v>2.3279999999999998</v>
      </c>
    </row>
    <row r="12986" spans="1:5">
      <c r="A12986" t="s">
        <v>42096</v>
      </c>
      <c r="B12986" t="s">
        <v>27932</v>
      </c>
      <c r="C12986">
        <v>0</v>
      </c>
      <c r="D12986">
        <v>0.97648076892900004</v>
      </c>
      <c r="E12986">
        <v>2.3279999999999998</v>
      </c>
    </row>
    <row r="12987" spans="1:5">
      <c r="A12987" t="s">
        <v>42096</v>
      </c>
      <c r="B12987" t="s">
        <v>27931</v>
      </c>
      <c r="C12987">
        <v>3.9885006644300003E-2</v>
      </c>
      <c r="D12987">
        <v>0.97648076892900004</v>
      </c>
      <c r="E12987">
        <v>2.3279999999999998</v>
      </c>
    </row>
    <row r="12988" spans="1:5">
      <c r="A12988" t="s">
        <v>42096</v>
      </c>
      <c r="B12988" t="s">
        <v>27939</v>
      </c>
      <c r="C12988">
        <f>0.0894093238911</f>
        <v>8.9409323891099998E-2</v>
      </c>
      <c r="D12988">
        <v>0.97648076892900004</v>
      </c>
      <c r="E12988">
        <v>2.3279999999999998</v>
      </c>
    </row>
    <row r="12989" spans="1:5">
      <c r="A12989" t="s">
        <v>42096</v>
      </c>
      <c r="B12989" t="s">
        <v>27936</v>
      </c>
      <c r="C12989">
        <v>0</v>
      </c>
      <c r="D12989">
        <v>0.97648076892900004</v>
      </c>
      <c r="E12989">
        <v>2.3279999999999998</v>
      </c>
    </row>
    <row r="12990" spans="1:5">
      <c r="A12990" t="s">
        <v>42096</v>
      </c>
      <c r="B12990" t="s">
        <v>27943</v>
      </c>
      <c r="C12990">
        <v>0</v>
      </c>
      <c r="D12990">
        <v>0.97648076892900004</v>
      </c>
      <c r="E12990">
        <v>2.3279999999999998</v>
      </c>
    </row>
    <row r="12991" spans="1:5">
      <c r="A12991" t="s">
        <v>42096</v>
      </c>
      <c r="B12991" t="s">
        <v>27944</v>
      </c>
      <c r="C12991">
        <v>6.52638584424E-2</v>
      </c>
      <c r="D12991">
        <v>0.97648076892900004</v>
      </c>
      <c r="E12991">
        <v>2.3279999999999998</v>
      </c>
    </row>
    <row r="12992" spans="1:5">
      <c r="A12992" t="s">
        <v>42097</v>
      </c>
      <c r="B12992" t="s">
        <v>16500</v>
      </c>
      <c r="C12992">
        <v>1.4615407540000001</v>
      </c>
      <c r="D12992">
        <v>0.98019282524700002</v>
      </c>
      <c r="E12992">
        <v>23.04</v>
      </c>
    </row>
    <row r="12993" spans="1:5">
      <c r="A12993" t="s">
        <v>42097</v>
      </c>
      <c r="B12993" t="s">
        <v>16501</v>
      </c>
      <c r="C12993">
        <v>0.90793534168000001</v>
      </c>
      <c r="D12993">
        <v>0.98019282524700002</v>
      </c>
      <c r="E12993">
        <v>23.04</v>
      </c>
    </row>
    <row r="12994" spans="1:5">
      <c r="A12994" t="s">
        <v>42097</v>
      </c>
      <c r="B12994" t="s">
        <v>16502</v>
      </c>
      <c r="C12994">
        <f>0.995888426347</f>
        <v>0.99588842634700003</v>
      </c>
      <c r="D12994">
        <v>0.98019282524700002</v>
      </c>
      <c r="E12994">
        <v>23.04</v>
      </c>
    </row>
    <row r="12995" spans="1:5">
      <c r="A12995" t="s">
        <v>42097</v>
      </c>
      <c r="B12995" t="s">
        <v>16504</v>
      </c>
      <c r="C12995">
        <f>0.0823223107143</f>
        <v>8.2322310714300004E-2</v>
      </c>
      <c r="D12995">
        <v>0.98019282524700002</v>
      </c>
      <c r="E12995">
        <v>23.04</v>
      </c>
    </row>
    <row r="12996" spans="1:5">
      <c r="A12996" t="s">
        <v>42097</v>
      </c>
      <c r="B12996" t="s">
        <v>16505</v>
      </c>
      <c r="C12996">
        <f>0.427900476671</f>
        <v>0.42790047667100001</v>
      </c>
      <c r="D12996">
        <v>0.98019282524700002</v>
      </c>
      <c r="E12996">
        <v>23.04</v>
      </c>
    </row>
    <row r="12997" spans="1:5">
      <c r="A12997" t="s">
        <v>42098</v>
      </c>
      <c r="B12997" t="s">
        <v>42099</v>
      </c>
      <c r="C12997">
        <f>0</f>
        <v>0</v>
      </c>
      <c r="D12997">
        <v>0.90944610207900001</v>
      </c>
      <c r="E12997">
        <v>0.78</v>
      </c>
    </row>
    <row r="12998" spans="1:5">
      <c r="A12998" t="s">
        <v>42098</v>
      </c>
      <c r="B12998" t="s">
        <v>42100</v>
      </c>
      <c r="C12998">
        <f>0</f>
        <v>0</v>
      </c>
      <c r="D12998">
        <v>0.90944610207900001</v>
      </c>
      <c r="E12998">
        <v>0.78</v>
      </c>
    </row>
    <row r="12999" spans="1:5">
      <c r="A12999" t="s">
        <v>42098</v>
      </c>
      <c r="B12999" t="s">
        <v>42101</v>
      </c>
      <c r="C12999">
        <v>0</v>
      </c>
      <c r="D12999">
        <v>0.90944610207900001</v>
      </c>
      <c r="E12999">
        <v>0.78</v>
      </c>
    </row>
    <row r="13000" spans="1:5">
      <c r="A13000" t="s">
        <v>42098</v>
      </c>
      <c r="B13000" t="s">
        <v>42102</v>
      </c>
      <c r="C13000">
        <f>0</f>
        <v>0</v>
      </c>
      <c r="D13000">
        <v>0.90944610207900001</v>
      </c>
      <c r="E13000">
        <v>0.78</v>
      </c>
    </row>
    <row r="13001" spans="1:5">
      <c r="A13001" t="s">
        <v>42098</v>
      </c>
      <c r="B13001" t="s">
        <v>42103</v>
      </c>
      <c r="C13001">
        <v>0</v>
      </c>
      <c r="D13001">
        <v>0.90944610207900001</v>
      </c>
      <c r="E13001">
        <v>0.78</v>
      </c>
    </row>
    <row r="13002" spans="1:5">
      <c r="A13002" t="s">
        <v>42098</v>
      </c>
      <c r="B13002" t="s">
        <v>42104</v>
      </c>
      <c r="C13002">
        <f>0</f>
        <v>0</v>
      </c>
      <c r="D13002">
        <v>0.90944610207900001</v>
      </c>
      <c r="E13002">
        <v>0.78</v>
      </c>
    </row>
    <row r="13003" spans="1:5">
      <c r="A13003" t="s">
        <v>42098</v>
      </c>
      <c r="B13003" t="s">
        <v>42105</v>
      </c>
      <c r="C13003">
        <f>0</f>
        <v>0</v>
      </c>
      <c r="D13003">
        <v>0.90944610207900001</v>
      </c>
      <c r="E13003">
        <v>0.78</v>
      </c>
    </row>
    <row r="13004" spans="1:5">
      <c r="A13004" t="s">
        <v>42098</v>
      </c>
      <c r="B13004" t="s">
        <v>42106</v>
      </c>
      <c r="C13004">
        <f>0</f>
        <v>0</v>
      </c>
      <c r="D13004">
        <v>0.90944610207900001</v>
      </c>
      <c r="E13004">
        <v>0.78</v>
      </c>
    </row>
    <row r="13005" spans="1:5">
      <c r="A13005" t="s">
        <v>42098</v>
      </c>
      <c r="B13005" t="s">
        <v>42107</v>
      </c>
      <c r="C13005">
        <v>0</v>
      </c>
      <c r="D13005">
        <v>0.90944610207900001</v>
      </c>
      <c r="E13005">
        <v>0.78</v>
      </c>
    </row>
    <row r="13006" spans="1:5">
      <c r="A13006" t="s">
        <v>42098</v>
      </c>
      <c r="B13006" t="s">
        <v>42108</v>
      </c>
      <c r="C13006">
        <v>0</v>
      </c>
      <c r="D13006">
        <v>0.90944610207900001</v>
      </c>
      <c r="E13006">
        <v>0.78</v>
      </c>
    </row>
    <row r="13007" spans="1:5">
      <c r="A13007" t="s">
        <v>42098</v>
      </c>
      <c r="B13007" t="s">
        <v>42109</v>
      </c>
      <c r="C13007">
        <f>0</f>
        <v>0</v>
      </c>
      <c r="D13007">
        <v>0.90944610207900001</v>
      </c>
      <c r="E13007">
        <v>0.78</v>
      </c>
    </row>
    <row r="13008" spans="1:5">
      <c r="A13008" t="s">
        <v>42098</v>
      </c>
      <c r="B13008" t="s">
        <v>42110</v>
      </c>
      <c r="C13008">
        <v>0.37030077999200001</v>
      </c>
      <c r="D13008">
        <v>0.90944610207900001</v>
      </c>
      <c r="E13008">
        <v>0.78</v>
      </c>
    </row>
    <row r="13009" spans="1:5">
      <c r="A13009" t="s">
        <v>42098</v>
      </c>
      <c r="B13009" t="s">
        <v>42111</v>
      </c>
      <c r="C13009">
        <v>4.8711394529800001E-2</v>
      </c>
      <c r="D13009">
        <v>0.90944610207900001</v>
      </c>
      <c r="E13009">
        <v>0.78</v>
      </c>
    </row>
    <row r="13010" spans="1:5">
      <c r="A13010" t="s">
        <v>42098</v>
      </c>
      <c r="B13010" t="s">
        <v>42112</v>
      </c>
      <c r="C13010">
        <f>0.225805389953</f>
        <v>0.22580538995300001</v>
      </c>
      <c r="D13010">
        <v>0.90944610207900001</v>
      </c>
      <c r="E13010">
        <v>0.78</v>
      </c>
    </row>
    <row r="13011" spans="1:5">
      <c r="A13011" t="s">
        <v>42098</v>
      </c>
      <c r="B13011" t="s">
        <v>42113</v>
      </c>
      <c r="C13011">
        <v>0</v>
      </c>
      <c r="D13011">
        <v>0.90944610207900001</v>
      </c>
      <c r="E13011">
        <v>0.78</v>
      </c>
    </row>
    <row r="13012" spans="1:5">
      <c r="A13012" t="s">
        <v>42098</v>
      </c>
      <c r="B13012" t="s">
        <v>42114</v>
      </c>
      <c r="C13012">
        <v>0</v>
      </c>
      <c r="D13012">
        <v>0.90944610207900001</v>
      </c>
      <c r="E13012">
        <v>0.78</v>
      </c>
    </row>
    <row r="13013" spans="1:5">
      <c r="A13013" t="s">
        <v>42098</v>
      </c>
      <c r="B13013" t="s">
        <v>42115</v>
      </c>
      <c r="C13013">
        <v>0</v>
      </c>
      <c r="D13013">
        <v>0.90944610207900001</v>
      </c>
      <c r="E13013">
        <v>0.78</v>
      </c>
    </row>
    <row r="13014" spans="1:5">
      <c r="A13014" t="s">
        <v>42116</v>
      </c>
      <c r="B13014" t="s">
        <v>23080</v>
      </c>
      <c r="C13014">
        <v>0</v>
      </c>
      <c r="D13014" t="s">
        <v>106</v>
      </c>
      <c r="E13014">
        <v>19.853999999999999</v>
      </c>
    </row>
    <row r="13015" spans="1:5">
      <c r="A13015" t="s">
        <v>42116</v>
      </c>
      <c r="B13015" t="s">
        <v>23084</v>
      </c>
      <c r="C13015">
        <v>0</v>
      </c>
      <c r="D13015" t="s">
        <v>106</v>
      </c>
      <c r="E13015">
        <v>19.853999999999999</v>
      </c>
    </row>
    <row r="13016" spans="1:5">
      <c r="A13016" t="s">
        <v>42116</v>
      </c>
      <c r="B13016" t="s">
        <v>23086</v>
      </c>
      <c r="C13016">
        <v>0</v>
      </c>
      <c r="D13016" t="s">
        <v>106</v>
      </c>
      <c r="E13016">
        <v>19.853999999999999</v>
      </c>
    </row>
    <row r="13017" spans="1:5">
      <c r="A13017" t="s">
        <v>42116</v>
      </c>
      <c r="B13017" t="s">
        <v>23083</v>
      </c>
      <c r="C13017">
        <v>0</v>
      </c>
      <c r="D13017" t="s">
        <v>106</v>
      </c>
      <c r="E13017">
        <v>19.853999999999999</v>
      </c>
    </row>
    <row r="13018" spans="1:5">
      <c r="A13018" t="s">
        <v>42117</v>
      </c>
      <c r="B13018" t="s">
        <v>4899</v>
      </c>
      <c r="C13018">
        <v>5.2846558821300002E-2</v>
      </c>
      <c r="D13018">
        <v>0.93015162350400005</v>
      </c>
      <c r="E13018">
        <v>23.754000000000001</v>
      </c>
    </row>
    <row r="13019" spans="1:5">
      <c r="A13019" t="s">
        <v>42117</v>
      </c>
      <c r="B13019" t="s">
        <v>4902</v>
      </c>
      <c r="C13019">
        <v>1.0145621468899999</v>
      </c>
      <c r="D13019">
        <v>0.93015162350400005</v>
      </c>
      <c r="E13019">
        <v>23.754000000000001</v>
      </c>
    </row>
    <row r="13020" spans="1:5">
      <c r="A13020" t="s">
        <v>42117</v>
      </c>
      <c r="B13020" t="s">
        <v>4903</v>
      </c>
      <c r="C13020">
        <v>0.152031170824</v>
      </c>
      <c r="D13020">
        <v>0.93015162350400005</v>
      </c>
      <c r="E13020">
        <v>23.754000000000001</v>
      </c>
    </row>
    <row r="13021" spans="1:5">
      <c r="A13021" t="s">
        <v>42117</v>
      </c>
      <c r="B13021" t="s">
        <v>4900</v>
      </c>
      <c r="C13021">
        <v>0</v>
      </c>
      <c r="D13021">
        <v>0.93015162350400005</v>
      </c>
      <c r="E13021">
        <v>23.754000000000001</v>
      </c>
    </row>
    <row r="13022" spans="1:5">
      <c r="A13022" t="s">
        <v>42117</v>
      </c>
      <c r="B13022" t="s">
        <v>4906</v>
      </c>
      <c r="C13022">
        <v>0.141199966846</v>
      </c>
      <c r="D13022">
        <v>0.93015162350400005</v>
      </c>
      <c r="E13022">
        <v>23.754000000000001</v>
      </c>
    </row>
    <row r="13023" spans="1:5">
      <c r="A13023" t="s">
        <v>42117</v>
      </c>
      <c r="B13023" t="s">
        <v>4904</v>
      </c>
      <c r="C13023">
        <f>0.622013647785</f>
        <v>0.62201364778500001</v>
      </c>
      <c r="D13023">
        <v>0.93015162350400005</v>
      </c>
      <c r="E13023">
        <v>23.754000000000001</v>
      </c>
    </row>
    <row r="13024" spans="1:5">
      <c r="A13024" t="s">
        <v>42118</v>
      </c>
      <c r="B13024" t="s">
        <v>34363</v>
      </c>
      <c r="C13024">
        <v>0.48703732731799998</v>
      </c>
      <c r="D13024">
        <v>0.99838040457999999</v>
      </c>
      <c r="E13024">
        <v>10.878</v>
      </c>
    </row>
    <row r="13025" spans="1:5">
      <c r="A13025" t="s">
        <v>42118</v>
      </c>
      <c r="B13025" t="s">
        <v>34367</v>
      </c>
      <c r="C13025">
        <f>0</f>
        <v>0</v>
      </c>
      <c r="D13025">
        <v>0.99838040457999999</v>
      </c>
      <c r="E13025">
        <v>10.878</v>
      </c>
    </row>
    <row r="13026" spans="1:5">
      <c r="A13026" t="s">
        <v>42118</v>
      </c>
      <c r="B13026" t="s">
        <v>34371</v>
      </c>
      <c r="C13026">
        <f>0.479142173167</f>
        <v>0.47914217316699997</v>
      </c>
      <c r="D13026">
        <v>0.99838040457999999</v>
      </c>
      <c r="E13026">
        <v>10.878</v>
      </c>
    </row>
    <row r="13027" spans="1:5">
      <c r="A13027" t="s">
        <v>42118</v>
      </c>
      <c r="B13027" t="s">
        <v>34369</v>
      </c>
      <c r="C13027">
        <f>0.153676349381</f>
        <v>0.153676349381</v>
      </c>
      <c r="D13027">
        <v>0.99838040457999999</v>
      </c>
      <c r="E13027">
        <v>10.878</v>
      </c>
    </row>
    <row r="13028" spans="1:5">
      <c r="A13028" t="s">
        <v>42118</v>
      </c>
      <c r="B13028" t="s">
        <v>34370</v>
      </c>
      <c r="C13028">
        <v>0.33891391005600002</v>
      </c>
      <c r="D13028">
        <v>0.99838040457999999</v>
      </c>
      <c r="E13028">
        <v>10.878</v>
      </c>
    </row>
    <row r="13029" spans="1:5">
      <c r="A13029" t="s">
        <v>42118</v>
      </c>
      <c r="B13029" t="s">
        <v>34368</v>
      </c>
      <c r="C13029">
        <f>0</f>
        <v>0</v>
      </c>
      <c r="D13029">
        <v>0.99838040457999999</v>
      </c>
      <c r="E13029">
        <v>10.878</v>
      </c>
    </row>
    <row r="13030" spans="1:5">
      <c r="A13030" t="s">
        <v>42118</v>
      </c>
      <c r="B13030" t="s">
        <v>34375</v>
      </c>
      <c r="C13030">
        <f>0.150378112147</f>
        <v>0.150378112147</v>
      </c>
      <c r="D13030">
        <v>0.99838040457999999</v>
      </c>
      <c r="E13030">
        <v>10.878</v>
      </c>
    </row>
    <row r="13031" spans="1:5">
      <c r="A13031" t="s">
        <v>42118</v>
      </c>
      <c r="B13031" t="s">
        <v>34374</v>
      </c>
      <c r="C13031">
        <v>0.38369104455399999</v>
      </c>
      <c r="D13031">
        <v>0.99838040457999999</v>
      </c>
      <c r="E13031">
        <v>10.878</v>
      </c>
    </row>
    <row r="13032" spans="1:5">
      <c r="A13032" t="s">
        <v>42119</v>
      </c>
      <c r="B13032" t="s">
        <v>42120</v>
      </c>
      <c r="C13032">
        <f>0.804478239768</f>
        <v>0.80447823976800004</v>
      </c>
      <c r="D13032">
        <v>0.99999998287000003</v>
      </c>
      <c r="E13032">
        <v>0</v>
      </c>
    </row>
    <row r="13033" spans="1:5">
      <c r="A13033" t="s">
        <v>42119</v>
      </c>
      <c r="B13033" t="s">
        <v>42121</v>
      </c>
      <c r="C13033">
        <v>0.14186629239699999</v>
      </c>
      <c r="D13033">
        <v>0.99999998287000003</v>
      </c>
      <c r="E13033">
        <v>0</v>
      </c>
    </row>
    <row r="13034" spans="1:5">
      <c r="A13034" t="s">
        <v>42119</v>
      </c>
      <c r="B13034" t="s">
        <v>42122</v>
      </c>
      <c r="C13034">
        <v>0.112877307565</v>
      </c>
      <c r="D13034">
        <v>0.99999998287000003</v>
      </c>
      <c r="E13034">
        <v>0</v>
      </c>
    </row>
    <row r="13035" spans="1:5">
      <c r="A13035" t="s">
        <v>42119</v>
      </c>
      <c r="B13035" t="s">
        <v>42123</v>
      </c>
      <c r="C13035">
        <f>0.476505688697</f>
        <v>0.476505688697</v>
      </c>
      <c r="D13035">
        <v>0.99999998287000003</v>
      </c>
      <c r="E13035">
        <v>0</v>
      </c>
    </row>
    <row r="13036" spans="1:5">
      <c r="A13036" t="s">
        <v>42119</v>
      </c>
      <c r="B13036" t="s">
        <v>42124</v>
      </c>
      <c r="C13036">
        <v>0.54597191363599995</v>
      </c>
      <c r="D13036">
        <v>0.99999998287000003</v>
      </c>
      <c r="E13036">
        <v>0</v>
      </c>
    </row>
    <row r="13037" spans="1:5">
      <c r="A13037" t="s">
        <v>42119</v>
      </c>
      <c r="B13037" t="s">
        <v>42125</v>
      </c>
      <c r="C13037">
        <v>0.53153053404499995</v>
      </c>
      <c r="D13037">
        <v>0.99999998287000003</v>
      </c>
      <c r="E13037">
        <v>0</v>
      </c>
    </row>
    <row r="13038" spans="1:5">
      <c r="A13038" t="s">
        <v>42119</v>
      </c>
      <c r="B13038" t="s">
        <v>42126</v>
      </c>
      <c r="C13038">
        <f>0.248752975014</f>
        <v>0.24875297501400001</v>
      </c>
      <c r="D13038">
        <v>0.99999998287000003</v>
      </c>
      <c r="E13038">
        <v>0</v>
      </c>
    </row>
    <row r="13039" spans="1:5">
      <c r="A13039" t="s">
        <v>42119</v>
      </c>
      <c r="B13039" t="s">
        <v>42127</v>
      </c>
      <c r="C13039">
        <v>0.67126222304200001</v>
      </c>
      <c r="D13039">
        <v>0.99999998287000003</v>
      </c>
      <c r="E13039">
        <v>0</v>
      </c>
    </row>
    <row r="13040" spans="1:5">
      <c r="A13040" t="s">
        <v>42119</v>
      </c>
      <c r="B13040" t="s">
        <v>42128</v>
      </c>
      <c r="C13040">
        <f>0.869211658044</f>
        <v>0.86921165804400002</v>
      </c>
      <c r="D13040">
        <v>0.99999998287000003</v>
      </c>
      <c r="E13040">
        <v>0</v>
      </c>
    </row>
    <row r="13041" spans="1:5">
      <c r="A13041" t="s">
        <v>42119</v>
      </c>
      <c r="B13041" t="s">
        <v>42129</v>
      </c>
      <c r="C13041">
        <v>0.175812819121</v>
      </c>
      <c r="D13041">
        <v>0.99999998287000003</v>
      </c>
      <c r="E13041">
        <v>0</v>
      </c>
    </row>
    <row r="13042" spans="1:5">
      <c r="A13042" t="s">
        <v>42130</v>
      </c>
      <c r="B13042" t="s">
        <v>42131</v>
      </c>
      <c r="C13042">
        <f>0.224237488202</f>
        <v>0.22423748820200001</v>
      </c>
      <c r="D13042">
        <v>0.97968514556499997</v>
      </c>
      <c r="E13042">
        <v>1.83</v>
      </c>
    </row>
    <row r="13043" spans="1:5">
      <c r="A13043" t="s">
        <v>42130</v>
      </c>
      <c r="B13043" t="s">
        <v>42132</v>
      </c>
      <c r="C13043">
        <f>0.860781734725</f>
        <v>0.86078173472499997</v>
      </c>
      <c r="D13043">
        <v>0.97968514556499997</v>
      </c>
      <c r="E13043">
        <v>1.83</v>
      </c>
    </row>
    <row r="13044" spans="1:5">
      <c r="A13044" t="s">
        <v>42130</v>
      </c>
      <c r="B13044" t="s">
        <v>42133</v>
      </c>
      <c r="C13044">
        <v>0.341455602069</v>
      </c>
      <c r="D13044">
        <v>0.97968514556499997</v>
      </c>
      <c r="E13044">
        <v>1.83</v>
      </c>
    </row>
    <row r="13045" spans="1:5">
      <c r="A13045" t="s">
        <v>42130</v>
      </c>
      <c r="B13045" t="s">
        <v>42134</v>
      </c>
      <c r="C13045">
        <v>0.567424163215</v>
      </c>
      <c r="D13045">
        <v>0.97968514556499997</v>
      </c>
      <c r="E13045">
        <v>1.83</v>
      </c>
    </row>
    <row r="13046" spans="1:5">
      <c r="A13046" t="s">
        <v>42135</v>
      </c>
      <c r="B13046" t="s">
        <v>1198</v>
      </c>
      <c r="C13046">
        <f>0</f>
        <v>0</v>
      </c>
      <c r="D13046" t="s">
        <v>106</v>
      </c>
      <c r="E13046">
        <v>5.7</v>
      </c>
    </row>
    <row r="13047" spans="1:5">
      <c r="A13047" t="s">
        <v>42135</v>
      </c>
      <c r="B13047" t="s">
        <v>1203</v>
      </c>
      <c r="C13047">
        <v>0</v>
      </c>
      <c r="D13047" t="s">
        <v>106</v>
      </c>
      <c r="E13047">
        <v>5.7</v>
      </c>
    </row>
    <row r="13048" spans="1:5">
      <c r="A13048" t="s">
        <v>42135</v>
      </c>
      <c r="B13048" t="s">
        <v>1200</v>
      </c>
      <c r="C13048">
        <v>0</v>
      </c>
      <c r="D13048" t="s">
        <v>106</v>
      </c>
      <c r="E13048">
        <v>5.7</v>
      </c>
    </row>
    <row r="13049" spans="1:5">
      <c r="A13049" t="s">
        <v>42135</v>
      </c>
      <c r="B13049" t="s">
        <v>1207</v>
      </c>
      <c r="C13049">
        <f>0</f>
        <v>0</v>
      </c>
      <c r="D13049" t="s">
        <v>106</v>
      </c>
      <c r="E13049">
        <v>5.7</v>
      </c>
    </row>
    <row r="13050" spans="1:5">
      <c r="A13050" t="s">
        <v>42135</v>
      </c>
      <c r="B13050" t="s">
        <v>1205</v>
      </c>
      <c r="C13050">
        <f>0</f>
        <v>0</v>
      </c>
      <c r="D13050" t="s">
        <v>106</v>
      </c>
      <c r="E13050">
        <v>5.7</v>
      </c>
    </row>
    <row r="13051" spans="1:5">
      <c r="A13051" t="s">
        <v>42135</v>
      </c>
      <c r="B13051" t="s">
        <v>1204</v>
      </c>
      <c r="C13051">
        <v>0</v>
      </c>
      <c r="D13051" t="s">
        <v>106</v>
      </c>
      <c r="E13051">
        <v>5.7</v>
      </c>
    </row>
    <row r="13052" spans="1:5">
      <c r="A13052" t="s">
        <v>42136</v>
      </c>
      <c r="B13052" t="s">
        <v>42137</v>
      </c>
      <c r="C13052">
        <v>0</v>
      </c>
      <c r="D13052" t="s">
        <v>106</v>
      </c>
      <c r="E13052">
        <v>24</v>
      </c>
    </row>
    <row r="13053" spans="1:5">
      <c r="A13053" t="s">
        <v>42136</v>
      </c>
      <c r="B13053" t="s">
        <v>42138</v>
      </c>
      <c r="C13053">
        <f>0</f>
        <v>0</v>
      </c>
      <c r="D13053" t="s">
        <v>106</v>
      </c>
      <c r="E13053">
        <v>24</v>
      </c>
    </row>
    <row r="13054" spans="1:5">
      <c r="A13054" t="s">
        <v>42139</v>
      </c>
      <c r="B13054" t="s">
        <v>11158</v>
      </c>
      <c r="C13054">
        <v>1.0287520935600001</v>
      </c>
      <c r="D13054">
        <v>0.99387216801699996</v>
      </c>
      <c r="E13054">
        <v>6.6779999999999999</v>
      </c>
    </row>
    <row r="13055" spans="1:5">
      <c r="A13055" t="s">
        <v>42139</v>
      </c>
      <c r="B13055" t="s">
        <v>11159</v>
      </c>
      <c r="C13055">
        <f>0.821751928427</f>
        <v>0.82175192842699996</v>
      </c>
      <c r="D13055">
        <v>0.99387216801699996</v>
      </c>
      <c r="E13055">
        <v>6.6779999999999999</v>
      </c>
    </row>
    <row r="13056" spans="1:5">
      <c r="A13056" t="s">
        <v>42139</v>
      </c>
      <c r="B13056" t="s">
        <v>11163</v>
      </c>
      <c r="C13056">
        <v>1.4883433015500001</v>
      </c>
      <c r="D13056">
        <v>0.99387216801699996</v>
      </c>
      <c r="E13056">
        <v>6.6779999999999999</v>
      </c>
    </row>
    <row r="13057" spans="1:5">
      <c r="A13057" t="s">
        <v>42139</v>
      </c>
      <c r="B13057" t="s">
        <v>11162</v>
      </c>
      <c r="C13057">
        <f>0.58572212228</f>
        <v>0.58572212227999998</v>
      </c>
      <c r="D13057">
        <v>0.99387216801699996</v>
      </c>
      <c r="E13057">
        <v>6.6779999999999999</v>
      </c>
    </row>
    <row r="13058" spans="1:5">
      <c r="A13058" t="s">
        <v>42139</v>
      </c>
      <c r="B13058" t="s">
        <v>11167</v>
      </c>
      <c r="C13058">
        <f>0.392442789657</f>
        <v>0.39244278965700002</v>
      </c>
      <c r="D13058">
        <v>0.99387216801699996</v>
      </c>
      <c r="E13058">
        <v>6.6779999999999999</v>
      </c>
    </row>
    <row r="13059" spans="1:5">
      <c r="A13059" t="s">
        <v>42139</v>
      </c>
      <c r="B13059" t="s">
        <v>11165</v>
      </c>
      <c r="C13059">
        <f>0.844488863455</f>
        <v>0.84448886345499996</v>
      </c>
      <c r="D13059">
        <v>0.99387216801699996</v>
      </c>
      <c r="E13059">
        <v>6.6779999999999999</v>
      </c>
    </row>
    <row r="13060" spans="1:5">
      <c r="A13060" t="s">
        <v>42140</v>
      </c>
      <c r="B13060" t="s">
        <v>42141</v>
      </c>
      <c r="C13060">
        <v>0.306511976578</v>
      </c>
      <c r="D13060">
        <v>0.536921976578</v>
      </c>
      <c r="E13060">
        <v>0</v>
      </c>
    </row>
    <row r="13061" spans="1:5">
      <c r="A13061" t="s">
        <v>42140</v>
      </c>
      <c r="B13061" t="s">
        <v>42142</v>
      </c>
      <c r="C13061">
        <f>0</f>
        <v>0</v>
      </c>
      <c r="D13061">
        <v>0.536921976578</v>
      </c>
      <c r="E13061">
        <v>0</v>
      </c>
    </row>
    <row r="13062" spans="1:5">
      <c r="A13062" t="s">
        <v>42143</v>
      </c>
      <c r="B13062" t="s">
        <v>42144</v>
      </c>
      <c r="C13062">
        <f>0.695209493888</f>
        <v>0.69520949388800002</v>
      </c>
      <c r="D13062">
        <v>0.84337886603300005</v>
      </c>
      <c r="E13062">
        <v>3.5999999999999997E-2</v>
      </c>
    </row>
    <row r="13063" spans="1:5">
      <c r="A13063" t="s">
        <v>42143</v>
      </c>
      <c r="B13063" t="s">
        <v>42145</v>
      </c>
      <c r="C13063">
        <v>0</v>
      </c>
      <c r="D13063">
        <v>0.84337886603300005</v>
      </c>
      <c r="E13063">
        <v>3.5999999999999997E-2</v>
      </c>
    </row>
    <row r="13064" spans="1:5">
      <c r="A13064" t="s">
        <v>42143</v>
      </c>
      <c r="B13064" t="s">
        <v>42146</v>
      </c>
      <c r="C13064">
        <f>0</f>
        <v>0</v>
      </c>
      <c r="D13064">
        <v>0.84337886603300005</v>
      </c>
      <c r="E13064">
        <v>3.5999999999999997E-2</v>
      </c>
    </row>
    <row r="13065" spans="1:5">
      <c r="A13065" t="s">
        <v>42143</v>
      </c>
      <c r="B13065" t="s">
        <v>42147</v>
      </c>
      <c r="C13065">
        <v>0.57887228683199998</v>
      </c>
      <c r="D13065">
        <v>0.84337886603300005</v>
      </c>
      <c r="E13065">
        <v>3.5999999999999997E-2</v>
      </c>
    </row>
    <row r="13066" spans="1:5">
      <c r="A13066" t="s">
        <v>42148</v>
      </c>
      <c r="B13066" t="s">
        <v>42149</v>
      </c>
      <c r="C13066">
        <v>0.26685572821300002</v>
      </c>
      <c r="D13066">
        <v>0.98739550287199995</v>
      </c>
      <c r="E13066">
        <v>8.58</v>
      </c>
    </row>
    <row r="13067" spans="1:5">
      <c r="A13067" t="s">
        <v>42148</v>
      </c>
      <c r="B13067" t="s">
        <v>42150</v>
      </c>
      <c r="C13067">
        <f>0.623142574713</f>
        <v>0.62314257471300005</v>
      </c>
      <c r="D13067">
        <v>0.98739550287199995</v>
      </c>
      <c r="E13067">
        <v>8.58</v>
      </c>
    </row>
    <row r="13068" spans="1:5">
      <c r="A13068" t="s">
        <v>42148</v>
      </c>
      <c r="B13068" t="s">
        <v>42151</v>
      </c>
      <c r="C13068">
        <f>0.109188513559</f>
        <v>0.109188513559</v>
      </c>
      <c r="D13068">
        <v>0.98739550287199995</v>
      </c>
      <c r="E13068">
        <v>8.58</v>
      </c>
    </row>
    <row r="13069" spans="1:5">
      <c r="A13069" t="s">
        <v>42148</v>
      </c>
      <c r="B13069" t="s">
        <v>42152</v>
      </c>
      <c r="C13069">
        <v>2.3448352095499999E-2</v>
      </c>
      <c r="D13069">
        <v>0.98739550287199995</v>
      </c>
      <c r="E13069">
        <v>8.58</v>
      </c>
    </row>
    <row r="13070" spans="1:5">
      <c r="A13070" t="s">
        <v>42148</v>
      </c>
      <c r="B13070" t="s">
        <v>42153</v>
      </c>
      <c r="C13070">
        <v>0.70147903512800003</v>
      </c>
      <c r="D13070">
        <v>0.98739550287199995</v>
      </c>
      <c r="E13070">
        <v>8.58</v>
      </c>
    </row>
    <row r="13071" spans="1:5">
      <c r="A13071" t="s">
        <v>42154</v>
      </c>
      <c r="B13071" t="s">
        <v>9724</v>
      </c>
      <c r="C13071">
        <f>0</f>
        <v>0</v>
      </c>
      <c r="D13071">
        <v>0.99998656347500003</v>
      </c>
      <c r="E13071">
        <v>11.37</v>
      </c>
    </row>
    <row r="13072" spans="1:5">
      <c r="A13072" t="s">
        <v>42154</v>
      </c>
      <c r="B13072" t="s">
        <v>9731</v>
      </c>
      <c r="C13072">
        <v>0.31710007596799999</v>
      </c>
      <c r="D13072">
        <v>0.99998656347500003</v>
      </c>
      <c r="E13072">
        <v>11.37</v>
      </c>
    </row>
    <row r="13073" spans="1:5">
      <c r="A13073" t="s">
        <v>42154</v>
      </c>
      <c r="B13073" t="s">
        <v>9730</v>
      </c>
      <c r="C13073">
        <v>2.9101432880999999E-2</v>
      </c>
      <c r="D13073">
        <v>0.99998656347500003</v>
      </c>
      <c r="E13073">
        <v>11.37</v>
      </c>
    </row>
    <row r="13074" spans="1:5">
      <c r="A13074" t="s">
        <v>42154</v>
      </c>
      <c r="B13074" t="s">
        <v>9734</v>
      </c>
      <c r="C13074">
        <f>0.083891250682</f>
        <v>8.3891250681999999E-2</v>
      </c>
      <c r="D13074">
        <v>0.99998656347500003</v>
      </c>
      <c r="E13074">
        <v>11.37</v>
      </c>
    </row>
    <row r="13075" spans="1:5">
      <c r="A13075" t="s">
        <v>42154</v>
      </c>
      <c r="B13075" t="s">
        <v>9725</v>
      </c>
      <c r="C13075">
        <f>0</f>
        <v>0</v>
      </c>
      <c r="D13075">
        <v>0.99998656347500003</v>
      </c>
      <c r="E13075">
        <v>11.37</v>
      </c>
    </row>
    <row r="13076" spans="1:5">
      <c r="A13076" t="s">
        <v>42154</v>
      </c>
      <c r="B13076" t="s">
        <v>9735</v>
      </c>
      <c r="C13076">
        <f>0</f>
        <v>0</v>
      </c>
      <c r="D13076">
        <v>0.99998656347500003</v>
      </c>
      <c r="E13076">
        <v>11.37</v>
      </c>
    </row>
    <row r="13077" spans="1:5">
      <c r="A13077" t="s">
        <v>42154</v>
      </c>
      <c r="B13077" t="s">
        <v>9733</v>
      </c>
      <c r="C13077">
        <f>0.115764495971</f>
        <v>0.115764495971</v>
      </c>
      <c r="D13077">
        <v>0.99998656347500003</v>
      </c>
      <c r="E13077">
        <v>11.37</v>
      </c>
    </row>
    <row r="13078" spans="1:5">
      <c r="A13078" t="s">
        <v>42154</v>
      </c>
      <c r="B13078" t="s">
        <v>9726</v>
      </c>
      <c r="C13078">
        <v>0</v>
      </c>
      <c r="D13078">
        <v>0.99998656347500003</v>
      </c>
      <c r="E13078">
        <v>11.37</v>
      </c>
    </row>
    <row r="13079" spans="1:5">
      <c r="A13079" t="s">
        <v>42154</v>
      </c>
      <c r="B13079" t="s">
        <v>9737</v>
      </c>
      <c r="C13079">
        <v>0.29010290299699998</v>
      </c>
      <c r="D13079">
        <v>0.99998656347500003</v>
      </c>
      <c r="E13079">
        <v>11.37</v>
      </c>
    </row>
    <row r="13080" spans="1:5">
      <c r="A13080" t="s">
        <v>42154</v>
      </c>
      <c r="B13080" t="s">
        <v>9738</v>
      </c>
      <c r="C13080">
        <f>0</f>
        <v>0</v>
      </c>
      <c r="D13080">
        <v>0.99998656347500003</v>
      </c>
      <c r="E13080">
        <v>11.37</v>
      </c>
    </row>
    <row r="13081" spans="1:5">
      <c r="A13081" t="s">
        <v>42154</v>
      </c>
      <c r="B13081" t="s">
        <v>9728</v>
      </c>
      <c r="C13081">
        <v>0.44377736143500002</v>
      </c>
      <c r="D13081">
        <v>0.99998656347500003</v>
      </c>
      <c r="E13081">
        <v>11.37</v>
      </c>
    </row>
    <row r="13082" spans="1:5">
      <c r="A13082" t="s">
        <v>42154</v>
      </c>
      <c r="B13082" t="s">
        <v>9729</v>
      </c>
      <c r="C13082">
        <v>0.18945047825799999</v>
      </c>
      <c r="D13082">
        <v>0.99998656347500003</v>
      </c>
      <c r="E13082">
        <v>11.37</v>
      </c>
    </row>
    <row r="13083" spans="1:5">
      <c r="A13083" t="s">
        <v>42154</v>
      </c>
      <c r="B13083" t="s">
        <v>9727</v>
      </c>
      <c r="C13083">
        <v>0</v>
      </c>
      <c r="D13083">
        <v>0.99998656347500003</v>
      </c>
      <c r="E13083">
        <v>11.37</v>
      </c>
    </row>
    <row r="13084" spans="1:5">
      <c r="A13084" t="s">
        <v>42154</v>
      </c>
      <c r="B13084" t="s">
        <v>9736</v>
      </c>
      <c r="C13084">
        <f>0.0950765565014</f>
        <v>9.5076556501399997E-2</v>
      </c>
      <c r="D13084">
        <v>0.99998656347500003</v>
      </c>
      <c r="E13084">
        <v>11.37</v>
      </c>
    </row>
    <row r="13085" spans="1:5">
      <c r="A13085" t="s">
        <v>42155</v>
      </c>
      <c r="B13085" t="s">
        <v>42156</v>
      </c>
      <c r="C13085">
        <f>0.292305969961</f>
        <v>0.292305969961</v>
      </c>
      <c r="D13085">
        <v>0.90001459095699998</v>
      </c>
      <c r="E13085">
        <v>24</v>
      </c>
    </row>
    <row r="13086" spans="1:5">
      <c r="A13086" t="s">
        <v>42155</v>
      </c>
      <c r="B13086" t="s">
        <v>42157</v>
      </c>
      <c r="C13086">
        <f>0.153352417439</f>
        <v>0.15335241743899999</v>
      </c>
      <c r="D13086">
        <v>0.90001459095699998</v>
      </c>
      <c r="E13086">
        <v>24</v>
      </c>
    </row>
    <row r="13087" spans="1:5">
      <c r="A13087" t="s">
        <v>42155</v>
      </c>
      <c r="B13087" t="s">
        <v>42158</v>
      </c>
      <c r="C13087">
        <v>1.1408671593299999</v>
      </c>
      <c r="D13087">
        <v>0.90001459095699998</v>
      </c>
      <c r="E13087">
        <v>24</v>
      </c>
    </row>
    <row r="13088" spans="1:5">
      <c r="A13088" t="s">
        <v>42155</v>
      </c>
      <c r="B13088" t="s">
        <v>42159</v>
      </c>
      <c r="C13088">
        <f>0.776765733478</f>
        <v>0.77676573347800004</v>
      </c>
      <c r="D13088">
        <v>0.90001459095699998</v>
      </c>
      <c r="E13088">
        <v>24</v>
      </c>
    </row>
    <row r="13089" spans="1:5">
      <c r="A13089" t="s">
        <v>42160</v>
      </c>
      <c r="B13089" t="s">
        <v>42161</v>
      </c>
      <c r="C13089">
        <f>0.262756970148</f>
        <v>0.26275697014799998</v>
      </c>
      <c r="D13089">
        <v>0.39236697014799998</v>
      </c>
      <c r="E13089">
        <v>11.874000000000001</v>
      </c>
    </row>
    <row r="13090" spans="1:5">
      <c r="A13090" t="s">
        <v>42160</v>
      </c>
      <c r="B13090" t="s">
        <v>42162</v>
      </c>
      <c r="C13090">
        <f>0</f>
        <v>0</v>
      </c>
      <c r="D13090">
        <v>0.39236697014799998</v>
      </c>
      <c r="E13090">
        <v>11.874000000000001</v>
      </c>
    </row>
    <row r="13091" spans="1:5">
      <c r="A13091" t="s">
        <v>42163</v>
      </c>
      <c r="B13091" t="s">
        <v>42164</v>
      </c>
      <c r="C13091">
        <v>0.58741174021599996</v>
      </c>
      <c r="D13091">
        <v>0.97809079018300005</v>
      </c>
      <c r="E13091">
        <v>0.82799999999999996</v>
      </c>
    </row>
    <row r="13092" spans="1:5">
      <c r="A13092" t="s">
        <v>42163</v>
      </c>
      <c r="B13092" t="s">
        <v>42165</v>
      </c>
      <c r="C13092">
        <v>0.393884165083</v>
      </c>
      <c r="D13092">
        <v>0.97809079018300005</v>
      </c>
      <c r="E13092">
        <v>0.82799999999999996</v>
      </c>
    </row>
    <row r="13093" spans="1:5">
      <c r="A13093" t="s">
        <v>42163</v>
      </c>
      <c r="B13093" t="s">
        <v>42166</v>
      </c>
      <c r="C13093">
        <v>0.16226064394100001</v>
      </c>
      <c r="D13093">
        <v>0.97809079018300005</v>
      </c>
      <c r="E13093">
        <v>0.82799999999999996</v>
      </c>
    </row>
    <row r="13094" spans="1:5">
      <c r="A13094" t="s">
        <v>42163</v>
      </c>
      <c r="B13094" t="s">
        <v>42167</v>
      </c>
      <c r="C13094">
        <f>-1.43068611048</f>
        <v>-1.4306861104799999</v>
      </c>
      <c r="D13094">
        <v>0.97809079018300005</v>
      </c>
      <c r="E13094">
        <v>0.82799999999999996</v>
      </c>
    </row>
    <row r="13095" spans="1:5">
      <c r="A13095" t="s">
        <v>42163</v>
      </c>
      <c r="B13095" t="s">
        <v>42168</v>
      </c>
      <c r="C13095">
        <f>-1.80629958503</f>
        <v>-1.8062995850300001</v>
      </c>
      <c r="D13095">
        <v>0.97809079018300005</v>
      </c>
      <c r="E13095">
        <v>0.82799999999999996</v>
      </c>
    </row>
    <row r="13096" spans="1:5">
      <c r="A13096" t="s">
        <v>42169</v>
      </c>
      <c r="B13096" t="s">
        <v>17201</v>
      </c>
      <c r="C13096">
        <f>0</f>
        <v>0</v>
      </c>
      <c r="D13096">
        <v>0.79820316735700003</v>
      </c>
      <c r="E13096">
        <v>0.47399999999999998</v>
      </c>
    </row>
    <row r="13097" spans="1:5">
      <c r="A13097" t="s">
        <v>42169</v>
      </c>
      <c r="B13097" t="s">
        <v>17200</v>
      </c>
      <c r="C13097">
        <v>0.29622126166899998</v>
      </c>
      <c r="D13097">
        <v>0.79820316735700003</v>
      </c>
      <c r="E13097">
        <v>0.47399999999999998</v>
      </c>
    </row>
    <row r="13098" spans="1:5">
      <c r="A13098" t="s">
        <v>42169</v>
      </c>
      <c r="B13098" t="s">
        <v>17194</v>
      </c>
      <c r="C13098">
        <v>0</v>
      </c>
      <c r="D13098">
        <v>0.79820316735700003</v>
      </c>
      <c r="E13098">
        <v>0.47399999999999998</v>
      </c>
    </row>
    <row r="13099" spans="1:5">
      <c r="A13099" t="s">
        <v>42169</v>
      </c>
      <c r="B13099" t="s">
        <v>17193</v>
      </c>
      <c r="C13099">
        <v>0</v>
      </c>
      <c r="D13099">
        <v>0.79820316735700003</v>
      </c>
      <c r="E13099">
        <v>0.47399999999999998</v>
      </c>
    </row>
    <row r="13100" spans="1:5">
      <c r="A13100" t="s">
        <v>42169</v>
      </c>
      <c r="B13100" t="s">
        <v>17204</v>
      </c>
      <c r="C13100">
        <v>0</v>
      </c>
      <c r="D13100">
        <v>0.79820316735700003</v>
      </c>
      <c r="E13100">
        <v>0.47399999999999998</v>
      </c>
    </row>
    <row r="13101" spans="1:5">
      <c r="A13101" t="s">
        <v>42169</v>
      </c>
      <c r="B13101" t="s">
        <v>17195</v>
      </c>
      <c r="C13101">
        <v>0.24585481231799999</v>
      </c>
      <c r="D13101">
        <v>0.79820316735700003</v>
      </c>
      <c r="E13101">
        <v>0.47399999999999998</v>
      </c>
    </row>
    <row r="13102" spans="1:5">
      <c r="A13102" t="s">
        <v>42169</v>
      </c>
      <c r="B13102" t="s">
        <v>17196</v>
      </c>
      <c r="C13102">
        <f>0</f>
        <v>0</v>
      </c>
      <c r="D13102">
        <v>0.79820316735700003</v>
      </c>
      <c r="E13102">
        <v>0.47399999999999998</v>
      </c>
    </row>
    <row r="13103" spans="1:5">
      <c r="A13103" t="s">
        <v>42169</v>
      </c>
      <c r="B13103" t="s">
        <v>17197</v>
      </c>
      <c r="C13103">
        <v>0.11352360611200001</v>
      </c>
      <c r="D13103">
        <v>0.79820316735700003</v>
      </c>
      <c r="E13103">
        <v>0.47399999999999998</v>
      </c>
    </row>
    <row r="13104" spans="1:5">
      <c r="A13104" t="s">
        <v>42170</v>
      </c>
      <c r="B13104" t="s">
        <v>1377</v>
      </c>
      <c r="C13104">
        <v>0</v>
      </c>
      <c r="D13104" t="s">
        <v>106</v>
      </c>
      <c r="E13104">
        <v>24</v>
      </c>
    </row>
    <row r="13105" spans="1:5">
      <c r="A13105" t="s">
        <v>42170</v>
      </c>
      <c r="B13105" t="s">
        <v>1380</v>
      </c>
      <c r="C13105">
        <v>0</v>
      </c>
      <c r="D13105" t="s">
        <v>106</v>
      </c>
      <c r="E13105">
        <v>24</v>
      </c>
    </row>
    <row r="13106" spans="1:5">
      <c r="A13106" t="s">
        <v>42170</v>
      </c>
      <c r="B13106" t="s">
        <v>1385</v>
      </c>
      <c r="C13106">
        <v>0</v>
      </c>
      <c r="D13106" t="s">
        <v>106</v>
      </c>
      <c r="E13106">
        <v>24</v>
      </c>
    </row>
    <row r="13107" spans="1:5">
      <c r="A13107" t="s">
        <v>42171</v>
      </c>
      <c r="B13107" t="s">
        <v>24970</v>
      </c>
      <c r="C13107">
        <f>0.66109439743</f>
        <v>0.66109439742999998</v>
      </c>
      <c r="D13107">
        <v>0.93686763244600002</v>
      </c>
      <c r="E13107">
        <v>5.58</v>
      </c>
    </row>
    <row r="13108" spans="1:5">
      <c r="A13108" t="s">
        <v>42171</v>
      </c>
      <c r="B13108" t="s">
        <v>24978</v>
      </c>
      <c r="C13108">
        <f>0.107217606605</f>
        <v>0.107217606605</v>
      </c>
      <c r="D13108">
        <v>0.93686763244600002</v>
      </c>
      <c r="E13108">
        <v>5.58</v>
      </c>
    </row>
    <row r="13109" spans="1:5">
      <c r="A13109" t="s">
        <v>42171</v>
      </c>
      <c r="B13109" t="s">
        <v>24977</v>
      </c>
      <c r="C13109">
        <v>0.14026809836500001</v>
      </c>
      <c r="D13109">
        <v>0.93686763244600002</v>
      </c>
      <c r="E13109">
        <v>5.58</v>
      </c>
    </row>
    <row r="13110" spans="1:5">
      <c r="A13110" t="s">
        <v>42171</v>
      </c>
      <c r="B13110" t="s">
        <v>24975</v>
      </c>
      <c r="C13110">
        <f>0.653231025791</f>
        <v>0.65323102579100001</v>
      </c>
      <c r="D13110">
        <v>0.93686763244600002</v>
      </c>
      <c r="E13110">
        <v>5.58</v>
      </c>
    </row>
    <row r="13111" spans="1:5">
      <c r="A13111" t="s">
        <v>42172</v>
      </c>
      <c r="B13111" t="s">
        <v>7084</v>
      </c>
      <c r="C13111">
        <f>0</f>
        <v>0</v>
      </c>
      <c r="D13111" t="s">
        <v>106</v>
      </c>
      <c r="E13111">
        <v>2.4780000000000002</v>
      </c>
    </row>
    <row r="13112" spans="1:5">
      <c r="A13112" t="s">
        <v>42172</v>
      </c>
      <c r="B13112" t="s">
        <v>7089</v>
      </c>
      <c r="C13112">
        <f>0</f>
        <v>0</v>
      </c>
      <c r="D13112" t="s">
        <v>106</v>
      </c>
      <c r="E13112">
        <v>2.4780000000000002</v>
      </c>
    </row>
    <row r="13113" spans="1:5">
      <c r="A13113" t="s">
        <v>42172</v>
      </c>
      <c r="B13113" t="s">
        <v>7086</v>
      </c>
      <c r="C13113">
        <v>0</v>
      </c>
      <c r="D13113" t="s">
        <v>106</v>
      </c>
      <c r="E13113">
        <v>2.4780000000000002</v>
      </c>
    </row>
    <row r="13114" spans="1:5">
      <c r="A13114" t="s">
        <v>42172</v>
      </c>
      <c r="B13114" t="s">
        <v>7090</v>
      </c>
      <c r="C13114">
        <f>0</f>
        <v>0</v>
      </c>
      <c r="D13114" t="s">
        <v>106</v>
      </c>
      <c r="E13114">
        <v>2.4780000000000002</v>
      </c>
    </row>
    <row r="13115" spans="1:5">
      <c r="A13115" t="s">
        <v>42172</v>
      </c>
      <c r="B13115" t="s">
        <v>7085</v>
      </c>
      <c r="C13115">
        <f>0</f>
        <v>0</v>
      </c>
      <c r="D13115" t="s">
        <v>106</v>
      </c>
      <c r="E13115">
        <v>2.4780000000000002</v>
      </c>
    </row>
    <row r="13116" spans="1:5">
      <c r="A13116" t="s">
        <v>42173</v>
      </c>
      <c r="B13116" t="s">
        <v>13618</v>
      </c>
      <c r="C13116">
        <v>0.52634904087699996</v>
      </c>
      <c r="D13116">
        <v>0.71995904087700002</v>
      </c>
      <c r="E13116">
        <v>1.512</v>
      </c>
    </row>
    <row r="13117" spans="1:5">
      <c r="A13117" t="s">
        <v>42173</v>
      </c>
      <c r="B13117" t="s">
        <v>13619</v>
      </c>
      <c r="C13117">
        <v>0</v>
      </c>
      <c r="D13117">
        <v>0.71995904087700002</v>
      </c>
      <c r="E13117">
        <v>1.512</v>
      </c>
    </row>
    <row r="13118" spans="1:5">
      <c r="A13118" t="s">
        <v>42173</v>
      </c>
      <c r="B13118" t="s">
        <v>13621</v>
      </c>
      <c r="C13118">
        <v>0</v>
      </c>
      <c r="D13118">
        <v>0.71995904087700002</v>
      </c>
      <c r="E13118">
        <v>1.512</v>
      </c>
    </row>
    <row r="13119" spans="1:5">
      <c r="A13119" t="s">
        <v>42174</v>
      </c>
      <c r="B13119" t="s">
        <v>42175</v>
      </c>
      <c r="C13119">
        <v>0</v>
      </c>
      <c r="D13119">
        <v>0.98442564196000004</v>
      </c>
      <c r="E13119">
        <v>3.78</v>
      </c>
    </row>
    <row r="13120" spans="1:5">
      <c r="A13120" t="s">
        <v>42174</v>
      </c>
      <c r="B13120" t="s">
        <v>42176</v>
      </c>
      <c r="C13120">
        <v>0</v>
      </c>
      <c r="D13120">
        <v>0.98442564196000004</v>
      </c>
      <c r="E13120">
        <v>3.78</v>
      </c>
    </row>
    <row r="13121" spans="1:5">
      <c r="A13121" t="s">
        <v>42174</v>
      </c>
      <c r="B13121" t="s">
        <v>42177</v>
      </c>
      <c r="C13121">
        <v>0.30597049984500002</v>
      </c>
      <c r="D13121">
        <v>0.98442564196000004</v>
      </c>
      <c r="E13121">
        <v>3.78</v>
      </c>
    </row>
    <row r="13122" spans="1:5">
      <c r="A13122" t="s">
        <v>42174</v>
      </c>
      <c r="B13122" t="s">
        <v>42178</v>
      </c>
      <c r="C13122">
        <f>0</f>
        <v>0</v>
      </c>
      <c r="D13122">
        <v>0.98442564196000004</v>
      </c>
      <c r="E13122">
        <v>3.78</v>
      </c>
    </row>
    <row r="13123" spans="1:5">
      <c r="A13123" t="s">
        <v>42174</v>
      </c>
      <c r="B13123" t="s">
        <v>42179</v>
      </c>
      <c r="C13123">
        <v>0.33830809599900002</v>
      </c>
      <c r="D13123">
        <v>0.98442564196000004</v>
      </c>
      <c r="E13123">
        <v>3.78</v>
      </c>
    </row>
    <row r="13124" spans="1:5">
      <c r="A13124" t="s">
        <v>42174</v>
      </c>
      <c r="B13124" t="s">
        <v>42180</v>
      </c>
      <c r="C13124">
        <v>0.482251134129</v>
      </c>
      <c r="D13124">
        <v>0.98442564196000004</v>
      </c>
      <c r="E13124">
        <v>3.78</v>
      </c>
    </row>
    <row r="13125" spans="1:5">
      <c r="A13125" t="s">
        <v>42174</v>
      </c>
      <c r="B13125" t="s">
        <v>42181</v>
      </c>
      <c r="C13125">
        <v>0</v>
      </c>
      <c r="D13125">
        <v>0.98442564196000004</v>
      </c>
      <c r="E13125">
        <v>3.78</v>
      </c>
    </row>
    <row r="13126" spans="1:5">
      <c r="A13126" t="s">
        <v>42174</v>
      </c>
      <c r="B13126" t="s">
        <v>42182</v>
      </c>
      <c r="C13126">
        <v>0.56101718832000003</v>
      </c>
      <c r="D13126">
        <v>0.98442564196000004</v>
      </c>
      <c r="E13126">
        <v>3.78</v>
      </c>
    </row>
    <row r="13127" spans="1:5">
      <c r="A13127" t="s">
        <v>42174</v>
      </c>
      <c r="B13127" t="s">
        <v>42183</v>
      </c>
      <c r="C13127">
        <f>0.121426324054</f>
        <v>0.121426324054</v>
      </c>
      <c r="D13127">
        <v>0.98442564196000004</v>
      </c>
      <c r="E13127">
        <v>3.78</v>
      </c>
    </row>
    <row r="13128" spans="1:5">
      <c r="A13128" t="s">
        <v>42174</v>
      </c>
      <c r="B13128" t="s">
        <v>42184</v>
      </c>
      <c r="C13128">
        <v>0</v>
      </c>
      <c r="D13128">
        <v>0.98442564196000004</v>
      </c>
      <c r="E13128">
        <v>3.78</v>
      </c>
    </row>
    <row r="13129" spans="1:5">
      <c r="A13129" t="s">
        <v>42185</v>
      </c>
      <c r="B13129" t="s">
        <v>23518</v>
      </c>
      <c r="C13129">
        <v>0</v>
      </c>
      <c r="D13129">
        <v>0.59859360990499999</v>
      </c>
      <c r="E13129">
        <v>24</v>
      </c>
    </row>
    <row r="13130" spans="1:5">
      <c r="A13130" t="s">
        <v>42185</v>
      </c>
      <c r="B13130" t="s">
        <v>23521</v>
      </c>
      <c r="C13130">
        <v>0</v>
      </c>
      <c r="D13130">
        <v>0.59859360990499999</v>
      </c>
      <c r="E13130">
        <v>24</v>
      </c>
    </row>
    <row r="13131" spans="1:5">
      <c r="A13131" t="s">
        <v>42185</v>
      </c>
      <c r="B13131" t="s">
        <v>23520</v>
      </c>
      <c r="C13131">
        <v>0.18898360990499999</v>
      </c>
      <c r="D13131">
        <v>0.59859360990499999</v>
      </c>
      <c r="E13131">
        <v>24</v>
      </c>
    </row>
    <row r="13132" spans="1:5">
      <c r="A13132" t="s">
        <v>42185</v>
      </c>
      <c r="B13132" t="s">
        <v>23523</v>
      </c>
      <c r="C13132">
        <f>0</f>
        <v>0</v>
      </c>
      <c r="D13132">
        <v>0.59859360990499999</v>
      </c>
      <c r="E13132">
        <v>24</v>
      </c>
    </row>
    <row r="13133" spans="1:5">
      <c r="A13133" t="s">
        <v>42185</v>
      </c>
      <c r="B13133" t="s">
        <v>23528</v>
      </c>
      <c r="C13133">
        <v>0</v>
      </c>
      <c r="D13133">
        <v>0.59859360990499999</v>
      </c>
      <c r="E13133">
        <v>24</v>
      </c>
    </row>
    <row r="13134" spans="1:5">
      <c r="A13134" t="s">
        <v>42185</v>
      </c>
      <c r="B13134" t="s">
        <v>23522</v>
      </c>
      <c r="C13134">
        <v>0</v>
      </c>
      <c r="D13134">
        <v>0.59859360990499999</v>
      </c>
      <c r="E13134">
        <v>24</v>
      </c>
    </row>
    <row r="13135" spans="1:5">
      <c r="A13135" t="s">
        <v>42185</v>
      </c>
      <c r="B13135" t="s">
        <v>23527</v>
      </c>
      <c r="C13135">
        <v>0</v>
      </c>
      <c r="D13135">
        <v>0.59859360990499999</v>
      </c>
      <c r="E13135">
        <v>24</v>
      </c>
    </row>
    <row r="13136" spans="1:5">
      <c r="A13136" t="s">
        <v>42185</v>
      </c>
      <c r="B13136" t="s">
        <v>23529</v>
      </c>
      <c r="C13136">
        <v>0</v>
      </c>
      <c r="D13136">
        <v>0.59859360990499999</v>
      </c>
      <c r="E13136">
        <v>24</v>
      </c>
    </row>
    <row r="13137" spans="1:5">
      <c r="A13137" t="s">
        <v>42186</v>
      </c>
      <c r="B13137" t="s">
        <v>42187</v>
      </c>
      <c r="C13137">
        <f>0.656505558902</f>
        <v>0.65650555890200002</v>
      </c>
      <c r="D13137">
        <v>0.99960060639399995</v>
      </c>
      <c r="E13137">
        <v>24</v>
      </c>
    </row>
    <row r="13138" spans="1:5">
      <c r="A13138" t="s">
        <v>42186</v>
      </c>
      <c r="B13138" t="s">
        <v>42188</v>
      </c>
      <c r="C13138">
        <f>0.19358149077</f>
        <v>0.19358149077</v>
      </c>
      <c r="D13138">
        <v>0.99960060639399995</v>
      </c>
      <c r="E13138">
        <v>24</v>
      </c>
    </row>
    <row r="13139" spans="1:5">
      <c r="A13139" t="s">
        <v>42186</v>
      </c>
      <c r="B13139" t="s">
        <v>42189</v>
      </c>
      <c r="C13139">
        <v>1.03154869297</v>
      </c>
      <c r="D13139">
        <v>0.99960060639399995</v>
      </c>
      <c r="E13139">
        <v>24</v>
      </c>
    </row>
    <row r="13140" spans="1:5">
      <c r="A13140" t="s">
        <v>42186</v>
      </c>
      <c r="B13140" t="s">
        <v>42190</v>
      </c>
      <c r="C13140">
        <f>0.536871344913</f>
        <v>0.53687134491300004</v>
      </c>
      <c r="D13140">
        <v>0.99960060639399995</v>
      </c>
      <c r="E13140">
        <v>24</v>
      </c>
    </row>
    <row r="13141" spans="1:5">
      <c r="A13141" t="s">
        <v>42186</v>
      </c>
      <c r="B13141" t="s">
        <v>42191</v>
      </c>
      <c r="C13141">
        <f>0.656469953031</f>
        <v>0.65646995303099998</v>
      </c>
      <c r="D13141">
        <v>0.99960060639399995</v>
      </c>
      <c r="E13141">
        <v>24</v>
      </c>
    </row>
    <row r="13142" spans="1:5">
      <c r="A13142" t="s">
        <v>42186</v>
      </c>
      <c r="B13142" t="s">
        <v>42192</v>
      </c>
      <c r="C13142">
        <v>0.280104573375</v>
      </c>
      <c r="D13142">
        <v>0.99960060639399995</v>
      </c>
      <c r="E13142">
        <v>24</v>
      </c>
    </row>
    <row r="13143" spans="1:5">
      <c r="A13143" t="s">
        <v>42186</v>
      </c>
      <c r="B13143" t="s">
        <v>42193</v>
      </c>
      <c r="C13143">
        <v>1.0804962740699999</v>
      </c>
      <c r="D13143">
        <v>0.99960060639399995</v>
      </c>
      <c r="E13143">
        <v>24</v>
      </c>
    </row>
    <row r="13144" spans="1:5">
      <c r="A13144" t="s">
        <v>42194</v>
      </c>
      <c r="B13144" t="s">
        <v>27160</v>
      </c>
      <c r="C13144">
        <v>0</v>
      </c>
      <c r="D13144" t="s">
        <v>106</v>
      </c>
      <c r="E13144">
        <v>2.4E-2</v>
      </c>
    </row>
    <row r="13145" spans="1:5">
      <c r="A13145" t="s">
        <v>42194</v>
      </c>
      <c r="B13145" t="s">
        <v>27164</v>
      </c>
      <c r="C13145">
        <f>0</f>
        <v>0</v>
      </c>
      <c r="D13145" t="s">
        <v>106</v>
      </c>
      <c r="E13145">
        <v>2.4E-2</v>
      </c>
    </row>
    <row r="13146" spans="1:5">
      <c r="A13146" t="s">
        <v>42195</v>
      </c>
      <c r="B13146" t="s">
        <v>7194</v>
      </c>
      <c r="C13146">
        <v>0</v>
      </c>
      <c r="D13146" t="s">
        <v>106</v>
      </c>
      <c r="E13146">
        <v>0.24</v>
      </c>
    </row>
    <row r="13147" spans="1:5">
      <c r="A13147" t="s">
        <v>42195</v>
      </c>
      <c r="B13147" t="s">
        <v>7196</v>
      </c>
      <c r="C13147">
        <v>0</v>
      </c>
      <c r="D13147" t="s">
        <v>106</v>
      </c>
      <c r="E13147">
        <v>0.24</v>
      </c>
    </row>
    <row r="13148" spans="1:5">
      <c r="A13148" t="s">
        <v>42196</v>
      </c>
      <c r="B13148" t="s">
        <v>27898</v>
      </c>
      <c r="C13148">
        <f>0</f>
        <v>0</v>
      </c>
      <c r="D13148">
        <v>0.87056812230199998</v>
      </c>
      <c r="E13148">
        <v>4.8</v>
      </c>
    </row>
    <row r="13149" spans="1:5">
      <c r="A13149" t="s">
        <v>42196</v>
      </c>
      <c r="B13149" t="s">
        <v>27902</v>
      </c>
      <c r="C13149">
        <f>0</f>
        <v>0</v>
      </c>
      <c r="D13149">
        <v>0.87056812230199998</v>
      </c>
      <c r="E13149">
        <v>4.8</v>
      </c>
    </row>
    <row r="13150" spans="1:5">
      <c r="A13150" t="s">
        <v>42196</v>
      </c>
      <c r="B13150" t="s">
        <v>27900</v>
      </c>
      <c r="C13150">
        <f>0.710558122302</f>
        <v>0.71055812230199999</v>
      </c>
      <c r="D13150">
        <v>0.87056812230199998</v>
      </c>
      <c r="E13150">
        <v>4.8</v>
      </c>
    </row>
    <row r="13151" spans="1:5">
      <c r="A13151" t="s">
        <v>42197</v>
      </c>
      <c r="B13151" t="s">
        <v>13659</v>
      </c>
      <c r="C13151">
        <v>0.429600971715</v>
      </c>
      <c r="D13151">
        <v>0.70762766906200003</v>
      </c>
      <c r="E13151">
        <v>6.8040000000000003</v>
      </c>
    </row>
    <row r="13152" spans="1:5">
      <c r="A13152" t="s">
        <v>42197</v>
      </c>
      <c r="B13152" t="s">
        <v>13660</v>
      </c>
      <c r="C13152">
        <v>0.11648338566499999</v>
      </c>
      <c r="D13152">
        <v>0.70762766906200003</v>
      </c>
      <c r="E13152">
        <v>6.8040000000000003</v>
      </c>
    </row>
    <row r="13153" spans="1:5">
      <c r="A13153" t="s">
        <v>42197</v>
      </c>
      <c r="B13153" t="s">
        <v>13661</v>
      </c>
      <c r="C13153">
        <f>0</f>
        <v>0</v>
      </c>
      <c r="D13153">
        <v>0.70762766906200003</v>
      </c>
      <c r="E13153">
        <v>6.8040000000000003</v>
      </c>
    </row>
    <row r="13154" spans="1:5">
      <c r="A13154" t="s">
        <v>42198</v>
      </c>
      <c r="B13154" t="s">
        <v>20722</v>
      </c>
      <c r="C13154">
        <f>0</f>
        <v>0</v>
      </c>
      <c r="D13154" t="s">
        <v>106</v>
      </c>
      <c r="E13154">
        <v>11.208</v>
      </c>
    </row>
    <row r="13155" spans="1:5">
      <c r="A13155" t="s">
        <v>42198</v>
      </c>
      <c r="B13155" t="s">
        <v>20742</v>
      </c>
      <c r="C13155">
        <f>0</f>
        <v>0</v>
      </c>
      <c r="D13155" t="s">
        <v>106</v>
      </c>
      <c r="E13155">
        <v>11.208</v>
      </c>
    </row>
    <row r="13156" spans="1:5">
      <c r="A13156" t="s">
        <v>42198</v>
      </c>
      <c r="B13156" t="s">
        <v>20746</v>
      </c>
      <c r="C13156">
        <f>0</f>
        <v>0</v>
      </c>
      <c r="D13156" t="s">
        <v>106</v>
      </c>
      <c r="E13156">
        <v>11.208</v>
      </c>
    </row>
    <row r="13157" spans="1:5">
      <c r="A13157" t="s">
        <v>42198</v>
      </c>
      <c r="B13157" t="s">
        <v>20735</v>
      </c>
      <c r="C13157">
        <f>0</f>
        <v>0</v>
      </c>
      <c r="D13157" t="s">
        <v>106</v>
      </c>
      <c r="E13157">
        <v>11.208</v>
      </c>
    </row>
    <row r="13158" spans="1:5">
      <c r="A13158" t="s">
        <v>42198</v>
      </c>
      <c r="B13158" t="s">
        <v>20737</v>
      </c>
      <c r="C13158">
        <v>0</v>
      </c>
      <c r="D13158" t="s">
        <v>106</v>
      </c>
      <c r="E13158">
        <v>11.208</v>
      </c>
    </row>
    <row r="13159" spans="1:5">
      <c r="A13159" t="s">
        <v>42198</v>
      </c>
      <c r="B13159" t="s">
        <v>20723</v>
      </c>
      <c r="C13159">
        <v>0</v>
      </c>
      <c r="D13159" t="s">
        <v>106</v>
      </c>
      <c r="E13159">
        <v>11.208</v>
      </c>
    </row>
    <row r="13160" spans="1:5">
      <c r="A13160" t="s">
        <v>42198</v>
      </c>
      <c r="B13160" t="s">
        <v>20732</v>
      </c>
      <c r="C13160">
        <f>0</f>
        <v>0</v>
      </c>
      <c r="D13160" t="s">
        <v>106</v>
      </c>
      <c r="E13160">
        <v>11.208</v>
      </c>
    </row>
    <row r="13161" spans="1:5">
      <c r="A13161" t="s">
        <v>42198</v>
      </c>
      <c r="B13161" t="s">
        <v>20729</v>
      </c>
      <c r="C13161">
        <f>0</f>
        <v>0</v>
      </c>
      <c r="D13161" t="s">
        <v>106</v>
      </c>
      <c r="E13161">
        <v>11.208</v>
      </c>
    </row>
    <row r="13162" spans="1:5">
      <c r="A13162" t="s">
        <v>42199</v>
      </c>
      <c r="B13162" t="s">
        <v>6166</v>
      </c>
      <c r="C13162">
        <f>0</f>
        <v>0</v>
      </c>
      <c r="D13162">
        <v>0.93253812104</v>
      </c>
      <c r="E13162">
        <v>24</v>
      </c>
    </row>
    <row r="13163" spans="1:5">
      <c r="A13163" t="s">
        <v>42199</v>
      </c>
      <c r="B13163" t="s">
        <v>6167</v>
      </c>
      <c r="C13163">
        <v>0</v>
      </c>
      <c r="D13163">
        <v>0.93253812104</v>
      </c>
      <c r="E13163">
        <v>24</v>
      </c>
    </row>
    <row r="13164" spans="1:5">
      <c r="A13164" t="s">
        <v>42199</v>
      </c>
      <c r="B13164" t="s">
        <v>6168</v>
      </c>
      <c r="C13164">
        <v>0</v>
      </c>
      <c r="D13164">
        <v>0.93253812104</v>
      </c>
      <c r="E13164">
        <v>24</v>
      </c>
    </row>
    <row r="13165" spans="1:5">
      <c r="A13165" t="s">
        <v>42199</v>
      </c>
      <c r="B13165" t="s">
        <v>6177</v>
      </c>
      <c r="C13165">
        <v>0.133382637542</v>
      </c>
      <c r="D13165">
        <v>0.93253812104</v>
      </c>
      <c r="E13165">
        <v>24</v>
      </c>
    </row>
    <row r="13166" spans="1:5">
      <c r="A13166" t="s">
        <v>42199</v>
      </c>
      <c r="B13166" t="s">
        <v>6178</v>
      </c>
      <c r="C13166">
        <f>0</f>
        <v>0</v>
      </c>
      <c r="D13166">
        <v>0.93253812104</v>
      </c>
      <c r="E13166">
        <v>24</v>
      </c>
    </row>
    <row r="13167" spans="1:5">
      <c r="A13167" t="s">
        <v>42199</v>
      </c>
      <c r="B13167" t="s">
        <v>6171</v>
      </c>
      <c r="C13167">
        <v>0</v>
      </c>
      <c r="D13167">
        <v>0.93253812104</v>
      </c>
      <c r="E13167">
        <v>24</v>
      </c>
    </row>
    <row r="13168" spans="1:5">
      <c r="A13168" t="s">
        <v>42199</v>
      </c>
      <c r="B13168" t="s">
        <v>6174</v>
      </c>
      <c r="C13168">
        <v>0.56724404041800003</v>
      </c>
      <c r="D13168">
        <v>0.93253812104</v>
      </c>
      <c r="E13168">
        <v>24</v>
      </c>
    </row>
    <row r="13169" spans="1:5">
      <c r="A13169" t="s">
        <v>42199</v>
      </c>
      <c r="B13169" t="s">
        <v>6176</v>
      </c>
      <c r="C13169">
        <v>0</v>
      </c>
      <c r="D13169">
        <v>0.93253812104</v>
      </c>
      <c r="E13169">
        <v>24</v>
      </c>
    </row>
    <row r="13170" spans="1:5">
      <c r="A13170" t="s">
        <v>42199</v>
      </c>
      <c r="B13170" t="s">
        <v>6172</v>
      </c>
      <c r="C13170">
        <v>0</v>
      </c>
      <c r="D13170">
        <v>0.93253812104</v>
      </c>
      <c r="E13170">
        <v>24</v>
      </c>
    </row>
    <row r="13171" spans="1:5">
      <c r="A13171" t="s">
        <v>42199</v>
      </c>
      <c r="B13171" t="s">
        <v>6179</v>
      </c>
      <c r="C13171">
        <v>1.9170307437499999E-2</v>
      </c>
      <c r="D13171">
        <v>0.93253812104</v>
      </c>
      <c r="E13171">
        <v>24</v>
      </c>
    </row>
    <row r="13172" spans="1:5">
      <c r="A13172" t="s">
        <v>42199</v>
      </c>
      <c r="B13172" t="s">
        <v>6169</v>
      </c>
      <c r="C13172">
        <v>0.23491303077100001</v>
      </c>
      <c r="D13172">
        <v>0.93253812104</v>
      </c>
      <c r="E13172">
        <v>24</v>
      </c>
    </row>
    <row r="13173" spans="1:5">
      <c r="A13173" t="s">
        <v>42199</v>
      </c>
      <c r="B13173" t="s">
        <v>6170</v>
      </c>
      <c r="C13173">
        <v>0</v>
      </c>
      <c r="D13173">
        <v>0.93253812104</v>
      </c>
      <c r="E13173">
        <v>24</v>
      </c>
    </row>
    <row r="13174" spans="1:5">
      <c r="A13174" t="s">
        <v>42200</v>
      </c>
      <c r="B13174" t="s">
        <v>3966</v>
      </c>
      <c r="C13174">
        <v>0</v>
      </c>
      <c r="D13174">
        <v>0.87162305785799998</v>
      </c>
      <c r="E13174">
        <v>10.715999999999999</v>
      </c>
    </row>
    <row r="13175" spans="1:5">
      <c r="A13175" t="s">
        <v>42200</v>
      </c>
      <c r="B13175" t="s">
        <v>3967</v>
      </c>
      <c r="C13175">
        <v>0.25729680590499998</v>
      </c>
      <c r="D13175">
        <v>0.87162305785799998</v>
      </c>
      <c r="E13175">
        <v>10.715999999999999</v>
      </c>
    </row>
    <row r="13176" spans="1:5">
      <c r="A13176" t="s">
        <v>42200</v>
      </c>
      <c r="B13176" t="s">
        <v>3968</v>
      </c>
      <c r="C13176">
        <v>0.62486411225799998</v>
      </c>
      <c r="D13176">
        <v>0.87162305785799998</v>
      </c>
      <c r="E13176">
        <v>10.715999999999999</v>
      </c>
    </row>
    <row r="13177" spans="1:5">
      <c r="A13177" t="s">
        <v>42201</v>
      </c>
      <c r="B13177" t="s">
        <v>42202</v>
      </c>
      <c r="C13177">
        <v>0.59056258042499998</v>
      </c>
      <c r="D13177">
        <v>0.85205806288300001</v>
      </c>
      <c r="E13177">
        <v>6.5519999999999996</v>
      </c>
    </row>
    <row r="13178" spans="1:5">
      <c r="A13178" t="s">
        <v>42201</v>
      </c>
      <c r="B13178" t="s">
        <v>42203</v>
      </c>
      <c r="C13178">
        <v>0.277293693344</v>
      </c>
      <c r="D13178">
        <v>0.85205806288300001</v>
      </c>
      <c r="E13178">
        <v>6.5519999999999996</v>
      </c>
    </row>
    <row r="13179" spans="1:5">
      <c r="A13179" t="s">
        <v>42201</v>
      </c>
      <c r="B13179" t="s">
        <v>42204</v>
      </c>
      <c r="C13179">
        <v>0</v>
      </c>
      <c r="D13179">
        <v>0.85205806288300001</v>
      </c>
      <c r="E13179">
        <v>6.5519999999999996</v>
      </c>
    </row>
    <row r="13180" spans="1:5">
      <c r="A13180" t="s">
        <v>42205</v>
      </c>
      <c r="B13180" t="s">
        <v>26486</v>
      </c>
      <c r="C13180">
        <f>0</f>
        <v>0</v>
      </c>
      <c r="D13180">
        <v>0.84595111271199996</v>
      </c>
      <c r="E13180">
        <v>3.5880000000000001</v>
      </c>
    </row>
    <row r="13181" spans="1:5">
      <c r="A13181" t="s">
        <v>42205</v>
      </c>
      <c r="B13181" t="s">
        <v>26484</v>
      </c>
      <c r="C13181">
        <v>0.57554111271200004</v>
      </c>
      <c r="D13181">
        <v>0.84595111271199996</v>
      </c>
      <c r="E13181">
        <v>3.5880000000000001</v>
      </c>
    </row>
    <row r="13182" spans="1:5">
      <c r="A13182" t="s">
        <v>42205</v>
      </c>
      <c r="B13182" t="s">
        <v>26496</v>
      </c>
      <c r="C13182">
        <f>0</f>
        <v>0</v>
      </c>
      <c r="D13182">
        <v>0.84595111271199996</v>
      </c>
      <c r="E13182">
        <v>3.5880000000000001</v>
      </c>
    </row>
    <row r="13183" spans="1:5">
      <c r="A13183" t="s">
        <v>42205</v>
      </c>
      <c r="B13183" t="s">
        <v>26501</v>
      </c>
      <c r="C13183">
        <v>0</v>
      </c>
      <c r="D13183">
        <v>0.84595111271199996</v>
      </c>
      <c r="E13183">
        <v>3.5880000000000001</v>
      </c>
    </row>
    <row r="13184" spans="1:5">
      <c r="A13184" t="s">
        <v>42205</v>
      </c>
      <c r="B13184" t="s">
        <v>26502</v>
      </c>
      <c r="C13184">
        <v>0</v>
      </c>
      <c r="D13184">
        <v>0.84595111271199996</v>
      </c>
      <c r="E13184">
        <v>3.5880000000000001</v>
      </c>
    </row>
    <row r="13185" spans="1:5">
      <c r="A13185" t="s">
        <v>42205</v>
      </c>
      <c r="B13185" t="s">
        <v>26488</v>
      </c>
      <c r="C13185">
        <v>0</v>
      </c>
      <c r="D13185">
        <v>0.84595111271199996</v>
      </c>
      <c r="E13185">
        <v>3.5880000000000001</v>
      </c>
    </row>
    <row r="13186" spans="1:5">
      <c r="A13186" t="s">
        <v>42205</v>
      </c>
      <c r="B13186" t="s">
        <v>26493</v>
      </c>
      <c r="C13186">
        <v>0</v>
      </c>
      <c r="D13186">
        <v>0.84595111271199996</v>
      </c>
      <c r="E13186">
        <v>3.5880000000000001</v>
      </c>
    </row>
    <row r="13187" spans="1:5">
      <c r="A13187" t="s">
        <v>42205</v>
      </c>
      <c r="B13187" t="s">
        <v>26498</v>
      </c>
      <c r="C13187">
        <v>0</v>
      </c>
      <c r="D13187">
        <v>0.84595111271199996</v>
      </c>
      <c r="E13187">
        <v>3.5880000000000001</v>
      </c>
    </row>
    <row r="13188" spans="1:5">
      <c r="A13188" t="s">
        <v>42205</v>
      </c>
      <c r="B13188" t="s">
        <v>26492</v>
      </c>
      <c r="C13188">
        <f>0</f>
        <v>0</v>
      </c>
      <c r="D13188">
        <v>0.84595111271199996</v>
      </c>
      <c r="E13188">
        <v>3.5880000000000001</v>
      </c>
    </row>
    <row r="13189" spans="1:5">
      <c r="A13189" t="s">
        <v>42205</v>
      </c>
      <c r="B13189" t="s">
        <v>42206</v>
      </c>
      <c r="C13189">
        <f>0</f>
        <v>0</v>
      </c>
      <c r="D13189">
        <v>0.84595111271199996</v>
      </c>
      <c r="E13189">
        <v>3.5880000000000001</v>
      </c>
    </row>
    <row r="13190" spans="1:5">
      <c r="A13190" t="s">
        <v>42205</v>
      </c>
      <c r="B13190" t="s">
        <v>26500</v>
      </c>
      <c r="C13190">
        <v>0</v>
      </c>
      <c r="D13190">
        <v>0.84595111271199996</v>
      </c>
      <c r="E13190">
        <v>3.5880000000000001</v>
      </c>
    </row>
    <row r="13191" spans="1:5">
      <c r="A13191" t="s">
        <v>42205</v>
      </c>
      <c r="B13191" t="s">
        <v>26485</v>
      </c>
      <c r="C13191">
        <v>0</v>
      </c>
      <c r="D13191">
        <v>0.84595111271199996</v>
      </c>
      <c r="E13191">
        <v>3.5880000000000001</v>
      </c>
    </row>
    <row r="13192" spans="1:5">
      <c r="A13192" t="s">
        <v>42207</v>
      </c>
      <c r="B13192" t="s">
        <v>8558</v>
      </c>
      <c r="C13192">
        <v>0</v>
      </c>
      <c r="D13192">
        <v>0.44105397017199999</v>
      </c>
      <c r="E13192">
        <v>24</v>
      </c>
    </row>
    <row r="13193" spans="1:5">
      <c r="A13193" t="s">
        <v>42207</v>
      </c>
      <c r="B13193" t="s">
        <v>8560</v>
      </c>
      <c r="C13193">
        <v>0</v>
      </c>
      <c r="D13193">
        <v>0.44105397017199999</v>
      </c>
      <c r="E13193">
        <v>24</v>
      </c>
    </row>
    <row r="13194" spans="1:5">
      <c r="A13194" t="s">
        <v>42207</v>
      </c>
      <c r="B13194" t="s">
        <v>8561</v>
      </c>
      <c r="C13194">
        <v>0</v>
      </c>
      <c r="D13194">
        <v>0.44105397017199999</v>
      </c>
      <c r="E13194">
        <v>24</v>
      </c>
    </row>
    <row r="13195" spans="1:5">
      <c r="A13195" t="s">
        <v>42207</v>
      </c>
      <c r="B13195" t="s">
        <v>8563</v>
      </c>
      <c r="C13195">
        <v>0</v>
      </c>
      <c r="D13195">
        <v>0.44105397017199999</v>
      </c>
      <c r="E13195">
        <v>24</v>
      </c>
    </row>
    <row r="13196" spans="1:5">
      <c r="A13196" t="s">
        <v>42207</v>
      </c>
      <c r="B13196" t="s">
        <v>8564</v>
      </c>
      <c r="C13196">
        <v>8.1043970172300001E-2</v>
      </c>
      <c r="D13196">
        <v>0.44105397017199999</v>
      </c>
      <c r="E13196">
        <v>24</v>
      </c>
    </row>
    <row r="13197" spans="1:5">
      <c r="A13197" t="s">
        <v>42208</v>
      </c>
      <c r="B13197" t="s">
        <v>42209</v>
      </c>
      <c r="C13197">
        <f>0.825014690613</f>
        <v>0.82501469061300003</v>
      </c>
      <c r="D13197">
        <v>0.89609203270000004</v>
      </c>
      <c r="E13197">
        <v>0.216</v>
      </c>
    </row>
    <row r="13198" spans="1:5">
      <c r="A13198" t="s">
        <v>42208</v>
      </c>
      <c r="B13198" t="s">
        <v>42210</v>
      </c>
      <c r="C13198">
        <v>2.7016730861E-2</v>
      </c>
      <c r="D13198">
        <v>0.89609203270000004</v>
      </c>
      <c r="E13198">
        <v>0.216</v>
      </c>
    </row>
    <row r="13199" spans="1:5">
      <c r="A13199" t="s">
        <v>42211</v>
      </c>
      <c r="B13199" t="s">
        <v>2644</v>
      </c>
      <c r="C13199">
        <f>0.0457900798814</f>
        <v>4.5790079881399999E-2</v>
      </c>
      <c r="D13199">
        <v>0.99627695290200002</v>
      </c>
      <c r="E13199">
        <v>24</v>
      </c>
    </row>
    <row r="13200" spans="1:5">
      <c r="A13200" t="s">
        <v>42211</v>
      </c>
      <c r="B13200" t="s">
        <v>2658</v>
      </c>
      <c r="C13200">
        <f>0.104635718408</f>
        <v>0.104635718408</v>
      </c>
      <c r="D13200">
        <v>0.99627695290200002</v>
      </c>
      <c r="E13200">
        <v>24</v>
      </c>
    </row>
    <row r="13201" spans="1:5">
      <c r="A13201" t="s">
        <v>42211</v>
      </c>
      <c r="B13201" t="s">
        <v>2660</v>
      </c>
      <c r="C13201">
        <f>0</f>
        <v>0</v>
      </c>
      <c r="D13201">
        <v>0.99627695290200002</v>
      </c>
      <c r="E13201">
        <v>24</v>
      </c>
    </row>
    <row r="13202" spans="1:5">
      <c r="A13202" t="s">
        <v>42211</v>
      </c>
      <c r="B13202" t="s">
        <v>2664</v>
      </c>
      <c r="C13202">
        <f>0.115686433883</f>
        <v>0.115686433883</v>
      </c>
      <c r="D13202">
        <v>0.99627695290200002</v>
      </c>
      <c r="E13202">
        <v>24</v>
      </c>
    </row>
    <row r="13203" spans="1:5">
      <c r="A13203" t="s">
        <v>42211</v>
      </c>
      <c r="B13203" t="s">
        <v>2661</v>
      </c>
      <c r="C13203">
        <f>0.000866766117173</f>
        <v>8.6676611717299997E-4</v>
      </c>
      <c r="D13203">
        <v>0.99627695290200002</v>
      </c>
      <c r="E13203">
        <v>24</v>
      </c>
    </row>
    <row r="13204" spans="1:5">
      <c r="A13204" t="s">
        <v>42211</v>
      </c>
      <c r="B13204" t="s">
        <v>2650</v>
      </c>
      <c r="C13204">
        <f>0</f>
        <v>0</v>
      </c>
      <c r="D13204">
        <v>0.99627695290200002</v>
      </c>
      <c r="E13204">
        <v>24</v>
      </c>
    </row>
    <row r="13205" spans="1:5">
      <c r="A13205" t="s">
        <v>42211</v>
      </c>
      <c r="B13205" t="s">
        <v>2654</v>
      </c>
      <c r="C13205">
        <f>0.348214168219</f>
        <v>0.34821416821899998</v>
      </c>
      <c r="D13205">
        <v>0.99627695290200002</v>
      </c>
      <c r="E13205">
        <v>24</v>
      </c>
    </row>
    <row r="13206" spans="1:5">
      <c r="A13206" t="s">
        <v>42211</v>
      </c>
      <c r="B13206" t="s">
        <v>2662</v>
      </c>
      <c r="C13206">
        <v>7.0536453210599995E-2</v>
      </c>
      <c r="D13206">
        <v>0.99627695290200002</v>
      </c>
      <c r="E13206">
        <v>24</v>
      </c>
    </row>
    <row r="13207" spans="1:5">
      <c r="A13207" t="s">
        <v>42211</v>
      </c>
      <c r="B13207" t="s">
        <v>2648</v>
      </c>
      <c r="C13207">
        <f>0</f>
        <v>0</v>
      </c>
      <c r="D13207">
        <v>0.99627695290200002</v>
      </c>
      <c r="E13207">
        <v>24</v>
      </c>
    </row>
    <row r="13208" spans="1:5">
      <c r="A13208" t="s">
        <v>42211</v>
      </c>
      <c r="B13208" t="s">
        <v>2647</v>
      </c>
      <c r="C13208">
        <v>0</v>
      </c>
      <c r="D13208">
        <v>0.99627695290200002</v>
      </c>
      <c r="E13208">
        <v>24</v>
      </c>
    </row>
    <row r="13209" spans="1:5">
      <c r="A13209" t="s">
        <v>42211</v>
      </c>
      <c r="B13209" t="s">
        <v>2659</v>
      </c>
      <c r="C13209">
        <f>0.667844579248</f>
        <v>0.667844579248</v>
      </c>
      <c r="D13209">
        <v>0.99627695290200002</v>
      </c>
      <c r="E13209">
        <v>24</v>
      </c>
    </row>
    <row r="13210" spans="1:5">
      <c r="A13210" t="s">
        <v>42211</v>
      </c>
      <c r="B13210" t="s">
        <v>2663</v>
      </c>
      <c r="C13210">
        <v>0</v>
      </c>
      <c r="D13210">
        <v>0.99627695290200002</v>
      </c>
      <c r="E13210">
        <v>24</v>
      </c>
    </row>
    <row r="13211" spans="1:5">
      <c r="A13211" t="s">
        <v>42211</v>
      </c>
      <c r="B13211" t="s">
        <v>2652</v>
      </c>
      <c r="C13211">
        <f>0</f>
        <v>0</v>
      </c>
      <c r="D13211">
        <v>0.99627695290200002</v>
      </c>
      <c r="E13211">
        <v>24</v>
      </c>
    </row>
    <row r="13212" spans="1:5">
      <c r="A13212" t="s">
        <v>42212</v>
      </c>
      <c r="B13212" t="s">
        <v>32861</v>
      </c>
      <c r="C13212">
        <v>0</v>
      </c>
      <c r="D13212" t="s">
        <v>106</v>
      </c>
      <c r="E13212">
        <v>9.3179999999999996</v>
      </c>
    </row>
    <row r="13213" spans="1:5">
      <c r="A13213" t="s">
        <v>42212</v>
      </c>
      <c r="B13213" t="s">
        <v>32857</v>
      </c>
      <c r="C13213">
        <v>0</v>
      </c>
      <c r="D13213" t="s">
        <v>106</v>
      </c>
      <c r="E13213">
        <v>9.3179999999999996</v>
      </c>
    </row>
    <row r="13214" spans="1:5">
      <c r="A13214" t="s">
        <v>42212</v>
      </c>
      <c r="B13214" t="s">
        <v>32850</v>
      </c>
      <c r="C13214">
        <v>0</v>
      </c>
      <c r="D13214" t="s">
        <v>106</v>
      </c>
      <c r="E13214">
        <v>9.3179999999999996</v>
      </c>
    </row>
    <row r="13215" spans="1:5">
      <c r="A13215" t="s">
        <v>42212</v>
      </c>
      <c r="B13215" t="s">
        <v>32864</v>
      </c>
      <c r="C13215">
        <f>0</f>
        <v>0</v>
      </c>
      <c r="D13215" t="s">
        <v>106</v>
      </c>
      <c r="E13215">
        <v>9.3179999999999996</v>
      </c>
    </row>
    <row r="13216" spans="1:5">
      <c r="A13216" t="s">
        <v>42212</v>
      </c>
      <c r="B13216" t="s">
        <v>32854</v>
      </c>
      <c r="C13216">
        <v>0</v>
      </c>
      <c r="D13216" t="s">
        <v>106</v>
      </c>
      <c r="E13216">
        <v>9.3179999999999996</v>
      </c>
    </row>
    <row r="13217" spans="1:5">
      <c r="A13217" t="s">
        <v>42212</v>
      </c>
      <c r="B13217" t="s">
        <v>32855</v>
      </c>
      <c r="C13217">
        <v>0</v>
      </c>
      <c r="D13217" t="s">
        <v>106</v>
      </c>
      <c r="E13217">
        <v>9.3179999999999996</v>
      </c>
    </row>
    <row r="13218" spans="1:5">
      <c r="A13218" t="s">
        <v>42212</v>
      </c>
      <c r="B13218" t="s">
        <v>32859</v>
      </c>
      <c r="C13218">
        <f>0</f>
        <v>0</v>
      </c>
      <c r="D13218" t="s">
        <v>106</v>
      </c>
      <c r="E13218">
        <v>9.3179999999999996</v>
      </c>
    </row>
    <row r="13219" spans="1:5">
      <c r="A13219" t="s">
        <v>42212</v>
      </c>
      <c r="B13219" t="s">
        <v>32863</v>
      </c>
      <c r="C13219">
        <f>0</f>
        <v>0</v>
      </c>
      <c r="D13219" t="s">
        <v>106</v>
      </c>
      <c r="E13219">
        <v>9.3179999999999996</v>
      </c>
    </row>
    <row r="13220" spans="1:5">
      <c r="A13220" t="s">
        <v>42212</v>
      </c>
      <c r="B13220" t="s">
        <v>32860</v>
      </c>
      <c r="C13220">
        <f>0</f>
        <v>0</v>
      </c>
      <c r="D13220" t="s">
        <v>106</v>
      </c>
      <c r="E13220">
        <v>9.3179999999999996</v>
      </c>
    </row>
    <row r="13221" spans="1:5">
      <c r="A13221" t="s">
        <v>42213</v>
      </c>
      <c r="B13221" t="s">
        <v>24050</v>
      </c>
      <c r="C13221">
        <f>0</f>
        <v>0</v>
      </c>
      <c r="D13221" t="s">
        <v>106</v>
      </c>
      <c r="E13221">
        <v>17.100000000000001</v>
      </c>
    </row>
    <row r="13222" spans="1:5">
      <c r="A13222" t="s">
        <v>42213</v>
      </c>
      <c r="B13222" t="s">
        <v>24053</v>
      </c>
      <c r="C13222">
        <v>0</v>
      </c>
      <c r="D13222" t="s">
        <v>106</v>
      </c>
      <c r="E13222">
        <v>17.100000000000001</v>
      </c>
    </row>
    <row r="13223" spans="1:5">
      <c r="A13223" t="s">
        <v>42213</v>
      </c>
      <c r="B13223" t="s">
        <v>24059</v>
      </c>
      <c r="C13223">
        <v>0</v>
      </c>
      <c r="D13223" t="s">
        <v>106</v>
      </c>
      <c r="E13223">
        <v>17.100000000000001</v>
      </c>
    </row>
    <row r="13224" spans="1:5">
      <c r="A13224" t="s">
        <v>42213</v>
      </c>
      <c r="B13224" t="s">
        <v>24054</v>
      </c>
      <c r="C13224">
        <v>0</v>
      </c>
      <c r="D13224" t="s">
        <v>106</v>
      </c>
      <c r="E13224">
        <v>17.100000000000001</v>
      </c>
    </row>
    <row r="13225" spans="1:5">
      <c r="A13225" t="s">
        <v>42214</v>
      </c>
      <c r="B13225" t="s">
        <v>42215</v>
      </c>
      <c r="C13225">
        <v>0.93175920016799996</v>
      </c>
      <c r="D13225">
        <v>0.79713891883499999</v>
      </c>
      <c r="E13225">
        <v>1.698</v>
      </c>
    </row>
    <row r="13226" spans="1:5">
      <c r="A13226" t="s">
        <v>42214</v>
      </c>
      <c r="B13226" t="s">
        <v>42216</v>
      </c>
      <c r="C13226">
        <f>0.800130234407</f>
        <v>0.80013023440700004</v>
      </c>
      <c r="D13226">
        <v>0.79713891883499999</v>
      </c>
      <c r="E13226">
        <v>1.698</v>
      </c>
    </row>
    <row r="13227" spans="1:5">
      <c r="A13227" t="s">
        <v>42217</v>
      </c>
      <c r="B13227" t="s">
        <v>32686</v>
      </c>
      <c r="C13227">
        <f>0</f>
        <v>0</v>
      </c>
      <c r="D13227" t="s">
        <v>106</v>
      </c>
      <c r="E13227">
        <v>14.183999999999999</v>
      </c>
    </row>
    <row r="13228" spans="1:5">
      <c r="A13228" t="s">
        <v>42217</v>
      </c>
      <c r="B13228" t="s">
        <v>32687</v>
      </c>
      <c r="C13228">
        <v>0</v>
      </c>
      <c r="D13228" t="s">
        <v>106</v>
      </c>
      <c r="E13228">
        <v>14.183999999999999</v>
      </c>
    </row>
    <row r="13229" spans="1:5">
      <c r="A13229" t="s">
        <v>42217</v>
      </c>
      <c r="B13229" t="s">
        <v>32688</v>
      </c>
      <c r="C13229">
        <f>0</f>
        <v>0</v>
      </c>
      <c r="D13229" t="s">
        <v>106</v>
      </c>
      <c r="E13229">
        <v>14.183999999999999</v>
      </c>
    </row>
    <row r="13230" spans="1:5">
      <c r="A13230" t="s">
        <v>42217</v>
      </c>
      <c r="B13230" t="s">
        <v>42218</v>
      </c>
      <c r="C13230">
        <f>0</f>
        <v>0</v>
      </c>
      <c r="D13230" t="s">
        <v>106</v>
      </c>
      <c r="E13230">
        <v>14.183999999999999</v>
      </c>
    </row>
    <row r="13231" spans="1:5">
      <c r="A13231" t="s">
        <v>42219</v>
      </c>
      <c r="B13231" t="s">
        <v>42220</v>
      </c>
      <c r="C13231">
        <v>0</v>
      </c>
      <c r="D13231" t="s">
        <v>106</v>
      </c>
      <c r="E13231">
        <v>1.224</v>
      </c>
    </row>
    <row r="13232" spans="1:5">
      <c r="A13232" t="s">
        <v>42219</v>
      </c>
      <c r="B13232" t="s">
        <v>42221</v>
      </c>
      <c r="C13232">
        <v>0</v>
      </c>
      <c r="D13232" t="s">
        <v>106</v>
      </c>
      <c r="E13232">
        <v>1.224</v>
      </c>
    </row>
    <row r="13233" spans="1:5">
      <c r="A13233" t="s">
        <v>42219</v>
      </c>
      <c r="B13233" t="s">
        <v>42222</v>
      </c>
      <c r="C13233">
        <v>0</v>
      </c>
      <c r="D13233" t="s">
        <v>106</v>
      </c>
      <c r="E13233">
        <v>1.224</v>
      </c>
    </row>
    <row r="13234" spans="1:5">
      <c r="A13234" t="s">
        <v>42219</v>
      </c>
      <c r="B13234" t="s">
        <v>42223</v>
      </c>
      <c r="C13234">
        <v>0</v>
      </c>
      <c r="D13234" t="s">
        <v>106</v>
      </c>
      <c r="E13234">
        <v>1.224</v>
      </c>
    </row>
    <row r="13235" spans="1:5">
      <c r="A13235" t="s">
        <v>42219</v>
      </c>
      <c r="B13235" t="s">
        <v>42224</v>
      </c>
      <c r="C13235">
        <v>0</v>
      </c>
      <c r="D13235" t="s">
        <v>106</v>
      </c>
      <c r="E13235">
        <v>1.224</v>
      </c>
    </row>
    <row r="13236" spans="1:5">
      <c r="A13236" t="s">
        <v>42219</v>
      </c>
      <c r="B13236" t="s">
        <v>42225</v>
      </c>
      <c r="C13236">
        <v>0</v>
      </c>
      <c r="D13236" t="s">
        <v>106</v>
      </c>
      <c r="E13236">
        <v>1.224</v>
      </c>
    </row>
    <row r="13237" spans="1:5">
      <c r="A13237" t="s">
        <v>42226</v>
      </c>
      <c r="B13237" t="s">
        <v>11493</v>
      </c>
      <c r="C13237">
        <f>0</f>
        <v>0</v>
      </c>
      <c r="D13237">
        <v>0.79387177270200004</v>
      </c>
      <c r="E13237">
        <v>24</v>
      </c>
    </row>
    <row r="13238" spans="1:5">
      <c r="A13238" t="s">
        <v>42226</v>
      </c>
      <c r="B13238" t="s">
        <v>42227</v>
      </c>
      <c r="C13238">
        <v>0</v>
      </c>
      <c r="D13238">
        <v>0.79387177270200004</v>
      </c>
      <c r="E13238">
        <v>24</v>
      </c>
    </row>
    <row r="13239" spans="1:5">
      <c r="A13239" t="s">
        <v>42226</v>
      </c>
      <c r="B13239" t="s">
        <v>11507</v>
      </c>
      <c r="C13239">
        <f>0.047474497334</f>
        <v>4.7474497333999999E-2</v>
      </c>
      <c r="D13239">
        <v>0.79387177270200004</v>
      </c>
      <c r="E13239">
        <v>24</v>
      </c>
    </row>
    <row r="13240" spans="1:5">
      <c r="A13240" t="s">
        <v>42226</v>
      </c>
      <c r="B13240" t="s">
        <v>11496</v>
      </c>
      <c r="C13240">
        <f>0</f>
        <v>0</v>
      </c>
      <c r="D13240">
        <v>0.79387177270200004</v>
      </c>
      <c r="E13240">
        <v>24</v>
      </c>
    </row>
    <row r="13241" spans="1:5">
      <c r="A13241" t="s">
        <v>42226</v>
      </c>
      <c r="B13241" t="s">
        <v>11500</v>
      </c>
      <c r="C13241">
        <v>0</v>
      </c>
      <c r="D13241">
        <v>0.79387177270200004</v>
      </c>
      <c r="E13241">
        <v>24</v>
      </c>
    </row>
    <row r="13242" spans="1:5">
      <c r="A13242" t="s">
        <v>42226</v>
      </c>
      <c r="B13242" t="s">
        <v>11505</v>
      </c>
      <c r="C13242">
        <f>0</f>
        <v>0</v>
      </c>
      <c r="D13242">
        <v>0.79387177270200004</v>
      </c>
      <c r="E13242">
        <v>24</v>
      </c>
    </row>
    <row r="13243" spans="1:5">
      <c r="A13243" t="s">
        <v>42226</v>
      </c>
      <c r="B13243" t="s">
        <v>11501</v>
      </c>
      <c r="C13243">
        <v>0</v>
      </c>
      <c r="D13243">
        <v>0.79387177270200004</v>
      </c>
      <c r="E13243">
        <v>24</v>
      </c>
    </row>
    <row r="13244" spans="1:5">
      <c r="A13244" t="s">
        <v>42226</v>
      </c>
      <c r="B13244" t="s">
        <v>11508</v>
      </c>
      <c r="C13244">
        <v>0</v>
      </c>
      <c r="D13244">
        <v>0.79387177270200004</v>
      </c>
      <c r="E13244">
        <v>24</v>
      </c>
    </row>
    <row r="13245" spans="1:5">
      <c r="A13245" t="s">
        <v>42226</v>
      </c>
      <c r="B13245" t="s">
        <v>11503</v>
      </c>
      <c r="C13245">
        <f>0.444664443293</f>
        <v>0.44466444329299998</v>
      </c>
      <c r="D13245">
        <v>0.79387177270200004</v>
      </c>
      <c r="E13245">
        <v>24</v>
      </c>
    </row>
    <row r="13246" spans="1:5">
      <c r="A13246" t="s">
        <v>42228</v>
      </c>
      <c r="B13246" t="s">
        <v>42229</v>
      </c>
      <c r="C13246">
        <f>0</f>
        <v>0</v>
      </c>
      <c r="D13246" t="s">
        <v>106</v>
      </c>
      <c r="E13246">
        <v>0.13200000000000001</v>
      </c>
    </row>
    <row r="13247" spans="1:5">
      <c r="A13247" t="s">
        <v>42228</v>
      </c>
      <c r="B13247" t="s">
        <v>42230</v>
      </c>
      <c r="C13247">
        <v>0</v>
      </c>
      <c r="D13247" t="s">
        <v>106</v>
      </c>
      <c r="E13247">
        <v>0.13200000000000001</v>
      </c>
    </row>
    <row r="13248" spans="1:5">
      <c r="A13248" t="s">
        <v>42228</v>
      </c>
      <c r="B13248" t="s">
        <v>42231</v>
      </c>
      <c r="C13248">
        <f>0</f>
        <v>0</v>
      </c>
      <c r="D13248" t="s">
        <v>106</v>
      </c>
      <c r="E13248">
        <v>0.13200000000000001</v>
      </c>
    </row>
    <row r="13249" spans="1:5">
      <c r="A13249" t="s">
        <v>42228</v>
      </c>
      <c r="B13249" t="s">
        <v>42232</v>
      </c>
      <c r="C13249">
        <v>0</v>
      </c>
      <c r="D13249" t="s">
        <v>106</v>
      </c>
      <c r="E13249">
        <v>0.13200000000000001</v>
      </c>
    </row>
    <row r="13250" spans="1:5">
      <c r="A13250" t="s">
        <v>42233</v>
      </c>
      <c r="B13250" t="s">
        <v>24840</v>
      </c>
      <c r="C13250">
        <f>0</f>
        <v>0</v>
      </c>
      <c r="D13250" t="s">
        <v>106</v>
      </c>
      <c r="E13250">
        <v>0.15</v>
      </c>
    </row>
    <row r="13251" spans="1:5">
      <c r="A13251" t="s">
        <v>42233</v>
      </c>
      <c r="B13251" t="s">
        <v>24842</v>
      </c>
      <c r="C13251">
        <f>0</f>
        <v>0</v>
      </c>
      <c r="D13251" t="s">
        <v>106</v>
      </c>
      <c r="E13251">
        <v>0.15</v>
      </c>
    </row>
    <row r="13252" spans="1:5">
      <c r="A13252" t="s">
        <v>42234</v>
      </c>
      <c r="B13252" t="s">
        <v>19326</v>
      </c>
      <c r="C13252">
        <v>0.93810897409399996</v>
      </c>
      <c r="D13252">
        <v>0.93203630660500003</v>
      </c>
      <c r="E13252">
        <v>24</v>
      </c>
    </row>
    <row r="13253" spans="1:5">
      <c r="A13253" t="s">
        <v>42234</v>
      </c>
      <c r="B13253" t="s">
        <v>19328</v>
      </c>
      <c r="C13253">
        <v>2.50462133119E-2</v>
      </c>
      <c r="D13253">
        <v>0.93203630660500003</v>
      </c>
      <c r="E13253">
        <v>24</v>
      </c>
    </row>
    <row r="13254" spans="1:5">
      <c r="A13254" t="s">
        <v>42234</v>
      </c>
      <c r="B13254" t="s">
        <v>19332</v>
      </c>
      <c r="C13254">
        <v>0.369768426594</v>
      </c>
      <c r="D13254">
        <v>0.93203630660500003</v>
      </c>
      <c r="E13254">
        <v>24</v>
      </c>
    </row>
    <row r="13255" spans="1:5">
      <c r="A13255" t="s">
        <v>42234</v>
      </c>
      <c r="B13255" t="s">
        <v>19333</v>
      </c>
      <c r="C13255">
        <v>0.606405079189</v>
      </c>
      <c r="D13255">
        <v>0.93203630660500003</v>
      </c>
      <c r="E13255">
        <v>24</v>
      </c>
    </row>
    <row r="13256" spans="1:5">
      <c r="A13256" t="s">
        <v>42235</v>
      </c>
      <c r="B13256" t="s">
        <v>42236</v>
      </c>
      <c r="C13256">
        <v>0</v>
      </c>
      <c r="D13256">
        <v>0.63145871631100003</v>
      </c>
      <c r="E13256">
        <v>1.0680000000000001</v>
      </c>
    </row>
    <row r="13257" spans="1:5">
      <c r="A13257" t="s">
        <v>42235</v>
      </c>
      <c r="B13257" t="s">
        <v>42237</v>
      </c>
      <c r="C13257">
        <f>0</f>
        <v>0</v>
      </c>
      <c r="D13257">
        <v>0.63145871631100003</v>
      </c>
      <c r="E13257">
        <v>1.0680000000000001</v>
      </c>
    </row>
    <row r="13258" spans="1:5">
      <c r="A13258" t="s">
        <v>42235</v>
      </c>
      <c r="B13258" t="s">
        <v>42238</v>
      </c>
      <c r="C13258">
        <v>0.113048716311</v>
      </c>
      <c r="D13258">
        <v>0.63145871631100003</v>
      </c>
      <c r="E13258">
        <v>1.0680000000000001</v>
      </c>
    </row>
    <row r="13259" spans="1:5">
      <c r="A13259" t="s">
        <v>42235</v>
      </c>
      <c r="B13259" t="s">
        <v>42239</v>
      </c>
      <c r="C13259">
        <v>0</v>
      </c>
      <c r="D13259">
        <v>0.63145871631100003</v>
      </c>
      <c r="E13259">
        <v>1.0680000000000001</v>
      </c>
    </row>
    <row r="13260" spans="1:5">
      <c r="A13260" t="s">
        <v>42235</v>
      </c>
      <c r="B13260" t="s">
        <v>42240</v>
      </c>
      <c r="C13260">
        <f>0</f>
        <v>0</v>
      </c>
      <c r="D13260">
        <v>0.63145871631100003</v>
      </c>
      <c r="E13260">
        <v>1.0680000000000001</v>
      </c>
    </row>
    <row r="13261" spans="1:5">
      <c r="A13261" t="s">
        <v>42235</v>
      </c>
      <c r="B13261" t="s">
        <v>42241</v>
      </c>
      <c r="C13261">
        <f>0</f>
        <v>0</v>
      </c>
      <c r="D13261">
        <v>0.63145871631100003</v>
      </c>
      <c r="E13261">
        <v>1.0680000000000001</v>
      </c>
    </row>
    <row r="13262" spans="1:5">
      <c r="A13262" t="s">
        <v>42235</v>
      </c>
      <c r="B13262" t="s">
        <v>42242</v>
      </c>
      <c r="C13262">
        <f>0</f>
        <v>0</v>
      </c>
      <c r="D13262">
        <v>0.63145871631100003</v>
      </c>
      <c r="E13262">
        <v>1.0680000000000001</v>
      </c>
    </row>
    <row r="13263" spans="1:5">
      <c r="A13263" t="s">
        <v>42243</v>
      </c>
      <c r="B13263" t="s">
        <v>33631</v>
      </c>
      <c r="C13263">
        <v>1.0340570463200001</v>
      </c>
      <c r="D13263">
        <v>0.82490825437699999</v>
      </c>
      <c r="E13263">
        <v>0.40799999999999997</v>
      </c>
    </row>
    <row r="13264" spans="1:5">
      <c r="A13264" t="s">
        <v>42243</v>
      </c>
      <c r="B13264" t="s">
        <v>33632</v>
      </c>
      <c r="C13264">
        <f>0.601112055155</f>
        <v>0.60111205515499999</v>
      </c>
      <c r="D13264">
        <v>0.82490825437699999</v>
      </c>
      <c r="E13264">
        <v>0.40799999999999997</v>
      </c>
    </row>
    <row r="13265" spans="1:5">
      <c r="A13265" t="s">
        <v>42243</v>
      </c>
      <c r="B13265" t="s">
        <v>33633</v>
      </c>
      <c r="C13265">
        <f>0.888872485507</f>
        <v>0.88887248550700004</v>
      </c>
      <c r="D13265">
        <v>0.82490825437699999</v>
      </c>
      <c r="E13265">
        <v>0.40799999999999997</v>
      </c>
    </row>
    <row r="13266" spans="1:5">
      <c r="A13266" t="s">
        <v>42244</v>
      </c>
      <c r="B13266" t="s">
        <v>42245</v>
      </c>
      <c r="C13266">
        <v>0.94177063241400005</v>
      </c>
      <c r="D13266">
        <v>0.96321460149799998</v>
      </c>
      <c r="E13266">
        <v>1.512</v>
      </c>
    </row>
    <row r="13267" spans="1:5">
      <c r="A13267" t="s">
        <v>42244</v>
      </c>
      <c r="B13267" t="s">
        <v>42246</v>
      </c>
      <c r="C13267">
        <v>1.4133967573699999</v>
      </c>
      <c r="D13267">
        <v>0.96321460149799998</v>
      </c>
      <c r="E13267">
        <v>1.512</v>
      </c>
    </row>
    <row r="13268" spans="1:5">
      <c r="A13268" t="s">
        <v>42244</v>
      </c>
      <c r="B13268" t="s">
        <v>42247</v>
      </c>
      <c r="C13268">
        <v>0.82992029761499997</v>
      </c>
      <c r="D13268">
        <v>0.96321460149799998</v>
      </c>
      <c r="E13268">
        <v>1.512</v>
      </c>
    </row>
    <row r="13269" spans="1:5">
      <c r="A13269" t="s">
        <v>42244</v>
      </c>
      <c r="B13269" t="s">
        <v>42248</v>
      </c>
      <c r="C13269">
        <f>-1.72296583712</f>
        <v>-1.7229658371200001</v>
      </c>
      <c r="D13269">
        <v>0.96321460149799998</v>
      </c>
      <c r="E13269">
        <v>1.512</v>
      </c>
    </row>
    <row r="13270" spans="1:5">
      <c r="A13270" t="s">
        <v>42249</v>
      </c>
      <c r="B13270" t="s">
        <v>33889</v>
      </c>
      <c r="C13270">
        <v>0</v>
      </c>
      <c r="D13270" t="s">
        <v>106</v>
      </c>
      <c r="E13270">
        <v>2.964</v>
      </c>
    </row>
    <row r="13271" spans="1:5">
      <c r="A13271" t="s">
        <v>42249</v>
      </c>
      <c r="B13271" t="s">
        <v>33890</v>
      </c>
      <c r="C13271">
        <v>0</v>
      </c>
      <c r="D13271" t="s">
        <v>106</v>
      </c>
      <c r="E13271">
        <v>2.964</v>
      </c>
    </row>
    <row r="13272" spans="1:5">
      <c r="A13272" t="s">
        <v>42249</v>
      </c>
      <c r="B13272" t="s">
        <v>33891</v>
      </c>
      <c r="C13272">
        <v>0</v>
      </c>
      <c r="D13272" t="s">
        <v>106</v>
      </c>
      <c r="E13272">
        <v>2.964</v>
      </c>
    </row>
    <row r="13273" spans="1:5">
      <c r="A13273" t="s">
        <v>42250</v>
      </c>
      <c r="B13273" t="s">
        <v>42251</v>
      </c>
      <c r="C13273">
        <f>0</f>
        <v>0</v>
      </c>
      <c r="D13273" t="s">
        <v>106</v>
      </c>
      <c r="E13273">
        <v>12.215999999999999</v>
      </c>
    </row>
    <row r="13274" spans="1:5">
      <c r="A13274" t="s">
        <v>42250</v>
      </c>
      <c r="B13274" t="s">
        <v>42252</v>
      </c>
      <c r="C13274">
        <v>0</v>
      </c>
      <c r="D13274" t="s">
        <v>106</v>
      </c>
      <c r="E13274">
        <v>12.215999999999999</v>
      </c>
    </row>
    <row r="13275" spans="1:5">
      <c r="A13275" t="s">
        <v>42250</v>
      </c>
      <c r="B13275" t="s">
        <v>42253</v>
      </c>
      <c r="C13275">
        <f>0</f>
        <v>0</v>
      </c>
      <c r="D13275" t="s">
        <v>106</v>
      </c>
      <c r="E13275">
        <v>12.215999999999999</v>
      </c>
    </row>
    <row r="13276" spans="1:5">
      <c r="A13276" t="s">
        <v>42254</v>
      </c>
      <c r="B13276" t="s">
        <v>25486</v>
      </c>
      <c r="C13276">
        <v>0.28585310477600001</v>
      </c>
      <c r="D13276">
        <v>0.99307943165599999</v>
      </c>
      <c r="E13276">
        <v>5.1239999999999997</v>
      </c>
    </row>
    <row r="13277" spans="1:5">
      <c r="A13277" t="s">
        <v>42254</v>
      </c>
      <c r="B13277" t="s">
        <v>25489</v>
      </c>
      <c r="C13277">
        <v>0.91663591854299997</v>
      </c>
      <c r="D13277">
        <v>0.99307943165599999</v>
      </c>
      <c r="E13277">
        <v>5.1239999999999997</v>
      </c>
    </row>
    <row r="13278" spans="1:5">
      <c r="A13278" t="s">
        <v>42254</v>
      </c>
      <c r="B13278" t="s">
        <v>25487</v>
      </c>
      <c r="C13278">
        <v>0.20597361119099999</v>
      </c>
      <c r="D13278">
        <v>0.99307943165599999</v>
      </c>
      <c r="E13278">
        <v>5.1239999999999997</v>
      </c>
    </row>
    <row r="13279" spans="1:5">
      <c r="A13279" t="s">
        <v>42254</v>
      </c>
      <c r="B13279" t="s">
        <v>25492</v>
      </c>
      <c r="C13279">
        <v>0.70305978319100004</v>
      </c>
      <c r="D13279">
        <v>0.99307943165599999</v>
      </c>
      <c r="E13279">
        <v>5.1239999999999997</v>
      </c>
    </row>
    <row r="13280" spans="1:5">
      <c r="A13280" t="s">
        <v>42255</v>
      </c>
      <c r="B13280" t="s">
        <v>17078</v>
      </c>
      <c r="C13280">
        <v>0.129514030099</v>
      </c>
      <c r="D13280">
        <v>0.80080177058099999</v>
      </c>
      <c r="E13280">
        <v>6.0000000000000001E-3</v>
      </c>
    </row>
    <row r="13281" spans="1:5">
      <c r="A13281" t="s">
        <v>42255</v>
      </c>
      <c r="B13281" t="s">
        <v>17076</v>
      </c>
      <c r="C13281">
        <v>0</v>
      </c>
      <c r="D13281">
        <v>0.80080177058099999</v>
      </c>
      <c r="E13281">
        <v>6.0000000000000001E-3</v>
      </c>
    </row>
    <row r="13282" spans="1:5">
      <c r="A13282" t="s">
        <v>42255</v>
      </c>
      <c r="B13282" t="s">
        <v>17077</v>
      </c>
      <c r="C13282">
        <v>0.58619397807700002</v>
      </c>
      <c r="D13282">
        <v>0.80080177058099999</v>
      </c>
      <c r="E13282">
        <v>6.0000000000000001E-3</v>
      </c>
    </row>
    <row r="13283" spans="1:5">
      <c r="A13283" t="s">
        <v>42255</v>
      </c>
      <c r="B13283" t="s">
        <v>17075</v>
      </c>
      <c r="C13283">
        <v>0</v>
      </c>
      <c r="D13283">
        <v>0.80080177058099999</v>
      </c>
      <c r="E13283">
        <v>6.0000000000000001E-3</v>
      </c>
    </row>
    <row r="13284" spans="1:5">
      <c r="A13284" t="s">
        <v>42256</v>
      </c>
      <c r="B13284" t="s">
        <v>14185</v>
      </c>
      <c r="C13284">
        <v>0</v>
      </c>
      <c r="D13284" t="s">
        <v>106</v>
      </c>
      <c r="E13284">
        <v>0.24</v>
      </c>
    </row>
    <row r="13285" spans="1:5">
      <c r="A13285" t="s">
        <v>42256</v>
      </c>
      <c r="B13285" t="s">
        <v>14188</v>
      </c>
      <c r="C13285">
        <f>0</f>
        <v>0</v>
      </c>
      <c r="D13285" t="s">
        <v>106</v>
      </c>
      <c r="E13285">
        <v>0.24</v>
      </c>
    </row>
    <row r="13286" spans="1:5">
      <c r="A13286" t="s">
        <v>42257</v>
      </c>
      <c r="B13286" t="s">
        <v>42258</v>
      </c>
      <c r="C13286">
        <v>0</v>
      </c>
      <c r="D13286" t="s">
        <v>106</v>
      </c>
      <c r="E13286">
        <v>1.5720000000000001</v>
      </c>
    </row>
    <row r="13287" spans="1:5">
      <c r="A13287" t="s">
        <v>42257</v>
      </c>
      <c r="B13287" t="s">
        <v>42259</v>
      </c>
      <c r="C13287">
        <v>0</v>
      </c>
      <c r="D13287" t="s">
        <v>106</v>
      </c>
      <c r="E13287">
        <v>1.5720000000000001</v>
      </c>
    </row>
    <row r="13288" spans="1:5">
      <c r="A13288" t="s">
        <v>42260</v>
      </c>
      <c r="B13288" t="s">
        <v>24557</v>
      </c>
      <c r="C13288">
        <f>0.570073772899</f>
        <v>0.57007377289899996</v>
      </c>
      <c r="D13288">
        <v>0.87226442060200005</v>
      </c>
      <c r="E13288">
        <v>24</v>
      </c>
    </row>
    <row r="13289" spans="1:5">
      <c r="A13289" t="s">
        <v>42260</v>
      </c>
      <c r="B13289" t="s">
        <v>24560</v>
      </c>
      <c r="C13289">
        <f>0.22930839032</f>
        <v>0.22930839032</v>
      </c>
      <c r="D13289">
        <v>0.87226442060200005</v>
      </c>
      <c r="E13289">
        <v>24</v>
      </c>
    </row>
    <row r="13290" spans="1:5">
      <c r="A13290" t="s">
        <v>42260</v>
      </c>
      <c r="B13290" t="s">
        <v>24562</v>
      </c>
      <c r="C13290">
        <f>0</f>
        <v>0</v>
      </c>
      <c r="D13290">
        <v>0.87226442060200005</v>
      </c>
      <c r="E13290">
        <v>24</v>
      </c>
    </row>
    <row r="13291" spans="1:5">
      <c r="A13291" t="s">
        <v>42260</v>
      </c>
      <c r="B13291" t="s">
        <v>24561</v>
      </c>
      <c r="C13291">
        <v>2.7786141237E-2</v>
      </c>
      <c r="D13291">
        <v>0.87226442060200005</v>
      </c>
      <c r="E13291">
        <v>24</v>
      </c>
    </row>
    <row r="13292" spans="1:5">
      <c r="A13292" t="s">
        <v>42260</v>
      </c>
      <c r="B13292" t="s">
        <v>24559</v>
      </c>
      <c r="C13292">
        <f>0</f>
        <v>0</v>
      </c>
      <c r="D13292">
        <v>0.87226442060200005</v>
      </c>
      <c r="E13292">
        <v>24</v>
      </c>
    </row>
    <row r="13293" spans="1:5">
      <c r="A13293" t="s">
        <v>42261</v>
      </c>
      <c r="B13293" t="s">
        <v>42262</v>
      </c>
      <c r="C13293">
        <f>0</f>
        <v>0</v>
      </c>
      <c r="D13293" t="s">
        <v>106</v>
      </c>
      <c r="E13293">
        <v>2.4780000000000002</v>
      </c>
    </row>
    <row r="13294" spans="1:5">
      <c r="A13294" t="s">
        <v>42261</v>
      </c>
      <c r="B13294" t="s">
        <v>1193</v>
      </c>
      <c r="C13294">
        <f>0</f>
        <v>0</v>
      </c>
      <c r="D13294" t="s">
        <v>106</v>
      </c>
      <c r="E13294">
        <v>2.4780000000000002</v>
      </c>
    </row>
    <row r="13295" spans="1:5">
      <c r="A13295" t="s">
        <v>42261</v>
      </c>
      <c r="B13295" t="s">
        <v>1184</v>
      </c>
      <c r="C13295">
        <v>0</v>
      </c>
      <c r="D13295" t="s">
        <v>106</v>
      </c>
      <c r="E13295">
        <v>2.4780000000000002</v>
      </c>
    </row>
    <row r="13296" spans="1:5">
      <c r="A13296" t="s">
        <v>42261</v>
      </c>
      <c r="B13296" t="s">
        <v>1188</v>
      </c>
      <c r="C13296">
        <v>0</v>
      </c>
      <c r="D13296" t="s">
        <v>106</v>
      </c>
      <c r="E13296">
        <v>2.4780000000000002</v>
      </c>
    </row>
    <row r="13297" spans="1:5">
      <c r="A13297" t="s">
        <v>42261</v>
      </c>
      <c r="B13297" t="s">
        <v>1186</v>
      </c>
      <c r="C13297">
        <v>0</v>
      </c>
      <c r="D13297" t="s">
        <v>106</v>
      </c>
      <c r="E13297">
        <v>2.4780000000000002</v>
      </c>
    </row>
    <row r="13298" spans="1:5">
      <c r="A13298" t="s">
        <v>42261</v>
      </c>
      <c r="B13298" t="s">
        <v>1192</v>
      </c>
      <c r="C13298">
        <v>0</v>
      </c>
      <c r="D13298" t="s">
        <v>106</v>
      </c>
      <c r="E13298">
        <v>2.4780000000000002</v>
      </c>
    </row>
    <row r="13299" spans="1:5">
      <c r="A13299" t="s">
        <v>42261</v>
      </c>
      <c r="B13299" t="s">
        <v>1190</v>
      </c>
      <c r="C13299">
        <f>0</f>
        <v>0</v>
      </c>
      <c r="D13299" t="s">
        <v>106</v>
      </c>
      <c r="E13299">
        <v>2.4780000000000002</v>
      </c>
    </row>
    <row r="13300" spans="1:5">
      <c r="A13300" t="s">
        <v>42261</v>
      </c>
      <c r="B13300" t="s">
        <v>1185</v>
      </c>
      <c r="C13300">
        <v>0</v>
      </c>
      <c r="D13300" t="s">
        <v>106</v>
      </c>
      <c r="E13300">
        <v>2.4780000000000002</v>
      </c>
    </row>
    <row r="13301" spans="1:5">
      <c r="A13301" t="s">
        <v>42261</v>
      </c>
      <c r="B13301" t="s">
        <v>1189</v>
      </c>
      <c r="C13301">
        <f>0</f>
        <v>0</v>
      </c>
      <c r="D13301" t="s">
        <v>106</v>
      </c>
      <c r="E13301">
        <v>2.4780000000000002</v>
      </c>
    </row>
    <row r="13302" spans="1:5">
      <c r="A13302" t="s">
        <v>42263</v>
      </c>
      <c r="B13302" t="s">
        <v>42264</v>
      </c>
      <c r="C13302">
        <v>0.81179826818199996</v>
      </c>
      <c r="D13302">
        <v>0.96913630564099995</v>
      </c>
      <c r="E13302">
        <v>11.208</v>
      </c>
    </row>
    <row r="13303" spans="1:5">
      <c r="A13303" t="s">
        <v>42263</v>
      </c>
      <c r="B13303" t="s">
        <v>42265</v>
      </c>
      <c r="C13303">
        <v>0.173502752712</v>
      </c>
      <c r="D13303">
        <v>0.96913630564099995</v>
      </c>
      <c r="E13303">
        <v>11.208</v>
      </c>
    </row>
    <row r="13304" spans="1:5">
      <c r="A13304" t="s">
        <v>42263</v>
      </c>
      <c r="B13304" t="s">
        <v>42266</v>
      </c>
      <c r="C13304">
        <v>0</v>
      </c>
      <c r="D13304">
        <v>0.96913630564099995</v>
      </c>
      <c r="E13304">
        <v>11.208</v>
      </c>
    </row>
    <row r="13305" spans="1:5">
      <c r="A13305" t="s">
        <v>42263</v>
      </c>
      <c r="B13305" t="s">
        <v>42267</v>
      </c>
      <c r="C13305">
        <f>0.205764108819</f>
        <v>0.20576410881900001</v>
      </c>
      <c r="D13305">
        <v>0.96913630564099995</v>
      </c>
      <c r="E13305">
        <v>11.208</v>
      </c>
    </row>
    <row r="13306" spans="1:5">
      <c r="A13306" t="s">
        <v>42263</v>
      </c>
      <c r="B13306" t="s">
        <v>42268</v>
      </c>
      <c r="C13306">
        <v>0</v>
      </c>
      <c r="D13306">
        <v>0.96913630564099995</v>
      </c>
      <c r="E13306">
        <v>11.208</v>
      </c>
    </row>
    <row r="13307" spans="1:5">
      <c r="A13307" t="s">
        <v>42263</v>
      </c>
      <c r="B13307" t="s">
        <v>42269</v>
      </c>
      <c r="C13307">
        <f>0.00468463508483</f>
        <v>4.6846350848300002E-3</v>
      </c>
      <c r="D13307">
        <v>0.96913630564099995</v>
      </c>
      <c r="E13307">
        <v>11.208</v>
      </c>
    </row>
    <row r="13308" spans="1:5">
      <c r="A13308" t="s">
        <v>42263</v>
      </c>
      <c r="B13308" t="s">
        <v>42270</v>
      </c>
      <c r="C13308">
        <v>0.31410803652899999</v>
      </c>
      <c r="D13308">
        <v>0.96913630564099995</v>
      </c>
      <c r="E13308">
        <v>11.208</v>
      </c>
    </row>
    <row r="13309" spans="1:5">
      <c r="A13309" t="s">
        <v>42263</v>
      </c>
      <c r="B13309" t="s">
        <v>42271</v>
      </c>
      <c r="C13309">
        <v>0</v>
      </c>
      <c r="D13309">
        <v>0.96913630564099995</v>
      </c>
      <c r="E13309">
        <v>11.208</v>
      </c>
    </row>
    <row r="13310" spans="1:5">
      <c r="A13310" t="s">
        <v>42263</v>
      </c>
      <c r="B13310" t="s">
        <v>42272</v>
      </c>
      <c r="C13310">
        <v>0</v>
      </c>
      <c r="D13310">
        <v>0.96913630564099995</v>
      </c>
      <c r="E13310">
        <v>11.208</v>
      </c>
    </row>
    <row r="13311" spans="1:5">
      <c r="A13311" t="s">
        <v>42263</v>
      </c>
      <c r="B13311" t="s">
        <v>42273</v>
      </c>
      <c r="C13311">
        <f>0</f>
        <v>0</v>
      </c>
      <c r="D13311">
        <v>0.96913630564099995</v>
      </c>
      <c r="E13311">
        <v>11.208</v>
      </c>
    </row>
    <row r="13312" spans="1:5">
      <c r="A13312" t="s">
        <v>42274</v>
      </c>
      <c r="B13312" t="s">
        <v>27061</v>
      </c>
      <c r="C13312">
        <v>0.33254484049900002</v>
      </c>
      <c r="D13312">
        <v>0.86959862730399995</v>
      </c>
      <c r="E13312">
        <v>0.504</v>
      </c>
    </row>
    <row r="13313" spans="1:5">
      <c r="A13313" t="s">
        <v>42274</v>
      </c>
      <c r="B13313" t="s">
        <v>27065</v>
      </c>
      <c r="C13313">
        <v>0.696908520403</v>
      </c>
      <c r="D13313">
        <v>0.86959862730399995</v>
      </c>
      <c r="E13313">
        <v>0.504</v>
      </c>
    </row>
    <row r="13314" spans="1:5">
      <c r="A13314" t="s">
        <v>42275</v>
      </c>
      <c r="B13314" t="s">
        <v>42276</v>
      </c>
      <c r="C13314">
        <f>0.674339160506</f>
        <v>0.67433916050599996</v>
      </c>
      <c r="D13314">
        <v>0.99785857682699997</v>
      </c>
      <c r="E13314">
        <v>0</v>
      </c>
    </row>
    <row r="13315" spans="1:5">
      <c r="A13315" t="s">
        <v>42275</v>
      </c>
      <c r="B13315" t="s">
        <v>42277</v>
      </c>
      <c r="C13315">
        <f>0.182566042474</f>
        <v>0.18256604247399999</v>
      </c>
      <c r="D13315">
        <v>0.99785857682699997</v>
      </c>
      <c r="E13315">
        <v>0</v>
      </c>
    </row>
    <row r="13316" spans="1:5">
      <c r="A13316" t="s">
        <v>42275</v>
      </c>
      <c r="B13316" t="s">
        <v>42278</v>
      </c>
      <c r="C13316">
        <v>0.65277407551900002</v>
      </c>
      <c r="D13316">
        <v>0.99785857682699997</v>
      </c>
      <c r="E13316">
        <v>0</v>
      </c>
    </row>
    <row r="13317" spans="1:5">
      <c r="A13317" t="s">
        <v>42275</v>
      </c>
      <c r="B13317" t="s">
        <v>42279</v>
      </c>
      <c r="C13317">
        <f>0</f>
        <v>0</v>
      </c>
      <c r="D13317">
        <v>0.99785857682699997</v>
      </c>
      <c r="E13317">
        <v>0</v>
      </c>
    </row>
    <row r="13318" spans="1:5">
      <c r="A13318" t="s">
        <v>42275</v>
      </c>
      <c r="B13318" t="s">
        <v>42280</v>
      </c>
      <c r="C13318">
        <v>1.2840191287</v>
      </c>
      <c r="D13318">
        <v>0.99785857682699997</v>
      </c>
      <c r="E13318">
        <v>0</v>
      </c>
    </row>
    <row r="13319" spans="1:5">
      <c r="A13319" t="s">
        <v>42275</v>
      </c>
      <c r="B13319" t="s">
        <v>42281</v>
      </c>
      <c r="C13319">
        <f>-1.36617697495</f>
        <v>-1.3661769749499999</v>
      </c>
      <c r="D13319">
        <v>0.99785857682699997</v>
      </c>
      <c r="E13319">
        <v>0</v>
      </c>
    </row>
    <row r="13320" spans="1:5">
      <c r="A13320" t="s">
        <v>42275</v>
      </c>
      <c r="B13320" t="s">
        <v>42282</v>
      </c>
      <c r="C13320">
        <v>0.53026424581999998</v>
      </c>
      <c r="D13320">
        <v>0.99785857682699997</v>
      </c>
      <c r="E13320">
        <v>0</v>
      </c>
    </row>
    <row r="13321" spans="1:5">
      <c r="A13321" t="s">
        <v>42283</v>
      </c>
      <c r="B13321" t="s">
        <v>42284</v>
      </c>
      <c r="C13321">
        <v>0</v>
      </c>
      <c r="D13321">
        <v>0.563781614087</v>
      </c>
      <c r="E13321">
        <v>24</v>
      </c>
    </row>
    <row r="13322" spans="1:5">
      <c r="A13322" t="s">
        <v>42283</v>
      </c>
      <c r="B13322" t="s">
        <v>42285</v>
      </c>
      <c r="C13322">
        <v>0</v>
      </c>
      <c r="D13322">
        <v>0.563781614087</v>
      </c>
      <c r="E13322">
        <v>24</v>
      </c>
    </row>
    <row r="13323" spans="1:5">
      <c r="A13323" t="s">
        <v>42283</v>
      </c>
      <c r="B13323" t="s">
        <v>42286</v>
      </c>
      <c r="C13323">
        <f>0.276869755285</f>
        <v>0.27686975528500002</v>
      </c>
      <c r="D13323">
        <v>0.563781614087</v>
      </c>
      <c r="E13323">
        <v>24</v>
      </c>
    </row>
    <row r="13324" spans="1:5">
      <c r="A13324" t="s">
        <v>42283</v>
      </c>
      <c r="B13324" t="s">
        <v>42287</v>
      </c>
      <c r="C13324">
        <f>0</f>
        <v>0</v>
      </c>
      <c r="D13324">
        <v>0.563781614087</v>
      </c>
      <c r="E13324">
        <v>24</v>
      </c>
    </row>
    <row r="13325" spans="1:5">
      <c r="A13325" t="s">
        <v>42283</v>
      </c>
      <c r="B13325" t="s">
        <v>42288</v>
      </c>
      <c r="C13325">
        <f>0</f>
        <v>0</v>
      </c>
      <c r="D13325">
        <v>0.563781614087</v>
      </c>
      <c r="E13325">
        <v>24</v>
      </c>
    </row>
    <row r="13326" spans="1:5">
      <c r="A13326" t="s">
        <v>42283</v>
      </c>
      <c r="B13326" t="s">
        <v>42289</v>
      </c>
      <c r="C13326">
        <f>0.0169840242461</f>
        <v>1.6984024246099998E-2</v>
      </c>
      <c r="D13326">
        <v>0.563781614087</v>
      </c>
      <c r="E13326">
        <v>24</v>
      </c>
    </row>
    <row r="13327" spans="1:5">
      <c r="A13327" t="s">
        <v>42290</v>
      </c>
      <c r="B13327" t="s">
        <v>42291</v>
      </c>
      <c r="C13327">
        <v>0.81906588742999997</v>
      </c>
      <c r="D13327">
        <v>0.80381888014199998</v>
      </c>
      <c r="E13327">
        <v>1.224</v>
      </c>
    </row>
    <row r="13328" spans="1:5">
      <c r="A13328" t="s">
        <v>42290</v>
      </c>
      <c r="B13328" t="s">
        <v>42292</v>
      </c>
      <c r="C13328">
        <v>0.75338770739299998</v>
      </c>
      <c r="D13328">
        <v>0.80381888014199998</v>
      </c>
      <c r="E13328">
        <v>1.224</v>
      </c>
    </row>
    <row r="13329" spans="1:5">
      <c r="A13329" t="s">
        <v>42290</v>
      </c>
      <c r="B13329" t="s">
        <v>42293</v>
      </c>
      <c r="C13329">
        <f>0.422524789485</f>
        <v>0.422524789485</v>
      </c>
      <c r="D13329">
        <v>0.80381888014199998</v>
      </c>
      <c r="E13329">
        <v>1.224</v>
      </c>
    </row>
    <row r="13330" spans="1:5">
      <c r="A13330" t="s">
        <v>42294</v>
      </c>
      <c r="B13330" t="s">
        <v>10888</v>
      </c>
      <c r="C13330">
        <v>0</v>
      </c>
      <c r="D13330">
        <v>0.79515677431999998</v>
      </c>
      <c r="E13330">
        <v>1.1160000000000001</v>
      </c>
    </row>
    <row r="13331" spans="1:5">
      <c r="A13331" t="s">
        <v>42294</v>
      </c>
      <c r="B13331" t="s">
        <v>10880</v>
      </c>
      <c r="C13331">
        <v>0</v>
      </c>
      <c r="D13331">
        <v>0.79515677431999998</v>
      </c>
      <c r="E13331">
        <v>1.1160000000000001</v>
      </c>
    </row>
    <row r="13332" spans="1:5">
      <c r="A13332" t="s">
        <v>42294</v>
      </c>
      <c r="B13332" t="s">
        <v>10882</v>
      </c>
      <c r="C13332">
        <v>0</v>
      </c>
      <c r="D13332">
        <v>0.79515677431999998</v>
      </c>
      <c r="E13332">
        <v>1.1160000000000001</v>
      </c>
    </row>
    <row r="13333" spans="1:5">
      <c r="A13333" t="s">
        <v>42294</v>
      </c>
      <c r="B13333" t="s">
        <v>10886</v>
      </c>
      <c r="C13333">
        <f>0</f>
        <v>0</v>
      </c>
      <c r="D13333">
        <v>0.79515677431999998</v>
      </c>
      <c r="E13333">
        <v>1.1160000000000001</v>
      </c>
    </row>
    <row r="13334" spans="1:5">
      <c r="A13334" t="s">
        <v>42294</v>
      </c>
      <c r="B13334" t="s">
        <v>10889</v>
      </c>
      <c r="C13334">
        <f>0.48154677432</f>
        <v>0.48154677431999998</v>
      </c>
      <c r="D13334">
        <v>0.79515677431999998</v>
      </c>
      <c r="E13334">
        <v>1.1160000000000001</v>
      </c>
    </row>
    <row r="13335" spans="1:5">
      <c r="A13335" t="s">
        <v>42294</v>
      </c>
      <c r="B13335" t="s">
        <v>10892</v>
      </c>
      <c r="C13335">
        <f>0</f>
        <v>0</v>
      </c>
      <c r="D13335">
        <v>0.79515677431999998</v>
      </c>
      <c r="E13335">
        <v>1.1160000000000001</v>
      </c>
    </row>
    <row r="13336" spans="1:5">
      <c r="A13336" t="s">
        <v>42294</v>
      </c>
      <c r="B13336" t="s">
        <v>10890</v>
      </c>
      <c r="C13336">
        <f>0</f>
        <v>0</v>
      </c>
      <c r="D13336">
        <v>0.79515677431999998</v>
      </c>
      <c r="E13336">
        <v>1.1160000000000001</v>
      </c>
    </row>
    <row r="13337" spans="1:5">
      <c r="A13337" t="s">
        <v>42294</v>
      </c>
      <c r="B13337" t="s">
        <v>10894</v>
      </c>
      <c r="C13337">
        <f>0</f>
        <v>0</v>
      </c>
      <c r="D13337">
        <v>0.79515677431999998</v>
      </c>
      <c r="E13337">
        <v>1.1160000000000001</v>
      </c>
    </row>
    <row r="13338" spans="1:5">
      <c r="A13338" t="s">
        <v>42294</v>
      </c>
      <c r="B13338" t="s">
        <v>10891</v>
      </c>
      <c r="C13338">
        <v>0</v>
      </c>
      <c r="D13338">
        <v>0.79515677431999998</v>
      </c>
      <c r="E13338">
        <v>1.1160000000000001</v>
      </c>
    </row>
    <row r="13339" spans="1:5">
      <c r="A13339" t="s">
        <v>42294</v>
      </c>
      <c r="B13339" t="s">
        <v>10887</v>
      </c>
      <c r="C13339">
        <v>0</v>
      </c>
      <c r="D13339">
        <v>0.79515677431999998</v>
      </c>
      <c r="E13339">
        <v>1.1160000000000001</v>
      </c>
    </row>
    <row r="13340" spans="1:5">
      <c r="A13340" t="s">
        <v>42295</v>
      </c>
      <c r="B13340" t="s">
        <v>1471</v>
      </c>
      <c r="C13340">
        <v>0.73194105019199995</v>
      </c>
      <c r="D13340">
        <v>0.98851441340299995</v>
      </c>
      <c r="E13340">
        <v>4.5839999999999996</v>
      </c>
    </row>
    <row r="13341" spans="1:5">
      <c r="A13341" t="s">
        <v>42295</v>
      </c>
      <c r="B13341" t="s">
        <v>1468</v>
      </c>
      <c r="C13341">
        <v>0.39483350236499998</v>
      </c>
      <c r="D13341">
        <v>0.98851441340299995</v>
      </c>
      <c r="E13341">
        <v>4.5839999999999996</v>
      </c>
    </row>
    <row r="13342" spans="1:5">
      <c r="A13342" t="s">
        <v>42296</v>
      </c>
      <c r="B13342" t="s">
        <v>8932</v>
      </c>
      <c r="C13342">
        <f>0</f>
        <v>0</v>
      </c>
      <c r="D13342" t="s">
        <v>106</v>
      </c>
      <c r="E13342">
        <v>3.0539999999999998</v>
      </c>
    </row>
    <row r="13343" spans="1:5">
      <c r="A13343" t="s">
        <v>42296</v>
      </c>
      <c r="B13343" t="s">
        <v>8937</v>
      </c>
      <c r="C13343">
        <v>0</v>
      </c>
      <c r="D13343" t="s">
        <v>106</v>
      </c>
      <c r="E13343">
        <v>3.0539999999999998</v>
      </c>
    </row>
    <row r="13344" spans="1:5">
      <c r="A13344" t="s">
        <v>42296</v>
      </c>
      <c r="B13344" t="s">
        <v>8933</v>
      </c>
      <c r="C13344">
        <v>0</v>
      </c>
      <c r="D13344" t="s">
        <v>106</v>
      </c>
      <c r="E13344">
        <v>3.0539999999999998</v>
      </c>
    </row>
    <row r="13345" spans="1:5">
      <c r="A13345" t="s">
        <v>42296</v>
      </c>
      <c r="B13345" t="s">
        <v>8939</v>
      </c>
      <c r="C13345">
        <v>0</v>
      </c>
      <c r="D13345" t="s">
        <v>106</v>
      </c>
      <c r="E13345">
        <v>3.0539999999999998</v>
      </c>
    </row>
    <row r="13346" spans="1:5">
      <c r="A13346" t="s">
        <v>42296</v>
      </c>
      <c r="B13346" t="s">
        <v>8935</v>
      </c>
      <c r="C13346">
        <v>0</v>
      </c>
      <c r="D13346" t="s">
        <v>106</v>
      </c>
      <c r="E13346">
        <v>3.0539999999999998</v>
      </c>
    </row>
    <row r="13347" spans="1:5">
      <c r="A13347" t="s">
        <v>42296</v>
      </c>
      <c r="B13347" t="s">
        <v>8934</v>
      </c>
      <c r="C13347">
        <v>0</v>
      </c>
      <c r="D13347" t="s">
        <v>106</v>
      </c>
      <c r="E13347">
        <v>3.0539999999999998</v>
      </c>
    </row>
    <row r="13348" spans="1:5">
      <c r="A13348" t="s">
        <v>42296</v>
      </c>
      <c r="B13348" t="s">
        <v>8936</v>
      </c>
      <c r="C13348">
        <f>0</f>
        <v>0</v>
      </c>
      <c r="D13348" t="s">
        <v>106</v>
      </c>
      <c r="E13348">
        <v>3.0539999999999998</v>
      </c>
    </row>
    <row r="13349" spans="1:5">
      <c r="A13349" t="s">
        <v>42297</v>
      </c>
      <c r="B13349" t="s">
        <v>42298</v>
      </c>
      <c r="C13349">
        <v>0.54717811726999999</v>
      </c>
      <c r="D13349">
        <v>0.99999995758600002</v>
      </c>
      <c r="E13349">
        <v>13.818</v>
      </c>
    </row>
    <row r="13350" spans="1:5">
      <c r="A13350" t="s">
        <v>42297</v>
      </c>
      <c r="B13350" t="s">
        <v>42299</v>
      </c>
      <c r="C13350">
        <f>0.0604004534573</f>
        <v>6.0400453457300003E-2</v>
      </c>
      <c r="D13350">
        <v>0.99999995758600002</v>
      </c>
      <c r="E13350">
        <v>13.818</v>
      </c>
    </row>
    <row r="13351" spans="1:5">
      <c r="A13351" t="s">
        <v>42297</v>
      </c>
      <c r="B13351" t="s">
        <v>42300</v>
      </c>
      <c r="C13351">
        <f>0.0661081118382</f>
        <v>6.6108111838200007E-2</v>
      </c>
      <c r="D13351">
        <v>0.99999995758600002</v>
      </c>
      <c r="E13351">
        <v>13.818</v>
      </c>
    </row>
    <row r="13352" spans="1:5">
      <c r="A13352" t="s">
        <v>42297</v>
      </c>
      <c r="B13352" t="s">
        <v>42301</v>
      </c>
      <c r="C13352">
        <v>0.51706626747399997</v>
      </c>
      <c r="D13352">
        <v>0.99999995758600002</v>
      </c>
      <c r="E13352">
        <v>13.818</v>
      </c>
    </row>
    <row r="13353" spans="1:5">
      <c r="A13353" t="s">
        <v>42297</v>
      </c>
      <c r="B13353" t="s">
        <v>42302</v>
      </c>
      <c r="C13353">
        <f>0.192245357409</f>
        <v>0.19224535740900001</v>
      </c>
      <c r="D13353">
        <v>0.99999995758600002</v>
      </c>
      <c r="E13353">
        <v>13.818</v>
      </c>
    </row>
    <row r="13354" spans="1:5">
      <c r="A13354" t="s">
        <v>42297</v>
      </c>
      <c r="B13354" t="s">
        <v>42303</v>
      </c>
      <c r="C13354">
        <f>0.276276568897</f>
        <v>0.27627656889699997</v>
      </c>
      <c r="D13354">
        <v>0.99999995758600002</v>
      </c>
      <c r="E13354">
        <v>13.818</v>
      </c>
    </row>
    <row r="13355" spans="1:5">
      <c r="A13355" t="s">
        <v>42297</v>
      </c>
      <c r="B13355" t="s">
        <v>42304</v>
      </c>
      <c r="C13355">
        <v>0.53849248199499999</v>
      </c>
      <c r="D13355">
        <v>0.99999995758600002</v>
      </c>
      <c r="E13355">
        <v>13.818</v>
      </c>
    </row>
    <row r="13356" spans="1:5">
      <c r="A13356" t="s">
        <v>42297</v>
      </c>
      <c r="B13356" t="s">
        <v>42305</v>
      </c>
      <c r="C13356">
        <f>0.525193983702</f>
        <v>0.52519398370199999</v>
      </c>
      <c r="D13356">
        <v>0.99999995758600002</v>
      </c>
      <c r="E13356">
        <v>13.818</v>
      </c>
    </row>
    <row r="13357" spans="1:5">
      <c r="A13357" t="s">
        <v>42297</v>
      </c>
      <c r="B13357" t="s">
        <v>42306</v>
      </c>
      <c r="C13357">
        <f>0.233510517954</f>
        <v>0.23351051795399999</v>
      </c>
      <c r="D13357">
        <v>0.99999995758600002</v>
      </c>
      <c r="E13357">
        <v>13.818</v>
      </c>
    </row>
    <row r="13358" spans="1:5">
      <c r="A13358" t="s">
        <v>42297</v>
      </c>
      <c r="B13358" t="s">
        <v>42307</v>
      </c>
      <c r="C13358">
        <v>0.161105200767</v>
      </c>
      <c r="D13358">
        <v>0.99999995758600002</v>
      </c>
      <c r="E13358">
        <v>13.818</v>
      </c>
    </row>
    <row r="13359" spans="1:5">
      <c r="A13359" t="s">
        <v>42297</v>
      </c>
      <c r="B13359" t="s">
        <v>42308</v>
      </c>
      <c r="C13359">
        <f>0.494440062326</f>
        <v>0.49444006232600002</v>
      </c>
      <c r="D13359">
        <v>0.99999995758600002</v>
      </c>
      <c r="E13359">
        <v>13.818</v>
      </c>
    </row>
    <row r="13360" spans="1:5">
      <c r="A13360" t="s">
        <v>42309</v>
      </c>
      <c r="B13360" t="s">
        <v>26936</v>
      </c>
      <c r="C13360">
        <f>0</f>
        <v>0</v>
      </c>
      <c r="D13360" t="s">
        <v>106</v>
      </c>
      <c r="E13360">
        <v>1.764</v>
      </c>
    </row>
    <row r="13361" spans="1:5">
      <c r="A13361" t="s">
        <v>42309</v>
      </c>
      <c r="B13361" t="s">
        <v>26944</v>
      </c>
      <c r="C13361">
        <f>0</f>
        <v>0</v>
      </c>
      <c r="D13361" t="s">
        <v>106</v>
      </c>
      <c r="E13361">
        <v>1.764</v>
      </c>
    </row>
    <row r="13362" spans="1:5">
      <c r="A13362" t="s">
        <v>42309</v>
      </c>
      <c r="B13362" t="s">
        <v>26945</v>
      </c>
      <c r="C13362">
        <f>0</f>
        <v>0</v>
      </c>
      <c r="D13362" t="s">
        <v>106</v>
      </c>
      <c r="E13362">
        <v>1.764</v>
      </c>
    </row>
    <row r="13363" spans="1:5">
      <c r="A13363" t="s">
        <v>42309</v>
      </c>
      <c r="B13363" t="s">
        <v>26946</v>
      </c>
      <c r="C13363">
        <v>0</v>
      </c>
      <c r="D13363" t="s">
        <v>106</v>
      </c>
      <c r="E13363">
        <v>1.764</v>
      </c>
    </row>
    <row r="13364" spans="1:5">
      <c r="A13364" t="s">
        <v>42309</v>
      </c>
      <c r="B13364" t="s">
        <v>26938</v>
      </c>
      <c r="C13364">
        <v>0</v>
      </c>
      <c r="D13364" t="s">
        <v>106</v>
      </c>
      <c r="E13364">
        <v>1.764</v>
      </c>
    </row>
    <row r="13365" spans="1:5">
      <c r="A13365" t="s">
        <v>42309</v>
      </c>
      <c r="B13365" t="s">
        <v>26949</v>
      </c>
      <c r="C13365">
        <f>0</f>
        <v>0</v>
      </c>
      <c r="D13365" t="s">
        <v>106</v>
      </c>
      <c r="E13365">
        <v>1.764</v>
      </c>
    </row>
    <row r="13366" spans="1:5">
      <c r="A13366" t="s">
        <v>42309</v>
      </c>
      <c r="B13366" t="s">
        <v>26943</v>
      </c>
      <c r="C13366">
        <f>0</f>
        <v>0</v>
      </c>
      <c r="D13366" t="s">
        <v>106</v>
      </c>
      <c r="E13366">
        <v>1.764</v>
      </c>
    </row>
    <row r="13367" spans="1:5">
      <c r="A13367" t="s">
        <v>42309</v>
      </c>
      <c r="B13367" t="s">
        <v>26948</v>
      </c>
      <c r="C13367">
        <f>0</f>
        <v>0</v>
      </c>
      <c r="D13367" t="s">
        <v>106</v>
      </c>
      <c r="E13367">
        <v>1.764</v>
      </c>
    </row>
    <row r="13368" spans="1:5">
      <c r="A13368" t="s">
        <v>42309</v>
      </c>
      <c r="B13368" t="s">
        <v>26940</v>
      </c>
      <c r="C13368">
        <v>0</v>
      </c>
      <c r="D13368" t="s">
        <v>106</v>
      </c>
      <c r="E13368">
        <v>1.764</v>
      </c>
    </row>
    <row r="13369" spans="1:5">
      <c r="A13369" t="s">
        <v>42309</v>
      </c>
      <c r="B13369" t="s">
        <v>26941</v>
      </c>
      <c r="C13369">
        <v>0</v>
      </c>
      <c r="D13369" t="s">
        <v>106</v>
      </c>
      <c r="E13369">
        <v>1.764</v>
      </c>
    </row>
    <row r="13370" spans="1:5">
      <c r="A13370" t="s">
        <v>42310</v>
      </c>
      <c r="B13370" t="s">
        <v>29217</v>
      </c>
      <c r="C13370">
        <f>0</f>
        <v>0</v>
      </c>
      <c r="D13370" t="s">
        <v>106</v>
      </c>
      <c r="E13370">
        <v>24</v>
      </c>
    </row>
    <row r="13371" spans="1:5">
      <c r="A13371" t="s">
        <v>42310</v>
      </c>
      <c r="B13371" t="s">
        <v>29221</v>
      </c>
      <c r="C13371">
        <v>0</v>
      </c>
      <c r="D13371" t="s">
        <v>106</v>
      </c>
      <c r="E13371">
        <v>24</v>
      </c>
    </row>
    <row r="13372" spans="1:5">
      <c r="A13372" t="s">
        <v>42311</v>
      </c>
      <c r="B13372" t="s">
        <v>42312</v>
      </c>
      <c r="C13372">
        <v>0</v>
      </c>
      <c r="D13372">
        <v>0.92632414312400002</v>
      </c>
      <c r="E13372">
        <v>0.65400000000000003</v>
      </c>
    </row>
    <row r="13373" spans="1:5">
      <c r="A13373" t="s">
        <v>42311</v>
      </c>
      <c r="B13373" t="s">
        <v>42313</v>
      </c>
      <c r="C13373">
        <v>0.47189496437900003</v>
      </c>
      <c r="D13373">
        <v>0.92632414312400002</v>
      </c>
      <c r="E13373">
        <v>0.65400000000000003</v>
      </c>
    </row>
    <row r="13374" spans="1:5">
      <c r="A13374" t="s">
        <v>42311</v>
      </c>
      <c r="B13374" t="s">
        <v>42314</v>
      </c>
      <c r="C13374">
        <v>0</v>
      </c>
      <c r="D13374">
        <v>0.92632414312400002</v>
      </c>
      <c r="E13374">
        <v>0.65400000000000003</v>
      </c>
    </row>
    <row r="13375" spans="1:5">
      <c r="A13375" t="s">
        <v>42311</v>
      </c>
      <c r="B13375" t="s">
        <v>42315</v>
      </c>
      <c r="C13375">
        <v>0.296697292138</v>
      </c>
      <c r="D13375">
        <v>0.92632414312400002</v>
      </c>
      <c r="E13375">
        <v>0.65400000000000003</v>
      </c>
    </row>
    <row r="13376" spans="1:5">
      <c r="A13376" t="s">
        <v>42311</v>
      </c>
      <c r="B13376" t="s">
        <v>42316</v>
      </c>
      <c r="C13376">
        <v>0</v>
      </c>
      <c r="D13376">
        <v>0.92632414312400002</v>
      </c>
      <c r="E13376">
        <v>0.65400000000000003</v>
      </c>
    </row>
    <row r="13377" spans="1:5">
      <c r="A13377" t="s">
        <v>42311</v>
      </c>
      <c r="B13377" t="s">
        <v>42317</v>
      </c>
      <c r="C13377">
        <v>7.4380845112300004E-2</v>
      </c>
      <c r="D13377">
        <v>0.92632414312400002</v>
      </c>
      <c r="E13377">
        <v>0.65400000000000003</v>
      </c>
    </row>
    <row r="13378" spans="1:5">
      <c r="A13378" t="s">
        <v>42318</v>
      </c>
      <c r="B13378" t="s">
        <v>21026</v>
      </c>
      <c r="C13378">
        <v>0</v>
      </c>
      <c r="D13378">
        <v>0.75230116765699995</v>
      </c>
      <c r="E13378">
        <v>1.17</v>
      </c>
    </row>
    <row r="13379" spans="1:5">
      <c r="A13379" t="s">
        <v>42318</v>
      </c>
      <c r="B13379" t="s">
        <v>21025</v>
      </c>
      <c r="C13379">
        <v>5.1723376923500002E-3</v>
      </c>
      <c r="D13379">
        <v>0.75230116765699995</v>
      </c>
      <c r="E13379">
        <v>1.17</v>
      </c>
    </row>
    <row r="13380" spans="1:5">
      <c r="A13380" t="s">
        <v>42318</v>
      </c>
      <c r="B13380" t="s">
        <v>21031</v>
      </c>
      <c r="C13380">
        <f>0</f>
        <v>0</v>
      </c>
      <c r="D13380">
        <v>0.75230116765699995</v>
      </c>
      <c r="E13380">
        <v>1.17</v>
      </c>
    </row>
    <row r="13381" spans="1:5">
      <c r="A13381" t="s">
        <v>42318</v>
      </c>
      <c r="B13381" t="s">
        <v>21032</v>
      </c>
      <c r="C13381">
        <f>0.555393468307</f>
        <v>0.55539346830699998</v>
      </c>
      <c r="D13381">
        <v>0.75230116765699995</v>
      </c>
      <c r="E13381">
        <v>1.17</v>
      </c>
    </row>
    <row r="13382" spans="1:5">
      <c r="A13382" t="s">
        <v>42318</v>
      </c>
      <c r="B13382" t="s">
        <v>21029</v>
      </c>
      <c r="C13382">
        <v>0</v>
      </c>
      <c r="D13382">
        <v>0.75230116765699995</v>
      </c>
      <c r="E13382">
        <v>1.17</v>
      </c>
    </row>
    <row r="13383" spans="1:5">
      <c r="A13383" t="s">
        <v>42319</v>
      </c>
      <c r="B13383" t="s">
        <v>42320</v>
      </c>
      <c r="C13383">
        <f>0</f>
        <v>0</v>
      </c>
      <c r="D13383">
        <v>0.86807182630599999</v>
      </c>
      <c r="E13383">
        <v>1.764</v>
      </c>
    </row>
    <row r="13384" spans="1:5">
      <c r="A13384" t="s">
        <v>42319</v>
      </c>
      <c r="B13384" t="s">
        <v>42321</v>
      </c>
      <c r="C13384">
        <v>7.0809282627899997E-2</v>
      </c>
      <c r="D13384">
        <v>0.86807182630599999</v>
      </c>
      <c r="E13384">
        <v>1.764</v>
      </c>
    </row>
    <row r="13385" spans="1:5">
      <c r="A13385" t="s">
        <v>42319</v>
      </c>
      <c r="B13385" t="s">
        <v>42322</v>
      </c>
      <c r="C13385">
        <f>0</f>
        <v>0</v>
      </c>
      <c r="D13385">
        <v>0.86807182630599999</v>
      </c>
      <c r="E13385">
        <v>1.764</v>
      </c>
    </row>
    <row r="13386" spans="1:5">
      <c r="A13386" t="s">
        <v>42319</v>
      </c>
      <c r="B13386" t="s">
        <v>42323</v>
      </c>
      <c r="C13386">
        <f>0.659957750951</f>
        <v>0.65995775095099996</v>
      </c>
      <c r="D13386">
        <v>0.86807182630599999</v>
      </c>
      <c r="E13386">
        <v>1.764</v>
      </c>
    </row>
    <row r="13387" spans="1:5">
      <c r="A13387" t="s">
        <v>42324</v>
      </c>
      <c r="B13387" t="s">
        <v>42325</v>
      </c>
      <c r="C13387">
        <f>0.0156119004944</f>
        <v>1.56119004944E-2</v>
      </c>
      <c r="D13387">
        <v>0.96368290003299995</v>
      </c>
      <c r="E13387">
        <v>3.4980000000000002</v>
      </c>
    </row>
    <row r="13388" spans="1:5">
      <c r="A13388" t="s">
        <v>42324</v>
      </c>
      <c r="B13388" t="s">
        <v>42326</v>
      </c>
      <c r="C13388">
        <v>0.112737161993</v>
      </c>
      <c r="D13388">
        <v>0.96368290003299995</v>
      </c>
      <c r="E13388">
        <v>3.4980000000000002</v>
      </c>
    </row>
    <row r="13389" spans="1:5">
      <c r="A13389" t="s">
        <v>42324</v>
      </c>
      <c r="B13389" t="s">
        <v>42327</v>
      </c>
      <c r="C13389">
        <v>0.61986208808099996</v>
      </c>
      <c r="D13389">
        <v>0.96368290003299995</v>
      </c>
      <c r="E13389">
        <v>3.4980000000000002</v>
      </c>
    </row>
    <row r="13390" spans="1:5">
      <c r="A13390" t="s">
        <v>42324</v>
      </c>
      <c r="B13390" t="s">
        <v>42328</v>
      </c>
      <c r="C13390">
        <v>0.54999078148199998</v>
      </c>
      <c r="D13390">
        <v>0.96368290003299995</v>
      </c>
      <c r="E13390">
        <v>3.4980000000000002</v>
      </c>
    </row>
    <row r="13391" spans="1:5">
      <c r="A13391" t="s">
        <v>42324</v>
      </c>
      <c r="B13391" t="s">
        <v>42329</v>
      </c>
      <c r="C13391">
        <v>0</v>
      </c>
      <c r="D13391">
        <v>0.96368290003299995</v>
      </c>
      <c r="E13391">
        <v>3.4980000000000002</v>
      </c>
    </row>
    <row r="13392" spans="1:5">
      <c r="A13392" t="s">
        <v>42324</v>
      </c>
      <c r="B13392" t="s">
        <v>42330</v>
      </c>
      <c r="C13392">
        <v>0</v>
      </c>
      <c r="D13392">
        <v>0.96368290003299995</v>
      </c>
      <c r="E13392">
        <v>3.4980000000000002</v>
      </c>
    </row>
    <row r="13393" spans="1:5">
      <c r="A13393" t="s">
        <v>42324</v>
      </c>
      <c r="B13393" t="s">
        <v>42331</v>
      </c>
      <c r="C13393">
        <v>0</v>
      </c>
      <c r="D13393">
        <v>0.96368290003299995</v>
      </c>
      <c r="E13393">
        <v>3.4980000000000002</v>
      </c>
    </row>
    <row r="13394" spans="1:5">
      <c r="A13394" t="s">
        <v>42332</v>
      </c>
      <c r="B13394" t="s">
        <v>407</v>
      </c>
      <c r="C13394">
        <v>0.43801705498999999</v>
      </c>
      <c r="D13394">
        <v>0.63162705499000005</v>
      </c>
      <c r="E13394">
        <v>6.8040000000000003</v>
      </c>
    </row>
    <row r="13395" spans="1:5">
      <c r="A13395" t="s">
        <v>42332</v>
      </c>
      <c r="B13395" t="s">
        <v>408</v>
      </c>
      <c r="C13395">
        <v>0</v>
      </c>
      <c r="D13395">
        <v>0.63162705499000005</v>
      </c>
      <c r="E13395">
        <v>6.8040000000000003</v>
      </c>
    </row>
    <row r="13396" spans="1:5">
      <c r="A13396" t="s">
        <v>42333</v>
      </c>
      <c r="B13396" t="s">
        <v>42334</v>
      </c>
      <c r="C13396">
        <f>0</f>
        <v>0</v>
      </c>
      <c r="D13396">
        <v>0.87910173440600003</v>
      </c>
      <c r="E13396">
        <v>6.3</v>
      </c>
    </row>
    <row r="13397" spans="1:5">
      <c r="A13397" t="s">
        <v>42333</v>
      </c>
      <c r="B13397" t="s">
        <v>42335</v>
      </c>
      <c r="C13397">
        <v>0</v>
      </c>
      <c r="D13397">
        <v>0.87910173440600003</v>
      </c>
      <c r="E13397">
        <v>6.3</v>
      </c>
    </row>
    <row r="13398" spans="1:5">
      <c r="A13398" t="s">
        <v>42333</v>
      </c>
      <c r="B13398" t="s">
        <v>42336</v>
      </c>
      <c r="C13398">
        <f>0</f>
        <v>0</v>
      </c>
      <c r="D13398">
        <v>0.87910173440600003</v>
      </c>
      <c r="E13398">
        <v>6.3</v>
      </c>
    </row>
    <row r="13399" spans="1:5">
      <c r="A13399" t="s">
        <v>42333</v>
      </c>
      <c r="B13399" t="s">
        <v>42337</v>
      </c>
      <c r="C13399">
        <v>0</v>
      </c>
      <c r="D13399">
        <v>0.87910173440600003</v>
      </c>
      <c r="E13399">
        <v>6.3</v>
      </c>
    </row>
    <row r="13400" spans="1:5">
      <c r="A13400" t="s">
        <v>42333</v>
      </c>
      <c r="B13400" t="s">
        <v>42338</v>
      </c>
      <c r="C13400">
        <v>0</v>
      </c>
      <c r="D13400">
        <v>0.87910173440600003</v>
      </c>
      <c r="E13400">
        <v>6.3</v>
      </c>
    </row>
    <row r="13401" spans="1:5">
      <c r="A13401" t="s">
        <v>42333</v>
      </c>
      <c r="B13401" t="s">
        <v>42339</v>
      </c>
      <c r="C13401">
        <v>0</v>
      </c>
      <c r="D13401">
        <v>0.87910173440600003</v>
      </c>
      <c r="E13401">
        <v>6.3</v>
      </c>
    </row>
    <row r="13402" spans="1:5">
      <c r="A13402" t="s">
        <v>42333</v>
      </c>
      <c r="B13402" t="s">
        <v>42340</v>
      </c>
      <c r="C13402">
        <v>3.5994009055399998E-2</v>
      </c>
      <c r="D13402">
        <v>0.87910173440600003</v>
      </c>
      <c r="E13402">
        <v>6.3</v>
      </c>
    </row>
    <row r="13403" spans="1:5">
      <c r="A13403" t="s">
        <v>42333</v>
      </c>
      <c r="B13403" t="s">
        <v>42341</v>
      </c>
      <c r="C13403">
        <v>0</v>
      </c>
      <c r="D13403">
        <v>0.87910173440600003</v>
      </c>
      <c r="E13403">
        <v>6.3</v>
      </c>
    </row>
    <row r="13404" spans="1:5">
      <c r="A13404" t="s">
        <v>42333</v>
      </c>
      <c r="B13404" t="s">
        <v>42342</v>
      </c>
      <c r="C13404">
        <v>0</v>
      </c>
      <c r="D13404">
        <v>0.87910173440600003</v>
      </c>
      <c r="E13404">
        <v>6.3</v>
      </c>
    </row>
    <row r="13405" spans="1:5">
      <c r="A13405" t="s">
        <v>42333</v>
      </c>
      <c r="B13405" t="s">
        <v>42343</v>
      </c>
      <c r="C13405">
        <f>0</f>
        <v>0</v>
      </c>
      <c r="D13405">
        <v>0.87910173440600003</v>
      </c>
      <c r="E13405">
        <v>6.3</v>
      </c>
    </row>
    <row r="13406" spans="1:5">
      <c r="A13406" t="s">
        <v>42333</v>
      </c>
      <c r="B13406" t="s">
        <v>42344</v>
      </c>
      <c r="C13406">
        <v>0</v>
      </c>
      <c r="D13406">
        <v>0.87910173440600003</v>
      </c>
      <c r="E13406">
        <v>6.3</v>
      </c>
    </row>
    <row r="13407" spans="1:5">
      <c r="A13407" t="s">
        <v>42333</v>
      </c>
      <c r="B13407" t="s">
        <v>42345</v>
      </c>
      <c r="C13407">
        <v>0.47215576475600002</v>
      </c>
      <c r="D13407">
        <v>0.87910173440600003</v>
      </c>
      <c r="E13407">
        <v>6.3</v>
      </c>
    </row>
    <row r="13408" spans="1:5">
      <c r="A13408" t="s">
        <v>42333</v>
      </c>
      <c r="B13408" t="s">
        <v>42346</v>
      </c>
      <c r="C13408">
        <v>7.5345524004700001E-2</v>
      </c>
      <c r="D13408">
        <v>0.87910173440600003</v>
      </c>
      <c r="E13408">
        <v>6.3</v>
      </c>
    </row>
    <row r="13409" spans="1:5">
      <c r="A13409" t="s">
        <v>42347</v>
      </c>
      <c r="B13409" t="s">
        <v>14983</v>
      </c>
      <c r="C13409">
        <f>0.0679944497924</f>
        <v>6.7994449792400005E-2</v>
      </c>
      <c r="D13409">
        <v>0.64560444979200005</v>
      </c>
      <c r="E13409">
        <v>10.554</v>
      </c>
    </row>
    <row r="13410" spans="1:5">
      <c r="A13410" t="s">
        <v>42347</v>
      </c>
      <c r="B13410" t="s">
        <v>14979</v>
      </c>
      <c r="C13410">
        <f>0</f>
        <v>0</v>
      </c>
      <c r="D13410">
        <v>0.64560444979200005</v>
      </c>
      <c r="E13410">
        <v>10.554</v>
      </c>
    </row>
    <row r="13411" spans="1:5">
      <c r="A13411" t="s">
        <v>42347</v>
      </c>
      <c r="B13411" t="s">
        <v>42348</v>
      </c>
      <c r="C13411">
        <f>0</f>
        <v>0</v>
      </c>
      <c r="D13411">
        <v>0.64560444979200005</v>
      </c>
      <c r="E13411">
        <v>10.554</v>
      </c>
    </row>
    <row r="13412" spans="1:5">
      <c r="A13412" t="s">
        <v>42347</v>
      </c>
      <c r="B13412" t="s">
        <v>14982</v>
      </c>
      <c r="C13412">
        <f>0</f>
        <v>0</v>
      </c>
      <c r="D13412">
        <v>0.64560444979200005</v>
      </c>
      <c r="E13412">
        <v>10.554</v>
      </c>
    </row>
    <row r="13413" spans="1:5">
      <c r="A13413" t="s">
        <v>42347</v>
      </c>
      <c r="B13413" t="s">
        <v>14984</v>
      </c>
      <c r="C13413">
        <f>0</f>
        <v>0</v>
      </c>
      <c r="D13413">
        <v>0.64560444979200005</v>
      </c>
      <c r="E13413">
        <v>10.554</v>
      </c>
    </row>
    <row r="13414" spans="1:5">
      <c r="A13414" t="s">
        <v>42347</v>
      </c>
      <c r="B13414" t="s">
        <v>14976</v>
      </c>
      <c r="C13414">
        <f>0</f>
        <v>0</v>
      </c>
      <c r="D13414">
        <v>0.64560444979200005</v>
      </c>
      <c r="E13414">
        <v>10.554</v>
      </c>
    </row>
    <row r="13415" spans="1:5">
      <c r="A13415" t="s">
        <v>42347</v>
      </c>
      <c r="B13415" t="s">
        <v>14975</v>
      </c>
      <c r="C13415">
        <f>0</f>
        <v>0</v>
      </c>
      <c r="D13415">
        <v>0.64560444979200005</v>
      </c>
      <c r="E13415">
        <v>10.554</v>
      </c>
    </row>
    <row r="13416" spans="1:5">
      <c r="A13416" t="s">
        <v>42349</v>
      </c>
      <c r="B13416" t="s">
        <v>42350</v>
      </c>
      <c r="C13416">
        <f>0.59104362911</f>
        <v>0.59104362910999997</v>
      </c>
      <c r="D13416">
        <v>0.99355638259500001</v>
      </c>
      <c r="E13416">
        <v>8.1539999999999999</v>
      </c>
    </row>
    <row r="13417" spans="1:5">
      <c r="A13417" t="s">
        <v>42349</v>
      </c>
      <c r="B13417" t="s">
        <v>42351</v>
      </c>
      <c r="C13417">
        <f>0.443488839796</f>
        <v>0.44348883979600001</v>
      </c>
      <c r="D13417">
        <v>0.99355638259500001</v>
      </c>
      <c r="E13417">
        <v>8.1539999999999999</v>
      </c>
    </row>
    <row r="13418" spans="1:5">
      <c r="A13418" t="s">
        <v>42349</v>
      </c>
      <c r="B13418" t="s">
        <v>42352</v>
      </c>
      <c r="C13418">
        <f>0.209192957758</f>
        <v>0.20919295775800001</v>
      </c>
      <c r="D13418">
        <v>0.99355638259500001</v>
      </c>
      <c r="E13418">
        <v>8.1539999999999999</v>
      </c>
    </row>
    <row r="13419" spans="1:5">
      <c r="A13419" t="s">
        <v>42349</v>
      </c>
      <c r="B13419" t="s">
        <v>42353</v>
      </c>
      <c r="C13419">
        <f>0.590516213854</f>
        <v>0.59051621385399999</v>
      </c>
      <c r="D13419">
        <v>0.99355638259500001</v>
      </c>
      <c r="E13419">
        <v>8.1539999999999999</v>
      </c>
    </row>
    <row r="13420" spans="1:5">
      <c r="A13420" t="s">
        <v>42349</v>
      </c>
      <c r="B13420" t="s">
        <v>42354</v>
      </c>
      <c r="C13420">
        <v>0.63129274377</v>
      </c>
      <c r="D13420">
        <v>0.99355638259500001</v>
      </c>
      <c r="E13420">
        <v>8.1539999999999999</v>
      </c>
    </row>
    <row r="13421" spans="1:5">
      <c r="A13421" t="s">
        <v>42349</v>
      </c>
      <c r="B13421" t="s">
        <v>42355</v>
      </c>
      <c r="C13421">
        <f>0</f>
        <v>0</v>
      </c>
      <c r="D13421">
        <v>0.99355638259500001</v>
      </c>
      <c r="E13421">
        <v>8.1539999999999999</v>
      </c>
    </row>
    <row r="13422" spans="1:5">
      <c r="A13422" t="s">
        <v>42356</v>
      </c>
      <c r="B13422" t="s">
        <v>20191</v>
      </c>
      <c r="C13422">
        <f>0.38950305565</f>
        <v>0.38950305564999999</v>
      </c>
      <c r="D13422">
        <v>0.97603592884000001</v>
      </c>
      <c r="E13422">
        <v>6.3</v>
      </c>
    </row>
    <row r="13423" spans="1:5">
      <c r="A13423" t="s">
        <v>42356</v>
      </c>
      <c r="B13423" t="s">
        <v>20194</v>
      </c>
      <c r="C13423">
        <v>0</v>
      </c>
      <c r="D13423">
        <v>0.97603592884000001</v>
      </c>
      <c r="E13423">
        <v>6.3</v>
      </c>
    </row>
    <row r="13424" spans="1:5">
      <c r="A13424" t="s">
        <v>42356</v>
      </c>
      <c r="B13424" t="s">
        <v>20196</v>
      </c>
      <c r="C13424">
        <f>0</f>
        <v>0</v>
      </c>
      <c r="D13424">
        <v>0.97603592884000001</v>
      </c>
      <c r="E13424">
        <v>6.3</v>
      </c>
    </row>
    <row r="13425" spans="1:5">
      <c r="A13425" t="s">
        <v>42356</v>
      </c>
      <c r="B13425" t="s">
        <v>20192</v>
      </c>
      <c r="C13425">
        <f>0.644972182737</f>
        <v>0.64497218273699997</v>
      </c>
      <c r="D13425">
        <v>0.97603592884000001</v>
      </c>
      <c r="E13425">
        <v>6.3</v>
      </c>
    </row>
    <row r="13426" spans="1:5">
      <c r="A13426" t="s">
        <v>42357</v>
      </c>
      <c r="B13426" t="s">
        <v>26669</v>
      </c>
      <c r="C13426">
        <f>0</f>
        <v>0</v>
      </c>
      <c r="D13426" t="s">
        <v>106</v>
      </c>
      <c r="E13426">
        <v>0.65400000000000003</v>
      </c>
    </row>
    <row r="13427" spans="1:5">
      <c r="A13427" t="s">
        <v>42357</v>
      </c>
      <c r="B13427" t="s">
        <v>26665</v>
      </c>
      <c r="C13427">
        <f>0</f>
        <v>0</v>
      </c>
      <c r="D13427" t="s">
        <v>106</v>
      </c>
      <c r="E13427">
        <v>0.65400000000000003</v>
      </c>
    </row>
    <row r="13428" spans="1:5">
      <c r="A13428" t="s">
        <v>42357</v>
      </c>
      <c r="B13428" t="s">
        <v>26664</v>
      </c>
      <c r="C13428">
        <v>0</v>
      </c>
      <c r="D13428" t="s">
        <v>106</v>
      </c>
      <c r="E13428">
        <v>0.65400000000000003</v>
      </c>
    </row>
    <row r="13429" spans="1:5">
      <c r="A13429" t="s">
        <v>42357</v>
      </c>
      <c r="B13429" t="s">
        <v>26668</v>
      </c>
      <c r="C13429">
        <f>0</f>
        <v>0</v>
      </c>
      <c r="D13429" t="s">
        <v>106</v>
      </c>
      <c r="E13429">
        <v>0.65400000000000003</v>
      </c>
    </row>
    <row r="13430" spans="1:5">
      <c r="A13430" t="s">
        <v>42357</v>
      </c>
      <c r="B13430" t="s">
        <v>26667</v>
      </c>
      <c r="C13430">
        <v>0</v>
      </c>
      <c r="D13430" t="s">
        <v>106</v>
      </c>
      <c r="E13430">
        <v>0.65400000000000003</v>
      </c>
    </row>
    <row r="13431" spans="1:5">
      <c r="A13431" t="s">
        <v>42358</v>
      </c>
      <c r="B13431" t="s">
        <v>13214</v>
      </c>
      <c r="C13431">
        <v>0</v>
      </c>
      <c r="D13431">
        <v>0.93938656816199995</v>
      </c>
      <c r="E13431">
        <v>2.4780000000000002</v>
      </c>
    </row>
    <row r="13432" spans="1:5">
      <c r="A13432" t="s">
        <v>42358</v>
      </c>
      <c r="B13432" t="s">
        <v>13220</v>
      </c>
      <c r="C13432">
        <f>0</f>
        <v>0</v>
      </c>
      <c r="D13432">
        <v>0.93938656816199995</v>
      </c>
      <c r="E13432">
        <v>2.4780000000000002</v>
      </c>
    </row>
    <row r="13433" spans="1:5">
      <c r="A13433" t="s">
        <v>42358</v>
      </c>
      <c r="B13433" t="s">
        <v>13215</v>
      </c>
      <c r="C13433">
        <f>0</f>
        <v>0</v>
      </c>
      <c r="D13433">
        <v>0.93938656816199995</v>
      </c>
      <c r="E13433">
        <v>2.4780000000000002</v>
      </c>
    </row>
    <row r="13434" spans="1:5">
      <c r="A13434" t="s">
        <v>42358</v>
      </c>
      <c r="B13434" t="s">
        <v>13217</v>
      </c>
      <c r="C13434">
        <v>0</v>
      </c>
      <c r="D13434">
        <v>0.93938656816199995</v>
      </c>
      <c r="E13434">
        <v>2.4780000000000002</v>
      </c>
    </row>
    <row r="13435" spans="1:5">
      <c r="A13435" t="s">
        <v>42358</v>
      </c>
      <c r="B13435" t="s">
        <v>13223</v>
      </c>
      <c r="C13435">
        <f>0</f>
        <v>0</v>
      </c>
      <c r="D13435">
        <v>0.93938656816199995</v>
      </c>
      <c r="E13435">
        <v>2.4780000000000002</v>
      </c>
    </row>
    <row r="13436" spans="1:5">
      <c r="A13436" t="s">
        <v>42358</v>
      </c>
      <c r="B13436" t="s">
        <v>13222</v>
      </c>
      <c r="C13436">
        <v>0</v>
      </c>
      <c r="D13436">
        <v>0.93938656816199995</v>
      </c>
      <c r="E13436">
        <v>2.4780000000000002</v>
      </c>
    </row>
    <row r="13437" spans="1:5">
      <c r="A13437" t="s">
        <v>42358</v>
      </c>
      <c r="B13437" t="s">
        <v>13219</v>
      </c>
      <c r="C13437">
        <v>0.257589004628</v>
      </c>
      <c r="D13437">
        <v>0.93938656816199995</v>
      </c>
      <c r="E13437">
        <v>2.4780000000000002</v>
      </c>
    </row>
    <row r="13438" spans="1:5">
      <c r="A13438" t="s">
        <v>42358</v>
      </c>
      <c r="B13438" t="s">
        <v>42359</v>
      </c>
      <c r="C13438">
        <v>0.71732135380399997</v>
      </c>
      <c r="D13438">
        <v>0.93938656816199995</v>
      </c>
      <c r="E13438">
        <v>2.4780000000000002</v>
      </c>
    </row>
    <row r="13439" spans="1:5">
      <c r="A13439" t="s">
        <v>42360</v>
      </c>
      <c r="B13439" t="s">
        <v>42361</v>
      </c>
      <c r="C13439">
        <v>0</v>
      </c>
      <c r="D13439">
        <v>0.62223126681200003</v>
      </c>
      <c r="E13439">
        <v>0.78</v>
      </c>
    </row>
    <row r="13440" spans="1:5">
      <c r="A13440" t="s">
        <v>42360</v>
      </c>
      <c r="B13440" t="s">
        <v>42362</v>
      </c>
      <c r="C13440">
        <v>0.39182126681200002</v>
      </c>
      <c r="D13440">
        <v>0.62223126681200003</v>
      </c>
      <c r="E13440">
        <v>0.78</v>
      </c>
    </row>
    <row r="13441" spans="1:5">
      <c r="A13441" t="s">
        <v>42360</v>
      </c>
      <c r="B13441" t="s">
        <v>42363</v>
      </c>
      <c r="C13441">
        <f>0</f>
        <v>0</v>
      </c>
      <c r="D13441">
        <v>0.62223126681200003</v>
      </c>
      <c r="E13441">
        <v>0.78</v>
      </c>
    </row>
    <row r="13442" spans="1:5">
      <c r="A13442" t="s">
        <v>42364</v>
      </c>
      <c r="B13442" t="s">
        <v>42365</v>
      </c>
      <c r="C13442">
        <v>0</v>
      </c>
      <c r="D13442" t="s">
        <v>106</v>
      </c>
      <c r="E13442">
        <v>1.0680000000000001</v>
      </c>
    </row>
    <row r="13443" spans="1:5">
      <c r="A13443" t="s">
        <v>42364</v>
      </c>
      <c r="B13443" t="s">
        <v>42366</v>
      </c>
      <c r="C13443">
        <v>0</v>
      </c>
      <c r="D13443" t="s">
        <v>106</v>
      </c>
      <c r="E13443">
        <v>1.0680000000000001</v>
      </c>
    </row>
    <row r="13444" spans="1:5">
      <c r="A13444" t="s">
        <v>42364</v>
      </c>
      <c r="B13444" t="s">
        <v>42367</v>
      </c>
      <c r="C13444">
        <v>0</v>
      </c>
      <c r="D13444" t="s">
        <v>106</v>
      </c>
      <c r="E13444">
        <v>1.0680000000000001</v>
      </c>
    </row>
    <row r="13445" spans="1:5">
      <c r="A13445" t="s">
        <v>42368</v>
      </c>
      <c r="B13445" t="s">
        <v>6512</v>
      </c>
      <c r="C13445">
        <f>0.41933447881</f>
        <v>0.41933447881000002</v>
      </c>
      <c r="D13445">
        <v>0.97658850516600004</v>
      </c>
      <c r="E13445">
        <v>7.2</v>
      </c>
    </row>
    <row r="13446" spans="1:5">
      <c r="A13446" t="s">
        <v>42368</v>
      </c>
      <c r="B13446" t="s">
        <v>6516</v>
      </c>
      <c r="C13446">
        <f>0</f>
        <v>0</v>
      </c>
      <c r="D13446">
        <v>0.97658850516600004</v>
      </c>
      <c r="E13446">
        <v>7.2</v>
      </c>
    </row>
    <row r="13447" spans="1:5">
      <c r="A13447" t="s">
        <v>42368</v>
      </c>
      <c r="B13447" t="s">
        <v>42369</v>
      </c>
      <c r="C13447">
        <v>0.34102965066300001</v>
      </c>
      <c r="D13447">
        <v>0.97658850516600004</v>
      </c>
      <c r="E13447">
        <v>7.2</v>
      </c>
    </row>
    <row r="13448" spans="1:5">
      <c r="A13448" t="s">
        <v>42368</v>
      </c>
      <c r="B13448" t="s">
        <v>6515</v>
      </c>
      <c r="C13448">
        <v>0.14727240252400001</v>
      </c>
      <c r="D13448">
        <v>0.97658850516600004</v>
      </c>
      <c r="E13448">
        <v>7.2</v>
      </c>
    </row>
    <row r="13449" spans="1:5">
      <c r="A13449" t="s">
        <v>42368</v>
      </c>
      <c r="B13449" t="s">
        <v>6519</v>
      </c>
      <c r="C13449">
        <f>-1.09235765258</f>
        <v>-1.0923576525800001</v>
      </c>
      <c r="D13449">
        <v>0.97658850516600004</v>
      </c>
      <c r="E13449">
        <v>7.2</v>
      </c>
    </row>
    <row r="13450" spans="1:5">
      <c r="A13450" t="s">
        <v>42370</v>
      </c>
      <c r="B13450" t="s">
        <v>6151</v>
      </c>
      <c r="C13450">
        <f>0.822521961863</f>
        <v>0.82252196186299997</v>
      </c>
      <c r="D13450">
        <v>0.99972611363899999</v>
      </c>
      <c r="E13450">
        <v>5.9340000000000002</v>
      </c>
    </row>
    <row r="13451" spans="1:5">
      <c r="A13451" t="s">
        <v>42370</v>
      </c>
      <c r="B13451" t="s">
        <v>6159</v>
      </c>
      <c r="C13451">
        <v>0.131469245811</v>
      </c>
      <c r="D13451">
        <v>0.99972611363899999</v>
      </c>
      <c r="E13451">
        <v>5.9340000000000002</v>
      </c>
    </row>
    <row r="13452" spans="1:5">
      <c r="A13452" t="s">
        <v>42370</v>
      </c>
      <c r="B13452" t="s">
        <v>6153</v>
      </c>
      <c r="C13452">
        <v>0.82543837760799998</v>
      </c>
      <c r="D13452">
        <v>0.99972611363899999</v>
      </c>
      <c r="E13452">
        <v>5.9340000000000002</v>
      </c>
    </row>
    <row r="13453" spans="1:5">
      <c r="A13453" t="s">
        <v>42370</v>
      </c>
      <c r="B13453" t="s">
        <v>6155</v>
      </c>
      <c r="C13453">
        <v>0.418273647571</v>
      </c>
      <c r="D13453">
        <v>0.99972611363899999</v>
      </c>
      <c r="E13453">
        <v>5.9340000000000002</v>
      </c>
    </row>
    <row r="13454" spans="1:5">
      <c r="A13454" t="s">
        <v>42370</v>
      </c>
      <c r="B13454" t="s">
        <v>6158</v>
      </c>
      <c r="C13454">
        <v>0.47224485033199998</v>
      </c>
      <c r="D13454">
        <v>0.99972611363899999</v>
      </c>
      <c r="E13454">
        <v>5.9340000000000002</v>
      </c>
    </row>
    <row r="13455" spans="1:5">
      <c r="A13455" t="s">
        <v>42370</v>
      </c>
      <c r="B13455" t="s">
        <v>6156</v>
      </c>
      <c r="C13455">
        <f>0.0412806906498</f>
        <v>4.12806906498E-2</v>
      </c>
      <c r="D13455">
        <v>0.99972611363899999</v>
      </c>
      <c r="E13455">
        <v>5.9340000000000002</v>
      </c>
    </row>
    <row r="13456" spans="1:5">
      <c r="A13456" t="s">
        <v>42371</v>
      </c>
      <c r="B13456" t="s">
        <v>42372</v>
      </c>
      <c r="C13456">
        <v>0</v>
      </c>
      <c r="D13456" t="s">
        <v>106</v>
      </c>
      <c r="E13456">
        <v>1.0680000000000001</v>
      </c>
    </row>
    <row r="13457" spans="1:5">
      <c r="A13457" t="s">
        <v>42371</v>
      </c>
      <c r="B13457" t="s">
        <v>42373</v>
      </c>
      <c r="C13457">
        <v>0</v>
      </c>
      <c r="D13457" t="s">
        <v>106</v>
      </c>
      <c r="E13457">
        <v>1.0680000000000001</v>
      </c>
    </row>
    <row r="13458" spans="1:5">
      <c r="A13458" t="s">
        <v>42371</v>
      </c>
      <c r="B13458" t="s">
        <v>42374</v>
      </c>
      <c r="C13458">
        <f>0</f>
        <v>0</v>
      </c>
      <c r="D13458" t="s">
        <v>106</v>
      </c>
      <c r="E13458">
        <v>1.0680000000000001</v>
      </c>
    </row>
    <row r="13459" spans="1:5">
      <c r="A13459" t="s">
        <v>42371</v>
      </c>
      <c r="B13459" t="s">
        <v>42375</v>
      </c>
      <c r="C13459">
        <v>0</v>
      </c>
      <c r="D13459" t="s">
        <v>106</v>
      </c>
      <c r="E13459">
        <v>1.0680000000000001</v>
      </c>
    </row>
    <row r="13460" spans="1:5">
      <c r="A13460" t="s">
        <v>42371</v>
      </c>
      <c r="B13460" t="s">
        <v>42376</v>
      </c>
      <c r="C13460">
        <v>0</v>
      </c>
      <c r="D13460" t="s">
        <v>106</v>
      </c>
      <c r="E13460">
        <v>1.0680000000000001</v>
      </c>
    </row>
    <row r="13461" spans="1:5">
      <c r="A13461" t="s">
        <v>42377</v>
      </c>
      <c r="B13461" t="s">
        <v>24930</v>
      </c>
      <c r="C13461">
        <v>1.1502275827099999</v>
      </c>
      <c r="D13461">
        <v>0.99913705547700005</v>
      </c>
      <c r="E13461">
        <v>0.96599999999999997</v>
      </c>
    </row>
    <row r="13462" spans="1:5">
      <c r="A13462" t="s">
        <v>42377</v>
      </c>
      <c r="B13462" t="s">
        <v>42378</v>
      </c>
      <c r="C13462">
        <f>0.283649115143</f>
        <v>0.28364911514300001</v>
      </c>
      <c r="D13462">
        <v>0.99913705547700005</v>
      </c>
      <c r="E13462">
        <v>0.96599999999999997</v>
      </c>
    </row>
    <row r="13463" spans="1:5">
      <c r="A13463" t="s">
        <v>42377</v>
      </c>
      <c r="B13463" t="s">
        <v>24934</v>
      </c>
      <c r="C13463">
        <f>0.737955519575</f>
        <v>0.73795551957500005</v>
      </c>
      <c r="D13463">
        <v>0.99913705547700005</v>
      </c>
      <c r="E13463">
        <v>0.96599999999999997</v>
      </c>
    </row>
    <row r="13464" spans="1:5">
      <c r="A13464" t="s">
        <v>42377</v>
      </c>
      <c r="B13464" t="s">
        <v>24929</v>
      </c>
      <c r="C13464">
        <v>0.127288387488</v>
      </c>
      <c r="D13464">
        <v>0.99913705547700005</v>
      </c>
      <c r="E13464">
        <v>0.96599999999999997</v>
      </c>
    </row>
    <row r="13465" spans="1:5">
      <c r="A13465" t="s">
        <v>42377</v>
      </c>
      <c r="B13465" t="s">
        <v>24935</v>
      </c>
      <c r="C13465">
        <v>0.137335396936</v>
      </c>
      <c r="D13465">
        <v>0.99913705547700005</v>
      </c>
      <c r="E13465">
        <v>0.96599999999999997</v>
      </c>
    </row>
    <row r="13466" spans="1:5">
      <c r="A13466" t="s">
        <v>42377</v>
      </c>
      <c r="B13466" t="s">
        <v>24928</v>
      </c>
      <c r="C13466">
        <f>0.685231508277</f>
        <v>0.68523150827699997</v>
      </c>
      <c r="D13466">
        <v>0.99913705547700005</v>
      </c>
      <c r="E13466">
        <v>0.96599999999999997</v>
      </c>
    </row>
    <row r="13467" spans="1:5">
      <c r="A13467" t="s">
        <v>42379</v>
      </c>
      <c r="B13467" t="s">
        <v>19959</v>
      </c>
      <c r="C13467">
        <f>0.740123837308</f>
        <v>0.74012383730800002</v>
      </c>
      <c r="D13467">
        <v>0.98121931010300001</v>
      </c>
      <c r="E13467">
        <v>24</v>
      </c>
    </row>
    <row r="13468" spans="1:5">
      <c r="A13468" t="s">
        <v>42379</v>
      </c>
      <c r="B13468" t="s">
        <v>19964</v>
      </c>
      <c r="C13468">
        <f>-1.05895682058</f>
        <v>-1.05895682058</v>
      </c>
      <c r="D13468">
        <v>0.98121931010300001</v>
      </c>
      <c r="E13468">
        <v>24</v>
      </c>
    </row>
    <row r="13469" spans="1:5">
      <c r="A13469" t="s">
        <v>42379</v>
      </c>
      <c r="B13469" t="s">
        <v>19970</v>
      </c>
      <c r="C13469">
        <f>0.463444458338</f>
        <v>0.46344445833800002</v>
      </c>
      <c r="D13469">
        <v>0.98121931010300001</v>
      </c>
      <c r="E13469">
        <v>24</v>
      </c>
    </row>
    <row r="13470" spans="1:5">
      <c r="A13470" t="s">
        <v>42379</v>
      </c>
      <c r="B13470" t="s">
        <v>19966</v>
      </c>
      <c r="C13470">
        <v>1.63639780112</v>
      </c>
      <c r="D13470">
        <v>0.98121931010300001</v>
      </c>
      <c r="E13470">
        <v>24</v>
      </c>
    </row>
    <row r="13471" spans="1:5">
      <c r="A13471" t="s">
        <v>42379</v>
      </c>
      <c r="B13471" t="s">
        <v>19967</v>
      </c>
      <c r="C13471">
        <v>0.98253756964200001</v>
      </c>
      <c r="D13471">
        <v>0.98121931010300001</v>
      </c>
      <c r="E13471">
        <v>24</v>
      </c>
    </row>
    <row r="13472" spans="1:5">
      <c r="A13472" t="s">
        <v>42379</v>
      </c>
      <c r="B13472" t="s">
        <v>19962</v>
      </c>
      <c r="C13472">
        <v>9.8946072981299996E-2</v>
      </c>
      <c r="D13472">
        <v>0.98121931010300001</v>
      </c>
      <c r="E13472">
        <v>24</v>
      </c>
    </row>
    <row r="13473" spans="1:5">
      <c r="A13473" t="s">
        <v>42380</v>
      </c>
      <c r="B13473" t="s">
        <v>24787</v>
      </c>
      <c r="C13473">
        <v>0.62838928938500005</v>
      </c>
      <c r="D13473">
        <v>0.88561275162999997</v>
      </c>
      <c r="E13473">
        <v>12.048</v>
      </c>
    </row>
    <row r="13474" spans="1:5">
      <c r="A13474" t="s">
        <v>42380</v>
      </c>
      <c r="B13474" t="s">
        <v>24789</v>
      </c>
      <c r="C13474">
        <v>0.48165780629600002</v>
      </c>
      <c r="D13474">
        <v>0.88561275162999997</v>
      </c>
      <c r="E13474">
        <v>12.048</v>
      </c>
    </row>
    <row r="13475" spans="1:5">
      <c r="A13475" t="s">
        <v>42381</v>
      </c>
      <c r="B13475" t="s">
        <v>42382</v>
      </c>
      <c r="C13475">
        <f>0.905951258563</f>
        <v>0.90595125856299996</v>
      </c>
      <c r="D13475">
        <v>0.73127329083899995</v>
      </c>
      <c r="E13475">
        <v>24</v>
      </c>
    </row>
    <row r="13476" spans="1:5">
      <c r="A13476" t="s">
        <v>42381</v>
      </c>
      <c r="B13476" t="s">
        <v>42383</v>
      </c>
      <c r="C13476">
        <v>0.33021560643499998</v>
      </c>
      <c r="D13476">
        <v>0.73127329083899995</v>
      </c>
      <c r="E13476">
        <v>24</v>
      </c>
    </row>
    <row r="13477" spans="1:5">
      <c r="A13477" t="s">
        <v>42384</v>
      </c>
      <c r="B13477" t="s">
        <v>4087</v>
      </c>
      <c r="C13477">
        <f>0</f>
        <v>0</v>
      </c>
      <c r="D13477" t="s">
        <v>106</v>
      </c>
      <c r="E13477">
        <v>23.754000000000001</v>
      </c>
    </row>
    <row r="13478" spans="1:5">
      <c r="A13478" t="s">
        <v>42384</v>
      </c>
      <c r="B13478" t="s">
        <v>4088</v>
      </c>
      <c r="C13478">
        <v>0</v>
      </c>
      <c r="D13478" t="s">
        <v>106</v>
      </c>
      <c r="E13478">
        <v>23.754000000000001</v>
      </c>
    </row>
    <row r="13479" spans="1:5">
      <c r="A13479" t="s">
        <v>42385</v>
      </c>
      <c r="B13479" t="s">
        <v>42386</v>
      </c>
      <c r="C13479">
        <f>0</f>
        <v>0</v>
      </c>
      <c r="D13479">
        <v>0.89481232866399996</v>
      </c>
      <c r="E13479">
        <v>23.754000000000001</v>
      </c>
    </row>
    <row r="13480" spans="1:5">
      <c r="A13480" t="s">
        <v>42385</v>
      </c>
      <c r="B13480" t="s">
        <v>42387</v>
      </c>
      <c r="C13480">
        <v>0</v>
      </c>
      <c r="D13480">
        <v>0.89481232866399996</v>
      </c>
      <c r="E13480">
        <v>23.754000000000001</v>
      </c>
    </row>
    <row r="13481" spans="1:5">
      <c r="A13481" t="s">
        <v>42385</v>
      </c>
      <c r="B13481" t="s">
        <v>42388</v>
      </c>
      <c r="C13481">
        <f>0</f>
        <v>0</v>
      </c>
      <c r="D13481">
        <v>0.89481232866399996</v>
      </c>
      <c r="E13481">
        <v>23.754000000000001</v>
      </c>
    </row>
    <row r="13482" spans="1:5">
      <c r="A13482" t="s">
        <v>42385</v>
      </c>
      <c r="B13482" t="s">
        <v>42389</v>
      </c>
      <c r="C13482">
        <v>0.48520232866399998</v>
      </c>
      <c r="D13482">
        <v>0.89481232866399996</v>
      </c>
      <c r="E13482">
        <v>23.754000000000001</v>
      </c>
    </row>
    <row r="13483" spans="1:5">
      <c r="A13483" t="s">
        <v>42385</v>
      </c>
      <c r="B13483" t="s">
        <v>42390</v>
      </c>
      <c r="C13483">
        <v>0</v>
      </c>
      <c r="D13483">
        <v>0.89481232866399996</v>
      </c>
      <c r="E13483">
        <v>23.754000000000001</v>
      </c>
    </row>
    <row r="13484" spans="1:5">
      <c r="A13484" t="s">
        <v>42385</v>
      </c>
      <c r="B13484" t="s">
        <v>42391</v>
      </c>
      <c r="C13484">
        <f>0</f>
        <v>0</v>
      </c>
      <c r="D13484">
        <v>0.89481232866399996</v>
      </c>
      <c r="E13484">
        <v>23.754000000000001</v>
      </c>
    </row>
    <row r="13485" spans="1:5">
      <c r="A13485" t="s">
        <v>42385</v>
      </c>
      <c r="B13485" t="s">
        <v>42392</v>
      </c>
      <c r="C13485">
        <f>0</f>
        <v>0</v>
      </c>
      <c r="D13485">
        <v>0.89481232866399996</v>
      </c>
      <c r="E13485">
        <v>23.754000000000001</v>
      </c>
    </row>
    <row r="13486" spans="1:5">
      <c r="A13486" t="s">
        <v>42385</v>
      </c>
      <c r="B13486" t="s">
        <v>42393</v>
      </c>
      <c r="C13486">
        <v>0</v>
      </c>
      <c r="D13486">
        <v>0.89481232866399996</v>
      </c>
      <c r="E13486">
        <v>23.754000000000001</v>
      </c>
    </row>
    <row r="13487" spans="1:5">
      <c r="A13487" t="s">
        <v>42385</v>
      </c>
      <c r="B13487" t="s">
        <v>42394</v>
      </c>
      <c r="C13487">
        <v>0</v>
      </c>
      <c r="D13487">
        <v>0.89481232866399996</v>
      </c>
      <c r="E13487">
        <v>23.754000000000001</v>
      </c>
    </row>
    <row r="13488" spans="1:5">
      <c r="A13488" t="s">
        <v>42395</v>
      </c>
      <c r="B13488" t="s">
        <v>42396</v>
      </c>
      <c r="C13488">
        <f>0</f>
        <v>0</v>
      </c>
      <c r="D13488">
        <v>0.71405054070899998</v>
      </c>
      <c r="E13488">
        <v>12.564</v>
      </c>
    </row>
    <row r="13489" spans="1:5">
      <c r="A13489" t="s">
        <v>42395</v>
      </c>
      <c r="B13489" t="s">
        <v>42397</v>
      </c>
      <c r="C13489">
        <v>0</v>
      </c>
      <c r="D13489">
        <v>0.71405054070899998</v>
      </c>
      <c r="E13489">
        <v>12.564</v>
      </c>
    </row>
    <row r="13490" spans="1:5">
      <c r="A13490" t="s">
        <v>42395</v>
      </c>
      <c r="B13490" t="s">
        <v>42398</v>
      </c>
      <c r="C13490">
        <v>7.4040540708700003E-2</v>
      </c>
      <c r="D13490">
        <v>0.71405054070899998</v>
      </c>
      <c r="E13490">
        <v>12.564</v>
      </c>
    </row>
    <row r="13491" spans="1:5">
      <c r="A13491" t="s">
        <v>42395</v>
      </c>
      <c r="B13491" t="s">
        <v>42399</v>
      </c>
      <c r="C13491">
        <f>0</f>
        <v>0</v>
      </c>
      <c r="D13491">
        <v>0.71405054070899998</v>
      </c>
      <c r="E13491">
        <v>12.564</v>
      </c>
    </row>
    <row r="13492" spans="1:5">
      <c r="A13492" t="s">
        <v>42395</v>
      </c>
      <c r="B13492" t="s">
        <v>42400</v>
      </c>
      <c r="C13492">
        <f>0</f>
        <v>0</v>
      </c>
      <c r="D13492">
        <v>0.71405054070899998</v>
      </c>
      <c r="E13492">
        <v>12.564</v>
      </c>
    </row>
    <row r="13493" spans="1:5">
      <c r="A13493" t="s">
        <v>42395</v>
      </c>
      <c r="B13493" t="s">
        <v>42401</v>
      </c>
      <c r="C13493">
        <f>0</f>
        <v>0</v>
      </c>
      <c r="D13493">
        <v>0.71405054070899998</v>
      </c>
      <c r="E13493">
        <v>12.564</v>
      </c>
    </row>
    <row r="13494" spans="1:5">
      <c r="A13494" t="s">
        <v>42395</v>
      </c>
      <c r="B13494" t="s">
        <v>42402</v>
      </c>
      <c r="C13494">
        <f>0</f>
        <v>0</v>
      </c>
      <c r="D13494">
        <v>0.71405054070899998</v>
      </c>
      <c r="E13494">
        <v>12.564</v>
      </c>
    </row>
    <row r="13495" spans="1:5">
      <c r="A13495" t="s">
        <v>42403</v>
      </c>
      <c r="B13495" t="s">
        <v>2194</v>
      </c>
      <c r="C13495">
        <f>0</f>
        <v>0</v>
      </c>
      <c r="D13495" t="s">
        <v>106</v>
      </c>
      <c r="E13495">
        <v>7.0679999999999996</v>
      </c>
    </row>
    <row r="13496" spans="1:5">
      <c r="A13496" t="s">
        <v>42403</v>
      </c>
      <c r="B13496" t="s">
        <v>2195</v>
      </c>
      <c r="C13496">
        <v>0</v>
      </c>
      <c r="D13496" t="s">
        <v>106</v>
      </c>
      <c r="E13496">
        <v>7.0679999999999996</v>
      </c>
    </row>
    <row r="13497" spans="1:5">
      <c r="A13497" t="s">
        <v>42404</v>
      </c>
      <c r="B13497" t="s">
        <v>8276</v>
      </c>
      <c r="C13497">
        <f>0</f>
        <v>0</v>
      </c>
      <c r="D13497" t="s">
        <v>106</v>
      </c>
      <c r="E13497">
        <v>24</v>
      </c>
    </row>
    <row r="13498" spans="1:5">
      <c r="A13498" t="s">
        <v>42404</v>
      </c>
      <c r="B13498" t="s">
        <v>8275</v>
      </c>
      <c r="C13498">
        <v>0</v>
      </c>
      <c r="D13498" t="s">
        <v>106</v>
      </c>
      <c r="E13498">
        <v>24</v>
      </c>
    </row>
    <row r="13499" spans="1:5">
      <c r="A13499" t="s">
        <v>42404</v>
      </c>
      <c r="B13499" t="s">
        <v>8284</v>
      </c>
      <c r="C13499">
        <v>0</v>
      </c>
      <c r="D13499" t="s">
        <v>106</v>
      </c>
      <c r="E13499">
        <v>24</v>
      </c>
    </row>
    <row r="13500" spans="1:5">
      <c r="A13500" t="s">
        <v>42404</v>
      </c>
      <c r="B13500" t="s">
        <v>8272</v>
      </c>
      <c r="C13500">
        <f>0</f>
        <v>0</v>
      </c>
      <c r="D13500" t="s">
        <v>106</v>
      </c>
      <c r="E13500">
        <v>24</v>
      </c>
    </row>
    <row r="13501" spans="1:5">
      <c r="A13501" t="s">
        <v>42404</v>
      </c>
      <c r="B13501" t="s">
        <v>8280</v>
      </c>
      <c r="C13501">
        <v>0</v>
      </c>
      <c r="D13501" t="s">
        <v>106</v>
      </c>
      <c r="E13501">
        <v>24</v>
      </c>
    </row>
    <row r="13502" spans="1:5">
      <c r="A13502" t="s">
        <v>42404</v>
      </c>
      <c r="B13502" t="s">
        <v>8278</v>
      </c>
      <c r="C13502">
        <f>0</f>
        <v>0</v>
      </c>
      <c r="D13502" t="s">
        <v>106</v>
      </c>
      <c r="E13502">
        <v>24</v>
      </c>
    </row>
    <row r="13503" spans="1:5">
      <c r="A13503" t="s">
        <v>42404</v>
      </c>
      <c r="B13503" t="s">
        <v>8282</v>
      </c>
      <c r="C13503">
        <v>0</v>
      </c>
      <c r="D13503" t="s">
        <v>106</v>
      </c>
      <c r="E13503">
        <v>24</v>
      </c>
    </row>
    <row r="13504" spans="1:5">
      <c r="A13504" t="s">
        <v>42405</v>
      </c>
      <c r="B13504" t="s">
        <v>31572</v>
      </c>
      <c r="C13504">
        <f>0</f>
        <v>0</v>
      </c>
      <c r="D13504" t="s">
        <v>106</v>
      </c>
      <c r="E13504">
        <v>23.754000000000001</v>
      </c>
    </row>
    <row r="13505" spans="1:5">
      <c r="A13505" t="s">
        <v>42405</v>
      </c>
      <c r="B13505" t="s">
        <v>31570</v>
      </c>
      <c r="C13505">
        <v>0</v>
      </c>
      <c r="D13505" t="s">
        <v>106</v>
      </c>
      <c r="E13505">
        <v>23.754000000000001</v>
      </c>
    </row>
    <row r="13506" spans="1:5">
      <c r="A13506" t="s">
        <v>42406</v>
      </c>
      <c r="B13506" t="s">
        <v>18320</v>
      </c>
      <c r="C13506">
        <v>8.0899718246499996E-2</v>
      </c>
      <c r="D13506">
        <v>0.864346333952</v>
      </c>
      <c r="E13506">
        <v>0</v>
      </c>
    </row>
    <row r="13507" spans="1:5">
      <c r="A13507" t="s">
        <v>42406</v>
      </c>
      <c r="B13507" t="s">
        <v>18321</v>
      </c>
      <c r="C13507">
        <v>0.74112833655300003</v>
      </c>
      <c r="D13507">
        <v>0.864346333952</v>
      </c>
      <c r="E13507">
        <v>0</v>
      </c>
    </row>
    <row r="13508" spans="1:5">
      <c r="A13508" t="s">
        <v>42407</v>
      </c>
      <c r="B13508" t="s">
        <v>42408</v>
      </c>
      <c r="C13508">
        <v>2.0040293991499998</v>
      </c>
      <c r="D13508">
        <v>0.98758585854100001</v>
      </c>
      <c r="E13508">
        <v>9.6180000000000003</v>
      </c>
    </row>
    <row r="13509" spans="1:5">
      <c r="A13509" t="s">
        <v>42407</v>
      </c>
      <c r="B13509" t="s">
        <v>42409</v>
      </c>
      <c r="C13509">
        <v>0.46690858497299997</v>
      </c>
      <c r="D13509">
        <v>0.98758585854100001</v>
      </c>
      <c r="E13509">
        <v>9.6180000000000003</v>
      </c>
    </row>
    <row r="13510" spans="1:5">
      <c r="A13510" t="s">
        <v>42407</v>
      </c>
      <c r="B13510" t="s">
        <v>42410</v>
      </c>
      <c r="C13510">
        <f>-1.21904193929</f>
        <v>-1.21904193929</v>
      </c>
      <c r="D13510">
        <v>0.98758585854100001</v>
      </c>
      <c r="E13510">
        <v>9.6180000000000003</v>
      </c>
    </row>
    <row r="13511" spans="1:5">
      <c r="A13511" t="s">
        <v>42407</v>
      </c>
      <c r="B13511" t="s">
        <v>42411</v>
      </c>
      <c r="C13511">
        <f>0.0332819328025</f>
        <v>3.3281932802499997E-2</v>
      </c>
      <c r="D13511">
        <v>0.98758585854100001</v>
      </c>
      <c r="E13511">
        <v>9.6180000000000003</v>
      </c>
    </row>
    <row r="13512" spans="1:5">
      <c r="A13512" t="s">
        <v>42407</v>
      </c>
      <c r="B13512" t="s">
        <v>42412</v>
      </c>
      <c r="C13512">
        <f>0.014098834639</f>
        <v>1.4098834639E-2</v>
      </c>
      <c r="D13512">
        <v>0.98758585854100001</v>
      </c>
      <c r="E13512">
        <v>9.6180000000000003</v>
      </c>
    </row>
    <row r="13513" spans="1:5">
      <c r="A13513" t="s">
        <v>42413</v>
      </c>
      <c r="B13513" t="s">
        <v>7816</v>
      </c>
      <c r="C13513">
        <v>5.3053926016399999E-3</v>
      </c>
      <c r="D13513">
        <v>0.97784686402099996</v>
      </c>
      <c r="E13513">
        <v>2.4780000000000002</v>
      </c>
    </row>
    <row r="13514" spans="1:5">
      <c r="A13514" t="s">
        <v>42413</v>
      </c>
      <c r="B13514" t="s">
        <v>7818</v>
      </c>
      <c r="C13514">
        <v>0.85055355530400001</v>
      </c>
      <c r="D13514">
        <v>0.97784686402099996</v>
      </c>
      <c r="E13514">
        <v>2.4780000000000002</v>
      </c>
    </row>
    <row r="13515" spans="1:5">
      <c r="A13515" t="s">
        <v>42413</v>
      </c>
      <c r="B13515" t="s">
        <v>7817</v>
      </c>
      <c r="C13515">
        <v>0.16292379214700001</v>
      </c>
      <c r="D13515">
        <v>0.97784686402099996</v>
      </c>
      <c r="E13515">
        <v>2.4780000000000002</v>
      </c>
    </row>
    <row r="13516" spans="1:5">
      <c r="A13516" t="s">
        <v>42413</v>
      </c>
      <c r="B13516" t="s">
        <v>7819</v>
      </c>
      <c r="C13516">
        <v>1.9561646417600002E-2</v>
      </c>
      <c r="D13516">
        <v>0.97784686402099996</v>
      </c>
      <c r="E13516">
        <v>2.4780000000000002</v>
      </c>
    </row>
    <row r="13517" spans="1:5">
      <c r="A13517" t="s">
        <v>42414</v>
      </c>
      <c r="B13517" t="s">
        <v>12346</v>
      </c>
      <c r="C13517">
        <v>0.28993065080699998</v>
      </c>
      <c r="D13517">
        <v>0.69954065080700001</v>
      </c>
      <c r="E13517">
        <v>8.58</v>
      </c>
    </row>
    <row r="13518" spans="1:5">
      <c r="A13518" t="s">
        <v>42414</v>
      </c>
      <c r="B13518" t="s">
        <v>12344</v>
      </c>
      <c r="C13518">
        <v>0</v>
      </c>
      <c r="D13518">
        <v>0.69954065080700001</v>
      </c>
      <c r="E13518">
        <v>8.58</v>
      </c>
    </row>
    <row r="13519" spans="1:5">
      <c r="A13519" t="s">
        <v>42414</v>
      </c>
      <c r="B13519" t="s">
        <v>12341</v>
      </c>
      <c r="C13519">
        <v>0</v>
      </c>
      <c r="D13519">
        <v>0.69954065080700001</v>
      </c>
      <c r="E13519">
        <v>8.58</v>
      </c>
    </row>
    <row r="13520" spans="1:5">
      <c r="A13520" t="s">
        <v>42414</v>
      </c>
      <c r="B13520" t="s">
        <v>12349</v>
      </c>
      <c r="C13520">
        <v>0</v>
      </c>
      <c r="D13520">
        <v>0.69954065080700001</v>
      </c>
      <c r="E13520">
        <v>8.58</v>
      </c>
    </row>
    <row r="13521" spans="1:5">
      <c r="A13521" t="s">
        <v>42414</v>
      </c>
      <c r="B13521" t="s">
        <v>12343</v>
      </c>
      <c r="C13521">
        <v>0</v>
      </c>
      <c r="D13521">
        <v>0.69954065080700001</v>
      </c>
      <c r="E13521">
        <v>8.58</v>
      </c>
    </row>
    <row r="13522" spans="1:5">
      <c r="A13522" t="s">
        <v>42414</v>
      </c>
      <c r="B13522" t="s">
        <v>12342</v>
      </c>
      <c r="C13522">
        <v>0</v>
      </c>
      <c r="D13522">
        <v>0.69954065080700001</v>
      </c>
      <c r="E13522">
        <v>8.58</v>
      </c>
    </row>
    <row r="13523" spans="1:5">
      <c r="A13523" t="s">
        <v>42414</v>
      </c>
      <c r="B13523" t="s">
        <v>12347</v>
      </c>
      <c r="C13523">
        <f>0</f>
        <v>0</v>
      </c>
      <c r="D13523">
        <v>0.69954065080700001</v>
      </c>
      <c r="E13523">
        <v>8.58</v>
      </c>
    </row>
    <row r="13524" spans="1:5">
      <c r="A13524" t="s">
        <v>42415</v>
      </c>
      <c r="B13524" t="s">
        <v>9043</v>
      </c>
      <c r="C13524">
        <v>0</v>
      </c>
      <c r="D13524" t="s">
        <v>106</v>
      </c>
      <c r="E13524">
        <v>16.494</v>
      </c>
    </row>
    <row r="13525" spans="1:5">
      <c r="A13525" t="s">
        <v>42415</v>
      </c>
      <c r="B13525" t="s">
        <v>9046</v>
      </c>
      <c r="C13525">
        <f>0</f>
        <v>0</v>
      </c>
      <c r="D13525" t="s">
        <v>106</v>
      </c>
      <c r="E13525">
        <v>16.494</v>
      </c>
    </row>
    <row r="13526" spans="1:5">
      <c r="A13526" t="s">
        <v>42415</v>
      </c>
      <c r="B13526" t="s">
        <v>9051</v>
      </c>
      <c r="C13526">
        <f>0</f>
        <v>0</v>
      </c>
      <c r="D13526" t="s">
        <v>106</v>
      </c>
      <c r="E13526">
        <v>16.494</v>
      </c>
    </row>
    <row r="13527" spans="1:5">
      <c r="A13527" t="s">
        <v>42415</v>
      </c>
      <c r="B13527" t="s">
        <v>9053</v>
      </c>
      <c r="C13527">
        <v>0</v>
      </c>
      <c r="D13527" t="s">
        <v>106</v>
      </c>
      <c r="E13527">
        <v>16.494</v>
      </c>
    </row>
    <row r="13528" spans="1:5">
      <c r="A13528" t="s">
        <v>42415</v>
      </c>
      <c r="B13528" t="s">
        <v>9050</v>
      </c>
      <c r="C13528">
        <f>0</f>
        <v>0</v>
      </c>
      <c r="D13528" t="s">
        <v>106</v>
      </c>
      <c r="E13528">
        <v>16.494</v>
      </c>
    </row>
    <row r="13529" spans="1:5">
      <c r="A13529" t="s">
        <v>42415</v>
      </c>
      <c r="B13529" t="s">
        <v>9052</v>
      </c>
      <c r="C13529">
        <f>0</f>
        <v>0</v>
      </c>
      <c r="D13529" t="s">
        <v>106</v>
      </c>
      <c r="E13529">
        <v>16.494</v>
      </c>
    </row>
    <row r="13530" spans="1:5">
      <c r="A13530" t="s">
        <v>42415</v>
      </c>
      <c r="B13530" t="s">
        <v>9044</v>
      </c>
      <c r="C13530">
        <v>0</v>
      </c>
      <c r="D13530" t="s">
        <v>106</v>
      </c>
      <c r="E13530">
        <v>16.494</v>
      </c>
    </row>
    <row r="13531" spans="1:5">
      <c r="A13531" t="s">
        <v>42415</v>
      </c>
      <c r="B13531" t="s">
        <v>9047</v>
      </c>
      <c r="C13531">
        <f>0</f>
        <v>0</v>
      </c>
      <c r="D13531" t="s">
        <v>106</v>
      </c>
      <c r="E13531">
        <v>16.494</v>
      </c>
    </row>
    <row r="13532" spans="1:5">
      <c r="A13532" t="s">
        <v>42415</v>
      </c>
      <c r="B13532" t="s">
        <v>9045</v>
      </c>
      <c r="C13532">
        <v>0</v>
      </c>
      <c r="D13532" t="s">
        <v>106</v>
      </c>
      <c r="E13532">
        <v>16.494</v>
      </c>
    </row>
    <row r="13533" spans="1:5">
      <c r="A13533" t="s">
        <v>42415</v>
      </c>
      <c r="B13533" t="s">
        <v>9048</v>
      </c>
      <c r="C13533">
        <f>0</f>
        <v>0</v>
      </c>
      <c r="D13533" t="s">
        <v>106</v>
      </c>
      <c r="E13533">
        <v>16.494</v>
      </c>
    </row>
    <row r="13534" spans="1:5">
      <c r="A13534" t="s">
        <v>42416</v>
      </c>
      <c r="B13534" t="s">
        <v>33454</v>
      </c>
      <c r="C13534">
        <v>0</v>
      </c>
      <c r="D13534">
        <v>0.51096055220799996</v>
      </c>
      <c r="E13534">
        <v>24</v>
      </c>
    </row>
    <row r="13535" spans="1:5">
      <c r="A13535" t="s">
        <v>42416</v>
      </c>
      <c r="B13535" t="s">
        <v>33447</v>
      </c>
      <c r="C13535">
        <v>0.21494242756900001</v>
      </c>
      <c r="D13535">
        <v>0.51096055220799996</v>
      </c>
      <c r="E13535">
        <v>24</v>
      </c>
    </row>
    <row r="13536" spans="1:5">
      <c r="A13536" t="s">
        <v>42416</v>
      </c>
      <c r="B13536" t="s">
        <v>33450</v>
      </c>
      <c r="C13536">
        <f>0.0548100670948</f>
        <v>5.4810067094799998E-2</v>
      </c>
      <c r="D13536">
        <v>0.51096055220799996</v>
      </c>
      <c r="E13536">
        <v>24</v>
      </c>
    </row>
    <row r="13537" spans="1:5">
      <c r="A13537" t="s">
        <v>42416</v>
      </c>
      <c r="B13537" t="s">
        <v>33448</v>
      </c>
      <c r="C13537">
        <v>0</v>
      </c>
      <c r="D13537">
        <v>0.51096055220799996</v>
      </c>
      <c r="E13537">
        <v>24</v>
      </c>
    </row>
    <row r="13538" spans="1:5">
      <c r="A13538" t="s">
        <v>42417</v>
      </c>
      <c r="B13538" t="s">
        <v>42418</v>
      </c>
      <c r="C13538">
        <v>0.60481600570399996</v>
      </c>
      <c r="D13538">
        <v>0.772281235196</v>
      </c>
      <c r="E13538">
        <v>23.754000000000001</v>
      </c>
    </row>
    <row r="13539" spans="1:5">
      <c r="A13539" t="s">
        <v>42417</v>
      </c>
      <c r="B13539" t="s">
        <v>42419</v>
      </c>
      <c r="C13539">
        <f>0.719877148812</f>
        <v>0.71987714881200005</v>
      </c>
      <c r="D13539">
        <v>0.772281235196</v>
      </c>
      <c r="E13539">
        <v>23.754000000000001</v>
      </c>
    </row>
    <row r="13540" spans="1:5">
      <c r="A13540" t="s">
        <v>42420</v>
      </c>
      <c r="B13540" t="s">
        <v>42421</v>
      </c>
      <c r="C13540">
        <v>0.90741120239600004</v>
      </c>
      <c r="D13540">
        <v>0.88322981237300002</v>
      </c>
      <c r="E13540">
        <v>6.06</v>
      </c>
    </row>
    <row r="13541" spans="1:5">
      <c r="A13541" t="s">
        <v>42420</v>
      </c>
      <c r="B13541" t="s">
        <v>42422</v>
      </c>
      <c r="C13541">
        <f>0.668849707267</f>
        <v>0.66884970726699999</v>
      </c>
      <c r="D13541">
        <v>0.88322981237300002</v>
      </c>
      <c r="E13541">
        <v>6.06</v>
      </c>
    </row>
    <row r="13542" spans="1:5">
      <c r="A13542" t="s">
        <v>42423</v>
      </c>
      <c r="B13542" t="s">
        <v>42424</v>
      </c>
      <c r="C13542">
        <v>0</v>
      </c>
      <c r="D13542" t="s">
        <v>106</v>
      </c>
      <c r="E13542">
        <v>4.0739999999999998</v>
      </c>
    </row>
    <row r="13543" spans="1:5">
      <c r="A13543" t="s">
        <v>42423</v>
      </c>
      <c r="B13543" t="s">
        <v>42425</v>
      </c>
      <c r="C13543">
        <v>0</v>
      </c>
      <c r="D13543" t="s">
        <v>106</v>
      </c>
      <c r="E13543">
        <v>4.0739999999999998</v>
      </c>
    </row>
    <row r="13544" spans="1:5">
      <c r="A13544" t="s">
        <v>42423</v>
      </c>
      <c r="B13544" t="s">
        <v>42426</v>
      </c>
      <c r="C13544">
        <f>0</f>
        <v>0</v>
      </c>
      <c r="D13544" t="s">
        <v>106</v>
      </c>
      <c r="E13544">
        <v>4.0739999999999998</v>
      </c>
    </row>
    <row r="13545" spans="1:5">
      <c r="A13545" t="s">
        <v>42423</v>
      </c>
      <c r="B13545" t="s">
        <v>42427</v>
      </c>
      <c r="C13545">
        <f>0</f>
        <v>0</v>
      </c>
      <c r="D13545" t="s">
        <v>106</v>
      </c>
      <c r="E13545">
        <v>4.0739999999999998</v>
      </c>
    </row>
    <row r="13546" spans="1:5">
      <c r="A13546" t="s">
        <v>42423</v>
      </c>
      <c r="B13546" t="s">
        <v>42428</v>
      </c>
      <c r="C13546">
        <v>0</v>
      </c>
      <c r="D13546" t="s">
        <v>106</v>
      </c>
      <c r="E13546">
        <v>4.0739999999999998</v>
      </c>
    </row>
    <row r="13547" spans="1:5">
      <c r="A13547" t="s">
        <v>42429</v>
      </c>
      <c r="B13547" t="s">
        <v>28337</v>
      </c>
      <c r="C13547">
        <v>0</v>
      </c>
      <c r="D13547" t="s">
        <v>106</v>
      </c>
      <c r="E13547">
        <v>24</v>
      </c>
    </row>
    <row r="13548" spans="1:5">
      <c r="A13548" t="s">
        <v>42429</v>
      </c>
      <c r="B13548" t="s">
        <v>28338</v>
      </c>
      <c r="C13548">
        <v>0</v>
      </c>
      <c r="D13548" t="s">
        <v>106</v>
      </c>
      <c r="E13548">
        <v>24</v>
      </c>
    </row>
    <row r="13549" spans="1:5">
      <c r="A13549" t="s">
        <v>42430</v>
      </c>
      <c r="B13549" t="s">
        <v>42431</v>
      </c>
      <c r="C13549">
        <f>0.378663968579</f>
        <v>0.37866396857899998</v>
      </c>
      <c r="D13549">
        <v>0.94130484212400001</v>
      </c>
      <c r="E13549">
        <v>24</v>
      </c>
    </row>
    <row r="13550" spans="1:5">
      <c r="A13550" t="s">
        <v>42430</v>
      </c>
      <c r="B13550" t="s">
        <v>42432</v>
      </c>
      <c r="C13550">
        <f>0.338621182498</f>
        <v>0.338621182498</v>
      </c>
      <c r="D13550">
        <v>0.94130484212400001</v>
      </c>
      <c r="E13550">
        <v>24</v>
      </c>
    </row>
    <row r="13551" spans="1:5">
      <c r="A13551" t="s">
        <v>42430</v>
      </c>
      <c r="B13551" t="s">
        <v>42433</v>
      </c>
      <c r="C13551">
        <v>2.1331868566600001</v>
      </c>
      <c r="D13551">
        <v>0.94130484212400001</v>
      </c>
      <c r="E13551">
        <v>24</v>
      </c>
    </row>
    <row r="13552" spans="1:5">
      <c r="A13552" t="s">
        <v>42430</v>
      </c>
      <c r="B13552" t="s">
        <v>42434</v>
      </c>
      <c r="C13552">
        <f>0.919472178594</f>
        <v>0.91947217859399999</v>
      </c>
      <c r="D13552">
        <v>0.94130484212400001</v>
      </c>
      <c r="E13552">
        <v>24</v>
      </c>
    </row>
    <row r="13553" spans="1:5">
      <c r="A13553" t="s">
        <v>42430</v>
      </c>
      <c r="B13553" t="s">
        <v>42435</v>
      </c>
      <c r="C13553">
        <v>0.24356033002899999</v>
      </c>
      <c r="D13553">
        <v>0.94130484212400001</v>
      </c>
      <c r="E13553">
        <v>24</v>
      </c>
    </row>
    <row r="13554" spans="1:5">
      <c r="A13554" t="s">
        <v>42436</v>
      </c>
      <c r="B13554" t="s">
        <v>594</v>
      </c>
      <c r="C13554">
        <v>0</v>
      </c>
      <c r="D13554">
        <v>0.82760587916700001</v>
      </c>
      <c r="E13554">
        <v>0.34799999999999998</v>
      </c>
    </row>
    <row r="13555" spans="1:5">
      <c r="A13555" t="s">
        <v>42436</v>
      </c>
      <c r="B13555" t="s">
        <v>593</v>
      </c>
      <c r="C13555">
        <v>0.78759587916700002</v>
      </c>
      <c r="D13555">
        <v>0.82760587916700001</v>
      </c>
      <c r="E13555">
        <v>0.34799999999999998</v>
      </c>
    </row>
    <row r="13556" spans="1:5">
      <c r="A13556" t="s">
        <v>42437</v>
      </c>
      <c r="B13556" t="s">
        <v>20862</v>
      </c>
      <c r="C13556">
        <v>0.74084201441599995</v>
      </c>
      <c r="D13556">
        <v>0.88131465754899996</v>
      </c>
      <c r="E13556">
        <v>24</v>
      </c>
    </row>
    <row r="13557" spans="1:5">
      <c r="A13557" t="s">
        <v>42437</v>
      </c>
      <c r="B13557" t="s">
        <v>20866</v>
      </c>
      <c r="C13557">
        <v>5.82267527361E-2</v>
      </c>
      <c r="D13557">
        <v>0.88131465754899996</v>
      </c>
      <c r="E13557">
        <v>24</v>
      </c>
    </row>
    <row r="13558" spans="1:5">
      <c r="A13558" t="s">
        <v>42437</v>
      </c>
      <c r="B13558" t="s">
        <v>20864</v>
      </c>
      <c r="C13558">
        <v>0.25969839481599999</v>
      </c>
      <c r="D13558">
        <v>0.88131465754899996</v>
      </c>
      <c r="E13558">
        <v>24</v>
      </c>
    </row>
    <row r="13559" spans="1:5">
      <c r="A13559" t="s">
        <v>42437</v>
      </c>
      <c r="B13559" t="s">
        <v>20861</v>
      </c>
      <c r="C13559">
        <f>0.188981774655</f>
        <v>0.18898177465499999</v>
      </c>
      <c r="D13559">
        <v>0.88131465754899996</v>
      </c>
      <c r="E13559">
        <v>24</v>
      </c>
    </row>
    <row r="13560" spans="1:5">
      <c r="A13560" t="s">
        <v>42438</v>
      </c>
      <c r="B13560" t="s">
        <v>42439</v>
      </c>
      <c r="C13560">
        <f>0.01304740463</f>
        <v>1.304740463E-2</v>
      </c>
      <c r="D13560">
        <v>0.69865409818299995</v>
      </c>
      <c r="E13560">
        <v>24</v>
      </c>
    </row>
    <row r="13561" spans="1:5">
      <c r="A13561" t="s">
        <v>42438</v>
      </c>
      <c r="B13561" t="s">
        <v>42440</v>
      </c>
      <c r="C13561">
        <f>0.631692906148</f>
        <v>0.631692906148</v>
      </c>
      <c r="D13561">
        <v>0.69865409818299995</v>
      </c>
      <c r="E13561">
        <v>24</v>
      </c>
    </row>
    <row r="13562" spans="1:5">
      <c r="A13562" t="s">
        <v>42441</v>
      </c>
      <c r="B13562" t="s">
        <v>42442</v>
      </c>
      <c r="C13562">
        <v>0</v>
      </c>
      <c r="D13562">
        <v>0.66209419855399998</v>
      </c>
      <c r="E13562">
        <v>0.96599999999999997</v>
      </c>
    </row>
    <row r="13563" spans="1:5">
      <c r="A13563" t="s">
        <v>42441</v>
      </c>
      <c r="B13563" t="s">
        <v>42443</v>
      </c>
      <c r="C13563">
        <v>0</v>
      </c>
      <c r="D13563">
        <v>0.66209419855399998</v>
      </c>
      <c r="E13563">
        <v>0.96599999999999997</v>
      </c>
    </row>
    <row r="13564" spans="1:5">
      <c r="A13564" t="s">
        <v>42441</v>
      </c>
      <c r="B13564" t="s">
        <v>42444</v>
      </c>
      <c r="C13564">
        <v>8.4484198553900006E-2</v>
      </c>
      <c r="D13564">
        <v>0.66209419855399998</v>
      </c>
      <c r="E13564">
        <v>0.96599999999999997</v>
      </c>
    </row>
    <row r="13565" spans="1:5">
      <c r="A13565" t="s">
        <v>42441</v>
      </c>
      <c r="B13565" t="s">
        <v>42445</v>
      </c>
      <c r="C13565">
        <f>0</f>
        <v>0</v>
      </c>
      <c r="D13565">
        <v>0.66209419855399998</v>
      </c>
      <c r="E13565">
        <v>0.96599999999999997</v>
      </c>
    </row>
    <row r="13566" spans="1:5">
      <c r="A13566" t="s">
        <v>42441</v>
      </c>
      <c r="B13566" t="s">
        <v>42446</v>
      </c>
      <c r="C13566">
        <v>0</v>
      </c>
      <c r="D13566">
        <v>0.66209419855399998</v>
      </c>
      <c r="E13566">
        <v>0.96599999999999997</v>
      </c>
    </row>
    <row r="13567" spans="1:5">
      <c r="A13567" t="s">
        <v>42441</v>
      </c>
      <c r="B13567" t="s">
        <v>42447</v>
      </c>
      <c r="C13567">
        <v>0</v>
      </c>
      <c r="D13567">
        <v>0.66209419855399998</v>
      </c>
      <c r="E13567">
        <v>0.96599999999999997</v>
      </c>
    </row>
    <row r="13568" spans="1:5">
      <c r="A13568" t="s">
        <v>42441</v>
      </c>
      <c r="B13568" t="s">
        <v>42448</v>
      </c>
      <c r="C13568">
        <v>0</v>
      </c>
      <c r="D13568">
        <v>0.66209419855399998</v>
      </c>
      <c r="E13568">
        <v>0.96599999999999997</v>
      </c>
    </row>
    <row r="13569" spans="1:5">
      <c r="A13569" t="s">
        <v>42449</v>
      </c>
      <c r="B13569" t="s">
        <v>42450</v>
      </c>
      <c r="C13569">
        <f>0.414672191935</f>
        <v>0.41467219193499999</v>
      </c>
      <c r="D13569">
        <v>0.95977425161399998</v>
      </c>
      <c r="E13569">
        <v>10.878</v>
      </c>
    </row>
    <row r="13570" spans="1:5">
      <c r="A13570" t="s">
        <v>42449</v>
      </c>
      <c r="B13570" t="s">
        <v>42451</v>
      </c>
      <c r="C13570">
        <v>1.2305082301700001</v>
      </c>
      <c r="D13570">
        <v>0.95977425161399998</v>
      </c>
      <c r="E13570">
        <v>10.878</v>
      </c>
    </row>
    <row r="13571" spans="1:5">
      <c r="A13571" t="s">
        <v>42449</v>
      </c>
      <c r="B13571" t="s">
        <v>42452</v>
      </c>
      <c r="C13571">
        <f>0.388032137929</f>
        <v>0.38803213792899999</v>
      </c>
      <c r="D13571">
        <v>0.95977425161399998</v>
      </c>
      <c r="E13571">
        <v>10.878</v>
      </c>
    </row>
    <row r="13572" spans="1:5">
      <c r="A13572" t="s">
        <v>42453</v>
      </c>
      <c r="B13572" t="s">
        <v>23564</v>
      </c>
      <c r="C13572">
        <v>0.50843342351200005</v>
      </c>
      <c r="D13572">
        <v>0.85912838927500002</v>
      </c>
      <c r="E13572">
        <v>5.9340000000000002</v>
      </c>
    </row>
    <row r="13573" spans="1:5">
      <c r="A13573" t="s">
        <v>42453</v>
      </c>
      <c r="B13573" t="s">
        <v>23563</v>
      </c>
      <c r="C13573">
        <f>0.699815059519</f>
        <v>0.69981505951900003</v>
      </c>
      <c r="D13573">
        <v>0.85912838927500002</v>
      </c>
      <c r="E13573">
        <v>5.9340000000000002</v>
      </c>
    </row>
    <row r="13574" spans="1:5">
      <c r="A13574" t="s">
        <v>42454</v>
      </c>
      <c r="B13574" t="s">
        <v>12251</v>
      </c>
      <c r="C13574">
        <v>0.202494828057</v>
      </c>
      <c r="D13574">
        <v>0.78010482805699999</v>
      </c>
      <c r="E13574">
        <v>8.1539999999999999</v>
      </c>
    </row>
    <row r="13575" spans="1:5">
      <c r="A13575" t="s">
        <v>42454</v>
      </c>
      <c r="B13575" t="s">
        <v>12250</v>
      </c>
      <c r="C13575">
        <v>0</v>
      </c>
      <c r="D13575">
        <v>0.78010482805699999</v>
      </c>
      <c r="E13575">
        <v>8.1539999999999999</v>
      </c>
    </row>
    <row r="13576" spans="1:5">
      <c r="A13576" t="s">
        <v>42454</v>
      </c>
      <c r="B13576" t="s">
        <v>12253</v>
      </c>
      <c r="C13576">
        <v>0</v>
      </c>
      <c r="D13576">
        <v>0.78010482805699999</v>
      </c>
      <c r="E13576">
        <v>8.1539999999999999</v>
      </c>
    </row>
    <row r="13577" spans="1:5">
      <c r="A13577" t="s">
        <v>42454</v>
      </c>
      <c r="B13577" t="s">
        <v>12256</v>
      </c>
      <c r="C13577">
        <v>0</v>
      </c>
      <c r="D13577">
        <v>0.78010482805699999</v>
      </c>
      <c r="E13577">
        <v>8.1539999999999999</v>
      </c>
    </row>
    <row r="13578" spans="1:5">
      <c r="A13578" t="s">
        <v>42454</v>
      </c>
      <c r="B13578" t="s">
        <v>12252</v>
      </c>
      <c r="C13578">
        <v>0</v>
      </c>
      <c r="D13578">
        <v>0.78010482805699999</v>
      </c>
      <c r="E13578">
        <v>8.1539999999999999</v>
      </c>
    </row>
    <row r="13579" spans="1:5">
      <c r="A13579" t="s">
        <v>42454</v>
      </c>
      <c r="B13579" t="s">
        <v>12255</v>
      </c>
      <c r="C13579">
        <v>0</v>
      </c>
      <c r="D13579">
        <v>0.78010482805699999</v>
      </c>
      <c r="E13579">
        <v>8.1539999999999999</v>
      </c>
    </row>
    <row r="13580" spans="1:5">
      <c r="A13580" t="s">
        <v>42454</v>
      </c>
      <c r="B13580" t="s">
        <v>12254</v>
      </c>
      <c r="C13580">
        <v>0</v>
      </c>
      <c r="D13580">
        <v>0.78010482805699999</v>
      </c>
      <c r="E13580">
        <v>8.1539999999999999</v>
      </c>
    </row>
    <row r="13581" spans="1:5">
      <c r="A13581" t="s">
        <v>42455</v>
      </c>
      <c r="B13581" t="s">
        <v>42456</v>
      </c>
      <c r="C13581">
        <f>0</f>
        <v>0</v>
      </c>
      <c r="D13581" t="s">
        <v>106</v>
      </c>
      <c r="E13581">
        <v>24</v>
      </c>
    </row>
    <row r="13582" spans="1:5">
      <c r="A13582" t="s">
        <v>42455</v>
      </c>
      <c r="B13582" t="s">
        <v>42457</v>
      </c>
      <c r="C13582">
        <f>0</f>
        <v>0</v>
      </c>
      <c r="D13582" t="s">
        <v>106</v>
      </c>
      <c r="E13582">
        <v>24</v>
      </c>
    </row>
    <row r="13583" spans="1:5">
      <c r="A13583" t="s">
        <v>42455</v>
      </c>
      <c r="B13583" t="s">
        <v>42458</v>
      </c>
      <c r="C13583">
        <f>0</f>
        <v>0</v>
      </c>
      <c r="D13583" t="s">
        <v>106</v>
      </c>
      <c r="E13583">
        <v>24</v>
      </c>
    </row>
    <row r="13584" spans="1:5">
      <c r="A13584" t="s">
        <v>42455</v>
      </c>
      <c r="B13584" t="s">
        <v>42459</v>
      </c>
      <c r="C13584">
        <f>0</f>
        <v>0</v>
      </c>
      <c r="D13584" t="s">
        <v>106</v>
      </c>
      <c r="E13584">
        <v>24</v>
      </c>
    </row>
    <row r="13585" spans="1:5">
      <c r="A13585" t="s">
        <v>42455</v>
      </c>
      <c r="B13585" t="s">
        <v>42460</v>
      </c>
      <c r="C13585">
        <f>0</f>
        <v>0</v>
      </c>
      <c r="D13585" t="s">
        <v>106</v>
      </c>
      <c r="E13585">
        <v>24</v>
      </c>
    </row>
    <row r="13586" spans="1:5">
      <c r="A13586" t="s">
        <v>42461</v>
      </c>
      <c r="B13586" t="s">
        <v>18013</v>
      </c>
      <c r="C13586">
        <v>0.40514495184600002</v>
      </c>
      <c r="D13586">
        <v>0.951966090697</v>
      </c>
      <c r="E13586">
        <v>6.06</v>
      </c>
    </row>
    <row r="13587" spans="1:5">
      <c r="A13587" t="s">
        <v>42461</v>
      </c>
      <c r="B13587" t="s">
        <v>18017</v>
      </c>
      <c r="C13587">
        <v>0.27101204033499998</v>
      </c>
      <c r="D13587">
        <v>0.951966090697</v>
      </c>
      <c r="E13587">
        <v>6.06</v>
      </c>
    </row>
    <row r="13588" spans="1:5">
      <c r="A13588" t="s">
        <v>42461</v>
      </c>
      <c r="B13588" t="s">
        <v>18020</v>
      </c>
      <c r="C13588">
        <v>0</v>
      </c>
      <c r="D13588">
        <v>0.951966090697</v>
      </c>
      <c r="E13588">
        <v>6.06</v>
      </c>
    </row>
    <row r="13589" spans="1:5">
      <c r="A13589" t="s">
        <v>42461</v>
      </c>
      <c r="B13589" t="s">
        <v>18018</v>
      </c>
      <c r="C13589">
        <v>2.2222843329699999E-2</v>
      </c>
      <c r="D13589">
        <v>0.951966090697</v>
      </c>
      <c r="E13589">
        <v>6.06</v>
      </c>
    </row>
    <row r="13590" spans="1:5">
      <c r="A13590" t="s">
        <v>42461</v>
      </c>
      <c r="B13590" t="s">
        <v>18019</v>
      </c>
      <c r="C13590">
        <v>0.43858350468099999</v>
      </c>
      <c r="D13590">
        <v>0.951966090697</v>
      </c>
      <c r="E13590">
        <v>6.06</v>
      </c>
    </row>
    <row r="13591" spans="1:5">
      <c r="A13591" t="s">
        <v>42461</v>
      </c>
      <c r="B13591" t="s">
        <v>18014</v>
      </c>
      <c r="C13591">
        <f>0.244094948548</f>
        <v>0.24409494854800001</v>
      </c>
      <c r="D13591">
        <v>0.951966090697</v>
      </c>
      <c r="E13591">
        <v>6.06</v>
      </c>
    </row>
    <row r="13592" spans="1:5">
      <c r="A13592" t="s">
        <v>42462</v>
      </c>
      <c r="B13592" t="s">
        <v>7801</v>
      </c>
      <c r="C13592">
        <f>0.568182537696</f>
        <v>0.56818253769600002</v>
      </c>
      <c r="D13592">
        <v>0.98982585268199996</v>
      </c>
      <c r="E13592">
        <v>5.1239999999999997</v>
      </c>
    </row>
    <row r="13593" spans="1:5">
      <c r="A13593" t="s">
        <v>42462</v>
      </c>
      <c r="B13593" t="s">
        <v>7804</v>
      </c>
      <c r="C13593">
        <v>0.89197709275899995</v>
      </c>
      <c r="D13593">
        <v>0.98982585268199996</v>
      </c>
      <c r="E13593">
        <v>5.1239999999999997</v>
      </c>
    </row>
    <row r="13594" spans="1:5">
      <c r="A13594" t="s">
        <v>42462</v>
      </c>
      <c r="B13594" t="s">
        <v>7802</v>
      </c>
      <c r="C13594">
        <v>1.1329537399</v>
      </c>
      <c r="D13594">
        <v>0.98982585268199996</v>
      </c>
      <c r="E13594">
        <v>5.1239999999999997</v>
      </c>
    </row>
    <row r="13595" spans="1:5">
      <c r="A13595" t="s">
        <v>42462</v>
      </c>
      <c r="B13595" t="s">
        <v>7803</v>
      </c>
      <c r="C13595">
        <f>0.706009593554</f>
        <v>0.70600959355399995</v>
      </c>
      <c r="D13595">
        <v>0.98982585268199996</v>
      </c>
      <c r="E13595">
        <v>5.1239999999999997</v>
      </c>
    </row>
    <row r="13596" spans="1:5">
      <c r="A13596" t="s">
        <v>42462</v>
      </c>
      <c r="B13596" t="s">
        <v>7806</v>
      </c>
      <c r="C13596">
        <v>2.01142279772E-2</v>
      </c>
      <c r="D13596">
        <v>0.98982585268199996</v>
      </c>
      <c r="E13596">
        <v>5.1239999999999997</v>
      </c>
    </row>
    <row r="13597" spans="1:5">
      <c r="A13597" t="s">
        <v>42463</v>
      </c>
      <c r="B13597" t="s">
        <v>6738</v>
      </c>
      <c r="C13597">
        <v>0</v>
      </c>
      <c r="D13597" t="s">
        <v>106</v>
      </c>
      <c r="E13597">
        <v>6.0000000000000001E-3</v>
      </c>
    </row>
    <row r="13598" spans="1:5">
      <c r="A13598" t="s">
        <v>42463</v>
      </c>
      <c r="B13598" t="s">
        <v>6740</v>
      </c>
      <c r="C13598">
        <f>0</f>
        <v>0</v>
      </c>
      <c r="D13598" t="s">
        <v>106</v>
      </c>
      <c r="E13598">
        <v>6.0000000000000001E-3</v>
      </c>
    </row>
    <row r="13599" spans="1:5">
      <c r="A13599" t="s">
        <v>42463</v>
      </c>
      <c r="B13599" t="s">
        <v>6741</v>
      </c>
      <c r="C13599">
        <f>0</f>
        <v>0</v>
      </c>
      <c r="D13599" t="s">
        <v>106</v>
      </c>
      <c r="E13599">
        <v>6.0000000000000001E-3</v>
      </c>
    </row>
    <row r="13600" spans="1:5">
      <c r="A13600" t="s">
        <v>42463</v>
      </c>
      <c r="B13600" t="s">
        <v>6742</v>
      </c>
      <c r="C13600">
        <f>0</f>
        <v>0</v>
      </c>
      <c r="D13600" t="s">
        <v>106</v>
      </c>
      <c r="E13600">
        <v>6.0000000000000001E-3</v>
      </c>
    </row>
    <row r="13601" spans="1:5">
      <c r="A13601" t="s">
        <v>42463</v>
      </c>
      <c r="B13601" t="s">
        <v>6739</v>
      </c>
      <c r="C13601">
        <v>0</v>
      </c>
      <c r="D13601" t="s">
        <v>106</v>
      </c>
      <c r="E13601">
        <v>6.0000000000000001E-3</v>
      </c>
    </row>
    <row r="13602" spans="1:5">
      <c r="A13602" t="s">
        <v>42464</v>
      </c>
      <c r="B13602" t="s">
        <v>9999</v>
      </c>
      <c r="C13602">
        <v>0</v>
      </c>
      <c r="D13602" t="s">
        <v>106</v>
      </c>
      <c r="E13602">
        <v>17.513999999999999</v>
      </c>
    </row>
    <row r="13603" spans="1:5">
      <c r="A13603" t="s">
        <v>42464</v>
      </c>
      <c r="B13603" t="s">
        <v>10001</v>
      </c>
      <c r="C13603">
        <v>0</v>
      </c>
      <c r="D13603" t="s">
        <v>106</v>
      </c>
      <c r="E13603">
        <v>17.513999999999999</v>
      </c>
    </row>
    <row r="13604" spans="1:5">
      <c r="A13604" t="s">
        <v>42464</v>
      </c>
      <c r="B13604" t="s">
        <v>10003</v>
      </c>
      <c r="C13604">
        <v>0</v>
      </c>
      <c r="D13604" t="s">
        <v>106</v>
      </c>
      <c r="E13604">
        <v>17.513999999999999</v>
      </c>
    </row>
    <row r="13605" spans="1:5">
      <c r="A13605" t="s">
        <v>42464</v>
      </c>
      <c r="B13605" t="s">
        <v>10002</v>
      </c>
      <c r="C13605">
        <f>0</f>
        <v>0</v>
      </c>
      <c r="D13605" t="s">
        <v>106</v>
      </c>
      <c r="E13605">
        <v>17.513999999999999</v>
      </c>
    </row>
    <row r="13606" spans="1:5">
      <c r="A13606" t="s">
        <v>42465</v>
      </c>
      <c r="B13606" t="s">
        <v>42466</v>
      </c>
      <c r="C13606">
        <v>0.68683398117399996</v>
      </c>
      <c r="D13606">
        <v>0.95644843998200002</v>
      </c>
      <c r="E13606">
        <v>6.06</v>
      </c>
    </row>
    <row r="13607" spans="1:5">
      <c r="A13607" t="s">
        <v>42465</v>
      </c>
      <c r="B13607" t="s">
        <v>42467</v>
      </c>
      <c r="C13607">
        <v>0.74897715200799997</v>
      </c>
      <c r="D13607">
        <v>0.95644843998200002</v>
      </c>
      <c r="E13607">
        <v>6.06</v>
      </c>
    </row>
    <row r="13608" spans="1:5">
      <c r="A13608" t="s">
        <v>42465</v>
      </c>
      <c r="B13608" t="s">
        <v>42468</v>
      </c>
      <c r="C13608">
        <f>0.0253503684625</f>
        <v>2.5350368462500002E-2</v>
      </c>
      <c r="D13608">
        <v>0.95644843998200002</v>
      </c>
      <c r="E13608">
        <v>6.06</v>
      </c>
    </row>
    <row r="13609" spans="1:5">
      <c r="A13609" t="s">
        <v>42465</v>
      </c>
      <c r="B13609" t="s">
        <v>42469</v>
      </c>
      <c r="C13609">
        <f>0.256047521455</f>
        <v>0.25604752145499998</v>
      </c>
      <c r="D13609">
        <v>0.95644843998200002</v>
      </c>
      <c r="E13609">
        <v>6.06</v>
      </c>
    </row>
    <row r="13610" spans="1:5">
      <c r="A13610" t="s">
        <v>42470</v>
      </c>
      <c r="B13610" t="s">
        <v>42471</v>
      </c>
      <c r="C13610">
        <v>0</v>
      </c>
      <c r="D13610" t="s">
        <v>106</v>
      </c>
      <c r="E13610">
        <v>3.3180000000000001</v>
      </c>
    </row>
    <row r="13611" spans="1:5">
      <c r="A13611" t="s">
        <v>42470</v>
      </c>
      <c r="B13611" t="s">
        <v>42472</v>
      </c>
      <c r="C13611">
        <v>0</v>
      </c>
      <c r="D13611" t="s">
        <v>106</v>
      </c>
      <c r="E13611">
        <v>3.3180000000000001</v>
      </c>
    </row>
    <row r="13612" spans="1:5">
      <c r="A13612" t="s">
        <v>42470</v>
      </c>
      <c r="B13612" t="s">
        <v>42473</v>
      </c>
      <c r="C13612">
        <v>0</v>
      </c>
      <c r="D13612" t="s">
        <v>106</v>
      </c>
      <c r="E13612">
        <v>3.3180000000000001</v>
      </c>
    </row>
    <row r="13613" spans="1:5">
      <c r="A13613" t="s">
        <v>42470</v>
      </c>
      <c r="B13613" t="s">
        <v>42474</v>
      </c>
      <c r="C13613">
        <f>0</f>
        <v>0</v>
      </c>
      <c r="D13613" t="s">
        <v>106</v>
      </c>
      <c r="E13613">
        <v>3.3180000000000001</v>
      </c>
    </row>
    <row r="13614" spans="1:5">
      <c r="A13614" t="s">
        <v>42475</v>
      </c>
      <c r="B13614" t="s">
        <v>42476</v>
      </c>
      <c r="C13614">
        <v>0</v>
      </c>
      <c r="D13614" t="s">
        <v>106</v>
      </c>
      <c r="E13614">
        <v>24</v>
      </c>
    </row>
    <row r="13615" spans="1:5">
      <c r="A13615" t="s">
        <v>42475</v>
      </c>
      <c r="B13615" t="s">
        <v>42477</v>
      </c>
      <c r="C13615">
        <f>0</f>
        <v>0</v>
      </c>
      <c r="D13615" t="s">
        <v>106</v>
      </c>
      <c r="E13615">
        <v>24</v>
      </c>
    </row>
    <row r="13616" spans="1:5">
      <c r="A13616" t="s">
        <v>42475</v>
      </c>
      <c r="B13616" t="s">
        <v>42478</v>
      </c>
      <c r="C13616">
        <f>0</f>
        <v>0</v>
      </c>
      <c r="D13616" t="s">
        <v>106</v>
      </c>
      <c r="E13616">
        <v>24</v>
      </c>
    </row>
    <row r="13617" spans="1:5">
      <c r="A13617" t="s">
        <v>42475</v>
      </c>
      <c r="B13617" t="s">
        <v>42479</v>
      </c>
      <c r="C13617">
        <v>0</v>
      </c>
      <c r="D13617" t="s">
        <v>106</v>
      </c>
      <c r="E13617">
        <v>24</v>
      </c>
    </row>
    <row r="13618" spans="1:5">
      <c r="A13618" t="s">
        <v>42480</v>
      </c>
      <c r="B13618" t="s">
        <v>957</v>
      </c>
      <c r="C13618">
        <f>0.106253716562</f>
        <v>0.106253716562</v>
      </c>
      <c r="D13618">
        <v>0.94496860177300002</v>
      </c>
      <c r="E13618">
        <v>0</v>
      </c>
    </row>
    <row r="13619" spans="1:5">
      <c r="A13619" t="s">
        <v>42480</v>
      </c>
      <c r="B13619" t="s">
        <v>958</v>
      </c>
      <c r="C13619">
        <f>0.162664186533</f>
        <v>0.16266418653299999</v>
      </c>
      <c r="D13619">
        <v>0.94496860177300002</v>
      </c>
      <c r="E13619">
        <v>0</v>
      </c>
    </row>
    <row r="13620" spans="1:5">
      <c r="A13620" t="s">
        <v>42480</v>
      </c>
      <c r="B13620" t="s">
        <v>961</v>
      </c>
      <c r="C13620">
        <f>0</f>
        <v>0</v>
      </c>
      <c r="D13620">
        <v>0.94496860177300002</v>
      </c>
      <c r="E13620">
        <v>0</v>
      </c>
    </row>
    <row r="13621" spans="1:5">
      <c r="A13621" t="s">
        <v>42480</v>
      </c>
      <c r="B13621" t="s">
        <v>959</v>
      </c>
      <c r="C13621">
        <v>0.11913098225099999</v>
      </c>
      <c r="D13621">
        <v>0.94496860177300002</v>
      </c>
      <c r="E13621">
        <v>0</v>
      </c>
    </row>
    <row r="13622" spans="1:5">
      <c r="A13622" t="s">
        <v>42480</v>
      </c>
      <c r="B13622" t="s">
        <v>963</v>
      </c>
      <c r="C13622">
        <v>0.49695630188399997</v>
      </c>
      <c r="D13622">
        <v>0.94496860177300002</v>
      </c>
      <c r="E13622">
        <v>0</v>
      </c>
    </row>
    <row r="13623" spans="1:5">
      <c r="A13623" t="s">
        <v>42480</v>
      </c>
      <c r="B13623" t="s">
        <v>962</v>
      </c>
      <c r="C13623">
        <v>0.30504884235700003</v>
      </c>
      <c r="D13623">
        <v>0.94496860177300002</v>
      </c>
      <c r="E13623">
        <v>0</v>
      </c>
    </row>
    <row r="13624" spans="1:5">
      <c r="A13624" t="s">
        <v>42481</v>
      </c>
      <c r="B13624" t="s">
        <v>22234</v>
      </c>
      <c r="C13624">
        <v>0.55570607177599995</v>
      </c>
      <c r="D13624">
        <v>0.74931607177600001</v>
      </c>
      <c r="E13624">
        <v>8.01</v>
      </c>
    </row>
    <row r="13625" spans="1:5">
      <c r="A13625" t="s">
        <v>42481</v>
      </c>
      <c r="B13625" t="s">
        <v>22232</v>
      </c>
      <c r="C13625">
        <f>0</f>
        <v>0</v>
      </c>
      <c r="D13625">
        <v>0.74931607177600001</v>
      </c>
      <c r="E13625">
        <v>8.01</v>
      </c>
    </row>
    <row r="13626" spans="1:5">
      <c r="A13626" t="s">
        <v>42481</v>
      </c>
      <c r="B13626" t="s">
        <v>22237</v>
      </c>
      <c r="C13626">
        <f>0</f>
        <v>0</v>
      </c>
      <c r="D13626">
        <v>0.74931607177600001</v>
      </c>
      <c r="E13626">
        <v>8.01</v>
      </c>
    </row>
    <row r="13627" spans="1:5">
      <c r="A13627" t="s">
        <v>42481</v>
      </c>
      <c r="B13627" t="s">
        <v>22231</v>
      </c>
      <c r="C13627">
        <v>0</v>
      </c>
      <c r="D13627">
        <v>0.74931607177600001</v>
      </c>
      <c r="E13627">
        <v>8.01</v>
      </c>
    </row>
    <row r="13628" spans="1:5">
      <c r="A13628" t="s">
        <v>42482</v>
      </c>
      <c r="B13628" t="s">
        <v>33580</v>
      </c>
      <c r="C13628">
        <v>0</v>
      </c>
      <c r="D13628">
        <v>0.89680192860499996</v>
      </c>
      <c r="E13628">
        <v>1.512</v>
      </c>
    </row>
    <row r="13629" spans="1:5">
      <c r="A13629" t="s">
        <v>42482</v>
      </c>
      <c r="B13629" t="s">
        <v>33584</v>
      </c>
      <c r="C13629">
        <f>0.745028482166</f>
        <v>0.74502848216600004</v>
      </c>
      <c r="D13629">
        <v>0.89680192860499996</v>
      </c>
      <c r="E13629">
        <v>1.512</v>
      </c>
    </row>
    <row r="13630" spans="1:5">
      <c r="A13630" t="s">
        <v>42482</v>
      </c>
      <c r="B13630" t="s">
        <v>33582</v>
      </c>
      <c r="C13630">
        <v>0.22008062883900001</v>
      </c>
      <c r="D13630">
        <v>0.89680192860499996</v>
      </c>
      <c r="E13630">
        <v>1.512</v>
      </c>
    </row>
    <row r="13631" spans="1:5">
      <c r="A13631" t="s">
        <v>42482</v>
      </c>
      <c r="B13631" t="s">
        <v>33581</v>
      </c>
      <c r="C13631">
        <v>0</v>
      </c>
      <c r="D13631">
        <v>0.89680192860499996</v>
      </c>
      <c r="E13631">
        <v>1.512</v>
      </c>
    </row>
    <row r="13632" spans="1:5">
      <c r="A13632" t="s">
        <v>42483</v>
      </c>
      <c r="B13632" t="s">
        <v>10371</v>
      </c>
      <c r="C13632">
        <v>0.51593999937000001</v>
      </c>
      <c r="D13632">
        <v>0.89070121136199998</v>
      </c>
      <c r="E13632">
        <v>10.715999999999999</v>
      </c>
    </row>
    <row r="13633" spans="1:5">
      <c r="A13633" t="s">
        <v>42483</v>
      </c>
      <c r="B13633" t="s">
        <v>10365</v>
      </c>
      <c r="C13633">
        <v>0.48877073290900003</v>
      </c>
      <c r="D13633">
        <v>0.89070121136199998</v>
      </c>
      <c r="E13633">
        <v>10.715999999999999</v>
      </c>
    </row>
    <row r="13634" spans="1:5">
      <c r="A13634" t="s">
        <v>42483</v>
      </c>
      <c r="B13634" t="s">
        <v>10366</v>
      </c>
      <c r="C13634">
        <f>0.103777886116</f>
        <v>0.103777886116</v>
      </c>
      <c r="D13634">
        <v>0.89070121136199998</v>
      </c>
      <c r="E13634">
        <v>10.715999999999999</v>
      </c>
    </row>
    <row r="13635" spans="1:5">
      <c r="A13635" t="s">
        <v>42484</v>
      </c>
      <c r="B13635" t="s">
        <v>32029</v>
      </c>
      <c r="C13635">
        <v>0</v>
      </c>
      <c r="D13635" t="s">
        <v>106</v>
      </c>
      <c r="E13635">
        <v>24</v>
      </c>
    </row>
    <row r="13636" spans="1:5">
      <c r="A13636" t="s">
        <v>42484</v>
      </c>
      <c r="B13636" t="s">
        <v>32028</v>
      </c>
      <c r="C13636">
        <f>0</f>
        <v>0</v>
      </c>
      <c r="D13636" t="s">
        <v>106</v>
      </c>
      <c r="E13636">
        <v>24</v>
      </c>
    </row>
    <row r="13637" spans="1:5">
      <c r="A13637" t="s">
        <v>42485</v>
      </c>
      <c r="B13637" t="s">
        <v>23625</v>
      </c>
      <c r="C13637">
        <v>0.39425534322900002</v>
      </c>
      <c r="D13637">
        <v>0.92432332172999998</v>
      </c>
      <c r="E13637">
        <v>0</v>
      </c>
    </row>
    <row r="13638" spans="1:5">
      <c r="A13638" t="s">
        <v>42485</v>
      </c>
      <c r="B13638" t="s">
        <v>23627</v>
      </c>
      <c r="C13638">
        <v>0.65524701808200003</v>
      </c>
      <c r="D13638">
        <v>0.92432332172999998</v>
      </c>
      <c r="E13638">
        <v>0</v>
      </c>
    </row>
    <row r="13639" spans="1:5">
      <c r="A13639" t="s">
        <v>42485</v>
      </c>
      <c r="B13639" t="s">
        <v>23628</v>
      </c>
      <c r="C13639">
        <f>0.411032475653</f>
        <v>0.411032475653</v>
      </c>
      <c r="D13639">
        <v>0.92432332172999998</v>
      </c>
      <c r="E13639">
        <v>0</v>
      </c>
    </row>
    <row r="13640" spans="1:5">
      <c r="A13640" t="s">
        <v>42486</v>
      </c>
      <c r="B13640" t="s">
        <v>24093</v>
      </c>
      <c r="C13640">
        <f>0.842335406249</f>
        <v>0.84233540624900005</v>
      </c>
      <c r="D13640">
        <v>0.93553839094500002</v>
      </c>
      <c r="E13640">
        <v>0</v>
      </c>
    </row>
    <row r="13641" spans="1:5">
      <c r="A13641" t="s">
        <v>42486</v>
      </c>
      <c r="B13641" t="s">
        <v>24088</v>
      </c>
      <c r="C13641">
        <v>0.76785162419099995</v>
      </c>
      <c r="D13641">
        <v>0.93553839094500002</v>
      </c>
      <c r="E13641">
        <v>0</v>
      </c>
    </row>
    <row r="13642" spans="1:5">
      <c r="A13642" t="s">
        <v>42486</v>
      </c>
      <c r="B13642" t="s">
        <v>24089</v>
      </c>
      <c r="C13642">
        <f>0.921671536829</f>
        <v>0.92167153682900005</v>
      </c>
      <c r="D13642">
        <v>0.93553839094500002</v>
      </c>
      <c r="E13642">
        <v>0</v>
      </c>
    </row>
    <row r="13643" spans="1:5">
      <c r="A13643" t="s">
        <v>42487</v>
      </c>
      <c r="B13643" t="s">
        <v>29161</v>
      </c>
      <c r="C13643">
        <v>0</v>
      </c>
      <c r="D13643">
        <v>0.916690883156</v>
      </c>
      <c r="E13643">
        <v>4.8000000000000001E-2</v>
      </c>
    </row>
    <row r="13644" spans="1:5">
      <c r="A13644" t="s">
        <v>42487</v>
      </c>
      <c r="B13644" t="s">
        <v>29157</v>
      </c>
      <c r="C13644">
        <v>0.54170537373600003</v>
      </c>
      <c r="D13644">
        <v>0.916690883156</v>
      </c>
      <c r="E13644">
        <v>4.8000000000000001E-2</v>
      </c>
    </row>
    <row r="13645" spans="1:5">
      <c r="A13645" t="s">
        <v>42487</v>
      </c>
      <c r="B13645" t="s">
        <v>29158</v>
      </c>
      <c r="C13645">
        <f>0.397448968373</f>
        <v>0.39744896837299998</v>
      </c>
      <c r="D13645">
        <v>0.916690883156</v>
      </c>
      <c r="E13645">
        <v>4.8000000000000001E-2</v>
      </c>
    </row>
    <row r="13646" spans="1:5">
      <c r="A13646" t="s">
        <v>42487</v>
      </c>
      <c r="B13646" t="s">
        <v>29162</v>
      </c>
      <c r="C13646">
        <v>0.95403831873900002</v>
      </c>
      <c r="D13646">
        <v>0.916690883156</v>
      </c>
      <c r="E13646">
        <v>4.8000000000000001E-2</v>
      </c>
    </row>
    <row r="13647" spans="1:5">
      <c r="A13647" t="s">
        <v>42488</v>
      </c>
      <c r="B13647" t="s">
        <v>10772</v>
      </c>
      <c r="C13647">
        <f>0.679845879916</f>
        <v>0.67984587991599998</v>
      </c>
      <c r="D13647">
        <v>0.99192205434799996</v>
      </c>
      <c r="E13647">
        <v>20.292000000000002</v>
      </c>
    </row>
    <row r="13648" spans="1:5">
      <c r="A13648" t="s">
        <v>42488</v>
      </c>
      <c r="B13648" t="s">
        <v>10777</v>
      </c>
      <c r="C13648">
        <v>0.79276078495900004</v>
      </c>
      <c r="D13648">
        <v>0.99192205434799996</v>
      </c>
      <c r="E13648">
        <v>20.292000000000002</v>
      </c>
    </row>
    <row r="13649" spans="1:5">
      <c r="A13649" t="s">
        <v>42488</v>
      </c>
      <c r="B13649" t="s">
        <v>10773</v>
      </c>
      <c r="C13649">
        <v>6.1314079837199997E-3</v>
      </c>
      <c r="D13649">
        <v>0.99192205434799996</v>
      </c>
      <c r="E13649">
        <v>20.292000000000002</v>
      </c>
    </row>
    <row r="13650" spans="1:5">
      <c r="A13650" t="s">
        <v>42488</v>
      </c>
      <c r="B13650" t="s">
        <v>10776</v>
      </c>
      <c r="C13650">
        <f>0.650991621608</f>
        <v>0.65099162160799995</v>
      </c>
      <c r="D13650">
        <v>0.99192205434799996</v>
      </c>
      <c r="E13650">
        <v>20.292000000000002</v>
      </c>
    </row>
    <row r="13651" spans="1:5">
      <c r="A13651" t="s">
        <v>42488</v>
      </c>
      <c r="B13651" t="s">
        <v>10779</v>
      </c>
      <c r="C13651">
        <f>-1.47137256189</f>
        <v>-1.47137256189</v>
      </c>
      <c r="D13651">
        <v>0.99192205434799996</v>
      </c>
      <c r="E13651">
        <v>20.292000000000002</v>
      </c>
    </row>
    <row r="13652" spans="1:5">
      <c r="A13652" t="s">
        <v>42489</v>
      </c>
      <c r="B13652" t="s">
        <v>17657</v>
      </c>
      <c r="C13652">
        <f>0</f>
        <v>0</v>
      </c>
      <c r="D13652">
        <v>0.65480426372900002</v>
      </c>
      <c r="E13652">
        <v>24</v>
      </c>
    </row>
    <row r="13653" spans="1:5">
      <c r="A13653" t="s">
        <v>42489</v>
      </c>
      <c r="B13653" t="s">
        <v>17659</v>
      </c>
      <c r="C13653">
        <v>0.13639426372899999</v>
      </c>
      <c r="D13653">
        <v>0.65480426372900002</v>
      </c>
      <c r="E13653">
        <v>24</v>
      </c>
    </row>
    <row r="13654" spans="1:5">
      <c r="A13654" t="s">
        <v>42489</v>
      </c>
      <c r="B13654" t="s">
        <v>17653</v>
      </c>
      <c r="C13654">
        <f>0</f>
        <v>0</v>
      </c>
      <c r="D13654">
        <v>0.65480426372900002</v>
      </c>
      <c r="E13654">
        <v>24</v>
      </c>
    </row>
    <row r="13655" spans="1:5">
      <c r="A13655" t="s">
        <v>42490</v>
      </c>
      <c r="B13655" t="s">
        <v>18090</v>
      </c>
      <c r="C13655">
        <f>0.26312076894</f>
        <v>0.26312076894000003</v>
      </c>
      <c r="D13655">
        <v>0.87196506204900004</v>
      </c>
      <c r="E13655">
        <v>10.715999999999999</v>
      </c>
    </row>
    <row r="13656" spans="1:5">
      <c r="A13656" t="s">
        <v>42490</v>
      </c>
      <c r="B13656" t="s">
        <v>18089</v>
      </c>
      <c r="C13656">
        <f>0.593993594931</f>
        <v>0.59399359493100001</v>
      </c>
      <c r="D13656">
        <v>0.87196506204900004</v>
      </c>
      <c r="E13656">
        <v>10.715999999999999</v>
      </c>
    </row>
    <row r="13657" spans="1:5">
      <c r="A13657" t="s">
        <v>42490</v>
      </c>
      <c r="B13657" t="s">
        <v>18095</v>
      </c>
      <c r="C13657">
        <v>0</v>
      </c>
      <c r="D13657">
        <v>0.87196506204900004</v>
      </c>
      <c r="E13657">
        <v>10.715999999999999</v>
      </c>
    </row>
    <row r="13658" spans="1:5">
      <c r="A13658" t="s">
        <v>42490</v>
      </c>
      <c r="B13658" t="s">
        <v>18094</v>
      </c>
      <c r="C13658">
        <f>0.150769233204</f>
        <v>0.15076923320400001</v>
      </c>
      <c r="D13658">
        <v>0.87196506204900004</v>
      </c>
      <c r="E13658">
        <v>10.715999999999999</v>
      </c>
    </row>
    <row r="13659" spans="1:5">
      <c r="A13659" t="s">
        <v>42491</v>
      </c>
      <c r="B13659" t="s">
        <v>42492</v>
      </c>
      <c r="C13659">
        <f>0</f>
        <v>0</v>
      </c>
      <c r="D13659" t="s">
        <v>106</v>
      </c>
      <c r="E13659">
        <v>24</v>
      </c>
    </row>
    <row r="13660" spans="1:5">
      <c r="A13660" t="s">
        <v>42491</v>
      </c>
      <c r="B13660" t="s">
        <v>42493</v>
      </c>
      <c r="C13660">
        <v>0</v>
      </c>
      <c r="D13660" t="s">
        <v>106</v>
      </c>
      <c r="E13660">
        <v>24</v>
      </c>
    </row>
    <row r="13661" spans="1:5">
      <c r="A13661" t="s">
        <v>42491</v>
      </c>
      <c r="B13661" t="s">
        <v>42494</v>
      </c>
      <c r="C13661">
        <v>0</v>
      </c>
      <c r="D13661" t="s">
        <v>106</v>
      </c>
      <c r="E13661">
        <v>24</v>
      </c>
    </row>
    <row r="13662" spans="1:5">
      <c r="A13662" t="s">
        <v>42491</v>
      </c>
      <c r="B13662" t="s">
        <v>42495</v>
      </c>
      <c r="C13662">
        <v>0</v>
      </c>
      <c r="D13662" t="s">
        <v>106</v>
      </c>
      <c r="E13662">
        <v>24</v>
      </c>
    </row>
    <row r="13663" spans="1:5">
      <c r="A13663" t="s">
        <v>42496</v>
      </c>
      <c r="B13663" t="s">
        <v>42497</v>
      </c>
      <c r="C13663">
        <f>0</f>
        <v>0</v>
      </c>
      <c r="D13663" t="s">
        <v>106</v>
      </c>
      <c r="E13663">
        <v>2.4</v>
      </c>
    </row>
    <row r="13664" spans="1:5">
      <c r="A13664" t="s">
        <v>42496</v>
      </c>
      <c r="B13664" t="s">
        <v>42498</v>
      </c>
      <c r="C13664">
        <v>0</v>
      </c>
      <c r="D13664" t="s">
        <v>106</v>
      </c>
      <c r="E13664">
        <v>2.4</v>
      </c>
    </row>
    <row r="13665" spans="1:5">
      <c r="A13665" t="s">
        <v>42496</v>
      </c>
      <c r="B13665" t="s">
        <v>42499</v>
      </c>
      <c r="C13665">
        <v>0</v>
      </c>
      <c r="D13665" t="s">
        <v>106</v>
      </c>
      <c r="E13665">
        <v>2.4</v>
      </c>
    </row>
    <row r="13666" spans="1:5">
      <c r="A13666" t="s">
        <v>42496</v>
      </c>
      <c r="B13666" t="s">
        <v>42500</v>
      </c>
      <c r="C13666">
        <v>0</v>
      </c>
      <c r="D13666" t="s">
        <v>106</v>
      </c>
      <c r="E13666">
        <v>2.4</v>
      </c>
    </row>
    <row r="13667" spans="1:5">
      <c r="A13667" t="s">
        <v>42496</v>
      </c>
      <c r="B13667" t="s">
        <v>42501</v>
      </c>
      <c r="C13667">
        <f>0</f>
        <v>0</v>
      </c>
      <c r="D13667" t="s">
        <v>106</v>
      </c>
      <c r="E13667">
        <v>2.4</v>
      </c>
    </row>
    <row r="13668" spans="1:5">
      <c r="A13668" t="s">
        <v>42496</v>
      </c>
      <c r="B13668" t="s">
        <v>42502</v>
      </c>
      <c r="C13668">
        <f>0</f>
        <v>0</v>
      </c>
      <c r="D13668" t="s">
        <v>106</v>
      </c>
      <c r="E13668">
        <v>2.4</v>
      </c>
    </row>
    <row r="13669" spans="1:5">
      <c r="A13669" t="s">
        <v>42496</v>
      </c>
      <c r="B13669" t="s">
        <v>42503</v>
      </c>
      <c r="C13669">
        <v>0</v>
      </c>
      <c r="D13669" t="s">
        <v>106</v>
      </c>
      <c r="E13669">
        <v>2.4</v>
      </c>
    </row>
    <row r="13670" spans="1:5">
      <c r="A13670" t="s">
        <v>42496</v>
      </c>
      <c r="B13670" t="s">
        <v>42504</v>
      </c>
      <c r="C13670">
        <v>0</v>
      </c>
      <c r="D13670" t="s">
        <v>106</v>
      </c>
      <c r="E13670">
        <v>2.4</v>
      </c>
    </row>
    <row r="13671" spans="1:5">
      <c r="A13671" t="s">
        <v>42496</v>
      </c>
      <c r="B13671" t="s">
        <v>42505</v>
      </c>
      <c r="C13671">
        <v>0</v>
      </c>
      <c r="D13671" t="s">
        <v>106</v>
      </c>
      <c r="E13671">
        <v>2.4</v>
      </c>
    </row>
    <row r="13672" spans="1:5">
      <c r="A13672" t="s">
        <v>42506</v>
      </c>
      <c r="B13672" t="s">
        <v>42507</v>
      </c>
      <c r="C13672">
        <v>0</v>
      </c>
      <c r="D13672" t="s">
        <v>106</v>
      </c>
      <c r="E13672">
        <v>3.3180000000000001</v>
      </c>
    </row>
    <row r="13673" spans="1:5">
      <c r="A13673" t="s">
        <v>42506</v>
      </c>
      <c r="B13673" t="s">
        <v>42508</v>
      </c>
      <c r="C13673">
        <v>0</v>
      </c>
      <c r="D13673" t="s">
        <v>106</v>
      </c>
      <c r="E13673">
        <v>3.3180000000000001</v>
      </c>
    </row>
    <row r="13674" spans="1:5">
      <c r="A13674" t="s">
        <v>42506</v>
      </c>
      <c r="B13674" t="s">
        <v>42509</v>
      </c>
      <c r="C13674">
        <f>0</f>
        <v>0</v>
      </c>
      <c r="D13674" t="s">
        <v>106</v>
      </c>
      <c r="E13674">
        <v>3.3180000000000001</v>
      </c>
    </row>
    <row r="13675" spans="1:5">
      <c r="A13675" t="s">
        <v>42510</v>
      </c>
      <c r="B13675" t="s">
        <v>9820</v>
      </c>
      <c r="C13675">
        <f>0</f>
        <v>0</v>
      </c>
      <c r="D13675">
        <v>0.768696152736</v>
      </c>
      <c r="E13675">
        <v>12.048</v>
      </c>
    </row>
    <row r="13676" spans="1:5">
      <c r="A13676" t="s">
        <v>42510</v>
      </c>
      <c r="B13676" t="s">
        <v>9828</v>
      </c>
      <c r="C13676">
        <f>0.489759945441</f>
        <v>0.48975994544099999</v>
      </c>
      <c r="D13676">
        <v>0.768696152736</v>
      </c>
      <c r="E13676">
        <v>12.048</v>
      </c>
    </row>
    <row r="13677" spans="1:5">
      <c r="A13677" t="s">
        <v>42510</v>
      </c>
      <c r="B13677" t="s">
        <v>9831</v>
      </c>
      <c r="C13677">
        <v>0.14051029038900001</v>
      </c>
      <c r="D13677">
        <v>0.768696152736</v>
      </c>
      <c r="E13677">
        <v>12.048</v>
      </c>
    </row>
    <row r="13678" spans="1:5">
      <c r="A13678" t="s">
        <v>42510</v>
      </c>
      <c r="B13678" t="s">
        <v>9830</v>
      </c>
      <c r="C13678">
        <v>1.6938670604800001E-2</v>
      </c>
      <c r="D13678">
        <v>0.768696152736</v>
      </c>
      <c r="E13678">
        <v>12.048</v>
      </c>
    </row>
    <row r="13679" spans="1:5">
      <c r="A13679" t="s">
        <v>42511</v>
      </c>
      <c r="B13679" t="s">
        <v>42512</v>
      </c>
      <c r="C13679">
        <f>0</f>
        <v>0</v>
      </c>
      <c r="D13679" t="s">
        <v>106</v>
      </c>
      <c r="E13679">
        <v>12.215999999999999</v>
      </c>
    </row>
    <row r="13680" spans="1:5">
      <c r="A13680" t="s">
        <v>42511</v>
      </c>
      <c r="B13680" t="s">
        <v>42513</v>
      </c>
      <c r="C13680">
        <f>0</f>
        <v>0</v>
      </c>
      <c r="D13680" t="s">
        <v>106</v>
      </c>
      <c r="E13680">
        <v>12.215999999999999</v>
      </c>
    </row>
    <row r="13681" spans="1:5">
      <c r="A13681" t="s">
        <v>42511</v>
      </c>
      <c r="B13681" t="s">
        <v>42514</v>
      </c>
      <c r="C13681">
        <f>0</f>
        <v>0</v>
      </c>
      <c r="D13681" t="s">
        <v>106</v>
      </c>
      <c r="E13681">
        <v>12.215999999999999</v>
      </c>
    </row>
    <row r="13682" spans="1:5">
      <c r="A13682" t="s">
        <v>42511</v>
      </c>
      <c r="B13682" t="s">
        <v>42515</v>
      </c>
      <c r="C13682">
        <f>0</f>
        <v>0</v>
      </c>
      <c r="D13682" t="s">
        <v>106</v>
      </c>
      <c r="E13682">
        <v>12.215999999999999</v>
      </c>
    </row>
    <row r="13683" spans="1:5">
      <c r="A13683" t="s">
        <v>42511</v>
      </c>
      <c r="B13683" t="s">
        <v>42516</v>
      </c>
      <c r="C13683">
        <v>0</v>
      </c>
      <c r="D13683" t="s">
        <v>106</v>
      </c>
      <c r="E13683">
        <v>12.215999999999999</v>
      </c>
    </row>
    <row r="13684" spans="1:5">
      <c r="A13684" t="s">
        <v>42511</v>
      </c>
      <c r="B13684" t="s">
        <v>42517</v>
      </c>
      <c r="C13684">
        <f>0</f>
        <v>0</v>
      </c>
      <c r="D13684" t="s">
        <v>106</v>
      </c>
      <c r="E13684">
        <v>12.215999999999999</v>
      </c>
    </row>
    <row r="13685" spans="1:5">
      <c r="A13685" t="s">
        <v>42518</v>
      </c>
      <c r="B13685" t="s">
        <v>42519</v>
      </c>
      <c r="C13685">
        <v>0.72068036785900003</v>
      </c>
      <c r="D13685">
        <v>0.99986137313400003</v>
      </c>
      <c r="E13685">
        <v>1.17</v>
      </c>
    </row>
    <row r="13686" spans="1:5">
      <c r="A13686" t="s">
        <v>42518</v>
      </c>
      <c r="B13686" t="s">
        <v>42520</v>
      </c>
      <c r="C13686">
        <v>0.83702636208900005</v>
      </c>
      <c r="D13686">
        <v>0.99986137313400003</v>
      </c>
      <c r="E13686">
        <v>1.17</v>
      </c>
    </row>
    <row r="13687" spans="1:5">
      <c r="A13687" t="s">
        <v>42518</v>
      </c>
      <c r="B13687" t="s">
        <v>42521</v>
      </c>
      <c r="C13687">
        <f>0.185219923381</f>
        <v>0.18521992338099999</v>
      </c>
      <c r="D13687">
        <v>0.99986137313400003</v>
      </c>
      <c r="E13687">
        <v>1.17</v>
      </c>
    </row>
    <row r="13688" spans="1:5">
      <c r="A13688" t="s">
        <v>42518</v>
      </c>
      <c r="B13688" t="s">
        <v>42522</v>
      </c>
      <c r="C13688">
        <v>0.50408771170300004</v>
      </c>
      <c r="D13688">
        <v>0.99986137313400003</v>
      </c>
      <c r="E13688">
        <v>1.17</v>
      </c>
    </row>
    <row r="13689" spans="1:5">
      <c r="A13689" t="s">
        <v>42518</v>
      </c>
      <c r="B13689" t="s">
        <v>42523</v>
      </c>
      <c r="C13689">
        <f>0.708760534994</f>
        <v>0.70876053499400005</v>
      </c>
      <c r="D13689">
        <v>0.99986137313400003</v>
      </c>
      <c r="E13689">
        <v>1.17</v>
      </c>
    </row>
    <row r="13690" spans="1:5">
      <c r="A13690" t="s">
        <v>42518</v>
      </c>
      <c r="B13690" t="s">
        <v>42524</v>
      </c>
      <c r="C13690">
        <f>-1.12482207127</f>
        <v>-1.1248220712699999</v>
      </c>
      <c r="D13690">
        <v>0.99986137313400003</v>
      </c>
      <c r="E13690">
        <v>1.17</v>
      </c>
    </row>
    <row r="13691" spans="1:5">
      <c r="A13691" t="s">
        <v>42518</v>
      </c>
      <c r="B13691" t="s">
        <v>42525</v>
      </c>
      <c r="C13691">
        <v>0</v>
      </c>
      <c r="D13691">
        <v>0.99986137313400003</v>
      </c>
      <c r="E13691">
        <v>1.17</v>
      </c>
    </row>
    <row r="13692" spans="1:5">
      <c r="A13692" t="s">
        <v>42518</v>
      </c>
      <c r="B13692" t="s">
        <v>42526</v>
      </c>
      <c r="C13692">
        <v>0.42492333153200001</v>
      </c>
      <c r="D13692">
        <v>0.99986137313400003</v>
      </c>
      <c r="E13692">
        <v>1.17</v>
      </c>
    </row>
    <row r="13693" spans="1:5">
      <c r="A13693" t="s">
        <v>42518</v>
      </c>
      <c r="B13693" t="s">
        <v>42527</v>
      </c>
      <c r="C13693">
        <v>9.0076821124099996E-2</v>
      </c>
      <c r="D13693">
        <v>0.99986137313400003</v>
      </c>
      <c r="E13693">
        <v>1.17</v>
      </c>
    </row>
    <row r="13694" spans="1:5">
      <c r="A13694" t="s">
        <v>42528</v>
      </c>
      <c r="B13694" t="s">
        <v>1985</v>
      </c>
      <c r="C13694">
        <v>0</v>
      </c>
      <c r="D13694" t="s">
        <v>106</v>
      </c>
      <c r="E13694">
        <v>6.9359999999999999</v>
      </c>
    </row>
    <row r="13695" spans="1:5">
      <c r="A13695" t="s">
        <v>42528</v>
      </c>
      <c r="B13695" t="s">
        <v>1982</v>
      </c>
      <c r="C13695">
        <f>0</f>
        <v>0</v>
      </c>
      <c r="D13695" t="s">
        <v>106</v>
      </c>
      <c r="E13695">
        <v>6.9359999999999999</v>
      </c>
    </row>
    <row r="13696" spans="1:5">
      <c r="A13696" t="s">
        <v>42528</v>
      </c>
      <c r="B13696" t="s">
        <v>1981</v>
      </c>
      <c r="C13696">
        <f>0</f>
        <v>0</v>
      </c>
      <c r="D13696" t="s">
        <v>106</v>
      </c>
      <c r="E13696">
        <v>6.9359999999999999</v>
      </c>
    </row>
    <row r="13697" spans="1:5">
      <c r="A13697" t="s">
        <v>42528</v>
      </c>
      <c r="B13697" t="s">
        <v>1980</v>
      </c>
      <c r="C13697">
        <v>0</v>
      </c>
      <c r="D13697" t="s">
        <v>106</v>
      </c>
      <c r="E13697">
        <v>6.9359999999999999</v>
      </c>
    </row>
    <row r="13698" spans="1:5">
      <c r="A13698" t="s">
        <v>42528</v>
      </c>
      <c r="B13698" t="s">
        <v>1990</v>
      </c>
      <c r="C13698">
        <f>0</f>
        <v>0</v>
      </c>
      <c r="D13698" t="s">
        <v>106</v>
      </c>
      <c r="E13698">
        <v>6.9359999999999999</v>
      </c>
    </row>
    <row r="13699" spans="1:5">
      <c r="A13699" t="s">
        <v>42528</v>
      </c>
      <c r="B13699" t="s">
        <v>1989</v>
      </c>
      <c r="C13699">
        <v>0</v>
      </c>
      <c r="D13699" t="s">
        <v>106</v>
      </c>
      <c r="E13699">
        <v>6.9359999999999999</v>
      </c>
    </row>
    <row r="13700" spans="1:5">
      <c r="A13700" t="s">
        <v>42528</v>
      </c>
      <c r="B13700" t="s">
        <v>1984</v>
      </c>
      <c r="C13700">
        <f>0</f>
        <v>0</v>
      </c>
      <c r="D13700" t="s">
        <v>106</v>
      </c>
      <c r="E13700">
        <v>6.9359999999999999</v>
      </c>
    </row>
    <row r="13701" spans="1:5">
      <c r="A13701" t="s">
        <v>42529</v>
      </c>
      <c r="B13701" t="s">
        <v>27587</v>
      </c>
      <c r="C13701">
        <v>0</v>
      </c>
      <c r="D13701" t="s">
        <v>106</v>
      </c>
      <c r="E13701">
        <v>10.878</v>
      </c>
    </row>
    <row r="13702" spans="1:5">
      <c r="A13702" t="s">
        <v>42529</v>
      </c>
      <c r="B13702" t="s">
        <v>27586</v>
      </c>
      <c r="C13702">
        <v>0</v>
      </c>
      <c r="D13702" t="s">
        <v>106</v>
      </c>
      <c r="E13702">
        <v>10.878</v>
      </c>
    </row>
    <row r="13703" spans="1:5">
      <c r="A13703" t="s">
        <v>42529</v>
      </c>
      <c r="B13703" t="s">
        <v>27593</v>
      </c>
      <c r="C13703">
        <f>0</f>
        <v>0</v>
      </c>
      <c r="D13703" t="s">
        <v>106</v>
      </c>
      <c r="E13703">
        <v>10.878</v>
      </c>
    </row>
    <row r="13704" spans="1:5">
      <c r="A13704" t="s">
        <v>42529</v>
      </c>
      <c r="B13704" t="s">
        <v>27588</v>
      </c>
      <c r="C13704">
        <f>0</f>
        <v>0</v>
      </c>
      <c r="D13704" t="s">
        <v>106</v>
      </c>
      <c r="E13704">
        <v>10.878</v>
      </c>
    </row>
    <row r="13705" spans="1:5">
      <c r="A13705" t="s">
        <v>42529</v>
      </c>
      <c r="B13705" t="s">
        <v>27589</v>
      </c>
      <c r="C13705">
        <v>0</v>
      </c>
      <c r="D13705" t="s">
        <v>106</v>
      </c>
      <c r="E13705">
        <v>10.878</v>
      </c>
    </row>
    <row r="13706" spans="1:5">
      <c r="A13706" t="s">
        <v>42530</v>
      </c>
      <c r="B13706" t="s">
        <v>42531</v>
      </c>
      <c r="C13706">
        <f>0.529334310565</f>
        <v>0.52933431056500002</v>
      </c>
      <c r="D13706">
        <v>0.97679765826599996</v>
      </c>
      <c r="E13706">
        <v>18.138000000000002</v>
      </c>
    </row>
    <row r="13707" spans="1:5">
      <c r="A13707" t="s">
        <v>42530</v>
      </c>
      <c r="B13707" t="s">
        <v>42532</v>
      </c>
      <c r="C13707">
        <v>0</v>
      </c>
      <c r="D13707">
        <v>0.97679765826599996</v>
      </c>
      <c r="E13707">
        <v>18.138000000000002</v>
      </c>
    </row>
    <row r="13708" spans="1:5">
      <c r="A13708" t="s">
        <v>42530</v>
      </c>
      <c r="B13708" t="s">
        <v>42533</v>
      </c>
      <c r="C13708">
        <v>0.78884617000500001</v>
      </c>
      <c r="D13708">
        <v>0.97679765826599996</v>
      </c>
      <c r="E13708">
        <v>18.138000000000002</v>
      </c>
    </row>
    <row r="13709" spans="1:5">
      <c r="A13709" t="s">
        <v>42530</v>
      </c>
      <c r="B13709" t="s">
        <v>42534</v>
      </c>
      <c r="C13709">
        <v>0.48440262667400003</v>
      </c>
      <c r="D13709">
        <v>0.97679765826599996</v>
      </c>
      <c r="E13709">
        <v>18.138000000000002</v>
      </c>
    </row>
    <row r="13710" spans="1:5">
      <c r="A13710" t="s">
        <v>42530</v>
      </c>
      <c r="B13710" t="s">
        <v>42535</v>
      </c>
      <c r="C13710">
        <v>0</v>
      </c>
      <c r="D13710">
        <v>0.97679765826599996</v>
      </c>
      <c r="E13710">
        <v>18.138000000000002</v>
      </c>
    </row>
    <row r="13711" spans="1:5">
      <c r="A13711" t="s">
        <v>42530</v>
      </c>
      <c r="B13711" t="s">
        <v>42536</v>
      </c>
      <c r="C13711">
        <f>0</f>
        <v>0</v>
      </c>
      <c r="D13711">
        <v>0.97679765826599996</v>
      </c>
      <c r="E13711">
        <v>18.138000000000002</v>
      </c>
    </row>
    <row r="13712" spans="1:5">
      <c r="A13712" t="s">
        <v>42530</v>
      </c>
      <c r="B13712" t="s">
        <v>42537</v>
      </c>
      <c r="C13712">
        <v>0</v>
      </c>
      <c r="D13712">
        <v>0.97679765826599996</v>
      </c>
      <c r="E13712">
        <v>18.138000000000002</v>
      </c>
    </row>
    <row r="13713" spans="1:5">
      <c r="A13713" t="s">
        <v>42538</v>
      </c>
      <c r="B13713" t="s">
        <v>42539</v>
      </c>
      <c r="C13713">
        <v>0</v>
      </c>
      <c r="D13713">
        <v>0.99068512899700001</v>
      </c>
      <c r="E13713">
        <v>20.513999999999999</v>
      </c>
    </row>
    <row r="13714" spans="1:5">
      <c r="A13714" t="s">
        <v>42538</v>
      </c>
      <c r="B13714" t="s">
        <v>42540</v>
      </c>
      <c r="C13714">
        <f>0.0474969592965</f>
        <v>4.7496959296500003E-2</v>
      </c>
      <c r="D13714">
        <v>0.99068512899700001</v>
      </c>
      <c r="E13714">
        <v>20.513999999999999</v>
      </c>
    </row>
    <row r="13715" spans="1:5">
      <c r="A13715" t="s">
        <v>42538</v>
      </c>
      <c r="B13715" t="s">
        <v>42541</v>
      </c>
      <c r="C13715">
        <v>0.53435646919599999</v>
      </c>
      <c r="D13715">
        <v>0.99068512899700001</v>
      </c>
      <c r="E13715">
        <v>20.513999999999999</v>
      </c>
    </row>
    <row r="13716" spans="1:5">
      <c r="A13716" t="s">
        <v>42538</v>
      </c>
      <c r="B13716" t="s">
        <v>42542</v>
      </c>
      <c r="C13716">
        <f>0</f>
        <v>0</v>
      </c>
      <c r="D13716">
        <v>0.99068512899700001</v>
      </c>
      <c r="E13716">
        <v>20.513999999999999</v>
      </c>
    </row>
    <row r="13717" spans="1:5">
      <c r="A13717" t="s">
        <v>42538</v>
      </c>
      <c r="B13717" t="s">
        <v>42543</v>
      </c>
      <c r="C13717">
        <f>0.142348023545</f>
        <v>0.14234802354500001</v>
      </c>
      <c r="D13717">
        <v>0.99068512899700001</v>
      </c>
      <c r="E13717">
        <v>20.513999999999999</v>
      </c>
    </row>
    <row r="13718" spans="1:5">
      <c r="A13718" t="s">
        <v>42538</v>
      </c>
      <c r="B13718" t="s">
        <v>42544</v>
      </c>
      <c r="C13718">
        <f>0.306880659284</f>
        <v>0.30688065928399999</v>
      </c>
      <c r="D13718">
        <v>0.99068512899700001</v>
      </c>
      <c r="E13718">
        <v>20.513999999999999</v>
      </c>
    </row>
    <row r="13719" spans="1:5">
      <c r="A13719" t="s">
        <v>42538</v>
      </c>
      <c r="B13719" t="s">
        <v>42545</v>
      </c>
      <c r="C13719">
        <f>0</f>
        <v>0</v>
      </c>
      <c r="D13719">
        <v>0.99068512899700001</v>
      </c>
      <c r="E13719">
        <v>20.513999999999999</v>
      </c>
    </row>
    <row r="13720" spans="1:5">
      <c r="A13720" t="s">
        <v>42538</v>
      </c>
      <c r="B13720" t="s">
        <v>42546</v>
      </c>
      <c r="C13720">
        <f>0.462405247676</f>
        <v>0.462405247676</v>
      </c>
      <c r="D13720">
        <v>0.99068512899700001</v>
      </c>
      <c r="E13720">
        <v>20.513999999999999</v>
      </c>
    </row>
    <row r="13721" spans="1:5">
      <c r="A13721" t="s">
        <v>42538</v>
      </c>
      <c r="B13721" t="s">
        <v>42547</v>
      </c>
      <c r="C13721">
        <f>0.0143242124199</f>
        <v>1.43242124199E-2</v>
      </c>
      <c r="D13721">
        <v>0.99068512899700001</v>
      </c>
      <c r="E13721">
        <v>20.513999999999999</v>
      </c>
    </row>
    <row r="13722" spans="1:5">
      <c r="A13722" t="s">
        <v>42538</v>
      </c>
      <c r="B13722" t="s">
        <v>42548</v>
      </c>
      <c r="C13722">
        <f>0</f>
        <v>0</v>
      </c>
      <c r="D13722">
        <v>0.99068512899700001</v>
      </c>
      <c r="E13722">
        <v>20.513999999999999</v>
      </c>
    </row>
    <row r="13723" spans="1:5">
      <c r="A13723" t="s">
        <v>42538</v>
      </c>
      <c r="B13723" t="s">
        <v>42549</v>
      </c>
      <c r="C13723">
        <f>0</f>
        <v>0</v>
      </c>
      <c r="D13723">
        <v>0.99068512899700001</v>
      </c>
      <c r="E13723">
        <v>20.513999999999999</v>
      </c>
    </row>
    <row r="13724" spans="1:5">
      <c r="A13724" t="s">
        <v>42550</v>
      </c>
      <c r="B13724" t="s">
        <v>28570</v>
      </c>
      <c r="C13724">
        <v>0</v>
      </c>
      <c r="D13724" t="s">
        <v>106</v>
      </c>
      <c r="E13724">
        <v>0.58199999999999996</v>
      </c>
    </row>
    <row r="13725" spans="1:5">
      <c r="A13725" t="s">
        <v>42550</v>
      </c>
      <c r="B13725" t="s">
        <v>28571</v>
      </c>
      <c r="C13725">
        <v>0</v>
      </c>
      <c r="D13725" t="s">
        <v>106</v>
      </c>
      <c r="E13725">
        <v>0.58199999999999996</v>
      </c>
    </row>
    <row r="13726" spans="1:5">
      <c r="A13726" t="s">
        <v>42550</v>
      </c>
      <c r="B13726" t="s">
        <v>28572</v>
      </c>
      <c r="C13726">
        <v>0</v>
      </c>
      <c r="D13726" t="s">
        <v>106</v>
      </c>
      <c r="E13726">
        <v>0.58199999999999996</v>
      </c>
    </row>
    <row r="13727" spans="1:5">
      <c r="A13727" t="s">
        <v>42551</v>
      </c>
      <c r="B13727" t="s">
        <v>22303</v>
      </c>
      <c r="C13727">
        <v>0.72044051960599997</v>
      </c>
      <c r="D13727">
        <v>0.81631423626800004</v>
      </c>
      <c r="E13727">
        <v>1.3919999999999999</v>
      </c>
    </row>
    <row r="13728" spans="1:5">
      <c r="A13728" t="s">
        <v>42551</v>
      </c>
      <c r="B13728" t="s">
        <v>22302</v>
      </c>
      <c r="C13728">
        <f>0.249915173596</f>
        <v>0.24991517359599999</v>
      </c>
      <c r="D13728">
        <v>0.81631423626800004</v>
      </c>
      <c r="E13728">
        <v>1.3919999999999999</v>
      </c>
    </row>
    <row r="13729" spans="1:5">
      <c r="A13729" t="s">
        <v>42552</v>
      </c>
      <c r="B13729" t="s">
        <v>9136</v>
      </c>
      <c r="C13729">
        <f>0</f>
        <v>0</v>
      </c>
      <c r="D13729" t="s">
        <v>106</v>
      </c>
      <c r="E13729">
        <v>24</v>
      </c>
    </row>
    <row r="13730" spans="1:5">
      <c r="A13730" t="s">
        <v>42552</v>
      </c>
      <c r="B13730" t="s">
        <v>9137</v>
      </c>
      <c r="C13730">
        <f>0</f>
        <v>0</v>
      </c>
      <c r="D13730" t="s">
        <v>106</v>
      </c>
      <c r="E13730">
        <v>24</v>
      </c>
    </row>
    <row r="13731" spans="1:5">
      <c r="A13731" t="s">
        <v>42552</v>
      </c>
      <c r="B13731" t="s">
        <v>9140</v>
      </c>
      <c r="C13731">
        <v>0</v>
      </c>
      <c r="D13731" t="s">
        <v>106</v>
      </c>
      <c r="E13731">
        <v>24</v>
      </c>
    </row>
    <row r="13732" spans="1:5">
      <c r="A13732" t="s">
        <v>42553</v>
      </c>
      <c r="B13732" t="s">
        <v>42554</v>
      </c>
      <c r="C13732">
        <v>0.30288450712800002</v>
      </c>
      <c r="D13732">
        <v>0.712494507128</v>
      </c>
      <c r="E13732">
        <v>23.754000000000001</v>
      </c>
    </row>
    <row r="13733" spans="1:5">
      <c r="A13733" t="s">
        <v>42553</v>
      </c>
      <c r="B13733" t="s">
        <v>42555</v>
      </c>
      <c r="C13733">
        <v>0</v>
      </c>
      <c r="D13733">
        <v>0.712494507128</v>
      </c>
      <c r="E13733">
        <v>23.754000000000001</v>
      </c>
    </row>
    <row r="13734" spans="1:5">
      <c r="A13734" t="s">
        <v>42553</v>
      </c>
      <c r="B13734" t="s">
        <v>42556</v>
      </c>
      <c r="C13734">
        <f>0</f>
        <v>0</v>
      </c>
      <c r="D13734">
        <v>0.712494507128</v>
      </c>
      <c r="E13734">
        <v>23.754000000000001</v>
      </c>
    </row>
    <row r="13735" spans="1:5">
      <c r="A13735" t="s">
        <v>42557</v>
      </c>
      <c r="B13735" t="s">
        <v>29960</v>
      </c>
      <c r="C13735">
        <f>0.762412571119</f>
        <v>0.76241257111899996</v>
      </c>
      <c r="D13735">
        <v>0.92868472958600001</v>
      </c>
      <c r="E13735">
        <v>24</v>
      </c>
    </row>
    <row r="13736" spans="1:5">
      <c r="A13736" t="s">
        <v>42557</v>
      </c>
      <c r="B13736" t="s">
        <v>29958</v>
      </c>
      <c r="C13736">
        <f>0.22195697667</f>
        <v>0.22195697667</v>
      </c>
      <c r="D13736">
        <v>0.92868472958600001</v>
      </c>
      <c r="E13736">
        <v>24</v>
      </c>
    </row>
    <row r="13737" spans="1:5">
      <c r="A13737" t="s">
        <v>42557</v>
      </c>
      <c r="B13737" t="s">
        <v>29961</v>
      </c>
      <c r="C13737">
        <v>0.79072536432600005</v>
      </c>
      <c r="D13737">
        <v>0.92868472958600001</v>
      </c>
      <c r="E13737">
        <v>24</v>
      </c>
    </row>
    <row r="13738" spans="1:5">
      <c r="A13738" t="s">
        <v>42558</v>
      </c>
      <c r="B13738" t="s">
        <v>42559</v>
      </c>
      <c r="C13738">
        <v>0.44697502996100003</v>
      </c>
      <c r="D13738">
        <v>0.77290888515</v>
      </c>
      <c r="E13738">
        <v>8.58</v>
      </c>
    </row>
    <row r="13739" spans="1:5">
      <c r="A13739" t="s">
        <v>42558</v>
      </c>
      <c r="B13739" t="s">
        <v>42560</v>
      </c>
      <c r="C13739">
        <v>0</v>
      </c>
      <c r="D13739">
        <v>0.77290888515</v>
      </c>
      <c r="E13739">
        <v>8.58</v>
      </c>
    </row>
    <row r="13740" spans="1:5">
      <c r="A13740" t="s">
        <v>42558</v>
      </c>
      <c r="B13740" t="s">
        <v>42561</v>
      </c>
      <c r="C13740">
        <f>0</f>
        <v>0</v>
      </c>
      <c r="D13740">
        <v>0.77290888515</v>
      </c>
      <c r="E13740">
        <v>8.58</v>
      </c>
    </row>
    <row r="13741" spans="1:5">
      <c r="A13741" t="s">
        <v>42558</v>
      </c>
      <c r="B13741" t="s">
        <v>42562</v>
      </c>
      <c r="C13741">
        <v>0.22987568220499999</v>
      </c>
      <c r="D13741">
        <v>0.77290888515</v>
      </c>
      <c r="E13741">
        <v>8.58</v>
      </c>
    </row>
    <row r="13742" spans="1:5">
      <c r="A13742" t="s">
        <v>42558</v>
      </c>
      <c r="B13742" t="s">
        <v>42563</v>
      </c>
      <c r="C13742">
        <f>0</f>
        <v>0</v>
      </c>
      <c r="D13742">
        <v>0.77290888515</v>
      </c>
      <c r="E13742">
        <v>8.58</v>
      </c>
    </row>
    <row r="13743" spans="1:5">
      <c r="A13743" t="s">
        <v>42558</v>
      </c>
      <c r="B13743" t="s">
        <v>42564</v>
      </c>
      <c r="C13743">
        <f>0</f>
        <v>0</v>
      </c>
      <c r="D13743">
        <v>0.77290888515</v>
      </c>
      <c r="E13743">
        <v>8.58</v>
      </c>
    </row>
    <row r="13744" spans="1:5">
      <c r="A13744" t="s">
        <v>42565</v>
      </c>
      <c r="B13744" t="s">
        <v>4659</v>
      </c>
      <c r="C13744">
        <f>0</f>
        <v>0</v>
      </c>
      <c r="D13744">
        <v>0.76228083766999999</v>
      </c>
      <c r="E13744">
        <v>0</v>
      </c>
    </row>
    <row r="13745" spans="1:5">
      <c r="A13745" t="s">
        <v>42565</v>
      </c>
      <c r="B13745" t="s">
        <v>4660</v>
      </c>
      <c r="C13745">
        <v>0</v>
      </c>
      <c r="D13745">
        <v>0.76228083766999999</v>
      </c>
      <c r="E13745">
        <v>0</v>
      </c>
    </row>
    <row r="13746" spans="1:5">
      <c r="A13746" t="s">
        <v>42565</v>
      </c>
      <c r="B13746" t="s">
        <v>4661</v>
      </c>
      <c r="C13746">
        <f>0</f>
        <v>0</v>
      </c>
      <c r="D13746">
        <v>0.76228083766999999</v>
      </c>
      <c r="E13746">
        <v>0</v>
      </c>
    </row>
    <row r="13747" spans="1:5">
      <c r="A13747" t="s">
        <v>42565</v>
      </c>
      <c r="B13747" t="s">
        <v>4656</v>
      </c>
      <c r="C13747">
        <v>0</v>
      </c>
      <c r="D13747">
        <v>0.76228083766999999</v>
      </c>
      <c r="E13747">
        <v>0</v>
      </c>
    </row>
    <row r="13748" spans="1:5">
      <c r="A13748" t="s">
        <v>42565</v>
      </c>
      <c r="B13748" t="s">
        <v>4655</v>
      </c>
      <c r="C13748">
        <v>0</v>
      </c>
      <c r="D13748">
        <v>0.76228083766999999</v>
      </c>
      <c r="E13748">
        <v>0</v>
      </c>
    </row>
    <row r="13749" spans="1:5">
      <c r="A13749" t="s">
        <v>42565</v>
      </c>
      <c r="B13749" t="s">
        <v>4653</v>
      </c>
      <c r="C13749">
        <f>0</f>
        <v>0</v>
      </c>
      <c r="D13749">
        <v>0.76228083766999999</v>
      </c>
      <c r="E13749">
        <v>0</v>
      </c>
    </row>
    <row r="13750" spans="1:5">
      <c r="A13750" t="s">
        <v>42565</v>
      </c>
      <c r="B13750" t="s">
        <v>4658</v>
      </c>
      <c r="C13750">
        <f>0</f>
        <v>0</v>
      </c>
      <c r="D13750">
        <v>0.76228083766999999</v>
      </c>
      <c r="E13750">
        <v>0</v>
      </c>
    </row>
    <row r="13751" spans="1:5">
      <c r="A13751" t="s">
        <v>42565</v>
      </c>
      <c r="B13751" t="s">
        <v>4657</v>
      </c>
      <c r="C13751">
        <f>0.44867083767</f>
        <v>0.44867083766999999</v>
      </c>
      <c r="D13751">
        <v>0.76228083766999999</v>
      </c>
      <c r="E13751">
        <v>0</v>
      </c>
    </row>
    <row r="13752" spans="1:5">
      <c r="A13752" t="s">
        <v>42565</v>
      </c>
      <c r="B13752" t="s">
        <v>4663</v>
      </c>
      <c r="C13752">
        <f>0</f>
        <v>0</v>
      </c>
      <c r="D13752">
        <v>0.76228083766999999</v>
      </c>
      <c r="E13752">
        <v>0</v>
      </c>
    </row>
    <row r="13753" spans="1:5">
      <c r="A13753" t="s">
        <v>42565</v>
      </c>
      <c r="B13753" t="s">
        <v>4666</v>
      </c>
      <c r="C13753">
        <f>0</f>
        <v>0</v>
      </c>
      <c r="D13753">
        <v>0.76228083766999999</v>
      </c>
      <c r="E13753">
        <v>0</v>
      </c>
    </row>
    <row r="13754" spans="1:5">
      <c r="A13754" t="s">
        <v>42565</v>
      </c>
      <c r="B13754" t="s">
        <v>4664</v>
      </c>
      <c r="C13754">
        <f>0</f>
        <v>0</v>
      </c>
      <c r="D13754">
        <v>0.76228083766999999</v>
      </c>
      <c r="E13754">
        <v>0</v>
      </c>
    </row>
    <row r="13755" spans="1:5">
      <c r="A13755" t="s">
        <v>42565</v>
      </c>
      <c r="B13755" t="s">
        <v>4662</v>
      </c>
      <c r="C13755">
        <v>0</v>
      </c>
      <c r="D13755">
        <v>0.76228083766999999</v>
      </c>
      <c r="E13755">
        <v>0</v>
      </c>
    </row>
    <row r="13756" spans="1:5">
      <c r="A13756" t="s">
        <v>42566</v>
      </c>
      <c r="B13756" t="s">
        <v>3572</v>
      </c>
      <c r="C13756">
        <v>0</v>
      </c>
      <c r="D13756">
        <v>0.82023039109600004</v>
      </c>
      <c r="E13756">
        <v>24</v>
      </c>
    </row>
    <row r="13757" spans="1:5">
      <c r="A13757" t="s">
        <v>42566</v>
      </c>
      <c r="B13757" t="s">
        <v>3574</v>
      </c>
      <c r="C13757">
        <f>0</f>
        <v>0</v>
      </c>
      <c r="D13757">
        <v>0.82023039109600004</v>
      </c>
      <c r="E13757">
        <v>24</v>
      </c>
    </row>
    <row r="13758" spans="1:5">
      <c r="A13758" t="s">
        <v>42566</v>
      </c>
      <c r="B13758" t="s">
        <v>3573</v>
      </c>
      <c r="C13758">
        <v>0</v>
      </c>
      <c r="D13758">
        <v>0.82023039109600004</v>
      </c>
      <c r="E13758">
        <v>24</v>
      </c>
    </row>
    <row r="13759" spans="1:5">
      <c r="A13759" t="s">
        <v>42566</v>
      </c>
      <c r="B13759" t="s">
        <v>3575</v>
      </c>
      <c r="C13759">
        <f>0.660220391096</f>
        <v>0.66022039109599995</v>
      </c>
      <c r="D13759">
        <v>0.82023039109600004</v>
      </c>
      <c r="E13759">
        <v>24</v>
      </c>
    </row>
    <row r="13760" spans="1:5">
      <c r="A13760" t="s">
        <v>42567</v>
      </c>
      <c r="B13760" t="s">
        <v>15459</v>
      </c>
      <c r="C13760">
        <f>0.255504953611</f>
        <v>0.25550495361100001</v>
      </c>
      <c r="D13760">
        <v>0.99999068149500003</v>
      </c>
      <c r="E13760">
        <v>6.9359999999999999</v>
      </c>
    </row>
    <row r="13761" spans="1:5">
      <c r="A13761" t="s">
        <v>42567</v>
      </c>
      <c r="B13761" t="s">
        <v>15454</v>
      </c>
      <c r="C13761">
        <f>0.313549058453</f>
        <v>0.31354905845300002</v>
      </c>
      <c r="D13761">
        <v>0.99999068149500003</v>
      </c>
      <c r="E13761">
        <v>6.9359999999999999</v>
      </c>
    </row>
    <row r="13762" spans="1:5">
      <c r="A13762" t="s">
        <v>42567</v>
      </c>
      <c r="B13762" t="s">
        <v>15460</v>
      </c>
      <c r="C13762">
        <f>0.524704016373</f>
        <v>0.52470401637300002</v>
      </c>
      <c r="D13762">
        <v>0.99999068149500003</v>
      </c>
      <c r="E13762">
        <v>6.9359999999999999</v>
      </c>
    </row>
    <row r="13763" spans="1:5">
      <c r="A13763" t="s">
        <v>42567</v>
      </c>
      <c r="B13763" t="s">
        <v>15453</v>
      </c>
      <c r="C13763">
        <v>0.37972511148900001</v>
      </c>
      <c r="D13763">
        <v>0.99999068149500003</v>
      </c>
      <c r="E13763">
        <v>6.9359999999999999</v>
      </c>
    </row>
    <row r="13764" spans="1:5">
      <c r="A13764" t="s">
        <v>42567</v>
      </c>
      <c r="B13764" t="s">
        <v>15462</v>
      </c>
      <c r="C13764">
        <v>7.4318130287299999E-3</v>
      </c>
      <c r="D13764">
        <v>0.99999068149500003</v>
      </c>
      <c r="E13764">
        <v>6.9359999999999999</v>
      </c>
    </row>
    <row r="13765" spans="1:5">
      <c r="A13765" t="s">
        <v>42567</v>
      </c>
      <c r="B13765" t="s">
        <v>15468</v>
      </c>
      <c r="C13765">
        <v>0.44089855207299999</v>
      </c>
      <c r="D13765">
        <v>0.99999068149500003</v>
      </c>
      <c r="E13765">
        <v>6.9359999999999999</v>
      </c>
    </row>
    <row r="13766" spans="1:5">
      <c r="A13766" t="s">
        <v>42567</v>
      </c>
      <c r="B13766" t="s">
        <v>15466</v>
      </c>
      <c r="C13766">
        <f>0</f>
        <v>0</v>
      </c>
      <c r="D13766">
        <v>0.99999068149500003</v>
      </c>
      <c r="E13766">
        <v>6.9359999999999999</v>
      </c>
    </row>
    <row r="13767" spans="1:5">
      <c r="A13767" t="s">
        <v>42567</v>
      </c>
      <c r="B13767" t="s">
        <v>15457</v>
      </c>
      <c r="C13767">
        <f>0</f>
        <v>0</v>
      </c>
      <c r="D13767">
        <v>0.99999068149500003</v>
      </c>
      <c r="E13767">
        <v>6.9359999999999999</v>
      </c>
    </row>
    <row r="13768" spans="1:5">
      <c r="A13768" t="s">
        <v>42567</v>
      </c>
      <c r="B13768" t="s">
        <v>15455</v>
      </c>
      <c r="C13768">
        <v>0</v>
      </c>
      <c r="D13768">
        <v>0.99999068149500003</v>
      </c>
      <c r="E13768">
        <v>6.9359999999999999</v>
      </c>
    </row>
    <row r="13769" spans="1:5">
      <c r="A13769" t="s">
        <v>42567</v>
      </c>
      <c r="B13769" t="s">
        <v>15461</v>
      </c>
      <c r="C13769">
        <f>0</f>
        <v>0</v>
      </c>
      <c r="D13769">
        <v>0.99999068149500003</v>
      </c>
      <c r="E13769">
        <v>6.9359999999999999</v>
      </c>
    </row>
    <row r="13770" spans="1:5">
      <c r="A13770" t="s">
        <v>42567</v>
      </c>
      <c r="B13770" t="s">
        <v>15464</v>
      </c>
      <c r="C13770">
        <v>0</v>
      </c>
      <c r="D13770">
        <v>0.99999068149500003</v>
      </c>
      <c r="E13770">
        <v>6.9359999999999999</v>
      </c>
    </row>
    <row r="13771" spans="1:5">
      <c r="A13771" t="s">
        <v>42567</v>
      </c>
      <c r="B13771" t="s">
        <v>15463</v>
      </c>
      <c r="C13771">
        <f>0.198825637781</f>
        <v>0.19882563778099999</v>
      </c>
      <c r="D13771">
        <v>0.99999068149500003</v>
      </c>
      <c r="E13771">
        <v>6.9359999999999999</v>
      </c>
    </row>
    <row r="13772" spans="1:5">
      <c r="A13772" t="s">
        <v>42567</v>
      </c>
      <c r="B13772" t="s">
        <v>15465</v>
      </c>
      <c r="C13772">
        <v>1.3673213456599999E-2</v>
      </c>
      <c r="D13772">
        <v>0.99999068149500003</v>
      </c>
      <c r="E13772">
        <v>6.9359999999999999</v>
      </c>
    </row>
    <row r="13773" spans="1:5">
      <c r="A13773" t="s">
        <v>42567</v>
      </c>
      <c r="B13773" t="s">
        <v>15456</v>
      </c>
      <c r="C13773">
        <v>0</v>
      </c>
      <c r="D13773">
        <v>0.99999068149500003</v>
      </c>
      <c r="E13773">
        <v>6.9359999999999999</v>
      </c>
    </row>
    <row r="13774" spans="1:5">
      <c r="A13774" t="s">
        <v>42568</v>
      </c>
      <c r="B13774" t="s">
        <v>42569</v>
      </c>
      <c r="C13774">
        <v>0</v>
      </c>
      <c r="D13774" t="s">
        <v>106</v>
      </c>
      <c r="E13774">
        <v>14.747999999999999</v>
      </c>
    </row>
    <row r="13775" spans="1:5">
      <c r="A13775" t="s">
        <v>42568</v>
      </c>
      <c r="B13775" t="s">
        <v>42570</v>
      </c>
      <c r="C13775">
        <v>0</v>
      </c>
      <c r="D13775" t="s">
        <v>106</v>
      </c>
      <c r="E13775">
        <v>14.747999999999999</v>
      </c>
    </row>
    <row r="13776" spans="1:5">
      <c r="A13776" t="s">
        <v>42568</v>
      </c>
      <c r="B13776" t="s">
        <v>42571</v>
      </c>
      <c r="C13776">
        <v>0</v>
      </c>
      <c r="D13776" t="s">
        <v>106</v>
      </c>
      <c r="E13776">
        <v>14.747999999999999</v>
      </c>
    </row>
    <row r="13777" spans="1:5">
      <c r="A13777" t="s">
        <v>42568</v>
      </c>
      <c r="B13777" t="s">
        <v>42572</v>
      </c>
      <c r="C13777">
        <v>0</v>
      </c>
      <c r="D13777" t="s">
        <v>106</v>
      </c>
      <c r="E13777">
        <v>14.747999999999999</v>
      </c>
    </row>
    <row r="13778" spans="1:5">
      <c r="A13778" t="s">
        <v>42568</v>
      </c>
      <c r="B13778" t="s">
        <v>42573</v>
      </c>
      <c r="C13778">
        <v>0</v>
      </c>
      <c r="D13778" t="s">
        <v>106</v>
      </c>
      <c r="E13778">
        <v>14.747999999999999</v>
      </c>
    </row>
    <row r="13779" spans="1:5">
      <c r="A13779" t="s">
        <v>42568</v>
      </c>
      <c r="B13779" t="s">
        <v>42574</v>
      </c>
      <c r="C13779">
        <v>0</v>
      </c>
      <c r="D13779" t="s">
        <v>106</v>
      </c>
      <c r="E13779">
        <v>14.747999999999999</v>
      </c>
    </row>
    <row r="13780" spans="1:5">
      <c r="A13780" t="s">
        <v>42568</v>
      </c>
      <c r="B13780" t="s">
        <v>42575</v>
      </c>
      <c r="C13780">
        <f>0</f>
        <v>0</v>
      </c>
      <c r="D13780" t="s">
        <v>106</v>
      </c>
      <c r="E13780">
        <v>14.747999999999999</v>
      </c>
    </row>
    <row r="13781" spans="1:5">
      <c r="A13781" t="s">
        <v>42576</v>
      </c>
      <c r="B13781" t="s">
        <v>42577</v>
      </c>
      <c r="C13781">
        <f>0</f>
        <v>0</v>
      </c>
      <c r="D13781">
        <v>0.98698113437599999</v>
      </c>
      <c r="E13781">
        <v>23.04</v>
      </c>
    </row>
    <row r="13782" spans="1:5">
      <c r="A13782" t="s">
        <v>42576</v>
      </c>
      <c r="B13782" t="s">
        <v>42578</v>
      </c>
      <c r="C13782">
        <v>0.24983969727399999</v>
      </c>
      <c r="D13782">
        <v>0.98698113437599999</v>
      </c>
      <c r="E13782">
        <v>23.04</v>
      </c>
    </row>
    <row r="13783" spans="1:5">
      <c r="A13783" t="s">
        <v>42576</v>
      </c>
      <c r="B13783" t="s">
        <v>42579</v>
      </c>
      <c r="C13783">
        <f>0</f>
        <v>0</v>
      </c>
      <c r="D13783">
        <v>0.98698113437599999</v>
      </c>
      <c r="E13783">
        <v>23.04</v>
      </c>
    </row>
    <row r="13784" spans="1:5">
      <c r="A13784" t="s">
        <v>42576</v>
      </c>
      <c r="B13784" t="s">
        <v>42580</v>
      </c>
      <c r="C13784">
        <v>0.64401765844299996</v>
      </c>
      <c r="D13784">
        <v>0.98698113437599999</v>
      </c>
      <c r="E13784">
        <v>23.04</v>
      </c>
    </row>
    <row r="13785" spans="1:5">
      <c r="A13785" t="s">
        <v>42576</v>
      </c>
      <c r="B13785" t="s">
        <v>42581</v>
      </c>
      <c r="C13785">
        <v>0.122334728871</v>
      </c>
      <c r="D13785">
        <v>0.98698113437599999</v>
      </c>
      <c r="E13785">
        <v>23.04</v>
      </c>
    </row>
    <row r="13786" spans="1:5">
      <c r="A13786" t="s">
        <v>42576</v>
      </c>
      <c r="B13786" t="s">
        <v>42582</v>
      </c>
      <c r="C13786">
        <v>0.39379497971799998</v>
      </c>
      <c r="D13786">
        <v>0.98698113437599999</v>
      </c>
      <c r="E13786">
        <v>23.04</v>
      </c>
    </row>
    <row r="13787" spans="1:5">
      <c r="A13787" t="s">
        <v>42576</v>
      </c>
      <c r="B13787" t="s">
        <v>42583</v>
      </c>
      <c r="C13787">
        <v>0</v>
      </c>
      <c r="D13787">
        <v>0.98698113437599999</v>
      </c>
      <c r="E13787">
        <v>23.04</v>
      </c>
    </row>
    <row r="13788" spans="1:5">
      <c r="A13788" t="s">
        <v>42576</v>
      </c>
      <c r="B13788" t="s">
        <v>42584</v>
      </c>
      <c r="C13788">
        <f>0.555022589288</f>
        <v>0.55502258928799997</v>
      </c>
      <c r="D13788">
        <v>0.98698113437599999</v>
      </c>
      <c r="E13788">
        <v>23.04</v>
      </c>
    </row>
    <row r="13789" spans="1:5">
      <c r="A13789" t="s">
        <v>42585</v>
      </c>
      <c r="B13789" t="s">
        <v>14354</v>
      </c>
      <c r="C13789">
        <f>0.531047664424</f>
        <v>0.53104766442399998</v>
      </c>
      <c r="D13789">
        <v>0.94199121749100001</v>
      </c>
      <c r="E13789">
        <v>6.3</v>
      </c>
    </row>
    <row r="13790" spans="1:5">
      <c r="A13790" t="s">
        <v>42585</v>
      </c>
      <c r="B13790" t="s">
        <v>14357</v>
      </c>
      <c r="C13790">
        <v>0.38596351512999999</v>
      </c>
      <c r="D13790">
        <v>0.94199121749100001</v>
      </c>
      <c r="E13790">
        <v>6.3</v>
      </c>
    </row>
    <row r="13791" spans="1:5">
      <c r="A13791" t="s">
        <v>42585</v>
      </c>
      <c r="B13791" t="s">
        <v>14356</v>
      </c>
      <c r="C13791">
        <f>0.322651843152</f>
        <v>0.32265184315200002</v>
      </c>
      <c r="D13791">
        <v>0.94199121749100001</v>
      </c>
      <c r="E13791">
        <v>6.3</v>
      </c>
    </row>
    <row r="13792" spans="1:5">
      <c r="A13792" t="s">
        <v>42585</v>
      </c>
      <c r="B13792" t="s">
        <v>14355</v>
      </c>
      <c r="C13792">
        <f>0.733403921671</f>
        <v>0.73340392167099999</v>
      </c>
      <c r="D13792">
        <v>0.94199121749100001</v>
      </c>
      <c r="E13792">
        <v>6.3</v>
      </c>
    </row>
    <row r="13793" spans="1:5">
      <c r="A13793" t="s">
        <v>42586</v>
      </c>
      <c r="B13793" t="s">
        <v>23888</v>
      </c>
      <c r="C13793">
        <v>1.4096671109500001</v>
      </c>
      <c r="D13793">
        <v>0.97069258822299997</v>
      </c>
      <c r="E13793">
        <v>3.4980000000000002</v>
      </c>
    </row>
    <row r="13794" spans="1:5">
      <c r="A13794" t="s">
        <v>42586</v>
      </c>
      <c r="B13794" t="s">
        <v>23892</v>
      </c>
      <c r="C13794">
        <v>0.30819971860299999</v>
      </c>
      <c r="D13794">
        <v>0.97069258822299997</v>
      </c>
      <c r="E13794">
        <v>3.4980000000000002</v>
      </c>
    </row>
    <row r="13795" spans="1:5">
      <c r="A13795" t="s">
        <v>42586</v>
      </c>
      <c r="B13795" t="s">
        <v>23890</v>
      </c>
      <c r="C13795">
        <f>0.582523104108</f>
        <v>0.58252310410800001</v>
      </c>
      <c r="D13795">
        <v>0.97069258822299997</v>
      </c>
      <c r="E13795">
        <v>3.4980000000000002</v>
      </c>
    </row>
    <row r="13796" spans="1:5">
      <c r="A13796" t="s">
        <v>42587</v>
      </c>
      <c r="B13796" t="s">
        <v>42588</v>
      </c>
      <c r="C13796">
        <f>0.570427409737</f>
        <v>0.57042740973700001</v>
      </c>
      <c r="D13796">
        <v>0.93185996738099997</v>
      </c>
      <c r="E13796">
        <v>11.04</v>
      </c>
    </row>
    <row r="13797" spans="1:5">
      <c r="A13797" t="s">
        <v>42587</v>
      </c>
      <c r="B13797" t="s">
        <v>42589</v>
      </c>
      <c r="C13797">
        <v>0.105916867</v>
      </c>
      <c r="D13797">
        <v>0.93185996738099997</v>
      </c>
      <c r="E13797">
        <v>11.04</v>
      </c>
    </row>
    <row r="13798" spans="1:5">
      <c r="A13798" t="s">
        <v>42587</v>
      </c>
      <c r="B13798" t="s">
        <v>42590</v>
      </c>
      <c r="C13798">
        <v>0</v>
      </c>
      <c r="D13798">
        <v>0.93185996738099997</v>
      </c>
      <c r="E13798">
        <v>11.04</v>
      </c>
    </row>
    <row r="13799" spans="1:5">
      <c r="A13799" t="s">
        <v>42587</v>
      </c>
      <c r="B13799" t="s">
        <v>42591</v>
      </c>
      <c r="C13799">
        <f>0.743029698643</f>
        <v>0.74302969864299995</v>
      </c>
      <c r="D13799">
        <v>0.93185996738099997</v>
      </c>
      <c r="E13799">
        <v>11.04</v>
      </c>
    </row>
    <row r="13800" spans="1:5">
      <c r="A13800" t="s">
        <v>42587</v>
      </c>
      <c r="B13800" t="s">
        <v>42592</v>
      </c>
      <c r="C13800">
        <f>0</f>
        <v>0</v>
      </c>
      <c r="D13800">
        <v>0.93185996738099997</v>
      </c>
      <c r="E13800">
        <v>11.04</v>
      </c>
    </row>
    <row r="13801" spans="1:5">
      <c r="A13801" t="s">
        <v>42593</v>
      </c>
      <c r="B13801" t="s">
        <v>42594</v>
      </c>
      <c r="C13801">
        <v>0.56379567786999996</v>
      </c>
      <c r="D13801">
        <v>0.95813205382900002</v>
      </c>
      <c r="E13801">
        <v>3.6840000000000002</v>
      </c>
    </row>
    <row r="13802" spans="1:5">
      <c r="A13802" t="s">
        <v>42593</v>
      </c>
      <c r="B13802" t="s">
        <v>42595</v>
      </c>
      <c r="C13802">
        <v>0</v>
      </c>
      <c r="D13802">
        <v>0.95813205382900002</v>
      </c>
      <c r="E13802">
        <v>3.6840000000000002</v>
      </c>
    </row>
    <row r="13803" spans="1:5">
      <c r="A13803" t="s">
        <v>42593</v>
      </c>
      <c r="B13803" t="s">
        <v>42596</v>
      </c>
      <c r="C13803">
        <v>0.46999567957999999</v>
      </c>
      <c r="D13803">
        <v>0.95813205382900002</v>
      </c>
      <c r="E13803">
        <v>3.6840000000000002</v>
      </c>
    </row>
    <row r="13804" spans="1:5">
      <c r="A13804" t="s">
        <v>42593</v>
      </c>
      <c r="B13804" t="s">
        <v>42597</v>
      </c>
      <c r="C13804">
        <f>0.319319845982</f>
        <v>0.31931984598199997</v>
      </c>
      <c r="D13804">
        <v>0.95813205382900002</v>
      </c>
      <c r="E13804">
        <v>3.6840000000000002</v>
      </c>
    </row>
    <row r="13805" spans="1:5">
      <c r="A13805" t="s">
        <v>42593</v>
      </c>
      <c r="B13805" t="s">
        <v>42598</v>
      </c>
      <c r="C13805">
        <v>0</v>
      </c>
      <c r="D13805">
        <v>0.95813205382900002</v>
      </c>
      <c r="E13805">
        <v>3.6840000000000002</v>
      </c>
    </row>
    <row r="13806" spans="1:5">
      <c r="A13806" t="s">
        <v>42593</v>
      </c>
      <c r="B13806" t="s">
        <v>42599</v>
      </c>
      <c r="C13806">
        <v>4.3307101766900002E-2</v>
      </c>
      <c r="D13806">
        <v>0.95813205382900002</v>
      </c>
      <c r="E13806">
        <v>3.6840000000000002</v>
      </c>
    </row>
    <row r="13807" spans="1:5">
      <c r="A13807" t="s">
        <v>42600</v>
      </c>
      <c r="B13807" t="s">
        <v>14180</v>
      </c>
      <c r="C13807">
        <v>0.42588403915</v>
      </c>
      <c r="D13807">
        <v>0.69629403914999999</v>
      </c>
      <c r="E13807">
        <v>0.26400000000000001</v>
      </c>
    </row>
    <row r="13808" spans="1:5">
      <c r="A13808" t="s">
        <v>42600</v>
      </c>
      <c r="B13808" t="s">
        <v>14183</v>
      </c>
      <c r="C13808">
        <v>0</v>
      </c>
      <c r="D13808">
        <v>0.69629403914999999</v>
      </c>
      <c r="E13808">
        <v>0.26400000000000001</v>
      </c>
    </row>
    <row r="13809" spans="1:5">
      <c r="A13809" t="s">
        <v>42601</v>
      </c>
      <c r="B13809" t="s">
        <v>42602</v>
      </c>
      <c r="C13809">
        <f>0.871011426271</f>
        <v>0.87101142627100003</v>
      </c>
      <c r="D13809">
        <v>0.84185663879299999</v>
      </c>
      <c r="E13809">
        <v>20.292000000000002</v>
      </c>
    </row>
    <row r="13810" spans="1:5">
      <c r="A13810" t="s">
        <v>42601</v>
      </c>
      <c r="B13810" t="s">
        <v>42603</v>
      </c>
      <c r="C13810">
        <v>0.117839690722</v>
      </c>
      <c r="D13810">
        <v>0.84185663879299999</v>
      </c>
      <c r="E13810">
        <v>20.292000000000002</v>
      </c>
    </row>
    <row r="13811" spans="1:5">
      <c r="A13811" t="s">
        <v>42604</v>
      </c>
      <c r="B13811" t="s">
        <v>17774</v>
      </c>
      <c r="C13811">
        <v>0</v>
      </c>
      <c r="D13811">
        <v>0.889538660037</v>
      </c>
      <c r="E13811">
        <v>1.3380000000000001</v>
      </c>
    </row>
    <row r="13812" spans="1:5">
      <c r="A13812" t="s">
        <v>42604</v>
      </c>
      <c r="B13812" t="s">
        <v>17776</v>
      </c>
      <c r="C13812">
        <v>0.36238494986300002</v>
      </c>
      <c r="D13812">
        <v>0.889538660037</v>
      </c>
      <c r="E13812">
        <v>1.3380000000000001</v>
      </c>
    </row>
    <row r="13813" spans="1:5">
      <c r="A13813" t="s">
        <v>42604</v>
      </c>
      <c r="B13813" t="s">
        <v>17780</v>
      </c>
      <c r="C13813">
        <v>0</v>
      </c>
      <c r="D13813">
        <v>0.889538660037</v>
      </c>
      <c r="E13813">
        <v>1.3380000000000001</v>
      </c>
    </row>
    <row r="13814" spans="1:5">
      <c r="A13814" t="s">
        <v>42604</v>
      </c>
      <c r="B13814" t="s">
        <v>17784</v>
      </c>
      <c r="C13814">
        <f>0</f>
        <v>0</v>
      </c>
      <c r="D13814">
        <v>0.889538660037</v>
      </c>
      <c r="E13814">
        <v>1.3380000000000001</v>
      </c>
    </row>
    <row r="13815" spans="1:5">
      <c r="A13815" t="s">
        <v>42604</v>
      </c>
      <c r="B13815" t="s">
        <v>17773</v>
      </c>
      <c r="C13815">
        <v>5.5239970567299998E-2</v>
      </c>
      <c r="D13815">
        <v>0.889538660037</v>
      </c>
      <c r="E13815">
        <v>1.3380000000000001</v>
      </c>
    </row>
    <row r="13816" spans="1:5">
      <c r="A13816" t="s">
        <v>42604</v>
      </c>
      <c r="B13816" t="s">
        <v>17778</v>
      </c>
      <c r="C13816">
        <f>0</f>
        <v>0</v>
      </c>
      <c r="D13816">
        <v>0.889538660037</v>
      </c>
      <c r="E13816">
        <v>1.3380000000000001</v>
      </c>
    </row>
    <row r="13817" spans="1:5">
      <c r="A13817" t="s">
        <v>42604</v>
      </c>
      <c r="B13817" t="s">
        <v>17782</v>
      </c>
      <c r="C13817">
        <v>1.6669158739399999E-3</v>
      </c>
      <c r="D13817">
        <v>0.889538660037</v>
      </c>
      <c r="E13817">
        <v>1.3380000000000001</v>
      </c>
    </row>
    <row r="13818" spans="1:5">
      <c r="A13818" t="s">
        <v>42604</v>
      </c>
      <c r="B13818" t="s">
        <v>17781</v>
      </c>
      <c r="C13818">
        <v>0</v>
      </c>
      <c r="D13818">
        <v>0.889538660037</v>
      </c>
      <c r="E13818">
        <v>1.3380000000000001</v>
      </c>
    </row>
    <row r="13819" spans="1:5">
      <c r="A13819" t="s">
        <v>42604</v>
      </c>
      <c r="B13819" t="s">
        <v>17788</v>
      </c>
      <c r="C13819">
        <f>0</f>
        <v>0</v>
      </c>
      <c r="D13819">
        <v>0.889538660037</v>
      </c>
      <c r="E13819">
        <v>1.3380000000000001</v>
      </c>
    </row>
    <row r="13820" spans="1:5">
      <c r="A13820" t="s">
        <v>42604</v>
      </c>
      <c r="B13820" t="s">
        <v>17785</v>
      </c>
      <c r="C13820">
        <v>0.35982007861900001</v>
      </c>
      <c r="D13820">
        <v>0.889538660037</v>
      </c>
      <c r="E13820">
        <v>1.3380000000000001</v>
      </c>
    </row>
    <row r="13821" spans="1:5">
      <c r="A13821" t="s">
        <v>42604</v>
      </c>
      <c r="B13821" t="s">
        <v>17787</v>
      </c>
      <c r="C13821">
        <f>0</f>
        <v>0</v>
      </c>
      <c r="D13821">
        <v>0.889538660037</v>
      </c>
      <c r="E13821">
        <v>1.3380000000000001</v>
      </c>
    </row>
    <row r="13822" spans="1:5">
      <c r="A13822" t="s">
        <v>42604</v>
      </c>
      <c r="B13822" t="s">
        <v>17789</v>
      </c>
      <c r="C13822">
        <v>0</v>
      </c>
      <c r="D13822">
        <v>0.889538660037</v>
      </c>
      <c r="E13822">
        <v>1.3380000000000001</v>
      </c>
    </row>
    <row r="13823" spans="1:5">
      <c r="A13823" t="s">
        <v>42604</v>
      </c>
      <c r="B13823" t="s">
        <v>17790</v>
      </c>
      <c r="C13823">
        <v>0.10644086674</v>
      </c>
      <c r="D13823">
        <v>0.889538660037</v>
      </c>
      <c r="E13823">
        <v>1.3380000000000001</v>
      </c>
    </row>
    <row r="13824" spans="1:5">
      <c r="A13824" t="s">
        <v>42605</v>
      </c>
      <c r="B13824" t="s">
        <v>7333</v>
      </c>
      <c r="C13824">
        <f>0.152613210203</f>
        <v>0.152613210203</v>
      </c>
      <c r="D13824">
        <v>0.99995860675500003</v>
      </c>
      <c r="E13824">
        <v>23.754000000000001</v>
      </c>
    </row>
    <row r="13825" spans="1:5">
      <c r="A13825" t="s">
        <v>42605</v>
      </c>
      <c r="B13825" t="s">
        <v>7332</v>
      </c>
      <c r="C13825">
        <v>0.49019956444500001</v>
      </c>
      <c r="D13825">
        <v>0.99995860675500003</v>
      </c>
      <c r="E13825">
        <v>23.754000000000001</v>
      </c>
    </row>
    <row r="13826" spans="1:5">
      <c r="A13826" t="s">
        <v>42605</v>
      </c>
      <c r="B13826" t="s">
        <v>7336</v>
      </c>
      <c r="C13826">
        <v>0.21444795162999999</v>
      </c>
      <c r="D13826">
        <v>0.99995860675500003</v>
      </c>
      <c r="E13826">
        <v>23.754000000000001</v>
      </c>
    </row>
    <row r="13827" spans="1:5">
      <c r="A13827" t="s">
        <v>42605</v>
      </c>
      <c r="B13827" t="s">
        <v>7338</v>
      </c>
      <c r="C13827">
        <f>0.407454004799</f>
        <v>0.40745400479900001</v>
      </c>
      <c r="D13827">
        <v>0.99995860675500003</v>
      </c>
      <c r="E13827">
        <v>23.754000000000001</v>
      </c>
    </row>
    <row r="13828" spans="1:5">
      <c r="A13828" t="s">
        <v>42605</v>
      </c>
      <c r="B13828" t="s">
        <v>7334</v>
      </c>
      <c r="C13828">
        <f>0.0559388585862</f>
        <v>5.5938858586199999E-2</v>
      </c>
      <c r="D13828">
        <v>0.99995860675500003</v>
      </c>
      <c r="E13828">
        <v>23.754000000000001</v>
      </c>
    </row>
    <row r="13829" spans="1:5">
      <c r="A13829" t="s">
        <v>42605</v>
      </c>
      <c r="B13829" t="s">
        <v>7342</v>
      </c>
      <c r="C13829">
        <v>0.29155240743499999</v>
      </c>
      <c r="D13829">
        <v>0.99995860675500003</v>
      </c>
      <c r="E13829">
        <v>23.754000000000001</v>
      </c>
    </row>
    <row r="13830" spans="1:5">
      <c r="A13830" t="s">
        <v>42605</v>
      </c>
      <c r="B13830" t="s">
        <v>7340</v>
      </c>
      <c r="C13830">
        <f>0.952236547481</f>
        <v>0.95223654748099995</v>
      </c>
      <c r="D13830">
        <v>0.99995860675500003</v>
      </c>
      <c r="E13830">
        <v>23.754000000000001</v>
      </c>
    </row>
    <row r="13831" spans="1:5">
      <c r="A13831" t="s">
        <v>42605</v>
      </c>
      <c r="B13831" t="s">
        <v>7341</v>
      </c>
      <c r="C13831">
        <f>0.0315284261685</f>
        <v>3.1528426168499997E-2</v>
      </c>
      <c r="D13831">
        <v>0.99995860675500003</v>
      </c>
      <c r="E13831">
        <v>23.754000000000001</v>
      </c>
    </row>
    <row r="13832" spans="1:5">
      <c r="A13832" t="s">
        <v>42606</v>
      </c>
      <c r="B13832" t="s">
        <v>42607</v>
      </c>
      <c r="C13832">
        <v>1.2630063097499999</v>
      </c>
      <c r="D13832">
        <v>0.87893085046200004</v>
      </c>
      <c r="E13832">
        <v>24</v>
      </c>
    </row>
    <row r="13833" spans="1:5">
      <c r="A13833" t="s">
        <v>42606</v>
      </c>
      <c r="B13833" t="s">
        <v>42608</v>
      </c>
      <c r="C13833">
        <v>1.28851642697</v>
      </c>
      <c r="D13833">
        <v>0.87893085046200004</v>
      </c>
      <c r="E13833">
        <v>24</v>
      </c>
    </row>
    <row r="13834" spans="1:5">
      <c r="A13834" t="s">
        <v>42609</v>
      </c>
      <c r="B13834" t="s">
        <v>10121</v>
      </c>
      <c r="C13834">
        <f>0.328462962265</f>
        <v>0.32846296226499999</v>
      </c>
      <c r="D13834">
        <v>0.69345259833600004</v>
      </c>
      <c r="E13834">
        <v>0</v>
      </c>
    </row>
    <row r="13835" spans="1:5">
      <c r="A13835" t="s">
        <v>42609</v>
      </c>
      <c r="B13835" t="s">
        <v>10123</v>
      </c>
      <c r="C13835">
        <f>0.375368409437</f>
        <v>0.37536840943700001</v>
      </c>
      <c r="D13835">
        <v>0.69345259833600004</v>
      </c>
      <c r="E13835">
        <v>0</v>
      </c>
    </row>
    <row r="13836" spans="1:5">
      <c r="A13836" t="s">
        <v>42610</v>
      </c>
      <c r="B13836" t="s">
        <v>1449</v>
      </c>
      <c r="C13836">
        <v>0.55664818192499999</v>
      </c>
      <c r="D13836">
        <v>0.98484852708600001</v>
      </c>
      <c r="E13836">
        <v>17.718</v>
      </c>
    </row>
    <row r="13837" spans="1:5">
      <c r="A13837" t="s">
        <v>42610</v>
      </c>
      <c r="B13837" t="s">
        <v>1440</v>
      </c>
      <c r="C13837">
        <f>0.343822347793</f>
        <v>0.34382234779300003</v>
      </c>
      <c r="D13837">
        <v>0.98484852708600001</v>
      </c>
      <c r="E13837">
        <v>17.718</v>
      </c>
    </row>
    <row r="13838" spans="1:5">
      <c r="A13838" t="s">
        <v>42610</v>
      </c>
      <c r="B13838" t="s">
        <v>1442</v>
      </c>
      <c r="C13838">
        <v>1.2195402790000001</v>
      </c>
      <c r="D13838">
        <v>0.98484852708600001</v>
      </c>
      <c r="E13838">
        <v>17.718</v>
      </c>
    </row>
    <row r="13839" spans="1:5">
      <c r="A13839" t="s">
        <v>42610</v>
      </c>
      <c r="B13839" t="s">
        <v>1451</v>
      </c>
      <c r="C13839">
        <v>0.29938759564700002</v>
      </c>
      <c r="D13839">
        <v>0.98484852708600001</v>
      </c>
      <c r="E13839">
        <v>17.718</v>
      </c>
    </row>
    <row r="13840" spans="1:5">
      <c r="A13840" t="s">
        <v>42611</v>
      </c>
      <c r="B13840" t="s">
        <v>30423</v>
      </c>
      <c r="C13840">
        <v>0.15785071830299999</v>
      </c>
      <c r="D13840">
        <v>0.73413351012000005</v>
      </c>
      <c r="E13840">
        <v>23.754000000000001</v>
      </c>
    </row>
    <row r="13841" spans="1:5">
      <c r="A13841" t="s">
        <v>42611</v>
      </c>
      <c r="B13841" t="s">
        <v>30425</v>
      </c>
      <c r="C13841">
        <v>0.26249032794999999</v>
      </c>
      <c r="D13841">
        <v>0.73413351012000005</v>
      </c>
      <c r="E13841">
        <v>23.754000000000001</v>
      </c>
    </row>
    <row r="13842" spans="1:5">
      <c r="A13842" t="s">
        <v>42611</v>
      </c>
      <c r="B13842" t="s">
        <v>30426</v>
      </c>
      <c r="C13842">
        <v>0.17476426987599999</v>
      </c>
      <c r="D13842">
        <v>0.73413351012000005</v>
      </c>
      <c r="E13842">
        <v>23.754000000000001</v>
      </c>
    </row>
    <row r="13843" spans="1:5">
      <c r="A13843" t="s">
        <v>42612</v>
      </c>
      <c r="B13843" t="s">
        <v>7788</v>
      </c>
      <c r="C13843">
        <v>0.64900697994000001</v>
      </c>
      <c r="D13843">
        <v>0.88562935850500002</v>
      </c>
      <c r="E13843">
        <v>2.3279999999999998</v>
      </c>
    </row>
    <row r="13844" spans="1:5">
      <c r="A13844" t="s">
        <v>42612</v>
      </c>
      <c r="B13844" t="s">
        <v>7789</v>
      </c>
      <c r="C13844">
        <v>0.21922613579299999</v>
      </c>
      <c r="D13844">
        <v>0.88562935850500002</v>
      </c>
      <c r="E13844">
        <v>2.3279999999999998</v>
      </c>
    </row>
    <row r="13845" spans="1:5">
      <c r="A13845" t="s">
        <v>42612</v>
      </c>
      <c r="B13845" t="s">
        <v>7790</v>
      </c>
      <c r="C13845">
        <v>0</v>
      </c>
      <c r="D13845">
        <v>0.88562935850500002</v>
      </c>
      <c r="E13845">
        <v>2.3279999999999998</v>
      </c>
    </row>
    <row r="13846" spans="1:5">
      <c r="A13846" t="s">
        <v>42613</v>
      </c>
      <c r="B13846" t="s">
        <v>42614</v>
      </c>
      <c r="C13846">
        <f>0.345197320177</f>
        <v>0.345197320177</v>
      </c>
      <c r="D13846">
        <v>0.997466764251</v>
      </c>
      <c r="E13846">
        <v>2.3279999999999998</v>
      </c>
    </row>
    <row r="13847" spans="1:5">
      <c r="A13847" t="s">
        <v>42613</v>
      </c>
      <c r="B13847" t="s">
        <v>42615</v>
      </c>
      <c r="C13847">
        <f>0.149928179065</f>
        <v>0.149928179065</v>
      </c>
      <c r="D13847">
        <v>0.997466764251</v>
      </c>
      <c r="E13847">
        <v>2.3279999999999998</v>
      </c>
    </row>
    <row r="13848" spans="1:5">
      <c r="A13848" t="s">
        <v>42613</v>
      </c>
      <c r="B13848" t="s">
        <v>42616</v>
      </c>
      <c r="C13848">
        <f>0</f>
        <v>0</v>
      </c>
      <c r="D13848">
        <v>0.997466764251</v>
      </c>
      <c r="E13848">
        <v>2.3279999999999998</v>
      </c>
    </row>
    <row r="13849" spans="1:5">
      <c r="A13849" t="s">
        <v>42613</v>
      </c>
      <c r="B13849" t="s">
        <v>42617</v>
      </c>
      <c r="C13849">
        <f>0.603949295907</f>
        <v>0.60394929590699997</v>
      </c>
      <c r="D13849">
        <v>0.997466764251</v>
      </c>
      <c r="E13849">
        <v>2.3279999999999998</v>
      </c>
    </row>
    <row r="13850" spans="1:5">
      <c r="A13850" t="s">
        <v>42613</v>
      </c>
      <c r="B13850" t="s">
        <v>42618</v>
      </c>
      <c r="C13850">
        <f>0</f>
        <v>0</v>
      </c>
      <c r="D13850">
        <v>0.997466764251</v>
      </c>
      <c r="E13850">
        <v>2.3279999999999998</v>
      </c>
    </row>
    <row r="13851" spans="1:5">
      <c r="A13851" t="s">
        <v>42613</v>
      </c>
      <c r="B13851" t="s">
        <v>42619</v>
      </c>
      <c r="C13851">
        <v>0</v>
      </c>
      <c r="D13851">
        <v>0.997466764251</v>
      </c>
      <c r="E13851">
        <v>2.3279999999999998</v>
      </c>
    </row>
    <row r="13852" spans="1:5">
      <c r="A13852" t="s">
        <v>42613</v>
      </c>
      <c r="B13852" t="s">
        <v>42620</v>
      </c>
      <c r="C13852">
        <f>0.00615212626317</f>
        <v>6.1521262631699996E-3</v>
      </c>
      <c r="D13852">
        <v>0.997466764251</v>
      </c>
      <c r="E13852">
        <v>2.3279999999999998</v>
      </c>
    </row>
    <row r="13853" spans="1:5">
      <c r="A13853" t="s">
        <v>42613</v>
      </c>
      <c r="B13853" t="s">
        <v>42621</v>
      </c>
      <c r="C13853">
        <v>0</v>
      </c>
      <c r="D13853">
        <v>0.997466764251</v>
      </c>
      <c r="E13853">
        <v>2.3279999999999998</v>
      </c>
    </row>
    <row r="13854" spans="1:5">
      <c r="A13854" t="s">
        <v>42613</v>
      </c>
      <c r="B13854" t="s">
        <v>42622</v>
      </c>
      <c r="C13854">
        <f>0.0566020002626</f>
        <v>5.6602000262599997E-2</v>
      </c>
      <c r="D13854">
        <v>0.997466764251</v>
      </c>
      <c r="E13854">
        <v>2.3279999999999998</v>
      </c>
    </row>
    <row r="13855" spans="1:5">
      <c r="A13855" t="s">
        <v>42613</v>
      </c>
      <c r="B13855" t="s">
        <v>42623</v>
      </c>
      <c r="C13855">
        <v>0.358623053177</v>
      </c>
      <c r="D13855">
        <v>0.997466764251</v>
      </c>
      <c r="E13855">
        <v>2.3279999999999998</v>
      </c>
    </row>
    <row r="13856" spans="1:5">
      <c r="A13856" t="s">
        <v>42613</v>
      </c>
      <c r="B13856" t="s">
        <v>42624</v>
      </c>
      <c r="C13856">
        <f>0.0450715154653</f>
        <v>4.5071515465299999E-2</v>
      </c>
      <c r="D13856">
        <v>0.997466764251</v>
      </c>
      <c r="E13856">
        <v>2.3279999999999998</v>
      </c>
    </row>
    <row r="13857" spans="1:5">
      <c r="A13857" t="s">
        <v>42613</v>
      </c>
      <c r="B13857" t="s">
        <v>42625</v>
      </c>
      <c r="C13857">
        <v>0</v>
      </c>
      <c r="D13857">
        <v>0.997466764251</v>
      </c>
      <c r="E13857">
        <v>2.3279999999999998</v>
      </c>
    </row>
    <row r="13858" spans="1:5">
      <c r="A13858" t="s">
        <v>42613</v>
      </c>
      <c r="B13858" t="s">
        <v>42626</v>
      </c>
      <c r="C13858">
        <v>0</v>
      </c>
      <c r="D13858">
        <v>0.997466764251</v>
      </c>
      <c r="E13858">
        <v>2.3279999999999998</v>
      </c>
    </row>
    <row r="13859" spans="1:5">
      <c r="A13859" t="s">
        <v>42613</v>
      </c>
      <c r="B13859" t="s">
        <v>42627</v>
      </c>
      <c r="C13859">
        <v>0</v>
      </c>
      <c r="D13859">
        <v>0.997466764251</v>
      </c>
      <c r="E13859">
        <v>2.3279999999999998</v>
      </c>
    </row>
    <row r="13860" spans="1:5">
      <c r="A13860" t="s">
        <v>42613</v>
      </c>
      <c r="B13860" t="s">
        <v>42628</v>
      </c>
      <c r="C13860">
        <f>0</f>
        <v>0</v>
      </c>
      <c r="D13860">
        <v>0.997466764251</v>
      </c>
      <c r="E13860">
        <v>2.3279999999999998</v>
      </c>
    </row>
    <row r="13861" spans="1:5">
      <c r="A13861" t="s">
        <v>42613</v>
      </c>
      <c r="B13861" t="s">
        <v>42629</v>
      </c>
      <c r="C13861">
        <f>0</f>
        <v>0</v>
      </c>
      <c r="D13861">
        <v>0.997466764251</v>
      </c>
      <c r="E13861">
        <v>2.3279999999999998</v>
      </c>
    </row>
    <row r="13862" spans="1:5">
      <c r="A13862" t="s">
        <v>42613</v>
      </c>
      <c r="B13862" t="s">
        <v>42630</v>
      </c>
      <c r="C13862">
        <f>0</f>
        <v>0</v>
      </c>
      <c r="D13862">
        <v>0.997466764251</v>
      </c>
      <c r="E13862">
        <v>2.3279999999999998</v>
      </c>
    </row>
    <row r="13863" spans="1:5">
      <c r="A13863" t="s">
        <v>42631</v>
      </c>
      <c r="B13863" t="s">
        <v>26979</v>
      </c>
      <c r="C13863">
        <f>0.343848816785</f>
        <v>0.34384881678500001</v>
      </c>
      <c r="D13863">
        <v>0.78708966377599998</v>
      </c>
      <c r="E13863">
        <v>10.715999999999999</v>
      </c>
    </row>
    <row r="13864" spans="1:5">
      <c r="A13864" t="s">
        <v>42631</v>
      </c>
      <c r="B13864" t="s">
        <v>26982</v>
      </c>
      <c r="C13864">
        <f>0.545689343993</f>
        <v>0.54568934399299995</v>
      </c>
      <c r="D13864">
        <v>0.78708966377599998</v>
      </c>
      <c r="E13864">
        <v>10.715999999999999</v>
      </c>
    </row>
    <row r="13865" spans="1:5">
      <c r="A13865" t="s">
        <v>42632</v>
      </c>
      <c r="B13865" t="s">
        <v>5216</v>
      </c>
      <c r="C13865">
        <f>0</f>
        <v>0</v>
      </c>
      <c r="D13865">
        <v>0.75068854506600002</v>
      </c>
      <c r="E13865">
        <v>2.6339999999999999</v>
      </c>
    </row>
    <row r="13866" spans="1:5">
      <c r="A13866" t="s">
        <v>42632</v>
      </c>
      <c r="B13866" t="s">
        <v>5219</v>
      </c>
      <c r="C13866">
        <v>0</v>
      </c>
      <c r="D13866">
        <v>0.75068854506600002</v>
      </c>
      <c r="E13866">
        <v>2.6339999999999999</v>
      </c>
    </row>
    <row r="13867" spans="1:5">
      <c r="A13867" t="s">
        <v>42632</v>
      </c>
      <c r="B13867" t="s">
        <v>5217</v>
      </c>
      <c r="C13867">
        <v>0</v>
      </c>
      <c r="D13867">
        <v>0.75068854506600002</v>
      </c>
      <c r="E13867">
        <v>2.6339999999999999</v>
      </c>
    </row>
    <row r="13868" spans="1:5">
      <c r="A13868" t="s">
        <v>42632</v>
      </c>
      <c r="B13868" t="s">
        <v>5220</v>
      </c>
      <c r="C13868">
        <f>0.487568904828</f>
        <v>0.48756890482800003</v>
      </c>
      <c r="D13868">
        <v>0.75068854506600002</v>
      </c>
      <c r="E13868">
        <v>2.6339999999999999</v>
      </c>
    </row>
    <row r="13869" spans="1:5">
      <c r="A13869" t="s">
        <v>42632</v>
      </c>
      <c r="B13869" t="s">
        <v>5218</v>
      </c>
      <c r="C13869">
        <f>0</f>
        <v>0</v>
      </c>
      <c r="D13869">
        <v>0.75068854506600002</v>
      </c>
      <c r="E13869">
        <v>2.6339999999999999</v>
      </c>
    </row>
    <row r="13870" spans="1:5">
      <c r="A13870" t="s">
        <v>42632</v>
      </c>
      <c r="B13870" t="s">
        <v>5221</v>
      </c>
      <c r="C13870">
        <f>0.124312563129</f>
        <v>0.12431256312900001</v>
      </c>
      <c r="D13870">
        <v>0.75068854506600002</v>
      </c>
      <c r="E13870">
        <v>2.6339999999999999</v>
      </c>
    </row>
    <row r="13871" spans="1:5">
      <c r="A13871" t="s">
        <v>42632</v>
      </c>
      <c r="B13871" t="s">
        <v>5214</v>
      </c>
      <c r="C13871">
        <f>0</f>
        <v>0</v>
      </c>
      <c r="D13871">
        <v>0.75068854506600002</v>
      </c>
      <c r="E13871">
        <v>2.6339999999999999</v>
      </c>
    </row>
    <row r="13872" spans="1:5">
      <c r="A13872" t="s">
        <v>42633</v>
      </c>
      <c r="B13872" t="s">
        <v>24349</v>
      </c>
      <c r="C13872">
        <f>0</f>
        <v>0</v>
      </c>
      <c r="D13872">
        <v>0.80969907688300002</v>
      </c>
      <c r="E13872">
        <v>8.2919999999999998</v>
      </c>
    </row>
    <row r="13873" spans="1:5">
      <c r="A13873" t="s">
        <v>42633</v>
      </c>
      <c r="B13873" t="s">
        <v>24351</v>
      </c>
      <c r="C13873">
        <f>0.292406682245</f>
        <v>0.29240668224499999</v>
      </c>
      <c r="D13873">
        <v>0.80969907688300002</v>
      </c>
      <c r="E13873">
        <v>8.2919999999999998</v>
      </c>
    </row>
    <row r="13874" spans="1:5">
      <c r="A13874" t="s">
        <v>42633</v>
      </c>
      <c r="B13874" t="s">
        <v>24350</v>
      </c>
      <c r="C13874">
        <v>0</v>
      </c>
      <c r="D13874">
        <v>0.80969907688300002</v>
      </c>
      <c r="E13874">
        <v>8.2919999999999998</v>
      </c>
    </row>
    <row r="13875" spans="1:5">
      <c r="A13875" t="s">
        <v>42633</v>
      </c>
      <c r="B13875" t="s">
        <v>24353</v>
      </c>
      <c r="C13875">
        <f>0.313651652688</f>
        <v>0.31365165268799999</v>
      </c>
      <c r="D13875">
        <v>0.80969907688300002</v>
      </c>
      <c r="E13875">
        <v>8.2919999999999998</v>
      </c>
    </row>
    <row r="13876" spans="1:5">
      <c r="A13876" t="s">
        <v>42634</v>
      </c>
      <c r="B13876" t="s">
        <v>15797</v>
      </c>
      <c r="C13876">
        <f>0.294722449002</f>
        <v>0.29472244900200001</v>
      </c>
      <c r="D13876">
        <v>0.99137372443600003</v>
      </c>
      <c r="E13876">
        <v>23.754000000000001</v>
      </c>
    </row>
    <row r="13877" spans="1:5">
      <c r="A13877" t="s">
        <v>42634</v>
      </c>
      <c r="B13877" t="s">
        <v>15800</v>
      </c>
      <c r="C13877">
        <v>0.12517526420399999</v>
      </c>
      <c r="D13877">
        <v>0.99137372443600003</v>
      </c>
      <c r="E13877">
        <v>23.754000000000001</v>
      </c>
    </row>
    <row r="13878" spans="1:5">
      <c r="A13878" t="s">
        <v>42634</v>
      </c>
      <c r="B13878" t="s">
        <v>15799</v>
      </c>
      <c r="C13878">
        <v>0.81306076471900002</v>
      </c>
      <c r="D13878">
        <v>0.99137372443600003</v>
      </c>
      <c r="E13878">
        <v>23.754000000000001</v>
      </c>
    </row>
    <row r="13879" spans="1:5">
      <c r="A13879" t="s">
        <v>42634</v>
      </c>
      <c r="B13879" t="s">
        <v>15801</v>
      </c>
      <c r="C13879">
        <f>0.828335863666</f>
        <v>0.82833586366599998</v>
      </c>
      <c r="D13879">
        <v>0.99137372443600003</v>
      </c>
      <c r="E13879">
        <v>23.754000000000001</v>
      </c>
    </row>
    <row r="13880" spans="1:5">
      <c r="A13880" t="s">
        <v>42634</v>
      </c>
      <c r="B13880" t="s">
        <v>15802</v>
      </c>
      <c r="C13880">
        <v>0.25038995097400002</v>
      </c>
      <c r="D13880">
        <v>0.99137372443600003</v>
      </c>
      <c r="E13880">
        <v>23.754000000000001</v>
      </c>
    </row>
    <row r="13881" spans="1:5">
      <c r="A13881" t="s">
        <v>42635</v>
      </c>
      <c r="B13881" t="s">
        <v>8635</v>
      </c>
      <c r="C13881">
        <v>0.35147902579599999</v>
      </c>
      <c r="D13881">
        <v>0.99999349124100001</v>
      </c>
      <c r="E13881">
        <v>6.3</v>
      </c>
    </row>
    <row r="13882" spans="1:5">
      <c r="A13882" t="s">
        <v>42635</v>
      </c>
      <c r="B13882" t="s">
        <v>8634</v>
      </c>
      <c r="C13882">
        <f>0.36867248497</f>
        <v>0.36867248496999999</v>
      </c>
      <c r="D13882">
        <v>0.99999349124100001</v>
      </c>
      <c r="E13882">
        <v>6.3</v>
      </c>
    </row>
    <row r="13883" spans="1:5">
      <c r="A13883" t="s">
        <v>42635</v>
      </c>
      <c r="B13883" t="s">
        <v>8643</v>
      </c>
      <c r="C13883">
        <f>0.293367957379</f>
        <v>0.29336795737900001</v>
      </c>
      <c r="D13883">
        <v>0.99999349124100001</v>
      </c>
      <c r="E13883">
        <v>6.3</v>
      </c>
    </row>
    <row r="13884" spans="1:5">
      <c r="A13884" t="s">
        <v>42635</v>
      </c>
      <c r="B13884" t="s">
        <v>8644</v>
      </c>
      <c r="C13884">
        <f>0.368742066059</f>
        <v>0.36874206605900001</v>
      </c>
      <c r="D13884">
        <v>0.99999349124100001</v>
      </c>
      <c r="E13884">
        <v>6.3</v>
      </c>
    </row>
    <row r="13885" spans="1:5">
      <c r="A13885" t="s">
        <v>42635</v>
      </c>
      <c r="B13885" t="s">
        <v>8642</v>
      </c>
      <c r="C13885">
        <v>1.01906361698</v>
      </c>
      <c r="D13885">
        <v>0.99999349124100001</v>
      </c>
      <c r="E13885">
        <v>6.3</v>
      </c>
    </row>
    <row r="13886" spans="1:5">
      <c r="A13886" t="s">
        <v>42635</v>
      </c>
      <c r="B13886" t="s">
        <v>42636</v>
      </c>
      <c r="C13886">
        <v>0.20799546618299999</v>
      </c>
      <c r="D13886">
        <v>0.99999349124100001</v>
      </c>
      <c r="E13886">
        <v>6.3</v>
      </c>
    </row>
    <row r="13887" spans="1:5">
      <c r="A13887" t="s">
        <v>42635</v>
      </c>
      <c r="B13887" t="s">
        <v>8637</v>
      </c>
      <c r="C13887">
        <v>0.73271446092400006</v>
      </c>
      <c r="D13887">
        <v>0.99999349124100001</v>
      </c>
      <c r="E13887">
        <v>6.3</v>
      </c>
    </row>
    <row r="13888" spans="1:5">
      <c r="A13888" t="s">
        <v>42637</v>
      </c>
      <c r="B13888" t="s">
        <v>24250</v>
      </c>
      <c r="C13888">
        <v>0</v>
      </c>
      <c r="D13888">
        <v>0.51460808465200003</v>
      </c>
      <c r="E13888">
        <v>23.52</v>
      </c>
    </row>
    <row r="13889" spans="1:5">
      <c r="A13889" t="s">
        <v>42637</v>
      </c>
      <c r="B13889" t="s">
        <v>24252</v>
      </c>
      <c r="C13889">
        <f>0.104998084652</f>
        <v>0.104998084652</v>
      </c>
      <c r="D13889">
        <v>0.51460808465200003</v>
      </c>
      <c r="E13889">
        <v>23.52</v>
      </c>
    </row>
    <row r="13890" spans="1:5">
      <c r="A13890" t="s">
        <v>42638</v>
      </c>
      <c r="B13890" t="s">
        <v>42639</v>
      </c>
      <c r="C13890">
        <v>0</v>
      </c>
      <c r="D13890" t="s">
        <v>106</v>
      </c>
      <c r="E13890">
        <v>8.8680000000000003</v>
      </c>
    </row>
    <row r="13891" spans="1:5">
      <c r="A13891" t="s">
        <v>42638</v>
      </c>
      <c r="B13891" t="s">
        <v>42640</v>
      </c>
      <c r="C13891">
        <f>0</f>
        <v>0</v>
      </c>
      <c r="D13891" t="s">
        <v>106</v>
      </c>
      <c r="E13891">
        <v>8.8680000000000003</v>
      </c>
    </row>
    <row r="13892" spans="1:5">
      <c r="A13892" t="s">
        <v>42638</v>
      </c>
      <c r="B13892" t="s">
        <v>42641</v>
      </c>
      <c r="C13892">
        <f>0</f>
        <v>0</v>
      </c>
      <c r="D13892" t="s">
        <v>106</v>
      </c>
      <c r="E13892">
        <v>8.8680000000000003</v>
      </c>
    </row>
    <row r="13893" spans="1:5">
      <c r="A13893" t="s">
        <v>42642</v>
      </c>
      <c r="B13893" t="s">
        <v>42643</v>
      </c>
      <c r="C13893">
        <v>0.424794080568</v>
      </c>
      <c r="D13893">
        <v>0.55440408056799995</v>
      </c>
      <c r="E13893">
        <v>11.37</v>
      </c>
    </row>
    <row r="13894" spans="1:5">
      <c r="A13894" t="s">
        <v>42642</v>
      </c>
      <c r="B13894" t="s">
        <v>42644</v>
      </c>
      <c r="C13894">
        <f>0</f>
        <v>0</v>
      </c>
      <c r="D13894">
        <v>0.55440408056799995</v>
      </c>
      <c r="E13894">
        <v>11.37</v>
      </c>
    </row>
    <row r="13895" spans="1:5">
      <c r="A13895" t="s">
        <v>42645</v>
      </c>
      <c r="B13895" t="s">
        <v>29423</v>
      </c>
      <c r="C13895">
        <f>0.283298737352</f>
        <v>0.28329873735200001</v>
      </c>
      <c r="D13895">
        <v>0.846531824333</v>
      </c>
      <c r="E13895">
        <v>0.504</v>
      </c>
    </row>
    <row r="13896" spans="1:5">
      <c r="A13896" t="s">
        <v>42645</v>
      </c>
      <c r="B13896" t="s">
        <v>29427</v>
      </c>
      <c r="C13896">
        <f>0</f>
        <v>0</v>
      </c>
      <c r="D13896">
        <v>0.846531824333</v>
      </c>
      <c r="E13896">
        <v>0.504</v>
      </c>
    </row>
    <row r="13897" spans="1:5">
      <c r="A13897" t="s">
        <v>42645</v>
      </c>
      <c r="B13897" t="s">
        <v>29429</v>
      </c>
      <c r="C13897">
        <v>0.55737443668099995</v>
      </c>
      <c r="D13897">
        <v>0.846531824333</v>
      </c>
      <c r="E13897">
        <v>0.504</v>
      </c>
    </row>
    <row r="13898" spans="1:5">
      <c r="A13898" t="s">
        <v>42645</v>
      </c>
      <c r="B13898" t="s">
        <v>29426</v>
      </c>
      <c r="C13898">
        <f>0</f>
        <v>0</v>
      </c>
      <c r="D13898">
        <v>0.846531824333</v>
      </c>
      <c r="E13898">
        <v>0.504</v>
      </c>
    </row>
    <row r="13899" spans="1:5">
      <c r="A13899" t="s">
        <v>42646</v>
      </c>
      <c r="B13899" t="s">
        <v>42647</v>
      </c>
      <c r="C13899">
        <v>0.65050152458900001</v>
      </c>
      <c r="D13899">
        <v>0.99999999055800004</v>
      </c>
      <c r="E13899">
        <v>1.512</v>
      </c>
    </row>
    <row r="13900" spans="1:5">
      <c r="A13900" t="s">
        <v>42646</v>
      </c>
      <c r="B13900" t="s">
        <v>42648</v>
      </c>
      <c r="C13900">
        <f>0.671324652859</f>
        <v>0.671324652859</v>
      </c>
      <c r="D13900">
        <v>0.99999999055800004</v>
      </c>
      <c r="E13900">
        <v>1.512</v>
      </c>
    </row>
    <row r="13901" spans="1:5">
      <c r="A13901" t="s">
        <v>42646</v>
      </c>
      <c r="B13901" t="s">
        <v>42649</v>
      </c>
      <c r="C13901">
        <f>0.0653969058949</f>
        <v>6.5396905894900006E-2</v>
      </c>
      <c r="D13901">
        <v>0.99999999055800004</v>
      </c>
      <c r="E13901">
        <v>1.512</v>
      </c>
    </row>
    <row r="13902" spans="1:5">
      <c r="A13902" t="s">
        <v>42646</v>
      </c>
      <c r="B13902" t="s">
        <v>42650</v>
      </c>
      <c r="C13902">
        <f>0.00456652107061</f>
        <v>4.5665210706100001E-3</v>
      </c>
      <c r="D13902">
        <v>0.99999999055800004</v>
      </c>
      <c r="E13902">
        <v>1.512</v>
      </c>
    </row>
    <row r="13903" spans="1:5">
      <c r="A13903" t="s">
        <v>42646</v>
      </c>
      <c r="B13903" t="s">
        <v>42651</v>
      </c>
      <c r="C13903">
        <v>6.2528715060500006E-2</v>
      </c>
      <c r="D13903">
        <v>0.99999999055800004</v>
      </c>
      <c r="E13903">
        <v>1.512</v>
      </c>
    </row>
    <row r="13904" spans="1:5">
      <c r="A13904" t="s">
        <v>42646</v>
      </c>
      <c r="B13904" t="s">
        <v>42652</v>
      </c>
      <c r="C13904">
        <f>0.159914054107</f>
        <v>0.15991405410699999</v>
      </c>
      <c r="D13904">
        <v>0.99999999055800004</v>
      </c>
      <c r="E13904">
        <v>1.512</v>
      </c>
    </row>
    <row r="13905" spans="1:5">
      <c r="A13905" t="s">
        <v>42646</v>
      </c>
      <c r="B13905" t="s">
        <v>42653</v>
      </c>
      <c r="C13905">
        <v>0.238076855399</v>
      </c>
      <c r="D13905">
        <v>0.99999999055800004</v>
      </c>
      <c r="E13905">
        <v>1.512</v>
      </c>
    </row>
    <row r="13906" spans="1:5">
      <c r="A13906" t="s">
        <v>42646</v>
      </c>
      <c r="B13906" t="s">
        <v>42654</v>
      </c>
      <c r="C13906">
        <f>0.146120418135</f>
        <v>0.14612041813500001</v>
      </c>
      <c r="D13906">
        <v>0.99999999055800004</v>
      </c>
      <c r="E13906">
        <v>1.512</v>
      </c>
    </row>
    <row r="13907" spans="1:5">
      <c r="A13907" t="s">
        <v>42646</v>
      </c>
      <c r="B13907" t="s">
        <v>42655</v>
      </c>
      <c r="C13907">
        <f>0.0893109026192</f>
        <v>8.9310902619199994E-2</v>
      </c>
      <c r="D13907">
        <v>0.99999999055800004</v>
      </c>
      <c r="E13907">
        <v>1.512</v>
      </c>
    </row>
    <row r="13908" spans="1:5">
      <c r="A13908" t="s">
        <v>42646</v>
      </c>
      <c r="B13908" t="s">
        <v>42656</v>
      </c>
      <c r="C13908">
        <f>0.146453235683</f>
        <v>0.146453235683</v>
      </c>
      <c r="D13908">
        <v>0.99999999055800004</v>
      </c>
      <c r="E13908">
        <v>1.512</v>
      </c>
    </row>
    <row r="13909" spans="1:5">
      <c r="A13909" t="s">
        <v>42646</v>
      </c>
      <c r="B13909" t="s">
        <v>42657</v>
      </c>
      <c r="C13909">
        <f>0.00829218702901</f>
        <v>8.2921870290100005E-3</v>
      </c>
      <c r="D13909">
        <v>0.99999999055800004</v>
      </c>
      <c r="E13909">
        <v>1.512</v>
      </c>
    </row>
    <row r="13910" spans="1:5">
      <c r="A13910" t="s">
        <v>42646</v>
      </c>
      <c r="B13910" t="s">
        <v>42658</v>
      </c>
      <c r="C13910">
        <f>0.0417197754203</f>
        <v>4.1719775420299997E-2</v>
      </c>
      <c r="D13910">
        <v>0.99999999055800004</v>
      </c>
      <c r="E13910">
        <v>1.512</v>
      </c>
    </row>
    <row r="13911" spans="1:5">
      <c r="A13911" t="s">
        <v>42646</v>
      </c>
      <c r="B13911" t="s">
        <v>42659</v>
      </c>
      <c r="C13911">
        <v>3.2601200650099998E-2</v>
      </c>
      <c r="D13911">
        <v>0.99999999055800004</v>
      </c>
      <c r="E13911">
        <v>1.512</v>
      </c>
    </row>
    <row r="13912" spans="1:5">
      <c r="A13912" t="s">
        <v>42646</v>
      </c>
      <c r="B13912" t="s">
        <v>42660</v>
      </c>
      <c r="C13912">
        <v>1.6361868303500001E-2</v>
      </c>
      <c r="D13912">
        <v>0.99999999055800004</v>
      </c>
      <c r="E13912">
        <v>1.512</v>
      </c>
    </row>
    <row r="13913" spans="1:5">
      <c r="A13913" t="s">
        <v>42646</v>
      </c>
      <c r="B13913" t="s">
        <v>42661</v>
      </c>
      <c r="C13913">
        <f>0.0520435508722</f>
        <v>5.2043550872200001E-2</v>
      </c>
      <c r="D13913">
        <v>0.99999999055800004</v>
      </c>
      <c r="E13913">
        <v>1.512</v>
      </c>
    </row>
    <row r="13914" spans="1:5">
      <c r="A13914" t="s">
        <v>42646</v>
      </c>
      <c r="B13914" t="s">
        <v>42662</v>
      </c>
      <c r="C13914">
        <v>5.8799579239999997E-2</v>
      </c>
      <c r="D13914">
        <v>0.99999999055800004</v>
      </c>
      <c r="E13914">
        <v>1.512</v>
      </c>
    </row>
    <row r="13915" spans="1:5">
      <c r="A13915" t="s">
        <v>42646</v>
      </c>
      <c r="B13915" t="s">
        <v>42663</v>
      </c>
      <c r="C13915">
        <f>0.0428171318943</f>
        <v>4.2817131894300003E-2</v>
      </c>
      <c r="D13915">
        <v>0.99999999055800004</v>
      </c>
      <c r="E13915">
        <v>1.512</v>
      </c>
    </row>
    <row r="13916" spans="1:5">
      <c r="A13916" t="s">
        <v>42646</v>
      </c>
      <c r="B13916" t="s">
        <v>42664</v>
      </c>
      <c r="C13916">
        <f>0.0588668298204</f>
        <v>5.88668298204E-2</v>
      </c>
      <c r="D13916">
        <v>0.99999999055800004</v>
      </c>
      <c r="E13916">
        <v>1.512</v>
      </c>
    </row>
    <row r="13917" spans="1:5">
      <c r="A13917" t="s">
        <v>42646</v>
      </c>
      <c r="B13917" t="s">
        <v>42665</v>
      </c>
      <c r="C13917">
        <f>0.0531492736484</f>
        <v>5.3149273648399997E-2</v>
      </c>
      <c r="D13917">
        <v>0.99999999055800004</v>
      </c>
      <c r="E13917">
        <v>1.512</v>
      </c>
    </row>
    <row r="13918" spans="1:5">
      <c r="A13918" t="s">
        <v>42646</v>
      </c>
      <c r="B13918" t="s">
        <v>42666</v>
      </c>
      <c r="C13918">
        <f>0.0472833902849</f>
        <v>4.7283390284900001E-2</v>
      </c>
      <c r="D13918">
        <v>0.99999999055800004</v>
      </c>
      <c r="E13918">
        <v>1.512</v>
      </c>
    </row>
    <row r="13919" spans="1:5">
      <c r="A13919" t="s">
        <v>42646</v>
      </c>
      <c r="B13919" t="s">
        <v>42667</v>
      </c>
      <c r="C13919">
        <v>2.38135500098E-2</v>
      </c>
      <c r="D13919">
        <v>0.99999999055800004</v>
      </c>
      <c r="E13919">
        <v>1.512</v>
      </c>
    </row>
    <row r="13920" spans="1:5">
      <c r="A13920" t="s">
        <v>42646</v>
      </c>
      <c r="B13920" t="s">
        <v>42668</v>
      </c>
      <c r="C13920">
        <v>1.0124061815600001E-3</v>
      </c>
      <c r="D13920">
        <v>0.99999999055800004</v>
      </c>
      <c r="E13920">
        <v>1.512</v>
      </c>
    </row>
    <row r="13921" spans="1:5">
      <c r="A13921" t="s">
        <v>42646</v>
      </c>
      <c r="B13921" t="s">
        <v>42669</v>
      </c>
      <c r="C13921">
        <f>0.0301024908101</f>
        <v>3.01024908101E-2</v>
      </c>
      <c r="D13921">
        <v>0.99999999055800004</v>
      </c>
      <c r="E13921">
        <v>1.512</v>
      </c>
    </row>
    <row r="13922" spans="1:5">
      <c r="A13922" t="s">
        <v>42670</v>
      </c>
      <c r="B13922" t="s">
        <v>12646</v>
      </c>
      <c r="C13922">
        <f>0</f>
        <v>0</v>
      </c>
      <c r="D13922">
        <v>0.91083788218299999</v>
      </c>
      <c r="E13922">
        <v>4.8</v>
      </c>
    </row>
    <row r="13923" spans="1:5">
      <c r="A13923" t="s">
        <v>42670</v>
      </c>
      <c r="B13923" t="s">
        <v>12648</v>
      </c>
      <c r="C13923">
        <v>0.32206252270899999</v>
      </c>
      <c r="D13923">
        <v>0.91083788218299999</v>
      </c>
      <c r="E13923">
        <v>4.8</v>
      </c>
    </row>
    <row r="13924" spans="1:5">
      <c r="A13924" t="s">
        <v>42670</v>
      </c>
      <c r="B13924" t="s">
        <v>12649</v>
      </c>
      <c r="C13924">
        <v>0</v>
      </c>
      <c r="D13924">
        <v>0.91083788218299999</v>
      </c>
      <c r="E13924">
        <v>4.8</v>
      </c>
    </row>
    <row r="13925" spans="1:5">
      <c r="A13925" t="s">
        <v>42670</v>
      </c>
      <c r="B13925" t="s">
        <v>12651</v>
      </c>
      <c r="C13925">
        <v>0.21963684999399999</v>
      </c>
      <c r="D13925">
        <v>0.91083788218299999</v>
      </c>
      <c r="E13925">
        <v>4.8</v>
      </c>
    </row>
    <row r="13926" spans="1:5">
      <c r="A13926" t="s">
        <v>42670</v>
      </c>
      <c r="B13926" t="s">
        <v>12652</v>
      </c>
      <c r="C13926">
        <v>0.45860551503800001</v>
      </c>
      <c r="D13926">
        <v>0.91083788218299999</v>
      </c>
      <c r="E13926">
        <v>4.8</v>
      </c>
    </row>
    <row r="13927" spans="1:5">
      <c r="A13927" t="s">
        <v>42670</v>
      </c>
      <c r="B13927" t="s">
        <v>12653</v>
      </c>
      <c r="C13927">
        <v>0</v>
      </c>
      <c r="D13927">
        <v>0.91083788218299999</v>
      </c>
      <c r="E13927">
        <v>4.8</v>
      </c>
    </row>
    <row r="13928" spans="1:5">
      <c r="A13928" t="s">
        <v>42670</v>
      </c>
      <c r="B13928" t="s">
        <v>12654</v>
      </c>
      <c r="C13928">
        <v>0</v>
      </c>
      <c r="D13928">
        <v>0.91083788218299999</v>
      </c>
      <c r="E13928">
        <v>4.8</v>
      </c>
    </row>
    <row r="13929" spans="1:5">
      <c r="A13929" t="s">
        <v>42670</v>
      </c>
      <c r="B13929" t="s">
        <v>12650</v>
      </c>
      <c r="C13929">
        <v>0</v>
      </c>
      <c r="D13929">
        <v>0.91083788218299999</v>
      </c>
      <c r="E13929">
        <v>4.8</v>
      </c>
    </row>
    <row r="13930" spans="1:5">
      <c r="A13930" t="s">
        <v>42671</v>
      </c>
      <c r="B13930" t="s">
        <v>12362</v>
      </c>
      <c r="C13930">
        <v>0</v>
      </c>
      <c r="D13930">
        <v>0.89376695250399996</v>
      </c>
      <c r="E13930">
        <v>23.754000000000001</v>
      </c>
    </row>
    <row r="13931" spans="1:5">
      <c r="A13931" t="s">
        <v>42671</v>
      </c>
      <c r="B13931" t="s">
        <v>12363</v>
      </c>
      <c r="C13931">
        <v>0.23813305929799999</v>
      </c>
      <c r="D13931">
        <v>0.89376695250399996</v>
      </c>
      <c r="E13931">
        <v>23.754000000000001</v>
      </c>
    </row>
    <row r="13932" spans="1:5">
      <c r="A13932" t="s">
        <v>42671</v>
      </c>
      <c r="B13932" t="s">
        <v>12367</v>
      </c>
      <c r="C13932">
        <f>0.751394326383</f>
        <v>0.75139432638299997</v>
      </c>
      <c r="D13932">
        <v>0.89376695250399996</v>
      </c>
      <c r="E13932">
        <v>23.754000000000001</v>
      </c>
    </row>
    <row r="13933" spans="1:5">
      <c r="A13933" t="s">
        <v>42671</v>
      </c>
      <c r="B13933" t="s">
        <v>12369</v>
      </c>
      <c r="C13933">
        <v>0.40551650404099998</v>
      </c>
      <c r="D13933">
        <v>0.89376695250399996</v>
      </c>
      <c r="E13933">
        <v>23.754000000000001</v>
      </c>
    </row>
    <row r="13934" spans="1:5">
      <c r="A13934" t="s">
        <v>42672</v>
      </c>
      <c r="B13934" t="s">
        <v>3211</v>
      </c>
      <c r="C13934">
        <v>0</v>
      </c>
      <c r="D13934" t="s">
        <v>106</v>
      </c>
      <c r="E13934">
        <v>1.512</v>
      </c>
    </row>
    <row r="13935" spans="1:5">
      <c r="A13935" t="s">
        <v>42672</v>
      </c>
      <c r="B13935" t="s">
        <v>3212</v>
      </c>
      <c r="C13935">
        <f>0</f>
        <v>0</v>
      </c>
      <c r="D13935" t="s">
        <v>106</v>
      </c>
      <c r="E13935">
        <v>1.512</v>
      </c>
    </row>
    <row r="13936" spans="1:5">
      <c r="A13936" t="s">
        <v>42673</v>
      </c>
      <c r="B13936" t="s">
        <v>2886</v>
      </c>
      <c r="C13936">
        <v>0.26643063926799998</v>
      </c>
      <c r="D13936">
        <v>0.99182631482200001</v>
      </c>
      <c r="E13936">
        <v>3.8759999999999999</v>
      </c>
    </row>
    <row r="13937" spans="1:5">
      <c r="A13937" t="s">
        <v>42673</v>
      </c>
      <c r="B13937" t="s">
        <v>2893</v>
      </c>
      <c r="C13937">
        <v>0</v>
      </c>
      <c r="D13937">
        <v>0.99182631482200001</v>
      </c>
      <c r="E13937">
        <v>3.8759999999999999</v>
      </c>
    </row>
    <row r="13938" spans="1:5">
      <c r="A13938" t="s">
        <v>42673</v>
      </c>
      <c r="B13938" t="s">
        <v>2887</v>
      </c>
      <c r="C13938">
        <v>1.6921952736899999</v>
      </c>
      <c r="D13938">
        <v>0.99182631482200001</v>
      </c>
      <c r="E13938">
        <v>3.8759999999999999</v>
      </c>
    </row>
    <row r="13939" spans="1:5">
      <c r="A13939" t="s">
        <v>42673</v>
      </c>
      <c r="B13939" t="s">
        <v>2890</v>
      </c>
      <c r="C13939">
        <f>-1.49206712249</f>
        <v>-1.49206712249</v>
      </c>
      <c r="D13939">
        <v>0.99182631482200001</v>
      </c>
      <c r="E13939">
        <v>3.8759999999999999</v>
      </c>
    </row>
    <row r="13940" spans="1:5">
      <c r="A13940" t="s">
        <v>42673</v>
      </c>
      <c r="B13940" t="s">
        <v>2891</v>
      </c>
      <c r="C13940">
        <v>0.96321202688999996</v>
      </c>
      <c r="D13940">
        <v>0.99182631482200001</v>
      </c>
      <c r="E13940">
        <v>3.8759999999999999</v>
      </c>
    </row>
    <row r="13941" spans="1:5">
      <c r="A13941" t="s">
        <v>42673</v>
      </c>
      <c r="B13941" t="s">
        <v>2892</v>
      </c>
      <c r="C13941">
        <v>0.19795701239800001</v>
      </c>
      <c r="D13941">
        <v>0.99182631482200001</v>
      </c>
      <c r="E13941">
        <v>3.8759999999999999</v>
      </c>
    </row>
    <row r="13942" spans="1:5">
      <c r="A13942" t="s">
        <v>42673</v>
      </c>
      <c r="B13942" t="s">
        <v>2888</v>
      </c>
      <c r="C13942">
        <f>0.4483841777</f>
        <v>0.4483841777</v>
      </c>
      <c r="D13942">
        <v>0.99182631482200001</v>
      </c>
      <c r="E13942">
        <v>3.8759999999999999</v>
      </c>
    </row>
    <row r="13943" spans="1:5">
      <c r="A13943" t="s">
        <v>42673</v>
      </c>
      <c r="B13943" t="s">
        <v>2889</v>
      </c>
      <c r="C13943">
        <v>0.70302106351399996</v>
      </c>
      <c r="D13943">
        <v>0.99182631482200001</v>
      </c>
      <c r="E13943">
        <v>3.8759999999999999</v>
      </c>
    </row>
    <row r="13944" spans="1:5">
      <c r="A13944" t="s">
        <v>42674</v>
      </c>
      <c r="B13944" t="s">
        <v>13156</v>
      </c>
      <c r="C13944">
        <v>0.57089679897500001</v>
      </c>
      <c r="D13944">
        <v>0.80130679897500001</v>
      </c>
      <c r="E13944">
        <v>0.65400000000000003</v>
      </c>
    </row>
    <row r="13945" spans="1:5">
      <c r="A13945" t="s">
        <v>42674</v>
      </c>
      <c r="B13945" t="s">
        <v>13161</v>
      </c>
      <c r="C13945">
        <f>0</f>
        <v>0</v>
      </c>
      <c r="D13945">
        <v>0.80130679897500001</v>
      </c>
      <c r="E13945">
        <v>0.65400000000000003</v>
      </c>
    </row>
    <row r="13946" spans="1:5">
      <c r="A13946" t="s">
        <v>42674</v>
      </c>
      <c r="B13946" t="s">
        <v>13157</v>
      </c>
      <c r="C13946">
        <v>0</v>
      </c>
      <c r="D13946">
        <v>0.80130679897500001</v>
      </c>
      <c r="E13946">
        <v>0.65400000000000003</v>
      </c>
    </row>
    <row r="13947" spans="1:5">
      <c r="A13947" t="s">
        <v>42674</v>
      </c>
      <c r="B13947" t="s">
        <v>13159</v>
      </c>
      <c r="C13947">
        <f>0</f>
        <v>0</v>
      </c>
      <c r="D13947">
        <v>0.80130679897500001</v>
      </c>
      <c r="E13947">
        <v>0.65400000000000003</v>
      </c>
    </row>
    <row r="13948" spans="1:5">
      <c r="A13948" t="s">
        <v>42674</v>
      </c>
      <c r="B13948" t="s">
        <v>13158</v>
      </c>
      <c r="C13948">
        <f>0</f>
        <v>0</v>
      </c>
      <c r="D13948">
        <v>0.80130679897500001</v>
      </c>
      <c r="E13948">
        <v>0.65400000000000003</v>
      </c>
    </row>
    <row r="13949" spans="1:5">
      <c r="A13949" t="s">
        <v>42675</v>
      </c>
      <c r="B13949" t="s">
        <v>42676</v>
      </c>
      <c r="C13949">
        <v>0</v>
      </c>
      <c r="D13949" t="s">
        <v>106</v>
      </c>
      <c r="E13949">
        <v>1.764</v>
      </c>
    </row>
    <row r="13950" spans="1:5">
      <c r="A13950" t="s">
        <v>42675</v>
      </c>
      <c r="B13950" t="s">
        <v>42677</v>
      </c>
      <c r="C13950">
        <v>0</v>
      </c>
      <c r="D13950" t="s">
        <v>106</v>
      </c>
      <c r="E13950">
        <v>1.764</v>
      </c>
    </row>
    <row r="13951" spans="1:5">
      <c r="A13951" t="s">
        <v>42675</v>
      </c>
      <c r="B13951" t="s">
        <v>42678</v>
      </c>
      <c r="C13951">
        <v>0</v>
      </c>
      <c r="D13951" t="s">
        <v>106</v>
      </c>
      <c r="E13951">
        <v>1.764</v>
      </c>
    </row>
    <row r="13952" spans="1:5">
      <c r="A13952" t="s">
        <v>42675</v>
      </c>
      <c r="B13952" t="s">
        <v>42679</v>
      </c>
      <c r="C13952">
        <f>0</f>
        <v>0</v>
      </c>
      <c r="D13952" t="s">
        <v>106</v>
      </c>
      <c r="E13952">
        <v>1.764</v>
      </c>
    </row>
    <row r="13953" spans="1:5">
      <c r="A13953" t="s">
        <v>42675</v>
      </c>
      <c r="B13953" t="s">
        <v>42680</v>
      </c>
      <c r="C13953">
        <v>0</v>
      </c>
      <c r="D13953" t="s">
        <v>106</v>
      </c>
      <c r="E13953">
        <v>1.764</v>
      </c>
    </row>
    <row r="13954" spans="1:5">
      <c r="A13954" t="s">
        <v>42675</v>
      </c>
      <c r="B13954" t="s">
        <v>42681</v>
      </c>
      <c r="C13954">
        <v>0</v>
      </c>
      <c r="D13954" t="s">
        <v>106</v>
      </c>
      <c r="E13954">
        <v>1.764</v>
      </c>
    </row>
    <row r="13955" spans="1:5">
      <c r="A13955" t="s">
        <v>42682</v>
      </c>
      <c r="B13955" t="s">
        <v>42683</v>
      </c>
      <c r="C13955">
        <f>0.112693147846</f>
        <v>0.112693147846</v>
      </c>
      <c r="D13955">
        <v>0.67906600596599997</v>
      </c>
      <c r="E13955">
        <v>0</v>
      </c>
    </row>
    <row r="13956" spans="1:5">
      <c r="A13956" t="s">
        <v>42682</v>
      </c>
      <c r="B13956" t="s">
        <v>42684</v>
      </c>
      <c r="C13956">
        <v>0.51304748400099998</v>
      </c>
      <c r="D13956">
        <v>0.67906600596599997</v>
      </c>
      <c r="E13956">
        <v>0</v>
      </c>
    </row>
    <row r="13957" spans="1:5">
      <c r="A13957" t="s">
        <v>42685</v>
      </c>
      <c r="B13957" t="s">
        <v>2593</v>
      </c>
      <c r="C13957">
        <v>0.32755822225999998</v>
      </c>
      <c r="D13957">
        <v>0.84596822226000001</v>
      </c>
      <c r="E13957">
        <v>23.28</v>
      </c>
    </row>
    <row r="13958" spans="1:5">
      <c r="A13958" t="s">
        <v>42685</v>
      </c>
      <c r="B13958" t="s">
        <v>2594</v>
      </c>
      <c r="C13958">
        <v>0</v>
      </c>
      <c r="D13958">
        <v>0.84596822226000001</v>
      </c>
      <c r="E13958">
        <v>23.28</v>
      </c>
    </row>
    <row r="13959" spans="1:5">
      <c r="A13959" t="s">
        <v>42686</v>
      </c>
      <c r="B13959" t="s">
        <v>21438</v>
      </c>
      <c r="C13959">
        <v>0</v>
      </c>
      <c r="D13959" t="s">
        <v>106</v>
      </c>
      <c r="E13959">
        <v>11.874000000000001</v>
      </c>
    </row>
    <row r="13960" spans="1:5">
      <c r="A13960" t="s">
        <v>42686</v>
      </c>
      <c r="B13960" t="s">
        <v>21439</v>
      </c>
      <c r="C13960">
        <v>0</v>
      </c>
      <c r="D13960" t="s">
        <v>106</v>
      </c>
      <c r="E13960">
        <v>11.874000000000001</v>
      </c>
    </row>
    <row r="13961" spans="1:5">
      <c r="A13961" t="s">
        <v>42686</v>
      </c>
      <c r="B13961" t="s">
        <v>21442</v>
      </c>
      <c r="C13961">
        <v>0</v>
      </c>
      <c r="D13961" t="s">
        <v>106</v>
      </c>
      <c r="E13961">
        <v>11.874000000000001</v>
      </c>
    </row>
    <row r="13962" spans="1:5">
      <c r="A13962" t="s">
        <v>42687</v>
      </c>
      <c r="B13962" t="s">
        <v>23418</v>
      </c>
      <c r="C13962">
        <f>0</f>
        <v>0</v>
      </c>
      <c r="D13962">
        <v>0.53028304294899997</v>
      </c>
      <c r="E13962">
        <v>1.3380000000000001</v>
      </c>
    </row>
    <row r="13963" spans="1:5">
      <c r="A13963" t="s">
        <v>42687</v>
      </c>
      <c r="B13963" t="s">
        <v>23422</v>
      </c>
      <c r="C13963">
        <f>0.299873042949</f>
        <v>0.29987304294900002</v>
      </c>
      <c r="D13963">
        <v>0.53028304294899997</v>
      </c>
      <c r="E13963">
        <v>1.3380000000000001</v>
      </c>
    </row>
    <row r="13964" spans="1:5">
      <c r="A13964" t="s">
        <v>42688</v>
      </c>
      <c r="B13964" t="s">
        <v>1505</v>
      </c>
      <c r="C13964">
        <f>0</f>
        <v>0</v>
      </c>
      <c r="D13964" t="s">
        <v>106</v>
      </c>
      <c r="E13964">
        <v>0.216</v>
      </c>
    </row>
    <row r="13965" spans="1:5">
      <c r="A13965" t="s">
        <v>42688</v>
      </c>
      <c r="B13965" t="s">
        <v>1507</v>
      </c>
      <c r="C13965">
        <v>0</v>
      </c>
      <c r="D13965" t="s">
        <v>106</v>
      </c>
      <c r="E13965">
        <v>0.216</v>
      </c>
    </row>
    <row r="13966" spans="1:5">
      <c r="A13966" t="s">
        <v>42689</v>
      </c>
      <c r="B13966" t="s">
        <v>42690</v>
      </c>
      <c r="C13966">
        <v>0</v>
      </c>
      <c r="D13966">
        <v>0.74990111928299996</v>
      </c>
      <c r="E13966">
        <v>4.4820000000000002</v>
      </c>
    </row>
    <row r="13967" spans="1:5">
      <c r="A13967" t="s">
        <v>42689</v>
      </c>
      <c r="B13967" t="s">
        <v>42691</v>
      </c>
      <c r="C13967">
        <v>0.172291119283</v>
      </c>
      <c r="D13967">
        <v>0.74990111928299996</v>
      </c>
      <c r="E13967">
        <v>4.4820000000000002</v>
      </c>
    </row>
    <row r="13968" spans="1:5">
      <c r="A13968" t="s">
        <v>42689</v>
      </c>
      <c r="B13968" t="s">
        <v>42692</v>
      </c>
      <c r="C13968">
        <f>0</f>
        <v>0</v>
      </c>
      <c r="D13968">
        <v>0.74990111928299996</v>
      </c>
      <c r="E13968">
        <v>4.4820000000000002</v>
      </c>
    </row>
    <row r="13969" spans="1:5">
      <c r="A13969" t="s">
        <v>42689</v>
      </c>
      <c r="B13969" t="s">
        <v>42693</v>
      </c>
      <c r="C13969">
        <v>0</v>
      </c>
      <c r="D13969">
        <v>0.74990111928299996</v>
      </c>
      <c r="E13969">
        <v>4.4820000000000002</v>
      </c>
    </row>
    <row r="13970" spans="1:5">
      <c r="A13970" t="s">
        <v>42694</v>
      </c>
      <c r="B13970" t="s">
        <v>19173</v>
      </c>
      <c r="C13970">
        <f>0.693510520934</f>
        <v>0.69351052093400001</v>
      </c>
      <c r="D13970">
        <v>0.97852859392500002</v>
      </c>
      <c r="E13970">
        <v>12.215999999999999</v>
      </c>
    </row>
    <row r="13971" spans="1:5">
      <c r="A13971" t="s">
        <v>42694</v>
      </c>
      <c r="B13971" t="s">
        <v>19174</v>
      </c>
      <c r="C13971">
        <f>0</f>
        <v>0</v>
      </c>
      <c r="D13971">
        <v>0.97852859392500002</v>
      </c>
      <c r="E13971">
        <v>12.215999999999999</v>
      </c>
    </row>
    <row r="13972" spans="1:5">
      <c r="A13972" t="s">
        <v>42694</v>
      </c>
      <c r="B13972" t="s">
        <v>19178</v>
      </c>
      <c r="C13972">
        <v>0.30551645214099998</v>
      </c>
      <c r="D13972">
        <v>0.97852859392500002</v>
      </c>
      <c r="E13972">
        <v>12.215999999999999</v>
      </c>
    </row>
    <row r="13973" spans="1:5">
      <c r="A13973" t="s">
        <v>42694</v>
      </c>
      <c r="B13973" t="s">
        <v>19180</v>
      </c>
      <c r="C13973">
        <v>0.34816683338100002</v>
      </c>
      <c r="D13973">
        <v>0.97852859392500002</v>
      </c>
      <c r="E13973">
        <v>12.215999999999999</v>
      </c>
    </row>
    <row r="13974" spans="1:5">
      <c r="A13974" t="s">
        <v>42694</v>
      </c>
      <c r="B13974" t="s">
        <v>19177</v>
      </c>
      <c r="C13974">
        <f>0.59357589519</f>
        <v>0.59357589518999998</v>
      </c>
      <c r="D13974">
        <v>0.97852859392500002</v>
      </c>
      <c r="E13974">
        <v>12.215999999999999</v>
      </c>
    </row>
    <row r="13975" spans="1:5">
      <c r="A13975" t="s">
        <v>42694</v>
      </c>
      <c r="B13975" t="s">
        <v>19179</v>
      </c>
      <c r="C13975">
        <f>0.598047800982</f>
        <v>0.59804780098200006</v>
      </c>
      <c r="D13975">
        <v>0.97852859392500002</v>
      </c>
      <c r="E13975">
        <v>12.215999999999999</v>
      </c>
    </row>
    <row r="13976" spans="1:5">
      <c r="A13976" t="s">
        <v>42695</v>
      </c>
      <c r="B13976" t="s">
        <v>5395</v>
      </c>
      <c r="C13976">
        <f>0</f>
        <v>0</v>
      </c>
      <c r="D13976" t="s">
        <v>106</v>
      </c>
      <c r="E13976">
        <v>24</v>
      </c>
    </row>
    <row r="13977" spans="1:5">
      <c r="A13977" t="s">
        <v>42695</v>
      </c>
      <c r="B13977" t="s">
        <v>5404</v>
      </c>
      <c r="C13977">
        <f>0</f>
        <v>0</v>
      </c>
      <c r="D13977" t="s">
        <v>106</v>
      </c>
      <c r="E13977">
        <v>24</v>
      </c>
    </row>
    <row r="13978" spans="1:5">
      <c r="A13978" t="s">
        <v>42695</v>
      </c>
      <c r="B13978" t="s">
        <v>5402</v>
      </c>
      <c r="C13978">
        <f>0</f>
        <v>0</v>
      </c>
      <c r="D13978" t="s">
        <v>106</v>
      </c>
      <c r="E13978">
        <v>24</v>
      </c>
    </row>
    <row r="13979" spans="1:5">
      <c r="A13979" t="s">
        <v>42695</v>
      </c>
      <c r="B13979" t="s">
        <v>5403</v>
      </c>
      <c r="C13979">
        <f>0</f>
        <v>0</v>
      </c>
      <c r="D13979" t="s">
        <v>106</v>
      </c>
      <c r="E13979">
        <v>24</v>
      </c>
    </row>
    <row r="13980" spans="1:5">
      <c r="A13980" t="s">
        <v>42695</v>
      </c>
      <c r="B13980" t="s">
        <v>5398</v>
      </c>
      <c r="C13980">
        <f>0</f>
        <v>0</v>
      </c>
      <c r="D13980" t="s">
        <v>106</v>
      </c>
      <c r="E13980">
        <v>24</v>
      </c>
    </row>
    <row r="13981" spans="1:5">
      <c r="A13981" t="s">
        <v>42695</v>
      </c>
      <c r="B13981" t="s">
        <v>5401</v>
      </c>
      <c r="C13981">
        <f>0</f>
        <v>0</v>
      </c>
      <c r="D13981" t="s">
        <v>106</v>
      </c>
      <c r="E13981">
        <v>24</v>
      </c>
    </row>
    <row r="13982" spans="1:5">
      <c r="A13982" t="s">
        <v>42695</v>
      </c>
      <c r="B13982" t="s">
        <v>5400</v>
      </c>
      <c r="C13982">
        <v>0</v>
      </c>
      <c r="D13982" t="s">
        <v>106</v>
      </c>
      <c r="E13982">
        <v>24</v>
      </c>
    </row>
    <row r="13983" spans="1:5">
      <c r="A13983" t="s">
        <v>42695</v>
      </c>
      <c r="B13983" t="s">
        <v>5396</v>
      </c>
      <c r="C13983">
        <f>0</f>
        <v>0</v>
      </c>
      <c r="D13983" t="s">
        <v>106</v>
      </c>
      <c r="E13983">
        <v>24</v>
      </c>
    </row>
    <row r="13984" spans="1:5">
      <c r="A13984" t="s">
        <v>42696</v>
      </c>
      <c r="B13984" t="s">
        <v>29167</v>
      </c>
      <c r="C13984">
        <f>0.120207051208</f>
        <v>0.120207051208</v>
      </c>
      <c r="D13984">
        <v>0.99993859600299995</v>
      </c>
      <c r="E13984">
        <v>2.4780000000000002</v>
      </c>
    </row>
    <row r="13985" spans="1:5">
      <c r="A13985" t="s">
        <v>42696</v>
      </c>
      <c r="B13985" t="s">
        <v>29174</v>
      </c>
      <c r="C13985">
        <f>0.0535192694605</f>
        <v>5.3519269460500001E-2</v>
      </c>
      <c r="D13985">
        <v>0.99993859600299995</v>
      </c>
      <c r="E13985">
        <v>2.4780000000000002</v>
      </c>
    </row>
    <row r="13986" spans="1:5">
      <c r="A13986" t="s">
        <v>42696</v>
      </c>
      <c r="B13986" t="s">
        <v>29172</v>
      </c>
      <c r="C13986">
        <v>0.99155347315099995</v>
      </c>
      <c r="D13986">
        <v>0.99993859600299995</v>
      </c>
      <c r="E13986">
        <v>2.4780000000000002</v>
      </c>
    </row>
    <row r="13987" spans="1:5">
      <c r="A13987" t="s">
        <v>42696</v>
      </c>
      <c r="B13987" t="s">
        <v>29164</v>
      </c>
      <c r="C13987">
        <f>0.715900235346</f>
        <v>0.715900235346</v>
      </c>
      <c r="D13987">
        <v>0.99993859600299995</v>
      </c>
      <c r="E13987">
        <v>2.4780000000000002</v>
      </c>
    </row>
    <row r="13988" spans="1:5">
      <c r="A13988" t="s">
        <v>42696</v>
      </c>
      <c r="B13988" t="s">
        <v>29176</v>
      </c>
      <c r="C13988">
        <f>0.515908458065</f>
        <v>0.51590845806499996</v>
      </c>
      <c r="D13988">
        <v>0.99993859600299995</v>
      </c>
      <c r="E13988">
        <v>2.4780000000000002</v>
      </c>
    </row>
    <row r="13989" spans="1:5">
      <c r="A13989" t="s">
        <v>42696</v>
      </c>
      <c r="B13989" t="s">
        <v>29173</v>
      </c>
      <c r="C13989">
        <f>0.445192268021</f>
        <v>0.44519226802099998</v>
      </c>
      <c r="D13989">
        <v>0.99993859600299995</v>
      </c>
      <c r="E13989">
        <v>2.4780000000000002</v>
      </c>
    </row>
    <row r="13990" spans="1:5">
      <c r="A13990" t="s">
        <v>42696</v>
      </c>
      <c r="B13990" t="s">
        <v>29175</v>
      </c>
      <c r="C13990">
        <v>0.94552258958400004</v>
      </c>
      <c r="D13990">
        <v>0.99993859600299995</v>
      </c>
      <c r="E13990">
        <v>2.4780000000000002</v>
      </c>
    </row>
    <row r="13991" spans="1:5">
      <c r="A13991" t="s">
        <v>42697</v>
      </c>
      <c r="B13991" t="s">
        <v>20840</v>
      </c>
      <c r="C13991">
        <f>0.0668114419909</f>
        <v>6.68114419909E-2</v>
      </c>
      <c r="D13991">
        <v>0.99993027246400001</v>
      </c>
      <c r="E13991">
        <v>11.208</v>
      </c>
    </row>
    <row r="13992" spans="1:5">
      <c r="A13992" t="s">
        <v>42697</v>
      </c>
      <c r="B13992" t="s">
        <v>20844</v>
      </c>
      <c r="C13992">
        <f>0.760742660876</f>
        <v>0.76074266087599995</v>
      </c>
      <c r="D13992">
        <v>0.99993027246400001</v>
      </c>
      <c r="E13992">
        <v>11.208</v>
      </c>
    </row>
    <row r="13993" spans="1:5">
      <c r="A13993" t="s">
        <v>42697</v>
      </c>
      <c r="B13993" t="s">
        <v>20847</v>
      </c>
      <c r="C13993">
        <f>0.290464089009</f>
        <v>0.290464089009</v>
      </c>
      <c r="D13993">
        <v>0.99993027246400001</v>
      </c>
      <c r="E13993">
        <v>11.208</v>
      </c>
    </row>
    <row r="13994" spans="1:5">
      <c r="A13994" t="s">
        <v>42697</v>
      </c>
      <c r="B13994" t="s">
        <v>20842</v>
      </c>
      <c r="C13994">
        <v>0.534066901958</v>
      </c>
      <c r="D13994">
        <v>0.99993027246400001</v>
      </c>
      <c r="E13994">
        <v>11.208</v>
      </c>
    </row>
    <row r="13995" spans="1:5">
      <c r="A13995" t="s">
        <v>42697</v>
      </c>
      <c r="B13995" t="s">
        <v>20843</v>
      </c>
      <c r="C13995">
        <v>0.96231554543599995</v>
      </c>
      <c r="D13995">
        <v>0.99993027246400001</v>
      </c>
      <c r="E13995">
        <v>11.208</v>
      </c>
    </row>
    <row r="13996" spans="1:5">
      <c r="A13996" t="s">
        <v>42697</v>
      </c>
      <c r="B13996" t="s">
        <v>20845</v>
      </c>
      <c r="C13996">
        <v>0.31448336354500001</v>
      </c>
      <c r="D13996">
        <v>0.99993027246400001</v>
      </c>
      <c r="E13996">
        <v>11.208</v>
      </c>
    </row>
    <row r="13997" spans="1:5">
      <c r="A13997" t="s">
        <v>42697</v>
      </c>
      <c r="B13997" t="s">
        <v>20837</v>
      </c>
      <c r="C13997">
        <f>0.712632812791</f>
        <v>0.71263281279099999</v>
      </c>
      <c r="D13997">
        <v>0.99993027246400001</v>
      </c>
      <c r="E13997">
        <v>11.208</v>
      </c>
    </row>
    <row r="13998" spans="1:5">
      <c r="A13998" t="s">
        <v>42698</v>
      </c>
      <c r="B13998" t="s">
        <v>42699</v>
      </c>
      <c r="C13998">
        <f>0</f>
        <v>0</v>
      </c>
      <c r="D13998">
        <v>0.68509116992800001</v>
      </c>
      <c r="E13998">
        <v>8.8680000000000003</v>
      </c>
    </row>
    <row r="13999" spans="1:5">
      <c r="A13999" t="s">
        <v>42698</v>
      </c>
      <c r="B13999" t="s">
        <v>42700</v>
      </c>
      <c r="C13999">
        <f>0</f>
        <v>0</v>
      </c>
      <c r="D13999">
        <v>0.68509116992800001</v>
      </c>
      <c r="E13999">
        <v>8.8680000000000003</v>
      </c>
    </row>
    <row r="14000" spans="1:5">
      <c r="A14000" t="s">
        <v>42698</v>
      </c>
      <c r="B14000" t="s">
        <v>42701</v>
      </c>
      <c r="C14000">
        <f>0</f>
        <v>0</v>
      </c>
      <c r="D14000">
        <v>0.68509116992800001</v>
      </c>
      <c r="E14000">
        <v>8.8680000000000003</v>
      </c>
    </row>
    <row r="14001" spans="1:5">
      <c r="A14001" t="s">
        <v>42698</v>
      </c>
      <c r="B14001" t="s">
        <v>42702</v>
      </c>
      <c r="C14001">
        <f>0.0204474147499</f>
        <v>2.04474147499E-2</v>
      </c>
      <c r="D14001">
        <v>0.68509116992800001</v>
      </c>
      <c r="E14001">
        <v>8.8680000000000003</v>
      </c>
    </row>
    <row r="14002" spans="1:5">
      <c r="A14002" t="s">
        <v>42698</v>
      </c>
      <c r="B14002" t="s">
        <v>42703</v>
      </c>
      <c r="C14002">
        <v>0.19586026303000001</v>
      </c>
      <c r="D14002">
        <v>0.68509116992800001</v>
      </c>
      <c r="E14002">
        <v>8.8680000000000003</v>
      </c>
    </row>
    <row r="14003" spans="1:5">
      <c r="A14003" t="s">
        <v>42704</v>
      </c>
      <c r="B14003" t="s">
        <v>42705</v>
      </c>
      <c r="C14003">
        <v>0</v>
      </c>
      <c r="D14003" t="s">
        <v>106</v>
      </c>
      <c r="E14003">
        <v>3.1379999999999999</v>
      </c>
    </row>
    <row r="14004" spans="1:5">
      <c r="A14004" t="s">
        <v>42704</v>
      </c>
      <c r="B14004" t="s">
        <v>42706</v>
      </c>
      <c r="C14004">
        <f>0</f>
        <v>0</v>
      </c>
      <c r="D14004" t="s">
        <v>106</v>
      </c>
      <c r="E14004">
        <v>3.1379999999999999</v>
      </c>
    </row>
    <row r="14005" spans="1:5">
      <c r="A14005" t="s">
        <v>42704</v>
      </c>
      <c r="B14005" t="s">
        <v>42707</v>
      </c>
      <c r="C14005">
        <f>0</f>
        <v>0</v>
      </c>
      <c r="D14005" t="s">
        <v>106</v>
      </c>
      <c r="E14005">
        <v>3.1379999999999999</v>
      </c>
    </row>
    <row r="14006" spans="1:5">
      <c r="A14006" t="s">
        <v>42704</v>
      </c>
      <c r="B14006" t="s">
        <v>42708</v>
      </c>
      <c r="C14006">
        <f>0</f>
        <v>0</v>
      </c>
      <c r="D14006" t="s">
        <v>106</v>
      </c>
      <c r="E14006">
        <v>3.1379999999999999</v>
      </c>
    </row>
    <row r="14007" spans="1:5">
      <c r="A14007" t="s">
        <v>42709</v>
      </c>
      <c r="B14007" t="s">
        <v>23452</v>
      </c>
      <c r="C14007">
        <f>0</f>
        <v>0</v>
      </c>
      <c r="D14007">
        <v>0.52709303383299999</v>
      </c>
      <c r="E14007">
        <v>10.08</v>
      </c>
    </row>
    <row r="14008" spans="1:5">
      <c r="A14008" t="s">
        <v>42709</v>
      </c>
      <c r="B14008" t="s">
        <v>23453</v>
      </c>
      <c r="C14008">
        <v>0</v>
      </c>
      <c r="D14008">
        <v>0.52709303383299999</v>
      </c>
      <c r="E14008">
        <v>10.08</v>
      </c>
    </row>
    <row r="14009" spans="1:5">
      <c r="A14009" t="s">
        <v>42709</v>
      </c>
      <c r="B14009" t="s">
        <v>23456</v>
      </c>
      <c r="C14009">
        <f>0.296683033833</f>
        <v>0.29668303383299999</v>
      </c>
      <c r="D14009">
        <v>0.52709303383299999</v>
      </c>
      <c r="E14009">
        <v>10.08</v>
      </c>
    </row>
    <row r="14010" spans="1:5">
      <c r="A14010" t="s">
        <v>42710</v>
      </c>
      <c r="B14010" t="s">
        <v>21105</v>
      </c>
      <c r="C14010">
        <f>0</f>
        <v>0</v>
      </c>
      <c r="D14010" t="s">
        <v>106</v>
      </c>
      <c r="E14010">
        <v>0</v>
      </c>
    </row>
    <row r="14011" spans="1:5">
      <c r="A14011" t="s">
        <v>42710</v>
      </c>
      <c r="B14011" t="s">
        <v>21110</v>
      </c>
      <c r="C14011">
        <v>0</v>
      </c>
      <c r="D14011" t="s">
        <v>106</v>
      </c>
      <c r="E14011">
        <v>0</v>
      </c>
    </row>
    <row r="14012" spans="1:5">
      <c r="A14012" t="s">
        <v>42710</v>
      </c>
      <c r="B14012" t="s">
        <v>21106</v>
      </c>
      <c r="C14012">
        <v>0</v>
      </c>
      <c r="D14012" t="s">
        <v>106</v>
      </c>
      <c r="E14012">
        <v>0</v>
      </c>
    </row>
    <row r="14013" spans="1:5">
      <c r="A14013" t="s">
        <v>42710</v>
      </c>
      <c r="B14013" t="s">
        <v>21108</v>
      </c>
      <c r="C14013">
        <f>0</f>
        <v>0</v>
      </c>
      <c r="D14013" t="s">
        <v>106</v>
      </c>
      <c r="E14013">
        <v>0</v>
      </c>
    </row>
    <row r="14014" spans="1:5">
      <c r="A14014" t="s">
        <v>42710</v>
      </c>
      <c r="B14014" t="s">
        <v>21113</v>
      </c>
      <c r="C14014">
        <f>0</f>
        <v>0</v>
      </c>
      <c r="D14014" t="s">
        <v>106</v>
      </c>
      <c r="E14014">
        <v>0</v>
      </c>
    </row>
    <row r="14015" spans="1:5">
      <c r="A14015" t="s">
        <v>42710</v>
      </c>
      <c r="B14015" t="s">
        <v>21112</v>
      </c>
      <c r="C14015">
        <f>0</f>
        <v>0</v>
      </c>
      <c r="D14015" t="s">
        <v>106</v>
      </c>
      <c r="E14015">
        <v>0</v>
      </c>
    </row>
    <row r="14016" spans="1:5">
      <c r="A14016" t="s">
        <v>42711</v>
      </c>
      <c r="B14016" t="s">
        <v>25153</v>
      </c>
      <c r="C14016">
        <v>1.23230230533</v>
      </c>
      <c r="D14016">
        <v>0.97010227287299999</v>
      </c>
      <c r="E14016">
        <v>2.1779999999999999</v>
      </c>
    </row>
    <row r="14017" spans="1:5">
      <c r="A14017" t="s">
        <v>42711</v>
      </c>
      <c r="B14017" t="s">
        <v>25151</v>
      </c>
      <c r="C14017">
        <f>0.910565962852</f>
        <v>0.91056596285199998</v>
      </c>
      <c r="D14017">
        <v>0.97010227287299999</v>
      </c>
      <c r="E14017">
        <v>2.1779999999999999</v>
      </c>
    </row>
    <row r="14018" spans="1:5">
      <c r="A14018" t="s">
        <v>42711</v>
      </c>
      <c r="B14018" t="s">
        <v>25154</v>
      </c>
      <c r="C14018">
        <v>0.488288641759</v>
      </c>
      <c r="D14018">
        <v>0.97010227287299999</v>
      </c>
      <c r="E14018">
        <v>2.1779999999999999</v>
      </c>
    </row>
    <row r="14019" spans="1:5">
      <c r="A14019" t="s">
        <v>42712</v>
      </c>
      <c r="B14019" t="s">
        <v>34348</v>
      </c>
      <c r="C14019">
        <f>0.0998292982786</f>
        <v>9.9829298278600001E-2</v>
      </c>
      <c r="D14019">
        <v>0.96378853803599995</v>
      </c>
      <c r="E14019">
        <v>21.192</v>
      </c>
    </row>
    <row r="14020" spans="1:5">
      <c r="A14020" t="s">
        <v>42712</v>
      </c>
      <c r="B14020" t="s">
        <v>34352</v>
      </c>
      <c r="C14020">
        <f>0.785792872218</f>
        <v>0.78579287221799998</v>
      </c>
      <c r="D14020">
        <v>0.96378853803599995</v>
      </c>
      <c r="E14020">
        <v>21.192</v>
      </c>
    </row>
    <row r="14021" spans="1:5">
      <c r="A14021" t="s">
        <v>42712</v>
      </c>
      <c r="B14021" t="s">
        <v>34349</v>
      </c>
      <c r="C14021">
        <f>0</f>
        <v>0</v>
      </c>
      <c r="D14021">
        <v>0.96378853803599995</v>
      </c>
      <c r="E14021">
        <v>21.192</v>
      </c>
    </row>
    <row r="14022" spans="1:5">
      <c r="A14022" t="s">
        <v>42712</v>
      </c>
      <c r="B14022" t="s">
        <v>34351</v>
      </c>
      <c r="C14022">
        <v>0</v>
      </c>
      <c r="D14022">
        <v>0.96378853803599995</v>
      </c>
      <c r="E14022">
        <v>21.192</v>
      </c>
    </row>
    <row r="14023" spans="1:5">
      <c r="A14023" t="s">
        <v>42712</v>
      </c>
      <c r="B14023" t="s">
        <v>34350</v>
      </c>
      <c r="C14023">
        <f>0.0961651939049</f>
        <v>9.6165193904899998E-2</v>
      </c>
      <c r="D14023">
        <v>0.96378853803599995</v>
      </c>
      <c r="E14023">
        <v>21.192</v>
      </c>
    </row>
    <row r="14024" spans="1:5">
      <c r="A14024" t="s">
        <v>42713</v>
      </c>
      <c r="B14024" t="s">
        <v>12608</v>
      </c>
      <c r="C14024">
        <v>0.81314117172400002</v>
      </c>
      <c r="D14024">
        <v>0.89048818256200002</v>
      </c>
      <c r="E14024">
        <v>24</v>
      </c>
    </row>
    <row r="14025" spans="1:5">
      <c r="A14025" t="s">
        <v>42713</v>
      </c>
      <c r="B14025" t="s">
        <v>12605</v>
      </c>
      <c r="C14025">
        <f>0</f>
        <v>0</v>
      </c>
      <c r="D14025">
        <v>0.89048818256200002</v>
      </c>
      <c r="E14025">
        <v>24</v>
      </c>
    </row>
    <row r="14026" spans="1:5">
      <c r="A14026" t="s">
        <v>42713</v>
      </c>
      <c r="B14026" t="s">
        <v>12606</v>
      </c>
      <c r="C14026">
        <f>0.0485196794657</f>
        <v>4.8519679465700002E-2</v>
      </c>
      <c r="D14026">
        <v>0.89048818256200002</v>
      </c>
      <c r="E14026">
        <v>24</v>
      </c>
    </row>
    <row r="14027" spans="1:5">
      <c r="A14027" t="s">
        <v>42713</v>
      </c>
      <c r="B14027" t="s">
        <v>12612</v>
      </c>
      <c r="C14027">
        <v>9.2549356946699995E-2</v>
      </c>
      <c r="D14027">
        <v>0.89048818256200002</v>
      </c>
      <c r="E14027">
        <v>24</v>
      </c>
    </row>
    <row r="14028" spans="1:5">
      <c r="A14028" t="s">
        <v>42713</v>
      </c>
      <c r="B14028" t="s">
        <v>12611</v>
      </c>
      <c r="C14028">
        <v>0.38100032833000003</v>
      </c>
      <c r="D14028">
        <v>0.89048818256200002</v>
      </c>
      <c r="E14028">
        <v>24</v>
      </c>
    </row>
    <row r="14029" spans="1:5">
      <c r="A14029" t="s">
        <v>42713</v>
      </c>
      <c r="B14029" t="s">
        <v>12607</v>
      </c>
      <c r="C14029">
        <v>0</v>
      </c>
      <c r="D14029">
        <v>0.89048818256200002</v>
      </c>
      <c r="E14029">
        <v>24</v>
      </c>
    </row>
    <row r="14030" spans="1:5">
      <c r="A14030" t="s">
        <v>42714</v>
      </c>
      <c r="B14030" t="s">
        <v>22382</v>
      </c>
      <c r="C14030">
        <v>0.13379870920600001</v>
      </c>
      <c r="D14030">
        <v>0.90702165457499995</v>
      </c>
      <c r="E14030">
        <v>5.9340000000000002</v>
      </c>
    </row>
    <row r="14031" spans="1:5">
      <c r="A14031" t="s">
        <v>42714</v>
      </c>
      <c r="B14031" t="s">
        <v>22383</v>
      </c>
      <c r="C14031">
        <v>0.16498644321799999</v>
      </c>
      <c r="D14031">
        <v>0.90702165457499995</v>
      </c>
      <c r="E14031">
        <v>5.9340000000000002</v>
      </c>
    </row>
    <row r="14032" spans="1:5">
      <c r="A14032" t="s">
        <v>42714</v>
      </c>
      <c r="B14032" t="s">
        <v>22385</v>
      </c>
      <c r="C14032">
        <f>0.854452875725</f>
        <v>0.85445287572499995</v>
      </c>
      <c r="D14032">
        <v>0.90702165457499995</v>
      </c>
      <c r="E14032">
        <v>5.9340000000000002</v>
      </c>
    </row>
    <row r="14033" spans="1:5">
      <c r="A14033" t="s">
        <v>42714</v>
      </c>
      <c r="B14033" t="s">
        <v>22386</v>
      </c>
      <c r="C14033">
        <v>0.31360994875499998</v>
      </c>
      <c r="D14033">
        <v>0.90702165457499995</v>
      </c>
      <c r="E14033">
        <v>5.9340000000000002</v>
      </c>
    </row>
    <row r="14034" spans="1:5">
      <c r="A14034" t="s">
        <v>42714</v>
      </c>
      <c r="B14034" t="s">
        <v>22387</v>
      </c>
      <c r="C14034">
        <v>0</v>
      </c>
      <c r="D14034">
        <v>0.90702165457499995</v>
      </c>
      <c r="E14034">
        <v>5.9340000000000002</v>
      </c>
    </row>
    <row r="14035" spans="1:5">
      <c r="A14035" t="s">
        <v>42714</v>
      </c>
      <c r="B14035" t="s">
        <v>22384</v>
      </c>
      <c r="C14035">
        <f>0</f>
        <v>0</v>
      </c>
      <c r="D14035">
        <v>0.90702165457499995</v>
      </c>
      <c r="E14035">
        <v>5.9340000000000002</v>
      </c>
    </row>
    <row r="14036" spans="1:5">
      <c r="A14036" t="s">
        <v>42715</v>
      </c>
      <c r="B14036" t="s">
        <v>3091</v>
      </c>
      <c r="C14036">
        <f>0.179700854458</f>
        <v>0.17970085445799999</v>
      </c>
      <c r="D14036">
        <v>0.64211085445799998</v>
      </c>
      <c r="E14036">
        <v>4.4820000000000002</v>
      </c>
    </row>
    <row r="14037" spans="1:5">
      <c r="A14037" t="s">
        <v>42715</v>
      </c>
      <c r="B14037" t="s">
        <v>3092</v>
      </c>
      <c r="C14037">
        <v>0</v>
      </c>
      <c r="D14037">
        <v>0.64211085445799998</v>
      </c>
      <c r="E14037">
        <v>4.4820000000000002</v>
      </c>
    </row>
    <row r="14038" spans="1:5">
      <c r="A14038" t="s">
        <v>42716</v>
      </c>
      <c r="B14038" t="s">
        <v>42717</v>
      </c>
      <c r="C14038">
        <f>0</f>
        <v>0</v>
      </c>
      <c r="D14038">
        <v>0.31080180819499997</v>
      </c>
      <c r="E14038">
        <v>6.3</v>
      </c>
    </row>
    <row r="14039" spans="1:5">
      <c r="A14039" t="s">
        <v>42716</v>
      </c>
      <c r="B14039" t="s">
        <v>42718</v>
      </c>
      <c r="C14039">
        <f>0.181191808195</f>
        <v>0.181191808195</v>
      </c>
      <c r="D14039">
        <v>0.31080180819499997</v>
      </c>
      <c r="E14039">
        <v>6.3</v>
      </c>
    </row>
    <row r="14040" spans="1:5">
      <c r="A14040" t="s">
        <v>42719</v>
      </c>
      <c r="B14040" t="s">
        <v>31886</v>
      </c>
      <c r="C14040">
        <v>0</v>
      </c>
      <c r="D14040">
        <v>0.85104273642299999</v>
      </c>
      <c r="E14040">
        <v>0.26400000000000001</v>
      </c>
    </row>
    <row r="14041" spans="1:5">
      <c r="A14041" t="s">
        <v>42719</v>
      </c>
      <c r="B14041" t="s">
        <v>31885</v>
      </c>
      <c r="C14041">
        <v>0.54584961372100005</v>
      </c>
      <c r="D14041">
        <v>0.85104273642299999</v>
      </c>
      <c r="E14041">
        <v>0.26400000000000001</v>
      </c>
    </row>
    <row r="14042" spans="1:5">
      <c r="A14042" t="s">
        <v>42719</v>
      </c>
      <c r="B14042" t="s">
        <v>31887</v>
      </c>
      <c r="C14042">
        <v>4.9265097841700002E-2</v>
      </c>
      <c r="D14042">
        <v>0.85104273642299999</v>
      </c>
      <c r="E14042">
        <v>0.26400000000000001</v>
      </c>
    </row>
    <row r="14043" spans="1:5">
      <c r="A14043" t="s">
        <v>42720</v>
      </c>
      <c r="B14043" t="s">
        <v>30240</v>
      </c>
      <c r="C14043">
        <v>0</v>
      </c>
      <c r="D14043" t="s">
        <v>106</v>
      </c>
      <c r="E14043">
        <v>12.39</v>
      </c>
    </row>
    <row r="14044" spans="1:5">
      <c r="A14044" t="s">
        <v>42720</v>
      </c>
      <c r="B14044" t="s">
        <v>30237</v>
      </c>
      <c r="C14044">
        <v>0</v>
      </c>
      <c r="D14044" t="s">
        <v>106</v>
      </c>
      <c r="E14044">
        <v>12.39</v>
      </c>
    </row>
    <row r="14045" spans="1:5">
      <c r="A14045" t="s">
        <v>42721</v>
      </c>
      <c r="B14045" t="s">
        <v>42722</v>
      </c>
      <c r="C14045">
        <f>0.0380327890085</f>
        <v>3.8032789008499997E-2</v>
      </c>
      <c r="D14045">
        <v>0.87336643009000003</v>
      </c>
      <c r="E14045">
        <v>12.048</v>
      </c>
    </row>
    <row r="14046" spans="1:5">
      <c r="A14046" t="s">
        <v>42721</v>
      </c>
      <c r="B14046" t="s">
        <v>42723</v>
      </c>
      <c r="C14046">
        <f>0</f>
        <v>0</v>
      </c>
      <c r="D14046">
        <v>0.87336643009000003</v>
      </c>
      <c r="E14046">
        <v>12.048</v>
      </c>
    </row>
    <row r="14047" spans="1:5">
      <c r="A14047" t="s">
        <v>42721</v>
      </c>
      <c r="B14047" t="s">
        <v>42724</v>
      </c>
      <c r="C14047">
        <f>0</f>
        <v>0</v>
      </c>
      <c r="D14047">
        <v>0.87336643009000003</v>
      </c>
      <c r="E14047">
        <v>12.048</v>
      </c>
    </row>
    <row r="14048" spans="1:5">
      <c r="A14048" t="s">
        <v>42721</v>
      </c>
      <c r="B14048" t="s">
        <v>42725</v>
      </c>
      <c r="C14048">
        <v>0</v>
      </c>
      <c r="D14048">
        <v>0.87336643009000003</v>
      </c>
      <c r="E14048">
        <v>12.048</v>
      </c>
    </row>
    <row r="14049" spans="1:5">
      <c r="A14049" t="s">
        <v>42721</v>
      </c>
      <c r="B14049" t="s">
        <v>42726</v>
      </c>
      <c r="C14049">
        <v>0</v>
      </c>
      <c r="D14049">
        <v>0.87336643009000003</v>
      </c>
      <c r="E14049">
        <v>12.048</v>
      </c>
    </row>
    <row r="14050" spans="1:5">
      <c r="A14050" t="s">
        <v>42721</v>
      </c>
      <c r="B14050" t="s">
        <v>42727</v>
      </c>
      <c r="C14050">
        <v>0.691736629622</v>
      </c>
      <c r="D14050">
        <v>0.87336643009000003</v>
      </c>
      <c r="E14050">
        <v>12.048</v>
      </c>
    </row>
    <row r="14051" spans="1:5">
      <c r="A14051" t="s">
        <v>42721</v>
      </c>
      <c r="B14051" t="s">
        <v>42728</v>
      </c>
      <c r="C14051">
        <f>0</f>
        <v>0</v>
      </c>
      <c r="D14051">
        <v>0.87336643009000003</v>
      </c>
      <c r="E14051">
        <v>12.048</v>
      </c>
    </row>
    <row r="14052" spans="1:5">
      <c r="A14052" t="s">
        <v>42729</v>
      </c>
      <c r="B14052" t="s">
        <v>42730</v>
      </c>
      <c r="C14052">
        <f>0.730902998946</f>
        <v>0.73090299894599997</v>
      </c>
      <c r="D14052">
        <v>0.86793463587700004</v>
      </c>
      <c r="E14052">
        <v>4.8000000000000001E-2</v>
      </c>
    </row>
    <row r="14053" spans="1:5">
      <c r="A14053" t="s">
        <v>42729</v>
      </c>
      <c r="B14053" t="s">
        <v>34052</v>
      </c>
      <c r="C14053">
        <f>0.5103661269</f>
        <v>0.51036612690000005</v>
      </c>
      <c r="D14053">
        <v>0.86793463587700004</v>
      </c>
      <c r="E14053">
        <v>4.8000000000000001E-2</v>
      </c>
    </row>
    <row r="14054" spans="1:5">
      <c r="A14054" t="s">
        <v>42729</v>
      </c>
      <c r="B14054" t="s">
        <v>34053</v>
      </c>
      <c r="C14054">
        <v>0</v>
      </c>
      <c r="D14054">
        <v>0.86793463587700004</v>
      </c>
      <c r="E14054">
        <v>4.8000000000000001E-2</v>
      </c>
    </row>
    <row r="14055" spans="1:5">
      <c r="A14055" t="s">
        <v>42729</v>
      </c>
      <c r="B14055" t="s">
        <v>34051</v>
      </c>
      <c r="C14055">
        <f>0.124064994748</f>
        <v>0.12406499474799999</v>
      </c>
      <c r="D14055">
        <v>0.86793463587700004</v>
      </c>
      <c r="E14055">
        <v>4.8000000000000001E-2</v>
      </c>
    </row>
    <row r="14056" spans="1:5">
      <c r="A14056" t="s">
        <v>42731</v>
      </c>
      <c r="B14056" t="s">
        <v>27528</v>
      </c>
      <c r="C14056">
        <f>0</f>
        <v>0</v>
      </c>
      <c r="D14056">
        <v>0.80061135116799997</v>
      </c>
      <c r="E14056">
        <v>3.6840000000000002</v>
      </c>
    </row>
    <row r="14057" spans="1:5">
      <c r="A14057" t="s">
        <v>42731</v>
      </c>
      <c r="B14057" t="s">
        <v>27526</v>
      </c>
      <c r="C14057">
        <f>0</f>
        <v>0</v>
      </c>
      <c r="D14057">
        <v>0.80061135116799997</v>
      </c>
      <c r="E14057">
        <v>3.6840000000000002</v>
      </c>
    </row>
    <row r="14058" spans="1:5">
      <c r="A14058" t="s">
        <v>42731</v>
      </c>
      <c r="B14058" t="s">
        <v>27532</v>
      </c>
      <c r="C14058">
        <f>0.00580699656924</f>
        <v>5.8069965692399998E-3</v>
      </c>
      <c r="D14058">
        <v>0.80061135116799997</v>
      </c>
      <c r="E14058">
        <v>3.6840000000000002</v>
      </c>
    </row>
    <row r="14059" spans="1:5">
      <c r="A14059" t="s">
        <v>42731</v>
      </c>
      <c r="B14059" t="s">
        <v>27533</v>
      </c>
      <c r="C14059">
        <f>0</f>
        <v>0</v>
      </c>
      <c r="D14059">
        <v>0.80061135116799997</v>
      </c>
      <c r="E14059">
        <v>3.6840000000000002</v>
      </c>
    </row>
    <row r="14060" spans="1:5">
      <c r="A14060" t="s">
        <v>42731</v>
      </c>
      <c r="B14060" t="s">
        <v>27530</v>
      </c>
      <c r="C14060">
        <v>0</v>
      </c>
      <c r="D14060">
        <v>0.80061135116799997</v>
      </c>
      <c r="E14060">
        <v>3.6840000000000002</v>
      </c>
    </row>
    <row r="14061" spans="1:5">
      <c r="A14061" t="s">
        <v>42731</v>
      </c>
      <c r="B14061" t="s">
        <v>27531</v>
      </c>
      <c r="C14061">
        <f>0.568926891583</f>
        <v>0.56892689158300003</v>
      </c>
      <c r="D14061">
        <v>0.80061135116799997</v>
      </c>
      <c r="E14061">
        <v>3.6840000000000002</v>
      </c>
    </row>
    <row r="14062" spans="1:5">
      <c r="A14062" t="s">
        <v>42731</v>
      </c>
      <c r="B14062" t="s">
        <v>27529</v>
      </c>
      <c r="C14062">
        <f>0</f>
        <v>0</v>
      </c>
      <c r="D14062">
        <v>0.80061135116799997</v>
      </c>
      <c r="E14062">
        <v>3.6840000000000002</v>
      </c>
    </row>
    <row r="14063" spans="1:5">
      <c r="A14063" t="s">
        <v>42732</v>
      </c>
      <c r="B14063" t="s">
        <v>18852</v>
      </c>
      <c r="C14063">
        <v>0</v>
      </c>
      <c r="D14063">
        <v>0.59406126052999997</v>
      </c>
      <c r="E14063">
        <v>9.6180000000000003</v>
      </c>
    </row>
    <row r="14064" spans="1:5">
      <c r="A14064" t="s">
        <v>42732</v>
      </c>
      <c r="B14064" t="s">
        <v>18851</v>
      </c>
      <c r="C14064">
        <v>0.13165126053000001</v>
      </c>
      <c r="D14064">
        <v>0.59406126052999997</v>
      </c>
      <c r="E14064">
        <v>9.6180000000000003</v>
      </c>
    </row>
    <row r="14065" spans="1:5">
      <c r="A14065" t="s">
        <v>42733</v>
      </c>
      <c r="B14065" t="s">
        <v>42734</v>
      </c>
      <c r="C14065">
        <v>0</v>
      </c>
      <c r="D14065" t="s">
        <v>106</v>
      </c>
      <c r="E14065">
        <v>24</v>
      </c>
    </row>
    <row r="14066" spans="1:5">
      <c r="A14066" t="s">
        <v>42733</v>
      </c>
      <c r="B14066" t="s">
        <v>42735</v>
      </c>
      <c r="C14066">
        <f>0</f>
        <v>0</v>
      </c>
      <c r="D14066" t="s">
        <v>106</v>
      </c>
      <c r="E14066">
        <v>24</v>
      </c>
    </row>
    <row r="14067" spans="1:5">
      <c r="A14067" t="s">
        <v>42733</v>
      </c>
      <c r="B14067" t="s">
        <v>42736</v>
      </c>
      <c r="C14067">
        <f>0</f>
        <v>0</v>
      </c>
      <c r="D14067" t="s">
        <v>106</v>
      </c>
      <c r="E14067">
        <v>24</v>
      </c>
    </row>
    <row r="14068" spans="1:5">
      <c r="A14068" t="s">
        <v>42737</v>
      </c>
      <c r="B14068" t="s">
        <v>42738</v>
      </c>
      <c r="C14068">
        <f>0.56703180623</f>
        <v>0.56703180623000005</v>
      </c>
      <c r="D14068">
        <v>0.66944180623000005</v>
      </c>
      <c r="E14068">
        <v>7.2</v>
      </c>
    </row>
    <row r="14069" spans="1:5">
      <c r="A14069" t="s">
        <v>42737</v>
      </c>
      <c r="B14069" t="s">
        <v>42739</v>
      </c>
      <c r="C14069">
        <v>0</v>
      </c>
      <c r="D14069">
        <v>0.66944180623000005</v>
      </c>
      <c r="E14069">
        <v>7.2</v>
      </c>
    </row>
    <row r="14070" spans="1:5">
      <c r="A14070" t="s">
        <v>42740</v>
      </c>
      <c r="B14070" t="s">
        <v>11367</v>
      </c>
      <c r="C14070">
        <v>0</v>
      </c>
      <c r="D14070" t="s">
        <v>106</v>
      </c>
      <c r="E14070">
        <v>8.58</v>
      </c>
    </row>
    <row r="14071" spans="1:5">
      <c r="A14071" t="s">
        <v>42740</v>
      </c>
      <c r="B14071" t="s">
        <v>11365</v>
      </c>
      <c r="C14071">
        <v>0</v>
      </c>
      <c r="D14071" t="s">
        <v>106</v>
      </c>
      <c r="E14071">
        <v>8.58</v>
      </c>
    </row>
    <row r="14072" spans="1:5">
      <c r="A14072" t="s">
        <v>42740</v>
      </c>
      <c r="B14072" t="s">
        <v>11366</v>
      </c>
      <c r="C14072">
        <v>0</v>
      </c>
      <c r="D14072" t="s">
        <v>106</v>
      </c>
      <c r="E14072">
        <v>8.58</v>
      </c>
    </row>
    <row r="14073" spans="1:5">
      <c r="A14073" t="s">
        <v>42741</v>
      </c>
      <c r="B14073" t="s">
        <v>14573</v>
      </c>
      <c r="C14073">
        <v>0</v>
      </c>
      <c r="D14073">
        <v>0.81753865851499996</v>
      </c>
      <c r="E14073">
        <v>24</v>
      </c>
    </row>
    <row r="14074" spans="1:5">
      <c r="A14074" t="s">
        <v>42741</v>
      </c>
      <c r="B14074" t="s">
        <v>14574</v>
      </c>
      <c r="C14074">
        <v>0.469941737724</v>
      </c>
      <c r="D14074">
        <v>0.81753865851499996</v>
      </c>
      <c r="E14074">
        <v>24</v>
      </c>
    </row>
    <row r="14075" spans="1:5">
      <c r="A14075" t="s">
        <v>42741</v>
      </c>
      <c r="B14075" t="s">
        <v>14580</v>
      </c>
      <c r="C14075">
        <f>0</f>
        <v>0</v>
      </c>
      <c r="D14075">
        <v>0.81753865851499996</v>
      </c>
      <c r="E14075">
        <v>24</v>
      </c>
    </row>
    <row r="14076" spans="1:5">
      <c r="A14076" t="s">
        <v>42741</v>
      </c>
      <c r="B14076" t="s">
        <v>14582</v>
      </c>
      <c r="C14076">
        <f>0</f>
        <v>0</v>
      </c>
      <c r="D14076">
        <v>0.81753865851499996</v>
      </c>
      <c r="E14076">
        <v>24</v>
      </c>
    </row>
    <row r="14077" spans="1:5">
      <c r="A14077" t="s">
        <v>42741</v>
      </c>
      <c r="B14077" t="s">
        <v>14576</v>
      </c>
      <c r="C14077">
        <f>0.173646844153</f>
        <v>0.173646844153</v>
      </c>
      <c r="D14077">
        <v>0.81753865851499996</v>
      </c>
      <c r="E14077">
        <v>24</v>
      </c>
    </row>
    <row r="14078" spans="1:5">
      <c r="A14078" t="s">
        <v>42741</v>
      </c>
      <c r="B14078" t="s">
        <v>14578</v>
      </c>
      <c r="C14078">
        <v>0</v>
      </c>
      <c r="D14078">
        <v>0.81753865851499996</v>
      </c>
      <c r="E14078">
        <v>24</v>
      </c>
    </row>
    <row r="14079" spans="1:5">
      <c r="A14079" t="s">
        <v>42741</v>
      </c>
      <c r="B14079" t="s">
        <v>14575</v>
      </c>
      <c r="C14079">
        <f>0</f>
        <v>0</v>
      </c>
      <c r="D14079">
        <v>0.81753865851499996</v>
      </c>
      <c r="E14079">
        <v>24</v>
      </c>
    </row>
    <row r="14080" spans="1:5">
      <c r="A14080" t="s">
        <v>42741</v>
      </c>
      <c r="B14080" t="s">
        <v>14581</v>
      </c>
      <c r="C14080">
        <f>0</f>
        <v>0</v>
      </c>
      <c r="D14080">
        <v>0.81753865851499996</v>
      </c>
      <c r="E14080">
        <v>24</v>
      </c>
    </row>
    <row r="14081" spans="1:5">
      <c r="A14081" t="s">
        <v>42741</v>
      </c>
      <c r="B14081" t="s">
        <v>14584</v>
      </c>
      <c r="C14081">
        <f>0</f>
        <v>0</v>
      </c>
      <c r="D14081">
        <v>0.81753865851499996</v>
      </c>
      <c r="E14081">
        <v>24</v>
      </c>
    </row>
    <row r="14082" spans="1:5">
      <c r="A14082" t="s">
        <v>42742</v>
      </c>
      <c r="B14082" t="s">
        <v>18997</v>
      </c>
      <c r="C14082">
        <f>0.515171164719</f>
        <v>0.51517116471900004</v>
      </c>
      <c r="D14082">
        <v>0.99999972448200003</v>
      </c>
      <c r="E14082">
        <v>24</v>
      </c>
    </row>
    <row r="14083" spans="1:5">
      <c r="A14083" t="s">
        <v>42742</v>
      </c>
      <c r="B14083" t="s">
        <v>18998</v>
      </c>
      <c r="C14083">
        <v>0.68794833147699996</v>
      </c>
      <c r="D14083">
        <v>0.99999972448200003</v>
      </c>
      <c r="E14083">
        <v>24</v>
      </c>
    </row>
    <row r="14084" spans="1:5">
      <c r="A14084" t="s">
        <v>42742</v>
      </c>
      <c r="B14084" t="s">
        <v>19002</v>
      </c>
      <c r="C14084">
        <f>-1.01517066489</f>
        <v>-1.0151706648900001</v>
      </c>
      <c r="D14084">
        <v>0.99999972448200003</v>
      </c>
      <c r="E14084">
        <v>24</v>
      </c>
    </row>
    <row r="14085" spans="1:5">
      <c r="A14085" t="s">
        <v>42742</v>
      </c>
      <c r="B14085" t="s">
        <v>18996</v>
      </c>
      <c r="C14085">
        <f>0.748782252223</f>
        <v>0.74878225222299999</v>
      </c>
      <c r="D14085">
        <v>0.99999972448200003</v>
      </c>
      <c r="E14085">
        <v>24</v>
      </c>
    </row>
    <row r="14086" spans="1:5">
      <c r="A14086" t="s">
        <v>42742</v>
      </c>
      <c r="B14086" t="s">
        <v>19000</v>
      </c>
      <c r="C14086">
        <v>0.80417999676700003</v>
      </c>
      <c r="D14086">
        <v>0.99999972448200003</v>
      </c>
      <c r="E14086">
        <v>24</v>
      </c>
    </row>
    <row r="14087" spans="1:5">
      <c r="A14087" t="s">
        <v>42742</v>
      </c>
      <c r="B14087" t="s">
        <v>19006</v>
      </c>
      <c r="C14087">
        <v>0.300793838486</v>
      </c>
      <c r="D14087">
        <v>0.99999972448200003</v>
      </c>
      <c r="E14087">
        <v>24</v>
      </c>
    </row>
    <row r="14088" spans="1:5">
      <c r="A14088" t="s">
        <v>42742</v>
      </c>
      <c r="B14088" t="s">
        <v>19005</v>
      </c>
      <c r="C14088">
        <f>0.285480672168</f>
        <v>0.28548067216799999</v>
      </c>
      <c r="D14088">
        <v>0.99999972448200003</v>
      </c>
      <c r="E14088">
        <v>24</v>
      </c>
    </row>
    <row r="14089" spans="1:5">
      <c r="A14089" t="s">
        <v>42742</v>
      </c>
      <c r="B14089" t="s">
        <v>19003</v>
      </c>
      <c r="C14089">
        <v>0.185303637568</v>
      </c>
      <c r="D14089">
        <v>0.99999972448200003</v>
      </c>
      <c r="E14089">
        <v>24</v>
      </c>
    </row>
    <row r="14090" spans="1:5">
      <c r="A14090" t="s">
        <v>42742</v>
      </c>
      <c r="B14090" t="s">
        <v>19001</v>
      </c>
      <c r="C14090">
        <f>0.0209413476477</f>
        <v>2.09413476477E-2</v>
      </c>
      <c r="D14090">
        <v>0.99999972448200003</v>
      </c>
      <c r="E14090">
        <v>24</v>
      </c>
    </row>
    <row r="14091" spans="1:5">
      <c r="A14091" t="s">
        <v>42743</v>
      </c>
      <c r="B14091" t="s">
        <v>30816</v>
      </c>
      <c r="C14091">
        <f>0</f>
        <v>0</v>
      </c>
      <c r="D14091" t="s">
        <v>106</v>
      </c>
      <c r="E14091">
        <v>3.4980000000000002</v>
      </c>
    </row>
    <row r="14092" spans="1:5">
      <c r="A14092" t="s">
        <v>42743</v>
      </c>
      <c r="B14092" t="s">
        <v>30815</v>
      </c>
      <c r="C14092">
        <f>0</f>
        <v>0</v>
      </c>
      <c r="D14092" t="s">
        <v>106</v>
      </c>
      <c r="E14092">
        <v>3.4980000000000002</v>
      </c>
    </row>
    <row r="14093" spans="1:5">
      <c r="A14093" t="s">
        <v>42744</v>
      </c>
      <c r="B14093" t="s">
        <v>13732</v>
      </c>
      <c r="C14093">
        <f>0</f>
        <v>0</v>
      </c>
      <c r="D14093">
        <v>0.76756778741800002</v>
      </c>
      <c r="E14093">
        <v>24</v>
      </c>
    </row>
    <row r="14094" spans="1:5">
      <c r="A14094" t="s">
        <v>42744</v>
      </c>
      <c r="B14094" t="s">
        <v>13736</v>
      </c>
      <c r="C14094">
        <v>0</v>
      </c>
      <c r="D14094">
        <v>0.76756778741800002</v>
      </c>
      <c r="E14094">
        <v>24</v>
      </c>
    </row>
    <row r="14095" spans="1:5">
      <c r="A14095" t="s">
        <v>42744</v>
      </c>
      <c r="B14095" t="s">
        <v>13735</v>
      </c>
      <c r="C14095">
        <v>0</v>
      </c>
      <c r="D14095">
        <v>0.76756778741800002</v>
      </c>
      <c r="E14095">
        <v>24</v>
      </c>
    </row>
    <row r="14096" spans="1:5">
      <c r="A14096" t="s">
        <v>42744</v>
      </c>
      <c r="B14096" t="s">
        <v>13733</v>
      </c>
      <c r="C14096">
        <v>6.1957787417600003E-2</v>
      </c>
      <c r="D14096">
        <v>0.76756778741800002</v>
      </c>
      <c r="E14096">
        <v>24</v>
      </c>
    </row>
    <row r="14097" spans="1:5">
      <c r="A14097" t="s">
        <v>42745</v>
      </c>
      <c r="B14097" t="s">
        <v>17484</v>
      </c>
      <c r="C14097">
        <v>0</v>
      </c>
      <c r="D14097">
        <v>0.78089885446999996</v>
      </c>
      <c r="E14097">
        <v>23.754000000000001</v>
      </c>
    </row>
    <row r="14098" spans="1:5">
      <c r="A14098" t="s">
        <v>42745</v>
      </c>
      <c r="B14098" t="s">
        <v>17487</v>
      </c>
      <c r="C14098">
        <v>0.31718356419600002</v>
      </c>
      <c r="D14098">
        <v>0.78089885446999996</v>
      </c>
      <c r="E14098">
        <v>23.754000000000001</v>
      </c>
    </row>
    <row r="14099" spans="1:5">
      <c r="A14099" t="s">
        <v>42745</v>
      </c>
      <c r="B14099" t="s">
        <v>17483</v>
      </c>
      <c r="C14099">
        <v>0</v>
      </c>
      <c r="D14099">
        <v>0.78089885446999996</v>
      </c>
      <c r="E14099">
        <v>23.754000000000001</v>
      </c>
    </row>
    <row r="14100" spans="1:5">
      <c r="A14100" t="s">
        <v>42745</v>
      </c>
      <c r="B14100" t="s">
        <v>17480</v>
      </c>
      <c r="C14100">
        <v>0.10628596926599999</v>
      </c>
      <c r="D14100">
        <v>0.78089885446999996</v>
      </c>
      <c r="E14100">
        <v>23.754000000000001</v>
      </c>
    </row>
    <row r="14101" spans="1:5">
      <c r="A14101" t="s">
        <v>42745</v>
      </c>
      <c r="B14101" t="s">
        <v>17481</v>
      </c>
      <c r="C14101">
        <v>0</v>
      </c>
      <c r="D14101">
        <v>0.78089885446999996</v>
      </c>
      <c r="E14101">
        <v>23.754000000000001</v>
      </c>
    </row>
    <row r="14102" spans="1:5">
      <c r="A14102" t="s">
        <v>42745</v>
      </c>
      <c r="B14102" t="s">
        <v>17485</v>
      </c>
      <c r="C14102">
        <v>0</v>
      </c>
      <c r="D14102">
        <v>0.78089885446999996</v>
      </c>
      <c r="E14102">
        <v>23.754000000000001</v>
      </c>
    </row>
    <row r="14103" spans="1:5">
      <c r="A14103" t="s">
        <v>42746</v>
      </c>
      <c r="B14103" t="s">
        <v>32045</v>
      </c>
      <c r="C14103">
        <v>0.47188319495300002</v>
      </c>
      <c r="D14103">
        <v>0.94505056121599995</v>
      </c>
      <c r="E14103">
        <v>24</v>
      </c>
    </row>
    <row r="14104" spans="1:5">
      <c r="A14104" t="s">
        <v>42746</v>
      </c>
      <c r="B14104" t="s">
        <v>32047</v>
      </c>
      <c r="C14104">
        <v>1.07494092002</v>
      </c>
      <c r="D14104">
        <v>0.94505056121599995</v>
      </c>
      <c r="E14104">
        <v>24</v>
      </c>
    </row>
    <row r="14105" spans="1:5">
      <c r="A14105" t="s">
        <v>42746</v>
      </c>
      <c r="B14105" t="s">
        <v>32046</v>
      </c>
      <c r="C14105">
        <v>0.83781215720199997</v>
      </c>
      <c r="D14105">
        <v>0.94505056121599995</v>
      </c>
      <c r="E14105">
        <v>24</v>
      </c>
    </row>
    <row r="14106" spans="1:5">
      <c r="A14106" t="s">
        <v>42747</v>
      </c>
      <c r="B14106" t="s">
        <v>22441</v>
      </c>
      <c r="C14106">
        <f>0</f>
        <v>0</v>
      </c>
      <c r="D14106" t="s">
        <v>106</v>
      </c>
      <c r="E14106">
        <v>5.2380000000000004</v>
      </c>
    </row>
    <row r="14107" spans="1:5">
      <c r="A14107" t="s">
        <v>42747</v>
      </c>
      <c r="B14107" t="s">
        <v>22443</v>
      </c>
      <c r="C14107">
        <v>0</v>
      </c>
      <c r="D14107" t="s">
        <v>106</v>
      </c>
      <c r="E14107">
        <v>5.2380000000000004</v>
      </c>
    </row>
    <row r="14108" spans="1:5">
      <c r="A14108" t="s">
        <v>42748</v>
      </c>
      <c r="B14108" t="s">
        <v>42749</v>
      </c>
      <c r="C14108">
        <v>0.37980693961599998</v>
      </c>
      <c r="D14108">
        <v>0.84530985460700003</v>
      </c>
      <c r="E14108">
        <v>11.208</v>
      </c>
    </row>
    <row r="14109" spans="1:5">
      <c r="A14109" t="s">
        <v>42748</v>
      </c>
      <c r="B14109" t="s">
        <v>42750</v>
      </c>
      <c r="C14109">
        <v>0.79418125733199996</v>
      </c>
      <c r="D14109">
        <v>0.84530985460700003</v>
      </c>
      <c r="E14109">
        <v>11.208</v>
      </c>
    </row>
    <row r="14110" spans="1:5">
      <c r="A14110" t="s">
        <v>42751</v>
      </c>
      <c r="B14110" t="s">
        <v>42752</v>
      </c>
      <c r="C14110">
        <f>0.324603816139</f>
        <v>0.32460381613900002</v>
      </c>
      <c r="D14110">
        <v>0.77269520960399996</v>
      </c>
      <c r="E14110">
        <v>9.6180000000000003</v>
      </c>
    </row>
    <row r="14111" spans="1:5">
      <c r="A14111" t="s">
        <v>42751</v>
      </c>
      <c r="B14111" t="s">
        <v>42753</v>
      </c>
      <c r="C14111">
        <f>0.547517162342</f>
        <v>0.54751716234199999</v>
      </c>
      <c r="D14111">
        <v>0.77269520960399996</v>
      </c>
      <c r="E14111">
        <v>9.6180000000000003</v>
      </c>
    </row>
    <row r="14112" spans="1:5">
      <c r="A14112" t="s">
        <v>42754</v>
      </c>
      <c r="B14112" t="s">
        <v>42755</v>
      </c>
      <c r="C14112">
        <f>0</f>
        <v>0</v>
      </c>
      <c r="D14112">
        <v>0.51543975987199997</v>
      </c>
      <c r="E14112">
        <v>23.52</v>
      </c>
    </row>
    <row r="14113" spans="1:5">
      <c r="A14113" t="s">
        <v>42754</v>
      </c>
      <c r="B14113" t="s">
        <v>42756</v>
      </c>
      <c r="C14113">
        <v>0</v>
      </c>
      <c r="D14113">
        <v>0.51543975987199997</v>
      </c>
      <c r="E14113">
        <v>23.52</v>
      </c>
    </row>
    <row r="14114" spans="1:5">
      <c r="A14114" t="s">
        <v>42754</v>
      </c>
      <c r="B14114" t="s">
        <v>42757</v>
      </c>
      <c r="C14114">
        <v>0</v>
      </c>
      <c r="D14114">
        <v>0.51543975987199997</v>
      </c>
      <c r="E14114">
        <v>23.52</v>
      </c>
    </row>
    <row r="14115" spans="1:5">
      <c r="A14115" t="s">
        <v>42754</v>
      </c>
      <c r="B14115" t="s">
        <v>42758</v>
      </c>
      <c r="C14115">
        <v>0.24502975987200001</v>
      </c>
      <c r="D14115">
        <v>0.51543975987199997</v>
      </c>
      <c r="E14115">
        <v>23.52</v>
      </c>
    </row>
    <row r="14116" spans="1:5">
      <c r="A14116" t="s">
        <v>42759</v>
      </c>
      <c r="B14116" t="s">
        <v>29463</v>
      </c>
      <c r="C14116">
        <v>0</v>
      </c>
      <c r="D14116">
        <v>0.54987611534799996</v>
      </c>
      <c r="E14116">
        <v>0.504</v>
      </c>
    </row>
    <row r="14117" spans="1:5">
      <c r="A14117" t="s">
        <v>42759</v>
      </c>
      <c r="B14117" t="s">
        <v>29464</v>
      </c>
      <c r="C14117">
        <v>0.38986611534799998</v>
      </c>
      <c r="D14117">
        <v>0.54987611534799996</v>
      </c>
      <c r="E14117">
        <v>0.504</v>
      </c>
    </row>
    <row r="14118" spans="1:5">
      <c r="A14118" t="s">
        <v>42760</v>
      </c>
      <c r="B14118" t="s">
        <v>42761</v>
      </c>
      <c r="C14118">
        <v>0.84559124971099997</v>
      </c>
      <c r="D14118">
        <v>0.85984745562599996</v>
      </c>
      <c r="E14118">
        <v>2.1059999999999999</v>
      </c>
    </row>
    <row r="14119" spans="1:5">
      <c r="A14119" t="s">
        <v>42760</v>
      </c>
      <c r="B14119" t="s">
        <v>42762</v>
      </c>
      <c r="C14119">
        <f>0.142832774307</f>
        <v>0.142832774307</v>
      </c>
      <c r="D14119">
        <v>0.85984745562599996</v>
      </c>
      <c r="E14119">
        <v>2.1059999999999999</v>
      </c>
    </row>
    <row r="14120" spans="1:5">
      <c r="A14120" t="s">
        <v>42760</v>
      </c>
      <c r="B14120" t="s">
        <v>42763</v>
      </c>
      <c r="C14120">
        <v>0.22133415840099999</v>
      </c>
      <c r="D14120">
        <v>0.85984745562599996</v>
      </c>
      <c r="E14120">
        <v>2.1059999999999999</v>
      </c>
    </row>
    <row r="14121" spans="1:5">
      <c r="A14121" t="s">
        <v>42764</v>
      </c>
      <c r="B14121" t="s">
        <v>22727</v>
      </c>
      <c r="C14121">
        <v>0.60843988566999996</v>
      </c>
      <c r="D14121">
        <v>0.81098353615300001</v>
      </c>
      <c r="E14121">
        <v>6.06</v>
      </c>
    </row>
    <row r="14122" spans="1:5">
      <c r="A14122" t="s">
        <v>42764</v>
      </c>
      <c r="B14122" t="s">
        <v>22728</v>
      </c>
      <c r="C14122">
        <v>0.11068173087200001</v>
      </c>
      <c r="D14122">
        <v>0.81098353615300001</v>
      </c>
      <c r="E14122">
        <v>6.06</v>
      </c>
    </row>
    <row r="14123" spans="1:5">
      <c r="A14123" t="s">
        <v>42765</v>
      </c>
      <c r="B14123" t="s">
        <v>12032</v>
      </c>
      <c r="C14123">
        <v>0.17635665910199999</v>
      </c>
      <c r="D14123">
        <v>0.58596665910199996</v>
      </c>
      <c r="E14123">
        <v>8.58</v>
      </c>
    </row>
    <row r="14124" spans="1:5">
      <c r="A14124" t="s">
        <v>42765</v>
      </c>
      <c r="B14124" t="s">
        <v>12037</v>
      </c>
      <c r="C14124">
        <v>0</v>
      </c>
      <c r="D14124">
        <v>0.58596665910199996</v>
      </c>
      <c r="E14124">
        <v>8.58</v>
      </c>
    </row>
    <row r="14125" spans="1:5">
      <c r="A14125" t="s">
        <v>42766</v>
      </c>
      <c r="B14125" t="s">
        <v>21322</v>
      </c>
      <c r="C14125">
        <f>0</f>
        <v>0</v>
      </c>
      <c r="D14125" t="s">
        <v>106</v>
      </c>
      <c r="E14125">
        <v>9.1679999999999993</v>
      </c>
    </row>
    <row r="14126" spans="1:5">
      <c r="A14126" t="s">
        <v>42766</v>
      </c>
      <c r="B14126" t="s">
        <v>21323</v>
      </c>
      <c r="C14126">
        <v>0</v>
      </c>
      <c r="D14126" t="s">
        <v>106</v>
      </c>
      <c r="E14126">
        <v>9.1679999999999993</v>
      </c>
    </row>
    <row r="14127" spans="1:5">
      <c r="A14127" t="s">
        <v>42767</v>
      </c>
      <c r="B14127" t="s">
        <v>2666</v>
      </c>
      <c r="C14127">
        <f>0</f>
        <v>0</v>
      </c>
      <c r="D14127" t="s">
        <v>106</v>
      </c>
      <c r="E14127">
        <v>1.3919999999999999</v>
      </c>
    </row>
    <row r="14128" spans="1:5">
      <c r="A14128" t="s">
        <v>42767</v>
      </c>
      <c r="B14128" t="s">
        <v>2667</v>
      </c>
      <c r="C14128">
        <v>0</v>
      </c>
      <c r="D14128" t="s">
        <v>106</v>
      </c>
      <c r="E14128">
        <v>1.3919999999999999</v>
      </c>
    </row>
    <row r="14129" spans="1:5">
      <c r="A14129" t="s">
        <v>42768</v>
      </c>
      <c r="B14129" t="s">
        <v>12167</v>
      </c>
      <c r="C14129">
        <v>0</v>
      </c>
      <c r="D14129">
        <v>0.66430526664800005</v>
      </c>
      <c r="E14129">
        <v>14.933999999999999</v>
      </c>
    </row>
    <row r="14130" spans="1:5">
      <c r="A14130" t="s">
        <v>42768</v>
      </c>
      <c r="B14130" t="s">
        <v>12169</v>
      </c>
      <c r="C14130">
        <v>0.14589526664800001</v>
      </c>
      <c r="D14130">
        <v>0.66430526664800005</v>
      </c>
      <c r="E14130">
        <v>14.933999999999999</v>
      </c>
    </row>
    <row r="14131" spans="1:5">
      <c r="A14131" t="s">
        <v>42768</v>
      </c>
      <c r="B14131" t="s">
        <v>12170</v>
      </c>
      <c r="C14131">
        <v>0</v>
      </c>
      <c r="D14131">
        <v>0.66430526664800005</v>
      </c>
      <c r="E14131">
        <v>14.933999999999999</v>
      </c>
    </row>
    <row r="14132" spans="1:5">
      <c r="A14132" t="s">
        <v>42769</v>
      </c>
      <c r="B14132" t="s">
        <v>7784</v>
      </c>
      <c r="C14132">
        <f>0</f>
        <v>0</v>
      </c>
      <c r="D14132" t="s">
        <v>106</v>
      </c>
      <c r="E14132">
        <v>24</v>
      </c>
    </row>
    <row r="14133" spans="1:5">
      <c r="A14133" t="s">
        <v>42769</v>
      </c>
      <c r="B14133" t="s">
        <v>7780</v>
      </c>
      <c r="C14133">
        <f>0</f>
        <v>0</v>
      </c>
      <c r="D14133" t="s">
        <v>106</v>
      </c>
      <c r="E14133">
        <v>24</v>
      </c>
    </row>
    <row r="14134" spans="1:5">
      <c r="A14134" t="s">
        <v>42769</v>
      </c>
      <c r="B14134" t="s">
        <v>7786</v>
      </c>
      <c r="C14134">
        <v>0</v>
      </c>
      <c r="D14134" t="s">
        <v>106</v>
      </c>
      <c r="E14134">
        <v>24</v>
      </c>
    </row>
    <row r="14135" spans="1:5">
      <c r="A14135" t="s">
        <v>42769</v>
      </c>
      <c r="B14135" t="s">
        <v>7779</v>
      </c>
      <c r="C14135">
        <v>0</v>
      </c>
      <c r="D14135" t="s">
        <v>106</v>
      </c>
      <c r="E14135">
        <v>24</v>
      </c>
    </row>
    <row r="14136" spans="1:5">
      <c r="A14136" t="s">
        <v>42769</v>
      </c>
      <c r="B14136" t="s">
        <v>7781</v>
      </c>
      <c r="C14136">
        <v>0</v>
      </c>
      <c r="D14136" t="s">
        <v>106</v>
      </c>
      <c r="E14136">
        <v>24</v>
      </c>
    </row>
    <row r="14137" spans="1:5">
      <c r="A14137" t="s">
        <v>42769</v>
      </c>
      <c r="B14137" t="s">
        <v>7782</v>
      </c>
      <c r="C14137">
        <f>0</f>
        <v>0</v>
      </c>
      <c r="D14137" t="s">
        <v>106</v>
      </c>
      <c r="E14137">
        <v>24</v>
      </c>
    </row>
    <row r="14138" spans="1:5">
      <c r="A14138" t="s">
        <v>42769</v>
      </c>
      <c r="B14138" t="s">
        <v>7783</v>
      </c>
      <c r="C14138">
        <v>0</v>
      </c>
      <c r="D14138" t="s">
        <v>106</v>
      </c>
      <c r="E14138">
        <v>24</v>
      </c>
    </row>
    <row r="14139" spans="1:5">
      <c r="A14139" t="s">
        <v>42770</v>
      </c>
      <c r="B14139" t="s">
        <v>15088</v>
      </c>
      <c r="C14139">
        <v>0</v>
      </c>
      <c r="D14139">
        <v>0.76574572309800004</v>
      </c>
      <c r="E14139">
        <v>5.82</v>
      </c>
    </row>
    <row r="14140" spans="1:5">
      <c r="A14140" t="s">
        <v>42770</v>
      </c>
      <c r="B14140" t="s">
        <v>15090</v>
      </c>
      <c r="C14140">
        <v>0</v>
      </c>
      <c r="D14140">
        <v>0.76574572309800004</v>
      </c>
      <c r="E14140">
        <v>5.82</v>
      </c>
    </row>
    <row r="14141" spans="1:5">
      <c r="A14141" t="s">
        <v>42770</v>
      </c>
      <c r="B14141" t="s">
        <v>15089</v>
      </c>
      <c r="C14141">
        <v>0</v>
      </c>
      <c r="D14141">
        <v>0.76574572309800004</v>
      </c>
      <c r="E14141">
        <v>5.82</v>
      </c>
    </row>
    <row r="14142" spans="1:5">
      <c r="A14142" t="s">
        <v>42770</v>
      </c>
      <c r="B14142" t="s">
        <v>15092</v>
      </c>
      <c r="C14142">
        <f>0.409090289955</f>
        <v>0.40909028995500002</v>
      </c>
      <c r="D14142">
        <v>0.76574572309800004</v>
      </c>
      <c r="E14142">
        <v>5.82</v>
      </c>
    </row>
    <row r="14143" spans="1:5">
      <c r="A14143" t="s">
        <v>42770</v>
      </c>
      <c r="B14143" t="s">
        <v>15093</v>
      </c>
      <c r="C14143">
        <v>0.24201045080200001</v>
      </c>
      <c r="D14143">
        <v>0.76574572309800004</v>
      </c>
      <c r="E14143">
        <v>5.82</v>
      </c>
    </row>
    <row r="14144" spans="1:5">
      <c r="A14144" t="s">
        <v>42771</v>
      </c>
      <c r="B14144" t="s">
        <v>42772</v>
      </c>
      <c r="C14144">
        <v>0.51731648275200004</v>
      </c>
      <c r="D14144">
        <v>0.54534992489199996</v>
      </c>
      <c r="E14144">
        <v>23.754000000000001</v>
      </c>
    </row>
    <row r="14145" spans="1:5">
      <c r="A14145" t="s">
        <v>42771</v>
      </c>
      <c r="B14145" t="s">
        <v>42773</v>
      </c>
      <c r="C14145">
        <v>0.37994464701000003</v>
      </c>
      <c r="D14145">
        <v>0.54534992489199996</v>
      </c>
      <c r="E14145">
        <v>23.754000000000001</v>
      </c>
    </row>
    <row r="14146" spans="1:5">
      <c r="A14146" t="s">
        <v>42774</v>
      </c>
      <c r="B14146" t="s">
        <v>42775</v>
      </c>
      <c r="C14146">
        <v>0.56540057620399997</v>
      </c>
      <c r="D14146">
        <v>0.97877141061600004</v>
      </c>
      <c r="E14146">
        <v>12.048</v>
      </c>
    </row>
    <row r="14147" spans="1:5">
      <c r="A14147" t="s">
        <v>42774</v>
      </c>
      <c r="B14147" t="s">
        <v>42776</v>
      </c>
      <c r="C14147">
        <v>0.32576859200300001</v>
      </c>
      <c r="D14147">
        <v>0.97877141061600004</v>
      </c>
      <c r="E14147">
        <v>12.048</v>
      </c>
    </row>
    <row r="14148" spans="1:5">
      <c r="A14148" t="s">
        <v>42774</v>
      </c>
      <c r="B14148" t="s">
        <v>42777</v>
      </c>
      <c r="C14148">
        <v>0</v>
      </c>
      <c r="D14148">
        <v>0.97877141061600004</v>
      </c>
      <c r="E14148">
        <v>12.048</v>
      </c>
    </row>
    <row r="14149" spans="1:5">
      <c r="A14149" t="s">
        <v>42774</v>
      </c>
      <c r="B14149" t="s">
        <v>42778</v>
      </c>
      <c r="C14149">
        <f>0.188380392899</f>
        <v>0.18838039289899999</v>
      </c>
      <c r="D14149">
        <v>0.97877141061600004</v>
      </c>
      <c r="E14149">
        <v>12.048</v>
      </c>
    </row>
    <row r="14150" spans="1:5">
      <c r="A14150" t="s">
        <v>42774</v>
      </c>
      <c r="B14150" t="s">
        <v>42779</v>
      </c>
      <c r="C14150">
        <v>0.49427072292899998</v>
      </c>
      <c r="D14150">
        <v>0.97877141061600004</v>
      </c>
      <c r="E14150">
        <v>12.048</v>
      </c>
    </row>
    <row r="14151" spans="1:5">
      <c r="A14151" t="s">
        <v>42780</v>
      </c>
      <c r="B14151" t="s">
        <v>6825</v>
      </c>
      <c r="C14151">
        <v>0.480174683913</v>
      </c>
      <c r="D14151">
        <v>0.98215766903299995</v>
      </c>
      <c r="E14151">
        <v>6.8040000000000003</v>
      </c>
    </row>
    <row r="14152" spans="1:5">
      <c r="A14152" t="s">
        <v>42780</v>
      </c>
      <c r="B14152" t="s">
        <v>6829</v>
      </c>
      <c r="C14152">
        <v>0.24745318876899999</v>
      </c>
      <c r="D14152">
        <v>0.98215766903299995</v>
      </c>
      <c r="E14152">
        <v>6.8040000000000003</v>
      </c>
    </row>
    <row r="14153" spans="1:5">
      <c r="A14153" t="s">
        <v>42780</v>
      </c>
      <c r="B14153" t="s">
        <v>6830</v>
      </c>
      <c r="C14153">
        <v>0</v>
      </c>
      <c r="D14153">
        <v>0.98215766903299995</v>
      </c>
      <c r="E14153">
        <v>6.8040000000000003</v>
      </c>
    </row>
    <row r="14154" spans="1:5">
      <c r="A14154" t="s">
        <v>42780</v>
      </c>
      <c r="B14154" t="s">
        <v>6826</v>
      </c>
      <c r="C14154">
        <f>0.442317689001</f>
        <v>0.44231768900099999</v>
      </c>
      <c r="D14154">
        <v>0.98215766903299995</v>
      </c>
      <c r="E14154">
        <v>6.8040000000000003</v>
      </c>
    </row>
    <row r="14155" spans="1:5">
      <c r="A14155" t="s">
        <v>42780</v>
      </c>
      <c r="B14155" t="s">
        <v>6828</v>
      </c>
      <c r="C14155">
        <v>0.56407638662299997</v>
      </c>
      <c r="D14155">
        <v>0.98215766903299995</v>
      </c>
      <c r="E14155">
        <v>6.8040000000000003</v>
      </c>
    </row>
    <row r="14156" spans="1:5">
      <c r="A14156" t="s">
        <v>42780</v>
      </c>
      <c r="B14156" t="s">
        <v>6827</v>
      </c>
      <c r="C14156">
        <f>0.257901896667</f>
        <v>0.25790189666699997</v>
      </c>
      <c r="D14156">
        <v>0.98215766903299995</v>
      </c>
      <c r="E14156">
        <v>6.8040000000000003</v>
      </c>
    </row>
    <row r="14157" spans="1:5">
      <c r="A14157" t="s">
        <v>42781</v>
      </c>
      <c r="B14157" t="s">
        <v>31810</v>
      </c>
      <c r="C14157">
        <v>0</v>
      </c>
      <c r="D14157" t="s">
        <v>106</v>
      </c>
      <c r="E14157">
        <v>5.82</v>
      </c>
    </row>
    <row r="14158" spans="1:5">
      <c r="A14158" t="s">
        <v>42781</v>
      </c>
      <c r="B14158" t="s">
        <v>31812</v>
      </c>
      <c r="C14158">
        <f>0</f>
        <v>0</v>
      </c>
      <c r="D14158" t="s">
        <v>106</v>
      </c>
      <c r="E14158">
        <v>5.82</v>
      </c>
    </row>
    <row r="14159" spans="1:5">
      <c r="A14159" t="s">
        <v>42781</v>
      </c>
      <c r="B14159" t="s">
        <v>31811</v>
      </c>
      <c r="C14159">
        <f>0</f>
        <v>0</v>
      </c>
      <c r="D14159" t="s">
        <v>106</v>
      </c>
      <c r="E14159">
        <v>5.82</v>
      </c>
    </row>
    <row r="14160" spans="1:5">
      <c r="A14160" t="s">
        <v>42781</v>
      </c>
      <c r="B14160" t="s">
        <v>31813</v>
      </c>
      <c r="C14160">
        <v>0</v>
      </c>
      <c r="D14160" t="s">
        <v>106</v>
      </c>
      <c r="E14160">
        <v>5.82</v>
      </c>
    </row>
    <row r="14161" spans="1:5">
      <c r="A14161" t="s">
        <v>42781</v>
      </c>
      <c r="B14161" t="s">
        <v>31814</v>
      </c>
      <c r="C14161">
        <v>0</v>
      </c>
      <c r="D14161" t="s">
        <v>106</v>
      </c>
      <c r="E14161">
        <v>5.82</v>
      </c>
    </row>
    <row r="14162" spans="1:5">
      <c r="A14162" t="s">
        <v>42782</v>
      </c>
      <c r="B14162" t="s">
        <v>3658</v>
      </c>
      <c r="C14162">
        <f>0.440157036401</f>
        <v>0.44015703640100001</v>
      </c>
      <c r="D14162">
        <v>0.63391714686099998</v>
      </c>
      <c r="E14162">
        <v>9.7739999999999991</v>
      </c>
    </row>
    <row r="14163" spans="1:5">
      <c r="A14163" t="s">
        <v>42782</v>
      </c>
      <c r="B14163" t="s">
        <v>3662</v>
      </c>
      <c r="C14163">
        <v>9.5658475161299994E-2</v>
      </c>
      <c r="D14163">
        <v>0.63391714686099998</v>
      </c>
      <c r="E14163">
        <v>9.7739999999999991</v>
      </c>
    </row>
    <row r="14164" spans="1:5">
      <c r="A14164" t="s">
        <v>42782</v>
      </c>
      <c r="B14164" t="s">
        <v>3661</v>
      </c>
      <c r="C14164">
        <v>0</v>
      </c>
      <c r="D14164">
        <v>0.63391714686099998</v>
      </c>
      <c r="E14164">
        <v>9.7739999999999991</v>
      </c>
    </row>
    <row r="14165" spans="1:5">
      <c r="A14165" t="s">
        <v>42783</v>
      </c>
      <c r="B14165" t="s">
        <v>42784</v>
      </c>
      <c r="C14165">
        <f>0</f>
        <v>0</v>
      </c>
      <c r="D14165" t="s">
        <v>106</v>
      </c>
      <c r="E14165">
        <v>23.754000000000001</v>
      </c>
    </row>
    <row r="14166" spans="1:5">
      <c r="A14166" t="s">
        <v>42783</v>
      </c>
      <c r="B14166" t="s">
        <v>42785</v>
      </c>
      <c r="C14166">
        <v>0</v>
      </c>
      <c r="D14166" t="s">
        <v>106</v>
      </c>
      <c r="E14166">
        <v>23.754000000000001</v>
      </c>
    </row>
    <row r="14167" spans="1:5">
      <c r="A14167" t="s">
        <v>42783</v>
      </c>
      <c r="B14167" t="s">
        <v>42786</v>
      </c>
      <c r="C14167">
        <v>0</v>
      </c>
      <c r="D14167" t="s">
        <v>106</v>
      </c>
      <c r="E14167">
        <v>23.754000000000001</v>
      </c>
    </row>
    <row r="14168" spans="1:5">
      <c r="A14168" t="s">
        <v>42787</v>
      </c>
      <c r="B14168" t="s">
        <v>19360</v>
      </c>
      <c r="C14168">
        <v>0</v>
      </c>
      <c r="D14168" t="s">
        <v>106</v>
      </c>
      <c r="E14168">
        <v>10.878</v>
      </c>
    </row>
    <row r="14169" spans="1:5">
      <c r="A14169" t="s">
        <v>42787</v>
      </c>
      <c r="B14169" t="s">
        <v>19367</v>
      </c>
      <c r="C14169">
        <f>0</f>
        <v>0</v>
      </c>
      <c r="D14169" t="s">
        <v>106</v>
      </c>
      <c r="E14169">
        <v>10.878</v>
      </c>
    </row>
    <row r="14170" spans="1:5">
      <c r="A14170" t="s">
        <v>42787</v>
      </c>
      <c r="B14170" t="s">
        <v>19368</v>
      </c>
      <c r="C14170">
        <v>0</v>
      </c>
      <c r="D14170" t="s">
        <v>106</v>
      </c>
      <c r="E14170">
        <v>10.878</v>
      </c>
    </row>
    <row r="14171" spans="1:5">
      <c r="A14171" t="s">
        <v>42787</v>
      </c>
      <c r="B14171" t="s">
        <v>19366</v>
      </c>
      <c r="C14171">
        <v>0</v>
      </c>
      <c r="D14171" t="s">
        <v>106</v>
      </c>
      <c r="E14171">
        <v>10.878</v>
      </c>
    </row>
    <row r="14172" spans="1:5">
      <c r="A14172" t="s">
        <v>42787</v>
      </c>
      <c r="B14172" t="s">
        <v>19362</v>
      </c>
      <c r="C14172">
        <v>0</v>
      </c>
      <c r="D14172" t="s">
        <v>106</v>
      </c>
      <c r="E14172">
        <v>10.878</v>
      </c>
    </row>
    <row r="14173" spans="1:5">
      <c r="A14173" t="s">
        <v>42787</v>
      </c>
      <c r="B14173" t="s">
        <v>19364</v>
      </c>
      <c r="C14173">
        <f>0</f>
        <v>0</v>
      </c>
      <c r="D14173" t="s">
        <v>106</v>
      </c>
      <c r="E14173">
        <v>10.878</v>
      </c>
    </row>
    <row r="14174" spans="1:5">
      <c r="A14174" t="s">
        <v>42788</v>
      </c>
      <c r="B14174" t="s">
        <v>18835</v>
      </c>
      <c r="C14174">
        <v>0.14248853226399999</v>
      </c>
      <c r="D14174">
        <v>0.99921753638699995</v>
      </c>
      <c r="E14174">
        <v>24</v>
      </c>
    </row>
    <row r="14175" spans="1:5">
      <c r="A14175" t="s">
        <v>42788</v>
      </c>
      <c r="B14175" t="s">
        <v>18843</v>
      </c>
      <c r="C14175">
        <v>0.46317714131100002</v>
      </c>
      <c r="D14175">
        <v>0.99921753638699995</v>
      </c>
      <c r="E14175">
        <v>24</v>
      </c>
    </row>
    <row r="14176" spans="1:5">
      <c r="A14176" t="s">
        <v>42788</v>
      </c>
      <c r="B14176" t="s">
        <v>18836</v>
      </c>
      <c r="C14176">
        <f>0.736700016394</f>
        <v>0.73670001639399996</v>
      </c>
      <c r="D14176">
        <v>0.99921753638699995</v>
      </c>
      <c r="E14176">
        <v>24</v>
      </c>
    </row>
    <row r="14177" spans="1:5">
      <c r="A14177" t="s">
        <v>42788</v>
      </c>
      <c r="B14177" t="s">
        <v>18846</v>
      </c>
      <c r="C14177">
        <f>0.304913606159</f>
        <v>0.30491360615899998</v>
      </c>
      <c r="D14177">
        <v>0.99921753638699995</v>
      </c>
      <c r="E14177">
        <v>24</v>
      </c>
    </row>
    <row r="14178" spans="1:5">
      <c r="A14178" t="s">
        <v>42788</v>
      </c>
      <c r="B14178" t="s">
        <v>18847</v>
      </c>
      <c r="C14178">
        <v>4.1248325615599997E-2</v>
      </c>
      <c r="D14178">
        <v>0.99921753638699995</v>
      </c>
      <c r="E14178">
        <v>24</v>
      </c>
    </row>
    <row r="14179" spans="1:5">
      <c r="A14179" t="s">
        <v>42788</v>
      </c>
      <c r="B14179" t="s">
        <v>18848</v>
      </c>
      <c r="C14179">
        <f>0</f>
        <v>0</v>
      </c>
      <c r="D14179">
        <v>0.99921753638699995</v>
      </c>
      <c r="E14179">
        <v>24</v>
      </c>
    </row>
    <row r="14180" spans="1:5">
      <c r="A14180" t="s">
        <v>42788</v>
      </c>
      <c r="B14180" t="s">
        <v>18838</v>
      </c>
      <c r="C14180">
        <v>0</v>
      </c>
      <c r="D14180">
        <v>0.99921753638699995</v>
      </c>
      <c r="E14180">
        <v>24</v>
      </c>
    </row>
    <row r="14181" spans="1:5">
      <c r="A14181" t="s">
        <v>42788</v>
      </c>
      <c r="B14181" t="s">
        <v>18837</v>
      </c>
      <c r="C14181">
        <v>0</v>
      </c>
      <c r="D14181">
        <v>0.99921753638699995</v>
      </c>
      <c r="E14181">
        <v>24</v>
      </c>
    </row>
    <row r="14182" spans="1:5">
      <c r="A14182" t="s">
        <v>42788</v>
      </c>
      <c r="B14182" t="s">
        <v>18849</v>
      </c>
      <c r="C14182">
        <f>0</f>
        <v>0</v>
      </c>
      <c r="D14182">
        <v>0.99921753638699995</v>
      </c>
      <c r="E14182">
        <v>24</v>
      </c>
    </row>
    <row r="14183" spans="1:5">
      <c r="A14183" t="s">
        <v>42788</v>
      </c>
      <c r="B14183" t="s">
        <v>18841</v>
      </c>
      <c r="C14183">
        <v>0</v>
      </c>
      <c r="D14183">
        <v>0.99921753638699995</v>
      </c>
      <c r="E14183">
        <v>24</v>
      </c>
    </row>
    <row r="14184" spans="1:5">
      <c r="A14184" t="s">
        <v>42788</v>
      </c>
      <c r="B14184" t="s">
        <v>18839</v>
      </c>
      <c r="C14184">
        <v>0</v>
      </c>
      <c r="D14184">
        <v>0.99921753638699995</v>
      </c>
      <c r="E14184">
        <v>24</v>
      </c>
    </row>
    <row r="14185" spans="1:5">
      <c r="A14185" t="s">
        <v>42788</v>
      </c>
      <c r="B14185" t="s">
        <v>18842</v>
      </c>
      <c r="C14185">
        <v>6.6701849289500001E-2</v>
      </c>
      <c r="D14185">
        <v>0.99921753638699995</v>
      </c>
      <c r="E14185">
        <v>24</v>
      </c>
    </row>
    <row r="14186" spans="1:5">
      <c r="A14186" t="s">
        <v>42788</v>
      </c>
      <c r="B14186" t="s">
        <v>18834</v>
      </c>
      <c r="C14186">
        <v>0</v>
      </c>
      <c r="D14186">
        <v>0.99921753638699995</v>
      </c>
      <c r="E14186">
        <v>24</v>
      </c>
    </row>
    <row r="14187" spans="1:5">
      <c r="A14187" t="s">
        <v>42789</v>
      </c>
      <c r="B14187" t="s">
        <v>21812</v>
      </c>
      <c r="C14187">
        <v>0.35680641170600003</v>
      </c>
      <c r="D14187">
        <v>0.689836974918</v>
      </c>
      <c r="E14187">
        <v>5.2380000000000004</v>
      </c>
    </row>
    <row r="14188" spans="1:5">
      <c r="A14188" t="s">
        <v>42789</v>
      </c>
      <c r="B14188" t="s">
        <v>21813</v>
      </c>
      <c r="C14188">
        <v>0.33930517139999999</v>
      </c>
      <c r="D14188">
        <v>0.689836974918</v>
      </c>
      <c r="E14188">
        <v>5.2380000000000004</v>
      </c>
    </row>
    <row r="14189" spans="1:5">
      <c r="A14189" t="s">
        <v>42790</v>
      </c>
      <c r="B14189" t="s">
        <v>42791</v>
      </c>
      <c r="C14189">
        <f>0</f>
        <v>0</v>
      </c>
      <c r="D14189">
        <v>0.92766894622200002</v>
      </c>
      <c r="E14189">
        <v>0</v>
      </c>
    </row>
    <row r="14190" spans="1:5">
      <c r="A14190" t="s">
        <v>42790</v>
      </c>
      <c r="B14190" t="s">
        <v>42792</v>
      </c>
      <c r="C14190">
        <v>0</v>
      </c>
      <c r="D14190">
        <v>0.92766894622200002</v>
      </c>
      <c r="E14190">
        <v>0</v>
      </c>
    </row>
    <row r="14191" spans="1:5">
      <c r="A14191" t="s">
        <v>42790</v>
      </c>
      <c r="B14191" t="s">
        <v>42793</v>
      </c>
      <c r="C14191">
        <v>0</v>
      </c>
      <c r="D14191">
        <v>0.92766894622200002</v>
      </c>
      <c r="E14191">
        <v>0</v>
      </c>
    </row>
    <row r="14192" spans="1:5">
      <c r="A14192" t="s">
        <v>42790</v>
      </c>
      <c r="B14192" t="s">
        <v>42794</v>
      </c>
      <c r="C14192">
        <v>1.9310533226300001E-2</v>
      </c>
      <c r="D14192">
        <v>0.92766894622200002</v>
      </c>
      <c r="E14192">
        <v>0</v>
      </c>
    </row>
    <row r="14193" spans="1:5">
      <c r="A14193" t="s">
        <v>42790</v>
      </c>
      <c r="B14193" t="s">
        <v>42795</v>
      </c>
      <c r="C14193">
        <v>0.37996816813700002</v>
      </c>
      <c r="D14193">
        <v>0.92766894622200002</v>
      </c>
      <c r="E14193">
        <v>0</v>
      </c>
    </row>
    <row r="14194" spans="1:5">
      <c r="A14194" t="s">
        <v>42790</v>
      </c>
      <c r="B14194" t="s">
        <v>42796</v>
      </c>
      <c r="C14194">
        <f>0</f>
        <v>0</v>
      </c>
      <c r="D14194">
        <v>0.92766894622200002</v>
      </c>
      <c r="E14194">
        <v>0</v>
      </c>
    </row>
    <row r="14195" spans="1:5">
      <c r="A14195" t="s">
        <v>42790</v>
      </c>
      <c r="B14195" t="s">
        <v>42797</v>
      </c>
      <c r="C14195">
        <v>8.5532643093800001E-2</v>
      </c>
      <c r="D14195">
        <v>0.92766894622200002</v>
      </c>
      <c r="E14195">
        <v>0</v>
      </c>
    </row>
    <row r="14196" spans="1:5">
      <c r="A14196" t="s">
        <v>42790</v>
      </c>
      <c r="B14196" t="s">
        <v>42798</v>
      </c>
      <c r="C14196">
        <f>0</f>
        <v>0</v>
      </c>
      <c r="D14196">
        <v>0.92766894622200002</v>
      </c>
      <c r="E14196">
        <v>0</v>
      </c>
    </row>
    <row r="14197" spans="1:5">
      <c r="A14197" t="s">
        <v>42790</v>
      </c>
      <c r="B14197" t="s">
        <v>42799</v>
      </c>
      <c r="C14197">
        <v>0.39988112263499997</v>
      </c>
      <c r="D14197">
        <v>0.92766894622200002</v>
      </c>
      <c r="E14197">
        <v>0</v>
      </c>
    </row>
    <row r="14198" spans="1:5">
      <c r="A14198" t="s">
        <v>42800</v>
      </c>
      <c r="B14198" t="s">
        <v>14746</v>
      </c>
      <c r="C14198">
        <f>0.449531720415</f>
        <v>0.449531720415</v>
      </c>
      <c r="D14198">
        <v>0.57914172041500001</v>
      </c>
      <c r="E14198">
        <v>2.718</v>
      </c>
    </row>
    <row r="14199" spans="1:5">
      <c r="A14199" t="s">
        <v>42800</v>
      </c>
      <c r="B14199" t="s">
        <v>14745</v>
      </c>
      <c r="C14199">
        <v>0</v>
      </c>
      <c r="D14199">
        <v>0.57914172041500001</v>
      </c>
      <c r="E14199">
        <v>2.718</v>
      </c>
    </row>
    <row r="14200" spans="1:5">
      <c r="A14200" t="s">
        <v>42800</v>
      </c>
      <c r="B14200" t="s">
        <v>14749</v>
      </c>
      <c r="C14200">
        <f>0</f>
        <v>0</v>
      </c>
      <c r="D14200">
        <v>0.57914172041500001</v>
      </c>
      <c r="E14200">
        <v>2.718</v>
      </c>
    </row>
    <row r="14201" spans="1:5">
      <c r="A14201" t="s">
        <v>42800</v>
      </c>
      <c r="B14201" t="s">
        <v>14750</v>
      </c>
      <c r="C14201">
        <v>0</v>
      </c>
      <c r="D14201">
        <v>0.57914172041500001</v>
      </c>
      <c r="E14201">
        <v>2.718</v>
      </c>
    </row>
    <row r="14202" spans="1:5">
      <c r="A14202" t="s">
        <v>42801</v>
      </c>
      <c r="B14202" t="s">
        <v>30768</v>
      </c>
      <c r="C14202">
        <f>0.0778242962043</f>
        <v>7.7824296204299995E-2</v>
      </c>
      <c r="D14202">
        <v>0.96674375611899999</v>
      </c>
      <c r="E14202">
        <v>0</v>
      </c>
    </row>
    <row r="14203" spans="1:5">
      <c r="A14203" t="s">
        <v>42801</v>
      </c>
      <c r="B14203" t="s">
        <v>30769</v>
      </c>
      <c r="C14203">
        <f>0</f>
        <v>0</v>
      </c>
      <c r="D14203">
        <v>0.96674375611899999</v>
      </c>
      <c r="E14203">
        <v>0</v>
      </c>
    </row>
    <row r="14204" spans="1:5">
      <c r="A14204" t="s">
        <v>42801</v>
      </c>
      <c r="B14204" t="s">
        <v>30770</v>
      </c>
      <c r="C14204">
        <v>2.4146328116800002</v>
      </c>
      <c r="D14204">
        <v>0.96674375611899999</v>
      </c>
      <c r="E14204">
        <v>0</v>
      </c>
    </row>
    <row r="14205" spans="1:5">
      <c r="A14205" t="s">
        <v>42801</v>
      </c>
      <c r="B14205" t="s">
        <v>30772</v>
      </c>
      <c r="C14205">
        <f>0.0727265590962</f>
        <v>7.2726559096200002E-2</v>
      </c>
      <c r="D14205">
        <v>0.96674375611899999</v>
      </c>
      <c r="E14205">
        <v>0</v>
      </c>
    </row>
    <row r="14206" spans="1:5">
      <c r="A14206" t="s">
        <v>42801</v>
      </c>
      <c r="B14206" t="s">
        <v>30771</v>
      </c>
      <c r="C14206">
        <f>-1.97089586976</f>
        <v>-1.9708958697600001</v>
      </c>
      <c r="D14206">
        <v>0.96674375611899999</v>
      </c>
      <c r="E14206">
        <v>0</v>
      </c>
    </row>
    <row r="14207" spans="1:5">
      <c r="A14207" t="s">
        <v>42802</v>
      </c>
      <c r="B14207" t="s">
        <v>42803</v>
      </c>
      <c r="C14207">
        <v>0.54206976384799999</v>
      </c>
      <c r="D14207">
        <v>0.73974654939999995</v>
      </c>
      <c r="E14207">
        <v>0.28799999999999998</v>
      </c>
    </row>
    <row r="14208" spans="1:5">
      <c r="A14208" t="s">
        <v>42802</v>
      </c>
      <c r="B14208" t="s">
        <v>42804</v>
      </c>
      <c r="C14208">
        <v>0.46422719571999999</v>
      </c>
      <c r="D14208">
        <v>0.73974654939999995</v>
      </c>
      <c r="E14208">
        <v>0.28799999999999998</v>
      </c>
    </row>
    <row r="14209" spans="1:5">
      <c r="A14209" t="s">
        <v>42805</v>
      </c>
      <c r="B14209" t="s">
        <v>18048</v>
      </c>
      <c r="C14209">
        <v>0</v>
      </c>
      <c r="D14209" t="s">
        <v>106</v>
      </c>
      <c r="E14209">
        <v>1.764</v>
      </c>
    </row>
    <row r="14210" spans="1:5">
      <c r="A14210" t="s">
        <v>42805</v>
      </c>
      <c r="B14210" t="s">
        <v>18047</v>
      </c>
      <c r="C14210">
        <f>0</f>
        <v>0</v>
      </c>
      <c r="D14210" t="s">
        <v>106</v>
      </c>
      <c r="E14210">
        <v>1.764</v>
      </c>
    </row>
    <row r="14211" spans="1:5">
      <c r="A14211" t="s">
        <v>42806</v>
      </c>
      <c r="B14211" t="s">
        <v>22940</v>
      </c>
      <c r="C14211">
        <v>0</v>
      </c>
      <c r="D14211" t="s">
        <v>106</v>
      </c>
      <c r="E14211">
        <v>24</v>
      </c>
    </row>
    <row r="14212" spans="1:5">
      <c r="A14212" t="s">
        <v>42806</v>
      </c>
      <c r="B14212" t="s">
        <v>22937</v>
      </c>
      <c r="C14212">
        <v>0</v>
      </c>
      <c r="D14212" t="s">
        <v>106</v>
      </c>
      <c r="E14212">
        <v>24</v>
      </c>
    </row>
    <row r="14213" spans="1:5">
      <c r="A14213" t="s">
        <v>42806</v>
      </c>
      <c r="B14213" t="s">
        <v>22941</v>
      </c>
      <c r="C14213">
        <v>0</v>
      </c>
      <c r="D14213" t="s">
        <v>106</v>
      </c>
      <c r="E14213">
        <v>24</v>
      </c>
    </row>
    <row r="14214" spans="1:5">
      <c r="A14214" t="s">
        <v>42806</v>
      </c>
      <c r="B14214" t="s">
        <v>22942</v>
      </c>
      <c r="C14214">
        <v>0</v>
      </c>
      <c r="D14214" t="s">
        <v>106</v>
      </c>
      <c r="E14214">
        <v>24</v>
      </c>
    </row>
    <row r="14215" spans="1:5">
      <c r="A14215" t="s">
        <v>42807</v>
      </c>
      <c r="B14215" t="s">
        <v>10159</v>
      </c>
      <c r="C14215">
        <f>0</f>
        <v>0</v>
      </c>
      <c r="D14215">
        <v>0.585871799907</v>
      </c>
      <c r="E14215">
        <v>23.754000000000001</v>
      </c>
    </row>
    <row r="14216" spans="1:5">
      <c r="A14216" t="s">
        <v>42807</v>
      </c>
      <c r="B14216" t="s">
        <v>10160</v>
      </c>
      <c r="C14216">
        <v>0.123461799907</v>
      </c>
      <c r="D14216">
        <v>0.585871799907</v>
      </c>
      <c r="E14216">
        <v>23.754000000000001</v>
      </c>
    </row>
    <row r="14217" spans="1:5">
      <c r="A14217" t="s">
        <v>42808</v>
      </c>
      <c r="B14217" t="s">
        <v>18331</v>
      </c>
      <c r="C14217">
        <v>1.0736544638600001</v>
      </c>
      <c r="D14217">
        <v>0.99999753072300002</v>
      </c>
      <c r="E14217">
        <v>20.513999999999999</v>
      </c>
    </row>
    <row r="14218" spans="1:5">
      <c r="A14218" t="s">
        <v>42808</v>
      </c>
      <c r="B14218" t="s">
        <v>18334</v>
      </c>
      <c r="C14218">
        <f>0.00491608449912</f>
        <v>4.9160844991199999E-3</v>
      </c>
      <c r="D14218">
        <v>0.99999753072300002</v>
      </c>
      <c r="E14218">
        <v>20.513999999999999</v>
      </c>
    </row>
    <row r="14219" spans="1:5">
      <c r="A14219" t="s">
        <v>42808</v>
      </c>
      <c r="B14219" t="s">
        <v>18328</v>
      </c>
      <c r="C14219">
        <v>6.9059954129500001E-2</v>
      </c>
      <c r="D14219">
        <v>0.99999753072300002</v>
      </c>
      <c r="E14219">
        <v>20.513999999999999</v>
      </c>
    </row>
    <row r="14220" spans="1:5">
      <c r="A14220" t="s">
        <v>42808</v>
      </c>
      <c r="B14220" t="s">
        <v>18327</v>
      </c>
      <c r="C14220">
        <v>0.616039451131</v>
      </c>
      <c r="D14220">
        <v>0.99999753072300002</v>
      </c>
      <c r="E14220">
        <v>20.513999999999999</v>
      </c>
    </row>
    <row r="14221" spans="1:5">
      <c r="A14221" t="s">
        <v>42808</v>
      </c>
      <c r="B14221" t="s">
        <v>18332</v>
      </c>
      <c r="C14221">
        <v>0.22752331249400001</v>
      </c>
      <c r="D14221">
        <v>0.99999753072300002</v>
      </c>
      <c r="E14221">
        <v>20.513999999999999</v>
      </c>
    </row>
    <row r="14222" spans="1:5">
      <c r="A14222" t="s">
        <v>42808</v>
      </c>
      <c r="B14222" t="s">
        <v>18335</v>
      </c>
      <c r="C14222">
        <v>0.296821878644</v>
      </c>
      <c r="D14222">
        <v>0.99999753072300002</v>
      </c>
      <c r="E14222">
        <v>20.513999999999999</v>
      </c>
    </row>
    <row r="14223" spans="1:5">
      <c r="A14223" t="s">
        <v>42808</v>
      </c>
      <c r="B14223" t="s">
        <v>18336</v>
      </c>
      <c r="C14223">
        <f>0.490116082121</f>
        <v>0.490116082121</v>
      </c>
      <c r="D14223">
        <v>0.99999753072300002</v>
      </c>
      <c r="E14223">
        <v>20.513999999999999</v>
      </c>
    </row>
    <row r="14224" spans="1:5">
      <c r="A14224" t="s">
        <v>42808</v>
      </c>
      <c r="B14224" t="s">
        <v>18330</v>
      </c>
      <c r="C14224">
        <v>8.1957476983800001E-2</v>
      </c>
      <c r="D14224">
        <v>0.99999753072300002</v>
      </c>
      <c r="E14224">
        <v>20.513999999999999</v>
      </c>
    </row>
    <row r="14225" spans="1:5">
      <c r="A14225" t="s">
        <v>42808</v>
      </c>
      <c r="B14225" t="s">
        <v>18329</v>
      </c>
      <c r="C14225">
        <v>0.22855733615599999</v>
      </c>
      <c r="D14225">
        <v>0.99999753072300002</v>
      </c>
      <c r="E14225">
        <v>20.513999999999999</v>
      </c>
    </row>
    <row r="14226" spans="1:5">
      <c r="A14226" t="s">
        <v>42809</v>
      </c>
      <c r="B14226" t="s">
        <v>23136</v>
      </c>
      <c r="C14226">
        <v>0</v>
      </c>
      <c r="D14226" t="s">
        <v>106</v>
      </c>
      <c r="E14226">
        <v>14.747999999999999</v>
      </c>
    </row>
    <row r="14227" spans="1:5">
      <c r="A14227" t="s">
        <v>42809</v>
      </c>
      <c r="B14227" t="s">
        <v>23137</v>
      </c>
      <c r="C14227">
        <f>0</f>
        <v>0</v>
      </c>
      <c r="D14227" t="s">
        <v>106</v>
      </c>
      <c r="E14227">
        <v>14.747999999999999</v>
      </c>
    </row>
    <row r="14228" spans="1:5">
      <c r="A14228" t="s">
        <v>42810</v>
      </c>
      <c r="B14228" t="s">
        <v>17818</v>
      </c>
      <c r="C14228">
        <f>0.389468149375</f>
        <v>0.38946814937500002</v>
      </c>
      <c r="D14228">
        <v>0.78565258253900006</v>
      </c>
      <c r="E14228">
        <v>23.754000000000001</v>
      </c>
    </row>
    <row r="14229" spans="1:5">
      <c r="A14229" t="s">
        <v>42810</v>
      </c>
      <c r="B14229" t="s">
        <v>17821</v>
      </c>
      <c r="C14229">
        <f>0.365417856337</f>
        <v>0.36541785633700002</v>
      </c>
      <c r="D14229">
        <v>0.78565258253900006</v>
      </c>
      <c r="E14229">
        <v>23.754000000000001</v>
      </c>
    </row>
    <row r="14230" spans="1:5">
      <c r="A14230" t="s">
        <v>42811</v>
      </c>
      <c r="B14230" t="s">
        <v>42812</v>
      </c>
      <c r="C14230">
        <v>0.69405954510500001</v>
      </c>
      <c r="D14230">
        <v>0.93116875782099995</v>
      </c>
      <c r="E14230">
        <v>2.802</v>
      </c>
    </row>
    <row r="14231" spans="1:5">
      <c r="A14231" t="s">
        <v>42811</v>
      </c>
      <c r="B14231" t="s">
        <v>42813</v>
      </c>
      <c r="C14231">
        <v>0.38957965554200003</v>
      </c>
      <c r="D14231">
        <v>0.93116875782099995</v>
      </c>
      <c r="E14231">
        <v>2.802</v>
      </c>
    </row>
    <row r="14232" spans="1:5">
      <c r="A14232" t="s">
        <v>42814</v>
      </c>
      <c r="B14232" t="s">
        <v>31290</v>
      </c>
      <c r="C14232">
        <f>0.461426989688</f>
        <v>0.461426989688</v>
      </c>
      <c r="D14232">
        <v>0.52000667977199999</v>
      </c>
      <c r="E14232">
        <v>0.06</v>
      </c>
    </row>
    <row r="14233" spans="1:5">
      <c r="A14233" t="s">
        <v>42814</v>
      </c>
      <c r="B14233" t="s">
        <v>31291</v>
      </c>
      <c r="C14233">
        <v>3.0428309690800001E-3</v>
      </c>
      <c r="D14233">
        <v>0.52000667977199999</v>
      </c>
      <c r="E14233">
        <v>0.06</v>
      </c>
    </row>
    <row r="14234" spans="1:5">
      <c r="A14234" t="s">
        <v>42815</v>
      </c>
      <c r="B14234" t="s">
        <v>42816</v>
      </c>
      <c r="C14234">
        <v>0</v>
      </c>
      <c r="D14234">
        <v>0.74165576959699997</v>
      </c>
      <c r="E14234">
        <v>24</v>
      </c>
    </row>
    <row r="14235" spans="1:5">
      <c r="A14235" t="s">
        <v>42815</v>
      </c>
      <c r="B14235" t="s">
        <v>42817</v>
      </c>
      <c r="C14235">
        <v>0.111350544814</v>
      </c>
      <c r="D14235">
        <v>0.74165576959699997</v>
      </c>
      <c r="E14235">
        <v>24</v>
      </c>
    </row>
    <row r="14236" spans="1:5">
      <c r="A14236" t="s">
        <v>42815</v>
      </c>
      <c r="B14236" t="s">
        <v>42818</v>
      </c>
      <c r="C14236">
        <v>0.50847030545299998</v>
      </c>
      <c r="D14236">
        <v>0.74165576959699997</v>
      </c>
      <c r="E14236">
        <v>24</v>
      </c>
    </row>
    <row r="14237" spans="1:5">
      <c r="A14237" t="s">
        <v>42815</v>
      </c>
      <c r="B14237" t="s">
        <v>42819</v>
      </c>
      <c r="C14237">
        <v>0</v>
      </c>
      <c r="D14237">
        <v>0.74165576959699997</v>
      </c>
      <c r="E14237">
        <v>24</v>
      </c>
    </row>
    <row r="14238" spans="1:5">
      <c r="A14238" t="s">
        <v>42820</v>
      </c>
      <c r="B14238" t="s">
        <v>42821</v>
      </c>
      <c r="C14238">
        <v>0.68905581297899998</v>
      </c>
      <c r="D14238">
        <v>0.89572399671000003</v>
      </c>
      <c r="E14238">
        <v>23.754000000000001</v>
      </c>
    </row>
    <row r="14239" spans="1:5">
      <c r="A14239" t="s">
        <v>42820</v>
      </c>
      <c r="B14239" t="s">
        <v>42822</v>
      </c>
      <c r="C14239">
        <f>0</f>
        <v>0</v>
      </c>
      <c r="D14239">
        <v>0.89572399671000003</v>
      </c>
      <c r="E14239">
        <v>23.754000000000001</v>
      </c>
    </row>
    <row r="14240" spans="1:5">
      <c r="A14240" t="s">
        <v>42820</v>
      </c>
      <c r="B14240" t="s">
        <v>42823</v>
      </c>
      <c r="C14240">
        <f>0.75127602824</f>
        <v>0.75127602823999995</v>
      </c>
      <c r="D14240">
        <v>0.89572399671000003</v>
      </c>
      <c r="E14240">
        <v>23.754000000000001</v>
      </c>
    </row>
    <row r="14241" spans="1:5">
      <c r="A14241" t="s">
        <v>42824</v>
      </c>
      <c r="B14241" t="s">
        <v>15949</v>
      </c>
      <c r="C14241">
        <v>1.0811066789499999E-2</v>
      </c>
      <c r="D14241">
        <v>0.70124667133499996</v>
      </c>
      <c r="E14241">
        <v>1.7999999999999999E-2</v>
      </c>
    </row>
    <row r="14242" spans="1:5">
      <c r="A14242" t="s">
        <v>42824</v>
      </c>
      <c r="B14242" t="s">
        <v>15951</v>
      </c>
      <c r="C14242">
        <v>0</v>
      </c>
      <c r="D14242">
        <v>0.70124667133499996</v>
      </c>
      <c r="E14242">
        <v>1.7999999999999999E-2</v>
      </c>
    </row>
    <row r="14243" spans="1:5">
      <c r="A14243" t="s">
        <v>42824</v>
      </c>
      <c r="B14243" t="s">
        <v>15948</v>
      </c>
      <c r="C14243">
        <f>0</f>
        <v>0</v>
      </c>
      <c r="D14243">
        <v>0.70124667133499996</v>
      </c>
      <c r="E14243">
        <v>1.7999999999999999E-2</v>
      </c>
    </row>
    <row r="14244" spans="1:5">
      <c r="A14244" t="s">
        <v>42824</v>
      </c>
      <c r="B14244" t="s">
        <v>15950</v>
      </c>
      <c r="C14244">
        <v>0.462353102583</v>
      </c>
      <c r="D14244">
        <v>0.70124667133499996</v>
      </c>
      <c r="E14244">
        <v>1.7999999999999999E-2</v>
      </c>
    </row>
    <row r="14245" spans="1:5">
      <c r="A14245" t="s">
        <v>42825</v>
      </c>
      <c r="B14245" t="s">
        <v>42826</v>
      </c>
      <c r="C14245">
        <f>0.469646252059</f>
        <v>0.46964625205900001</v>
      </c>
      <c r="D14245">
        <v>0.54805625205899999</v>
      </c>
      <c r="E14245">
        <v>21.876000000000001</v>
      </c>
    </row>
    <row r="14246" spans="1:5">
      <c r="A14246" t="s">
        <v>42825</v>
      </c>
      <c r="B14246" t="s">
        <v>42827</v>
      </c>
      <c r="C14246">
        <f>0</f>
        <v>0</v>
      </c>
      <c r="D14246">
        <v>0.54805625205899999</v>
      </c>
      <c r="E14246">
        <v>21.876000000000001</v>
      </c>
    </row>
    <row r="14247" spans="1:5">
      <c r="A14247" t="s">
        <v>42828</v>
      </c>
      <c r="B14247" t="s">
        <v>26618</v>
      </c>
      <c r="C14247">
        <f>0</f>
        <v>0</v>
      </c>
      <c r="D14247" t="s">
        <v>106</v>
      </c>
      <c r="E14247">
        <v>3.78</v>
      </c>
    </row>
    <row r="14248" spans="1:5">
      <c r="A14248" t="s">
        <v>42828</v>
      </c>
      <c r="B14248" t="s">
        <v>26621</v>
      </c>
      <c r="C14248">
        <f>0</f>
        <v>0</v>
      </c>
      <c r="D14248" t="s">
        <v>106</v>
      </c>
      <c r="E14248">
        <v>3.78</v>
      </c>
    </row>
    <row r="14249" spans="1:5">
      <c r="A14249" t="s">
        <v>42829</v>
      </c>
      <c r="B14249" t="s">
        <v>42830</v>
      </c>
      <c r="C14249">
        <v>0.66043383337399997</v>
      </c>
      <c r="D14249">
        <v>0.91098784464299998</v>
      </c>
      <c r="E14249">
        <v>0</v>
      </c>
    </row>
    <row r="14250" spans="1:5">
      <c r="A14250" t="s">
        <v>42829</v>
      </c>
      <c r="B14250" t="s">
        <v>42831</v>
      </c>
      <c r="C14250">
        <f>0</f>
        <v>0</v>
      </c>
      <c r="D14250">
        <v>0.91098784464299998</v>
      </c>
      <c r="E14250">
        <v>0</v>
      </c>
    </row>
    <row r="14251" spans="1:5">
      <c r="A14251" t="s">
        <v>42829</v>
      </c>
      <c r="B14251" t="s">
        <v>42832</v>
      </c>
      <c r="C14251">
        <f>0</f>
        <v>0</v>
      </c>
      <c r="D14251">
        <v>0.91098784464299998</v>
      </c>
      <c r="E14251">
        <v>0</v>
      </c>
    </row>
    <row r="14252" spans="1:5">
      <c r="A14252" t="s">
        <v>42829</v>
      </c>
      <c r="B14252" t="s">
        <v>42833</v>
      </c>
      <c r="C14252">
        <f>0</f>
        <v>0</v>
      </c>
      <c r="D14252">
        <v>0.91098784464299998</v>
      </c>
      <c r="E14252">
        <v>0</v>
      </c>
    </row>
    <row r="14253" spans="1:5">
      <c r="A14253" t="s">
        <v>42829</v>
      </c>
      <c r="B14253" t="s">
        <v>42834</v>
      </c>
      <c r="C14253">
        <f>0</f>
        <v>0</v>
      </c>
      <c r="D14253">
        <v>0.91098784464299998</v>
      </c>
      <c r="E14253">
        <v>0</v>
      </c>
    </row>
    <row r="14254" spans="1:5">
      <c r="A14254" t="s">
        <v>42829</v>
      </c>
      <c r="B14254" t="s">
        <v>42835</v>
      </c>
      <c r="C14254">
        <f>0</f>
        <v>0</v>
      </c>
      <c r="D14254">
        <v>0.91098784464299998</v>
      </c>
      <c r="E14254">
        <v>0</v>
      </c>
    </row>
    <row r="14255" spans="1:5">
      <c r="A14255" t="s">
        <v>42829</v>
      </c>
      <c r="B14255" t="s">
        <v>42836</v>
      </c>
      <c r="C14255">
        <v>0</v>
      </c>
      <c r="D14255">
        <v>0.91098784464299998</v>
      </c>
      <c r="E14255">
        <v>0</v>
      </c>
    </row>
    <row r="14256" spans="1:5">
      <c r="A14256" t="s">
        <v>42829</v>
      </c>
      <c r="B14256" t="s">
        <v>42837</v>
      </c>
      <c r="C14256">
        <f>0.41810470784</f>
        <v>0.41810470783999998</v>
      </c>
      <c r="D14256">
        <v>0.91098784464299998</v>
      </c>
      <c r="E14256">
        <v>0</v>
      </c>
    </row>
    <row r="14257" spans="1:5">
      <c r="A14257" t="s">
        <v>42829</v>
      </c>
      <c r="B14257" t="s">
        <v>42838</v>
      </c>
      <c r="C14257">
        <v>3.8837636097999999E-2</v>
      </c>
      <c r="D14257">
        <v>0.91098784464299998</v>
      </c>
      <c r="E14257">
        <v>0</v>
      </c>
    </row>
    <row r="14258" spans="1:5">
      <c r="A14258" t="s">
        <v>42839</v>
      </c>
      <c r="B14258" t="s">
        <v>31011</v>
      </c>
      <c r="C14258">
        <v>0.37102773867599997</v>
      </c>
      <c r="D14258">
        <v>0.82393142182900003</v>
      </c>
      <c r="E14258">
        <v>4.5839999999999996</v>
      </c>
    </row>
    <row r="14259" spans="1:5">
      <c r="A14259" t="s">
        <v>42839</v>
      </c>
      <c r="B14259" t="s">
        <v>31010</v>
      </c>
      <c r="C14259">
        <v>0.65429247020000003</v>
      </c>
      <c r="D14259">
        <v>0.82393142182900003</v>
      </c>
      <c r="E14259">
        <v>4.5839999999999996</v>
      </c>
    </row>
    <row r="14260" spans="1:5">
      <c r="A14260" t="s">
        <v>42840</v>
      </c>
      <c r="B14260" t="s">
        <v>9104</v>
      </c>
      <c r="C14260">
        <v>0.12762434994399999</v>
      </c>
      <c r="D14260">
        <v>0.949091710438</v>
      </c>
      <c r="E14260">
        <v>0</v>
      </c>
    </row>
    <row r="14261" spans="1:5">
      <c r="A14261" t="s">
        <v>42840</v>
      </c>
      <c r="B14261" t="s">
        <v>9101</v>
      </c>
      <c r="C14261">
        <f>0.761070554144</f>
        <v>0.76107055414400004</v>
      </c>
      <c r="D14261">
        <v>0.949091710438</v>
      </c>
      <c r="E14261">
        <v>0</v>
      </c>
    </row>
    <row r="14262" spans="1:5">
      <c r="A14262" t="s">
        <v>42840</v>
      </c>
      <c r="B14262" t="s">
        <v>9105</v>
      </c>
      <c r="C14262">
        <f>0.628343068869</f>
        <v>0.62834306886900004</v>
      </c>
      <c r="D14262">
        <v>0.949091710438</v>
      </c>
      <c r="E14262">
        <v>0</v>
      </c>
    </row>
    <row r="14263" spans="1:5">
      <c r="A14263" t="s">
        <v>42840</v>
      </c>
      <c r="B14263" t="s">
        <v>9107</v>
      </c>
      <c r="C14263">
        <v>0.12789904627400001</v>
      </c>
      <c r="D14263">
        <v>0.949091710438</v>
      </c>
      <c r="E14263">
        <v>0</v>
      </c>
    </row>
    <row r="14264" spans="1:5">
      <c r="A14264" t="s">
        <v>42840</v>
      </c>
      <c r="B14264" t="s">
        <v>9102</v>
      </c>
      <c r="C14264">
        <f>0.0481388134096</f>
        <v>4.8138813409600002E-2</v>
      </c>
      <c r="D14264">
        <v>0.949091710438</v>
      </c>
      <c r="E14264">
        <v>0</v>
      </c>
    </row>
    <row r="14265" spans="1:5">
      <c r="A14265" t="s">
        <v>42841</v>
      </c>
      <c r="B14265" t="s">
        <v>2597</v>
      </c>
      <c r="C14265">
        <f>0.203819512833</f>
        <v>0.20381951283300001</v>
      </c>
      <c r="D14265">
        <v>0.97321302669300003</v>
      </c>
      <c r="E14265">
        <v>18.558</v>
      </c>
    </row>
    <row r="14266" spans="1:5">
      <c r="A14266" t="s">
        <v>42841</v>
      </c>
      <c r="B14266" t="s">
        <v>2602</v>
      </c>
      <c r="C14266">
        <f>0.997704775365</f>
        <v>0.99770477536500002</v>
      </c>
      <c r="D14266">
        <v>0.97321302669300003</v>
      </c>
      <c r="E14266">
        <v>18.558</v>
      </c>
    </row>
    <row r="14267" spans="1:5">
      <c r="A14267" t="s">
        <v>42841</v>
      </c>
      <c r="B14267" t="s">
        <v>2603</v>
      </c>
      <c r="C14267">
        <f>0</f>
        <v>0</v>
      </c>
      <c r="D14267">
        <v>0.97321302669300003</v>
      </c>
      <c r="E14267">
        <v>18.558</v>
      </c>
    </row>
    <row r="14268" spans="1:5">
      <c r="A14268" t="s">
        <v>42841</v>
      </c>
      <c r="B14268" t="s">
        <v>2601</v>
      </c>
      <c r="C14268">
        <f>0.100247884099</f>
        <v>0.100247884099</v>
      </c>
      <c r="D14268">
        <v>0.97321302669300003</v>
      </c>
      <c r="E14268">
        <v>18.558</v>
      </c>
    </row>
    <row r="14269" spans="1:5">
      <c r="A14269" t="s">
        <v>42842</v>
      </c>
      <c r="B14269" t="s">
        <v>9022</v>
      </c>
      <c r="C14269">
        <f>0</f>
        <v>0</v>
      </c>
      <c r="D14269">
        <v>0.91870277113599996</v>
      </c>
      <c r="E14269">
        <v>0.47399999999999998</v>
      </c>
    </row>
    <row r="14270" spans="1:5">
      <c r="A14270" t="s">
        <v>42842</v>
      </c>
      <c r="B14270" t="s">
        <v>9028</v>
      </c>
      <c r="C14270">
        <v>0</v>
      </c>
      <c r="D14270">
        <v>0.91870277113599996</v>
      </c>
      <c r="E14270">
        <v>0.47399999999999998</v>
      </c>
    </row>
    <row r="14271" spans="1:5">
      <c r="A14271" t="s">
        <v>42842</v>
      </c>
      <c r="B14271" t="s">
        <v>9026</v>
      </c>
      <c r="C14271">
        <f>0</f>
        <v>0</v>
      </c>
      <c r="D14271">
        <v>0.91870277113599996</v>
      </c>
      <c r="E14271">
        <v>0.47399999999999998</v>
      </c>
    </row>
    <row r="14272" spans="1:5">
      <c r="A14272" t="s">
        <v>42842</v>
      </c>
      <c r="B14272" t="s">
        <v>9027</v>
      </c>
      <c r="C14272">
        <f>0.604176171123</f>
        <v>0.60417617112300004</v>
      </c>
      <c r="D14272">
        <v>0.91870277113599996</v>
      </c>
      <c r="E14272">
        <v>0.47399999999999998</v>
      </c>
    </row>
    <row r="14273" spans="1:5">
      <c r="A14273" t="s">
        <v>42842</v>
      </c>
      <c r="B14273" t="s">
        <v>9025</v>
      </c>
      <c r="C14273">
        <f>0.253390163127</f>
        <v>0.25339016312700002</v>
      </c>
      <c r="D14273">
        <v>0.91870277113599996</v>
      </c>
      <c r="E14273">
        <v>0.47399999999999998</v>
      </c>
    </row>
    <row r="14274" spans="1:5">
      <c r="A14274" t="s">
        <v>42842</v>
      </c>
      <c r="B14274" t="s">
        <v>9029</v>
      </c>
      <c r="C14274">
        <f>0.0773731117549</f>
        <v>7.7373111754899998E-2</v>
      </c>
      <c r="D14274">
        <v>0.91870277113599996</v>
      </c>
      <c r="E14274">
        <v>0.47399999999999998</v>
      </c>
    </row>
    <row r="14275" spans="1:5">
      <c r="A14275" t="s">
        <v>42843</v>
      </c>
      <c r="B14275" t="s">
        <v>23037</v>
      </c>
      <c r="C14275">
        <v>0.69820473539100003</v>
      </c>
      <c r="D14275">
        <v>0.97022578632800005</v>
      </c>
      <c r="E14275">
        <v>3.1379999999999999</v>
      </c>
    </row>
    <row r="14276" spans="1:5">
      <c r="A14276" t="s">
        <v>42843</v>
      </c>
      <c r="B14276" t="s">
        <v>23031</v>
      </c>
      <c r="C14276">
        <v>0.26119719443599998</v>
      </c>
      <c r="D14276">
        <v>0.97022578632800005</v>
      </c>
      <c r="E14276">
        <v>3.1379999999999999</v>
      </c>
    </row>
    <row r="14277" spans="1:5">
      <c r="A14277" t="s">
        <v>42843</v>
      </c>
      <c r="B14277" t="s">
        <v>23038</v>
      </c>
      <c r="C14277">
        <f>-1.05879487991</f>
        <v>-1.05879487991</v>
      </c>
      <c r="D14277">
        <v>0.97022578632800005</v>
      </c>
      <c r="E14277">
        <v>3.1379999999999999</v>
      </c>
    </row>
    <row r="14278" spans="1:5">
      <c r="A14278" t="s">
        <v>42843</v>
      </c>
      <c r="B14278" t="s">
        <v>23039</v>
      </c>
      <c r="C14278">
        <v>1.2730049301799999</v>
      </c>
      <c r="D14278">
        <v>0.97022578632800005</v>
      </c>
      <c r="E14278">
        <v>3.1379999999999999</v>
      </c>
    </row>
    <row r="14279" spans="1:5">
      <c r="A14279" t="s">
        <v>42844</v>
      </c>
      <c r="B14279" t="s">
        <v>42845</v>
      </c>
      <c r="C14279">
        <f>0</f>
        <v>0</v>
      </c>
      <c r="D14279">
        <v>0.86846668892099999</v>
      </c>
      <c r="E14279">
        <v>6.9359999999999999</v>
      </c>
    </row>
    <row r="14280" spans="1:5">
      <c r="A14280" t="s">
        <v>42844</v>
      </c>
      <c r="B14280" t="s">
        <v>42846</v>
      </c>
      <c r="C14280">
        <v>0.67485668892100004</v>
      </c>
      <c r="D14280">
        <v>0.86846668892099999</v>
      </c>
      <c r="E14280">
        <v>6.9359999999999999</v>
      </c>
    </row>
    <row r="14281" spans="1:5">
      <c r="A14281" t="s">
        <v>42844</v>
      </c>
      <c r="B14281" t="s">
        <v>42847</v>
      </c>
      <c r="C14281">
        <f>0</f>
        <v>0</v>
      </c>
      <c r="D14281">
        <v>0.86846668892099999</v>
      </c>
      <c r="E14281">
        <v>6.9359999999999999</v>
      </c>
    </row>
    <row r="14282" spans="1:5">
      <c r="A14282" t="s">
        <v>42848</v>
      </c>
      <c r="B14282" t="s">
        <v>25842</v>
      </c>
      <c r="C14282">
        <f>0</f>
        <v>0</v>
      </c>
      <c r="D14282" t="s">
        <v>106</v>
      </c>
      <c r="E14282">
        <v>0.318</v>
      </c>
    </row>
    <row r="14283" spans="1:5">
      <c r="A14283" t="s">
        <v>42848</v>
      </c>
      <c r="B14283" t="s">
        <v>25845</v>
      </c>
      <c r="C14283">
        <v>0</v>
      </c>
      <c r="D14283" t="s">
        <v>106</v>
      </c>
      <c r="E14283">
        <v>0.318</v>
      </c>
    </row>
    <row r="14284" spans="1:5">
      <c r="A14284" t="s">
        <v>42848</v>
      </c>
      <c r="B14284" t="s">
        <v>25843</v>
      </c>
      <c r="C14284">
        <f>0</f>
        <v>0</v>
      </c>
      <c r="D14284" t="s">
        <v>106</v>
      </c>
      <c r="E14284">
        <v>0.318</v>
      </c>
    </row>
    <row r="14285" spans="1:5">
      <c r="A14285" t="s">
        <v>42849</v>
      </c>
      <c r="B14285" t="s">
        <v>42850</v>
      </c>
      <c r="C14285">
        <v>0</v>
      </c>
      <c r="D14285">
        <v>0.63596883309899999</v>
      </c>
      <c r="E14285">
        <v>23.754000000000001</v>
      </c>
    </row>
    <row r="14286" spans="1:5">
      <c r="A14286" t="s">
        <v>42849</v>
      </c>
      <c r="B14286" t="s">
        <v>42851</v>
      </c>
      <c r="C14286">
        <f>0.18224349163</f>
        <v>0.18224349163</v>
      </c>
      <c r="D14286">
        <v>0.63596883309899999</v>
      </c>
      <c r="E14286">
        <v>23.754000000000001</v>
      </c>
    </row>
    <row r="14287" spans="1:5">
      <c r="A14287" t="s">
        <v>42849</v>
      </c>
      <c r="B14287" t="s">
        <v>42852</v>
      </c>
      <c r="C14287">
        <f>0</f>
        <v>0</v>
      </c>
      <c r="D14287">
        <v>0.63596883309899999</v>
      </c>
      <c r="E14287">
        <v>23.754000000000001</v>
      </c>
    </row>
    <row r="14288" spans="1:5">
      <c r="A14288" t="s">
        <v>42849</v>
      </c>
      <c r="B14288" t="s">
        <v>42853</v>
      </c>
      <c r="C14288">
        <f>0.131611979371</f>
        <v>0.131611979371</v>
      </c>
      <c r="D14288">
        <v>0.63596883309899999</v>
      </c>
      <c r="E14288">
        <v>23.754000000000001</v>
      </c>
    </row>
    <row r="14289" spans="1:5">
      <c r="A14289" t="s">
        <v>42854</v>
      </c>
      <c r="B14289" t="s">
        <v>6973</v>
      </c>
      <c r="C14289">
        <f>0</f>
        <v>0</v>
      </c>
      <c r="D14289">
        <v>0.85956870602299995</v>
      </c>
      <c r="E14289">
        <v>18.347999999999999</v>
      </c>
    </row>
    <row r="14290" spans="1:5">
      <c r="A14290" t="s">
        <v>42854</v>
      </c>
      <c r="B14290" t="s">
        <v>6974</v>
      </c>
      <c r="C14290">
        <v>0.53924398167900001</v>
      </c>
      <c r="D14290">
        <v>0.85956870602299995</v>
      </c>
      <c r="E14290">
        <v>18.347999999999999</v>
      </c>
    </row>
    <row r="14291" spans="1:5">
      <c r="A14291" t="s">
        <v>42854</v>
      </c>
      <c r="B14291" t="s">
        <v>6977</v>
      </c>
      <c r="C14291">
        <v>0.39398978502799997</v>
      </c>
      <c r="D14291">
        <v>0.85956870602299995</v>
      </c>
      <c r="E14291">
        <v>18.347999999999999</v>
      </c>
    </row>
    <row r="14292" spans="1:5">
      <c r="A14292" t="s">
        <v>42855</v>
      </c>
      <c r="B14292" t="s">
        <v>42856</v>
      </c>
      <c r="C14292">
        <f>0</f>
        <v>0</v>
      </c>
      <c r="D14292">
        <v>0.86657473458199996</v>
      </c>
      <c r="E14292">
        <v>6.3</v>
      </c>
    </row>
    <row r="14293" spans="1:5">
      <c r="A14293" t="s">
        <v>42855</v>
      </c>
      <c r="B14293" t="s">
        <v>42857</v>
      </c>
      <c r="C14293">
        <v>0.90734140830400001</v>
      </c>
      <c r="D14293">
        <v>0.86657473458199996</v>
      </c>
      <c r="E14293">
        <v>6.3</v>
      </c>
    </row>
    <row r="14294" spans="1:5">
      <c r="A14294" t="s">
        <v>42855</v>
      </c>
      <c r="B14294" t="s">
        <v>42858</v>
      </c>
      <c r="C14294">
        <f>0.356189764349</f>
        <v>0.35618976434900002</v>
      </c>
      <c r="D14294">
        <v>0.86657473458199996</v>
      </c>
      <c r="E14294">
        <v>6.3</v>
      </c>
    </row>
    <row r="14295" spans="1:5">
      <c r="A14295" t="s">
        <v>42859</v>
      </c>
      <c r="B14295" t="s">
        <v>1537</v>
      </c>
      <c r="C14295">
        <f>0</f>
        <v>0</v>
      </c>
      <c r="D14295" t="s">
        <v>106</v>
      </c>
      <c r="E14295">
        <v>0.504</v>
      </c>
    </row>
    <row r="14296" spans="1:5">
      <c r="A14296" t="s">
        <v>42859</v>
      </c>
      <c r="B14296" t="s">
        <v>1543</v>
      </c>
      <c r="C14296">
        <f>0</f>
        <v>0</v>
      </c>
      <c r="D14296" t="s">
        <v>106</v>
      </c>
      <c r="E14296">
        <v>0.504</v>
      </c>
    </row>
    <row r="14297" spans="1:5">
      <c r="A14297" t="s">
        <v>42859</v>
      </c>
      <c r="B14297" t="s">
        <v>1542</v>
      </c>
      <c r="C14297">
        <v>0</v>
      </c>
      <c r="D14297" t="s">
        <v>106</v>
      </c>
      <c r="E14297">
        <v>0.504</v>
      </c>
    </row>
    <row r="14298" spans="1:5">
      <c r="A14298" t="s">
        <v>42859</v>
      </c>
      <c r="B14298" t="s">
        <v>1546</v>
      </c>
      <c r="C14298">
        <f>0</f>
        <v>0</v>
      </c>
      <c r="D14298" t="s">
        <v>106</v>
      </c>
      <c r="E14298">
        <v>0.504</v>
      </c>
    </row>
    <row r="14299" spans="1:5">
      <c r="A14299" t="s">
        <v>42859</v>
      </c>
      <c r="B14299" t="s">
        <v>1545</v>
      </c>
      <c r="C14299">
        <f>0</f>
        <v>0</v>
      </c>
      <c r="D14299" t="s">
        <v>106</v>
      </c>
      <c r="E14299">
        <v>0.504</v>
      </c>
    </row>
    <row r="14300" spans="1:5">
      <c r="A14300" t="s">
        <v>42859</v>
      </c>
      <c r="B14300" t="s">
        <v>1544</v>
      </c>
      <c r="C14300">
        <v>0</v>
      </c>
      <c r="D14300" t="s">
        <v>106</v>
      </c>
      <c r="E14300">
        <v>0.504</v>
      </c>
    </row>
    <row r="14301" spans="1:5">
      <c r="A14301" t="s">
        <v>42859</v>
      </c>
      <c r="B14301" t="s">
        <v>1538</v>
      </c>
      <c r="C14301">
        <f>0</f>
        <v>0</v>
      </c>
      <c r="D14301" t="s">
        <v>106</v>
      </c>
      <c r="E14301">
        <v>0.504</v>
      </c>
    </row>
    <row r="14302" spans="1:5">
      <c r="A14302" t="s">
        <v>42860</v>
      </c>
      <c r="B14302" t="s">
        <v>42861</v>
      </c>
      <c r="C14302">
        <v>0.21410737125000001</v>
      </c>
      <c r="D14302">
        <v>0.79171737124999997</v>
      </c>
      <c r="E14302">
        <v>23.754000000000001</v>
      </c>
    </row>
    <row r="14303" spans="1:5">
      <c r="A14303" t="s">
        <v>42860</v>
      </c>
      <c r="B14303" t="s">
        <v>42862</v>
      </c>
      <c r="C14303">
        <f>0</f>
        <v>0</v>
      </c>
      <c r="D14303">
        <v>0.79171737124999997</v>
      </c>
      <c r="E14303">
        <v>23.754000000000001</v>
      </c>
    </row>
    <row r="14304" spans="1:5">
      <c r="A14304" t="s">
        <v>42860</v>
      </c>
      <c r="B14304" t="s">
        <v>42863</v>
      </c>
      <c r="C14304">
        <v>0</v>
      </c>
      <c r="D14304">
        <v>0.79171737124999997</v>
      </c>
      <c r="E14304">
        <v>23.754000000000001</v>
      </c>
    </row>
    <row r="14305" spans="1:5">
      <c r="A14305" t="s">
        <v>42864</v>
      </c>
      <c r="B14305" t="s">
        <v>30752</v>
      </c>
      <c r="C14305">
        <v>0</v>
      </c>
      <c r="D14305" t="s">
        <v>106</v>
      </c>
      <c r="E14305">
        <v>0.378</v>
      </c>
    </row>
    <row r="14306" spans="1:5">
      <c r="A14306" t="s">
        <v>42864</v>
      </c>
      <c r="B14306" t="s">
        <v>30751</v>
      </c>
      <c r="C14306">
        <v>0</v>
      </c>
      <c r="D14306" t="s">
        <v>106</v>
      </c>
      <c r="E14306">
        <v>0.378</v>
      </c>
    </row>
    <row r="14307" spans="1:5">
      <c r="A14307" t="s">
        <v>42865</v>
      </c>
      <c r="B14307" t="s">
        <v>16254</v>
      </c>
      <c r="C14307">
        <v>0</v>
      </c>
      <c r="D14307" t="s">
        <v>106</v>
      </c>
      <c r="E14307">
        <v>24</v>
      </c>
    </row>
    <row r="14308" spans="1:5">
      <c r="A14308" t="s">
        <v>42865</v>
      </c>
      <c r="B14308" t="s">
        <v>16256</v>
      </c>
      <c r="C14308">
        <f>0</f>
        <v>0</v>
      </c>
      <c r="D14308" t="s">
        <v>106</v>
      </c>
      <c r="E14308">
        <v>24</v>
      </c>
    </row>
    <row r="14309" spans="1:5">
      <c r="A14309" t="s">
        <v>42865</v>
      </c>
      <c r="B14309" t="s">
        <v>16255</v>
      </c>
      <c r="C14309">
        <f>0</f>
        <v>0</v>
      </c>
      <c r="D14309" t="s">
        <v>106</v>
      </c>
      <c r="E14309">
        <v>24</v>
      </c>
    </row>
    <row r="14310" spans="1:5">
      <c r="A14310" t="s">
        <v>42865</v>
      </c>
      <c r="B14310" t="s">
        <v>16261</v>
      </c>
      <c r="C14310">
        <v>0</v>
      </c>
      <c r="D14310" t="s">
        <v>106</v>
      </c>
      <c r="E14310">
        <v>24</v>
      </c>
    </row>
    <row r="14311" spans="1:5">
      <c r="A14311" t="s">
        <v>42865</v>
      </c>
      <c r="B14311" t="s">
        <v>16260</v>
      </c>
      <c r="C14311">
        <v>0</v>
      </c>
      <c r="D14311" t="s">
        <v>106</v>
      </c>
      <c r="E14311">
        <v>24</v>
      </c>
    </row>
    <row r="14312" spans="1:5">
      <c r="A14312" t="s">
        <v>42865</v>
      </c>
      <c r="B14312" t="s">
        <v>16262</v>
      </c>
      <c r="C14312">
        <v>0</v>
      </c>
      <c r="D14312" t="s">
        <v>106</v>
      </c>
      <c r="E14312">
        <v>24</v>
      </c>
    </row>
    <row r="14313" spans="1:5">
      <c r="A14313" t="s">
        <v>42865</v>
      </c>
      <c r="B14313" t="s">
        <v>42866</v>
      </c>
      <c r="C14313">
        <f>0</f>
        <v>0</v>
      </c>
      <c r="D14313" t="s">
        <v>106</v>
      </c>
      <c r="E14313">
        <v>24</v>
      </c>
    </row>
    <row r="14314" spans="1:5">
      <c r="A14314" t="s">
        <v>42867</v>
      </c>
      <c r="B14314" t="s">
        <v>1367</v>
      </c>
      <c r="C14314">
        <v>0</v>
      </c>
      <c r="D14314">
        <v>0.71898517496900005</v>
      </c>
      <c r="E14314">
        <v>11.706</v>
      </c>
    </row>
    <row r="14315" spans="1:5">
      <c r="A14315" t="s">
        <v>42867</v>
      </c>
      <c r="B14315" t="s">
        <v>1375</v>
      </c>
      <c r="C14315">
        <f>0</f>
        <v>0</v>
      </c>
      <c r="D14315">
        <v>0.71898517496900005</v>
      </c>
      <c r="E14315">
        <v>11.706</v>
      </c>
    </row>
    <row r="14316" spans="1:5">
      <c r="A14316" t="s">
        <v>42867</v>
      </c>
      <c r="B14316" t="s">
        <v>1366</v>
      </c>
      <c r="C14316">
        <v>0</v>
      </c>
      <c r="D14316">
        <v>0.71898517496900005</v>
      </c>
      <c r="E14316">
        <v>11.706</v>
      </c>
    </row>
    <row r="14317" spans="1:5">
      <c r="A14317" t="s">
        <v>42867</v>
      </c>
      <c r="B14317" t="s">
        <v>1373</v>
      </c>
      <c r="C14317">
        <v>0</v>
      </c>
      <c r="D14317">
        <v>0.71898517496900005</v>
      </c>
      <c r="E14317">
        <v>11.706</v>
      </c>
    </row>
    <row r="14318" spans="1:5">
      <c r="A14318" t="s">
        <v>42867</v>
      </c>
      <c r="B14318" t="s">
        <v>1369</v>
      </c>
      <c r="C14318">
        <v>0.48857517496899999</v>
      </c>
      <c r="D14318">
        <v>0.71898517496900005</v>
      </c>
      <c r="E14318">
        <v>11.706</v>
      </c>
    </row>
    <row r="14319" spans="1:5">
      <c r="A14319" t="s">
        <v>42867</v>
      </c>
      <c r="B14319" t="s">
        <v>1371</v>
      </c>
      <c r="C14319">
        <v>0</v>
      </c>
      <c r="D14319">
        <v>0.71898517496900005</v>
      </c>
      <c r="E14319">
        <v>11.706</v>
      </c>
    </row>
    <row r="14320" spans="1:5">
      <c r="A14320" t="s">
        <v>42867</v>
      </c>
      <c r="B14320" t="s">
        <v>1372</v>
      </c>
      <c r="C14320">
        <v>0</v>
      </c>
      <c r="D14320">
        <v>0.71898517496900005</v>
      </c>
      <c r="E14320">
        <v>11.706</v>
      </c>
    </row>
    <row r="14321" spans="1:5">
      <c r="A14321" t="s">
        <v>42867</v>
      </c>
      <c r="B14321" t="s">
        <v>1374</v>
      </c>
      <c r="C14321">
        <v>0</v>
      </c>
      <c r="D14321">
        <v>0.71898517496900005</v>
      </c>
      <c r="E14321">
        <v>11.706</v>
      </c>
    </row>
    <row r="14322" spans="1:5">
      <c r="A14322" t="s">
        <v>42868</v>
      </c>
      <c r="B14322" t="s">
        <v>8319</v>
      </c>
      <c r="C14322">
        <f>0.277094871067</f>
        <v>0.27709487106699998</v>
      </c>
      <c r="D14322">
        <v>0.98893377025899998</v>
      </c>
      <c r="E14322">
        <v>13.997999999999999</v>
      </c>
    </row>
    <row r="14323" spans="1:5">
      <c r="A14323" t="s">
        <v>42868</v>
      </c>
      <c r="B14323" t="s">
        <v>8320</v>
      </c>
      <c r="C14323">
        <v>0.88875474590100001</v>
      </c>
      <c r="D14323">
        <v>0.98893377025899998</v>
      </c>
      <c r="E14323">
        <v>13.997999999999999</v>
      </c>
    </row>
    <row r="14324" spans="1:5">
      <c r="A14324" t="s">
        <v>42868</v>
      </c>
      <c r="B14324" t="s">
        <v>8324</v>
      </c>
      <c r="C14324">
        <v>0.40786220691800001</v>
      </c>
      <c r="D14324">
        <v>0.98893377025899998</v>
      </c>
      <c r="E14324">
        <v>13.997999999999999</v>
      </c>
    </row>
    <row r="14325" spans="1:5">
      <c r="A14325" t="s">
        <v>42868</v>
      </c>
      <c r="B14325" t="s">
        <v>42869</v>
      </c>
      <c r="C14325">
        <v>0</v>
      </c>
      <c r="D14325">
        <v>0.98893377025899998</v>
      </c>
      <c r="E14325">
        <v>13.997999999999999</v>
      </c>
    </row>
    <row r="14326" spans="1:5">
      <c r="A14326" t="s">
        <v>42868</v>
      </c>
      <c r="B14326" t="s">
        <v>8323</v>
      </c>
      <c r="C14326">
        <v>0.13571514383800001</v>
      </c>
      <c r="D14326">
        <v>0.98893377025899998</v>
      </c>
      <c r="E14326">
        <v>13.997999999999999</v>
      </c>
    </row>
    <row r="14327" spans="1:5">
      <c r="A14327" t="s">
        <v>42868</v>
      </c>
      <c r="B14327" t="s">
        <v>8322</v>
      </c>
      <c r="C14327">
        <f>0.53791787579</f>
        <v>0.53791787579000006</v>
      </c>
      <c r="D14327">
        <v>0.98893377025899998</v>
      </c>
      <c r="E14327">
        <v>13.997999999999999</v>
      </c>
    </row>
    <row r="14328" spans="1:5">
      <c r="A14328" t="s">
        <v>42868</v>
      </c>
      <c r="B14328" t="s">
        <v>42870</v>
      </c>
      <c r="C14328">
        <v>0</v>
      </c>
      <c r="D14328">
        <v>0.98893377025899998</v>
      </c>
      <c r="E14328">
        <v>13.997999999999999</v>
      </c>
    </row>
    <row r="14329" spans="1:5">
      <c r="A14329" t="s">
        <v>42868</v>
      </c>
      <c r="B14329" t="s">
        <v>8321</v>
      </c>
      <c r="C14329">
        <f>0.0218811046512</f>
        <v>2.1881104651199999E-2</v>
      </c>
      <c r="D14329">
        <v>0.98893377025899998</v>
      </c>
      <c r="E14329">
        <v>13.997999999999999</v>
      </c>
    </row>
    <row r="14330" spans="1:5">
      <c r="A14330" t="s">
        <v>42871</v>
      </c>
      <c r="B14330" t="s">
        <v>11861</v>
      </c>
      <c r="C14330">
        <f>0</f>
        <v>0</v>
      </c>
      <c r="D14330" t="s">
        <v>106</v>
      </c>
      <c r="E14330">
        <v>1.512</v>
      </c>
    </row>
    <row r="14331" spans="1:5">
      <c r="A14331" t="s">
        <v>42871</v>
      </c>
      <c r="B14331" t="s">
        <v>11860</v>
      </c>
      <c r="C14331">
        <f>0</f>
        <v>0</v>
      </c>
      <c r="D14331" t="s">
        <v>106</v>
      </c>
      <c r="E14331">
        <v>1.512</v>
      </c>
    </row>
    <row r="14332" spans="1:5">
      <c r="A14332" t="s">
        <v>42872</v>
      </c>
      <c r="B14332" t="s">
        <v>42873</v>
      </c>
      <c r="C14332">
        <v>0.46144897548899999</v>
      </c>
      <c r="D14332">
        <v>0.69185897548899999</v>
      </c>
      <c r="E14332">
        <v>24</v>
      </c>
    </row>
    <row r="14333" spans="1:5">
      <c r="A14333" t="s">
        <v>42872</v>
      </c>
      <c r="B14333" t="s">
        <v>42874</v>
      </c>
      <c r="C14333">
        <f>0</f>
        <v>0</v>
      </c>
      <c r="D14333">
        <v>0.69185897548899999</v>
      </c>
      <c r="E14333">
        <v>24</v>
      </c>
    </row>
    <row r="14334" spans="1:5">
      <c r="A14334" t="s">
        <v>42872</v>
      </c>
      <c r="B14334" t="s">
        <v>42875</v>
      </c>
      <c r="C14334">
        <f>0</f>
        <v>0</v>
      </c>
      <c r="D14334">
        <v>0.69185897548899999</v>
      </c>
      <c r="E14334">
        <v>24</v>
      </c>
    </row>
    <row r="14335" spans="1:5">
      <c r="A14335" t="s">
        <v>42876</v>
      </c>
      <c r="B14335" t="s">
        <v>17625</v>
      </c>
      <c r="C14335">
        <v>0</v>
      </c>
      <c r="D14335">
        <v>0.645241159678</v>
      </c>
      <c r="E14335">
        <v>10.878</v>
      </c>
    </row>
    <row r="14336" spans="1:5">
      <c r="A14336" t="s">
        <v>42876</v>
      </c>
      <c r="B14336" t="s">
        <v>17624</v>
      </c>
      <c r="C14336">
        <v>0.542831159678</v>
      </c>
      <c r="D14336">
        <v>0.645241159678</v>
      </c>
      <c r="E14336">
        <v>10.878</v>
      </c>
    </row>
    <row r="14337" spans="1:5">
      <c r="A14337" t="s">
        <v>42877</v>
      </c>
      <c r="B14337" t="s">
        <v>42878</v>
      </c>
      <c r="C14337">
        <f>0</f>
        <v>0</v>
      </c>
      <c r="D14337">
        <v>0.85706293958400004</v>
      </c>
      <c r="E14337">
        <v>0</v>
      </c>
    </row>
    <row r="14338" spans="1:5">
      <c r="A14338" t="s">
        <v>42877</v>
      </c>
      <c r="B14338" t="s">
        <v>42879</v>
      </c>
      <c r="C14338">
        <v>0.29132274563900001</v>
      </c>
      <c r="D14338">
        <v>0.85706293958400004</v>
      </c>
      <c r="E14338">
        <v>0</v>
      </c>
    </row>
    <row r="14339" spans="1:5">
      <c r="A14339" t="s">
        <v>42877</v>
      </c>
      <c r="B14339" t="s">
        <v>42880</v>
      </c>
      <c r="C14339">
        <v>0</v>
      </c>
      <c r="D14339">
        <v>0.85706293958400004</v>
      </c>
      <c r="E14339">
        <v>0</v>
      </c>
    </row>
    <row r="14340" spans="1:5">
      <c r="A14340" t="s">
        <v>42877</v>
      </c>
      <c r="B14340" t="s">
        <v>42881</v>
      </c>
      <c r="C14340">
        <f>0</f>
        <v>0</v>
      </c>
      <c r="D14340">
        <v>0.85706293958400004</v>
      </c>
      <c r="E14340">
        <v>0</v>
      </c>
    </row>
    <row r="14341" spans="1:5">
      <c r="A14341" t="s">
        <v>42877</v>
      </c>
      <c r="B14341" t="s">
        <v>42882</v>
      </c>
      <c r="C14341">
        <f>0</f>
        <v>0</v>
      </c>
      <c r="D14341">
        <v>0.85706293958400004</v>
      </c>
      <c r="E14341">
        <v>0</v>
      </c>
    </row>
    <row r="14342" spans="1:5">
      <c r="A14342" t="s">
        <v>42877</v>
      </c>
      <c r="B14342" t="s">
        <v>42883</v>
      </c>
      <c r="C14342">
        <f>0</f>
        <v>0</v>
      </c>
      <c r="D14342">
        <v>0.85706293958400004</v>
      </c>
      <c r="E14342">
        <v>0</v>
      </c>
    </row>
    <row r="14343" spans="1:5">
      <c r="A14343" t="s">
        <v>42877</v>
      </c>
      <c r="B14343" t="s">
        <v>42884</v>
      </c>
      <c r="C14343">
        <f>0.410873486066</f>
        <v>0.41087348606599999</v>
      </c>
      <c r="D14343">
        <v>0.85706293958400004</v>
      </c>
      <c r="E14343">
        <v>0</v>
      </c>
    </row>
    <row r="14344" spans="1:5">
      <c r="A14344" t="s">
        <v>42885</v>
      </c>
      <c r="B14344" t="s">
        <v>42886</v>
      </c>
      <c r="C14344">
        <v>0.65377673576999995</v>
      </c>
      <c r="D14344">
        <v>0.743119268198</v>
      </c>
      <c r="E14344">
        <v>14.933999999999999</v>
      </c>
    </row>
    <row r="14345" spans="1:5">
      <c r="A14345" t="s">
        <v>42885</v>
      </c>
      <c r="B14345" t="s">
        <v>42887</v>
      </c>
      <c r="C14345">
        <v>1.8384816369700002E-2</v>
      </c>
      <c r="D14345">
        <v>0.743119268198</v>
      </c>
      <c r="E14345">
        <v>14.933999999999999</v>
      </c>
    </row>
    <row r="14346" spans="1:5">
      <c r="A14346" t="s">
        <v>42888</v>
      </c>
      <c r="B14346" t="s">
        <v>16593</v>
      </c>
      <c r="C14346">
        <v>0</v>
      </c>
      <c r="D14346" t="s">
        <v>106</v>
      </c>
      <c r="E14346">
        <v>10.715999999999999</v>
      </c>
    </row>
    <row r="14347" spans="1:5">
      <c r="A14347" t="s">
        <v>42888</v>
      </c>
      <c r="B14347" t="s">
        <v>16595</v>
      </c>
      <c r="C14347">
        <f>0</f>
        <v>0</v>
      </c>
      <c r="D14347" t="s">
        <v>106</v>
      </c>
      <c r="E14347">
        <v>10.715999999999999</v>
      </c>
    </row>
    <row r="14348" spans="1:5">
      <c r="A14348" t="s">
        <v>42889</v>
      </c>
      <c r="B14348" t="s">
        <v>7711</v>
      </c>
      <c r="C14348">
        <f>0</f>
        <v>0</v>
      </c>
      <c r="D14348">
        <v>0.88999119791199999</v>
      </c>
      <c r="E14348">
        <v>0.96599999999999997</v>
      </c>
    </row>
    <row r="14349" spans="1:5">
      <c r="A14349" t="s">
        <v>42889</v>
      </c>
      <c r="B14349" t="s">
        <v>7706</v>
      </c>
      <c r="C14349">
        <f>0.157403204005</f>
        <v>0.15740320400499999</v>
      </c>
      <c r="D14349">
        <v>0.88999119791199999</v>
      </c>
      <c r="E14349">
        <v>0.96599999999999997</v>
      </c>
    </row>
    <row r="14350" spans="1:5">
      <c r="A14350" t="s">
        <v>42889</v>
      </c>
      <c r="B14350" t="s">
        <v>7701</v>
      </c>
      <c r="C14350">
        <f>0.0174084707678</f>
        <v>1.7408470767799999E-2</v>
      </c>
      <c r="D14350">
        <v>0.88999119791199999</v>
      </c>
      <c r="E14350">
        <v>0.96599999999999997</v>
      </c>
    </row>
    <row r="14351" spans="1:5">
      <c r="A14351" t="s">
        <v>42889</v>
      </c>
      <c r="B14351" t="s">
        <v>7697</v>
      </c>
      <c r="C14351">
        <f>0.169948339678</f>
        <v>0.16994833967799999</v>
      </c>
      <c r="D14351">
        <v>0.88999119791199999</v>
      </c>
      <c r="E14351">
        <v>0.96599999999999997</v>
      </c>
    </row>
    <row r="14352" spans="1:5">
      <c r="A14352" t="s">
        <v>42889</v>
      </c>
      <c r="B14352" t="s">
        <v>7709</v>
      </c>
      <c r="C14352">
        <f>0</f>
        <v>0</v>
      </c>
      <c r="D14352">
        <v>0.88999119791199999</v>
      </c>
      <c r="E14352">
        <v>0.96599999999999997</v>
      </c>
    </row>
    <row r="14353" spans="1:5">
      <c r="A14353" t="s">
        <v>42889</v>
      </c>
      <c r="B14353" t="s">
        <v>7710</v>
      </c>
      <c r="C14353">
        <v>0</v>
      </c>
      <c r="D14353">
        <v>0.88999119791199999</v>
      </c>
      <c r="E14353">
        <v>0.96599999999999997</v>
      </c>
    </row>
    <row r="14354" spans="1:5">
      <c r="A14354" t="s">
        <v>42889</v>
      </c>
      <c r="B14354" t="s">
        <v>7704</v>
      </c>
      <c r="C14354">
        <v>0</v>
      </c>
      <c r="D14354">
        <v>0.88999119791199999</v>
      </c>
      <c r="E14354">
        <v>0.96599999999999997</v>
      </c>
    </row>
    <row r="14355" spans="1:5">
      <c r="A14355" t="s">
        <v>42889</v>
      </c>
      <c r="B14355" t="s">
        <v>7708</v>
      </c>
      <c r="C14355">
        <v>0.65811776462399996</v>
      </c>
      <c r="D14355">
        <v>0.88999119791199999</v>
      </c>
      <c r="E14355">
        <v>0.96599999999999997</v>
      </c>
    </row>
    <row r="14356" spans="1:5">
      <c r="A14356" t="s">
        <v>42889</v>
      </c>
      <c r="B14356" t="s">
        <v>7707</v>
      </c>
      <c r="C14356">
        <f>0</f>
        <v>0</v>
      </c>
      <c r="D14356">
        <v>0.88999119791199999</v>
      </c>
      <c r="E14356">
        <v>0.96599999999999997</v>
      </c>
    </row>
    <row r="14357" spans="1:5">
      <c r="A14357" t="s">
        <v>42889</v>
      </c>
      <c r="B14357" t="s">
        <v>7705</v>
      </c>
      <c r="C14357">
        <f>0</f>
        <v>0</v>
      </c>
      <c r="D14357">
        <v>0.88999119791199999</v>
      </c>
      <c r="E14357">
        <v>0.96599999999999997</v>
      </c>
    </row>
    <row r="14358" spans="1:5">
      <c r="A14358" t="s">
        <v>42889</v>
      </c>
      <c r="B14358" t="s">
        <v>7699</v>
      </c>
      <c r="C14358">
        <v>0</v>
      </c>
      <c r="D14358">
        <v>0.88999119791199999</v>
      </c>
      <c r="E14358">
        <v>0.96599999999999997</v>
      </c>
    </row>
    <row r="14359" spans="1:5">
      <c r="A14359" t="s">
        <v>42889</v>
      </c>
      <c r="B14359" t="s">
        <v>7700</v>
      </c>
      <c r="C14359">
        <f>0</f>
        <v>0</v>
      </c>
      <c r="D14359">
        <v>0.88999119791199999</v>
      </c>
      <c r="E14359">
        <v>0.96599999999999997</v>
      </c>
    </row>
    <row r="14360" spans="1:5">
      <c r="A14360" t="s">
        <v>42890</v>
      </c>
      <c r="B14360" t="s">
        <v>6943</v>
      </c>
      <c r="C14360">
        <f>0.961199039185</f>
        <v>0.96119903918500005</v>
      </c>
      <c r="D14360">
        <v>0.97494586867499999</v>
      </c>
      <c r="E14360">
        <v>15.708</v>
      </c>
    </row>
    <row r="14361" spans="1:5">
      <c r="A14361" t="s">
        <v>42890</v>
      </c>
      <c r="B14361" t="s">
        <v>6946</v>
      </c>
      <c r="C14361">
        <v>0.40283378064199998</v>
      </c>
      <c r="D14361">
        <v>0.97494586867499999</v>
      </c>
      <c r="E14361">
        <v>15.708</v>
      </c>
    </row>
    <row r="14362" spans="1:5">
      <c r="A14362" t="s">
        <v>42890</v>
      </c>
      <c r="B14362" t="s">
        <v>6944</v>
      </c>
      <c r="C14362">
        <v>1.3290397572199999</v>
      </c>
      <c r="D14362">
        <v>0.97494586867499999</v>
      </c>
      <c r="E14362">
        <v>15.708</v>
      </c>
    </row>
    <row r="14363" spans="1:5">
      <c r="A14363" t="s">
        <v>42891</v>
      </c>
      <c r="B14363" t="s">
        <v>20256</v>
      </c>
      <c r="C14363">
        <v>0</v>
      </c>
      <c r="D14363" t="s">
        <v>106</v>
      </c>
      <c r="E14363">
        <v>9.6180000000000003</v>
      </c>
    </row>
    <row r="14364" spans="1:5">
      <c r="A14364" t="s">
        <v>42891</v>
      </c>
      <c r="B14364" t="s">
        <v>20262</v>
      </c>
      <c r="C14364">
        <f>0</f>
        <v>0</v>
      </c>
      <c r="D14364" t="s">
        <v>106</v>
      </c>
      <c r="E14364">
        <v>9.6180000000000003</v>
      </c>
    </row>
    <row r="14365" spans="1:5">
      <c r="A14365" t="s">
        <v>42891</v>
      </c>
      <c r="B14365" t="s">
        <v>20261</v>
      </c>
      <c r="C14365">
        <v>0</v>
      </c>
      <c r="D14365" t="s">
        <v>106</v>
      </c>
      <c r="E14365">
        <v>9.6180000000000003</v>
      </c>
    </row>
    <row r="14366" spans="1:5">
      <c r="A14366" t="s">
        <v>42891</v>
      </c>
      <c r="B14366" t="s">
        <v>20259</v>
      </c>
      <c r="C14366">
        <f>0</f>
        <v>0</v>
      </c>
      <c r="D14366" t="s">
        <v>106</v>
      </c>
      <c r="E14366">
        <v>9.6180000000000003</v>
      </c>
    </row>
    <row r="14367" spans="1:5">
      <c r="A14367" t="s">
        <v>42891</v>
      </c>
      <c r="B14367" t="s">
        <v>20263</v>
      </c>
      <c r="C14367">
        <f>0</f>
        <v>0</v>
      </c>
      <c r="D14367" t="s">
        <v>106</v>
      </c>
      <c r="E14367">
        <v>9.6180000000000003</v>
      </c>
    </row>
    <row r="14368" spans="1:5">
      <c r="A14368" t="s">
        <v>42891</v>
      </c>
      <c r="B14368" t="s">
        <v>20258</v>
      </c>
      <c r="C14368">
        <v>0</v>
      </c>
      <c r="D14368" t="s">
        <v>106</v>
      </c>
      <c r="E14368">
        <v>9.6180000000000003</v>
      </c>
    </row>
    <row r="14369" spans="1:5">
      <c r="A14369" t="s">
        <v>42891</v>
      </c>
      <c r="B14369" t="s">
        <v>20260</v>
      </c>
      <c r="C14369">
        <v>0</v>
      </c>
      <c r="D14369" t="s">
        <v>106</v>
      </c>
      <c r="E14369">
        <v>9.6180000000000003</v>
      </c>
    </row>
    <row r="14370" spans="1:5">
      <c r="A14370" t="s">
        <v>42892</v>
      </c>
      <c r="B14370" t="s">
        <v>42893</v>
      </c>
      <c r="C14370">
        <f>0</f>
        <v>0</v>
      </c>
      <c r="D14370" t="s">
        <v>106</v>
      </c>
      <c r="E14370">
        <v>2.802</v>
      </c>
    </row>
    <row r="14371" spans="1:5">
      <c r="A14371" t="s">
        <v>42892</v>
      </c>
      <c r="B14371" t="s">
        <v>42894</v>
      </c>
      <c r="C14371">
        <f>0</f>
        <v>0</v>
      </c>
      <c r="D14371" t="s">
        <v>106</v>
      </c>
      <c r="E14371">
        <v>2.802</v>
      </c>
    </row>
    <row r="14372" spans="1:5">
      <c r="A14372" t="s">
        <v>42892</v>
      </c>
      <c r="B14372" t="s">
        <v>42895</v>
      </c>
      <c r="C14372">
        <f>0</f>
        <v>0</v>
      </c>
      <c r="D14372" t="s">
        <v>106</v>
      </c>
      <c r="E14372">
        <v>2.802</v>
      </c>
    </row>
    <row r="14373" spans="1:5">
      <c r="A14373" t="s">
        <v>42892</v>
      </c>
      <c r="B14373" t="s">
        <v>42896</v>
      </c>
      <c r="C14373">
        <v>0</v>
      </c>
      <c r="D14373" t="s">
        <v>106</v>
      </c>
      <c r="E14373">
        <v>2.802</v>
      </c>
    </row>
    <row r="14374" spans="1:5">
      <c r="A14374" t="s">
        <v>42892</v>
      </c>
      <c r="B14374" t="s">
        <v>42897</v>
      </c>
      <c r="C14374">
        <v>0</v>
      </c>
      <c r="D14374" t="s">
        <v>106</v>
      </c>
      <c r="E14374">
        <v>2.802</v>
      </c>
    </row>
    <row r="14375" spans="1:5">
      <c r="A14375" t="s">
        <v>42898</v>
      </c>
      <c r="B14375" t="s">
        <v>2257</v>
      </c>
      <c r="C14375">
        <f>0</f>
        <v>0</v>
      </c>
      <c r="D14375" t="s">
        <v>106</v>
      </c>
      <c r="E14375">
        <v>5.9340000000000002</v>
      </c>
    </row>
    <row r="14376" spans="1:5">
      <c r="A14376" t="s">
        <v>42898</v>
      </c>
      <c r="B14376" t="s">
        <v>2259</v>
      </c>
      <c r="C14376">
        <f>0</f>
        <v>0</v>
      </c>
      <c r="D14376" t="s">
        <v>106</v>
      </c>
      <c r="E14376">
        <v>5.9340000000000002</v>
      </c>
    </row>
    <row r="14377" spans="1:5">
      <c r="A14377" t="s">
        <v>42899</v>
      </c>
      <c r="B14377" t="s">
        <v>22909</v>
      </c>
      <c r="C14377">
        <v>0.30982361371400002</v>
      </c>
      <c r="D14377">
        <v>0.95863630679</v>
      </c>
      <c r="E14377">
        <v>10.715999999999999</v>
      </c>
    </row>
    <row r="14378" spans="1:5">
      <c r="A14378" t="s">
        <v>42899</v>
      </c>
      <c r="B14378" t="s">
        <v>22913</v>
      </c>
      <c r="C14378">
        <v>0.72510532720099996</v>
      </c>
      <c r="D14378">
        <v>0.95863630679</v>
      </c>
      <c r="E14378">
        <v>10.715999999999999</v>
      </c>
    </row>
    <row r="14379" spans="1:5">
      <c r="A14379" t="s">
        <v>42899</v>
      </c>
      <c r="B14379" t="s">
        <v>22912</v>
      </c>
      <c r="C14379">
        <f>0</f>
        <v>0</v>
      </c>
      <c r="D14379">
        <v>0.95863630679</v>
      </c>
      <c r="E14379">
        <v>10.715999999999999</v>
      </c>
    </row>
    <row r="14380" spans="1:5">
      <c r="A14380" t="s">
        <v>42899</v>
      </c>
      <c r="B14380" t="s">
        <v>22908</v>
      </c>
      <c r="C14380">
        <f>0.255747593295</f>
        <v>0.25574759329500002</v>
      </c>
      <c r="D14380">
        <v>0.95863630679</v>
      </c>
      <c r="E14380">
        <v>10.715999999999999</v>
      </c>
    </row>
    <row r="14381" spans="1:5">
      <c r="A14381" t="s">
        <v>42900</v>
      </c>
      <c r="B14381" t="s">
        <v>3357</v>
      </c>
      <c r="C14381">
        <v>0.89741777094700004</v>
      </c>
      <c r="D14381">
        <v>0.98161048539700002</v>
      </c>
      <c r="E14381">
        <v>4.6920000000000002</v>
      </c>
    </row>
    <row r="14382" spans="1:5">
      <c r="A14382" t="s">
        <v>42900</v>
      </c>
      <c r="B14382" t="s">
        <v>3359</v>
      </c>
      <c r="C14382">
        <f>0.178866655485</f>
        <v>0.178866655485</v>
      </c>
      <c r="D14382">
        <v>0.98161048539700002</v>
      </c>
      <c r="E14382">
        <v>4.6920000000000002</v>
      </c>
    </row>
    <row r="14383" spans="1:5">
      <c r="A14383" t="s">
        <v>42900</v>
      </c>
      <c r="B14383" t="s">
        <v>3363</v>
      </c>
      <c r="C14383">
        <f>0.850363515689</f>
        <v>0.85036351568900004</v>
      </c>
      <c r="D14383">
        <v>0.98161048539700002</v>
      </c>
      <c r="E14383">
        <v>4.6920000000000002</v>
      </c>
    </row>
    <row r="14384" spans="1:5">
      <c r="A14384" t="s">
        <v>42900</v>
      </c>
      <c r="B14384" t="s">
        <v>3360</v>
      </c>
      <c r="C14384">
        <f>-1.35392406295</f>
        <v>-1.35392406295</v>
      </c>
      <c r="D14384">
        <v>0.98161048539700002</v>
      </c>
      <c r="E14384">
        <v>4.6920000000000002</v>
      </c>
    </row>
    <row r="14385" spans="1:5">
      <c r="A14385" t="s">
        <v>42900</v>
      </c>
      <c r="B14385" t="s">
        <v>3361</v>
      </c>
      <c r="C14385">
        <v>1.377198256</v>
      </c>
      <c r="D14385">
        <v>0.98161048539700002</v>
      </c>
      <c r="E14385">
        <v>4.6920000000000002</v>
      </c>
    </row>
    <row r="14386" spans="1:5">
      <c r="A14386" t="s">
        <v>42901</v>
      </c>
      <c r="B14386" t="s">
        <v>3371</v>
      </c>
      <c r="C14386">
        <v>0</v>
      </c>
      <c r="D14386">
        <v>0.68233680120899998</v>
      </c>
      <c r="E14386">
        <v>9.7739999999999991</v>
      </c>
    </row>
    <row r="14387" spans="1:5">
      <c r="A14387" t="s">
        <v>42901</v>
      </c>
      <c r="B14387" t="s">
        <v>3374</v>
      </c>
      <c r="C14387">
        <f>0</f>
        <v>0</v>
      </c>
      <c r="D14387">
        <v>0.68233680120899998</v>
      </c>
      <c r="E14387">
        <v>9.7739999999999991</v>
      </c>
    </row>
    <row r="14388" spans="1:5">
      <c r="A14388" t="s">
        <v>42901</v>
      </c>
      <c r="B14388" t="s">
        <v>3366</v>
      </c>
      <c r="C14388">
        <f>0</f>
        <v>0</v>
      </c>
      <c r="D14388">
        <v>0.68233680120899998</v>
      </c>
      <c r="E14388">
        <v>9.7739999999999991</v>
      </c>
    </row>
    <row r="14389" spans="1:5">
      <c r="A14389" t="s">
        <v>42901</v>
      </c>
      <c r="B14389" t="s">
        <v>3370</v>
      </c>
      <c r="C14389">
        <v>0.48872680120899997</v>
      </c>
      <c r="D14389">
        <v>0.68233680120899998</v>
      </c>
      <c r="E14389">
        <v>9.7739999999999991</v>
      </c>
    </row>
    <row r="14390" spans="1:5">
      <c r="A14390" t="s">
        <v>42901</v>
      </c>
      <c r="B14390" t="s">
        <v>3373</v>
      </c>
      <c r="C14390">
        <v>0</v>
      </c>
      <c r="D14390">
        <v>0.68233680120899998</v>
      </c>
      <c r="E14390">
        <v>9.7739999999999991</v>
      </c>
    </row>
    <row r="14391" spans="1:5">
      <c r="A14391" t="s">
        <v>42902</v>
      </c>
      <c r="B14391" t="s">
        <v>2701</v>
      </c>
      <c r="C14391">
        <f>0</f>
        <v>0</v>
      </c>
      <c r="D14391" t="s">
        <v>106</v>
      </c>
      <c r="E14391">
        <v>0.34799999999999998</v>
      </c>
    </row>
    <row r="14392" spans="1:5">
      <c r="A14392" t="s">
        <v>42902</v>
      </c>
      <c r="B14392" t="s">
        <v>2705</v>
      </c>
      <c r="C14392">
        <v>0</v>
      </c>
      <c r="D14392" t="s">
        <v>106</v>
      </c>
      <c r="E14392">
        <v>0.34799999999999998</v>
      </c>
    </row>
    <row r="14393" spans="1:5">
      <c r="A14393" t="s">
        <v>42902</v>
      </c>
      <c r="B14393" t="s">
        <v>42903</v>
      </c>
      <c r="C14393">
        <v>0</v>
      </c>
      <c r="D14393" t="s">
        <v>106</v>
      </c>
      <c r="E14393">
        <v>0.34799999999999998</v>
      </c>
    </row>
    <row r="14394" spans="1:5">
      <c r="A14394" t="s">
        <v>42902</v>
      </c>
      <c r="B14394" t="s">
        <v>2704</v>
      </c>
      <c r="C14394">
        <v>0</v>
      </c>
      <c r="D14394" t="s">
        <v>106</v>
      </c>
      <c r="E14394">
        <v>0.34799999999999998</v>
      </c>
    </row>
    <row r="14395" spans="1:5">
      <c r="A14395" t="s">
        <v>42902</v>
      </c>
      <c r="B14395" t="s">
        <v>2707</v>
      </c>
      <c r="C14395">
        <v>0</v>
      </c>
      <c r="D14395" t="s">
        <v>106</v>
      </c>
      <c r="E14395">
        <v>0.34799999999999998</v>
      </c>
    </row>
    <row r="14396" spans="1:5">
      <c r="A14396" t="s">
        <v>42902</v>
      </c>
      <c r="B14396" t="s">
        <v>2709</v>
      </c>
      <c r="C14396">
        <f>0</f>
        <v>0</v>
      </c>
      <c r="D14396" t="s">
        <v>106</v>
      </c>
      <c r="E14396">
        <v>0.34799999999999998</v>
      </c>
    </row>
    <row r="14397" spans="1:5">
      <c r="A14397" t="s">
        <v>42904</v>
      </c>
      <c r="B14397" t="s">
        <v>42905</v>
      </c>
      <c r="C14397">
        <f>0.67377999408</f>
        <v>0.67377999408</v>
      </c>
      <c r="D14397">
        <v>0.96230259934399998</v>
      </c>
      <c r="E14397">
        <v>4.5839999999999996</v>
      </c>
    </row>
    <row r="14398" spans="1:5">
      <c r="A14398" t="s">
        <v>42904</v>
      </c>
      <c r="B14398" t="s">
        <v>42906</v>
      </c>
      <c r="C14398">
        <f>0.811047023508</f>
        <v>0.81104702350799995</v>
      </c>
      <c r="D14398">
        <v>0.96230259934399998</v>
      </c>
      <c r="E14398">
        <v>4.5839999999999996</v>
      </c>
    </row>
    <row r="14399" spans="1:5">
      <c r="A14399" t="s">
        <v>42904</v>
      </c>
      <c r="B14399" t="s">
        <v>42907</v>
      </c>
      <c r="C14399">
        <v>6.6982418543499997E-2</v>
      </c>
      <c r="D14399">
        <v>0.96230259934399998</v>
      </c>
      <c r="E14399">
        <v>4.5839999999999996</v>
      </c>
    </row>
    <row r="14400" spans="1:5">
      <c r="A14400" t="s">
        <v>42904</v>
      </c>
      <c r="B14400" t="s">
        <v>42908</v>
      </c>
      <c r="C14400">
        <f>0.382328390265</f>
        <v>0.38232839026499998</v>
      </c>
      <c r="D14400">
        <v>0.96230259934399998</v>
      </c>
      <c r="E14400">
        <v>4.5839999999999996</v>
      </c>
    </row>
    <row r="14401" spans="1:5">
      <c r="A14401" t="s">
        <v>42909</v>
      </c>
      <c r="B14401" t="s">
        <v>26675</v>
      </c>
      <c r="C14401">
        <f>0.730446217064</f>
        <v>0.73044621706400004</v>
      </c>
      <c r="D14401">
        <v>0.95825278623900001</v>
      </c>
      <c r="E14401">
        <v>5.4660000000000002</v>
      </c>
    </row>
    <row r="14402" spans="1:5">
      <c r="A14402" t="s">
        <v>42909</v>
      </c>
      <c r="B14402" t="s">
        <v>26678</v>
      </c>
      <c r="C14402">
        <v>2.01813891745</v>
      </c>
      <c r="D14402">
        <v>0.95825278623900001</v>
      </c>
      <c r="E14402">
        <v>5.4660000000000002</v>
      </c>
    </row>
    <row r="14403" spans="1:5">
      <c r="A14403" t="s">
        <v>42909</v>
      </c>
      <c r="B14403" t="s">
        <v>26672</v>
      </c>
      <c r="C14403">
        <f>-1.05550247732</f>
        <v>-1.0555024773199999</v>
      </c>
      <c r="D14403">
        <v>0.95825278623900001</v>
      </c>
      <c r="E14403">
        <v>5.4660000000000002</v>
      </c>
    </row>
    <row r="14404" spans="1:5">
      <c r="A14404" t="s">
        <v>42909</v>
      </c>
      <c r="B14404" t="s">
        <v>26671</v>
      </c>
      <c r="C14404">
        <v>1.02885304775</v>
      </c>
      <c r="D14404">
        <v>0.95825278623900001</v>
      </c>
      <c r="E14404">
        <v>5.4660000000000002</v>
      </c>
    </row>
    <row r="14405" spans="1:5">
      <c r="A14405" t="s">
        <v>42910</v>
      </c>
      <c r="B14405" t="s">
        <v>42911</v>
      </c>
      <c r="C14405">
        <f>0.15105543956</f>
        <v>0.15105543956</v>
      </c>
      <c r="D14405">
        <v>0.999693692282</v>
      </c>
      <c r="E14405">
        <v>7.734</v>
      </c>
    </row>
    <row r="14406" spans="1:5">
      <c r="A14406" t="s">
        <v>42910</v>
      </c>
      <c r="B14406" t="s">
        <v>42912</v>
      </c>
      <c r="C14406">
        <v>0</v>
      </c>
      <c r="D14406">
        <v>0.999693692282</v>
      </c>
      <c r="E14406">
        <v>7.734</v>
      </c>
    </row>
    <row r="14407" spans="1:5">
      <c r="A14407" t="s">
        <v>42910</v>
      </c>
      <c r="B14407" t="s">
        <v>42913</v>
      </c>
      <c r="C14407">
        <f>0.213224520237</f>
        <v>0.213224520237</v>
      </c>
      <c r="D14407">
        <v>0.999693692282</v>
      </c>
      <c r="E14407">
        <v>7.734</v>
      </c>
    </row>
    <row r="14408" spans="1:5">
      <c r="A14408" t="s">
        <v>42910</v>
      </c>
      <c r="B14408" t="s">
        <v>42914</v>
      </c>
      <c r="C14408">
        <v>0.13316861256400001</v>
      </c>
      <c r="D14408">
        <v>0.999693692282</v>
      </c>
      <c r="E14408">
        <v>7.734</v>
      </c>
    </row>
    <row r="14409" spans="1:5">
      <c r="A14409" t="s">
        <v>42910</v>
      </c>
      <c r="B14409" t="s">
        <v>42915</v>
      </c>
      <c r="C14409">
        <f>0.0105294695123</f>
        <v>1.0529469512300001E-2</v>
      </c>
      <c r="D14409">
        <v>0.999693692282</v>
      </c>
      <c r="E14409">
        <v>7.734</v>
      </c>
    </row>
    <row r="14410" spans="1:5">
      <c r="A14410" t="s">
        <v>42910</v>
      </c>
      <c r="B14410" t="s">
        <v>42916</v>
      </c>
      <c r="C14410">
        <f>0.57202524426</f>
        <v>0.57202524426000001</v>
      </c>
      <c r="D14410">
        <v>0.999693692282</v>
      </c>
      <c r="E14410">
        <v>7.734</v>
      </c>
    </row>
    <row r="14411" spans="1:5">
      <c r="A14411" t="s">
        <v>42910</v>
      </c>
      <c r="B14411" t="s">
        <v>42917</v>
      </c>
      <c r="C14411">
        <f>0.213024708364</f>
        <v>0.213024708364</v>
      </c>
      <c r="D14411">
        <v>0.999693692282</v>
      </c>
      <c r="E14411">
        <v>7.734</v>
      </c>
    </row>
    <row r="14412" spans="1:5">
      <c r="A14412" t="s">
        <v>42910</v>
      </c>
      <c r="B14412" t="s">
        <v>42918</v>
      </c>
      <c r="C14412">
        <v>1.0963932013</v>
      </c>
      <c r="D14412">
        <v>0.999693692282</v>
      </c>
      <c r="E14412">
        <v>7.734</v>
      </c>
    </row>
    <row r="14413" spans="1:5">
      <c r="A14413" t="s">
        <v>42919</v>
      </c>
      <c r="B14413" t="s">
        <v>33323</v>
      </c>
      <c r="C14413">
        <f>0.118597193238</f>
        <v>0.118597193238</v>
      </c>
      <c r="D14413">
        <v>0.432207193238</v>
      </c>
      <c r="E14413">
        <v>24</v>
      </c>
    </row>
    <row r="14414" spans="1:5">
      <c r="A14414" t="s">
        <v>42919</v>
      </c>
      <c r="B14414" t="s">
        <v>33325</v>
      </c>
      <c r="C14414">
        <f>0</f>
        <v>0</v>
      </c>
      <c r="D14414">
        <v>0.432207193238</v>
      </c>
      <c r="E14414">
        <v>24</v>
      </c>
    </row>
    <row r="14415" spans="1:5">
      <c r="A14415" t="s">
        <v>42920</v>
      </c>
      <c r="B14415" t="s">
        <v>17394</v>
      </c>
      <c r="C14415">
        <v>0</v>
      </c>
      <c r="D14415" t="s">
        <v>106</v>
      </c>
      <c r="E14415">
        <v>3.4980000000000002</v>
      </c>
    </row>
    <row r="14416" spans="1:5">
      <c r="A14416" t="s">
        <v>42920</v>
      </c>
      <c r="B14416" t="s">
        <v>17397</v>
      </c>
      <c r="C14416">
        <f>0</f>
        <v>0</v>
      </c>
      <c r="D14416" t="s">
        <v>106</v>
      </c>
      <c r="E14416">
        <v>3.4980000000000002</v>
      </c>
    </row>
    <row r="14417" spans="1:5">
      <c r="A14417" t="s">
        <v>42921</v>
      </c>
      <c r="B14417" t="s">
        <v>42922</v>
      </c>
      <c r="C14417">
        <f>0.158057667061</f>
        <v>0.158057667061</v>
      </c>
      <c r="D14417">
        <v>0.72583186399800004</v>
      </c>
      <c r="E14417">
        <v>12.917999999999999</v>
      </c>
    </row>
    <row r="14418" spans="1:5">
      <c r="A14418" t="s">
        <v>42921</v>
      </c>
      <c r="B14418" t="s">
        <v>42923</v>
      </c>
      <c r="C14418">
        <v>0.31530944497399999</v>
      </c>
      <c r="D14418">
        <v>0.72583186399800004</v>
      </c>
      <c r="E14418">
        <v>12.917999999999999</v>
      </c>
    </row>
    <row r="14419" spans="1:5">
      <c r="A14419" t="s">
        <v>42921</v>
      </c>
      <c r="B14419" t="s">
        <v>42924</v>
      </c>
      <c r="C14419">
        <v>0</v>
      </c>
      <c r="D14419">
        <v>0.72583186399800004</v>
      </c>
      <c r="E14419">
        <v>12.917999999999999</v>
      </c>
    </row>
    <row r="14420" spans="1:5">
      <c r="A14420" t="s">
        <v>42921</v>
      </c>
      <c r="B14420" t="s">
        <v>42925</v>
      </c>
      <c r="C14420">
        <f>0</f>
        <v>0</v>
      </c>
      <c r="D14420">
        <v>0.72583186399800004</v>
      </c>
      <c r="E14420">
        <v>12.917999999999999</v>
      </c>
    </row>
    <row r="14421" spans="1:5">
      <c r="A14421" t="s">
        <v>42926</v>
      </c>
      <c r="B14421" t="s">
        <v>6604</v>
      </c>
      <c r="C14421">
        <v>0.124896784195</v>
      </c>
      <c r="D14421">
        <v>0.98179189162000002</v>
      </c>
      <c r="E14421">
        <v>24</v>
      </c>
    </row>
    <row r="14422" spans="1:5">
      <c r="A14422" t="s">
        <v>42926</v>
      </c>
      <c r="B14422" t="s">
        <v>6600</v>
      </c>
      <c r="C14422">
        <f>0</f>
        <v>0</v>
      </c>
      <c r="D14422">
        <v>0.98179189162000002</v>
      </c>
      <c r="E14422">
        <v>24</v>
      </c>
    </row>
    <row r="14423" spans="1:5">
      <c r="A14423" t="s">
        <v>42926</v>
      </c>
      <c r="B14423" t="s">
        <v>6598</v>
      </c>
      <c r="C14423">
        <v>0.71281766974100003</v>
      </c>
      <c r="D14423">
        <v>0.98179189162000002</v>
      </c>
      <c r="E14423">
        <v>24</v>
      </c>
    </row>
    <row r="14424" spans="1:5">
      <c r="A14424" t="s">
        <v>42926</v>
      </c>
      <c r="B14424" t="s">
        <v>6603</v>
      </c>
      <c r="C14424">
        <v>0.199313475893</v>
      </c>
      <c r="D14424">
        <v>0.98179189162000002</v>
      </c>
      <c r="E14424">
        <v>24</v>
      </c>
    </row>
    <row r="14425" spans="1:5">
      <c r="A14425" t="s">
        <v>42926</v>
      </c>
      <c r="B14425" t="s">
        <v>6602</v>
      </c>
      <c r="C14425">
        <v>0.143536553861</v>
      </c>
      <c r="D14425">
        <v>0.98179189162000002</v>
      </c>
      <c r="E14425">
        <v>24</v>
      </c>
    </row>
    <row r="14426" spans="1:5">
      <c r="A14426" t="s">
        <v>42926</v>
      </c>
      <c r="B14426" t="s">
        <v>6601</v>
      </c>
      <c r="C14426">
        <v>0</v>
      </c>
      <c r="D14426">
        <v>0.98179189162000002</v>
      </c>
      <c r="E14426">
        <v>24</v>
      </c>
    </row>
    <row r="14427" spans="1:5">
      <c r="A14427" t="s">
        <v>42927</v>
      </c>
      <c r="B14427" t="s">
        <v>20037</v>
      </c>
      <c r="C14427">
        <f>0.185680009566</f>
        <v>0.185680009566</v>
      </c>
      <c r="D14427">
        <v>0.94681668924100004</v>
      </c>
      <c r="E14427">
        <v>11.208</v>
      </c>
    </row>
    <row r="14428" spans="1:5">
      <c r="A14428" t="s">
        <v>42927</v>
      </c>
      <c r="B14428" t="s">
        <v>20038</v>
      </c>
      <c r="C14428">
        <f>0.357471427854</f>
        <v>0.35747142785399999</v>
      </c>
      <c r="D14428">
        <v>0.94681668924100004</v>
      </c>
      <c r="E14428">
        <v>11.208</v>
      </c>
    </row>
    <row r="14429" spans="1:5">
      <c r="A14429" t="s">
        <v>42927</v>
      </c>
      <c r="B14429" t="s">
        <v>20039</v>
      </c>
      <c r="C14429">
        <v>0.52653278098400003</v>
      </c>
      <c r="D14429">
        <v>0.94681668924100004</v>
      </c>
      <c r="E14429">
        <v>11.208</v>
      </c>
    </row>
    <row r="14430" spans="1:5">
      <c r="A14430" t="s">
        <v>42927</v>
      </c>
      <c r="B14430" t="s">
        <v>20040</v>
      </c>
      <c r="C14430">
        <f>0.60063299372</f>
        <v>0.60063299372000001</v>
      </c>
      <c r="D14430">
        <v>0.94681668924100004</v>
      </c>
      <c r="E14430">
        <v>11.208</v>
      </c>
    </row>
    <row r="14431" spans="1:5">
      <c r="A14431" t="s">
        <v>42928</v>
      </c>
      <c r="B14431" t="s">
        <v>11133</v>
      </c>
      <c r="C14431">
        <v>0.103106666244</v>
      </c>
      <c r="D14431">
        <v>0.65858741794800002</v>
      </c>
      <c r="E14431">
        <v>16.896000000000001</v>
      </c>
    </row>
    <row r="14432" spans="1:5">
      <c r="A14432" t="s">
        <v>42928</v>
      </c>
      <c r="B14432" t="s">
        <v>11135</v>
      </c>
      <c r="C14432">
        <v>0</v>
      </c>
      <c r="D14432">
        <v>0.65858741794800002</v>
      </c>
      <c r="E14432">
        <v>16.896000000000001</v>
      </c>
    </row>
    <row r="14433" spans="1:5">
      <c r="A14433" t="s">
        <v>42928</v>
      </c>
      <c r="B14433" t="s">
        <v>11134</v>
      </c>
      <c r="C14433">
        <v>0.29699424091799997</v>
      </c>
      <c r="D14433">
        <v>0.65858741794800002</v>
      </c>
      <c r="E14433">
        <v>16.896000000000001</v>
      </c>
    </row>
    <row r="14434" spans="1:5">
      <c r="A14434" t="s">
        <v>42929</v>
      </c>
      <c r="B14434" t="s">
        <v>1423</v>
      </c>
      <c r="C14434">
        <v>9.7765713073500002E-2</v>
      </c>
      <c r="D14434">
        <v>0.98292901335899996</v>
      </c>
      <c r="E14434">
        <v>0.438</v>
      </c>
    </row>
    <row r="14435" spans="1:5">
      <c r="A14435" t="s">
        <v>42929</v>
      </c>
      <c r="B14435" t="s">
        <v>1416</v>
      </c>
      <c r="C14435">
        <v>0.788621770813</v>
      </c>
      <c r="D14435">
        <v>0.98292901335899996</v>
      </c>
      <c r="E14435">
        <v>0.438</v>
      </c>
    </row>
    <row r="14436" spans="1:5">
      <c r="A14436" t="s">
        <v>42929</v>
      </c>
      <c r="B14436" t="s">
        <v>1422</v>
      </c>
      <c r="C14436">
        <f>0.661872371499</f>
        <v>0.66187237149900002</v>
      </c>
      <c r="D14436">
        <v>0.98292901335899996</v>
      </c>
      <c r="E14436">
        <v>0.438</v>
      </c>
    </row>
    <row r="14437" spans="1:5">
      <c r="A14437" t="s">
        <v>42929</v>
      </c>
      <c r="B14437" t="s">
        <v>1418</v>
      </c>
      <c r="C14437">
        <f>0.43365684312</f>
        <v>0.43365684312000002</v>
      </c>
      <c r="D14437">
        <v>0.98292901335899996</v>
      </c>
      <c r="E14437">
        <v>0.438</v>
      </c>
    </row>
    <row r="14438" spans="1:5">
      <c r="A14438" t="s">
        <v>42929</v>
      </c>
      <c r="B14438" t="s">
        <v>1417</v>
      </c>
      <c r="C14438">
        <v>0.18059061212899999</v>
      </c>
      <c r="D14438">
        <v>0.98292901335899996</v>
      </c>
      <c r="E14438">
        <v>0.438</v>
      </c>
    </row>
    <row r="14439" spans="1:5">
      <c r="A14439" t="s">
        <v>42930</v>
      </c>
      <c r="B14439" t="s">
        <v>26680</v>
      </c>
      <c r="C14439">
        <v>0</v>
      </c>
      <c r="D14439">
        <v>0.77261339734099999</v>
      </c>
      <c r="E14439">
        <v>11.706</v>
      </c>
    </row>
    <row r="14440" spans="1:5">
      <c r="A14440" t="s">
        <v>42930</v>
      </c>
      <c r="B14440" t="s">
        <v>26682</v>
      </c>
      <c r="C14440">
        <v>0.11928843277200001</v>
      </c>
      <c r="D14440">
        <v>0.77261339734099999</v>
      </c>
      <c r="E14440">
        <v>11.706</v>
      </c>
    </row>
    <row r="14441" spans="1:5">
      <c r="A14441" t="s">
        <v>42930</v>
      </c>
      <c r="B14441" t="s">
        <v>26684</v>
      </c>
      <c r="C14441">
        <v>0.44335470527800003</v>
      </c>
      <c r="D14441">
        <v>0.77261339734099999</v>
      </c>
      <c r="E14441">
        <v>11.706</v>
      </c>
    </row>
    <row r="14442" spans="1:5">
      <c r="A14442" t="s">
        <v>42931</v>
      </c>
      <c r="B14442" t="s">
        <v>34418</v>
      </c>
      <c r="C14442">
        <f>0</f>
        <v>0</v>
      </c>
      <c r="D14442" t="s">
        <v>106</v>
      </c>
      <c r="E14442">
        <v>24</v>
      </c>
    </row>
    <row r="14443" spans="1:5">
      <c r="A14443" t="s">
        <v>42931</v>
      </c>
      <c r="B14443" t="s">
        <v>34420</v>
      </c>
      <c r="C14443">
        <f>0</f>
        <v>0</v>
      </c>
      <c r="D14443" t="s">
        <v>106</v>
      </c>
      <c r="E14443">
        <v>24</v>
      </c>
    </row>
    <row r="14444" spans="1:5">
      <c r="A14444" t="s">
        <v>42931</v>
      </c>
      <c r="B14444" t="s">
        <v>34421</v>
      </c>
      <c r="C14444">
        <v>0</v>
      </c>
      <c r="D14444" t="s">
        <v>106</v>
      </c>
      <c r="E14444">
        <v>24</v>
      </c>
    </row>
    <row r="14445" spans="1:5">
      <c r="A14445" t="s">
        <v>42931</v>
      </c>
      <c r="B14445" t="s">
        <v>34422</v>
      </c>
      <c r="C14445">
        <v>0</v>
      </c>
      <c r="D14445" t="s">
        <v>106</v>
      </c>
      <c r="E14445">
        <v>24</v>
      </c>
    </row>
    <row r="14446" spans="1:5">
      <c r="A14446" t="s">
        <v>42932</v>
      </c>
      <c r="B14446" t="s">
        <v>18600</v>
      </c>
      <c r="C14446">
        <v>0</v>
      </c>
      <c r="D14446">
        <v>0.97702455902999996</v>
      </c>
      <c r="E14446">
        <v>0.24</v>
      </c>
    </row>
    <row r="14447" spans="1:5">
      <c r="A14447" t="s">
        <v>42932</v>
      </c>
      <c r="B14447" t="s">
        <v>18613</v>
      </c>
      <c r="C14447">
        <v>0.81503135021200002</v>
      </c>
      <c r="D14447">
        <v>0.97702455902999996</v>
      </c>
      <c r="E14447">
        <v>0.24</v>
      </c>
    </row>
    <row r="14448" spans="1:5">
      <c r="A14448" t="s">
        <v>42932</v>
      </c>
      <c r="B14448" t="s">
        <v>18601</v>
      </c>
      <c r="C14448">
        <v>3.9288278155699997E-2</v>
      </c>
      <c r="D14448">
        <v>0.97702455902999996</v>
      </c>
      <c r="E14448">
        <v>0.24</v>
      </c>
    </row>
    <row r="14449" spans="1:5">
      <c r="A14449" t="s">
        <v>42932</v>
      </c>
      <c r="B14449" t="s">
        <v>18603</v>
      </c>
      <c r="C14449">
        <f>0</f>
        <v>0</v>
      </c>
      <c r="D14449">
        <v>0.97702455902999996</v>
      </c>
      <c r="E14449">
        <v>0.24</v>
      </c>
    </row>
    <row r="14450" spans="1:5">
      <c r="A14450" t="s">
        <v>42932</v>
      </c>
      <c r="B14450" t="s">
        <v>18614</v>
      </c>
      <c r="C14450">
        <f>0.225701875473</f>
        <v>0.225701875473</v>
      </c>
      <c r="D14450">
        <v>0.97702455902999996</v>
      </c>
      <c r="E14450">
        <v>0.24</v>
      </c>
    </row>
    <row r="14451" spans="1:5">
      <c r="A14451" t="s">
        <v>42932</v>
      </c>
      <c r="B14451" t="s">
        <v>18608</v>
      </c>
      <c r="C14451">
        <v>0</v>
      </c>
      <c r="D14451">
        <v>0.97702455902999996</v>
      </c>
      <c r="E14451">
        <v>0.24</v>
      </c>
    </row>
    <row r="14452" spans="1:5">
      <c r="A14452" t="s">
        <v>42932</v>
      </c>
      <c r="B14452" t="s">
        <v>18607</v>
      </c>
      <c r="C14452">
        <v>0</v>
      </c>
      <c r="D14452">
        <v>0.97702455902999996</v>
      </c>
      <c r="E14452">
        <v>0.24</v>
      </c>
    </row>
    <row r="14453" spans="1:5">
      <c r="A14453" t="s">
        <v>42933</v>
      </c>
      <c r="B14453" t="s">
        <v>42934</v>
      </c>
      <c r="C14453">
        <v>0</v>
      </c>
      <c r="D14453" t="s">
        <v>106</v>
      </c>
      <c r="E14453">
        <v>3.1379999999999999</v>
      </c>
    </row>
    <row r="14454" spans="1:5">
      <c r="A14454" t="s">
        <v>42933</v>
      </c>
      <c r="B14454" t="s">
        <v>42935</v>
      </c>
      <c r="C14454">
        <v>0</v>
      </c>
      <c r="D14454" t="s">
        <v>106</v>
      </c>
      <c r="E14454">
        <v>3.1379999999999999</v>
      </c>
    </row>
    <row r="14455" spans="1:5">
      <c r="A14455" t="s">
        <v>42933</v>
      </c>
      <c r="B14455" t="s">
        <v>42936</v>
      </c>
      <c r="C14455">
        <f>0</f>
        <v>0</v>
      </c>
      <c r="D14455" t="s">
        <v>106</v>
      </c>
      <c r="E14455">
        <v>3.1379999999999999</v>
      </c>
    </row>
    <row r="14456" spans="1:5">
      <c r="A14456" t="s">
        <v>42937</v>
      </c>
      <c r="B14456" t="s">
        <v>25543</v>
      </c>
      <c r="C14456">
        <v>0</v>
      </c>
      <c r="D14456">
        <v>0.67060597871700001</v>
      </c>
      <c r="E14456">
        <v>19.853999999999999</v>
      </c>
    </row>
    <row r="14457" spans="1:5">
      <c r="A14457" t="s">
        <v>42937</v>
      </c>
      <c r="B14457" t="s">
        <v>25550</v>
      </c>
      <c r="C14457">
        <v>0</v>
      </c>
      <c r="D14457">
        <v>0.67060597871700001</v>
      </c>
      <c r="E14457">
        <v>19.853999999999999</v>
      </c>
    </row>
    <row r="14458" spans="1:5">
      <c r="A14458" t="s">
        <v>42937</v>
      </c>
      <c r="B14458" t="s">
        <v>25551</v>
      </c>
      <c r="C14458">
        <f>0</f>
        <v>0</v>
      </c>
      <c r="D14458">
        <v>0.67060597871700001</v>
      </c>
      <c r="E14458">
        <v>19.853999999999999</v>
      </c>
    </row>
    <row r="14459" spans="1:5">
      <c r="A14459" t="s">
        <v>42937</v>
      </c>
      <c r="B14459" t="s">
        <v>25549</v>
      </c>
      <c r="C14459">
        <f>0.310595978717</f>
        <v>0.31059597871700001</v>
      </c>
      <c r="D14459">
        <v>0.67060597871700001</v>
      </c>
      <c r="E14459">
        <v>19.853999999999999</v>
      </c>
    </row>
    <row r="14460" spans="1:5">
      <c r="A14460" t="s">
        <v>42938</v>
      </c>
      <c r="B14460" t="s">
        <v>26082</v>
      </c>
      <c r="C14460">
        <f>0.171204624745</f>
        <v>0.17120462474500001</v>
      </c>
      <c r="D14460">
        <v>0.90209201660799998</v>
      </c>
      <c r="E14460">
        <v>0.87</v>
      </c>
    </row>
    <row r="14461" spans="1:5">
      <c r="A14461" t="s">
        <v>42938</v>
      </c>
      <c r="B14461" t="s">
        <v>26080</v>
      </c>
      <c r="C14461">
        <v>0.306493305785</v>
      </c>
      <c r="D14461">
        <v>0.90209201660799998</v>
      </c>
      <c r="E14461">
        <v>0.87</v>
      </c>
    </row>
    <row r="14462" spans="1:5">
      <c r="A14462" t="s">
        <v>42938</v>
      </c>
      <c r="B14462" t="s">
        <v>26081</v>
      </c>
      <c r="C14462">
        <f>0</f>
        <v>0</v>
      </c>
      <c r="D14462">
        <v>0.90209201660799998</v>
      </c>
      <c r="E14462">
        <v>0.87</v>
      </c>
    </row>
    <row r="14463" spans="1:5">
      <c r="A14463" t="s">
        <v>42938</v>
      </c>
      <c r="B14463" t="s">
        <v>26084</v>
      </c>
      <c r="C14463">
        <v>0</v>
      </c>
      <c r="D14463">
        <v>0.90209201660799998</v>
      </c>
      <c r="E14463">
        <v>0.87</v>
      </c>
    </row>
    <row r="14464" spans="1:5">
      <c r="A14464" t="s">
        <v>42938</v>
      </c>
      <c r="B14464" t="s">
        <v>26083</v>
      </c>
      <c r="C14464">
        <v>0.516674604496</v>
      </c>
      <c r="D14464">
        <v>0.90209201660799998</v>
      </c>
      <c r="E14464">
        <v>0.87</v>
      </c>
    </row>
    <row r="14465" spans="1:5">
      <c r="A14465" t="s">
        <v>42939</v>
      </c>
      <c r="B14465" t="s">
        <v>19733</v>
      </c>
      <c r="C14465">
        <v>0.83985451776700004</v>
      </c>
      <c r="D14465">
        <v>0.86692006853100001</v>
      </c>
      <c r="E14465">
        <v>13.452</v>
      </c>
    </row>
    <row r="14466" spans="1:5">
      <c r="A14466" t="s">
        <v>42939</v>
      </c>
      <c r="B14466" t="s">
        <v>19732</v>
      </c>
      <c r="C14466">
        <v>4.8818891127800003E-2</v>
      </c>
      <c r="D14466">
        <v>0.86692006853100001</v>
      </c>
      <c r="E14466">
        <v>13.452</v>
      </c>
    </row>
    <row r="14467" spans="1:5">
      <c r="A14467" t="s">
        <v>42940</v>
      </c>
      <c r="B14467" t="s">
        <v>17665</v>
      </c>
      <c r="C14467">
        <f>0</f>
        <v>0</v>
      </c>
      <c r="D14467">
        <v>0.92977372926299995</v>
      </c>
      <c r="E14467">
        <v>10.398</v>
      </c>
    </row>
    <row r="14468" spans="1:5">
      <c r="A14468" t="s">
        <v>42940</v>
      </c>
      <c r="B14468" t="s">
        <v>17669</v>
      </c>
      <c r="C14468">
        <f>0</f>
        <v>0</v>
      </c>
      <c r="D14468">
        <v>0.92977372926299995</v>
      </c>
      <c r="E14468">
        <v>10.398</v>
      </c>
    </row>
    <row r="14469" spans="1:5">
      <c r="A14469" t="s">
        <v>42940</v>
      </c>
      <c r="B14469" t="s">
        <v>17667</v>
      </c>
      <c r="C14469">
        <f>0.769763729263</f>
        <v>0.76976372926299996</v>
      </c>
      <c r="D14469">
        <v>0.92977372926299995</v>
      </c>
      <c r="E14469">
        <v>10.398</v>
      </c>
    </row>
    <row r="14470" spans="1:5">
      <c r="A14470" t="s">
        <v>42940</v>
      </c>
      <c r="B14470" t="s">
        <v>17668</v>
      </c>
      <c r="C14470">
        <f>0</f>
        <v>0</v>
      </c>
      <c r="D14470">
        <v>0.92977372926299995</v>
      </c>
      <c r="E14470">
        <v>10.398</v>
      </c>
    </row>
    <row r="14471" spans="1:5">
      <c r="A14471" t="s">
        <v>42940</v>
      </c>
      <c r="B14471" t="s">
        <v>17666</v>
      </c>
      <c r="C14471">
        <v>0</v>
      </c>
      <c r="D14471">
        <v>0.92977372926299995</v>
      </c>
      <c r="E14471">
        <v>10.398</v>
      </c>
    </row>
    <row r="14472" spans="1:5">
      <c r="A14472" t="s">
        <v>42941</v>
      </c>
      <c r="B14472" t="s">
        <v>30081</v>
      </c>
      <c r="C14472">
        <v>0</v>
      </c>
      <c r="D14472" t="s">
        <v>106</v>
      </c>
      <c r="E14472">
        <v>24</v>
      </c>
    </row>
    <row r="14473" spans="1:5">
      <c r="A14473" t="s">
        <v>42941</v>
      </c>
      <c r="B14473" t="s">
        <v>30083</v>
      </c>
      <c r="C14473">
        <v>0</v>
      </c>
      <c r="D14473" t="s">
        <v>106</v>
      </c>
      <c r="E14473">
        <v>24</v>
      </c>
    </row>
    <row r="14474" spans="1:5">
      <c r="A14474" t="s">
        <v>42941</v>
      </c>
      <c r="B14474" t="s">
        <v>30082</v>
      </c>
      <c r="C14474">
        <f>0</f>
        <v>0</v>
      </c>
      <c r="D14474" t="s">
        <v>106</v>
      </c>
      <c r="E14474">
        <v>24</v>
      </c>
    </row>
    <row r="14475" spans="1:5">
      <c r="A14475" t="s">
        <v>42942</v>
      </c>
      <c r="B14475" t="s">
        <v>7668</v>
      </c>
      <c r="C14475">
        <v>0.20927359386399999</v>
      </c>
      <c r="D14475">
        <v>0.74934837459199999</v>
      </c>
      <c r="E14475">
        <v>20.963999999999999</v>
      </c>
    </row>
    <row r="14476" spans="1:5">
      <c r="A14476" t="s">
        <v>42942</v>
      </c>
      <c r="B14476" t="s">
        <v>7670</v>
      </c>
      <c r="C14476">
        <v>6.1739244917499998E-2</v>
      </c>
      <c r="D14476">
        <v>0.74934837459199999</v>
      </c>
      <c r="E14476">
        <v>20.963999999999999</v>
      </c>
    </row>
    <row r="14477" spans="1:5">
      <c r="A14477" t="s">
        <v>42943</v>
      </c>
      <c r="B14477" t="s">
        <v>42944</v>
      </c>
      <c r="C14477">
        <v>0.685456313968</v>
      </c>
      <c r="D14477">
        <v>0.87906631396799995</v>
      </c>
      <c r="E14477">
        <v>0.69599999999999995</v>
      </c>
    </row>
    <row r="14478" spans="1:5">
      <c r="A14478" t="s">
        <v>42943</v>
      </c>
      <c r="B14478" t="s">
        <v>42945</v>
      </c>
      <c r="C14478">
        <v>0</v>
      </c>
      <c r="D14478">
        <v>0.87906631396799995</v>
      </c>
      <c r="E14478">
        <v>0.69599999999999995</v>
      </c>
    </row>
    <row r="14479" spans="1:5">
      <c r="A14479" t="s">
        <v>42943</v>
      </c>
      <c r="B14479" t="s">
        <v>42946</v>
      </c>
      <c r="C14479">
        <f>0</f>
        <v>0</v>
      </c>
      <c r="D14479">
        <v>0.87906631396799995</v>
      </c>
      <c r="E14479">
        <v>0.69599999999999995</v>
      </c>
    </row>
    <row r="14480" spans="1:5">
      <c r="A14480" t="s">
        <v>42943</v>
      </c>
      <c r="B14480" t="s">
        <v>42947</v>
      </c>
      <c r="C14480">
        <v>0</v>
      </c>
      <c r="D14480">
        <v>0.87906631396799995</v>
      </c>
      <c r="E14480">
        <v>0.69599999999999995</v>
      </c>
    </row>
    <row r="14481" spans="1:5">
      <c r="A14481" t="s">
        <v>42948</v>
      </c>
      <c r="B14481" t="s">
        <v>5828</v>
      </c>
      <c r="C14481">
        <v>0.21865611304599999</v>
      </c>
      <c r="D14481">
        <v>0.85570722051899994</v>
      </c>
      <c r="E14481">
        <v>0.17399999999999999</v>
      </c>
    </row>
    <row r="14482" spans="1:5">
      <c r="A14482" t="s">
        <v>42948</v>
      </c>
      <c r="B14482" t="s">
        <v>5832</v>
      </c>
      <c r="C14482">
        <v>0.658492249192</v>
      </c>
      <c r="D14482">
        <v>0.85570722051899994</v>
      </c>
      <c r="E14482">
        <v>0.17399999999999999</v>
      </c>
    </row>
    <row r="14483" spans="1:5">
      <c r="A14483" t="s">
        <v>42948</v>
      </c>
      <c r="B14483" t="s">
        <v>5834</v>
      </c>
      <c r="C14483">
        <f>0.0430605775646</f>
        <v>4.3060577564600001E-2</v>
      </c>
      <c r="D14483">
        <v>0.85570722051899994</v>
      </c>
      <c r="E14483">
        <v>0.17399999999999999</v>
      </c>
    </row>
    <row r="14484" spans="1:5">
      <c r="A14484" t="s">
        <v>42948</v>
      </c>
      <c r="B14484" t="s">
        <v>5829</v>
      </c>
      <c r="C14484">
        <f>0</f>
        <v>0</v>
      </c>
      <c r="D14484">
        <v>0.85570722051899994</v>
      </c>
      <c r="E14484">
        <v>0.17399999999999999</v>
      </c>
    </row>
    <row r="14485" spans="1:5">
      <c r="A14485" t="s">
        <v>42949</v>
      </c>
      <c r="B14485" t="s">
        <v>29950</v>
      </c>
      <c r="C14485">
        <v>0.12852641252899999</v>
      </c>
      <c r="D14485">
        <v>0.95568850879300005</v>
      </c>
      <c r="E14485">
        <v>24</v>
      </c>
    </row>
    <row r="14486" spans="1:5">
      <c r="A14486" t="s">
        <v>42949</v>
      </c>
      <c r="B14486" t="s">
        <v>29947</v>
      </c>
      <c r="C14486">
        <f>0.481755356489</f>
        <v>0.48175535648899998</v>
      </c>
      <c r="D14486">
        <v>0.95568850879300005</v>
      </c>
      <c r="E14486">
        <v>24</v>
      </c>
    </row>
    <row r="14487" spans="1:5">
      <c r="A14487" t="s">
        <v>42949</v>
      </c>
      <c r="B14487" t="s">
        <v>29949</v>
      </c>
      <c r="C14487">
        <v>0.65476793695199997</v>
      </c>
      <c r="D14487">
        <v>0.95568850879300005</v>
      </c>
      <c r="E14487">
        <v>24</v>
      </c>
    </row>
    <row r="14488" spans="1:5">
      <c r="A14488" t="s">
        <v>42950</v>
      </c>
      <c r="B14488" t="s">
        <v>42951</v>
      </c>
      <c r="C14488">
        <v>8.0349821135699995E-2</v>
      </c>
      <c r="D14488">
        <v>0.89290546817899996</v>
      </c>
      <c r="E14488">
        <v>10.554</v>
      </c>
    </row>
    <row r="14489" spans="1:5">
      <c r="A14489" t="s">
        <v>42950</v>
      </c>
      <c r="B14489" t="s">
        <v>42952</v>
      </c>
      <c r="C14489">
        <v>0.57545796424399998</v>
      </c>
      <c r="D14489">
        <v>0.89290546817899996</v>
      </c>
      <c r="E14489">
        <v>10.554</v>
      </c>
    </row>
    <row r="14490" spans="1:5">
      <c r="A14490" t="s">
        <v>42950</v>
      </c>
      <c r="B14490" t="s">
        <v>42953</v>
      </c>
      <c r="C14490">
        <v>0.24806585922999999</v>
      </c>
      <c r="D14490">
        <v>0.89290546817899996</v>
      </c>
      <c r="E14490">
        <v>10.554</v>
      </c>
    </row>
    <row r="14491" spans="1:5">
      <c r="A14491" t="s">
        <v>42954</v>
      </c>
      <c r="B14491" t="s">
        <v>34069</v>
      </c>
      <c r="C14491">
        <f>0.00200228003681</f>
        <v>2.0022800368099999E-3</v>
      </c>
      <c r="D14491">
        <v>0.99234472114799999</v>
      </c>
      <c r="E14491">
        <v>18.768000000000001</v>
      </c>
    </row>
    <row r="14492" spans="1:5">
      <c r="A14492" t="s">
        <v>42954</v>
      </c>
      <c r="B14492" t="s">
        <v>34070</v>
      </c>
      <c r="C14492">
        <v>0.61502931640199998</v>
      </c>
      <c r="D14492">
        <v>0.99234472114799999</v>
      </c>
      <c r="E14492">
        <v>18.768000000000001</v>
      </c>
    </row>
    <row r="14493" spans="1:5">
      <c r="A14493" t="s">
        <v>42954</v>
      </c>
      <c r="B14493" t="s">
        <v>42955</v>
      </c>
      <c r="C14493">
        <f>-1.28779117865</f>
        <v>-1.28779117865</v>
      </c>
      <c r="D14493">
        <v>0.99234472114799999</v>
      </c>
      <c r="E14493">
        <v>18.768000000000001</v>
      </c>
    </row>
    <row r="14494" spans="1:5">
      <c r="A14494" t="s">
        <v>42954</v>
      </c>
      <c r="B14494" t="s">
        <v>34071</v>
      </c>
      <c r="C14494">
        <v>0.54437111563499996</v>
      </c>
      <c r="D14494">
        <v>0.99234472114799999</v>
      </c>
      <c r="E14494">
        <v>18.768000000000001</v>
      </c>
    </row>
    <row r="14495" spans="1:5">
      <c r="A14495" t="s">
        <v>42954</v>
      </c>
      <c r="B14495" t="s">
        <v>34074</v>
      </c>
      <c r="C14495">
        <v>1.91785280888</v>
      </c>
      <c r="D14495">
        <v>0.99234472114799999</v>
      </c>
      <c r="E14495">
        <v>18.768000000000001</v>
      </c>
    </row>
    <row r="14496" spans="1:5">
      <c r="A14496" t="s">
        <v>42956</v>
      </c>
      <c r="B14496" t="s">
        <v>28896</v>
      </c>
      <c r="C14496">
        <f>0</f>
        <v>0</v>
      </c>
      <c r="D14496" t="s">
        <v>106</v>
      </c>
      <c r="E14496">
        <v>6.3</v>
      </c>
    </row>
    <row r="14497" spans="1:5">
      <c r="A14497" t="s">
        <v>42956</v>
      </c>
      <c r="B14497" t="s">
        <v>28902</v>
      </c>
      <c r="C14497">
        <v>0</v>
      </c>
      <c r="D14497" t="s">
        <v>106</v>
      </c>
      <c r="E14497">
        <v>6.3</v>
      </c>
    </row>
    <row r="14498" spans="1:5">
      <c r="A14498" t="s">
        <v>42957</v>
      </c>
      <c r="B14498" t="s">
        <v>27155</v>
      </c>
      <c r="C14498">
        <f>0</f>
        <v>0</v>
      </c>
      <c r="D14498" t="s">
        <v>106</v>
      </c>
      <c r="E14498">
        <v>23.754000000000001</v>
      </c>
    </row>
    <row r="14499" spans="1:5">
      <c r="A14499" t="s">
        <v>42957</v>
      </c>
      <c r="B14499" t="s">
        <v>27156</v>
      </c>
      <c r="C14499">
        <v>0</v>
      </c>
      <c r="D14499" t="s">
        <v>106</v>
      </c>
      <c r="E14499">
        <v>23.754000000000001</v>
      </c>
    </row>
    <row r="14500" spans="1:5">
      <c r="A14500" t="s">
        <v>42957</v>
      </c>
      <c r="B14500" t="s">
        <v>42958</v>
      </c>
      <c r="C14500">
        <f>0</f>
        <v>0</v>
      </c>
      <c r="D14500" t="s">
        <v>106</v>
      </c>
      <c r="E14500">
        <v>23.754000000000001</v>
      </c>
    </row>
    <row r="14501" spans="1:5">
      <c r="A14501" t="s">
        <v>42957</v>
      </c>
      <c r="B14501" t="s">
        <v>27157</v>
      </c>
      <c r="C14501">
        <f>0</f>
        <v>0</v>
      </c>
      <c r="D14501" t="s">
        <v>106</v>
      </c>
      <c r="E14501">
        <v>23.754000000000001</v>
      </c>
    </row>
    <row r="14502" spans="1:5">
      <c r="A14502" t="s">
        <v>42957</v>
      </c>
      <c r="B14502" t="s">
        <v>27154</v>
      </c>
      <c r="C14502">
        <v>0</v>
      </c>
      <c r="D14502" t="s">
        <v>106</v>
      </c>
      <c r="E14502">
        <v>23.754000000000001</v>
      </c>
    </row>
    <row r="14503" spans="1:5">
      <c r="A14503" t="s">
        <v>42959</v>
      </c>
      <c r="B14503" t="s">
        <v>42960</v>
      </c>
      <c r="C14503">
        <v>0</v>
      </c>
      <c r="D14503" t="s">
        <v>106</v>
      </c>
      <c r="E14503">
        <v>23.754000000000001</v>
      </c>
    </row>
    <row r="14504" spans="1:5">
      <c r="A14504" t="s">
        <v>42959</v>
      </c>
      <c r="B14504" t="s">
        <v>42961</v>
      </c>
      <c r="C14504">
        <v>0</v>
      </c>
      <c r="D14504" t="s">
        <v>106</v>
      </c>
      <c r="E14504">
        <v>23.754000000000001</v>
      </c>
    </row>
    <row r="14505" spans="1:5">
      <c r="A14505" t="s">
        <v>42959</v>
      </c>
      <c r="B14505" t="s">
        <v>42962</v>
      </c>
      <c r="C14505">
        <v>0</v>
      </c>
      <c r="D14505" t="s">
        <v>106</v>
      </c>
      <c r="E14505">
        <v>23.754000000000001</v>
      </c>
    </row>
    <row r="14506" spans="1:5">
      <c r="A14506" t="s">
        <v>42959</v>
      </c>
      <c r="B14506" t="s">
        <v>42963</v>
      </c>
      <c r="C14506">
        <v>0</v>
      </c>
      <c r="D14506" t="s">
        <v>106</v>
      </c>
      <c r="E14506">
        <v>23.754000000000001</v>
      </c>
    </row>
    <row r="14507" spans="1:5">
      <c r="A14507" t="s">
        <v>42959</v>
      </c>
      <c r="B14507" t="s">
        <v>42964</v>
      </c>
      <c r="C14507">
        <v>0</v>
      </c>
      <c r="D14507" t="s">
        <v>106</v>
      </c>
      <c r="E14507">
        <v>23.754000000000001</v>
      </c>
    </row>
    <row r="14508" spans="1:5">
      <c r="A14508" t="s">
        <v>42959</v>
      </c>
      <c r="B14508" t="s">
        <v>42965</v>
      </c>
      <c r="C14508">
        <v>0</v>
      </c>
      <c r="D14508" t="s">
        <v>106</v>
      </c>
      <c r="E14508">
        <v>23.754000000000001</v>
      </c>
    </row>
    <row r="14509" spans="1:5">
      <c r="A14509" t="s">
        <v>42959</v>
      </c>
      <c r="B14509" t="s">
        <v>42966</v>
      </c>
      <c r="C14509">
        <v>0</v>
      </c>
      <c r="D14509" t="s">
        <v>106</v>
      </c>
      <c r="E14509">
        <v>23.754000000000001</v>
      </c>
    </row>
    <row r="14510" spans="1:5">
      <c r="A14510" t="s">
        <v>42959</v>
      </c>
      <c r="B14510" t="s">
        <v>42967</v>
      </c>
      <c r="C14510">
        <v>0</v>
      </c>
      <c r="D14510" t="s">
        <v>106</v>
      </c>
      <c r="E14510">
        <v>23.754000000000001</v>
      </c>
    </row>
    <row r="14511" spans="1:5">
      <c r="A14511" t="s">
        <v>42959</v>
      </c>
      <c r="B14511" t="s">
        <v>42968</v>
      </c>
      <c r="C14511">
        <f>0</f>
        <v>0</v>
      </c>
      <c r="D14511" t="s">
        <v>106</v>
      </c>
      <c r="E14511">
        <v>23.754000000000001</v>
      </c>
    </row>
    <row r="14512" spans="1:5">
      <c r="A14512" t="s">
        <v>42959</v>
      </c>
      <c r="B14512" t="s">
        <v>42969</v>
      </c>
      <c r="C14512">
        <f>0</f>
        <v>0</v>
      </c>
      <c r="D14512" t="s">
        <v>106</v>
      </c>
      <c r="E14512">
        <v>23.754000000000001</v>
      </c>
    </row>
    <row r="14513" spans="1:5">
      <c r="A14513" t="s">
        <v>42959</v>
      </c>
      <c r="B14513" t="s">
        <v>42970</v>
      </c>
      <c r="C14513">
        <v>0</v>
      </c>
      <c r="D14513" t="s">
        <v>106</v>
      </c>
      <c r="E14513">
        <v>23.754000000000001</v>
      </c>
    </row>
    <row r="14514" spans="1:5">
      <c r="A14514" t="s">
        <v>42971</v>
      </c>
      <c r="B14514" t="s">
        <v>42972</v>
      </c>
      <c r="C14514">
        <f>0</f>
        <v>0</v>
      </c>
      <c r="D14514" t="s">
        <v>106</v>
      </c>
      <c r="E14514">
        <v>24</v>
      </c>
    </row>
    <row r="14515" spans="1:5">
      <c r="A14515" t="s">
        <v>42971</v>
      </c>
      <c r="B14515" t="s">
        <v>42973</v>
      </c>
      <c r="C14515">
        <f>0</f>
        <v>0</v>
      </c>
      <c r="D14515" t="s">
        <v>106</v>
      </c>
      <c r="E14515">
        <v>24</v>
      </c>
    </row>
    <row r="14516" spans="1:5">
      <c r="A14516" t="s">
        <v>42974</v>
      </c>
      <c r="B14516" t="s">
        <v>29888</v>
      </c>
      <c r="C14516">
        <v>0</v>
      </c>
      <c r="D14516" t="s">
        <v>106</v>
      </c>
      <c r="E14516">
        <v>15.318</v>
      </c>
    </row>
    <row r="14517" spans="1:5">
      <c r="A14517" t="s">
        <v>42974</v>
      </c>
      <c r="B14517" t="s">
        <v>29891</v>
      </c>
      <c r="C14517">
        <v>0</v>
      </c>
      <c r="D14517" t="s">
        <v>106</v>
      </c>
      <c r="E14517">
        <v>15.318</v>
      </c>
    </row>
    <row r="14518" spans="1:5">
      <c r="A14518" t="s">
        <v>42974</v>
      </c>
      <c r="B14518" t="s">
        <v>29894</v>
      </c>
      <c r="C14518">
        <v>0</v>
      </c>
      <c r="D14518" t="s">
        <v>106</v>
      </c>
      <c r="E14518">
        <v>15.318</v>
      </c>
    </row>
    <row r="14519" spans="1:5">
      <c r="A14519" t="s">
        <v>42974</v>
      </c>
      <c r="B14519" t="s">
        <v>29892</v>
      </c>
      <c r="C14519">
        <v>0</v>
      </c>
      <c r="D14519" t="s">
        <v>106</v>
      </c>
      <c r="E14519">
        <v>15.318</v>
      </c>
    </row>
    <row r="14520" spans="1:5">
      <c r="A14520" t="s">
        <v>42975</v>
      </c>
      <c r="B14520" t="s">
        <v>42976</v>
      </c>
      <c r="C14520">
        <v>0</v>
      </c>
      <c r="D14520" t="s">
        <v>106</v>
      </c>
      <c r="E14520">
        <v>24</v>
      </c>
    </row>
    <row r="14521" spans="1:5">
      <c r="A14521" t="s">
        <v>42975</v>
      </c>
      <c r="B14521" t="s">
        <v>42977</v>
      </c>
      <c r="C14521">
        <f>0</f>
        <v>0</v>
      </c>
      <c r="D14521" t="s">
        <v>106</v>
      </c>
      <c r="E14521">
        <v>24</v>
      </c>
    </row>
    <row r="14522" spans="1:5">
      <c r="A14522" t="s">
        <v>42975</v>
      </c>
      <c r="B14522" t="s">
        <v>42978</v>
      </c>
      <c r="C14522">
        <v>0</v>
      </c>
      <c r="D14522" t="s">
        <v>106</v>
      </c>
      <c r="E14522">
        <v>24</v>
      </c>
    </row>
    <row r="14523" spans="1:5">
      <c r="A14523" t="s">
        <v>42979</v>
      </c>
      <c r="B14523" t="s">
        <v>27009</v>
      </c>
      <c r="C14523">
        <f>0.75367550193</f>
        <v>0.75367550192999999</v>
      </c>
      <c r="D14523">
        <v>0.87001382922600001</v>
      </c>
      <c r="E14523">
        <v>0.91800000000000004</v>
      </c>
    </row>
    <row r="14524" spans="1:5">
      <c r="A14524" t="s">
        <v>42979</v>
      </c>
      <c r="B14524" t="s">
        <v>27011</v>
      </c>
      <c r="C14524">
        <v>0.46396040286599999</v>
      </c>
      <c r="D14524">
        <v>0.87001382922600001</v>
      </c>
      <c r="E14524">
        <v>0.91800000000000004</v>
      </c>
    </row>
    <row r="14525" spans="1:5">
      <c r="A14525" t="s">
        <v>42979</v>
      </c>
      <c r="B14525" t="s">
        <v>27014</v>
      </c>
      <c r="C14525">
        <v>0</v>
      </c>
      <c r="D14525">
        <v>0.87001382922600001</v>
      </c>
      <c r="E14525">
        <v>0.91800000000000004</v>
      </c>
    </row>
    <row r="14526" spans="1:5">
      <c r="A14526" t="s">
        <v>42979</v>
      </c>
      <c r="B14526" t="s">
        <v>27010</v>
      </c>
      <c r="C14526">
        <v>0.119460269987</v>
      </c>
      <c r="D14526">
        <v>0.87001382922600001</v>
      </c>
      <c r="E14526">
        <v>0.91800000000000004</v>
      </c>
    </row>
    <row r="14527" spans="1:5">
      <c r="A14527" t="s">
        <v>42980</v>
      </c>
      <c r="B14527" t="s">
        <v>1110</v>
      </c>
      <c r="C14527">
        <v>0.65004163293499995</v>
      </c>
      <c r="D14527">
        <v>0.83828849094299995</v>
      </c>
      <c r="E14527">
        <v>1.6379999999999999</v>
      </c>
    </row>
    <row r="14528" spans="1:5">
      <c r="A14528" t="s">
        <v>42980</v>
      </c>
      <c r="B14528" t="s">
        <v>1105</v>
      </c>
      <c r="C14528">
        <v>6.95793691022E-2</v>
      </c>
      <c r="D14528">
        <v>0.83828849094299995</v>
      </c>
      <c r="E14528">
        <v>1.6379999999999999</v>
      </c>
    </row>
    <row r="14529" spans="1:5">
      <c r="A14529" t="s">
        <v>42980</v>
      </c>
      <c r="B14529" t="s">
        <v>1104</v>
      </c>
      <c r="C14529">
        <v>0</v>
      </c>
      <c r="D14529">
        <v>0.83828849094299995</v>
      </c>
      <c r="E14529">
        <v>1.6379999999999999</v>
      </c>
    </row>
    <row r="14530" spans="1:5">
      <c r="A14530" t="s">
        <v>42981</v>
      </c>
      <c r="B14530" t="s">
        <v>9620</v>
      </c>
      <c r="C14530">
        <v>0.72419475786499998</v>
      </c>
      <c r="D14530">
        <v>0.79421525527100001</v>
      </c>
      <c r="E14530">
        <v>6.6779999999999999</v>
      </c>
    </row>
    <row r="14531" spans="1:5">
      <c r="A14531" t="s">
        <v>42981</v>
      </c>
      <c r="B14531" t="s">
        <v>9621</v>
      </c>
      <c r="C14531">
        <v>0.437999288544</v>
      </c>
      <c r="D14531">
        <v>0.79421525527100001</v>
      </c>
      <c r="E14531">
        <v>6.6779999999999999</v>
      </c>
    </row>
    <row r="14532" spans="1:5">
      <c r="A14532" t="s">
        <v>42982</v>
      </c>
      <c r="B14532" t="s">
        <v>20266</v>
      </c>
      <c r="C14532">
        <v>0.89333949808099999</v>
      </c>
      <c r="D14532">
        <v>0.90762847807900005</v>
      </c>
      <c r="E14532">
        <v>1.512</v>
      </c>
    </row>
    <row r="14533" spans="1:5">
      <c r="A14533" t="s">
        <v>42982</v>
      </c>
      <c r="B14533" t="s">
        <v>20267</v>
      </c>
      <c r="C14533">
        <v>0.29609826721400001</v>
      </c>
      <c r="D14533">
        <v>0.90762847807900005</v>
      </c>
      <c r="E14533">
        <v>1.512</v>
      </c>
    </row>
    <row r="14534" spans="1:5">
      <c r="A14534" t="s">
        <v>42983</v>
      </c>
      <c r="B14534" t="s">
        <v>33592</v>
      </c>
      <c r="C14534">
        <f>0</f>
        <v>0</v>
      </c>
      <c r="D14534" t="s">
        <v>106</v>
      </c>
      <c r="E14534">
        <v>4.0739999999999998</v>
      </c>
    </row>
    <row r="14535" spans="1:5">
      <c r="A14535" t="s">
        <v>42983</v>
      </c>
      <c r="B14535" t="s">
        <v>33593</v>
      </c>
      <c r="C14535">
        <v>0</v>
      </c>
      <c r="D14535" t="s">
        <v>106</v>
      </c>
      <c r="E14535">
        <v>4.0739999999999998</v>
      </c>
    </row>
    <row r="14536" spans="1:5">
      <c r="A14536" t="s">
        <v>42984</v>
      </c>
      <c r="B14536" t="s">
        <v>16398</v>
      </c>
      <c r="C14536">
        <f>0</f>
        <v>0</v>
      </c>
      <c r="D14536" t="s">
        <v>106</v>
      </c>
      <c r="E14536">
        <v>6.3</v>
      </c>
    </row>
    <row r="14537" spans="1:5">
      <c r="A14537" t="s">
        <v>42984</v>
      </c>
      <c r="B14537" t="s">
        <v>16396</v>
      </c>
      <c r="C14537">
        <v>0</v>
      </c>
      <c r="D14537" t="s">
        <v>106</v>
      </c>
      <c r="E14537">
        <v>6.3</v>
      </c>
    </row>
    <row r="14538" spans="1:5">
      <c r="A14538" t="s">
        <v>42984</v>
      </c>
      <c r="B14538" t="s">
        <v>16397</v>
      </c>
      <c r="C14538">
        <v>0</v>
      </c>
      <c r="D14538" t="s">
        <v>106</v>
      </c>
      <c r="E14538">
        <v>6.3</v>
      </c>
    </row>
    <row r="14539" spans="1:5">
      <c r="A14539" t="s">
        <v>42984</v>
      </c>
      <c r="B14539" t="s">
        <v>16400</v>
      </c>
      <c r="C14539">
        <v>0</v>
      </c>
      <c r="D14539" t="s">
        <v>106</v>
      </c>
      <c r="E14539">
        <v>6.3</v>
      </c>
    </row>
    <row r="14540" spans="1:5">
      <c r="A14540" t="s">
        <v>42985</v>
      </c>
      <c r="B14540" t="s">
        <v>926</v>
      </c>
      <c r="C14540">
        <v>0</v>
      </c>
      <c r="D14540" t="s">
        <v>106</v>
      </c>
      <c r="E14540">
        <v>2.4E-2</v>
      </c>
    </row>
    <row r="14541" spans="1:5">
      <c r="A14541" t="s">
        <v>42985</v>
      </c>
      <c r="B14541" t="s">
        <v>927</v>
      </c>
      <c r="C14541">
        <v>0</v>
      </c>
      <c r="D14541" t="s">
        <v>106</v>
      </c>
      <c r="E14541">
        <v>2.4E-2</v>
      </c>
    </row>
    <row r="14542" spans="1:5">
      <c r="A14542" t="s">
        <v>42986</v>
      </c>
      <c r="B14542" t="s">
        <v>42987</v>
      </c>
      <c r="C14542">
        <f>0.564638121893</f>
        <v>0.564638121893</v>
      </c>
      <c r="D14542">
        <v>0.952784025915</v>
      </c>
      <c r="E14542">
        <v>3.0539999999999998</v>
      </c>
    </row>
    <row r="14543" spans="1:5">
      <c r="A14543" t="s">
        <v>42986</v>
      </c>
      <c r="B14543" t="s">
        <v>42988</v>
      </c>
      <c r="C14543">
        <f>0.43034856712</f>
        <v>0.43034856712000003</v>
      </c>
      <c r="D14543">
        <v>0.952784025915</v>
      </c>
      <c r="E14543">
        <v>3.0539999999999998</v>
      </c>
    </row>
    <row r="14544" spans="1:5">
      <c r="A14544" t="s">
        <v>42986</v>
      </c>
      <c r="B14544" t="s">
        <v>42989</v>
      </c>
      <c r="C14544">
        <v>0</v>
      </c>
      <c r="D14544">
        <v>0.952784025915</v>
      </c>
      <c r="E14544">
        <v>3.0539999999999998</v>
      </c>
    </row>
    <row r="14545" spans="1:5">
      <c r="A14545" t="s">
        <v>42986</v>
      </c>
      <c r="B14545" t="s">
        <v>42990</v>
      </c>
      <c r="C14545">
        <v>0</v>
      </c>
      <c r="D14545">
        <v>0.952784025915</v>
      </c>
      <c r="E14545">
        <v>3.0539999999999998</v>
      </c>
    </row>
    <row r="14546" spans="1:5">
      <c r="A14546" t="s">
        <v>42986</v>
      </c>
      <c r="B14546" t="s">
        <v>42991</v>
      </c>
      <c r="C14546">
        <v>0</v>
      </c>
      <c r="D14546">
        <v>0.952784025915</v>
      </c>
      <c r="E14546">
        <v>3.0539999999999998</v>
      </c>
    </row>
    <row r="14547" spans="1:5">
      <c r="A14547" t="s">
        <v>42986</v>
      </c>
      <c r="B14547" t="s">
        <v>42992</v>
      </c>
      <c r="C14547">
        <v>0</v>
      </c>
      <c r="D14547">
        <v>0.952784025915</v>
      </c>
      <c r="E14547">
        <v>3.0539999999999998</v>
      </c>
    </row>
    <row r="14548" spans="1:5">
      <c r="A14548" t="s">
        <v>42986</v>
      </c>
      <c r="B14548" t="s">
        <v>42993</v>
      </c>
      <c r="C14548">
        <v>0.58924273353500001</v>
      </c>
      <c r="D14548">
        <v>0.952784025915</v>
      </c>
      <c r="E14548">
        <v>3.0539999999999998</v>
      </c>
    </row>
    <row r="14549" spans="1:5">
      <c r="A14549" t="s">
        <v>42994</v>
      </c>
      <c r="B14549" t="s">
        <v>42995</v>
      </c>
      <c r="C14549">
        <v>0.41857539071900002</v>
      </c>
      <c r="D14549">
        <v>0.64882505959799996</v>
      </c>
      <c r="E14549">
        <v>10.554</v>
      </c>
    </row>
    <row r="14550" spans="1:5">
      <c r="A14550" t="s">
        <v>42994</v>
      </c>
      <c r="B14550" t="s">
        <v>42996</v>
      </c>
      <c r="C14550">
        <v>0.194639168714</v>
      </c>
      <c r="D14550">
        <v>0.64882505959799996</v>
      </c>
      <c r="E14550">
        <v>10.554</v>
      </c>
    </row>
    <row r="14551" spans="1:5">
      <c r="A14551" t="s">
        <v>42997</v>
      </c>
      <c r="B14551" t="s">
        <v>4078</v>
      </c>
      <c r="C14551">
        <f>0.195477373108</f>
        <v>0.19547737310800001</v>
      </c>
      <c r="D14551">
        <v>0.70629184043600002</v>
      </c>
      <c r="E14551">
        <v>6.3</v>
      </c>
    </row>
    <row r="14552" spans="1:5">
      <c r="A14552" t="s">
        <v>42997</v>
      </c>
      <c r="B14552" t="s">
        <v>4081</v>
      </c>
      <c r="C14552">
        <f>0</f>
        <v>0</v>
      </c>
      <c r="D14552">
        <v>0.70629184043600002</v>
      </c>
      <c r="E14552">
        <v>6.3</v>
      </c>
    </row>
    <row r="14553" spans="1:5">
      <c r="A14553" t="s">
        <v>42997</v>
      </c>
      <c r="B14553" t="s">
        <v>4079</v>
      </c>
      <c r="C14553">
        <v>0.46220706200200001</v>
      </c>
      <c r="D14553">
        <v>0.70629184043600002</v>
      </c>
      <c r="E14553">
        <v>6.3</v>
      </c>
    </row>
    <row r="14554" spans="1:5">
      <c r="A14554" t="s">
        <v>42998</v>
      </c>
      <c r="B14554" t="s">
        <v>13038</v>
      </c>
      <c r="C14554">
        <v>4.64559307012E-2</v>
      </c>
      <c r="D14554">
        <v>0.95086950045399998</v>
      </c>
      <c r="E14554">
        <v>22.806000000000001</v>
      </c>
    </row>
    <row r="14555" spans="1:5">
      <c r="A14555" t="s">
        <v>42998</v>
      </c>
      <c r="B14555" t="s">
        <v>13045</v>
      </c>
      <c r="C14555">
        <v>1.0009041190400001</v>
      </c>
      <c r="D14555">
        <v>0.95086950045399998</v>
      </c>
      <c r="E14555">
        <v>22.806000000000001</v>
      </c>
    </row>
    <row r="14556" spans="1:5">
      <c r="A14556" t="s">
        <v>42998</v>
      </c>
      <c r="B14556" t="s">
        <v>13042</v>
      </c>
      <c r="C14556">
        <v>0.21067081723100001</v>
      </c>
      <c r="D14556">
        <v>0.95086950045399998</v>
      </c>
      <c r="E14556">
        <v>22.806000000000001</v>
      </c>
    </row>
    <row r="14557" spans="1:5">
      <c r="A14557" t="s">
        <v>42998</v>
      </c>
      <c r="B14557" t="s">
        <v>13039</v>
      </c>
      <c r="C14557">
        <v>0</v>
      </c>
      <c r="D14557">
        <v>0.95086950045399998</v>
      </c>
      <c r="E14557">
        <v>22.806000000000001</v>
      </c>
    </row>
    <row r="14558" spans="1:5">
      <c r="A14558" t="s">
        <v>42999</v>
      </c>
      <c r="B14558" t="s">
        <v>43000</v>
      </c>
      <c r="C14558">
        <f>0.559184275962</f>
        <v>0.55918427596200004</v>
      </c>
      <c r="D14558">
        <v>0.80969763068199996</v>
      </c>
      <c r="E14558">
        <v>11.538</v>
      </c>
    </row>
    <row r="14559" spans="1:5">
      <c r="A14559" t="s">
        <v>42999</v>
      </c>
      <c r="B14559" t="s">
        <v>43001</v>
      </c>
      <c r="C14559">
        <f>0.161367075455</f>
        <v>0.16136707545500001</v>
      </c>
      <c r="D14559">
        <v>0.80969763068199996</v>
      </c>
      <c r="E14559">
        <v>11.538</v>
      </c>
    </row>
    <row r="14560" spans="1:5">
      <c r="A14560" t="s">
        <v>42999</v>
      </c>
      <c r="B14560" t="s">
        <v>43002</v>
      </c>
      <c r="C14560">
        <v>0.293611978642</v>
      </c>
      <c r="D14560">
        <v>0.80969763068199996</v>
      </c>
      <c r="E14560">
        <v>11.538</v>
      </c>
    </row>
    <row r="14561" spans="1:5">
      <c r="A14561" t="s">
        <v>42999</v>
      </c>
      <c r="B14561" t="s">
        <v>43003</v>
      </c>
      <c r="C14561">
        <f>0.0768659675431</f>
        <v>7.6865967543100003E-2</v>
      </c>
      <c r="D14561">
        <v>0.80969763068199996</v>
      </c>
      <c r="E14561">
        <v>11.538</v>
      </c>
    </row>
    <row r="14562" spans="1:5">
      <c r="A14562" t="s">
        <v>43004</v>
      </c>
      <c r="B14562" t="s">
        <v>43005</v>
      </c>
      <c r="C14562">
        <v>0</v>
      </c>
      <c r="D14562">
        <v>0.99740660235199996</v>
      </c>
      <c r="E14562">
        <v>1.83</v>
      </c>
    </row>
    <row r="14563" spans="1:5">
      <c r="A14563" t="s">
        <v>43004</v>
      </c>
      <c r="B14563" t="s">
        <v>43006</v>
      </c>
      <c r="C14563">
        <f>0.737327329328</f>
        <v>0.73732732932800005</v>
      </c>
      <c r="D14563">
        <v>0.99740660235199996</v>
      </c>
      <c r="E14563">
        <v>1.83</v>
      </c>
    </row>
    <row r="14564" spans="1:5">
      <c r="A14564" t="s">
        <v>43004</v>
      </c>
      <c r="B14564" t="s">
        <v>43007</v>
      </c>
      <c r="C14564">
        <v>0.121749353152</v>
      </c>
      <c r="D14564">
        <v>0.99740660235199996</v>
      </c>
      <c r="E14564">
        <v>1.83</v>
      </c>
    </row>
    <row r="14565" spans="1:5">
      <c r="A14565" t="s">
        <v>43004</v>
      </c>
      <c r="B14565" t="s">
        <v>43008</v>
      </c>
      <c r="C14565">
        <v>0.35565212140300001</v>
      </c>
      <c r="D14565">
        <v>0.99740660235199996</v>
      </c>
      <c r="E14565">
        <v>1.83</v>
      </c>
    </row>
    <row r="14566" spans="1:5">
      <c r="A14566" t="s">
        <v>43004</v>
      </c>
      <c r="B14566" t="s">
        <v>43009</v>
      </c>
      <c r="C14566">
        <v>0</v>
      </c>
      <c r="D14566">
        <v>0.99740660235199996</v>
      </c>
      <c r="E14566">
        <v>1.83</v>
      </c>
    </row>
    <row r="14567" spans="1:5">
      <c r="A14567" t="s">
        <v>43004</v>
      </c>
      <c r="B14567" t="s">
        <v>43010</v>
      </c>
      <c r="C14567">
        <f>0.486386985617</f>
        <v>0.486386985617</v>
      </c>
      <c r="D14567">
        <v>0.99740660235199996</v>
      </c>
      <c r="E14567">
        <v>1.83</v>
      </c>
    </row>
    <row r="14568" spans="1:5">
      <c r="A14568" t="s">
        <v>43004</v>
      </c>
      <c r="B14568" t="s">
        <v>43011</v>
      </c>
      <c r="C14568">
        <v>1.2874937953500001</v>
      </c>
      <c r="D14568">
        <v>0.99740660235199996</v>
      </c>
      <c r="E14568">
        <v>1.83</v>
      </c>
    </row>
    <row r="14569" spans="1:5">
      <c r="A14569" t="s">
        <v>43004</v>
      </c>
      <c r="B14569" t="s">
        <v>43012</v>
      </c>
      <c r="C14569">
        <v>0</v>
      </c>
      <c r="D14569">
        <v>0.99740660235199996</v>
      </c>
      <c r="E14569">
        <v>1.83</v>
      </c>
    </row>
    <row r="14570" spans="1:5">
      <c r="A14570" t="s">
        <v>43013</v>
      </c>
      <c r="B14570" t="s">
        <v>30909</v>
      </c>
      <c r="C14570">
        <v>1.0403742312399999</v>
      </c>
      <c r="D14570">
        <v>0.966677572368</v>
      </c>
      <c r="E14570">
        <v>1.1160000000000001</v>
      </c>
    </row>
    <row r="14571" spans="1:5">
      <c r="A14571" t="s">
        <v>43013</v>
      </c>
      <c r="B14571" t="s">
        <v>30911</v>
      </c>
      <c r="C14571">
        <f>0.102721424452</f>
        <v>0.102721424452</v>
      </c>
      <c r="D14571">
        <v>0.966677572368</v>
      </c>
      <c r="E14571">
        <v>1.1160000000000001</v>
      </c>
    </row>
    <row r="14572" spans="1:5">
      <c r="A14572" t="s">
        <v>43013</v>
      </c>
      <c r="B14572" t="s">
        <v>30912</v>
      </c>
      <c r="C14572">
        <v>0.277129416026</v>
      </c>
      <c r="D14572">
        <v>0.966677572368</v>
      </c>
      <c r="E14572">
        <v>1.1160000000000001</v>
      </c>
    </row>
    <row r="14573" spans="1:5">
      <c r="A14573" t="s">
        <v>43013</v>
      </c>
      <c r="B14573" t="s">
        <v>30908</v>
      </c>
      <c r="C14573">
        <v>1.29739820325</v>
      </c>
      <c r="D14573">
        <v>0.966677572368</v>
      </c>
      <c r="E14573">
        <v>1.1160000000000001</v>
      </c>
    </row>
    <row r="14574" spans="1:5">
      <c r="A14574" t="s">
        <v>43013</v>
      </c>
      <c r="B14574" t="s">
        <v>30907</v>
      </c>
      <c r="C14574">
        <f>-1.67378169047</f>
        <v>-1.67378169047</v>
      </c>
      <c r="D14574">
        <v>0.966677572368</v>
      </c>
      <c r="E14574">
        <v>1.1160000000000001</v>
      </c>
    </row>
    <row r="14575" spans="1:5">
      <c r="A14575" t="s">
        <v>43014</v>
      </c>
      <c r="B14575" t="s">
        <v>43015</v>
      </c>
      <c r="C14575">
        <v>0</v>
      </c>
      <c r="D14575" t="s">
        <v>106</v>
      </c>
      <c r="E14575">
        <v>2.802</v>
      </c>
    </row>
    <row r="14576" spans="1:5">
      <c r="A14576" t="s">
        <v>43014</v>
      </c>
      <c r="B14576" t="s">
        <v>43016</v>
      </c>
      <c r="C14576">
        <v>0</v>
      </c>
      <c r="D14576" t="s">
        <v>106</v>
      </c>
      <c r="E14576">
        <v>2.802</v>
      </c>
    </row>
    <row r="14577" spans="1:5">
      <c r="A14577" t="s">
        <v>43017</v>
      </c>
      <c r="B14577" t="s">
        <v>26822</v>
      </c>
      <c r="C14577">
        <f>0</f>
        <v>0</v>
      </c>
      <c r="D14577">
        <v>0.76624612971600004</v>
      </c>
      <c r="E14577">
        <v>1.764</v>
      </c>
    </row>
    <row r="14578" spans="1:5">
      <c r="A14578" t="s">
        <v>43017</v>
      </c>
      <c r="B14578" t="s">
        <v>26824</v>
      </c>
      <c r="C14578">
        <v>0.34553769122</v>
      </c>
      <c r="D14578">
        <v>0.76624612971600004</v>
      </c>
      <c r="E14578">
        <v>1.764</v>
      </c>
    </row>
    <row r="14579" spans="1:5">
      <c r="A14579" t="s">
        <v>43017</v>
      </c>
      <c r="B14579" t="s">
        <v>26829</v>
      </c>
      <c r="C14579">
        <f>0</f>
        <v>0</v>
      </c>
      <c r="D14579">
        <v>0.76624612971600004</v>
      </c>
      <c r="E14579">
        <v>1.764</v>
      </c>
    </row>
    <row r="14580" spans="1:5">
      <c r="A14580" t="s">
        <v>43017</v>
      </c>
      <c r="B14580" t="s">
        <v>26825</v>
      </c>
      <c r="C14580">
        <v>0</v>
      </c>
      <c r="D14580">
        <v>0.76624612971600004</v>
      </c>
      <c r="E14580">
        <v>1.764</v>
      </c>
    </row>
    <row r="14581" spans="1:5">
      <c r="A14581" t="s">
        <v>43017</v>
      </c>
      <c r="B14581" t="s">
        <v>26827</v>
      </c>
      <c r="C14581">
        <v>0.20029016403</v>
      </c>
      <c r="D14581">
        <v>0.76624612971600004</v>
      </c>
      <c r="E14581">
        <v>1.764</v>
      </c>
    </row>
    <row r="14582" spans="1:5">
      <c r="A14582" t="s">
        <v>43018</v>
      </c>
      <c r="B14582" t="s">
        <v>13084</v>
      </c>
      <c r="C14582">
        <v>1.00745868242</v>
      </c>
      <c r="D14582">
        <v>0.91542886772200005</v>
      </c>
      <c r="E14582">
        <v>24</v>
      </c>
    </row>
    <row r="14583" spans="1:5">
      <c r="A14583" t="s">
        <v>43018</v>
      </c>
      <c r="B14583" t="s">
        <v>13086</v>
      </c>
      <c r="C14583">
        <f>0.135689481189</f>
        <v>0.13568948118900001</v>
      </c>
      <c r="D14583">
        <v>0.91542886772200005</v>
      </c>
      <c r="E14583">
        <v>24</v>
      </c>
    </row>
    <row r="14584" spans="1:5">
      <c r="A14584" t="s">
        <v>43019</v>
      </c>
      <c r="B14584" t="s">
        <v>15748</v>
      </c>
      <c r="C14584">
        <v>0</v>
      </c>
      <c r="D14584">
        <v>0.75085424535900003</v>
      </c>
      <c r="E14584">
        <v>6.0000000000000001E-3</v>
      </c>
    </row>
    <row r="14585" spans="1:5">
      <c r="A14585" t="s">
        <v>43019</v>
      </c>
      <c r="B14585" t="s">
        <v>15750</v>
      </c>
      <c r="C14585">
        <f>0</f>
        <v>0</v>
      </c>
      <c r="D14585">
        <v>0.75085424535900003</v>
      </c>
      <c r="E14585">
        <v>6.0000000000000001E-3</v>
      </c>
    </row>
    <row r="14586" spans="1:5">
      <c r="A14586" t="s">
        <v>43019</v>
      </c>
      <c r="B14586" t="s">
        <v>43020</v>
      </c>
      <c r="C14586">
        <f>0</f>
        <v>0</v>
      </c>
      <c r="D14586">
        <v>0.75085424535900003</v>
      </c>
      <c r="E14586">
        <v>6.0000000000000001E-3</v>
      </c>
    </row>
    <row r="14587" spans="1:5">
      <c r="A14587" t="s">
        <v>43019</v>
      </c>
      <c r="B14587" t="s">
        <v>15749</v>
      </c>
      <c r="C14587">
        <f>0.520444245359</f>
        <v>0.52044424535900002</v>
      </c>
      <c r="D14587">
        <v>0.75085424535900003</v>
      </c>
      <c r="E14587">
        <v>6.0000000000000001E-3</v>
      </c>
    </row>
    <row r="14588" spans="1:5">
      <c r="A14588" t="s">
        <v>43019</v>
      </c>
      <c r="B14588" t="s">
        <v>15751</v>
      </c>
      <c r="C14588">
        <f>0</f>
        <v>0</v>
      </c>
      <c r="D14588">
        <v>0.75085424535900003</v>
      </c>
      <c r="E14588">
        <v>6.0000000000000001E-3</v>
      </c>
    </row>
    <row r="14589" spans="1:5">
      <c r="A14589" t="s">
        <v>43021</v>
      </c>
      <c r="B14589" t="s">
        <v>43022</v>
      </c>
      <c r="C14589">
        <v>0.86132555710900005</v>
      </c>
      <c r="D14589">
        <v>0.97761843445499996</v>
      </c>
      <c r="E14589">
        <v>19.632000000000001</v>
      </c>
    </row>
    <row r="14590" spans="1:5">
      <c r="A14590" t="s">
        <v>43021</v>
      </c>
      <c r="B14590" t="s">
        <v>43023</v>
      </c>
      <c r="C14590">
        <f>0.776277346662</f>
        <v>0.77627734666199999</v>
      </c>
      <c r="D14590">
        <v>0.97761843445499996</v>
      </c>
      <c r="E14590">
        <v>19.632000000000001</v>
      </c>
    </row>
    <row r="14591" spans="1:5">
      <c r="A14591" t="s">
        <v>43021</v>
      </c>
      <c r="B14591" t="s">
        <v>43024</v>
      </c>
      <c r="C14591">
        <f>0.647738609831</f>
        <v>0.64773860983099996</v>
      </c>
      <c r="D14591">
        <v>0.97761843445499996</v>
      </c>
      <c r="E14591">
        <v>19.632000000000001</v>
      </c>
    </row>
    <row r="14592" spans="1:5">
      <c r="A14592" t="s">
        <v>43021</v>
      </c>
      <c r="B14592" t="s">
        <v>43025</v>
      </c>
      <c r="C14592">
        <v>0.81093495488199996</v>
      </c>
      <c r="D14592">
        <v>0.97761843445499996</v>
      </c>
      <c r="E14592">
        <v>19.632000000000001</v>
      </c>
    </row>
    <row r="14593" spans="1:5">
      <c r="A14593" t="s">
        <v>43021</v>
      </c>
      <c r="B14593" t="s">
        <v>43026</v>
      </c>
      <c r="C14593">
        <v>0.299978034226</v>
      </c>
      <c r="D14593">
        <v>0.97761843445499996</v>
      </c>
      <c r="E14593">
        <v>19.632000000000001</v>
      </c>
    </row>
    <row r="14594" spans="1:5">
      <c r="A14594" t="s">
        <v>43027</v>
      </c>
      <c r="B14594" t="s">
        <v>43028</v>
      </c>
      <c r="C14594">
        <v>0</v>
      </c>
      <c r="D14594" t="s">
        <v>106</v>
      </c>
      <c r="E14594">
        <v>13.818</v>
      </c>
    </row>
    <row r="14595" spans="1:5">
      <c r="A14595" t="s">
        <v>43027</v>
      </c>
      <c r="B14595" t="s">
        <v>43029</v>
      </c>
      <c r="C14595">
        <v>0</v>
      </c>
      <c r="D14595" t="s">
        <v>106</v>
      </c>
      <c r="E14595">
        <v>13.818</v>
      </c>
    </row>
    <row r="14596" spans="1:5">
      <c r="A14596" t="s">
        <v>43027</v>
      </c>
      <c r="B14596" t="s">
        <v>43030</v>
      </c>
      <c r="C14596">
        <v>0</v>
      </c>
      <c r="D14596" t="s">
        <v>106</v>
      </c>
      <c r="E14596">
        <v>13.818</v>
      </c>
    </row>
    <row r="14597" spans="1:5">
      <c r="A14597" t="s">
        <v>43031</v>
      </c>
      <c r="B14597" t="s">
        <v>43032</v>
      </c>
      <c r="C14597">
        <f>0</f>
        <v>0</v>
      </c>
      <c r="D14597" t="s">
        <v>106</v>
      </c>
      <c r="E14597">
        <v>3.0539999999999998</v>
      </c>
    </row>
    <row r="14598" spans="1:5">
      <c r="A14598" t="s">
        <v>43031</v>
      </c>
      <c r="B14598" t="s">
        <v>43033</v>
      </c>
      <c r="C14598">
        <f>0</f>
        <v>0</v>
      </c>
      <c r="D14598" t="s">
        <v>106</v>
      </c>
      <c r="E14598">
        <v>3.0539999999999998</v>
      </c>
    </row>
    <row r="14599" spans="1:5">
      <c r="A14599" t="s">
        <v>43034</v>
      </c>
      <c r="B14599" t="s">
        <v>28695</v>
      </c>
      <c r="C14599">
        <v>0.40417893256600002</v>
      </c>
      <c r="D14599">
        <v>0.84915750606200002</v>
      </c>
      <c r="E14599">
        <v>24</v>
      </c>
    </row>
    <row r="14600" spans="1:5">
      <c r="A14600" t="s">
        <v>43034</v>
      </c>
      <c r="B14600" t="s">
        <v>28694</v>
      </c>
      <c r="C14600">
        <f>0.119482329794</f>
        <v>0.119482329794</v>
      </c>
      <c r="D14600">
        <v>0.84915750606200002</v>
      </c>
      <c r="E14600">
        <v>24</v>
      </c>
    </row>
    <row r="14601" spans="1:5">
      <c r="A14601" t="s">
        <v>43034</v>
      </c>
      <c r="B14601" t="s">
        <v>28693</v>
      </c>
      <c r="C14601">
        <f>0.484269009786</f>
        <v>0.48426900978600002</v>
      </c>
      <c r="D14601">
        <v>0.84915750606200002</v>
      </c>
      <c r="E14601">
        <v>24</v>
      </c>
    </row>
    <row r="14602" spans="1:5">
      <c r="A14602" t="s">
        <v>43034</v>
      </c>
      <c r="B14602" t="s">
        <v>28692</v>
      </c>
      <c r="C14602">
        <f>0.448002953298</f>
        <v>0.448002953298</v>
      </c>
      <c r="D14602">
        <v>0.84915750606200002</v>
      </c>
      <c r="E14602">
        <v>24</v>
      </c>
    </row>
    <row r="14603" spans="1:5">
      <c r="A14603" t="s">
        <v>43035</v>
      </c>
      <c r="B14603" t="s">
        <v>17353</v>
      </c>
      <c r="C14603">
        <f>0</f>
        <v>0</v>
      </c>
      <c r="D14603" t="s">
        <v>106</v>
      </c>
      <c r="E14603">
        <v>24</v>
      </c>
    </row>
    <row r="14604" spans="1:5">
      <c r="A14604" t="s">
        <v>43035</v>
      </c>
      <c r="B14604" t="s">
        <v>17359</v>
      </c>
      <c r="C14604">
        <f>0</f>
        <v>0</v>
      </c>
      <c r="D14604" t="s">
        <v>106</v>
      </c>
      <c r="E14604">
        <v>24</v>
      </c>
    </row>
    <row r="14605" spans="1:5">
      <c r="A14605" t="s">
        <v>43035</v>
      </c>
      <c r="B14605" t="s">
        <v>17360</v>
      </c>
      <c r="C14605">
        <f>0</f>
        <v>0</v>
      </c>
      <c r="D14605" t="s">
        <v>106</v>
      </c>
      <c r="E14605">
        <v>24</v>
      </c>
    </row>
    <row r="14606" spans="1:5">
      <c r="A14606" t="s">
        <v>43035</v>
      </c>
      <c r="B14606" t="s">
        <v>17355</v>
      </c>
      <c r="C14606">
        <f>0</f>
        <v>0</v>
      </c>
      <c r="D14606" t="s">
        <v>106</v>
      </c>
      <c r="E14606">
        <v>24</v>
      </c>
    </row>
    <row r="14607" spans="1:5">
      <c r="A14607" t="s">
        <v>43036</v>
      </c>
      <c r="B14607" t="s">
        <v>43037</v>
      </c>
      <c r="C14607">
        <v>0.69760602957499995</v>
      </c>
      <c r="D14607">
        <v>0.85761602957500005</v>
      </c>
      <c r="E14607">
        <v>0</v>
      </c>
    </row>
    <row r="14608" spans="1:5">
      <c r="A14608" t="s">
        <v>43036</v>
      </c>
      <c r="B14608" t="s">
        <v>24998</v>
      </c>
      <c r="C14608">
        <v>0</v>
      </c>
      <c r="D14608">
        <v>0.85761602957500005</v>
      </c>
      <c r="E14608">
        <v>0</v>
      </c>
    </row>
    <row r="14609" spans="1:5">
      <c r="A14609" t="s">
        <v>43038</v>
      </c>
      <c r="B14609" t="s">
        <v>43039</v>
      </c>
      <c r="C14609">
        <v>0</v>
      </c>
      <c r="D14609">
        <v>0.96914989405399998</v>
      </c>
      <c r="E14609">
        <v>1.0680000000000001</v>
      </c>
    </row>
    <row r="14610" spans="1:5">
      <c r="A14610" t="s">
        <v>43038</v>
      </c>
      <c r="B14610" t="s">
        <v>43040</v>
      </c>
      <c r="C14610">
        <v>4.4904257820699997E-2</v>
      </c>
      <c r="D14610">
        <v>0.96914989405399998</v>
      </c>
      <c r="E14610">
        <v>1.0680000000000001</v>
      </c>
    </row>
    <row r="14611" spans="1:5">
      <c r="A14611" t="s">
        <v>43038</v>
      </c>
      <c r="B14611" t="s">
        <v>43041</v>
      </c>
      <c r="C14611">
        <f>0</f>
        <v>0</v>
      </c>
      <c r="D14611">
        <v>0.96914989405399998</v>
      </c>
      <c r="E14611">
        <v>1.0680000000000001</v>
      </c>
    </row>
    <row r="14612" spans="1:5">
      <c r="A14612" t="s">
        <v>43038</v>
      </c>
      <c r="B14612" t="s">
        <v>43042</v>
      </c>
      <c r="C14612">
        <v>5.8648798341900003E-2</v>
      </c>
      <c r="D14612">
        <v>0.96914989405399998</v>
      </c>
      <c r="E14612">
        <v>1.0680000000000001</v>
      </c>
    </row>
    <row r="14613" spans="1:5">
      <c r="A14613" t="s">
        <v>43038</v>
      </c>
      <c r="B14613" t="s">
        <v>43043</v>
      </c>
      <c r="C14613">
        <v>0.88157612899799997</v>
      </c>
      <c r="D14613">
        <v>0.96914989405399998</v>
      </c>
      <c r="E14613">
        <v>1.0680000000000001</v>
      </c>
    </row>
    <row r="14614" spans="1:5">
      <c r="A14614" t="s">
        <v>43038</v>
      </c>
      <c r="B14614" t="s">
        <v>43044</v>
      </c>
      <c r="C14614">
        <f>0.508166660696</f>
        <v>0.50816666069600003</v>
      </c>
      <c r="D14614">
        <v>0.96914989405399998</v>
      </c>
      <c r="E14614">
        <v>1.0680000000000001</v>
      </c>
    </row>
    <row r="14615" spans="1:5">
      <c r="A14615" t="s">
        <v>43038</v>
      </c>
      <c r="B14615" t="s">
        <v>43045</v>
      </c>
      <c r="C14615">
        <v>0</v>
      </c>
      <c r="D14615">
        <v>0.96914989405399998</v>
      </c>
      <c r="E14615">
        <v>1.0680000000000001</v>
      </c>
    </row>
    <row r="14616" spans="1:5">
      <c r="A14616" t="s">
        <v>43038</v>
      </c>
      <c r="B14616" t="s">
        <v>43046</v>
      </c>
      <c r="C14616">
        <f>0</f>
        <v>0</v>
      </c>
      <c r="D14616">
        <v>0.96914989405399998</v>
      </c>
      <c r="E14616">
        <v>1.0680000000000001</v>
      </c>
    </row>
    <row r="14617" spans="1:5">
      <c r="A14617" t="s">
        <v>43038</v>
      </c>
      <c r="B14617" t="s">
        <v>43047</v>
      </c>
      <c r="C14617">
        <v>0.65069999818900004</v>
      </c>
      <c r="D14617">
        <v>0.96914989405399998</v>
      </c>
      <c r="E14617">
        <v>1.0680000000000001</v>
      </c>
    </row>
    <row r="14618" spans="1:5">
      <c r="A14618" t="s">
        <v>43048</v>
      </c>
      <c r="B14618" t="s">
        <v>19432</v>
      </c>
      <c r="C14618">
        <f>0</f>
        <v>0</v>
      </c>
      <c r="D14618">
        <v>0.82473779745700004</v>
      </c>
      <c r="E14618">
        <v>0.69599999999999995</v>
      </c>
    </row>
    <row r="14619" spans="1:5">
      <c r="A14619" t="s">
        <v>43048</v>
      </c>
      <c r="B14619" t="s">
        <v>19430</v>
      </c>
      <c r="C14619">
        <f>0.594327797457</f>
        <v>0.59432779745700004</v>
      </c>
      <c r="D14619">
        <v>0.82473779745700004</v>
      </c>
      <c r="E14619">
        <v>0.69599999999999995</v>
      </c>
    </row>
    <row r="14620" spans="1:5">
      <c r="A14620" t="s">
        <v>43048</v>
      </c>
      <c r="B14620" t="s">
        <v>19431</v>
      </c>
      <c r="C14620">
        <f>0</f>
        <v>0</v>
      </c>
      <c r="D14620">
        <v>0.82473779745700004</v>
      </c>
      <c r="E14620">
        <v>0.69599999999999995</v>
      </c>
    </row>
    <row r="14621" spans="1:5">
      <c r="A14621" t="s">
        <v>43048</v>
      </c>
      <c r="B14621" t="s">
        <v>19427</v>
      </c>
      <c r="C14621">
        <f>0</f>
        <v>0</v>
      </c>
      <c r="D14621">
        <v>0.82473779745700004</v>
      </c>
      <c r="E14621">
        <v>0.69599999999999995</v>
      </c>
    </row>
    <row r="14622" spans="1:5">
      <c r="A14622" t="s">
        <v>43048</v>
      </c>
      <c r="B14622" t="s">
        <v>19425</v>
      </c>
      <c r="C14622">
        <f>0</f>
        <v>0</v>
      </c>
      <c r="D14622">
        <v>0.82473779745700004</v>
      </c>
      <c r="E14622">
        <v>0.69599999999999995</v>
      </c>
    </row>
    <row r="14623" spans="1:5">
      <c r="A14623" t="s">
        <v>43048</v>
      </c>
      <c r="B14623" t="s">
        <v>19423</v>
      </c>
      <c r="C14623">
        <v>0</v>
      </c>
      <c r="D14623">
        <v>0.82473779745700004</v>
      </c>
      <c r="E14623">
        <v>0.69599999999999995</v>
      </c>
    </row>
    <row r="14624" spans="1:5">
      <c r="A14624" t="s">
        <v>43048</v>
      </c>
      <c r="B14624" t="s">
        <v>19429</v>
      </c>
      <c r="C14624">
        <f>0</f>
        <v>0</v>
      </c>
      <c r="D14624">
        <v>0.82473779745700004</v>
      </c>
      <c r="E14624">
        <v>0.69599999999999995</v>
      </c>
    </row>
    <row r="14625" spans="1:5">
      <c r="A14625" t="s">
        <v>43048</v>
      </c>
      <c r="B14625" t="s">
        <v>19426</v>
      </c>
      <c r="C14625">
        <f>0</f>
        <v>0</v>
      </c>
      <c r="D14625">
        <v>0.82473779745700004</v>
      </c>
      <c r="E14625">
        <v>0.69599999999999995</v>
      </c>
    </row>
    <row r="14626" spans="1:5">
      <c r="A14626" t="s">
        <v>43049</v>
      </c>
      <c r="B14626" t="s">
        <v>27820</v>
      </c>
      <c r="C14626">
        <v>0.74350973784499996</v>
      </c>
      <c r="D14626">
        <v>0.89535556048300002</v>
      </c>
      <c r="E14626">
        <v>1.452</v>
      </c>
    </row>
    <row r="14627" spans="1:5">
      <c r="A14627" t="s">
        <v>43049</v>
      </c>
      <c r="B14627" t="s">
        <v>27818</v>
      </c>
      <c r="C14627">
        <v>0.34418404699499999</v>
      </c>
      <c r="D14627">
        <v>0.89535556048300002</v>
      </c>
      <c r="E14627">
        <v>1.452</v>
      </c>
    </row>
    <row r="14628" spans="1:5">
      <c r="A14628" t="s">
        <v>43050</v>
      </c>
      <c r="B14628" t="s">
        <v>14092</v>
      </c>
      <c r="C14628">
        <f>0</f>
        <v>0</v>
      </c>
      <c r="D14628" t="s">
        <v>106</v>
      </c>
      <c r="E14628">
        <v>5.9340000000000002</v>
      </c>
    </row>
    <row r="14629" spans="1:5">
      <c r="A14629" t="s">
        <v>43050</v>
      </c>
      <c r="B14629" t="s">
        <v>14093</v>
      </c>
      <c r="C14629">
        <f>0</f>
        <v>0</v>
      </c>
      <c r="D14629" t="s">
        <v>106</v>
      </c>
      <c r="E14629">
        <v>5.9340000000000002</v>
      </c>
    </row>
    <row r="14630" spans="1:5">
      <c r="A14630" t="s">
        <v>43051</v>
      </c>
      <c r="B14630" t="s">
        <v>14366</v>
      </c>
      <c r="C14630">
        <v>0</v>
      </c>
      <c r="D14630" t="s">
        <v>106</v>
      </c>
      <c r="E14630">
        <v>5.4660000000000002</v>
      </c>
    </row>
    <row r="14631" spans="1:5">
      <c r="A14631" t="s">
        <v>43051</v>
      </c>
      <c r="B14631" t="s">
        <v>14367</v>
      </c>
      <c r="C14631">
        <v>0</v>
      </c>
      <c r="D14631" t="s">
        <v>106</v>
      </c>
      <c r="E14631">
        <v>5.4660000000000002</v>
      </c>
    </row>
    <row r="14632" spans="1:5">
      <c r="A14632" t="s">
        <v>43052</v>
      </c>
      <c r="B14632" t="s">
        <v>21526</v>
      </c>
      <c r="C14632">
        <v>0</v>
      </c>
      <c r="D14632" t="s">
        <v>106</v>
      </c>
      <c r="E14632">
        <v>9.6180000000000003</v>
      </c>
    </row>
    <row r="14633" spans="1:5">
      <c r="A14633" t="s">
        <v>43052</v>
      </c>
      <c r="B14633" t="s">
        <v>21529</v>
      </c>
      <c r="C14633">
        <v>0</v>
      </c>
      <c r="D14633" t="s">
        <v>106</v>
      </c>
      <c r="E14633">
        <v>9.6180000000000003</v>
      </c>
    </row>
    <row r="14634" spans="1:5">
      <c r="A14634" t="s">
        <v>43052</v>
      </c>
      <c r="B14634" t="s">
        <v>21531</v>
      </c>
      <c r="C14634">
        <f>0</f>
        <v>0</v>
      </c>
      <c r="D14634" t="s">
        <v>106</v>
      </c>
      <c r="E14634">
        <v>9.6180000000000003</v>
      </c>
    </row>
    <row r="14635" spans="1:5">
      <c r="A14635" t="s">
        <v>43052</v>
      </c>
      <c r="B14635" t="s">
        <v>21532</v>
      </c>
      <c r="C14635">
        <f>0</f>
        <v>0</v>
      </c>
      <c r="D14635" t="s">
        <v>106</v>
      </c>
      <c r="E14635">
        <v>9.6180000000000003</v>
      </c>
    </row>
    <row r="14636" spans="1:5">
      <c r="A14636" t="s">
        <v>43052</v>
      </c>
      <c r="B14636" t="s">
        <v>21530</v>
      </c>
      <c r="C14636">
        <v>0</v>
      </c>
      <c r="D14636" t="s">
        <v>106</v>
      </c>
      <c r="E14636">
        <v>9.6180000000000003</v>
      </c>
    </row>
    <row r="14637" spans="1:5">
      <c r="A14637" t="s">
        <v>43052</v>
      </c>
      <c r="B14637" t="s">
        <v>21536</v>
      </c>
      <c r="C14637">
        <v>0</v>
      </c>
      <c r="D14637" t="s">
        <v>106</v>
      </c>
      <c r="E14637">
        <v>9.6180000000000003</v>
      </c>
    </row>
    <row r="14638" spans="1:5">
      <c r="A14638" t="s">
        <v>43052</v>
      </c>
      <c r="B14638" t="s">
        <v>21534</v>
      </c>
      <c r="C14638">
        <v>0</v>
      </c>
      <c r="D14638" t="s">
        <v>106</v>
      </c>
      <c r="E14638">
        <v>9.6180000000000003</v>
      </c>
    </row>
    <row r="14639" spans="1:5">
      <c r="A14639" t="s">
        <v>43053</v>
      </c>
      <c r="B14639" t="s">
        <v>43054</v>
      </c>
      <c r="C14639">
        <v>0</v>
      </c>
      <c r="D14639">
        <v>0.72533711698400005</v>
      </c>
      <c r="E14639">
        <v>0</v>
      </c>
    </row>
    <row r="14640" spans="1:5">
      <c r="A14640" t="s">
        <v>43053</v>
      </c>
      <c r="B14640" t="s">
        <v>43055</v>
      </c>
      <c r="C14640">
        <v>0</v>
      </c>
      <c r="D14640">
        <v>0.72533711698400005</v>
      </c>
      <c r="E14640">
        <v>0</v>
      </c>
    </row>
    <row r="14641" spans="1:5">
      <c r="A14641" t="s">
        <v>43053</v>
      </c>
      <c r="B14641" t="s">
        <v>43056</v>
      </c>
      <c r="C14641">
        <f>0.459012121734</f>
        <v>0.45901212173400002</v>
      </c>
      <c r="D14641">
        <v>0.72533711698400005</v>
      </c>
      <c r="E14641">
        <v>0</v>
      </c>
    </row>
    <row r="14642" spans="1:5">
      <c r="A14642" t="s">
        <v>43053</v>
      </c>
      <c r="B14642" t="s">
        <v>43057</v>
      </c>
      <c r="C14642">
        <f>0</f>
        <v>0</v>
      </c>
      <c r="D14642">
        <v>0.72533711698400005</v>
      </c>
      <c r="E14642">
        <v>0</v>
      </c>
    </row>
    <row r="14643" spans="1:5">
      <c r="A14643" t="s">
        <v>43053</v>
      </c>
      <c r="B14643" t="s">
        <v>43058</v>
      </c>
      <c r="C14643">
        <f>0.0464344144525</f>
        <v>4.6434414452500003E-2</v>
      </c>
      <c r="D14643">
        <v>0.72533711698400005</v>
      </c>
      <c r="E14643">
        <v>0</v>
      </c>
    </row>
    <row r="14644" spans="1:5">
      <c r="A14644" t="s">
        <v>43059</v>
      </c>
      <c r="B14644" t="s">
        <v>11725</v>
      </c>
      <c r="C14644">
        <v>0.510792223574</v>
      </c>
      <c r="D14644">
        <v>0.72873355069699997</v>
      </c>
      <c r="E14644">
        <v>3.6840000000000002</v>
      </c>
    </row>
    <row r="14645" spans="1:5">
      <c r="A14645" t="s">
        <v>43059</v>
      </c>
      <c r="B14645" t="s">
        <v>11724</v>
      </c>
      <c r="C14645">
        <v>0.65601520633499999</v>
      </c>
      <c r="D14645">
        <v>0.72873355069699997</v>
      </c>
      <c r="E14645">
        <v>3.6840000000000002</v>
      </c>
    </row>
    <row r="14646" spans="1:5">
      <c r="A14646" t="s">
        <v>43060</v>
      </c>
      <c r="B14646" t="s">
        <v>10406</v>
      </c>
      <c r="C14646">
        <v>0</v>
      </c>
      <c r="D14646">
        <v>0.71527643011800002</v>
      </c>
      <c r="E14646">
        <v>23.754000000000001</v>
      </c>
    </row>
    <row r="14647" spans="1:5">
      <c r="A14647" t="s">
        <v>43060</v>
      </c>
      <c r="B14647" t="s">
        <v>10407</v>
      </c>
      <c r="C14647">
        <f>0.585666430118</f>
        <v>0.58566643011800001</v>
      </c>
      <c r="D14647">
        <v>0.71527643011800002</v>
      </c>
      <c r="E14647">
        <v>23.754000000000001</v>
      </c>
    </row>
    <row r="14648" spans="1:5">
      <c r="A14648" t="s">
        <v>43061</v>
      </c>
      <c r="B14648" t="s">
        <v>25075</v>
      </c>
      <c r="C14648">
        <f>0</f>
        <v>0</v>
      </c>
      <c r="D14648">
        <v>0.87207338305299997</v>
      </c>
      <c r="E14648">
        <v>1.512</v>
      </c>
    </row>
    <row r="14649" spans="1:5">
      <c r="A14649" t="s">
        <v>43061</v>
      </c>
      <c r="B14649" t="s">
        <v>25074</v>
      </c>
      <c r="C14649">
        <f>0.583880663173</f>
        <v>0.58388066317300003</v>
      </c>
      <c r="D14649">
        <v>0.87207338305299997</v>
      </c>
      <c r="E14649">
        <v>1.512</v>
      </c>
    </row>
    <row r="14650" spans="1:5">
      <c r="A14650" t="s">
        <v>43061</v>
      </c>
      <c r="B14650" t="s">
        <v>25073</v>
      </c>
      <c r="C14650">
        <v>6.08657169414E-2</v>
      </c>
      <c r="D14650">
        <v>0.87207338305299997</v>
      </c>
      <c r="E14650">
        <v>1.512</v>
      </c>
    </row>
    <row r="14651" spans="1:5">
      <c r="A14651" t="s">
        <v>43061</v>
      </c>
      <c r="B14651" t="s">
        <v>25072</v>
      </c>
      <c r="C14651">
        <f>0.204784604114</f>
        <v>0.20478460411400001</v>
      </c>
      <c r="D14651">
        <v>0.87207338305299997</v>
      </c>
      <c r="E14651">
        <v>1.512</v>
      </c>
    </row>
    <row r="14652" spans="1:5">
      <c r="A14652" t="s">
        <v>43062</v>
      </c>
      <c r="B14652" t="s">
        <v>14598</v>
      </c>
      <c r="C14652">
        <v>0</v>
      </c>
      <c r="D14652">
        <v>0.80565046230299997</v>
      </c>
      <c r="E14652">
        <v>1.17</v>
      </c>
    </row>
    <row r="14653" spans="1:5">
      <c r="A14653" t="s">
        <v>43062</v>
      </c>
      <c r="B14653" t="s">
        <v>14604</v>
      </c>
      <c r="C14653">
        <v>0</v>
      </c>
      <c r="D14653">
        <v>0.80565046230299997</v>
      </c>
      <c r="E14653">
        <v>1.17</v>
      </c>
    </row>
    <row r="14654" spans="1:5">
      <c r="A14654" t="s">
        <v>43062</v>
      </c>
      <c r="B14654" t="s">
        <v>14602</v>
      </c>
      <c r="C14654">
        <v>0</v>
      </c>
      <c r="D14654">
        <v>0.80565046230299997</v>
      </c>
      <c r="E14654">
        <v>1.17</v>
      </c>
    </row>
    <row r="14655" spans="1:5">
      <c r="A14655" t="s">
        <v>43062</v>
      </c>
      <c r="B14655" t="s">
        <v>14599</v>
      </c>
      <c r="C14655">
        <v>0.22804046230300001</v>
      </c>
      <c r="D14655">
        <v>0.80565046230299997</v>
      </c>
      <c r="E14655">
        <v>1.17</v>
      </c>
    </row>
    <row r="14656" spans="1:5">
      <c r="A14656" t="s">
        <v>43062</v>
      </c>
      <c r="B14656" t="s">
        <v>14605</v>
      </c>
      <c r="C14656">
        <v>0</v>
      </c>
      <c r="D14656">
        <v>0.80565046230299997</v>
      </c>
      <c r="E14656">
        <v>1.17</v>
      </c>
    </row>
    <row r="14657" spans="1:5">
      <c r="A14657" t="s">
        <v>43062</v>
      </c>
      <c r="B14657" t="s">
        <v>14600</v>
      </c>
      <c r="C14657">
        <f>0</f>
        <v>0</v>
      </c>
      <c r="D14657">
        <v>0.80565046230299997</v>
      </c>
      <c r="E14657">
        <v>1.17</v>
      </c>
    </row>
    <row r="14658" spans="1:5">
      <c r="A14658" t="s">
        <v>43063</v>
      </c>
      <c r="B14658" t="s">
        <v>7189</v>
      </c>
      <c r="C14658">
        <v>0.214805874758</v>
      </c>
      <c r="D14658">
        <v>0.99998374440799997</v>
      </c>
      <c r="E14658">
        <v>10.878</v>
      </c>
    </row>
    <row r="14659" spans="1:5">
      <c r="A14659" t="s">
        <v>43063</v>
      </c>
      <c r="B14659" t="s">
        <v>7184</v>
      </c>
      <c r="C14659">
        <v>2.9044717774800001E-3</v>
      </c>
      <c r="D14659">
        <v>0.99998374440799997</v>
      </c>
      <c r="E14659">
        <v>10.878</v>
      </c>
    </row>
    <row r="14660" spans="1:5">
      <c r="A14660" t="s">
        <v>43063</v>
      </c>
      <c r="B14660" t="s">
        <v>7182</v>
      </c>
      <c r="C14660">
        <v>0</v>
      </c>
      <c r="D14660">
        <v>0.99998374440799997</v>
      </c>
      <c r="E14660">
        <v>10.878</v>
      </c>
    </row>
    <row r="14661" spans="1:5">
      <c r="A14661" t="s">
        <v>43063</v>
      </c>
      <c r="B14661" t="s">
        <v>7186</v>
      </c>
      <c r="C14661">
        <v>0.43224277676599998</v>
      </c>
      <c r="D14661">
        <v>0.99998374440799997</v>
      </c>
      <c r="E14661">
        <v>10.878</v>
      </c>
    </row>
    <row r="14662" spans="1:5">
      <c r="A14662" t="s">
        <v>43063</v>
      </c>
      <c r="B14662" t="s">
        <v>7188</v>
      </c>
      <c r="C14662">
        <f>0.565080393266</f>
        <v>0.56508039326600001</v>
      </c>
      <c r="D14662">
        <v>0.99998374440799997</v>
      </c>
      <c r="E14662">
        <v>10.878</v>
      </c>
    </row>
    <row r="14663" spans="1:5">
      <c r="A14663" t="s">
        <v>43063</v>
      </c>
      <c r="B14663" t="s">
        <v>7175</v>
      </c>
      <c r="C14663">
        <v>0.249059591976</v>
      </c>
      <c r="D14663">
        <v>0.99998374440799997</v>
      </c>
      <c r="E14663">
        <v>10.878</v>
      </c>
    </row>
    <row r="14664" spans="1:5">
      <c r="A14664" t="s">
        <v>43063</v>
      </c>
      <c r="B14664" t="s">
        <v>7190</v>
      </c>
      <c r="C14664">
        <f>0.0896089473126</f>
        <v>8.9608947312599996E-2</v>
      </c>
      <c r="D14664">
        <v>0.99998374440799997</v>
      </c>
      <c r="E14664">
        <v>10.878</v>
      </c>
    </row>
    <row r="14665" spans="1:5">
      <c r="A14665" t="s">
        <v>43063</v>
      </c>
      <c r="B14665" t="s">
        <v>7181</v>
      </c>
      <c r="C14665">
        <f>0</f>
        <v>0</v>
      </c>
      <c r="D14665">
        <v>0.99998374440799997</v>
      </c>
      <c r="E14665">
        <v>10.878</v>
      </c>
    </row>
    <row r="14666" spans="1:5">
      <c r="A14666" t="s">
        <v>43063</v>
      </c>
      <c r="B14666" t="s">
        <v>7180</v>
      </c>
      <c r="C14666">
        <v>0.109195308189</v>
      </c>
      <c r="D14666">
        <v>0.99998374440799997</v>
      </c>
      <c r="E14666">
        <v>10.878</v>
      </c>
    </row>
    <row r="14667" spans="1:5">
      <c r="A14667" t="s">
        <v>43063</v>
      </c>
      <c r="B14667" t="s">
        <v>7176</v>
      </c>
      <c r="C14667">
        <f>0</f>
        <v>0</v>
      </c>
      <c r="D14667">
        <v>0.99998374440799997</v>
      </c>
      <c r="E14667">
        <v>10.878</v>
      </c>
    </row>
    <row r="14668" spans="1:5">
      <c r="A14668" t="s">
        <v>43063</v>
      </c>
      <c r="B14668" t="s">
        <v>7179</v>
      </c>
      <c r="C14668">
        <v>0</v>
      </c>
      <c r="D14668">
        <v>0.99998374440799997</v>
      </c>
      <c r="E14668">
        <v>10.878</v>
      </c>
    </row>
    <row r="14669" spans="1:5">
      <c r="A14669" t="s">
        <v>43063</v>
      </c>
      <c r="B14669" t="s">
        <v>7183</v>
      </c>
      <c r="C14669">
        <f>0.310315367973</f>
        <v>0.31031536797300002</v>
      </c>
      <c r="D14669">
        <v>0.99998374440799997</v>
      </c>
      <c r="E14669">
        <v>10.878</v>
      </c>
    </row>
    <row r="14670" spans="1:5">
      <c r="A14670" t="s">
        <v>43063</v>
      </c>
      <c r="B14670" t="s">
        <v>7178</v>
      </c>
      <c r="C14670">
        <v>0</v>
      </c>
      <c r="D14670">
        <v>0.99998374440799997</v>
      </c>
      <c r="E14670">
        <v>10.878</v>
      </c>
    </row>
    <row r="14671" spans="1:5">
      <c r="A14671" t="s">
        <v>43064</v>
      </c>
      <c r="B14671" t="s">
        <v>15518</v>
      </c>
      <c r="C14671">
        <v>0.67895578827000003</v>
      </c>
      <c r="D14671">
        <v>0.84025638040799999</v>
      </c>
      <c r="E14671">
        <v>24</v>
      </c>
    </row>
    <row r="14672" spans="1:5">
      <c r="A14672" t="s">
        <v>43064</v>
      </c>
      <c r="B14672" t="s">
        <v>15520</v>
      </c>
      <c r="C14672">
        <v>0.36339303698800002</v>
      </c>
      <c r="D14672">
        <v>0.84025638040799999</v>
      </c>
      <c r="E14672">
        <v>24</v>
      </c>
    </row>
    <row r="14673" spans="1:5">
      <c r="A14673" t="s">
        <v>43064</v>
      </c>
      <c r="B14673" t="s">
        <v>15519</v>
      </c>
      <c r="C14673">
        <v>7.4449366782399995E-2</v>
      </c>
      <c r="D14673">
        <v>0.84025638040799999</v>
      </c>
      <c r="E14673">
        <v>24</v>
      </c>
    </row>
    <row r="14674" spans="1:5">
      <c r="A14674" t="s">
        <v>43065</v>
      </c>
      <c r="B14674" t="s">
        <v>14784</v>
      </c>
      <c r="C14674">
        <v>0</v>
      </c>
      <c r="D14674" t="s">
        <v>106</v>
      </c>
      <c r="E14674">
        <v>12.215999999999999</v>
      </c>
    </row>
    <row r="14675" spans="1:5">
      <c r="A14675" t="s">
        <v>43065</v>
      </c>
      <c r="B14675" t="s">
        <v>14785</v>
      </c>
      <c r="C14675">
        <v>0</v>
      </c>
      <c r="D14675" t="s">
        <v>106</v>
      </c>
      <c r="E14675">
        <v>12.215999999999999</v>
      </c>
    </row>
    <row r="14676" spans="1:5">
      <c r="A14676" t="s">
        <v>43065</v>
      </c>
      <c r="B14676" t="s">
        <v>14777</v>
      </c>
      <c r="C14676">
        <v>0</v>
      </c>
      <c r="D14676" t="s">
        <v>106</v>
      </c>
      <c r="E14676">
        <v>12.215999999999999</v>
      </c>
    </row>
    <row r="14677" spans="1:5">
      <c r="A14677" t="s">
        <v>43065</v>
      </c>
      <c r="B14677" t="s">
        <v>14781</v>
      </c>
      <c r="C14677">
        <v>0</v>
      </c>
      <c r="D14677" t="s">
        <v>106</v>
      </c>
      <c r="E14677">
        <v>12.215999999999999</v>
      </c>
    </row>
    <row r="14678" spans="1:5">
      <c r="A14678" t="s">
        <v>43065</v>
      </c>
      <c r="B14678" t="s">
        <v>14790</v>
      </c>
      <c r="C14678">
        <v>0</v>
      </c>
      <c r="D14678" t="s">
        <v>106</v>
      </c>
      <c r="E14678">
        <v>12.215999999999999</v>
      </c>
    </row>
    <row r="14679" spans="1:5">
      <c r="A14679" t="s">
        <v>43065</v>
      </c>
      <c r="B14679" t="s">
        <v>14778</v>
      </c>
      <c r="C14679">
        <v>0</v>
      </c>
      <c r="D14679" t="s">
        <v>106</v>
      </c>
      <c r="E14679">
        <v>12.215999999999999</v>
      </c>
    </row>
    <row r="14680" spans="1:5">
      <c r="A14680" t="s">
        <v>43065</v>
      </c>
      <c r="B14680" t="s">
        <v>14786</v>
      </c>
      <c r="C14680">
        <v>0</v>
      </c>
      <c r="D14680" t="s">
        <v>106</v>
      </c>
      <c r="E14680">
        <v>12.215999999999999</v>
      </c>
    </row>
    <row r="14681" spans="1:5">
      <c r="A14681" t="s">
        <v>43065</v>
      </c>
      <c r="B14681" t="s">
        <v>14789</v>
      </c>
      <c r="C14681">
        <v>0</v>
      </c>
      <c r="D14681" t="s">
        <v>106</v>
      </c>
      <c r="E14681">
        <v>12.215999999999999</v>
      </c>
    </row>
    <row r="14682" spans="1:5">
      <c r="A14682" t="s">
        <v>43065</v>
      </c>
      <c r="B14682" t="s">
        <v>14792</v>
      </c>
      <c r="C14682">
        <v>0</v>
      </c>
      <c r="D14682" t="s">
        <v>106</v>
      </c>
      <c r="E14682">
        <v>12.215999999999999</v>
      </c>
    </row>
    <row r="14683" spans="1:5">
      <c r="A14683" t="s">
        <v>43065</v>
      </c>
      <c r="B14683" t="s">
        <v>14780</v>
      </c>
      <c r="C14683">
        <v>0</v>
      </c>
      <c r="D14683" t="s">
        <v>106</v>
      </c>
      <c r="E14683">
        <v>12.215999999999999</v>
      </c>
    </row>
    <row r="14684" spans="1:5">
      <c r="A14684" t="s">
        <v>43065</v>
      </c>
      <c r="B14684" t="s">
        <v>14783</v>
      </c>
      <c r="C14684">
        <v>0</v>
      </c>
      <c r="D14684" t="s">
        <v>106</v>
      </c>
      <c r="E14684">
        <v>12.215999999999999</v>
      </c>
    </row>
    <row r="14685" spans="1:5">
      <c r="A14685" t="s">
        <v>43065</v>
      </c>
      <c r="B14685" t="s">
        <v>14779</v>
      </c>
      <c r="C14685">
        <v>0</v>
      </c>
      <c r="D14685" t="s">
        <v>106</v>
      </c>
      <c r="E14685">
        <v>12.215999999999999</v>
      </c>
    </row>
    <row r="14686" spans="1:5">
      <c r="A14686" t="s">
        <v>43065</v>
      </c>
      <c r="B14686" t="s">
        <v>14782</v>
      </c>
      <c r="C14686">
        <v>0</v>
      </c>
      <c r="D14686" t="s">
        <v>106</v>
      </c>
      <c r="E14686">
        <v>12.215999999999999</v>
      </c>
    </row>
    <row r="14687" spans="1:5">
      <c r="A14687" t="s">
        <v>43065</v>
      </c>
      <c r="B14687" t="s">
        <v>14776</v>
      </c>
      <c r="C14687">
        <v>0</v>
      </c>
      <c r="D14687" t="s">
        <v>106</v>
      </c>
      <c r="E14687">
        <v>12.215999999999999</v>
      </c>
    </row>
    <row r="14688" spans="1:5">
      <c r="A14688" t="s">
        <v>43066</v>
      </c>
      <c r="B14688" t="s">
        <v>30019</v>
      </c>
      <c r="C14688">
        <v>0.43627487005600002</v>
      </c>
      <c r="D14688">
        <v>0.72413740442200003</v>
      </c>
      <c r="E14688">
        <v>1.3919999999999999</v>
      </c>
    </row>
    <row r="14689" spans="1:5">
      <c r="A14689" t="s">
        <v>43066</v>
      </c>
      <c r="B14689" t="s">
        <v>30021</v>
      </c>
      <c r="C14689">
        <v>0.45866050066800002</v>
      </c>
      <c r="D14689">
        <v>0.72413740442200003</v>
      </c>
      <c r="E14689">
        <v>1.3919999999999999</v>
      </c>
    </row>
    <row r="14690" spans="1:5">
      <c r="A14690" t="s">
        <v>43067</v>
      </c>
      <c r="B14690" t="s">
        <v>18433</v>
      </c>
      <c r="C14690">
        <f>0.448531181954</f>
        <v>0.44853118195399999</v>
      </c>
      <c r="D14690">
        <v>0.85160430895299999</v>
      </c>
      <c r="E14690">
        <v>6.9359999999999999</v>
      </c>
    </row>
    <row r="14691" spans="1:5">
      <c r="A14691" t="s">
        <v>43067</v>
      </c>
      <c r="B14691" t="s">
        <v>18432</v>
      </c>
      <c r="C14691">
        <f>0</f>
        <v>0</v>
      </c>
      <c r="D14691">
        <v>0.85160430895299999</v>
      </c>
      <c r="E14691">
        <v>6.9359999999999999</v>
      </c>
    </row>
    <row r="14692" spans="1:5">
      <c r="A14692" t="s">
        <v>43067</v>
      </c>
      <c r="B14692" t="s">
        <v>18427</v>
      </c>
      <c r="C14692">
        <v>0.64507335680400002</v>
      </c>
      <c r="D14692">
        <v>0.85160430895299999</v>
      </c>
      <c r="E14692">
        <v>6.9359999999999999</v>
      </c>
    </row>
    <row r="14693" spans="1:5">
      <c r="A14693" t="s">
        <v>43067</v>
      </c>
      <c r="B14693" t="s">
        <v>18429</v>
      </c>
      <c r="C14693">
        <v>3.1368634127E-2</v>
      </c>
      <c r="D14693">
        <v>0.85160430895299999</v>
      </c>
      <c r="E14693">
        <v>6.9359999999999999</v>
      </c>
    </row>
    <row r="14694" spans="1:5">
      <c r="A14694" t="s">
        <v>43067</v>
      </c>
      <c r="B14694" t="s">
        <v>18431</v>
      </c>
      <c r="C14694">
        <f>0</f>
        <v>0</v>
      </c>
      <c r="D14694">
        <v>0.85160430895299999</v>
      </c>
      <c r="E14694">
        <v>6.9359999999999999</v>
      </c>
    </row>
    <row r="14695" spans="1:5">
      <c r="A14695" t="s">
        <v>43068</v>
      </c>
      <c r="B14695" t="s">
        <v>33861</v>
      </c>
      <c r="C14695">
        <f>0</f>
        <v>0</v>
      </c>
      <c r="D14695" t="s">
        <v>106</v>
      </c>
      <c r="E14695">
        <v>13.632</v>
      </c>
    </row>
    <row r="14696" spans="1:5">
      <c r="A14696" t="s">
        <v>43068</v>
      </c>
      <c r="B14696" t="s">
        <v>33865</v>
      </c>
      <c r="C14696">
        <f>0</f>
        <v>0</v>
      </c>
      <c r="D14696" t="s">
        <v>106</v>
      </c>
      <c r="E14696">
        <v>13.632</v>
      </c>
    </row>
    <row r="14697" spans="1:5">
      <c r="A14697" t="s">
        <v>43068</v>
      </c>
      <c r="B14697" t="s">
        <v>33866</v>
      </c>
      <c r="C14697">
        <f>0</f>
        <v>0</v>
      </c>
      <c r="D14697" t="s">
        <v>106</v>
      </c>
      <c r="E14697">
        <v>13.632</v>
      </c>
    </row>
    <row r="14698" spans="1:5">
      <c r="A14698" t="s">
        <v>43068</v>
      </c>
      <c r="B14698" t="s">
        <v>33863</v>
      </c>
      <c r="C14698">
        <v>0</v>
      </c>
      <c r="D14698" t="s">
        <v>106</v>
      </c>
      <c r="E14698">
        <v>13.632</v>
      </c>
    </row>
    <row r="14699" spans="1:5">
      <c r="A14699" t="s">
        <v>43068</v>
      </c>
      <c r="B14699" t="s">
        <v>33858</v>
      </c>
      <c r="C14699">
        <f>0</f>
        <v>0</v>
      </c>
      <c r="D14699" t="s">
        <v>106</v>
      </c>
      <c r="E14699">
        <v>13.632</v>
      </c>
    </row>
    <row r="14700" spans="1:5">
      <c r="A14700" t="s">
        <v>43068</v>
      </c>
      <c r="B14700" t="s">
        <v>43069</v>
      </c>
      <c r="C14700">
        <f>0</f>
        <v>0</v>
      </c>
      <c r="D14700" t="s">
        <v>106</v>
      </c>
      <c r="E14700">
        <v>13.632</v>
      </c>
    </row>
    <row r="14701" spans="1:5">
      <c r="A14701" t="s">
        <v>43070</v>
      </c>
      <c r="B14701" t="s">
        <v>17120</v>
      </c>
      <c r="C14701">
        <f>0.164072491647</f>
        <v>0.164072491647</v>
      </c>
      <c r="D14701">
        <v>0.99999529057199998</v>
      </c>
      <c r="E14701">
        <v>17.513999999999999</v>
      </c>
    </row>
    <row r="14702" spans="1:5">
      <c r="A14702" t="s">
        <v>43070</v>
      </c>
      <c r="B14702" t="s">
        <v>17123</v>
      </c>
      <c r="C14702">
        <v>0.34963695828699998</v>
      </c>
      <c r="D14702">
        <v>0.99999529057199998</v>
      </c>
      <c r="E14702">
        <v>17.513999999999999</v>
      </c>
    </row>
    <row r="14703" spans="1:5">
      <c r="A14703" t="s">
        <v>43070</v>
      </c>
      <c r="B14703" t="s">
        <v>17126</v>
      </c>
      <c r="C14703">
        <f>0.0393843759172</f>
        <v>3.9384375917200003E-2</v>
      </c>
      <c r="D14703">
        <v>0.99999529057199998</v>
      </c>
      <c r="E14703">
        <v>17.513999999999999</v>
      </c>
    </row>
    <row r="14704" spans="1:5">
      <c r="A14704" t="s">
        <v>43070</v>
      </c>
      <c r="B14704" t="s">
        <v>17122</v>
      </c>
      <c r="C14704">
        <v>0.136030528038</v>
      </c>
      <c r="D14704">
        <v>0.99999529057199998</v>
      </c>
      <c r="E14704">
        <v>17.513999999999999</v>
      </c>
    </row>
    <row r="14705" spans="1:5">
      <c r="A14705" t="s">
        <v>43070</v>
      </c>
      <c r="B14705" t="s">
        <v>17133</v>
      </c>
      <c r="C14705">
        <f>0.304970522316</f>
        <v>0.30497052231600003</v>
      </c>
      <c r="D14705">
        <v>0.99999529057199998</v>
      </c>
      <c r="E14705">
        <v>17.513999999999999</v>
      </c>
    </row>
    <row r="14706" spans="1:5">
      <c r="A14706" t="s">
        <v>43070</v>
      </c>
      <c r="B14706" t="s">
        <v>17134</v>
      </c>
      <c r="C14706">
        <f>0</f>
        <v>0</v>
      </c>
      <c r="D14706">
        <v>0.99999529057199998</v>
      </c>
      <c r="E14706">
        <v>17.513999999999999</v>
      </c>
    </row>
    <row r="14707" spans="1:5">
      <c r="A14707" t="s">
        <v>43070</v>
      </c>
      <c r="B14707" t="s">
        <v>17125</v>
      </c>
      <c r="C14707">
        <v>0</v>
      </c>
      <c r="D14707">
        <v>0.99999529057199998</v>
      </c>
      <c r="E14707">
        <v>17.513999999999999</v>
      </c>
    </row>
    <row r="14708" spans="1:5">
      <c r="A14708" t="s">
        <v>43070</v>
      </c>
      <c r="B14708" t="s">
        <v>17124</v>
      </c>
      <c r="C14708">
        <v>0.38354314061</v>
      </c>
      <c r="D14708">
        <v>0.99999529057199998</v>
      </c>
      <c r="E14708">
        <v>17.513999999999999</v>
      </c>
    </row>
    <row r="14709" spans="1:5">
      <c r="A14709" t="s">
        <v>43070</v>
      </c>
      <c r="B14709" t="s">
        <v>17121</v>
      </c>
      <c r="C14709">
        <f>0.131239298025</f>
        <v>0.13123929802500001</v>
      </c>
      <c r="D14709">
        <v>0.99999529057199998</v>
      </c>
      <c r="E14709">
        <v>17.513999999999999</v>
      </c>
    </row>
    <row r="14710" spans="1:5">
      <c r="A14710" t="s">
        <v>43070</v>
      </c>
      <c r="B14710" t="s">
        <v>17129</v>
      </c>
      <c r="C14710">
        <v>0.57631066150800003</v>
      </c>
      <c r="D14710">
        <v>0.99999529057199998</v>
      </c>
      <c r="E14710">
        <v>17.513999999999999</v>
      </c>
    </row>
    <row r="14711" spans="1:5">
      <c r="A14711" t="s">
        <v>43071</v>
      </c>
      <c r="B14711" t="s">
        <v>3243</v>
      </c>
      <c r="C14711">
        <v>0</v>
      </c>
      <c r="D14711">
        <v>0.72931158100399995</v>
      </c>
      <c r="E14711">
        <v>1.17</v>
      </c>
    </row>
    <row r="14712" spans="1:5">
      <c r="A14712" t="s">
        <v>43071</v>
      </c>
      <c r="B14712" t="s">
        <v>3245</v>
      </c>
      <c r="C14712">
        <v>0</v>
      </c>
      <c r="D14712">
        <v>0.72931158100399995</v>
      </c>
      <c r="E14712">
        <v>1.17</v>
      </c>
    </row>
    <row r="14713" spans="1:5">
      <c r="A14713" t="s">
        <v>43071</v>
      </c>
      <c r="B14713" t="s">
        <v>3246</v>
      </c>
      <c r="C14713">
        <v>0</v>
      </c>
      <c r="D14713">
        <v>0.72931158100399995</v>
      </c>
      <c r="E14713">
        <v>1.17</v>
      </c>
    </row>
    <row r="14714" spans="1:5">
      <c r="A14714" t="s">
        <v>43071</v>
      </c>
      <c r="B14714" t="s">
        <v>3247</v>
      </c>
      <c r="C14714">
        <v>2.3701581003700001E-2</v>
      </c>
      <c r="D14714">
        <v>0.72931158100399995</v>
      </c>
      <c r="E14714">
        <v>1.17</v>
      </c>
    </row>
    <row r="14715" spans="1:5">
      <c r="A14715" t="s">
        <v>43071</v>
      </c>
      <c r="B14715" t="s">
        <v>3244</v>
      </c>
      <c r="C14715">
        <f>0</f>
        <v>0</v>
      </c>
      <c r="D14715">
        <v>0.72931158100399995</v>
      </c>
      <c r="E14715">
        <v>1.17</v>
      </c>
    </row>
    <row r="14716" spans="1:5">
      <c r="A14716" t="s">
        <v>43071</v>
      </c>
      <c r="B14716" t="s">
        <v>3248</v>
      </c>
      <c r="C14716">
        <v>0</v>
      </c>
      <c r="D14716">
        <v>0.72931158100399995</v>
      </c>
      <c r="E14716">
        <v>1.17</v>
      </c>
    </row>
    <row r="14717" spans="1:5">
      <c r="A14717" t="s">
        <v>43072</v>
      </c>
      <c r="B14717" t="s">
        <v>17085</v>
      </c>
      <c r="C14717">
        <f>0</f>
        <v>0</v>
      </c>
      <c r="D14717" t="s">
        <v>106</v>
      </c>
      <c r="E14717">
        <v>24</v>
      </c>
    </row>
    <row r="14718" spans="1:5">
      <c r="A14718" t="s">
        <v>43072</v>
      </c>
      <c r="B14718" t="s">
        <v>17084</v>
      </c>
      <c r="C14718">
        <v>0</v>
      </c>
      <c r="D14718" t="s">
        <v>106</v>
      </c>
      <c r="E14718">
        <v>24</v>
      </c>
    </row>
    <row r="14719" spans="1:5">
      <c r="A14719" t="s">
        <v>43072</v>
      </c>
      <c r="B14719" t="s">
        <v>17088</v>
      </c>
      <c r="C14719">
        <v>0</v>
      </c>
      <c r="D14719" t="s">
        <v>106</v>
      </c>
      <c r="E14719">
        <v>24</v>
      </c>
    </row>
    <row r="14720" spans="1:5">
      <c r="A14720" t="s">
        <v>43072</v>
      </c>
      <c r="B14720" t="s">
        <v>17097</v>
      </c>
      <c r="C14720">
        <f>0</f>
        <v>0</v>
      </c>
      <c r="D14720" t="s">
        <v>106</v>
      </c>
      <c r="E14720">
        <v>24</v>
      </c>
    </row>
    <row r="14721" spans="1:5">
      <c r="A14721" t="s">
        <v>43072</v>
      </c>
      <c r="B14721" t="s">
        <v>17090</v>
      </c>
      <c r="C14721">
        <f>0</f>
        <v>0</v>
      </c>
      <c r="D14721" t="s">
        <v>106</v>
      </c>
      <c r="E14721">
        <v>24</v>
      </c>
    </row>
    <row r="14722" spans="1:5">
      <c r="A14722" t="s">
        <v>43072</v>
      </c>
      <c r="B14722" t="s">
        <v>17093</v>
      </c>
      <c r="C14722">
        <v>0</v>
      </c>
      <c r="D14722" t="s">
        <v>106</v>
      </c>
      <c r="E14722">
        <v>24</v>
      </c>
    </row>
    <row r="14723" spans="1:5">
      <c r="A14723" t="s">
        <v>43072</v>
      </c>
      <c r="B14723" t="s">
        <v>17094</v>
      </c>
      <c r="C14723">
        <f>0</f>
        <v>0</v>
      </c>
      <c r="D14723" t="s">
        <v>106</v>
      </c>
      <c r="E14723">
        <v>24</v>
      </c>
    </row>
    <row r="14724" spans="1:5">
      <c r="A14724" t="s">
        <v>43072</v>
      </c>
      <c r="B14724" t="s">
        <v>17089</v>
      </c>
      <c r="C14724">
        <f>0</f>
        <v>0</v>
      </c>
      <c r="D14724" t="s">
        <v>106</v>
      </c>
      <c r="E14724">
        <v>24</v>
      </c>
    </row>
    <row r="14725" spans="1:5">
      <c r="A14725" t="s">
        <v>43073</v>
      </c>
      <c r="B14725" t="s">
        <v>21496</v>
      </c>
      <c r="C14725">
        <f>0</f>
        <v>0</v>
      </c>
      <c r="D14725">
        <v>0.99866731896399996</v>
      </c>
      <c r="E14725">
        <v>0</v>
      </c>
    </row>
    <row r="14726" spans="1:5">
      <c r="A14726" t="s">
        <v>43073</v>
      </c>
      <c r="B14726" t="s">
        <v>21498</v>
      </c>
      <c r="C14726">
        <v>0</v>
      </c>
      <c r="D14726">
        <v>0.99866731896399996</v>
      </c>
      <c r="E14726">
        <v>0</v>
      </c>
    </row>
    <row r="14727" spans="1:5">
      <c r="A14727" t="s">
        <v>43073</v>
      </c>
      <c r="B14727" t="s">
        <v>21502</v>
      </c>
      <c r="C14727">
        <v>0.594690252423</v>
      </c>
      <c r="D14727">
        <v>0.99866731896399996</v>
      </c>
      <c r="E14727">
        <v>0</v>
      </c>
    </row>
    <row r="14728" spans="1:5">
      <c r="A14728" t="s">
        <v>43073</v>
      </c>
      <c r="B14728" t="s">
        <v>21499</v>
      </c>
      <c r="C14728">
        <f>0.0709327905854</f>
        <v>7.0932790585400002E-2</v>
      </c>
      <c r="D14728">
        <v>0.99866731896399996</v>
      </c>
      <c r="E14728">
        <v>0</v>
      </c>
    </row>
    <row r="14729" spans="1:5">
      <c r="A14729" t="s">
        <v>43073</v>
      </c>
      <c r="B14729" t="s">
        <v>21507</v>
      </c>
      <c r="C14729">
        <v>3.1490652915799999E-2</v>
      </c>
      <c r="D14729">
        <v>0.99866731896399996</v>
      </c>
      <c r="E14729">
        <v>0</v>
      </c>
    </row>
    <row r="14730" spans="1:5">
      <c r="A14730" t="s">
        <v>43073</v>
      </c>
      <c r="B14730" t="s">
        <v>43074</v>
      </c>
      <c r="C14730">
        <v>0.25219048037699998</v>
      </c>
      <c r="D14730">
        <v>0.99866731896399996</v>
      </c>
      <c r="E14730">
        <v>0</v>
      </c>
    </row>
    <row r="14731" spans="1:5">
      <c r="A14731" t="s">
        <v>43073</v>
      </c>
      <c r="B14731" t="s">
        <v>21511</v>
      </c>
      <c r="C14731">
        <v>0</v>
      </c>
      <c r="D14731">
        <v>0.99866731896399996</v>
      </c>
      <c r="E14731">
        <v>0</v>
      </c>
    </row>
    <row r="14732" spans="1:5">
      <c r="A14732" t="s">
        <v>43073</v>
      </c>
      <c r="B14732" t="s">
        <v>21510</v>
      </c>
      <c r="C14732">
        <v>0.50702087570200005</v>
      </c>
      <c r="D14732">
        <v>0.99866731896399996</v>
      </c>
      <c r="E14732">
        <v>0</v>
      </c>
    </row>
    <row r="14733" spans="1:5">
      <c r="A14733" t="s">
        <v>43075</v>
      </c>
      <c r="B14733" t="s">
        <v>3231</v>
      </c>
      <c r="C14733">
        <v>0</v>
      </c>
      <c r="D14733">
        <v>0.82084192858799998</v>
      </c>
      <c r="E14733">
        <v>7.3319999999999999</v>
      </c>
    </row>
    <row r="14734" spans="1:5">
      <c r="A14734" t="s">
        <v>43075</v>
      </c>
      <c r="B14734" t="s">
        <v>3232</v>
      </c>
      <c r="C14734">
        <f>0</f>
        <v>0</v>
      </c>
      <c r="D14734">
        <v>0.82084192858799998</v>
      </c>
      <c r="E14734">
        <v>7.3319999999999999</v>
      </c>
    </row>
    <row r="14735" spans="1:5">
      <c r="A14735" t="s">
        <v>43075</v>
      </c>
      <c r="B14735" t="s">
        <v>3233</v>
      </c>
      <c r="C14735">
        <v>0</v>
      </c>
      <c r="D14735">
        <v>0.82084192858799998</v>
      </c>
      <c r="E14735">
        <v>7.3319999999999999</v>
      </c>
    </row>
    <row r="14736" spans="1:5">
      <c r="A14736" t="s">
        <v>43075</v>
      </c>
      <c r="B14736" t="s">
        <v>3234</v>
      </c>
      <c r="C14736">
        <f>0.550431928588</f>
        <v>0.55043192858800005</v>
      </c>
      <c r="D14736">
        <v>0.82084192858799998</v>
      </c>
      <c r="E14736">
        <v>7.3319999999999999</v>
      </c>
    </row>
    <row r="14737" spans="1:5">
      <c r="A14737" t="s">
        <v>43076</v>
      </c>
      <c r="B14737" t="s">
        <v>43077</v>
      </c>
      <c r="C14737">
        <v>0</v>
      </c>
      <c r="D14737">
        <v>0.66896101945200004</v>
      </c>
      <c r="E14737">
        <v>18.984000000000002</v>
      </c>
    </row>
    <row r="14738" spans="1:5">
      <c r="A14738" t="s">
        <v>43076</v>
      </c>
      <c r="B14738" t="s">
        <v>43078</v>
      </c>
      <c r="C14738">
        <v>4.5265470195199998E-4</v>
      </c>
      <c r="D14738">
        <v>0.66896101945200004</v>
      </c>
      <c r="E14738">
        <v>18.984000000000002</v>
      </c>
    </row>
    <row r="14739" spans="1:5">
      <c r="A14739" t="s">
        <v>43076</v>
      </c>
      <c r="B14739" t="s">
        <v>43079</v>
      </c>
      <c r="C14739">
        <v>0</v>
      </c>
      <c r="D14739">
        <v>0.66896101945200004</v>
      </c>
      <c r="E14739">
        <v>18.984000000000002</v>
      </c>
    </row>
    <row r="14740" spans="1:5">
      <c r="A14740" t="s">
        <v>43076</v>
      </c>
      <c r="B14740" t="s">
        <v>43080</v>
      </c>
      <c r="C14740">
        <v>0</v>
      </c>
      <c r="D14740">
        <v>0.66896101945200004</v>
      </c>
      <c r="E14740">
        <v>18.984000000000002</v>
      </c>
    </row>
    <row r="14741" spans="1:5">
      <c r="A14741" t="s">
        <v>43076</v>
      </c>
      <c r="B14741" t="s">
        <v>43081</v>
      </c>
      <c r="C14741">
        <v>0.25875140753999998</v>
      </c>
      <c r="D14741">
        <v>0.66896101945200004</v>
      </c>
      <c r="E14741">
        <v>18.984000000000002</v>
      </c>
    </row>
    <row r="14742" spans="1:5">
      <c r="A14742" t="s">
        <v>43076</v>
      </c>
      <c r="B14742" t="s">
        <v>43082</v>
      </c>
      <c r="C14742">
        <v>0</v>
      </c>
      <c r="D14742">
        <v>0.66896101945200004</v>
      </c>
      <c r="E14742">
        <v>18.984000000000002</v>
      </c>
    </row>
    <row r="14743" spans="1:5">
      <c r="A14743" t="s">
        <v>43083</v>
      </c>
      <c r="B14743" t="s">
        <v>43084</v>
      </c>
      <c r="C14743">
        <v>0</v>
      </c>
      <c r="D14743">
        <v>0.80144425782299999</v>
      </c>
      <c r="E14743">
        <v>23.28</v>
      </c>
    </row>
    <row r="14744" spans="1:5">
      <c r="A14744" t="s">
        <v>43083</v>
      </c>
      <c r="B14744" t="s">
        <v>43085</v>
      </c>
      <c r="C14744">
        <f>0</f>
        <v>0</v>
      </c>
      <c r="D14744">
        <v>0.80144425782299999</v>
      </c>
      <c r="E14744">
        <v>23.28</v>
      </c>
    </row>
    <row r="14745" spans="1:5">
      <c r="A14745" t="s">
        <v>43083</v>
      </c>
      <c r="B14745" t="s">
        <v>43086</v>
      </c>
      <c r="C14745">
        <v>0.13810089382900001</v>
      </c>
      <c r="D14745">
        <v>0.80144425782299999</v>
      </c>
      <c r="E14745">
        <v>23.28</v>
      </c>
    </row>
    <row r="14746" spans="1:5">
      <c r="A14746" t="s">
        <v>43083</v>
      </c>
      <c r="B14746" t="s">
        <v>43087</v>
      </c>
      <c r="C14746">
        <f>0</f>
        <v>0</v>
      </c>
      <c r="D14746">
        <v>0.80144425782299999</v>
      </c>
      <c r="E14746">
        <v>23.28</v>
      </c>
    </row>
    <row r="14747" spans="1:5">
      <c r="A14747" t="s">
        <v>43083</v>
      </c>
      <c r="B14747" t="s">
        <v>43088</v>
      </c>
      <c r="C14747">
        <f>0</f>
        <v>0</v>
      </c>
      <c r="D14747">
        <v>0.80144425782299999</v>
      </c>
      <c r="E14747">
        <v>23.28</v>
      </c>
    </row>
    <row r="14748" spans="1:5">
      <c r="A14748" t="s">
        <v>43083</v>
      </c>
      <c r="B14748" t="s">
        <v>43089</v>
      </c>
      <c r="C14748">
        <v>0.61917888125200005</v>
      </c>
      <c r="D14748">
        <v>0.80144425782299999</v>
      </c>
      <c r="E14748">
        <v>23.28</v>
      </c>
    </row>
    <row r="14749" spans="1:5">
      <c r="A14749" t="s">
        <v>43090</v>
      </c>
      <c r="B14749" t="s">
        <v>43091</v>
      </c>
      <c r="C14749">
        <f>0</f>
        <v>0</v>
      </c>
      <c r="D14749" t="s">
        <v>106</v>
      </c>
      <c r="E14749">
        <v>7.734</v>
      </c>
    </row>
    <row r="14750" spans="1:5">
      <c r="A14750" t="s">
        <v>43090</v>
      </c>
      <c r="B14750" t="s">
        <v>43092</v>
      </c>
      <c r="C14750">
        <v>0</v>
      </c>
      <c r="D14750" t="s">
        <v>106</v>
      </c>
      <c r="E14750">
        <v>7.734</v>
      </c>
    </row>
    <row r="14751" spans="1:5">
      <c r="A14751" t="s">
        <v>43090</v>
      </c>
      <c r="B14751" t="s">
        <v>43093</v>
      </c>
      <c r="C14751">
        <v>0</v>
      </c>
      <c r="D14751" t="s">
        <v>106</v>
      </c>
      <c r="E14751">
        <v>7.734</v>
      </c>
    </row>
    <row r="14752" spans="1:5">
      <c r="A14752" t="s">
        <v>43090</v>
      </c>
      <c r="B14752" t="s">
        <v>43094</v>
      </c>
      <c r="C14752">
        <v>0</v>
      </c>
      <c r="D14752" t="s">
        <v>106</v>
      </c>
      <c r="E14752">
        <v>7.734</v>
      </c>
    </row>
    <row r="14753" spans="1:5">
      <c r="A14753" t="s">
        <v>43090</v>
      </c>
      <c r="B14753" t="s">
        <v>43095</v>
      </c>
      <c r="C14753">
        <v>0</v>
      </c>
      <c r="D14753" t="s">
        <v>106</v>
      </c>
      <c r="E14753">
        <v>7.734</v>
      </c>
    </row>
    <row r="14754" spans="1:5">
      <c r="A14754" t="s">
        <v>43090</v>
      </c>
      <c r="B14754" t="s">
        <v>43096</v>
      </c>
      <c r="C14754">
        <f>0</f>
        <v>0</v>
      </c>
      <c r="D14754" t="s">
        <v>106</v>
      </c>
      <c r="E14754">
        <v>7.734</v>
      </c>
    </row>
    <row r="14755" spans="1:5">
      <c r="A14755" t="s">
        <v>43097</v>
      </c>
      <c r="B14755" t="s">
        <v>14858</v>
      </c>
      <c r="C14755">
        <f>0</f>
        <v>0</v>
      </c>
      <c r="D14755">
        <v>0.61305327441199997</v>
      </c>
      <c r="E14755">
        <v>12.048</v>
      </c>
    </row>
    <row r="14756" spans="1:5">
      <c r="A14756" t="s">
        <v>43097</v>
      </c>
      <c r="B14756" t="s">
        <v>14856</v>
      </c>
      <c r="C14756">
        <v>0.45304327441199999</v>
      </c>
      <c r="D14756">
        <v>0.61305327441199997</v>
      </c>
      <c r="E14756">
        <v>12.048</v>
      </c>
    </row>
    <row r="14757" spans="1:5">
      <c r="A14757" t="s">
        <v>43097</v>
      </c>
      <c r="B14757" t="s">
        <v>14861</v>
      </c>
      <c r="C14757">
        <f>0</f>
        <v>0</v>
      </c>
      <c r="D14757">
        <v>0.61305327441199997</v>
      </c>
      <c r="E14757">
        <v>12.048</v>
      </c>
    </row>
    <row r="14758" spans="1:5">
      <c r="A14758" t="s">
        <v>43098</v>
      </c>
      <c r="B14758" t="s">
        <v>32114</v>
      </c>
      <c r="C14758">
        <v>0</v>
      </c>
      <c r="D14758">
        <v>0.98574133166199995</v>
      </c>
      <c r="E14758">
        <v>6.9359999999999999</v>
      </c>
    </row>
    <row r="14759" spans="1:5">
      <c r="A14759" t="s">
        <v>43098</v>
      </c>
      <c r="B14759" t="s">
        <v>32118</v>
      </c>
      <c r="C14759">
        <v>0.25522671403500002</v>
      </c>
      <c r="D14759">
        <v>0.98574133166199995</v>
      </c>
      <c r="E14759">
        <v>6.9359999999999999</v>
      </c>
    </row>
    <row r="14760" spans="1:5">
      <c r="A14760" t="s">
        <v>43098</v>
      </c>
      <c r="B14760" t="s">
        <v>32123</v>
      </c>
      <c r="C14760">
        <f>-1.08610516333</f>
        <v>-1.0861051633300001</v>
      </c>
      <c r="D14760">
        <v>0.98574133166199995</v>
      </c>
      <c r="E14760">
        <v>6.9359999999999999</v>
      </c>
    </row>
    <row r="14761" spans="1:5">
      <c r="A14761" t="s">
        <v>43098</v>
      </c>
      <c r="B14761" t="s">
        <v>32119</v>
      </c>
      <c r="C14761">
        <f>0.357579512695</f>
        <v>0.35757951269499999</v>
      </c>
      <c r="D14761">
        <v>0.98574133166199995</v>
      </c>
      <c r="E14761">
        <v>6.9359999999999999</v>
      </c>
    </row>
    <row r="14762" spans="1:5">
      <c r="A14762" t="s">
        <v>43098</v>
      </c>
      <c r="B14762" t="s">
        <v>32121</v>
      </c>
      <c r="C14762">
        <v>0.14995149550100001</v>
      </c>
      <c r="D14762">
        <v>0.98574133166199995</v>
      </c>
      <c r="E14762">
        <v>6.9359999999999999</v>
      </c>
    </row>
    <row r="14763" spans="1:5">
      <c r="A14763" t="s">
        <v>43098</v>
      </c>
      <c r="B14763" t="s">
        <v>32126</v>
      </c>
      <c r="C14763">
        <v>0.70821585845199997</v>
      </c>
      <c r="D14763">
        <v>0.98574133166199995</v>
      </c>
      <c r="E14763">
        <v>6.9359999999999999</v>
      </c>
    </row>
    <row r="14764" spans="1:5">
      <c r="A14764" t="s">
        <v>43098</v>
      </c>
      <c r="B14764" t="s">
        <v>32116</v>
      </c>
      <c r="C14764">
        <f>0.0704535805629</f>
        <v>7.0453580562900006E-2</v>
      </c>
      <c r="D14764">
        <v>0.98574133166199995</v>
      </c>
      <c r="E14764">
        <v>6.9359999999999999</v>
      </c>
    </row>
    <row r="14765" spans="1:5">
      <c r="A14765" t="s">
        <v>43099</v>
      </c>
      <c r="B14765" t="s">
        <v>11788</v>
      </c>
      <c r="C14765">
        <v>0.26393225721500002</v>
      </c>
      <c r="D14765">
        <v>0.99987511474099999</v>
      </c>
      <c r="E14765">
        <v>0.504</v>
      </c>
    </row>
    <row r="14766" spans="1:5">
      <c r="A14766" t="s">
        <v>43099</v>
      </c>
      <c r="B14766" t="s">
        <v>11797</v>
      </c>
      <c r="C14766">
        <f>0</f>
        <v>0</v>
      </c>
      <c r="D14766">
        <v>0.99987511474099999</v>
      </c>
      <c r="E14766">
        <v>0.504</v>
      </c>
    </row>
    <row r="14767" spans="1:5">
      <c r="A14767" t="s">
        <v>43099</v>
      </c>
      <c r="B14767" t="s">
        <v>11800</v>
      </c>
      <c r="C14767">
        <v>0.69302728959799997</v>
      </c>
      <c r="D14767">
        <v>0.99987511474099999</v>
      </c>
      <c r="E14767">
        <v>0.504</v>
      </c>
    </row>
    <row r="14768" spans="1:5">
      <c r="A14768" t="s">
        <v>43099</v>
      </c>
      <c r="B14768" t="s">
        <v>11795</v>
      </c>
      <c r="C14768">
        <v>0.19097939671299999</v>
      </c>
      <c r="D14768">
        <v>0.99987511474099999</v>
      </c>
      <c r="E14768">
        <v>0.504</v>
      </c>
    </row>
    <row r="14769" spans="1:5">
      <c r="A14769" t="s">
        <v>43099</v>
      </c>
      <c r="B14769" t="s">
        <v>11792</v>
      </c>
      <c r="C14769">
        <f>0.00648636598504</f>
        <v>6.4863659850400001E-3</v>
      </c>
      <c r="D14769">
        <v>0.99987511474099999</v>
      </c>
      <c r="E14769">
        <v>0.504</v>
      </c>
    </row>
    <row r="14770" spans="1:5">
      <c r="A14770" t="s">
        <v>43099</v>
      </c>
      <c r="B14770" t="s">
        <v>11791</v>
      </c>
      <c r="C14770">
        <v>0.51608928006099997</v>
      </c>
      <c r="D14770">
        <v>0.99987511474099999</v>
      </c>
      <c r="E14770">
        <v>0.504</v>
      </c>
    </row>
    <row r="14771" spans="1:5">
      <c r="A14771" t="s">
        <v>43099</v>
      </c>
      <c r="B14771" t="s">
        <v>11799</v>
      </c>
      <c r="C14771">
        <v>0.46627836428699998</v>
      </c>
      <c r="D14771">
        <v>0.99987511474099999</v>
      </c>
      <c r="E14771">
        <v>0.504</v>
      </c>
    </row>
    <row r="14772" spans="1:5">
      <c r="A14772" t="s">
        <v>43099</v>
      </c>
      <c r="B14772" t="s">
        <v>11798</v>
      </c>
      <c r="C14772">
        <v>3.2161587284499998E-2</v>
      </c>
      <c r="D14772">
        <v>0.99987511474099999</v>
      </c>
      <c r="E14772">
        <v>0.504</v>
      </c>
    </row>
    <row r="14773" spans="1:5">
      <c r="A14773" t="s">
        <v>43099</v>
      </c>
      <c r="B14773" t="s">
        <v>11789</v>
      </c>
      <c r="C14773">
        <v>0</v>
      </c>
      <c r="D14773">
        <v>0.99987511474099999</v>
      </c>
      <c r="E14773">
        <v>0.504</v>
      </c>
    </row>
    <row r="14774" spans="1:5">
      <c r="A14774" t="s">
        <v>43100</v>
      </c>
      <c r="B14774" t="s">
        <v>4279</v>
      </c>
      <c r="C14774">
        <f>0</f>
        <v>0</v>
      </c>
      <c r="D14774">
        <v>0.99988001016200001</v>
      </c>
      <c r="E14774">
        <v>1.698</v>
      </c>
    </row>
    <row r="14775" spans="1:5">
      <c r="A14775" t="s">
        <v>43100</v>
      </c>
      <c r="B14775" t="s">
        <v>4278</v>
      </c>
      <c r="C14775">
        <v>0.35240031819200002</v>
      </c>
      <c r="D14775">
        <v>0.99988001016200001</v>
      </c>
      <c r="E14775">
        <v>1.698</v>
      </c>
    </row>
    <row r="14776" spans="1:5">
      <c r="A14776" t="s">
        <v>43100</v>
      </c>
      <c r="B14776" t="s">
        <v>4281</v>
      </c>
      <c r="C14776">
        <v>0</v>
      </c>
      <c r="D14776">
        <v>0.99988001016200001</v>
      </c>
      <c r="E14776">
        <v>1.698</v>
      </c>
    </row>
    <row r="14777" spans="1:5">
      <c r="A14777" t="s">
        <v>43100</v>
      </c>
      <c r="B14777" t="s">
        <v>4283</v>
      </c>
      <c r="C14777">
        <f>0</f>
        <v>0</v>
      </c>
      <c r="D14777">
        <v>0.99988001016200001</v>
      </c>
      <c r="E14777">
        <v>1.698</v>
      </c>
    </row>
    <row r="14778" spans="1:5">
      <c r="A14778" t="s">
        <v>43100</v>
      </c>
      <c r="B14778" t="s">
        <v>4277</v>
      </c>
      <c r="C14778">
        <v>0.49047927326000001</v>
      </c>
      <c r="D14778">
        <v>0.99988001016200001</v>
      </c>
      <c r="E14778">
        <v>1.698</v>
      </c>
    </row>
    <row r="14779" spans="1:5">
      <c r="A14779" t="s">
        <v>43100</v>
      </c>
      <c r="B14779" t="s">
        <v>4284</v>
      </c>
      <c r="C14779">
        <v>7.7168423710399997E-3</v>
      </c>
      <c r="D14779">
        <v>0.99988001016200001</v>
      </c>
      <c r="E14779">
        <v>1.698</v>
      </c>
    </row>
    <row r="14780" spans="1:5">
      <c r="A14780" t="s">
        <v>43100</v>
      </c>
      <c r="B14780" t="s">
        <v>4291</v>
      </c>
      <c r="C14780">
        <v>0</v>
      </c>
      <c r="D14780">
        <v>0.99988001016200001</v>
      </c>
      <c r="E14780">
        <v>1.698</v>
      </c>
    </row>
    <row r="14781" spans="1:5">
      <c r="A14781" t="s">
        <v>43100</v>
      </c>
      <c r="B14781" t="s">
        <v>4293</v>
      </c>
      <c r="C14781">
        <f>0</f>
        <v>0</v>
      </c>
      <c r="D14781">
        <v>0.99988001016200001</v>
      </c>
      <c r="E14781">
        <v>1.698</v>
      </c>
    </row>
    <row r="14782" spans="1:5">
      <c r="A14782" t="s">
        <v>43100</v>
      </c>
      <c r="B14782" t="s">
        <v>4276</v>
      </c>
      <c r="C14782">
        <f>0.0419229152296</f>
        <v>4.1922915229599997E-2</v>
      </c>
      <c r="D14782">
        <v>0.99988001016200001</v>
      </c>
      <c r="E14782">
        <v>1.698</v>
      </c>
    </row>
    <row r="14783" spans="1:5">
      <c r="A14783" t="s">
        <v>43100</v>
      </c>
      <c r="B14783" t="s">
        <v>4289</v>
      </c>
      <c r="C14783">
        <v>1.07695971409E-3</v>
      </c>
      <c r="D14783">
        <v>0.99988001016200001</v>
      </c>
      <c r="E14783">
        <v>1.698</v>
      </c>
    </row>
    <row r="14784" spans="1:5">
      <c r="A14784" t="s">
        <v>43100</v>
      </c>
      <c r="B14784" t="s">
        <v>4288</v>
      </c>
      <c r="C14784">
        <v>0</v>
      </c>
      <c r="D14784">
        <v>0.99988001016200001</v>
      </c>
      <c r="E14784">
        <v>1.698</v>
      </c>
    </row>
    <row r="14785" spans="1:5">
      <c r="A14785" t="s">
        <v>43100</v>
      </c>
      <c r="B14785" t="s">
        <v>4287</v>
      </c>
      <c r="C14785">
        <f>0.0181416072417</f>
        <v>1.8141607241700001E-2</v>
      </c>
      <c r="D14785">
        <v>0.99988001016200001</v>
      </c>
      <c r="E14785">
        <v>1.698</v>
      </c>
    </row>
    <row r="14786" spans="1:5">
      <c r="A14786" t="s">
        <v>43100</v>
      </c>
      <c r="B14786" t="s">
        <v>4286</v>
      </c>
      <c r="C14786">
        <v>0.460900486517</v>
      </c>
      <c r="D14786">
        <v>0.99988001016200001</v>
      </c>
      <c r="E14786">
        <v>1.698</v>
      </c>
    </row>
    <row r="14787" spans="1:5">
      <c r="A14787" t="s">
        <v>43101</v>
      </c>
      <c r="B14787" t="s">
        <v>43102</v>
      </c>
      <c r="C14787">
        <v>0</v>
      </c>
      <c r="D14787" t="s">
        <v>106</v>
      </c>
      <c r="E14787">
        <v>2.1779999999999999</v>
      </c>
    </row>
    <row r="14788" spans="1:5">
      <c r="A14788" t="s">
        <v>43101</v>
      </c>
      <c r="B14788" t="s">
        <v>43103</v>
      </c>
      <c r="C14788">
        <f>0</f>
        <v>0</v>
      </c>
      <c r="D14788" t="s">
        <v>106</v>
      </c>
      <c r="E14788">
        <v>2.1779999999999999</v>
      </c>
    </row>
    <row r="14789" spans="1:5">
      <c r="A14789" t="s">
        <v>43101</v>
      </c>
      <c r="B14789" t="s">
        <v>43104</v>
      </c>
      <c r="C14789">
        <f>0</f>
        <v>0</v>
      </c>
      <c r="D14789" t="s">
        <v>106</v>
      </c>
      <c r="E14789">
        <v>2.1779999999999999</v>
      </c>
    </row>
    <row r="14790" spans="1:5">
      <c r="A14790" t="s">
        <v>43101</v>
      </c>
      <c r="B14790" t="s">
        <v>43105</v>
      </c>
      <c r="C14790">
        <f>0</f>
        <v>0</v>
      </c>
      <c r="D14790" t="s">
        <v>106</v>
      </c>
      <c r="E14790">
        <v>2.1779999999999999</v>
      </c>
    </row>
    <row r="14791" spans="1:5">
      <c r="A14791" t="s">
        <v>43101</v>
      </c>
      <c r="B14791" t="s">
        <v>43106</v>
      </c>
      <c r="C14791">
        <f>0</f>
        <v>0</v>
      </c>
      <c r="D14791" t="s">
        <v>106</v>
      </c>
      <c r="E14791">
        <v>2.1779999999999999</v>
      </c>
    </row>
    <row r="14792" spans="1:5">
      <c r="A14792" t="s">
        <v>43107</v>
      </c>
      <c r="B14792" t="s">
        <v>4518</v>
      </c>
      <c r="C14792">
        <f>0.31060093012</f>
        <v>0.31060093012000001</v>
      </c>
      <c r="D14792">
        <v>0.58101093012000005</v>
      </c>
      <c r="E14792">
        <v>0.26400000000000001</v>
      </c>
    </row>
    <row r="14793" spans="1:5">
      <c r="A14793" t="s">
        <v>43107</v>
      </c>
      <c r="B14793" t="s">
        <v>4521</v>
      </c>
      <c r="C14793">
        <f>0</f>
        <v>0</v>
      </c>
      <c r="D14793">
        <v>0.58101093012000005</v>
      </c>
      <c r="E14793">
        <v>0.26400000000000001</v>
      </c>
    </row>
    <row r="14794" spans="1:5">
      <c r="A14794" t="s">
        <v>43108</v>
      </c>
      <c r="B14794" t="s">
        <v>31163</v>
      </c>
      <c r="C14794">
        <v>0</v>
      </c>
      <c r="D14794" t="s">
        <v>106</v>
      </c>
      <c r="E14794">
        <v>19.416</v>
      </c>
    </row>
    <row r="14795" spans="1:5">
      <c r="A14795" t="s">
        <v>43108</v>
      </c>
      <c r="B14795" t="s">
        <v>31164</v>
      </c>
      <c r="C14795">
        <v>0</v>
      </c>
      <c r="D14795" t="s">
        <v>106</v>
      </c>
      <c r="E14795">
        <v>19.416</v>
      </c>
    </row>
    <row r="14796" spans="1:5">
      <c r="A14796" t="s">
        <v>43109</v>
      </c>
      <c r="B14796" t="s">
        <v>43110</v>
      </c>
      <c r="C14796">
        <v>0</v>
      </c>
      <c r="D14796" t="s">
        <v>106</v>
      </c>
      <c r="E14796">
        <v>9.1679999999999993</v>
      </c>
    </row>
    <row r="14797" spans="1:5">
      <c r="A14797" t="s">
        <v>43109</v>
      </c>
      <c r="B14797" t="s">
        <v>43111</v>
      </c>
      <c r="C14797">
        <v>0</v>
      </c>
      <c r="D14797" t="s">
        <v>106</v>
      </c>
      <c r="E14797">
        <v>9.1679999999999993</v>
      </c>
    </row>
    <row r="14798" spans="1:5">
      <c r="A14798" t="s">
        <v>43112</v>
      </c>
      <c r="B14798" t="s">
        <v>499</v>
      </c>
      <c r="C14798">
        <v>0</v>
      </c>
      <c r="D14798">
        <v>0.78246915572599995</v>
      </c>
      <c r="E14798">
        <v>4.17</v>
      </c>
    </row>
    <row r="14799" spans="1:5">
      <c r="A14799" t="s">
        <v>43112</v>
      </c>
      <c r="B14799" t="s">
        <v>505</v>
      </c>
      <c r="C14799">
        <v>0</v>
      </c>
      <c r="D14799">
        <v>0.78246915572599995</v>
      </c>
      <c r="E14799">
        <v>4.17</v>
      </c>
    </row>
    <row r="14800" spans="1:5">
      <c r="A14800" t="s">
        <v>43112</v>
      </c>
      <c r="B14800" t="s">
        <v>503</v>
      </c>
      <c r="C14800">
        <v>0.58885915572600001</v>
      </c>
      <c r="D14800">
        <v>0.78246915572599995</v>
      </c>
      <c r="E14800">
        <v>4.17</v>
      </c>
    </row>
    <row r="14801" spans="1:5">
      <c r="A14801" t="s">
        <v>43112</v>
      </c>
      <c r="B14801" t="s">
        <v>500</v>
      </c>
      <c r="C14801">
        <f>0</f>
        <v>0</v>
      </c>
      <c r="D14801">
        <v>0.78246915572599995</v>
      </c>
      <c r="E14801">
        <v>4.17</v>
      </c>
    </row>
    <row r="14802" spans="1:5">
      <c r="A14802" t="s">
        <v>43112</v>
      </c>
      <c r="B14802" t="s">
        <v>502</v>
      </c>
      <c r="C14802">
        <v>0</v>
      </c>
      <c r="D14802">
        <v>0.78246915572599995</v>
      </c>
      <c r="E14802">
        <v>4.17</v>
      </c>
    </row>
    <row r="14803" spans="1:5">
      <c r="A14803" t="s">
        <v>43113</v>
      </c>
      <c r="B14803" t="s">
        <v>43114</v>
      </c>
      <c r="C14803">
        <v>6.4230468095899995E-2</v>
      </c>
      <c r="D14803">
        <v>0.97051508728199998</v>
      </c>
      <c r="E14803">
        <v>0.34799999999999998</v>
      </c>
    </row>
    <row r="14804" spans="1:5">
      <c r="A14804" t="s">
        <v>43113</v>
      </c>
      <c r="B14804" t="s">
        <v>43115</v>
      </c>
      <c r="C14804">
        <v>0</v>
      </c>
      <c r="D14804">
        <v>0.97051508728199998</v>
      </c>
      <c r="E14804">
        <v>0.34799999999999998</v>
      </c>
    </row>
    <row r="14805" spans="1:5">
      <c r="A14805" t="s">
        <v>43113</v>
      </c>
      <c r="B14805" t="s">
        <v>43116</v>
      </c>
      <c r="C14805">
        <v>0.12015225455799999</v>
      </c>
      <c r="D14805">
        <v>0.97051508728199998</v>
      </c>
      <c r="E14805">
        <v>0.34799999999999998</v>
      </c>
    </row>
    <row r="14806" spans="1:5">
      <c r="A14806" t="s">
        <v>43113</v>
      </c>
      <c r="B14806" t="s">
        <v>43117</v>
      </c>
      <c r="C14806">
        <f>0</f>
        <v>0</v>
      </c>
      <c r="D14806">
        <v>0.97051508728199998</v>
      </c>
      <c r="E14806">
        <v>0.34799999999999998</v>
      </c>
    </row>
    <row r="14807" spans="1:5">
      <c r="A14807" t="s">
        <v>43113</v>
      </c>
      <c r="B14807" t="s">
        <v>43118</v>
      </c>
      <c r="C14807">
        <v>0</v>
      </c>
      <c r="D14807">
        <v>0.97051508728199998</v>
      </c>
      <c r="E14807">
        <v>0.34799999999999998</v>
      </c>
    </row>
    <row r="14808" spans="1:5">
      <c r="A14808" t="s">
        <v>43113</v>
      </c>
      <c r="B14808" t="s">
        <v>43119</v>
      </c>
      <c r="C14808">
        <v>0.45332549281899998</v>
      </c>
      <c r="D14808">
        <v>0.97051508728199998</v>
      </c>
      <c r="E14808">
        <v>0.34799999999999998</v>
      </c>
    </row>
    <row r="14809" spans="1:5">
      <c r="A14809" t="s">
        <v>43113</v>
      </c>
      <c r="B14809" t="s">
        <v>43120</v>
      </c>
      <c r="C14809">
        <v>0.57942134358599995</v>
      </c>
      <c r="D14809">
        <v>0.97051508728199998</v>
      </c>
      <c r="E14809">
        <v>0.34799999999999998</v>
      </c>
    </row>
    <row r="14810" spans="1:5">
      <c r="A14810" t="s">
        <v>43121</v>
      </c>
      <c r="B14810" t="s">
        <v>16624</v>
      </c>
      <c r="C14810">
        <v>0.248687948706</v>
      </c>
      <c r="D14810">
        <v>0.93415535245100001</v>
      </c>
      <c r="E14810">
        <v>0</v>
      </c>
    </row>
    <row r="14811" spans="1:5">
      <c r="A14811" t="s">
        <v>43121</v>
      </c>
      <c r="B14811" t="s">
        <v>16628</v>
      </c>
      <c r="C14811">
        <v>0.457996680411</v>
      </c>
      <c r="D14811">
        <v>0.93415535245100001</v>
      </c>
      <c r="E14811">
        <v>0</v>
      </c>
    </row>
    <row r="14812" spans="1:5">
      <c r="A14812" t="s">
        <v>43121</v>
      </c>
      <c r="B14812" t="s">
        <v>16626</v>
      </c>
      <c r="C14812">
        <v>0.25647217769800001</v>
      </c>
      <c r="D14812">
        <v>0.93415535245100001</v>
      </c>
      <c r="E14812">
        <v>0</v>
      </c>
    </row>
    <row r="14813" spans="1:5">
      <c r="A14813" t="s">
        <v>43122</v>
      </c>
      <c r="B14813" t="s">
        <v>43123</v>
      </c>
      <c r="C14813">
        <v>0</v>
      </c>
      <c r="D14813" t="s">
        <v>106</v>
      </c>
      <c r="E14813">
        <v>7.734</v>
      </c>
    </row>
    <row r="14814" spans="1:5">
      <c r="A14814" t="s">
        <v>43122</v>
      </c>
      <c r="B14814" t="s">
        <v>43124</v>
      </c>
      <c r="C14814">
        <v>0</v>
      </c>
      <c r="D14814" t="s">
        <v>106</v>
      </c>
      <c r="E14814">
        <v>7.734</v>
      </c>
    </row>
    <row r="14815" spans="1:5">
      <c r="A14815" t="s">
        <v>43125</v>
      </c>
      <c r="B14815" t="s">
        <v>9918</v>
      </c>
      <c r="C14815">
        <v>0</v>
      </c>
      <c r="D14815" t="s">
        <v>106</v>
      </c>
      <c r="E14815">
        <v>24</v>
      </c>
    </row>
    <row r="14816" spans="1:5">
      <c r="A14816" t="s">
        <v>43125</v>
      </c>
      <c r="B14816" t="s">
        <v>9922</v>
      </c>
      <c r="C14816">
        <f>0</f>
        <v>0</v>
      </c>
      <c r="D14816" t="s">
        <v>106</v>
      </c>
      <c r="E14816">
        <v>24</v>
      </c>
    </row>
    <row r="14817" spans="1:5">
      <c r="A14817" t="s">
        <v>43125</v>
      </c>
      <c r="B14817" t="s">
        <v>9919</v>
      </c>
      <c r="C14817">
        <f>0</f>
        <v>0</v>
      </c>
      <c r="D14817" t="s">
        <v>106</v>
      </c>
      <c r="E14817">
        <v>24</v>
      </c>
    </row>
    <row r="14818" spans="1:5">
      <c r="A14818" t="s">
        <v>43125</v>
      </c>
      <c r="B14818" t="s">
        <v>9921</v>
      </c>
      <c r="C14818">
        <f>0</f>
        <v>0</v>
      </c>
      <c r="D14818" t="s">
        <v>106</v>
      </c>
      <c r="E14818">
        <v>24</v>
      </c>
    </row>
    <row r="14819" spans="1:5">
      <c r="A14819" t="s">
        <v>43125</v>
      </c>
      <c r="B14819" t="s">
        <v>9924</v>
      </c>
      <c r="C14819">
        <f>0</f>
        <v>0</v>
      </c>
      <c r="D14819" t="s">
        <v>106</v>
      </c>
      <c r="E14819">
        <v>24</v>
      </c>
    </row>
    <row r="14820" spans="1:5">
      <c r="A14820" t="s">
        <v>43125</v>
      </c>
      <c r="B14820" t="s">
        <v>9920</v>
      </c>
      <c r="C14820">
        <v>0</v>
      </c>
      <c r="D14820" t="s">
        <v>106</v>
      </c>
      <c r="E14820">
        <v>24</v>
      </c>
    </row>
    <row r="14821" spans="1:5">
      <c r="A14821" t="s">
        <v>43125</v>
      </c>
      <c r="B14821" t="s">
        <v>9923</v>
      </c>
      <c r="C14821">
        <f>0</f>
        <v>0</v>
      </c>
      <c r="D14821" t="s">
        <v>106</v>
      </c>
      <c r="E14821">
        <v>24</v>
      </c>
    </row>
    <row r="14822" spans="1:5">
      <c r="A14822" t="s">
        <v>43126</v>
      </c>
      <c r="B14822" t="s">
        <v>5346</v>
      </c>
      <c r="C14822">
        <v>0</v>
      </c>
      <c r="D14822" t="s">
        <v>106</v>
      </c>
      <c r="E14822">
        <v>3.78</v>
      </c>
    </row>
    <row r="14823" spans="1:5">
      <c r="A14823" t="s">
        <v>43126</v>
      </c>
      <c r="B14823" t="s">
        <v>5347</v>
      </c>
      <c r="C14823">
        <f>0</f>
        <v>0</v>
      </c>
      <c r="D14823" t="s">
        <v>106</v>
      </c>
      <c r="E14823">
        <v>3.78</v>
      </c>
    </row>
    <row r="14824" spans="1:5">
      <c r="A14824" t="s">
        <v>43127</v>
      </c>
      <c r="B14824" t="s">
        <v>34026</v>
      </c>
      <c r="C14824">
        <v>0</v>
      </c>
      <c r="D14824" t="s">
        <v>106</v>
      </c>
      <c r="E14824">
        <v>22.103999999999999</v>
      </c>
    </row>
    <row r="14825" spans="1:5">
      <c r="A14825" t="s">
        <v>43127</v>
      </c>
      <c r="B14825" t="s">
        <v>34028</v>
      </c>
      <c r="C14825">
        <v>0</v>
      </c>
      <c r="D14825" t="s">
        <v>106</v>
      </c>
      <c r="E14825">
        <v>22.103999999999999</v>
      </c>
    </row>
    <row r="14826" spans="1:5">
      <c r="A14826" t="s">
        <v>43127</v>
      </c>
      <c r="B14826" t="s">
        <v>34029</v>
      </c>
      <c r="C14826">
        <v>0</v>
      </c>
      <c r="D14826" t="s">
        <v>106</v>
      </c>
      <c r="E14826">
        <v>22.103999999999999</v>
      </c>
    </row>
    <row r="14827" spans="1:5">
      <c r="A14827" t="s">
        <v>43128</v>
      </c>
      <c r="B14827" t="s">
        <v>43129</v>
      </c>
      <c r="C14827">
        <v>0</v>
      </c>
      <c r="D14827" t="s">
        <v>106</v>
      </c>
      <c r="E14827">
        <v>24</v>
      </c>
    </row>
    <row r="14828" spans="1:5">
      <c r="A14828" t="s">
        <v>43128</v>
      </c>
      <c r="B14828" t="s">
        <v>43130</v>
      </c>
      <c r="C14828">
        <f>0</f>
        <v>0</v>
      </c>
      <c r="D14828" t="s">
        <v>106</v>
      </c>
      <c r="E14828">
        <v>24</v>
      </c>
    </row>
    <row r="14829" spans="1:5">
      <c r="A14829" t="s">
        <v>43128</v>
      </c>
      <c r="B14829" t="s">
        <v>43131</v>
      </c>
      <c r="C14829">
        <v>0</v>
      </c>
      <c r="D14829" t="s">
        <v>106</v>
      </c>
      <c r="E14829">
        <v>24</v>
      </c>
    </row>
    <row r="14830" spans="1:5">
      <c r="A14830" t="s">
        <v>43128</v>
      </c>
      <c r="B14830" t="s">
        <v>43132</v>
      </c>
      <c r="C14830">
        <v>0</v>
      </c>
      <c r="D14830" t="s">
        <v>106</v>
      </c>
      <c r="E14830">
        <v>24</v>
      </c>
    </row>
    <row r="14831" spans="1:5">
      <c r="A14831" t="s">
        <v>43128</v>
      </c>
      <c r="B14831" t="s">
        <v>43133</v>
      </c>
      <c r="C14831">
        <f>0</f>
        <v>0</v>
      </c>
      <c r="D14831" t="s">
        <v>106</v>
      </c>
      <c r="E14831">
        <v>24</v>
      </c>
    </row>
    <row r="14832" spans="1:5">
      <c r="A14832" t="s">
        <v>43134</v>
      </c>
      <c r="B14832" t="s">
        <v>3314</v>
      </c>
      <c r="C14832">
        <v>0.67686431250099999</v>
      </c>
      <c r="D14832">
        <v>0.98401770994899995</v>
      </c>
      <c r="E14832">
        <v>23.754000000000001</v>
      </c>
    </row>
    <row r="14833" spans="1:5">
      <c r="A14833" t="s">
        <v>43134</v>
      </c>
      <c r="B14833" t="s">
        <v>3316</v>
      </c>
      <c r="C14833">
        <v>0.40699955007900002</v>
      </c>
      <c r="D14833">
        <v>0.98401770994899995</v>
      </c>
      <c r="E14833">
        <v>23.754000000000001</v>
      </c>
    </row>
    <row r="14834" spans="1:5">
      <c r="A14834" t="s">
        <v>43134</v>
      </c>
      <c r="B14834" t="s">
        <v>3319</v>
      </c>
      <c r="C14834">
        <f>0.176150256872</f>
        <v>0.17615025687200001</v>
      </c>
      <c r="D14834">
        <v>0.98401770994899995</v>
      </c>
      <c r="E14834">
        <v>23.754000000000001</v>
      </c>
    </row>
    <row r="14835" spans="1:5">
      <c r="A14835" t="s">
        <v>43134</v>
      </c>
      <c r="B14835" t="s">
        <v>3315</v>
      </c>
      <c r="C14835">
        <v>0.323930246925</v>
      </c>
      <c r="D14835">
        <v>0.98401770994899995</v>
      </c>
      <c r="E14835">
        <v>23.754000000000001</v>
      </c>
    </row>
    <row r="14836" spans="1:5">
      <c r="A14836" t="s">
        <v>43134</v>
      </c>
      <c r="B14836" t="s">
        <v>3320</v>
      </c>
      <c r="C14836">
        <v>0</v>
      </c>
      <c r="D14836">
        <v>0.98401770994899995</v>
      </c>
      <c r="E14836">
        <v>23.754000000000001</v>
      </c>
    </row>
    <row r="14837" spans="1:5">
      <c r="A14837" t="s">
        <v>43135</v>
      </c>
      <c r="B14837" t="s">
        <v>20801</v>
      </c>
      <c r="C14837">
        <v>0</v>
      </c>
      <c r="D14837">
        <v>0.93631346692899997</v>
      </c>
      <c r="E14837">
        <v>24</v>
      </c>
    </row>
    <row r="14838" spans="1:5">
      <c r="A14838" t="s">
        <v>43135</v>
      </c>
      <c r="B14838" t="s">
        <v>20800</v>
      </c>
      <c r="C14838">
        <f>0</f>
        <v>0</v>
      </c>
      <c r="D14838">
        <v>0.93631346692899997</v>
      </c>
      <c r="E14838">
        <v>24</v>
      </c>
    </row>
    <row r="14839" spans="1:5">
      <c r="A14839" t="s">
        <v>43135</v>
      </c>
      <c r="B14839" t="s">
        <v>20803</v>
      </c>
      <c r="C14839">
        <f>0</f>
        <v>0</v>
      </c>
      <c r="D14839">
        <v>0.93631346692899997</v>
      </c>
      <c r="E14839">
        <v>24</v>
      </c>
    </row>
    <row r="14840" spans="1:5">
      <c r="A14840" t="s">
        <v>43135</v>
      </c>
      <c r="B14840" t="s">
        <v>20799</v>
      </c>
      <c r="C14840">
        <f>0.00220998281334</f>
        <v>2.20998281334E-3</v>
      </c>
      <c r="D14840">
        <v>0.93631346692899997</v>
      </c>
      <c r="E14840">
        <v>24</v>
      </c>
    </row>
    <row r="14841" spans="1:5">
      <c r="A14841" t="s">
        <v>43135</v>
      </c>
      <c r="B14841" t="s">
        <v>20802</v>
      </c>
      <c r="C14841">
        <f>0.0584651838025</f>
        <v>5.8465183802500001E-2</v>
      </c>
      <c r="D14841">
        <v>0.93631346692899997</v>
      </c>
      <c r="E14841">
        <v>24</v>
      </c>
    </row>
    <row r="14842" spans="1:5">
      <c r="A14842" t="s">
        <v>43135</v>
      </c>
      <c r="B14842" t="s">
        <v>20798</v>
      </c>
      <c r="C14842">
        <f>0.876001596878</f>
        <v>0.87600159687800006</v>
      </c>
      <c r="D14842">
        <v>0.93631346692899997</v>
      </c>
      <c r="E14842">
        <v>24</v>
      </c>
    </row>
    <row r="14843" spans="1:5">
      <c r="A14843" t="s">
        <v>43136</v>
      </c>
      <c r="B14843" t="s">
        <v>43137</v>
      </c>
      <c r="C14843">
        <f>0</f>
        <v>0</v>
      </c>
      <c r="D14843">
        <v>0.65534246166700005</v>
      </c>
      <c r="E14843">
        <v>24</v>
      </c>
    </row>
    <row r="14844" spans="1:5">
      <c r="A14844" t="s">
        <v>43136</v>
      </c>
      <c r="B14844" t="s">
        <v>43138</v>
      </c>
      <c r="C14844">
        <f>0</f>
        <v>0</v>
      </c>
      <c r="D14844">
        <v>0.65534246166700005</v>
      </c>
      <c r="E14844">
        <v>24</v>
      </c>
    </row>
    <row r="14845" spans="1:5">
      <c r="A14845" t="s">
        <v>43136</v>
      </c>
      <c r="B14845" t="s">
        <v>43139</v>
      </c>
      <c r="C14845">
        <f>0.192932461667</f>
        <v>0.19293246166700001</v>
      </c>
      <c r="D14845">
        <v>0.65534246166700005</v>
      </c>
      <c r="E14845">
        <v>24</v>
      </c>
    </row>
    <row r="14846" spans="1:5">
      <c r="A14846" t="s">
        <v>43136</v>
      </c>
      <c r="B14846" t="s">
        <v>43140</v>
      </c>
      <c r="C14846">
        <f>0</f>
        <v>0</v>
      </c>
      <c r="D14846">
        <v>0.65534246166700005</v>
      </c>
      <c r="E14846">
        <v>24</v>
      </c>
    </row>
    <row r="14847" spans="1:5">
      <c r="A14847" t="s">
        <v>43136</v>
      </c>
      <c r="B14847" t="s">
        <v>43141</v>
      </c>
      <c r="C14847">
        <v>0</v>
      </c>
      <c r="D14847">
        <v>0.65534246166700005</v>
      </c>
      <c r="E14847">
        <v>24</v>
      </c>
    </row>
    <row r="14848" spans="1:5">
      <c r="A14848" t="s">
        <v>43136</v>
      </c>
      <c r="B14848" t="s">
        <v>43142</v>
      </c>
      <c r="C14848">
        <f>0</f>
        <v>0</v>
      </c>
      <c r="D14848">
        <v>0.65534246166700005</v>
      </c>
      <c r="E14848">
        <v>24</v>
      </c>
    </row>
    <row r="14849" spans="1:5">
      <c r="A14849" t="s">
        <v>43143</v>
      </c>
      <c r="B14849" t="s">
        <v>20950</v>
      </c>
      <c r="C14849">
        <v>0</v>
      </c>
      <c r="D14849" t="s">
        <v>106</v>
      </c>
      <c r="E14849">
        <v>1.224</v>
      </c>
    </row>
    <row r="14850" spans="1:5">
      <c r="A14850" t="s">
        <v>43143</v>
      </c>
      <c r="B14850" t="s">
        <v>20951</v>
      </c>
      <c r="C14850">
        <v>0</v>
      </c>
      <c r="D14850" t="s">
        <v>106</v>
      </c>
      <c r="E14850">
        <v>1.224</v>
      </c>
    </row>
    <row r="14851" spans="1:5">
      <c r="A14851" t="s">
        <v>43144</v>
      </c>
      <c r="B14851" t="s">
        <v>43145</v>
      </c>
      <c r="C14851">
        <v>0.58996651902499997</v>
      </c>
      <c r="D14851">
        <v>0.98493009941999998</v>
      </c>
      <c r="E14851">
        <v>6.06</v>
      </c>
    </row>
    <row r="14852" spans="1:5">
      <c r="A14852" t="s">
        <v>43144</v>
      </c>
      <c r="B14852" t="s">
        <v>43146</v>
      </c>
      <c r="C14852">
        <f>0.313055816932</f>
        <v>0.31305581693200002</v>
      </c>
      <c r="D14852">
        <v>0.98493009941999998</v>
      </c>
      <c r="E14852">
        <v>6.06</v>
      </c>
    </row>
    <row r="14853" spans="1:5">
      <c r="A14853" t="s">
        <v>43144</v>
      </c>
      <c r="B14853" t="s">
        <v>43147</v>
      </c>
      <c r="C14853">
        <v>0</v>
      </c>
      <c r="D14853">
        <v>0.98493009941999998</v>
      </c>
      <c r="E14853">
        <v>6.06</v>
      </c>
    </row>
    <row r="14854" spans="1:5">
      <c r="A14854" t="s">
        <v>43144</v>
      </c>
      <c r="B14854" t="s">
        <v>43148</v>
      </c>
      <c r="C14854">
        <f>0.297087703919</f>
        <v>0.29708770391900002</v>
      </c>
      <c r="D14854">
        <v>0.98493009941999998</v>
      </c>
      <c r="E14854">
        <v>6.06</v>
      </c>
    </row>
    <row r="14855" spans="1:5">
      <c r="A14855" t="s">
        <v>43144</v>
      </c>
      <c r="B14855" t="s">
        <v>43149</v>
      </c>
      <c r="C14855">
        <v>1.02357394885</v>
      </c>
      <c r="D14855">
        <v>0.98493009941999998</v>
      </c>
      <c r="E14855">
        <v>6.06</v>
      </c>
    </row>
    <row r="14856" spans="1:5">
      <c r="A14856" t="s">
        <v>43150</v>
      </c>
      <c r="B14856" t="s">
        <v>43151</v>
      </c>
      <c r="C14856">
        <v>0.36121071709699998</v>
      </c>
      <c r="D14856">
        <v>0.74799997432999998</v>
      </c>
      <c r="E14856">
        <v>0</v>
      </c>
    </row>
    <row r="14857" spans="1:5">
      <c r="A14857" t="s">
        <v>43150</v>
      </c>
      <c r="B14857" t="s">
        <v>43152</v>
      </c>
      <c r="C14857">
        <v>0.306936538338</v>
      </c>
      <c r="D14857">
        <v>0.74799997432999998</v>
      </c>
      <c r="E14857">
        <v>0</v>
      </c>
    </row>
    <row r="14858" spans="1:5">
      <c r="A14858" t="s">
        <v>43153</v>
      </c>
      <c r="B14858" t="s">
        <v>22849</v>
      </c>
      <c r="C14858">
        <f>0</f>
        <v>0</v>
      </c>
      <c r="D14858" t="s">
        <v>106</v>
      </c>
      <c r="E14858">
        <v>20.736000000000001</v>
      </c>
    </row>
    <row r="14859" spans="1:5">
      <c r="A14859" t="s">
        <v>43153</v>
      </c>
      <c r="B14859" t="s">
        <v>22847</v>
      </c>
      <c r="C14859">
        <f>0</f>
        <v>0</v>
      </c>
      <c r="D14859" t="s">
        <v>106</v>
      </c>
      <c r="E14859">
        <v>20.736000000000001</v>
      </c>
    </row>
    <row r="14860" spans="1:5">
      <c r="A14860" t="s">
        <v>43153</v>
      </c>
      <c r="B14860" t="s">
        <v>22851</v>
      </c>
      <c r="C14860">
        <f>0</f>
        <v>0</v>
      </c>
      <c r="D14860" t="s">
        <v>106</v>
      </c>
      <c r="E14860">
        <v>20.736000000000001</v>
      </c>
    </row>
    <row r="14861" spans="1:5">
      <c r="A14861" t="s">
        <v>43153</v>
      </c>
      <c r="B14861" t="s">
        <v>22848</v>
      </c>
      <c r="C14861">
        <f>0</f>
        <v>0</v>
      </c>
      <c r="D14861" t="s">
        <v>106</v>
      </c>
      <c r="E14861">
        <v>20.736000000000001</v>
      </c>
    </row>
    <row r="14862" spans="1:5">
      <c r="A14862" t="s">
        <v>43153</v>
      </c>
      <c r="B14862" t="s">
        <v>22854</v>
      </c>
      <c r="C14862">
        <v>0</v>
      </c>
      <c r="D14862" t="s">
        <v>106</v>
      </c>
      <c r="E14862">
        <v>20.736000000000001</v>
      </c>
    </row>
    <row r="14863" spans="1:5">
      <c r="A14863" t="s">
        <v>43154</v>
      </c>
      <c r="B14863" t="s">
        <v>14369</v>
      </c>
      <c r="C14863">
        <v>0.66913590496899999</v>
      </c>
      <c r="D14863">
        <v>0.85935557588599998</v>
      </c>
      <c r="E14863">
        <v>19.853999999999999</v>
      </c>
    </row>
    <row r="14864" spans="1:5">
      <c r="A14864" t="s">
        <v>43154</v>
      </c>
      <c r="B14864" t="s">
        <v>14378</v>
      </c>
      <c r="C14864">
        <f>0</f>
        <v>0</v>
      </c>
      <c r="D14864">
        <v>0.85935557588599998</v>
      </c>
      <c r="E14864">
        <v>19.853999999999999</v>
      </c>
    </row>
    <row r="14865" spans="1:5">
      <c r="A14865" t="s">
        <v>43154</v>
      </c>
      <c r="B14865" t="s">
        <v>14374</v>
      </c>
      <c r="C14865">
        <v>0.40092421702699998</v>
      </c>
      <c r="D14865">
        <v>0.85935557588599998</v>
      </c>
      <c r="E14865">
        <v>19.853999999999999</v>
      </c>
    </row>
    <row r="14866" spans="1:5">
      <c r="A14866" t="s">
        <v>43154</v>
      </c>
      <c r="B14866" t="s">
        <v>14371</v>
      </c>
      <c r="C14866">
        <f>0</f>
        <v>0</v>
      </c>
      <c r="D14866">
        <v>0.85935557588599998</v>
      </c>
      <c r="E14866">
        <v>19.853999999999999</v>
      </c>
    </row>
    <row r="14867" spans="1:5">
      <c r="A14867" t="s">
        <v>43154</v>
      </c>
      <c r="B14867" t="s">
        <v>14380</v>
      </c>
      <c r="C14867">
        <v>0.21360392025899999</v>
      </c>
      <c r="D14867">
        <v>0.85935557588599998</v>
      </c>
      <c r="E14867">
        <v>19.853999999999999</v>
      </c>
    </row>
    <row r="14868" spans="1:5">
      <c r="A14868" t="s">
        <v>43154</v>
      </c>
      <c r="B14868" t="s">
        <v>14373</v>
      </c>
      <c r="C14868">
        <v>0</v>
      </c>
      <c r="D14868">
        <v>0.85935557588599998</v>
      </c>
      <c r="E14868">
        <v>19.853999999999999</v>
      </c>
    </row>
    <row r="14869" spans="1:5">
      <c r="A14869" t="s">
        <v>43155</v>
      </c>
      <c r="B14869" t="s">
        <v>14258</v>
      </c>
      <c r="C14869">
        <f>0.322013525844</f>
        <v>0.322013525844</v>
      </c>
      <c r="D14869">
        <v>0.96305743684099998</v>
      </c>
      <c r="E14869">
        <v>1.512</v>
      </c>
    </row>
    <row r="14870" spans="1:5">
      <c r="A14870" t="s">
        <v>43155</v>
      </c>
      <c r="B14870" t="s">
        <v>14265</v>
      </c>
      <c r="C14870">
        <v>1.0273665750300001</v>
      </c>
      <c r="D14870">
        <v>0.96305743684099998</v>
      </c>
      <c r="E14870">
        <v>1.512</v>
      </c>
    </row>
    <row r="14871" spans="1:5">
      <c r="A14871" t="s">
        <v>43155</v>
      </c>
      <c r="B14871" t="s">
        <v>14263</v>
      </c>
      <c r="C14871">
        <v>0.92999135185399995</v>
      </c>
      <c r="D14871">
        <v>0.96305743684099998</v>
      </c>
      <c r="E14871">
        <v>1.512</v>
      </c>
    </row>
    <row r="14872" spans="1:5">
      <c r="A14872" t="s">
        <v>43156</v>
      </c>
      <c r="B14872" t="s">
        <v>4599</v>
      </c>
      <c r="C14872">
        <v>0</v>
      </c>
      <c r="D14872">
        <v>0.80922490951699999</v>
      </c>
      <c r="E14872">
        <v>24</v>
      </c>
    </row>
    <row r="14873" spans="1:5">
      <c r="A14873" t="s">
        <v>43156</v>
      </c>
      <c r="B14873" t="s">
        <v>4605</v>
      </c>
      <c r="C14873">
        <v>0.10020746949999999</v>
      </c>
      <c r="D14873">
        <v>0.80922490951699999</v>
      </c>
      <c r="E14873">
        <v>24</v>
      </c>
    </row>
    <row r="14874" spans="1:5">
      <c r="A14874" t="s">
        <v>43156</v>
      </c>
      <c r="B14874" t="s">
        <v>4603</v>
      </c>
      <c r="C14874">
        <v>0.55814792643</v>
      </c>
      <c r="D14874">
        <v>0.80922490951699999</v>
      </c>
      <c r="E14874">
        <v>24</v>
      </c>
    </row>
    <row r="14875" spans="1:5">
      <c r="A14875" t="s">
        <v>43156</v>
      </c>
      <c r="B14875" t="s">
        <v>4601</v>
      </c>
      <c r="C14875">
        <f>0</f>
        <v>0</v>
      </c>
      <c r="D14875">
        <v>0.80922490951699999</v>
      </c>
      <c r="E14875">
        <v>24</v>
      </c>
    </row>
    <row r="14876" spans="1:5">
      <c r="A14876" t="s">
        <v>43157</v>
      </c>
      <c r="B14876" t="s">
        <v>17688</v>
      </c>
      <c r="C14876">
        <f>0.0618711757381</f>
        <v>6.1871175738099998E-2</v>
      </c>
      <c r="D14876">
        <v>0.96223267841399995</v>
      </c>
      <c r="E14876">
        <v>10.878</v>
      </c>
    </row>
    <row r="14877" spans="1:5">
      <c r="A14877" t="s">
        <v>43157</v>
      </c>
      <c r="B14877" t="s">
        <v>17693</v>
      </c>
      <c r="C14877">
        <v>1.0111264358300001</v>
      </c>
      <c r="D14877">
        <v>0.96223267841399995</v>
      </c>
      <c r="E14877">
        <v>10.878</v>
      </c>
    </row>
    <row r="14878" spans="1:5">
      <c r="A14878" t="s">
        <v>43158</v>
      </c>
      <c r="B14878" t="s">
        <v>21034</v>
      </c>
      <c r="C14878">
        <f>0</f>
        <v>0</v>
      </c>
      <c r="D14878" t="s">
        <v>106</v>
      </c>
      <c r="E14878">
        <v>23.754000000000001</v>
      </c>
    </row>
    <row r="14879" spans="1:5">
      <c r="A14879" t="s">
        <v>43158</v>
      </c>
      <c r="B14879" t="s">
        <v>21040</v>
      </c>
      <c r="C14879">
        <f>0</f>
        <v>0</v>
      </c>
      <c r="D14879" t="s">
        <v>106</v>
      </c>
      <c r="E14879">
        <v>23.754000000000001</v>
      </c>
    </row>
    <row r="14880" spans="1:5">
      <c r="A14880" t="s">
        <v>43158</v>
      </c>
      <c r="B14880" t="s">
        <v>21041</v>
      </c>
      <c r="C14880">
        <f>0</f>
        <v>0</v>
      </c>
      <c r="D14880" t="s">
        <v>106</v>
      </c>
      <c r="E14880">
        <v>23.754000000000001</v>
      </c>
    </row>
    <row r="14881" spans="1:5">
      <c r="A14881" t="s">
        <v>43158</v>
      </c>
      <c r="B14881" t="s">
        <v>21042</v>
      </c>
      <c r="C14881">
        <v>0</v>
      </c>
      <c r="D14881" t="s">
        <v>106</v>
      </c>
      <c r="E14881">
        <v>23.754000000000001</v>
      </c>
    </row>
    <row r="14882" spans="1:5">
      <c r="A14882" t="s">
        <v>43159</v>
      </c>
      <c r="B14882" t="s">
        <v>43160</v>
      </c>
      <c r="C14882">
        <f>0.632633075938</f>
        <v>0.632633075938</v>
      </c>
      <c r="D14882">
        <v>0.92300532218700004</v>
      </c>
      <c r="E14882">
        <v>23.754000000000001</v>
      </c>
    </row>
    <row r="14883" spans="1:5">
      <c r="A14883" t="s">
        <v>43159</v>
      </c>
      <c r="B14883" t="s">
        <v>43161</v>
      </c>
      <c r="C14883">
        <v>0.133899679296</v>
      </c>
      <c r="D14883">
        <v>0.92300532218700004</v>
      </c>
      <c r="E14883">
        <v>23.754000000000001</v>
      </c>
    </row>
    <row r="14884" spans="1:5">
      <c r="A14884" t="s">
        <v>43159</v>
      </c>
      <c r="B14884" t="s">
        <v>43162</v>
      </c>
      <c r="C14884">
        <f>0.34209024905</f>
        <v>0.34209024905000002</v>
      </c>
      <c r="D14884">
        <v>0.92300532218700004</v>
      </c>
      <c r="E14884">
        <v>23.754000000000001</v>
      </c>
    </row>
    <row r="14885" spans="1:5">
      <c r="A14885" t="s">
        <v>43163</v>
      </c>
      <c r="B14885" t="s">
        <v>3577</v>
      </c>
      <c r="C14885">
        <f>0</f>
        <v>0</v>
      </c>
      <c r="D14885">
        <v>0.78314648201600001</v>
      </c>
      <c r="E14885">
        <v>1.6379999999999999</v>
      </c>
    </row>
    <row r="14886" spans="1:5">
      <c r="A14886" t="s">
        <v>43163</v>
      </c>
      <c r="B14886" t="s">
        <v>3578</v>
      </c>
      <c r="C14886">
        <f>0.680736482016</f>
        <v>0.68073648201600001</v>
      </c>
      <c r="D14886">
        <v>0.78314648201600001</v>
      </c>
      <c r="E14886">
        <v>1.6379999999999999</v>
      </c>
    </row>
    <row r="14887" spans="1:5">
      <c r="A14887" t="s">
        <v>43164</v>
      </c>
      <c r="B14887" t="s">
        <v>22602</v>
      </c>
      <c r="C14887">
        <f>0</f>
        <v>0</v>
      </c>
      <c r="D14887" t="s">
        <v>106</v>
      </c>
      <c r="E14887">
        <v>1.1160000000000001</v>
      </c>
    </row>
    <row r="14888" spans="1:5">
      <c r="A14888" t="s">
        <v>43164</v>
      </c>
      <c r="B14888" t="s">
        <v>22603</v>
      </c>
      <c r="C14888">
        <f>0</f>
        <v>0</v>
      </c>
      <c r="D14888" t="s">
        <v>106</v>
      </c>
      <c r="E14888">
        <v>1.1160000000000001</v>
      </c>
    </row>
    <row r="14889" spans="1:5">
      <c r="A14889" t="s">
        <v>43164</v>
      </c>
      <c r="B14889" t="s">
        <v>22605</v>
      </c>
      <c r="C14889">
        <v>0</v>
      </c>
      <c r="D14889" t="s">
        <v>106</v>
      </c>
      <c r="E14889">
        <v>1.1160000000000001</v>
      </c>
    </row>
    <row r="14890" spans="1:5">
      <c r="A14890" t="s">
        <v>43165</v>
      </c>
      <c r="B14890" t="s">
        <v>29126</v>
      </c>
      <c r="C14890">
        <f>0.75390627771</f>
        <v>0.75390627770999996</v>
      </c>
      <c r="D14890">
        <v>0.91999743699699998</v>
      </c>
      <c r="E14890">
        <v>1.512</v>
      </c>
    </row>
    <row r="14891" spans="1:5">
      <c r="A14891" t="s">
        <v>43165</v>
      </c>
      <c r="B14891" t="s">
        <v>29128</v>
      </c>
      <c r="C14891">
        <f>0</f>
        <v>0</v>
      </c>
      <c r="D14891">
        <v>0.91999743699699998</v>
      </c>
      <c r="E14891">
        <v>1.512</v>
      </c>
    </row>
    <row r="14892" spans="1:5">
      <c r="A14892" t="s">
        <v>43165</v>
      </c>
      <c r="B14892" t="s">
        <v>29124</v>
      </c>
      <c r="C14892">
        <f>0.0983372859197</f>
        <v>9.8337285919699993E-2</v>
      </c>
      <c r="D14892">
        <v>0.91999743699699998</v>
      </c>
      <c r="E14892">
        <v>1.512</v>
      </c>
    </row>
    <row r="14893" spans="1:5">
      <c r="A14893" t="s">
        <v>43166</v>
      </c>
      <c r="B14893" t="s">
        <v>2966</v>
      </c>
      <c r="C14893">
        <v>0.25208918879499997</v>
      </c>
      <c r="D14893">
        <v>0.99920302165300001</v>
      </c>
      <c r="E14893">
        <v>19.416</v>
      </c>
    </row>
    <row r="14894" spans="1:5">
      <c r="A14894" t="s">
        <v>43166</v>
      </c>
      <c r="B14894" t="s">
        <v>2971</v>
      </c>
      <c r="C14894">
        <f>0.24356041904</f>
        <v>0.24356041904</v>
      </c>
      <c r="D14894">
        <v>0.99920302165300001</v>
      </c>
      <c r="E14894">
        <v>19.416</v>
      </c>
    </row>
    <row r="14895" spans="1:5">
      <c r="A14895" t="s">
        <v>43166</v>
      </c>
      <c r="B14895" t="s">
        <v>2969</v>
      </c>
      <c r="C14895">
        <v>0.71383727978599998</v>
      </c>
      <c r="D14895">
        <v>0.99920302165300001</v>
      </c>
      <c r="E14895">
        <v>19.416</v>
      </c>
    </row>
    <row r="14896" spans="1:5">
      <c r="A14896" t="s">
        <v>43166</v>
      </c>
      <c r="B14896" t="s">
        <v>2968</v>
      </c>
      <c r="C14896">
        <f>0.443884564793</f>
        <v>0.44388456479299998</v>
      </c>
      <c r="D14896">
        <v>0.99920302165300001</v>
      </c>
      <c r="E14896">
        <v>19.416</v>
      </c>
    </row>
    <row r="14897" spans="1:5">
      <c r="A14897" t="s">
        <v>43166</v>
      </c>
      <c r="B14897" t="s">
        <v>2972</v>
      </c>
      <c r="C14897">
        <v>0.105402417739</v>
      </c>
      <c r="D14897">
        <v>0.99920302165300001</v>
      </c>
      <c r="E14897">
        <v>19.416</v>
      </c>
    </row>
    <row r="14898" spans="1:5">
      <c r="A14898" t="s">
        <v>43167</v>
      </c>
      <c r="B14898" t="s">
        <v>32443</v>
      </c>
      <c r="C14898">
        <v>0.77382942267300003</v>
      </c>
      <c r="D14898">
        <v>0.99700340534700005</v>
      </c>
      <c r="E14898">
        <v>4.3739999999999997</v>
      </c>
    </row>
    <row r="14899" spans="1:5">
      <c r="A14899" t="s">
        <v>43167</v>
      </c>
      <c r="B14899" t="s">
        <v>32444</v>
      </c>
      <c r="C14899">
        <v>0</v>
      </c>
      <c r="D14899">
        <v>0.99700340534700005</v>
      </c>
      <c r="E14899">
        <v>4.3739999999999997</v>
      </c>
    </row>
    <row r="14900" spans="1:5">
      <c r="A14900" t="s">
        <v>43167</v>
      </c>
      <c r="B14900" t="s">
        <v>32449</v>
      </c>
      <c r="C14900">
        <v>7.5143525031799996E-2</v>
      </c>
      <c r="D14900">
        <v>0.99700340534700005</v>
      </c>
      <c r="E14900">
        <v>4.3739999999999997</v>
      </c>
    </row>
    <row r="14901" spans="1:5">
      <c r="A14901" t="s">
        <v>43167</v>
      </c>
      <c r="B14901" t="s">
        <v>32447</v>
      </c>
      <c r="C14901">
        <f>0.897868985813</f>
        <v>0.89786898581300001</v>
      </c>
      <c r="D14901">
        <v>0.99700340534700005</v>
      </c>
      <c r="E14901">
        <v>4.3739999999999997</v>
      </c>
    </row>
    <row r="14902" spans="1:5">
      <c r="A14902" t="s">
        <v>43167</v>
      </c>
      <c r="B14902" t="s">
        <v>32445</v>
      </c>
      <c r="C14902">
        <v>0.34257138271400001</v>
      </c>
      <c r="D14902">
        <v>0.99700340534700005</v>
      </c>
      <c r="E14902">
        <v>4.3739999999999997</v>
      </c>
    </row>
    <row r="14903" spans="1:5">
      <c r="A14903" t="s">
        <v>43167</v>
      </c>
      <c r="B14903" t="s">
        <v>32446</v>
      </c>
      <c r="C14903">
        <v>0.73041738673800005</v>
      </c>
      <c r="D14903">
        <v>0.99700340534700005</v>
      </c>
      <c r="E14903">
        <v>4.3739999999999997</v>
      </c>
    </row>
    <row r="14904" spans="1:5">
      <c r="A14904" t="s">
        <v>43168</v>
      </c>
      <c r="B14904" t="s">
        <v>31175</v>
      </c>
      <c r="C14904">
        <v>0.34158500707099998</v>
      </c>
      <c r="D14904">
        <v>0.99852996600599997</v>
      </c>
      <c r="E14904">
        <v>0.28799999999999998</v>
      </c>
    </row>
    <row r="14905" spans="1:5">
      <c r="A14905" t="s">
        <v>43168</v>
      </c>
      <c r="B14905" t="s">
        <v>31172</v>
      </c>
      <c r="C14905">
        <v>3.4916418251699998E-3</v>
      </c>
      <c r="D14905">
        <v>0.99852996600599997</v>
      </c>
      <c r="E14905">
        <v>0.28799999999999998</v>
      </c>
    </row>
    <row r="14906" spans="1:5">
      <c r="A14906" t="s">
        <v>43168</v>
      </c>
      <c r="B14906" t="s">
        <v>31174</v>
      </c>
      <c r="C14906">
        <f>0.200945179935</f>
        <v>0.200945179935</v>
      </c>
      <c r="D14906">
        <v>0.99852996600599997</v>
      </c>
      <c r="E14906">
        <v>0.28799999999999998</v>
      </c>
    </row>
    <row r="14907" spans="1:5">
      <c r="A14907" t="s">
        <v>43168</v>
      </c>
      <c r="B14907" t="s">
        <v>31173</v>
      </c>
      <c r="C14907">
        <v>0</v>
      </c>
      <c r="D14907">
        <v>0.99852996600599997</v>
      </c>
      <c r="E14907">
        <v>0.28799999999999998</v>
      </c>
    </row>
    <row r="14908" spans="1:5">
      <c r="A14908" t="s">
        <v>43168</v>
      </c>
      <c r="B14908" t="s">
        <v>31177</v>
      </c>
      <c r="C14908">
        <f>0.602673642783</f>
        <v>0.60267364278299995</v>
      </c>
      <c r="D14908">
        <v>0.99852996600599997</v>
      </c>
      <c r="E14908">
        <v>0.28799999999999998</v>
      </c>
    </row>
    <row r="14909" spans="1:5">
      <c r="A14909" t="s">
        <v>43168</v>
      </c>
      <c r="B14909" t="s">
        <v>31179</v>
      </c>
      <c r="C14909">
        <v>0.246495498747</v>
      </c>
      <c r="D14909">
        <v>0.99852996600599997</v>
      </c>
      <c r="E14909">
        <v>0.28799999999999998</v>
      </c>
    </row>
    <row r="14910" spans="1:5">
      <c r="A14910" t="s">
        <v>43168</v>
      </c>
      <c r="B14910" t="s">
        <v>31178</v>
      </c>
      <c r="C14910">
        <v>0.59893417900299994</v>
      </c>
      <c r="D14910">
        <v>0.99852996600599997</v>
      </c>
      <c r="E14910">
        <v>0.28799999999999998</v>
      </c>
    </row>
    <row r="14911" spans="1:5">
      <c r="A14911" t="s">
        <v>43169</v>
      </c>
      <c r="B14911" t="s">
        <v>17218</v>
      </c>
      <c r="C14911">
        <v>0</v>
      </c>
      <c r="D14911">
        <v>0.90170084328099998</v>
      </c>
      <c r="E14911">
        <v>8.4359999999999999</v>
      </c>
    </row>
    <row r="14912" spans="1:5">
      <c r="A14912" t="s">
        <v>43169</v>
      </c>
      <c r="B14912" t="s">
        <v>17223</v>
      </c>
      <c r="C14912">
        <v>0.70809084328100003</v>
      </c>
      <c r="D14912">
        <v>0.90170084328099998</v>
      </c>
      <c r="E14912">
        <v>8.4359999999999999</v>
      </c>
    </row>
    <row r="14913" spans="1:5">
      <c r="A14913" t="s">
        <v>43169</v>
      </c>
      <c r="B14913" t="s">
        <v>17221</v>
      </c>
      <c r="C14913">
        <v>0</v>
      </c>
      <c r="D14913">
        <v>0.90170084328099998</v>
      </c>
      <c r="E14913">
        <v>8.4359999999999999</v>
      </c>
    </row>
    <row r="14914" spans="1:5">
      <c r="A14914" t="s">
        <v>43169</v>
      </c>
      <c r="B14914" t="s">
        <v>17219</v>
      </c>
      <c r="C14914">
        <v>0</v>
      </c>
      <c r="D14914">
        <v>0.90170084328099998</v>
      </c>
      <c r="E14914">
        <v>8.4359999999999999</v>
      </c>
    </row>
    <row r="14915" spans="1:5">
      <c r="A14915" t="s">
        <v>43169</v>
      </c>
      <c r="B14915" t="s">
        <v>17222</v>
      </c>
      <c r="C14915">
        <f>0</f>
        <v>0</v>
      </c>
      <c r="D14915">
        <v>0.90170084328099998</v>
      </c>
      <c r="E14915">
        <v>8.4359999999999999</v>
      </c>
    </row>
    <row r="14916" spans="1:5">
      <c r="A14916" t="s">
        <v>43170</v>
      </c>
      <c r="B14916" t="s">
        <v>9377</v>
      </c>
      <c r="C14916">
        <v>0.66622948333900001</v>
      </c>
      <c r="D14916">
        <v>0.99999646407599996</v>
      </c>
      <c r="E14916">
        <v>0.82799999999999996</v>
      </c>
    </row>
    <row r="14917" spans="1:5">
      <c r="A14917" t="s">
        <v>43170</v>
      </c>
      <c r="B14917" t="s">
        <v>9384</v>
      </c>
      <c r="C14917">
        <f>0.567153490931</f>
        <v>0.56715349093099998</v>
      </c>
      <c r="D14917">
        <v>0.99999646407599996</v>
      </c>
      <c r="E14917">
        <v>0.82799999999999996</v>
      </c>
    </row>
    <row r="14918" spans="1:5">
      <c r="A14918" t="s">
        <v>43170</v>
      </c>
      <c r="B14918" t="s">
        <v>9374</v>
      </c>
      <c r="C14918">
        <f>-1.0217835226</f>
        <v>-1.0217835226</v>
      </c>
      <c r="D14918">
        <v>0.99999646407599996</v>
      </c>
      <c r="E14918">
        <v>0.82799999999999996</v>
      </c>
    </row>
    <row r="14919" spans="1:5">
      <c r="A14919" t="s">
        <v>43170</v>
      </c>
      <c r="B14919" t="s">
        <v>9378</v>
      </c>
      <c r="C14919">
        <v>6.2267596029199998E-2</v>
      </c>
      <c r="D14919">
        <v>0.99999646407599996</v>
      </c>
      <c r="E14919">
        <v>0.82799999999999996</v>
      </c>
    </row>
    <row r="14920" spans="1:5">
      <c r="A14920" t="s">
        <v>43170</v>
      </c>
      <c r="B14920" t="s">
        <v>9380</v>
      </c>
      <c r="C14920">
        <v>0.57972327079499997</v>
      </c>
      <c r="D14920">
        <v>0.99999646407599996</v>
      </c>
      <c r="E14920">
        <v>0.82799999999999996</v>
      </c>
    </row>
    <row r="14921" spans="1:5">
      <c r="A14921" t="s">
        <v>43170</v>
      </c>
      <c r="B14921" t="s">
        <v>9382</v>
      </c>
      <c r="C14921">
        <v>0.15267297741499999</v>
      </c>
      <c r="D14921">
        <v>0.99999646407599996</v>
      </c>
      <c r="E14921">
        <v>0.82799999999999996</v>
      </c>
    </row>
    <row r="14922" spans="1:5">
      <c r="A14922" t="s">
        <v>43170</v>
      </c>
      <c r="B14922" t="s">
        <v>9379</v>
      </c>
      <c r="C14922">
        <v>0.18477969879100001</v>
      </c>
      <c r="D14922">
        <v>0.99999646407599996</v>
      </c>
      <c r="E14922">
        <v>0.82799999999999996</v>
      </c>
    </row>
    <row r="14923" spans="1:5">
      <c r="A14923" t="s">
        <v>43171</v>
      </c>
      <c r="B14923" t="s">
        <v>43172</v>
      </c>
      <c r="C14923">
        <f>0.952262263469</f>
        <v>0.952262263469</v>
      </c>
      <c r="D14923">
        <v>0.99867619557599996</v>
      </c>
      <c r="E14923">
        <v>5.2380000000000004</v>
      </c>
    </row>
    <row r="14924" spans="1:5">
      <c r="A14924" t="s">
        <v>43171</v>
      </c>
      <c r="B14924" t="s">
        <v>43173</v>
      </c>
      <c r="C14924">
        <f>0.0660159629081</f>
        <v>6.6015962908099995E-2</v>
      </c>
      <c r="D14924">
        <v>0.99867619557599996</v>
      </c>
      <c r="E14924">
        <v>5.2380000000000004</v>
      </c>
    </row>
    <row r="14925" spans="1:5">
      <c r="A14925" t="s">
        <v>43171</v>
      </c>
      <c r="B14925" t="s">
        <v>43174</v>
      </c>
      <c r="C14925">
        <f>0.0480437848908</f>
        <v>4.8043784890800002E-2</v>
      </c>
      <c r="D14925">
        <v>0.99867619557599996</v>
      </c>
      <c r="E14925">
        <v>5.2380000000000004</v>
      </c>
    </row>
    <row r="14926" spans="1:5">
      <c r="A14926" t="s">
        <v>43171</v>
      </c>
      <c r="B14926" t="s">
        <v>43175</v>
      </c>
      <c r="C14926">
        <v>0.13463298443899999</v>
      </c>
      <c r="D14926">
        <v>0.99867619557599996</v>
      </c>
      <c r="E14926">
        <v>5.2380000000000004</v>
      </c>
    </row>
    <row r="14927" spans="1:5">
      <c r="A14927" t="s">
        <v>43171</v>
      </c>
      <c r="B14927" t="s">
        <v>43176</v>
      </c>
      <c r="C14927">
        <f>0.325147817294</f>
        <v>0.325147817294</v>
      </c>
      <c r="D14927">
        <v>0.99867619557599996</v>
      </c>
      <c r="E14927">
        <v>5.2380000000000004</v>
      </c>
    </row>
    <row r="14928" spans="1:5">
      <c r="A14928" t="s">
        <v>43171</v>
      </c>
      <c r="B14928" t="s">
        <v>43177</v>
      </c>
      <c r="C14928">
        <f>0.303360977884</f>
        <v>0.30336097788400002</v>
      </c>
      <c r="D14928">
        <v>0.99867619557599996</v>
      </c>
      <c r="E14928">
        <v>5.2380000000000004</v>
      </c>
    </row>
    <row r="14929" spans="1:5">
      <c r="A14929" t="s">
        <v>43178</v>
      </c>
      <c r="B14929" t="s">
        <v>5119</v>
      </c>
      <c r="C14929">
        <v>0</v>
      </c>
      <c r="D14929">
        <v>0.68970918424500005</v>
      </c>
      <c r="E14929">
        <v>16.494</v>
      </c>
    </row>
    <row r="14930" spans="1:5">
      <c r="A14930" t="s">
        <v>43178</v>
      </c>
      <c r="B14930" t="s">
        <v>5115</v>
      </c>
      <c r="C14930">
        <v>0</v>
      </c>
      <c r="D14930">
        <v>0.68970918424500005</v>
      </c>
      <c r="E14930">
        <v>16.494</v>
      </c>
    </row>
    <row r="14931" spans="1:5">
      <c r="A14931" t="s">
        <v>43178</v>
      </c>
      <c r="B14931" t="s">
        <v>5117</v>
      </c>
      <c r="C14931">
        <v>0</v>
      </c>
      <c r="D14931">
        <v>0.68970918424500005</v>
      </c>
      <c r="E14931">
        <v>16.494</v>
      </c>
    </row>
    <row r="14932" spans="1:5">
      <c r="A14932" t="s">
        <v>43178</v>
      </c>
      <c r="B14932" t="s">
        <v>5118</v>
      </c>
      <c r="C14932">
        <v>0.41929918424500001</v>
      </c>
      <c r="D14932">
        <v>0.68970918424500005</v>
      </c>
      <c r="E14932">
        <v>16.494</v>
      </c>
    </row>
    <row r="14933" spans="1:5">
      <c r="A14933" t="s">
        <v>43178</v>
      </c>
      <c r="B14933" t="s">
        <v>5120</v>
      </c>
      <c r="C14933">
        <v>0</v>
      </c>
      <c r="D14933">
        <v>0.68970918424500005</v>
      </c>
      <c r="E14933">
        <v>16.494</v>
      </c>
    </row>
    <row r="14934" spans="1:5">
      <c r="A14934" t="s">
        <v>43179</v>
      </c>
      <c r="B14934" t="s">
        <v>43180</v>
      </c>
      <c r="C14934">
        <v>0</v>
      </c>
      <c r="D14934" t="s">
        <v>106</v>
      </c>
      <c r="E14934">
        <v>8.4359999999999999</v>
      </c>
    </row>
    <row r="14935" spans="1:5">
      <c r="A14935" t="s">
        <v>43179</v>
      </c>
      <c r="B14935" t="s">
        <v>43181</v>
      </c>
      <c r="C14935">
        <f>0</f>
        <v>0</v>
      </c>
      <c r="D14935" t="s">
        <v>106</v>
      </c>
      <c r="E14935">
        <v>8.4359999999999999</v>
      </c>
    </row>
    <row r="14936" spans="1:5">
      <c r="A14936" t="s">
        <v>43182</v>
      </c>
      <c r="B14936" t="s">
        <v>43183</v>
      </c>
      <c r="C14936">
        <f>0.130712460015</f>
        <v>0.130712460015</v>
      </c>
      <c r="D14936">
        <v>0.84666142510499998</v>
      </c>
      <c r="E14936">
        <v>0</v>
      </c>
    </row>
    <row r="14937" spans="1:5">
      <c r="A14937" t="s">
        <v>43182</v>
      </c>
      <c r="B14937" t="s">
        <v>43184</v>
      </c>
      <c r="C14937">
        <f>0</f>
        <v>0</v>
      </c>
      <c r="D14937">
        <v>0.84666142510499998</v>
      </c>
      <c r="E14937">
        <v>0</v>
      </c>
    </row>
    <row r="14938" spans="1:5">
      <c r="A14938" t="s">
        <v>43182</v>
      </c>
      <c r="B14938" t="s">
        <v>43185</v>
      </c>
      <c r="C14938">
        <f>0.533032135027</f>
        <v>0.53303213502699998</v>
      </c>
      <c r="D14938">
        <v>0.84666142510499998</v>
      </c>
      <c r="E14938">
        <v>0</v>
      </c>
    </row>
    <row r="14939" spans="1:5">
      <c r="A14939" t="s">
        <v>43182</v>
      </c>
      <c r="B14939" t="s">
        <v>43186</v>
      </c>
      <c r="C14939">
        <v>6.4911892349399994E-2</v>
      </c>
      <c r="D14939">
        <v>0.84666142510499998</v>
      </c>
      <c r="E14939">
        <v>0</v>
      </c>
    </row>
    <row r="14940" spans="1:5">
      <c r="A14940" t="s">
        <v>43182</v>
      </c>
      <c r="B14940" t="s">
        <v>43187</v>
      </c>
      <c r="C14940">
        <f>0</f>
        <v>0</v>
      </c>
      <c r="D14940">
        <v>0.84666142510499998</v>
      </c>
      <c r="E14940">
        <v>0</v>
      </c>
    </row>
    <row r="14941" spans="1:5">
      <c r="A14941" t="s">
        <v>43182</v>
      </c>
      <c r="B14941" t="s">
        <v>43188</v>
      </c>
      <c r="C14941">
        <f>0</f>
        <v>0</v>
      </c>
      <c r="D14941">
        <v>0.84666142510499998</v>
      </c>
      <c r="E14941">
        <v>0</v>
      </c>
    </row>
    <row r="14942" spans="1:5">
      <c r="A14942" t="s">
        <v>43182</v>
      </c>
      <c r="B14942" t="s">
        <v>43189</v>
      </c>
      <c r="C14942">
        <f>0.192654683496</f>
        <v>0.19265468349600001</v>
      </c>
      <c r="D14942">
        <v>0.84666142510499998</v>
      </c>
      <c r="E14942">
        <v>0</v>
      </c>
    </row>
    <row r="14943" spans="1:5">
      <c r="A14943" t="s">
        <v>43190</v>
      </c>
      <c r="B14943" t="s">
        <v>20551</v>
      </c>
      <c r="C14943">
        <v>0</v>
      </c>
      <c r="D14943" t="s">
        <v>106</v>
      </c>
      <c r="E14943">
        <v>6.0000000000000001E-3</v>
      </c>
    </row>
    <row r="14944" spans="1:5">
      <c r="A14944" t="s">
        <v>43190</v>
      </c>
      <c r="B14944" t="s">
        <v>20552</v>
      </c>
      <c r="C14944">
        <v>0</v>
      </c>
      <c r="D14944" t="s">
        <v>106</v>
      </c>
      <c r="E14944">
        <v>6.0000000000000001E-3</v>
      </c>
    </row>
    <row r="14945" spans="1:5">
      <c r="A14945" t="s">
        <v>43191</v>
      </c>
      <c r="B14945" t="s">
        <v>2404</v>
      </c>
      <c r="C14945">
        <f>0</f>
        <v>0</v>
      </c>
      <c r="D14945">
        <v>0.78025530697300005</v>
      </c>
      <c r="E14945">
        <v>3.8759999999999999</v>
      </c>
    </row>
    <row r="14946" spans="1:5">
      <c r="A14946" t="s">
        <v>43191</v>
      </c>
      <c r="B14946" t="s">
        <v>2406</v>
      </c>
      <c r="C14946">
        <v>0.140245306973</v>
      </c>
      <c r="D14946">
        <v>0.78025530697300005</v>
      </c>
      <c r="E14946">
        <v>3.8759999999999999</v>
      </c>
    </row>
    <row r="14947" spans="1:5">
      <c r="A14947" t="s">
        <v>43192</v>
      </c>
      <c r="B14947" t="s">
        <v>19165</v>
      </c>
      <c r="C14947">
        <v>0</v>
      </c>
      <c r="D14947">
        <v>0.67390646993199999</v>
      </c>
      <c r="E14947">
        <v>0.378</v>
      </c>
    </row>
    <row r="14948" spans="1:5">
      <c r="A14948" t="s">
        <v>43192</v>
      </c>
      <c r="B14948" t="s">
        <v>19167</v>
      </c>
      <c r="C14948">
        <f>0</f>
        <v>0</v>
      </c>
      <c r="D14948">
        <v>0.67390646993199999</v>
      </c>
      <c r="E14948">
        <v>0.378</v>
      </c>
    </row>
    <row r="14949" spans="1:5">
      <c r="A14949" t="s">
        <v>43192</v>
      </c>
      <c r="B14949" t="s">
        <v>19163</v>
      </c>
      <c r="C14949">
        <f>0.360296469932</f>
        <v>0.36029646993199999</v>
      </c>
      <c r="D14949">
        <v>0.67390646993199999</v>
      </c>
      <c r="E14949">
        <v>0.378</v>
      </c>
    </row>
    <row r="14950" spans="1:5">
      <c r="A14950" t="s">
        <v>43193</v>
      </c>
      <c r="B14950" t="s">
        <v>13098</v>
      </c>
      <c r="C14950">
        <f>0</f>
        <v>0</v>
      </c>
      <c r="D14950" t="s">
        <v>106</v>
      </c>
      <c r="E14950">
        <v>10.878</v>
      </c>
    </row>
    <row r="14951" spans="1:5">
      <c r="A14951" t="s">
        <v>43193</v>
      </c>
      <c r="B14951" t="s">
        <v>13099</v>
      </c>
      <c r="C14951">
        <v>0</v>
      </c>
      <c r="D14951" t="s">
        <v>106</v>
      </c>
      <c r="E14951">
        <v>10.878</v>
      </c>
    </row>
    <row r="14952" spans="1:5">
      <c r="A14952" t="s">
        <v>43194</v>
      </c>
      <c r="B14952" t="s">
        <v>43195</v>
      </c>
      <c r="C14952">
        <v>0</v>
      </c>
      <c r="D14952">
        <v>0.49948946924799997</v>
      </c>
      <c r="E14952">
        <v>18.138000000000002</v>
      </c>
    </row>
    <row r="14953" spans="1:5">
      <c r="A14953" t="s">
        <v>43194</v>
      </c>
      <c r="B14953" t="s">
        <v>43196</v>
      </c>
      <c r="C14953">
        <v>0</v>
      </c>
      <c r="D14953">
        <v>0.49948946924799997</v>
      </c>
      <c r="E14953">
        <v>18.138000000000002</v>
      </c>
    </row>
    <row r="14954" spans="1:5">
      <c r="A14954" t="s">
        <v>43194</v>
      </c>
      <c r="B14954" t="s">
        <v>43197</v>
      </c>
      <c r="C14954">
        <v>0.22907946924799999</v>
      </c>
      <c r="D14954">
        <v>0.49948946924799997</v>
      </c>
      <c r="E14954">
        <v>18.138000000000002</v>
      </c>
    </row>
    <row r="14955" spans="1:5">
      <c r="A14955" t="s">
        <v>43198</v>
      </c>
      <c r="B14955" t="s">
        <v>43199</v>
      </c>
      <c r="C14955">
        <v>0.23982143124999999</v>
      </c>
      <c r="D14955">
        <v>0.83391278638900002</v>
      </c>
      <c r="E14955">
        <v>16.494</v>
      </c>
    </row>
    <row r="14956" spans="1:5">
      <c r="A14956" t="s">
        <v>43198</v>
      </c>
      <c r="B14956" t="s">
        <v>43200</v>
      </c>
      <c r="C14956">
        <v>0.59158611480599999</v>
      </c>
      <c r="D14956">
        <v>0.83391278638900002</v>
      </c>
      <c r="E14956">
        <v>16.494</v>
      </c>
    </row>
    <row r="14957" spans="1:5">
      <c r="A14957" t="s">
        <v>43201</v>
      </c>
      <c r="B14957" t="s">
        <v>43202</v>
      </c>
      <c r="C14957">
        <v>1.8058044980200001</v>
      </c>
      <c r="D14957">
        <v>0.98042288443699999</v>
      </c>
      <c r="E14957">
        <v>6.06</v>
      </c>
    </row>
    <row r="14958" spans="1:5">
      <c r="A14958" t="s">
        <v>43201</v>
      </c>
      <c r="B14958" t="s">
        <v>43203</v>
      </c>
      <c r="C14958">
        <v>2.4881660192699999</v>
      </c>
      <c r="D14958">
        <v>0.98042288443699999</v>
      </c>
      <c r="E14958">
        <v>6.06</v>
      </c>
    </row>
    <row r="14959" spans="1:5">
      <c r="A14959" t="s">
        <v>43201</v>
      </c>
      <c r="B14959" t="s">
        <v>43204</v>
      </c>
      <c r="C14959">
        <v>0.18372325028299999</v>
      </c>
      <c r="D14959">
        <v>0.98042288443699999</v>
      </c>
      <c r="E14959">
        <v>6.06</v>
      </c>
    </row>
    <row r="14960" spans="1:5">
      <c r="A14960" t="s">
        <v>43201</v>
      </c>
      <c r="B14960" t="s">
        <v>43205</v>
      </c>
      <c r="C14960">
        <f>0.975072114742</f>
        <v>0.97507211474199995</v>
      </c>
      <c r="D14960">
        <v>0.98042288443699999</v>
      </c>
      <c r="E14960">
        <v>6.06</v>
      </c>
    </row>
    <row r="14961" spans="1:5">
      <c r="A14961" t="s">
        <v>43206</v>
      </c>
      <c r="B14961" t="s">
        <v>43207</v>
      </c>
      <c r="C14961">
        <f>0</f>
        <v>0</v>
      </c>
      <c r="D14961" t="s">
        <v>106</v>
      </c>
      <c r="E14961">
        <v>7.3319999999999999</v>
      </c>
    </row>
    <row r="14962" spans="1:5">
      <c r="A14962" t="s">
        <v>43206</v>
      </c>
      <c r="B14962" t="s">
        <v>43208</v>
      </c>
      <c r="C14962">
        <v>0</v>
      </c>
      <c r="D14962" t="s">
        <v>106</v>
      </c>
      <c r="E14962">
        <v>7.3319999999999999</v>
      </c>
    </row>
    <row r="14963" spans="1:5">
      <c r="A14963" t="s">
        <v>43209</v>
      </c>
      <c r="B14963" t="s">
        <v>42</v>
      </c>
      <c r="C14963">
        <v>0</v>
      </c>
      <c r="D14963">
        <v>0.590059932575</v>
      </c>
      <c r="E14963">
        <v>0</v>
      </c>
    </row>
    <row r="14964" spans="1:5">
      <c r="A14964" t="s">
        <v>43209</v>
      </c>
      <c r="B14964" t="s">
        <v>45</v>
      </c>
      <c r="C14964">
        <v>0.460449932575</v>
      </c>
      <c r="D14964">
        <v>0.590059932575</v>
      </c>
      <c r="E14964">
        <v>0</v>
      </c>
    </row>
    <row r="14965" spans="1:5">
      <c r="A14965" t="s">
        <v>43210</v>
      </c>
      <c r="B14965" t="s">
        <v>21260</v>
      </c>
      <c r="C14965">
        <v>0</v>
      </c>
      <c r="D14965" t="s">
        <v>106</v>
      </c>
      <c r="E14965">
        <v>11.706</v>
      </c>
    </row>
    <row r="14966" spans="1:5">
      <c r="A14966" t="s">
        <v>43210</v>
      </c>
      <c r="B14966" t="s">
        <v>21262</v>
      </c>
      <c r="C14966">
        <v>0</v>
      </c>
      <c r="D14966" t="s">
        <v>106</v>
      </c>
      <c r="E14966">
        <v>11.706</v>
      </c>
    </row>
    <row r="14967" spans="1:5">
      <c r="A14967" t="s">
        <v>43211</v>
      </c>
      <c r="B14967" t="s">
        <v>43212</v>
      </c>
      <c r="C14967">
        <v>0</v>
      </c>
      <c r="D14967" t="s">
        <v>106</v>
      </c>
      <c r="E14967">
        <v>3.4980000000000002</v>
      </c>
    </row>
    <row r="14968" spans="1:5">
      <c r="A14968" t="s">
        <v>43211</v>
      </c>
      <c r="B14968" t="s">
        <v>43213</v>
      </c>
      <c r="C14968">
        <v>0</v>
      </c>
      <c r="D14968" t="s">
        <v>106</v>
      </c>
      <c r="E14968">
        <v>3.4980000000000002</v>
      </c>
    </row>
    <row r="14969" spans="1:5">
      <c r="A14969" t="s">
        <v>43211</v>
      </c>
      <c r="B14969" t="s">
        <v>43214</v>
      </c>
      <c r="C14969">
        <f>0</f>
        <v>0</v>
      </c>
      <c r="D14969" t="s">
        <v>106</v>
      </c>
      <c r="E14969">
        <v>3.4980000000000002</v>
      </c>
    </row>
    <row r="14970" spans="1:5">
      <c r="A14970" t="s">
        <v>43215</v>
      </c>
      <c r="B14970" t="s">
        <v>43216</v>
      </c>
      <c r="C14970">
        <v>0.272895353151</v>
      </c>
      <c r="D14970">
        <v>0.95115177898299996</v>
      </c>
      <c r="E14970">
        <v>0.61799999999999999</v>
      </c>
    </row>
    <row r="14971" spans="1:5">
      <c r="A14971" t="s">
        <v>43215</v>
      </c>
      <c r="B14971" t="s">
        <v>43217</v>
      </c>
      <c r="C14971">
        <v>0.78052833469299998</v>
      </c>
      <c r="D14971">
        <v>0.95115177898299996</v>
      </c>
      <c r="E14971">
        <v>0.61799999999999999</v>
      </c>
    </row>
    <row r="14972" spans="1:5">
      <c r="A14972" t="s">
        <v>43215</v>
      </c>
      <c r="B14972" t="s">
        <v>43218</v>
      </c>
      <c r="C14972">
        <f>0.00855671160743</f>
        <v>8.5567116074300002E-3</v>
      </c>
      <c r="D14972">
        <v>0.95115177898299996</v>
      </c>
      <c r="E14972">
        <v>0.61799999999999999</v>
      </c>
    </row>
    <row r="14973" spans="1:5">
      <c r="A14973" t="s">
        <v>43215</v>
      </c>
      <c r="B14973" t="s">
        <v>43219</v>
      </c>
      <c r="C14973">
        <v>0</v>
      </c>
      <c r="D14973">
        <v>0.95115177898299996</v>
      </c>
      <c r="E14973">
        <v>0.61799999999999999</v>
      </c>
    </row>
    <row r="14974" spans="1:5">
      <c r="A14974" t="s">
        <v>43215</v>
      </c>
      <c r="B14974" t="s">
        <v>43220</v>
      </c>
      <c r="C14974">
        <v>0.13184733268400001</v>
      </c>
      <c r="D14974">
        <v>0.95115177898299996</v>
      </c>
      <c r="E14974">
        <v>0.61799999999999999</v>
      </c>
    </row>
    <row r="14975" spans="1:5">
      <c r="A14975" t="s">
        <v>43221</v>
      </c>
      <c r="B14975" t="s">
        <v>20341</v>
      </c>
      <c r="C14975">
        <f>0.846022336569</f>
        <v>0.84602233656900006</v>
      </c>
      <c r="D14975">
        <v>0.92443233656900003</v>
      </c>
      <c r="E14975">
        <v>0</v>
      </c>
    </row>
    <row r="14976" spans="1:5">
      <c r="A14976" t="s">
        <v>43221</v>
      </c>
      <c r="B14976" t="s">
        <v>20345</v>
      </c>
      <c r="C14976">
        <f>0</f>
        <v>0</v>
      </c>
      <c r="D14976">
        <v>0.92443233656900003</v>
      </c>
      <c r="E14976">
        <v>0</v>
      </c>
    </row>
    <row r="14977" spans="1:5">
      <c r="A14977" t="s">
        <v>43221</v>
      </c>
      <c r="B14977" t="s">
        <v>20344</v>
      </c>
      <c r="C14977">
        <v>0</v>
      </c>
      <c r="D14977">
        <v>0.92443233656900003</v>
      </c>
      <c r="E14977">
        <v>0</v>
      </c>
    </row>
    <row r="14978" spans="1:5">
      <c r="A14978" t="s">
        <v>43221</v>
      </c>
      <c r="B14978" t="s">
        <v>20343</v>
      </c>
      <c r="C14978">
        <v>0</v>
      </c>
      <c r="D14978">
        <v>0.92443233656900003</v>
      </c>
      <c r="E14978">
        <v>0</v>
      </c>
    </row>
    <row r="14979" spans="1:5">
      <c r="A14979" t="s">
        <v>43221</v>
      </c>
      <c r="B14979" t="s">
        <v>20342</v>
      </c>
      <c r="C14979">
        <f>0</f>
        <v>0</v>
      </c>
      <c r="D14979">
        <v>0.92443233656900003</v>
      </c>
      <c r="E14979">
        <v>0</v>
      </c>
    </row>
    <row r="14980" spans="1:5">
      <c r="A14980" t="s">
        <v>43222</v>
      </c>
      <c r="B14980" t="s">
        <v>43223</v>
      </c>
      <c r="C14980">
        <f>0.111155204745</f>
        <v>0.111155204745</v>
      </c>
      <c r="D14980">
        <v>0.99997932967299996</v>
      </c>
      <c r="E14980">
        <v>0.82799999999999996</v>
      </c>
    </row>
    <row r="14981" spans="1:5">
      <c r="A14981" t="s">
        <v>43222</v>
      </c>
      <c r="B14981" t="s">
        <v>43224</v>
      </c>
      <c r="C14981">
        <v>0.21523886005699999</v>
      </c>
      <c r="D14981">
        <v>0.99997932967299996</v>
      </c>
      <c r="E14981">
        <v>0.82799999999999996</v>
      </c>
    </row>
    <row r="14982" spans="1:5">
      <c r="A14982" t="s">
        <v>43222</v>
      </c>
      <c r="B14982" t="s">
        <v>43225</v>
      </c>
      <c r="C14982">
        <f>0.695475381756</f>
        <v>0.69547538175599999</v>
      </c>
      <c r="D14982">
        <v>0.99997932967299996</v>
      </c>
      <c r="E14982">
        <v>0.82799999999999996</v>
      </c>
    </row>
    <row r="14983" spans="1:5">
      <c r="A14983" t="s">
        <v>43222</v>
      </c>
      <c r="B14983" t="s">
        <v>43226</v>
      </c>
      <c r="C14983">
        <v>0</v>
      </c>
      <c r="D14983">
        <v>0.99997932967299996</v>
      </c>
      <c r="E14983">
        <v>0.82799999999999996</v>
      </c>
    </row>
    <row r="14984" spans="1:5">
      <c r="A14984" t="s">
        <v>43222</v>
      </c>
      <c r="B14984" t="s">
        <v>43227</v>
      </c>
      <c r="C14984">
        <f>0.648903754283</f>
        <v>0.64890375428299996</v>
      </c>
      <c r="D14984">
        <v>0.99997932967299996</v>
      </c>
      <c r="E14984">
        <v>0.82799999999999996</v>
      </c>
    </row>
    <row r="14985" spans="1:5">
      <c r="A14985" t="s">
        <v>43222</v>
      </c>
      <c r="B14985" t="s">
        <v>43228</v>
      </c>
      <c r="C14985">
        <f>0.0212356127358</f>
        <v>2.1235612735800002E-2</v>
      </c>
      <c r="D14985">
        <v>0.99997932967299996</v>
      </c>
      <c r="E14985">
        <v>0.82799999999999996</v>
      </c>
    </row>
    <row r="14986" spans="1:5">
      <c r="A14986" t="s">
        <v>43222</v>
      </c>
      <c r="B14986" t="s">
        <v>43229</v>
      </c>
      <c r="C14986">
        <f>0.447519606922</f>
        <v>0.44751960692199999</v>
      </c>
      <c r="D14986">
        <v>0.99997932967299996</v>
      </c>
      <c r="E14986">
        <v>0.82799999999999996</v>
      </c>
    </row>
    <row r="14987" spans="1:5">
      <c r="A14987" t="s">
        <v>43222</v>
      </c>
      <c r="B14987" t="s">
        <v>43230</v>
      </c>
      <c r="C14987">
        <f>0.273131150141</f>
        <v>0.27313115014099998</v>
      </c>
      <c r="D14987">
        <v>0.99997932967299996</v>
      </c>
      <c r="E14987">
        <v>0.82799999999999996</v>
      </c>
    </row>
    <row r="14988" spans="1:5">
      <c r="A14988" t="s">
        <v>43231</v>
      </c>
      <c r="B14988" t="s">
        <v>43232</v>
      </c>
      <c r="C14988">
        <v>0</v>
      </c>
      <c r="D14988">
        <v>0.84216518657299999</v>
      </c>
      <c r="E14988">
        <v>0</v>
      </c>
    </row>
    <row r="14989" spans="1:5">
      <c r="A14989" t="s">
        <v>43231</v>
      </c>
      <c r="B14989" t="s">
        <v>43233</v>
      </c>
      <c r="C14989">
        <v>0</v>
      </c>
      <c r="D14989">
        <v>0.84216518657299999</v>
      </c>
      <c r="E14989">
        <v>0</v>
      </c>
    </row>
    <row r="14990" spans="1:5">
      <c r="A14990" t="s">
        <v>43231</v>
      </c>
      <c r="B14990" t="s">
        <v>43234</v>
      </c>
      <c r="C14990">
        <v>0.38467108375999998</v>
      </c>
      <c r="D14990">
        <v>0.84216518657299999</v>
      </c>
      <c r="E14990">
        <v>0</v>
      </c>
    </row>
    <row r="14991" spans="1:5">
      <c r="A14991" t="s">
        <v>43231</v>
      </c>
      <c r="B14991" t="s">
        <v>43235</v>
      </c>
      <c r="C14991">
        <v>0.308285511091</v>
      </c>
      <c r="D14991">
        <v>0.84216518657299999</v>
      </c>
      <c r="E14991">
        <v>0</v>
      </c>
    </row>
    <row r="14992" spans="1:5">
      <c r="A14992" t="s">
        <v>43236</v>
      </c>
      <c r="B14992" t="s">
        <v>21663</v>
      </c>
      <c r="C14992">
        <v>0</v>
      </c>
      <c r="D14992" t="s">
        <v>106</v>
      </c>
      <c r="E14992">
        <v>0.114</v>
      </c>
    </row>
    <row r="14993" spans="1:5">
      <c r="A14993" t="s">
        <v>43236</v>
      </c>
      <c r="B14993" t="s">
        <v>21664</v>
      </c>
      <c r="C14993">
        <v>0</v>
      </c>
      <c r="D14993" t="s">
        <v>106</v>
      </c>
      <c r="E14993">
        <v>0.114</v>
      </c>
    </row>
    <row r="14994" spans="1:5">
      <c r="A14994" t="s">
        <v>43237</v>
      </c>
      <c r="B14994" t="s">
        <v>21648</v>
      </c>
      <c r="C14994">
        <v>0.75858935834800001</v>
      </c>
      <c r="D14994">
        <v>0.91859935834799999</v>
      </c>
      <c r="E14994">
        <v>23.754000000000001</v>
      </c>
    </row>
    <row r="14995" spans="1:5">
      <c r="A14995" t="s">
        <v>43237</v>
      </c>
      <c r="B14995" t="s">
        <v>21650</v>
      </c>
      <c r="C14995">
        <v>0</v>
      </c>
      <c r="D14995">
        <v>0.91859935834799999</v>
      </c>
      <c r="E14995">
        <v>23.754000000000001</v>
      </c>
    </row>
    <row r="14996" spans="1:5">
      <c r="A14996" t="s">
        <v>43237</v>
      </c>
      <c r="B14996" t="s">
        <v>21649</v>
      </c>
      <c r="C14996">
        <v>0</v>
      </c>
      <c r="D14996">
        <v>0.91859935834799999</v>
      </c>
      <c r="E14996">
        <v>23.754000000000001</v>
      </c>
    </row>
    <row r="14997" spans="1:5">
      <c r="A14997" t="s">
        <v>43238</v>
      </c>
      <c r="B14997" t="s">
        <v>43239</v>
      </c>
      <c r="C14997">
        <f>0</f>
        <v>0</v>
      </c>
      <c r="D14997" t="s">
        <v>106</v>
      </c>
      <c r="E14997">
        <v>3.4079999999999999</v>
      </c>
    </row>
    <row r="14998" spans="1:5">
      <c r="A14998" t="s">
        <v>43238</v>
      </c>
      <c r="B14998" t="s">
        <v>43240</v>
      </c>
      <c r="C14998">
        <f>0</f>
        <v>0</v>
      </c>
      <c r="D14998" t="s">
        <v>106</v>
      </c>
      <c r="E14998">
        <v>3.4079999999999999</v>
      </c>
    </row>
    <row r="14999" spans="1:5">
      <c r="A14999" t="s">
        <v>43238</v>
      </c>
      <c r="B14999" t="s">
        <v>43241</v>
      </c>
      <c r="C14999">
        <f>0</f>
        <v>0</v>
      </c>
      <c r="D14999" t="s">
        <v>106</v>
      </c>
      <c r="E14999">
        <v>3.4079999999999999</v>
      </c>
    </row>
    <row r="15000" spans="1:5">
      <c r="A15000" t="s">
        <v>43238</v>
      </c>
      <c r="B15000" t="s">
        <v>43242</v>
      </c>
      <c r="C15000">
        <f>0</f>
        <v>0</v>
      </c>
      <c r="D15000" t="s">
        <v>106</v>
      </c>
      <c r="E15000">
        <v>3.4079999999999999</v>
      </c>
    </row>
    <row r="15001" spans="1:5">
      <c r="A15001" t="s">
        <v>43238</v>
      </c>
      <c r="B15001" t="s">
        <v>43243</v>
      </c>
      <c r="C15001">
        <f>0</f>
        <v>0</v>
      </c>
      <c r="D15001" t="s">
        <v>106</v>
      </c>
      <c r="E15001">
        <v>3.4079999999999999</v>
      </c>
    </row>
    <row r="15002" spans="1:5">
      <c r="A15002" t="s">
        <v>43238</v>
      </c>
      <c r="B15002" t="s">
        <v>43244</v>
      </c>
      <c r="C15002">
        <v>0</v>
      </c>
      <c r="D15002" t="s">
        <v>106</v>
      </c>
      <c r="E15002">
        <v>3.4079999999999999</v>
      </c>
    </row>
    <row r="15003" spans="1:5">
      <c r="A15003" t="s">
        <v>43245</v>
      </c>
      <c r="B15003" t="s">
        <v>29068</v>
      </c>
      <c r="C15003">
        <v>0</v>
      </c>
      <c r="D15003">
        <v>0.75869221967900002</v>
      </c>
      <c r="E15003">
        <v>24</v>
      </c>
    </row>
    <row r="15004" spans="1:5">
      <c r="A15004" t="s">
        <v>43245</v>
      </c>
      <c r="B15004" t="s">
        <v>29071</v>
      </c>
      <c r="C15004">
        <v>0.164883476137</v>
      </c>
      <c r="D15004">
        <v>0.75869221967900002</v>
      </c>
      <c r="E15004">
        <v>24</v>
      </c>
    </row>
    <row r="15005" spans="1:5">
      <c r="A15005" t="s">
        <v>43245</v>
      </c>
      <c r="B15005" t="s">
        <v>29070</v>
      </c>
      <c r="C15005">
        <v>0.45863668984700001</v>
      </c>
      <c r="D15005">
        <v>0.75869221967900002</v>
      </c>
      <c r="E15005">
        <v>24</v>
      </c>
    </row>
    <row r="15006" spans="1:5">
      <c r="A15006" t="s">
        <v>43245</v>
      </c>
      <c r="B15006" t="s">
        <v>29069</v>
      </c>
      <c r="C15006">
        <f>0.0789623613773</f>
        <v>7.8962361377300005E-2</v>
      </c>
      <c r="D15006">
        <v>0.75869221967900002</v>
      </c>
      <c r="E15006">
        <v>24</v>
      </c>
    </row>
    <row r="15007" spans="1:5">
      <c r="A15007" t="s">
        <v>43246</v>
      </c>
      <c r="B15007" t="s">
        <v>43247</v>
      </c>
      <c r="C15007">
        <v>0</v>
      </c>
      <c r="D15007">
        <v>0.96076845470200001</v>
      </c>
      <c r="E15007">
        <v>5.2380000000000004</v>
      </c>
    </row>
    <row r="15008" spans="1:5">
      <c r="A15008" t="s">
        <v>43246</v>
      </c>
      <c r="B15008" t="s">
        <v>43248</v>
      </c>
      <c r="C15008">
        <v>0</v>
      </c>
      <c r="D15008">
        <v>0.96076845470200001</v>
      </c>
      <c r="E15008">
        <v>5.2380000000000004</v>
      </c>
    </row>
    <row r="15009" spans="1:5">
      <c r="A15009" t="s">
        <v>43246</v>
      </c>
      <c r="B15009" t="s">
        <v>43249</v>
      </c>
      <c r="C15009">
        <f>0</f>
        <v>0</v>
      </c>
      <c r="D15009">
        <v>0.96076845470200001</v>
      </c>
      <c r="E15009">
        <v>5.2380000000000004</v>
      </c>
    </row>
    <row r="15010" spans="1:5">
      <c r="A15010" t="s">
        <v>43246</v>
      </c>
      <c r="B15010" t="s">
        <v>43250</v>
      </c>
      <c r="C15010">
        <v>0</v>
      </c>
      <c r="D15010">
        <v>0.96076845470200001</v>
      </c>
      <c r="E15010">
        <v>5.2380000000000004</v>
      </c>
    </row>
    <row r="15011" spans="1:5">
      <c r="A15011" t="s">
        <v>43246</v>
      </c>
      <c r="B15011" t="s">
        <v>43251</v>
      </c>
      <c r="C15011">
        <f>0.107354037817</f>
        <v>0.10735403781699999</v>
      </c>
      <c r="D15011">
        <v>0.96076845470200001</v>
      </c>
      <c r="E15011">
        <v>5.2380000000000004</v>
      </c>
    </row>
    <row r="15012" spans="1:5">
      <c r="A15012" t="s">
        <v>43246</v>
      </c>
      <c r="B15012" t="s">
        <v>43252</v>
      </c>
      <c r="C15012">
        <v>0.67733573388900004</v>
      </c>
      <c r="D15012">
        <v>0.96076845470200001</v>
      </c>
      <c r="E15012">
        <v>5.2380000000000004</v>
      </c>
    </row>
    <row r="15013" spans="1:5">
      <c r="A15013" t="s">
        <v>43246</v>
      </c>
      <c r="B15013" t="s">
        <v>43253</v>
      </c>
      <c r="C15013">
        <f>0</f>
        <v>0</v>
      </c>
      <c r="D15013">
        <v>0.96076845470200001</v>
      </c>
      <c r="E15013">
        <v>5.2380000000000004</v>
      </c>
    </row>
    <row r="15014" spans="1:5">
      <c r="A15014" t="s">
        <v>43246</v>
      </c>
      <c r="B15014" t="s">
        <v>43254</v>
      </c>
      <c r="C15014">
        <f>0</f>
        <v>0</v>
      </c>
      <c r="D15014">
        <v>0.96076845470200001</v>
      </c>
      <c r="E15014">
        <v>5.2380000000000004</v>
      </c>
    </row>
    <row r="15015" spans="1:5">
      <c r="A15015" t="s">
        <v>43246</v>
      </c>
      <c r="B15015" t="s">
        <v>43255</v>
      </c>
      <c r="C15015">
        <v>0</v>
      </c>
      <c r="D15015">
        <v>0.96076845470200001</v>
      </c>
      <c r="E15015">
        <v>5.2380000000000004</v>
      </c>
    </row>
    <row r="15016" spans="1:5">
      <c r="A15016" t="s">
        <v>43246</v>
      </c>
      <c r="B15016" t="s">
        <v>43256</v>
      </c>
      <c r="C15016">
        <f>0.041783100287</f>
        <v>4.1783100286999997E-2</v>
      </c>
      <c r="D15016">
        <v>0.96076845470200001</v>
      </c>
      <c r="E15016">
        <v>5.2380000000000004</v>
      </c>
    </row>
    <row r="15017" spans="1:5">
      <c r="A15017" t="s">
        <v>43257</v>
      </c>
      <c r="B15017" t="s">
        <v>24416</v>
      </c>
      <c r="C15017">
        <v>0.664946404534</v>
      </c>
      <c r="D15017">
        <v>0.69324753260799998</v>
      </c>
      <c r="E15017">
        <v>3.78</v>
      </c>
    </row>
    <row r="15018" spans="1:5">
      <c r="A15018" t="s">
        <v>43257</v>
      </c>
      <c r="B15018" t="s">
        <v>24420</v>
      </c>
      <c r="C15018">
        <f>0.302024339338</f>
        <v>0.30202433933799999</v>
      </c>
      <c r="D15018">
        <v>0.69324753260799998</v>
      </c>
      <c r="E15018">
        <v>3.78</v>
      </c>
    </row>
    <row r="15019" spans="1:5">
      <c r="A15019" t="s">
        <v>43258</v>
      </c>
      <c r="B15019" t="s">
        <v>16180</v>
      </c>
      <c r="C15019">
        <f>0</f>
        <v>0</v>
      </c>
      <c r="D15019" t="s">
        <v>106</v>
      </c>
      <c r="E15019">
        <v>24</v>
      </c>
    </row>
    <row r="15020" spans="1:5">
      <c r="A15020" t="s">
        <v>43258</v>
      </c>
      <c r="B15020" t="s">
        <v>16181</v>
      </c>
      <c r="C15020">
        <f>0</f>
        <v>0</v>
      </c>
      <c r="D15020" t="s">
        <v>106</v>
      </c>
      <c r="E15020">
        <v>24</v>
      </c>
    </row>
    <row r="15021" spans="1:5">
      <c r="A15021" t="s">
        <v>43258</v>
      </c>
      <c r="B15021" t="s">
        <v>16182</v>
      </c>
      <c r="C15021">
        <v>0</v>
      </c>
      <c r="D15021" t="s">
        <v>106</v>
      </c>
      <c r="E15021">
        <v>24</v>
      </c>
    </row>
    <row r="15022" spans="1:5">
      <c r="A15022" t="s">
        <v>43258</v>
      </c>
      <c r="B15022" t="s">
        <v>16184</v>
      </c>
      <c r="C15022">
        <v>0</v>
      </c>
      <c r="D15022" t="s">
        <v>106</v>
      </c>
      <c r="E15022">
        <v>24</v>
      </c>
    </row>
    <row r="15023" spans="1:5">
      <c r="A15023" t="s">
        <v>43259</v>
      </c>
      <c r="B15023" t="s">
        <v>43260</v>
      </c>
      <c r="C15023">
        <v>0.204511556712</v>
      </c>
      <c r="D15023">
        <v>0.87185641823899995</v>
      </c>
      <c r="E15023">
        <v>9.0180000000000007</v>
      </c>
    </row>
    <row r="15024" spans="1:5">
      <c r="A15024" t="s">
        <v>43259</v>
      </c>
      <c r="B15024" t="s">
        <v>43261</v>
      </c>
      <c r="C15024">
        <v>0.83255844877999996</v>
      </c>
      <c r="D15024">
        <v>0.87185641823899995</v>
      </c>
      <c r="E15024">
        <v>9.0180000000000007</v>
      </c>
    </row>
    <row r="15025" spans="1:5">
      <c r="A15025" t="s">
        <v>43259</v>
      </c>
      <c r="B15025" t="s">
        <v>43262</v>
      </c>
      <c r="C15025">
        <f>0.453474220282</f>
        <v>0.45347422028200002</v>
      </c>
      <c r="D15025">
        <v>0.87185641823899995</v>
      </c>
      <c r="E15025">
        <v>9.0180000000000007</v>
      </c>
    </row>
    <row r="15026" spans="1:5">
      <c r="A15026" t="s">
        <v>43263</v>
      </c>
      <c r="B15026" t="s">
        <v>43264</v>
      </c>
      <c r="C15026">
        <v>0.91786065124799998</v>
      </c>
      <c r="D15026">
        <v>0.897579537654</v>
      </c>
      <c r="E15026">
        <v>23.52</v>
      </c>
    </row>
    <row r="15027" spans="1:5">
      <c r="A15027" t="s">
        <v>43263</v>
      </c>
      <c r="B15027" t="s">
        <v>43265</v>
      </c>
      <c r="C15027">
        <f>0.155033356168</f>
        <v>0.15503335616800001</v>
      </c>
      <c r="D15027">
        <v>0.897579537654</v>
      </c>
      <c r="E15027">
        <v>23.52</v>
      </c>
    </row>
    <row r="15028" spans="1:5">
      <c r="A15028" t="s">
        <v>43263</v>
      </c>
      <c r="B15028" t="s">
        <v>43266</v>
      </c>
      <c r="C15028">
        <v>0.81462964357099998</v>
      </c>
      <c r="D15028">
        <v>0.897579537654</v>
      </c>
      <c r="E15028">
        <v>23.52</v>
      </c>
    </row>
    <row r="15029" spans="1:5">
      <c r="A15029" t="s">
        <v>43267</v>
      </c>
      <c r="B15029" t="s">
        <v>24255</v>
      </c>
      <c r="C15029">
        <v>0</v>
      </c>
      <c r="D15029" t="s">
        <v>106</v>
      </c>
      <c r="E15029">
        <v>2.25</v>
      </c>
    </row>
    <row r="15030" spans="1:5">
      <c r="A15030" t="s">
        <v>43267</v>
      </c>
      <c r="B15030" t="s">
        <v>24254</v>
      </c>
      <c r="C15030">
        <f>0</f>
        <v>0</v>
      </c>
      <c r="D15030" t="s">
        <v>106</v>
      </c>
      <c r="E15030">
        <v>2.25</v>
      </c>
    </row>
    <row r="15031" spans="1:5">
      <c r="A15031" t="s">
        <v>43268</v>
      </c>
      <c r="B15031" t="s">
        <v>43269</v>
      </c>
      <c r="C15031">
        <v>0.21169992203099999</v>
      </c>
      <c r="D15031">
        <v>0.69072342158300004</v>
      </c>
      <c r="E15031">
        <v>1.512</v>
      </c>
    </row>
    <row r="15032" spans="1:5">
      <c r="A15032" t="s">
        <v>43268</v>
      </c>
      <c r="B15032" t="s">
        <v>43270</v>
      </c>
      <c r="C15032">
        <f>0.841632139861</f>
        <v>0.84163213986100005</v>
      </c>
      <c r="D15032">
        <v>0.69072342158300004</v>
      </c>
      <c r="E15032">
        <v>1.512</v>
      </c>
    </row>
    <row r="15033" spans="1:5">
      <c r="A15033" t="s">
        <v>43271</v>
      </c>
      <c r="B15033" t="s">
        <v>13034</v>
      </c>
      <c r="C15033">
        <v>0</v>
      </c>
      <c r="D15033" t="s">
        <v>106</v>
      </c>
      <c r="E15033">
        <v>1.7999999999999999E-2</v>
      </c>
    </row>
    <row r="15034" spans="1:5">
      <c r="A15034" t="s">
        <v>43271</v>
      </c>
      <c r="B15034" t="s">
        <v>13032</v>
      </c>
      <c r="C15034">
        <v>0</v>
      </c>
      <c r="D15034" t="s">
        <v>106</v>
      </c>
      <c r="E15034">
        <v>1.7999999999999999E-2</v>
      </c>
    </row>
    <row r="15035" spans="1:5">
      <c r="A15035" t="s">
        <v>43271</v>
      </c>
      <c r="B15035" t="s">
        <v>13033</v>
      </c>
      <c r="C15035">
        <v>0</v>
      </c>
      <c r="D15035" t="s">
        <v>106</v>
      </c>
      <c r="E15035">
        <v>1.7999999999999999E-2</v>
      </c>
    </row>
    <row r="15036" spans="1:5">
      <c r="A15036" t="s">
        <v>43271</v>
      </c>
      <c r="B15036" t="s">
        <v>13031</v>
      </c>
      <c r="C15036">
        <v>0</v>
      </c>
      <c r="D15036" t="s">
        <v>106</v>
      </c>
      <c r="E15036">
        <v>1.7999999999999999E-2</v>
      </c>
    </row>
    <row r="15037" spans="1:5">
      <c r="A15037" t="s">
        <v>43271</v>
      </c>
      <c r="B15037" t="s">
        <v>13035</v>
      </c>
      <c r="C15037">
        <v>0</v>
      </c>
      <c r="D15037" t="s">
        <v>106</v>
      </c>
      <c r="E15037">
        <v>1.7999999999999999E-2</v>
      </c>
    </row>
    <row r="15038" spans="1:5">
      <c r="A15038" t="s">
        <v>43272</v>
      </c>
      <c r="B15038" t="s">
        <v>16760</v>
      </c>
      <c r="C15038">
        <v>0.32452665086799998</v>
      </c>
      <c r="D15038">
        <v>0.76909486746</v>
      </c>
      <c r="E15038">
        <v>0</v>
      </c>
    </row>
    <row r="15039" spans="1:5">
      <c r="A15039" t="s">
        <v>43272</v>
      </c>
      <c r="B15039" t="s">
        <v>16761</v>
      </c>
      <c r="C15039">
        <v>0</v>
      </c>
      <c r="D15039">
        <v>0.76909486746</v>
      </c>
      <c r="E15039">
        <v>0</v>
      </c>
    </row>
    <row r="15040" spans="1:5">
      <c r="A15040" t="s">
        <v>43272</v>
      </c>
      <c r="B15040" t="s">
        <v>16765</v>
      </c>
      <c r="C15040">
        <v>0.62447144942099997</v>
      </c>
      <c r="D15040">
        <v>0.76909486746</v>
      </c>
      <c r="E15040">
        <v>0</v>
      </c>
    </row>
    <row r="15041" spans="1:5">
      <c r="A15041" t="s">
        <v>43273</v>
      </c>
      <c r="B15041" t="s">
        <v>4932</v>
      </c>
      <c r="C15041">
        <v>0.57474271156800005</v>
      </c>
      <c r="D15041">
        <v>0.77298849516699997</v>
      </c>
      <c r="E15041">
        <v>13.818</v>
      </c>
    </row>
    <row r="15042" spans="1:5">
      <c r="A15042" t="s">
        <v>43273</v>
      </c>
      <c r="B15042" t="s">
        <v>4929</v>
      </c>
      <c r="C15042">
        <v>7.82647533343E-3</v>
      </c>
      <c r="D15042">
        <v>0.77298849516699997</v>
      </c>
      <c r="E15042">
        <v>13.818</v>
      </c>
    </row>
    <row r="15043" spans="1:5">
      <c r="A15043" t="s">
        <v>43273</v>
      </c>
      <c r="B15043" t="s">
        <v>4935</v>
      </c>
      <c r="C15043">
        <v>0</v>
      </c>
      <c r="D15043">
        <v>0.77298849516699997</v>
      </c>
      <c r="E15043">
        <v>13.818</v>
      </c>
    </row>
    <row r="15044" spans="1:5">
      <c r="A15044" t="s">
        <v>43273</v>
      </c>
      <c r="B15044" t="s">
        <v>4937</v>
      </c>
      <c r="C15044">
        <v>0</v>
      </c>
      <c r="D15044">
        <v>0.77298849516699997</v>
      </c>
      <c r="E15044">
        <v>13.818</v>
      </c>
    </row>
    <row r="15045" spans="1:5">
      <c r="A15045" t="s">
        <v>43274</v>
      </c>
      <c r="B15045" t="s">
        <v>29911</v>
      </c>
      <c r="C15045">
        <f>0</f>
        <v>0</v>
      </c>
      <c r="D15045">
        <v>0.93759105513999996</v>
      </c>
      <c r="E15045">
        <v>24</v>
      </c>
    </row>
    <row r="15046" spans="1:5">
      <c r="A15046" t="s">
        <v>43274</v>
      </c>
      <c r="B15046" t="s">
        <v>29914</v>
      </c>
      <c r="C15046">
        <v>0</v>
      </c>
      <c r="D15046">
        <v>0.93759105513999996</v>
      </c>
      <c r="E15046">
        <v>24</v>
      </c>
    </row>
    <row r="15047" spans="1:5">
      <c r="A15047" t="s">
        <v>43274</v>
      </c>
      <c r="B15047" t="s">
        <v>29920</v>
      </c>
      <c r="C15047">
        <f>0.0926003536519</f>
        <v>9.2600353651900003E-2</v>
      </c>
      <c r="D15047">
        <v>0.93759105513999996</v>
      </c>
      <c r="E15047">
        <v>24</v>
      </c>
    </row>
    <row r="15048" spans="1:5">
      <c r="A15048" t="s">
        <v>43274</v>
      </c>
      <c r="B15048" t="s">
        <v>29919</v>
      </c>
      <c r="C15048">
        <f>0.160544025371</f>
        <v>0.16054402537099999</v>
      </c>
      <c r="D15048">
        <v>0.93759105513999996</v>
      </c>
      <c r="E15048">
        <v>24</v>
      </c>
    </row>
    <row r="15049" spans="1:5">
      <c r="A15049" t="s">
        <v>43274</v>
      </c>
      <c r="B15049" t="s">
        <v>29910</v>
      </c>
      <c r="C15049">
        <f>0.296126684913</f>
        <v>0.29612668491299998</v>
      </c>
      <c r="D15049">
        <v>0.93759105513999996</v>
      </c>
      <c r="E15049">
        <v>24</v>
      </c>
    </row>
    <row r="15050" spans="1:5">
      <c r="A15050" t="s">
        <v>43274</v>
      </c>
      <c r="B15050" t="s">
        <v>29913</v>
      </c>
      <c r="C15050">
        <f>0</f>
        <v>0</v>
      </c>
      <c r="D15050">
        <v>0.93759105513999996</v>
      </c>
      <c r="E15050">
        <v>24</v>
      </c>
    </row>
    <row r="15051" spans="1:5">
      <c r="A15051" t="s">
        <v>43274</v>
      </c>
      <c r="B15051" t="s">
        <v>29915</v>
      </c>
      <c r="C15051">
        <f>0</f>
        <v>0</v>
      </c>
      <c r="D15051">
        <v>0.93759105513999996</v>
      </c>
      <c r="E15051">
        <v>24</v>
      </c>
    </row>
    <row r="15052" spans="1:5">
      <c r="A15052" t="s">
        <v>43274</v>
      </c>
      <c r="B15052" t="s">
        <v>29917</v>
      </c>
      <c r="C15052">
        <f>0.425380488443</f>
        <v>0.42538048844300003</v>
      </c>
      <c r="D15052">
        <v>0.93759105513999996</v>
      </c>
      <c r="E15052">
        <v>24</v>
      </c>
    </row>
    <row r="15053" spans="1:5">
      <c r="A15053" t="s">
        <v>43274</v>
      </c>
      <c r="B15053" t="s">
        <v>29921</v>
      </c>
      <c r="C15053">
        <f>0.362885344984</f>
        <v>0.36288534498399999</v>
      </c>
      <c r="D15053">
        <v>0.93759105513999996</v>
      </c>
      <c r="E15053">
        <v>24</v>
      </c>
    </row>
    <row r="15054" spans="1:5">
      <c r="A15054" t="s">
        <v>43274</v>
      </c>
      <c r="B15054" t="s">
        <v>29907</v>
      </c>
      <c r="C15054">
        <f>0</f>
        <v>0</v>
      </c>
      <c r="D15054">
        <v>0.93759105513999996</v>
      </c>
      <c r="E15054">
        <v>24</v>
      </c>
    </row>
    <row r="15055" spans="1:5">
      <c r="A15055" t="s">
        <v>43274</v>
      </c>
      <c r="B15055" t="s">
        <v>29923</v>
      </c>
      <c r="C15055">
        <v>0</v>
      </c>
      <c r="D15055">
        <v>0.93759105513999996</v>
      </c>
      <c r="E15055">
        <v>24</v>
      </c>
    </row>
    <row r="15056" spans="1:5">
      <c r="A15056" t="s">
        <v>43274</v>
      </c>
      <c r="B15056" t="s">
        <v>29912</v>
      </c>
      <c r="C15056">
        <f>0</f>
        <v>0</v>
      </c>
      <c r="D15056">
        <v>0.93759105513999996</v>
      </c>
      <c r="E15056">
        <v>24</v>
      </c>
    </row>
    <row r="15057" spans="1:5">
      <c r="A15057" t="s">
        <v>43274</v>
      </c>
      <c r="B15057" t="s">
        <v>29909</v>
      </c>
      <c r="C15057">
        <v>0</v>
      </c>
      <c r="D15057">
        <v>0.93759105513999996</v>
      </c>
      <c r="E15057">
        <v>24</v>
      </c>
    </row>
    <row r="15058" spans="1:5">
      <c r="A15058" t="s">
        <v>43274</v>
      </c>
      <c r="B15058" t="s">
        <v>29908</v>
      </c>
      <c r="C15058">
        <f>0</f>
        <v>0</v>
      </c>
      <c r="D15058">
        <v>0.93759105513999996</v>
      </c>
      <c r="E15058">
        <v>24</v>
      </c>
    </row>
    <row r="15059" spans="1:5">
      <c r="A15059" t="s">
        <v>43275</v>
      </c>
      <c r="B15059" t="s">
        <v>17244</v>
      </c>
      <c r="C15059">
        <v>0.73349937943999999</v>
      </c>
      <c r="D15059">
        <v>0.86310937943999999</v>
      </c>
      <c r="E15059">
        <v>7.8719999999999999</v>
      </c>
    </row>
    <row r="15060" spans="1:5">
      <c r="A15060" t="s">
        <v>43275</v>
      </c>
      <c r="B15060" t="s">
        <v>17242</v>
      </c>
      <c r="C15060">
        <f>0</f>
        <v>0</v>
      </c>
      <c r="D15060">
        <v>0.86310937943999999</v>
      </c>
      <c r="E15060">
        <v>7.8719999999999999</v>
      </c>
    </row>
    <row r="15061" spans="1:5">
      <c r="A15061" t="s">
        <v>43276</v>
      </c>
      <c r="B15061" t="s">
        <v>21189</v>
      </c>
      <c r="C15061">
        <f>0.600349701436</f>
        <v>0.60034970143599997</v>
      </c>
      <c r="D15061">
        <v>0.93254548256799996</v>
      </c>
      <c r="E15061">
        <v>15.708</v>
      </c>
    </row>
    <row r="15062" spans="1:5">
      <c r="A15062" t="s">
        <v>43276</v>
      </c>
      <c r="B15062" t="s">
        <v>21191</v>
      </c>
      <c r="C15062">
        <v>0</v>
      </c>
      <c r="D15062">
        <v>0.93254548256799996</v>
      </c>
      <c r="E15062">
        <v>15.708</v>
      </c>
    </row>
    <row r="15063" spans="1:5">
      <c r="A15063" t="s">
        <v>43276</v>
      </c>
      <c r="B15063" t="s">
        <v>21192</v>
      </c>
      <c r="C15063">
        <f>0.535081460878</f>
        <v>0.53508146087800001</v>
      </c>
      <c r="D15063">
        <v>0.93254548256799996</v>
      </c>
      <c r="E15063">
        <v>15.708</v>
      </c>
    </row>
    <row r="15064" spans="1:5">
      <c r="A15064" t="s">
        <v>43277</v>
      </c>
      <c r="B15064" t="s">
        <v>43278</v>
      </c>
      <c r="C15064">
        <v>0.60209660911600005</v>
      </c>
      <c r="D15064">
        <v>0.795706609116</v>
      </c>
      <c r="E15064">
        <v>1.512</v>
      </c>
    </row>
    <row r="15065" spans="1:5">
      <c r="A15065" t="s">
        <v>43277</v>
      </c>
      <c r="B15065" t="s">
        <v>43279</v>
      </c>
      <c r="C15065">
        <f>0</f>
        <v>0</v>
      </c>
      <c r="D15065">
        <v>0.795706609116</v>
      </c>
      <c r="E15065">
        <v>1.512</v>
      </c>
    </row>
    <row r="15066" spans="1:5">
      <c r="A15066" t="s">
        <v>43280</v>
      </c>
      <c r="B15066" t="s">
        <v>34281</v>
      </c>
      <c r="C15066">
        <f>0</f>
        <v>0</v>
      </c>
      <c r="D15066">
        <v>0.84998940589100003</v>
      </c>
      <c r="E15066">
        <v>4.4820000000000002</v>
      </c>
    </row>
    <row r="15067" spans="1:5">
      <c r="A15067" t="s">
        <v>43280</v>
      </c>
      <c r="B15067" t="s">
        <v>34285</v>
      </c>
      <c r="C15067">
        <f>0.649400290671</f>
        <v>0.64940029067100002</v>
      </c>
      <c r="D15067">
        <v>0.84998940589100003</v>
      </c>
      <c r="E15067">
        <v>4.4820000000000002</v>
      </c>
    </row>
    <row r="15068" spans="1:5">
      <c r="A15068" t="s">
        <v>43280</v>
      </c>
      <c r="B15068" t="s">
        <v>34286</v>
      </c>
      <c r="C15068">
        <f>0.232334013686</f>
        <v>0.23233401368600001</v>
      </c>
      <c r="D15068">
        <v>0.84998940589100003</v>
      </c>
      <c r="E15068">
        <v>4.4820000000000002</v>
      </c>
    </row>
    <row r="15069" spans="1:5">
      <c r="A15069" t="s">
        <v>43280</v>
      </c>
      <c r="B15069" t="s">
        <v>34284</v>
      </c>
      <c r="C15069">
        <f>0.0351791238009</f>
        <v>3.5179123800899999E-2</v>
      </c>
      <c r="D15069">
        <v>0.84998940589100003</v>
      </c>
      <c r="E15069">
        <v>4.4820000000000002</v>
      </c>
    </row>
    <row r="15070" spans="1:5">
      <c r="A15070" t="s">
        <v>43281</v>
      </c>
      <c r="B15070" t="s">
        <v>1064</v>
      </c>
      <c r="C15070">
        <v>0</v>
      </c>
      <c r="D15070">
        <v>0.63164062674499999</v>
      </c>
      <c r="E15070">
        <v>0</v>
      </c>
    </row>
    <row r="15071" spans="1:5">
      <c r="A15071" t="s">
        <v>43281</v>
      </c>
      <c r="B15071" t="s">
        <v>1067</v>
      </c>
      <c r="C15071">
        <v>0</v>
      </c>
      <c r="D15071">
        <v>0.63164062674499999</v>
      </c>
      <c r="E15071">
        <v>0</v>
      </c>
    </row>
    <row r="15072" spans="1:5">
      <c r="A15072" t="s">
        <v>43281</v>
      </c>
      <c r="B15072" t="s">
        <v>43282</v>
      </c>
      <c r="C15072">
        <v>0</v>
      </c>
      <c r="D15072">
        <v>0.63164062674499999</v>
      </c>
      <c r="E15072">
        <v>0</v>
      </c>
    </row>
    <row r="15073" spans="1:5">
      <c r="A15073" t="s">
        <v>43281</v>
      </c>
      <c r="B15073" t="s">
        <v>1065</v>
      </c>
      <c r="C15073">
        <v>0.22203062674499999</v>
      </c>
      <c r="D15073">
        <v>0.63164062674499999</v>
      </c>
      <c r="E15073">
        <v>0</v>
      </c>
    </row>
    <row r="15074" spans="1:5">
      <c r="A15074" t="s">
        <v>43281</v>
      </c>
      <c r="B15074" t="s">
        <v>1066</v>
      </c>
      <c r="C15074">
        <f>0</f>
        <v>0</v>
      </c>
      <c r="D15074">
        <v>0.63164062674499999</v>
      </c>
      <c r="E15074">
        <v>0</v>
      </c>
    </row>
    <row r="15075" spans="1:5">
      <c r="A15075" t="s">
        <v>43283</v>
      </c>
      <c r="B15075" t="s">
        <v>9717</v>
      </c>
      <c r="C15075">
        <v>0</v>
      </c>
      <c r="D15075">
        <v>0.693195694935</v>
      </c>
      <c r="E15075">
        <v>0.65400000000000003</v>
      </c>
    </row>
    <row r="15076" spans="1:5">
      <c r="A15076" t="s">
        <v>43283</v>
      </c>
      <c r="B15076" t="s">
        <v>9722</v>
      </c>
      <c r="C15076">
        <f>0.379585694935</f>
        <v>0.379585694935</v>
      </c>
      <c r="D15076">
        <v>0.693195694935</v>
      </c>
      <c r="E15076">
        <v>0.65400000000000003</v>
      </c>
    </row>
    <row r="15077" spans="1:5">
      <c r="A15077" t="s">
        <v>43283</v>
      </c>
      <c r="B15077" t="s">
        <v>9714</v>
      </c>
      <c r="C15077">
        <v>0</v>
      </c>
      <c r="D15077">
        <v>0.693195694935</v>
      </c>
      <c r="E15077">
        <v>0.65400000000000003</v>
      </c>
    </row>
    <row r="15078" spans="1:5">
      <c r="A15078" t="s">
        <v>43283</v>
      </c>
      <c r="B15078" t="s">
        <v>9716</v>
      </c>
      <c r="C15078">
        <v>0</v>
      </c>
      <c r="D15078">
        <v>0.693195694935</v>
      </c>
      <c r="E15078">
        <v>0.65400000000000003</v>
      </c>
    </row>
    <row r="15079" spans="1:5">
      <c r="A15079" t="s">
        <v>43283</v>
      </c>
      <c r="B15079" t="s">
        <v>9720</v>
      </c>
      <c r="C15079">
        <f>0</f>
        <v>0</v>
      </c>
      <c r="D15079">
        <v>0.693195694935</v>
      </c>
      <c r="E15079">
        <v>0.65400000000000003</v>
      </c>
    </row>
    <row r="15080" spans="1:5">
      <c r="A15080" t="s">
        <v>43284</v>
      </c>
      <c r="B15080" t="s">
        <v>43285</v>
      </c>
      <c r="C15080">
        <f>0</f>
        <v>0</v>
      </c>
      <c r="D15080" t="s">
        <v>106</v>
      </c>
      <c r="E15080">
        <v>3.5999999999999997E-2</v>
      </c>
    </row>
    <row r="15081" spans="1:5">
      <c r="A15081" t="s">
        <v>43284</v>
      </c>
      <c r="B15081" t="s">
        <v>43286</v>
      </c>
      <c r="C15081">
        <v>0</v>
      </c>
      <c r="D15081" t="s">
        <v>106</v>
      </c>
      <c r="E15081">
        <v>3.5999999999999997E-2</v>
      </c>
    </row>
    <row r="15082" spans="1:5">
      <c r="A15082" t="s">
        <v>43284</v>
      </c>
      <c r="B15082" t="s">
        <v>43287</v>
      </c>
      <c r="C15082">
        <v>0</v>
      </c>
      <c r="D15082" t="s">
        <v>106</v>
      </c>
      <c r="E15082">
        <v>3.5999999999999997E-2</v>
      </c>
    </row>
    <row r="15083" spans="1:5">
      <c r="A15083" t="s">
        <v>43288</v>
      </c>
      <c r="B15083" t="s">
        <v>19040</v>
      </c>
      <c r="C15083">
        <v>0.56099518739099996</v>
      </c>
      <c r="D15083">
        <v>0.70712943363199998</v>
      </c>
      <c r="E15083">
        <v>1.512</v>
      </c>
    </row>
    <row r="15084" spans="1:5">
      <c r="A15084" t="s">
        <v>43288</v>
      </c>
      <c r="B15084" t="s">
        <v>19042</v>
      </c>
      <c r="C15084">
        <f>0</f>
        <v>0</v>
      </c>
      <c r="D15084">
        <v>0.70712943363199998</v>
      </c>
      <c r="E15084">
        <v>1.512</v>
      </c>
    </row>
    <row r="15085" spans="1:5">
      <c r="A15085" t="s">
        <v>43288</v>
      </c>
      <c r="B15085" t="s">
        <v>19041</v>
      </c>
      <c r="C15085">
        <f>0.0282627396311</f>
        <v>2.8262739631100001E-2</v>
      </c>
      <c r="D15085">
        <v>0.70712943363199998</v>
      </c>
      <c r="E15085">
        <v>1.512</v>
      </c>
    </row>
    <row r="15086" spans="1:5">
      <c r="A15086" t="s">
        <v>43289</v>
      </c>
      <c r="B15086" t="s">
        <v>5089</v>
      </c>
      <c r="C15086">
        <f>0</f>
        <v>0</v>
      </c>
      <c r="D15086">
        <v>0.77228344991700004</v>
      </c>
      <c r="E15086">
        <v>6.8040000000000003</v>
      </c>
    </row>
    <row r="15087" spans="1:5">
      <c r="A15087" t="s">
        <v>43289</v>
      </c>
      <c r="B15087" t="s">
        <v>5086</v>
      </c>
      <c r="C15087">
        <v>0.253873449917</v>
      </c>
      <c r="D15087">
        <v>0.77228344991700004</v>
      </c>
      <c r="E15087">
        <v>6.8040000000000003</v>
      </c>
    </row>
    <row r="15088" spans="1:5">
      <c r="A15088" t="s">
        <v>43289</v>
      </c>
      <c r="B15088" t="s">
        <v>5091</v>
      </c>
      <c r="C15088">
        <f>0</f>
        <v>0</v>
      </c>
      <c r="D15088">
        <v>0.77228344991700004</v>
      </c>
      <c r="E15088">
        <v>6.8040000000000003</v>
      </c>
    </row>
    <row r="15089" spans="1:5">
      <c r="A15089" t="s">
        <v>43289</v>
      </c>
      <c r="B15089" t="s">
        <v>5087</v>
      </c>
      <c r="C15089">
        <f>0</f>
        <v>0</v>
      </c>
      <c r="D15089">
        <v>0.77228344991700004</v>
      </c>
      <c r="E15089">
        <v>6.8040000000000003</v>
      </c>
    </row>
    <row r="15090" spans="1:5">
      <c r="A15090" t="s">
        <v>43289</v>
      </c>
      <c r="B15090" t="s">
        <v>5090</v>
      </c>
      <c r="C15090">
        <f>0</f>
        <v>0</v>
      </c>
      <c r="D15090">
        <v>0.77228344991700004</v>
      </c>
      <c r="E15090">
        <v>6.8040000000000003</v>
      </c>
    </row>
    <row r="15091" spans="1:5">
      <c r="A15091" t="s">
        <v>43289</v>
      </c>
      <c r="B15091" t="s">
        <v>5088</v>
      </c>
      <c r="C15091">
        <f>0</f>
        <v>0</v>
      </c>
      <c r="D15091">
        <v>0.77228344991700004</v>
      </c>
      <c r="E15091">
        <v>6.8040000000000003</v>
      </c>
    </row>
    <row r="15092" spans="1:5">
      <c r="A15092" t="s">
        <v>43290</v>
      </c>
      <c r="B15092" t="s">
        <v>43291</v>
      </c>
      <c r="C15092">
        <v>0.72262936873000005</v>
      </c>
      <c r="D15092">
        <v>0.94178032699000003</v>
      </c>
      <c r="E15092">
        <v>0.216</v>
      </c>
    </row>
    <row r="15093" spans="1:5">
      <c r="A15093" t="s">
        <v>43290</v>
      </c>
      <c r="B15093" t="s">
        <v>43292</v>
      </c>
      <c r="C15093">
        <v>0.21301981705299999</v>
      </c>
      <c r="D15093">
        <v>0.94178032699000003</v>
      </c>
      <c r="E15093">
        <v>0.216</v>
      </c>
    </row>
    <row r="15094" spans="1:5">
      <c r="A15094" t="s">
        <v>43290</v>
      </c>
      <c r="B15094" t="s">
        <v>43293</v>
      </c>
      <c r="C15094">
        <v>0</v>
      </c>
      <c r="D15094">
        <v>0.94178032699000003</v>
      </c>
      <c r="E15094">
        <v>0.216</v>
      </c>
    </row>
    <row r="15095" spans="1:5">
      <c r="A15095" t="s">
        <v>43294</v>
      </c>
      <c r="B15095" t="s">
        <v>33373</v>
      </c>
      <c r="C15095">
        <f>0.763992778022</f>
        <v>0.76399277802200005</v>
      </c>
      <c r="D15095">
        <v>0.89185743114600002</v>
      </c>
      <c r="E15095">
        <v>24</v>
      </c>
    </row>
    <row r="15096" spans="1:5">
      <c r="A15096" t="s">
        <v>43294</v>
      </c>
      <c r="B15096" t="s">
        <v>33377</v>
      </c>
      <c r="C15096">
        <f>0.985162636548</f>
        <v>0.98516263654799996</v>
      </c>
      <c r="D15096">
        <v>0.89185743114600002</v>
      </c>
      <c r="E15096">
        <v>24</v>
      </c>
    </row>
    <row r="15097" spans="1:5">
      <c r="A15097" t="s">
        <v>43295</v>
      </c>
      <c r="B15097" t="s">
        <v>43296</v>
      </c>
      <c r="C15097">
        <f>0.327249228004</f>
        <v>0.32724922800400003</v>
      </c>
      <c r="D15097">
        <v>0.55765922800400003</v>
      </c>
      <c r="E15097">
        <v>24</v>
      </c>
    </row>
    <row r="15098" spans="1:5">
      <c r="A15098" t="s">
        <v>43295</v>
      </c>
      <c r="B15098" t="s">
        <v>43297</v>
      </c>
      <c r="C15098">
        <f>0</f>
        <v>0</v>
      </c>
      <c r="D15098">
        <v>0.55765922800400003</v>
      </c>
      <c r="E15098">
        <v>24</v>
      </c>
    </row>
    <row r="15099" spans="1:5">
      <c r="A15099" t="s">
        <v>43298</v>
      </c>
      <c r="B15099" t="s">
        <v>28234</v>
      </c>
      <c r="C15099">
        <f>0.959137363021</f>
        <v>0.95913736302099994</v>
      </c>
      <c r="D15099">
        <v>0.99908304379900004</v>
      </c>
      <c r="E15099">
        <v>24</v>
      </c>
    </row>
    <row r="15100" spans="1:5">
      <c r="A15100" t="s">
        <v>43298</v>
      </c>
      <c r="B15100" t="s">
        <v>28236</v>
      </c>
      <c r="C15100">
        <f>0.644514414439</f>
        <v>0.64451441443900004</v>
      </c>
      <c r="D15100">
        <v>0.99908304379900004</v>
      </c>
      <c r="E15100">
        <v>24</v>
      </c>
    </row>
    <row r="15101" spans="1:5">
      <c r="A15101" t="s">
        <v>43298</v>
      </c>
      <c r="B15101" t="s">
        <v>28237</v>
      </c>
      <c r="C15101">
        <v>1.29662520251</v>
      </c>
      <c r="D15101">
        <v>0.99908304379900004</v>
      </c>
      <c r="E15101">
        <v>24</v>
      </c>
    </row>
    <row r="15102" spans="1:5">
      <c r="A15102" t="s">
        <v>43298</v>
      </c>
      <c r="B15102" t="s">
        <v>28240</v>
      </c>
      <c r="C15102">
        <v>0.38251945956599998</v>
      </c>
      <c r="D15102">
        <v>0.99908304379900004</v>
      </c>
      <c r="E15102">
        <v>24</v>
      </c>
    </row>
    <row r="15103" spans="1:5">
      <c r="A15103" t="s">
        <v>43298</v>
      </c>
      <c r="B15103" t="s">
        <v>28239</v>
      </c>
      <c r="C15103">
        <f>0.0102389072577</f>
        <v>1.02389072577E-2</v>
      </c>
      <c r="D15103">
        <v>0.99908304379900004</v>
      </c>
      <c r="E15103">
        <v>24</v>
      </c>
    </row>
    <row r="15104" spans="1:5">
      <c r="A15104" t="s">
        <v>43298</v>
      </c>
      <c r="B15104" t="s">
        <v>28241</v>
      </c>
      <c r="C15104">
        <f>0.0150967925487</f>
        <v>1.50967925487E-2</v>
      </c>
      <c r="D15104">
        <v>0.99908304379900004</v>
      </c>
      <c r="E15104">
        <v>24</v>
      </c>
    </row>
    <row r="15105" spans="1:5">
      <c r="A15105" t="s">
        <v>43298</v>
      </c>
      <c r="B15105" t="s">
        <v>28238</v>
      </c>
      <c r="C15105">
        <f>0.701257389511</f>
        <v>0.70125738951100003</v>
      </c>
      <c r="D15105">
        <v>0.99908304379900004</v>
      </c>
      <c r="E15105">
        <v>24</v>
      </c>
    </row>
    <row r="15106" spans="1:5">
      <c r="A15106" t="s">
        <v>43299</v>
      </c>
      <c r="B15106" t="s">
        <v>43300</v>
      </c>
      <c r="C15106">
        <f>0</f>
        <v>0</v>
      </c>
      <c r="D15106">
        <v>0.99854832481900002</v>
      </c>
      <c r="E15106">
        <v>1.3919999999999999</v>
      </c>
    </row>
    <row r="15107" spans="1:5">
      <c r="A15107" t="s">
        <v>43299</v>
      </c>
      <c r="B15107" t="s">
        <v>43301</v>
      </c>
      <c r="C15107">
        <f>0.0237964189661</f>
        <v>2.3796418966099998E-2</v>
      </c>
      <c r="D15107">
        <v>0.99854832481900002</v>
      </c>
      <c r="E15107">
        <v>1.3919999999999999</v>
      </c>
    </row>
    <row r="15108" spans="1:5">
      <c r="A15108" t="s">
        <v>43299</v>
      </c>
      <c r="B15108" t="s">
        <v>43302</v>
      </c>
      <c r="C15108">
        <f>0.0549056949845</f>
        <v>5.49056949845E-2</v>
      </c>
      <c r="D15108">
        <v>0.99854832481900002</v>
      </c>
      <c r="E15108">
        <v>1.3919999999999999</v>
      </c>
    </row>
    <row r="15109" spans="1:5">
      <c r="A15109" t="s">
        <v>43299</v>
      </c>
      <c r="B15109" t="s">
        <v>43303</v>
      </c>
      <c r="C15109">
        <v>0</v>
      </c>
      <c r="D15109">
        <v>0.99854832481900002</v>
      </c>
      <c r="E15109">
        <v>1.3919999999999999</v>
      </c>
    </row>
    <row r="15110" spans="1:5">
      <c r="A15110" t="s">
        <v>43299</v>
      </c>
      <c r="B15110" t="s">
        <v>43304</v>
      </c>
      <c r="C15110">
        <v>0.42225021388200001</v>
      </c>
      <c r="D15110">
        <v>0.99854832481900002</v>
      </c>
      <c r="E15110">
        <v>1.3919999999999999</v>
      </c>
    </row>
    <row r="15111" spans="1:5">
      <c r="A15111" t="s">
        <v>43299</v>
      </c>
      <c r="B15111" t="s">
        <v>43305</v>
      </c>
      <c r="C15111">
        <v>0</v>
      </c>
      <c r="D15111">
        <v>0.99854832481900002</v>
      </c>
      <c r="E15111">
        <v>1.3919999999999999</v>
      </c>
    </row>
    <row r="15112" spans="1:5">
      <c r="A15112" t="s">
        <v>43299</v>
      </c>
      <c r="B15112" t="s">
        <v>43306</v>
      </c>
      <c r="C15112">
        <f>0.124269135666</f>
        <v>0.12426913566599999</v>
      </c>
      <c r="D15112">
        <v>0.99854832481900002</v>
      </c>
      <c r="E15112">
        <v>1.3919999999999999</v>
      </c>
    </row>
    <row r="15113" spans="1:5">
      <c r="A15113" t="s">
        <v>43299</v>
      </c>
      <c r="B15113" t="s">
        <v>43307</v>
      </c>
      <c r="C15113">
        <v>1.4519638121099999E-2</v>
      </c>
      <c r="D15113">
        <v>0.99854832481900002</v>
      </c>
      <c r="E15113">
        <v>1.3919999999999999</v>
      </c>
    </row>
    <row r="15114" spans="1:5">
      <c r="A15114" t="s">
        <v>43299</v>
      </c>
      <c r="B15114" t="s">
        <v>43308</v>
      </c>
      <c r="C15114">
        <v>0</v>
      </c>
      <c r="D15114">
        <v>0.99854832481900002</v>
      </c>
      <c r="E15114">
        <v>1.3919999999999999</v>
      </c>
    </row>
    <row r="15115" spans="1:5">
      <c r="A15115" t="s">
        <v>43299</v>
      </c>
      <c r="B15115" t="s">
        <v>43309</v>
      </c>
      <c r="C15115">
        <f>0</f>
        <v>0</v>
      </c>
      <c r="D15115">
        <v>0.99854832481900002</v>
      </c>
      <c r="E15115">
        <v>1.3919999999999999</v>
      </c>
    </row>
    <row r="15116" spans="1:5">
      <c r="A15116" t="s">
        <v>43299</v>
      </c>
      <c r="B15116" t="s">
        <v>43310</v>
      </c>
      <c r="C15116">
        <f>0</f>
        <v>0</v>
      </c>
      <c r="D15116">
        <v>0.99854832481900002</v>
      </c>
      <c r="E15116">
        <v>1.3919999999999999</v>
      </c>
    </row>
    <row r="15117" spans="1:5">
      <c r="A15117" t="s">
        <v>43299</v>
      </c>
      <c r="B15117" t="s">
        <v>43311</v>
      </c>
      <c r="C15117">
        <v>0</v>
      </c>
      <c r="D15117">
        <v>0.99854832481900002</v>
      </c>
      <c r="E15117">
        <v>1.3919999999999999</v>
      </c>
    </row>
    <row r="15118" spans="1:5">
      <c r="A15118" t="s">
        <v>43299</v>
      </c>
      <c r="B15118" t="s">
        <v>43312</v>
      </c>
      <c r="C15118">
        <f>0.67162651571</f>
        <v>0.67162651570999998</v>
      </c>
      <c r="D15118">
        <v>0.99854832481900002</v>
      </c>
      <c r="E15118">
        <v>1.3919999999999999</v>
      </c>
    </row>
    <row r="15119" spans="1:5">
      <c r="A15119" t="s">
        <v>43299</v>
      </c>
      <c r="B15119" t="s">
        <v>43313</v>
      </c>
      <c r="C15119">
        <v>0</v>
      </c>
      <c r="D15119">
        <v>0.99854832481900002</v>
      </c>
      <c r="E15119">
        <v>1.3919999999999999</v>
      </c>
    </row>
    <row r="15120" spans="1:5">
      <c r="A15120" t="s">
        <v>43314</v>
      </c>
      <c r="B15120" t="s">
        <v>43315</v>
      </c>
      <c r="C15120">
        <f>0.56453502766</f>
        <v>0.56453502765999997</v>
      </c>
      <c r="D15120">
        <v>0.94756284339899999</v>
      </c>
      <c r="E15120">
        <v>23.754000000000001</v>
      </c>
    </row>
    <row r="15121" spans="1:5">
      <c r="A15121" t="s">
        <v>43314</v>
      </c>
      <c r="B15121" t="s">
        <v>43316</v>
      </c>
      <c r="C15121">
        <f>0.392660894941</f>
        <v>0.39266089494099998</v>
      </c>
      <c r="D15121">
        <v>0.94756284339899999</v>
      </c>
      <c r="E15121">
        <v>23.754000000000001</v>
      </c>
    </row>
    <row r="15122" spans="1:5">
      <c r="A15122" t="s">
        <v>43314</v>
      </c>
      <c r="B15122" t="s">
        <v>43317</v>
      </c>
      <c r="C15122">
        <v>0.78878439429400005</v>
      </c>
      <c r="D15122">
        <v>0.94756284339899999</v>
      </c>
      <c r="E15122">
        <v>23.754000000000001</v>
      </c>
    </row>
    <row r="15123" spans="1:5">
      <c r="A15123" t="s">
        <v>43318</v>
      </c>
      <c r="B15123" t="s">
        <v>1277</v>
      </c>
      <c r="C15123">
        <v>1.03595853236</v>
      </c>
      <c r="D15123">
        <v>0.94911252368400001</v>
      </c>
      <c r="E15123">
        <v>4.5839999999999996</v>
      </c>
    </row>
    <row r="15124" spans="1:5">
      <c r="A15124" t="s">
        <v>43318</v>
      </c>
      <c r="B15124" t="s">
        <v>1279</v>
      </c>
      <c r="C15124">
        <v>0.243369877165</v>
      </c>
      <c r="D15124">
        <v>0.94911252368400001</v>
      </c>
      <c r="E15124">
        <v>4.5839999999999996</v>
      </c>
    </row>
    <row r="15125" spans="1:5">
      <c r="A15125" t="s">
        <v>43318</v>
      </c>
      <c r="B15125" t="s">
        <v>1280</v>
      </c>
      <c r="C15125">
        <f>0.427195391636</f>
        <v>0.42719539163600001</v>
      </c>
      <c r="D15125">
        <v>0.94911252368400001</v>
      </c>
      <c r="E15125">
        <v>4.5839999999999996</v>
      </c>
    </row>
    <row r="15126" spans="1:5">
      <c r="A15126" t="s">
        <v>43319</v>
      </c>
      <c r="B15126" t="s">
        <v>2166</v>
      </c>
      <c r="C15126">
        <v>0</v>
      </c>
      <c r="D15126" t="s">
        <v>106</v>
      </c>
      <c r="E15126">
        <v>10.08</v>
      </c>
    </row>
    <row r="15127" spans="1:5">
      <c r="A15127" t="s">
        <v>43319</v>
      </c>
      <c r="B15127" t="s">
        <v>2168</v>
      </c>
      <c r="C15127">
        <f>0</f>
        <v>0</v>
      </c>
      <c r="D15127" t="s">
        <v>106</v>
      </c>
      <c r="E15127">
        <v>10.08</v>
      </c>
    </row>
    <row r="15128" spans="1:5">
      <c r="A15128" t="s">
        <v>43319</v>
      </c>
      <c r="B15128" t="s">
        <v>2167</v>
      </c>
      <c r="C15128">
        <f>0</f>
        <v>0</v>
      </c>
      <c r="D15128" t="s">
        <v>106</v>
      </c>
      <c r="E15128">
        <v>10.08</v>
      </c>
    </row>
    <row r="15129" spans="1:5">
      <c r="A15129" t="s">
        <v>43320</v>
      </c>
      <c r="B15129" t="s">
        <v>13454</v>
      </c>
      <c r="C15129">
        <v>0.52305050178400003</v>
      </c>
      <c r="D15129">
        <v>0.99997970615099996</v>
      </c>
      <c r="E15129">
        <v>8.4359999999999999</v>
      </c>
    </row>
    <row r="15130" spans="1:5">
      <c r="A15130" t="s">
        <v>43320</v>
      </c>
      <c r="B15130" t="s">
        <v>13451</v>
      </c>
      <c r="C15130">
        <f>-1.05496203374</f>
        <v>-1.0549620337400001</v>
      </c>
      <c r="D15130">
        <v>0.99997970615099996</v>
      </c>
      <c r="E15130">
        <v>8.4359999999999999</v>
      </c>
    </row>
    <row r="15131" spans="1:5">
      <c r="A15131" t="s">
        <v>43320</v>
      </c>
      <c r="B15131" t="s">
        <v>13452</v>
      </c>
      <c r="C15131">
        <v>0.42229395114399998</v>
      </c>
      <c r="D15131">
        <v>0.99997970615099996</v>
      </c>
      <c r="E15131">
        <v>8.4359999999999999</v>
      </c>
    </row>
    <row r="15132" spans="1:5">
      <c r="A15132" t="s">
        <v>43320</v>
      </c>
      <c r="B15132" t="s">
        <v>13456</v>
      </c>
      <c r="C15132">
        <v>0.616150181229</v>
      </c>
      <c r="D15132">
        <v>0.99997970615099996</v>
      </c>
      <c r="E15132">
        <v>8.4359999999999999</v>
      </c>
    </row>
    <row r="15133" spans="1:5">
      <c r="A15133" t="s">
        <v>43320</v>
      </c>
      <c r="B15133" t="s">
        <v>13453</v>
      </c>
      <c r="C15133">
        <v>0.54702072724799999</v>
      </c>
      <c r="D15133">
        <v>0.99997970615099996</v>
      </c>
      <c r="E15133">
        <v>8.4359999999999999</v>
      </c>
    </row>
    <row r="15134" spans="1:5">
      <c r="A15134" t="s">
        <v>43320</v>
      </c>
      <c r="B15134" t="s">
        <v>13455</v>
      </c>
      <c r="C15134">
        <f>0.20257294859</f>
        <v>0.20257294859</v>
      </c>
      <c r="D15134">
        <v>0.99997970615099996</v>
      </c>
      <c r="E15134">
        <v>8.4359999999999999</v>
      </c>
    </row>
    <row r="15135" spans="1:5">
      <c r="A15135" t="s">
        <v>43320</v>
      </c>
      <c r="B15135" t="s">
        <v>13457</v>
      </c>
      <c r="C15135">
        <v>0.72537373246699999</v>
      </c>
      <c r="D15135">
        <v>0.99997970615099996</v>
      </c>
      <c r="E15135">
        <v>8.4359999999999999</v>
      </c>
    </row>
    <row r="15136" spans="1:5">
      <c r="A15136" t="s">
        <v>43321</v>
      </c>
      <c r="B15136" t="s">
        <v>10282</v>
      </c>
      <c r="C15136">
        <v>0</v>
      </c>
      <c r="D15136">
        <v>0.73971120125900003</v>
      </c>
      <c r="E15136">
        <v>1.3919999999999999</v>
      </c>
    </row>
    <row r="15137" spans="1:5">
      <c r="A15137" t="s">
        <v>43321</v>
      </c>
      <c r="B15137" t="s">
        <v>10284</v>
      </c>
      <c r="C15137">
        <v>0.42610120125899997</v>
      </c>
      <c r="D15137">
        <v>0.73971120125900003</v>
      </c>
      <c r="E15137">
        <v>1.3919999999999999</v>
      </c>
    </row>
    <row r="15138" spans="1:5">
      <c r="A15138" t="s">
        <v>43321</v>
      </c>
      <c r="B15138" t="s">
        <v>10283</v>
      </c>
      <c r="C15138">
        <f>0</f>
        <v>0</v>
      </c>
      <c r="D15138">
        <v>0.73971120125900003</v>
      </c>
      <c r="E15138">
        <v>1.3919999999999999</v>
      </c>
    </row>
    <row r="15139" spans="1:5">
      <c r="A15139" t="s">
        <v>43322</v>
      </c>
      <c r="B15139" t="s">
        <v>23236</v>
      </c>
      <c r="C15139">
        <v>0</v>
      </c>
      <c r="D15139" t="s">
        <v>106</v>
      </c>
      <c r="E15139">
        <v>18.347999999999999</v>
      </c>
    </row>
    <row r="15140" spans="1:5">
      <c r="A15140" t="s">
        <v>43322</v>
      </c>
      <c r="B15140" t="s">
        <v>23233</v>
      </c>
      <c r="C15140">
        <f>0</f>
        <v>0</v>
      </c>
      <c r="D15140" t="s">
        <v>106</v>
      </c>
      <c r="E15140">
        <v>18.347999999999999</v>
      </c>
    </row>
    <row r="15141" spans="1:5">
      <c r="A15141" t="s">
        <v>43322</v>
      </c>
      <c r="B15141" t="s">
        <v>23234</v>
      </c>
      <c r="C15141">
        <f>0</f>
        <v>0</v>
      </c>
      <c r="D15141" t="s">
        <v>106</v>
      </c>
      <c r="E15141">
        <v>18.347999999999999</v>
      </c>
    </row>
    <row r="15142" spans="1:5">
      <c r="A15142" t="s">
        <v>43323</v>
      </c>
      <c r="B15142" t="s">
        <v>43324</v>
      </c>
      <c r="C15142">
        <f>0.105277087985</f>
        <v>0.105277087985</v>
      </c>
      <c r="D15142">
        <v>0.97923235476600001</v>
      </c>
      <c r="E15142">
        <v>0</v>
      </c>
    </row>
    <row r="15143" spans="1:5">
      <c r="A15143" t="s">
        <v>43323</v>
      </c>
      <c r="B15143" t="s">
        <v>43325</v>
      </c>
      <c r="C15143">
        <f>0</f>
        <v>0</v>
      </c>
      <c r="D15143">
        <v>0.97923235476600001</v>
      </c>
      <c r="E15143">
        <v>0</v>
      </c>
    </row>
    <row r="15144" spans="1:5">
      <c r="A15144" t="s">
        <v>43323</v>
      </c>
      <c r="B15144" t="s">
        <v>43326</v>
      </c>
      <c r="C15144">
        <f>0</f>
        <v>0</v>
      </c>
      <c r="D15144">
        <v>0.97923235476600001</v>
      </c>
      <c r="E15144">
        <v>0</v>
      </c>
    </row>
    <row r="15145" spans="1:5">
      <c r="A15145" t="s">
        <v>43323</v>
      </c>
      <c r="B15145" t="s">
        <v>43327</v>
      </c>
      <c r="C15145">
        <v>0.26100123611300002</v>
      </c>
      <c r="D15145">
        <v>0.97923235476600001</v>
      </c>
      <c r="E15145">
        <v>0</v>
      </c>
    </row>
    <row r="15146" spans="1:5">
      <c r="A15146" t="s">
        <v>43323</v>
      </c>
      <c r="B15146" t="s">
        <v>43328</v>
      </c>
      <c r="C15146">
        <v>0</v>
      </c>
      <c r="D15146">
        <v>0.97923235476600001</v>
      </c>
      <c r="E15146">
        <v>0</v>
      </c>
    </row>
    <row r="15147" spans="1:5">
      <c r="A15147" t="s">
        <v>43323</v>
      </c>
      <c r="B15147" t="s">
        <v>43329</v>
      </c>
      <c r="C15147">
        <f>0.712538848034</f>
        <v>0.71253884803400003</v>
      </c>
      <c r="D15147">
        <v>0.97923235476600001</v>
      </c>
      <c r="E15147">
        <v>0</v>
      </c>
    </row>
    <row r="15148" spans="1:5">
      <c r="A15148" t="s">
        <v>43323</v>
      </c>
      <c r="B15148" t="s">
        <v>43330</v>
      </c>
      <c r="C15148">
        <v>0.33202981099899997</v>
      </c>
      <c r="D15148">
        <v>0.97923235476600001</v>
      </c>
      <c r="E15148">
        <v>0</v>
      </c>
    </row>
    <row r="15149" spans="1:5">
      <c r="A15149" t="s">
        <v>43323</v>
      </c>
      <c r="B15149" t="s">
        <v>43331</v>
      </c>
      <c r="C15149">
        <f>0.208458621933</f>
        <v>0.20845862193299999</v>
      </c>
      <c r="D15149">
        <v>0.97923235476600001</v>
      </c>
      <c r="E15149">
        <v>0</v>
      </c>
    </row>
    <row r="15150" spans="1:5">
      <c r="A15150" t="s">
        <v>43332</v>
      </c>
      <c r="B15150" t="s">
        <v>43333</v>
      </c>
      <c r="C15150">
        <v>0.360398481258</v>
      </c>
      <c r="D15150">
        <v>0.94149731407199999</v>
      </c>
      <c r="E15150">
        <v>10.878</v>
      </c>
    </row>
    <row r="15151" spans="1:5">
      <c r="A15151" t="s">
        <v>43332</v>
      </c>
      <c r="B15151" t="s">
        <v>43334</v>
      </c>
      <c r="C15151">
        <v>0</v>
      </c>
      <c r="D15151">
        <v>0.94149731407199999</v>
      </c>
      <c r="E15151">
        <v>10.878</v>
      </c>
    </row>
    <row r="15152" spans="1:5">
      <c r="A15152" t="s">
        <v>43332</v>
      </c>
      <c r="B15152" t="s">
        <v>43335</v>
      </c>
      <c r="C15152">
        <v>0</v>
      </c>
      <c r="D15152">
        <v>0.94149731407199999</v>
      </c>
      <c r="E15152">
        <v>10.878</v>
      </c>
    </row>
    <row r="15153" spans="1:5">
      <c r="A15153" t="s">
        <v>43332</v>
      </c>
      <c r="B15153" t="s">
        <v>43336</v>
      </c>
      <c r="C15153">
        <v>0.24781385371600001</v>
      </c>
      <c r="D15153">
        <v>0.94149731407199999</v>
      </c>
      <c r="E15153">
        <v>10.878</v>
      </c>
    </row>
    <row r="15154" spans="1:5">
      <c r="A15154" t="s">
        <v>43332</v>
      </c>
      <c r="B15154" t="s">
        <v>43337</v>
      </c>
      <c r="C15154">
        <f>0.44516383732</f>
        <v>0.44516383731999998</v>
      </c>
      <c r="D15154">
        <v>0.94149731407199999</v>
      </c>
      <c r="E15154">
        <v>10.878</v>
      </c>
    </row>
    <row r="15155" spans="1:5">
      <c r="A15155" t="s">
        <v>43338</v>
      </c>
      <c r="B15155" t="s">
        <v>30305</v>
      </c>
      <c r="C15155">
        <v>0.79819064349500002</v>
      </c>
      <c r="D15155">
        <v>0.98105260134700001</v>
      </c>
      <c r="E15155">
        <v>10.242000000000001</v>
      </c>
    </row>
    <row r="15156" spans="1:5">
      <c r="A15156" t="s">
        <v>43338</v>
      </c>
      <c r="B15156" t="s">
        <v>30314</v>
      </c>
      <c r="C15156">
        <f>0.804247712269</f>
        <v>0.80424771226900005</v>
      </c>
      <c r="D15156">
        <v>0.98105260134700001</v>
      </c>
      <c r="E15156">
        <v>10.242000000000001</v>
      </c>
    </row>
    <row r="15157" spans="1:5">
      <c r="A15157" t="s">
        <v>43338</v>
      </c>
      <c r="B15157" t="s">
        <v>30293</v>
      </c>
      <c r="C15157">
        <v>6.5330205497399998E-2</v>
      </c>
      <c r="D15157">
        <v>0.98105260134700001</v>
      </c>
      <c r="E15157">
        <v>10.242000000000001</v>
      </c>
    </row>
    <row r="15158" spans="1:5">
      <c r="A15158" t="s">
        <v>43338</v>
      </c>
      <c r="B15158" t="s">
        <v>30308</v>
      </c>
      <c r="C15158">
        <v>0.65714261087500003</v>
      </c>
      <c r="D15158">
        <v>0.98105260134700001</v>
      </c>
      <c r="E15158">
        <v>10.242000000000001</v>
      </c>
    </row>
    <row r="15159" spans="1:5">
      <c r="A15159" t="s">
        <v>43338</v>
      </c>
      <c r="B15159" t="s">
        <v>30294</v>
      </c>
      <c r="C15159">
        <f>0</f>
        <v>0</v>
      </c>
      <c r="D15159">
        <v>0.98105260134700001</v>
      </c>
      <c r="E15159">
        <v>10.242000000000001</v>
      </c>
    </row>
    <row r="15160" spans="1:5">
      <c r="A15160" t="s">
        <v>43338</v>
      </c>
      <c r="B15160" t="s">
        <v>30309</v>
      </c>
      <c r="C15160">
        <f>0</f>
        <v>0</v>
      </c>
      <c r="D15160">
        <v>0.98105260134700001</v>
      </c>
      <c r="E15160">
        <v>10.242000000000001</v>
      </c>
    </row>
    <row r="15161" spans="1:5">
      <c r="A15161" t="s">
        <v>43338</v>
      </c>
      <c r="B15161" t="s">
        <v>30298</v>
      </c>
      <c r="C15161">
        <f>0.680267320705</f>
        <v>0.68026732070499996</v>
      </c>
      <c r="D15161">
        <v>0.98105260134700001</v>
      </c>
      <c r="E15161">
        <v>10.242000000000001</v>
      </c>
    </row>
    <row r="15162" spans="1:5">
      <c r="A15162" t="s">
        <v>43338</v>
      </c>
      <c r="B15162" t="s">
        <v>30297</v>
      </c>
      <c r="C15162">
        <v>0</v>
      </c>
      <c r="D15162">
        <v>0.98105260134700001</v>
      </c>
      <c r="E15162">
        <v>10.242000000000001</v>
      </c>
    </row>
    <row r="15163" spans="1:5">
      <c r="A15163" t="s">
        <v>43339</v>
      </c>
      <c r="B15163" t="s">
        <v>32626</v>
      </c>
      <c r="C15163">
        <v>9.67974576512E-2</v>
      </c>
      <c r="D15163">
        <v>0.50640745765100004</v>
      </c>
      <c r="E15163">
        <v>24</v>
      </c>
    </row>
    <row r="15164" spans="1:5">
      <c r="A15164" t="s">
        <v>43339</v>
      </c>
      <c r="B15164" t="s">
        <v>32627</v>
      </c>
      <c r="C15164">
        <f>0</f>
        <v>0</v>
      </c>
      <c r="D15164">
        <v>0.50640745765100004</v>
      </c>
      <c r="E15164">
        <v>24</v>
      </c>
    </row>
    <row r="15165" spans="1:5">
      <c r="A15165" t="s">
        <v>43339</v>
      </c>
      <c r="B15165" t="s">
        <v>32629</v>
      </c>
      <c r="C15165">
        <f>0</f>
        <v>0</v>
      </c>
      <c r="D15165">
        <v>0.50640745765100004</v>
      </c>
      <c r="E15165">
        <v>24</v>
      </c>
    </row>
    <row r="15166" spans="1:5">
      <c r="A15166" t="s">
        <v>43339</v>
      </c>
      <c r="B15166" t="s">
        <v>32630</v>
      </c>
      <c r="C15166">
        <f>0</f>
        <v>0</v>
      </c>
      <c r="D15166">
        <v>0.50640745765100004</v>
      </c>
      <c r="E15166">
        <v>24</v>
      </c>
    </row>
    <row r="15167" spans="1:5">
      <c r="A15167" t="s">
        <v>43339</v>
      </c>
      <c r="B15167" t="s">
        <v>32625</v>
      </c>
      <c r="C15167">
        <f>0</f>
        <v>0</v>
      </c>
      <c r="D15167">
        <v>0.50640745765100004</v>
      </c>
      <c r="E15167">
        <v>24</v>
      </c>
    </row>
    <row r="15168" spans="1:5">
      <c r="A15168" t="s">
        <v>43339</v>
      </c>
      <c r="B15168" t="s">
        <v>32624</v>
      </c>
      <c r="C15168">
        <v>0</v>
      </c>
      <c r="D15168">
        <v>0.50640745765100004</v>
      </c>
      <c r="E15168">
        <v>24</v>
      </c>
    </row>
    <row r="15169" spans="1:5">
      <c r="A15169" t="s">
        <v>43340</v>
      </c>
      <c r="B15169" t="s">
        <v>33293</v>
      </c>
      <c r="C15169">
        <f>0.770364646169</f>
        <v>0.77036464616900002</v>
      </c>
      <c r="D15169">
        <v>0.98367398036999998</v>
      </c>
      <c r="E15169">
        <v>2.4780000000000002</v>
      </c>
    </row>
    <row r="15170" spans="1:5">
      <c r="A15170" t="s">
        <v>43340</v>
      </c>
      <c r="B15170" t="s">
        <v>33300</v>
      </c>
      <c r="C15170">
        <v>0.18847593902099999</v>
      </c>
      <c r="D15170">
        <v>0.98367398036999998</v>
      </c>
      <c r="E15170">
        <v>2.4780000000000002</v>
      </c>
    </row>
    <row r="15171" spans="1:5">
      <c r="A15171" t="s">
        <v>43340</v>
      </c>
      <c r="B15171" t="s">
        <v>33296</v>
      </c>
      <c r="C15171">
        <f>0.292882245806</f>
        <v>0.29288224580599997</v>
      </c>
      <c r="D15171">
        <v>0.98367398036999998</v>
      </c>
      <c r="E15171">
        <v>2.4780000000000002</v>
      </c>
    </row>
    <row r="15172" spans="1:5">
      <c r="A15172" t="s">
        <v>43340</v>
      </c>
      <c r="B15172" t="s">
        <v>33295</v>
      </c>
      <c r="C15172">
        <v>0.54269875052299998</v>
      </c>
      <c r="D15172">
        <v>0.98367398036999998</v>
      </c>
      <c r="E15172">
        <v>2.4780000000000002</v>
      </c>
    </row>
    <row r="15173" spans="1:5">
      <c r="A15173" t="s">
        <v>43340</v>
      </c>
      <c r="B15173" t="s">
        <v>33294</v>
      </c>
      <c r="C15173">
        <f>0.322326874295</f>
        <v>0.32232687429500001</v>
      </c>
      <c r="D15173">
        <v>0.98367398036999998</v>
      </c>
      <c r="E15173">
        <v>2.4780000000000002</v>
      </c>
    </row>
    <row r="15174" spans="1:5">
      <c r="A15174" t="s">
        <v>43340</v>
      </c>
      <c r="B15174" t="s">
        <v>33299</v>
      </c>
      <c r="C15174">
        <f>-1.01817433016</f>
        <v>-1.0181743301599999</v>
      </c>
      <c r="D15174">
        <v>0.98367398036999998</v>
      </c>
      <c r="E15174">
        <v>2.4780000000000002</v>
      </c>
    </row>
    <row r="15175" spans="1:5">
      <c r="A15175" t="s">
        <v>43341</v>
      </c>
      <c r="B15175" t="s">
        <v>18816</v>
      </c>
      <c r="C15175">
        <v>0</v>
      </c>
      <c r="D15175" t="s">
        <v>106</v>
      </c>
      <c r="E15175">
        <v>24</v>
      </c>
    </row>
    <row r="15176" spans="1:5">
      <c r="A15176" t="s">
        <v>43341</v>
      </c>
      <c r="B15176" t="s">
        <v>18815</v>
      </c>
      <c r="C15176">
        <v>0</v>
      </c>
      <c r="D15176" t="s">
        <v>106</v>
      </c>
      <c r="E15176">
        <v>24</v>
      </c>
    </row>
    <row r="15177" spans="1:5">
      <c r="A15177" t="s">
        <v>43341</v>
      </c>
      <c r="B15177" t="s">
        <v>18820</v>
      </c>
      <c r="C15177">
        <v>0</v>
      </c>
      <c r="D15177" t="s">
        <v>106</v>
      </c>
      <c r="E15177">
        <v>24</v>
      </c>
    </row>
    <row r="15178" spans="1:5">
      <c r="A15178" t="s">
        <v>43342</v>
      </c>
      <c r="B15178" t="s">
        <v>22065</v>
      </c>
      <c r="C15178">
        <v>0.78983625567000004</v>
      </c>
      <c r="D15178">
        <v>0.96397366899699999</v>
      </c>
      <c r="E15178">
        <v>6.06</v>
      </c>
    </row>
    <row r="15179" spans="1:5">
      <c r="A15179" t="s">
        <v>43342</v>
      </c>
      <c r="B15179" t="s">
        <v>22068</v>
      </c>
      <c r="C15179">
        <v>1.3978251125900001</v>
      </c>
      <c r="D15179">
        <v>0.96397366899699999</v>
      </c>
      <c r="E15179">
        <v>6.06</v>
      </c>
    </row>
    <row r="15180" spans="1:5">
      <c r="A15180" t="s">
        <v>43342</v>
      </c>
      <c r="B15180" t="s">
        <v>22067</v>
      </c>
      <c r="C15180">
        <f>0</f>
        <v>0</v>
      </c>
      <c r="D15180">
        <v>0.96397366899699999</v>
      </c>
      <c r="E15180">
        <v>6.06</v>
      </c>
    </row>
    <row r="15181" spans="1:5">
      <c r="A15181" t="s">
        <v>43343</v>
      </c>
      <c r="B15181" t="s">
        <v>31092</v>
      </c>
      <c r="C15181">
        <v>0.30165374492699998</v>
      </c>
      <c r="D15181">
        <v>0.99858143807800004</v>
      </c>
      <c r="E15181">
        <v>10.715999999999999</v>
      </c>
    </row>
    <row r="15182" spans="1:5">
      <c r="A15182" t="s">
        <v>43343</v>
      </c>
      <c r="B15182" t="s">
        <v>31101</v>
      </c>
      <c r="C15182">
        <v>1.16024279684</v>
      </c>
      <c r="D15182">
        <v>0.99858143807800004</v>
      </c>
      <c r="E15182">
        <v>10.715999999999999</v>
      </c>
    </row>
    <row r="15183" spans="1:5">
      <c r="A15183" t="s">
        <v>43343</v>
      </c>
      <c r="B15183" t="s">
        <v>31094</v>
      </c>
      <c r="C15183">
        <v>0.58729853751899996</v>
      </c>
      <c r="D15183">
        <v>0.99858143807800004</v>
      </c>
      <c r="E15183">
        <v>10.715999999999999</v>
      </c>
    </row>
    <row r="15184" spans="1:5">
      <c r="A15184" t="s">
        <v>43343</v>
      </c>
      <c r="B15184" t="s">
        <v>31096</v>
      </c>
      <c r="C15184">
        <f>-1.02207101614</f>
        <v>-1.02207101614</v>
      </c>
      <c r="D15184">
        <v>0.99858143807800004</v>
      </c>
      <c r="E15184">
        <v>10.715999999999999</v>
      </c>
    </row>
    <row r="15185" spans="1:5">
      <c r="A15185" t="s">
        <v>43343</v>
      </c>
      <c r="B15185" t="s">
        <v>31095</v>
      </c>
      <c r="C15185">
        <f>0.683930792345</f>
        <v>0.68393079234499998</v>
      </c>
      <c r="D15185">
        <v>0.99858143807800004</v>
      </c>
      <c r="E15185">
        <v>10.715999999999999</v>
      </c>
    </row>
    <row r="15186" spans="1:5">
      <c r="A15186" t="s">
        <v>43343</v>
      </c>
      <c r="B15186" t="s">
        <v>31100</v>
      </c>
      <c r="C15186">
        <f>-1.36050665415</f>
        <v>-1.3605066541499999</v>
      </c>
      <c r="D15186">
        <v>0.99858143807800004</v>
      </c>
      <c r="E15186">
        <v>10.715999999999999</v>
      </c>
    </row>
    <row r="15187" spans="1:5">
      <c r="A15187" t="s">
        <v>43344</v>
      </c>
      <c r="B15187" t="s">
        <v>7896</v>
      </c>
      <c r="C15187">
        <v>0</v>
      </c>
      <c r="D15187" t="s">
        <v>106</v>
      </c>
      <c r="E15187">
        <v>0.87</v>
      </c>
    </row>
    <row r="15188" spans="1:5">
      <c r="A15188" t="s">
        <v>43344</v>
      </c>
      <c r="B15188" t="s">
        <v>7898</v>
      </c>
      <c r="C15188">
        <v>0</v>
      </c>
      <c r="D15188" t="s">
        <v>106</v>
      </c>
      <c r="E15188">
        <v>0.87</v>
      </c>
    </row>
    <row r="15189" spans="1:5">
      <c r="A15189" t="s">
        <v>43345</v>
      </c>
      <c r="B15189" t="s">
        <v>31791</v>
      </c>
      <c r="C15189">
        <f>0</f>
        <v>0</v>
      </c>
      <c r="D15189" t="s">
        <v>106</v>
      </c>
      <c r="E15189">
        <v>0.438</v>
      </c>
    </row>
    <row r="15190" spans="1:5">
      <c r="A15190" t="s">
        <v>43345</v>
      </c>
      <c r="B15190" t="s">
        <v>31800</v>
      </c>
      <c r="C15190">
        <v>0</v>
      </c>
      <c r="D15190" t="s">
        <v>106</v>
      </c>
      <c r="E15190">
        <v>0.438</v>
      </c>
    </row>
    <row r="15191" spans="1:5">
      <c r="A15191" t="s">
        <v>43345</v>
      </c>
      <c r="B15191" t="s">
        <v>31797</v>
      </c>
      <c r="C15191">
        <v>0</v>
      </c>
      <c r="D15191" t="s">
        <v>106</v>
      </c>
      <c r="E15191">
        <v>0.438</v>
      </c>
    </row>
    <row r="15192" spans="1:5">
      <c r="A15192" t="s">
        <v>43346</v>
      </c>
      <c r="B15192" t="s">
        <v>43347</v>
      </c>
      <c r="C15192">
        <f>0</f>
        <v>0</v>
      </c>
      <c r="D15192">
        <v>0.95303795150000004</v>
      </c>
      <c r="E15192">
        <v>7.0679999999999996</v>
      </c>
    </row>
    <row r="15193" spans="1:5">
      <c r="A15193" t="s">
        <v>43346</v>
      </c>
      <c r="B15193" t="s">
        <v>43348</v>
      </c>
      <c r="C15193">
        <v>1.53512316257E-2</v>
      </c>
      <c r="D15193">
        <v>0.95303795150000004</v>
      </c>
      <c r="E15193">
        <v>7.0679999999999996</v>
      </c>
    </row>
    <row r="15194" spans="1:5">
      <c r="A15194" t="s">
        <v>43346</v>
      </c>
      <c r="B15194" t="s">
        <v>43349</v>
      </c>
      <c r="C15194">
        <v>0</v>
      </c>
      <c r="D15194">
        <v>0.95303795150000004</v>
      </c>
      <c r="E15194">
        <v>7.0679999999999996</v>
      </c>
    </row>
    <row r="15195" spans="1:5">
      <c r="A15195" t="s">
        <v>43346</v>
      </c>
      <c r="B15195" t="s">
        <v>43350</v>
      </c>
      <c r="C15195">
        <v>0.98522451453500004</v>
      </c>
      <c r="D15195">
        <v>0.95303795150000004</v>
      </c>
      <c r="E15195">
        <v>7.0679999999999996</v>
      </c>
    </row>
    <row r="15196" spans="1:5">
      <c r="A15196" t="s">
        <v>43346</v>
      </c>
      <c r="B15196" t="s">
        <v>43351</v>
      </c>
      <c r="C15196">
        <f>0</f>
        <v>0</v>
      </c>
      <c r="D15196">
        <v>0.95303795150000004</v>
      </c>
      <c r="E15196">
        <v>7.0679999999999996</v>
      </c>
    </row>
    <row r="15197" spans="1:5">
      <c r="A15197" t="s">
        <v>43346</v>
      </c>
      <c r="B15197" t="s">
        <v>43352</v>
      </c>
      <c r="C15197">
        <f>0</f>
        <v>0</v>
      </c>
      <c r="D15197">
        <v>0.95303795150000004</v>
      </c>
      <c r="E15197">
        <v>7.0679999999999996</v>
      </c>
    </row>
    <row r="15198" spans="1:5">
      <c r="A15198" t="s">
        <v>43346</v>
      </c>
      <c r="B15198" t="s">
        <v>43353</v>
      </c>
      <c r="C15198">
        <v>0</v>
      </c>
      <c r="D15198">
        <v>0.95303795150000004</v>
      </c>
      <c r="E15198">
        <v>7.0679999999999996</v>
      </c>
    </row>
    <row r="15199" spans="1:5">
      <c r="A15199" t="s">
        <v>43346</v>
      </c>
      <c r="B15199" t="s">
        <v>43354</v>
      </c>
      <c r="C15199">
        <f>0.45733866414</f>
        <v>0.45733866414000002</v>
      </c>
      <c r="D15199">
        <v>0.95303795150000004</v>
      </c>
      <c r="E15199">
        <v>7.0679999999999996</v>
      </c>
    </row>
    <row r="15200" spans="1:5">
      <c r="A15200" t="s">
        <v>43346</v>
      </c>
      <c r="B15200" t="s">
        <v>43355</v>
      </c>
      <c r="C15200">
        <f>0.121651244631</f>
        <v>0.12165124463099999</v>
      </c>
      <c r="D15200">
        <v>0.95303795150000004</v>
      </c>
      <c r="E15200">
        <v>7.0679999999999996</v>
      </c>
    </row>
    <row r="15201" spans="1:5">
      <c r="A15201" t="s">
        <v>43346</v>
      </c>
      <c r="B15201" t="s">
        <v>43356</v>
      </c>
      <c r="C15201">
        <f>0</f>
        <v>0</v>
      </c>
      <c r="D15201">
        <v>0.95303795150000004</v>
      </c>
      <c r="E15201">
        <v>7.0679999999999996</v>
      </c>
    </row>
    <row r="15202" spans="1:5">
      <c r="A15202" t="s">
        <v>43357</v>
      </c>
      <c r="B15202" t="s">
        <v>10859</v>
      </c>
      <c r="C15202">
        <v>0</v>
      </c>
      <c r="D15202">
        <v>0.85016947657200004</v>
      </c>
      <c r="E15202">
        <v>22.806000000000001</v>
      </c>
    </row>
    <row r="15203" spans="1:5">
      <c r="A15203" t="s">
        <v>43357</v>
      </c>
      <c r="B15203" t="s">
        <v>43358</v>
      </c>
      <c r="C15203">
        <v>9.4119525763000006E-2</v>
      </c>
      <c r="D15203">
        <v>0.85016947657200004</v>
      </c>
      <c r="E15203">
        <v>22.806000000000001</v>
      </c>
    </row>
    <row r="15204" spans="1:5">
      <c r="A15204" t="s">
        <v>43357</v>
      </c>
      <c r="B15204" t="s">
        <v>10860</v>
      </c>
      <c r="C15204">
        <v>0.70778250178500002</v>
      </c>
      <c r="D15204">
        <v>0.85016947657200004</v>
      </c>
      <c r="E15204">
        <v>22.806000000000001</v>
      </c>
    </row>
    <row r="15205" spans="1:5">
      <c r="A15205" t="s">
        <v>43357</v>
      </c>
      <c r="B15205" t="s">
        <v>10858</v>
      </c>
      <c r="C15205">
        <v>0</v>
      </c>
      <c r="D15205">
        <v>0.85016947657200004</v>
      </c>
      <c r="E15205">
        <v>22.806000000000001</v>
      </c>
    </row>
    <row r="15206" spans="1:5">
      <c r="A15206" t="s">
        <v>43359</v>
      </c>
      <c r="B15206" t="s">
        <v>43360</v>
      </c>
      <c r="C15206">
        <f>0.760581657826</f>
        <v>0.76058165782599996</v>
      </c>
      <c r="D15206">
        <v>0.79207839385599998</v>
      </c>
      <c r="E15206">
        <v>14.555999999999999</v>
      </c>
    </row>
    <row r="15207" spans="1:5">
      <c r="A15207" t="s">
        <v>43359</v>
      </c>
      <c r="B15207" t="s">
        <v>43361</v>
      </c>
      <c r="C15207">
        <v>0.57989143264300003</v>
      </c>
      <c r="D15207">
        <v>0.79207839385599998</v>
      </c>
      <c r="E15207">
        <v>14.555999999999999</v>
      </c>
    </row>
    <row r="15208" spans="1:5">
      <c r="A15208" t="s">
        <v>43362</v>
      </c>
      <c r="B15208" t="s">
        <v>24538</v>
      </c>
      <c r="C15208">
        <v>0</v>
      </c>
      <c r="D15208" t="s">
        <v>106</v>
      </c>
      <c r="E15208">
        <v>18.768000000000001</v>
      </c>
    </row>
    <row r="15209" spans="1:5">
      <c r="A15209" t="s">
        <v>43362</v>
      </c>
      <c r="B15209" t="s">
        <v>24544</v>
      </c>
      <c r="C15209">
        <v>0</v>
      </c>
      <c r="D15209" t="s">
        <v>106</v>
      </c>
      <c r="E15209">
        <v>18.768000000000001</v>
      </c>
    </row>
    <row r="15210" spans="1:5">
      <c r="A15210" t="s">
        <v>43362</v>
      </c>
      <c r="B15210" t="s">
        <v>24547</v>
      </c>
      <c r="C15210">
        <v>0</v>
      </c>
      <c r="D15210" t="s">
        <v>106</v>
      </c>
      <c r="E15210">
        <v>18.768000000000001</v>
      </c>
    </row>
    <row r="15211" spans="1:5">
      <c r="A15211" t="s">
        <v>43362</v>
      </c>
      <c r="B15211" t="s">
        <v>24542</v>
      </c>
      <c r="C15211">
        <v>0</v>
      </c>
      <c r="D15211" t="s">
        <v>106</v>
      </c>
      <c r="E15211">
        <v>18.768000000000001</v>
      </c>
    </row>
    <row r="15212" spans="1:5">
      <c r="A15212" t="s">
        <v>43362</v>
      </c>
      <c r="B15212" t="s">
        <v>24540</v>
      </c>
      <c r="C15212">
        <v>0</v>
      </c>
      <c r="D15212" t="s">
        <v>106</v>
      </c>
      <c r="E15212">
        <v>18.768000000000001</v>
      </c>
    </row>
    <row r="15213" spans="1:5">
      <c r="A15213" t="s">
        <v>43362</v>
      </c>
      <c r="B15213" t="s">
        <v>24545</v>
      </c>
      <c r="C15213">
        <v>0</v>
      </c>
      <c r="D15213" t="s">
        <v>106</v>
      </c>
      <c r="E15213">
        <v>18.768000000000001</v>
      </c>
    </row>
    <row r="15214" spans="1:5">
      <c r="A15214" t="s">
        <v>43363</v>
      </c>
      <c r="B15214" t="s">
        <v>43364</v>
      </c>
      <c r="C15214">
        <f>0</f>
        <v>0</v>
      </c>
      <c r="D15214" t="s">
        <v>106</v>
      </c>
      <c r="E15214">
        <v>9.9239999999999995</v>
      </c>
    </row>
    <row r="15215" spans="1:5">
      <c r="A15215" t="s">
        <v>43363</v>
      </c>
      <c r="B15215" t="s">
        <v>43365</v>
      </c>
      <c r="C15215">
        <v>0</v>
      </c>
      <c r="D15215" t="s">
        <v>106</v>
      </c>
      <c r="E15215">
        <v>9.9239999999999995</v>
      </c>
    </row>
    <row r="15216" spans="1:5">
      <c r="A15216" t="s">
        <v>43366</v>
      </c>
      <c r="B15216" t="s">
        <v>43367</v>
      </c>
      <c r="C15216">
        <f>0.509054152366</f>
        <v>0.50905415236600005</v>
      </c>
      <c r="D15216">
        <v>0.85932633137199999</v>
      </c>
      <c r="E15216">
        <v>11.874000000000001</v>
      </c>
    </row>
    <row r="15217" spans="1:5">
      <c r="A15217" t="s">
        <v>43366</v>
      </c>
      <c r="B15217" t="s">
        <v>43368</v>
      </c>
      <c r="C15217">
        <v>0.68807225092400004</v>
      </c>
      <c r="D15217">
        <v>0.85932633137199999</v>
      </c>
      <c r="E15217">
        <v>11.874000000000001</v>
      </c>
    </row>
    <row r="15218" spans="1:5">
      <c r="A15218" t="s">
        <v>43366</v>
      </c>
      <c r="B15218" t="s">
        <v>43369</v>
      </c>
      <c r="C15218">
        <f>0.22112572107</f>
        <v>0.22112572107</v>
      </c>
      <c r="D15218">
        <v>0.85932633137199999</v>
      </c>
      <c r="E15218">
        <v>11.874000000000001</v>
      </c>
    </row>
    <row r="15219" spans="1:5">
      <c r="A15219" t="s">
        <v>43370</v>
      </c>
      <c r="B15219" t="s">
        <v>15109</v>
      </c>
      <c r="C15219">
        <v>0.19534841932200001</v>
      </c>
      <c r="D15219">
        <v>0.746589270099</v>
      </c>
      <c r="E15219">
        <v>4.6920000000000002</v>
      </c>
    </row>
    <row r="15220" spans="1:5">
      <c r="A15220" t="s">
        <v>43370</v>
      </c>
      <c r="B15220" t="s">
        <v>15112</v>
      </c>
      <c r="C15220">
        <v>0</v>
      </c>
      <c r="D15220">
        <v>0.746589270099</v>
      </c>
      <c r="E15220">
        <v>4.6920000000000002</v>
      </c>
    </row>
    <row r="15221" spans="1:5">
      <c r="A15221" t="s">
        <v>43370</v>
      </c>
      <c r="B15221" t="s">
        <v>15110</v>
      </c>
      <c r="C15221">
        <v>0.48129089106200001</v>
      </c>
      <c r="D15221">
        <v>0.746589270099</v>
      </c>
      <c r="E15221">
        <v>4.6920000000000002</v>
      </c>
    </row>
    <row r="15222" spans="1:5">
      <c r="A15222" t="s">
        <v>43370</v>
      </c>
      <c r="B15222" t="s">
        <v>43371</v>
      </c>
      <c r="C15222">
        <v>0</v>
      </c>
      <c r="D15222">
        <v>0.746589270099</v>
      </c>
      <c r="E15222">
        <v>4.6920000000000002</v>
      </c>
    </row>
    <row r="15223" spans="1:5">
      <c r="A15223" t="s">
        <v>43372</v>
      </c>
      <c r="B15223" t="s">
        <v>43373</v>
      </c>
      <c r="C15223">
        <v>0.516352993619</v>
      </c>
      <c r="D15223">
        <v>0.746762993619</v>
      </c>
      <c r="E15223">
        <v>10.08</v>
      </c>
    </row>
    <row r="15224" spans="1:5">
      <c r="A15224" t="s">
        <v>43372</v>
      </c>
      <c r="B15224" t="s">
        <v>43374</v>
      </c>
      <c r="C15224">
        <f>0</f>
        <v>0</v>
      </c>
      <c r="D15224">
        <v>0.746762993619</v>
      </c>
      <c r="E15224">
        <v>10.08</v>
      </c>
    </row>
    <row r="15225" spans="1:5">
      <c r="A15225" t="s">
        <v>43372</v>
      </c>
      <c r="B15225" t="s">
        <v>43375</v>
      </c>
      <c r="C15225">
        <v>0</v>
      </c>
      <c r="D15225">
        <v>0.746762993619</v>
      </c>
      <c r="E15225">
        <v>10.08</v>
      </c>
    </row>
    <row r="15226" spans="1:5">
      <c r="A15226" t="s">
        <v>43376</v>
      </c>
      <c r="B15226" t="s">
        <v>31536</v>
      </c>
      <c r="C15226">
        <f>0</f>
        <v>0</v>
      </c>
      <c r="D15226" t="s">
        <v>106</v>
      </c>
      <c r="E15226">
        <v>4.0739999999999998</v>
      </c>
    </row>
    <row r="15227" spans="1:5">
      <c r="A15227" t="s">
        <v>43376</v>
      </c>
      <c r="B15227" t="s">
        <v>31538</v>
      </c>
      <c r="C15227">
        <f>0</f>
        <v>0</v>
      </c>
      <c r="D15227" t="s">
        <v>106</v>
      </c>
      <c r="E15227">
        <v>4.0739999999999998</v>
      </c>
    </row>
    <row r="15228" spans="1:5">
      <c r="A15228" t="s">
        <v>43377</v>
      </c>
      <c r="B15228" t="s">
        <v>17712</v>
      </c>
      <c r="C15228">
        <v>0.44830305502500001</v>
      </c>
      <c r="D15228">
        <v>0.72603588210699999</v>
      </c>
      <c r="E15228">
        <v>0</v>
      </c>
    </row>
    <row r="15229" spans="1:5">
      <c r="A15229" t="s">
        <v>43377</v>
      </c>
      <c r="B15229" t="s">
        <v>17714</v>
      </c>
      <c r="C15229">
        <f>0.482013282492</f>
        <v>0.48201328249199998</v>
      </c>
      <c r="D15229">
        <v>0.72603588210699999</v>
      </c>
      <c r="E15229">
        <v>0</v>
      </c>
    </row>
    <row r="15230" spans="1:5">
      <c r="A15230" t="s">
        <v>43378</v>
      </c>
      <c r="B15230" t="s">
        <v>24259</v>
      </c>
      <c r="C15230">
        <f>0.199115741566</f>
        <v>0.19911574156600001</v>
      </c>
      <c r="D15230">
        <v>0.56731140899800003</v>
      </c>
      <c r="E15230">
        <v>0.216</v>
      </c>
    </row>
    <row r="15231" spans="1:5">
      <c r="A15231" t="s">
        <v>43378</v>
      </c>
      <c r="B15231" t="s">
        <v>24257</v>
      </c>
      <c r="C15231">
        <v>0.518445979522</v>
      </c>
      <c r="D15231">
        <v>0.56731140899800003</v>
      </c>
      <c r="E15231">
        <v>0.216</v>
      </c>
    </row>
    <row r="15232" spans="1:5">
      <c r="A15232" t="s">
        <v>43379</v>
      </c>
      <c r="B15232" t="s">
        <v>22691</v>
      </c>
      <c r="C15232">
        <v>0.51616444293200003</v>
      </c>
      <c r="D15232">
        <v>0.91310265949699998</v>
      </c>
      <c r="E15232">
        <v>4.4820000000000002</v>
      </c>
    </row>
    <row r="15233" spans="1:5">
      <c r="A15233" t="s">
        <v>43379</v>
      </c>
      <c r="B15233" t="s">
        <v>22695</v>
      </c>
      <c r="C15233">
        <f>0.04318021924</f>
        <v>4.3180219239999998E-2</v>
      </c>
      <c r="D15233">
        <v>0.91310265949699998</v>
      </c>
      <c r="E15233">
        <v>4.4820000000000002</v>
      </c>
    </row>
    <row r="15234" spans="1:5">
      <c r="A15234" t="s">
        <v>43379</v>
      </c>
      <c r="B15234" t="s">
        <v>22693</v>
      </c>
      <c r="C15234">
        <v>0</v>
      </c>
      <c r="D15234">
        <v>0.91310265949699998</v>
      </c>
      <c r="E15234">
        <v>4.4820000000000002</v>
      </c>
    </row>
    <row r="15235" spans="1:5">
      <c r="A15235" t="s">
        <v>43379</v>
      </c>
      <c r="B15235" t="s">
        <v>22692</v>
      </c>
      <c r="C15235">
        <v>0.30520909107700001</v>
      </c>
      <c r="D15235">
        <v>0.91310265949699998</v>
      </c>
      <c r="E15235">
        <v>4.4820000000000002</v>
      </c>
    </row>
    <row r="15236" spans="1:5">
      <c r="A15236" t="s">
        <v>43379</v>
      </c>
      <c r="B15236" t="s">
        <v>22694</v>
      </c>
      <c r="C15236">
        <v>0.17225027506500001</v>
      </c>
      <c r="D15236">
        <v>0.91310265949699998</v>
      </c>
      <c r="E15236">
        <v>4.4820000000000002</v>
      </c>
    </row>
    <row r="15237" spans="1:5">
      <c r="A15237" t="s">
        <v>43380</v>
      </c>
      <c r="B15237" t="s">
        <v>43381</v>
      </c>
      <c r="C15237">
        <v>0.36032362838100002</v>
      </c>
      <c r="D15237">
        <v>0.739700725083</v>
      </c>
      <c r="E15237">
        <v>23.52</v>
      </c>
    </row>
    <row r="15238" spans="1:5">
      <c r="A15238" t="s">
        <v>43380</v>
      </c>
      <c r="B15238" t="s">
        <v>43382</v>
      </c>
      <c r="C15238">
        <v>0.158889932033</v>
      </c>
      <c r="D15238">
        <v>0.739700725083</v>
      </c>
      <c r="E15238">
        <v>23.52</v>
      </c>
    </row>
    <row r="15239" spans="1:5">
      <c r="A15239" t="s">
        <v>43380</v>
      </c>
      <c r="B15239" t="s">
        <v>43383</v>
      </c>
      <c r="C15239">
        <v>0.118129652199</v>
      </c>
      <c r="D15239">
        <v>0.739700725083</v>
      </c>
      <c r="E15239">
        <v>23.52</v>
      </c>
    </row>
    <row r="15240" spans="1:5">
      <c r="A15240" t="s">
        <v>43380</v>
      </c>
      <c r="B15240" t="s">
        <v>43384</v>
      </c>
      <c r="C15240">
        <f>0</f>
        <v>0</v>
      </c>
      <c r="D15240">
        <v>0.739700725083</v>
      </c>
      <c r="E15240">
        <v>23.52</v>
      </c>
    </row>
    <row r="15241" spans="1:5">
      <c r="A15241" t="s">
        <v>43385</v>
      </c>
      <c r="B15241" t="s">
        <v>3285</v>
      </c>
      <c r="C15241">
        <v>0.77739813431100002</v>
      </c>
      <c r="D15241">
        <v>0.855808134311</v>
      </c>
      <c r="E15241">
        <v>0.47399999999999998</v>
      </c>
    </row>
    <row r="15242" spans="1:5">
      <c r="A15242" t="s">
        <v>43385</v>
      </c>
      <c r="B15242" t="s">
        <v>3286</v>
      </c>
      <c r="C15242">
        <v>0</v>
      </c>
      <c r="D15242">
        <v>0.855808134311</v>
      </c>
      <c r="E15242">
        <v>0.47399999999999998</v>
      </c>
    </row>
    <row r="15243" spans="1:5">
      <c r="A15243" t="s">
        <v>43385</v>
      </c>
      <c r="B15243" t="s">
        <v>3287</v>
      </c>
      <c r="C15243">
        <f>0</f>
        <v>0</v>
      </c>
      <c r="D15243">
        <v>0.855808134311</v>
      </c>
      <c r="E15243">
        <v>0.47399999999999998</v>
      </c>
    </row>
    <row r="15244" spans="1:5">
      <c r="A15244" t="s">
        <v>43386</v>
      </c>
      <c r="B15244" t="s">
        <v>32370</v>
      </c>
      <c r="C15244">
        <v>1.0123352346100001</v>
      </c>
      <c r="D15244">
        <v>0.86719634620800001</v>
      </c>
      <c r="E15244">
        <v>9.6180000000000003</v>
      </c>
    </row>
    <row r="15245" spans="1:5">
      <c r="A15245" t="s">
        <v>43386</v>
      </c>
      <c r="B15245" t="s">
        <v>32371</v>
      </c>
      <c r="C15245">
        <v>0.19721418612700001</v>
      </c>
      <c r="D15245">
        <v>0.86719634620800001</v>
      </c>
      <c r="E15245">
        <v>9.6180000000000003</v>
      </c>
    </row>
    <row r="15246" spans="1:5">
      <c r="A15246" t="s">
        <v>43386</v>
      </c>
      <c r="B15246" t="s">
        <v>32369</v>
      </c>
      <c r="C15246">
        <f>0.835949792196</f>
        <v>0.83594979219599996</v>
      </c>
      <c r="D15246">
        <v>0.86719634620800001</v>
      </c>
      <c r="E15246">
        <v>9.6180000000000003</v>
      </c>
    </row>
    <row r="15247" spans="1:5">
      <c r="A15247" t="s">
        <v>43387</v>
      </c>
      <c r="B15247" t="s">
        <v>43388</v>
      </c>
      <c r="C15247">
        <v>0</v>
      </c>
      <c r="D15247">
        <v>0.75864591998800002</v>
      </c>
      <c r="E15247">
        <v>10.878</v>
      </c>
    </row>
    <row r="15248" spans="1:5">
      <c r="A15248" t="s">
        <v>43387</v>
      </c>
      <c r="B15248" t="s">
        <v>43389</v>
      </c>
      <c r="C15248">
        <f>0</f>
        <v>0</v>
      </c>
      <c r="D15248">
        <v>0.75864591998800002</v>
      </c>
      <c r="E15248">
        <v>10.878</v>
      </c>
    </row>
    <row r="15249" spans="1:5">
      <c r="A15249" t="s">
        <v>43387</v>
      </c>
      <c r="B15249" t="s">
        <v>43390</v>
      </c>
      <c r="C15249">
        <v>0.31111576008899999</v>
      </c>
      <c r="D15249">
        <v>0.75864591998800002</v>
      </c>
      <c r="E15249">
        <v>10.878</v>
      </c>
    </row>
    <row r="15250" spans="1:5">
      <c r="A15250" t="s">
        <v>43387</v>
      </c>
      <c r="B15250" t="s">
        <v>43391</v>
      </c>
      <c r="C15250">
        <v>0.32014154797200001</v>
      </c>
      <c r="D15250">
        <v>0.75864591998800002</v>
      </c>
      <c r="E15250">
        <v>10.878</v>
      </c>
    </row>
    <row r="15251" spans="1:5">
      <c r="A15251" t="s">
        <v>43387</v>
      </c>
      <c r="B15251" t="s">
        <v>43392</v>
      </c>
      <c r="C15251">
        <v>0</v>
      </c>
      <c r="D15251">
        <v>0.75864591998800002</v>
      </c>
      <c r="E15251">
        <v>10.878</v>
      </c>
    </row>
    <row r="15252" spans="1:5">
      <c r="A15252" t="s">
        <v>43393</v>
      </c>
      <c r="B15252" t="s">
        <v>6429</v>
      </c>
      <c r="C15252">
        <v>0</v>
      </c>
      <c r="D15252" t="s">
        <v>106</v>
      </c>
      <c r="E15252">
        <v>8.2919999999999998</v>
      </c>
    </row>
    <row r="15253" spans="1:5">
      <c r="A15253" t="s">
        <v>43393</v>
      </c>
      <c r="B15253" t="s">
        <v>6428</v>
      </c>
      <c r="C15253">
        <f>0</f>
        <v>0</v>
      </c>
      <c r="D15253" t="s">
        <v>106</v>
      </c>
      <c r="E15253">
        <v>8.2919999999999998</v>
      </c>
    </row>
    <row r="15254" spans="1:5">
      <c r="A15254" t="s">
        <v>43393</v>
      </c>
      <c r="B15254" t="s">
        <v>6431</v>
      </c>
      <c r="C15254">
        <f>0</f>
        <v>0</v>
      </c>
      <c r="D15254" t="s">
        <v>106</v>
      </c>
      <c r="E15254">
        <v>8.2919999999999998</v>
      </c>
    </row>
    <row r="15255" spans="1:5">
      <c r="A15255" t="s">
        <v>43394</v>
      </c>
      <c r="B15255" t="s">
        <v>17599</v>
      </c>
      <c r="C15255">
        <v>0</v>
      </c>
      <c r="D15255">
        <v>0.83400187798600001</v>
      </c>
      <c r="E15255">
        <v>17.100000000000001</v>
      </c>
    </row>
    <row r="15256" spans="1:5">
      <c r="A15256" t="s">
        <v>43394</v>
      </c>
      <c r="B15256" t="s">
        <v>17602</v>
      </c>
      <c r="C15256">
        <f>0</f>
        <v>0</v>
      </c>
      <c r="D15256">
        <v>0.83400187798600001</v>
      </c>
      <c r="E15256">
        <v>17.100000000000001</v>
      </c>
    </row>
    <row r="15257" spans="1:5">
      <c r="A15257" t="s">
        <v>43394</v>
      </c>
      <c r="B15257" t="s">
        <v>17598</v>
      </c>
      <c r="C15257">
        <f>0</f>
        <v>0</v>
      </c>
      <c r="D15257">
        <v>0.83400187798600001</v>
      </c>
      <c r="E15257">
        <v>17.100000000000001</v>
      </c>
    </row>
    <row r="15258" spans="1:5">
      <c r="A15258" t="s">
        <v>43394</v>
      </c>
      <c r="B15258" t="s">
        <v>17603</v>
      </c>
      <c r="C15258">
        <f>0.298174586416</f>
        <v>0.29817458641599998</v>
      </c>
      <c r="D15258">
        <v>0.83400187798600001</v>
      </c>
      <c r="E15258">
        <v>17.100000000000001</v>
      </c>
    </row>
    <row r="15259" spans="1:5">
      <c r="A15259" t="s">
        <v>43394</v>
      </c>
      <c r="B15259" t="s">
        <v>43395</v>
      </c>
      <c r="C15259">
        <f>0.355629799735</f>
        <v>0.35562979973499997</v>
      </c>
      <c r="D15259">
        <v>0.83400187798600001</v>
      </c>
      <c r="E15259">
        <v>17.100000000000001</v>
      </c>
    </row>
    <row r="15260" spans="1:5">
      <c r="A15260" t="s">
        <v>43394</v>
      </c>
      <c r="B15260" t="s">
        <v>17600</v>
      </c>
      <c r="C15260">
        <f>0</f>
        <v>0</v>
      </c>
      <c r="D15260">
        <v>0.83400187798600001</v>
      </c>
      <c r="E15260">
        <v>17.100000000000001</v>
      </c>
    </row>
    <row r="15261" spans="1:5">
      <c r="A15261" t="s">
        <v>43394</v>
      </c>
      <c r="B15261" t="s">
        <v>17604</v>
      </c>
      <c r="C15261">
        <v>2.7234663579E-2</v>
      </c>
      <c r="D15261">
        <v>0.83400187798600001</v>
      </c>
      <c r="E15261">
        <v>17.100000000000001</v>
      </c>
    </row>
    <row r="15262" spans="1:5">
      <c r="A15262" t="s">
        <v>43396</v>
      </c>
      <c r="B15262" t="s">
        <v>43397</v>
      </c>
      <c r="C15262">
        <f>0</f>
        <v>0</v>
      </c>
      <c r="D15262" t="s">
        <v>106</v>
      </c>
      <c r="E15262">
        <v>8.4000000000000005E-2</v>
      </c>
    </row>
    <row r="15263" spans="1:5">
      <c r="A15263" t="s">
        <v>43396</v>
      </c>
      <c r="B15263" t="s">
        <v>43398</v>
      </c>
      <c r="C15263">
        <v>0</v>
      </c>
      <c r="D15263" t="s">
        <v>106</v>
      </c>
      <c r="E15263">
        <v>8.4000000000000005E-2</v>
      </c>
    </row>
    <row r="15264" spans="1:5">
      <c r="A15264" t="s">
        <v>43399</v>
      </c>
      <c r="B15264" t="s">
        <v>43400</v>
      </c>
      <c r="C15264">
        <f>0</f>
        <v>0</v>
      </c>
      <c r="D15264">
        <v>0.89420064875299998</v>
      </c>
      <c r="E15264">
        <v>23.754000000000001</v>
      </c>
    </row>
    <row r="15265" spans="1:5">
      <c r="A15265" t="s">
        <v>43399</v>
      </c>
      <c r="B15265" t="s">
        <v>43401</v>
      </c>
      <c r="C15265">
        <v>0</v>
      </c>
      <c r="D15265">
        <v>0.89420064875299998</v>
      </c>
      <c r="E15265">
        <v>23.754000000000001</v>
      </c>
    </row>
    <row r="15266" spans="1:5">
      <c r="A15266" t="s">
        <v>43399</v>
      </c>
      <c r="B15266" t="s">
        <v>43402</v>
      </c>
      <c r="C15266">
        <v>0</v>
      </c>
      <c r="D15266">
        <v>0.89420064875299998</v>
      </c>
      <c r="E15266">
        <v>23.754000000000001</v>
      </c>
    </row>
    <row r="15267" spans="1:5">
      <c r="A15267" t="s">
        <v>43399</v>
      </c>
      <c r="B15267" t="s">
        <v>43403</v>
      </c>
      <c r="C15267">
        <v>0.48459064875300001</v>
      </c>
      <c r="D15267">
        <v>0.89420064875299998</v>
      </c>
      <c r="E15267">
        <v>23.754000000000001</v>
      </c>
    </row>
    <row r="15268" spans="1:5">
      <c r="A15268" t="s">
        <v>43404</v>
      </c>
      <c r="B15268" t="s">
        <v>25538</v>
      </c>
      <c r="C15268">
        <f>0</f>
        <v>0</v>
      </c>
      <c r="D15268">
        <v>0.78237711051699999</v>
      </c>
      <c r="E15268">
        <v>8.01</v>
      </c>
    </row>
    <row r="15269" spans="1:5">
      <c r="A15269" t="s">
        <v>43404</v>
      </c>
      <c r="B15269" t="s">
        <v>25535</v>
      </c>
      <c r="C15269">
        <v>0</v>
      </c>
      <c r="D15269">
        <v>0.78237711051699999</v>
      </c>
      <c r="E15269">
        <v>8.01</v>
      </c>
    </row>
    <row r="15270" spans="1:5">
      <c r="A15270" t="s">
        <v>43404</v>
      </c>
      <c r="B15270" t="s">
        <v>25536</v>
      </c>
      <c r="C15270">
        <v>0.72476711051700005</v>
      </c>
      <c r="D15270">
        <v>0.78237711051699999</v>
      </c>
      <c r="E15270">
        <v>8.01</v>
      </c>
    </row>
    <row r="15271" spans="1:5">
      <c r="A15271" t="s">
        <v>43405</v>
      </c>
      <c r="B15271" t="s">
        <v>43406</v>
      </c>
      <c r="C15271">
        <f>0</f>
        <v>0</v>
      </c>
      <c r="D15271" t="s">
        <v>106</v>
      </c>
      <c r="E15271">
        <v>2.6339999999999999</v>
      </c>
    </row>
    <row r="15272" spans="1:5">
      <c r="A15272" t="s">
        <v>43405</v>
      </c>
      <c r="B15272" t="s">
        <v>43407</v>
      </c>
      <c r="C15272">
        <f>0</f>
        <v>0</v>
      </c>
      <c r="D15272" t="s">
        <v>106</v>
      </c>
      <c r="E15272">
        <v>2.6339999999999999</v>
      </c>
    </row>
    <row r="15273" spans="1:5">
      <c r="A15273" t="s">
        <v>43405</v>
      </c>
      <c r="B15273" t="s">
        <v>43408</v>
      </c>
      <c r="C15273">
        <f>0</f>
        <v>0</v>
      </c>
      <c r="D15273" t="s">
        <v>106</v>
      </c>
      <c r="E15273">
        <v>2.6339999999999999</v>
      </c>
    </row>
    <row r="15274" spans="1:5">
      <c r="A15274" t="s">
        <v>43405</v>
      </c>
      <c r="B15274" t="s">
        <v>43409</v>
      </c>
      <c r="C15274">
        <f>0</f>
        <v>0</v>
      </c>
      <c r="D15274" t="s">
        <v>106</v>
      </c>
      <c r="E15274">
        <v>2.6339999999999999</v>
      </c>
    </row>
    <row r="15275" spans="1:5">
      <c r="A15275" t="s">
        <v>43410</v>
      </c>
      <c r="B15275" t="s">
        <v>16342</v>
      </c>
      <c r="C15275">
        <v>0</v>
      </c>
      <c r="D15275" t="s">
        <v>106</v>
      </c>
      <c r="E15275">
        <v>2.802</v>
      </c>
    </row>
    <row r="15276" spans="1:5">
      <c r="A15276" t="s">
        <v>43410</v>
      </c>
      <c r="B15276" t="s">
        <v>16346</v>
      </c>
      <c r="C15276">
        <v>0</v>
      </c>
      <c r="D15276" t="s">
        <v>106</v>
      </c>
      <c r="E15276">
        <v>2.802</v>
      </c>
    </row>
    <row r="15277" spans="1:5">
      <c r="A15277" t="s">
        <v>43410</v>
      </c>
      <c r="B15277" t="s">
        <v>16343</v>
      </c>
      <c r="C15277">
        <v>0</v>
      </c>
      <c r="D15277" t="s">
        <v>106</v>
      </c>
      <c r="E15277">
        <v>2.802</v>
      </c>
    </row>
    <row r="15278" spans="1:5">
      <c r="A15278" t="s">
        <v>43411</v>
      </c>
      <c r="B15278" t="s">
        <v>43412</v>
      </c>
      <c r="C15278">
        <v>0.77044790905600002</v>
      </c>
      <c r="D15278">
        <v>0.87285790905600003</v>
      </c>
      <c r="E15278">
        <v>22.338000000000001</v>
      </c>
    </row>
    <row r="15279" spans="1:5">
      <c r="A15279" t="s">
        <v>43411</v>
      </c>
      <c r="B15279" t="s">
        <v>43413</v>
      </c>
      <c r="C15279">
        <f>0</f>
        <v>0</v>
      </c>
      <c r="D15279">
        <v>0.87285790905600003</v>
      </c>
      <c r="E15279">
        <v>22.338000000000001</v>
      </c>
    </row>
    <row r="15280" spans="1:5">
      <c r="A15280" t="s">
        <v>43414</v>
      </c>
      <c r="B15280" t="s">
        <v>43415</v>
      </c>
      <c r="C15280">
        <v>0.20117157076299999</v>
      </c>
      <c r="D15280">
        <v>0.93927668172400003</v>
      </c>
      <c r="E15280">
        <v>6.06</v>
      </c>
    </row>
    <row r="15281" spans="1:5">
      <c r="A15281" t="s">
        <v>43414</v>
      </c>
      <c r="B15281" t="s">
        <v>43416</v>
      </c>
      <c r="C15281">
        <f>0.0713536360927</f>
        <v>7.1353636092699999E-2</v>
      </c>
      <c r="D15281">
        <v>0.93927668172400003</v>
      </c>
      <c r="E15281">
        <v>6.06</v>
      </c>
    </row>
    <row r="15282" spans="1:5">
      <c r="A15282" t="s">
        <v>43414</v>
      </c>
      <c r="B15282" t="s">
        <v>43417</v>
      </c>
      <c r="C15282">
        <v>0.83502759864700005</v>
      </c>
      <c r="D15282">
        <v>0.93927668172400003</v>
      </c>
      <c r="E15282">
        <v>6.06</v>
      </c>
    </row>
    <row r="15283" spans="1:5">
      <c r="A15283" t="s">
        <v>43414</v>
      </c>
      <c r="B15283" t="s">
        <v>43418</v>
      </c>
      <c r="C15283">
        <v>0.26592349703000001</v>
      </c>
      <c r="D15283">
        <v>0.93927668172400003</v>
      </c>
      <c r="E15283">
        <v>6.06</v>
      </c>
    </row>
    <row r="15284" spans="1:5">
      <c r="A15284" t="s">
        <v>43419</v>
      </c>
      <c r="B15284" t="s">
        <v>30978</v>
      </c>
      <c r="C15284">
        <v>0</v>
      </c>
      <c r="D15284" t="s">
        <v>106</v>
      </c>
      <c r="E15284">
        <v>8.1539999999999999</v>
      </c>
    </row>
    <row r="15285" spans="1:5">
      <c r="A15285" t="s">
        <v>43419</v>
      </c>
      <c r="B15285" t="s">
        <v>30977</v>
      </c>
      <c r="C15285">
        <v>0</v>
      </c>
      <c r="D15285" t="s">
        <v>106</v>
      </c>
      <c r="E15285">
        <v>8.1539999999999999</v>
      </c>
    </row>
    <row r="15286" spans="1:5">
      <c r="A15286" t="s">
        <v>43420</v>
      </c>
      <c r="B15286" t="s">
        <v>6675</v>
      </c>
      <c r="C15286">
        <v>0.16387412973400001</v>
      </c>
      <c r="D15286">
        <v>0.99917800324999995</v>
      </c>
      <c r="E15286">
        <v>0.26400000000000001</v>
      </c>
    </row>
    <row r="15287" spans="1:5">
      <c r="A15287" t="s">
        <v>43420</v>
      </c>
      <c r="B15287" t="s">
        <v>6671</v>
      </c>
      <c r="C15287">
        <f>0.154913671505</f>
        <v>0.15491367150499999</v>
      </c>
      <c r="D15287">
        <v>0.99917800324999995</v>
      </c>
      <c r="E15287">
        <v>0.26400000000000001</v>
      </c>
    </row>
    <row r="15288" spans="1:5">
      <c r="A15288" t="s">
        <v>43420</v>
      </c>
      <c r="B15288" t="s">
        <v>6676</v>
      </c>
      <c r="C15288">
        <f>0.0614377036611</f>
        <v>6.1437703661099997E-2</v>
      </c>
      <c r="D15288">
        <v>0.99917800324999995</v>
      </c>
      <c r="E15288">
        <v>0.26400000000000001</v>
      </c>
    </row>
    <row r="15289" spans="1:5">
      <c r="A15289" t="s">
        <v>43420</v>
      </c>
      <c r="B15289" t="s">
        <v>6673</v>
      </c>
      <c r="C15289">
        <f>0.220189457799</f>
        <v>0.22018945779900001</v>
      </c>
      <c r="D15289">
        <v>0.99917800324999995</v>
      </c>
      <c r="E15289">
        <v>0.26400000000000001</v>
      </c>
    </row>
    <row r="15290" spans="1:5">
      <c r="A15290" t="s">
        <v>43420</v>
      </c>
      <c r="B15290" t="s">
        <v>6672</v>
      </c>
      <c r="C15290">
        <v>1.12025577796</v>
      </c>
      <c r="D15290">
        <v>0.99917800324999995</v>
      </c>
      <c r="E15290">
        <v>0.26400000000000001</v>
      </c>
    </row>
    <row r="15291" spans="1:5">
      <c r="A15291" t="s">
        <v>43420</v>
      </c>
      <c r="B15291" t="s">
        <v>6674</v>
      </c>
      <c r="C15291">
        <f>-1.56631747377</f>
        <v>-1.5663174737700001</v>
      </c>
      <c r="D15291">
        <v>0.99917800324999995</v>
      </c>
      <c r="E15291">
        <v>0.26400000000000001</v>
      </c>
    </row>
    <row r="15292" spans="1:5">
      <c r="A15292" t="s">
        <v>43420</v>
      </c>
      <c r="B15292" t="s">
        <v>6677</v>
      </c>
      <c r="C15292">
        <v>0.50024390803800001</v>
      </c>
      <c r="D15292">
        <v>0.99917800324999995</v>
      </c>
      <c r="E15292">
        <v>0.26400000000000001</v>
      </c>
    </row>
    <row r="15293" spans="1:5">
      <c r="A15293" t="s">
        <v>43421</v>
      </c>
      <c r="B15293" t="s">
        <v>13880</v>
      </c>
      <c r="C15293">
        <v>0.134907450983</v>
      </c>
      <c r="D15293">
        <v>0.75038134566199999</v>
      </c>
      <c r="E15293">
        <v>24</v>
      </c>
    </row>
    <row r="15294" spans="1:5">
      <c r="A15294" t="s">
        <v>43421</v>
      </c>
      <c r="B15294" t="s">
        <v>13881</v>
      </c>
      <c r="C15294">
        <v>0.63088579814300005</v>
      </c>
      <c r="D15294">
        <v>0.75038134566199999</v>
      </c>
      <c r="E15294">
        <v>24</v>
      </c>
    </row>
    <row r="15295" spans="1:5">
      <c r="A15295" t="s">
        <v>43422</v>
      </c>
      <c r="B15295" t="s">
        <v>43423</v>
      </c>
      <c r="C15295">
        <v>0</v>
      </c>
      <c r="D15295">
        <v>0.5393043917</v>
      </c>
      <c r="E15295">
        <v>24</v>
      </c>
    </row>
    <row r="15296" spans="1:5">
      <c r="A15296" t="s">
        <v>43422</v>
      </c>
      <c r="B15296" t="s">
        <v>43424</v>
      </c>
      <c r="C15296">
        <f>0.3456943917</f>
        <v>0.34569439169999999</v>
      </c>
      <c r="D15296">
        <v>0.5393043917</v>
      </c>
      <c r="E15296">
        <v>24</v>
      </c>
    </row>
    <row r="15297" spans="1:5">
      <c r="A15297" t="s">
        <v>43425</v>
      </c>
      <c r="B15297" t="s">
        <v>13612</v>
      </c>
      <c r="C15297">
        <v>0.53955924649599996</v>
      </c>
      <c r="D15297">
        <v>0.878809980637</v>
      </c>
      <c r="E15297">
        <v>0.65400000000000003</v>
      </c>
    </row>
    <row r="15298" spans="1:5">
      <c r="A15298" t="s">
        <v>43425</v>
      </c>
      <c r="B15298" t="s">
        <v>13613</v>
      </c>
      <c r="C15298">
        <f>0</f>
        <v>0</v>
      </c>
      <c r="D15298">
        <v>0.878809980637</v>
      </c>
      <c r="E15298">
        <v>0.65400000000000003</v>
      </c>
    </row>
    <row r="15299" spans="1:5">
      <c r="A15299" t="s">
        <v>43425</v>
      </c>
      <c r="B15299" t="s">
        <v>13616</v>
      </c>
      <c r="C15299">
        <f>0.222512350178</f>
        <v>0.222512350178</v>
      </c>
      <c r="D15299">
        <v>0.878809980637</v>
      </c>
      <c r="E15299">
        <v>0.65400000000000003</v>
      </c>
    </row>
    <row r="15300" spans="1:5">
      <c r="A15300" t="s">
        <v>43425</v>
      </c>
      <c r="B15300" t="s">
        <v>13615</v>
      </c>
      <c r="C15300">
        <f>0.038444355734</f>
        <v>3.8444355733999999E-2</v>
      </c>
      <c r="D15300">
        <v>0.878809980637</v>
      </c>
      <c r="E15300">
        <v>0.65400000000000003</v>
      </c>
    </row>
    <row r="15301" spans="1:5">
      <c r="A15301" t="s">
        <v>43425</v>
      </c>
      <c r="B15301" t="s">
        <v>13614</v>
      </c>
      <c r="C15301">
        <v>0.41534154006399998</v>
      </c>
      <c r="D15301">
        <v>0.878809980637</v>
      </c>
      <c r="E15301">
        <v>0.65400000000000003</v>
      </c>
    </row>
    <row r="15302" spans="1:5">
      <c r="A15302" t="s">
        <v>43426</v>
      </c>
      <c r="B15302" t="s">
        <v>18830</v>
      </c>
      <c r="C15302">
        <f>0.790273270005</f>
        <v>0.79027327000500003</v>
      </c>
      <c r="D15302">
        <v>0.97229183021900001</v>
      </c>
      <c r="E15302">
        <v>24</v>
      </c>
    </row>
    <row r="15303" spans="1:5">
      <c r="A15303" t="s">
        <v>43426</v>
      </c>
      <c r="B15303" t="s">
        <v>18829</v>
      </c>
      <c r="C15303">
        <v>0.80312144611500003</v>
      </c>
      <c r="D15303">
        <v>0.97229183021900001</v>
      </c>
      <c r="E15303">
        <v>24</v>
      </c>
    </row>
    <row r="15304" spans="1:5">
      <c r="A15304" t="s">
        <v>43426</v>
      </c>
      <c r="B15304" t="s">
        <v>18831</v>
      </c>
      <c r="C15304">
        <v>9.2092916443300005E-2</v>
      </c>
      <c r="D15304">
        <v>0.97229183021900001</v>
      </c>
      <c r="E15304">
        <v>24</v>
      </c>
    </row>
    <row r="15305" spans="1:5">
      <c r="A15305" t="s">
        <v>43426</v>
      </c>
      <c r="B15305" t="s">
        <v>18832</v>
      </c>
      <c r="C15305">
        <v>0.49722063074599998</v>
      </c>
      <c r="D15305">
        <v>0.97229183021900001</v>
      </c>
      <c r="E15305">
        <v>24</v>
      </c>
    </row>
    <row r="15306" spans="1:5">
      <c r="A15306" t="s">
        <v>43427</v>
      </c>
      <c r="B15306" t="s">
        <v>22096</v>
      </c>
      <c r="C15306">
        <v>0</v>
      </c>
      <c r="D15306">
        <v>0.77342574679599996</v>
      </c>
      <c r="E15306">
        <v>10.715999999999999</v>
      </c>
    </row>
    <row r="15307" spans="1:5">
      <c r="A15307" t="s">
        <v>43427</v>
      </c>
      <c r="B15307" t="s">
        <v>22103</v>
      </c>
      <c r="C15307">
        <v>0</v>
      </c>
      <c r="D15307">
        <v>0.77342574679599996</v>
      </c>
      <c r="E15307">
        <v>10.715999999999999</v>
      </c>
    </row>
    <row r="15308" spans="1:5">
      <c r="A15308" t="s">
        <v>43427</v>
      </c>
      <c r="B15308" t="s">
        <v>22100</v>
      </c>
      <c r="C15308">
        <v>0</v>
      </c>
      <c r="D15308">
        <v>0.77342574679599996</v>
      </c>
      <c r="E15308">
        <v>10.715999999999999</v>
      </c>
    </row>
    <row r="15309" spans="1:5">
      <c r="A15309" t="s">
        <v>43427</v>
      </c>
      <c r="B15309" t="s">
        <v>22102</v>
      </c>
      <c r="C15309">
        <v>0</v>
      </c>
      <c r="D15309">
        <v>0.77342574679599996</v>
      </c>
      <c r="E15309">
        <v>10.715999999999999</v>
      </c>
    </row>
    <row r="15310" spans="1:5">
      <c r="A15310" t="s">
        <v>43427</v>
      </c>
      <c r="B15310" t="s">
        <v>22097</v>
      </c>
      <c r="C15310">
        <v>0</v>
      </c>
      <c r="D15310">
        <v>0.77342574679599996</v>
      </c>
      <c r="E15310">
        <v>10.715999999999999</v>
      </c>
    </row>
    <row r="15311" spans="1:5">
      <c r="A15311" t="s">
        <v>43427</v>
      </c>
      <c r="B15311" t="s">
        <v>22099</v>
      </c>
      <c r="C15311">
        <v>0</v>
      </c>
      <c r="D15311">
        <v>0.77342574679599996</v>
      </c>
      <c r="E15311">
        <v>10.715999999999999</v>
      </c>
    </row>
    <row r="15312" spans="1:5">
      <c r="A15312" t="s">
        <v>43427</v>
      </c>
      <c r="B15312" t="s">
        <v>22101</v>
      </c>
      <c r="C15312">
        <v>0.36381574679599998</v>
      </c>
      <c r="D15312">
        <v>0.77342574679599996</v>
      </c>
      <c r="E15312">
        <v>10.715999999999999</v>
      </c>
    </row>
    <row r="15313" spans="1:5">
      <c r="A15313" t="s">
        <v>43428</v>
      </c>
      <c r="B15313" t="s">
        <v>43429</v>
      </c>
      <c r="C15313">
        <f>0</f>
        <v>0</v>
      </c>
      <c r="D15313">
        <v>0.47318959452100001</v>
      </c>
      <c r="E15313">
        <v>24</v>
      </c>
    </row>
    <row r="15314" spans="1:5">
      <c r="A15314" t="s">
        <v>43428</v>
      </c>
      <c r="B15314" t="s">
        <v>43430</v>
      </c>
      <c r="C15314">
        <f>0.313179594521</f>
        <v>0.31317959452100003</v>
      </c>
      <c r="D15314">
        <v>0.47318959452100001</v>
      </c>
      <c r="E15314">
        <v>24</v>
      </c>
    </row>
    <row r="15315" spans="1:5">
      <c r="A15315" t="s">
        <v>43431</v>
      </c>
      <c r="B15315" t="s">
        <v>31264</v>
      </c>
      <c r="C15315">
        <f>0.00485808925936</f>
        <v>4.85808925936E-3</v>
      </c>
      <c r="D15315">
        <v>0.99997773541199997</v>
      </c>
      <c r="E15315">
        <v>16.698</v>
      </c>
    </row>
    <row r="15316" spans="1:5">
      <c r="A15316" t="s">
        <v>43431</v>
      </c>
      <c r="B15316" t="s">
        <v>31277</v>
      </c>
      <c r="C15316">
        <v>0</v>
      </c>
      <c r="D15316">
        <v>0.99997773541199997</v>
      </c>
      <c r="E15316">
        <v>16.698</v>
      </c>
    </row>
    <row r="15317" spans="1:5">
      <c r="A15317" t="s">
        <v>43431</v>
      </c>
      <c r="B15317" t="s">
        <v>31272</v>
      </c>
      <c r="C15317">
        <f>0.482630417505</f>
        <v>0.48263041750500002</v>
      </c>
      <c r="D15317">
        <v>0.99997773541199997</v>
      </c>
      <c r="E15317">
        <v>16.698</v>
      </c>
    </row>
    <row r="15318" spans="1:5">
      <c r="A15318" t="s">
        <v>43431</v>
      </c>
      <c r="B15318" t="s">
        <v>31271</v>
      </c>
      <c r="C15318">
        <v>0.96775828813499998</v>
      </c>
      <c r="D15318">
        <v>0.99997773541199997</v>
      </c>
      <c r="E15318">
        <v>16.698</v>
      </c>
    </row>
    <row r="15319" spans="1:5">
      <c r="A15319" t="s">
        <v>43431</v>
      </c>
      <c r="B15319" t="s">
        <v>31266</v>
      </c>
      <c r="C15319">
        <f>0.0853745244172</f>
        <v>8.5374524417200004E-2</v>
      </c>
      <c r="D15319">
        <v>0.99997773541199997</v>
      </c>
      <c r="E15319">
        <v>16.698</v>
      </c>
    </row>
    <row r="15320" spans="1:5">
      <c r="A15320" t="s">
        <v>43431</v>
      </c>
      <c r="B15320" t="s">
        <v>31269</v>
      </c>
      <c r="C15320">
        <v>6.3859853882499998E-2</v>
      </c>
      <c r="D15320">
        <v>0.99997773541199997</v>
      </c>
      <c r="E15320">
        <v>16.698</v>
      </c>
    </row>
    <row r="15321" spans="1:5">
      <c r="A15321" t="s">
        <v>43431</v>
      </c>
      <c r="B15321" t="s">
        <v>31268</v>
      </c>
      <c r="C15321">
        <v>0.47636487335799998</v>
      </c>
      <c r="D15321">
        <v>0.99997773541199997</v>
      </c>
      <c r="E15321">
        <v>16.698</v>
      </c>
    </row>
    <row r="15322" spans="1:5">
      <c r="A15322" t="s">
        <v>43431</v>
      </c>
      <c r="B15322" t="s">
        <v>31276</v>
      </c>
      <c r="C15322">
        <v>1.8448160300900001E-2</v>
      </c>
      <c r="D15322">
        <v>0.99997773541199997</v>
      </c>
      <c r="E15322">
        <v>16.698</v>
      </c>
    </row>
    <row r="15323" spans="1:5">
      <c r="A15323" t="s">
        <v>43431</v>
      </c>
      <c r="B15323" t="s">
        <v>31279</v>
      </c>
      <c r="C15323">
        <v>6.3381508910499998E-2</v>
      </c>
      <c r="D15323">
        <v>0.99997773541199997</v>
      </c>
      <c r="E15323">
        <v>16.698</v>
      </c>
    </row>
    <row r="15324" spans="1:5">
      <c r="A15324" t="s">
        <v>43431</v>
      </c>
      <c r="B15324" t="s">
        <v>31267</v>
      </c>
      <c r="C15324">
        <f>0</f>
        <v>0</v>
      </c>
      <c r="D15324">
        <v>0.99997773541199997</v>
      </c>
      <c r="E15324">
        <v>16.698</v>
      </c>
    </row>
    <row r="15325" spans="1:5">
      <c r="A15325" t="s">
        <v>43432</v>
      </c>
      <c r="B15325" t="s">
        <v>43433</v>
      </c>
      <c r="C15325">
        <v>0.32983108661499999</v>
      </c>
      <c r="D15325">
        <v>0.974760393861</v>
      </c>
      <c r="E15325">
        <v>12.215999999999999</v>
      </c>
    </row>
    <row r="15326" spans="1:5">
      <c r="A15326" t="s">
        <v>43432</v>
      </c>
      <c r="B15326" t="s">
        <v>43434</v>
      </c>
      <c r="C15326">
        <f>0</f>
        <v>0</v>
      </c>
      <c r="D15326">
        <v>0.974760393861</v>
      </c>
      <c r="E15326">
        <v>12.215999999999999</v>
      </c>
    </row>
    <row r="15327" spans="1:5">
      <c r="A15327" t="s">
        <v>43432</v>
      </c>
      <c r="B15327" t="s">
        <v>43435</v>
      </c>
      <c r="C15327">
        <v>2.0142940347699999E-2</v>
      </c>
      <c r="D15327">
        <v>0.974760393861</v>
      </c>
      <c r="E15327">
        <v>12.215999999999999</v>
      </c>
    </row>
    <row r="15328" spans="1:5">
      <c r="A15328" t="s">
        <v>43432</v>
      </c>
      <c r="B15328" t="s">
        <v>43436</v>
      </c>
      <c r="C15328">
        <v>0</v>
      </c>
      <c r="D15328">
        <v>0.974760393861</v>
      </c>
      <c r="E15328">
        <v>12.215999999999999</v>
      </c>
    </row>
    <row r="15329" spans="1:5">
      <c r="A15329" t="s">
        <v>43432</v>
      </c>
      <c r="B15329" t="s">
        <v>43437</v>
      </c>
      <c r="C15329">
        <v>0.30576141684199998</v>
      </c>
      <c r="D15329">
        <v>0.974760393861</v>
      </c>
      <c r="E15329">
        <v>12.215999999999999</v>
      </c>
    </row>
    <row r="15330" spans="1:5">
      <c r="A15330" t="s">
        <v>43432</v>
      </c>
      <c r="B15330" t="s">
        <v>43438</v>
      </c>
      <c r="C15330">
        <f>0</f>
        <v>0</v>
      </c>
      <c r="D15330">
        <v>0.974760393861</v>
      </c>
      <c r="E15330">
        <v>12.215999999999999</v>
      </c>
    </row>
    <row r="15331" spans="1:5">
      <c r="A15331" t="s">
        <v>43432</v>
      </c>
      <c r="B15331" t="s">
        <v>43439</v>
      </c>
      <c r="C15331">
        <f>0.405519322551</f>
        <v>0.40551932255099998</v>
      </c>
      <c r="D15331">
        <v>0.974760393861</v>
      </c>
      <c r="E15331">
        <v>12.215999999999999</v>
      </c>
    </row>
    <row r="15332" spans="1:5">
      <c r="A15332" t="s">
        <v>43432</v>
      </c>
      <c r="B15332" t="s">
        <v>43440</v>
      </c>
      <c r="C15332">
        <v>0</v>
      </c>
      <c r="D15332">
        <v>0.974760393861</v>
      </c>
      <c r="E15332">
        <v>12.215999999999999</v>
      </c>
    </row>
    <row r="15333" spans="1:5">
      <c r="A15333" t="s">
        <v>43432</v>
      </c>
      <c r="B15333" t="s">
        <v>43441</v>
      </c>
      <c r="C15333">
        <f>0.388360023425</f>
        <v>0.38836002342499998</v>
      </c>
      <c r="D15333">
        <v>0.974760393861</v>
      </c>
      <c r="E15333">
        <v>12.215999999999999</v>
      </c>
    </row>
    <row r="15334" spans="1:5">
      <c r="A15334" t="s">
        <v>43432</v>
      </c>
      <c r="B15334" t="s">
        <v>43442</v>
      </c>
      <c r="C15334">
        <f>0</f>
        <v>0</v>
      </c>
      <c r="D15334">
        <v>0.974760393861</v>
      </c>
      <c r="E15334">
        <v>12.215999999999999</v>
      </c>
    </row>
    <row r="15335" spans="1:5">
      <c r="A15335" t="s">
        <v>43432</v>
      </c>
      <c r="B15335" t="s">
        <v>43443</v>
      </c>
      <c r="C15335">
        <f>0</f>
        <v>0</v>
      </c>
      <c r="D15335">
        <v>0.974760393861</v>
      </c>
      <c r="E15335">
        <v>12.215999999999999</v>
      </c>
    </row>
    <row r="15336" spans="1:5">
      <c r="A15336" t="s">
        <v>43432</v>
      </c>
      <c r="B15336" t="s">
        <v>43444</v>
      </c>
      <c r="C15336">
        <v>0</v>
      </c>
      <c r="D15336">
        <v>0.974760393861</v>
      </c>
      <c r="E15336">
        <v>12.215999999999999</v>
      </c>
    </row>
    <row r="15337" spans="1:5">
      <c r="A15337" t="s">
        <v>43445</v>
      </c>
      <c r="B15337" t="s">
        <v>43446</v>
      </c>
      <c r="C15337">
        <v>0.44455330743900001</v>
      </c>
      <c r="D15337">
        <v>0.63074721958199997</v>
      </c>
      <c r="E15337">
        <v>7.4640000000000004</v>
      </c>
    </row>
    <row r="15338" spans="1:5">
      <c r="A15338" t="s">
        <v>43445</v>
      </c>
      <c r="B15338" t="s">
        <v>43447</v>
      </c>
      <c r="C15338">
        <v>8.8132502268100002E-2</v>
      </c>
      <c r="D15338">
        <v>0.63074721958199997</v>
      </c>
      <c r="E15338">
        <v>7.4640000000000004</v>
      </c>
    </row>
    <row r="15339" spans="1:5">
      <c r="A15339" t="s">
        <v>43448</v>
      </c>
      <c r="B15339" t="s">
        <v>18311</v>
      </c>
      <c r="C15339">
        <f>0.0733202340347</f>
        <v>7.3320234034700005E-2</v>
      </c>
      <c r="D15339">
        <v>0.63125753596199996</v>
      </c>
      <c r="E15339">
        <v>0</v>
      </c>
    </row>
    <row r="15340" spans="1:5">
      <c r="A15340" t="s">
        <v>43448</v>
      </c>
      <c r="B15340" t="s">
        <v>18313</v>
      </c>
      <c r="C15340">
        <f>0.476191979176</f>
        <v>0.47619197917599998</v>
      </c>
      <c r="D15340">
        <v>0.63125753596199996</v>
      </c>
      <c r="E15340">
        <v>0</v>
      </c>
    </row>
    <row r="15341" spans="1:5">
      <c r="A15341" t="s">
        <v>43448</v>
      </c>
      <c r="B15341" t="s">
        <v>18312</v>
      </c>
      <c r="C15341">
        <v>0</v>
      </c>
      <c r="D15341">
        <v>0.63125753596199996</v>
      </c>
      <c r="E15341">
        <v>0</v>
      </c>
    </row>
    <row r="15342" spans="1:5">
      <c r="A15342" t="s">
        <v>43449</v>
      </c>
      <c r="B15342" t="s">
        <v>6948</v>
      </c>
      <c r="C15342">
        <f>0.76982203598</f>
        <v>0.76982203597999999</v>
      </c>
      <c r="D15342">
        <v>0.97642593284400003</v>
      </c>
      <c r="E15342">
        <v>10.878</v>
      </c>
    </row>
    <row r="15343" spans="1:5">
      <c r="A15343" t="s">
        <v>43449</v>
      </c>
      <c r="B15343" t="s">
        <v>6949</v>
      </c>
      <c r="C15343">
        <v>0.762592750604</v>
      </c>
      <c r="D15343">
        <v>0.97642593284400003</v>
      </c>
      <c r="E15343">
        <v>10.878</v>
      </c>
    </row>
    <row r="15344" spans="1:5">
      <c r="A15344" t="s">
        <v>43449</v>
      </c>
      <c r="B15344" t="s">
        <v>6951</v>
      </c>
      <c r="C15344">
        <v>0</v>
      </c>
      <c r="D15344">
        <v>0.97642593284400003</v>
      </c>
      <c r="E15344">
        <v>10.878</v>
      </c>
    </row>
    <row r="15345" spans="1:5">
      <c r="A15345" t="s">
        <v>43449</v>
      </c>
      <c r="B15345" t="s">
        <v>6950</v>
      </c>
      <c r="C15345">
        <f>0</f>
        <v>0</v>
      </c>
      <c r="D15345">
        <v>0.97642593284400003</v>
      </c>
      <c r="E15345">
        <v>10.878</v>
      </c>
    </row>
    <row r="15346" spans="1:5">
      <c r="A15346" t="s">
        <v>43450</v>
      </c>
      <c r="B15346" t="s">
        <v>43451</v>
      </c>
      <c r="C15346">
        <f>0</f>
        <v>0</v>
      </c>
      <c r="D15346" t="s">
        <v>106</v>
      </c>
      <c r="E15346">
        <v>10.715999999999999</v>
      </c>
    </row>
    <row r="15347" spans="1:5">
      <c r="A15347" t="s">
        <v>43450</v>
      </c>
      <c r="B15347" t="s">
        <v>43452</v>
      </c>
      <c r="C15347">
        <v>0</v>
      </c>
      <c r="D15347" t="s">
        <v>106</v>
      </c>
      <c r="E15347">
        <v>10.715999999999999</v>
      </c>
    </row>
    <row r="15348" spans="1:5">
      <c r="A15348" t="s">
        <v>43453</v>
      </c>
      <c r="B15348" t="s">
        <v>25926</v>
      </c>
      <c r="C15348">
        <f>0</f>
        <v>0</v>
      </c>
      <c r="D15348">
        <v>0.70795772465899998</v>
      </c>
      <c r="E15348">
        <v>10.08</v>
      </c>
    </row>
    <row r="15349" spans="1:5">
      <c r="A15349" t="s">
        <v>43453</v>
      </c>
      <c r="B15349" t="s">
        <v>25918</v>
      </c>
      <c r="C15349">
        <v>0</v>
      </c>
      <c r="D15349">
        <v>0.70795772465899998</v>
      </c>
      <c r="E15349">
        <v>10.08</v>
      </c>
    </row>
    <row r="15350" spans="1:5">
      <c r="A15350" t="s">
        <v>43453</v>
      </c>
      <c r="B15350" t="s">
        <v>25925</v>
      </c>
      <c r="C15350">
        <v>0</v>
      </c>
      <c r="D15350">
        <v>0.70795772465899998</v>
      </c>
      <c r="E15350">
        <v>10.08</v>
      </c>
    </row>
    <row r="15351" spans="1:5">
      <c r="A15351" t="s">
        <v>43453</v>
      </c>
      <c r="B15351" t="s">
        <v>25924</v>
      </c>
      <c r="C15351">
        <f>0</f>
        <v>0</v>
      </c>
      <c r="D15351">
        <v>0.70795772465899998</v>
      </c>
      <c r="E15351">
        <v>10.08</v>
      </c>
    </row>
    <row r="15352" spans="1:5">
      <c r="A15352" t="s">
        <v>43453</v>
      </c>
      <c r="B15352" t="s">
        <v>25923</v>
      </c>
      <c r="C15352">
        <f>0.347947724659</f>
        <v>0.34794772465899998</v>
      </c>
      <c r="D15352">
        <v>0.70795772465899998</v>
      </c>
      <c r="E15352">
        <v>10.08</v>
      </c>
    </row>
    <row r="15353" spans="1:5">
      <c r="A15353" t="s">
        <v>43453</v>
      </c>
      <c r="B15353" t="s">
        <v>25922</v>
      </c>
      <c r="C15353">
        <v>0</v>
      </c>
      <c r="D15353">
        <v>0.70795772465899998</v>
      </c>
      <c r="E15353">
        <v>10.08</v>
      </c>
    </row>
    <row r="15354" spans="1:5">
      <c r="A15354" t="s">
        <v>43454</v>
      </c>
      <c r="B15354" t="s">
        <v>30145</v>
      </c>
      <c r="C15354">
        <v>0.50042873025500001</v>
      </c>
      <c r="D15354">
        <v>0.88128462171599997</v>
      </c>
      <c r="E15354">
        <v>2.88</v>
      </c>
    </row>
    <row r="15355" spans="1:5">
      <c r="A15355" t="s">
        <v>43454</v>
      </c>
      <c r="B15355" t="s">
        <v>30146</v>
      </c>
      <c r="C15355">
        <v>0.30860989336799999</v>
      </c>
      <c r="D15355">
        <v>0.88128462171599997</v>
      </c>
      <c r="E15355">
        <v>2.88</v>
      </c>
    </row>
    <row r="15356" spans="1:5">
      <c r="A15356" t="s">
        <v>43455</v>
      </c>
      <c r="B15356" t="s">
        <v>31994</v>
      </c>
      <c r="C15356">
        <f>0.303330894885</f>
        <v>0.30333089488499998</v>
      </c>
      <c r="D15356">
        <v>0.86904477337099995</v>
      </c>
      <c r="E15356">
        <v>24</v>
      </c>
    </row>
    <row r="15357" spans="1:5">
      <c r="A15357" t="s">
        <v>43455</v>
      </c>
      <c r="B15357" t="s">
        <v>31995</v>
      </c>
      <c r="C15357">
        <f>0.608996729336</f>
        <v>0.60899672933600002</v>
      </c>
      <c r="D15357">
        <v>0.86904477337099995</v>
      </c>
      <c r="E15357">
        <v>24</v>
      </c>
    </row>
    <row r="15358" spans="1:5">
      <c r="A15358" t="s">
        <v>43455</v>
      </c>
      <c r="B15358" t="s">
        <v>31997</v>
      </c>
      <c r="C15358">
        <f>0.321278782735</f>
        <v>0.32127878273499999</v>
      </c>
      <c r="D15358">
        <v>0.86904477337099995</v>
      </c>
      <c r="E15358">
        <v>24</v>
      </c>
    </row>
    <row r="15359" spans="1:5">
      <c r="A15359" t="s">
        <v>43455</v>
      </c>
      <c r="B15359" t="s">
        <v>31998</v>
      </c>
      <c r="C15359">
        <v>0.158960938488</v>
      </c>
      <c r="D15359">
        <v>0.86904477337099995</v>
      </c>
      <c r="E15359">
        <v>24</v>
      </c>
    </row>
    <row r="15360" spans="1:5">
      <c r="A15360" t="s">
        <v>43456</v>
      </c>
      <c r="B15360" t="s">
        <v>29461</v>
      </c>
      <c r="C15360">
        <v>0.52597505488999996</v>
      </c>
      <c r="D15360">
        <v>0.99729017861900005</v>
      </c>
      <c r="E15360">
        <v>24</v>
      </c>
    </row>
    <row r="15361" spans="1:5">
      <c r="A15361" t="s">
        <v>43456</v>
      </c>
      <c r="B15361" t="s">
        <v>29454</v>
      </c>
      <c r="C15361">
        <v>0.79741362257899995</v>
      </c>
      <c r="D15361">
        <v>0.99729017861900005</v>
      </c>
      <c r="E15361">
        <v>24</v>
      </c>
    </row>
    <row r="15362" spans="1:5">
      <c r="A15362" t="s">
        <v>43456</v>
      </c>
      <c r="B15362" t="s">
        <v>29449</v>
      </c>
      <c r="C15362">
        <f>-1.30024150179</f>
        <v>-1.30024150179</v>
      </c>
      <c r="D15362">
        <v>0.99729017861900005</v>
      </c>
      <c r="E15362">
        <v>24</v>
      </c>
    </row>
    <row r="15363" spans="1:5">
      <c r="A15363" t="s">
        <v>43456</v>
      </c>
      <c r="B15363" t="s">
        <v>29455</v>
      </c>
      <c r="C15363">
        <v>0.107532190316</v>
      </c>
      <c r="D15363">
        <v>0.99729017861900005</v>
      </c>
      <c r="E15363">
        <v>24</v>
      </c>
    </row>
    <row r="15364" spans="1:5">
      <c r="A15364" t="s">
        <v>43456</v>
      </c>
      <c r="B15364" t="s">
        <v>29457</v>
      </c>
      <c r="C15364">
        <f>0.200272424063</f>
        <v>0.200272424063</v>
      </c>
      <c r="D15364">
        <v>0.99729017861900005</v>
      </c>
      <c r="E15364">
        <v>24</v>
      </c>
    </row>
    <row r="15365" spans="1:5">
      <c r="A15365" t="s">
        <v>43456</v>
      </c>
      <c r="B15365" t="s">
        <v>29460</v>
      </c>
      <c r="C15365">
        <f>0.188666748247</f>
        <v>0.188666748247</v>
      </c>
      <c r="D15365">
        <v>0.99729017861900005</v>
      </c>
      <c r="E15365">
        <v>24</v>
      </c>
    </row>
    <row r="15366" spans="1:5">
      <c r="A15366" t="s">
        <v>43456</v>
      </c>
      <c r="B15366" t="s">
        <v>29459</v>
      </c>
      <c r="C15366">
        <v>0.33336946442600002</v>
      </c>
      <c r="D15366">
        <v>0.99729017861900005</v>
      </c>
      <c r="E15366">
        <v>24</v>
      </c>
    </row>
    <row r="15367" spans="1:5">
      <c r="A15367" t="s">
        <v>43457</v>
      </c>
      <c r="B15367" t="s">
        <v>4684</v>
      </c>
      <c r="C15367">
        <v>0</v>
      </c>
      <c r="D15367">
        <v>0.69588172568100004</v>
      </c>
      <c r="E15367">
        <v>12.048</v>
      </c>
    </row>
    <row r="15368" spans="1:5">
      <c r="A15368" t="s">
        <v>43457</v>
      </c>
      <c r="B15368" t="s">
        <v>4689</v>
      </c>
      <c r="C15368">
        <f>0</f>
        <v>0</v>
      </c>
      <c r="D15368">
        <v>0.69588172568100004</v>
      </c>
      <c r="E15368">
        <v>12.048</v>
      </c>
    </row>
    <row r="15369" spans="1:5">
      <c r="A15369" t="s">
        <v>43457</v>
      </c>
      <c r="B15369" t="s">
        <v>4688</v>
      </c>
      <c r="C15369">
        <v>0</v>
      </c>
      <c r="D15369">
        <v>0.69588172568100004</v>
      </c>
      <c r="E15369">
        <v>12.048</v>
      </c>
    </row>
    <row r="15370" spans="1:5">
      <c r="A15370" t="s">
        <v>43457</v>
      </c>
      <c r="B15370" t="s">
        <v>4690</v>
      </c>
      <c r="C15370">
        <v>0.425471725681</v>
      </c>
      <c r="D15370">
        <v>0.69588172568100004</v>
      </c>
      <c r="E15370">
        <v>12.048</v>
      </c>
    </row>
    <row r="15371" spans="1:5">
      <c r="A15371" t="s">
        <v>43458</v>
      </c>
      <c r="B15371" t="s">
        <v>27603</v>
      </c>
      <c r="C15371">
        <v>7.8220193130000004E-2</v>
      </c>
      <c r="D15371">
        <v>0.873452840382</v>
      </c>
      <c r="E15371">
        <v>4.4820000000000002</v>
      </c>
    </row>
    <row r="15372" spans="1:5">
      <c r="A15372" t="s">
        <v>43458</v>
      </c>
      <c r="B15372" t="s">
        <v>27607</v>
      </c>
      <c r="C15372">
        <v>0</v>
      </c>
      <c r="D15372">
        <v>0.873452840382</v>
      </c>
      <c r="E15372">
        <v>4.4820000000000002</v>
      </c>
    </row>
    <row r="15373" spans="1:5">
      <c r="A15373" t="s">
        <v>43458</v>
      </c>
      <c r="B15373" t="s">
        <v>27608</v>
      </c>
      <c r="C15373">
        <v>0</v>
      </c>
      <c r="D15373">
        <v>0.873452840382</v>
      </c>
      <c r="E15373">
        <v>4.4820000000000002</v>
      </c>
    </row>
    <row r="15374" spans="1:5">
      <c r="A15374" t="s">
        <v>43458</v>
      </c>
      <c r="B15374" t="s">
        <v>27604</v>
      </c>
      <c r="C15374">
        <v>0</v>
      </c>
      <c r="D15374">
        <v>0.873452840382</v>
      </c>
      <c r="E15374">
        <v>4.4820000000000002</v>
      </c>
    </row>
    <row r="15375" spans="1:5">
      <c r="A15375" t="s">
        <v>43458</v>
      </c>
      <c r="B15375" t="s">
        <v>27605</v>
      </c>
      <c r="C15375">
        <v>0.44521077175200002</v>
      </c>
      <c r="D15375">
        <v>0.873452840382</v>
      </c>
      <c r="E15375">
        <v>4.4820000000000002</v>
      </c>
    </row>
    <row r="15376" spans="1:5">
      <c r="A15376" t="s">
        <v>43458</v>
      </c>
      <c r="B15376" t="s">
        <v>27606</v>
      </c>
      <c r="C15376">
        <v>0</v>
      </c>
      <c r="D15376">
        <v>0.873452840382</v>
      </c>
      <c r="E15376">
        <v>4.4820000000000002</v>
      </c>
    </row>
    <row r="15377" spans="1:5">
      <c r="A15377" t="s">
        <v>43459</v>
      </c>
      <c r="B15377" t="s">
        <v>43460</v>
      </c>
      <c r="C15377">
        <v>0</v>
      </c>
      <c r="D15377" t="s">
        <v>106</v>
      </c>
      <c r="E15377">
        <v>23.754000000000001</v>
      </c>
    </row>
    <row r="15378" spans="1:5">
      <c r="A15378" t="s">
        <v>43459</v>
      </c>
      <c r="B15378" t="s">
        <v>43461</v>
      </c>
      <c r="C15378">
        <f>0</f>
        <v>0</v>
      </c>
      <c r="D15378" t="s">
        <v>106</v>
      </c>
      <c r="E15378">
        <v>23.754000000000001</v>
      </c>
    </row>
    <row r="15379" spans="1:5">
      <c r="A15379" t="s">
        <v>43459</v>
      </c>
      <c r="B15379" t="s">
        <v>43462</v>
      </c>
      <c r="C15379">
        <v>0</v>
      </c>
      <c r="D15379" t="s">
        <v>106</v>
      </c>
      <c r="E15379">
        <v>23.754000000000001</v>
      </c>
    </row>
    <row r="15380" spans="1:5">
      <c r="A15380" t="s">
        <v>43459</v>
      </c>
      <c r="B15380" t="s">
        <v>43463</v>
      </c>
      <c r="C15380">
        <v>0</v>
      </c>
      <c r="D15380" t="s">
        <v>106</v>
      </c>
      <c r="E15380">
        <v>23.754000000000001</v>
      </c>
    </row>
    <row r="15381" spans="1:5">
      <c r="A15381" t="s">
        <v>43459</v>
      </c>
      <c r="B15381" t="s">
        <v>43464</v>
      </c>
      <c r="C15381">
        <f>0</f>
        <v>0</v>
      </c>
      <c r="D15381" t="s">
        <v>106</v>
      </c>
      <c r="E15381">
        <v>23.754000000000001</v>
      </c>
    </row>
    <row r="15382" spans="1:5">
      <c r="A15382" t="s">
        <v>43465</v>
      </c>
      <c r="B15382" t="s">
        <v>18914</v>
      </c>
      <c r="C15382">
        <v>0</v>
      </c>
      <c r="D15382" t="s">
        <v>106</v>
      </c>
      <c r="E15382">
        <v>17.928000000000001</v>
      </c>
    </row>
    <row r="15383" spans="1:5">
      <c r="A15383" t="s">
        <v>43465</v>
      </c>
      <c r="B15383" t="s">
        <v>18920</v>
      </c>
      <c r="C15383">
        <f>0</f>
        <v>0</v>
      </c>
      <c r="D15383" t="s">
        <v>106</v>
      </c>
      <c r="E15383">
        <v>17.928000000000001</v>
      </c>
    </row>
    <row r="15384" spans="1:5">
      <c r="A15384" t="s">
        <v>43465</v>
      </c>
      <c r="B15384" t="s">
        <v>18915</v>
      </c>
      <c r="C15384">
        <f>0</f>
        <v>0</v>
      </c>
      <c r="D15384" t="s">
        <v>106</v>
      </c>
      <c r="E15384">
        <v>17.928000000000001</v>
      </c>
    </row>
    <row r="15385" spans="1:5">
      <c r="A15385" t="s">
        <v>43465</v>
      </c>
      <c r="B15385" t="s">
        <v>18918</v>
      </c>
      <c r="C15385">
        <f>0</f>
        <v>0</v>
      </c>
      <c r="D15385" t="s">
        <v>106</v>
      </c>
      <c r="E15385">
        <v>17.928000000000001</v>
      </c>
    </row>
    <row r="15386" spans="1:5">
      <c r="A15386" t="s">
        <v>43465</v>
      </c>
      <c r="B15386" t="s">
        <v>18923</v>
      </c>
      <c r="C15386">
        <f>0</f>
        <v>0</v>
      </c>
      <c r="D15386" t="s">
        <v>106</v>
      </c>
      <c r="E15386">
        <v>17.928000000000001</v>
      </c>
    </row>
    <row r="15387" spans="1:5">
      <c r="A15387" t="s">
        <v>43466</v>
      </c>
      <c r="B15387" t="s">
        <v>43467</v>
      </c>
      <c r="C15387">
        <f>0</f>
        <v>0</v>
      </c>
      <c r="D15387">
        <v>0.70320374836300004</v>
      </c>
      <c r="E15387">
        <v>1.17</v>
      </c>
    </row>
    <row r="15388" spans="1:5">
      <c r="A15388" t="s">
        <v>43466</v>
      </c>
      <c r="B15388" t="s">
        <v>43468</v>
      </c>
      <c r="C15388">
        <v>0</v>
      </c>
      <c r="D15388">
        <v>0.70320374836300004</v>
      </c>
      <c r="E15388">
        <v>1.17</v>
      </c>
    </row>
    <row r="15389" spans="1:5">
      <c r="A15389" t="s">
        <v>43466</v>
      </c>
      <c r="B15389" t="s">
        <v>43469</v>
      </c>
      <c r="C15389">
        <f>0.432793748363</f>
        <v>0.432793748363</v>
      </c>
      <c r="D15389">
        <v>0.70320374836300004</v>
      </c>
      <c r="E15389">
        <v>1.17</v>
      </c>
    </row>
    <row r="15390" spans="1:5">
      <c r="A15390" t="s">
        <v>43470</v>
      </c>
      <c r="B15390" t="s">
        <v>43471</v>
      </c>
      <c r="C15390">
        <f>0</f>
        <v>0</v>
      </c>
      <c r="D15390" t="s">
        <v>106</v>
      </c>
      <c r="E15390">
        <v>1.2E-2</v>
      </c>
    </row>
    <row r="15391" spans="1:5">
      <c r="A15391" t="s">
        <v>43470</v>
      </c>
      <c r="B15391" t="s">
        <v>43472</v>
      </c>
      <c r="C15391">
        <f>0</f>
        <v>0</v>
      </c>
      <c r="D15391" t="s">
        <v>106</v>
      </c>
      <c r="E15391">
        <v>1.2E-2</v>
      </c>
    </row>
    <row r="15392" spans="1:5">
      <c r="A15392" t="s">
        <v>43473</v>
      </c>
      <c r="B15392" t="s">
        <v>23531</v>
      </c>
      <c r="C15392">
        <f>0.666602066336</f>
        <v>0.66660206633600005</v>
      </c>
      <c r="D15392">
        <v>0.82661206633600004</v>
      </c>
      <c r="E15392">
        <v>3.5999999999999997E-2</v>
      </c>
    </row>
    <row r="15393" spans="1:5">
      <c r="A15393" t="s">
        <v>43473</v>
      </c>
      <c r="B15393" t="s">
        <v>23533</v>
      </c>
      <c r="C15393">
        <f>0</f>
        <v>0</v>
      </c>
      <c r="D15393">
        <v>0.82661206633600004</v>
      </c>
      <c r="E15393">
        <v>3.5999999999999997E-2</v>
      </c>
    </row>
    <row r="15394" spans="1:5">
      <c r="A15394" t="s">
        <v>43473</v>
      </c>
      <c r="B15394" t="s">
        <v>23532</v>
      </c>
      <c r="C15394">
        <v>0</v>
      </c>
      <c r="D15394">
        <v>0.82661206633600004</v>
      </c>
      <c r="E15394">
        <v>3.5999999999999997E-2</v>
      </c>
    </row>
    <row r="15395" spans="1:5">
      <c r="A15395" t="s">
        <v>43473</v>
      </c>
      <c r="B15395" t="s">
        <v>23537</v>
      </c>
      <c r="C15395">
        <f>0</f>
        <v>0</v>
      </c>
      <c r="D15395">
        <v>0.82661206633600004</v>
      </c>
      <c r="E15395">
        <v>3.5999999999999997E-2</v>
      </c>
    </row>
    <row r="15396" spans="1:5">
      <c r="A15396" t="s">
        <v>43474</v>
      </c>
      <c r="B15396" t="s">
        <v>43475</v>
      </c>
      <c r="C15396">
        <v>0.27868417565999998</v>
      </c>
      <c r="D15396">
        <v>0.47229417565999998</v>
      </c>
      <c r="E15396">
        <v>10.242000000000001</v>
      </c>
    </row>
    <row r="15397" spans="1:5">
      <c r="A15397" t="s">
        <v>43474</v>
      </c>
      <c r="B15397" t="s">
        <v>43476</v>
      </c>
      <c r="C15397">
        <f>0</f>
        <v>0</v>
      </c>
      <c r="D15397">
        <v>0.47229417565999998</v>
      </c>
      <c r="E15397">
        <v>10.242000000000001</v>
      </c>
    </row>
    <row r="15398" spans="1:5">
      <c r="A15398" t="s">
        <v>43477</v>
      </c>
      <c r="B15398" t="s">
        <v>43478</v>
      </c>
      <c r="C15398">
        <v>0.77818067939500002</v>
      </c>
      <c r="D15398">
        <v>0.87813610412200005</v>
      </c>
      <c r="E15398">
        <v>2.6339999999999999</v>
      </c>
    </row>
    <row r="15399" spans="1:5">
      <c r="A15399" t="s">
        <v>43477</v>
      </c>
      <c r="B15399" t="s">
        <v>43479</v>
      </c>
      <c r="C15399">
        <v>1.151771919</v>
      </c>
      <c r="D15399">
        <v>0.87813610412200005</v>
      </c>
      <c r="E15399">
        <v>2.6339999999999999</v>
      </c>
    </row>
    <row r="15400" spans="1:5">
      <c r="A15400" t="s">
        <v>43477</v>
      </c>
      <c r="B15400" t="s">
        <v>43480</v>
      </c>
      <c r="C15400">
        <v>0.20427596767799999</v>
      </c>
      <c r="D15400">
        <v>0.87813610412200005</v>
      </c>
      <c r="E15400">
        <v>2.6339999999999999</v>
      </c>
    </row>
    <row r="15401" spans="1:5">
      <c r="A15401" t="s">
        <v>43477</v>
      </c>
      <c r="B15401" t="s">
        <v>43481</v>
      </c>
      <c r="C15401">
        <f>0.117057304455</f>
        <v>0.117057304455</v>
      </c>
      <c r="D15401">
        <v>0.87813610412200005</v>
      </c>
      <c r="E15401">
        <v>2.6339999999999999</v>
      </c>
    </row>
    <row r="15402" spans="1:5">
      <c r="A15402" t="s">
        <v>43482</v>
      </c>
      <c r="B15402" t="s">
        <v>5807</v>
      </c>
      <c r="C15402">
        <v>0</v>
      </c>
      <c r="D15402" t="s">
        <v>106</v>
      </c>
      <c r="E15402">
        <v>4.6920000000000002</v>
      </c>
    </row>
    <row r="15403" spans="1:5">
      <c r="A15403" t="s">
        <v>43482</v>
      </c>
      <c r="B15403" t="s">
        <v>5808</v>
      </c>
      <c r="C15403">
        <v>0</v>
      </c>
      <c r="D15403" t="s">
        <v>106</v>
      </c>
      <c r="E15403">
        <v>4.6920000000000002</v>
      </c>
    </row>
    <row r="15404" spans="1:5">
      <c r="A15404" t="s">
        <v>43483</v>
      </c>
      <c r="B15404" t="s">
        <v>21206</v>
      </c>
      <c r="C15404">
        <f>0.454317256284</f>
        <v>0.45431725628399999</v>
      </c>
      <c r="D15404">
        <v>0.87095038461399998</v>
      </c>
      <c r="E15404">
        <v>23.754000000000001</v>
      </c>
    </row>
    <row r="15405" spans="1:5">
      <c r="A15405" t="s">
        <v>43483</v>
      </c>
      <c r="B15405" t="s">
        <v>21208</v>
      </c>
      <c r="C15405">
        <v>0.60567590878599997</v>
      </c>
      <c r="D15405">
        <v>0.87095038461399998</v>
      </c>
      <c r="E15405">
        <v>23.754000000000001</v>
      </c>
    </row>
    <row r="15406" spans="1:5">
      <c r="A15406" t="s">
        <v>43483</v>
      </c>
      <c r="B15406" t="s">
        <v>21211</v>
      </c>
      <c r="C15406">
        <f>0.775652206112</f>
        <v>0.77565220611200003</v>
      </c>
      <c r="D15406">
        <v>0.87095038461399998</v>
      </c>
      <c r="E15406">
        <v>23.754000000000001</v>
      </c>
    </row>
    <row r="15407" spans="1:5">
      <c r="A15407" t="s">
        <v>43483</v>
      </c>
      <c r="B15407" t="s">
        <v>21212</v>
      </c>
      <c r="C15407">
        <v>0.25169398760799999</v>
      </c>
      <c r="D15407">
        <v>0.87095038461399998</v>
      </c>
      <c r="E15407">
        <v>23.754000000000001</v>
      </c>
    </row>
    <row r="15408" spans="1:5">
      <c r="A15408" t="s">
        <v>43484</v>
      </c>
      <c r="B15408" t="s">
        <v>18806</v>
      </c>
      <c r="C15408">
        <v>0.513935360339</v>
      </c>
      <c r="D15408">
        <v>0.81011291715199996</v>
      </c>
      <c r="E15408">
        <v>0</v>
      </c>
    </row>
    <row r="15409" spans="1:5">
      <c r="A15409" t="s">
        <v>43484</v>
      </c>
      <c r="B15409" t="s">
        <v>18807</v>
      </c>
      <c r="C15409">
        <f>0.0770635172064</f>
        <v>7.7063517206400006E-2</v>
      </c>
      <c r="D15409">
        <v>0.81011291715199996</v>
      </c>
      <c r="E15409">
        <v>0</v>
      </c>
    </row>
    <row r="15410" spans="1:5">
      <c r="A15410" t="s">
        <v>43484</v>
      </c>
      <c r="B15410" t="s">
        <v>18809</v>
      </c>
      <c r="C15410">
        <v>0.508635344607</v>
      </c>
      <c r="D15410">
        <v>0.81011291715199996</v>
      </c>
      <c r="E15410">
        <v>0</v>
      </c>
    </row>
    <row r="15411" spans="1:5">
      <c r="A15411" t="s">
        <v>43485</v>
      </c>
      <c r="B15411" t="s">
        <v>43486</v>
      </c>
      <c r="C15411">
        <f>0</f>
        <v>0</v>
      </c>
      <c r="D15411">
        <v>0.54048602005000002</v>
      </c>
      <c r="E15411">
        <v>23.754000000000001</v>
      </c>
    </row>
    <row r="15412" spans="1:5">
      <c r="A15412" t="s">
        <v>43485</v>
      </c>
      <c r="B15412" t="s">
        <v>43487</v>
      </c>
      <c r="C15412">
        <v>0</v>
      </c>
      <c r="D15412">
        <v>0.54048602005000002</v>
      </c>
      <c r="E15412">
        <v>23.754000000000001</v>
      </c>
    </row>
    <row r="15413" spans="1:5">
      <c r="A15413" t="s">
        <v>43485</v>
      </c>
      <c r="B15413" t="s">
        <v>43488</v>
      </c>
      <c r="C15413">
        <v>0.41087602005000001</v>
      </c>
      <c r="D15413">
        <v>0.54048602005000002</v>
      </c>
      <c r="E15413">
        <v>23.754000000000001</v>
      </c>
    </row>
    <row r="15414" spans="1:5">
      <c r="A15414" t="s">
        <v>43489</v>
      </c>
      <c r="B15414" t="s">
        <v>18035</v>
      </c>
      <c r="C15414">
        <v>0</v>
      </c>
      <c r="D15414" t="s">
        <v>106</v>
      </c>
      <c r="E15414">
        <v>18.138000000000002</v>
      </c>
    </row>
    <row r="15415" spans="1:5">
      <c r="A15415" t="s">
        <v>43489</v>
      </c>
      <c r="B15415" t="s">
        <v>18034</v>
      </c>
      <c r="C15415">
        <f>0</f>
        <v>0</v>
      </c>
      <c r="D15415" t="s">
        <v>106</v>
      </c>
      <c r="E15415">
        <v>18.138000000000002</v>
      </c>
    </row>
    <row r="15416" spans="1:5">
      <c r="A15416" t="s">
        <v>43489</v>
      </c>
      <c r="B15416" t="s">
        <v>18036</v>
      </c>
      <c r="C15416">
        <v>0</v>
      </c>
      <c r="D15416" t="s">
        <v>106</v>
      </c>
      <c r="E15416">
        <v>18.138000000000002</v>
      </c>
    </row>
    <row r="15417" spans="1:5">
      <c r="A15417" t="s">
        <v>43490</v>
      </c>
      <c r="B15417" t="s">
        <v>23374</v>
      </c>
      <c r="C15417">
        <v>0.40230154007899999</v>
      </c>
      <c r="D15417">
        <v>0.92800778927000005</v>
      </c>
      <c r="E15417">
        <v>1.452</v>
      </c>
    </row>
    <row r="15418" spans="1:5">
      <c r="A15418" t="s">
        <v>43490</v>
      </c>
      <c r="B15418" t="s">
        <v>23382</v>
      </c>
      <c r="C15418">
        <v>0.30193337737499998</v>
      </c>
      <c r="D15418">
        <v>0.92800778927000005</v>
      </c>
      <c r="E15418">
        <v>1.452</v>
      </c>
    </row>
    <row r="15419" spans="1:5">
      <c r="A15419" t="s">
        <v>43490</v>
      </c>
      <c r="B15419" t="s">
        <v>23381</v>
      </c>
      <c r="C15419">
        <f>0</f>
        <v>0</v>
      </c>
      <c r="D15419">
        <v>0.92800778927000005</v>
      </c>
      <c r="E15419">
        <v>1.452</v>
      </c>
    </row>
    <row r="15420" spans="1:5">
      <c r="A15420" t="s">
        <v>43490</v>
      </c>
      <c r="B15420" t="s">
        <v>23375</v>
      </c>
      <c r="C15420">
        <v>0</v>
      </c>
      <c r="D15420">
        <v>0.92800778927000005</v>
      </c>
      <c r="E15420">
        <v>1.452</v>
      </c>
    </row>
    <row r="15421" spans="1:5">
      <c r="A15421" t="s">
        <v>43490</v>
      </c>
      <c r="B15421" t="s">
        <v>23378</v>
      </c>
      <c r="C15421">
        <v>0.52149784226100004</v>
      </c>
      <c r="D15421">
        <v>0.92800778927000005</v>
      </c>
      <c r="E15421">
        <v>1.452</v>
      </c>
    </row>
    <row r="15422" spans="1:5">
      <c r="A15422" t="s">
        <v>43491</v>
      </c>
      <c r="B15422" t="s">
        <v>43492</v>
      </c>
      <c r="C15422">
        <v>0.67786648377100001</v>
      </c>
      <c r="D15422">
        <v>0.79147890821199995</v>
      </c>
      <c r="E15422">
        <v>6.3</v>
      </c>
    </row>
    <row r="15423" spans="1:5">
      <c r="A15423" t="s">
        <v>43491</v>
      </c>
      <c r="B15423" t="s">
        <v>43493</v>
      </c>
      <c r="C15423">
        <v>0.129104516847</v>
      </c>
      <c r="D15423">
        <v>0.79147890821199995</v>
      </c>
      <c r="E15423">
        <v>6.3</v>
      </c>
    </row>
    <row r="15424" spans="1:5">
      <c r="A15424" t="s">
        <v>43494</v>
      </c>
      <c r="B15424" t="s">
        <v>30661</v>
      </c>
      <c r="C15424">
        <f>0</f>
        <v>0</v>
      </c>
      <c r="D15424" t="s">
        <v>106</v>
      </c>
      <c r="E15424">
        <v>1.5720000000000001</v>
      </c>
    </row>
    <row r="15425" spans="1:5">
      <c r="A15425" t="s">
        <v>43494</v>
      </c>
      <c r="B15425" t="s">
        <v>30662</v>
      </c>
      <c r="C15425">
        <f>0</f>
        <v>0</v>
      </c>
      <c r="D15425" t="s">
        <v>106</v>
      </c>
      <c r="E15425">
        <v>1.5720000000000001</v>
      </c>
    </row>
    <row r="15426" spans="1:5">
      <c r="A15426" t="s">
        <v>43495</v>
      </c>
      <c r="B15426" t="s">
        <v>43496</v>
      </c>
      <c r="C15426">
        <v>0</v>
      </c>
      <c r="D15426">
        <v>0.66842409265400005</v>
      </c>
      <c r="E15426">
        <v>7.3319999999999999</v>
      </c>
    </row>
    <row r="15427" spans="1:5">
      <c r="A15427" t="s">
        <v>43495</v>
      </c>
      <c r="B15427" t="s">
        <v>43497</v>
      </c>
      <c r="C15427">
        <v>4.9836155195400002E-2</v>
      </c>
      <c r="D15427">
        <v>0.66842409265400005</v>
      </c>
      <c r="E15427">
        <v>7.3319999999999999</v>
      </c>
    </row>
    <row r="15428" spans="1:5">
      <c r="A15428" t="s">
        <v>43495</v>
      </c>
      <c r="B15428" t="s">
        <v>43498</v>
      </c>
      <c r="C15428">
        <f>0</f>
        <v>0</v>
      </c>
      <c r="D15428">
        <v>0.66842409265400005</v>
      </c>
      <c r="E15428">
        <v>7.3319999999999999</v>
      </c>
    </row>
    <row r="15429" spans="1:5">
      <c r="A15429" t="s">
        <v>43495</v>
      </c>
      <c r="B15429" t="s">
        <v>43499</v>
      </c>
      <c r="C15429">
        <v>0</v>
      </c>
      <c r="D15429">
        <v>0.66842409265400005</v>
      </c>
      <c r="E15429">
        <v>7.3319999999999999</v>
      </c>
    </row>
    <row r="15430" spans="1:5">
      <c r="A15430" t="s">
        <v>43495</v>
      </c>
      <c r="B15430" t="s">
        <v>43500</v>
      </c>
      <c r="C15430">
        <f>0</f>
        <v>0</v>
      </c>
      <c r="D15430">
        <v>0.66842409265400005</v>
      </c>
      <c r="E15430">
        <v>7.3319999999999999</v>
      </c>
    </row>
    <row r="15431" spans="1:5">
      <c r="A15431" t="s">
        <v>43495</v>
      </c>
      <c r="B15431" t="s">
        <v>43501</v>
      </c>
      <c r="C15431">
        <f>0.44612703272</f>
        <v>0.44612703271999998</v>
      </c>
      <c r="D15431">
        <v>0.66842409265400005</v>
      </c>
      <c r="E15431">
        <v>7.3319999999999999</v>
      </c>
    </row>
    <row r="15432" spans="1:5">
      <c r="A15432" t="s">
        <v>43495</v>
      </c>
      <c r="B15432" t="s">
        <v>43502</v>
      </c>
      <c r="C15432">
        <f>0</f>
        <v>0</v>
      </c>
      <c r="D15432">
        <v>0.66842409265400005</v>
      </c>
      <c r="E15432">
        <v>7.3319999999999999</v>
      </c>
    </row>
    <row r="15433" spans="1:5">
      <c r="A15433" t="s">
        <v>43503</v>
      </c>
      <c r="B15433" t="s">
        <v>12139</v>
      </c>
      <c r="C15433">
        <f>0</f>
        <v>0</v>
      </c>
      <c r="D15433" t="s">
        <v>106</v>
      </c>
      <c r="E15433">
        <v>6.06</v>
      </c>
    </row>
    <row r="15434" spans="1:5">
      <c r="A15434" t="s">
        <v>43503</v>
      </c>
      <c r="B15434" t="s">
        <v>12140</v>
      </c>
      <c r="C15434">
        <v>0</v>
      </c>
      <c r="D15434" t="s">
        <v>106</v>
      </c>
      <c r="E15434">
        <v>6.06</v>
      </c>
    </row>
    <row r="15435" spans="1:5">
      <c r="A15435" t="s">
        <v>43504</v>
      </c>
      <c r="B15435" t="s">
        <v>22042</v>
      </c>
      <c r="C15435">
        <v>0</v>
      </c>
      <c r="D15435" t="s">
        <v>106</v>
      </c>
      <c r="E15435">
        <v>8.2919999999999998</v>
      </c>
    </row>
    <row r="15436" spans="1:5">
      <c r="A15436" t="s">
        <v>43504</v>
      </c>
      <c r="B15436" t="s">
        <v>22047</v>
      </c>
      <c r="C15436">
        <v>0</v>
      </c>
      <c r="D15436" t="s">
        <v>106</v>
      </c>
      <c r="E15436">
        <v>8.2919999999999998</v>
      </c>
    </row>
    <row r="15437" spans="1:5">
      <c r="A15437" t="s">
        <v>43505</v>
      </c>
      <c r="B15437" t="s">
        <v>21288</v>
      </c>
      <c r="C15437">
        <f>0</f>
        <v>0</v>
      </c>
      <c r="D15437" t="s">
        <v>106</v>
      </c>
      <c r="E15437">
        <v>10.554</v>
      </c>
    </row>
    <row r="15438" spans="1:5">
      <c r="A15438" t="s">
        <v>43505</v>
      </c>
      <c r="B15438" t="s">
        <v>21287</v>
      </c>
      <c r="C15438">
        <f>0</f>
        <v>0</v>
      </c>
      <c r="D15438" t="s">
        <v>106</v>
      </c>
      <c r="E15438">
        <v>10.554</v>
      </c>
    </row>
    <row r="15439" spans="1:5">
      <c r="A15439" t="s">
        <v>43506</v>
      </c>
      <c r="B15439" t="s">
        <v>43507</v>
      </c>
      <c r="C15439">
        <f>0</f>
        <v>0</v>
      </c>
      <c r="D15439" t="s">
        <v>106</v>
      </c>
      <c r="E15439">
        <v>24</v>
      </c>
    </row>
    <row r="15440" spans="1:5">
      <c r="A15440" t="s">
        <v>43506</v>
      </c>
      <c r="B15440" t="s">
        <v>43508</v>
      </c>
      <c r="C15440">
        <f>0</f>
        <v>0</v>
      </c>
      <c r="D15440" t="s">
        <v>106</v>
      </c>
      <c r="E15440">
        <v>24</v>
      </c>
    </row>
    <row r="15441" spans="1:5">
      <c r="A15441" t="s">
        <v>43506</v>
      </c>
      <c r="B15441" t="s">
        <v>43509</v>
      </c>
      <c r="C15441">
        <f>0</f>
        <v>0</v>
      </c>
      <c r="D15441" t="s">
        <v>106</v>
      </c>
      <c r="E15441">
        <v>24</v>
      </c>
    </row>
    <row r="15442" spans="1:5">
      <c r="A15442" t="s">
        <v>43510</v>
      </c>
      <c r="B15442" t="s">
        <v>18865</v>
      </c>
      <c r="C15442">
        <v>0</v>
      </c>
      <c r="D15442">
        <v>0.94235609107100005</v>
      </c>
      <c r="E15442">
        <v>0.24</v>
      </c>
    </row>
    <row r="15443" spans="1:5">
      <c r="A15443" t="s">
        <v>43510</v>
      </c>
      <c r="B15443" t="s">
        <v>18870</v>
      </c>
      <c r="C15443">
        <f>0</f>
        <v>0</v>
      </c>
      <c r="D15443">
        <v>0.94235609107100005</v>
      </c>
      <c r="E15443">
        <v>0.24</v>
      </c>
    </row>
    <row r="15444" spans="1:5">
      <c r="A15444" t="s">
        <v>43510</v>
      </c>
      <c r="B15444" t="s">
        <v>18866</v>
      </c>
      <c r="C15444">
        <f>0</f>
        <v>0</v>
      </c>
      <c r="D15444">
        <v>0.94235609107100005</v>
      </c>
      <c r="E15444">
        <v>0.24</v>
      </c>
    </row>
    <row r="15445" spans="1:5">
      <c r="A15445" t="s">
        <v>43510</v>
      </c>
      <c r="B15445" t="s">
        <v>18871</v>
      </c>
      <c r="C15445">
        <v>0</v>
      </c>
      <c r="D15445">
        <v>0.94235609107100005</v>
      </c>
      <c r="E15445">
        <v>0.24</v>
      </c>
    </row>
    <row r="15446" spans="1:5">
      <c r="A15446" t="s">
        <v>43510</v>
      </c>
      <c r="B15446" t="s">
        <v>18867</v>
      </c>
      <c r="C15446">
        <v>0.59188372635499997</v>
      </c>
      <c r="D15446">
        <v>0.94235609107100005</v>
      </c>
      <c r="E15446">
        <v>0.24</v>
      </c>
    </row>
    <row r="15447" spans="1:5">
      <c r="A15447" t="s">
        <v>43510</v>
      </c>
      <c r="B15447" t="s">
        <v>18872</v>
      </c>
      <c r="C15447">
        <f>0</f>
        <v>0</v>
      </c>
      <c r="D15447">
        <v>0.94235609107100005</v>
      </c>
      <c r="E15447">
        <v>0.24</v>
      </c>
    </row>
    <row r="15448" spans="1:5">
      <c r="A15448" t="s">
        <v>43510</v>
      </c>
      <c r="B15448" t="s">
        <v>18869</v>
      </c>
      <c r="C15448">
        <v>0</v>
      </c>
      <c r="D15448">
        <v>0.94235609107100005</v>
      </c>
      <c r="E15448">
        <v>0.24</v>
      </c>
    </row>
    <row r="15449" spans="1:5">
      <c r="A15449" t="s">
        <v>43510</v>
      </c>
      <c r="B15449" t="s">
        <v>18864</v>
      </c>
      <c r="C15449">
        <v>0.33074829650699999</v>
      </c>
      <c r="D15449">
        <v>0.94235609107100005</v>
      </c>
      <c r="E15449">
        <v>0.24</v>
      </c>
    </row>
    <row r="15450" spans="1:5">
      <c r="A15450" t="s">
        <v>43511</v>
      </c>
      <c r="B15450" t="s">
        <v>43512</v>
      </c>
      <c r="C15450">
        <f>0</f>
        <v>0</v>
      </c>
      <c r="D15450">
        <v>0.52772829559599999</v>
      </c>
      <c r="E15450">
        <v>2.4780000000000002</v>
      </c>
    </row>
    <row r="15451" spans="1:5">
      <c r="A15451" t="s">
        <v>43511</v>
      </c>
      <c r="B15451" t="s">
        <v>43513</v>
      </c>
      <c r="C15451">
        <f>0.297318295596</f>
        <v>0.29731829559599998</v>
      </c>
      <c r="D15451">
        <v>0.52772829559599999</v>
      </c>
      <c r="E15451">
        <v>2.4780000000000002</v>
      </c>
    </row>
    <row r="15452" spans="1:5">
      <c r="A15452" t="s">
        <v>43514</v>
      </c>
      <c r="B15452" t="s">
        <v>7734</v>
      </c>
      <c r="C15452">
        <v>0</v>
      </c>
      <c r="D15452" t="s">
        <v>106</v>
      </c>
      <c r="E15452">
        <v>3.5999999999999997E-2</v>
      </c>
    </row>
    <row r="15453" spans="1:5">
      <c r="A15453" t="s">
        <v>43514</v>
      </c>
      <c r="B15453" t="s">
        <v>7737</v>
      </c>
      <c r="C15453">
        <f>0</f>
        <v>0</v>
      </c>
      <c r="D15453" t="s">
        <v>106</v>
      </c>
      <c r="E15453">
        <v>3.5999999999999997E-2</v>
      </c>
    </row>
    <row r="15454" spans="1:5">
      <c r="A15454" t="s">
        <v>43515</v>
      </c>
      <c r="B15454" t="s">
        <v>43516</v>
      </c>
      <c r="C15454">
        <v>0.633292383071</v>
      </c>
      <c r="D15454">
        <v>0.84906067277700004</v>
      </c>
      <c r="E15454">
        <v>1.512</v>
      </c>
    </row>
    <row r="15455" spans="1:5">
      <c r="A15455" t="s">
        <v>43515</v>
      </c>
      <c r="B15455" t="s">
        <v>43517</v>
      </c>
      <c r="C15455">
        <v>0.16800207417999999</v>
      </c>
      <c r="D15455">
        <v>0.84906067277700004</v>
      </c>
      <c r="E15455">
        <v>1.512</v>
      </c>
    </row>
    <row r="15456" spans="1:5">
      <c r="A15456" t="s">
        <v>43518</v>
      </c>
      <c r="B15456" t="s">
        <v>10501</v>
      </c>
      <c r="C15456">
        <f>0.177531337227</f>
        <v>0.17753133722700001</v>
      </c>
      <c r="D15456">
        <v>0.99998824166099998</v>
      </c>
      <c r="E15456">
        <v>15.708</v>
      </c>
    </row>
    <row r="15457" spans="1:5">
      <c r="A15457" t="s">
        <v>43518</v>
      </c>
      <c r="B15457" t="s">
        <v>10495</v>
      </c>
      <c r="C15457">
        <f>0.025059315251</f>
        <v>2.5059315251000001E-2</v>
      </c>
      <c r="D15457">
        <v>0.99998824166099998</v>
      </c>
      <c r="E15457">
        <v>15.708</v>
      </c>
    </row>
    <row r="15458" spans="1:5">
      <c r="A15458" t="s">
        <v>43518</v>
      </c>
      <c r="B15458" t="s">
        <v>10492</v>
      </c>
      <c r="C15458">
        <v>0.93342436855900002</v>
      </c>
      <c r="D15458">
        <v>0.99998824166099998</v>
      </c>
      <c r="E15458">
        <v>15.708</v>
      </c>
    </row>
    <row r="15459" spans="1:5">
      <c r="A15459" t="s">
        <v>43518</v>
      </c>
      <c r="B15459" t="s">
        <v>10497</v>
      </c>
      <c r="C15459">
        <f>-1.11763138799</f>
        <v>-1.1176313879899999</v>
      </c>
      <c r="D15459">
        <v>0.99998824166099998</v>
      </c>
      <c r="E15459">
        <v>15.708</v>
      </c>
    </row>
    <row r="15460" spans="1:5">
      <c r="A15460" t="s">
        <v>43518</v>
      </c>
      <c r="B15460" t="s">
        <v>10496</v>
      </c>
      <c r="C15460">
        <v>9.6058920744300003E-2</v>
      </c>
      <c r="D15460">
        <v>0.99998824166099998</v>
      </c>
      <c r="E15460">
        <v>15.708</v>
      </c>
    </row>
    <row r="15461" spans="1:5">
      <c r="A15461" t="s">
        <v>43518</v>
      </c>
      <c r="B15461" t="s">
        <v>10499</v>
      </c>
      <c r="C15461">
        <v>0.66405844910599998</v>
      </c>
      <c r="D15461">
        <v>0.99998824166099998</v>
      </c>
      <c r="E15461">
        <v>15.708</v>
      </c>
    </row>
    <row r="15462" spans="1:5">
      <c r="A15462" t="s">
        <v>43518</v>
      </c>
      <c r="B15462" t="s">
        <v>10498</v>
      </c>
      <c r="C15462">
        <v>0.21452191342900001</v>
      </c>
      <c r="D15462">
        <v>0.99998824166099998</v>
      </c>
      <c r="E15462">
        <v>15.708</v>
      </c>
    </row>
    <row r="15463" spans="1:5">
      <c r="A15463" t="s">
        <v>43519</v>
      </c>
      <c r="B15463" t="s">
        <v>43520</v>
      </c>
      <c r="C15463">
        <f>0</f>
        <v>0</v>
      </c>
      <c r="D15463" t="s">
        <v>106</v>
      </c>
      <c r="E15463">
        <v>7.2</v>
      </c>
    </row>
    <row r="15464" spans="1:5">
      <c r="A15464" t="s">
        <v>43519</v>
      </c>
      <c r="B15464" t="s">
        <v>43521</v>
      </c>
      <c r="C15464">
        <f>0</f>
        <v>0</v>
      </c>
      <c r="D15464" t="s">
        <v>106</v>
      </c>
      <c r="E15464">
        <v>7.2</v>
      </c>
    </row>
    <row r="15465" spans="1:5">
      <c r="A15465" t="s">
        <v>43522</v>
      </c>
      <c r="B15465" t="s">
        <v>43523</v>
      </c>
      <c r="C15465">
        <v>0.57121742531999997</v>
      </c>
      <c r="D15465">
        <v>0.99607897921400002</v>
      </c>
      <c r="E15465">
        <v>24</v>
      </c>
    </row>
    <row r="15466" spans="1:5">
      <c r="A15466" t="s">
        <v>43522</v>
      </c>
      <c r="B15466" t="s">
        <v>43524</v>
      </c>
      <c r="C15466">
        <f>0.503669217591</f>
        <v>0.50366921759100003</v>
      </c>
      <c r="D15466">
        <v>0.99607897921400002</v>
      </c>
      <c r="E15466">
        <v>24</v>
      </c>
    </row>
    <row r="15467" spans="1:5">
      <c r="A15467" t="s">
        <v>43522</v>
      </c>
      <c r="B15467" t="s">
        <v>43525</v>
      </c>
      <c r="C15467">
        <v>0.64452633027499995</v>
      </c>
      <c r="D15467">
        <v>0.99607897921400002</v>
      </c>
      <c r="E15467">
        <v>24</v>
      </c>
    </row>
    <row r="15468" spans="1:5">
      <c r="A15468" t="s">
        <v>43522</v>
      </c>
      <c r="B15468" t="s">
        <v>43526</v>
      </c>
      <c r="C15468">
        <f>-1.11181622796</f>
        <v>-1.1118162279599999</v>
      </c>
      <c r="D15468">
        <v>0.99607897921400002</v>
      </c>
      <c r="E15468">
        <v>24</v>
      </c>
    </row>
    <row r="15469" spans="1:5">
      <c r="A15469" t="s">
        <v>43522</v>
      </c>
      <c r="B15469" t="s">
        <v>43527</v>
      </c>
      <c r="C15469">
        <f>0.614732644864</f>
        <v>0.61473264486400003</v>
      </c>
      <c r="D15469">
        <v>0.99607897921400002</v>
      </c>
      <c r="E15469">
        <v>24</v>
      </c>
    </row>
    <row r="15470" spans="1:5">
      <c r="A15470" t="s">
        <v>43528</v>
      </c>
      <c r="B15470" t="s">
        <v>43529</v>
      </c>
      <c r="C15470">
        <f>0</f>
        <v>0</v>
      </c>
      <c r="D15470" t="s">
        <v>106</v>
      </c>
      <c r="E15470">
        <v>0.47399999999999998</v>
      </c>
    </row>
    <row r="15471" spans="1:5">
      <c r="A15471" t="s">
        <v>43528</v>
      </c>
      <c r="B15471" t="s">
        <v>43530</v>
      </c>
      <c r="C15471">
        <v>0</v>
      </c>
      <c r="D15471" t="s">
        <v>106</v>
      </c>
      <c r="E15471">
        <v>0.47399999999999998</v>
      </c>
    </row>
    <row r="15472" spans="1:5">
      <c r="A15472" t="s">
        <v>43528</v>
      </c>
      <c r="B15472" t="s">
        <v>43531</v>
      </c>
      <c r="C15472">
        <v>0</v>
      </c>
      <c r="D15472" t="s">
        <v>106</v>
      </c>
      <c r="E15472">
        <v>0.47399999999999998</v>
      </c>
    </row>
    <row r="15473" spans="1:5">
      <c r="A15473" t="s">
        <v>43528</v>
      </c>
      <c r="B15473" t="s">
        <v>43532</v>
      </c>
      <c r="C15473">
        <f>0</f>
        <v>0</v>
      </c>
      <c r="D15473" t="s">
        <v>106</v>
      </c>
      <c r="E15473">
        <v>0.47399999999999998</v>
      </c>
    </row>
    <row r="15474" spans="1:5">
      <c r="A15474" t="s">
        <v>43533</v>
      </c>
      <c r="B15474" t="s">
        <v>27600</v>
      </c>
      <c r="C15474">
        <v>6.8877320772500004E-3</v>
      </c>
      <c r="D15474">
        <v>0.31706275085800001</v>
      </c>
      <c r="E15474">
        <v>11.37</v>
      </c>
    </row>
    <row r="15475" spans="1:5">
      <c r="A15475" t="s">
        <v>43533</v>
      </c>
      <c r="B15475" t="s">
        <v>27601</v>
      </c>
      <c r="C15475">
        <v>0.21024267327900001</v>
      </c>
      <c r="D15475">
        <v>0.31706275085800001</v>
      </c>
      <c r="E15475">
        <v>11.37</v>
      </c>
    </row>
    <row r="15476" spans="1:5">
      <c r="A15476" t="s">
        <v>43534</v>
      </c>
      <c r="B15476" t="s">
        <v>43535</v>
      </c>
      <c r="C15476">
        <f>0</f>
        <v>0</v>
      </c>
      <c r="D15476" t="s">
        <v>106</v>
      </c>
      <c r="E15476">
        <v>0.216</v>
      </c>
    </row>
    <row r="15477" spans="1:5">
      <c r="A15477" t="s">
        <v>43534</v>
      </c>
      <c r="B15477" t="s">
        <v>43536</v>
      </c>
      <c r="C15477">
        <v>0</v>
      </c>
      <c r="D15477" t="s">
        <v>106</v>
      </c>
      <c r="E15477">
        <v>0.216</v>
      </c>
    </row>
    <row r="15478" spans="1:5">
      <c r="A15478" t="s">
        <v>43537</v>
      </c>
      <c r="B15478" t="s">
        <v>11620</v>
      </c>
      <c r="C15478">
        <v>0.57494307480100004</v>
      </c>
      <c r="D15478">
        <v>0.99999996193899998</v>
      </c>
      <c r="E15478">
        <v>24</v>
      </c>
    </row>
    <row r="15479" spans="1:5">
      <c r="A15479" t="s">
        <v>43537</v>
      </c>
      <c r="B15479" t="s">
        <v>11621</v>
      </c>
      <c r="C15479">
        <f>0.113017574833</f>
        <v>0.113017574833</v>
      </c>
      <c r="D15479">
        <v>0.99999996193899998</v>
      </c>
      <c r="E15479">
        <v>24</v>
      </c>
    </row>
    <row r="15480" spans="1:5">
      <c r="A15480" t="s">
        <v>43537</v>
      </c>
      <c r="B15480" t="s">
        <v>11622</v>
      </c>
      <c r="C15480">
        <v>0.67838504199100003</v>
      </c>
      <c r="D15480">
        <v>0.99999996193899998</v>
      </c>
      <c r="E15480">
        <v>24</v>
      </c>
    </row>
    <row r="15481" spans="1:5">
      <c r="A15481" t="s">
        <v>43537</v>
      </c>
      <c r="B15481" t="s">
        <v>11625</v>
      </c>
      <c r="C15481">
        <v>0.44766086498699997</v>
      </c>
      <c r="D15481">
        <v>0.99999996193899998</v>
      </c>
      <c r="E15481">
        <v>24</v>
      </c>
    </row>
    <row r="15482" spans="1:5">
      <c r="A15482" t="s">
        <v>43537</v>
      </c>
      <c r="B15482" t="s">
        <v>11629</v>
      </c>
      <c r="C15482">
        <f>0.0418865245876</f>
        <v>4.1886524587599998E-2</v>
      </c>
      <c r="D15482">
        <v>0.99999996193899998</v>
      </c>
      <c r="E15482">
        <v>24</v>
      </c>
    </row>
    <row r="15483" spans="1:5">
      <c r="A15483" t="s">
        <v>43537</v>
      </c>
      <c r="B15483" t="s">
        <v>11624</v>
      </c>
      <c r="C15483">
        <v>0.125640693241</v>
      </c>
      <c r="D15483">
        <v>0.99999996193899998</v>
      </c>
      <c r="E15483">
        <v>24</v>
      </c>
    </row>
    <row r="15484" spans="1:5">
      <c r="A15484" t="s">
        <v>43537</v>
      </c>
      <c r="B15484" t="s">
        <v>11630</v>
      </c>
      <c r="C15484">
        <v>0.461054974846</v>
      </c>
      <c r="D15484">
        <v>0.99999996193899998</v>
      </c>
      <c r="E15484">
        <v>24</v>
      </c>
    </row>
    <row r="15485" spans="1:5">
      <c r="A15485" t="s">
        <v>43537</v>
      </c>
      <c r="B15485" t="s">
        <v>11626</v>
      </c>
      <c r="C15485">
        <f>0.0143353489018</f>
        <v>1.43353489018E-2</v>
      </c>
      <c r="D15485">
        <v>0.99999996193899998</v>
      </c>
      <c r="E15485">
        <v>24</v>
      </c>
    </row>
    <row r="15486" spans="1:5">
      <c r="A15486" t="s">
        <v>43538</v>
      </c>
      <c r="B15486" t="s">
        <v>6073</v>
      </c>
      <c r="C15486">
        <v>0.78285473410600004</v>
      </c>
      <c r="D15486">
        <v>0.99660861308600002</v>
      </c>
      <c r="E15486">
        <v>2.556</v>
      </c>
    </row>
    <row r="15487" spans="1:5">
      <c r="A15487" t="s">
        <v>43538</v>
      </c>
      <c r="B15487" t="s">
        <v>6075</v>
      </c>
      <c r="C15487">
        <v>0.14925023228600001</v>
      </c>
      <c r="D15487">
        <v>0.99660861308600002</v>
      </c>
      <c r="E15487">
        <v>2.556</v>
      </c>
    </row>
    <row r="15488" spans="1:5">
      <c r="A15488" t="s">
        <v>43538</v>
      </c>
      <c r="B15488" t="s">
        <v>6077</v>
      </c>
      <c r="C15488">
        <v>0.33323223482499997</v>
      </c>
      <c r="D15488">
        <v>0.99660861308600002</v>
      </c>
      <c r="E15488">
        <v>2.556</v>
      </c>
    </row>
    <row r="15489" spans="1:5">
      <c r="A15489" t="s">
        <v>43538</v>
      </c>
      <c r="B15489" t="s">
        <v>6074</v>
      </c>
      <c r="C15489">
        <f>0</f>
        <v>0</v>
      </c>
      <c r="D15489">
        <v>0.99660861308600002</v>
      </c>
      <c r="E15489">
        <v>2.556</v>
      </c>
    </row>
    <row r="15490" spans="1:5">
      <c r="A15490" t="s">
        <v>43538</v>
      </c>
      <c r="B15490" t="s">
        <v>6076</v>
      </c>
      <c r="C15490">
        <f>0.0490440891052</f>
        <v>4.9044089105200001E-2</v>
      </c>
      <c r="D15490">
        <v>0.99660861308600002</v>
      </c>
      <c r="E15490">
        <v>2.556</v>
      </c>
    </row>
    <row r="15491" spans="1:5">
      <c r="A15491" t="s">
        <v>43538</v>
      </c>
      <c r="B15491" t="s">
        <v>6080</v>
      </c>
      <c r="C15491">
        <v>0.38500569057099998</v>
      </c>
      <c r="D15491">
        <v>0.99660861308600002</v>
      </c>
      <c r="E15491">
        <v>2.556</v>
      </c>
    </row>
    <row r="15492" spans="1:5">
      <c r="A15492" t="s">
        <v>43538</v>
      </c>
      <c r="B15492" t="s">
        <v>6081</v>
      </c>
      <c r="C15492">
        <v>0</v>
      </c>
      <c r="D15492">
        <v>0.99660861308600002</v>
      </c>
      <c r="E15492">
        <v>2.556</v>
      </c>
    </row>
    <row r="15493" spans="1:5">
      <c r="A15493" t="s">
        <v>43538</v>
      </c>
      <c r="B15493" t="s">
        <v>6078</v>
      </c>
      <c r="C15493">
        <v>0</v>
      </c>
      <c r="D15493">
        <v>0.99660861308600002</v>
      </c>
      <c r="E15493">
        <v>2.556</v>
      </c>
    </row>
    <row r="15494" spans="1:5">
      <c r="A15494" t="s">
        <v>43539</v>
      </c>
      <c r="B15494" t="s">
        <v>24591</v>
      </c>
      <c r="C15494">
        <f>0</f>
        <v>0</v>
      </c>
      <c r="D15494" t="s">
        <v>106</v>
      </c>
      <c r="E15494">
        <v>18.347999999999999</v>
      </c>
    </row>
    <row r="15495" spans="1:5">
      <c r="A15495" t="s">
        <v>43539</v>
      </c>
      <c r="B15495" t="s">
        <v>24590</v>
      </c>
      <c r="C15495">
        <f>0</f>
        <v>0</v>
      </c>
      <c r="D15495" t="s">
        <v>106</v>
      </c>
      <c r="E15495">
        <v>18.347999999999999</v>
      </c>
    </row>
    <row r="15496" spans="1:5">
      <c r="A15496" t="s">
        <v>43540</v>
      </c>
      <c r="B15496" t="s">
        <v>9929</v>
      </c>
      <c r="C15496">
        <v>1.44821653516</v>
      </c>
      <c r="D15496">
        <v>0.87615923466599999</v>
      </c>
      <c r="E15496">
        <v>15.125999999999999</v>
      </c>
    </row>
    <row r="15497" spans="1:5">
      <c r="A15497" t="s">
        <v>43540</v>
      </c>
      <c r="B15497" t="s">
        <v>9930</v>
      </c>
      <c r="C15497">
        <f>-1.19463614332</f>
        <v>-1.1946361433199999</v>
      </c>
      <c r="D15497">
        <v>0.87615923466599999</v>
      </c>
      <c r="E15497">
        <v>15.125999999999999</v>
      </c>
    </row>
    <row r="15498" spans="1:5">
      <c r="A15498" t="s">
        <v>43540</v>
      </c>
      <c r="B15498" t="s">
        <v>9931</v>
      </c>
      <c r="C15498">
        <f>0.344016153248</f>
        <v>0.344016153248</v>
      </c>
      <c r="D15498">
        <v>0.87615923466599999</v>
      </c>
      <c r="E15498">
        <v>15.125999999999999</v>
      </c>
    </row>
    <row r="15499" spans="1:5">
      <c r="A15499" t="s">
        <v>43541</v>
      </c>
      <c r="B15499" t="s">
        <v>12577</v>
      </c>
      <c r="C15499">
        <v>0</v>
      </c>
      <c r="D15499" t="s">
        <v>106</v>
      </c>
      <c r="E15499">
        <v>7.4640000000000004</v>
      </c>
    </row>
    <row r="15500" spans="1:5">
      <c r="A15500" t="s">
        <v>43541</v>
      </c>
      <c r="B15500" t="s">
        <v>12582</v>
      </c>
      <c r="C15500">
        <v>0</v>
      </c>
      <c r="D15500" t="s">
        <v>106</v>
      </c>
      <c r="E15500">
        <v>7.4640000000000004</v>
      </c>
    </row>
    <row r="15501" spans="1:5">
      <c r="A15501" t="s">
        <v>43541</v>
      </c>
      <c r="B15501" t="s">
        <v>12581</v>
      </c>
      <c r="C15501">
        <v>0</v>
      </c>
      <c r="D15501" t="s">
        <v>106</v>
      </c>
      <c r="E15501">
        <v>7.4640000000000004</v>
      </c>
    </row>
    <row r="15502" spans="1:5">
      <c r="A15502" t="s">
        <v>43541</v>
      </c>
      <c r="B15502" t="s">
        <v>12574</v>
      </c>
      <c r="C15502">
        <v>0</v>
      </c>
      <c r="D15502" t="s">
        <v>106</v>
      </c>
      <c r="E15502">
        <v>7.4640000000000004</v>
      </c>
    </row>
    <row r="15503" spans="1:5">
      <c r="A15503" t="s">
        <v>43541</v>
      </c>
      <c r="B15503" t="s">
        <v>12578</v>
      </c>
      <c r="C15503">
        <v>0</v>
      </c>
      <c r="D15503" t="s">
        <v>106</v>
      </c>
      <c r="E15503">
        <v>7.4640000000000004</v>
      </c>
    </row>
    <row r="15504" spans="1:5">
      <c r="A15504" t="s">
        <v>43541</v>
      </c>
      <c r="B15504" t="s">
        <v>12573</v>
      </c>
      <c r="C15504">
        <v>0</v>
      </c>
      <c r="D15504" t="s">
        <v>106</v>
      </c>
      <c r="E15504">
        <v>7.4640000000000004</v>
      </c>
    </row>
    <row r="15505" spans="1:5">
      <c r="A15505" t="s">
        <v>43541</v>
      </c>
      <c r="B15505" t="s">
        <v>12585</v>
      </c>
      <c r="C15505">
        <v>0</v>
      </c>
      <c r="D15505" t="s">
        <v>106</v>
      </c>
      <c r="E15505">
        <v>7.4640000000000004</v>
      </c>
    </row>
    <row r="15506" spans="1:5">
      <c r="A15506" t="s">
        <v>43541</v>
      </c>
      <c r="B15506" t="s">
        <v>12583</v>
      </c>
      <c r="C15506">
        <v>0</v>
      </c>
      <c r="D15506" t="s">
        <v>106</v>
      </c>
      <c r="E15506">
        <v>7.4640000000000004</v>
      </c>
    </row>
    <row r="15507" spans="1:5">
      <c r="A15507" t="s">
        <v>43541</v>
      </c>
      <c r="B15507" t="s">
        <v>12575</v>
      </c>
      <c r="C15507">
        <v>0</v>
      </c>
      <c r="D15507" t="s">
        <v>106</v>
      </c>
      <c r="E15507">
        <v>7.4640000000000004</v>
      </c>
    </row>
    <row r="15508" spans="1:5">
      <c r="A15508" t="s">
        <v>43541</v>
      </c>
      <c r="B15508" t="s">
        <v>12576</v>
      </c>
      <c r="C15508">
        <v>0</v>
      </c>
      <c r="D15508" t="s">
        <v>106</v>
      </c>
      <c r="E15508">
        <v>7.4640000000000004</v>
      </c>
    </row>
    <row r="15509" spans="1:5">
      <c r="A15509" t="s">
        <v>43541</v>
      </c>
      <c r="B15509" t="s">
        <v>12584</v>
      </c>
      <c r="C15509">
        <v>0</v>
      </c>
      <c r="D15509" t="s">
        <v>106</v>
      </c>
      <c r="E15509">
        <v>7.4640000000000004</v>
      </c>
    </row>
    <row r="15510" spans="1:5">
      <c r="A15510" t="s">
        <v>43541</v>
      </c>
      <c r="B15510" t="s">
        <v>12579</v>
      </c>
      <c r="C15510">
        <v>0</v>
      </c>
      <c r="D15510" t="s">
        <v>106</v>
      </c>
      <c r="E15510">
        <v>7.4640000000000004</v>
      </c>
    </row>
    <row r="15511" spans="1:5">
      <c r="A15511" t="s">
        <v>43541</v>
      </c>
      <c r="B15511" t="s">
        <v>12580</v>
      </c>
      <c r="C15511">
        <v>0</v>
      </c>
      <c r="D15511" t="s">
        <v>106</v>
      </c>
      <c r="E15511">
        <v>7.4640000000000004</v>
      </c>
    </row>
    <row r="15512" spans="1:5">
      <c r="A15512" t="s">
        <v>43542</v>
      </c>
      <c r="B15512" t="s">
        <v>20849</v>
      </c>
      <c r="C15512">
        <f>0</f>
        <v>0</v>
      </c>
      <c r="D15512">
        <v>0.99092661278399996</v>
      </c>
      <c r="E15512">
        <v>24</v>
      </c>
    </row>
    <row r="15513" spans="1:5">
      <c r="A15513" t="s">
        <v>43542</v>
      </c>
      <c r="B15513" t="s">
        <v>20851</v>
      </c>
      <c r="C15513">
        <f>0.196025257803</f>
        <v>0.19602525780300001</v>
      </c>
      <c r="D15513">
        <v>0.99092661278399996</v>
      </c>
      <c r="E15513">
        <v>24</v>
      </c>
    </row>
    <row r="15514" spans="1:5">
      <c r="A15514" t="s">
        <v>43542</v>
      </c>
      <c r="B15514" t="s">
        <v>20853</v>
      </c>
      <c r="C15514">
        <v>0.586707427467</v>
      </c>
      <c r="D15514">
        <v>0.99092661278399996</v>
      </c>
      <c r="E15514">
        <v>24</v>
      </c>
    </row>
    <row r="15515" spans="1:5">
      <c r="A15515" t="s">
        <v>43542</v>
      </c>
      <c r="B15515" t="s">
        <v>20854</v>
      </c>
      <c r="C15515">
        <v>1.1185772571099999</v>
      </c>
      <c r="D15515">
        <v>0.99092661278399996</v>
      </c>
      <c r="E15515">
        <v>24</v>
      </c>
    </row>
    <row r="15516" spans="1:5">
      <c r="A15516" t="s">
        <v>43543</v>
      </c>
      <c r="B15516" t="s">
        <v>43544</v>
      </c>
      <c r="C15516">
        <f>0</f>
        <v>0</v>
      </c>
      <c r="D15516" t="s">
        <v>106</v>
      </c>
      <c r="E15516">
        <v>8.2919999999999998</v>
      </c>
    </row>
    <row r="15517" spans="1:5">
      <c r="A15517" t="s">
        <v>43543</v>
      </c>
      <c r="B15517" t="s">
        <v>43545</v>
      </c>
      <c r="C15517">
        <f>0</f>
        <v>0</v>
      </c>
      <c r="D15517" t="s">
        <v>106</v>
      </c>
      <c r="E15517">
        <v>8.2919999999999998</v>
      </c>
    </row>
    <row r="15518" spans="1:5">
      <c r="A15518" t="s">
        <v>43543</v>
      </c>
      <c r="B15518" t="s">
        <v>43546</v>
      </c>
      <c r="C15518">
        <v>0</v>
      </c>
      <c r="D15518" t="s">
        <v>106</v>
      </c>
      <c r="E15518">
        <v>8.2919999999999998</v>
      </c>
    </row>
    <row r="15519" spans="1:5">
      <c r="A15519" t="s">
        <v>43543</v>
      </c>
      <c r="B15519" t="s">
        <v>43547</v>
      </c>
      <c r="C15519">
        <v>0</v>
      </c>
      <c r="D15519" t="s">
        <v>106</v>
      </c>
      <c r="E15519">
        <v>8.2919999999999998</v>
      </c>
    </row>
    <row r="15520" spans="1:5">
      <c r="A15520" t="s">
        <v>43548</v>
      </c>
      <c r="B15520" t="s">
        <v>12917</v>
      </c>
      <c r="C15520">
        <f>0</f>
        <v>0</v>
      </c>
      <c r="D15520" t="s">
        <v>106</v>
      </c>
      <c r="E15520">
        <v>23.28</v>
      </c>
    </row>
    <row r="15521" spans="1:5">
      <c r="A15521" t="s">
        <v>43548</v>
      </c>
      <c r="B15521" t="s">
        <v>12916</v>
      </c>
      <c r="C15521">
        <f>0</f>
        <v>0</v>
      </c>
      <c r="D15521" t="s">
        <v>106</v>
      </c>
      <c r="E15521">
        <v>23.28</v>
      </c>
    </row>
    <row r="15522" spans="1:5">
      <c r="A15522" t="s">
        <v>43548</v>
      </c>
      <c r="B15522" t="s">
        <v>12922</v>
      </c>
      <c r="C15522">
        <f>0</f>
        <v>0</v>
      </c>
      <c r="D15522" t="s">
        <v>106</v>
      </c>
      <c r="E15522">
        <v>23.28</v>
      </c>
    </row>
    <row r="15523" spans="1:5">
      <c r="A15523" t="s">
        <v>43548</v>
      </c>
      <c r="B15523" t="s">
        <v>12918</v>
      </c>
      <c r="C15523">
        <v>0</v>
      </c>
      <c r="D15523" t="s">
        <v>106</v>
      </c>
      <c r="E15523">
        <v>23.28</v>
      </c>
    </row>
    <row r="15524" spans="1:5">
      <c r="A15524" t="s">
        <v>43548</v>
      </c>
      <c r="B15524" t="s">
        <v>12924</v>
      </c>
      <c r="C15524">
        <v>0</v>
      </c>
      <c r="D15524" t="s">
        <v>106</v>
      </c>
      <c r="E15524">
        <v>23.28</v>
      </c>
    </row>
    <row r="15525" spans="1:5">
      <c r="A15525" t="s">
        <v>43548</v>
      </c>
      <c r="B15525" t="s">
        <v>12921</v>
      </c>
      <c r="C15525">
        <v>0</v>
      </c>
      <c r="D15525" t="s">
        <v>106</v>
      </c>
      <c r="E15525">
        <v>23.28</v>
      </c>
    </row>
    <row r="15526" spans="1:5">
      <c r="A15526" t="s">
        <v>43548</v>
      </c>
      <c r="B15526" t="s">
        <v>12919</v>
      </c>
      <c r="C15526">
        <f>0</f>
        <v>0</v>
      </c>
      <c r="D15526" t="s">
        <v>106</v>
      </c>
      <c r="E15526">
        <v>23.28</v>
      </c>
    </row>
    <row r="15527" spans="1:5">
      <c r="A15527" t="s">
        <v>43548</v>
      </c>
      <c r="B15527" t="s">
        <v>12920</v>
      </c>
      <c r="C15527">
        <v>0</v>
      </c>
      <c r="D15527" t="s">
        <v>106</v>
      </c>
      <c r="E15527">
        <v>23.28</v>
      </c>
    </row>
    <row r="15528" spans="1:5">
      <c r="A15528" t="s">
        <v>43549</v>
      </c>
      <c r="B15528" t="s">
        <v>6716</v>
      </c>
      <c r="C15528">
        <f>0</f>
        <v>0</v>
      </c>
      <c r="D15528">
        <v>0.85531843734199997</v>
      </c>
      <c r="E15528">
        <v>24</v>
      </c>
    </row>
    <row r="15529" spans="1:5">
      <c r="A15529" t="s">
        <v>43549</v>
      </c>
      <c r="B15529" t="s">
        <v>6718</v>
      </c>
      <c r="C15529">
        <v>0.79770843734200003</v>
      </c>
      <c r="D15529">
        <v>0.85531843734199997</v>
      </c>
      <c r="E15529">
        <v>24</v>
      </c>
    </row>
    <row r="15530" spans="1:5">
      <c r="A15530" t="s">
        <v>43550</v>
      </c>
      <c r="B15530" t="s">
        <v>43551</v>
      </c>
      <c r="C15530">
        <f>0.156129687472</f>
        <v>0.15612968747200001</v>
      </c>
      <c r="D15530">
        <v>0.72994027154600005</v>
      </c>
      <c r="E15530">
        <v>23.754000000000001</v>
      </c>
    </row>
    <row r="15531" spans="1:5">
      <c r="A15531" t="s">
        <v>43550</v>
      </c>
      <c r="B15531" t="s">
        <v>43552</v>
      </c>
      <c r="C15531">
        <f>0.0835102570457</f>
        <v>8.3510257045700004E-2</v>
      </c>
      <c r="D15531">
        <v>0.72994027154600005</v>
      </c>
      <c r="E15531">
        <v>23.754000000000001</v>
      </c>
    </row>
    <row r="15532" spans="1:5">
      <c r="A15532" t="s">
        <v>43550</v>
      </c>
      <c r="B15532" t="s">
        <v>43553</v>
      </c>
      <c r="C15532">
        <v>0</v>
      </c>
      <c r="D15532">
        <v>0.72994027154600005</v>
      </c>
      <c r="E15532">
        <v>23.754000000000001</v>
      </c>
    </row>
    <row r="15533" spans="1:5">
      <c r="A15533" t="s">
        <v>43550</v>
      </c>
      <c r="B15533" t="s">
        <v>43554</v>
      </c>
      <c r="C15533">
        <f>0.419181149746</f>
        <v>0.41918114974600001</v>
      </c>
      <c r="D15533">
        <v>0.72994027154600005</v>
      </c>
      <c r="E15533">
        <v>23.754000000000001</v>
      </c>
    </row>
    <row r="15534" spans="1:5">
      <c r="A15534" t="s">
        <v>43555</v>
      </c>
      <c r="B15534" t="s">
        <v>43556</v>
      </c>
      <c r="C15534">
        <f>0.16063571501</f>
        <v>0.16063571501000001</v>
      </c>
      <c r="D15534">
        <v>0.699448315519</v>
      </c>
      <c r="E15534">
        <v>0.26400000000000001</v>
      </c>
    </row>
    <row r="15535" spans="1:5">
      <c r="A15535" t="s">
        <v>43555</v>
      </c>
      <c r="B15535" t="s">
        <v>1004</v>
      </c>
      <c r="C15535">
        <f>0</f>
        <v>0</v>
      </c>
      <c r="D15535">
        <v>0.699448315519</v>
      </c>
      <c r="E15535">
        <v>0.26400000000000001</v>
      </c>
    </row>
    <row r="15536" spans="1:5">
      <c r="A15536" t="s">
        <v>43555</v>
      </c>
      <c r="B15536" t="s">
        <v>1007</v>
      </c>
      <c r="C15536">
        <v>0.57040441365200001</v>
      </c>
      <c r="D15536">
        <v>0.699448315519</v>
      </c>
      <c r="E15536">
        <v>0.26400000000000001</v>
      </c>
    </row>
    <row r="15537" spans="1:5">
      <c r="A15537" t="s">
        <v>43557</v>
      </c>
      <c r="B15537" t="s">
        <v>43558</v>
      </c>
      <c r="C15537">
        <v>0</v>
      </c>
      <c r="D15537" t="s">
        <v>106</v>
      </c>
      <c r="E15537">
        <v>24</v>
      </c>
    </row>
    <row r="15538" spans="1:5">
      <c r="A15538" t="s">
        <v>43557</v>
      </c>
      <c r="B15538" t="s">
        <v>43559</v>
      </c>
      <c r="C15538">
        <f>0</f>
        <v>0</v>
      </c>
      <c r="D15538" t="s">
        <v>106</v>
      </c>
      <c r="E15538">
        <v>24</v>
      </c>
    </row>
    <row r="15539" spans="1:5">
      <c r="A15539" t="s">
        <v>43557</v>
      </c>
      <c r="B15539" t="s">
        <v>43560</v>
      </c>
      <c r="C15539">
        <f>0</f>
        <v>0</v>
      </c>
      <c r="D15539" t="s">
        <v>106</v>
      </c>
      <c r="E15539">
        <v>24</v>
      </c>
    </row>
    <row r="15540" spans="1:5">
      <c r="A15540" t="s">
        <v>43561</v>
      </c>
      <c r="B15540" t="s">
        <v>43562</v>
      </c>
      <c r="C15540">
        <v>0.410180404178</v>
      </c>
      <c r="D15540">
        <v>0.69022613671999999</v>
      </c>
      <c r="E15540">
        <v>5.58</v>
      </c>
    </row>
    <row r="15541" spans="1:5">
      <c r="A15541" t="s">
        <v>43561</v>
      </c>
      <c r="B15541" t="s">
        <v>43563</v>
      </c>
      <c r="C15541">
        <v>0.235869387071</v>
      </c>
      <c r="D15541">
        <v>0.69022613671999999</v>
      </c>
      <c r="E15541">
        <v>5.58</v>
      </c>
    </row>
    <row r="15542" spans="1:5">
      <c r="A15542" t="s">
        <v>43561</v>
      </c>
      <c r="B15542" t="s">
        <v>43564</v>
      </c>
      <c r="C15542">
        <v>0</v>
      </c>
      <c r="D15542">
        <v>0.69022613671999999</v>
      </c>
      <c r="E15542">
        <v>5.58</v>
      </c>
    </row>
    <row r="15543" spans="1:5">
      <c r="A15543" t="s">
        <v>43565</v>
      </c>
      <c r="B15543" t="s">
        <v>19086</v>
      </c>
      <c r="C15543">
        <v>0.18683646864199999</v>
      </c>
      <c r="D15543">
        <v>0.96990604479700004</v>
      </c>
      <c r="E15543">
        <v>12.048</v>
      </c>
    </row>
    <row r="15544" spans="1:5">
      <c r="A15544" t="s">
        <v>43565</v>
      </c>
      <c r="B15544" t="s">
        <v>19087</v>
      </c>
      <c r="C15544">
        <v>0.64998876131600003</v>
      </c>
      <c r="D15544">
        <v>0.96990604479700004</v>
      </c>
      <c r="E15544">
        <v>12.048</v>
      </c>
    </row>
    <row r="15545" spans="1:5">
      <c r="A15545" t="s">
        <v>43565</v>
      </c>
      <c r="B15545" t="s">
        <v>19089</v>
      </c>
      <c r="C15545">
        <f>0.16487619297</f>
        <v>0.16487619297</v>
      </c>
      <c r="D15545">
        <v>0.96990604479700004</v>
      </c>
      <c r="E15545">
        <v>12.048</v>
      </c>
    </row>
    <row r="15546" spans="1:5">
      <c r="A15546" t="s">
        <v>43565</v>
      </c>
      <c r="B15546" t="s">
        <v>19088</v>
      </c>
      <c r="C15546">
        <v>0.17604776229300001</v>
      </c>
      <c r="D15546">
        <v>0.96990604479700004</v>
      </c>
      <c r="E15546">
        <v>12.048</v>
      </c>
    </row>
    <row r="15547" spans="1:5">
      <c r="A15547" t="s">
        <v>43565</v>
      </c>
      <c r="B15547" t="s">
        <v>19090</v>
      </c>
      <c r="C15547">
        <f>0</f>
        <v>0</v>
      </c>
      <c r="D15547">
        <v>0.96990604479700004</v>
      </c>
      <c r="E15547">
        <v>12.048</v>
      </c>
    </row>
    <row r="15548" spans="1:5">
      <c r="A15548" t="s">
        <v>43566</v>
      </c>
      <c r="B15548" t="s">
        <v>43567</v>
      </c>
      <c r="C15548">
        <f>0.419338031158</f>
        <v>0.419338031158</v>
      </c>
      <c r="D15548">
        <v>0.82933588016399995</v>
      </c>
      <c r="E15548">
        <v>0</v>
      </c>
    </row>
    <row r="15549" spans="1:5">
      <c r="A15549" t="s">
        <v>43566</v>
      </c>
      <c r="B15549" t="s">
        <v>43568</v>
      </c>
      <c r="C15549">
        <f>0.426497268509</f>
        <v>0.42649726850899999</v>
      </c>
      <c r="D15549">
        <v>0.82933588016399995</v>
      </c>
      <c r="E15549">
        <v>0</v>
      </c>
    </row>
    <row r="15550" spans="1:5">
      <c r="A15550" t="s">
        <v>43566</v>
      </c>
      <c r="B15550" t="s">
        <v>43569</v>
      </c>
      <c r="C15550">
        <f>0</f>
        <v>0</v>
      </c>
      <c r="D15550">
        <v>0.82933588016399995</v>
      </c>
      <c r="E15550">
        <v>0</v>
      </c>
    </row>
    <row r="15551" spans="1:5">
      <c r="A15551" t="s">
        <v>43570</v>
      </c>
      <c r="B15551" t="s">
        <v>43571</v>
      </c>
      <c r="C15551">
        <v>0.411610844729</v>
      </c>
      <c r="D15551">
        <v>0.64415446800800003</v>
      </c>
      <c r="E15551">
        <v>0.87</v>
      </c>
    </row>
    <row r="15552" spans="1:5">
      <c r="A15552" t="s">
        <v>43570</v>
      </c>
      <c r="B15552" t="s">
        <v>43572</v>
      </c>
      <c r="C15552">
        <f>0.182811328233</f>
        <v>0.182811328233</v>
      </c>
      <c r="D15552">
        <v>0.64415446800800003</v>
      </c>
      <c r="E15552">
        <v>0.87</v>
      </c>
    </row>
    <row r="15553" spans="1:5">
      <c r="A15553" t="s">
        <v>43570</v>
      </c>
      <c r="B15553" t="s">
        <v>43573</v>
      </c>
      <c r="C15553">
        <f>0.117733034597</f>
        <v>0.11773303459700001</v>
      </c>
      <c r="D15553">
        <v>0.64415446800800003</v>
      </c>
      <c r="E15553">
        <v>0.87</v>
      </c>
    </row>
    <row r="15554" spans="1:5">
      <c r="A15554" t="s">
        <v>43574</v>
      </c>
      <c r="B15554" t="s">
        <v>1337</v>
      </c>
      <c r="C15554">
        <v>0</v>
      </c>
      <c r="D15554" t="s">
        <v>106</v>
      </c>
      <c r="E15554">
        <v>24</v>
      </c>
    </row>
    <row r="15555" spans="1:5">
      <c r="A15555" t="s">
        <v>43574</v>
      </c>
      <c r="B15555" t="s">
        <v>1338</v>
      </c>
      <c r="C15555">
        <v>0</v>
      </c>
      <c r="D15555" t="s">
        <v>106</v>
      </c>
      <c r="E15555">
        <v>24</v>
      </c>
    </row>
    <row r="15556" spans="1:5">
      <c r="A15556" t="s">
        <v>43575</v>
      </c>
      <c r="B15556" t="s">
        <v>43576</v>
      </c>
      <c r="C15556">
        <v>9.3407002386900001E-2</v>
      </c>
      <c r="D15556">
        <v>0.715635375244</v>
      </c>
      <c r="E15556">
        <v>0</v>
      </c>
    </row>
    <row r="15557" spans="1:5">
      <c r="A15557" t="s">
        <v>43575</v>
      </c>
      <c r="B15557" t="s">
        <v>43577</v>
      </c>
      <c r="C15557">
        <f>0.604124111103</f>
        <v>0.60412411110300002</v>
      </c>
      <c r="D15557">
        <v>0.715635375244</v>
      </c>
      <c r="E15557">
        <v>0</v>
      </c>
    </row>
    <row r="15558" spans="1:5">
      <c r="A15558" t="s">
        <v>43578</v>
      </c>
      <c r="B15558" t="s">
        <v>25400</v>
      </c>
      <c r="C15558">
        <v>0</v>
      </c>
      <c r="D15558" t="s">
        <v>106</v>
      </c>
      <c r="E15558">
        <v>2.802</v>
      </c>
    </row>
    <row r="15559" spans="1:5">
      <c r="A15559" t="s">
        <v>43578</v>
      </c>
      <c r="B15559" t="s">
        <v>25402</v>
      </c>
      <c r="C15559">
        <v>0</v>
      </c>
      <c r="D15559" t="s">
        <v>106</v>
      </c>
      <c r="E15559">
        <v>2.802</v>
      </c>
    </row>
    <row r="15560" spans="1:5">
      <c r="A15560" t="s">
        <v>43578</v>
      </c>
      <c r="B15560" t="s">
        <v>25398</v>
      </c>
      <c r="C15560">
        <v>0</v>
      </c>
      <c r="D15560" t="s">
        <v>106</v>
      </c>
      <c r="E15560">
        <v>2.802</v>
      </c>
    </row>
    <row r="15561" spans="1:5">
      <c r="A15561" t="s">
        <v>43578</v>
      </c>
      <c r="B15561" t="s">
        <v>25397</v>
      </c>
      <c r="C15561">
        <f>0</f>
        <v>0</v>
      </c>
      <c r="D15561" t="s">
        <v>106</v>
      </c>
      <c r="E15561">
        <v>2.802</v>
      </c>
    </row>
    <row r="15562" spans="1:5">
      <c r="A15562" t="s">
        <v>43578</v>
      </c>
      <c r="B15562" t="s">
        <v>25407</v>
      </c>
      <c r="C15562">
        <v>0</v>
      </c>
      <c r="D15562" t="s">
        <v>106</v>
      </c>
      <c r="E15562">
        <v>2.802</v>
      </c>
    </row>
    <row r="15563" spans="1:5">
      <c r="A15563" t="s">
        <v>43579</v>
      </c>
      <c r="B15563" t="s">
        <v>27366</v>
      </c>
      <c r="C15563">
        <v>0.25366715741200002</v>
      </c>
      <c r="D15563">
        <v>0.98215019632699996</v>
      </c>
      <c r="E15563">
        <v>1.452</v>
      </c>
    </row>
    <row r="15564" spans="1:5">
      <c r="A15564" t="s">
        <v>43579</v>
      </c>
      <c r="B15564" t="s">
        <v>27371</v>
      </c>
      <c r="C15564">
        <v>0.63265253178799996</v>
      </c>
      <c r="D15564">
        <v>0.98215019632699996</v>
      </c>
      <c r="E15564">
        <v>1.452</v>
      </c>
    </row>
    <row r="15565" spans="1:5">
      <c r="A15565" t="s">
        <v>43579</v>
      </c>
      <c r="B15565" t="s">
        <v>27374</v>
      </c>
      <c r="C15565">
        <f>-1.00562754006</f>
        <v>-1.0056275400600001</v>
      </c>
      <c r="D15565">
        <v>0.98215019632699996</v>
      </c>
      <c r="E15565">
        <v>1.452</v>
      </c>
    </row>
    <row r="15566" spans="1:5">
      <c r="A15566" t="s">
        <v>43579</v>
      </c>
      <c r="B15566" t="s">
        <v>27372</v>
      </c>
      <c r="C15566">
        <v>0.29307591890700002</v>
      </c>
      <c r="D15566">
        <v>0.98215019632699996</v>
      </c>
      <c r="E15566">
        <v>1.452</v>
      </c>
    </row>
    <row r="15567" spans="1:5">
      <c r="A15567" t="s">
        <v>43579</v>
      </c>
      <c r="B15567" t="s">
        <v>27370</v>
      </c>
      <c r="C15567">
        <v>0</v>
      </c>
      <c r="D15567">
        <v>0.98215019632699996</v>
      </c>
      <c r="E15567">
        <v>1.452</v>
      </c>
    </row>
    <row r="15568" spans="1:5">
      <c r="A15568" t="s">
        <v>43580</v>
      </c>
      <c r="B15568" t="s">
        <v>43581</v>
      </c>
      <c r="C15568">
        <f>0</f>
        <v>0</v>
      </c>
      <c r="D15568">
        <v>0.61076739578700001</v>
      </c>
      <c r="E15568">
        <v>7.8719999999999999</v>
      </c>
    </row>
    <row r="15569" spans="1:5">
      <c r="A15569" t="s">
        <v>43580</v>
      </c>
      <c r="B15569" t="s">
        <v>43582</v>
      </c>
      <c r="C15569">
        <f>0</f>
        <v>0</v>
      </c>
      <c r="D15569">
        <v>0.61076739578700001</v>
      </c>
      <c r="E15569">
        <v>7.8719999999999999</v>
      </c>
    </row>
    <row r="15570" spans="1:5">
      <c r="A15570" t="s">
        <v>43580</v>
      </c>
      <c r="B15570" t="s">
        <v>43583</v>
      </c>
      <c r="C15570">
        <f>0</f>
        <v>0</v>
      </c>
      <c r="D15570">
        <v>0.61076739578700001</v>
      </c>
      <c r="E15570">
        <v>7.8719999999999999</v>
      </c>
    </row>
    <row r="15571" spans="1:5">
      <c r="A15571" t="s">
        <v>43580</v>
      </c>
      <c r="B15571" t="s">
        <v>43584</v>
      </c>
      <c r="C15571">
        <f>0</f>
        <v>0</v>
      </c>
      <c r="D15571">
        <v>0.61076739578700001</v>
      </c>
      <c r="E15571">
        <v>7.8719999999999999</v>
      </c>
    </row>
    <row r="15572" spans="1:5">
      <c r="A15572" t="s">
        <v>43580</v>
      </c>
      <c r="B15572" t="s">
        <v>43585</v>
      </c>
      <c r="C15572">
        <v>0.34035739578700003</v>
      </c>
      <c r="D15572">
        <v>0.61076739578700001</v>
      </c>
      <c r="E15572">
        <v>7.8719999999999999</v>
      </c>
    </row>
    <row r="15573" spans="1:5">
      <c r="A15573" t="s">
        <v>43586</v>
      </c>
      <c r="B15573" t="s">
        <v>43587</v>
      </c>
      <c r="C15573">
        <v>0.73156517708000002</v>
      </c>
      <c r="D15573">
        <v>0.88587303223699998</v>
      </c>
      <c r="E15573">
        <v>4.6920000000000002</v>
      </c>
    </row>
    <row r="15574" spans="1:5">
      <c r="A15574" t="s">
        <v>43586</v>
      </c>
      <c r="B15574" t="s">
        <v>43588</v>
      </c>
      <c r="C15574">
        <v>0</v>
      </c>
      <c r="D15574">
        <v>0.88587303223699998</v>
      </c>
      <c r="E15574">
        <v>4.6920000000000002</v>
      </c>
    </row>
    <row r="15575" spans="1:5">
      <c r="A15575" t="s">
        <v>43586</v>
      </c>
      <c r="B15575" t="s">
        <v>43589</v>
      </c>
      <c r="C15575">
        <v>0.172604877603</v>
      </c>
      <c r="D15575">
        <v>0.88587303223699998</v>
      </c>
      <c r="E15575">
        <v>4.6920000000000002</v>
      </c>
    </row>
    <row r="15576" spans="1:5">
      <c r="A15576" t="s">
        <v>43586</v>
      </c>
      <c r="B15576" t="s">
        <v>43590</v>
      </c>
      <c r="C15576">
        <f>0</f>
        <v>0</v>
      </c>
      <c r="D15576">
        <v>0.88587303223699998</v>
      </c>
      <c r="E15576">
        <v>4.6920000000000002</v>
      </c>
    </row>
    <row r="15577" spans="1:5">
      <c r="A15577" t="s">
        <v>43591</v>
      </c>
      <c r="B15577" t="s">
        <v>43592</v>
      </c>
      <c r="C15577">
        <f>0</f>
        <v>0</v>
      </c>
      <c r="D15577">
        <v>0.570624154828</v>
      </c>
      <c r="E15577">
        <v>5.58</v>
      </c>
    </row>
    <row r="15578" spans="1:5">
      <c r="A15578" t="s">
        <v>43591</v>
      </c>
      <c r="B15578" t="s">
        <v>43593</v>
      </c>
      <c r="C15578">
        <f>0.0522141548278</f>
        <v>5.2214154827800001E-2</v>
      </c>
      <c r="D15578">
        <v>0.570624154828</v>
      </c>
      <c r="E15578">
        <v>5.58</v>
      </c>
    </row>
    <row r="15579" spans="1:5">
      <c r="A15579" t="s">
        <v>43591</v>
      </c>
      <c r="B15579" t="s">
        <v>43594</v>
      </c>
      <c r="C15579">
        <v>0</v>
      </c>
      <c r="D15579">
        <v>0.570624154828</v>
      </c>
      <c r="E15579">
        <v>5.58</v>
      </c>
    </row>
    <row r="15580" spans="1:5">
      <c r="A15580" t="s">
        <v>43591</v>
      </c>
      <c r="B15580" t="s">
        <v>43595</v>
      </c>
      <c r="C15580">
        <v>0</v>
      </c>
      <c r="D15580">
        <v>0.570624154828</v>
      </c>
      <c r="E15580">
        <v>5.58</v>
      </c>
    </row>
    <row r="15581" spans="1:5">
      <c r="A15581" t="s">
        <v>43591</v>
      </c>
      <c r="B15581" t="s">
        <v>43596</v>
      </c>
      <c r="C15581">
        <v>0</v>
      </c>
      <c r="D15581">
        <v>0.570624154828</v>
      </c>
      <c r="E15581">
        <v>5.58</v>
      </c>
    </row>
    <row r="15582" spans="1:5">
      <c r="A15582" t="s">
        <v>43591</v>
      </c>
      <c r="B15582" t="s">
        <v>43597</v>
      </c>
      <c r="C15582">
        <v>0</v>
      </c>
      <c r="D15582">
        <v>0.570624154828</v>
      </c>
      <c r="E15582">
        <v>5.58</v>
      </c>
    </row>
    <row r="15583" spans="1:5">
      <c r="A15583" t="s">
        <v>43591</v>
      </c>
      <c r="B15583" t="s">
        <v>43598</v>
      </c>
      <c r="C15583">
        <f>0</f>
        <v>0</v>
      </c>
      <c r="D15583">
        <v>0.570624154828</v>
      </c>
      <c r="E15583">
        <v>5.58</v>
      </c>
    </row>
    <row r="15584" spans="1:5">
      <c r="A15584" t="s">
        <v>43591</v>
      </c>
      <c r="B15584" t="s">
        <v>43599</v>
      </c>
      <c r="C15584">
        <f>0</f>
        <v>0</v>
      </c>
      <c r="D15584">
        <v>0.570624154828</v>
      </c>
      <c r="E15584">
        <v>5.58</v>
      </c>
    </row>
    <row r="15585" spans="1:5">
      <c r="A15585" t="s">
        <v>43591</v>
      </c>
      <c r="B15585" t="s">
        <v>43600</v>
      </c>
      <c r="C15585">
        <f>0</f>
        <v>0</v>
      </c>
      <c r="D15585">
        <v>0.570624154828</v>
      </c>
      <c r="E15585">
        <v>5.58</v>
      </c>
    </row>
    <row r="15586" spans="1:5">
      <c r="A15586" t="s">
        <v>43591</v>
      </c>
      <c r="B15586" t="s">
        <v>43601</v>
      </c>
      <c r="C15586">
        <v>0</v>
      </c>
      <c r="D15586">
        <v>0.570624154828</v>
      </c>
      <c r="E15586">
        <v>5.58</v>
      </c>
    </row>
    <row r="15587" spans="1:5">
      <c r="A15587" t="s">
        <v>43602</v>
      </c>
      <c r="B15587" t="s">
        <v>2093</v>
      </c>
      <c r="C15587">
        <v>0</v>
      </c>
      <c r="D15587">
        <v>0.61293516916400004</v>
      </c>
      <c r="E15587">
        <v>24</v>
      </c>
    </row>
    <row r="15588" spans="1:5">
      <c r="A15588" t="s">
        <v>43602</v>
      </c>
      <c r="B15588" t="s">
        <v>2097</v>
      </c>
      <c r="C15588">
        <v>0.342525169164</v>
      </c>
      <c r="D15588">
        <v>0.61293516916400004</v>
      </c>
      <c r="E15588">
        <v>24</v>
      </c>
    </row>
    <row r="15589" spans="1:5">
      <c r="A15589" t="s">
        <v>43603</v>
      </c>
      <c r="B15589" t="s">
        <v>43604</v>
      </c>
      <c r="C15589">
        <v>0</v>
      </c>
      <c r="D15589">
        <v>0.97922604101699995</v>
      </c>
      <c r="E15589">
        <v>3.972</v>
      </c>
    </row>
    <row r="15590" spans="1:5">
      <c r="A15590" t="s">
        <v>43603</v>
      </c>
      <c r="B15590" t="s">
        <v>43605</v>
      </c>
      <c r="C15590">
        <f>0</f>
        <v>0</v>
      </c>
      <c r="D15590">
        <v>0.97922604101699995</v>
      </c>
      <c r="E15590">
        <v>3.972</v>
      </c>
    </row>
    <row r="15591" spans="1:5">
      <c r="A15591" t="s">
        <v>43603</v>
      </c>
      <c r="B15591" t="s">
        <v>43606</v>
      </c>
      <c r="C15591">
        <f>0</f>
        <v>0</v>
      </c>
      <c r="D15591">
        <v>0.97922604101699995</v>
      </c>
      <c r="E15591">
        <v>3.972</v>
      </c>
    </row>
    <row r="15592" spans="1:5">
      <c r="A15592" t="s">
        <v>43603</v>
      </c>
      <c r="B15592" t="s">
        <v>43607</v>
      </c>
      <c r="C15592">
        <v>3.56451371787E-2</v>
      </c>
      <c r="D15592">
        <v>0.97922604101699995</v>
      </c>
      <c r="E15592">
        <v>3.972</v>
      </c>
    </row>
    <row r="15593" spans="1:5">
      <c r="A15593" t="s">
        <v>43603</v>
      </c>
      <c r="B15593" t="s">
        <v>43608</v>
      </c>
      <c r="C15593">
        <v>2.58688049749E-2</v>
      </c>
      <c r="D15593">
        <v>0.97922604101699995</v>
      </c>
      <c r="E15593">
        <v>3.972</v>
      </c>
    </row>
    <row r="15594" spans="1:5">
      <c r="A15594" t="s">
        <v>43603</v>
      </c>
      <c r="B15594" t="s">
        <v>43609</v>
      </c>
      <c r="C15594">
        <v>0</v>
      </c>
      <c r="D15594">
        <v>0.97922604101699995</v>
      </c>
      <c r="E15594">
        <v>3.972</v>
      </c>
    </row>
    <row r="15595" spans="1:5">
      <c r="A15595" t="s">
        <v>43603</v>
      </c>
      <c r="B15595" t="s">
        <v>43610</v>
      </c>
      <c r="C15595">
        <v>0</v>
      </c>
      <c r="D15595">
        <v>0.97922604101699995</v>
      </c>
      <c r="E15595">
        <v>3.972</v>
      </c>
    </row>
    <row r="15596" spans="1:5">
      <c r="A15596" t="s">
        <v>43603</v>
      </c>
      <c r="B15596" t="s">
        <v>43611</v>
      </c>
      <c r="C15596">
        <v>0</v>
      </c>
      <c r="D15596">
        <v>0.97922604101699995</v>
      </c>
      <c r="E15596">
        <v>3.972</v>
      </c>
    </row>
    <row r="15597" spans="1:5">
      <c r="A15597" t="s">
        <v>43603</v>
      </c>
      <c r="B15597" t="s">
        <v>43612</v>
      </c>
      <c r="C15597">
        <v>0.12213484883</v>
      </c>
      <c r="D15597">
        <v>0.97922604101699995</v>
      </c>
      <c r="E15597">
        <v>3.972</v>
      </c>
    </row>
    <row r="15598" spans="1:5">
      <c r="A15598" t="s">
        <v>43603</v>
      </c>
      <c r="B15598" t="s">
        <v>43613</v>
      </c>
      <c r="C15598">
        <v>9.1428102992599999E-2</v>
      </c>
      <c r="D15598">
        <v>0.97922604101699995</v>
      </c>
      <c r="E15598">
        <v>3.972</v>
      </c>
    </row>
    <row r="15599" spans="1:5">
      <c r="A15599" t="s">
        <v>43603</v>
      </c>
      <c r="B15599" t="s">
        <v>43614</v>
      </c>
      <c r="C15599">
        <v>0</v>
      </c>
      <c r="D15599">
        <v>0.97922604101699995</v>
      </c>
      <c r="E15599">
        <v>3.972</v>
      </c>
    </row>
    <row r="15600" spans="1:5">
      <c r="A15600" t="s">
        <v>43603</v>
      </c>
      <c r="B15600" t="s">
        <v>43615</v>
      </c>
      <c r="C15600">
        <v>0.30153801895900001</v>
      </c>
      <c r="D15600">
        <v>0.97922604101699995</v>
      </c>
      <c r="E15600">
        <v>3.972</v>
      </c>
    </row>
    <row r="15601" spans="1:5">
      <c r="A15601" t="s">
        <v>43603</v>
      </c>
      <c r="B15601" t="s">
        <v>43616</v>
      </c>
      <c r="C15601">
        <v>0.52762793640700001</v>
      </c>
      <c r="D15601">
        <v>0.97922604101699995</v>
      </c>
      <c r="E15601">
        <v>3.972</v>
      </c>
    </row>
    <row r="15602" spans="1:5">
      <c r="A15602" t="s">
        <v>43603</v>
      </c>
      <c r="B15602" t="s">
        <v>43617</v>
      </c>
      <c r="C15602">
        <f>0</f>
        <v>0</v>
      </c>
      <c r="D15602">
        <v>0.97922604101699995</v>
      </c>
      <c r="E15602">
        <v>3.972</v>
      </c>
    </row>
    <row r="15603" spans="1:5">
      <c r="A15603" t="s">
        <v>43603</v>
      </c>
      <c r="B15603" t="s">
        <v>43618</v>
      </c>
      <c r="C15603">
        <v>0</v>
      </c>
      <c r="D15603">
        <v>0.97922604101699995</v>
      </c>
      <c r="E15603">
        <v>3.972</v>
      </c>
    </row>
    <row r="15604" spans="1:5">
      <c r="A15604" t="s">
        <v>43603</v>
      </c>
      <c r="B15604" t="s">
        <v>43619</v>
      </c>
      <c r="C15604">
        <v>0</v>
      </c>
      <c r="D15604">
        <v>0.97922604101699995</v>
      </c>
      <c r="E15604">
        <v>3.972</v>
      </c>
    </row>
    <row r="15605" spans="1:5">
      <c r="A15605" t="s">
        <v>43603</v>
      </c>
      <c r="B15605" t="s">
        <v>43620</v>
      </c>
      <c r="C15605">
        <v>0</v>
      </c>
      <c r="D15605">
        <v>0.97922604101699995</v>
      </c>
      <c r="E15605">
        <v>3.972</v>
      </c>
    </row>
    <row r="15606" spans="1:5">
      <c r="A15606" t="s">
        <v>43603</v>
      </c>
      <c r="B15606" t="s">
        <v>43621</v>
      </c>
      <c r="C15606">
        <v>0</v>
      </c>
      <c r="D15606">
        <v>0.97922604101699995</v>
      </c>
      <c r="E15606">
        <v>3.972</v>
      </c>
    </row>
    <row r="15607" spans="1:5">
      <c r="A15607" t="s">
        <v>43603</v>
      </c>
      <c r="B15607" t="s">
        <v>43622</v>
      </c>
      <c r="C15607">
        <v>0</v>
      </c>
      <c r="D15607">
        <v>0.97922604101699995</v>
      </c>
      <c r="E15607">
        <v>3.972</v>
      </c>
    </row>
    <row r="15608" spans="1:5">
      <c r="A15608" t="s">
        <v>43603</v>
      </c>
      <c r="B15608" t="s">
        <v>43623</v>
      </c>
      <c r="C15608">
        <f>0</f>
        <v>0</v>
      </c>
      <c r="D15608">
        <v>0.97922604101699995</v>
      </c>
      <c r="E15608">
        <v>3.972</v>
      </c>
    </row>
    <row r="15609" spans="1:5">
      <c r="A15609" t="s">
        <v>43603</v>
      </c>
      <c r="B15609" t="s">
        <v>43624</v>
      </c>
      <c r="C15609">
        <v>6.1810414200800003E-2</v>
      </c>
      <c r="D15609">
        <v>0.97922604101699995</v>
      </c>
      <c r="E15609">
        <v>3.972</v>
      </c>
    </row>
    <row r="15610" spans="1:5">
      <c r="A15610" t="s">
        <v>43603</v>
      </c>
      <c r="B15610" t="s">
        <v>43625</v>
      </c>
      <c r="C15610">
        <v>0</v>
      </c>
      <c r="D15610">
        <v>0.97922604101699995</v>
      </c>
      <c r="E15610">
        <v>3.972</v>
      </c>
    </row>
    <row r="15611" spans="1:5">
      <c r="A15611" t="s">
        <v>43603</v>
      </c>
      <c r="B15611" t="s">
        <v>43626</v>
      </c>
      <c r="C15611">
        <v>0</v>
      </c>
      <c r="D15611">
        <v>0.97922604101699995</v>
      </c>
      <c r="E15611">
        <v>3.972</v>
      </c>
    </row>
    <row r="15612" spans="1:5">
      <c r="A15612" t="s">
        <v>43627</v>
      </c>
      <c r="B15612" t="s">
        <v>43628</v>
      </c>
      <c r="C15612">
        <v>0</v>
      </c>
      <c r="D15612" t="s">
        <v>106</v>
      </c>
      <c r="E15612">
        <v>23.28</v>
      </c>
    </row>
    <row r="15613" spans="1:5">
      <c r="A15613" t="s">
        <v>43627</v>
      </c>
      <c r="B15613" t="s">
        <v>43629</v>
      </c>
      <c r="C15613">
        <f>0</f>
        <v>0</v>
      </c>
      <c r="D15613" t="s">
        <v>106</v>
      </c>
      <c r="E15613">
        <v>23.28</v>
      </c>
    </row>
    <row r="15614" spans="1:5">
      <c r="A15614" t="s">
        <v>43627</v>
      </c>
      <c r="B15614" t="s">
        <v>43630</v>
      </c>
      <c r="C15614">
        <v>0</v>
      </c>
      <c r="D15614" t="s">
        <v>106</v>
      </c>
      <c r="E15614">
        <v>23.28</v>
      </c>
    </row>
    <row r="15615" spans="1:5">
      <c r="A15615" t="s">
        <v>43627</v>
      </c>
      <c r="B15615" t="s">
        <v>43631</v>
      </c>
      <c r="C15615">
        <f>0</f>
        <v>0</v>
      </c>
      <c r="D15615" t="s">
        <v>106</v>
      </c>
      <c r="E15615">
        <v>23.28</v>
      </c>
    </row>
    <row r="15616" spans="1:5">
      <c r="A15616" t="s">
        <v>43627</v>
      </c>
      <c r="B15616" t="s">
        <v>43632</v>
      </c>
      <c r="C15616">
        <f>0</f>
        <v>0</v>
      </c>
      <c r="D15616" t="s">
        <v>106</v>
      </c>
      <c r="E15616">
        <v>23.28</v>
      </c>
    </row>
    <row r="15617" spans="1:5">
      <c r="A15617" t="s">
        <v>43627</v>
      </c>
      <c r="B15617" t="s">
        <v>43633</v>
      </c>
      <c r="C15617">
        <v>0</v>
      </c>
      <c r="D15617" t="s">
        <v>106</v>
      </c>
      <c r="E15617">
        <v>23.28</v>
      </c>
    </row>
    <row r="15618" spans="1:5">
      <c r="A15618" t="s">
        <v>43627</v>
      </c>
      <c r="B15618" t="s">
        <v>43634</v>
      </c>
      <c r="C15618">
        <f>0</f>
        <v>0</v>
      </c>
      <c r="D15618" t="s">
        <v>106</v>
      </c>
      <c r="E15618">
        <v>23.28</v>
      </c>
    </row>
    <row r="15619" spans="1:5">
      <c r="A15619" t="s">
        <v>43627</v>
      </c>
      <c r="B15619" t="s">
        <v>43635</v>
      </c>
      <c r="C15619">
        <v>0</v>
      </c>
      <c r="D15619" t="s">
        <v>106</v>
      </c>
      <c r="E15619">
        <v>23.28</v>
      </c>
    </row>
    <row r="15620" spans="1:5">
      <c r="A15620" t="s">
        <v>43627</v>
      </c>
      <c r="B15620" t="s">
        <v>43636</v>
      </c>
      <c r="C15620">
        <f>0</f>
        <v>0</v>
      </c>
      <c r="D15620" t="s">
        <v>106</v>
      </c>
      <c r="E15620">
        <v>23.28</v>
      </c>
    </row>
    <row r="15621" spans="1:5">
      <c r="A15621" t="s">
        <v>43627</v>
      </c>
      <c r="B15621" t="s">
        <v>43637</v>
      </c>
      <c r="C15621">
        <v>0</v>
      </c>
      <c r="D15621" t="s">
        <v>106</v>
      </c>
      <c r="E15621">
        <v>23.28</v>
      </c>
    </row>
    <row r="15622" spans="1:5">
      <c r="A15622" t="s">
        <v>43638</v>
      </c>
      <c r="B15622" t="s">
        <v>23942</v>
      </c>
      <c r="C15622">
        <v>0</v>
      </c>
      <c r="D15622">
        <v>0.83333428658099995</v>
      </c>
      <c r="E15622">
        <v>11.37</v>
      </c>
    </row>
    <row r="15623" spans="1:5">
      <c r="A15623" t="s">
        <v>43638</v>
      </c>
      <c r="B15623" t="s">
        <v>23944</v>
      </c>
      <c r="C15623">
        <f>0</f>
        <v>0</v>
      </c>
      <c r="D15623">
        <v>0.83333428658099995</v>
      </c>
      <c r="E15623">
        <v>11.37</v>
      </c>
    </row>
    <row r="15624" spans="1:5">
      <c r="A15624" t="s">
        <v>43638</v>
      </c>
      <c r="B15624" t="s">
        <v>23943</v>
      </c>
      <c r="C15624">
        <f>0</f>
        <v>0</v>
      </c>
      <c r="D15624">
        <v>0.83333428658099995</v>
      </c>
      <c r="E15624">
        <v>11.37</v>
      </c>
    </row>
    <row r="15625" spans="1:5">
      <c r="A15625" t="s">
        <v>43638</v>
      </c>
      <c r="B15625" t="s">
        <v>23945</v>
      </c>
      <c r="C15625">
        <f>0.703724286581</f>
        <v>0.70372428658099995</v>
      </c>
      <c r="D15625">
        <v>0.83333428658099995</v>
      </c>
      <c r="E15625">
        <v>11.37</v>
      </c>
    </row>
    <row r="15626" spans="1:5">
      <c r="A15626" t="s">
        <v>43639</v>
      </c>
      <c r="B15626" t="s">
        <v>11472</v>
      </c>
      <c r="C15626">
        <f>0.742556107672</f>
        <v>0.74255610767199998</v>
      </c>
      <c r="D15626">
        <v>0.99996560399500001</v>
      </c>
      <c r="E15626">
        <v>6.18</v>
      </c>
    </row>
    <row r="15627" spans="1:5">
      <c r="A15627" t="s">
        <v>43639</v>
      </c>
      <c r="B15627" t="s">
        <v>11480</v>
      </c>
      <c r="C15627">
        <v>0.29384465663100001</v>
      </c>
      <c r="D15627">
        <v>0.99996560399500001</v>
      </c>
      <c r="E15627">
        <v>6.18</v>
      </c>
    </row>
    <row r="15628" spans="1:5">
      <c r="A15628" t="s">
        <v>43639</v>
      </c>
      <c r="B15628" t="s">
        <v>11477</v>
      </c>
      <c r="C15628">
        <f>0.285400513666</f>
        <v>0.285400513666</v>
      </c>
      <c r="D15628">
        <v>0.99996560399500001</v>
      </c>
      <c r="E15628">
        <v>6.18</v>
      </c>
    </row>
    <row r="15629" spans="1:5">
      <c r="A15629" t="s">
        <v>43639</v>
      </c>
      <c r="B15629" t="s">
        <v>11479</v>
      </c>
      <c r="C15629">
        <v>0.437397948885</v>
      </c>
      <c r="D15629">
        <v>0.99996560399500001</v>
      </c>
      <c r="E15629">
        <v>6.18</v>
      </c>
    </row>
    <row r="15630" spans="1:5">
      <c r="A15630" t="s">
        <v>43639</v>
      </c>
      <c r="B15630" t="s">
        <v>11478</v>
      </c>
      <c r="C15630">
        <v>0.19466160553799999</v>
      </c>
      <c r="D15630">
        <v>0.99996560399500001</v>
      </c>
      <c r="E15630">
        <v>6.18</v>
      </c>
    </row>
    <row r="15631" spans="1:5">
      <c r="A15631" t="s">
        <v>43639</v>
      </c>
      <c r="B15631" t="s">
        <v>11482</v>
      </c>
      <c r="C15631">
        <v>0.24497556791799999</v>
      </c>
      <c r="D15631">
        <v>0.99996560399500001</v>
      </c>
      <c r="E15631">
        <v>6.18</v>
      </c>
    </row>
    <row r="15632" spans="1:5">
      <c r="A15632" t="s">
        <v>43639</v>
      </c>
      <c r="B15632" t="s">
        <v>11481</v>
      </c>
      <c r="C15632">
        <v>5.48432700823E-2</v>
      </c>
      <c r="D15632">
        <v>0.99996560399500001</v>
      </c>
      <c r="E15632">
        <v>6.18</v>
      </c>
    </row>
    <row r="15633" spans="1:5">
      <c r="A15633" t="s">
        <v>43639</v>
      </c>
      <c r="B15633" t="s">
        <v>11476</v>
      </c>
      <c r="C15633">
        <f>0.616391715396</f>
        <v>0.61639171539600002</v>
      </c>
      <c r="D15633">
        <v>0.99996560399500001</v>
      </c>
      <c r="E15633">
        <v>6.18</v>
      </c>
    </row>
    <row r="15634" spans="1:5">
      <c r="A15634" t="s">
        <v>43639</v>
      </c>
      <c r="B15634" t="s">
        <v>11474</v>
      </c>
      <c r="C15634">
        <f>0.485621133722</f>
        <v>0.485621133722</v>
      </c>
      <c r="D15634">
        <v>0.99996560399500001</v>
      </c>
      <c r="E15634">
        <v>6.18</v>
      </c>
    </row>
    <row r="15635" spans="1:5">
      <c r="A15635" t="s">
        <v>43640</v>
      </c>
      <c r="B15635" t="s">
        <v>33191</v>
      </c>
      <c r="C15635">
        <v>0.74013288445299996</v>
      </c>
      <c r="D15635">
        <v>0.86974288445299996</v>
      </c>
      <c r="E15635">
        <v>1.014</v>
      </c>
    </row>
    <row r="15636" spans="1:5">
      <c r="A15636" t="s">
        <v>43640</v>
      </c>
      <c r="B15636" t="s">
        <v>33190</v>
      </c>
      <c r="C15636">
        <v>0</v>
      </c>
      <c r="D15636">
        <v>0.86974288445299996</v>
      </c>
      <c r="E15636">
        <v>1.014</v>
      </c>
    </row>
    <row r="15637" spans="1:5">
      <c r="A15637" t="s">
        <v>43641</v>
      </c>
      <c r="B15637" t="s">
        <v>25574</v>
      </c>
      <c r="C15637">
        <f>0</f>
        <v>0</v>
      </c>
      <c r="D15637">
        <v>0.96251243385600005</v>
      </c>
      <c r="E15637">
        <v>1.968</v>
      </c>
    </row>
    <row r="15638" spans="1:5">
      <c r="A15638" t="s">
        <v>43641</v>
      </c>
      <c r="B15638" t="s">
        <v>25576</v>
      </c>
      <c r="C15638">
        <f>0</f>
        <v>0</v>
      </c>
      <c r="D15638">
        <v>0.96251243385600005</v>
      </c>
      <c r="E15638">
        <v>1.968</v>
      </c>
    </row>
    <row r="15639" spans="1:5">
      <c r="A15639" t="s">
        <v>43641</v>
      </c>
      <c r="B15639" t="s">
        <v>25580</v>
      </c>
      <c r="C15639">
        <f>0.408344949662</f>
        <v>0.40834494966200002</v>
      </c>
      <c r="D15639">
        <v>0.96251243385600005</v>
      </c>
      <c r="E15639">
        <v>1.968</v>
      </c>
    </row>
    <row r="15640" spans="1:5">
      <c r="A15640" t="s">
        <v>43641</v>
      </c>
      <c r="B15640" t="s">
        <v>25578</v>
      </c>
      <c r="C15640">
        <v>2.5079139849199999E-2</v>
      </c>
      <c r="D15640">
        <v>0.96251243385600005</v>
      </c>
      <c r="E15640">
        <v>1.968</v>
      </c>
    </row>
    <row r="15641" spans="1:5">
      <c r="A15641" t="s">
        <v>43641</v>
      </c>
      <c r="B15641" t="s">
        <v>25586</v>
      </c>
      <c r="C15641">
        <f>0.228978331058</f>
        <v>0.228978331058</v>
      </c>
      <c r="D15641">
        <v>0.96251243385600005</v>
      </c>
      <c r="E15641">
        <v>1.968</v>
      </c>
    </row>
    <row r="15642" spans="1:5">
      <c r="A15642" t="s">
        <v>43641</v>
      </c>
      <c r="B15642" t="s">
        <v>25579</v>
      </c>
      <c r="C15642">
        <v>0.18316103888099999</v>
      </c>
      <c r="D15642">
        <v>0.96251243385600005</v>
      </c>
      <c r="E15642">
        <v>1.968</v>
      </c>
    </row>
    <row r="15643" spans="1:5">
      <c r="A15643" t="s">
        <v>43641</v>
      </c>
      <c r="B15643" t="s">
        <v>25581</v>
      </c>
      <c r="C15643">
        <f>0</f>
        <v>0</v>
      </c>
      <c r="D15643">
        <v>0.96251243385600005</v>
      </c>
      <c r="E15643">
        <v>1.968</v>
      </c>
    </row>
    <row r="15644" spans="1:5">
      <c r="A15644" t="s">
        <v>43641</v>
      </c>
      <c r="B15644" t="s">
        <v>25585</v>
      </c>
      <c r="C15644">
        <f>0</f>
        <v>0</v>
      </c>
      <c r="D15644">
        <v>0.96251243385600005</v>
      </c>
      <c r="E15644">
        <v>1.968</v>
      </c>
    </row>
    <row r="15645" spans="1:5">
      <c r="A15645" t="s">
        <v>43641</v>
      </c>
      <c r="B15645" t="s">
        <v>25575</v>
      </c>
      <c r="C15645">
        <f>0</f>
        <v>0</v>
      </c>
      <c r="D15645">
        <v>0.96251243385600005</v>
      </c>
      <c r="E15645">
        <v>1.968</v>
      </c>
    </row>
    <row r="15646" spans="1:5">
      <c r="A15646" t="s">
        <v>43641</v>
      </c>
      <c r="B15646" t="s">
        <v>25573</v>
      </c>
      <c r="C15646">
        <f>0.621529653214</f>
        <v>0.621529653214</v>
      </c>
      <c r="D15646">
        <v>0.96251243385600005</v>
      </c>
      <c r="E15646">
        <v>1.968</v>
      </c>
    </row>
    <row r="15647" spans="1:5">
      <c r="A15647" t="s">
        <v>43642</v>
      </c>
      <c r="B15647" t="s">
        <v>7287</v>
      </c>
      <c r="C15647">
        <v>0.33887492909599998</v>
      </c>
      <c r="D15647">
        <v>0.41942626808700001</v>
      </c>
      <c r="E15647">
        <v>12.215999999999999</v>
      </c>
    </row>
    <row r="15648" spans="1:5">
      <c r="A15648" t="s">
        <v>43642</v>
      </c>
      <c r="B15648" t="s">
        <v>7288</v>
      </c>
      <c r="C15648">
        <v>2.8977683629899998E-3</v>
      </c>
      <c r="D15648">
        <v>0.41942626808700001</v>
      </c>
      <c r="E15648">
        <v>12.215999999999999</v>
      </c>
    </row>
    <row r="15649" spans="1:5">
      <c r="A15649" t="s">
        <v>43643</v>
      </c>
      <c r="B15649" t="s">
        <v>30569</v>
      </c>
      <c r="C15649">
        <f>0</f>
        <v>0</v>
      </c>
      <c r="D15649">
        <v>0.77359501656200003</v>
      </c>
      <c r="E15649">
        <v>6.3</v>
      </c>
    </row>
    <row r="15650" spans="1:5">
      <c r="A15650" t="s">
        <v>43643</v>
      </c>
      <c r="B15650" t="s">
        <v>30572</v>
      </c>
      <c r="C15650">
        <f>0</f>
        <v>0</v>
      </c>
      <c r="D15650">
        <v>0.77359501656200003</v>
      </c>
      <c r="E15650">
        <v>6.3</v>
      </c>
    </row>
    <row r="15651" spans="1:5">
      <c r="A15651" t="s">
        <v>43643</v>
      </c>
      <c r="B15651" t="s">
        <v>30570</v>
      </c>
      <c r="C15651">
        <f>0</f>
        <v>0</v>
      </c>
      <c r="D15651">
        <v>0.77359501656200003</v>
      </c>
      <c r="E15651">
        <v>6.3</v>
      </c>
    </row>
    <row r="15652" spans="1:5">
      <c r="A15652" t="s">
        <v>43643</v>
      </c>
      <c r="B15652" t="s">
        <v>30573</v>
      </c>
      <c r="C15652">
        <v>0</v>
      </c>
      <c r="D15652">
        <v>0.77359501656200003</v>
      </c>
      <c r="E15652">
        <v>6.3</v>
      </c>
    </row>
    <row r="15653" spans="1:5">
      <c r="A15653" t="s">
        <v>43643</v>
      </c>
      <c r="B15653" t="s">
        <v>30574</v>
      </c>
      <c r="C15653">
        <v>3.6425521622800001E-2</v>
      </c>
      <c r="D15653">
        <v>0.77359501656200003</v>
      </c>
      <c r="E15653">
        <v>6.3</v>
      </c>
    </row>
    <row r="15654" spans="1:5">
      <c r="A15654" t="s">
        <v>43643</v>
      </c>
      <c r="B15654" t="s">
        <v>30576</v>
      </c>
      <c r="C15654">
        <v>0.47485851252900002</v>
      </c>
      <c r="D15654">
        <v>0.77359501656200003</v>
      </c>
      <c r="E15654">
        <v>6.3</v>
      </c>
    </row>
    <row r="15655" spans="1:5">
      <c r="A15655" t="s">
        <v>43644</v>
      </c>
      <c r="B15655" t="s">
        <v>19229</v>
      </c>
      <c r="C15655">
        <v>0</v>
      </c>
      <c r="D15655" t="s">
        <v>106</v>
      </c>
      <c r="E15655">
        <v>1.2E-2</v>
      </c>
    </row>
    <row r="15656" spans="1:5">
      <c r="A15656" t="s">
        <v>43644</v>
      </c>
      <c r="B15656" t="s">
        <v>19231</v>
      </c>
      <c r="C15656">
        <f>0</f>
        <v>0</v>
      </c>
      <c r="D15656" t="s">
        <v>106</v>
      </c>
      <c r="E15656">
        <v>1.2E-2</v>
      </c>
    </row>
    <row r="15657" spans="1:5">
      <c r="A15657" t="s">
        <v>43644</v>
      </c>
      <c r="B15657" t="s">
        <v>19232</v>
      </c>
      <c r="C15657">
        <v>0</v>
      </c>
      <c r="D15657" t="s">
        <v>106</v>
      </c>
      <c r="E15657">
        <v>1.2E-2</v>
      </c>
    </row>
    <row r="15658" spans="1:5">
      <c r="A15658" t="s">
        <v>43644</v>
      </c>
      <c r="B15658" t="s">
        <v>19234</v>
      </c>
      <c r="C15658">
        <f>0</f>
        <v>0</v>
      </c>
      <c r="D15658" t="s">
        <v>106</v>
      </c>
      <c r="E15658">
        <v>1.2E-2</v>
      </c>
    </row>
    <row r="15659" spans="1:5">
      <c r="A15659" t="s">
        <v>43644</v>
      </c>
      <c r="B15659" t="s">
        <v>19233</v>
      </c>
      <c r="C15659">
        <f>0</f>
        <v>0</v>
      </c>
      <c r="D15659" t="s">
        <v>106</v>
      </c>
      <c r="E15659">
        <v>1.2E-2</v>
      </c>
    </row>
    <row r="15660" spans="1:5">
      <c r="A15660" t="s">
        <v>43645</v>
      </c>
      <c r="B15660" t="s">
        <v>22902</v>
      </c>
      <c r="C15660">
        <f>0.749510268717</f>
        <v>0.74951026871699999</v>
      </c>
      <c r="D15660">
        <v>0.80653213754300002</v>
      </c>
      <c r="E15660">
        <v>1.3380000000000001</v>
      </c>
    </row>
    <row r="15661" spans="1:5">
      <c r="A15661" t="s">
        <v>43645</v>
      </c>
      <c r="B15661" t="s">
        <v>22904</v>
      </c>
      <c r="C15661">
        <v>0.57338665628300001</v>
      </c>
      <c r="D15661">
        <v>0.80653213754300002</v>
      </c>
      <c r="E15661">
        <v>1.3380000000000001</v>
      </c>
    </row>
    <row r="15662" spans="1:5">
      <c r="A15662" t="s">
        <v>43645</v>
      </c>
      <c r="B15662" t="s">
        <v>22903</v>
      </c>
      <c r="C15662">
        <f>0.149543215018</f>
        <v>0.149543215018</v>
      </c>
      <c r="D15662">
        <v>0.80653213754300002</v>
      </c>
      <c r="E15662">
        <v>1.3380000000000001</v>
      </c>
    </row>
    <row r="15663" spans="1:5">
      <c r="A15663" t="s">
        <v>43646</v>
      </c>
      <c r="B15663" t="s">
        <v>26959</v>
      </c>
      <c r="C15663">
        <f>0</f>
        <v>0</v>
      </c>
      <c r="D15663" t="s">
        <v>106</v>
      </c>
      <c r="E15663">
        <v>8.8680000000000003</v>
      </c>
    </row>
    <row r="15664" spans="1:5">
      <c r="A15664" t="s">
        <v>43646</v>
      </c>
      <c r="B15664" t="s">
        <v>26962</v>
      </c>
      <c r="C15664">
        <f>0</f>
        <v>0</v>
      </c>
      <c r="D15664" t="s">
        <v>106</v>
      </c>
      <c r="E15664">
        <v>8.8680000000000003</v>
      </c>
    </row>
    <row r="15665" spans="1:5">
      <c r="A15665" t="s">
        <v>43646</v>
      </c>
      <c r="B15665" t="s">
        <v>26961</v>
      </c>
      <c r="C15665">
        <v>0</v>
      </c>
      <c r="D15665" t="s">
        <v>106</v>
      </c>
      <c r="E15665">
        <v>8.8680000000000003</v>
      </c>
    </row>
    <row r="15666" spans="1:5">
      <c r="A15666" t="s">
        <v>43647</v>
      </c>
      <c r="B15666" t="s">
        <v>43648</v>
      </c>
      <c r="C15666">
        <v>0.68260166443199999</v>
      </c>
      <c r="D15666">
        <v>0.73540514846000005</v>
      </c>
      <c r="E15666">
        <v>0</v>
      </c>
    </row>
    <row r="15667" spans="1:5">
      <c r="A15667" t="s">
        <v>43647</v>
      </c>
      <c r="B15667" t="s">
        <v>43649</v>
      </c>
      <c r="C15667">
        <v>0.12830841972900001</v>
      </c>
      <c r="D15667">
        <v>0.73540514846000005</v>
      </c>
      <c r="E15667">
        <v>0</v>
      </c>
    </row>
    <row r="15668" spans="1:5">
      <c r="A15668" t="s">
        <v>43650</v>
      </c>
      <c r="B15668" t="s">
        <v>20985</v>
      </c>
      <c r="C15668">
        <v>0</v>
      </c>
      <c r="D15668" t="s">
        <v>106</v>
      </c>
      <c r="E15668">
        <v>11.37</v>
      </c>
    </row>
    <row r="15669" spans="1:5">
      <c r="A15669" t="s">
        <v>43650</v>
      </c>
      <c r="B15669" t="s">
        <v>20986</v>
      </c>
      <c r="C15669">
        <v>0</v>
      </c>
      <c r="D15669" t="s">
        <v>106</v>
      </c>
      <c r="E15669">
        <v>11.37</v>
      </c>
    </row>
    <row r="15670" spans="1:5">
      <c r="A15670" t="s">
        <v>43651</v>
      </c>
      <c r="B15670" t="s">
        <v>25372</v>
      </c>
      <c r="C15670">
        <v>1.6637197801000001</v>
      </c>
      <c r="D15670">
        <v>0.99197580738400004</v>
      </c>
      <c r="E15670">
        <v>16.494</v>
      </c>
    </row>
    <row r="15671" spans="1:5">
      <c r="A15671" t="s">
        <v>43651</v>
      </c>
      <c r="B15671" t="s">
        <v>25376</v>
      </c>
      <c r="C15671">
        <v>3.73900840639</v>
      </c>
      <c r="D15671">
        <v>0.99197580738400004</v>
      </c>
      <c r="E15671">
        <v>16.494</v>
      </c>
    </row>
    <row r="15672" spans="1:5">
      <c r="A15672" t="s">
        <v>43651</v>
      </c>
      <c r="B15672" t="s">
        <v>25370</v>
      </c>
      <c r="C15672">
        <f>0.0788659994196</f>
        <v>7.88659994196E-2</v>
      </c>
      <c r="D15672">
        <v>0.99197580738400004</v>
      </c>
      <c r="E15672">
        <v>16.494</v>
      </c>
    </row>
    <row r="15673" spans="1:5">
      <c r="A15673" t="s">
        <v>43651</v>
      </c>
      <c r="B15673" t="s">
        <v>25374</v>
      </c>
      <c r="C15673">
        <f>-2.49120393273</f>
        <v>-2.49120393273</v>
      </c>
      <c r="D15673">
        <v>0.99197580738400004</v>
      </c>
      <c r="E15673">
        <v>16.494</v>
      </c>
    </row>
    <row r="15674" spans="1:5">
      <c r="A15674" t="s">
        <v>43651</v>
      </c>
      <c r="B15674" t="s">
        <v>25373</v>
      </c>
      <c r="C15674">
        <v>1.70107145682</v>
      </c>
      <c r="D15674">
        <v>0.99197580738400004</v>
      </c>
      <c r="E15674">
        <v>16.494</v>
      </c>
    </row>
    <row r="15675" spans="1:5">
      <c r="A15675" t="s">
        <v>43651</v>
      </c>
      <c r="B15675" t="s">
        <v>25371</v>
      </c>
      <c r="C15675">
        <f>-1.5977876427</f>
        <v>-1.5977876427</v>
      </c>
      <c r="D15675">
        <v>0.99197580738400004</v>
      </c>
      <c r="E15675">
        <v>16.494</v>
      </c>
    </row>
    <row r="15676" spans="1:5">
      <c r="A15676" t="s">
        <v>43652</v>
      </c>
      <c r="B15676" t="s">
        <v>43653</v>
      </c>
      <c r="C15676">
        <f>0</f>
        <v>0</v>
      </c>
      <c r="D15676" t="s">
        <v>106</v>
      </c>
      <c r="E15676">
        <v>1.764</v>
      </c>
    </row>
    <row r="15677" spans="1:5">
      <c r="A15677" t="s">
        <v>43652</v>
      </c>
      <c r="B15677" t="s">
        <v>43654</v>
      </c>
      <c r="C15677">
        <f>0</f>
        <v>0</v>
      </c>
      <c r="D15677" t="s">
        <v>106</v>
      </c>
      <c r="E15677">
        <v>1.764</v>
      </c>
    </row>
    <row r="15678" spans="1:5">
      <c r="A15678" t="s">
        <v>43652</v>
      </c>
      <c r="B15678" t="s">
        <v>43655</v>
      </c>
      <c r="C15678">
        <f>0</f>
        <v>0</v>
      </c>
      <c r="D15678" t="s">
        <v>106</v>
      </c>
      <c r="E15678">
        <v>1.764</v>
      </c>
    </row>
    <row r="15679" spans="1:5">
      <c r="A15679" t="s">
        <v>43652</v>
      </c>
      <c r="B15679" t="s">
        <v>43656</v>
      </c>
      <c r="C15679">
        <v>0</v>
      </c>
      <c r="D15679" t="s">
        <v>106</v>
      </c>
      <c r="E15679">
        <v>1.764</v>
      </c>
    </row>
    <row r="15680" spans="1:5">
      <c r="A15680" t="s">
        <v>43657</v>
      </c>
      <c r="B15680" t="s">
        <v>32376</v>
      </c>
      <c r="C15680">
        <v>8.7213723787200007E-2</v>
      </c>
      <c r="D15680">
        <v>0.98076876929000001</v>
      </c>
      <c r="E15680">
        <v>7.4640000000000004</v>
      </c>
    </row>
    <row r="15681" spans="1:5">
      <c r="A15681" t="s">
        <v>43657</v>
      </c>
      <c r="B15681" t="s">
        <v>32379</v>
      </c>
      <c r="C15681">
        <v>0</v>
      </c>
      <c r="D15681">
        <v>0.98076876929000001</v>
      </c>
      <c r="E15681">
        <v>7.4640000000000004</v>
      </c>
    </row>
    <row r="15682" spans="1:5">
      <c r="A15682" t="s">
        <v>43657</v>
      </c>
      <c r="B15682" t="s">
        <v>32378</v>
      </c>
      <c r="C15682">
        <f>0.105841876945</f>
        <v>0.105841876945</v>
      </c>
      <c r="D15682">
        <v>0.98076876929000001</v>
      </c>
      <c r="E15682">
        <v>7.4640000000000004</v>
      </c>
    </row>
    <row r="15683" spans="1:5">
      <c r="A15683" t="s">
        <v>43657</v>
      </c>
      <c r="B15683" t="s">
        <v>32377</v>
      </c>
      <c r="C15683">
        <f>0.666999777599</f>
        <v>0.66699977759899998</v>
      </c>
      <c r="D15683">
        <v>0.98076876929000001</v>
      </c>
      <c r="E15683">
        <v>7.4640000000000004</v>
      </c>
    </row>
    <row r="15684" spans="1:5">
      <c r="A15684" t="s">
        <v>43657</v>
      </c>
      <c r="B15684" t="s">
        <v>32380</v>
      </c>
      <c r="C15684">
        <v>4.8632932297100001E-2</v>
      </c>
      <c r="D15684">
        <v>0.98076876929000001</v>
      </c>
      <c r="E15684">
        <v>7.4640000000000004</v>
      </c>
    </row>
    <row r="15685" spans="1:5">
      <c r="A15685" t="s">
        <v>43657</v>
      </c>
      <c r="B15685" t="s">
        <v>32381</v>
      </c>
      <c r="C15685">
        <f>0.383720153838</f>
        <v>0.38372015383800001</v>
      </c>
      <c r="D15685">
        <v>0.98076876929000001</v>
      </c>
      <c r="E15685">
        <v>7.4640000000000004</v>
      </c>
    </row>
    <row r="15686" spans="1:5">
      <c r="A15686" t="s">
        <v>43658</v>
      </c>
      <c r="B15686" t="s">
        <v>1043</v>
      </c>
      <c r="C15686">
        <f>0</f>
        <v>0</v>
      </c>
      <c r="D15686">
        <v>0.97965929755500003</v>
      </c>
      <c r="E15686">
        <v>7.734</v>
      </c>
    </row>
    <row r="15687" spans="1:5">
      <c r="A15687" t="s">
        <v>43658</v>
      </c>
      <c r="B15687" t="s">
        <v>1035</v>
      </c>
      <c r="C15687">
        <v>0.14966378261999999</v>
      </c>
      <c r="D15687">
        <v>0.97965929755500003</v>
      </c>
      <c r="E15687">
        <v>7.734</v>
      </c>
    </row>
    <row r="15688" spans="1:5">
      <c r="A15688" t="s">
        <v>43658</v>
      </c>
      <c r="B15688" t="s">
        <v>1036</v>
      </c>
      <c r="C15688">
        <v>5.9198117200799996E-3</v>
      </c>
      <c r="D15688">
        <v>0.97965929755500003</v>
      </c>
      <c r="E15688">
        <v>7.734</v>
      </c>
    </row>
    <row r="15689" spans="1:5">
      <c r="A15689" t="s">
        <v>43658</v>
      </c>
      <c r="B15689" t="s">
        <v>1040</v>
      </c>
      <c r="C15689">
        <v>0</v>
      </c>
      <c r="D15689">
        <v>0.97965929755500003</v>
      </c>
      <c r="E15689">
        <v>7.734</v>
      </c>
    </row>
    <row r="15690" spans="1:5">
      <c r="A15690" t="s">
        <v>43658</v>
      </c>
      <c r="B15690" t="s">
        <v>1041</v>
      </c>
      <c r="C15690">
        <v>0</v>
      </c>
      <c r="D15690">
        <v>0.97965929755500003</v>
      </c>
      <c r="E15690">
        <v>7.734</v>
      </c>
    </row>
    <row r="15691" spans="1:5">
      <c r="A15691" t="s">
        <v>43658</v>
      </c>
      <c r="B15691" t="s">
        <v>1039</v>
      </c>
      <c r="C15691">
        <v>0.52576032412600004</v>
      </c>
      <c r="D15691">
        <v>0.97965929755500003</v>
      </c>
      <c r="E15691">
        <v>7.734</v>
      </c>
    </row>
    <row r="15692" spans="1:5">
      <c r="A15692" t="s">
        <v>43658</v>
      </c>
      <c r="B15692" t="s">
        <v>1038</v>
      </c>
      <c r="C15692">
        <v>0</v>
      </c>
      <c r="D15692">
        <v>0.97965929755500003</v>
      </c>
      <c r="E15692">
        <v>7.734</v>
      </c>
    </row>
    <row r="15693" spans="1:5">
      <c r="A15693" t="s">
        <v>43658</v>
      </c>
      <c r="B15693" t="s">
        <v>1044</v>
      </c>
      <c r="C15693">
        <v>0.61658669473799999</v>
      </c>
      <c r="D15693">
        <v>0.97965929755500003</v>
      </c>
      <c r="E15693">
        <v>7.734</v>
      </c>
    </row>
    <row r="15694" spans="1:5">
      <c r="A15694" t="s">
        <v>43659</v>
      </c>
      <c r="B15694" t="s">
        <v>43660</v>
      </c>
      <c r="C15694">
        <v>0</v>
      </c>
      <c r="D15694" t="s">
        <v>106</v>
      </c>
      <c r="E15694">
        <v>12.048</v>
      </c>
    </row>
    <row r="15695" spans="1:5">
      <c r="A15695" t="s">
        <v>43659</v>
      </c>
      <c r="B15695" t="s">
        <v>43661</v>
      </c>
      <c r="C15695">
        <v>0</v>
      </c>
      <c r="D15695" t="s">
        <v>106</v>
      </c>
      <c r="E15695">
        <v>12.048</v>
      </c>
    </row>
    <row r="15696" spans="1:5">
      <c r="A15696" t="s">
        <v>43659</v>
      </c>
      <c r="B15696" t="s">
        <v>43662</v>
      </c>
      <c r="C15696">
        <v>0</v>
      </c>
      <c r="D15696" t="s">
        <v>106</v>
      </c>
      <c r="E15696">
        <v>12.048</v>
      </c>
    </row>
    <row r="15697" spans="1:5">
      <c r="A15697" t="s">
        <v>43663</v>
      </c>
      <c r="B15697" t="s">
        <v>6847</v>
      </c>
      <c r="C15697">
        <f>0</f>
        <v>0</v>
      </c>
      <c r="D15697">
        <v>0.76289090409500004</v>
      </c>
      <c r="E15697">
        <v>6.8040000000000003</v>
      </c>
    </row>
    <row r="15698" spans="1:5">
      <c r="A15698" t="s">
        <v>43663</v>
      </c>
      <c r="B15698" t="s">
        <v>6851</v>
      </c>
      <c r="C15698">
        <f>0</f>
        <v>0</v>
      </c>
      <c r="D15698">
        <v>0.76289090409500004</v>
      </c>
      <c r="E15698">
        <v>6.8040000000000003</v>
      </c>
    </row>
    <row r="15699" spans="1:5">
      <c r="A15699" t="s">
        <v>43663</v>
      </c>
      <c r="B15699" t="s">
        <v>6857</v>
      </c>
      <c r="C15699">
        <v>0</v>
      </c>
      <c r="D15699">
        <v>0.76289090409500004</v>
      </c>
      <c r="E15699">
        <v>6.8040000000000003</v>
      </c>
    </row>
    <row r="15700" spans="1:5">
      <c r="A15700" t="s">
        <v>43663</v>
      </c>
      <c r="B15700" t="s">
        <v>6849</v>
      </c>
      <c r="C15700">
        <v>0</v>
      </c>
      <c r="D15700">
        <v>0.76289090409500004</v>
      </c>
      <c r="E15700">
        <v>6.8040000000000003</v>
      </c>
    </row>
    <row r="15701" spans="1:5">
      <c r="A15701" t="s">
        <v>43663</v>
      </c>
      <c r="B15701" t="s">
        <v>6856</v>
      </c>
      <c r="C15701">
        <v>0</v>
      </c>
      <c r="D15701">
        <v>0.76289090409500004</v>
      </c>
      <c r="E15701">
        <v>6.8040000000000003</v>
      </c>
    </row>
    <row r="15702" spans="1:5">
      <c r="A15702" t="s">
        <v>43663</v>
      </c>
      <c r="B15702" t="s">
        <v>6854</v>
      </c>
      <c r="C15702">
        <v>0</v>
      </c>
      <c r="D15702">
        <v>0.76289090409500004</v>
      </c>
      <c r="E15702">
        <v>6.8040000000000003</v>
      </c>
    </row>
    <row r="15703" spans="1:5">
      <c r="A15703" t="s">
        <v>43663</v>
      </c>
      <c r="B15703" t="s">
        <v>6858</v>
      </c>
      <c r="C15703">
        <v>0.300480904095</v>
      </c>
      <c r="D15703">
        <v>0.76289090409500004</v>
      </c>
      <c r="E15703">
        <v>6.8040000000000003</v>
      </c>
    </row>
    <row r="15704" spans="1:5">
      <c r="A15704" t="s">
        <v>43663</v>
      </c>
      <c r="B15704" t="s">
        <v>6859</v>
      </c>
      <c r="C15704">
        <v>0</v>
      </c>
      <c r="D15704">
        <v>0.76289090409500004</v>
      </c>
      <c r="E15704">
        <v>6.8040000000000003</v>
      </c>
    </row>
    <row r="15705" spans="1:5">
      <c r="A15705" t="s">
        <v>43664</v>
      </c>
      <c r="B15705" t="s">
        <v>43665</v>
      </c>
      <c r="C15705">
        <f>0.151677230575</f>
        <v>0.15167723057499999</v>
      </c>
      <c r="D15705">
        <v>0.83123214388</v>
      </c>
      <c r="E15705">
        <v>14.747999999999999</v>
      </c>
    </row>
    <row r="15706" spans="1:5">
      <c r="A15706" t="s">
        <v>43664</v>
      </c>
      <c r="B15706" t="s">
        <v>43666</v>
      </c>
      <c r="C15706">
        <f>0.894542287701</f>
        <v>0.89454228770099997</v>
      </c>
      <c r="D15706">
        <v>0.83123214388</v>
      </c>
      <c r="E15706">
        <v>14.747999999999999</v>
      </c>
    </row>
    <row r="15707" spans="1:5">
      <c r="A15707" t="s">
        <v>43667</v>
      </c>
      <c r="B15707" t="s">
        <v>43668</v>
      </c>
      <c r="C15707">
        <f>0.541894672061</f>
        <v>0.54189467206099995</v>
      </c>
      <c r="D15707">
        <v>0.72827656042</v>
      </c>
      <c r="E15707">
        <v>2.88</v>
      </c>
    </row>
    <row r="15708" spans="1:5">
      <c r="A15708" t="s">
        <v>43667</v>
      </c>
      <c r="B15708" t="s">
        <v>43669</v>
      </c>
      <c r="C15708">
        <f>0.400395998321</f>
        <v>0.40039599832099998</v>
      </c>
      <c r="D15708">
        <v>0.72827656042</v>
      </c>
      <c r="E15708">
        <v>2.88</v>
      </c>
    </row>
    <row r="15709" spans="1:5">
      <c r="A15709" t="s">
        <v>43670</v>
      </c>
      <c r="B15709" t="s">
        <v>6086</v>
      </c>
      <c r="C15709">
        <v>0.499839698369</v>
      </c>
      <c r="D15709">
        <v>0.81442230610900002</v>
      </c>
      <c r="E15709">
        <v>23.754000000000001</v>
      </c>
    </row>
    <row r="15710" spans="1:5">
      <c r="A15710" t="s">
        <v>43670</v>
      </c>
      <c r="B15710" t="s">
        <v>6083</v>
      </c>
      <c r="C15710">
        <v>0</v>
      </c>
      <c r="D15710">
        <v>0.81442230610900002</v>
      </c>
      <c r="E15710">
        <v>23.754000000000001</v>
      </c>
    </row>
    <row r="15711" spans="1:5">
      <c r="A15711" t="s">
        <v>43670</v>
      </c>
      <c r="B15711" t="s">
        <v>6084</v>
      </c>
      <c r="C15711">
        <v>0.13879889092200001</v>
      </c>
      <c r="D15711">
        <v>0.81442230610900002</v>
      </c>
      <c r="E15711">
        <v>23.754000000000001</v>
      </c>
    </row>
    <row r="15712" spans="1:5">
      <c r="A15712" t="s">
        <v>43671</v>
      </c>
      <c r="B15712" t="s">
        <v>43672</v>
      </c>
      <c r="C15712">
        <f>0</f>
        <v>0</v>
      </c>
      <c r="D15712" t="s">
        <v>106</v>
      </c>
      <c r="E15712">
        <v>10.08</v>
      </c>
    </row>
    <row r="15713" spans="1:5">
      <c r="A15713" t="s">
        <v>43671</v>
      </c>
      <c r="B15713" t="s">
        <v>43673</v>
      </c>
      <c r="C15713">
        <f>0</f>
        <v>0</v>
      </c>
      <c r="D15713" t="s">
        <v>106</v>
      </c>
      <c r="E15713">
        <v>10.08</v>
      </c>
    </row>
    <row r="15714" spans="1:5">
      <c r="A15714" t="s">
        <v>43674</v>
      </c>
      <c r="B15714" t="s">
        <v>43675</v>
      </c>
      <c r="C15714">
        <v>0</v>
      </c>
      <c r="D15714" t="s">
        <v>106</v>
      </c>
      <c r="E15714">
        <v>10.398</v>
      </c>
    </row>
    <row r="15715" spans="1:5">
      <c r="A15715" t="s">
        <v>43674</v>
      </c>
      <c r="B15715" t="s">
        <v>43676</v>
      </c>
      <c r="C15715">
        <v>0</v>
      </c>
      <c r="D15715" t="s">
        <v>106</v>
      </c>
      <c r="E15715">
        <v>10.398</v>
      </c>
    </row>
    <row r="15716" spans="1:5">
      <c r="A15716" t="s">
        <v>43674</v>
      </c>
      <c r="B15716" t="s">
        <v>43677</v>
      </c>
      <c r="C15716">
        <v>0</v>
      </c>
      <c r="D15716" t="s">
        <v>106</v>
      </c>
      <c r="E15716">
        <v>10.398</v>
      </c>
    </row>
    <row r="15717" spans="1:5">
      <c r="A15717" t="s">
        <v>43678</v>
      </c>
      <c r="B15717" t="s">
        <v>43679</v>
      </c>
      <c r="C15717">
        <v>0.76465162289199995</v>
      </c>
      <c r="D15717">
        <v>0.79759336615300003</v>
      </c>
      <c r="E15717">
        <v>0.61799999999999999</v>
      </c>
    </row>
    <row r="15718" spans="1:5">
      <c r="A15718" t="s">
        <v>43678</v>
      </c>
      <c r="B15718" t="s">
        <v>43680</v>
      </c>
      <c r="C15718">
        <f>0.321772775928</f>
        <v>0.32177277592800002</v>
      </c>
      <c r="D15718">
        <v>0.79759336615300003</v>
      </c>
      <c r="E15718">
        <v>0.61799999999999999</v>
      </c>
    </row>
    <row r="15719" spans="1:5">
      <c r="A15719" t="s">
        <v>43681</v>
      </c>
      <c r="B15719" t="s">
        <v>43682</v>
      </c>
      <c r="C15719">
        <v>0</v>
      </c>
      <c r="D15719">
        <v>0.92313004140099997</v>
      </c>
      <c r="E15719">
        <v>0</v>
      </c>
    </row>
    <row r="15720" spans="1:5">
      <c r="A15720" t="s">
        <v>43681</v>
      </c>
      <c r="B15720" t="s">
        <v>43683</v>
      </c>
      <c r="C15720">
        <v>0.45750986967000001</v>
      </c>
      <c r="D15720">
        <v>0.92313004140099997</v>
      </c>
      <c r="E15720">
        <v>0</v>
      </c>
    </row>
    <row r="15721" spans="1:5">
      <c r="A15721" t="s">
        <v>43681</v>
      </c>
      <c r="B15721" t="s">
        <v>43684</v>
      </c>
      <c r="C15721">
        <v>0</v>
      </c>
      <c r="D15721">
        <v>0.92313004140099997</v>
      </c>
      <c r="E15721">
        <v>0</v>
      </c>
    </row>
    <row r="15722" spans="1:5">
      <c r="A15722" t="s">
        <v>43681</v>
      </c>
      <c r="B15722" t="s">
        <v>43685</v>
      </c>
      <c r="C15722">
        <v>0</v>
      </c>
      <c r="D15722">
        <v>0.92313004140099997</v>
      </c>
      <c r="E15722">
        <v>0</v>
      </c>
    </row>
    <row r="15723" spans="1:5">
      <c r="A15723" t="s">
        <v>43681</v>
      </c>
      <c r="B15723" t="s">
        <v>43686</v>
      </c>
      <c r="C15723">
        <v>0</v>
      </c>
      <c r="D15723">
        <v>0.92313004140099997</v>
      </c>
      <c r="E15723">
        <v>0</v>
      </c>
    </row>
    <row r="15724" spans="1:5">
      <c r="A15724" t="s">
        <v>43681</v>
      </c>
      <c r="B15724" t="s">
        <v>43687</v>
      </c>
      <c r="C15724">
        <v>0.27288929240600002</v>
      </c>
      <c r="D15724">
        <v>0.92313004140099997</v>
      </c>
      <c r="E15724">
        <v>0</v>
      </c>
    </row>
    <row r="15725" spans="1:5">
      <c r="A15725" t="s">
        <v>43681</v>
      </c>
      <c r="B15725" t="s">
        <v>43688</v>
      </c>
      <c r="C15725">
        <f>0</f>
        <v>0</v>
      </c>
      <c r="D15725">
        <v>0.92313004140099997</v>
      </c>
      <c r="E15725">
        <v>0</v>
      </c>
    </row>
    <row r="15726" spans="1:5">
      <c r="A15726" t="s">
        <v>43681</v>
      </c>
      <c r="B15726" t="s">
        <v>43689</v>
      </c>
      <c r="C15726">
        <v>1.6392360037300002E-2</v>
      </c>
      <c r="D15726">
        <v>0.92313004140099997</v>
      </c>
      <c r="E15726">
        <v>0</v>
      </c>
    </row>
    <row r="15727" spans="1:5">
      <c r="A15727" t="s">
        <v>43690</v>
      </c>
      <c r="B15727" t="s">
        <v>1335</v>
      </c>
      <c r="C15727">
        <f>0.283332078371</f>
        <v>0.283332078371</v>
      </c>
      <c r="D15727">
        <v>0.81157567451599999</v>
      </c>
      <c r="E15727">
        <v>8.4000000000000005E-2</v>
      </c>
    </row>
    <row r="15728" spans="1:5">
      <c r="A15728" t="s">
        <v>43690</v>
      </c>
      <c r="B15728" t="s">
        <v>1334</v>
      </c>
      <c r="C15728">
        <f>0</f>
        <v>0</v>
      </c>
      <c r="D15728">
        <v>0.81157567451599999</v>
      </c>
      <c r="E15728">
        <v>8.4000000000000005E-2</v>
      </c>
    </row>
    <row r="15729" spans="1:5">
      <c r="A15729" t="s">
        <v>43690</v>
      </c>
      <c r="B15729" t="s">
        <v>1331</v>
      </c>
      <c r="C15729">
        <v>0</v>
      </c>
      <c r="D15729">
        <v>0.81157567451599999</v>
      </c>
      <c r="E15729">
        <v>8.4000000000000005E-2</v>
      </c>
    </row>
    <row r="15730" spans="1:5">
      <c r="A15730" t="s">
        <v>43690</v>
      </c>
      <c r="B15730" t="s">
        <v>1333</v>
      </c>
      <c r="C15730">
        <v>0</v>
      </c>
      <c r="D15730">
        <v>0.81157567451599999</v>
      </c>
      <c r="E15730">
        <v>8.4000000000000005E-2</v>
      </c>
    </row>
    <row r="15731" spans="1:5">
      <c r="A15731" t="s">
        <v>43690</v>
      </c>
      <c r="B15731" t="s">
        <v>1332</v>
      </c>
      <c r="C15731">
        <f>0.271196064057</f>
        <v>0.27119606405699997</v>
      </c>
      <c r="D15731">
        <v>0.81157567451599999</v>
      </c>
      <c r="E15731">
        <v>8.4000000000000005E-2</v>
      </c>
    </row>
    <row r="15732" spans="1:5">
      <c r="A15732" t="s">
        <v>43691</v>
      </c>
      <c r="B15732" t="s">
        <v>43692</v>
      </c>
      <c r="C15732">
        <f>0.4247930288</f>
        <v>0.42479302880000003</v>
      </c>
      <c r="D15732">
        <v>0.96518827638600002</v>
      </c>
      <c r="E15732">
        <v>0</v>
      </c>
    </row>
    <row r="15733" spans="1:5">
      <c r="A15733" t="s">
        <v>43691</v>
      </c>
      <c r="B15733" t="s">
        <v>43693</v>
      </c>
      <c r="C15733">
        <f>0.219413031983</f>
        <v>0.219413031983</v>
      </c>
      <c r="D15733">
        <v>0.96518827638600002</v>
      </c>
      <c r="E15733">
        <v>0</v>
      </c>
    </row>
    <row r="15734" spans="1:5">
      <c r="A15734" t="s">
        <v>43691</v>
      </c>
      <c r="B15734" t="s">
        <v>43694</v>
      </c>
      <c r="C15734">
        <v>9.5928857434499998E-2</v>
      </c>
      <c r="D15734">
        <v>0.96518827638600002</v>
      </c>
      <c r="E15734">
        <v>0</v>
      </c>
    </row>
    <row r="15735" spans="1:5">
      <c r="A15735" t="s">
        <v>43691</v>
      </c>
      <c r="B15735" t="s">
        <v>43695</v>
      </c>
      <c r="C15735">
        <v>0</v>
      </c>
      <c r="D15735">
        <v>0.96518827638600002</v>
      </c>
      <c r="E15735">
        <v>0</v>
      </c>
    </row>
    <row r="15736" spans="1:5">
      <c r="A15736" t="s">
        <v>43691</v>
      </c>
      <c r="B15736" t="s">
        <v>43696</v>
      </c>
      <c r="C15736">
        <v>0</v>
      </c>
      <c r="D15736">
        <v>0.96518827638600002</v>
      </c>
      <c r="E15736">
        <v>0</v>
      </c>
    </row>
    <row r="15737" spans="1:5">
      <c r="A15737" t="s">
        <v>43691</v>
      </c>
      <c r="B15737" t="s">
        <v>43697</v>
      </c>
      <c r="C15737">
        <v>2.5471604656099999E-2</v>
      </c>
      <c r="D15737">
        <v>0.96518827638600002</v>
      </c>
      <c r="E15737">
        <v>0</v>
      </c>
    </row>
    <row r="15738" spans="1:5">
      <c r="A15738" t="s">
        <v>43691</v>
      </c>
      <c r="B15738" t="s">
        <v>43698</v>
      </c>
      <c r="C15738">
        <v>0.119778923316</v>
      </c>
      <c r="D15738">
        <v>0.96518827638600002</v>
      </c>
      <c r="E15738">
        <v>0</v>
      </c>
    </row>
    <row r="15739" spans="1:5">
      <c r="A15739" t="s">
        <v>43691</v>
      </c>
      <c r="B15739" t="s">
        <v>43699</v>
      </c>
      <c r="C15739">
        <v>0.82782514340699997</v>
      </c>
      <c r="D15739">
        <v>0.96518827638600002</v>
      </c>
      <c r="E15739">
        <v>0</v>
      </c>
    </row>
    <row r="15740" spans="1:5">
      <c r="A15740" t="s">
        <v>43700</v>
      </c>
      <c r="B15740" t="s">
        <v>17792</v>
      </c>
      <c r="C15740">
        <f>0</f>
        <v>0</v>
      </c>
      <c r="D15740">
        <v>0.80726410542500004</v>
      </c>
      <c r="E15740">
        <v>4.5839999999999996</v>
      </c>
    </row>
    <row r="15741" spans="1:5">
      <c r="A15741" t="s">
        <v>43700</v>
      </c>
      <c r="B15741" t="s">
        <v>17798</v>
      </c>
      <c r="C15741">
        <v>0</v>
      </c>
      <c r="D15741">
        <v>0.80726410542500004</v>
      </c>
      <c r="E15741">
        <v>4.5839999999999996</v>
      </c>
    </row>
    <row r="15742" spans="1:5">
      <c r="A15742" t="s">
        <v>43700</v>
      </c>
      <c r="B15742" t="s">
        <v>17793</v>
      </c>
      <c r="C15742">
        <v>0.64725410542499995</v>
      </c>
      <c r="D15742">
        <v>0.80726410542500004</v>
      </c>
      <c r="E15742">
        <v>4.5839999999999996</v>
      </c>
    </row>
    <row r="15743" spans="1:5">
      <c r="A15743" t="s">
        <v>43700</v>
      </c>
      <c r="B15743" t="s">
        <v>17796</v>
      </c>
      <c r="C15743">
        <v>0</v>
      </c>
      <c r="D15743">
        <v>0.80726410542500004</v>
      </c>
      <c r="E15743">
        <v>4.5839999999999996</v>
      </c>
    </row>
    <row r="15744" spans="1:5">
      <c r="A15744" t="s">
        <v>43701</v>
      </c>
      <c r="B15744" t="s">
        <v>43702</v>
      </c>
      <c r="C15744">
        <v>0.65974638074799996</v>
      </c>
      <c r="D15744">
        <v>0.99852687058699996</v>
      </c>
      <c r="E15744">
        <v>0.69599999999999995</v>
      </c>
    </row>
    <row r="15745" spans="1:5">
      <c r="A15745" t="s">
        <v>43701</v>
      </c>
      <c r="B15745" t="s">
        <v>43703</v>
      </c>
      <c r="C15745">
        <f>0.0193870472709</f>
        <v>1.9387047270900001E-2</v>
      </c>
      <c r="D15745">
        <v>0.99852687058699996</v>
      </c>
      <c r="E15745">
        <v>0.69599999999999995</v>
      </c>
    </row>
    <row r="15746" spans="1:5">
      <c r="A15746" t="s">
        <v>43701</v>
      </c>
      <c r="B15746" t="s">
        <v>43704</v>
      </c>
      <c r="C15746">
        <f>-1.00236379401</f>
        <v>-1.0023637940100001</v>
      </c>
      <c r="D15746">
        <v>0.99852687058699996</v>
      </c>
      <c r="E15746">
        <v>0.69599999999999995</v>
      </c>
    </row>
    <row r="15747" spans="1:5">
      <c r="A15747" t="s">
        <v>43701</v>
      </c>
      <c r="B15747" t="s">
        <v>43705</v>
      </c>
      <c r="C15747">
        <f>0.424842031208</f>
        <v>0.42484203120800001</v>
      </c>
      <c r="D15747">
        <v>0.99852687058699996</v>
      </c>
      <c r="E15747">
        <v>0.69599999999999995</v>
      </c>
    </row>
    <row r="15748" spans="1:5">
      <c r="A15748" t="s">
        <v>43701</v>
      </c>
      <c r="B15748" t="s">
        <v>43706</v>
      </c>
      <c r="C15748">
        <f>0.437171610413</f>
        <v>0.43717161041300001</v>
      </c>
      <c r="D15748">
        <v>0.99852687058699996</v>
      </c>
      <c r="E15748">
        <v>0.69599999999999995</v>
      </c>
    </row>
    <row r="15749" spans="1:5">
      <c r="A15749" t="s">
        <v>43701</v>
      </c>
      <c r="B15749" t="s">
        <v>43707</v>
      </c>
      <c r="C15749">
        <f>0.0712752599903</f>
        <v>7.1275259990300002E-2</v>
      </c>
      <c r="D15749">
        <v>0.99852687058699996</v>
      </c>
      <c r="E15749">
        <v>0.69599999999999995</v>
      </c>
    </row>
    <row r="15750" spans="1:5">
      <c r="A15750" t="s">
        <v>43701</v>
      </c>
      <c r="B15750" t="s">
        <v>43708</v>
      </c>
      <c r="C15750">
        <f>0.0238881379482</f>
        <v>2.3888137948200001E-2</v>
      </c>
      <c r="D15750">
        <v>0.99852687058699996</v>
      </c>
      <c r="E15750">
        <v>0.69599999999999995</v>
      </c>
    </row>
    <row r="15751" spans="1:5">
      <c r="A15751" t="s">
        <v>43709</v>
      </c>
      <c r="B15751" t="s">
        <v>30067</v>
      </c>
      <c r="C15751">
        <v>0.51850388516299994</v>
      </c>
      <c r="D15751">
        <v>0.58923587328500004</v>
      </c>
      <c r="E15751">
        <v>0.17399999999999999</v>
      </c>
    </row>
    <row r="15752" spans="1:5">
      <c r="A15752" t="s">
        <v>43709</v>
      </c>
      <c r="B15752" t="s">
        <v>30068</v>
      </c>
      <c r="C15752">
        <v>1.5813087560100001E-2</v>
      </c>
      <c r="D15752">
        <v>0.58923587328500004</v>
      </c>
      <c r="E15752">
        <v>0.17399999999999999</v>
      </c>
    </row>
    <row r="15753" spans="1:5">
      <c r="A15753" t="s">
        <v>43710</v>
      </c>
      <c r="B15753" t="s">
        <v>43711</v>
      </c>
      <c r="C15753">
        <v>0.42184045474300003</v>
      </c>
      <c r="D15753">
        <v>0.68980083530000003</v>
      </c>
      <c r="E15753">
        <v>2.6339999999999999</v>
      </c>
    </row>
    <row r="15754" spans="1:5">
      <c r="A15754" t="s">
        <v>43710</v>
      </c>
      <c r="B15754" t="s">
        <v>43712</v>
      </c>
      <c r="C15754">
        <f>0.63349482772</f>
        <v>0.63349482771999999</v>
      </c>
      <c r="D15754">
        <v>0.68980083530000003</v>
      </c>
      <c r="E15754">
        <v>2.6339999999999999</v>
      </c>
    </row>
    <row r="15755" spans="1:5">
      <c r="A15755" t="s">
        <v>43713</v>
      </c>
      <c r="B15755" t="s">
        <v>6277</v>
      </c>
      <c r="C15755">
        <v>0.72855632246000002</v>
      </c>
      <c r="D15755">
        <v>0.91416111712600001</v>
      </c>
      <c r="E15755">
        <v>10.715999999999999</v>
      </c>
    </row>
    <row r="15756" spans="1:5">
      <c r="A15756" t="s">
        <v>43713</v>
      </c>
      <c r="B15756" t="s">
        <v>6282</v>
      </c>
      <c r="C15756">
        <v>0.14453512129500001</v>
      </c>
      <c r="D15756">
        <v>0.91416111712600001</v>
      </c>
      <c r="E15756">
        <v>10.715999999999999</v>
      </c>
    </row>
    <row r="15757" spans="1:5">
      <c r="A15757" t="s">
        <v>43713</v>
      </c>
      <c r="B15757" t="s">
        <v>6278</v>
      </c>
      <c r="C15757">
        <v>0.25464486761499999</v>
      </c>
      <c r="D15757">
        <v>0.91416111712600001</v>
      </c>
      <c r="E15757">
        <v>10.715999999999999</v>
      </c>
    </row>
    <row r="15758" spans="1:5">
      <c r="A15758" t="s">
        <v>43713</v>
      </c>
      <c r="B15758" t="s">
        <v>6281</v>
      </c>
      <c r="C15758">
        <v>0</v>
      </c>
      <c r="D15758">
        <v>0.91416111712600001</v>
      </c>
      <c r="E15758">
        <v>10.715999999999999</v>
      </c>
    </row>
    <row r="15759" spans="1:5">
      <c r="A15759" t="s">
        <v>43714</v>
      </c>
      <c r="B15759" t="s">
        <v>43715</v>
      </c>
      <c r="C15759">
        <f>0.164796129895</f>
        <v>0.164796129895</v>
      </c>
      <c r="D15759">
        <v>0.96803784289999995</v>
      </c>
      <c r="E15759">
        <v>0</v>
      </c>
    </row>
    <row r="15760" spans="1:5">
      <c r="A15760" t="s">
        <v>43714</v>
      </c>
      <c r="B15760" t="s">
        <v>43716</v>
      </c>
      <c r="C15760">
        <v>0</v>
      </c>
      <c r="D15760">
        <v>0.96803784289999995</v>
      </c>
      <c r="E15760">
        <v>0</v>
      </c>
    </row>
    <row r="15761" spans="1:5">
      <c r="A15761" t="s">
        <v>43714</v>
      </c>
      <c r="B15761" t="s">
        <v>43717</v>
      </c>
      <c r="C15761">
        <v>0.94660381482699996</v>
      </c>
      <c r="D15761">
        <v>0.96803784289999995</v>
      </c>
      <c r="E15761">
        <v>0</v>
      </c>
    </row>
    <row r="15762" spans="1:5">
      <c r="A15762" t="s">
        <v>43714</v>
      </c>
      <c r="B15762" t="s">
        <v>43718</v>
      </c>
      <c r="C15762">
        <f>0.0680548917118</f>
        <v>6.80548917118E-2</v>
      </c>
      <c r="D15762">
        <v>0.96803784289999995</v>
      </c>
      <c r="E15762">
        <v>0</v>
      </c>
    </row>
    <row r="15763" spans="1:5">
      <c r="A15763" t="s">
        <v>43719</v>
      </c>
      <c r="B15763" t="s">
        <v>22778</v>
      </c>
      <c r="C15763">
        <v>0.16769360071299999</v>
      </c>
      <c r="D15763">
        <v>0.99293286702899997</v>
      </c>
      <c r="E15763">
        <v>2.1059999999999999</v>
      </c>
    </row>
    <row r="15764" spans="1:5">
      <c r="A15764" t="s">
        <v>43719</v>
      </c>
      <c r="B15764" t="s">
        <v>22781</v>
      </c>
      <c r="C15764">
        <f>0.887383205353</f>
        <v>0.88738320535299997</v>
      </c>
      <c r="D15764">
        <v>0.99293286702899997</v>
      </c>
      <c r="E15764">
        <v>2.1059999999999999</v>
      </c>
    </row>
    <row r="15765" spans="1:5">
      <c r="A15765" t="s">
        <v>43719</v>
      </c>
      <c r="B15765" t="s">
        <v>22779</v>
      </c>
      <c r="C15765">
        <v>0.653309290875</v>
      </c>
      <c r="D15765">
        <v>0.99293286702899997</v>
      </c>
      <c r="E15765">
        <v>2.1059999999999999</v>
      </c>
    </row>
    <row r="15766" spans="1:5">
      <c r="A15766" t="s">
        <v>43719</v>
      </c>
      <c r="B15766" t="s">
        <v>22780</v>
      </c>
      <c r="C15766">
        <v>4.9021377328599999E-2</v>
      </c>
      <c r="D15766">
        <v>0.99293286702899997</v>
      </c>
      <c r="E15766">
        <v>2.1059999999999999</v>
      </c>
    </row>
    <row r="15767" spans="1:5">
      <c r="A15767" t="s">
        <v>43719</v>
      </c>
      <c r="B15767" t="s">
        <v>22783</v>
      </c>
      <c r="C15767">
        <v>0.36388822034700002</v>
      </c>
      <c r="D15767">
        <v>0.99293286702899997</v>
      </c>
      <c r="E15767">
        <v>2.1059999999999999</v>
      </c>
    </row>
    <row r="15768" spans="1:5">
      <c r="A15768" t="s">
        <v>43720</v>
      </c>
      <c r="B15768" t="s">
        <v>30500</v>
      </c>
      <c r="C15768">
        <v>0.66804468127399996</v>
      </c>
      <c r="D15768">
        <v>0.95197906672900001</v>
      </c>
      <c r="E15768">
        <v>2.88</v>
      </c>
    </row>
    <row r="15769" spans="1:5">
      <c r="A15769" t="s">
        <v>43720</v>
      </c>
      <c r="B15769" t="s">
        <v>30499</v>
      </c>
      <c r="C15769">
        <f>0.353404847565</f>
        <v>0.35340484756500001</v>
      </c>
      <c r="D15769">
        <v>0.95197906672900001</v>
      </c>
      <c r="E15769">
        <v>2.88</v>
      </c>
    </row>
    <row r="15770" spans="1:5">
      <c r="A15770" t="s">
        <v>43721</v>
      </c>
      <c r="B15770" t="s">
        <v>43722</v>
      </c>
      <c r="C15770">
        <f>0.463927060737</f>
        <v>0.46392706073700002</v>
      </c>
      <c r="D15770">
        <v>0.93180264453600004</v>
      </c>
      <c r="E15770">
        <v>6.4260000000000002</v>
      </c>
    </row>
    <row r="15771" spans="1:5">
      <c r="A15771" t="s">
        <v>43721</v>
      </c>
      <c r="B15771" t="s">
        <v>43723</v>
      </c>
      <c r="C15771">
        <f>0.853481948126</f>
        <v>0.85348194812599998</v>
      </c>
      <c r="D15771">
        <v>0.93180264453600004</v>
      </c>
      <c r="E15771">
        <v>6.4260000000000002</v>
      </c>
    </row>
    <row r="15772" spans="1:5">
      <c r="A15772" t="s">
        <v>43721</v>
      </c>
      <c r="B15772" t="s">
        <v>43724</v>
      </c>
      <c r="C15772">
        <v>0.93520092897499996</v>
      </c>
      <c r="D15772">
        <v>0.93180264453600004</v>
      </c>
      <c r="E15772">
        <v>6.4260000000000002</v>
      </c>
    </row>
    <row r="15773" spans="1:5">
      <c r="A15773" t="s">
        <v>43725</v>
      </c>
      <c r="B15773" t="s">
        <v>22948</v>
      </c>
      <c r="C15773">
        <v>0.74754337542399996</v>
      </c>
      <c r="D15773">
        <v>0.90691437587400003</v>
      </c>
      <c r="E15773">
        <v>23.754000000000001</v>
      </c>
    </row>
    <row r="15774" spans="1:5">
      <c r="A15774" t="s">
        <v>43725</v>
      </c>
      <c r="B15774" t="s">
        <v>22944</v>
      </c>
      <c r="C15774">
        <v>0.21187996531799999</v>
      </c>
      <c r="D15774">
        <v>0.90691437587400003</v>
      </c>
      <c r="E15774">
        <v>23.754000000000001</v>
      </c>
    </row>
    <row r="15775" spans="1:5">
      <c r="A15775" t="s">
        <v>43725</v>
      </c>
      <c r="B15775" t="s">
        <v>22950</v>
      </c>
      <c r="C15775">
        <v>0</v>
      </c>
      <c r="D15775">
        <v>0.90691437587400003</v>
      </c>
      <c r="E15775">
        <v>23.754000000000001</v>
      </c>
    </row>
    <row r="15776" spans="1:5">
      <c r="A15776" t="s">
        <v>43725</v>
      </c>
      <c r="B15776" t="s">
        <v>22945</v>
      </c>
      <c r="C15776">
        <f>0</f>
        <v>0</v>
      </c>
      <c r="D15776">
        <v>0.90691437587400003</v>
      </c>
      <c r="E15776">
        <v>23.754000000000001</v>
      </c>
    </row>
    <row r="15777" spans="1:5">
      <c r="A15777" t="s">
        <v>43725</v>
      </c>
      <c r="B15777" t="s">
        <v>22949</v>
      </c>
      <c r="C15777">
        <f>0.396381658356</f>
        <v>0.39638165835599998</v>
      </c>
      <c r="D15777">
        <v>0.90691437587400003</v>
      </c>
      <c r="E15777">
        <v>23.754000000000001</v>
      </c>
    </row>
    <row r="15778" spans="1:5">
      <c r="A15778" t="s">
        <v>43726</v>
      </c>
      <c r="B15778" t="s">
        <v>2395</v>
      </c>
      <c r="C15778">
        <v>0</v>
      </c>
      <c r="D15778" t="s">
        <v>106</v>
      </c>
      <c r="E15778">
        <v>24</v>
      </c>
    </row>
    <row r="15779" spans="1:5">
      <c r="A15779" t="s">
        <v>43726</v>
      </c>
      <c r="B15779" t="s">
        <v>2397</v>
      </c>
      <c r="C15779">
        <v>0</v>
      </c>
      <c r="D15779" t="s">
        <v>106</v>
      </c>
      <c r="E15779">
        <v>24</v>
      </c>
    </row>
    <row r="15780" spans="1:5">
      <c r="A15780" t="s">
        <v>43726</v>
      </c>
      <c r="B15780" t="s">
        <v>2398</v>
      </c>
      <c r="C15780">
        <v>0</v>
      </c>
      <c r="D15780" t="s">
        <v>106</v>
      </c>
      <c r="E15780">
        <v>24</v>
      </c>
    </row>
    <row r="15781" spans="1:5">
      <c r="A15781" t="s">
        <v>43726</v>
      </c>
      <c r="B15781" t="s">
        <v>2396</v>
      </c>
      <c r="C15781">
        <v>0</v>
      </c>
      <c r="D15781" t="s">
        <v>106</v>
      </c>
      <c r="E15781">
        <v>24</v>
      </c>
    </row>
    <row r="15782" spans="1:5">
      <c r="A15782" t="s">
        <v>43727</v>
      </c>
      <c r="B15782" t="s">
        <v>32516</v>
      </c>
      <c r="C15782">
        <f>0</f>
        <v>0</v>
      </c>
      <c r="D15782" t="s">
        <v>106</v>
      </c>
      <c r="E15782">
        <v>0</v>
      </c>
    </row>
    <row r="15783" spans="1:5">
      <c r="A15783" t="s">
        <v>43727</v>
      </c>
      <c r="B15783" t="s">
        <v>32518</v>
      </c>
      <c r="C15783">
        <f>0</f>
        <v>0</v>
      </c>
      <c r="D15783" t="s">
        <v>106</v>
      </c>
      <c r="E15783">
        <v>0</v>
      </c>
    </row>
    <row r="15784" spans="1:5">
      <c r="A15784" t="s">
        <v>43727</v>
      </c>
      <c r="B15784" t="s">
        <v>32517</v>
      </c>
      <c r="C15784">
        <v>0</v>
      </c>
      <c r="D15784" t="s">
        <v>106</v>
      </c>
      <c r="E15784">
        <v>0</v>
      </c>
    </row>
    <row r="15785" spans="1:5">
      <c r="A15785" t="s">
        <v>43728</v>
      </c>
      <c r="B15785" t="s">
        <v>43729</v>
      </c>
      <c r="C15785">
        <v>0.55338508634700001</v>
      </c>
      <c r="D15785">
        <v>0.99974813382799999</v>
      </c>
      <c r="E15785">
        <v>5.9340000000000002</v>
      </c>
    </row>
    <row r="15786" spans="1:5">
      <c r="A15786" t="s">
        <v>43728</v>
      </c>
      <c r="B15786" t="s">
        <v>43730</v>
      </c>
      <c r="C15786">
        <f>0</f>
        <v>0</v>
      </c>
      <c r="D15786">
        <v>0.99974813382799999</v>
      </c>
      <c r="E15786">
        <v>5.9340000000000002</v>
      </c>
    </row>
    <row r="15787" spans="1:5">
      <c r="A15787" t="s">
        <v>43728</v>
      </c>
      <c r="B15787" t="s">
        <v>43731</v>
      </c>
      <c r="C15787">
        <v>0.156916579477</v>
      </c>
      <c r="D15787">
        <v>0.99974813382799999</v>
      </c>
      <c r="E15787">
        <v>5.9340000000000002</v>
      </c>
    </row>
    <row r="15788" spans="1:5">
      <c r="A15788" t="s">
        <v>43728</v>
      </c>
      <c r="B15788" t="s">
        <v>43732</v>
      </c>
      <c r="C15788">
        <f>0.0506925814873</f>
        <v>5.0692581487299999E-2</v>
      </c>
      <c r="D15788">
        <v>0.99974813382799999</v>
      </c>
      <c r="E15788">
        <v>5.9340000000000002</v>
      </c>
    </row>
    <row r="15789" spans="1:5">
      <c r="A15789" t="s">
        <v>43728</v>
      </c>
      <c r="B15789" t="s">
        <v>43733</v>
      </c>
      <c r="C15789">
        <v>0</v>
      </c>
      <c r="D15789">
        <v>0.99974813382799999</v>
      </c>
      <c r="E15789">
        <v>5.9340000000000002</v>
      </c>
    </row>
    <row r="15790" spans="1:5">
      <c r="A15790" t="s">
        <v>43728</v>
      </c>
      <c r="B15790" t="s">
        <v>43734</v>
      </c>
      <c r="C15790">
        <v>0.901465714315</v>
      </c>
      <c r="D15790">
        <v>0.99974813382799999</v>
      </c>
      <c r="E15790">
        <v>5.9340000000000002</v>
      </c>
    </row>
    <row r="15791" spans="1:5">
      <c r="A15791" t="s">
        <v>43728</v>
      </c>
      <c r="B15791" t="s">
        <v>43735</v>
      </c>
      <c r="C15791">
        <v>0.35253193371199998</v>
      </c>
      <c r="D15791">
        <v>0.99974813382799999</v>
      </c>
      <c r="E15791">
        <v>5.9340000000000002</v>
      </c>
    </row>
    <row r="15792" spans="1:5">
      <c r="A15792" t="s">
        <v>43728</v>
      </c>
      <c r="B15792" t="s">
        <v>43736</v>
      </c>
      <c r="C15792">
        <f>0.323816066685</f>
        <v>0.32381606668500001</v>
      </c>
      <c r="D15792">
        <v>0.99974813382799999</v>
      </c>
      <c r="E15792">
        <v>5.9340000000000002</v>
      </c>
    </row>
    <row r="15793" spans="1:5">
      <c r="A15793" t="s">
        <v>43737</v>
      </c>
      <c r="B15793" t="s">
        <v>19912</v>
      </c>
      <c r="C15793">
        <f>0</f>
        <v>0</v>
      </c>
      <c r="D15793">
        <v>0.58535733485599994</v>
      </c>
      <c r="E15793">
        <v>1.0680000000000001</v>
      </c>
    </row>
    <row r="15794" spans="1:5">
      <c r="A15794" t="s">
        <v>43737</v>
      </c>
      <c r="B15794" t="s">
        <v>19914</v>
      </c>
      <c r="C15794">
        <v>0</v>
      </c>
      <c r="D15794">
        <v>0.58535733485599994</v>
      </c>
      <c r="E15794">
        <v>1.0680000000000001</v>
      </c>
    </row>
    <row r="15795" spans="1:5">
      <c r="A15795" t="s">
        <v>43737</v>
      </c>
      <c r="B15795" t="s">
        <v>19913</v>
      </c>
      <c r="C15795">
        <f>0.122947334856</f>
        <v>0.122947334856</v>
      </c>
      <c r="D15795">
        <v>0.58535733485599994</v>
      </c>
      <c r="E15795">
        <v>1.0680000000000001</v>
      </c>
    </row>
    <row r="15796" spans="1:5">
      <c r="A15796" t="s">
        <v>43738</v>
      </c>
      <c r="B15796" t="s">
        <v>31579</v>
      </c>
      <c r="C15796">
        <f>0</f>
        <v>0</v>
      </c>
      <c r="D15796">
        <v>0.37972247788199998</v>
      </c>
      <c r="E15796">
        <v>11.208</v>
      </c>
    </row>
    <row r="15797" spans="1:5">
      <c r="A15797" t="s">
        <v>43738</v>
      </c>
      <c r="B15797" t="s">
        <v>31578</v>
      </c>
      <c r="C15797">
        <v>0.301312477882</v>
      </c>
      <c r="D15797">
        <v>0.37972247788199998</v>
      </c>
      <c r="E15797">
        <v>11.208</v>
      </c>
    </row>
    <row r="15798" spans="1:5">
      <c r="A15798" t="s">
        <v>43739</v>
      </c>
      <c r="B15798" t="s">
        <v>43740</v>
      </c>
      <c r="C15798">
        <v>0.58359677066500004</v>
      </c>
      <c r="D15798">
        <v>0.81400677066500005</v>
      </c>
      <c r="E15798">
        <v>0</v>
      </c>
    </row>
    <row r="15799" spans="1:5">
      <c r="A15799" t="s">
        <v>43739</v>
      </c>
      <c r="B15799" t="s">
        <v>43741</v>
      </c>
      <c r="C15799">
        <v>0</v>
      </c>
      <c r="D15799">
        <v>0.81400677066500005</v>
      </c>
      <c r="E15799">
        <v>0</v>
      </c>
    </row>
    <row r="15800" spans="1:5">
      <c r="A15800" t="s">
        <v>43739</v>
      </c>
      <c r="B15800" t="s">
        <v>43742</v>
      </c>
      <c r="C15800">
        <f>0</f>
        <v>0</v>
      </c>
      <c r="D15800">
        <v>0.81400677066500005</v>
      </c>
      <c r="E15800">
        <v>0</v>
      </c>
    </row>
    <row r="15801" spans="1:5">
      <c r="A15801" t="s">
        <v>43739</v>
      </c>
      <c r="B15801" t="s">
        <v>43743</v>
      </c>
      <c r="C15801">
        <f>0</f>
        <v>0</v>
      </c>
      <c r="D15801">
        <v>0.81400677066500005</v>
      </c>
      <c r="E15801">
        <v>0</v>
      </c>
    </row>
    <row r="15802" spans="1:5">
      <c r="A15802" t="s">
        <v>43739</v>
      </c>
      <c r="B15802" t="s">
        <v>43744</v>
      </c>
      <c r="C15802">
        <v>0</v>
      </c>
      <c r="D15802">
        <v>0.81400677066500005</v>
      </c>
      <c r="E15802">
        <v>0</v>
      </c>
    </row>
    <row r="15803" spans="1:5">
      <c r="A15803" t="s">
        <v>43745</v>
      </c>
      <c r="B15803" t="s">
        <v>8897</v>
      </c>
      <c r="C15803">
        <v>0.37342547512000002</v>
      </c>
      <c r="D15803">
        <v>0.86420056250499999</v>
      </c>
      <c r="E15803">
        <v>5.58</v>
      </c>
    </row>
    <row r="15804" spans="1:5">
      <c r="A15804" t="s">
        <v>43745</v>
      </c>
      <c r="B15804" t="s">
        <v>8899</v>
      </c>
      <c r="C15804">
        <f>0.401469400046</f>
        <v>0.40146940004600001</v>
      </c>
      <c r="D15804">
        <v>0.86420056250499999</v>
      </c>
      <c r="E15804">
        <v>5.58</v>
      </c>
    </row>
    <row r="15805" spans="1:5">
      <c r="A15805" t="s">
        <v>43746</v>
      </c>
      <c r="B15805" t="s">
        <v>43747</v>
      </c>
      <c r="C15805">
        <v>0.61987360884200005</v>
      </c>
      <c r="D15805">
        <v>0.74948360884200005</v>
      </c>
      <c r="E15805">
        <v>4.5839999999999996</v>
      </c>
    </row>
    <row r="15806" spans="1:5">
      <c r="A15806" t="s">
        <v>43746</v>
      </c>
      <c r="B15806" t="s">
        <v>43748</v>
      </c>
      <c r="C15806">
        <f>0</f>
        <v>0</v>
      </c>
      <c r="D15806">
        <v>0.74948360884200005</v>
      </c>
      <c r="E15806">
        <v>4.5839999999999996</v>
      </c>
    </row>
    <row r="15807" spans="1:5">
      <c r="A15807" t="s">
        <v>43749</v>
      </c>
      <c r="B15807" t="s">
        <v>34214</v>
      </c>
      <c r="C15807">
        <v>0</v>
      </c>
      <c r="D15807" t="s">
        <v>106</v>
      </c>
      <c r="E15807">
        <v>18.984000000000002</v>
      </c>
    </row>
    <row r="15808" spans="1:5">
      <c r="A15808" t="s">
        <v>43749</v>
      </c>
      <c r="B15808" t="s">
        <v>34215</v>
      </c>
      <c r="C15808">
        <f>0</f>
        <v>0</v>
      </c>
      <c r="D15808" t="s">
        <v>106</v>
      </c>
      <c r="E15808">
        <v>18.984000000000002</v>
      </c>
    </row>
    <row r="15809" spans="1:5">
      <c r="A15809" t="s">
        <v>43750</v>
      </c>
      <c r="B15809" t="s">
        <v>43751</v>
      </c>
      <c r="C15809">
        <f>0.279559893208</f>
        <v>0.27955989320800001</v>
      </c>
      <c r="D15809">
        <v>0.95901277345199998</v>
      </c>
      <c r="E15809">
        <v>24</v>
      </c>
    </row>
    <row r="15810" spans="1:5">
      <c r="A15810" t="s">
        <v>43750</v>
      </c>
      <c r="B15810" t="s">
        <v>43752</v>
      </c>
      <c r="C15810">
        <v>0.76560112227800003</v>
      </c>
      <c r="D15810">
        <v>0.95901277345199998</v>
      </c>
      <c r="E15810">
        <v>24</v>
      </c>
    </row>
    <row r="15811" spans="1:5">
      <c r="A15811" t="s">
        <v>43750</v>
      </c>
      <c r="B15811" t="s">
        <v>43753</v>
      </c>
      <c r="C15811">
        <v>0</v>
      </c>
      <c r="D15811">
        <v>0.95901277345199998</v>
      </c>
      <c r="E15811">
        <v>24</v>
      </c>
    </row>
    <row r="15812" spans="1:5">
      <c r="A15812" t="s">
        <v>43750</v>
      </c>
      <c r="B15812" t="s">
        <v>43754</v>
      </c>
      <c r="C15812">
        <f>0.410912306434</f>
        <v>0.41091230643400001</v>
      </c>
      <c r="D15812">
        <v>0.95901277345199998</v>
      </c>
      <c r="E15812">
        <v>24</v>
      </c>
    </row>
    <row r="15813" spans="1:5">
      <c r="A15813" t="s">
        <v>43750</v>
      </c>
      <c r="B15813" t="s">
        <v>43755</v>
      </c>
      <c r="C15813">
        <v>0.34387891738100002</v>
      </c>
      <c r="D15813">
        <v>0.95901277345199998</v>
      </c>
      <c r="E15813">
        <v>24</v>
      </c>
    </row>
    <row r="15814" spans="1:5">
      <c r="A15814" t="s">
        <v>43756</v>
      </c>
      <c r="B15814" t="s">
        <v>43757</v>
      </c>
      <c r="C15814">
        <f>-1.27262213811</f>
        <v>-1.27262213811</v>
      </c>
      <c r="D15814">
        <v>0.95245410608600001</v>
      </c>
      <c r="E15814">
        <v>2.556</v>
      </c>
    </row>
    <row r="15815" spans="1:5">
      <c r="A15815" t="s">
        <v>43756</v>
      </c>
      <c r="B15815" t="s">
        <v>43758</v>
      </c>
      <c r="C15815">
        <v>1.3903765075700001</v>
      </c>
      <c r="D15815">
        <v>0.95245410608600001</v>
      </c>
      <c r="E15815">
        <v>2.556</v>
      </c>
    </row>
    <row r="15816" spans="1:5">
      <c r="A15816" t="s">
        <v>43756</v>
      </c>
      <c r="B15816" t="s">
        <v>43759</v>
      </c>
      <c r="C15816">
        <v>0.159069204247</v>
      </c>
      <c r="D15816">
        <v>0.95245410608600001</v>
      </c>
      <c r="E15816">
        <v>2.556</v>
      </c>
    </row>
    <row r="15817" spans="1:5">
      <c r="A15817" t="s">
        <v>43756</v>
      </c>
      <c r="B15817" t="s">
        <v>43760</v>
      </c>
      <c r="C15817">
        <v>1.0235518564199999</v>
      </c>
      <c r="D15817">
        <v>0.95245410608600001</v>
      </c>
      <c r="E15817">
        <v>2.556</v>
      </c>
    </row>
    <row r="15818" spans="1:5">
      <c r="A15818" t="s">
        <v>43756</v>
      </c>
      <c r="B15818" t="s">
        <v>43761</v>
      </c>
      <c r="C15818">
        <f>0.276690458709</f>
        <v>0.276690458709</v>
      </c>
      <c r="D15818">
        <v>0.95245410608600001</v>
      </c>
      <c r="E15818">
        <v>2.556</v>
      </c>
    </row>
    <row r="15819" spans="1:5">
      <c r="A15819" t="s">
        <v>43756</v>
      </c>
      <c r="B15819" t="s">
        <v>43762</v>
      </c>
      <c r="C15819">
        <v>7.7660273199200002E-3</v>
      </c>
      <c r="D15819">
        <v>0.95245410608600001</v>
      </c>
      <c r="E15819">
        <v>2.556</v>
      </c>
    </row>
    <row r="15820" spans="1:5">
      <c r="A15820" t="s">
        <v>43763</v>
      </c>
      <c r="B15820" t="s">
        <v>21350</v>
      </c>
      <c r="C15820">
        <f>0</f>
        <v>0</v>
      </c>
      <c r="D15820">
        <v>0.96088082919999995</v>
      </c>
      <c r="E15820">
        <v>0</v>
      </c>
    </row>
    <row r="15821" spans="1:5">
      <c r="A15821" t="s">
        <v>43763</v>
      </c>
      <c r="B15821" t="s">
        <v>21345</v>
      </c>
      <c r="C15821">
        <v>0</v>
      </c>
      <c r="D15821">
        <v>0.96088082919999995</v>
      </c>
      <c r="E15821">
        <v>0</v>
      </c>
    </row>
    <row r="15822" spans="1:5">
      <c r="A15822" t="s">
        <v>43763</v>
      </c>
      <c r="B15822" t="s">
        <v>21347</v>
      </c>
      <c r="C15822">
        <v>0</v>
      </c>
      <c r="D15822">
        <v>0.96088082919999995</v>
      </c>
      <c r="E15822">
        <v>0</v>
      </c>
    </row>
    <row r="15823" spans="1:5">
      <c r="A15823" t="s">
        <v>43763</v>
      </c>
      <c r="B15823" t="s">
        <v>21352</v>
      </c>
      <c r="C15823">
        <v>0.35469763032099999</v>
      </c>
      <c r="D15823">
        <v>0.96088082919999995</v>
      </c>
      <c r="E15823">
        <v>0</v>
      </c>
    </row>
    <row r="15824" spans="1:5">
      <c r="A15824" t="s">
        <v>43763</v>
      </c>
      <c r="B15824" t="s">
        <v>21349</v>
      </c>
      <c r="C15824">
        <v>0.27489032003500002</v>
      </c>
      <c r="D15824">
        <v>0.96088082919999995</v>
      </c>
      <c r="E15824">
        <v>0</v>
      </c>
    </row>
    <row r="15825" spans="1:5">
      <c r="A15825" t="s">
        <v>43763</v>
      </c>
      <c r="B15825" t="s">
        <v>21353</v>
      </c>
      <c r="C15825">
        <v>5.90757202353E-2</v>
      </c>
      <c r="D15825">
        <v>0.96088082919999995</v>
      </c>
      <c r="E15825">
        <v>0</v>
      </c>
    </row>
    <row r="15826" spans="1:5">
      <c r="A15826" t="s">
        <v>43763</v>
      </c>
      <c r="B15826" t="s">
        <v>21354</v>
      </c>
      <c r="C15826">
        <v>0.33571330945299999</v>
      </c>
      <c r="D15826">
        <v>0.96088082919999995</v>
      </c>
      <c r="E15826">
        <v>0</v>
      </c>
    </row>
    <row r="15827" spans="1:5">
      <c r="A15827" t="s">
        <v>43764</v>
      </c>
      <c r="B15827" t="s">
        <v>43765</v>
      </c>
      <c r="C15827">
        <f>0.185952478802</f>
        <v>0.185952478802</v>
      </c>
      <c r="D15827">
        <v>0.99994589066899997</v>
      </c>
      <c r="E15827">
        <v>0.34799999999999998</v>
      </c>
    </row>
    <row r="15828" spans="1:5">
      <c r="A15828" t="s">
        <v>43764</v>
      </c>
      <c r="B15828" t="s">
        <v>43766</v>
      </c>
      <c r="C15828">
        <v>0.37218109937799998</v>
      </c>
      <c r="D15828">
        <v>0.99994589066899997</v>
      </c>
      <c r="E15828">
        <v>0.34799999999999998</v>
      </c>
    </row>
    <row r="15829" spans="1:5">
      <c r="A15829" t="s">
        <v>43764</v>
      </c>
      <c r="B15829" t="s">
        <v>43767</v>
      </c>
      <c r="C15829">
        <f>0.0114889146867</f>
        <v>1.14889146867E-2</v>
      </c>
      <c r="D15829">
        <v>0.99994589066899997</v>
      </c>
      <c r="E15829">
        <v>0.34799999999999998</v>
      </c>
    </row>
    <row r="15830" spans="1:5">
      <c r="A15830" t="s">
        <v>43764</v>
      </c>
      <c r="B15830" t="s">
        <v>43768</v>
      </c>
      <c r="C15830">
        <v>7.9070847615799994E-2</v>
      </c>
      <c r="D15830">
        <v>0.99994589066899997</v>
      </c>
      <c r="E15830">
        <v>0.34799999999999998</v>
      </c>
    </row>
    <row r="15831" spans="1:5">
      <c r="A15831" t="s">
        <v>43764</v>
      </c>
      <c r="B15831" t="s">
        <v>43769</v>
      </c>
      <c r="C15831">
        <v>0</v>
      </c>
      <c r="D15831">
        <v>0.99994589066899997</v>
      </c>
      <c r="E15831">
        <v>0.34799999999999998</v>
      </c>
    </row>
    <row r="15832" spans="1:5">
      <c r="A15832" t="s">
        <v>43764</v>
      </c>
      <c r="B15832" t="s">
        <v>43770</v>
      </c>
      <c r="C15832">
        <f>0.49229115504</f>
        <v>0.49229115503999998</v>
      </c>
      <c r="D15832">
        <v>0.99994589066899997</v>
      </c>
      <c r="E15832">
        <v>0.34799999999999998</v>
      </c>
    </row>
    <row r="15833" spans="1:5">
      <c r="A15833" t="s">
        <v>43764</v>
      </c>
      <c r="B15833" t="s">
        <v>43771</v>
      </c>
      <c r="C15833">
        <f>0.280594504129</f>
        <v>0.280594504129</v>
      </c>
      <c r="D15833">
        <v>0.99994589066899997</v>
      </c>
      <c r="E15833">
        <v>0.34799999999999998</v>
      </c>
    </row>
    <row r="15834" spans="1:5">
      <c r="A15834" t="s">
        <v>43764</v>
      </c>
      <c r="B15834" t="s">
        <v>43772</v>
      </c>
      <c r="C15834">
        <v>0.56118231671899999</v>
      </c>
      <c r="D15834">
        <v>0.99994589066899997</v>
      </c>
      <c r="E15834">
        <v>0.34799999999999998</v>
      </c>
    </row>
    <row r="15835" spans="1:5">
      <c r="A15835" t="s">
        <v>43773</v>
      </c>
      <c r="B15835" t="s">
        <v>43774</v>
      </c>
      <c r="C15835">
        <f>0.347773911621</f>
        <v>0.34777391162100002</v>
      </c>
      <c r="D15835">
        <v>0.99843736132299998</v>
      </c>
      <c r="E15835">
        <v>10.554</v>
      </c>
    </row>
    <row r="15836" spans="1:5">
      <c r="A15836" t="s">
        <v>43773</v>
      </c>
      <c r="B15836" t="s">
        <v>43775</v>
      </c>
      <c r="C15836">
        <v>0.46352563430799998</v>
      </c>
      <c r="D15836">
        <v>0.99843736132299998</v>
      </c>
      <c r="E15836">
        <v>10.554</v>
      </c>
    </row>
    <row r="15837" spans="1:5">
      <c r="A15837" t="s">
        <v>43773</v>
      </c>
      <c r="B15837" t="s">
        <v>43776</v>
      </c>
      <c r="C15837">
        <f>0.518773057189</f>
        <v>0.51877305718900002</v>
      </c>
      <c r="D15837">
        <v>0.99843736132299998</v>
      </c>
      <c r="E15837">
        <v>10.554</v>
      </c>
    </row>
    <row r="15838" spans="1:5">
      <c r="A15838" t="s">
        <v>43773</v>
      </c>
      <c r="B15838" t="s">
        <v>43777</v>
      </c>
      <c r="C15838">
        <f>0.0561524851449</f>
        <v>5.6152485144899997E-2</v>
      </c>
      <c r="D15838">
        <v>0.99843736132299998</v>
      </c>
      <c r="E15838">
        <v>10.554</v>
      </c>
    </row>
    <row r="15839" spans="1:5">
      <c r="A15839" t="s">
        <v>43773</v>
      </c>
      <c r="B15839" t="s">
        <v>43778</v>
      </c>
      <c r="C15839">
        <f>0.0849744782926</f>
        <v>8.4974478292600006E-2</v>
      </c>
      <c r="D15839">
        <v>0.99843736132299998</v>
      </c>
      <c r="E15839">
        <v>10.554</v>
      </c>
    </row>
    <row r="15840" spans="1:5">
      <c r="A15840" t="s">
        <v>43773</v>
      </c>
      <c r="B15840" t="s">
        <v>43779</v>
      </c>
      <c r="C15840">
        <v>0</v>
      </c>
      <c r="D15840">
        <v>0.99843736132299998</v>
      </c>
      <c r="E15840">
        <v>10.554</v>
      </c>
    </row>
    <row r="15841" spans="1:5">
      <c r="A15841" t="s">
        <v>43773</v>
      </c>
      <c r="B15841" t="s">
        <v>43780</v>
      </c>
      <c r="C15841">
        <f>0</f>
        <v>0</v>
      </c>
      <c r="D15841">
        <v>0.99843736132299998</v>
      </c>
      <c r="E15841">
        <v>10.554</v>
      </c>
    </row>
    <row r="15842" spans="1:5">
      <c r="A15842" t="s">
        <v>43773</v>
      </c>
      <c r="B15842" t="s">
        <v>43781</v>
      </c>
      <c r="C15842">
        <f>0</f>
        <v>0</v>
      </c>
      <c r="D15842">
        <v>0.99843736132299998</v>
      </c>
      <c r="E15842">
        <v>10.554</v>
      </c>
    </row>
    <row r="15843" spans="1:5">
      <c r="A15843" t="s">
        <v>43773</v>
      </c>
      <c r="B15843" t="s">
        <v>43782</v>
      </c>
      <c r="C15843">
        <f>0</f>
        <v>0</v>
      </c>
      <c r="D15843">
        <v>0.99843736132299998</v>
      </c>
      <c r="E15843">
        <v>10.554</v>
      </c>
    </row>
    <row r="15844" spans="1:5">
      <c r="A15844" t="s">
        <v>43773</v>
      </c>
      <c r="B15844" t="s">
        <v>43783</v>
      </c>
      <c r="C15844">
        <f>0</f>
        <v>0</v>
      </c>
      <c r="D15844">
        <v>0.99843736132299998</v>
      </c>
      <c r="E15844">
        <v>10.554</v>
      </c>
    </row>
    <row r="15845" spans="1:5">
      <c r="A15845" t="s">
        <v>43784</v>
      </c>
      <c r="B15845" t="s">
        <v>23976</v>
      </c>
      <c r="C15845">
        <v>0.38808808890699997</v>
      </c>
      <c r="D15845">
        <v>0.66844327432200001</v>
      </c>
      <c r="E15845">
        <v>24</v>
      </c>
    </row>
    <row r="15846" spans="1:5">
      <c r="A15846" t="s">
        <v>43784</v>
      </c>
      <c r="B15846" t="s">
        <v>23977</v>
      </c>
      <c r="C15846">
        <f>0.291604619655</f>
        <v>0.29160461965500001</v>
      </c>
      <c r="D15846">
        <v>0.66844327432200001</v>
      </c>
      <c r="E15846">
        <v>24</v>
      </c>
    </row>
    <row r="15847" spans="1:5">
      <c r="A15847" t="s">
        <v>43785</v>
      </c>
      <c r="B15847" t="s">
        <v>21059</v>
      </c>
      <c r="C15847">
        <v>0.351108098077</v>
      </c>
      <c r="D15847">
        <v>0.99999993646100005</v>
      </c>
      <c r="E15847">
        <v>0</v>
      </c>
    </row>
    <row r="15848" spans="1:5">
      <c r="A15848" t="s">
        <v>43785</v>
      </c>
      <c r="B15848" t="s">
        <v>21066</v>
      </c>
      <c r="C15848">
        <v>0.28243606955599998</v>
      </c>
      <c r="D15848">
        <v>0.99999993646100005</v>
      </c>
      <c r="E15848">
        <v>0</v>
      </c>
    </row>
    <row r="15849" spans="1:5">
      <c r="A15849" t="s">
        <v>43785</v>
      </c>
      <c r="B15849" t="s">
        <v>21070</v>
      </c>
      <c r="C15849">
        <v>0.42594662543400003</v>
      </c>
      <c r="D15849">
        <v>0.99999993646100005</v>
      </c>
      <c r="E15849">
        <v>0</v>
      </c>
    </row>
    <row r="15850" spans="1:5">
      <c r="A15850" t="s">
        <v>43785</v>
      </c>
      <c r="B15850" t="s">
        <v>21061</v>
      </c>
      <c r="C15850">
        <f>0.0504166947081</f>
        <v>5.04166947081E-2</v>
      </c>
      <c r="D15850">
        <v>0.99999993646100005</v>
      </c>
      <c r="E15850">
        <v>0</v>
      </c>
    </row>
    <row r="15851" spans="1:5">
      <c r="A15851" t="s">
        <v>43785</v>
      </c>
      <c r="B15851" t="s">
        <v>21069</v>
      </c>
      <c r="C15851">
        <v>0.31761946788200002</v>
      </c>
      <c r="D15851">
        <v>0.99999993646100005</v>
      </c>
      <c r="E15851">
        <v>0</v>
      </c>
    </row>
    <row r="15852" spans="1:5">
      <c r="A15852" t="s">
        <v>43785</v>
      </c>
      <c r="B15852" t="s">
        <v>21065</v>
      </c>
      <c r="C15852">
        <f>0.43407545236</f>
        <v>0.43407545236</v>
      </c>
      <c r="D15852">
        <v>0.99999993646100005</v>
      </c>
      <c r="E15852">
        <v>0</v>
      </c>
    </row>
    <row r="15853" spans="1:5">
      <c r="A15853" t="s">
        <v>43785</v>
      </c>
      <c r="B15853" t="s">
        <v>21063</v>
      </c>
      <c r="C15853">
        <v>0.44431175223899999</v>
      </c>
      <c r="D15853">
        <v>0.99999993646100005</v>
      </c>
      <c r="E15853">
        <v>0</v>
      </c>
    </row>
    <row r="15854" spans="1:5">
      <c r="A15854" t="s">
        <v>43785</v>
      </c>
      <c r="B15854" t="s">
        <v>21067</v>
      </c>
      <c r="C15854">
        <f>0.549561650778</f>
        <v>0.54956165077800001</v>
      </c>
      <c r="D15854">
        <v>0.99999993646100005</v>
      </c>
      <c r="E15854">
        <v>0</v>
      </c>
    </row>
    <row r="15855" spans="1:5">
      <c r="A15855" t="s">
        <v>43785</v>
      </c>
      <c r="B15855" t="s">
        <v>21062</v>
      </c>
      <c r="C15855">
        <v>0.46577310931499999</v>
      </c>
      <c r="D15855">
        <v>0.99999993646100005</v>
      </c>
      <c r="E15855">
        <v>0</v>
      </c>
    </row>
    <row r="15856" spans="1:5">
      <c r="A15856" t="s">
        <v>43786</v>
      </c>
      <c r="B15856" t="s">
        <v>22656</v>
      </c>
      <c r="C15856">
        <f>0.212259474426</f>
        <v>0.21225947442599999</v>
      </c>
      <c r="D15856">
        <v>0.482669474426</v>
      </c>
      <c r="E15856">
        <v>24</v>
      </c>
    </row>
    <row r="15857" spans="1:5">
      <c r="A15857" t="s">
        <v>43786</v>
      </c>
      <c r="B15857" t="s">
        <v>22659</v>
      </c>
      <c r="C15857">
        <f>0</f>
        <v>0</v>
      </c>
      <c r="D15857">
        <v>0.482669474426</v>
      </c>
      <c r="E15857">
        <v>24</v>
      </c>
    </row>
    <row r="15858" spans="1:5">
      <c r="A15858" t="s">
        <v>43786</v>
      </c>
      <c r="B15858" t="s">
        <v>22657</v>
      </c>
      <c r="C15858">
        <f>0</f>
        <v>0</v>
      </c>
      <c r="D15858">
        <v>0.482669474426</v>
      </c>
      <c r="E15858">
        <v>24</v>
      </c>
    </row>
    <row r="15859" spans="1:5">
      <c r="A15859" t="s">
        <v>43787</v>
      </c>
      <c r="B15859" t="s">
        <v>43788</v>
      </c>
      <c r="C15859">
        <f>0.622886591773</f>
        <v>0.62288659177299999</v>
      </c>
      <c r="D15859">
        <v>0.95553588919400001</v>
      </c>
      <c r="E15859">
        <v>0</v>
      </c>
    </row>
    <row r="15860" spans="1:5">
      <c r="A15860" t="s">
        <v>43787</v>
      </c>
      <c r="B15860" t="s">
        <v>43789</v>
      </c>
      <c r="C15860">
        <v>0</v>
      </c>
      <c r="D15860">
        <v>0.95553588919400001</v>
      </c>
      <c r="E15860">
        <v>0</v>
      </c>
    </row>
    <row r="15861" spans="1:5">
      <c r="A15861" t="s">
        <v>43787</v>
      </c>
      <c r="B15861" t="s">
        <v>43790</v>
      </c>
      <c r="C15861">
        <f>0</f>
        <v>0</v>
      </c>
      <c r="D15861">
        <v>0.95553588919400001</v>
      </c>
      <c r="E15861">
        <v>0</v>
      </c>
    </row>
    <row r="15862" spans="1:5">
      <c r="A15862" t="s">
        <v>43787</v>
      </c>
      <c r="B15862" t="s">
        <v>43791</v>
      </c>
      <c r="C15862">
        <v>0</v>
      </c>
      <c r="D15862">
        <v>0.95553588919400001</v>
      </c>
      <c r="E15862">
        <v>0</v>
      </c>
    </row>
    <row r="15863" spans="1:5">
      <c r="A15863" t="s">
        <v>43787</v>
      </c>
      <c r="B15863" t="s">
        <v>43792</v>
      </c>
      <c r="C15863">
        <v>0</v>
      </c>
      <c r="D15863">
        <v>0.95553588919400001</v>
      </c>
      <c r="E15863">
        <v>0</v>
      </c>
    </row>
    <row r="15864" spans="1:5">
      <c r="A15864" t="s">
        <v>43787</v>
      </c>
      <c r="B15864" t="s">
        <v>43793</v>
      </c>
      <c r="C15864">
        <v>0.42991162297899999</v>
      </c>
      <c r="D15864">
        <v>0.95553588919400001</v>
      </c>
      <c r="E15864">
        <v>0</v>
      </c>
    </row>
    <row r="15865" spans="1:5">
      <c r="A15865" t="s">
        <v>43794</v>
      </c>
      <c r="B15865" t="s">
        <v>31000</v>
      </c>
      <c r="C15865">
        <v>0.80349091475800005</v>
      </c>
      <c r="D15865">
        <v>0.94024731478199997</v>
      </c>
      <c r="E15865">
        <v>0.26400000000000001</v>
      </c>
    </row>
    <row r="15866" spans="1:5">
      <c r="A15866" t="s">
        <v>43794</v>
      </c>
      <c r="B15866" t="s">
        <v>31001</v>
      </c>
      <c r="C15866">
        <v>0.14356740750399999</v>
      </c>
      <c r="D15866">
        <v>0.94024731478199997</v>
      </c>
      <c r="E15866">
        <v>0.26400000000000001</v>
      </c>
    </row>
    <row r="15867" spans="1:5">
      <c r="A15867" t="s">
        <v>43795</v>
      </c>
      <c r="B15867" t="s">
        <v>43796</v>
      </c>
      <c r="C15867">
        <v>0</v>
      </c>
      <c r="D15867" t="s">
        <v>106</v>
      </c>
      <c r="E15867">
        <v>4.4820000000000002</v>
      </c>
    </row>
    <row r="15868" spans="1:5">
      <c r="A15868" t="s">
        <v>43795</v>
      </c>
      <c r="B15868" t="s">
        <v>43797</v>
      </c>
      <c r="C15868">
        <v>0</v>
      </c>
      <c r="D15868" t="s">
        <v>106</v>
      </c>
      <c r="E15868">
        <v>4.4820000000000002</v>
      </c>
    </row>
    <row r="15869" spans="1:5">
      <c r="A15869" t="s">
        <v>43798</v>
      </c>
      <c r="B15869" t="s">
        <v>11678</v>
      </c>
      <c r="C15869">
        <f>0</f>
        <v>0</v>
      </c>
      <c r="D15869" t="s">
        <v>106</v>
      </c>
      <c r="E15869">
        <v>6.0000000000000001E-3</v>
      </c>
    </row>
    <row r="15870" spans="1:5">
      <c r="A15870" t="s">
        <v>43798</v>
      </c>
      <c r="B15870" t="s">
        <v>11677</v>
      </c>
      <c r="C15870">
        <v>0</v>
      </c>
      <c r="D15870" t="s">
        <v>106</v>
      </c>
      <c r="E15870">
        <v>6.0000000000000001E-3</v>
      </c>
    </row>
    <row r="15871" spans="1:5">
      <c r="A15871" t="s">
        <v>43798</v>
      </c>
      <c r="B15871" t="s">
        <v>11679</v>
      </c>
      <c r="C15871">
        <v>0</v>
      </c>
      <c r="D15871" t="s">
        <v>106</v>
      </c>
      <c r="E15871">
        <v>6.0000000000000001E-3</v>
      </c>
    </row>
    <row r="15872" spans="1:5">
      <c r="A15872" t="s">
        <v>43798</v>
      </c>
      <c r="B15872" t="s">
        <v>11682</v>
      </c>
      <c r="C15872">
        <v>0</v>
      </c>
      <c r="D15872" t="s">
        <v>106</v>
      </c>
      <c r="E15872">
        <v>6.0000000000000001E-3</v>
      </c>
    </row>
    <row r="15873" spans="1:5">
      <c r="A15873" t="s">
        <v>43799</v>
      </c>
      <c r="B15873" t="s">
        <v>1717</v>
      </c>
      <c r="C15873">
        <v>0.537067446703</v>
      </c>
      <c r="D15873">
        <v>0.727778380635</v>
      </c>
      <c r="E15873">
        <v>6.3</v>
      </c>
    </row>
    <row r="15874" spans="1:5">
      <c r="A15874" t="s">
        <v>43799</v>
      </c>
      <c r="B15874" t="s">
        <v>1716</v>
      </c>
      <c r="C15874">
        <v>0.58029976939100003</v>
      </c>
      <c r="D15874">
        <v>0.727778380635</v>
      </c>
      <c r="E15874">
        <v>6.3</v>
      </c>
    </row>
    <row r="15875" spans="1:5">
      <c r="A15875" t="s">
        <v>43800</v>
      </c>
      <c r="B15875" t="s">
        <v>33987</v>
      </c>
      <c r="C15875">
        <v>0.26164008525600002</v>
      </c>
      <c r="D15875">
        <v>0.91741577573199995</v>
      </c>
      <c r="E15875">
        <v>3.8759999999999999</v>
      </c>
    </row>
    <row r="15876" spans="1:5">
      <c r="A15876" t="s">
        <v>43800</v>
      </c>
      <c r="B15876" t="s">
        <v>33992</v>
      </c>
      <c r="C15876">
        <f>0.472492449612</f>
        <v>0.47249244961199999</v>
      </c>
      <c r="D15876">
        <v>0.91741577573199995</v>
      </c>
      <c r="E15876">
        <v>3.8759999999999999</v>
      </c>
    </row>
    <row r="15877" spans="1:5">
      <c r="A15877" t="s">
        <v>43800</v>
      </c>
      <c r="B15877" t="s">
        <v>33989</v>
      </c>
      <c r="C15877">
        <f>0</f>
        <v>0</v>
      </c>
      <c r="D15877">
        <v>0.91741577573199995</v>
      </c>
      <c r="E15877">
        <v>3.8759999999999999</v>
      </c>
    </row>
    <row r="15878" spans="1:5">
      <c r="A15878" t="s">
        <v>43800</v>
      </c>
      <c r="B15878" t="s">
        <v>33993</v>
      </c>
      <c r="C15878">
        <f>0.469718029568</f>
        <v>0.46971802956800002</v>
      </c>
      <c r="D15878">
        <v>0.91741577573199995</v>
      </c>
      <c r="E15878">
        <v>3.8759999999999999</v>
      </c>
    </row>
    <row r="15879" spans="1:5">
      <c r="A15879" t="s">
        <v>43800</v>
      </c>
      <c r="B15879" t="s">
        <v>33991</v>
      </c>
      <c r="C15879">
        <v>0.168553706878</v>
      </c>
      <c r="D15879">
        <v>0.91741577573199995</v>
      </c>
      <c r="E15879">
        <v>3.8759999999999999</v>
      </c>
    </row>
    <row r="15880" spans="1:5">
      <c r="A15880" t="s">
        <v>43801</v>
      </c>
      <c r="B15880" t="s">
        <v>19917</v>
      </c>
      <c r="C15880">
        <v>0</v>
      </c>
      <c r="D15880" t="s">
        <v>106</v>
      </c>
      <c r="E15880">
        <v>1.512</v>
      </c>
    </row>
    <row r="15881" spans="1:5">
      <c r="A15881" t="s">
        <v>43801</v>
      </c>
      <c r="B15881" t="s">
        <v>19919</v>
      </c>
      <c r="C15881">
        <f>0</f>
        <v>0</v>
      </c>
      <c r="D15881" t="s">
        <v>106</v>
      </c>
      <c r="E15881">
        <v>1.512</v>
      </c>
    </row>
    <row r="15882" spans="1:5">
      <c r="A15882" t="s">
        <v>43801</v>
      </c>
      <c r="B15882" t="s">
        <v>19920</v>
      </c>
      <c r="C15882">
        <f>0</f>
        <v>0</v>
      </c>
      <c r="D15882" t="s">
        <v>106</v>
      </c>
      <c r="E15882">
        <v>1.512</v>
      </c>
    </row>
    <row r="15883" spans="1:5">
      <c r="A15883" t="s">
        <v>43801</v>
      </c>
      <c r="B15883" t="s">
        <v>19921</v>
      </c>
      <c r="C15883">
        <f>0</f>
        <v>0</v>
      </c>
      <c r="D15883" t="s">
        <v>106</v>
      </c>
      <c r="E15883">
        <v>1.512</v>
      </c>
    </row>
    <row r="15884" spans="1:5">
      <c r="A15884" t="s">
        <v>43802</v>
      </c>
      <c r="B15884" t="s">
        <v>7038</v>
      </c>
      <c r="C15884">
        <v>0</v>
      </c>
      <c r="D15884">
        <v>0.73021727620900001</v>
      </c>
      <c r="E15884">
        <v>0</v>
      </c>
    </row>
    <row r="15885" spans="1:5">
      <c r="A15885" t="s">
        <v>43802</v>
      </c>
      <c r="B15885" t="s">
        <v>7044</v>
      </c>
      <c r="C15885">
        <f>0.11567143997</f>
        <v>0.11567143997</v>
      </c>
      <c r="D15885">
        <v>0.73021727620900001</v>
      </c>
      <c r="E15885">
        <v>0</v>
      </c>
    </row>
    <row r="15886" spans="1:5">
      <c r="A15886" t="s">
        <v>43802</v>
      </c>
      <c r="B15886" t="s">
        <v>7045</v>
      </c>
      <c r="C15886">
        <f>0.118010722799</f>
        <v>0.118010722799</v>
      </c>
      <c r="D15886">
        <v>0.73021727620900001</v>
      </c>
      <c r="E15886">
        <v>0</v>
      </c>
    </row>
    <row r="15887" spans="1:5">
      <c r="A15887" t="s">
        <v>43802</v>
      </c>
      <c r="B15887" t="s">
        <v>43803</v>
      </c>
      <c r="C15887">
        <v>0</v>
      </c>
      <c r="D15887">
        <v>0.73021727620900001</v>
      </c>
      <c r="E15887">
        <v>0</v>
      </c>
    </row>
    <row r="15888" spans="1:5">
      <c r="A15888" t="s">
        <v>43802</v>
      </c>
      <c r="B15888" t="s">
        <v>7042</v>
      </c>
      <c r="C15888">
        <v>0</v>
      </c>
      <c r="D15888">
        <v>0.73021727620900001</v>
      </c>
      <c r="E15888">
        <v>0</v>
      </c>
    </row>
    <row r="15889" spans="1:5">
      <c r="A15889" t="s">
        <v>43802</v>
      </c>
      <c r="B15889" t="s">
        <v>7036</v>
      </c>
      <c r="C15889">
        <f>0</f>
        <v>0</v>
      </c>
      <c r="D15889">
        <v>0.73021727620900001</v>
      </c>
      <c r="E15889">
        <v>0</v>
      </c>
    </row>
    <row r="15890" spans="1:5">
      <c r="A15890" t="s">
        <v>43802</v>
      </c>
      <c r="B15890" t="s">
        <v>7041</v>
      </c>
      <c r="C15890">
        <v>0</v>
      </c>
      <c r="D15890">
        <v>0.73021727620900001</v>
      </c>
      <c r="E15890">
        <v>0</v>
      </c>
    </row>
    <row r="15891" spans="1:5">
      <c r="A15891" t="s">
        <v>43802</v>
      </c>
      <c r="B15891" t="s">
        <v>7047</v>
      </c>
      <c r="C15891">
        <f>0</f>
        <v>0</v>
      </c>
      <c r="D15891">
        <v>0.73021727620900001</v>
      </c>
      <c r="E15891">
        <v>0</v>
      </c>
    </row>
    <row r="15892" spans="1:5">
      <c r="A15892" t="s">
        <v>43802</v>
      </c>
      <c r="B15892" t="s">
        <v>7043</v>
      </c>
      <c r="C15892">
        <v>0</v>
      </c>
      <c r="D15892">
        <v>0.73021727620900001</v>
      </c>
      <c r="E15892">
        <v>0</v>
      </c>
    </row>
    <row r="15893" spans="1:5">
      <c r="A15893" t="s">
        <v>43802</v>
      </c>
      <c r="B15893" t="s">
        <v>7046</v>
      </c>
      <c r="C15893">
        <f>0</f>
        <v>0</v>
      </c>
      <c r="D15893">
        <v>0.73021727620900001</v>
      </c>
      <c r="E15893">
        <v>0</v>
      </c>
    </row>
    <row r="15894" spans="1:5">
      <c r="A15894" t="s">
        <v>43804</v>
      </c>
      <c r="B15894" t="s">
        <v>43805</v>
      </c>
      <c r="C15894">
        <v>9.5980300432200003E-2</v>
      </c>
      <c r="D15894">
        <v>0.99807061325400004</v>
      </c>
      <c r="E15894">
        <v>9.0180000000000007</v>
      </c>
    </row>
    <row r="15895" spans="1:5">
      <c r="A15895" t="s">
        <v>43804</v>
      </c>
      <c r="B15895" t="s">
        <v>43806</v>
      </c>
      <c r="C15895">
        <f>0.0573168207403</f>
        <v>5.7316820740299999E-2</v>
      </c>
      <c r="D15895">
        <v>0.99807061325400004</v>
      </c>
      <c r="E15895">
        <v>9.0180000000000007</v>
      </c>
    </row>
    <row r="15896" spans="1:5">
      <c r="A15896" t="s">
        <v>43804</v>
      </c>
      <c r="B15896" t="s">
        <v>43807</v>
      </c>
      <c r="C15896">
        <v>0.36134100569499999</v>
      </c>
      <c r="D15896">
        <v>0.99807061325400004</v>
      </c>
      <c r="E15896">
        <v>9.0180000000000007</v>
      </c>
    </row>
    <row r="15897" spans="1:5">
      <c r="A15897" t="s">
        <v>43804</v>
      </c>
      <c r="B15897" t="s">
        <v>43808</v>
      </c>
      <c r="C15897">
        <f>-1.03311024674</f>
        <v>-1.03311024674</v>
      </c>
      <c r="D15897">
        <v>0.99807061325400004</v>
      </c>
      <c r="E15897">
        <v>9.0180000000000007</v>
      </c>
    </row>
    <row r="15898" spans="1:5">
      <c r="A15898" t="s">
        <v>43804</v>
      </c>
      <c r="B15898" t="s">
        <v>43809</v>
      </c>
      <c r="C15898">
        <f>0.0523723928694</f>
        <v>5.23723928694E-2</v>
      </c>
      <c r="D15898">
        <v>0.99807061325400004</v>
      </c>
      <c r="E15898">
        <v>9.0180000000000007</v>
      </c>
    </row>
    <row r="15899" spans="1:5">
      <c r="A15899" t="s">
        <v>43804</v>
      </c>
      <c r="B15899" t="s">
        <v>43810</v>
      </c>
      <c r="C15899">
        <f>0.609967252193</f>
        <v>0.60996725219299996</v>
      </c>
      <c r="D15899">
        <v>0.99807061325400004</v>
      </c>
      <c r="E15899">
        <v>9.0180000000000007</v>
      </c>
    </row>
    <row r="15900" spans="1:5">
      <c r="A15900" t="s">
        <v>43804</v>
      </c>
      <c r="B15900" t="s">
        <v>43811</v>
      </c>
      <c r="C15900">
        <v>0</v>
      </c>
      <c r="D15900">
        <v>0.99807061325400004</v>
      </c>
      <c r="E15900">
        <v>9.0180000000000007</v>
      </c>
    </row>
    <row r="15901" spans="1:5">
      <c r="A15901" t="s">
        <v>43804</v>
      </c>
      <c r="B15901" t="s">
        <v>43812</v>
      </c>
      <c r="C15901">
        <v>0.53394536954100003</v>
      </c>
      <c r="D15901">
        <v>0.99807061325400004</v>
      </c>
      <c r="E15901">
        <v>9.0180000000000007</v>
      </c>
    </row>
    <row r="15902" spans="1:5">
      <c r="A15902" t="s">
        <v>43804</v>
      </c>
      <c r="B15902" t="s">
        <v>43813</v>
      </c>
      <c r="C15902">
        <v>0</v>
      </c>
      <c r="D15902">
        <v>0.99807061325400004</v>
      </c>
      <c r="E15902">
        <v>9.0180000000000007</v>
      </c>
    </row>
    <row r="15903" spans="1:5">
      <c r="A15903" t="s">
        <v>43804</v>
      </c>
      <c r="B15903" t="s">
        <v>43814</v>
      </c>
      <c r="C15903">
        <f>0</f>
        <v>0</v>
      </c>
      <c r="D15903">
        <v>0.99807061325400004</v>
      </c>
      <c r="E15903">
        <v>9.0180000000000007</v>
      </c>
    </row>
    <row r="15904" spans="1:5">
      <c r="A15904" t="s">
        <v>43804</v>
      </c>
      <c r="B15904" t="s">
        <v>43815</v>
      </c>
      <c r="C15904">
        <v>1.0141177368700001</v>
      </c>
      <c r="D15904">
        <v>0.99807061325400004</v>
      </c>
      <c r="E15904">
        <v>9.0180000000000007</v>
      </c>
    </row>
    <row r="15905" spans="1:5">
      <c r="A15905" t="s">
        <v>43816</v>
      </c>
      <c r="B15905" t="s">
        <v>6962</v>
      </c>
      <c r="C15905">
        <v>0.36279666505399999</v>
      </c>
      <c r="D15905">
        <v>0.90296858967000004</v>
      </c>
      <c r="E15905">
        <v>1.014</v>
      </c>
    </row>
    <row r="15906" spans="1:5">
      <c r="A15906" t="s">
        <v>43816</v>
      </c>
      <c r="B15906" t="s">
        <v>6958</v>
      </c>
      <c r="C15906">
        <v>0</v>
      </c>
      <c r="D15906">
        <v>0.90296858967000004</v>
      </c>
      <c r="E15906">
        <v>1.014</v>
      </c>
    </row>
    <row r="15907" spans="1:5">
      <c r="A15907" t="s">
        <v>43816</v>
      </c>
      <c r="B15907" t="s">
        <v>6954</v>
      </c>
      <c r="C15907">
        <f>0.588931420959</f>
        <v>0.58893142095899997</v>
      </c>
      <c r="D15907">
        <v>0.90296858967000004</v>
      </c>
      <c r="E15907">
        <v>1.014</v>
      </c>
    </row>
    <row r="15908" spans="1:5">
      <c r="A15908" t="s">
        <v>43816</v>
      </c>
      <c r="B15908" t="s">
        <v>6955</v>
      </c>
      <c r="C15908">
        <f>0</f>
        <v>0</v>
      </c>
      <c r="D15908">
        <v>0.90296858967000004</v>
      </c>
      <c r="E15908">
        <v>1.014</v>
      </c>
    </row>
    <row r="15909" spans="1:5">
      <c r="A15909" t="s">
        <v>43816</v>
      </c>
      <c r="B15909" t="s">
        <v>6953</v>
      </c>
      <c r="C15909">
        <f>0.48848925166</f>
        <v>0.48848925166000001</v>
      </c>
      <c r="D15909">
        <v>0.90296858967000004</v>
      </c>
      <c r="E15909">
        <v>1.014</v>
      </c>
    </row>
    <row r="15910" spans="1:5">
      <c r="A15910" t="s">
        <v>43817</v>
      </c>
      <c r="B15910" t="s">
        <v>43818</v>
      </c>
      <c r="C15910">
        <f>0</f>
        <v>0</v>
      </c>
      <c r="D15910">
        <v>0.918688763548</v>
      </c>
      <c r="E15910">
        <v>10.242000000000001</v>
      </c>
    </row>
    <row r="15911" spans="1:5">
      <c r="A15911" t="s">
        <v>43817</v>
      </c>
      <c r="B15911" t="s">
        <v>43819</v>
      </c>
      <c r="C15911">
        <v>0</v>
      </c>
      <c r="D15911">
        <v>0.918688763548</v>
      </c>
      <c r="E15911">
        <v>10.242000000000001</v>
      </c>
    </row>
    <row r="15912" spans="1:5">
      <c r="A15912" t="s">
        <v>43817</v>
      </c>
      <c r="B15912" t="s">
        <v>43820</v>
      </c>
      <c r="C15912">
        <f>0</f>
        <v>0</v>
      </c>
      <c r="D15912">
        <v>0.918688763548</v>
      </c>
      <c r="E15912">
        <v>10.242000000000001</v>
      </c>
    </row>
    <row r="15913" spans="1:5">
      <c r="A15913" t="s">
        <v>43817</v>
      </c>
      <c r="B15913" t="s">
        <v>43821</v>
      </c>
      <c r="C15913">
        <f>0.82393810439</f>
        <v>0.82393810439000004</v>
      </c>
      <c r="D15913">
        <v>0.918688763548</v>
      </c>
      <c r="E15913">
        <v>10.242000000000001</v>
      </c>
    </row>
    <row r="15914" spans="1:5">
      <c r="A15914" t="s">
        <v>43817</v>
      </c>
      <c r="B15914" t="s">
        <v>43822</v>
      </c>
      <c r="C15914">
        <v>0.155197493302</v>
      </c>
      <c r="D15914">
        <v>0.918688763548</v>
      </c>
      <c r="E15914">
        <v>10.242000000000001</v>
      </c>
    </row>
    <row r="15915" spans="1:5">
      <c r="A15915" t="s">
        <v>43817</v>
      </c>
      <c r="B15915" t="s">
        <v>43823</v>
      </c>
      <c r="C15915">
        <f>0</f>
        <v>0</v>
      </c>
      <c r="D15915">
        <v>0.918688763548</v>
      </c>
      <c r="E15915">
        <v>10.242000000000001</v>
      </c>
    </row>
    <row r="15916" spans="1:5">
      <c r="A15916" t="s">
        <v>43824</v>
      </c>
      <c r="B15916" t="s">
        <v>28913</v>
      </c>
      <c r="C15916">
        <v>0</v>
      </c>
      <c r="D15916">
        <v>0.95862818014100004</v>
      </c>
      <c r="E15916">
        <v>0.91800000000000004</v>
      </c>
    </row>
    <row r="15917" spans="1:5">
      <c r="A15917" t="s">
        <v>43824</v>
      </c>
      <c r="B15917" t="s">
        <v>28917</v>
      </c>
      <c r="C15917">
        <v>9.8117829752099997E-2</v>
      </c>
      <c r="D15917">
        <v>0.95862818014100004</v>
      </c>
      <c r="E15917">
        <v>0.91800000000000004</v>
      </c>
    </row>
    <row r="15918" spans="1:5">
      <c r="A15918" t="s">
        <v>43824</v>
      </c>
      <c r="B15918" t="s">
        <v>28918</v>
      </c>
      <c r="C15918">
        <v>0</v>
      </c>
      <c r="D15918">
        <v>0.95862818014100004</v>
      </c>
      <c r="E15918">
        <v>0.91800000000000004</v>
      </c>
    </row>
    <row r="15919" spans="1:5">
      <c r="A15919" t="s">
        <v>43824</v>
      </c>
      <c r="B15919" t="s">
        <v>28915</v>
      </c>
      <c r="C15919">
        <f>0.763796448625</f>
        <v>0.76379644862499996</v>
      </c>
      <c r="D15919">
        <v>0.95862818014100004</v>
      </c>
      <c r="E15919">
        <v>0.91800000000000004</v>
      </c>
    </row>
    <row r="15920" spans="1:5">
      <c r="A15920" t="s">
        <v>43824</v>
      </c>
      <c r="B15920" t="s">
        <v>28919</v>
      </c>
      <c r="C15920">
        <v>0.48168360761200002</v>
      </c>
      <c r="D15920">
        <v>0.95862818014100004</v>
      </c>
      <c r="E15920">
        <v>0.91800000000000004</v>
      </c>
    </row>
    <row r="15921" spans="1:5">
      <c r="A15921" t="s">
        <v>43825</v>
      </c>
      <c r="B15921" t="s">
        <v>43826</v>
      </c>
      <c r="C15921">
        <v>1.9638751620900001E-2</v>
      </c>
      <c r="D15921">
        <v>0.99990408390800001</v>
      </c>
      <c r="E15921">
        <v>9.468</v>
      </c>
    </row>
    <row r="15922" spans="1:5">
      <c r="A15922" t="s">
        <v>43825</v>
      </c>
      <c r="B15922" t="s">
        <v>43827</v>
      </c>
      <c r="C15922">
        <f>0.590083564287</f>
        <v>0.59008356428700004</v>
      </c>
      <c r="D15922">
        <v>0.99990408390800001</v>
      </c>
      <c r="E15922">
        <v>9.468</v>
      </c>
    </row>
    <row r="15923" spans="1:5">
      <c r="A15923" t="s">
        <v>43825</v>
      </c>
      <c r="B15923" t="s">
        <v>43828</v>
      </c>
      <c r="C15923">
        <v>1.2291418917400001</v>
      </c>
      <c r="D15923">
        <v>0.99990408390800001</v>
      </c>
      <c r="E15923">
        <v>9.468</v>
      </c>
    </row>
    <row r="15924" spans="1:5">
      <c r="A15924" t="s">
        <v>43825</v>
      </c>
      <c r="B15924" t="s">
        <v>43829</v>
      </c>
      <c r="C15924">
        <v>0.219550000312</v>
      </c>
      <c r="D15924">
        <v>0.99990408390800001</v>
      </c>
      <c r="E15924">
        <v>9.468</v>
      </c>
    </row>
    <row r="15925" spans="1:5">
      <c r="A15925" t="s">
        <v>43825</v>
      </c>
      <c r="B15925" t="s">
        <v>43830</v>
      </c>
      <c r="C15925">
        <v>0</v>
      </c>
      <c r="D15925">
        <v>0.99990408390800001</v>
      </c>
      <c r="E15925">
        <v>9.468</v>
      </c>
    </row>
    <row r="15926" spans="1:5">
      <c r="A15926" t="s">
        <v>43825</v>
      </c>
      <c r="B15926" t="s">
        <v>43831</v>
      </c>
      <c r="C15926">
        <f>0.415838349538</f>
        <v>0.41583834953799997</v>
      </c>
      <c r="D15926">
        <v>0.99990408390800001</v>
      </c>
      <c r="E15926">
        <v>9.468</v>
      </c>
    </row>
    <row r="15927" spans="1:5">
      <c r="A15927" t="s">
        <v>43825</v>
      </c>
      <c r="B15927" t="s">
        <v>43832</v>
      </c>
      <c r="C15927">
        <v>0.16089147401600001</v>
      </c>
      <c r="D15927">
        <v>0.99990408390800001</v>
      </c>
      <c r="E15927">
        <v>9.468</v>
      </c>
    </row>
    <row r="15928" spans="1:5">
      <c r="A15928" t="s">
        <v>43825</v>
      </c>
      <c r="B15928" t="s">
        <v>43833</v>
      </c>
      <c r="C15928">
        <f>0.297268280343</f>
        <v>0.29726828034300001</v>
      </c>
      <c r="D15928">
        <v>0.99990408390800001</v>
      </c>
      <c r="E15928">
        <v>9.468</v>
      </c>
    </row>
    <row r="15929" spans="1:5">
      <c r="A15929" t="s">
        <v>43834</v>
      </c>
      <c r="B15929" t="s">
        <v>43835</v>
      </c>
      <c r="C15929">
        <v>0.17657395936699999</v>
      </c>
      <c r="D15929">
        <v>0.94569667179799999</v>
      </c>
      <c r="E15929">
        <v>1.452</v>
      </c>
    </row>
    <row r="15930" spans="1:5">
      <c r="A15930" t="s">
        <v>43834</v>
      </c>
      <c r="B15930" t="s">
        <v>43836</v>
      </c>
      <c r="C15930">
        <v>0.52978929940399999</v>
      </c>
      <c r="D15930">
        <v>0.94569667179799999</v>
      </c>
      <c r="E15930">
        <v>1.452</v>
      </c>
    </row>
    <row r="15931" spans="1:5">
      <c r="A15931" t="s">
        <v>43834</v>
      </c>
      <c r="B15931" t="s">
        <v>43837</v>
      </c>
      <c r="C15931">
        <v>0</v>
      </c>
      <c r="D15931">
        <v>0.94569667179799999</v>
      </c>
      <c r="E15931">
        <v>1.452</v>
      </c>
    </row>
    <row r="15932" spans="1:5">
      <c r="A15932" t="s">
        <v>43834</v>
      </c>
      <c r="B15932" t="s">
        <v>43838</v>
      </c>
      <c r="C15932">
        <f>0.324902749035</f>
        <v>0.32490274903499999</v>
      </c>
      <c r="D15932">
        <v>0.94569667179799999</v>
      </c>
      <c r="E15932">
        <v>1.452</v>
      </c>
    </row>
    <row r="15933" spans="1:5">
      <c r="A15933" t="s">
        <v>43834</v>
      </c>
      <c r="B15933" t="s">
        <v>43839</v>
      </c>
      <c r="C15933">
        <v>0.20978353373899999</v>
      </c>
      <c r="D15933">
        <v>0.94569667179799999</v>
      </c>
      <c r="E15933">
        <v>1.452</v>
      </c>
    </row>
    <row r="15934" spans="1:5">
      <c r="A15934" t="s">
        <v>43840</v>
      </c>
      <c r="B15934" t="s">
        <v>6253</v>
      </c>
      <c r="C15934">
        <v>0</v>
      </c>
      <c r="D15934" t="s">
        <v>106</v>
      </c>
      <c r="E15934">
        <v>24</v>
      </c>
    </row>
    <row r="15935" spans="1:5">
      <c r="A15935" t="s">
        <v>43840</v>
      </c>
      <c r="B15935" t="s">
        <v>6251</v>
      </c>
      <c r="C15935">
        <v>0</v>
      </c>
      <c r="D15935" t="s">
        <v>106</v>
      </c>
      <c r="E15935">
        <v>24</v>
      </c>
    </row>
    <row r="15936" spans="1:5">
      <c r="A15936" t="s">
        <v>43840</v>
      </c>
      <c r="B15936" t="s">
        <v>6252</v>
      </c>
      <c r="C15936">
        <f>0</f>
        <v>0</v>
      </c>
      <c r="D15936" t="s">
        <v>106</v>
      </c>
      <c r="E15936">
        <v>24</v>
      </c>
    </row>
    <row r="15937" spans="1:5">
      <c r="A15937" t="s">
        <v>43841</v>
      </c>
      <c r="B15937" t="s">
        <v>15433</v>
      </c>
      <c r="C15937">
        <v>0.261979442098</v>
      </c>
      <c r="D15937">
        <v>0.77336699283300003</v>
      </c>
      <c r="E15937">
        <v>6.9359999999999999</v>
      </c>
    </row>
    <row r="15938" spans="1:5">
      <c r="A15938" t="s">
        <v>43841</v>
      </c>
      <c r="B15938" t="s">
        <v>15429</v>
      </c>
      <c r="C15938">
        <v>0</v>
      </c>
      <c r="D15938">
        <v>0.77336699283300003</v>
      </c>
      <c r="E15938">
        <v>6.9359999999999999</v>
      </c>
    </row>
    <row r="15939" spans="1:5">
      <c r="A15939" t="s">
        <v>43841</v>
      </c>
      <c r="B15939" t="s">
        <v>15432</v>
      </c>
      <c r="C15939">
        <v>0.34808412711699999</v>
      </c>
      <c r="D15939">
        <v>0.77336699283300003</v>
      </c>
      <c r="E15939">
        <v>6.9359999999999999</v>
      </c>
    </row>
    <row r="15940" spans="1:5">
      <c r="A15940" t="s">
        <v>43841</v>
      </c>
      <c r="B15940" t="s">
        <v>15430</v>
      </c>
      <c r="C15940">
        <v>6.8489626344599999E-2</v>
      </c>
      <c r="D15940">
        <v>0.77336699283300003</v>
      </c>
      <c r="E15940">
        <v>6.9359999999999999</v>
      </c>
    </row>
    <row r="15941" spans="1:5">
      <c r="A15941" t="s">
        <v>43842</v>
      </c>
      <c r="B15941" t="s">
        <v>10451</v>
      </c>
      <c r="C15941">
        <f>0</f>
        <v>0</v>
      </c>
      <c r="D15941" t="s">
        <v>106</v>
      </c>
      <c r="E15941">
        <v>4.2720000000000002</v>
      </c>
    </row>
    <row r="15942" spans="1:5">
      <c r="A15942" t="s">
        <v>43842</v>
      </c>
      <c r="B15942" t="s">
        <v>10452</v>
      </c>
      <c r="C15942">
        <f>0</f>
        <v>0</v>
      </c>
      <c r="D15942" t="s">
        <v>106</v>
      </c>
      <c r="E15942">
        <v>4.2720000000000002</v>
      </c>
    </row>
    <row r="15943" spans="1:5">
      <c r="A15943" t="s">
        <v>43842</v>
      </c>
      <c r="B15943" t="s">
        <v>10455</v>
      </c>
      <c r="C15943">
        <v>0</v>
      </c>
      <c r="D15943" t="s">
        <v>106</v>
      </c>
      <c r="E15943">
        <v>4.2720000000000002</v>
      </c>
    </row>
    <row r="15944" spans="1:5">
      <c r="A15944" t="s">
        <v>43843</v>
      </c>
      <c r="B15944" t="s">
        <v>43844</v>
      </c>
      <c r="C15944">
        <f>0</f>
        <v>0</v>
      </c>
      <c r="D15944" t="s">
        <v>106</v>
      </c>
      <c r="E15944">
        <v>6.0000000000000001E-3</v>
      </c>
    </row>
    <row r="15945" spans="1:5">
      <c r="A15945" t="s">
        <v>43843</v>
      </c>
      <c r="B15945" t="s">
        <v>43845</v>
      </c>
      <c r="C15945">
        <f>0</f>
        <v>0</v>
      </c>
      <c r="D15945" t="s">
        <v>106</v>
      </c>
      <c r="E15945">
        <v>6.0000000000000001E-3</v>
      </c>
    </row>
    <row r="15946" spans="1:5">
      <c r="A15946" t="s">
        <v>43843</v>
      </c>
      <c r="B15946" t="s">
        <v>43846</v>
      </c>
      <c r="C15946">
        <v>0</v>
      </c>
      <c r="D15946" t="s">
        <v>106</v>
      </c>
      <c r="E15946">
        <v>6.0000000000000001E-3</v>
      </c>
    </row>
    <row r="15947" spans="1:5">
      <c r="A15947" t="s">
        <v>43843</v>
      </c>
      <c r="B15947" t="s">
        <v>43847</v>
      </c>
      <c r="C15947">
        <v>0</v>
      </c>
      <c r="D15947" t="s">
        <v>106</v>
      </c>
      <c r="E15947">
        <v>6.0000000000000001E-3</v>
      </c>
    </row>
    <row r="15948" spans="1:5">
      <c r="A15948" t="s">
        <v>43848</v>
      </c>
      <c r="B15948" t="s">
        <v>32012</v>
      </c>
      <c r="C15948">
        <v>0.15493857590900001</v>
      </c>
      <c r="D15948">
        <v>0.97286288059600001</v>
      </c>
      <c r="E15948">
        <v>4.17</v>
      </c>
    </row>
    <row r="15949" spans="1:5">
      <c r="A15949" t="s">
        <v>43848</v>
      </c>
      <c r="B15949" t="s">
        <v>32018</v>
      </c>
      <c r="C15949">
        <v>0.53177772076800001</v>
      </c>
      <c r="D15949">
        <v>0.97286288059600001</v>
      </c>
      <c r="E15949">
        <v>4.17</v>
      </c>
    </row>
    <row r="15950" spans="1:5">
      <c r="A15950" t="s">
        <v>43848</v>
      </c>
      <c r="B15950" t="s">
        <v>32017</v>
      </c>
      <c r="C15950">
        <v>0.64099898878100003</v>
      </c>
      <c r="D15950">
        <v>0.97286288059600001</v>
      </c>
      <c r="E15950">
        <v>4.17</v>
      </c>
    </row>
    <row r="15951" spans="1:5">
      <c r="A15951" t="s">
        <v>43848</v>
      </c>
      <c r="B15951" t="s">
        <v>32013</v>
      </c>
      <c r="C15951">
        <v>0.125283791418</v>
      </c>
      <c r="D15951">
        <v>0.97286288059600001</v>
      </c>
      <c r="E15951">
        <v>4.17</v>
      </c>
    </row>
    <row r="15952" spans="1:5">
      <c r="A15952" t="s">
        <v>43848</v>
      </c>
      <c r="B15952" t="s">
        <v>32015</v>
      </c>
      <c r="C15952">
        <f>0</f>
        <v>0</v>
      </c>
      <c r="D15952">
        <v>0.97286288059600001</v>
      </c>
      <c r="E15952">
        <v>4.17</v>
      </c>
    </row>
    <row r="15953" spans="1:5">
      <c r="A15953" t="s">
        <v>43849</v>
      </c>
      <c r="B15953" t="s">
        <v>11286</v>
      </c>
      <c r="C15953">
        <f>0</f>
        <v>0</v>
      </c>
      <c r="D15953">
        <v>0.88849923649700002</v>
      </c>
      <c r="E15953">
        <v>0</v>
      </c>
    </row>
    <row r="15954" spans="1:5">
      <c r="A15954" t="s">
        <v>43849</v>
      </c>
      <c r="B15954" t="s">
        <v>11285</v>
      </c>
      <c r="C15954">
        <v>0.75053939167600003</v>
      </c>
      <c r="D15954">
        <v>0.88849923649700002</v>
      </c>
      <c r="E15954">
        <v>0</v>
      </c>
    </row>
    <row r="15955" spans="1:5">
      <c r="A15955" t="s">
        <v>43849</v>
      </c>
      <c r="B15955" t="s">
        <v>11290</v>
      </c>
      <c r="C15955">
        <v>9.7724443738600002E-3</v>
      </c>
      <c r="D15955">
        <v>0.88849923649700002</v>
      </c>
      <c r="E15955">
        <v>0</v>
      </c>
    </row>
    <row r="15956" spans="1:5">
      <c r="A15956" t="s">
        <v>43849</v>
      </c>
      <c r="B15956" t="s">
        <v>11294</v>
      </c>
      <c r="C15956">
        <f>0</f>
        <v>0</v>
      </c>
      <c r="D15956">
        <v>0.88849923649700002</v>
      </c>
      <c r="E15956">
        <v>0</v>
      </c>
    </row>
    <row r="15957" spans="1:5">
      <c r="A15957" t="s">
        <v>43849</v>
      </c>
      <c r="B15957" t="s">
        <v>11295</v>
      </c>
      <c r="C15957">
        <f>0.0264817878693</f>
        <v>2.64817878693E-2</v>
      </c>
      <c r="D15957">
        <v>0.88849923649700002</v>
      </c>
      <c r="E15957">
        <v>0</v>
      </c>
    </row>
    <row r="15958" spans="1:5">
      <c r="A15958" t="s">
        <v>43849</v>
      </c>
      <c r="B15958" t="s">
        <v>11293</v>
      </c>
      <c r="C15958">
        <f>0.356244489723</f>
        <v>0.35624448972299999</v>
      </c>
      <c r="D15958">
        <v>0.88849923649700002</v>
      </c>
      <c r="E15958">
        <v>0</v>
      </c>
    </row>
    <row r="15959" spans="1:5">
      <c r="A15959" t="s">
        <v>43850</v>
      </c>
      <c r="B15959" t="s">
        <v>7808</v>
      </c>
      <c r="C15959">
        <f>0</f>
        <v>0</v>
      </c>
      <c r="D15959" t="s">
        <v>106</v>
      </c>
      <c r="E15959">
        <v>24</v>
      </c>
    </row>
    <row r="15960" spans="1:5">
      <c r="A15960" t="s">
        <v>43850</v>
      </c>
      <c r="B15960" t="s">
        <v>7813</v>
      </c>
      <c r="C15960">
        <f>0</f>
        <v>0</v>
      </c>
      <c r="D15960" t="s">
        <v>106</v>
      </c>
      <c r="E15960">
        <v>24</v>
      </c>
    </row>
    <row r="15961" spans="1:5">
      <c r="A15961" t="s">
        <v>43850</v>
      </c>
      <c r="B15961" t="s">
        <v>7814</v>
      </c>
      <c r="C15961">
        <f>0</f>
        <v>0</v>
      </c>
      <c r="D15961" t="s">
        <v>106</v>
      </c>
      <c r="E15961">
        <v>24</v>
      </c>
    </row>
    <row r="15962" spans="1:5">
      <c r="A15962" t="s">
        <v>43850</v>
      </c>
      <c r="B15962" t="s">
        <v>7811</v>
      </c>
      <c r="C15962">
        <f>0</f>
        <v>0</v>
      </c>
      <c r="D15962" t="s">
        <v>106</v>
      </c>
      <c r="E15962">
        <v>24</v>
      </c>
    </row>
    <row r="15963" spans="1:5">
      <c r="A15963" t="s">
        <v>43850</v>
      </c>
      <c r="B15963" t="s">
        <v>7810</v>
      </c>
      <c r="C15963">
        <f>0</f>
        <v>0</v>
      </c>
      <c r="D15963" t="s">
        <v>106</v>
      </c>
      <c r="E15963">
        <v>24</v>
      </c>
    </row>
    <row r="15964" spans="1:5">
      <c r="A15964" t="s">
        <v>43850</v>
      </c>
      <c r="B15964" t="s">
        <v>7809</v>
      </c>
      <c r="C15964">
        <v>0</v>
      </c>
      <c r="D15964" t="s">
        <v>106</v>
      </c>
      <c r="E15964">
        <v>24</v>
      </c>
    </row>
    <row r="15965" spans="1:5">
      <c r="A15965" t="s">
        <v>43851</v>
      </c>
      <c r="B15965" t="s">
        <v>10967</v>
      </c>
      <c r="C15965">
        <v>0.37038221200400001</v>
      </c>
      <c r="D15965">
        <v>0.62310700109999995</v>
      </c>
      <c r="E15965">
        <v>17.303999999999998</v>
      </c>
    </row>
    <row r="15966" spans="1:5">
      <c r="A15966" t="s">
        <v>43851</v>
      </c>
      <c r="B15966" t="s">
        <v>10968</v>
      </c>
      <c r="C15966">
        <v>2.87224521241E-2</v>
      </c>
      <c r="D15966">
        <v>0.62310700109999995</v>
      </c>
      <c r="E15966">
        <v>17.303999999999998</v>
      </c>
    </row>
    <row r="15967" spans="1:5">
      <c r="A15967" t="s">
        <v>43852</v>
      </c>
      <c r="B15967" t="s">
        <v>17823</v>
      </c>
      <c r="C15967">
        <v>0.38959553507099998</v>
      </c>
      <c r="D15967">
        <v>0.99184633347899998</v>
      </c>
      <c r="E15967">
        <v>1.83</v>
      </c>
    </row>
    <row r="15968" spans="1:5">
      <c r="A15968" t="s">
        <v>43852</v>
      </c>
      <c r="B15968" t="s">
        <v>17824</v>
      </c>
      <c r="C15968">
        <v>1.2913516674800001</v>
      </c>
      <c r="D15968">
        <v>0.99184633347899998</v>
      </c>
      <c r="E15968">
        <v>1.83</v>
      </c>
    </row>
    <row r="15969" spans="1:5">
      <c r="A15969" t="s">
        <v>43852</v>
      </c>
      <c r="B15969" t="s">
        <v>17826</v>
      </c>
      <c r="C15969">
        <f>-1.04000006163</f>
        <v>-1.04000006163</v>
      </c>
      <c r="D15969">
        <v>0.99184633347899998</v>
      </c>
      <c r="E15969">
        <v>1.83</v>
      </c>
    </row>
    <row r="15970" spans="1:5">
      <c r="A15970" t="s">
        <v>43852</v>
      </c>
      <c r="B15970" t="s">
        <v>17825</v>
      </c>
      <c r="C15970">
        <v>2.54470116291</v>
      </c>
      <c r="D15970">
        <v>0.99184633347899998</v>
      </c>
      <c r="E15970">
        <v>1.83</v>
      </c>
    </row>
    <row r="15971" spans="1:5">
      <c r="A15971" t="s">
        <v>43852</v>
      </c>
      <c r="B15971" t="s">
        <v>17827</v>
      </c>
      <c r="C15971">
        <v>2.2943130250000001</v>
      </c>
      <c r="D15971">
        <v>0.99184633347899998</v>
      </c>
      <c r="E15971">
        <v>1.83</v>
      </c>
    </row>
    <row r="15972" spans="1:5">
      <c r="A15972" t="s">
        <v>43853</v>
      </c>
      <c r="B15972" t="s">
        <v>20671</v>
      </c>
      <c r="C15972">
        <f>0</f>
        <v>0</v>
      </c>
      <c r="D15972">
        <v>0.64995464715899998</v>
      </c>
      <c r="E15972">
        <v>4.5839999999999996</v>
      </c>
    </row>
    <row r="15973" spans="1:5">
      <c r="A15973" t="s">
        <v>43853</v>
      </c>
      <c r="B15973" t="s">
        <v>20673</v>
      </c>
      <c r="C15973">
        <v>0</v>
      </c>
      <c r="D15973">
        <v>0.64995464715899998</v>
      </c>
      <c r="E15973">
        <v>4.5839999999999996</v>
      </c>
    </row>
    <row r="15974" spans="1:5">
      <c r="A15974" t="s">
        <v>43853</v>
      </c>
      <c r="B15974" t="s">
        <v>20675</v>
      </c>
      <c r="C15974">
        <v>0</v>
      </c>
      <c r="D15974">
        <v>0.64995464715899998</v>
      </c>
      <c r="E15974">
        <v>4.5839999999999996</v>
      </c>
    </row>
    <row r="15975" spans="1:5">
      <c r="A15975" t="s">
        <v>43853</v>
      </c>
      <c r="B15975" t="s">
        <v>20672</v>
      </c>
      <c r="C15975">
        <v>0</v>
      </c>
      <c r="D15975">
        <v>0.64995464715899998</v>
      </c>
      <c r="E15975">
        <v>4.5839999999999996</v>
      </c>
    </row>
    <row r="15976" spans="1:5">
      <c r="A15976" t="s">
        <v>43853</v>
      </c>
      <c r="B15976" t="s">
        <v>20677</v>
      </c>
      <c r="C15976">
        <v>0.37954464715899999</v>
      </c>
      <c r="D15976">
        <v>0.64995464715899998</v>
      </c>
      <c r="E15976">
        <v>4.5839999999999996</v>
      </c>
    </row>
    <row r="15977" spans="1:5">
      <c r="A15977" t="s">
        <v>43853</v>
      </c>
      <c r="B15977" t="s">
        <v>20676</v>
      </c>
      <c r="C15977">
        <f>0</f>
        <v>0</v>
      </c>
      <c r="D15977">
        <v>0.64995464715899998</v>
      </c>
      <c r="E15977">
        <v>4.5839999999999996</v>
      </c>
    </row>
    <row r="15978" spans="1:5">
      <c r="A15978" t="s">
        <v>43854</v>
      </c>
      <c r="B15978" t="s">
        <v>32474</v>
      </c>
      <c r="C15978">
        <v>0</v>
      </c>
      <c r="D15978" t="s">
        <v>106</v>
      </c>
      <c r="E15978">
        <v>23.754000000000001</v>
      </c>
    </row>
    <row r="15979" spans="1:5">
      <c r="A15979" t="s">
        <v>43854</v>
      </c>
      <c r="B15979" t="s">
        <v>32478</v>
      </c>
      <c r="C15979">
        <v>0</v>
      </c>
      <c r="D15979" t="s">
        <v>106</v>
      </c>
      <c r="E15979">
        <v>23.754000000000001</v>
      </c>
    </row>
    <row r="15980" spans="1:5">
      <c r="A15980" t="s">
        <v>43854</v>
      </c>
      <c r="B15980" t="s">
        <v>32479</v>
      </c>
      <c r="C15980">
        <v>0</v>
      </c>
      <c r="D15980" t="s">
        <v>106</v>
      </c>
      <c r="E15980">
        <v>23.754000000000001</v>
      </c>
    </row>
    <row r="15981" spans="1:5">
      <c r="A15981" t="s">
        <v>43854</v>
      </c>
      <c r="B15981" t="s">
        <v>32476</v>
      </c>
      <c r="C15981">
        <f>0</f>
        <v>0</v>
      </c>
      <c r="D15981" t="s">
        <v>106</v>
      </c>
      <c r="E15981">
        <v>23.754000000000001</v>
      </c>
    </row>
    <row r="15982" spans="1:5">
      <c r="A15982" t="s">
        <v>43854</v>
      </c>
      <c r="B15982" t="s">
        <v>32477</v>
      </c>
      <c r="C15982">
        <v>0</v>
      </c>
      <c r="D15982" t="s">
        <v>106</v>
      </c>
      <c r="E15982">
        <v>23.754000000000001</v>
      </c>
    </row>
    <row r="15983" spans="1:5">
      <c r="A15983" t="s">
        <v>43854</v>
      </c>
      <c r="B15983" t="s">
        <v>32480</v>
      </c>
      <c r="C15983">
        <f>0</f>
        <v>0</v>
      </c>
      <c r="D15983" t="s">
        <v>106</v>
      </c>
      <c r="E15983">
        <v>23.754000000000001</v>
      </c>
    </row>
    <row r="15984" spans="1:5">
      <c r="A15984" t="s">
        <v>43855</v>
      </c>
      <c r="B15984" t="s">
        <v>43856</v>
      </c>
      <c r="C15984">
        <v>0.10057244239099999</v>
      </c>
      <c r="D15984">
        <v>0.93527112613700003</v>
      </c>
      <c r="E15984">
        <v>0</v>
      </c>
    </row>
    <row r="15985" spans="1:5">
      <c r="A15985" t="s">
        <v>43855</v>
      </c>
      <c r="B15985" t="s">
        <v>43857</v>
      </c>
      <c r="C15985">
        <v>0.76106146622500004</v>
      </c>
      <c r="D15985">
        <v>0.93527112613700003</v>
      </c>
      <c r="E15985">
        <v>0</v>
      </c>
    </row>
    <row r="15986" spans="1:5">
      <c r="A15986" t="s">
        <v>43855</v>
      </c>
      <c r="B15986" t="s">
        <v>43858</v>
      </c>
      <c r="C15986">
        <v>0</v>
      </c>
      <c r="D15986">
        <v>0.93527112613700003</v>
      </c>
      <c r="E15986">
        <v>0</v>
      </c>
    </row>
    <row r="15987" spans="1:5">
      <c r="A15987" t="s">
        <v>43855</v>
      </c>
      <c r="B15987" t="s">
        <v>43859</v>
      </c>
      <c r="C15987">
        <f>0</f>
        <v>0</v>
      </c>
      <c r="D15987">
        <v>0.93527112613700003</v>
      </c>
      <c r="E15987">
        <v>0</v>
      </c>
    </row>
    <row r="15988" spans="1:5">
      <c r="A15988" t="s">
        <v>43860</v>
      </c>
      <c r="B15988" t="s">
        <v>43861</v>
      </c>
      <c r="C15988">
        <v>2.5369607330800001E-2</v>
      </c>
      <c r="D15988">
        <v>0.99998259862799999</v>
      </c>
      <c r="E15988">
        <v>0</v>
      </c>
    </row>
    <row r="15989" spans="1:5">
      <c r="A15989" t="s">
        <v>43860</v>
      </c>
      <c r="B15989" t="s">
        <v>43862</v>
      </c>
      <c r="C15989">
        <v>0.75960246494299999</v>
      </c>
      <c r="D15989">
        <v>0.99998259862799999</v>
      </c>
      <c r="E15989">
        <v>0</v>
      </c>
    </row>
    <row r="15990" spans="1:5">
      <c r="A15990" t="s">
        <v>43860</v>
      </c>
      <c r="B15990" t="s">
        <v>43863</v>
      </c>
      <c r="C15990">
        <f>0.153777049889</f>
        <v>0.15377704988900001</v>
      </c>
      <c r="D15990">
        <v>0.99998259862799999</v>
      </c>
      <c r="E15990">
        <v>0</v>
      </c>
    </row>
    <row r="15991" spans="1:5">
      <c r="A15991" t="s">
        <v>43860</v>
      </c>
      <c r="B15991" t="s">
        <v>43864</v>
      </c>
      <c r="C15991">
        <f>0.253717617249</f>
        <v>0.25371761724899999</v>
      </c>
      <c r="D15991">
        <v>0.99998259862799999</v>
      </c>
      <c r="E15991">
        <v>0</v>
      </c>
    </row>
    <row r="15992" spans="1:5">
      <c r="A15992" t="s">
        <v>43860</v>
      </c>
      <c r="B15992" t="s">
        <v>43865</v>
      </c>
      <c r="C15992">
        <v>0</v>
      </c>
      <c r="D15992">
        <v>0.99998259862799999</v>
      </c>
      <c r="E15992">
        <v>0</v>
      </c>
    </row>
    <row r="15993" spans="1:5">
      <c r="A15993" t="s">
        <v>43860</v>
      </c>
      <c r="B15993" t="s">
        <v>43866</v>
      </c>
      <c r="C15993">
        <v>9.5007159766300003E-2</v>
      </c>
      <c r="D15993">
        <v>0.99998259862799999</v>
      </c>
      <c r="E15993">
        <v>0</v>
      </c>
    </row>
    <row r="15994" spans="1:5">
      <c r="A15994" t="s">
        <v>43860</v>
      </c>
      <c r="B15994" t="s">
        <v>43867</v>
      </c>
      <c r="C15994">
        <v>0.12551327390799999</v>
      </c>
      <c r="D15994">
        <v>0.99998259862799999</v>
      </c>
      <c r="E15994">
        <v>0</v>
      </c>
    </row>
    <row r="15995" spans="1:5">
      <c r="A15995" t="s">
        <v>43860</v>
      </c>
      <c r="B15995" t="s">
        <v>43868</v>
      </c>
      <c r="C15995">
        <f>0.00673514536745</f>
        <v>6.7351453674499998E-3</v>
      </c>
      <c r="D15995">
        <v>0.99998259862799999</v>
      </c>
      <c r="E15995">
        <v>0</v>
      </c>
    </row>
    <row r="15996" spans="1:5">
      <c r="A15996" t="s">
        <v>43860</v>
      </c>
      <c r="B15996" t="s">
        <v>43869</v>
      </c>
      <c r="C15996">
        <v>0</v>
      </c>
      <c r="D15996">
        <v>0.99998259862799999</v>
      </c>
      <c r="E15996">
        <v>0</v>
      </c>
    </row>
    <row r="15997" spans="1:5">
      <c r="A15997" t="s">
        <v>43860</v>
      </c>
      <c r="B15997" t="s">
        <v>43870</v>
      </c>
      <c r="C15997">
        <v>6.9951453621500001E-2</v>
      </c>
      <c r="D15997">
        <v>0.99998259862799999</v>
      </c>
      <c r="E15997">
        <v>0</v>
      </c>
    </row>
    <row r="15998" spans="1:5">
      <c r="A15998" t="s">
        <v>43871</v>
      </c>
      <c r="B15998" t="s">
        <v>14819</v>
      </c>
      <c r="C15998">
        <v>0.49091356443200002</v>
      </c>
      <c r="D15998">
        <v>0.97719724866299995</v>
      </c>
      <c r="E15998">
        <v>7.4640000000000004</v>
      </c>
    </row>
    <row r="15999" spans="1:5">
      <c r="A15999" t="s">
        <v>43871</v>
      </c>
      <c r="B15999" t="s">
        <v>14817</v>
      </c>
      <c r="C15999">
        <f>0</f>
        <v>0</v>
      </c>
      <c r="D15999">
        <v>0.97719724866299995</v>
      </c>
      <c r="E15999">
        <v>7.4640000000000004</v>
      </c>
    </row>
    <row r="16000" spans="1:5">
      <c r="A16000" t="s">
        <v>43871</v>
      </c>
      <c r="B16000" t="s">
        <v>14820</v>
      </c>
      <c r="C16000">
        <f>0.474767650639</f>
        <v>0.47476765063900001</v>
      </c>
      <c r="D16000">
        <v>0.97719724866299995</v>
      </c>
      <c r="E16000">
        <v>7.4640000000000004</v>
      </c>
    </row>
    <row r="16001" spans="1:5">
      <c r="A16001" t="s">
        <v>43871</v>
      </c>
      <c r="B16001" t="s">
        <v>14830</v>
      </c>
      <c r="C16001">
        <v>0.51964504667199996</v>
      </c>
      <c r="D16001">
        <v>0.97719724866299995</v>
      </c>
      <c r="E16001">
        <v>7.4640000000000004</v>
      </c>
    </row>
    <row r="16002" spans="1:5">
      <c r="A16002" t="s">
        <v>43871</v>
      </c>
      <c r="B16002" t="s">
        <v>14818</v>
      </c>
      <c r="C16002">
        <v>8.2816374724600003E-2</v>
      </c>
      <c r="D16002">
        <v>0.97719724866299995</v>
      </c>
      <c r="E16002">
        <v>7.4640000000000004</v>
      </c>
    </row>
    <row r="16003" spans="1:5">
      <c r="A16003" t="s">
        <v>43871</v>
      </c>
      <c r="B16003" t="s">
        <v>14826</v>
      </c>
      <c r="C16003">
        <v>0.71999363360400004</v>
      </c>
      <c r="D16003">
        <v>0.97719724866299995</v>
      </c>
      <c r="E16003">
        <v>7.4640000000000004</v>
      </c>
    </row>
    <row r="16004" spans="1:5">
      <c r="A16004" t="s">
        <v>43871</v>
      </c>
      <c r="B16004" t="s">
        <v>14822</v>
      </c>
      <c r="C16004">
        <v>0</v>
      </c>
      <c r="D16004">
        <v>0.97719724866299995</v>
      </c>
      <c r="E16004">
        <v>7.4640000000000004</v>
      </c>
    </row>
    <row r="16005" spans="1:5">
      <c r="A16005" t="s">
        <v>43871</v>
      </c>
      <c r="B16005" t="s">
        <v>14827</v>
      </c>
      <c r="C16005">
        <f>0.0163493244708</f>
        <v>1.6349324470800002E-2</v>
      </c>
      <c r="D16005">
        <v>0.97719724866299995</v>
      </c>
      <c r="E16005">
        <v>7.4640000000000004</v>
      </c>
    </row>
    <row r="16006" spans="1:5">
      <c r="A16006" t="s">
        <v>43871</v>
      </c>
      <c r="B16006" t="s">
        <v>14824</v>
      </c>
      <c r="C16006">
        <v>0.13528791041300001</v>
      </c>
      <c r="D16006">
        <v>0.97719724866299995</v>
      </c>
      <c r="E16006">
        <v>7.4640000000000004</v>
      </c>
    </row>
    <row r="16007" spans="1:5">
      <c r="A16007" t="s">
        <v>43872</v>
      </c>
      <c r="B16007" t="s">
        <v>12095</v>
      </c>
      <c r="C16007">
        <v>0</v>
      </c>
      <c r="D16007" t="s">
        <v>106</v>
      </c>
      <c r="E16007">
        <v>12.738</v>
      </c>
    </row>
    <row r="16008" spans="1:5">
      <c r="A16008" t="s">
        <v>43872</v>
      </c>
      <c r="B16008" t="s">
        <v>12087</v>
      </c>
      <c r="C16008">
        <v>0</v>
      </c>
      <c r="D16008" t="s">
        <v>106</v>
      </c>
      <c r="E16008">
        <v>12.738</v>
      </c>
    </row>
    <row r="16009" spans="1:5">
      <c r="A16009" t="s">
        <v>43872</v>
      </c>
      <c r="B16009" t="s">
        <v>12089</v>
      </c>
      <c r="C16009">
        <f>0</f>
        <v>0</v>
      </c>
      <c r="D16009" t="s">
        <v>106</v>
      </c>
      <c r="E16009">
        <v>12.738</v>
      </c>
    </row>
    <row r="16010" spans="1:5">
      <c r="A16010" t="s">
        <v>43872</v>
      </c>
      <c r="B16010" t="s">
        <v>12093</v>
      </c>
      <c r="C16010">
        <f>0</f>
        <v>0</v>
      </c>
      <c r="D16010" t="s">
        <v>106</v>
      </c>
      <c r="E16010">
        <v>12.738</v>
      </c>
    </row>
    <row r="16011" spans="1:5">
      <c r="A16011" t="s">
        <v>43873</v>
      </c>
      <c r="B16011" t="s">
        <v>18352</v>
      </c>
      <c r="C16011">
        <f>0.724492748653</f>
        <v>0.72449274865299995</v>
      </c>
      <c r="D16011">
        <v>0.97892729432799996</v>
      </c>
      <c r="E16011">
        <v>2.802</v>
      </c>
    </row>
    <row r="16012" spans="1:5">
      <c r="A16012" t="s">
        <v>43873</v>
      </c>
      <c r="B16012" t="s">
        <v>18349</v>
      </c>
      <c r="C16012">
        <v>0.11822591696199999</v>
      </c>
      <c r="D16012">
        <v>0.97892729432799996</v>
      </c>
      <c r="E16012">
        <v>2.802</v>
      </c>
    </row>
    <row r="16013" spans="1:5">
      <c r="A16013" t="s">
        <v>43873</v>
      </c>
      <c r="B16013" t="s">
        <v>18357</v>
      </c>
      <c r="C16013">
        <f>0</f>
        <v>0</v>
      </c>
      <c r="D16013">
        <v>0.97892729432799996</v>
      </c>
      <c r="E16013">
        <v>2.802</v>
      </c>
    </row>
    <row r="16014" spans="1:5">
      <c r="A16014" t="s">
        <v>43873</v>
      </c>
      <c r="B16014" t="s">
        <v>18350</v>
      </c>
      <c r="C16014">
        <v>0.10010170413</v>
      </c>
      <c r="D16014">
        <v>0.97892729432799996</v>
      </c>
      <c r="E16014">
        <v>2.802</v>
      </c>
    </row>
    <row r="16015" spans="1:5">
      <c r="A16015" t="s">
        <v>43873</v>
      </c>
      <c r="B16015" t="s">
        <v>18353</v>
      </c>
      <c r="C16015">
        <f>0</f>
        <v>0</v>
      </c>
      <c r="D16015">
        <v>0.97892729432799996</v>
      </c>
      <c r="E16015">
        <v>2.802</v>
      </c>
    </row>
    <row r="16016" spans="1:5">
      <c r="A16016" t="s">
        <v>43873</v>
      </c>
      <c r="B16016" t="s">
        <v>18355</v>
      </c>
      <c r="C16016">
        <v>0.17194877589300001</v>
      </c>
      <c r="D16016">
        <v>0.97892729432799996</v>
      </c>
      <c r="E16016">
        <v>2.802</v>
      </c>
    </row>
    <row r="16017" spans="1:5">
      <c r="A16017" t="s">
        <v>43873</v>
      </c>
      <c r="B16017" t="s">
        <v>18359</v>
      </c>
      <c r="C16017">
        <f>0</f>
        <v>0</v>
      </c>
      <c r="D16017">
        <v>0.97892729432799996</v>
      </c>
      <c r="E16017">
        <v>2.802</v>
      </c>
    </row>
    <row r="16018" spans="1:5">
      <c r="A16018" t="s">
        <v>43873</v>
      </c>
      <c r="B16018" t="s">
        <v>18358</v>
      </c>
      <c r="C16018">
        <v>0</v>
      </c>
      <c r="D16018">
        <v>0.97892729432799996</v>
      </c>
      <c r="E16018">
        <v>2.802</v>
      </c>
    </row>
    <row r="16019" spans="1:5">
      <c r="A16019" t="s">
        <v>43873</v>
      </c>
      <c r="B16019" t="s">
        <v>18356</v>
      </c>
      <c r="C16019">
        <f>0.334758960786</f>
        <v>0.33475896078599998</v>
      </c>
      <c r="D16019">
        <v>0.97892729432799996</v>
      </c>
      <c r="E16019">
        <v>2.802</v>
      </c>
    </row>
    <row r="16020" spans="1:5">
      <c r="A16020" t="s">
        <v>43874</v>
      </c>
      <c r="B16020" t="s">
        <v>16681</v>
      </c>
      <c r="C16020">
        <v>0</v>
      </c>
      <c r="D16020" t="s">
        <v>106</v>
      </c>
      <c r="E16020">
        <v>22.338000000000001</v>
      </c>
    </row>
    <row r="16021" spans="1:5">
      <c r="A16021" t="s">
        <v>43874</v>
      </c>
      <c r="B16021" t="s">
        <v>16685</v>
      </c>
      <c r="C16021">
        <v>0</v>
      </c>
      <c r="D16021" t="s">
        <v>106</v>
      </c>
      <c r="E16021">
        <v>22.338000000000001</v>
      </c>
    </row>
    <row r="16022" spans="1:5">
      <c r="A16022" t="s">
        <v>43874</v>
      </c>
      <c r="B16022" t="s">
        <v>16684</v>
      </c>
      <c r="C16022">
        <v>0</v>
      </c>
      <c r="D16022" t="s">
        <v>106</v>
      </c>
      <c r="E16022">
        <v>22.338000000000001</v>
      </c>
    </row>
    <row r="16023" spans="1:5">
      <c r="A16023" t="s">
        <v>43874</v>
      </c>
      <c r="B16023" t="s">
        <v>16687</v>
      </c>
      <c r="C16023">
        <f>0</f>
        <v>0</v>
      </c>
      <c r="D16023" t="s">
        <v>106</v>
      </c>
      <c r="E16023">
        <v>22.338000000000001</v>
      </c>
    </row>
    <row r="16024" spans="1:5">
      <c r="A16024" t="s">
        <v>43875</v>
      </c>
      <c r="B16024" t="s">
        <v>30086</v>
      </c>
      <c r="C16024">
        <v>0.83136052853499998</v>
      </c>
      <c r="D16024">
        <v>0.870910556206</v>
      </c>
      <c r="E16024">
        <v>23.754000000000001</v>
      </c>
    </row>
    <row r="16025" spans="1:5">
      <c r="A16025" t="s">
        <v>43875</v>
      </c>
      <c r="B16025" t="s">
        <v>30088</v>
      </c>
      <c r="C16025">
        <f>0.177653062492</f>
        <v>0.177653062492</v>
      </c>
      <c r="D16025">
        <v>0.870910556206</v>
      </c>
      <c r="E16025">
        <v>23.754000000000001</v>
      </c>
    </row>
    <row r="16026" spans="1:5">
      <c r="A16026" t="s">
        <v>43876</v>
      </c>
      <c r="B16026" t="s">
        <v>422</v>
      </c>
      <c r="C16026">
        <v>0</v>
      </c>
      <c r="D16026" t="s">
        <v>106</v>
      </c>
      <c r="E16026">
        <v>0.28799999999999998</v>
      </c>
    </row>
    <row r="16027" spans="1:5">
      <c r="A16027" t="s">
        <v>43876</v>
      </c>
      <c r="B16027" t="s">
        <v>421</v>
      </c>
      <c r="C16027">
        <v>0</v>
      </c>
      <c r="D16027" t="s">
        <v>106</v>
      </c>
      <c r="E16027">
        <v>0.28799999999999998</v>
      </c>
    </row>
    <row r="16028" spans="1:5">
      <c r="A16028" t="s">
        <v>43877</v>
      </c>
      <c r="B16028" t="s">
        <v>43878</v>
      </c>
      <c r="C16028">
        <f>0</f>
        <v>0</v>
      </c>
      <c r="D16028">
        <v>0.73091591669800005</v>
      </c>
      <c r="E16028">
        <v>8.1539999999999999</v>
      </c>
    </row>
    <row r="16029" spans="1:5">
      <c r="A16029" t="s">
        <v>43877</v>
      </c>
      <c r="B16029" t="s">
        <v>43879</v>
      </c>
      <c r="C16029">
        <v>0.65250591669799995</v>
      </c>
      <c r="D16029">
        <v>0.73091591669800005</v>
      </c>
      <c r="E16029">
        <v>8.1539999999999999</v>
      </c>
    </row>
    <row r="16030" spans="1:5">
      <c r="A16030" t="s">
        <v>43880</v>
      </c>
      <c r="B16030" t="s">
        <v>43881</v>
      </c>
      <c r="C16030">
        <v>0</v>
      </c>
      <c r="D16030" t="s">
        <v>106</v>
      </c>
      <c r="E16030">
        <v>4.8</v>
      </c>
    </row>
    <row r="16031" spans="1:5">
      <c r="A16031" t="s">
        <v>43880</v>
      </c>
      <c r="B16031" t="s">
        <v>43882</v>
      </c>
      <c r="C16031">
        <f>0</f>
        <v>0</v>
      </c>
      <c r="D16031" t="s">
        <v>106</v>
      </c>
      <c r="E16031">
        <v>4.8</v>
      </c>
    </row>
    <row r="16032" spans="1:5">
      <c r="A16032" t="s">
        <v>43880</v>
      </c>
      <c r="B16032" t="s">
        <v>43883</v>
      </c>
      <c r="C16032">
        <v>0</v>
      </c>
      <c r="D16032" t="s">
        <v>106</v>
      </c>
      <c r="E16032">
        <v>4.8</v>
      </c>
    </row>
    <row r="16033" spans="1:5">
      <c r="A16033" t="s">
        <v>43880</v>
      </c>
      <c r="B16033" t="s">
        <v>43884</v>
      </c>
      <c r="C16033">
        <f>0</f>
        <v>0</v>
      </c>
      <c r="D16033" t="s">
        <v>106</v>
      </c>
      <c r="E16033">
        <v>4.8</v>
      </c>
    </row>
    <row r="16034" spans="1:5">
      <c r="A16034" t="s">
        <v>43880</v>
      </c>
      <c r="B16034" t="s">
        <v>43885</v>
      </c>
      <c r="C16034">
        <f>0</f>
        <v>0</v>
      </c>
      <c r="D16034" t="s">
        <v>106</v>
      </c>
      <c r="E16034">
        <v>4.8</v>
      </c>
    </row>
    <row r="16035" spans="1:5">
      <c r="A16035" t="s">
        <v>43886</v>
      </c>
      <c r="B16035" t="s">
        <v>17910</v>
      </c>
      <c r="C16035">
        <f>0.623417228861</f>
        <v>0.62341722886100004</v>
      </c>
      <c r="D16035">
        <v>0.73643853680100002</v>
      </c>
      <c r="E16035">
        <v>4.5839999999999996</v>
      </c>
    </row>
    <row r="16036" spans="1:5">
      <c r="A16036" t="s">
        <v>43886</v>
      </c>
      <c r="B16036" t="s">
        <v>17912</v>
      </c>
      <c r="C16036">
        <f>0.224973665398</f>
        <v>0.22497366539800001</v>
      </c>
      <c r="D16036">
        <v>0.73643853680100002</v>
      </c>
      <c r="E16036">
        <v>4.5839999999999996</v>
      </c>
    </row>
    <row r="16037" spans="1:5">
      <c r="A16037" t="s">
        <v>43887</v>
      </c>
      <c r="B16037" t="s">
        <v>29616</v>
      </c>
      <c r="C16037">
        <v>0.49399105344499999</v>
      </c>
      <c r="D16037">
        <v>0.97785501630600002</v>
      </c>
      <c r="E16037">
        <v>0</v>
      </c>
    </row>
    <row r="16038" spans="1:5">
      <c r="A16038" t="s">
        <v>43887</v>
      </c>
      <c r="B16038" t="s">
        <v>29619</v>
      </c>
      <c r="C16038">
        <v>0.30908890720400001</v>
      </c>
      <c r="D16038">
        <v>0.97785501630600002</v>
      </c>
      <c r="E16038">
        <v>0</v>
      </c>
    </row>
    <row r="16039" spans="1:5">
      <c r="A16039" t="s">
        <v>43887</v>
      </c>
      <c r="B16039" t="s">
        <v>29618</v>
      </c>
      <c r="C16039">
        <v>0</v>
      </c>
      <c r="D16039">
        <v>0.97785501630600002</v>
      </c>
      <c r="E16039">
        <v>0</v>
      </c>
    </row>
    <row r="16040" spans="1:5">
      <c r="A16040" t="s">
        <v>43887</v>
      </c>
      <c r="B16040" t="s">
        <v>29617</v>
      </c>
      <c r="C16040">
        <v>0.40664638599699998</v>
      </c>
      <c r="D16040">
        <v>0.97785501630600002</v>
      </c>
      <c r="E16040">
        <v>0</v>
      </c>
    </row>
    <row r="16041" spans="1:5">
      <c r="A16041" t="s">
        <v>43888</v>
      </c>
      <c r="B16041" t="s">
        <v>43889</v>
      </c>
      <c r="C16041">
        <f>0.358877247491</f>
        <v>0.35887724749099997</v>
      </c>
      <c r="D16041">
        <v>0.99904771439700002</v>
      </c>
      <c r="E16041">
        <v>19.416</v>
      </c>
    </row>
    <row r="16042" spans="1:5">
      <c r="A16042" t="s">
        <v>43888</v>
      </c>
      <c r="B16042" t="s">
        <v>43890</v>
      </c>
      <c r="C16042">
        <v>0.73172141800199997</v>
      </c>
      <c r="D16042">
        <v>0.99904771439700002</v>
      </c>
      <c r="E16042">
        <v>19.416</v>
      </c>
    </row>
    <row r="16043" spans="1:5">
      <c r="A16043" t="s">
        <v>43888</v>
      </c>
      <c r="B16043" t="s">
        <v>43891</v>
      </c>
      <c r="C16043">
        <v>0.22765131553699999</v>
      </c>
      <c r="D16043">
        <v>0.99904771439700002</v>
      </c>
      <c r="E16043">
        <v>19.416</v>
      </c>
    </row>
    <row r="16044" spans="1:5">
      <c r="A16044" t="s">
        <v>43888</v>
      </c>
      <c r="B16044" t="s">
        <v>43892</v>
      </c>
      <c r="C16044">
        <v>0.97478946806400002</v>
      </c>
      <c r="D16044">
        <v>0.99904771439700002</v>
      </c>
      <c r="E16044">
        <v>19.416</v>
      </c>
    </row>
    <row r="16045" spans="1:5">
      <c r="A16045" t="s">
        <v>43888</v>
      </c>
      <c r="B16045" t="s">
        <v>43893</v>
      </c>
      <c r="C16045">
        <v>0.18231607977</v>
      </c>
      <c r="D16045">
        <v>0.99904771439700002</v>
      </c>
      <c r="E16045">
        <v>19.416</v>
      </c>
    </row>
    <row r="16046" spans="1:5">
      <c r="A16046" t="s">
        <v>43888</v>
      </c>
      <c r="B16046" t="s">
        <v>43894</v>
      </c>
      <c r="C16046">
        <f>0.640654288978</f>
        <v>0.64065428897800003</v>
      </c>
      <c r="D16046">
        <v>0.99904771439700002</v>
      </c>
      <c r="E16046">
        <v>19.416</v>
      </c>
    </row>
    <row r="16047" spans="1:5">
      <c r="A16047" t="s">
        <v>43895</v>
      </c>
      <c r="B16047" t="s">
        <v>17279</v>
      </c>
      <c r="C16047">
        <v>0.73991248083899996</v>
      </c>
      <c r="D16047">
        <v>0.85463177259199996</v>
      </c>
      <c r="E16047">
        <v>3.0539999999999998</v>
      </c>
    </row>
    <row r="16048" spans="1:5">
      <c r="A16048" t="s">
        <v>43895</v>
      </c>
      <c r="B16048" t="s">
        <v>17281</v>
      </c>
      <c r="C16048">
        <v>0.29776334471100002</v>
      </c>
      <c r="D16048">
        <v>0.85463177259199996</v>
      </c>
      <c r="E16048">
        <v>3.0539999999999998</v>
      </c>
    </row>
    <row r="16049" spans="1:5">
      <c r="A16049" t="s">
        <v>43895</v>
      </c>
      <c r="B16049" t="s">
        <v>17280</v>
      </c>
      <c r="C16049">
        <f>0.285188292055</f>
        <v>0.28518829205500001</v>
      </c>
      <c r="D16049">
        <v>0.85463177259199996</v>
      </c>
      <c r="E16049">
        <v>3.0539999999999998</v>
      </c>
    </row>
    <row r="16050" spans="1:5">
      <c r="A16050" t="s">
        <v>43895</v>
      </c>
      <c r="B16050" t="s">
        <v>17285</v>
      </c>
      <c r="C16050">
        <v>0.57528586266000004</v>
      </c>
      <c r="D16050">
        <v>0.85463177259199996</v>
      </c>
      <c r="E16050">
        <v>3.0539999999999998</v>
      </c>
    </row>
    <row r="16051" spans="1:5">
      <c r="A16051" t="s">
        <v>43896</v>
      </c>
      <c r="B16051" t="s">
        <v>43897</v>
      </c>
      <c r="C16051">
        <f>0.356879166846</f>
        <v>0.35687916684600002</v>
      </c>
      <c r="D16051">
        <v>0.90831703764600003</v>
      </c>
      <c r="E16051">
        <v>0</v>
      </c>
    </row>
    <row r="16052" spans="1:5">
      <c r="A16052" t="s">
        <v>43896</v>
      </c>
      <c r="B16052" t="s">
        <v>43898</v>
      </c>
      <c r="C16052">
        <v>1.0415791934700001</v>
      </c>
      <c r="D16052">
        <v>0.90831703764600003</v>
      </c>
      <c r="E16052">
        <v>0</v>
      </c>
    </row>
    <row r="16053" spans="1:5">
      <c r="A16053" t="s">
        <v>43899</v>
      </c>
      <c r="B16053" t="s">
        <v>43900</v>
      </c>
      <c r="C16053">
        <f>0.116312656589</f>
        <v>0.116312656589</v>
      </c>
      <c r="D16053">
        <v>0.622050777582</v>
      </c>
      <c r="E16053">
        <v>24</v>
      </c>
    </row>
    <row r="16054" spans="1:5">
      <c r="A16054" t="s">
        <v>43899</v>
      </c>
      <c r="B16054" t="s">
        <v>43901</v>
      </c>
      <c r="C16054">
        <f>0.447558063979</f>
        <v>0.447558063979</v>
      </c>
      <c r="D16054">
        <v>0.622050777582</v>
      </c>
      <c r="E16054">
        <v>24</v>
      </c>
    </row>
    <row r="16055" spans="1:5">
      <c r="A16055" t="s">
        <v>43902</v>
      </c>
      <c r="B16055" t="s">
        <v>43903</v>
      </c>
      <c r="C16055">
        <v>0.69863656601000002</v>
      </c>
      <c r="D16055">
        <v>0.85864656601</v>
      </c>
      <c r="E16055">
        <v>0</v>
      </c>
    </row>
    <row r="16056" spans="1:5">
      <c r="A16056" t="s">
        <v>43902</v>
      </c>
      <c r="B16056" t="s">
        <v>43904</v>
      </c>
      <c r="C16056">
        <f>0</f>
        <v>0</v>
      </c>
      <c r="D16056">
        <v>0.85864656601</v>
      </c>
      <c r="E16056">
        <v>0</v>
      </c>
    </row>
    <row r="16057" spans="1:5">
      <c r="A16057" t="s">
        <v>43902</v>
      </c>
      <c r="B16057" t="s">
        <v>43905</v>
      </c>
      <c r="C16057">
        <v>0</v>
      </c>
      <c r="D16057">
        <v>0.85864656601</v>
      </c>
      <c r="E16057">
        <v>0</v>
      </c>
    </row>
    <row r="16058" spans="1:5">
      <c r="A16058" t="s">
        <v>43902</v>
      </c>
      <c r="B16058" t="s">
        <v>43906</v>
      </c>
      <c r="C16058">
        <f>0</f>
        <v>0</v>
      </c>
      <c r="D16058">
        <v>0.85864656601</v>
      </c>
      <c r="E16058">
        <v>0</v>
      </c>
    </row>
    <row r="16059" spans="1:5">
      <c r="A16059" t="s">
        <v>43902</v>
      </c>
      <c r="B16059" t="s">
        <v>43907</v>
      </c>
      <c r="C16059">
        <f>0</f>
        <v>0</v>
      </c>
      <c r="D16059">
        <v>0.85864656601</v>
      </c>
      <c r="E16059">
        <v>0</v>
      </c>
    </row>
    <row r="16060" spans="1:5">
      <c r="A16060" t="s">
        <v>43902</v>
      </c>
      <c r="B16060" t="s">
        <v>43908</v>
      </c>
      <c r="C16060">
        <v>0</v>
      </c>
      <c r="D16060">
        <v>0.85864656601</v>
      </c>
      <c r="E16060">
        <v>0</v>
      </c>
    </row>
    <row r="16061" spans="1:5">
      <c r="A16061" t="s">
        <v>43909</v>
      </c>
      <c r="B16061" t="s">
        <v>15742</v>
      </c>
      <c r="C16061">
        <v>0.36568358652100003</v>
      </c>
      <c r="D16061">
        <v>0.488626145362</v>
      </c>
      <c r="E16061">
        <v>11.208</v>
      </c>
    </row>
    <row r="16062" spans="1:5">
      <c r="A16062" t="s">
        <v>43909</v>
      </c>
      <c r="B16062" t="s">
        <v>15743</v>
      </c>
      <c r="C16062">
        <f>0.297730421648</f>
        <v>0.29773042164800001</v>
      </c>
      <c r="D16062">
        <v>0.488626145362</v>
      </c>
      <c r="E16062">
        <v>11.208</v>
      </c>
    </row>
    <row r="16063" spans="1:5">
      <c r="A16063" t="s">
        <v>43910</v>
      </c>
      <c r="B16063" t="s">
        <v>731</v>
      </c>
      <c r="C16063">
        <v>0.25298289092100001</v>
      </c>
      <c r="D16063">
        <v>0.97800351031699995</v>
      </c>
      <c r="E16063">
        <v>8.1539999999999999</v>
      </c>
    </row>
    <row r="16064" spans="1:5">
      <c r="A16064" t="s">
        <v>43910</v>
      </c>
      <c r="B16064" t="s">
        <v>743</v>
      </c>
      <c r="C16064">
        <v>0.35068727870600003</v>
      </c>
      <c r="D16064">
        <v>0.97800351031699995</v>
      </c>
      <c r="E16064">
        <v>8.1539999999999999</v>
      </c>
    </row>
    <row r="16065" spans="1:5">
      <c r="A16065" t="s">
        <v>43910</v>
      </c>
      <c r="B16065" t="s">
        <v>733</v>
      </c>
      <c r="C16065">
        <f>0.803515993281</f>
        <v>0.80351599328099998</v>
      </c>
      <c r="D16065">
        <v>0.97800351031699995</v>
      </c>
      <c r="E16065">
        <v>8.1539999999999999</v>
      </c>
    </row>
    <row r="16066" spans="1:5">
      <c r="A16066" t="s">
        <v>43910</v>
      </c>
      <c r="B16066" t="s">
        <v>740</v>
      </c>
      <c r="C16066">
        <f>0.0890733835684</f>
        <v>8.90733835684E-2</v>
      </c>
      <c r="D16066">
        <v>0.97800351031699995</v>
      </c>
      <c r="E16066">
        <v>8.1539999999999999</v>
      </c>
    </row>
    <row r="16067" spans="1:5">
      <c r="A16067" t="s">
        <v>43911</v>
      </c>
      <c r="B16067" t="s">
        <v>5523</v>
      </c>
      <c r="C16067">
        <v>0</v>
      </c>
      <c r="D16067" t="s">
        <v>106</v>
      </c>
      <c r="E16067">
        <v>24</v>
      </c>
    </row>
    <row r="16068" spans="1:5">
      <c r="A16068" t="s">
        <v>43911</v>
      </c>
      <c r="B16068" t="s">
        <v>5522</v>
      </c>
      <c r="C16068">
        <v>0</v>
      </c>
      <c r="D16068" t="s">
        <v>106</v>
      </c>
      <c r="E16068">
        <v>24</v>
      </c>
    </row>
    <row r="16069" spans="1:5">
      <c r="A16069" t="s">
        <v>43911</v>
      </c>
      <c r="B16069" t="s">
        <v>5528</v>
      </c>
      <c r="C16069">
        <v>0</v>
      </c>
      <c r="D16069" t="s">
        <v>106</v>
      </c>
      <c r="E16069">
        <v>24</v>
      </c>
    </row>
    <row r="16070" spans="1:5">
      <c r="A16070" t="s">
        <v>43911</v>
      </c>
      <c r="B16070" t="s">
        <v>5525</v>
      </c>
      <c r="C16070">
        <v>0</v>
      </c>
      <c r="D16070" t="s">
        <v>106</v>
      </c>
      <c r="E16070">
        <v>24</v>
      </c>
    </row>
    <row r="16071" spans="1:5">
      <c r="A16071" t="s">
        <v>43911</v>
      </c>
      <c r="B16071" t="s">
        <v>5527</v>
      </c>
      <c r="C16071">
        <v>0</v>
      </c>
      <c r="D16071" t="s">
        <v>106</v>
      </c>
      <c r="E16071">
        <v>24</v>
      </c>
    </row>
    <row r="16072" spans="1:5">
      <c r="A16072" t="s">
        <v>43911</v>
      </c>
      <c r="B16072" t="s">
        <v>5529</v>
      </c>
      <c r="C16072">
        <v>0</v>
      </c>
      <c r="D16072" t="s">
        <v>106</v>
      </c>
      <c r="E16072">
        <v>24</v>
      </c>
    </row>
    <row r="16073" spans="1:5">
      <c r="A16073" t="s">
        <v>43911</v>
      </c>
      <c r="B16073" t="s">
        <v>5526</v>
      </c>
      <c r="C16073">
        <v>0</v>
      </c>
      <c r="D16073" t="s">
        <v>106</v>
      </c>
      <c r="E16073">
        <v>24</v>
      </c>
    </row>
    <row r="16074" spans="1:5">
      <c r="A16074" t="s">
        <v>43912</v>
      </c>
      <c r="B16074" t="s">
        <v>4295</v>
      </c>
      <c r="C16074">
        <v>0</v>
      </c>
      <c r="D16074">
        <v>0.74069228472299997</v>
      </c>
      <c r="E16074">
        <v>1.3919999999999999</v>
      </c>
    </row>
    <row r="16075" spans="1:5">
      <c r="A16075" t="s">
        <v>43912</v>
      </c>
      <c r="B16075" t="s">
        <v>4296</v>
      </c>
      <c r="C16075">
        <f>0.638282284723</f>
        <v>0.63828228472299997</v>
      </c>
      <c r="D16075">
        <v>0.74069228472299997</v>
      </c>
      <c r="E16075">
        <v>1.3919999999999999</v>
      </c>
    </row>
    <row r="16076" spans="1:5">
      <c r="A16076" t="s">
        <v>43913</v>
      </c>
      <c r="B16076" t="s">
        <v>11570</v>
      </c>
      <c r="C16076">
        <v>0.55340731869500004</v>
      </c>
      <c r="D16076">
        <v>0.96226499256800002</v>
      </c>
      <c r="E16076">
        <v>0.28799999999999998</v>
      </c>
    </row>
    <row r="16077" spans="1:5">
      <c r="A16077" t="s">
        <v>43913</v>
      </c>
      <c r="B16077" t="s">
        <v>11569</v>
      </c>
      <c r="C16077">
        <f>0.887557379869</f>
        <v>0.88755737986899996</v>
      </c>
      <c r="D16077">
        <v>0.96226499256800002</v>
      </c>
      <c r="E16077">
        <v>0.28799999999999998</v>
      </c>
    </row>
    <row r="16078" spans="1:5">
      <c r="A16078" t="s">
        <v>43913</v>
      </c>
      <c r="B16078" t="s">
        <v>11565</v>
      </c>
      <c r="C16078">
        <v>0</v>
      </c>
      <c r="D16078">
        <v>0.96226499256800002</v>
      </c>
      <c r="E16078">
        <v>0.28799999999999998</v>
      </c>
    </row>
    <row r="16079" spans="1:5">
      <c r="A16079" t="s">
        <v>43913</v>
      </c>
      <c r="B16079" t="s">
        <v>11566</v>
      </c>
      <c r="C16079">
        <f>0</f>
        <v>0</v>
      </c>
      <c r="D16079">
        <v>0.96226499256800002</v>
      </c>
      <c r="E16079">
        <v>0.28799999999999998</v>
      </c>
    </row>
    <row r="16080" spans="1:5">
      <c r="A16080" t="s">
        <v>43914</v>
      </c>
      <c r="B16080" t="s">
        <v>43915</v>
      </c>
      <c r="C16080">
        <f>0</f>
        <v>0</v>
      </c>
      <c r="D16080" t="s">
        <v>106</v>
      </c>
      <c r="E16080">
        <v>1.224</v>
      </c>
    </row>
    <row r="16081" spans="1:5">
      <c r="A16081" t="s">
        <v>43914</v>
      </c>
      <c r="B16081" t="s">
        <v>43916</v>
      </c>
      <c r="C16081">
        <v>0</v>
      </c>
      <c r="D16081" t="s">
        <v>106</v>
      </c>
      <c r="E16081">
        <v>1.224</v>
      </c>
    </row>
    <row r="16082" spans="1:5">
      <c r="A16082" t="s">
        <v>43914</v>
      </c>
      <c r="B16082" t="s">
        <v>43917</v>
      </c>
      <c r="C16082">
        <f>0</f>
        <v>0</v>
      </c>
      <c r="D16082" t="s">
        <v>106</v>
      </c>
      <c r="E16082">
        <v>1.224</v>
      </c>
    </row>
    <row r="16083" spans="1:5">
      <c r="A16083" t="s">
        <v>43914</v>
      </c>
      <c r="B16083" t="s">
        <v>43918</v>
      </c>
      <c r="C16083">
        <f>0</f>
        <v>0</v>
      </c>
      <c r="D16083" t="s">
        <v>106</v>
      </c>
      <c r="E16083">
        <v>1.224</v>
      </c>
    </row>
    <row r="16084" spans="1:5">
      <c r="A16084" t="s">
        <v>43919</v>
      </c>
      <c r="B16084" t="s">
        <v>9881</v>
      </c>
      <c r="C16084">
        <f>0</f>
        <v>0</v>
      </c>
      <c r="D16084" t="s">
        <v>106</v>
      </c>
      <c r="E16084">
        <v>23.754000000000001</v>
      </c>
    </row>
    <row r="16085" spans="1:5">
      <c r="A16085" t="s">
        <v>43919</v>
      </c>
      <c r="B16085" t="s">
        <v>9888</v>
      </c>
      <c r="C16085">
        <v>0</v>
      </c>
      <c r="D16085" t="s">
        <v>106</v>
      </c>
      <c r="E16085">
        <v>23.754000000000001</v>
      </c>
    </row>
    <row r="16086" spans="1:5">
      <c r="A16086" t="s">
        <v>43919</v>
      </c>
      <c r="B16086" t="s">
        <v>9885</v>
      </c>
      <c r="C16086">
        <v>0</v>
      </c>
      <c r="D16086" t="s">
        <v>106</v>
      </c>
      <c r="E16086">
        <v>23.754000000000001</v>
      </c>
    </row>
    <row r="16087" spans="1:5">
      <c r="A16087" t="s">
        <v>43919</v>
      </c>
      <c r="B16087" t="s">
        <v>9884</v>
      </c>
      <c r="C16087">
        <f>0</f>
        <v>0</v>
      </c>
      <c r="D16087" t="s">
        <v>106</v>
      </c>
      <c r="E16087">
        <v>23.754000000000001</v>
      </c>
    </row>
    <row r="16088" spans="1:5">
      <c r="A16088" t="s">
        <v>43919</v>
      </c>
      <c r="B16088" t="s">
        <v>9889</v>
      </c>
      <c r="C16088">
        <v>0</v>
      </c>
      <c r="D16088" t="s">
        <v>106</v>
      </c>
      <c r="E16088">
        <v>23.754000000000001</v>
      </c>
    </row>
    <row r="16089" spans="1:5">
      <c r="A16089" t="s">
        <v>43919</v>
      </c>
      <c r="B16089" t="s">
        <v>9886</v>
      </c>
      <c r="C16089">
        <v>0</v>
      </c>
      <c r="D16089" t="s">
        <v>106</v>
      </c>
      <c r="E16089">
        <v>23.754000000000001</v>
      </c>
    </row>
    <row r="16090" spans="1:5">
      <c r="A16090" t="s">
        <v>43920</v>
      </c>
      <c r="B16090" t="s">
        <v>4419</v>
      </c>
      <c r="C16090">
        <f>0.515757531988</f>
        <v>0.51575753198800001</v>
      </c>
      <c r="D16090">
        <v>0.999996021846</v>
      </c>
      <c r="E16090">
        <v>7.0679999999999996</v>
      </c>
    </row>
    <row r="16091" spans="1:5">
      <c r="A16091" t="s">
        <v>43920</v>
      </c>
      <c r="B16091" t="s">
        <v>4418</v>
      </c>
      <c r="C16091">
        <f>0.28272794601</f>
        <v>0.28272794601000001</v>
      </c>
      <c r="D16091">
        <v>0.999996021846</v>
      </c>
      <c r="E16091">
        <v>7.0679999999999996</v>
      </c>
    </row>
    <row r="16092" spans="1:5">
      <c r="A16092" t="s">
        <v>43920</v>
      </c>
      <c r="B16092" t="s">
        <v>4422</v>
      </c>
      <c r="C16092">
        <f>0.27009082736</f>
        <v>0.27009082736000001</v>
      </c>
      <c r="D16092">
        <v>0.999996021846</v>
      </c>
      <c r="E16092">
        <v>7.0679999999999996</v>
      </c>
    </row>
    <row r="16093" spans="1:5">
      <c r="A16093" t="s">
        <v>43920</v>
      </c>
      <c r="B16093" t="s">
        <v>4420</v>
      </c>
      <c r="C16093">
        <v>0.63616741270300003</v>
      </c>
      <c r="D16093">
        <v>0.999996021846</v>
      </c>
      <c r="E16093">
        <v>7.0679999999999996</v>
      </c>
    </row>
    <row r="16094" spans="1:5">
      <c r="A16094" t="s">
        <v>43920</v>
      </c>
      <c r="B16094" t="s">
        <v>4415</v>
      </c>
      <c r="C16094">
        <f>0.336592471221</f>
        <v>0.336592471221</v>
      </c>
      <c r="D16094">
        <v>0.999996021846</v>
      </c>
      <c r="E16094">
        <v>7.0679999999999996</v>
      </c>
    </row>
    <row r="16095" spans="1:5">
      <c r="A16095" t="s">
        <v>43920</v>
      </c>
      <c r="B16095" t="s">
        <v>4423</v>
      </c>
      <c r="C16095">
        <v>0.35328941967400002</v>
      </c>
      <c r="D16095">
        <v>0.999996021846</v>
      </c>
      <c r="E16095">
        <v>7.0679999999999996</v>
      </c>
    </row>
    <row r="16096" spans="1:5">
      <c r="A16096" t="s">
        <v>43920</v>
      </c>
      <c r="B16096" t="s">
        <v>4424</v>
      </c>
      <c r="C16096">
        <f>0.429916878039</f>
        <v>0.42991687803900003</v>
      </c>
      <c r="D16096">
        <v>0.999996021846</v>
      </c>
      <c r="E16096">
        <v>7.0679999999999996</v>
      </c>
    </row>
    <row r="16097" spans="1:5">
      <c r="A16097" t="s">
        <v>43920</v>
      </c>
      <c r="B16097" t="s">
        <v>4414</v>
      </c>
      <c r="C16097">
        <v>1.18607158414</v>
      </c>
      <c r="D16097">
        <v>0.999996021846</v>
      </c>
      <c r="E16097">
        <v>7.0679999999999996</v>
      </c>
    </row>
    <row r="16098" spans="1:5">
      <c r="A16098" t="s">
        <v>43921</v>
      </c>
      <c r="B16098" t="s">
        <v>43922</v>
      </c>
      <c r="C16098">
        <f>0.603374176382</f>
        <v>0.60337417638199997</v>
      </c>
      <c r="D16098">
        <v>0.76338417638199996</v>
      </c>
      <c r="E16098">
        <v>24</v>
      </c>
    </row>
    <row r="16099" spans="1:5">
      <c r="A16099" t="s">
        <v>43921</v>
      </c>
      <c r="B16099" t="s">
        <v>43923</v>
      </c>
      <c r="C16099">
        <v>0</v>
      </c>
      <c r="D16099">
        <v>0.76338417638199996</v>
      </c>
      <c r="E16099">
        <v>24</v>
      </c>
    </row>
    <row r="16100" spans="1:5">
      <c r="A16100" t="s">
        <v>43921</v>
      </c>
      <c r="B16100" t="s">
        <v>43924</v>
      </c>
      <c r="C16100">
        <v>0</v>
      </c>
      <c r="D16100">
        <v>0.76338417638199996</v>
      </c>
      <c r="E16100">
        <v>24</v>
      </c>
    </row>
    <row r="16101" spans="1:5">
      <c r="A16101" t="s">
        <v>43925</v>
      </c>
      <c r="B16101" t="s">
        <v>9847</v>
      </c>
      <c r="C16101">
        <v>0</v>
      </c>
      <c r="D16101" t="s">
        <v>106</v>
      </c>
      <c r="E16101">
        <v>23.754000000000001</v>
      </c>
    </row>
    <row r="16102" spans="1:5">
      <c r="A16102" t="s">
        <v>43925</v>
      </c>
      <c r="B16102" t="s">
        <v>9845</v>
      </c>
      <c r="C16102">
        <v>0</v>
      </c>
      <c r="D16102" t="s">
        <v>106</v>
      </c>
      <c r="E16102">
        <v>23.754000000000001</v>
      </c>
    </row>
    <row r="16103" spans="1:5">
      <c r="A16103" t="s">
        <v>43925</v>
      </c>
      <c r="B16103" t="s">
        <v>9846</v>
      </c>
      <c r="C16103">
        <f>0</f>
        <v>0</v>
      </c>
      <c r="D16103" t="s">
        <v>106</v>
      </c>
      <c r="E16103">
        <v>23.754000000000001</v>
      </c>
    </row>
    <row r="16104" spans="1:5">
      <c r="A16104" t="s">
        <v>43925</v>
      </c>
      <c r="B16104" t="s">
        <v>9843</v>
      </c>
      <c r="C16104">
        <v>0</v>
      </c>
      <c r="D16104" t="s">
        <v>106</v>
      </c>
      <c r="E16104">
        <v>23.754000000000001</v>
      </c>
    </row>
    <row r="16105" spans="1:5">
      <c r="A16105" t="s">
        <v>43925</v>
      </c>
      <c r="B16105" t="s">
        <v>9842</v>
      </c>
      <c r="C16105">
        <f>0</f>
        <v>0</v>
      </c>
      <c r="D16105" t="s">
        <v>106</v>
      </c>
      <c r="E16105">
        <v>23.754000000000001</v>
      </c>
    </row>
    <row r="16106" spans="1:5">
      <c r="A16106" t="s">
        <v>43926</v>
      </c>
      <c r="B16106" t="s">
        <v>2221</v>
      </c>
      <c r="C16106">
        <f>0</f>
        <v>0</v>
      </c>
      <c r="D16106">
        <v>0.61625355765599998</v>
      </c>
      <c r="E16106">
        <v>1.278</v>
      </c>
    </row>
    <row r="16107" spans="1:5">
      <c r="A16107" t="s">
        <v>43926</v>
      </c>
      <c r="B16107" t="s">
        <v>2227</v>
      </c>
      <c r="C16107">
        <f>0</f>
        <v>0</v>
      </c>
      <c r="D16107">
        <v>0.61625355765599998</v>
      </c>
      <c r="E16107">
        <v>1.278</v>
      </c>
    </row>
    <row r="16108" spans="1:5">
      <c r="A16108" t="s">
        <v>43926</v>
      </c>
      <c r="B16108" t="s">
        <v>2224</v>
      </c>
      <c r="C16108">
        <v>0</v>
      </c>
      <c r="D16108">
        <v>0.61625355765599998</v>
      </c>
      <c r="E16108">
        <v>1.278</v>
      </c>
    </row>
    <row r="16109" spans="1:5">
      <c r="A16109" t="s">
        <v>43926</v>
      </c>
      <c r="B16109" t="s">
        <v>2223</v>
      </c>
      <c r="C16109">
        <f>0</f>
        <v>0</v>
      </c>
      <c r="D16109">
        <v>0.61625355765599998</v>
      </c>
      <c r="E16109">
        <v>1.278</v>
      </c>
    </row>
    <row r="16110" spans="1:5">
      <c r="A16110" t="s">
        <v>43926</v>
      </c>
      <c r="B16110" t="s">
        <v>2225</v>
      </c>
      <c r="C16110">
        <f>0</f>
        <v>0</v>
      </c>
      <c r="D16110">
        <v>0.61625355765599998</v>
      </c>
      <c r="E16110">
        <v>1.278</v>
      </c>
    </row>
    <row r="16111" spans="1:5">
      <c r="A16111" t="s">
        <v>43926</v>
      </c>
      <c r="B16111" t="s">
        <v>2222</v>
      </c>
      <c r="C16111">
        <f>0</f>
        <v>0</v>
      </c>
      <c r="D16111">
        <v>0.61625355765599998</v>
      </c>
      <c r="E16111">
        <v>1.278</v>
      </c>
    </row>
    <row r="16112" spans="1:5">
      <c r="A16112" t="s">
        <v>43926</v>
      </c>
      <c r="B16112" t="s">
        <v>2220</v>
      </c>
      <c r="C16112">
        <f>0</f>
        <v>0</v>
      </c>
      <c r="D16112">
        <v>0.61625355765599998</v>
      </c>
      <c r="E16112">
        <v>1.278</v>
      </c>
    </row>
    <row r="16113" spans="1:5">
      <c r="A16113" t="s">
        <v>43926</v>
      </c>
      <c r="B16113" t="s">
        <v>2226</v>
      </c>
      <c r="C16113">
        <v>0.30264355765599998</v>
      </c>
      <c r="D16113">
        <v>0.61625355765599998</v>
      </c>
      <c r="E16113">
        <v>1.278</v>
      </c>
    </row>
    <row r="16114" spans="1:5">
      <c r="A16114" t="s">
        <v>43926</v>
      </c>
      <c r="B16114" t="s">
        <v>2219</v>
      </c>
      <c r="C16114">
        <f>0</f>
        <v>0</v>
      </c>
      <c r="D16114">
        <v>0.61625355765599998</v>
      </c>
      <c r="E16114">
        <v>1.278</v>
      </c>
    </row>
    <row r="16115" spans="1:5">
      <c r="A16115" t="s">
        <v>43927</v>
      </c>
      <c r="B16115" t="s">
        <v>43928</v>
      </c>
      <c r="C16115">
        <f>0.856044655244</f>
        <v>0.85604465524399997</v>
      </c>
      <c r="D16115">
        <v>0.99999792426199996</v>
      </c>
      <c r="E16115">
        <v>4.2720000000000002</v>
      </c>
    </row>
    <row r="16116" spans="1:5">
      <c r="A16116" t="s">
        <v>43927</v>
      </c>
      <c r="B16116" t="s">
        <v>43929</v>
      </c>
      <c r="C16116">
        <v>0.32093314867200001</v>
      </c>
      <c r="D16116">
        <v>0.99999792426199996</v>
      </c>
      <c r="E16116">
        <v>4.2720000000000002</v>
      </c>
    </row>
    <row r="16117" spans="1:5">
      <c r="A16117" t="s">
        <v>43927</v>
      </c>
      <c r="B16117" t="s">
        <v>43930</v>
      </c>
      <c r="C16117">
        <v>0.45570245145900001</v>
      </c>
      <c r="D16117">
        <v>0.99999792426199996</v>
      </c>
      <c r="E16117">
        <v>4.2720000000000002</v>
      </c>
    </row>
    <row r="16118" spans="1:5">
      <c r="A16118" t="s">
        <v>43927</v>
      </c>
      <c r="B16118" t="s">
        <v>43931</v>
      </c>
      <c r="C16118">
        <f>0.86657395222</f>
        <v>0.86657395222</v>
      </c>
      <c r="D16118">
        <v>0.99999792426199996</v>
      </c>
      <c r="E16118">
        <v>4.2720000000000002</v>
      </c>
    </row>
    <row r="16119" spans="1:5">
      <c r="A16119" t="s">
        <v>43927</v>
      </c>
      <c r="B16119" t="s">
        <v>43932</v>
      </c>
      <c r="C16119">
        <f>0.0411065154338</f>
        <v>4.1106515433799999E-2</v>
      </c>
      <c r="D16119">
        <v>0.99999792426199996</v>
      </c>
      <c r="E16119">
        <v>4.2720000000000002</v>
      </c>
    </row>
    <row r="16120" spans="1:5">
      <c r="A16120" t="s">
        <v>43927</v>
      </c>
      <c r="B16120" t="s">
        <v>43933</v>
      </c>
      <c r="C16120">
        <f>0.826454755648</f>
        <v>0.82645475564799997</v>
      </c>
      <c r="D16120">
        <v>0.99999792426199996</v>
      </c>
      <c r="E16120">
        <v>4.2720000000000002</v>
      </c>
    </row>
    <row r="16121" spans="1:5">
      <c r="A16121" t="s">
        <v>43927</v>
      </c>
      <c r="B16121" t="s">
        <v>43934</v>
      </c>
      <c r="C16121">
        <v>1.4981870000999999</v>
      </c>
      <c r="D16121">
        <v>0.99999792426199996</v>
      </c>
      <c r="E16121">
        <v>4.2720000000000002</v>
      </c>
    </row>
    <row r="16122" spans="1:5">
      <c r="A16122" t="s">
        <v>43935</v>
      </c>
      <c r="B16122" t="s">
        <v>11459</v>
      </c>
      <c r="C16122">
        <v>0</v>
      </c>
      <c r="D16122">
        <v>0.930035341244</v>
      </c>
      <c r="E16122">
        <v>23.754000000000001</v>
      </c>
    </row>
    <row r="16123" spans="1:5">
      <c r="A16123" t="s">
        <v>43935</v>
      </c>
      <c r="B16123" t="s">
        <v>11462</v>
      </c>
      <c r="C16123">
        <v>0</v>
      </c>
      <c r="D16123">
        <v>0.930035341244</v>
      </c>
      <c r="E16123">
        <v>23.754000000000001</v>
      </c>
    </row>
    <row r="16124" spans="1:5">
      <c r="A16124" t="s">
        <v>43935</v>
      </c>
      <c r="B16124" t="s">
        <v>11461</v>
      </c>
      <c r="C16124">
        <v>0</v>
      </c>
      <c r="D16124">
        <v>0.930035341244</v>
      </c>
      <c r="E16124">
        <v>23.754000000000001</v>
      </c>
    </row>
    <row r="16125" spans="1:5">
      <c r="A16125" t="s">
        <v>43935</v>
      </c>
      <c r="B16125" t="s">
        <v>11458</v>
      </c>
      <c r="C16125">
        <v>0</v>
      </c>
      <c r="D16125">
        <v>0.930035341244</v>
      </c>
      <c r="E16125">
        <v>23.754000000000001</v>
      </c>
    </row>
    <row r="16126" spans="1:5">
      <c r="A16126" t="s">
        <v>43935</v>
      </c>
      <c r="B16126" t="s">
        <v>11460</v>
      </c>
      <c r="C16126">
        <v>0</v>
      </c>
      <c r="D16126">
        <v>0.930035341244</v>
      </c>
      <c r="E16126">
        <v>23.754000000000001</v>
      </c>
    </row>
    <row r="16127" spans="1:5">
      <c r="A16127" t="s">
        <v>43935</v>
      </c>
      <c r="B16127" t="s">
        <v>11463</v>
      </c>
      <c r="C16127">
        <v>0.17036013336700001</v>
      </c>
      <c r="D16127">
        <v>0.930035341244</v>
      </c>
      <c r="E16127">
        <v>23.754000000000001</v>
      </c>
    </row>
    <row r="16128" spans="1:5">
      <c r="A16128" t="s">
        <v>43935</v>
      </c>
      <c r="B16128" t="s">
        <v>11466</v>
      </c>
      <c r="C16128">
        <v>0</v>
      </c>
      <c r="D16128">
        <v>0.930035341244</v>
      </c>
      <c r="E16128">
        <v>23.754000000000001</v>
      </c>
    </row>
    <row r="16129" spans="1:5">
      <c r="A16129" t="s">
        <v>43935</v>
      </c>
      <c r="B16129" t="s">
        <v>11465</v>
      </c>
      <c r="C16129">
        <v>0</v>
      </c>
      <c r="D16129">
        <v>0.930035341244</v>
      </c>
      <c r="E16129">
        <v>23.754000000000001</v>
      </c>
    </row>
    <row r="16130" spans="1:5">
      <c r="A16130" t="s">
        <v>43935</v>
      </c>
      <c r="B16130" t="s">
        <v>11468</v>
      </c>
      <c r="C16130">
        <f>0.662048559096</f>
        <v>0.66204855909600002</v>
      </c>
      <c r="D16130">
        <v>0.930035341244</v>
      </c>
      <c r="E16130">
        <v>23.754000000000001</v>
      </c>
    </row>
    <row r="16131" spans="1:5">
      <c r="A16131" t="s">
        <v>43935</v>
      </c>
      <c r="B16131" t="s">
        <v>11467</v>
      </c>
      <c r="C16131">
        <v>0.17082198304599999</v>
      </c>
      <c r="D16131">
        <v>0.930035341244</v>
      </c>
      <c r="E16131">
        <v>23.754000000000001</v>
      </c>
    </row>
    <row r="16132" spans="1:5">
      <c r="A16132" t="s">
        <v>43936</v>
      </c>
      <c r="B16132" t="s">
        <v>43937</v>
      </c>
      <c r="C16132">
        <f>0</f>
        <v>0</v>
      </c>
      <c r="D16132" t="s">
        <v>106</v>
      </c>
      <c r="E16132">
        <v>5.58</v>
      </c>
    </row>
    <row r="16133" spans="1:5">
      <c r="A16133" t="s">
        <v>43936</v>
      </c>
      <c r="B16133" t="s">
        <v>43938</v>
      </c>
      <c r="C16133">
        <f>0</f>
        <v>0</v>
      </c>
      <c r="D16133" t="s">
        <v>106</v>
      </c>
      <c r="E16133">
        <v>5.58</v>
      </c>
    </row>
    <row r="16134" spans="1:5">
      <c r="A16134" t="s">
        <v>43936</v>
      </c>
      <c r="B16134" t="s">
        <v>43939</v>
      </c>
      <c r="C16134">
        <f>0</f>
        <v>0</v>
      </c>
      <c r="D16134" t="s">
        <v>106</v>
      </c>
      <c r="E16134">
        <v>5.58</v>
      </c>
    </row>
    <row r="16135" spans="1:5">
      <c r="A16135" t="s">
        <v>43940</v>
      </c>
      <c r="B16135" t="s">
        <v>17679</v>
      </c>
      <c r="C16135">
        <f>0</f>
        <v>0</v>
      </c>
      <c r="D16135" t="s">
        <v>106</v>
      </c>
      <c r="E16135">
        <v>9.0180000000000007</v>
      </c>
    </row>
    <row r="16136" spans="1:5">
      <c r="A16136" t="s">
        <v>43940</v>
      </c>
      <c r="B16136" t="s">
        <v>17681</v>
      </c>
      <c r="C16136">
        <v>0</v>
      </c>
      <c r="D16136" t="s">
        <v>106</v>
      </c>
      <c r="E16136">
        <v>9.0180000000000007</v>
      </c>
    </row>
    <row r="16137" spans="1:5">
      <c r="A16137" t="s">
        <v>43941</v>
      </c>
      <c r="B16137" t="s">
        <v>22363</v>
      </c>
      <c r="C16137">
        <v>0.59633295775100004</v>
      </c>
      <c r="D16137">
        <v>0.91282269011700001</v>
      </c>
      <c r="E16137">
        <v>1.224</v>
      </c>
    </row>
    <row r="16138" spans="1:5">
      <c r="A16138" t="s">
        <v>43941</v>
      </c>
      <c r="B16138" t="s">
        <v>22374</v>
      </c>
      <c r="C16138">
        <v>0</v>
      </c>
      <c r="D16138">
        <v>0.91282269011700001</v>
      </c>
      <c r="E16138">
        <v>1.224</v>
      </c>
    </row>
    <row r="16139" spans="1:5">
      <c r="A16139" t="s">
        <v>43941</v>
      </c>
      <c r="B16139" t="s">
        <v>22375</v>
      </c>
      <c r="C16139">
        <f>0</f>
        <v>0</v>
      </c>
      <c r="D16139">
        <v>0.91282269011700001</v>
      </c>
      <c r="E16139">
        <v>1.224</v>
      </c>
    </row>
    <row r="16140" spans="1:5">
      <c r="A16140" t="s">
        <v>43941</v>
      </c>
      <c r="B16140" t="s">
        <v>22364</v>
      </c>
      <c r="C16140">
        <v>0</v>
      </c>
      <c r="D16140">
        <v>0.91282269011700001</v>
      </c>
      <c r="E16140">
        <v>1.224</v>
      </c>
    </row>
    <row r="16141" spans="1:5">
      <c r="A16141" t="s">
        <v>43941</v>
      </c>
      <c r="B16141" t="s">
        <v>22373</v>
      </c>
      <c r="C16141">
        <f>0.133179084</f>
        <v>0.133179084</v>
      </c>
      <c r="D16141">
        <v>0.91282269011700001</v>
      </c>
      <c r="E16141">
        <v>1.224</v>
      </c>
    </row>
    <row r="16142" spans="1:5">
      <c r="A16142" t="s">
        <v>43941</v>
      </c>
      <c r="B16142" t="s">
        <v>22372</v>
      </c>
      <c r="C16142">
        <f>0</f>
        <v>0</v>
      </c>
      <c r="D16142">
        <v>0.91282269011700001</v>
      </c>
      <c r="E16142">
        <v>1.224</v>
      </c>
    </row>
    <row r="16143" spans="1:5">
      <c r="A16143" t="s">
        <v>43941</v>
      </c>
      <c r="B16143" t="s">
        <v>22367</v>
      </c>
      <c r="C16143">
        <v>0</v>
      </c>
      <c r="D16143">
        <v>0.91282269011700001</v>
      </c>
      <c r="E16143">
        <v>1.224</v>
      </c>
    </row>
    <row r="16144" spans="1:5">
      <c r="A16144" t="s">
        <v>43941</v>
      </c>
      <c r="B16144" t="s">
        <v>22378</v>
      </c>
      <c r="C16144">
        <f>0</f>
        <v>0</v>
      </c>
      <c r="D16144">
        <v>0.91282269011700001</v>
      </c>
      <c r="E16144">
        <v>1.224</v>
      </c>
    </row>
    <row r="16145" spans="1:5">
      <c r="A16145" t="s">
        <v>43941</v>
      </c>
      <c r="B16145" t="s">
        <v>22376</v>
      </c>
      <c r="C16145">
        <f>0.294560969433</f>
        <v>0.29456096943299998</v>
      </c>
      <c r="D16145">
        <v>0.91282269011700001</v>
      </c>
      <c r="E16145">
        <v>1.224</v>
      </c>
    </row>
    <row r="16146" spans="1:5">
      <c r="A16146" t="s">
        <v>43941</v>
      </c>
      <c r="B16146" t="s">
        <v>22379</v>
      </c>
      <c r="C16146">
        <f>0</f>
        <v>0</v>
      </c>
      <c r="D16146">
        <v>0.91282269011700001</v>
      </c>
      <c r="E16146">
        <v>1.224</v>
      </c>
    </row>
    <row r="16147" spans="1:5">
      <c r="A16147" t="s">
        <v>43942</v>
      </c>
      <c r="B16147" t="s">
        <v>43943</v>
      </c>
      <c r="C16147">
        <f>-1.14630038429</f>
        <v>-1.1463003842899999</v>
      </c>
      <c r="D16147">
        <v>0.99592242318500002</v>
      </c>
      <c r="E16147">
        <v>7.0679999999999996</v>
      </c>
    </row>
    <row r="16148" spans="1:5">
      <c r="A16148" t="s">
        <v>43942</v>
      </c>
      <c r="B16148" t="s">
        <v>43944</v>
      </c>
      <c r="C16148">
        <f>0.162140368475</f>
        <v>0.16214036847499999</v>
      </c>
      <c r="D16148">
        <v>0.99592242318500002</v>
      </c>
      <c r="E16148">
        <v>7.0679999999999996</v>
      </c>
    </row>
    <row r="16149" spans="1:5">
      <c r="A16149" t="s">
        <v>43942</v>
      </c>
      <c r="B16149" t="s">
        <v>43945</v>
      </c>
      <c r="C16149">
        <f>0.624213665686</f>
        <v>0.62421366568600001</v>
      </c>
      <c r="D16149">
        <v>0.99592242318500002</v>
      </c>
      <c r="E16149">
        <v>7.0679999999999996</v>
      </c>
    </row>
    <row r="16150" spans="1:5">
      <c r="A16150" t="s">
        <v>43942</v>
      </c>
      <c r="B16150" t="s">
        <v>43946</v>
      </c>
      <c r="C16150">
        <v>1.14460000679</v>
      </c>
      <c r="D16150">
        <v>0.99592242318500002</v>
      </c>
      <c r="E16150">
        <v>7.0679999999999996</v>
      </c>
    </row>
    <row r="16151" spans="1:5">
      <c r="A16151" t="s">
        <v>43942</v>
      </c>
      <c r="B16151" t="s">
        <v>43947</v>
      </c>
      <c r="C16151">
        <v>0.48315769117200003</v>
      </c>
      <c r="D16151">
        <v>0.99592242318500002</v>
      </c>
      <c r="E16151">
        <v>7.0679999999999996</v>
      </c>
    </row>
    <row r="16152" spans="1:5">
      <c r="A16152" t="s">
        <v>43942</v>
      </c>
      <c r="B16152" t="s">
        <v>43948</v>
      </c>
      <c r="C16152">
        <v>0.57612875311400003</v>
      </c>
      <c r="D16152">
        <v>0.99592242318500002</v>
      </c>
      <c r="E16152">
        <v>7.0679999999999996</v>
      </c>
    </row>
    <row r="16153" spans="1:5">
      <c r="A16153" t="s">
        <v>43949</v>
      </c>
      <c r="B16153" t="s">
        <v>16402</v>
      </c>
      <c r="C16153">
        <f>0</f>
        <v>0</v>
      </c>
      <c r="D16153">
        <v>0.84043315003600005</v>
      </c>
      <c r="E16153">
        <v>8.4000000000000005E-2</v>
      </c>
    </row>
    <row r="16154" spans="1:5">
      <c r="A16154" t="s">
        <v>43949</v>
      </c>
      <c r="B16154" t="s">
        <v>16410</v>
      </c>
      <c r="C16154">
        <f>0.517555598217</f>
        <v>0.51755559821700003</v>
      </c>
      <c r="D16154">
        <v>0.84043315003600005</v>
      </c>
      <c r="E16154">
        <v>8.4000000000000005E-2</v>
      </c>
    </row>
    <row r="16155" spans="1:5">
      <c r="A16155" t="s">
        <v>43949</v>
      </c>
      <c r="B16155" t="s">
        <v>16405</v>
      </c>
      <c r="C16155">
        <f>0</f>
        <v>0</v>
      </c>
      <c r="D16155">
        <v>0.84043315003600005</v>
      </c>
      <c r="E16155">
        <v>8.4000000000000005E-2</v>
      </c>
    </row>
    <row r="16156" spans="1:5">
      <c r="A16156" t="s">
        <v>43949</v>
      </c>
      <c r="B16156" t="s">
        <v>16406</v>
      </c>
      <c r="C16156">
        <v>0</v>
      </c>
      <c r="D16156">
        <v>0.84043315003600005</v>
      </c>
      <c r="E16156">
        <v>8.4000000000000005E-2</v>
      </c>
    </row>
    <row r="16157" spans="1:5">
      <c r="A16157" t="s">
        <v>43949</v>
      </c>
      <c r="B16157" t="s">
        <v>43950</v>
      </c>
      <c r="C16157">
        <v>0</v>
      </c>
      <c r="D16157">
        <v>0.84043315003600005</v>
      </c>
      <c r="E16157">
        <v>8.4000000000000005E-2</v>
      </c>
    </row>
    <row r="16158" spans="1:5">
      <c r="A16158" t="s">
        <v>43949</v>
      </c>
      <c r="B16158" t="s">
        <v>43951</v>
      </c>
      <c r="C16158">
        <v>0</v>
      </c>
      <c r="D16158">
        <v>0.84043315003600005</v>
      </c>
      <c r="E16158">
        <v>8.4000000000000005E-2</v>
      </c>
    </row>
    <row r="16159" spans="1:5">
      <c r="A16159" t="s">
        <v>43949</v>
      </c>
      <c r="B16159" t="s">
        <v>16411</v>
      </c>
      <c r="C16159">
        <f>0.072589071138</f>
        <v>7.2589071138000005E-2</v>
      </c>
      <c r="D16159">
        <v>0.84043315003600005</v>
      </c>
      <c r="E16159">
        <v>8.4000000000000005E-2</v>
      </c>
    </row>
    <row r="16160" spans="1:5">
      <c r="A16160" t="s">
        <v>43949</v>
      </c>
      <c r="B16160" t="s">
        <v>16404</v>
      </c>
      <c r="C16160">
        <v>0</v>
      </c>
      <c r="D16160">
        <v>0.84043315003600005</v>
      </c>
      <c r="E16160">
        <v>8.4000000000000005E-2</v>
      </c>
    </row>
    <row r="16161" spans="1:5">
      <c r="A16161" t="s">
        <v>43949</v>
      </c>
      <c r="B16161" t="s">
        <v>16409</v>
      </c>
      <c r="C16161">
        <v>0</v>
      </c>
      <c r="D16161">
        <v>0.84043315003600005</v>
      </c>
      <c r="E16161">
        <v>8.4000000000000005E-2</v>
      </c>
    </row>
    <row r="16162" spans="1:5">
      <c r="A16162" t="s">
        <v>43952</v>
      </c>
      <c r="B16162" t="s">
        <v>5207</v>
      </c>
      <c r="C16162">
        <v>0.79535163772999995</v>
      </c>
      <c r="D16162">
        <v>0.86087619162200002</v>
      </c>
      <c r="E16162">
        <v>10.554</v>
      </c>
    </row>
    <row r="16163" spans="1:5">
      <c r="A16163" t="s">
        <v>43952</v>
      </c>
      <c r="B16163" t="s">
        <v>5204</v>
      </c>
      <c r="C16163">
        <v>0.105195847479</v>
      </c>
      <c r="D16163">
        <v>0.86087619162200002</v>
      </c>
      <c r="E16163">
        <v>10.554</v>
      </c>
    </row>
    <row r="16164" spans="1:5">
      <c r="A16164" t="s">
        <v>43952</v>
      </c>
      <c r="B16164" t="s">
        <v>5206</v>
      </c>
      <c r="C16164">
        <v>8.6359985703399998E-3</v>
      </c>
      <c r="D16164">
        <v>0.86087619162200002</v>
      </c>
      <c r="E16164">
        <v>10.554</v>
      </c>
    </row>
    <row r="16165" spans="1:5">
      <c r="A16165" t="s">
        <v>43953</v>
      </c>
      <c r="B16165" t="s">
        <v>43954</v>
      </c>
      <c r="C16165">
        <f>0.101464700278</f>
        <v>0.101464700278</v>
      </c>
      <c r="D16165">
        <v>0.87244839761500004</v>
      </c>
      <c r="E16165">
        <v>0.40799999999999997</v>
      </c>
    </row>
    <row r="16166" spans="1:5">
      <c r="A16166" t="s">
        <v>43953</v>
      </c>
      <c r="B16166" t="s">
        <v>43955</v>
      </c>
      <c r="C16166">
        <v>0</v>
      </c>
      <c r="D16166">
        <v>0.87244839761500004</v>
      </c>
      <c r="E16166">
        <v>0.40799999999999997</v>
      </c>
    </row>
    <row r="16167" spans="1:5">
      <c r="A16167" t="s">
        <v>43953</v>
      </c>
      <c r="B16167" t="s">
        <v>43956</v>
      </c>
      <c r="C16167">
        <v>0.69803300284900005</v>
      </c>
      <c r="D16167">
        <v>0.87244839761500004</v>
      </c>
      <c r="E16167">
        <v>0.40799999999999997</v>
      </c>
    </row>
    <row r="16168" spans="1:5">
      <c r="A16168" t="s">
        <v>43957</v>
      </c>
      <c r="B16168" t="s">
        <v>1265</v>
      </c>
      <c r="C16168">
        <v>1.14317822519</v>
      </c>
      <c r="D16168">
        <v>0.976852235786</v>
      </c>
      <c r="E16168">
        <v>16.295999999999999</v>
      </c>
    </row>
    <row r="16169" spans="1:5">
      <c r="A16169" t="s">
        <v>43957</v>
      </c>
      <c r="B16169" t="s">
        <v>1269</v>
      </c>
      <c r="C16169">
        <v>2.6764275737999998E-2</v>
      </c>
      <c r="D16169">
        <v>0.976852235786</v>
      </c>
      <c r="E16169">
        <v>16.295999999999999</v>
      </c>
    </row>
    <row r="16170" spans="1:5">
      <c r="A16170" t="s">
        <v>43957</v>
      </c>
      <c r="B16170" t="s">
        <v>1264</v>
      </c>
      <c r="C16170">
        <f>-1.33948605483</f>
        <v>-1.3394860548300001</v>
      </c>
      <c r="D16170">
        <v>0.976852235786</v>
      </c>
      <c r="E16170">
        <v>16.295999999999999</v>
      </c>
    </row>
    <row r="16171" spans="1:5">
      <c r="A16171" t="s">
        <v>43958</v>
      </c>
      <c r="B16171" t="s">
        <v>43959</v>
      </c>
      <c r="C16171">
        <v>1.0158203568899999</v>
      </c>
      <c r="D16171">
        <v>0.99945601902400005</v>
      </c>
      <c r="E16171">
        <v>0.87</v>
      </c>
    </row>
    <row r="16172" spans="1:5">
      <c r="A16172" t="s">
        <v>43958</v>
      </c>
      <c r="B16172" t="s">
        <v>43960</v>
      </c>
      <c r="C16172">
        <v>0.60426759821800002</v>
      </c>
      <c r="D16172">
        <v>0.99945601902400005</v>
      </c>
      <c r="E16172">
        <v>0.87</v>
      </c>
    </row>
    <row r="16173" spans="1:5">
      <c r="A16173" t="s">
        <v>43958</v>
      </c>
      <c r="B16173" t="s">
        <v>43961</v>
      </c>
      <c r="C16173">
        <f>-1.65764256451</f>
        <v>-1.6576425645099999</v>
      </c>
      <c r="D16173">
        <v>0.99945601902400005</v>
      </c>
      <c r="E16173">
        <v>0.87</v>
      </c>
    </row>
    <row r="16174" spans="1:5">
      <c r="A16174" t="s">
        <v>43958</v>
      </c>
      <c r="B16174" t="s">
        <v>43962</v>
      </c>
      <c r="C16174">
        <v>0.78763308147199995</v>
      </c>
      <c r="D16174">
        <v>0.99945601902400005</v>
      </c>
      <c r="E16174">
        <v>0.87</v>
      </c>
    </row>
    <row r="16175" spans="1:5">
      <c r="A16175" t="s">
        <v>43958</v>
      </c>
      <c r="B16175" t="s">
        <v>43963</v>
      </c>
      <c r="C16175">
        <v>0.75988571816799999</v>
      </c>
      <c r="D16175">
        <v>0.99945601902400005</v>
      </c>
      <c r="E16175">
        <v>0.87</v>
      </c>
    </row>
    <row r="16176" spans="1:5">
      <c r="A16176" t="s">
        <v>43958</v>
      </c>
      <c r="B16176" t="s">
        <v>43964</v>
      </c>
      <c r="C16176">
        <v>0.27992775086799998</v>
      </c>
      <c r="D16176">
        <v>0.99945601902400005</v>
      </c>
      <c r="E16176">
        <v>0.87</v>
      </c>
    </row>
    <row r="16177" spans="1:5">
      <c r="A16177" t="s">
        <v>43965</v>
      </c>
      <c r="B16177" t="s">
        <v>43966</v>
      </c>
      <c r="C16177">
        <v>0.43614335945499999</v>
      </c>
      <c r="D16177">
        <v>0.75268792175599997</v>
      </c>
      <c r="E16177">
        <v>9.3179999999999996</v>
      </c>
    </row>
    <row r="16178" spans="1:5">
      <c r="A16178" t="s">
        <v>43965</v>
      </c>
      <c r="B16178" t="s">
        <v>43967</v>
      </c>
      <c r="C16178">
        <v>2.5573485945300001E-2</v>
      </c>
      <c r="D16178">
        <v>0.75268792175599997</v>
      </c>
      <c r="E16178">
        <v>9.3179999999999996</v>
      </c>
    </row>
    <row r="16179" spans="1:5">
      <c r="A16179" t="s">
        <v>43965</v>
      </c>
      <c r="B16179" t="s">
        <v>43968</v>
      </c>
      <c r="C16179">
        <v>0</v>
      </c>
      <c r="D16179">
        <v>0.75268792175599997</v>
      </c>
      <c r="E16179">
        <v>9.3179999999999996</v>
      </c>
    </row>
    <row r="16180" spans="1:5">
      <c r="A16180" t="s">
        <v>43965</v>
      </c>
      <c r="B16180" t="s">
        <v>43969</v>
      </c>
      <c r="C16180">
        <f>0</f>
        <v>0</v>
      </c>
      <c r="D16180">
        <v>0.75268792175599997</v>
      </c>
      <c r="E16180">
        <v>9.3179999999999996</v>
      </c>
    </row>
    <row r="16181" spans="1:5">
      <c r="A16181" t="s">
        <v>43965</v>
      </c>
      <c r="B16181" t="s">
        <v>43970</v>
      </c>
      <c r="C16181">
        <f>0</f>
        <v>0</v>
      </c>
      <c r="D16181">
        <v>0.75268792175599997</v>
      </c>
      <c r="E16181">
        <v>9.3179999999999996</v>
      </c>
    </row>
    <row r="16182" spans="1:5">
      <c r="A16182" t="s">
        <v>43965</v>
      </c>
      <c r="B16182" t="s">
        <v>43971</v>
      </c>
      <c r="C16182">
        <f>0</f>
        <v>0</v>
      </c>
      <c r="D16182">
        <v>0.75268792175599997</v>
      </c>
      <c r="E16182">
        <v>9.3179999999999996</v>
      </c>
    </row>
    <row r="16183" spans="1:5">
      <c r="A16183" t="s">
        <v>43965</v>
      </c>
      <c r="B16183" t="s">
        <v>43972</v>
      </c>
      <c r="C16183">
        <v>0.23082516880699999</v>
      </c>
      <c r="D16183">
        <v>0.75268792175599997</v>
      </c>
      <c r="E16183">
        <v>9.3179999999999996</v>
      </c>
    </row>
    <row r="16184" spans="1:5">
      <c r="A16184" t="s">
        <v>43973</v>
      </c>
      <c r="B16184" t="s">
        <v>28333</v>
      </c>
      <c r="C16184">
        <v>0</v>
      </c>
      <c r="D16184">
        <v>0.74526566246000003</v>
      </c>
      <c r="E16184">
        <v>6.3</v>
      </c>
    </row>
    <row r="16185" spans="1:5">
      <c r="A16185" t="s">
        <v>43973</v>
      </c>
      <c r="B16185" t="s">
        <v>28332</v>
      </c>
      <c r="C16185">
        <v>0.61565566246000003</v>
      </c>
      <c r="D16185">
        <v>0.74526566246000003</v>
      </c>
      <c r="E16185">
        <v>6.3</v>
      </c>
    </row>
    <row r="16186" spans="1:5">
      <c r="A16186" t="s">
        <v>43974</v>
      </c>
      <c r="B16186" t="s">
        <v>19882</v>
      </c>
      <c r="C16186">
        <v>0.37746116278699998</v>
      </c>
      <c r="D16186">
        <v>0.99564264477099995</v>
      </c>
      <c r="E16186">
        <v>4.6920000000000002</v>
      </c>
    </row>
    <row r="16187" spans="1:5">
      <c r="A16187" t="s">
        <v>43974</v>
      </c>
      <c r="B16187" t="s">
        <v>19886</v>
      </c>
      <c r="C16187">
        <v>1.2111856060599999</v>
      </c>
      <c r="D16187">
        <v>0.99564264477099995</v>
      </c>
      <c r="E16187">
        <v>4.6920000000000002</v>
      </c>
    </row>
    <row r="16188" spans="1:5">
      <c r="A16188" t="s">
        <v>43974</v>
      </c>
      <c r="B16188" t="s">
        <v>19884</v>
      </c>
      <c r="C16188">
        <f>0.158838303447</f>
        <v>0.15883830344700001</v>
      </c>
      <c r="D16188">
        <v>0.99564264477099995</v>
      </c>
      <c r="E16188">
        <v>4.6920000000000002</v>
      </c>
    </row>
    <row r="16189" spans="1:5">
      <c r="A16189" t="s">
        <v>43974</v>
      </c>
      <c r="B16189" t="s">
        <v>19885</v>
      </c>
      <c r="C16189">
        <v>1.6668356305500001</v>
      </c>
      <c r="D16189">
        <v>0.99564264477099995</v>
      </c>
      <c r="E16189">
        <v>4.6920000000000002</v>
      </c>
    </row>
    <row r="16190" spans="1:5">
      <c r="A16190" t="s">
        <v>43974</v>
      </c>
      <c r="B16190" t="s">
        <v>19883</v>
      </c>
      <c r="C16190">
        <f>-2.76150095474</f>
        <v>-2.7615009547399998</v>
      </c>
      <c r="D16190">
        <v>0.99564264477099995</v>
      </c>
      <c r="E16190">
        <v>4.6920000000000002</v>
      </c>
    </row>
    <row r="16191" spans="1:5">
      <c r="A16191" t="s">
        <v>43974</v>
      </c>
      <c r="B16191" t="s">
        <v>43975</v>
      </c>
      <c r="C16191">
        <v>1.5594545584999999</v>
      </c>
      <c r="D16191">
        <v>0.99564264477099995</v>
      </c>
      <c r="E16191">
        <v>4.6920000000000002</v>
      </c>
    </row>
    <row r="16192" spans="1:5">
      <c r="A16192" t="s">
        <v>43976</v>
      </c>
      <c r="B16192" t="s">
        <v>17306</v>
      </c>
      <c r="C16192">
        <f>0</f>
        <v>0</v>
      </c>
      <c r="D16192" t="s">
        <v>106</v>
      </c>
      <c r="E16192">
        <v>24</v>
      </c>
    </row>
    <row r="16193" spans="1:5">
      <c r="A16193" t="s">
        <v>43976</v>
      </c>
      <c r="B16193" t="s">
        <v>17311</v>
      </c>
      <c r="C16193">
        <v>0</v>
      </c>
      <c r="D16193" t="s">
        <v>106</v>
      </c>
      <c r="E16193">
        <v>24</v>
      </c>
    </row>
    <row r="16194" spans="1:5">
      <c r="A16194" t="s">
        <v>43976</v>
      </c>
      <c r="B16194" t="s">
        <v>43977</v>
      </c>
      <c r="C16194">
        <v>0</v>
      </c>
      <c r="D16194" t="s">
        <v>106</v>
      </c>
      <c r="E16194">
        <v>24</v>
      </c>
    </row>
    <row r="16195" spans="1:5">
      <c r="A16195" t="s">
        <v>43976</v>
      </c>
      <c r="B16195" t="s">
        <v>17310</v>
      </c>
      <c r="C16195">
        <f>0</f>
        <v>0</v>
      </c>
      <c r="D16195" t="s">
        <v>106</v>
      </c>
      <c r="E16195">
        <v>24</v>
      </c>
    </row>
    <row r="16196" spans="1:5">
      <c r="A16196" t="s">
        <v>43978</v>
      </c>
      <c r="B16196" t="s">
        <v>5940</v>
      </c>
      <c r="C16196">
        <v>0</v>
      </c>
      <c r="D16196">
        <v>0.99527770735200005</v>
      </c>
      <c r="E16196">
        <v>23.754000000000001</v>
      </c>
    </row>
    <row r="16197" spans="1:5">
      <c r="A16197" t="s">
        <v>43978</v>
      </c>
      <c r="B16197" t="s">
        <v>5937</v>
      </c>
      <c r="C16197">
        <v>0</v>
      </c>
      <c r="D16197">
        <v>0.99527770735200005</v>
      </c>
      <c r="E16197">
        <v>23.754000000000001</v>
      </c>
    </row>
    <row r="16198" spans="1:5">
      <c r="A16198" t="s">
        <v>43978</v>
      </c>
      <c r="B16198" t="s">
        <v>5938</v>
      </c>
      <c r="C16198">
        <v>9.2730794988599999E-2</v>
      </c>
      <c r="D16198">
        <v>0.99527770735200005</v>
      </c>
      <c r="E16198">
        <v>23.754000000000001</v>
      </c>
    </row>
    <row r="16199" spans="1:5">
      <c r="A16199" t="s">
        <v>43978</v>
      </c>
      <c r="B16199" t="s">
        <v>5936</v>
      </c>
      <c r="C16199">
        <f>0.241001287148</f>
        <v>0.24100128714800001</v>
      </c>
      <c r="D16199">
        <v>0.99527770735200005</v>
      </c>
      <c r="E16199">
        <v>23.754000000000001</v>
      </c>
    </row>
    <row r="16200" spans="1:5">
      <c r="A16200" t="s">
        <v>43978</v>
      </c>
      <c r="B16200" t="s">
        <v>5942</v>
      </c>
      <c r="C16200">
        <f>0</f>
        <v>0</v>
      </c>
      <c r="D16200">
        <v>0.99527770735200005</v>
      </c>
      <c r="E16200">
        <v>23.754000000000001</v>
      </c>
    </row>
    <row r="16201" spans="1:5">
      <c r="A16201" t="s">
        <v>43978</v>
      </c>
      <c r="B16201" t="s">
        <v>5939</v>
      </c>
      <c r="C16201">
        <f>0</f>
        <v>0</v>
      </c>
      <c r="D16201">
        <v>0.99527770735200005</v>
      </c>
      <c r="E16201">
        <v>23.754000000000001</v>
      </c>
    </row>
    <row r="16202" spans="1:5">
      <c r="A16202" t="s">
        <v>43978</v>
      </c>
      <c r="B16202" t="s">
        <v>5951</v>
      </c>
      <c r="C16202">
        <f>0</f>
        <v>0</v>
      </c>
      <c r="D16202">
        <v>0.99527770735200005</v>
      </c>
      <c r="E16202">
        <v>23.754000000000001</v>
      </c>
    </row>
    <row r="16203" spans="1:5">
      <c r="A16203" t="s">
        <v>43978</v>
      </c>
      <c r="B16203" t="s">
        <v>5945</v>
      </c>
      <c r="C16203">
        <v>0</v>
      </c>
      <c r="D16203">
        <v>0.99527770735200005</v>
      </c>
      <c r="E16203">
        <v>23.754000000000001</v>
      </c>
    </row>
    <row r="16204" spans="1:5">
      <c r="A16204" t="s">
        <v>43978</v>
      </c>
      <c r="B16204" t="s">
        <v>5941</v>
      </c>
      <c r="C16204">
        <v>0.67834962552099998</v>
      </c>
      <c r="D16204">
        <v>0.99527770735200005</v>
      </c>
      <c r="E16204">
        <v>23.754000000000001</v>
      </c>
    </row>
    <row r="16205" spans="1:5">
      <c r="A16205" t="s">
        <v>43978</v>
      </c>
      <c r="B16205" t="s">
        <v>5946</v>
      </c>
      <c r="C16205">
        <f>0.0219022380822</f>
        <v>2.1902238082200001E-2</v>
      </c>
      <c r="D16205">
        <v>0.99527770735200005</v>
      </c>
      <c r="E16205">
        <v>23.754000000000001</v>
      </c>
    </row>
    <row r="16206" spans="1:5">
      <c r="A16206" t="s">
        <v>43978</v>
      </c>
      <c r="B16206" t="s">
        <v>5950</v>
      </c>
      <c r="C16206">
        <v>0</v>
      </c>
      <c r="D16206">
        <v>0.99527770735200005</v>
      </c>
      <c r="E16206">
        <v>23.754000000000001</v>
      </c>
    </row>
    <row r="16207" spans="1:5">
      <c r="A16207" t="s">
        <v>43978</v>
      </c>
      <c r="B16207" t="s">
        <v>5948</v>
      </c>
      <c r="C16207">
        <v>0.59170056499799994</v>
      </c>
      <c r="D16207">
        <v>0.99527770735200005</v>
      </c>
      <c r="E16207">
        <v>23.754000000000001</v>
      </c>
    </row>
    <row r="16208" spans="1:5">
      <c r="A16208" t="s">
        <v>43978</v>
      </c>
      <c r="B16208" t="s">
        <v>5947</v>
      </c>
      <c r="C16208">
        <v>0.13591905864000001</v>
      </c>
      <c r="D16208">
        <v>0.99527770735200005</v>
      </c>
      <c r="E16208">
        <v>23.754000000000001</v>
      </c>
    </row>
    <row r="16209" spans="1:5">
      <c r="A16209" t="s">
        <v>43979</v>
      </c>
      <c r="B16209" t="s">
        <v>25005</v>
      </c>
      <c r="C16209">
        <f>0.725973680698</f>
        <v>0.72597368069799995</v>
      </c>
      <c r="D16209">
        <v>0.95431623754600003</v>
      </c>
      <c r="E16209">
        <v>0</v>
      </c>
    </row>
    <row r="16210" spans="1:5">
      <c r="A16210" t="s">
        <v>43979</v>
      </c>
      <c r="B16210" t="s">
        <v>25008</v>
      </c>
      <c r="C16210">
        <v>0.43113433331500001</v>
      </c>
      <c r="D16210">
        <v>0.95431623754600003</v>
      </c>
      <c r="E16210">
        <v>0</v>
      </c>
    </row>
    <row r="16211" spans="1:5">
      <c r="A16211" t="s">
        <v>43979</v>
      </c>
      <c r="B16211" t="s">
        <v>25009</v>
      </c>
      <c r="C16211">
        <f>0.34335259437</f>
        <v>0.34335259436999999</v>
      </c>
      <c r="D16211">
        <v>0.95431623754600003</v>
      </c>
      <c r="E16211">
        <v>0</v>
      </c>
    </row>
    <row r="16212" spans="1:5">
      <c r="A16212" t="s">
        <v>43980</v>
      </c>
      <c r="B16212" t="s">
        <v>43981</v>
      </c>
      <c r="C16212">
        <f>0.183207295546</f>
        <v>0.18320729554599999</v>
      </c>
      <c r="D16212">
        <v>0.92563660938600001</v>
      </c>
      <c r="E16212">
        <v>2.964</v>
      </c>
    </row>
    <row r="16213" spans="1:5">
      <c r="A16213" t="s">
        <v>43980</v>
      </c>
      <c r="B16213" t="s">
        <v>43982</v>
      </c>
      <c r="C16213">
        <v>0.88467135291700005</v>
      </c>
      <c r="D16213">
        <v>0.92563660938600001</v>
      </c>
      <c r="E16213">
        <v>2.964</v>
      </c>
    </row>
    <row r="16214" spans="1:5">
      <c r="A16214" t="s">
        <v>43980</v>
      </c>
      <c r="B16214" t="s">
        <v>43983</v>
      </c>
      <c r="C16214">
        <f>0</f>
        <v>0</v>
      </c>
      <c r="D16214">
        <v>0.92563660938600001</v>
      </c>
      <c r="E16214">
        <v>2.964</v>
      </c>
    </row>
    <row r="16215" spans="1:5">
      <c r="A16215" t="s">
        <v>43984</v>
      </c>
      <c r="B16215" t="s">
        <v>22818</v>
      </c>
      <c r="C16215">
        <v>0</v>
      </c>
      <c r="D16215">
        <v>0.868483504505</v>
      </c>
      <c r="E16215">
        <v>23.754000000000001</v>
      </c>
    </row>
    <row r="16216" spans="1:5">
      <c r="A16216" t="s">
        <v>43984</v>
      </c>
      <c r="B16216" t="s">
        <v>22825</v>
      </c>
      <c r="C16216">
        <v>0.28341383236000001</v>
      </c>
      <c r="D16216">
        <v>0.868483504505</v>
      </c>
      <c r="E16216">
        <v>23.754000000000001</v>
      </c>
    </row>
    <row r="16217" spans="1:5">
      <c r="A16217" t="s">
        <v>43984</v>
      </c>
      <c r="B16217" t="s">
        <v>22820</v>
      </c>
      <c r="C16217">
        <v>0</v>
      </c>
      <c r="D16217">
        <v>0.868483504505</v>
      </c>
      <c r="E16217">
        <v>23.754000000000001</v>
      </c>
    </row>
    <row r="16218" spans="1:5">
      <c r="A16218" t="s">
        <v>43984</v>
      </c>
      <c r="B16218" t="s">
        <v>22823</v>
      </c>
      <c r="C16218">
        <v>0</v>
      </c>
      <c r="D16218">
        <v>0.868483504505</v>
      </c>
      <c r="E16218">
        <v>23.754000000000001</v>
      </c>
    </row>
    <row r="16219" spans="1:5">
      <c r="A16219" t="s">
        <v>43984</v>
      </c>
      <c r="B16219" t="s">
        <v>22822</v>
      </c>
      <c r="C16219">
        <f>0.512559696698</f>
        <v>0.51255969669799994</v>
      </c>
      <c r="D16219">
        <v>0.868483504505</v>
      </c>
      <c r="E16219">
        <v>23.754000000000001</v>
      </c>
    </row>
    <row r="16220" spans="1:5">
      <c r="A16220" t="s">
        <v>43984</v>
      </c>
      <c r="B16220" t="s">
        <v>22819</v>
      </c>
      <c r="C16220">
        <f>0</f>
        <v>0</v>
      </c>
      <c r="D16220">
        <v>0.868483504505</v>
      </c>
      <c r="E16220">
        <v>23.754000000000001</v>
      </c>
    </row>
    <row r="16221" spans="1:5">
      <c r="A16221" t="s">
        <v>43985</v>
      </c>
      <c r="B16221" t="s">
        <v>30047</v>
      </c>
      <c r="C16221">
        <f>0.745806549422</f>
        <v>0.74580654942199998</v>
      </c>
      <c r="D16221">
        <v>0.87766031640800002</v>
      </c>
      <c r="E16221">
        <v>0.65400000000000003</v>
      </c>
    </row>
    <row r="16222" spans="1:5">
      <c r="A16222" t="s">
        <v>43985</v>
      </c>
      <c r="B16222" t="s">
        <v>30048</v>
      </c>
      <c r="C16222">
        <v>0.96479356841499997</v>
      </c>
      <c r="D16222">
        <v>0.87766031640800002</v>
      </c>
      <c r="E16222">
        <v>0.65400000000000003</v>
      </c>
    </row>
    <row r="16223" spans="1:5">
      <c r="A16223" t="s">
        <v>43986</v>
      </c>
      <c r="B16223" t="s">
        <v>22310</v>
      </c>
      <c r="C16223">
        <f>0</f>
        <v>0</v>
      </c>
      <c r="D16223">
        <v>0.75166008821200003</v>
      </c>
      <c r="E16223">
        <v>0</v>
      </c>
    </row>
    <row r="16224" spans="1:5">
      <c r="A16224" t="s">
        <v>43986</v>
      </c>
      <c r="B16224" t="s">
        <v>22312</v>
      </c>
      <c r="C16224">
        <v>0.64925008821200003</v>
      </c>
      <c r="D16224">
        <v>0.75166008821200003</v>
      </c>
      <c r="E16224">
        <v>0</v>
      </c>
    </row>
    <row r="16225" spans="1:5">
      <c r="A16225" t="s">
        <v>43987</v>
      </c>
      <c r="B16225" t="s">
        <v>17852</v>
      </c>
      <c r="C16225">
        <f>0</f>
        <v>0</v>
      </c>
      <c r="D16225" t="s">
        <v>106</v>
      </c>
      <c r="E16225">
        <v>12.564</v>
      </c>
    </row>
    <row r="16226" spans="1:5">
      <c r="A16226" t="s">
        <v>43987</v>
      </c>
      <c r="B16226" t="s">
        <v>17857</v>
      </c>
      <c r="C16226">
        <f>0</f>
        <v>0</v>
      </c>
      <c r="D16226" t="s">
        <v>106</v>
      </c>
      <c r="E16226">
        <v>12.564</v>
      </c>
    </row>
    <row r="16227" spans="1:5">
      <c r="A16227" t="s">
        <v>43987</v>
      </c>
      <c r="B16227" t="s">
        <v>17862</v>
      </c>
      <c r="C16227">
        <f>0</f>
        <v>0</v>
      </c>
      <c r="D16227" t="s">
        <v>106</v>
      </c>
      <c r="E16227">
        <v>12.564</v>
      </c>
    </row>
    <row r="16228" spans="1:5">
      <c r="A16228" t="s">
        <v>43987</v>
      </c>
      <c r="B16228" t="s">
        <v>17854</v>
      </c>
      <c r="C16228">
        <f>0</f>
        <v>0</v>
      </c>
      <c r="D16228" t="s">
        <v>106</v>
      </c>
      <c r="E16228">
        <v>12.564</v>
      </c>
    </row>
    <row r="16229" spans="1:5">
      <c r="A16229" t="s">
        <v>43987</v>
      </c>
      <c r="B16229" t="s">
        <v>17858</v>
      </c>
      <c r="C16229">
        <v>0</v>
      </c>
      <c r="D16229" t="s">
        <v>106</v>
      </c>
      <c r="E16229">
        <v>12.564</v>
      </c>
    </row>
    <row r="16230" spans="1:5">
      <c r="A16230" t="s">
        <v>43987</v>
      </c>
      <c r="B16230" t="s">
        <v>17859</v>
      </c>
      <c r="C16230">
        <v>0</v>
      </c>
      <c r="D16230" t="s">
        <v>106</v>
      </c>
      <c r="E16230">
        <v>12.564</v>
      </c>
    </row>
    <row r="16231" spans="1:5">
      <c r="A16231" t="s">
        <v>43987</v>
      </c>
      <c r="B16231" t="s">
        <v>17864</v>
      </c>
      <c r="C16231">
        <v>0</v>
      </c>
      <c r="D16231" t="s">
        <v>106</v>
      </c>
      <c r="E16231">
        <v>12.564</v>
      </c>
    </row>
    <row r="16232" spans="1:5">
      <c r="A16232" t="s">
        <v>43988</v>
      </c>
      <c r="B16232" t="s">
        <v>43989</v>
      </c>
      <c r="C16232">
        <v>0.28698910805400002</v>
      </c>
      <c r="D16232">
        <v>0.78293574151900003</v>
      </c>
      <c r="E16232">
        <v>6.8040000000000003</v>
      </c>
    </row>
    <row r="16233" spans="1:5">
      <c r="A16233" t="s">
        <v>43988</v>
      </c>
      <c r="B16233" t="s">
        <v>43990</v>
      </c>
      <c r="C16233">
        <v>0.58551324416399997</v>
      </c>
      <c r="D16233">
        <v>0.78293574151900003</v>
      </c>
      <c r="E16233">
        <v>6.8040000000000003</v>
      </c>
    </row>
    <row r="16234" spans="1:5">
      <c r="A16234" t="s">
        <v>43988</v>
      </c>
      <c r="B16234" t="s">
        <v>43991</v>
      </c>
      <c r="C16234">
        <v>0</v>
      </c>
      <c r="D16234">
        <v>0.78293574151900003</v>
      </c>
      <c r="E16234">
        <v>6.8040000000000003</v>
      </c>
    </row>
    <row r="16235" spans="1:5">
      <c r="A16235" t="s">
        <v>43988</v>
      </c>
      <c r="B16235" t="s">
        <v>43992</v>
      </c>
      <c r="C16235">
        <v>1.8129662924800002E-2</v>
      </c>
      <c r="D16235">
        <v>0.78293574151900003</v>
      </c>
      <c r="E16235">
        <v>6.8040000000000003</v>
      </c>
    </row>
    <row r="16236" spans="1:5">
      <c r="A16236" t="s">
        <v>43988</v>
      </c>
      <c r="B16236" t="s">
        <v>43993</v>
      </c>
      <c r="C16236">
        <f>0</f>
        <v>0</v>
      </c>
      <c r="D16236">
        <v>0.78293574151900003</v>
      </c>
      <c r="E16236">
        <v>6.8040000000000003</v>
      </c>
    </row>
    <row r="16237" spans="1:5">
      <c r="A16237" t="s">
        <v>43994</v>
      </c>
      <c r="B16237" t="s">
        <v>3785</v>
      </c>
      <c r="C16237">
        <v>9.2105781354700003E-2</v>
      </c>
      <c r="D16237">
        <v>0.99997180148300002</v>
      </c>
      <c r="E16237">
        <v>0.78</v>
      </c>
    </row>
    <row r="16238" spans="1:5">
      <c r="A16238" t="s">
        <v>43994</v>
      </c>
      <c r="B16238" t="s">
        <v>3783</v>
      </c>
      <c r="C16238">
        <f>0.124040101862</f>
        <v>0.124040101862</v>
      </c>
      <c r="D16238">
        <v>0.99997180148300002</v>
      </c>
      <c r="E16238">
        <v>0.78</v>
      </c>
    </row>
    <row r="16239" spans="1:5">
      <c r="A16239" t="s">
        <v>43994</v>
      </c>
      <c r="B16239" t="s">
        <v>3792</v>
      </c>
      <c r="C16239">
        <f>0.120580827877</f>
        <v>0.120580827877</v>
      </c>
      <c r="D16239">
        <v>0.99997180148300002</v>
      </c>
      <c r="E16239">
        <v>0.78</v>
      </c>
    </row>
    <row r="16240" spans="1:5">
      <c r="A16240" t="s">
        <v>43994</v>
      </c>
      <c r="B16240" t="s">
        <v>3786</v>
      </c>
      <c r="C16240">
        <f>0.502608096709</f>
        <v>0.50260809670899997</v>
      </c>
      <c r="D16240">
        <v>0.99997180148300002</v>
      </c>
      <c r="E16240">
        <v>0.78</v>
      </c>
    </row>
    <row r="16241" spans="1:5">
      <c r="A16241" t="s">
        <v>43994</v>
      </c>
      <c r="B16241" t="s">
        <v>3791</v>
      </c>
      <c r="C16241">
        <f>0.254310834344</f>
        <v>0.25431083434399998</v>
      </c>
      <c r="D16241">
        <v>0.99997180148300002</v>
      </c>
      <c r="E16241">
        <v>0.78</v>
      </c>
    </row>
    <row r="16242" spans="1:5">
      <c r="A16242" t="s">
        <v>43994</v>
      </c>
      <c r="B16242" t="s">
        <v>3789</v>
      </c>
      <c r="C16242">
        <v>0.50102829705100005</v>
      </c>
      <c r="D16242">
        <v>0.99997180148300002</v>
      </c>
      <c r="E16242">
        <v>0.78</v>
      </c>
    </row>
    <row r="16243" spans="1:5">
      <c r="A16243" t="s">
        <v>43994</v>
      </c>
      <c r="B16243" t="s">
        <v>3790</v>
      </c>
      <c r="C16243">
        <f>0.483820062708</f>
        <v>0.48382006270799999</v>
      </c>
      <c r="D16243">
        <v>0.99997180148300002</v>
      </c>
      <c r="E16243">
        <v>0.78</v>
      </c>
    </row>
    <row r="16244" spans="1:5">
      <c r="A16244" t="s">
        <v>43995</v>
      </c>
      <c r="B16244" t="s">
        <v>32321</v>
      </c>
      <c r="C16244">
        <f>0</f>
        <v>0</v>
      </c>
      <c r="D16244">
        <v>0.99601483847000005</v>
      </c>
      <c r="E16244">
        <v>24</v>
      </c>
    </row>
    <row r="16245" spans="1:5">
      <c r="A16245" t="s">
        <v>43995</v>
      </c>
      <c r="B16245" t="s">
        <v>32318</v>
      </c>
      <c r="C16245">
        <v>8.5522573490000003E-2</v>
      </c>
      <c r="D16245">
        <v>0.99601483847000005</v>
      </c>
      <c r="E16245">
        <v>24</v>
      </c>
    </row>
    <row r="16246" spans="1:5">
      <c r="A16246" t="s">
        <v>43995</v>
      </c>
      <c r="B16246" t="s">
        <v>32315</v>
      </c>
      <c r="C16246">
        <f>0</f>
        <v>0</v>
      </c>
      <c r="D16246">
        <v>0.99601483847000005</v>
      </c>
      <c r="E16246">
        <v>24</v>
      </c>
    </row>
    <row r="16247" spans="1:5">
      <c r="A16247" t="s">
        <v>43995</v>
      </c>
      <c r="B16247" t="s">
        <v>32324</v>
      </c>
      <c r="C16247">
        <v>0</v>
      </c>
      <c r="D16247">
        <v>0.99601483847000005</v>
      </c>
      <c r="E16247">
        <v>24</v>
      </c>
    </row>
    <row r="16248" spans="1:5">
      <c r="A16248" t="s">
        <v>43995</v>
      </c>
      <c r="B16248" t="s">
        <v>32320</v>
      </c>
      <c r="C16248">
        <f>0</f>
        <v>0</v>
      </c>
      <c r="D16248">
        <v>0.99601483847000005</v>
      </c>
      <c r="E16248">
        <v>24</v>
      </c>
    </row>
    <row r="16249" spans="1:5">
      <c r="A16249" t="s">
        <v>43995</v>
      </c>
      <c r="B16249" t="s">
        <v>32327</v>
      </c>
      <c r="C16249">
        <v>0</v>
      </c>
      <c r="D16249">
        <v>0.99601483847000005</v>
      </c>
      <c r="E16249">
        <v>24</v>
      </c>
    </row>
    <row r="16250" spans="1:5">
      <c r="A16250" t="s">
        <v>43995</v>
      </c>
      <c r="B16250" t="s">
        <v>32325</v>
      </c>
      <c r="C16250">
        <v>0.60489703462</v>
      </c>
      <c r="D16250">
        <v>0.99601483847000005</v>
      </c>
      <c r="E16250">
        <v>24</v>
      </c>
    </row>
    <row r="16251" spans="1:5">
      <c r="A16251" t="s">
        <v>43995</v>
      </c>
      <c r="B16251" t="s">
        <v>32326</v>
      </c>
      <c r="C16251">
        <v>0.54112734794799999</v>
      </c>
      <c r="D16251">
        <v>0.99601483847000005</v>
      </c>
      <c r="E16251">
        <v>24</v>
      </c>
    </row>
    <row r="16252" spans="1:5">
      <c r="A16252" t="s">
        <v>43995</v>
      </c>
      <c r="B16252" t="s">
        <v>32317</v>
      </c>
      <c r="C16252">
        <v>0.34028746753900002</v>
      </c>
      <c r="D16252">
        <v>0.99601483847000005</v>
      </c>
      <c r="E16252">
        <v>24</v>
      </c>
    </row>
    <row r="16253" spans="1:5">
      <c r="A16253" t="s">
        <v>43995</v>
      </c>
      <c r="B16253" t="s">
        <v>32322</v>
      </c>
      <c r="C16253">
        <v>0</v>
      </c>
      <c r="D16253">
        <v>0.99601483847000005</v>
      </c>
      <c r="E16253">
        <v>24</v>
      </c>
    </row>
    <row r="16254" spans="1:5">
      <c r="A16254" t="s">
        <v>43995</v>
      </c>
      <c r="B16254" t="s">
        <v>32314</v>
      </c>
      <c r="C16254">
        <v>0.20568296085500001</v>
      </c>
      <c r="D16254">
        <v>0.99601483847000005</v>
      </c>
      <c r="E16254">
        <v>24</v>
      </c>
    </row>
    <row r="16255" spans="1:5">
      <c r="A16255" t="s">
        <v>43995</v>
      </c>
      <c r="B16255" t="s">
        <v>32313</v>
      </c>
      <c r="C16255">
        <f>0.217355911396</f>
        <v>0.217355911396</v>
      </c>
      <c r="D16255">
        <v>0.99601483847000005</v>
      </c>
      <c r="E16255">
        <v>24</v>
      </c>
    </row>
    <row r="16256" spans="1:5">
      <c r="A16256" t="s">
        <v>43995</v>
      </c>
      <c r="B16256" t="s">
        <v>32312</v>
      </c>
      <c r="C16256">
        <f>0</f>
        <v>0</v>
      </c>
      <c r="D16256">
        <v>0.99601483847000005</v>
      </c>
      <c r="E16256">
        <v>24</v>
      </c>
    </row>
    <row r="16257" spans="1:5">
      <c r="A16257" t="s">
        <v>43996</v>
      </c>
      <c r="B16257" t="s">
        <v>43997</v>
      </c>
      <c r="C16257">
        <v>0</v>
      </c>
      <c r="D16257" t="s">
        <v>106</v>
      </c>
      <c r="E16257">
        <v>2.4E-2</v>
      </c>
    </row>
    <row r="16258" spans="1:5">
      <c r="A16258" t="s">
        <v>43996</v>
      </c>
      <c r="B16258" t="s">
        <v>43998</v>
      </c>
      <c r="C16258">
        <f>0</f>
        <v>0</v>
      </c>
      <c r="D16258" t="s">
        <v>106</v>
      </c>
      <c r="E16258">
        <v>2.4E-2</v>
      </c>
    </row>
    <row r="16259" spans="1:5">
      <c r="A16259" t="s">
        <v>43996</v>
      </c>
      <c r="B16259" t="s">
        <v>43999</v>
      </c>
      <c r="C16259">
        <f>0</f>
        <v>0</v>
      </c>
      <c r="D16259" t="s">
        <v>106</v>
      </c>
      <c r="E16259">
        <v>2.4E-2</v>
      </c>
    </row>
    <row r="16260" spans="1:5">
      <c r="A16260" t="s">
        <v>43996</v>
      </c>
      <c r="B16260" t="s">
        <v>44000</v>
      </c>
      <c r="C16260">
        <f>0</f>
        <v>0</v>
      </c>
      <c r="D16260" t="s">
        <v>106</v>
      </c>
      <c r="E16260">
        <v>2.4E-2</v>
      </c>
    </row>
    <row r="16261" spans="1:5">
      <c r="A16261" t="s">
        <v>43996</v>
      </c>
      <c r="B16261" t="s">
        <v>44001</v>
      </c>
      <c r="C16261">
        <f>0</f>
        <v>0</v>
      </c>
      <c r="D16261" t="s">
        <v>106</v>
      </c>
      <c r="E16261">
        <v>2.4E-2</v>
      </c>
    </row>
    <row r="16262" spans="1:5">
      <c r="A16262" t="s">
        <v>43996</v>
      </c>
      <c r="B16262" t="s">
        <v>44002</v>
      </c>
      <c r="C16262">
        <f>0</f>
        <v>0</v>
      </c>
      <c r="D16262" t="s">
        <v>106</v>
      </c>
      <c r="E16262">
        <v>2.4E-2</v>
      </c>
    </row>
    <row r="16263" spans="1:5">
      <c r="A16263" t="s">
        <v>44003</v>
      </c>
      <c r="B16263" t="s">
        <v>44004</v>
      </c>
      <c r="C16263">
        <v>0</v>
      </c>
      <c r="D16263">
        <v>0.59395132219000002</v>
      </c>
      <c r="E16263">
        <v>15.318</v>
      </c>
    </row>
    <row r="16264" spans="1:5">
      <c r="A16264" t="s">
        <v>44003</v>
      </c>
      <c r="B16264" t="s">
        <v>44005</v>
      </c>
      <c r="C16264">
        <v>0.148126177809</v>
      </c>
      <c r="D16264">
        <v>0.59395132219000002</v>
      </c>
      <c r="E16264">
        <v>15.318</v>
      </c>
    </row>
    <row r="16265" spans="1:5">
      <c r="A16265" t="s">
        <v>44003</v>
      </c>
      <c r="B16265" t="s">
        <v>44006</v>
      </c>
      <c r="C16265">
        <v>0.28971958905400003</v>
      </c>
      <c r="D16265">
        <v>0.59395132219000002</v>
      </c>
      <c r="E16265">
        <v>15.318</v>
      </c>
    </row>
    <row r="16266" spans="1:5">
      <c r="A16266" t="s">
        <v>44007</v>
      </c>
      <c r="B16266" t="s">
        <v>30914</v>
      </c>
      <c r="C16266">
        <v>0</v>
      </c>
      <c r="D16266" t="s">
        <v>106</v>
      </c>
      <c r="E16266">
        <v>24</v>
      </c>
    </row>
    <row r="16267" spans="1:5">
      <c r="A16267" t="s">
        <v>44007</v>
      </c>
      <c r="B16267" t="s">
        <v>30916</v>
      </c>
      <c r="C16267">
        <f>0</f>
        <v>0</v>
      </c>
      <c r="D16267" t="s">
        <v>106</v>
      </c>
      <c r="E16267">
        <v>24</v>
      </c>
    </row>
    <row r="16268" spans="1:5">
      <c r="A16268" t="s">
        <v>44008</v>
      </c>
      <c r="B16268" t="s">
        <v>44009</v>
      </c>
      <c r="C16268">
        <v>0</v>
      </c>
      <c r="D16268">
        <v>0.75609316933799997</v>
      </c>
      <c r="E16268">
        <v>4.5839999999999996</v>
      </c>
    </row>
    <row r="16269" spans="1:5">
      <c r="A16269" t="s">
        <v>44008</v>
      </c>
      <c r="B16269" t="s">
        <v>44010</v>
      </c>
      <c r="C16269">
        <v>0.155173714913</v>
      </c>
      <c r="D16269">
        <v>0.75609316933799997</v>
      </c>
      <c r="E16269">
        <v>4.5839999999999996</v>
      </c>
    </row>
    <row r="16270" spans="1:5">
      <c r="A16270" t="s">
        <v>44008</v>
      </c>
      <c r="B16270" t="s">
        <v>44011</v>
      </c>
      <c r="C16270">
        <v>0.465230565805</v>
      </c>
      <c r="D16270">
        <v>0.75609316933799997</v>
      </c>
      <c r="E16270">
        <v>4.5839999999999996</v>
      </c>
    </row>
    <row r="16271" spans="1:5">
      <c r="A16271" t="s">
        <v>44012</v>
      </c>
      <c r="B16271" t="s">
        <v>15017</v>
      </c>
      <c r="C16271">
        <f>-1.00490227738</f>
        <v>-1.00490227738</v>
      </c>
      <c r="D16271">
        <v>0.99413893130300002</v>
      </c>
      <c r="E16271">
        <v>0.378</v>
      </c>
    </row>
    <row r="16272" spans="1:5">
      <c r="A16272" t="s">
        <v>44012</v>
      </c>
      <c r="B16272" t="s">
        <v>15010</v>
      </c>
      <c r="C16272">
        <v>8.8273268347100003E-2</v>
      </c>
      <c r="D16272">
        <v>0.99413893130300002</v>
      </c>
      <c r="E16272">
        <v>0.378</v>
      </c>
    </row>
    <row r="16273" spans="1:5">
      <c r="A16273" t="s">
        <v>44012</v>
      </c>
      <c r="B16273" t="s">
        <v>15009</v>
      </c>
      <c r="C16273">
        <v>3.4199898515499998E-3</v>
      </c>
      <c r="D16273">
        <v>0.99413893130300002</v>
      </c>
      <c r="E16273">
        <v>0.378</v>
      </c>
    </row>
    <row r="16274" spans="1:5">
      <c r="A16274" t="s">
        <v>44012</v>
      </c>
      <c r="B16274" t="s">
        <v>15013</v>
      </c>
      <c r="C16274">
        <f>0.572839406157</f>
        <v>0.57283940615700002</v>
      </c>
      <c r="D16274">
        <v>0.99413893130300002</v>
      </c>
      <c r="E16274">
        <v>0.378</v>
      </c>
    </row>
    <row r="16275" spans="1:5">
      <c r="A16275" t="s">
        <v>44012</v>
      </c>
      <c r="B16275" t="s">
        <v>15012</v>
      </c>
      <c r="C16275">
        <v>0.266151089131</v>
      </c>
      <c r="D16275">
        <v>0.99413893130300002</v>
      </c>
      <c r="E16275">
        <v>0.378</v>
      </c>
    </row>
    <row r="16276" spans="1:5">
      <c r="A16276" t="s">
        <v>44013</v>
      </c>
      <c r="B16276" t="s">
        <v>44014</v>
      </c>
      <c r="C16276">
        <v>0</v>
      </c>
      <c r="D16276" t="s">
        <v>106</v>
      </c>
      <c r="E16276">
        <v>24</v>
      </c>
    </row>
    <row r="16277" spans="1:5">
      <c r="A16277" t="s">
        <v>44013</v>
      </c>
      <c r="B16277" t="s">
        <v>44015</v>
      </c>
      <c r="C16277">
        <f>0</f>
        <v>0</v>
      </c>
      <c r="D16277" t="s">
        <v>106</v>
      </c>
      <c r="E16277">
        <v>24</v>
      </c>
    </row>
    <row r="16278" spans="1:5">
      <c r="A16278" t="s">
        <v>44013</v>
      </c>
      <c r="B16278" t="s">
        <v>44016</v>
      </c>
      <c r="C16278">
        <f>0</f>
        <v>0</v>
      </c>
      <c r="D16278" t="s">
        <v>106</v>
      </c>
      <c r="E16278">
        <v>24</v>
      </c>
    </row>
    <row r="16279" spans="1:5">
      <c r="A16279" t="s">
        <v>44013</v>
      </c>
      <c r="B16279" t="s">
        <v>44017</v>
      </c>
      <c r="C16279">
        <v>0</v>
      </c>
      <c r="D16279" t="s">
        <v>106</v>
      </c>
      <c r="E16279">
        <v>24</v>
      </c>
    </row>
    <row r="16280" spans="1:5">
      <c r="A16280" t="s">
        <v>44013</v>
      </c>
      <c r="B16280" t="s">
        <v>44018</v>
      </c>
      <c r="C16280">
        <f>0</f>
        <v>0</v>
      </c>
      <c r="D16280" t="s">
        <v>106</v>
      </c>
      <c r="E16280">
        <v>24</v>
      </c>
    </row>
    <row r="16281" spans="1:5">
      <c r="A16281" t="s">
        <v>44013</v>
      </c>
      <c r="B16281" t="s">
        <v>44019</v>
      </c>
      <c r="C16281">
        <f>0</f>
        <v>0</v>
      </c>
      <c r="D16281" t="s">
        <v>106</v>
      </c>
      <c r="E16281">
        <v>24</v>
      </c>
    </row>
    <row r="16282" spans="1:5">
      <c r="A16282" t="s">
        <v>44013</v>
      </c>
      <c r="B16282" t="s">
        <v>44020</v>
      </c>
      <c r="C16282">
        <v>0</v>
      </c>
      <c r="D16282" t="s">
        <v>106</v>
      </c>
      <c r="E16282">
        <v>24</v>
      </c>
    </row>
    <row r="16283" spans="1:5">
      <c r="A16283" t="s">
        <v>44013</v>
      </c>
      <c r="B16283" t="s">
        <v>44021</v>
      </c>
      <c r="C16283">
        <v>0</v>
      </c>
      <c r="D16283" t="s">
        <v>106</v>
      </c>
      <c r="E16283">
        <v>24</v>
      </c>
    </row>
    <row r="16284" spans="1:5">
      <c r="A16284" t="s">
        <v>44022</v>
      </c>
      <c r="B16284" t="s">
        <v>12627</v>
      </c>
      <c r="C16284">
        <v>0</v>
      </c>
      <c r="D16284" t="s">
        <v>106</v>
      </c>
      <c r="E16284">
        <v>1.7999999999999999E-2</v>
      </c>
    </row>
    <row r="16285" spans="1:5">
      <c r="A16285" t="s">
        <v>44022</v>
      </c>
      <c r="B16285" t="s">
        <v>12624</v>
      </c>
      <c r="C16285">
        <f>0</f>
        <v>0</v>
      </c>
      <c r="D16285" t="s">
        <v>106</v>
      </c>
      <c r="E16285">
        <v>1.7999999999999999E-2</v>
      </c>
    </row>
    <row r="16286" spans="1:5">
      <c r="A16286" t="s">
        <v>44022</v>
      </c>
      <c r="B16286" t="s">
        <v>12617</v>
      </c>
      <c r="C16286">
        <v>0</v>
      </c>
      <c r="D16286" t="s">
        <v>106</v>
      </c>
      <c r="E16286">
        <v>1.7999999999999999E-2</v>
      </c>
    </row>
    <row r="16287" spans="1:5">
      <c r="A16287" t="s">
        <v>44022</v>
      </c>
      <c r="B16287" t="s">
        <v>12615</v>
      </c>
      <c r="C16287">
        <v>0</v>
      </c>
      <c r="D16287" t="s">
        <v>106</v>
      </c>
      <c r="E16287">
        <v>1.7999999999999999E-2</v>
      </c>
    </row>
    <row r="16288" spans="1:5">
      <c r="A16288" t="s">
        <v>44022</v>
      </c>
      <c r="B16288" t="s">
        <v>12618</v>
      </c>
      <c r="C16288">
        <v>0</v>
      </c>
      <c r="D16288" t="s">
        <v>106</v>
      </c>
      <c r="E16288">
        <v>1.7999999999999999E-2</v>
      </c>
    </row>
    <row r="16289" spans="1:5">
      <c r="A16289" t="s">
        <v>44022</v>
      </c>
      <c r="B16289" t="s">
        <v>12614</v>
      </c>
      <c r="C16289">
        <v>0</v>
      </c>
      <c r="D16289" t="s">
        <v>106</v>
      </c>
      <c r="E16289">
        <v>1.7999999999999999E-2</v>
      </c>
    </row>
    <row r="16290" spans="1:5">
      <c r="A16290" t="s">
        <v>44022</v>
      </c>
      <c r="B16290" t="s">
        <v>12620</v>
      </c>
      <c r="C16290">
        <v>0</v>
      </c>
      <c r="D16290" t="s">
        <v>106</v>
      </c>
      <c r="E16290">
        <v>1.7999999999999999E-2</v>
      </c>
    </row>
    <row r="16291" spans="1:5">
      <c r="A16291" t="s">
        <v>44022</v>
      </c>
      <c r="B16291" t="s">
        <v>12626</v>
      </c>
      <c r="C16291">
        <f>0</f>
        <v>0</v>
      </c>
      <c r="D16291" t="s">
        <v>106</v>
      </c>
      <c r="E16291">
        <v>1.7999999999999999E-2</v>
      </c>
    </row>
    <row r="16292" spans="1:5">
      <c r="A16292" t="s">
        <v>44022</v>
      </c>
      <c r="B16292" t="s">
        <v>12616</v>
      </c>
      <c r="C16292">
        <v>0</v>
      </c>
      <c r="D16292" t="s">
        <v>106</v>
      </c>
      <c r="E16292">
        <v>1.7999999999999999E-2</v>
      </c>
    </row>
    <row r="16293" spans="1:5">
      <c r="A16293" t="s">
        <v>44022</v>
      </c>
      <c r="B16293" t="s">
        <v>12623</v>
      </c>
      <c r="C16293">
        <v>0</v>
      </c>
      <c r="D16293" t="s">
        <v>106</v>
      </c>
      <c r="E16293">
        <v>1.7999999999999999E-2</v>
      </c>
    </row>
    <row r="16294" spans="1:5">
      <c r="A16294" t="s">
        <v>44023</v>
      </c>
      <c r="B16294" t="s">
        <v>23426</v>
      </c>
      <c r="C16294">
        <v>0.23069428103299999</v>
      </c>
      <c r="D16294">
        <v>0.91301834386299996</v>
      </c>
      <c r="E16294">
        <v>24</v>
      </c>
    </row>
    <row r="16295" spans="1:5">
      <c r="A16295" t="s">
        <v>44023</v>
      </c>
      <c r="B16295" t="s">
        <v>23428</v>
      </c>
      <c r="C16295">
        <v>0.65205126147199999</v>
      </c>
      <c r="D16295">
        <v>0.91301834386299996</v>
      </c>
      <c r="E16295">
        <v>24</v>
      </c>
    </row>
    <row r="16296" spans="1:5">
      <c r="A16296" t="s">
        <v>44023</v>
      </c>
      <c r="B16296" t="s">
        <v>23429</v>
      </c>
      <c r="C16296">
        <v>7.9636779594000007E-2</v>
      </c>
      <c r="D16296">
        <v>0.91301834386299996</v>
      </c>
      <c r="E16296">
        <v>24</v>
      </c>
    </row>
    <row r="16297" spans="1:5">
      <c r="A16297" t="s">
        <v>44024</v>
      </c>
      <c r="B16297" t="s">
        <v>31818</v>
      </c>
      <c r="C16297">
        <v>0.554907884046</v>
      </c>
      <c r="D16297">
        <v>0.684517884046</v>
      </c>
      <c r="E16297">
        <v>0</v>
      </c>
    </row>
    <row r="16298" spans="1:5">
      <c r="A16298" t="s">
        <v>44024</v>
      </c>
      <c r="B16298" t="s">
        <v>31819</v>
      </c>
      <c r="C16298">
        <v>0</v>
      </c>
      <c r="D16298">
        <v>0.684517884046</v>
      </c>
      <c r="E16298">
        <v>0</v>
      </c>
    </row>
    <row r="16299" spans="1:5">
      <c r="A16299" t="s">
        <v>44025</v>
      </c>
      <c r="B16299" t="s">
        <v>8772</v>
      </c>
      <c r="C16299">
        <v>0.39668230127100002</v>
      </c>
      <c r="D16299">
        <v>0.95672029112500001</v>
      </c>
      <c r="E16299">
        <v>5.016</v>
      </c>
    </row>
    <row r="16300" spans="1:5">
      <c r="A16300" t="s">
        <v>44025</v>
      </c>
      <c r="B16300" t="s">
        <v>8773</v>
      </c>
      <c r="C16300">
        <f>0.49235859334</f>
        <v>0.49235859333999998</v>
      </c>
      <c r="D16300">
        <v>0.95672029112500001</v>
      </c>
      <c r="E16300">
        <v>5.016</v>
      </c>
    </row>
    <row r="16301" spans="1:5">
      <c r="A16301" t="s">
        <v>44025</v>
      </c>
      <c r="B16301" t="s">
        <v>8771</v>
      </c>
      <c r="C16301">
        <v>0.71486813525199999</v>
      </c>
      <c r="D16301">
        <v>0.95672029112500001</v>
      </c>
      <c r="E16301">
        <v>5.016</v>
      </c>
    </row>
    <row r="16302" spans="1:5">
      <c r="A16302" t="s">
        <v>44026</v>
      </c>
      <c r="B16302" t="s">
        <v>44027</v>
      </c>
      <c r="C16302">
        <f>-1.28033390852</f>
        <v>-1.2803339085200001</v>
      </c>
      <c r="D16302">
        <v>0.92392515822900001</v>
      </c>
      <c r="E16302">
        <v>3.3180000000000001</v>
      </c>
    </row>
    <row r="16303" spans="1:5">
      <c r="A16303" t="s">
        <v>44026</v>
      </c>
      <c r="B16303" t="s">
        <v>44028</v>
      </c>
      <c r="C16303">
        <f>0.378072935088</f>
        <v>0.378072935088</v>
      </c>
      <c r="D16303">
        <v>0.92392515822900001</v>
      </c>
      <c r="E16303">
        <v>3.3180000000000001</v>
      </c>
    </row>
    <row r="16304" spans="1:5">
      <c r="A16304" t="s">
        <v>44026</v>
      </c>
      <c r="B16304" t="s">
        <v>44029</v>
      </c>
      <c r="C16304">
        <v>0.44643055458899999</v>
      </c>
      <c r="D16304">
        <v>0.92392515822900001</v>
      </c>
      <c r="E16304">
        <v>3.3180000000000001</v>
      </c>
    </row>
    <row r="16305" spans="1:5">
      <c r="A16305" t="s">
        <v>44026</v>
      </c>
      <c r="B16305" t="s">
        <v>44030</v>
      </c>
      <c r="C16305">
        <v>0.24841224766799999</v>
      </c>
      <c r="D16305">
        <v>0.92392515822900001</v>
      </c>
      <c r="E16305">
        <v>3.3180000000000001</v>
      </c>
    </row>
    <row r="16306" spans="1:5">
      <c r="A16306" t="s">
        <v>44031</v>
      </c>
      <c r="B16306" t="s">
        <v>44032</v>
      </c>
      <c r="C16306">
        <f>0.20118094633</f>
        <v>0.20118094633</v>
      </c>
      <c r="D16306">
        <v>0.99999023109399998</v>
      </c>
      <c r="E16306">
        <v>1.1160000000000001</v>
      </c>
    </row>
    <row r="16307" spans="1:5">
      <c r="A16307" t="s">
        <v>44031</v>
      </c>
      <c r="B16307" t="s">
        <v>44033</v>
      </c>
      <c r="C16307">
        <v>0</v>
      </c>
      <c r="D16307">
        <v>0.99999023109399998</v>
      </c>
      <c r="E16307">
        <v>1.1160000000000001</v>
      </c>
    </row>
    <row r="16308" spans="1:5">
      <c r="A16308" t="s">
        <v>44031</v>
      </c>
      <c r="B16308" t="s">
        <v>44034</v>
      </c>
      <c r="C16308">
        <f>0</f>
        <v>0</v>
      </c>
      <c r="D16308">
        <v>0.99999023109399998</v>
      </c>
      <c r="E16308">
        <v>1.1160000000000001</v>
      </c>
    </row>
    <row r="16309" spans="1:5">
      <c r="A16309" t="s">
        <v>44031</v>
      </c>
      <c r="B16309" t="s">
        <v>44035</v>
      </c>
      <c r="C16309">
        <f>0.00777942394488</f>
        <v>7.7794239448800004E-3</v>
      </c>
      <c r="D16309">
        <v>0.99999023109399998</v>
      </c>
      <c r="E16309">
        <v>1.1160000000000001</v>
      </c>
    </row>
    <row r="16310" spans="1:5">
      <c r="A16310" t="s">
        <v>44031</v>
      </c>
      <c r="B16310" t="s">
        <v>44036</v>
      </c>
      <c r="C16310">
        <f>0.302813430721</f>
        <v>0.30281343072099998</v>
      </c>
      <c r="D16310">
        <v>0.99999023109399998</v>
      </c>
      <c r="E16310">
        <v>1.1160000000000001</v>
      </c>
    </row>
    <row r="16311" spans="1:5">
      <c r="A16311" t="s">
        <v>44031</v>
      </c>
      <c r="B16311" t="s">
        <v>44037</v>
      </c>
      <c r="C16311">
        <f>0.149137176318</f>
        <v>0.149137176318</v>
      </c>
      <c r="D16311">
        <v>0.99999023109399998</v>
      </c>
      <c r="E16311">
        <v>1.1160000000000001</v>
      </c>
    </row>
    <row r="16312" spans="1:5">
      <c r="A16312" t="s">
        <v>44031</v>
      </c>
      <c r="B16312" t="s">
        <v>44038</v>
      </c>
      <c r="C16312">
        <f>0</f>
        <v>0</v>
      </c>
      <c r="D16312">
        <v>0.99999023109399998</v>
      </c>
      <c r="E16312">
        <v>1.1160000000000001</v>
      </c>
    </row>
    <row r="16313" spans="1:5">
      <c r="A16313" t="s">
        <v>44031</v>
      </c>
      <c r="B16313" t="s">
        <v>44039</v>
      </c>
      <c r="C16313">
        <v>0</v>
      </c>
      <c r="D16313">
        <v>0.99999023109399998</v>
      </c>
      <c r="E16313">
        <v>1.1160000000000001</v>
      </c>
    </row>
    <row r="16314" spans="1:5">
      <c r="A16314" t="s">
        <v>44031</v>
      </c>
      <c r="B16314" t="s">
        <v>44040</v>
      </c>
      <c r="C16314">
        <f>0.610112839048</f>
        <v>0.61011283904799996</v>
      </c>
      <c r="D16314">
        <v>0.99999023109399998</v>
      </c>
      <c r="E16314">
        <v>1.1160000000000001</v>
      </c>
    </row>
    <row r="16315" spans="1:5">
      <c r="A16315" t="s">
        <v>44031</v>
      </c>
      <c r="B16315" t="s">
        <v>44041</v>
      </c>
      <c r="C16315">
        <f>0.174862783368</f>
        <v>0.17486278336800001</v>
      </c>
      <c r="D16315">
        <v>0.99999023109399998</v>
      </c>
      <c r="E16315">
        <v>1.1160000000000001</v>
      </c>
    </row>
    <row r="16316" spans="1:5">
      <c r="A16316" t="s">
        <v>44031</v>
      </c>
      <c r="B16316" t="s">
        <v>44042</v>
      </c>
      <c r="C16316">
        <v>0.140709935062</v>
      </c>
      <c r="D16316">
        <v>0.99999023109399998</v>
      </c>
      <c r="E16316">
        <v>1.1160000000000001</v>
      </c>
    </row>
    <row r="16317" spans="1:5">
      <c r="A16317" t="s">
        <v>44031</v>
      </c>
      <c r="B16317" t="s">
        <v>44043</v>
      </c>
      <c r="C16317">
        <f>0.254023018092</f>
        <v>0.25402301809200001</v>
      </c>
      <c r="D16317">
        <v>0.99999023109399998</v>
      </c>
      <c r="E16317">
        <v>1.1160000000000001</v>
      </c>
    </row>
    <row r="16318" spans="1:5">
      <c r="A16318" t="s">
        <v>44031</v>
      </c>
      <c r="B16318" t="s">
        <v>44044</v>
      </c>
      <c r="C16318">
        <v>0</v>
      </c>
      <c r="D16318">
        <v>0.99999023109399998</v>
      </c>
      <c r="E16318">
        <v>1.1160000000000001</v>
      </c>
    </row>
    <row r="16319" spans="1:5">
      <c r="A16319" t="s">
        <v>44045</v>
      </c>
      <c r="B16319" t="s">
        <v>44046</v>
      </c>
      <c r="C16319">
        <v>0</v>
      </c>
      <c r="D16319">
        <v>0.75184643127399997</v>
      </c>
      <c r="E16319">
        <v>0.216</v>
      </c>
    </row>
    <row r="16320" spans="1:5">
      <c r="A16320" t="s">
        <v>44045</v>
      </c>
      <c r="B16320" t="s">
        <v>44047</v>
      </c>
      <c r="C16320">
        <f>0.289436431274</f>
        <v>0.28943643127399998</v>
      </c>
      <c r="D16320">
        <v>0.75184643127399997</v>
      </c>
      <c r="E16320">
        <v>0.216</v>
      </c>
    </row>
    <row r="16321" spans="1:5">
      <c r="A16321" t="s">
        <v>44045</v>
      </c>
      <c r="B16321" t="s">
        <v>44048</v>
      </c>
      <c r="C16321">
        <v>0</v>
      </c>
      <c r="D16321">
        <v>0.75184643127399997</v>
      </c>
      <c r="E16321">
        <v>0.216</v>
      </c>
    </row>
    <row r="16322" spans="1:5">
      <c r="A16322" t="s">
        <v>44045</v>
      </c>
      <c r="B16322" t="s">
        <v>44049</v>
      </c>
      <c r="C16322">
        <v>0</v>
      </c>
      <c r="D16322">
        <v>0.75184643127399997</v>
      </c>
      <c r="E16322">
        <v>0.216</v>
      </c>
    </row>
    <row r="16323" spans="1:5">
      <c r="A16323" t="s">
        <v>44045</v>
      </c>
      <c r="B16323" t="s">
        <v>44050</v>
      </c>
      <c r="C16323">
        <f>0</f>
        <v>0</v>
      </c>
      <c r="D16323">
        <v>0.75184643127399997</v>
      </c>
      <c r="E16323">
        <v>0.216</v>
      </c>
    </row>
    <row r="16324" spans="1:5">
      <c r="A16324" t="s">
        <v>44045</v>
      </c>
      <c r="B16324" t="s">
        <v>44051</v>
      </c>
      <c r="C16324">
        <f>0</f>
        <v>0</v>
      </c>
      <c r="D16324">
        <v>0.75184643127399997</v>
      </c>
      <c r="E16324">
        <v>0.216</v>
      </c>
    </row>
    <row r="16325" spans="1:5">
      <c r="A16325" t="s">
        <v>44045</v>
      </c>
      <c r="B16325" t="s">
        <v>44052</v>
      </c>
      <c r="C16325">
        <f>0</f>
        <v>0</v>
      </c>
      <c r="D16325">
        <v>0.75184643127399997</v>
      </c>
      <c r="E16325">
        <v>0.216</v>
      </c>
    </row>
    <row r="16326" spans="1:5">
      <c r="A16326" t="s">
        <v>44045</v>
      </c>
      <c r="B16326" t="s">
        <v>44053</v>
      </c>
      <c r="C16326">
        <v>0</v>
      </c>
      <c r="D16326">
        <v>0.75184643127399997</v>
      </c>
      <c r="E16326">
        <v>0.216</v>
      </c>
    </row>
    <row r="16327" spans="1:5">
      <c r="A16327" t="s">
        <v>44054</v>
      </c>
      <c r="B16327" t="s">
        <v>10125</v>
      </c>
      <c r="C16327">
        <f>0.154657930511</f>
        <v>0.15465793051099999</v>
      </c>
      <c r="D16327">
        <v>0.89214854743899996</v>
      </c>
      <c r="E16327">
        <v>22.103999999999999</v>
      </c>
    </row>
    <row r="16328" spans="1:5">
      <c r="A16328" t="s">
        <v>44054</v>
      </c>
      <c r="B16328" t="s">
        <v>10129</v>
      </c>
      <c r="C16328">
        <v>0.54216901058599998</v>
      </c>
      <c r="D16328">
        <v>0.89214854743899996</v>
      </c>
      <c r="E16328">
        <v>22.103999999999999</v>
      </c>
    </row>
    <row r="16329" spans="1:5">
      <c r="A16329" t="s">
        <v>44054</v>
      </c>
      <c r="B16329" t="s">
        <v>10134</v>
      </c>
      <c r="C16329">
        <f>0.678123869319</f>
        <v>0.67812386931900004</v>
      </c>
      <c r="D16329">
        <v>0.89214854743899996</v>
      </c>
      <c r="E16329">
        <v>22.103999999999999</v>
      </c>
    </row>
    <row r="16330" spans="1:5">
      <c r="A16330" t="s">
        <v>44054</v>
      </c>
      <c r="B16330" t="s">
        <v>10128</v>
      </c>
      <c r="C16330">
        <v>3.6691368133800001E-2</v>
      </c>
      <c r="D16330">
        <v>0.89214854743899996</v>
      </c>
      <c r="E16330">
        <v>22.103999999999999</v>
      </c>
    </row>
    <row r="16331" spans="1:5">
      <c r="A16331" t="s">
        <v>44054</v>
      </c>
      <c r="B16331" t="s">
        <v>10136</v>
      </c>
      <c r="C16331">
        <v>0</v>
      </c>
      <c r="D16331">
        <v>0.89214854743899996</v>
      </c>
      <c r="E16331">
        <v>22.103999999999999</v>
      </c>
    </row>
    <row r="16332" spans="1:5">
      <c r="A16332" t="s">
        <v>44055</v>
      </c>
      <c r="B16332" t="s">
        <v>32435</v>
      </c>
      <c r="C16332">
        <v>0</v>
      </c>
      <c r="D16332" t="s">
        <v>106</v>
      </c>
      <c r="E16332">
        <v>4.9080000000000004</v>
      </c>
    </row>
    <row r="16333" spans="1:5">
      <c r="A16333" t="s">
        <v>44055</v>
      </c>
      <c r="B16333" t="s">
        <v>32438</v>
      </c>
      <c r="C16333">
        <v>0</v>
      </c>
      <c r="D16333" t="s">
        <v>106</v>
      </c>
      <c r="E16333">
        <v>4.9080000000000004</v>
      </c>
    </row>
    <row r="16334" spans="1:5">
      <c r="A16334" t="s">
        <v>44056</v>
      </c>
      <c r="B16334" t="s">
        <v>44057</v>
      </c>
      <c r="C16334">
        <f>0.383060448659</f>
        <v>0.38306044865900002</v>
      </c>
      <c r="D16334">
        <v>0.96674956886200003</v>
      </c>
      <c r="E16334">
        <v>16.097999999999999</v>
      </c>
    </row>
    <row r="16335" spans="1:5">
      <c r="A16335" t="s">
        <v>44056</v>
      </c>
      <c r="B16335" t="s">
        <v>44058</v>
      </c>
      <c r="C16335">
        <v>0</v>
      </c>
      <c r="D16335">
        <v>0.96674956886200003</v>
      </c>
      <c r="E16335">
        <v>16.097999999999999</v>
      </c>
    </row>
    <row r="16336" spans="1:5">
      <c r="A16336" t="s">
        <v>44056</v>
      </c>
      <c r="B16336" t="s">
        <v>44059</v>
      </c>
      <c r="C16336">
        <f>0.37866005894</f>
        <v>0.37866005893999999</v>
      </c>
      <c r="D16336">
        <v>0.96674956886200003</v>
      </c>
      <c r="E16336">
        <v>16.097999999999999</v>
      </c>
    </row>
    <row r="16337" spans="1:5">
      <c r="A16337" t="s">
        <v>44056</v>
      </c>
      <c r="B16337" t="s">
        <v>44060</v>
      </c>
      <c r="C16337">
        <f>0</f>
        <v>0</v>
      </c>
      <c r="D16337">
        <v>0.96674956886200003</v>
      </c>
      <c r="E16337">
        <v>16.097999999999999</v>
      </c>
    </row>
    <row r="16338" spans="1:5">
      <c r="A16338" t="s">
        <v>44056</v>
      </c>
      <c r="B16338" t="s">
        <v>44061</v>
      </c>
      <c r="C16338">
        <v>0.47242999194200003</v>
      </c>
      <c r="D16338">
        <v>0.96674956886200003</v>
      </c>
      <c r="E16338">
        <v>16.097999999999999</v>
      </c>
    </row>
    <row r="16339" spans="1:5">
      <c r="A16339" t="s">
        <v>44056</v>
      </c>
      <c r="B16339" t="s">
        <v>44062</v>
      </c>
      <c r="C16339">
        <v>0.20950613776999999</v>
      </c>
      <c r="D16339">
        <v>0.96674956886200003</v>
      </c>
      <c r="E16339">
        <v>16.097999999999999</v>
      </c>
    </row>
    <row r="16340" spans="1:5">
      <c r="A16340" t="s">
        <v>44056</v>
      </c>
      <c r="B16340" t="s">
        <v>44063</v>
      </c>
      <c r="C16340">
        <f>0.241853068895</f>
        <v>0.241853068895</v>
      </c>
      <c r="D16340">
        <v>0.96674956886200003</v>
      </c>
      <c r="E16340">
        <v>16.097999999999999</v>
      </c>
    </row>
    <row r="16341" spans="1:5">
      <c r="A16341" t="s">
        <v>44056</v>
      </c>
      <c r="B16341" t="s">
        <v>44064</v>
      </c>
      <c r="C16341">
        <f>0.220968418587</f>
        <v>0.220968418587</v>
      </c>
      <c r="D16341">
        <v>0.96674956886200003</v>
      </c>
      <c r="E16341">
        <v>16.097999999999999</v>
      </c>
    </row>
    <row r="16342" spans="1:5">
      <c r="A16342" t="s">
        <v>44056</v>
      </c>
      <c r="B16342" t="s">
        <v>44065</v>
      </c>
      <c r="C16342">
        <f>0</f>
        <v>0</v>
      </c>
      <c r="D16342">
        <v>0.96674956886200003</v>
      </c>
      <c r="E16342">
        <v>16.097999999999999</v>
      </c>
    </row>
    <row r="16343" spans="1:5">
      <c r="A16343" t="s">
        <v>44066</v>
      </c>
      <c r="B16343" t="s">
        <v>44067</v>
      </c>
      <c r="C16343">
        <f>0</f>
        <v>0</v>
      </c>
      <c r="D16343" t="s">
        <v>106</v>
      </c>
      <c r="E16343">
        <v>24</v>
      </c>
    </row>
    <row r="16344" spans="1:5">
      <c r="A16344" t="s">
        <v>44066</v>
      </c>
      <c r="B16344" t="s">
        <v>44068</v>
      </c>
      <c r="C16344">
        <f>0</f>
        <v>0</v>
      </c>
      <c r="D16344" t="s">
        <v>106</v>
      </c>
      <c r="E16344">
        <v>24</v>
      </c>
    </row>
    <row r="16345" spans="1:5">
      <c r="A16345" t="s">
        <v>44066</v>
      </c>
      <c r="B16345" t="s">
        <v>44069</v>
      </c>
      <c r="C16345">
        <v>0</v>
      </c>
      <c r="D16345" t="s">
        <v>106</v>
      </c>
      <c r="E16345">
        <v>24</v>
      </c>
    </row>
    <row r="16346" spans="1:5">
      <c r="A16346" t="s">
        <v>44070</v>
      </c>
      <c r="B16346" t="s">
        <v>44071</v>
      </c>
      <c r="C16346">
        <v>0</v>
      </c>
      <c r="D16346">
        <v>0.97021828275599997</v>
      </c>
      <c r="E16346">
        <v>3.4079999999999999</v>
      </c>
    </row>
    <row r="16347" spans="1:5">
      <c r="A16347" t="s">
        <v>44070</v>
      </c>
      <c r="B16347" t="s">
        <v>44072</v>
      </c>
      <c r="C16347">
        <v>3.3474850393400001E-2</v>
      </c>
      <c r="D16347">
        <v>0.97021828275599997</v>
      </c>
      <c r="E16347">
        <v>3.4079999999999999</v>
      </c>
    </row>
    <row r="16348" spans="1:5">
      <c r="A16348" t="s">
        <v>44070</v>
      </c>
      <c r="B16348" t="s">
        <v>44073</v>
      </c>
      <c r="C16348">
        <f>0.867736400466</f>
        <v>0.86773640046599998</v>
      </c>
      <c r="D16348">
        <v>0.97021828275599997</v>
      </c>
      <c r="E16348">
        <v>3.4079999999999999</v>
      </c>
    </row>
    <row r="16349" spans="1:5">
      <c r="A16349" t="s">
        <v>44070</v>
      </c>
      <c r="B16349" t="s">
        <v>44074</v>
      </c>
      <c r="C16349">
        <v>0</v>
      </c>
      <c r="D16349">
        <v>0.97021828275599997</v>
      </c>
      <c r="E16349">
        <v>3.4079999999999999</v>
      </c>
    </row>
    <row r="16350" spans="1:5">
      <c r="A16350" t="s">
        <v>44070</v>
      </c>
      <c r="B16350" t="s">
        <v>44075</v>
      </c>
      <c r="C16350">
        <v>0</v>
      </c>
      <c r="D16350">
        <v>0.97021828275599997</v>
      </c>
      <c r="E16350">
        <v>3.4079999999999999</v>
      </c>
    </row>
    <row r="16351" spans="1:5">
      <c r="A16351" t="s">
        <v>44070</v>
      </c>
      <c r="B16351" t="s">
        <v>44076</v>
      </c>
      <c r="C16351">
        <f>0.141648635709</f>
        <v>0.14164863570899999</v>
      </c>
      <c r="D16351">
        <v>0.97021828275599997</v>
      </c>
      <c r="E16351">
        <v>3.4079999999999999</v>
      </c>
    </row>
    <row r="16352" spans="1:5">
      <c r="A16352" t="s">
        <v>44077</v>
      </c>
      <c r="B16352" t="s">
        <v>13503</v>
      </c>
      <c r="C16352">
        <v>0.21285412794</v>
      </c>
      <c r="D16352">
        <v>0.99999422596700005</v>
      </c>
      <c r="E16352">
        <v>7.8719999999999999</v>
      </c>
    </row>
    <row r="16353" spans="1:5">
      <c r="A16353" t="s">
        <v>44077</v>
      </c>
      <c r="B16353" t="s">
        <v>13502</v>
      </c>
      <c r="C16353">
        <f>0.0813225579535</f>
        <v>8.1322557953500005E-2</v>
      </c>
      <c r="D16353">
        <v>0.99999422596700005</v>
      </c>
      <c r="E16353">
        <v>7.8719999999999999</v>
      </c>
    </row>
    <row r="16354" spans="1:5">
      <c r="A16354" t="s">
        <v>44077</v>
      </c>
      <c r="B16354" t="s">
        <v>13508</v>
      </c>
      <c r="C16354">
        <v>0.23990947745499999</v>
      </c>
      <c r="D16354">
        <v>0.99999422596700005</v>
      </c>
      <c r="E16354">
        <v>7.8719999999999999</v>
      </c>
    </row>
    <row r="16355" spans="1:5">
      <c r="A16355" t="s">
        <v>44077</v>
      </c>
      <c r="B16355" t="s">
        <v>13506</v>
      </c>
      <c r="C16355">
        <f>0.252371682372</f>
        <v>0.25237168237199997</v>
      </c>
      <c r="D16355">
        <v>0.99999422596700005</v>
      </c>
      <c r="E16355">
        <v>7.8719999999999999</v>
      </c>
    </row>
    <row r="16356" spans="1:5">
      <c r="A16356" t="s">
        <v>44077</v>
      </c>
      <c r="B16356" t="s">
        <v>13509</v>
      </c>
      <c r="C16356">
        <v>0.104634803853</v>
      </c>
      <c r="D16356">
        <v>0.99999422596700005</v>
      </c>
      <c r="E16356">
        <v>7.8719999999999999</v>
      </c>
    </row>
    <row r="16357" spans="1:5">
      <c r="A16357" t="s">
        <v>44077</v>
      </c>
      <c r="B16357" t="s">
        <v>13504</v>
      </c>
      <c r="C16357">
        <v>0</v>
      </c>
      <c r="D16357">
        <v>0.99999422596700005</v>
      </c>
      <c r="E16357">
        <v>7.8719999999999999</v>
      </c>
    </row>
    <row r="16358" spans="1:5">
      <c r="A16358" t="s">
        <v>44077</v>
      </c>
      <c r="B16358" t="s">
        <v>13510</v>
      </c>
      <c r="C16358">
        <v>9.6129038203999997E-2</v>
      </c>
      <c r="D16358">
        <v>0.99999422596700005</v>
      </c>
      <c r="E16358">
        <v>7.8719999999999999</v>
      </c>
    </row>
    <row r="16359" spans="1:5">
      <c r="A16359" t="s">
        <v>44077</v>
      </c>
      <c r="B16359" t="s">
        <v>13505</v>
      </c>
      <c r="C16359">
        <f>0.468135721454</f>
        <v>0.46813572145400001</v>
      </c>
      <c r="D16359">
        <v>0.99999422596700005</v>
      </c>
      <c r="E16359">
        <v>7.8719999999999999</v>
      </c>
    </row>
    <row r="16360" spans="1:5">
      <c r="A16360" t="s">
        <v>44077</v>
      </c>
      <c r="B16360" t="s">
        <v>13507</v>
      </c>
      <c r="C16360">
        <v>0</v>
      </c>
      <c r="D16360">
        <v>0.99999422596700005</v>
      </c>
      <c r="E16360">
        <v>7.8719999999999999</v>
      </c>
    </row>
    <row r="16361" spans="1:5">
      <c r="A16361" t="s">
        <v>44077</v>
      </c>
      <c r="B16361" t="s">
        <v>13501</v>
      </c>
      <c r="C16361">
        <v>0.68643981381100005</v>
      </c>
      <c r="D16361">
        <v>0.99999422596700005</v>
      </c>
      <c r="E16361">
        <v>7.8719999999999999</v>
      </c>
    </row>
    <row r="16362" spans="1:5">
      <c r="A16362" t="s">
        <v>44078</v>
      </c>
      <c r="B16362" t="s">
        <v>20936</v>
      </c>
      <c r="C16362">
        <f>0.337633991374</f>
        <v>0.33763399137400002</v>
      </c>
      <c r="D16362">
        <v>0.93691154104200003</v>
      </c>
      <c r="E16362">
        <v>24</v>
      </c>
    </row>
    <row r="16363" spans="1:5">
      <c r="A16363" t="s">
        <v>44078</v>
      </c>
      <c r="B16363" t="s">
        <v>20940</v>
      </c>
      <c r="C16363">
        <v>9.0793456626499999E-2</v>
      </c>
      <c r="D16363">
        <v>0.93691154104200003</v>
      </c>
      <c r="E16363">
        <v>24</v>
      </c>
    </row>
    <row r="16364" spans="1:5">
      <c r="A16364" t="s">
        <v>44078</v>
      </c>
      <c r="B16364" t="s">
        <v>20939</v>
      </c>
      <c r="C16364">
        <v>0.92948931995999995</v>
      </c>
      <c r="D16364">
        <v>0.93691154104200003</v>
      </c>
      <c r="E16364">
        <v>24</v>
      </c>
    </row>
    <row r="16365" spans="1:5">
      <c r="A16365" t="s">
        <v>44079</v>
      </c>
      <c r="B16365" t="s">
        <v>5000</v>
      </c>
      <c r="C16365">
        <v>0</v>
      </c>
      <c r="D16365">
        <v>0.84845640395999999</v>
      </c>
      <c r="E16365">
        <v>3.6840000000000002</v>
      </c>
    </row>
    <row r="16366" spans="1:5">
      <c r="A16366" t="s">
        <v>44079</v>
      </c>
      <c r="B16366" t="s">
        <v>4993</v>
      </c>
      <c r="C16366">
        <v>0</v>
      </c>
      <c r="D16366">
        <v>0.84845640395999999</v>
      </c>
      <c r="E16366">
        <v>3.6840000000000002</v>
      </c>
    </row>
    <row r="16367" spans="1:5">
      <c r="A16367" t="s">
        <v>44079</v>
      </c>
      <c r="B16367" t="s">
        <v>4994</v>
      </c>
      <c r="C16367">
        <v>0</v>
      </c>
      <c r="D16367">
        <v>0.84845640395999999</v>
      </c>
      <c r="E16367">
        <v>3.6840000000000002</v>
      </c>
    </row>
    <row r="16368" spans="1:5">
      <c r="A16368" t="s">
        <v>44079</v>
      </c>
      <c r="B16368" t="s">
        <v>4999</v>
      </c>
      <c r="C16368">
        <v>0</v>
      </c>
      <c r="D16368">
        <v>0.84845640395999999</v>
      </c>
      <c r="E16368">
        <v>3.6840000000000002</v>
      </c>
    </row>
    <row r="16369" spans="1:5">
      <c r="A16369" t="s">
        <v>44079</v>
      </c>
      <c r="B16369" t="s">
        <v>4998</v>
      </c>
      <c r="C16369">
        <v>0.38604640396000001</v>
      </c>
      <c r="D16369">
        <v>0.84845640395999999</v>
      </c>
      <c r="E16369">
        <v>3.6840000000000002</v>
      </c>
    </row>
    <row r="16370" spans="1:5">
      <c r="A16370" t="s">
        <v>44079</v>
      </c>
      <c r="B16370" t="s">
        <v>5001</v>
      </c>
      <c r="C16370">
        <f>0</f>
        <v>0</v>
      </c>
      <c r="D16370">
        <v>0.84845640395999999</v>
      </c>
      <c r="E16370">
        <v>3.6840000000000002</v>
      </c>
    </row>
    <row r="16371" spans="1:5">
      <c r="A16371" t="s">
        <v>44079</v>
      </c>
      <c r="B16371" t="s">
        <v>4996</v>
      </c>
      <c r="C16371">
        <v>0</v>
      </c>
      <c r="D16371">
        <v>0.84845640395999999</v>
      </c>
      <c r="E16371">
        <v>3.6840000000000002</v>
      </c>
    </row>
    <row r="16372" spans="1:5">
      <c r="A16372" t="s">
        <v>44079</v>
      </c>
      <c r="B16372" t="s">
        <v>4995</v>
      </c>
      <c r="C16372">
        <f>0</f>
        <v>0</v>
      </c>
      <c r="D16372">
        <v>0.84845640395999999</v>
      </c>
      <c r="E16372">
        <v>3.6840000000000002</v>
      </c>
    </row>
    <row r="16373" spans="1:5">
      <c r="A16373" t="s">
        <v>44079</v>
      </c>
      <c r="B16373" t="s">
        <v>4997</v>
      </c>
      <c r="C16373">
        <v>0</v>
      </c>
      <c r="D16373">
        <v>0.84845640395999999</v>
      </c>
      <c r="E16373">
        <v>3.6840000000000002</v>
      </c>
    </row>
    <row r="16374" spans="1:5">
      <c r="A16374" t="s">
        <v>44080</v>
      </c>
      <c r="B16374" t="s">
        <v>17138</v>
      </c>
      <c r="C16374">
        <v>0.65137247556699995</v>
      </c>
      <c r="D16374">
        <v>0.83390563358199998</v>
      </c>
      <c r="E16374">
        <v>12.048</v>
      </c>
    </row>
    <row r="16375" spans="1:5">
      <c r="A16375" t="s">
        <v>44080</v>
      </c>
      <c r="B16375" t="s">
        <v>17136</v>
      </c>
      <c r="C16375">
        <f>0.301036371705</f>
        <v>0.30103637170500003</v>
      </c>
      <c r="D16375">
        <v>0.83390563358199998</v>
      </c>
      <c r="E16375">
        <v>12.048</v>
      </c>
    </row>
    <row r="16376" spans="1:5">
      <c r="A16376" t="s">
        <v>44081</v>
      </c>
      <c r="B16376" t="s">
        <v>44082</v>
      </c>
      <c r="C16376">
        <f>0.599723802707</f>
        <v>0.59972380270699999</v>
      </c>
      <c r="D16376">
        <v>0.72933380270699999</v>
      </c>
      <c r="E16376">
        <v>0.87</v>
      </c>
    </row>
    <row r="16377" spans="1:5">
      <c r="A16377" t="s">
        <v>44081</v>
      </c>
      <c r="B16377" t="s">
        <v>44083</v>
      </c>
      <c r="C16377">
        <v>0</v>
      </c>
      <c r="D16377">
        <v>0.72933380270699999</v>
      </c>
      <c r="E16377">
        <v>0.87</v>
      </c>
    </row>
    <row r="16378" spans="1:5">
      <c r="A16378" t="s">
        <v>44081</v>
      </c>
      <c r="B16378" t="s">
        <v>44084</v>
      </c>
      <c r="C16378">
        <f>0</f>
        <v>0</v>
      </c>
      <c r="D16378">
        <v>0.72933380270699999</v>
      </c>
      <c r="E16378">
        <v>0.87</v>
      </c>
    </row>
    <row r="16379" spans="1:5">
      <c r="A16379" t="s">
        <v>44085</v>
      </c>
      <c r="B16379" t="s">
        <v>44086</v>
      </c>
      <c r="C16379">
        <f>0</f>
        <v>0</v>
      </c>
      <c r="D16379" t="s">
        <v>106</v>
      </c>
      <c r="E16379">
        <v>4.8</v>
      </c>
    </row>
    <row r="16380" spans="1:5">
      <c r="A16380" t="s">
        <v>44085</v>
      </c>
      <c r="B16380" t="s">
        <v>44087</v>
      </c>
      <c r="C16380">
        <f>0</f>
        <v>0</v>
      </c>
      <c r="D16380" t="s">
        <v>106</v>
      </c>
      <c r="E16380">
        <v>4.8</v>
      </c>
    </row>
    <row r="16381" spans="1:5">
      <c r="A16381" t="s">
        <v>44088</v>
      </c>
      <c r="B16381" t="s">
        <v>44089</v>
      </c>
      <c r="C16381">
        <v>0</v>
      </c>
      <c r="D16381">
        <v>0.95805585765400003</v>
      </c>
      <c r="E16381">
        <v>1.83</v>
      </c>
    </row>
    <row r="16382" spans="1:5">
      <c r="A16382" t="s">
        <v>44088</v>
      </c>
      <c r="B16382" t="s">
        <v>44090</v>
      </c>
      <c r="C16382">
        <v>0.51762344372699998</v>
      </c>
      <c r="D16382">
        <v>0.95805585765400003</v>
      </c>
      <c r="E16382">
        <v>1.83</v>
      </c>
    </row>
    <row r="16383" spans="1:5">
      <c r="A16383" t="s">
        <v>44088</v>
      </c>
      <c r="B16383" t="s">
        <v>44091</v>
      </c>
      <c r="C16383">
        <v>0.88321691508199995</v>
      </c>
      <c r="D16383">
        <v>0.95805585765400003</v>
      </c>
      <c r="E16383">
        <v>1.83</v>
      </c>
    </row>
    <row r="16384" spans="1:5">
      <c r="A16384" t="s">
        <v>44088</v>
      </c>
      <c r="B16384" t="s">
        <v>44092</v>
      </c>
      <c r="C16384">
        <f>0.115323639454</f>
        <v>0.115323639454</v>
      </c>
      <c r="D16384">
        <v>0.95805585765400003</v>
      </c>
      <c r="E16384">
        <v>1.83</v>
      </c>
    </row>
    <row r="16385" spans="1:5">
      <c r="A16385" t="s">
        <v>44088</v>
      </c>
      <c r="B16385" t="s">
        <v>44093</v>
      </c>
      <c r="C16385">
        <f>0.162872808605</f>
        <v>0.162872808605</v>
      </c>
      <c r="D16385">
        <v>0.95805585765400003</v>
      </c>
      <c r="E16385">
        <v>1.83</v>
      </c>
    </row>
    <row r="16386" spans="1:5">
      <c r="A16386" t="s">
        <v>44094</v>
      </c>
      <c r="B16386" t="s">
        <v>44095</v>
      </c>
      <c r="C16386">
        <f>0</f>
        <v>0</v>
      </c>
      <c r="D16386" t="s">
        <v>106</v>
      </c>
      <c r="E16386">
        <v>24</v>
      </c>
    </row>
    <row r="16387" spans="1:5">
      <c r="A16387" t="s">
        <v>44094</v>
      </c>
      <c r="B16387" t="s">
        <v>44096</v>
      </c>
      <c r="C16387">
        <v>0</v>
      </c>
      <c r="D16387" t="s">
        <v>106</v>
      </c>
      <c r="E16387">
        <v>24</v>
      </c>
    </row>
    <row r="16388" spans="1:5">
      <c r="A16388" t="s">
        <v>44097</v>
      </c>
      <c r="B16388" t="s">
        <v>31204</v>
      </c>
      <c r="C16388">
        <f>0.0424331983948</f>
        <v>4.2433198394799997E-2</v>
      </c>
      <c r="D16388">
        <v>0.88900806865100002</v>
      </c>
      <c r="E16388">
        <v>23.754000000000001</v>
      </c>
    </row>
    <row r="16389" spans="1:5">
      <c r="A16389" t="s">
        <v>44097</v>
      </c>
      <c r="B16389" t="s">
        <v>31203</v>
      </c>
      <c r="C16389">
        <v>0.46003606938800001</v>
      </c>
      <c r="D16389">
        <v>0.88900806865100002</v>
      </c>
      <c r="E16389">
        <v>23.754000000000001</v>
      </c>
    </row>
    <row r="16390" spans="1:5">
      <c r="A16390" t="s">
        <v>44097</v>
      </c>
      <c r="B16390" t="s">
        <v>31202</v>
      </c>
      <c r="C16390">
        <v>0.86018769555999997</v>
      </c>
      <c r="D16390">
        <v>0.88900806865100002</v>
      </c>
      <c r="E16390">
        <v>23.754000000000001</v>
      </c>
    </row>
    <row r="16391" spans="1:5">
      <c r="A16391" t="s">
        <v>44098</v>
      </c>
      <c r="B16391" t="s">
        <v>28605</v>
      </c>
      <c r="C16391">
        <v>0</v>
      </c>
      <c r="D16391" t="s">
        <v>106</v>
      </c>
      <c r="E16391">
        <v>24</v>
      </c>
    </row>
    <row r="16392" spans="1:5">
      <c r="A16392" t="s">
        <v>44098</v>
      </c>
      <c r="B16392" t="s">
        <v>28610</v>
      </c>
      <c r="C16392">
        <v>0</v>
      </c>
      <c r="D16392" t="s">
        <v>106</v>
      </c>
      <c r="E16392">
        <v>24</v>
      </c>
    </row>
    <row r="16393" spans="1:5">
      <c r="A16393" t="s">
        <v>44098</v>
      </c>
      <c r="B16393" t="s">
        <v>28607</v>
      </c>
      <c r="C16393">
        <v>0</v>
      </c>
      <c r="D16393" t="s">
        <v>106</v>
      </c>
      <c r="E16393">
        <v>24</v>
      </c>
    </row>
    <row r="16394" spans="1:5">
      <c r="A16394" t="s">
        <v>44098</v>
      </c>
      <c r="B16394" t="s">
        <v>28608</v>
      </c>
      <c r="C16394">
        <v>0</v>
      </c>
      <c r="D16394" t="s">
        <v>106</v>
      </c>
      <c r="E16394">
        <v>24</v>
      </c>
    </row>
    <row r="16395" spans="1:5">
      <c r="A16395" t="s">
        <v>44099</v>
      </c>
      <c r="B16395" t="s">
        <v>11831</v>
      </c>
      <c r="C16395">
        <v>0</v>
      </c>
      <c r="D16395">
        <v>0.999985273796</v>
      </c>
      <c r="E16395">
        <v>0</v>
      </c>
    </row>
    <row r="16396" spans="1:5">
      <c r="A16396" t="s">
        <v>44099</v>
      </c>
      <c r="B16396" t="s">
        <v>11841</v>
      </c>
      <c r="C16396">
        <v>0</v>
      </c>
      <c r="D16396">
        <v>0.999985273796</v>
      </c>
      <c r="E16396">
        <v>0</v>
      </c>
    </row>
    <row r="16397" spans="1:5">
      <c r="A16397" t="s">
        <v>44099</v>
      </c>
      <c r="B16397" t="s">
        <v>11830</v>
      </c>
      <c r="C16397">
        <v>0</v>
      </c>
      <c r="D16397">
        <v>0.999985273796</v>
      </c>
      <c r="E16397">
        <v>0</v>
      </c>
    </row>
    <row r="16398" spans="1:5">
      <c r="A16398" t="s">
        <v>44099</v>
      </c>
      <c r="B16398" t="s">
        <v>11842</v>
      </c>
      <c r="C16398">
        <v>0.21946554532000001</v>
      </c>
      <c r="D16398">
        <v>0.999985273796</v>
      </c>
      <c r="E16398">
        <v>0</v>
      </c>
    </row>
    <row r="16399" spans="1:5">
      <c r="A16399" t="s">
        <v>44099</v>
      </c>
      <c r="B16399" t="s">
        <v>11826</v>
      </c>
      <c r="C16399">
        <f>0</f>
        <v>0</v>
      </c>
      <c r="D16399">
        <v>0.999985273796</v>
      </c>
      <c r="E16399">
        <v>0</v>
      </c>
    </row>
    <row r="16400" spans="1:5">
      <c r="A16400" t="s">
        <v>44099</v>
      </c>
      <c r="B16400" t="s">
        <v>11820</v>
      </c>
      <c r="C16400">
        <f>0</f>
        <v>0</v>
      </c>
      <c r="D16400">
        <v>0.999985273796</v>
      </c>
      <c r="E16400">
        <v>0</v>
      </c>
    </row>
    <row r="16401" spans="1:5">
      <c r="A16401" t="s">
        <v>44099</v>
      </c>
      <c r="B16401" t="s">
        <v>11838</v>
      </c>
      <c r="C16401">
        <f>0</f>
        <v>0</v>
      </c>
      <c r="D16401">
        <v>0.999985273796</v>
      </c>
      <c r="E16401">
        <v>0</v>
      </c>
    </row>
    <row r="16402" spans="1:5">
      <c r="A16402" t="s">
        <v>44099</v>
      </c>
      <c r="B16402" t="s">
        <v>11846</v>
      </c>
      <c r="C16402">
        <f>0.362596702064</f>
        <v>0.36259670206400002</v>
      </c>
      <c r="D16402">
        <v>0.999985273796</v>
      </c>
      <c r="E16402">
        <v>0</v>
      </c>
    </row>
    <row r="16403" spans="1:5">
      <c r="A16403" t="s">
        <v>44099</v>
      </c>
      <c r="B16403" t="s">
        <v>11821</v>
      </c>
      <c r="C16403">
        <f>0</f>
        <v>0</v>
      </c>
      <c r="D16403">
        <v>0.999985273796</v>
      </c>
      <c r="E16403">
        <v>0</v>
      </c>
    </row>
    <row r="16404" spans="1:5">
      <c r="A16404" t="s">
        <v>44099</v>
      </c>
      <c r="B16404" t="s">
        <v>44100</v>
      </c>
      <c r="C16404">
        <f>0</f>
        <v>0</v>
      </c>
      <c r="D16404">
        <v>0.999985273796</v>
      </c>
      <c r="E16404">
        <v>0</v>
      </c>
    </row>
    <row r="16405" spans="1:5">
      <c r="A16405" t="s">
        <v>44099</v>
      </c>
      <c r="B16405" t="s">
        <v>11824</v>
      </c>
      <c r="C16405">
        <v>0.39525965174299998</v>
      </c>
      <c r="D16405">
        <v>0.999985273796</v>
      </c>
      <c r="E16405">
        <v>0</v>
      </c>
    </row>
    <row r="16406" spans="1:5">
      <c r="A16406" t="s">
        <v>44099</v>
      </c>
      <c r="B16406" t="s">
        <v>11844</v>
      </c>
      <c r="C16406">
        <f>0.113520850169</f>
        <v>0.113520850169</v>
      </c>
      <c r="D16406">
        <v>0.999985273796</v>
      </c>
      <c r="E16406">
        <v>0</v>
      </c>
    </row>
    <row r="16407" spans="1:5">
      <c r="A16407" t="s">
        <v>44099</v>
      </c>
      <c r="B16407" t="s">
        <v>11822</v>
      </c>
      <c r="C16407">
        <f>0.063569923241</f>
        <v>6.3569923240999998E-2</v>
      </c>
      <c r="D16407">
        <v>0.999985273796</v>
      </c>
      <c r="E16407">
        <v>0</v>
      </c>
    </row>
    <row r="16408" spans="1:5">
      <c r="A16408" t="s">
        <v>44099</v>
      </c>
      <c r="B16408" t="s">
        <v>11827</v>
      </c>
      <c r="C16408">
        <v>0.44206143959700001</v>
      </c>
      <c r="D16408">
        <v>0.999985273796</v>
      </c>
      <c r="E16408">
        <v>0</v>
      </c>
    </row>
    <row r="16409" spans="1:5">
      <c r="A16409" t="s">
        <v>44099</v>
      </c>
      <c r="B16409" t="s">
        <v>11839</v>
      </c>
      <c r="C16409">
        <f>0.149860142307</f>
        <v>0.14986014230700001</v>
      </c>
      <c r="D16409">
        <v>0.999985273796</v>
      </c>
      <c r="E16409">
        <v>0</v>
      </c>
    </row>
    <row r="16410" spans="1:5">
      <c r="A16410" t="s">
        <v>44099</v>
      </c>
      <c r="B16410" t="s">
        <v>11834</v>
      </c>
      <c r="C16410">
        <f>0.285008770942</f>
        <v>0.285008770942</v>
      </c>
      <c r="D16410">
        <v>0.999985273796</v>
      </c>
      <c r="E16410">
        <v>0</v>
      </c>
    </row>
    <row r="16411" spans="1:5">
      <c r="A16411" t="s">
        <v>44101</v>
      </c>
      <c r="B16411" t="s">
        <v>12045</v>
      </c>
      <c r="C16411">
        <f>0</f>
        <v>0</v>
      </c>
      <c r="D16411" t="s">
        <v>106</v>
      </c>
      <c r="E16411">
        <v>0.13200000000000001</v>
      </c>
    </row>
    <row r="16412" spans="1:5">
      <c r="A16412" t="s">
        <v>44101</v>
      </c>
      <c r="B16412" t="s">
        <v>12053</v>
      </c>
      <c r="C16412">
        <v>0</v>
      </c>
      <c r="D16412" t="s">
        <v>106</v>
      </c>
      <c r="E16412">
        <v>0.13200000000000001</v>
      </c>
    </row>
    <row r="16413" spans="1:5">
      <c r="A16413" t="s">
        <v>44101</v>
      </c>
      <c r="B16413" t="s">
        <v>12046</v>
      </c>
      <c r="C16413">
        <f>0</f>
        <v>0</v>
      </c>
      <c r="D16413" t="s">
        <v>106</v>
      </c>
      <c r="E16413">
        <v>0.13200000000000001</v>
      </c>
    </row>
    <row r="16414" spans="1:5">
      <c r="A16414" t="s">
        <v>44101</v>
      </c>
      <c r="B16414" t="s">
        <v>12051</v>
      </c>
      <c r="C16414">
        <v>0</v>
      </c>
      <c r="D16414" t="s">
        <v>106</v>
      </c>
      <c r="E16414">
        <v>0.13200000000000001</v>
      </c>
    </row>
    <row r="16415" spans="1:5">
      <c r="A16415" t="s">
        <v>44101</v>
      </c>
      <c r="B16415" t="s">
        <v>12054</v>
      </c>
      <c r="C16415">
        <v>0</v>
      </c>
      <c r="D16415" t="s">
        <v>106</v>
      </c>
      <c r="E16415">
        <v>0.13200000000000001</v>
      </c>
    </row>
    <row r="16416" spans="1:5">
      <c r="A16416" t="s">
        <v>44101</v>
      </c>
      <c r="B16416" t="s">
        <v>12048</v>
      </c>
      <c r="C16416">
        <v>0</v>
      </c>
      <c r="D16416" t="s">
        <v>106</v>
      </c>
      <c r="E16416">
        <v>0.13200000000000001</v>
      </c>
    </row>
    <row r="16417" spans="1:5">
      <c r="A16417" t="s">
        <v>44101</v>
      </c>
      <c r="B16417" t="s">
        <v>12052</v>
      </c>
      <c r="C16417">
        <v>0</v>
      </c>
      <c r="D16417" t="s">
        <v>106</v>
      </c>
      <c r="E16417">
        <v>0.13200000000000001</v>
      </c>
    </row>
    <row r="16418" spans="1:5">
      <c r="A16418" t="s">
        <v>44101</v>
      </c>
      <c r="B16418" t="s">
        <v>12047</v>
      </c>
      <c r="C16418">
        <v>0</v>
      </c>
      <c r="D16418" t="s">
        <v>106</v>
      </c>
      <c r="E16418">
        <v>0.13200000000000001</v>
      </c>
    </row>
    <row r="16419" spans="1:5">
      <c r="A16419" t="s">
        <v>44102</v>
      </c>
      <c r="B16419" t="s">
        <v>44103</v>
      </c>
      <c r="C16419">
        <v>0</v>
      </c>
      <c r="D16419" t="s">
        <v>106</v>
      </c>
      <c r="E16419">
        <v>5.3520000000000003</v>
      </c>
    </row>
    <row r="16420" spans="1:5">
      <c r="A16420" t="s">
        <v>44102</v>
      </c>
      <c r="B16420" t="s">
        <v>44104</v>
      </c>
      <c r="C16420">
        <v>0</v>
      </c>
      <c r="D16420" t="s">
        <v>106</v>
      </c>
      <c r="E16420">
        <v>5.3520000000000003</v>
      </c>
    </row>
    <row r="16421" spans="1:5">
      <c r="A16421" t="s">
        <v>44105</v>
      </c>
      <c r="B16421" t="s">
        <v>24411</v>
      </c>
      <c r="C16421">
        <v>0</v>
      </c>
      <c r="D16421" t="s">
        <v>106</v>
      </c>
      <c r="E16421">
        <v>18.558</v>
      </c>
    </row>
    <row r="16422" spans="1:5">
      <c r="A16422" t="s">
        <v>44105</v>
      </c>
      <c r="B16422" t="s">
        <v>24412</v>
      </c>
      <c r="C16422">
        <f>0</f>
        <v>0</v>
      </c>
      <c r="D16422" t="s">
        <v>106</v>
      </c>
      <c r="E16422">
        <v>18.558</v>
      </c>
    </row>
    <row r="16423" spans="1:5">
      <c r="A16423" t="s">
        <v>44106</v>
      </c>
      <c r="B16423" t="s">
        <v>13779</v>
      </c>
      <c r="C16423">
        <f>0</f>
        <v>0</v>
      </c>
      <c r="D16423">
        <v>0.99409271004599997</v>
      </c>
      <c r="E16423">
        <v>7.2</v>
      </c>
    </row>
    <row r="16424" spans="1:5">
      <c r="A16424" t="s">
        <v>44106</v>
      </c>
      <c r="B16424" t="s">
        <v>13790</v>
      </c>
      <c r="C16424">
        <v>0</v>
      </c>
      <c r="D16424">
        <v>0.99409271004599997</v>
      </c>
      <c r="E16424">
        <v>7.2</v>
      </c>
    </row>
    <row r="16425" spans="1:5">
      <c r="A16425" t="s">
        <v>44106</v>
      </c>
      <c r="B16425" t="s">
        <v>13780</v>
      </c>
      <c r="C16425">
        <v>0.27992048964100003</v>
      </c>
      <c r="D16425">
        <v>0.99409271004599997</v>
      </c>
      <c r="E16425">
        <v>7.2</v>
      </c>
    </row>
    <row r="16426" spans="1:5">
      <c r="A16426" t="s">
        <v>44106</v>
      </c>
      <c r="B16426" t="s">
        <v>13792</v>
      </c>
      <c r="C16426">
        <f>0</f>
        <v>0</v>
      </c>
      <c r="D16426">
        <v>0.99409271004599997</v>
      </c>
      <c r="E16426">
        <v>7.2</v>
      </c>
    </row>
    <row r="16427" spans="1:5">
      <c r="A16427" t="s">
        <v>44106</v>
      </c>
      <c r="B16427" t="s">
        <v>13784</v>
      </c>
      <c r="C16427">
        <f>0</f>
        <v>0</v>
      </c>
      <c r="D16427">
        <v>0.99409271004599997</v>
      </c>
      <c r="E16427">
        <v>7.2</v>
      </c>
    </row>
    <row r="16428" spans="1:5">
      <c r="A16428" t="s">
        <v>44106</v>
      </c>
      <c r="B16428" t="s">
        <v>13783</v>
      </c>
      <c r="C16428">
        <f>0</f>
        <v>0</v>
      </c>
      <c r="D16428">
        <v>0.99409271004599997</v>
      </c>
      <c r="E16428">
        <v>7.2</v>
      </c>
    </row>
    <row r="16429" spans="1:5">
      <c r="A16429" t="s">
        <v>44106</v>
      </c>
      <c r="B16429" t="s">
        <v>13786</v>
      </c>
      <c r="C16429">
        <v>0.20132403016600001</v>
      </c>
      <c r="D16429">
        <v>0.99409271004599997</v>
      </c>
      <c r="E16429">
        <v>7.2</v>
      </c>
    </row>
    <row r="16430" spans="1:5">
      <c r="A16430" t="s">
        <v>44106</v>
      </c>
      <c r="B16430" t="s">
        <v>13793</v>
      </c>
      <c r="C16430">
        <v>0</v>
      </c>
      <c r="D16430">
        <v>0.99409271004599997</v>
      </c>
      <c r="E16430">
        <v>7.2</v>
      </c>
    </row>
    <row r="16431" spans="1:5">
      <c r="A16431" t="s">
        <v>44106</v>
      </c>
      <c r="B16431" t="s">
        <v>13787</v>
      </c>
      <c r="C16431">
        <v>0</v>
      </c>
      <c r="D16431">
        <v>0.99409271004599997</v>
      </c>
      <c r="E16431">
        <v>7.2</v>
      </c>
    </row>
    <row r="16432" spans="1:5">
      <c r="A16432" t="s">
        <v>44106</v>
      </c>
      <c r="B16432" t="s">
        <v>13788</v>
      </c>
      <c r="C16432">
        <f>0.0768207255042</f>
        <v>7.6820725504199994E-2</v>
      </c>
      <c r="D16432">
        <v>0.99409271004599997</v>
      </c>
      <c r="E16432">
        <v>7.2</v>
      </c>
    </row>
    <row r="16433" spans="1:5">
      <c r="A16433" t="s">
        <v>44106</v>
      </c>
      <c r="B16433" t="s">
        <v>13781</v>
      </c>
      <c r="C16433">
        <v>0</v>
      </c>
      <c r="D16433">
        <v>0.99409271004599997</v>
      </c>
      <c r="E16433">
        <v>7.2</v>
      </c>
    </row>
    <row r="16434" spans="1:5">
      <c r="A16434" t="s">
        <v>44106</v>
      </c>
      <c r="B16434" t="s">
        <v>13789</v>
      </c>
      <c r="C16434">
        <v>0.65969160623900003</v>
      </c>
      <c r="D16434">
        <v>0.99409271004599997</v>
      </c>
      <c r="E16434">
        <v>7.2</v>
      </c>
    </row>
    <row r="16435" spans="1:5">
      <c r="A16435" t="s">
        <v>44107</v>
      </c>
      <c r="B16435" t="s">
        <v>21427</v>
      </c>
      <c r="C16435">
        <f>0</f>
        <v>0</v>
      </c>
      <c r="D16435" t="s">
        <v>106</v>
      </c>
      <c r="E16435">
        <v>1.014</v>
      </c>
    </row>
    <row r="16436" spans="1:5">
      <c r="A16436" t="s">
        <v>44107</v>
      </c>
      <c r="B16436" t="s">
        <v>21428</v>
      </c>
      <c r="C16436">
        <v>0</v>
      </c>
      <c r="D16436" t="s">
        <v>106</v>
      </c>
      <c r="E16436">
        <v>1.014</v>
      </c>
    </row>
    <row r="16437" spans="1:5">
      <c r="A16437" t="s">
        <v>44107</v>
      </c>
      <c r="B16437" t="s">
        <v>21430</v>
      </c>
      <c r="C16437">
        <v>0</v>
      </c>
      <c r="D16437" t="s">
        <v>106</v>
      </c>
      <c r="E16437">
        <v>1.014</v>
      </c>
    </row>
    <row r="16438" spans="1:5">
      <c r="A16438" t="s">
        <v>44107</v>
      </c>
      <c r="B16438" t="s">
        <v>21431</v>
      </c>
      <c r="C16438">
        <f>0</f>
        <v>0</v>
      </c>
      <c r="D16438" t="s">
        <v>106</v>
      </c>
      <c r="E16438">
        <v>1.014</v>
      </c>
    </row>
    <row r="16439" spans="1:5">
      <c r="A16439" t="s">
        <v>44108</v>
      </c>
      <c r="B16439" t="s">
        <v>34389</v>
      </c>
      <c r="C16439">
        <v>0.32034029127199998</v>
      </c>
      <c r="D16439">
        <v>0.838039737246</v>
      </c>
      <c r="E16439">
        <v>19.2</v>
      </c>
    </row>
    <row r="16440" spans="1:5">
      <c r="A16440" t="s">
        <v>44108</v>
      </c>
      <c r="B16440" t="s">
        <v>34390</v>
      </c>
      <c r="C16440">
        <v>0.42232879260900003</v>
      </c>
      <c r="D16440">
        <v>0.838039737246</v>
      </c>
      <c r="E16440">
        <v>19.2</v>
      </c>
    </row>
    <row r="16441" spans="1:5">
      <c r="A16441" t="s">
        <v>44108</v>
      </c>
      <c r="B16441" t="s">
        <v>34393</v>
      </c>
      <c r="C16441">
        <v>0</v>
      </c>
      <c r="D16441">
        <v>0.838039737246</v>
      </c>
      <c r="E16441">
        <v>19.2</v>
      </c>
    </row>
    <row r="16442" spans="1:5">
      <c r="A16442" t="s">
        <v>44108</v>
      </c>
      <c r="B16442" t="s">
        <v>34392</v>
      </c>
      <c r="C16442">
        <v>2.14260719261E-2</v>
      </c>
      <c r="D16442">
        <v>0.838039737246</v>
      </c>
      <c r="E16442">
        <v>19.2</v>
      </c>
    </row>
    <row r="16443" spans="1:5">
      <c r="A16443" t="s">
        <v>44108</v>
      </c>
      <c r="B16443" t="s">
        <v>34394</v>
      </c>
      <c r="C16443">
        <v>0</v>
      </c>
      <c r="D16443">
        <v>0.838039737246</v>
      </c>
      <c r="E16443">
        <v>19.2</v>
      </c>
    </row>
    <row r="16444" spans="1:5">
      <c r="A16444" t="s">
        <v>44109</v>
      </c>
      <c r="B16444" t="s">
        <v>31728</v>
      </c>
      <c r="C16444">
        <f>0</f>
        <v>0</v>
      </c>
      <c r="D16444">
        <v>0.87920898040899997</v>
      </c>
      <c r="E16444">
        <v>3.2280000000000002</v>
      </c>
    </row>
    <row r="16445" spans="1:5">
      <c r="A16445" t="s">
        <v>44109</v>
      </c>
      <c r="B16445" t="s">
        <v>31725</v>
      </c>
      <c r="C16445">
        <v>0.44286412257399999</v>
      </c>
      <c r="D16445">
        <v>0.87920898040899997</v>
      </c>
      <c r="E16445">
        <v>3.2280000000000002</v>
      </c>
    </row>
    <row r="16446" spans="1:5">
      <c r="A16446" t="s">
        <v>44109</v>
      </c>
      <c r="B16446" t="s">
        <v>31733</v>
      </c>
      <c r="C16446">
        <v>0</v>
      </c>
      <c r="D16446">
        <v>0.87920898040899997</v>
      </c>
      <c r="E16446">
        <v>3.2280000000000002</v>
      </c>
    </row>
    <row r="16447" spans="1:5">
      <c r="A16447" t="s">
        <v>44109</v>
      </c>
      <c r="B16447" t="s">
        <v>31724</v>
      </c>
      <c r="C16447">
        <v>0</v>
      </c>
      <c r="D16447">
        <v>0.87920898040899997</v>
      </c>
      <c r="E16447">
        <v>3.2280000000000002</v>
      </c>
    </row>
    <row r="16448" spans="1:5">
      <c r="A16448" t="s">
        <v>44109</v>
      </c>
      <c r="B16448" t="s">
        <v>31732</v>
      </c>
      <c r="C16448">
        <v>0.303191287325</v>
      </c>
      <c r="D16448">
        <v>0.87920898040899997</v>
      </c>
      <c r="E16448">
        <v>3.2280000000000002</v>
      </c>
    </row>
    <row r="16449" spans="1:5">
      <c r="A16449" t="s">
        <v>44109</v>
      </c>
      <c r="B16449" t="s">
        <v>31726</v>
      </c>
      <c r="C16449">
        <f>0</f>
        <v>0</v>
      </c>
      <c r="D16449">
        <v>0.87920898040899997</v>
      </c>
      <c r="E16449">
        <v>3.2280000000000002</v>
      </c>
    </row>
    <row r="16450" spans="1:5">
      <c r="A16450" t="s">
        <v>44109</v>
      </c>
      <c r="B16450" t="s">
        <v>31723</v>
      </c>
      <c r="C16450">
        <v>0</v>
      </c>
      <c r="D16450">
        <v>0.87920898040899997</v>
      </c>
      <c r="E16450">
        <v>3.2280000000000002</v>
      </c>
    </row>
    <row r="16451" spans="1:5">
      <c r="A16451" t="s">
        <v>44109</v>
      </c>
      <c r="B16451" t="s">
        <v>31721</v>
      </c>
      <c r="C16451">
        <v>0.22358833006100001</v>
      </c>
      <c r="D16451">
        <v>0.87920898040899997</v>
      </c>
      <c r="E16451">
        <v>3.2280000000000002</v>
      </c>
    </row>
    <row r="16452" spans="1:5">
      <c r="A16452" t="s">
        <v>44110</v>
      </c>
      <c r="B16452" t="s">
        <v>14642</v>
      </c>
      <c r="C16452">
        <v>0.55546102853000001</v>
      </c>
      <c r="D16452">
        <v>0.60570226586499998</v>
      </c>
      <c r="E16452">
        <v>24</v>
      </c>
    </row>
    <row r="16453" spans="1:5">
      <c r="A16453" t="s">
        <v>44110</v>
      </c>
      <c r="B16453" t="s">
        <v>14645</v>
      </c>
      <c r="C16453">
        <v>0.527823897165</v>
      </c>
      <c r="D16453">
        <v>0.60570226586499998</v>
      </c>
      <c r="E16453">
        <v>24</v>
      </c>
    </row>
    <row r="16454" spans="1:5">
      <c r="A16454" t="s">
        <v>44111</v>
      </c>
      <c r="B16454" t="s">
        <v>9788</v>
      </c>
      <c r="C16454">
        <v>1.32098768322</v>
      </c>
      <c r="D16454">
        <v>0.94754497567700002</v>
      </c>
      <c r="E16454">
        <v>8.01</v>
      </c>
    </row>
    <row r="16455" spans="1:5">
      <c r="A16455" t="s">
        <v>44111</v>
      </c>
      <c r="B16455" t="s">
        <v>9789</v>
      </c>
      <c r="C16455">
        <f>0.17368724637</f>
        <v>0.17368724636999999</v>
      </c>
      <c r="D16455">
        <v>0.94754497567700002</v>
      </c>
      <c r="E16455">
        <v>8.01</v>
      </c>
    </row>
    <row r="16456" spans="1:5">
      <c r="A16456" t="s">
        <v>44111</v>
      </c>
      <c r="B16456" t="s">
        <v>9791</v>
      </c>
      <c r="C16456">
        <f>-1.10436301964</f>
        <v>-1.1043630196400001</v>
      </c>
      <c r="D16456">
        <v>0.94754497567700002</v>
      </c>
      <c r="E16456">
        <v>8.01</v>
      </c>
    </row>
    <row r="16457" spans="1:5">
      <c r="A16457" t="s">
        <v>44111</v>
      </c>
      <c r="B16457" t="s">
        <v>9792</v>
      </c>
      <c r="C16457">
        <f>0.064922507437</f>
        <v>6.4922507436999996E-2</v>
      </c>
      <c r="D16457">
        <v>0.94754497567700002</v>
      </c>
      <c r="E16457">
        <v>8.01</v>
      </c>
    </row>
    <row r="16458" spans="1:5">
      <c r="A16458" t="s">
        <v>44111</v>
      </c>
      <c r="B16458" t="s">
        <v>9793</v>
      </c>
      <c r="C16458">
        <f>0.15486966714</f>
        <v>0.15486966714</v>
      </c>
      <c r="D16458">
        <v>0.94754497567700002</v>
      </c>
      <c r="E16458">
        <v>8.01</v>
      </c>
    </row>
    <row r="16459" spans="1:5">
      <c r="A16459" t="s">
        <v>44112</v>
      </c>
      <c r="B16459" t="s">
        <v>3469</v>
      </c>
      <c r="C16459">
        <f>0</f>
        <v>0</v>
      </c>
      <c r="D16459" t="s">
        <v>106</v>
      </c>
      <c r="E16459">
        <v>24</v>
      </c>
    </row>
    <row r="16460" spans="1:5">
      <c r="A16460" t="s">
        <v>44112</v>
      </c>
      <c r="B16460" t="s">
        <v>3477</v>
      </c>
      <c r="C16460">
        <f>0</f>
        <v>0</v>
      </c>
      <c r="D16460" t="s">
        <v>106</v>
      </c>
      <c r="E16460">
        <v>24</v>
      </c>
    </row>
    <row r="16461" spans="1:5">
      <c r="A16461" t="s">
        <v>44112</v>
      </c>
      <c r="B16461" t="s">
        <v>3476</v>
      </c>
      <c r="C16461">
        <f>0</f>
        <v>0</v>
      </c>
      <c r="D16461" t="s">
        <v>106</v>
      </c>
      <c r="E16461">
        <v>24</v>
      </c>
    </row>
    <row r="16462" spans="1:5">
      <c r="A16462" t="s">
        <v>44112</v>
      </c>
      <c r="B16462" t="s">
        <v>3474</v>
      </c>
      <c r="C16462">
        <f>0</f>
        <v>0</v>
      </c>
      <c r="D16462" t="s">
        <v>106</v>
      </c>
      <c r="E16462">
        <v>24</v>
      </c>
    </row>
    <row r="16463" spans="1:5">
      <c r="A16463" t="s">
        <v>44113</v>
      </c>
      <c r="B16463" t="s">
        <v>44114</v>
      </c>
      <c r="C16463">
        <v>0.453168279911</v>
      </c>
      <c r="D16463">
        <v>0.76400678722399995</v>
      </c>
      <c r="E16463">
        <v>6.06</v>
      </c>
    </row>
    <row r="16464" spans="1:5">
      <c r="A16464" t="s">
        <v>44113</v>
      </c>
      <c r="B16464" t="s">
        <v>44115</v>
      </c>
      <c r="C16464">
        <f>0.114423136115</f>
        <v>0.114423136115</v>
      </c>
      <c r="D16464">
        <v>0.76400678722399995</v>
      </c>
      <c r="E16464">
        <v>6.06</v>
      </c>
    </row>
    <row r="16465" spans="1:5">
      <c r="A16465" t="s">
        <v>44113</v>
      </c>
      <c r="B16465" t="s">
        <v>44116</v>
      </c>
      <c r="C16465">
        <f>0.507440820158</f>
        <v>0.50744082015799996</v>
      </c>
      <c r="D16465">
        <v>0.76400678722399995</v>
      </c>
      <c r="E16465">
        <v>6.06</v>
      </c>
    </row>
    <row r="16466" spans="1:5">
      <c r="A16466" t="s">
        <v>44117</v>
      </c>
      <c r="B16466" t="s">
        <v>8024</v>
      </c>
      <c r="C16466">
        <v>0.53306140032500005</v>
      </c>
      <c r="D16466">
        <v>0.95194437619299999</v>
      </c>
      <c r="E16466">
        <v>24</v>
      </c>
    </row>
    <row r="16467" spans="1:5">
      <c r="A16467" t="s">
        <v>44117</v>
      </c>
      <c r="B16467" t="s">
        <v>8023</v>
      </c>
      <c r="C16467">
        <f>0.470341777443</f>
        <v>0.47034177744299999</v>
      </c>
      <c r="D16467">
        <v>0.95194437619299999</v>
      </c>
      <c r="E16467">
        <v>24</v>
      </c>
    </row>
    <row r="16468" spans="1:5">
      <c r="A16468" t="s">
        <v>44117</v>
      </c>
      <c r="B16468" t="s">
        <v>8022</v>
      </c>
      <c r="C16468">
        <v>1.3242587130000001</v>
      </c>
      <c r="D16468">
        <v>0.95194437619299999</v>
      </c>
      <c r="E16468">
        <v>24</v>
      </c>
    </row>
    <row r="16469" spans="1:5">
      <c r="A16469" t="s">
        <v>44118</v>
      </c>
      <c r="B16469" t="s">
        <v>30684</v>
      </c>
      <c r="C16469">
        <f>0</f>
        <v>0</v>
      </c>
      <c r="D16469">
        <v>0.70138562051800002</v>
      </c>
      <c r="E16469">
        <v>17.513999999999999</v>
      </c>
    </row>
    <row r="16470" spans="1:5">
      <c r="A16470" t="s">
        <v>44118</v>
      </c>
      <c r="B16470" t="s">
        <v>30688</v>
      </c>
      <c r="C16470">
        <v>0</v>
      </c>
      <c r="D16470">
        <v>0.70138562051800002</v>
      </c>
      <c r="E16470">
        <v>17.513999999999999</v>
      </c>
    </row>
    <row r="16471" spans="1:5">
      <c r="A16471" t="s">
        <v>44118</v>
      </c>
      <c r="B16471" t="s">
        <v>30685</v>
      </c>
      <c r="C16471">
        <v>0</v>
      </c>
      <c r="D16471">
        <v>0.70138562051800002</v>
      </c>
      <c r="E16471">
        <v>17.513999999999999</v>
      </c>
    </row>
    <row r="16472" spans="1:5">
      <c r="A16472" t="s">
        <v>44118</v>
      </c>
      <c r="B16472" t="s">
        <v>30687</v>
      </c>
      <c r="C16472">
        <v>0</v>
      </c>
      <c r="D16472">
        <v>0.70138562051800002</v>
      </c>
      <c r="E16472">
        <v>17.513999999999999</v>
      </c>
    </row>
    <row r="16473" spans="1:5">
      <c r="A16473" t="s">
        <v>44118</v>
      </c>
      <c r="B16473" t="s">
        <v>30689</v>
      </c>
      <c r="C16473">
        <v>6.5835538974099994E-2</v>
      </c>
      <c r="D16473">
        <v>0.70138562051800002</v>
      </c>
      <c r="E16473">
        <v>17.513999999999999</v>
      </c>
    </row>
    <row r="16474" spans="1:5">
      <c r="A16474" t="s">
        <v>44118</v>
      </c>
      <c r="B16474" t="s">
        <v>30686</v>
      </c>
      <c r="C16474">
        <v>0.27501775647600002</v>
      </c>
      <c r="D16474">
        <v>0.70138562051800002</v>
      </c>
      <c r="E16474">
        <v>17.513999999999999</v>
      </c>
    </row>
    <row r="16475" spans="1:5">
      <c r="A16475" t="s">
        <v>44118</v>
      </c>
      <c r="B16475" t="s">
        <v>30690</v>
      </c>
      <c r="C16475">
        <v>0</v>
      </c>
      <c r="D16475">
        <v>0.70138562051800002</v>
      </c>
      <c r="E16475">
        <v>17.513999999999999</v>
      </c>
    </row>
    <row r="16476" spans="1:5">
      <c r="A16476" t="s">
        <v>44119</v>
      </c>
      <c r="B16476" t="s">
        <v>44120</v>
      </c>
      <c r="C16476">
        <f>0.323585245418</f>
        <v>0.32358524541799999</v>
      </c>
      <c r="D16476">
        <v>0.88358363962300002</v>
      </c>
      <c r="E16476">
        <v>16.698</v>
      </c>
    </row>
    <row r="16477" spans="1:5">
      <c r="A16477" t="s">
        <v>44119</v>
      </c>
      <c r="B16477" t="s">
        <v>44121</v>
      </c>
      <c r="C16477">
        <f>0</f>
        <v>0</v>
      </c>
      <c r="D16477">
        <v>0.88358363962300002</v>
      </c>
      <c r="E16477">
        <v>16.698</v>
      </c>
    </row>
    <row r="16478" spans="1:5">
      <c r="A16478" t="s">
        <v>44119</v>
      </c>
      <c r="B16478" t="s">
        <v>44122</v>
      </c>
      <c r="C16478">
        <v>0.686098375032</v>
      </c>
      <c r="D16478">
        <v>0.88358363962300002</v>
      </c>
      <c r="E16478">
        <v>16.698</v>
      </c>
    </row>
    <row r="16479" spans="1:5">
      <c r="A16479" t="s">
        <v>44119</v>
      </c>
      <c r="B16479" t="s">
        <v>44123</v>
      </c>
      <c r="C16479">
        <v>4.6337434887799997E-2</v>
      </c>
      <c r="D16479">
        <v>0.88358363962300002</v>
      </c>
      <c r="E16479">
        <v>16.698</v>
      </c>
    </row>
    <row r="16480" spans="1:5">
      <c r="A16480" t="s">
        <v>44124</v>
      </c>
      <c r="B16480" t="s">
        <v>32941</v>
      </c>
      <c r="C16480">
        <v>0.57248779764699997</v>
      </c>
      <c r="D16480">
        <v>0.99554037222900005</v>
      </c>
      <c r="E16480">
        <v>0.91800000000000004</v>
      </c>
    </row>
    <row r="16481" spans="1:5">
      <c r="A16481" t="s">
        <v>44124</v>
      </c>
      <c r="B16481" t="s">
        <v>32945</v>
      </c>
      <c r="C16481">
        <v>0.81411471314799999</v>
      </c>
      <c r="D16481">
        <v>0.99554037222900005</v>
      </c>
      <c r="E16481">
        <v>0.91800000000000004</v>
      </c>
    </row>
    <row r="16482" spans="1:5">
      <c r="A16482" t="s">
        <v>44124</v>
      </c>
      <c r="B16482" t="s">
        <v>32943</v>
      </c>
      <c r="C16482">
        <v>0.56522062101899995</v>
      </c>
      <c r="D16482">
        <v>0.99554037222900005</v>
      </c>
      <c r="E16482">
        <v>0.91800000000000004</v>
      </c>
    </row>
    <row r="16483" spans="1:5">
      <c r="A16483" t="s">
        <v>44124</v>
      </c>
      <c r="B16483" t="s">
        <v>32942</v>
      </c>
      <c r="C16483">
        <f>-1.67968245771</f>
        <v>-1.67968245771</v>
      </c>
      <c r="D16483">
        <v>0.99554037222900005</v>
      </c>
      <c r="E16483">
        <v>0.91800000000000004</v>
      </c>
    </row>
    <row r="16484" spans="1:5">
      <c r="A16484" t="s">
        <v>44124</v>
      </c>
      <c r="B16484" t="s">
        <v>32944</v>
      </c>
      <c r="C16484">
        <v>0.32208566616700002</v>
      </c>
      <c r="D16484">
        <v>0.99554037222900005</v>
      </c>
      <c r="E16484">
        <v>0.91800000000000004</v>
      </c>
    </row>
    <row r="16485" spans="1:5">
      <c r="A16485" t="s">
        <v>44125</v>
      </c>
      <c r="B16485" t="s">
        <v>17805</v>
      </c>
      <c r="C16485">
        <v>0</v>
      </c>
      <c r="D16485" t="s">
        <v>106</v>
      </c>
      <c r="E16485">
        <v>20.963999999999999</v>
      </c>
    </row>
    <row r="16486" spans="1:5">
      <c r="A16486" t="s">
        <v>44125</v>
      </c>
      <c r="B16486" t="s">
        <v>17808</v>
      </c>
      <c r="C16486">
        <v>0</v>
      </c>
      <c r="D16486" t="s">
        <v>106</v>
      </c>
      <c r="E16486">
        <v>20.963999999999999</v>
      </c>
    </row>
    <row r="16487" spans="1:5">
      <c r="A16487" t="s">
        <v>44125</v>
      </c>
      <c r="B16487" t="s">
        <v>17807</v>
      </c>
      <c r="C16487">
        <f>0</f>
        <v>0</v>
      </c>
      <c r="D16487" t="s">
        <v>106</v>
      </c>
      <c r="E16487">
        <v>20.963999999999999</v>
      </c>
    </row>
    <row r="16488" spans="1:5">
      <c r="A16488" t="s">
        <v>44125</v>
      </c>
      <c r="B16488" t="s">
        <v>17806</v>
      </c>
      <c r="C16488">
        <v>0</v>
      </c>
      <c r="D16488" t="s">
        <v>106</v>
      </c>
      <c r="E16488">
        <v>20.963999999999999</v>
      </c>
    </row>
    <row r="16489" spans="1:5">
      <c r="A16489" t="s">
        <v>44126</v>
      </c>
      <c r="B16489" t="s">
        <v>44127</v>
      </c>
      <c r="C16489">
        <f>0.215552047948</f>
        <v>0.21555204794800001</v>
      </c>
      <c r="D16489">
        <v>0.92365075491399995</v>
      </c>
      <c r="E16489">
        <v>24</v>
      </c>
    </row>
    <row r="16490" spans="1:5">
      <c r="A16490" t="s">
        <v>44126</v>
      </c>
      <c r="B16490" t="s">
        <v>44128</v>
      </c>
      <c r="C16490">
        <v>0.96220582955</v>
      </c>
      <c r="D16490">
        <v>0.92365075491399995</v>
      </c>
      <c r="E16490">
        <v>24</v>
      </c>
    </row>
    <row r="16491" spans="1:5">
      <c r="A16491" t="s">
        <v>44126</v>
      </c>
      <c r="B16491" t="s">
        <v>44129</v>
      </c>
      <c r="C16491">
        <f>0.144527774716</f>
        <v>0.14452777471600001</v>
      </c>
      <c r="D16491">
        <v>0.92365075491399995</v>
      </c>
      <c r="E16491">
        <v>24</v>
      </c>
    </row>
    <row r="16492" spans="1:5">
      <c r="A16492" t="s">
        <v>44130</v>
      </c>
      <c r="B16492" t="s">
        <v>7198</v>
      </c>
      <c r="C16492">
        <v>1.10820638568</v>
      </c>
      <c r="D16492">
        <v>0.97453011922800004</v>
      </c>
      <c r="E16492">
        <v>0</v>
      </c>
    </row>
    <row r="16493" spans="1:5">
      <c r="A16493" t="s">
        <v>44130</v>
      </c>
      <c r="B16493" t="s">
        <v>7202</v>
      </c>
      <c r="C16493">
        <v>0</v>
      </c>
      <c r="D16493">
        <v>0.97453011922800004</v>
      </c>
      <c r="E16493">
        <v>0</v>
      </c>
    </row>
    <row r="16494" spans="1:5">
      <c r="A16494" t="s">
        <v>44130</v>
      </c>
      <c r="B16494" t="s">
        <v>7201</v>
      </c>
      <c r="C16494">
        <v>2.10843964186E-2</v>
      </c>
      <c r="D16494">
        <v>0.97453011922800004</v>
      </c>
      <c r="E16494">
        <v>0</v>
      </c>
    </row>
    <row r="16495" spans="1:5">
      <c r="A16495" t="s">
        <v>44130</v>
      </c>
      <c r="B16495" t="s">
        <v>7203</v>
      </c>
      <c r="C16495">
        <f>0.242742919911</f>
        <v>0.242742919911</v>
      </c>
      <c r="D16495">
        <v>0.97453011922800004</v>
      </c>
      <c r="E16495">
        <v>0</v>
      </c>
    </row>
    <row r="16496" spans="1:5">
      <c r="A16496" t="s">
        <v>44130</v>
      </c>
      <c r="B16496" t="s">
        <v>7200</v>
      </c>
      <c r="C16496">
        <f>0</f>
        <v>0</v>
      </c>
      <c r="D16496">
        <v>0.97453011922800004</v>
      </c>
      <c r="E16496">
        <v>0</v>
      </c>
    </row>
    <row r="16497" spans="1:5">
      <c r="A16497" t="s">
        <v>44131</v>
      </c>
      <c r="B16497" t="s">
        <v>23269</v>
      </c>
      <c r="C16497">
        <f>0</f>
        <v>0</v>
      </c>
      <c r="D16497" t="s">
        <v>106</v>
      </c>
      <c r="E16497">
        <v>23.28</v>
      </c>
    </row>
    <row r="16498" spans="1:5">
      <c r="A16498" t="s">
        <v>44131</v>
      </c>
      <c r="B16498" t="s">
        <v>23268</v>
      </c>
      <c r="C16498">
        <v>0</v>
      </c>
      <c r="D16498" t="s">
        <v>106</v>
      </c>
      <c r="E16498">
        <v>23.28</v>
      </c>
    </row>
    <row r="16499" spans="1:5">
      <c r="A16499" t="s">
        <v>44131</v>
      </c>
      <c r="B16499" t="s">
        <v>23271</v>
      </c>
      <c r="C16499">
        <f>0</f>
        <v>0</v>
      </c>
      <c r="D16499" t="s">
        <v>106</v>
      </c>
      <c r="E16499">
        <v>23.28</v>
      </c>
    </row>
    <row r="16500" spans="1:5">
      <c r="A16500" t="s">
        <v>44131</v>
      </c>
      <c r="B16500" t="s">
        <v>23270</v>
      </c>
      <c r="C16500">
        <v>0</v>
      </c>
      <c r="D16500" t="s">
        <v>106</v>
      </c>
      <c r="E16500">
        <v>23.28</v>
      </c>
    </row>
    <row r="16501" spans="1:5">
      <c r="A16501" t="s">
        <v>44132</v>
      </c>
      <c r="B16501" t="s">
        <v>44133</v>
      </c>
      <c r="C16501">
        <v>5.9197381597700001E-3</v>
      </c>
      <c r="D16501">
        <v>0.98819181305600001</v>
      </c>
      <c r="E16501">
        <v>7.734</v>
      </c>
    </row>
    <row r="16502" spans="1:5">
      <c r="A16502" t="s">
        <v>44132</v>
      </c>
      <c r="B16502" t="s">
        <v>44134</v>
      </c>
      <c r="C16502">
        <v>0.82243114530799999</v>
      </c>
      <c r="D16502">
        <v>0.98819181305600001</v>
      </c>
      <c r="E16502">
        <v>7.734</v>
      </c>
    </row>
    <row r="16503" spans="1:5">
      <c r="A16503" t="s">
        <v>44132</v>
      </c>
      <c r="B16503" t="s">
        <v>44135</v>
      </c>
      <c r="C16503">
        <v>0</v>
      </c>
      <c r="D16503">
        <v>0.98819181305600001</v>
      </c>
      <c r="E16503">
        <v>7.734</v>
      </c>
    </row>
    <row r="16504" spans="1:5">
      <c r="A16504" t="s">
        <v>44132</v>
      </c>
      <c r="B16504" t="s">
        <v>44136</v>
      </c>
      <c r="C16504">
        <v>0.45424682611200001</v>
      </c>
      <c r="D16504">
        <v>0.98819181305600001</v>
      </c>
      <c r="E16504">
        <v>7.734</v>
      </c>
    </row>
    <row r="16505" spans="1:5">
      <c r="A16505" t="s">
        <v>44132</v>
      </c>
      <c r="B16505" t="s">
        <v>44137</v>
      </c>
      <c r="C16505">
        <f>0.829471507913</f>
        <v>0.82947150791299995</v>
      </c>
      <c r="D16505">
        <v>0.98819181305600001</v>
      </c>
      <c r="E16505">
        <v>7.734</v>
      </c>
    </row>
    <row r="16506" spans="1:5">
      <c r="A16506" t="s">
        <v>44132</v>
      </c>
      <c r="B16506" t="s">
        <v>44138</v>
      </c>
      <c r="C16506">
        <v>0.248865662052</v>
      </c>
      <c r="D16506">
        <v>0.98819181305600001</v>
      </c>
      <c r="E16506">
        <v>7.734</v>
      </c>
    </row>
    <row r="16507" spans="1:5">
      <c r="A16507" t="s">
        <v>44132</v>
      </c>
      <c r="B16507" t="s">
        <v>44139</v>
      </c>
      <c r="C16507">
        <v>0.325061667108</v>
      </c>
      <c r="D16507">
        <v>0.98819181305600001</v>
      </c>
      <c r="E16507">
        <v>7.734</v>
      </c>
    </row>
    <row r="16508" spans="1:5">
      <c r="A16508" t="s">
        <v>44140</v>
      </c>
      <c r="B16508" t="s">
        <v>18052</v>
      </c>
      <c r="C16508">
        <f>0</f>
        <v>0</v>
      </c>
      <c r="D16508">
        <v>0.670011252236</v>
      </c>
      <c r="E16508">
        <v>0</v>
      </c>
    </row>
    <row r="16509" spans="1:5">
      <c r="A16509" t="s">
        <v>44140</v>
      </c>
      <c r="B16509" t="s">
        <v>18053</v>
      </c>
      <c r="C16509">
        <v>0</v>
      </c>
      <c r="D16509">
        <v>0.670011252236</v>
      </c>
      <c r="E16509">
        <v>0</v>
      </c>
    </row>
    <row r="16510" spans="1:5">
      <c r="A16510" t="s">
        <v>44140</v>
      </c>
      <c r="B16510" t="s">
        <v>18054</v>
      </c>
      <c r="C16510">
        <f>0</f>
        <v>0</v>
      </c>
      <c r="D16510">
        <v>0.670011252236</v>
      </c>
      <c r="E16510">
        <v>0</v>
      </c>
    </row>
    <row r="16511" spans="1:5">
      <c r="A16511" t="s">
        <v>44140</v>
      </c>
      <c r="B16511" t="s">
        <v>18055</v>
      </c>
      <c r="C16511">
        <v>0.310001252236</v>
      </c>
      <c r="D16511">
        <v>0.670011252236</v>
      </c>
      <c r="E16511">
        <v>0</v>
      </c>
    </row>
    <row r="16512" spans="1:5">
      <c r="A16512" t="s">
        <v>44141</v>
      </c>
      <c r="B16512" t="s">
        <v>3252</v>
      </c>
      <c r="C16512">
        <v>0.45862175757099999</v>
      </c>
      <c r="D16512">
        <v>0.58823175757099999</v>
      </c>
      <c r="E16512">
        <v>0.378</v>
      </c>
    </row>
    <row r="16513" spans="1:5">
      <c r="A16513" t="s">
        <v>44141</v>
      </c>
      <c r="B16513" t="s">
        <v>3250</v>
      </c>
      <c r="C16513">
        <f>0</f>
        <v>0</v>
      </c>
      <c r="D16513">
        <v>0.58823175757099999</v>
      </c>
      <c r="E16513">
        <v>0.378</v>
      </c>
    </row>
    <row r="16514" spans="1:5">
      <c r="A16514" t="s">
        <v>44142</v>
      </c>
      <c r="B16514" t="s">
        <v>24147</v>
      </c>
      <c r="C16514">
        <v>0</v>
      </c>
      <c r="D16514" t="s">
        <v>106</v>
      </c>
      <c r="E16514">
        <v>5.4660000000000002</v>
      </c>
    </row>
    <row r="16515" spans="1:5">
      <c r="A16515" t="s">
        <v>44142</v>
      </c>
      <c r="B16515" t="s">
        <v>24146</v>
      </c>
      <c r="C16515">
        <v>0</v>
      </c>
      <c r="D16515" t="s">
        <v>106</v>
      </c>
      <c r="E16515">
        <v>5.4660000000000002</v>
      </c>
    </row>
    <row r="16516" spans="1:5">
      <c r="A16516" t="s">
        <v>44142</v>
      </c>
      <c r="B16516" t="s">
        <v>24152</v>
      </c>
      <c r="C16516">
        <v>0</v>
      </c>
      <c r="D16516" t="s">
        <v>106</v>
      </c>
      <c r="E16516">
        <v>5.4660000000000002</v>
      </c>
    </row>
    <row r="16517" spans="1:5">
      <c r="A16517" t="s">
        <v>44142</v>
      </c>
      <c r="B16517" t="s">
        <v>24149</v>
      </c>
      <c r="C16517">
        <v>0</v>
      </c>
      <c r="D16517" t="s">
        <v>106</v>
      </c>
      <c r="E16517">
        <v>5.4660000000000002</v>
      </c>
    </row>
    <row r="16518" spans="1:5">
      <c r="A16518" t="s">
        <v>44142</v>
      </c>
      <c r="B16518" t="s">
        <v>24148</v>
      </c>
      <c r="C16518">
        <v>0</v>
      </c>
      <c r="D16518" t="s">
        <v>106</v>
      </c>
      <c r="E16518">
        <v>5.4660000000000002</v>
      </c>
    </row>
    <row r="16519" spans="1:5">
      <c r="A16519" t="s">
        <v>44143</v>
      </c>
      <c r="B16519" t="s">
        <v>44144</v>
      </c>
      <c r="C16519">
        <f>0</f>
        <v>0</v>
      </c>
      <c r="D16519">
        <v>0.42051800986400001</v>
      </c>
      <c r="E16519">
        <v>13.632</v>
      </c>
    </row>
    <row r="16520" spans="1:5">
      <c r="A16520" t="s">
        <v>44143</v>
      </c>
      <c r="B16520" t="s">
        <v>44145</v>
      </c>
      <c r="C16520">
        <v>0.150108009864</v>
      </c>
      <c r="D16520">
        <v>0.42051800986400001</v>
      </c>
      <c r="E16520">
        <v>13.632</v>
      </c>
    </row>
    <row r="16521" spans="1:5">
      <c r="A16521" t="s">
        <v>44143</v>
      </c>
      <c r="B16521" t="s">
        <v>44146</v>
      </c>
      <c r="C16521">
        <v>0</v>
      </c>
      <c r="D16521">
        <v>0.42051800986400001</v>
      </c>
      <c r="E16521">
        <v>13.632</v>
      </c>
    </row>
    <row r="16522" spans="1:5">
      <c r="A16522" t="s">
        <v>44147</v>
      </c>
      <c r="B16522" t="s">
        <v>44148</v>
      </c>
      <c r="C16522">
        <f>0</f>
        <v>0</v>
      </c>
      <c r="D16522">
        <v>0.59991808044299999</v>
      </c>
      <c r="E16522">
        <v>3.8759999999999999</v>
      </c>
    </row>
    <row r="16523" spans="1:5">
      <c r="A16523" t="s">
        <v>44147</v>
      </c>
      <c r="B16523" t="s">
        <v>44149</v>
      </c>
      <c r="C16523">
        <v>0.439908080443</v>
      </c>
      <c r="D16523">
        <v>0.59991808044299999</v>
      </c>
      <c r="E16523">
        <v>3.8759999999999999</v>
      </c>
    </row>
    <row r="16524" spans="1:5">
      <c r="A16524" t="s">
        <v>44150</v>
      </c>
      <c r="B16524" t="s">
        <v>44151</v>
      </c>
      <c r="C16524">
        <v>0.55042010208699998</v>
      </c>
      <c r="D16524">
        <v>0.80716222638799995</v>
      </c>
      <c r="E16524">
        <v>0.91800000000000004</v>
      </c>
    </row>
    <row r="16525" spans="1:5">
      <c r="A16525" t="s">
        <v>44150</v>
      </c>
      <c r="B16525" t="s">
        <v>44152</v>
      </c>
      <c r="C16525">
        <v>0</v>
      </c>
      <c r="D16525">
        <v>0.80716222638799995</v>
      </c>
      <c r="E16525">
        <v>0.91800000000000004</v>
      </c>
    </row>
    <row r="16526" spans="1:5">
      <c r="A16526" t="s">
        <v>44150</v>
      </c>
      <c r="B16526" t="s">
        <v>44153</v>
      </c>
      <c r="C16526">
        <f>0</f>
        <v>0</v>
      </c>
      <c r="D16526">
        <v>0.80716222638799995</v>
      </c>
      <c r="E16526">
        <v>0.91800000000000004</v>
      </c>
    </row>
    <row r="16527" spans="1:5">
      <c r="A16527" t="s">
        <v>44150</v>
      </c>
      <c r="B16527" t="s">
        <v>44154</v>
      </c>
      <c r="C16527">
        <v>5.7434100493899999E-2</v>
      </c>
      <c r="D16527">
        <v>0.80716222638799995</v>
      </c>
      <c r="E16527">
        <v>0.91800000000000004</v>
      </c>
    </row>
    <row r="16528" spans="1:5">
      <c r="A16528" t="s">
        <v>44155</v>
      </c>
      <c r="B16528" t="s">
        <v>8456</v>
      </c>
      <c r="C16528">
        <v>0.37482798597700001</v>
      </c>
      <c r="D16528">
        <v>0.88387314777100001</v>
      </c>
      <c r="E16528">
        <v>0</v>
      </c>
    </row>
    <row r="16529" spans="1:5">
      <c r="A16529" t="s">
        <v>44155</v>
      </c>
      <c r="B16529" t="s">
        <v>8458</v>
      </c>
      <c r="C16529">
        <v>0.7248064581</v>
      </c>
      <c r="D16529">
        <v>0.88387314777100001</v>
      </c>
      <c r="E16529">
        <v>0</v>
      </c>
    </row>
    <row r="16530" spans="1:5">
      <c r="A16530" t="s">
        <v>44155</v>
      </c>
      <c r="B16530" t="s">
        <v>8457</v>
      </c>
      <c r="C16530">
        <f>-1.15353404483</f>
        <v>-1.15353404483</v>
      </c>
      <c r="D16530">
        <v>0.88387314777100001</v>
      </c>
      <c r="E16530">
        <v>0</v>
      </c>
    </row>
    <row r="16531" spans="1:5">
      <c r="A16531" t="s">
        <v>44156</v>
      </c>
      <c r="B16531" t="s">
        <v>44157</v>
      </c>
      <c r="C16531">
        <v>0.23491754294</v>
      </c>
      <c r="D16531">
        <v>0.64343459644699996</v>
      </c>
      <c r="E16531">
        <v>16.295999999999999</v>
      </c>
    </row>
    <row r="16532" spans="1:5">
      <c r="A16532" t="s">
        <v>44156</v>
      </c>
      <c r="B16532" t="s">
        <v>44158</v>
      </c>
      <c r="C16532">
        <v>0.39370770512800002</v>
      </c>
      <c r="D16532">
        <v>0.64343459644699996</v>
      </c>
      <c r="E16532">
        <v>16.295999999999999</v>
      </c>
    </row>
    <row r="16533" spans="1:5">
      <c r="A16533" t="s">
        <v>44159</v>
      </c>
      <c r="B16533" t="s">
        <v>25540</v>
      </c>
      <c r="C16533">
        <v>0.63148061256900001</v>
      </c>
      <c r="D16533">
        <v>0.70989061256899999</v>
      </c>
      <c r="E16533">
        <v>24</v>
      </c>
    </row>
    <row r="16534" spans="1:5">
      <c r="A16534" t="s">
        <v>44159</v>
      </c>
      <c r="B16534" t="s">
        <v>25541</v>
      </c>
      <c r="C16534">
        <f>0</f>
        <v>0</v>
      </c>
      <c r="D16534">
        <v>0.70989061256899999</v>
      </c>
      <c r="E16534">
        <v>24</v>
      </c>
    </row>
    <row r="16535" spans="1:5">
      <c r="A16535" t="s">
        <v>44160</v>
      </c>
      <c r="B16535" t="s">
        <v>17509</v>
      </c>
      <c r="C16535">
        <v>0.72068457055099999</v>
      </c>
      <c r="D16535">
        <v>0.91931603524600003</v>
      </c>
      <c r="E16535">
        <v>5.9340000000000002</v>
      </c>
    </row>
    <row r="16536" spans="1:5">
      <c r="A16536" t="s">
        <v>44160</v>
      </c>
      <c r="B16536" t="s">
        <v>44161</v>
      </c>
      <c r="C16536">
        <f>0.492887365951</f>
        <v>0.49288736595100002</v>
      </c>
      <c r="D16536">
        <v>0.91931603524600003</v>
      </c>
      <c r="E16536">
        <v>5.9340000000000002</v>
      </c>
    </row>
    <row r="16537" spans="1:5">
      <c r="A16537" t="s">
        <v>44160</v>
      </c>
      <c r="B16537" t="s">
        <v>17510</v>
      </c>
      <c r="C16537">
        <f>-1.0981597472</f>
        <v>-1.0981597472</v>
      </c>
      <c r="D16537">
        <v>0.91931603524600003</v>
      </c>
      <c r="E16537">
        <v>5.9340000000000002</v>
      </c>
    </row>
    <row r="16538" spans="1:5">
      <c r="A16538" t="s">
        <v>44162</v>
      </c>
      <c r="B16538" t="s">
        <v>8713</v>
      </c>
      <c r="C16538">
        <f>0</f>
        <v>0</v>
      </c>
      <c r="D16538">
        <v>0.71906568550399996</v>
      </c>
      <c r="E16538">
        <v>13.272</v>
      </c>
    </row>
    <row r="16539" spans="1:5">
      <c r="A16539" t="s">
        <v>44162</v>
      </c>
      <c r="B16539" t="s">
        <v>8712</v>
      </c>
      <c r="C16539">
        <v>0</v>
      </c>
      <c r="D16539">
        <v>0.71906568550399996</v>
      </c>
      <c r="E16539">
        <v>13.272</v>
      </c>
    </row>
    <row r="16540" spans="1:5">
      <c r="A16540" t="s">
        <v>44162</v>
      </c>
      <c r="B16540" t="s">
        <v>8714</v>
      </c>
      <c r="C16540">
        <v>7.9055685503900006E-2</v>
      </c>
      <c r="D16540">
        <v>0.71906568550399996</v>
      </c>
      <c r="E16540">
        <v>13.272</v>
      </c>
    </row>
    <row r="16541" spans="1:5">
      <c r="A16541" t="s">
        <v>44163</v>
      </c>
      <c r="B16541" t="s">
        <v>22040</v>
      </c>
      <c r="C16541">
        <v>0.33656179887499998</v>
      </c>
      <c r="D16541">
        <v>0.56697179887500004</v>
      </c>
      <c r="E16541">
        <v>1.0680000000000001</v>
      </c>
    </row>
    <row r="16542" spans="1:5">
      <c r="A16542" t="s">
        <v>44163</v>
      </c>
      <c r="B16542" t="s">
        <v>22038</v>
      </c>
      <c r="C16542">
        <f>0</f>
        <v>0</v>
      </c>
      <c r="D16542">
        <v>0.56697179887500004</v>
      </c>
      <c r="E16542">
        <v>1.0680000000000001</v>
      </c>
    </row>
    <row r="16543" spans="1:5">
      <c r="A16543" t="s">
        <v>44164</v>
      </c>
      <c r="B16543" t="s">
        <v>1500</v>
      </c>
      <c r="C16543">
        <f>0</f>
        <v>0</v>
      </c>
      <c r="D16543">
        <v>0.79691553961999995</v>
      </c>
      <c r="E16543">
        <v>6.18</v>
      </c>
    </row>
    <row r="16544" spans="1:5">
      <c r="A16544" t="s">
        <v>44164</v>
      </c>
      <c r="B16544" t="s">
        <v>1501</v>
      </c>
      <c r="C16544">
        <v>0</v>
      </c>
      <c r="D16544">
        <v>0.79691553961999995</v>
      </c>
      <c r="E16544">
        <v>6.18</v>
      </c>
    </row>
    <row r="16545" spans="1:5">
      <c r="A16545" t="s">
        <v>44164</v>
      </c>
      <c r="B16545" t="s">
        <v>1502</v>
      </c>
      <c r="C16545">
        <f>0</f>
        <v>0</v>
      </c>
      <c r="D16545">
        <v>0.79691553961999995</v>
      </c>
      <c r="E16545">
        <v>6.18</v>
      </c>
    </row>
    <row r="16546" spans="1:5">
      <c r="A16546" t="s">
        <v>44164</v>
      </c>
      <c r="B16546" t="s">
        <v>1499</v>
      </c>
      <c r="C16546">
        <f>0.364210722491</f>
        <v>0.36421072249100001</v>
      </c>
      <c r="D16546">
        <v>0.79691553961999995</v>
      </c>
      <c r="E16546">
        <v>6.18</v>
      </c>
    </row>
    <row r="16547" spans="1:5">
      <c r="A16547" t="s">
        <v>44164</v>
      </c>
      <c r="B16547" t="s">
        <v>1503</v>
      </c>
      <c r="C16547">
        <v>0.36555756096699998</v>
      </c>
      <c r="D16547">
        <v>0.79691553961999995</v>
      </c>
      <c r="E16547">
        <v>6.18</v>
      </c>
    </row>
    <row r="16548" spans="1:5">
      <c r="A16548" t="s">
        <v>44165</v>
      </c>
      <c r="B16548" t="s">
        <v>44166</v>
      </c>
      <c r="C16548">
        <f>0.311557423473</f>
        <v>0.31155742347299997</v>
      </c>
      <c r="D16548">
        <v>0.92395497215</v>
      </c>
      <c r="E16548">
        <v>24</v>
      </c>
    </row>
    <row r="16549" spans="1:5">
      <c r="A16549" t="s">
        <v>44165</v>
      </c>
      <c r="B16549" t="s">
        <v>44167</v>
      </c>
      <c r="C16549">
        <v>0.65468764674500002</v>
      </c>
      <c r="D16549">
        <v>0.92395497215</v>
      </c>
      <c r="E16549">
        <v>24</v>
      </c>
    </row>
    <row r="16550" spans="1:5">
      <c r="A16550" t="s">
        <v>44165</v>
      </c>
      <c r="B16550" t="s">
        <v>44168</v>
      </c>
      <c r="C16550">
        <f>0.891015460803</f>
        <v>0.89101546080299998</v>
      </c>
      <c r="D16550">
        <v>0.92395497215</v>
      </c>
      <c r="E16550">
        <v>24</v>
      </c>
    </row>
    <row r="16551" spans="1:5">
      <c r="A16551" t="s">
        <v>44169</v>
      </c>
      <c r="B16551" t="s">
        <v>9075</v>
      </c>
      <c r="C16551">
        <f>0</f>
        <v>0</v>
      </c>
      <c r="D16551">
        <v>0.92099126736699999</v>
      </c>
      <c r="E16551">
        <v>17.928000000000001</v>
      </c>
    </row>
    <row r="16552" spans="1:5">
      <c r="A16552" t="s">
        <v>44169</v>
      </c>
      <c r="B16552" t="s">
        <v>9078</v>
      </c>
      <c r="C16552">
        <v>0</v>
      </c>
      <c r="D16552">
        <v>0.92099126736699999</v>
      </c>
      <c r="E16552">
        <v>17.928000000000001</v>
      </c>
    </row>
    <row r="16553" spans="1:5">
      <c r="A16553" t="s">
        <v>44169</v>
      </c>
      <c r="B16553" t="s">
        <v>9079</v>
      </c>
      <c r="C16553">
        <v>0.54125057044299996</v>
      </c>
      <c r="D16553">
        <v>0.92099126736699999</v>
      </c>
      <c r="E16553">
        <v>17.928000000000001</v>
      </c>
    </row>
    <row r="16554" spans="1:5">
      <c r="A16554" t="s">
        <v>44169</v>
      </c>
      <c r="B16554" t="s">
        <v>9082</v>
      </c>
      <c r="C16554">
        <f>0</f>
        <v>0</v>
      </c>
      <c r="D16554">
        <v>0.92099126736699999</v>
      </c>
      <c r="E16554">
        <v>17.928000000000001</v>
      </c>
    </row>
    <row r="16555" spans="1:5">
      <c r="A16555" t="s">
        <v>44169</v>
      </c>
      <c r="B16555" t="s">
        <v>9084</v>
      </c>
      <c r="C16555">
        <v>9.9179251500099999E-2</v>
      </c>
      <c r="D16555">
        <v>0.92099126736699999</v>
      </c>
      <c r="E16555">
        <v>17.928000000000001</v>
      </c>
    </row>
    <row r="16556" spans="1:5">
      <c r="A16556" t="s">
        <v>44169</v>
      </c>
      <c r="B16556" t="s">
        <v>9080</v>
      </c>
      <c r="C16556">
        <v>0</v>
      </c>
      <c r="D16556">
        <v>0.92099126736699999</v>
      </c>
      <c r="E16556">
        <v>17.928000000000001</v>
      </c>
    </row>
    <row r="16557" spans="1:5">
      <c r="A16557" t="s">
        <v>44170</v>
      </c>
      <c r="B16557" t="s">
        <v>44171</v>
      </c>
      <c r="C16557">
        <v>0.884763814574</v>
      </c>
      <c r="D16557">
        <v>0.92921422930800002</v>
      </c>
      <c r="E16557">
        <v>10.878</v>
      </c>
    </row>
    <row r="16558" spans="1:5">
      <c r="A16558" t="s">
        <v>44170</v>
      </c>
      <c r="B16558" t="s">
        <v>44172</v>
      </c>
      <c r="C16558">
        <f>0.392105107409</f>
        <v>0.39210510740900001</v>
      </c>
      <c r="D16558">
        <v>0.92921422930800002</v>
      </c>
      <c r="E16558">
        <v>10.878</v>
      </c>
    </row>
    <row r="16559" spans="1:5">
      <c r="A16559" t="s">
        <v>44170</v>
      </c>
      <c r="B16559" t="s">
        <v>44173</v>
      </c>
      <c r="C16559">
        <f>0.708277603128</f>
        <v>0.70827760312800003</v>
      </c>
      <c r="D16559">
        <v>0.92921422930800002</v>
      </c>
      <c r="E16559">
        <v>10.878</v>
      </c>
    </row>
    <row r="16560" spans="1:5">
      <c r="A16560" t="s">
        <v>44174</v>
      </c>
      <c r="B16560" t="s">
        <v>44175</v>
      </c>
      <c r="C16560">
        <f>0</f>
        <v>0</v>
      </c>
      <c r="D16560">
        <v>0.60607627615100002</v>
      </c>
      <c r="E16560">
        <v>11.706</v>
      </c>
    </row>
    <row r="16561" spans="1:5">
      <c r="A16561" t="s">
        <v>44174</v>
      </c>
      <c r="B16561" t="s">
        <v>44176</v>
      </c>
      <c r="C16561">
        <v>0.44606627615099997</v>
      </c>
      <c r="D16561">
        <v>0.60607627615100002</v>
      </c>
      <c r="E16561">
        <v>11.706</v>
      </c>
    </row>
    <row r="16562" spans="1:5">
      <c r="A16562" t="s">
        <v>44177</v>
      </c>
      <c r="B16562" t="s">
        <v>44178</v>
      </c>
      <c r="C16562">
        <v>0.40168209324800003</v>
      </c>
      <c r="D16562">
        <v>0.89341895448800002</v>
      </c>
      <c r="E16562">
        <v>1.764</v>
      </c>
    </row>
    <row r="16563" spans="1:5">
      <c r="A16563" t="s">
        <v>44177</v>
      </c>
      <c r="B16563" t="s">
        <v>44179</v>
      </c>
      <c r="C16563">
        <f>0.792321380945</f>
        <v>0.79232138094500004</v>
      </c>
      <c r="D16563">
        <v>0.89341895448800002</v>
      </c>
      <c r="E16563">
        <v>1.764</v>
      </c>
    </row>
    <row r="16564" spans="1:5">
      <c r="A16564" t="s">
        <v>44180</v>
      </c>
      <c r="B16564" t="s">
        <v>44181</v>
      </c>
      <c r="C16564">
        <v>0</v>
      </c>
      <c r="D16564">
        <v>0.59640947766300001</v>
      </c>
      <c r="E16564">
        <v>22.338000000000001</v>
      </c>
    </row>
    <row r="16565" spans="1:5">
      <c r="A16565" t="s">
        <v>44180</v>
      </c>
      <c r="B16565" t="s">
        <v>44182</v>
      </c>
      <c r="C16565">
        <v>0</v>
      </c>
      <c r="D16565">
        <v>0.59640947766300001</v>
      </c>
      <c r="E16565">
        <v>22.338000000000001</v>
      </c>
    </row>
    <row r="16566" spans="1:5">
      <c r="A16566" t="s">
        <v>44180</v>
      </c>
      <c r="B16566" t="s">
        <v>44183</v>
      </c>
      <c r="C16566">
        <v>0</v>
      </c>
      <c r="D16566">
        <v>0.59640947766300001</v>
      </c>
      <c r="E16566">
        <v>22.338000000000001</v>
      </c>
    </row>
    <row r="16567" spans="1:5">
      <c r="A16567" t="s">
        <v>44180</v>
      </c>
      <c r="B16567" t="s">
        <v>44184</v>
      </c>
      <c r="C16567">
        <f>0</f>
        <v>0</v>
      </c>
      <c r="D16567">
        <v>0.59640947766300001</v>
      </c>
      <c r="E16567">
        <v>22.338000000000001</v>
      </c>
    </row>
    <row r="16568" spans="1:5">
      <c r="A16568" t="s">
        <v>44180</v>
      </c>
      <c r="B16568" t="s">
        <v>44185</v>
      </c>
      <c r="C16568">
        <v>0</v>
      </c>
      <c r="D16568">
        <v>0.59640947766300001</v>
      </c>
      <c r="E16568">
        <v>22.338000000000001</v>
      </c>
    </row>
    <row r="16569" spans="1:5">
      <c r="A16569" t="s">
        <v>44180</v>
      </c>
      <c r="B16569" t="s">
        <v>44186</v>
      </c>
      <c r="C16569">
        <v>0.32599947766300003</v>
      </c>
      <c r="D16569">
        <v>0.59640947766300001</v>
      </c>
      <c r="E16569">
        <v>22.338000000000001</v>
      </c>
    </row>
    <row r="16570" spans="1:5">
      <c r="A16570" t="s">
        <v>44187</v>
      </c>
      <c r="B16570" t="s">
        <v>44188</v>
      </c>
      <c r="C16570">
        <v>0.530788044086</v>
      </c>
      <c r="D16570">
        <v>0.92579451225599996</v>
      </c>
      <c r="E16570">
        <v>1.17</v>
      </c>
    </row>
    <row r="16571" spans="1:5">
      <c r="A16571" t="s">
        <v>44187</v>
      </c>
      <c r="B16571" t="s">
        <v>44189</v>
      </c>
      <c r="C16571">
        <v>1.0586050357000001</v>
      </c>
      <c r="D16571">
        <v>0.92579451225599996</v>
      </c>
      <c r="E16571">
        <v>1.17</v>
      </c>
    </row>
    <row r="16572" spans="1:5">
      <c r="A16572" t="s">
        <v>44187</v>
      </c>
      <c r="B16572" t="s">
        <v>44190</v>
      </c>
      <c r="C16572">
        <f>0.349613518619</f>
        <v>0.34961351861899997</v>
      </c>
      <c r="D16572">
        <v>0.92579451225599996</v>
      </c>
      <c r="E16572">
        <v>1.17</v>
      </c>
    </row>
    <row r="16573" spans="1:5">
      <c r="A16573" t="s">
        <v>44191</v>
      </c>
      <c r="B16573" t="s">
        <v>18058</v>
      </c>
      <c r="C16573">
        <f>0</f>
        <v>0</v>
      </c>
      <c r="D16573" t="s">
        <v>106</v>
      </c>
      <c r="E16573">
        <v>23.28</v>
      </c>
    </row>
    <row r="16574" spans="1:5">
      <c r="A16574" t="s">
        <v>44191</v>
      </c>
      <c r="B16574" t="s">
        <v>18061</v>
      </c>
      <c r="C16574">
        <v>0</v>
      </c>
      <c r="D16574" t="s">
        <v>106</v>
      </c>
      <c r="E16574">
        <v>23.28</v>
      </c>
    </row>
    <row r="16575" spans="1:5">
      <c r="A16575" t="s">
        <v>44191</v>
      </c>
      <c r="B16575" t="s">
        <v>18059</v>
      </c>
      <c r="C16575">
        <v>0</v>
      </c>
      <c r="D16575" t="s">
        <v>106</v>
      </c>
      <c r="E16575">
        <v>23.28</v>
      </c>
    </row>
    <row r="16576" spans="1:5">
      <c r="A16576" t="s">
        <v>44192</v>
      </c>
      <c r="B16576" t="s">
        <v>44193</v>
      </c>
      <c r="C16576">
        <v>0</v>
      </c>
      <c r="D16576" t="s">
        <v>106</v>
      </c>
      <c r="E16576">
        <v>4.2720000000000002</v>
      </c>
    </row>
    <row r="16577" spans="1:5">
      <c r="A16577" t="s">
        <v>44192</v>
      </c>
      <c r="B16577" t="s">
        <v>44194</v>
      </c>
      <c r="C16577">
        <f>0</f>
        <v>0</v>
      </c>
      <c r="D16577" t="s">
        <v>106</v>
      </c>
      <c r="E16577">
        <v>4.2720000000000002</v>
      </c>
    </row>
    <row r="16578" spans="1:5">
      <c r="A16578" t="s">
        <v>44195</v>
      </c>
      <c r="B16578" t="s">
        <v>44196</v>
      </c>
      <c r="C16578">
        <v>0.845071955963</v>
      </c>
      <c r="D16578">
        <v>0.90350101015200002</v>
      </c>
      <c r="E16578">
        <v>2.556</v>
      </c>
    </row>
    <row r="16579" spans="1:5">
      <c r="A16579" t="s">
        <v>44195</v>
      </c>
      <c r="B16579" t="s">
        <v>44197</v>
      </c>
      <c r="C16579">
        <v>0.31053723185999998</v>
      </c>
      <c r="D16579">
        <v>0.90350101015200002</v>
      </c>
      <c r="E16579">
        <v>2.556</v>
      </c>
    </row>
    <row r="16580" spans="1:5">
      <c r="A16580" t="s">
        <v>44198</v>
      </c>
      <c r="B16580" t="s">
        <v>19114</v>
      </c>
      <c r="C16580">
        <v>0.57858916116400005</v>
      </c>
      <c r="D16580">
        <v>0.93133517724899995</v>
      </c>
      <c r="E16580">
        <v>0.114</v>
      </c>
    </row>
    <row r="16581" spans="1:5">
      <c r="A16581" t="s">
        <v>44198</v>
      </c>
      <c r="B16581" t="s">
        <v>19113</v>
      </c>
      <c r="C16581">
        <v>0</v>
      </c>
      <c r="D16581">
        <v>0.93133517724899995</v>
      </c>
      <c r="E16581">
        <v>0.114</v>
      </c>
    </row>
    <row r="16582" spans="1:5">
      <c r="A16582" t="s">
        <v>44198</v>
      </c>
      <c r="B16582" t="s">
        <v>19118</v>
      </c>
      <c r="C16582">
        <f>0.670347138161</f>
        <v>0.670347138161</v>
      </c>
      <c r="D16582">
        <v>0.93133517724899995</v>
      </c>
      <c r="E16582">
        <v>0.114</v>
      </c>
    </row>
    <row r="16583" spans="1:5">
      <c r="A16583" t="s">
        <v>44198</v>
      </c>
      <c r="B16583" t="s">
        <v>19119</v>
      </c>
      <c r="C16583">
        <v>0.69648606782199995</v>
      </c>
      <c r="D16583">
        <v>0.93133517724899995</v>
      </c>
      <c r="E16583">
        <v>0.114</v>
      </c>
    </row>
    <row r="16584" spans="1:5">
      <c r="A16584" t="s">
        <v>44199</v>
      </c>
      <c r="B16584" t="s">
        <v>9994</v>
      </c>
      <c r="C16584">
        <f>0.469811580316</f>
        <v>0.46981158031600001</v>
      </c>
      <c r="D16584">
        <v>0.90350036127900002</v>
      </c>
      <c r="E16584">
        <v>13.997999999999999</v>
      </c>
    </row>
    <row r="16585" spans="1:5">
      <c r="A16585" t="s">
        <v>44199</v>
      </c>
      <c r="B16585" t="s">
        <v>9995</v>
      </c>
      <c r="C16585">
        <f>0</f>
        <v>0</v>
      </c>
      <c r="D16585">
        <v>0.90350036127900002</v>
      </c>
      <c r="E16585">
        <v>13.997999999999999</v>
      </c>
    </row>
    <row r="16586" spans="1:5">
      <c r="A16586" t="s">
        <v>44199</v>
      </c>
      <c r="B16586" t="s">
        <v>9997</v>
      </c>
      <c r="C16586">
        <v>0.55074820437799998</v>
      </c>
      <c r="D16586">
        <v>0.90350036127900002</v>
      </c>
      <c r="E16586">
        <v>13.997999999999999</v>
      </c>
    </row>
    <row r="16587" spans="1:5">
      <c r="A16587" t="s">
        <v>44199</v>
      </c>
      <c r="B16587" t="s">
        <v>9996</v>
      </c>
      <c r="C16587">
        <v>6.4812474419499999E-2</v>
      </c>
      <c r="D16587">
        <v>0.90350036127900002</v>
      </c>
      <c r="E16587">
        <v>13.997999999999999</v>
      </c>
    </row>
    <row r="16588" spans="1:5">
      <c r="A16588" t="s">
        <v>44200</v>
      </c>
      <c r="B16588" t="s">
        <v>44201</v>
      </c>
      <c r="C16588">
        <v>0.14586160021299999</v>
      </c>
      <c r="D16588">
        <v>0.90597730799999998</v>
      </c>
      <c r="E16588">
        <v>1.512</v>
      </c>
    </row>
    <row r="16589" spans="1:5">
      <c r="A16589" t="s">
        <v>44200</v>
      </c>
      <c r="B16589" t="s">
        <v>44202</v>
      </c>
      <c r="C16589">
        <v>0.77031670387999995</v>
      </c>
      <c r="D16589">
        <v>0.90597730799999998</v>
      </c>
      <c r="E16589">
        <v>1.512</v>
      </c>
    </row>
    <row r="16590" spans="1:5">
      <c r="A16590" t="s">
        <v>44200</v>
      </c>
      <c r="B16590" t="s">
        <v>44203</v>
      </c>
      <c r="C16590">
        <v>0</v>
      </c>
      <c r="D16590">
        <v>0.90597730799999998</v>
      </c>
      <c r="E16590">
        <v>1.512</v>
      </c>
    </row>
    <row r="16591" spans="1:5">
      <c r="A16591" t="s">
        <v>44204</v>
      </c>
      <c r="B16591" t="s">
        <v>6463</v>
      </c>
      <c r="C16591">
        <f>0</f>
        <v>0</v>
      </c>
      <c r="D16591" t="s">
        <v>106</v>
      </c>
      <c r="E16591">
        <v>9.1679999999999993</v>
      </c>
    </row>
    <row r="16592" spans="1:5">
      <c r="A16592" t="s">
        <v>44204</v>
      </c>
      <c r="B16592" t="s">
        <v>6467</v>
      </c>
      <c r="C16592">
        <f>0</f>
        <v>0</v>
      </c>
      <c r="D16592" t="s">
        <v>106</v>
      </c>
      <c r="E16592">
        <v>9.1679999999999993</v>
      </c>
    </row>
    <row r="16593" spans="1:5">
      <c r="A16593" t="s">
        <v>44204</v>
      </c>
      <c r="B16593" t="s">
        <v>6466</v>
      </c>
      <c r="C16593">
        <f>0</f>
        <v>0</v>
      </c>
      <c r="D16593" t="s">
        <v>106</v>
      </c>
      <c r="E16593">
        <v>9.1679999999999993</v>
      </c>
    </row>
    <row r="16594" spans="1:5">
      <c r="A16594" t="s">
        <v>44204</v>
      </c>
      <c r="B16594" t="s">
        <v>6468</v>
      </c>
      <c r="C16594">
        <v>0</v>
      </c>
      <c r="D16594" t="s">
        <v>106</v>
      </c>
      <c r="E16594">
        <v>9.1679999999999993</v>
      </c>
    </row>
    <row r="16595" spans="1:5">
      <c r="A16595" t="s">
        <v>44204</v>
      </c>
      <c r="B16595" t="s">
        <v>6470</v>
      </c>
      <c r="C16595">
        <f>0</f>
        <v>0</v>
      </c>
      <c r="D16595" t="s">
        <v>106</v>
      </c>
      <c r="E16595">
        <v>9.1679999999999993</v>
      </c>
    </row>
    <row r="16596" spans="1:5">
      <c r="A16596" t="s">
        <v>44204</v>
      </c>
      <c r="B16596" t="s">
        <v>6464</v>
      </c>
      <c r="C16596">
        <f>0</f>
        <v>0</v>
      </c>
      <c r="D16596" t="s">
        <v>106</v>
      </c>
      <c r="E16596">
        <v>9.1679999999999993</v>
      </c>
    </row>
    <row r="16597" spans="1:5">
      <c r="A16597" t="s">
        <v>44205</v>
      </c>
      <c r="B16597" t="s">
        <v>19903</v>
      </c>
      <c r="C16597">
        <v>1.14545807137</v>
      </c>
      <c r="D16597">
        <v>0.99988688864300002</v>
      </c>
      <c r="E16597">
        <v>2.556</v>
      </c>
    </row>
    <row r="16598" spans="1:5">
      <c r="A16598" t="s">
        <v>44205</v>
      </c>
      <c r="B16598" t="s">
        <v>19892</v>
      </c>
      <c r="C16598">
        <f>0.56798447027</f>
        <v>0.56798447026999999</v>
      </c>
      <c r="D16598">
        <v>0.99988688864300002</v>
      </c>
      <c r="E16598">
        <v>2.556</v>
      </c>
    </row>
    <row r="16599" spans="1:5">
      <c r="A16599" t="s">
        <v>44205</v>
      </c>
      <c r="B16599" t="s">
        <v>19894</v>
      </c>
      <c r="C16599">
        <v>0.40003469754100002</v>
      </c>
      <c r="D16599">
        <v>0.99988688864300002</v>
      </c>
      <c r="E16599">
        <v>2.556</v>
      </c>
    </row>
    <row r="16600" spans="1:5">
      <c r="A16600" t="s">
        <v>44205</v>
      </c>
      <c r="B16600" t="s">
        <v>19897</v>
      </c>
      <c r="C16600">
        <f>0.0291567593452</f>
        <v>2.9156759345200001E-2</v>
      </c>
      <c r="D16600">
        <v>0.99988688864300002</v>
      </c>
      <c r="E16600">
        <v>2.556</v>
      </c>
    </row>
    <row r="16601" spans="1:5">
      <c r="A16601" t="s">
        <v>44205</v>
      </c>
      <c r="B16601" t="s">
        <v>19891</v>
      </c>
      <c r="C16601">
        <f>0.153287076662</f>
        <v>0.153287076662</v>
      </c>
      <c r="D16601">
        <v>0.99988688864300002</v>
      </c>
      <c r="E16601">
        <v>2.556</v>
      </c>
    </row>
    <row r="16602" spans="1:5">
      <c r="A16602" t="s">
        <v>44205</v>
      </c>
      <c r="B16602" t="s">
        <v>19890</v>
      </c>
      <c r="C16602">
        <v>0</v>
      </c>
      <c r="D16602">
        <v>0.99988688864300002</v>
      </c>
      <c r="E16602">
        <v>2.556</v>
      </c>
    </row>
    <row r="16603" spans="1:5">
      <c r="A16603" t="s">
        <v>44205</v>
      </c>
      <c r="B16603" t="s">
        <v>44206</v>
      </c>
      <c r="C16603">
        <v>0.668844436677</v>
      </c>
      <c r="D16603">
        <v>0.99988688864300002</v>
      </c>
      <c r="E16603">
        <v>2.556</v>
      </c>
    </row>
    <row r="16604" spans="1:5">
      <c r="A16604" t="s">
        <v>44205</v>
      </c>
      <c r="B16604" t="s">
        <v>19906</v>
      </c>
      <c r="C16604">
        <f>0.111899961597</f>
        <v>0.111899961597</v>
      </c>
      <c r="D16604">
        <v>0.99988688864300002</v>
      </c>
      <c r="E16604">
        <v>2.556</v>
      </c>
    </row>
    <row r="16605" spans="1:5">
      <c r="A16605" t="s">
        <v>44205</v>
      </c>
      <c r="B16605" t="s">
        <v>44207</v>
      </c>
      <c r="C16605">
        <v>0.28012610317499997</v>
      </c>
      <c r="D16605">
        <v>0.99988688864300002</v>
      </c>
      <c r="E16605">
        <v>2.556</v>
      </c>
    </row>
    <row r="16606" spans="1:5">
      <c r="A16606" t="s">
        <v>44208</v>
      </c>
      <c r="B16606" t="s">
        <v>44209</v>
      </c>
      <c r="C16606">
        <f>0.145469092178</f>
        <v>0.145469092178</v>
      </c>
      <c r="D16606">
        <v>0.69639878529300003</v>
      </c>
      <c r="E16606">
        <v>1.512</v>
      </c>
    </row>
    <row r="16607" spans="1:5">
      <c r="A16607" t="s">
        <v>44208</v>
      </c>
      <c r="B16607" t="s">
        <v>44210</v>
      </c>
      <c r="C16607">
        <f>0</f>
        <v>0</v>
      </c>
      <c r="D16607">
        <v>0.69639878529300003</v>
      </c>
      <c r="E16607">
        <v>1.512</v>
      </c>
    </row>
    <row r="16608" spans="1:5">
      <c r="A16608" t="s">
        <v>44208</v>
      </c>
      <c r="B16608" t="s">
        <v>44211</v>
      </c>
      <c r="C16608">
        <f>0.380406963764</f>
        <v>0.38040696376400002</v>
      </c>
      <c r="D16608">
        <v>0.69639878529300003</v>
      </c>
      <c r="E16608">
        <v>1.512</v>
      </c>
    </row>
    <row r="16609" spans="1:5">
      <c r="A16609" t="s">
        <v>44212</v>
      </c>
      <c r="B16609" t="s">
        <v>44213</v>
      </c>
      <c r="C16609">
        <f>0.660432521191</f>
        <v>0.66043252119100004</v>
      </c>
      <c r="D16609">
        <v>0.41222146413100003</v>
      </c>
      <c r="E16609">
        <v>1.224</v>
      </c>
    </row>
    <row r="16610" spans="1:5">
      <c r="A16610" t="s">
        <v>44212</v>
      </c>
      <c r="B16610" t="s">
        <v>44214</v>
      </c>
      <c r="C16610">
        <v>0.76499363733699999</v>
      </c>
      <c r="D16610">
        <v>0.41222146413100003</v>
      </c>
      <c r="E16610">
        <v>1.224</v>
      </c>
    </row>
    <row r="16611" spans="1:5">
      <c r="A16611" t="s">
        <v>44215</v>
      </c>
      <c r="B16611" t="s">
        <v>27788</v>
      </c>
      <c r="C16611">
        <f>0</f>
        <v>0</v>
      </c>
      <c r="D16611">
        <v>0.67365158191200003</v>
      </c>
      <c r="E16611">
        <v>24</v>
      </c>
    </row>
    <row r="16612" spans="1:5">
      <c r="A16612" t="s">
        <v>44215</v>
      </c>
      <c r="B16612" t="s">
        <v>27784</v>
      </c>
      <c r="C16612">
        <v>0.36004158191199997</v>
      </c>
      <c r="D16612">
        <v>0.67365158191200003</v>
      </c>
      <c r="E16612">
        <v>24</v>
      </c>
    </row>
    <row r="16613" spans="1:5">
      <c r="A16613" t="s">
        <v>44215</v>
      </c>
      <c r="B16613" t="s">
        <v>27783</v>
      </c>
      <c r="C16613">
        <f>0</f>
        <v>0</v>
      </c>
      <c r="D16613">
        <v>0.67365158191200003</v>
      </c>
      <c r="E16613">
        <v>24</v>
      </c>
    </row>
    <row r="16614" spans="1:5">
      <c r="A16614" t="s">
        <v>44216</v>
      </c>
      <c r="B16614" t="s">
        <v>44217</v>
      </c>
      <c r="C16614">
        <f>0.168754754224</f>
        <v>0.16875475422399999</v>
      </c>
      <c r="D16614">
        <v>0.52876475422400004</v>
      </c>
      <c r="E16614">
        <v>8.58</v>
      </c>
    </row>
    <row r="16615" spans="1:5">
      <c r="A16615" t="s">
        <v>44216</v>
      </c>
      <c r="B16615" t="s">
        <v>44218</v>
      </c>
      <c r="C16615">
        <f>0</f>
        <v>0</v>
      </c>
      <c r="D16615">
        <v>0.52876475422400004</v>
      </c>
      <c r="E16615">
        <v>8.58</v>
      </c>
    </row>
    <row r="16616" spans="1:5">
      <c r="A16616" t="s">
        <v>44219</v>
      </c>
      <c r="B16616" t="s">
        <v>24922</v>
      </c>
      <c r="C16616">
        <v>0</v>
      </c>
      <c r="D16616">
        <v>0.572697514608</v>
      </c>
      <c r="E16616">
        <v>24</v>
      </c>
    </row>
    <row r="16617" spans="1:5">
      <c r="A16617" t="s">
        <v>44219</v>
      </c>
      <c r="B16617" t="s">
        <v>24923</v>
      </c>
      <c r="C16617">
        <v>0</v>
      </c>
      <c r="D16617">
        <v>0.572697514608</v>
      </c>
      <c r="E16617">
        <v>24</v>
      </c>
    </row>
    <row r="16618" spans="1:5">
      <c r="A16618" t="s">
        <v>44219</v>
      </c>
      <c r="B16618" t="s">
        <v>44220</v>
      </c>
      <c r="C16618">
        <f>0.305499223535</f>
        <v>0.30549922353499998</v>
      </c>
      <c r="D16618">
        <v>0.572697514608</v>
      </c>
      <c r="E16618">
        <v>24</v>
      </c>
    </row>
    <row r="16619" spans="1:5">
      <c r="A16619" t="s">
        <v>44219</v>
      </c>
      <c r="B16619" t="s">
        <v>24925</v>
      </c>
      <c r="C16619">
        <f>0.119608321243</f>
        <v>0.119608321243</v>
      </c>
      <c r="D16619">
        <v>0.572697514608</v>
      </c>
      <c r="E16619">
        <v>24</v>
      </c>
    </row>
    <row r="16620" spans="1:5">
      <c r="A16620" t="s">
        <v>44221</v>
      </c>
      <c r="B16620" t="s">
        <v>44222</v>
      </c>
      <c r="C16620">
        <f>0.0941441328433</f>
        <v>9.4144132843300005E-2</v>
      </c>
      <c r="D16620">
        <v>0.71313538243999997</v>
      </c>
      <c r="E16620">
        <v>23.754000000000001</v>
      </c>
    </row>
    <row r="16621" spans="1:5">
      <c r="A16621" t="s">
        <v>44221</v>
      </c>
      <c r="B16621" t="s">
        <v>44223</v>
      </c>
      <c r="C16621">
        <f>0.57357961539</f>
        <v>0.57357961539000002</v>
      </c>
      <c r="D16621">
        <v>0.71313538243999997</v>
      </c>
      <c r="E16621">
        <v>23.754000000000001</v>
      </c>
    </row>
    <row r="16622" spans="1:5">
      <c r="A16622" t="s">
        <v>44224</v>
      </c>
      <c r="B16622" t="s">
        <v>28716</v>
      </c>
      <c r="C16622">
        <v>0.63015041996800003</v>
      </c>
      <c r="D16622">
        <v>0.75976041996800003</v>
      </c>
      <c r="E16622">
        <v>24</v>
      </c>
    </row>
    <row r="16623" spans="1:5">
      <c r="A16623" t="s">
        <v>44224</v>
      </c>
      <c r="B16623" t="s">
        <v>28717</v>
      </c>
      <c r="C16623">
        <v>0</v>
      </c>
      <c r="D16623">
        <v>0.75976041996800003</v>
      </c>
      <c r="E16623">
        <v>24</v>
      </c>
    </row>
    <row r="16624" spans="1:5">
      <c r="A16624" t="s">
        <v>44225</v>
      </c>
      <c r="B16624" t="s">
        <v>44226</v>
      </c>
      <c r="C16624">
        <v>0.33681829224199999</v>
      </c>
      <c r="D16624">
        <v>0.79794798406300005</v>
      </c>
      <c r="E16624">
        <v>15.318</v>
      </c>
    </row>
    <row r="16625" spans="1:5">
      <c r="A16625" t="s">
        <v>44225</v>
      </c>
      <c r="B16625" t="s">
        <v>44227</v>
      </c>
      <c r="C16625">
        <v>0.228037652723</v>
      </c>
      <c r="D16625">
        <v>0.79794798406300005</v>
      </c>
      <c r="E16625">
        <v>15.318</v>
      </c>
    </row>
    <row r="16626" spans="1:5">
      <c r="A16626" t="s">
        <v>44225</v>
      </c>
      <c r="B16626" t="s">
        <v>44228</v>
      </c>
      <c r="C16626">
        <v>0.43801141332499999</v>
      </c>
      <c r="D16626">
        <v>0.79794798406300005</v>
      </c>
      <c r="E16626">
        <v>15.318</v>
      </c>
    </row>
    <row r="16627" spans="1:5">
      <c r="A16627" t="s">
        <v>44229</v>
      </c>
      <c r="B16627" t="s">
        <v>25012</v>
      </c>
      <c r="C16627">
        <v>0.36445971223599999</v>
      </c>
      <c r="D16627">
        <v>0.85590171318899999</v>
      </c>
      <c r="E16627">
        <v>0</v>
      </c>
    </row>
    <row r="16628" spans="1:5">
      <c r="A16628" t="s">
        <v>44229</v>
      </c>
      <c r="B16628" t="s">
        <v>25011</v>
      </c>
      <c r="C16628">
        <v>0.120071516706</v>
      </c>
      <c r="D16628">
        <v>0.85590171318899999</v>
      </c>
      <c r="E16628">
        <v>0</v>
      </c>
    </row>
    <row r="16629" spans="1:5">
      <c r="A16629" t="s">
        <v>44229</v>
      </c>
      <c r="B16629" t="s">
        <v>25018</v>
      </c>
      <c r="C16629">
        <f>0.464104366295</f>
        <v>0.46410436629500001</v>
      </c>
      <c r="D16629">
        <v>0.85590171318899999</v>
      </c>
      <c r="E16629">
        <v>0</v>
      </c>
    </row>
    <row r="16630" spans="1:5">
      <c r="A16630" t="s">
        <v>44229</v>
      </c>
      <c r="B16630" t="s">
        <v>25016</v>
      </c>
      <c r="C16630">
        <v>0.108553554769</v>
      </c>
      <c r="D16630">
        <v>0.85590171318899999</v>
      </c>
      <c r="E16630">
        <v>0</v>
      </c>
    </row>
    <row r="16631" spans="1:5">
      <c r="A16631" t="s">
        <v>44230</v>
      </c>
      <c r="B16631" t="s">
        <v>44231</v>
      </c>
      <c r="C16631">
        <v>0</v>
      </c>
      <c r="D16631">
        <v>0.89833201816200003</v>
      </c>
      <c r="E16631">
        <v>23.754000000000001</v>
      </c>
    </row>
    <row r="16632" spans="1:5">
      <c r="A16632" t="s">
        <v>44230</v>
      </c>
      <c r="B16632" t="s">
        <v>44232</v>
      </c>
      <c r="C16632">
        <v>0</v>
      </c>
      <c r="D16632">
        <v>0.89833201816200003</v>
      </c>
      <c r="E16632">
        <v>23.754000000000001</v>
      </c>
    </row>
    <row r="16633" spans="1:5">
      <c r="A16633" t="s">
        <v>44230</v>
      </c>
      <c r="B16633" t="s">
        <v>44233</v>
      </c>
      <c r="C16633">
        <v>0</v>
      </c>
      <c r="D16633">
        <v>0.89833201816200003</v>
      </c>
      <c r="E16633">
        <v>23.754000000000001</v>
      </c>
    </row>
    <row r="16634" spans="1:5">
      <c r="A16634" t="s">
        <v>44230</v>
      </c>
      <c r="B16634" t="s">
        <v>44234</v>
      </c>
      <c r="C16634">
        <v>3.3716094845899998E-2</v>
      </c>
      <c r="D16634">
        <v>0.89833201816200003</v>
      </c>
      <c r="E16634">
        <v>23.754000000000001</v>
      </c>
    </row>
    <row r="16635" spans="1:5">
      <c r="A16635" t="s">
        <v>44230</v>
      </c>
      <c r="B16635" t="s">
        <v>44235</v>
      </c>
      <c r="C16635">
        <v>0.53642039987900003</v>
      </c>
      <c r="D16635">
        <v>0.89833201816200003</v>
      </c>
      <c r="E16635">
        <v>23.754000000000001</v>
      </c>
    </row>
    <row r="16636" spans="1:5">
      <c r="A16636" t="s">
        <v>44230</v>
      </c>
      <c r="B16636" t="s">
        <v>44236</v>
      </c>
      <c r="C16636">
        <v>0.30023303419899999</v>
      </c>
      <c r="D16636">
        <v>0.89833201816200003</v>
      </c>
      <c r="E16636">
        <v>23.754000000000001</v>
      </c>
    </row>
    <row r="16637" spans="1:5">
      <c r="A16637" t="s">
        <v>44230</v>
      </c>
      <c r="B16637" t="s">
        <v>44237</v>
      </c>
      <c r="C16637">
        <v>0</v>
      </c>
      <c r="D16637">
        <v>0.89833201816200003</v>
      </c>
      <c r="E16637">
        <v>23.754000000000001</v>
      </c>
    </row>
    <row r="16638" spans="1:5">
      <c r="A16638" t="s">
        <v>44238</v>
      </c>
      <c r="B16638" t="s">
        <v>16679</v>
      </c>
      <c r="C16638">
        <v>0</v>
      </c>
      <c r="D16638">
        <v>0.76508770013399996</v>
      </c>
      <c r="E16638">
        <v>1.224</v>
      </c>
    </row>
    <row r="16639" spans="1:5">
      <c r="A16639" t="s">
        <v>44238</v>
      </c>
      <c r="B16639" t="s">
        <v>16677</v>
      </c>
      <c r="C16639">
        <f>0</f>
        <v>0</v>
      </c>
      <c r="D16639">
        <v>0.76508770013399996</v>
      </c>
      <c r="E16639">
        <v>1.224</v>
      </c>
    </row>
    <row r="16640" spans="1:5">
      <c r="A16640" t="s">
        <v>44238</v>
      </c>
      <c r="B16640" t="s">
        <v>16676</v>
      </c>
      <c r="C16640">
        <v>0.45147770013400002</v>
      </c>
      <c r="D16640">
        <v>0.76508770013399996</v>
      </c>
      <c r="E16640">
        <v>1.224</v>
      </c>
    </row>
    <row r="16641" spans="1:5">
      <c r="A16641" t="s">
        <v>44238</v>
      </c>
      <c r="B16641" t="s">
        <v>16678</v>
      </c>
      <c r="C16641">
        <f>0</f>
        <v>0</v>
      </c>
      <c r="D16641">
        <v>0.76508770013399996</v>
      </c>
      <c r="E16641">
        <v>1.224</v>
      </c>
    </row>
    <row r="16642" spans="1:5">
      <c r="A16642" t="s">
        <v>44239</v>
      </c>
      <c r="B16642" t="s">
        <v>6762</v>
      </c>
      <c r="C16642">
        <v>0.24558386129599999</v>
      </c>
      <c r="D16642">
        <v>0.67910830290500002</v>
      </c>
      <c r="E16642">
        <v>20.292000000000002</v>
      </c>
    </row>
    <row r="16643" spans="1:5">
      <c r="A16643" t="s">
        <v>44239</v>
      </c>
      <c r="B16643" t="s">
        <v>6768</v>
      </c>
      <c r="C16643">
        <f>0.165958012259</f>
        <v>0.165958012259</v>
      </c>
      <c r="D16643">
        <v>0.67910830290500002</v>
      </c>
      <c r="E16643">
        <v>20.292000000000002</v>
      </c>
    </row>
    <row r="16644" spans="1:5">
      <c r="A16644" t="s">
        <v>44239</v>
      </c>
      <c r="B16644" t="s">
        <v>6765</v>
      </c>
      <c r="C16644">
        <v>0</v>
      </c>
      <c r="D16644">
        <v>0.67910830290500002</v>
      </c>
      <c r="E16644">
        <v>20.292000000000002</v>
      </c>
    </row>
    <row r="16645" spans="1:5">
      <c r="A16645" t="s">
        <v>44240</v>
      </c>
      <c r="B16645" t="s">
        <v>17445</v>
      </c>
      <c r="C16645">
        <f>0</f>
        <v>0</v>
      </c>
      <c r="D16645">
        <v>0.64134007335900001</v>
      </c>
      <c r="E16645">
        <v>1.83</v>
      </c>
    </row>
    <row r="16646" spans="1:5">
      <c r="A16646" t="s">
        <v>44240</v>
      </c>
      <c r="B16646" t="s">
        <v>17446</v>
      </c>
      <c r="C16646">
        <v>0.28253114250700001</v>
      </c>
      <c r="D16646">
        <v>0.64134007335900001</v>
      </c>
      <c r="E16646">
        <v>1.83</v>
      </c>
    </row>
    <row r="16647" spans="1:5">
      <c r="A16647" t="s">
        <v>44240</v>
      </c>
      <c r="B16647" t="s">
        <v>17447</v>
      </c>
      <c r="C16647">
        <v>0.54737892110899999</v>
      </c>
      <c r="D16647">
        <v>0.64134007335900001</v>
      </c>
      <c r="E16647">
        <v>1.83</v>
      </c>
    </row>
    <row r="16648" spans="1:5">
      <c r="A16648" t="s">
        <v>44240</v>
      </c>
      <c r="B16648" t="s">
        <v>17444</v>
      </c>
      <c r="C16648">
        <v>0</v>
      </c>
      <c r="D16648">
        <v>0.64134007335900001</v>
      </c>
      <c r="E16648">
        <v>1.83</v>
      </c>
    </row>
    <row r="16649" spans="1:5">
      <c r="A16649" t="s">
        <v>44241</v>
      </c>
      <c r="B16649" t="s">
        <v>18555</v>
      </c>
      <c r="C16649">
        <f>0</f>
        <v>0</v>
      </c>
      <c r="D16649" t="s">
        <v>106</v>
      </c>
      <c r="E16649">
        <v>16.295999999999999</v>
      </c>
    </row>
    <row r="16650" spans="1:5">
      <c r="A16650" t="s">
        <v>44241</v>
      </c>
      <c r="B16650" t="s">
        <v>18556</v>
      </c>
      <c r="C16650">
        <f>0</f>
        <v>0</v>
      </c>
      <c r="D16650" t="s">
        <v>106</v>
      </c>
      <c r="E16650">
        <v>16.295999999999999</v>
      </c>
    </row>
    <row r="16651" spans="1:5">
      <c r="A16651" t="s">
        <v>44241</v>
      </c>
      <c r="B16651" t="s">
        <v>18554</v>
      </c>
      <c r="C16651">
        <f>0</f>
        <v>0</v>
      </c>
      <c r="D16651" t="s">
        <v>106</v>
      </c>
      <c r="E16651">
        <v>16.295999999999999</v>
      </c>
    </row>
    <row r="16652" spans="1:5">
      <c r="A16652" t="s">
        <v>44242</v>
      </c>
      <c r="B16652" t="s">
        <v>22593</v>
      </c>
      <c r="C16652">
        <v>9.3325503797699993E-2</v>
      </c>
      <c r="D16652">
        <v>0.80212643770699998</v>
      </c>
      <c r="E16652">
        <v>0</v>
      </c>
    </row>
    <row r="16653" spans="1:5">
      <c r="A16653" t="s">
        <v>44242</v>
      </c>
      <c r="B16653" t="s">
        <v>22591</v>
      </c>
      <c r="C16653">
        <f>0.516772709734</f>
        <v>0.51677270973400002</v>
      </c>
      <c r="D16653">
        <v>0.80212643770699998</v>
      </c>
      <c r="E16653">
        <v>0</v>
      </c>
    </row>
    <row r="16654" spans="1:5">
      <c r="A16654" t="s">
        <v>44242</v>
      </c>
      <c r="B16654" t="s">
        <v>22592</v>
      </c>
      <c r="C16654">
        <v>0</v>
      </c>
      <c r="D16654">
        <v>0.80212643770699998</v>
      </c>
      <c r="E16654">
        <v>0</v>
      </c>
    </row>
    <row r="16655" spans="1:5">
      <c r="A16655" t="s">
        <v>44242</v>
      </c>
      <c r="B16655" t="s">
        <v>22594</v>
      </c>
      <c r="C16655">
        <v>0</v>
      </c>
      <c r="D16655">
        <v>0.80212643770699998</v>
      </c>
      <c r="E16655">
        <v>0</v>
      </c>
    </row>
    <row r="16656" spans="1:5">
      <c r="A16656" t="s">
        <v>44243</v>
      </c>
      <c r="B16656" t="s">
        <v>31834</v>
      </c>
      <c r="C16656">
        <f>-1.18014766944</f>
        <v>-1.1801476694399999</v>
      </c>
      <c r="D16656">
        <v>0.98327008712800001</v>
      </c>
      <c r="E16656">
        <v>23.754000000000001</v>
      </c>
    </row>
    <row r="16657" spans="1:5">
      <c r="A16657" t="s">
        <v>44243</v>
      </c>
      <c r="B16657" t="s">
        <v>31835</v>
      </c>
      <c r="C16657">
        <v>0.41981834880899999</v>
      </c>
      <c r="D16657">
        <v>0.98327008712800001</v>
      </c>
      <c r="E16657">
        <v>23.754000000000001</v>
      </c>
    </row>
    <row r="16658" spans="1:5">
      <c r="A16658" t="s">
        <v>44243</v>
      </c>
      <c r="B16658" t="s">
        <v>31838</v>
      </c>
      <c r="C16658">
        <f>0</f>
        <v>0</v>
      </c>
      <c r="D16658">
        <v>0.98327008712800001</v>
      </c>
      <c r="E16658">
        <v>23.754000000000001</v>
      </c>
    </row>
    <row r="16659" spans="1:5">
      <c r="A16659" t="s">
        <v>44243</v>
      </c>
      <c r="B16659" t="s">
        <v>31836</v>
      </c>
      <c r="C16659">
        <f>0.0638714983441</f>
        <v>6.3871498344099997E-2</v>
      </c>
      <c r="D16659">
        <v>0.98327008712800001</v>
      </c>
      <c r="E16659">
        <v>23.754000000000001</v>
      </c>
    </row>
    <row r="16660" spans="1:5">
      <c r="A16660" t="s">
        <v>44243</v>
      </c>
      <c r="B16660" t="s">
        <v>31837</v>
      </c>
      <c r="C16660">
        <v>0.11157569315099999</v>
      </c>
      <c r="D16660">
        <v>0.98327008712800001</v>
      </c>
      <c r="E16660">
        <v>23.754000000000001</v>
      </c>
    </row>
    <row r="16661" spans="1:5">
      <c r="A16661" t="s">
        <v>44244</v>
      </c>
      <c r="B16661" t="s">
        <v>19033</v>
      </c>
      <c r="C16661">
        <v>0.70252956271099998</v>
      </c>
      <c r="D16661">
        <v>0.94101827253400006</v>
      </c>
      <c r="E16661">
        <v>0</v>
      </c>
    </row>
    <row r="16662" spans="1:5">
      <c r="A16662" t="s">
        <v>44244</v>
      </c>
      <c r="B16662" t="s">
        <v>19036</v>
      </c>
      <c r="C16662">
        <v>0.19441798152</v>
      </c>
      <c r="D16662">
        <v>0.94101827253400006</v>
      </c>
      <c r="E16662">
        <v>0</v>
      </c>
    </row>
    <row r="16663" spans="1:5">
      <c r="A16663" t="s">
        <v>44244</v>
      </c>
      <c r="B16663" t="s">
        <v>19038</v>
      </c>
      <c r="C16663">
        <v>0.41224984602800002</v>
      </c>
      <c r="D16663">
        <v>0.94101827253400006</v>
      </c>
      <c r="E16663">
        <v>0</v>
      </c>
    </row>
    <row r="16664" spans="1:5">
      <c r="A16664" t="s">
        <v>44245</v>
      </c>
      <c r="B16664" t="s">
        <v>44246</v>
      </c>
      <c r="C16664">
        <v>0</v>
      </c>
      <c r="D16664">
        <v>0.81919889574399996</v>
      </c>
      <c r="E16664">
        <v>4.5839999999999996</v>
      </c>
    </row>
    <row r="16665" spans="1:5">
      <c r="A16665" t="s">
        <v>44245</v>
      </c>
      <c r="B16665" t="s">
        <v>44247</v>
      </c>
      <c r="C16665">
        <v>0.74947733546899997</v>
      </c>
      <c r="D16665">
        <v>0.81919889574399996</v>
      </c>
      <c r="E16665">
        <v>4.5839999999999996</v>
      </c>
    </row>
    <row r="16666" spans="1:5">
      <c r="A16666" t="s">
        <v>44245</v>
      </c>
      <c r="B16666" t="s">
        <v>44248</v>
      </c>
      <c r="C16666">
        <v>1.32131720815E-2</v>
      </c>
      <c r="D16666">
        <v>0.81919889574399996</v>
      </c>
      <c r="E16666">
        <v>4.5839999999999996</v>
      </c>
    </row>
    <row r="16667" spans="1:5">
      <c r="A16667" t="s">
        <v>44249</v>
      </c>
      <c r="B16667" t="s">
        <v>44250</v>
      </c>
      <c r="C16667">
        <f>0</f>
        <v>0</v>
      </c>
      <c r="D16667" t="s">
        <v>106</v>
      </c>
      <c r="E16667">
        <v>6.6779999999999999</v>
      </c>
    </row>
    <row r="16668" spans="1:5">
      <c r="A16668" t="s">
        <v>44249</v>
      </c>
      <c r="B16668" t="s">
        <v>44251</v>
      </c>
      <c r="C16668">
        <f>0</f>
        <v>0</v>
      </c>
      <c r="D16668" t="s">
        <v>106</v>
      </c>
      <c r="E16668">
        <v>6.6779999999999999</v>
      </c>
    </row>
    <row r="16669" spans="1:5">
      <c r="A16669" t="s">
        <v>44249</v>
      </c>
      <c r="B16669" t="s">
        <v>44252</v>
      </c>
      <c r="C16669">
        <f>0</f>
        <v>0</v>
      </c>
      <c r="D16669" t="s">
        <v>106</v>
      </c>
      <c r="E16669">
        <v>6.6779999999999999</v>
      </c>
    </row>
    <row r="16670" spans="1:5">
      <c r="A16670" t="s">
        <v>44249</v>
      </c>
      <c r="B16670" t="s">
        <v>44253</v>
      </c>
      <c r="C16670">
        <f>0</f>
        <v>0</v>
      </c>
      <c r="D16670" t="s">
        <v>106</v>
      </c>
      <c r="E16670">
        <v>6.6779999999999999</v>
      </c>
    </row>
    <row r="16671" spans="1:5">
      <c r="A16671" t="s">
        <v>44249</v>
      </c>
      <c r="B16671" t="s">
        <v>44254</v>
      </c>
      <c r="C16671">
        <v>0</v>
      </c>
      <c r="D16671" t="s">
        <v>106</v>
      </c>
      <c r="E16671">
        <v>6.6779999999999999</v>
      </c>
    </row>
    <row r="16672" spans="1:5">
      <c r="A16672" t="s">
        <v>44249</v>
      </c>
      <c r="B16672" t="s">
        <v>44255</v>
      </c>
      <c r="C16672">
        <v>0</v>
      </c>
      <c r="D16672" t="s">
        <v>106</v>
      </c>
      <c r="E16672">
        <v>6.6779999999999999</v>
      </c>
    </row>
    <row r="16673" spans="1:5">
      <c r="A16673" t="s">
        <v>44256</v>
      </c>
      <c r="B16673" t="s">
        <v>21922</v>
      </c>
      <c r="C16673">
        <f>0.0483013771067</f>
        <v>4.8301377106700003E-2</v>
      </c>
      <c r="D16673">
        <v>0.92603644396200002</v>
      </c>
      <c r="E16673">
        <v>4.4820000000000002</v>
      </c>
    </row>
    <row r="16674" spans="1:5">
      <c r="A16674" t="s">
        <v>44256</v>
      </c>
      <c r="B16674" t="s">
        <v>21921</v>
      </c>
      <c r="C16674">
        <v>0.57070470913100002</v>
      </c>
      <c r="D16674">
        <v>0.92603644396200002</v>
      </c>
      <c r="E16674">
        <v>4.4820000000000002</v>
      </c>
    </row>
    <row r="16675" spans="1:5">
      <c r="A16675" t="s">
        <v>44256</v>
      </c>
      <c r="B16675" t="s">
        <v>21923</v>
      </c>
      <c r="C16675">
        <f>-1.01258111717</f>
        <v>-1.0125811171700001</v>
      </c>
      <c r="D16675">
        <v>0.92603644396200002</v>
      </c>
      <c r="E16675">
        <v>4.4820000000000002</v>
      </c>
    </row>
    <row r="16676" spans="1:5">
      <c r="A16676" t="s">
        <v>44256</v>
      </c>
      <c r="B16676" t="s">
        <v>21924</v>
      </c>
      <c r="C16676">
        <v>0.65292627378000001</v>
      </c>
      <c r="D16676">
        <v>0.92603644396200002</v>
      </c>
      <c r="E16676">
        <v>4.4820000000000002</v>
      </c>
    </row>
    <row r="16677" spans="1:5">
      <c r="A16677" t="s">
        <v>44257</v>
      </c>
      <c r="B16677" t="s">
        <v>21797</v>
      </c>
      <c r="C16677">
        <v>0.78293803136200002</v>
      </c>
      <c r="D16677">
        <v>0.94488133306800004</v>
      </c>
      <c r="E16677">
        <v>1.2E-2</v>
      </c>
    </row>
    <row r="16678" spans="1:5">
      <c r="A16678" t="s">
        <v>44257</v>
      </c>
      <c r="B16678" t="s">
        <v>21798</v>
      </c>
      <c r="C16678">
        <v>3.8516512049000001E-4</v>
      </c>
      <c r="D16678">
        <v>0.94488133306800004</v>
      </c>
      <c r="E16678">
        <v>1.2E-2</v>
      </c>
    </row>
    <row r="16679" spans="1:5">
      <c r="A16679" t="s">
        <v>44257</v>
      </c>
      <c r="B16679" t="s">
        <v>21799</v>
      </c>
      <c r="C16679">
        <v>0.149768696945</v>
      </c>
      <c r="D16679">
        <v>0.94488133306800004</v>
      </c>
      <c r="E16679">
        <v>1.2E-2</v>
      </c>
    </row>
    <row r="16680" spans="1:5">
      <c r="A16680" t="s">
        <v>44258</v>
      </c>
      <c r="B16680" t="s">
        <v>44259</v>
      </c>
      <c r="C16680">
        <f>0</f>
        <v>0</v>
      </c>
      <c r="D16680">
        <v>0.696399072846</v>
      </c>
      <c r="E16680">
        <v>23.754000000000001</v>
      </c>
    </row>
    <row r="16681" spans="1:5">
      <c r="A16681" t="s">
        <v>44258</v>
      </c>
      <c r="B16681" t="s">
        <v>44260</v>
      </c>
      <c r="C16681">
        <f>0.425989072846</f>
        <v>0.42598907284600002</v>
      </c>
      <c r="D16681">
        <v>0.696399072846</v>
      </c>
      <c r="E16681">
        <v>23.754000000000001</v>
      </c>
    </row>
    <row r="16682" spans="1:5">
      <c r="A16682" t="s">
        <v>44258</v>
      </c>
      <c r="B16682" t="s">
        <v>44261</v>
      </c>
      <c r="C16682">
        <f>0</f>
        <v>0</v>
      </c>
      <c r="D16682">
        <v>0.696399072846</v>
      </c>
      <c r="E16682">
        <v>23.754000000000001</v>
      </c>
    </row>
    <row r="16683" spans="1:5">
      <c r="A16683" t="s">
        <v>44258</v>
      </c>
      <c r="B16683" t="s">
        <v>44262</v>
      </c>
      <c r="C16683">
        <f>0</f>
        <v>0</v>
      </c>
      <c r="D16683">
        <v>0.696399072846</v>
      </c>
      <c r="E16683">
        <v>23.754000000000001</v>
      </c>
    </row>
    <row r="16684" spans="1:5">
      <c r="A16684" t="s">
        <v>44258</v>
      </c>
      <c r="B16684" t="s">
        <v>44263</v>
      </c>
      <c r="C16684">
        <f>0</f>
        <v>0</v>
      </c>
      <c r="D16684">
        <v>0.696399072846</v>
      </c>
      <c r="E16684">
        <v>23.754000000000001</v>
      </c>
    </row>
    <row r="16685" spans="1:5">
      <c r="A16685" t="s">
        <v>44264</v>
      </c>
      <c r="B16685" t="s">
        <v>1228</v>
      </c>
      <c r="C16685">
        <f>0</f>
        <v>0</v>
      </c>
      <c r="D16685">
        <v>0.85310477461400003</v>
      </c>
      <c r="E16685">
        <v>6.3</v>
      </c>
    </row>
    <row r="16686" spans="1:5">
      <c r="A16686" t="s">
        <v>44264</v>
      </c>
      <c r="B16686" t="s">
        <v>1241</v>
      </c>
      <c r="C16686">
        <f>0.0805536365078</f>
        <v>8.0553636507799994E-2</v>
      </c>
      <c r="D16686">
        <v>0.85310477461400003</v>
      </c>
      <c r="E16686">
        <v>6.3</v>
      </c>
    </row>
    <row r="16687" spans="1:5">
      <c r="A16687" t="s">
        <v>44264</v>
      </c>
      <c r="B16687" t="s">
        <v>1230</v>
      </c>
      <c r="C16687">
        <f>0.265704453809</f>
        <v>0.26570445380899999</v>
      </c>
      <c r="D16687">
        <v>0.85310477461400003</v>
      </c>
      <c r="E16687">
        <v>6.3</v>
      </c>
    </row>
    <row r="16688" spans="1:5">
      <c r="A16688" t="s">
        <v>44264</v>
      </c>
      <c r="B16688" t="s">
        <v>1229</v>
      </c>
      <c r="C16688">
        <f>0.00971034825727</f>
        <v>9.7103482572699993E-3</v>
      </c>
      <c r="D16688">
        <v>0.85310477461400003</v>
      </c>
      <c r="E16688">
        <v>6.3</v>
      </c>
    </row>
    <row r="16689" spans="1:5">
      <c r="A16689" t="s">
        <v>44264</v>
      </c>
      <c r="B16689" t="s">
        <v>1227</v>
      </c>
      <c r="C16689">
        <f>0</f>
        <v>0</v>
      </c>
      <c r="D16689">
        <v>0.85310477461400003</v>
      </c>
      <c r="E16689">
        <v>6.3</v>
      </c>
    </row>
    <row r="16690" spans="1:5">
      <c r="A16690" t="s">
        <v>44264</v>
      </c>
      <c r="B16690" t="s">
        <v>1233</v>
      </c>
      <c r="C16690">
        <v>0.55553096065999996</v>
      </c>
      <c r="D16690">
        <v>0.85310477461400003</v>
      </c>
      <c r="E16690">
        <v>6.3</v>
      </c>
    </row>
    <row r="16691" spans="1:5">
      <c r="A16691" t="s">
        <v>44264</v>
      </c>
      <c r="B16691" t="s">
        <v>1235</v>
      </c>
      <c r="C16691">
        <f>0</f>
        <v>0</v>
      </c>
      <c r="D16691">
        <v>0.85310477461400003</v>
      </c>
      <c r="E16691">
        <v>6.3</v>
      </c>
    </row>
    <row r="16692" spans="1:5">
      <c r="A16692" t="s">
        <v>44264</v>
      </c>
      <c r="B16692" t="s">
        <v>1234</v>
      </c>
      <c r="C16692">
        <f>0</f>
        <v>0</v>
      </c>
      <c r="D16692">
        <v>0.85310477461400003</v>
      </c>
      <c r="E16692">
        <v>6.3</v>
      </c>
    </row>
    <row r="16693" spans="1:5">
      <c r="A16693" t="s">
        <v>44264</v>
      </c>
      <c r="B16693" t="s">
        <v>1237</v>
      </c>
      <c r="C16693">
        <f>0</f>
        <v>0</v>
      </c>
      <c r="D16693">
        <v>0.85310477461400003</v>
      </c>
      <c r="E16693">
        <v>6.3</v>
      </c>
    </row>
    <row r="16694" spans="1:5">
      <c r="A16694" t="s">
        <v>44264</v>
      </c>
      <c r="B16694" t="s">
        <v>1232</v>
      </c>
      <c r="C16694">
        <f>0</f>
        <v>0</v>
      </c>
      <c r="D16694">
        <v>0.85310477461400003</v>
      </c>
      <c r="E16694">
        <v>6.3</v>
      </c>
    </row>
    <row r="16695" spans="1:5">
      <c r="A16695" t="s">
        <v>44264</v>
      </c>
      <c r="B16695" t="s">
        <v>1231</v>
      </c>
      <c r="C16695">
        <f>0</f>
        <v>0</v>
      </c>
      <c r="D16695">
        <v>0.85310477461400003</v>
      </c>
      <c r="E16695">
        <v>6.3</v>
      </c>
    </row>
    <row r="16696" spans="1:5">
      <c r="A16696" t="s">
        <v>44264</v>
      </c>
      <c r="B16696" t="s">
        <v>1240</v>
      </c>
      <c r="C16696">
        <v>0</v>
      </c>
      <c r="D16696">
        <v>0.85310477461400003</v>
      </c>
      <c r="E16696">
        <v>6.3</v>
      </c>
    </row>
    <row r="16697" spans="1:5">
      <c r="A16697" t="s">
        <v>44265</v>
      </c>
      <c r="B16697" t="s">
        <v>10084</v>
      </c>
      <c r="C16697">
        <f>0.982469098802</f>
        <v>0.98246909880199995</v>
      </c>
      <c r="D16697">
        <v>0.878775475887</v>
      </c>
      <c r="E16697">
        <v>24</v>
      </c>
    </row>
    <row r="16698" spans="1:5">
      <c r="A16698" t="s">
        <v>44265</v>
      </c>
      <c r="B16698" t="s">
        <v>10087</v>
      </c>
      <c r="C16698">
        <v>7.3927618056399996E-2</v>
      </c>
      <c r="D16698">
        <v>0.878775475887</v>
      </c>
      <c r="E16698">
        <v>24</v>
      </c>
    </row>
    <row r="16699" spans="1:5">
      <c r="A16699" t="s">
        <v>44265</v>
      </c>
      <c r="B16699" t="s">
        <v>10089</v>
      </c>
      <c r="C16699">
        <v>0.23971899196900001</v>
      </c>
      <c r="D16699">
        <v>0.878775475887</v>
      </c>
      <c r="E16699">
        <v>24</v>
      </c>
    </row>
    <row r="16700" spans="1:5">
      <c r="A16700" t="s">
        <v>44265</v>
      </c>
      <c r="B16700" t="s">
        <v>10091</v>
      </c>
      <c r="C16700">
        <f>0.412749583948</f>
        <v>0.41274958394799999</v>
      </c>
      <c r="D16700">
        <v>0.878775475887</v>
      </c>
      <c r="E16700">
        <v>24</v>
      </c>
    </row>
    <row r="16701" spans="1:5">
      <c r="A16701" t="s">
        <v>44265</v>
      </c>
      <c r="B16701" t="s">
        <v>10090</v>
      </c>
      <c r="C16701">
        <v>4.8394787713699997E-2</v>
      </c>
      <c r="D16701">
        <v>0.878775475887</v>
      </c>
      <c r="E16701">
        <v>24</v>
      </c>
    </row>
    <row r="16702" spans="1:5">
      <c r="A16702" t="s">
        <v>44266</v>
      </c>
      <c r="B16702" t="s">
        <v>24232</v>
      </c>
      <c r="C16702">
        <v>0.82780396756399999</v>
      </c>
      <c r="D16702">
        <v>0.88541396756400004</v>
      </c>
      <c r="E16702">
        <v>2.4780000000000002</v>
      </c>
    </row>
    <row r="16703" spans="1:5">
      <c r="A16703" t="s">
        <v>44266</v>
      </c>
      <c r="B16703" t="s">
        <v>24236</v>
      </c>
      <c r="C16703">
        <f>0</f>
        <v>0</v>
      </c>
      <c r="D16703">
        <v>0.88541396756400004</v>
      </c>
      <c r="E16703">
        <v>2.4780000000000002</v>
      </c>
    </row>
    <row r="16704" spans="1:5">
      <c r="A16704" t="s">
        <v>44267</v>
      </c>
      <c r="B16704" t="s">
        <v>28735</v>
      </c>
      <c r="C16704">
        <v>0</v>
      </c>
      <c r="D16704" t="s">
        <v>106</v>
      </c>
      <c r="E16704">
        <v>5.3520000000000003</v>
      </c>
    </row>
    <row r="16705" spans="1:5">
      <c r="A16705" t="s">
        <v>44267</v>
      </c>
      <c r="B16705" t="s">
        <v>28734</v>
      </c>
      <c r="C16705">
        <f>0</f>
        <v>0</v>
      </c>
      <c r="D16705" t="s">
        <v>106</v>
      </c>
      <c r="E16705">
        <v>5.3520000000000003</v>
      </c>
    </row>
    <row r="16706" spans="1:5">
      <c r="A16706" t="s">
        <v>44267</v>
      </c>
      <c r="B16706" t="s">
        <v>28737</v>
      </c>
      <c r="C16706">
        <v>0</v>
      </c>
      <c r="D16706" t="s">
        <v>106</v>
      </c>
      <c r="E16706">
        <v>5.3520000000000003</v>
      </c>
    </row>
    <row r="16707" spans="1:5">
      <c r="A16707" t="s">
        <v>44267</v>
      </c>
      <c r="B16707" t="s">
        <v>28732</v>
      </c>
      <c r="C16707">
        <f>0</f>
        <v>0</v>
      </c>
      <c r="D16707" t="s">
        <v>106</v>
      </c>
      <c r="E16707">
        <v>5.3520000000000003</v>
      </c>
    </row>
    <row r="16708" spans="1:5">
      <c r="A16708" t="s">
        <v>44267</v>
      </c>
      <c r="B16708" t="s">
        <v>28727</v>
      </c>
      <c r="C16708">
        <f>0</f>
        <v>0</v>
      </c>
      <c r="D16708" t="s">
        <v>106</v>
      </c>
      <c r="E16708">
        <v>5.3520000000000003</v>
      </c>
    </row>
    <row r="16709" spans="1:5">
      <c r="A16709" t="s">
        <v>44267</v>
      </c>
      <c r="B16709" t="s">
        <v>28736</v>
      </c>
      <c r="C16709">
        <v>0</v>
      </c>
      <c r="D16709" t="s">
        <v>106</v>
      </c>
      <c r="E16709">
        <v>5.3520000000000003</v>
      </c>
    </row>
    <row r="16710" spans="1:5">
      <c r="A16710" t="s">
        <v>44267</v>
      </c>
      <c r="B16710" t="s">
        <v>28733</v>
      </c>
      <c r="C16710">
        <v>0</v>
      </c>
      <c r="D16710" t="s">
        <v>106</v>
      </c>
      <c r="E16710">
        <v>5.3520000000000003</v>
      </c>
    </row>
    <row r="16711" spans="1:5">
      <c r="A16711" t="s">
        <v>44267</v>
      </c>
      <c r="B16711" t="s">
        <v>28730</v>
      </c>
      <c r="C16711">
        <v>0</v>
      </c>
      <c r="D16711" t="s">
        <v>106</v>
      </c>
      <c r="E16711">
        <v>5.3520000000000003</v>
      </c>
    </row>
    <row r="16712" spans="1:5">
      <c r="A16712" t="s">
        <v>44267</v>
      </c>
      <c r="B16712" t="s">
        <v>28731</v>
      </c>
      <c r="C16712">
        <f>0</f>
        <v>0</v>
      </c>
      <c r="D16712" t="s">
        <v>106</v>
      </c>
      <c r="E16712">
        <v>5.3520000000000003</v>
      </c>
    </row>
    <row r="16713" spans="1:5">
      <c r="A16713" t="s">
        <v>44268</v>
      </c>
      <c r="B16713" t="s">
        <v>8860</v>
      </c>
      <c r="C16713">
        <v>0.633397685755</v>
      </c>
      <c r="D16713">
        <v>0.91475799018899995</v>
      </c>
      <c r="E16713">
        <v>0.438</v>
      </c>
    </row>
    <row r="16714" spans="1:5">
      <c r="A16714" t="s">
        <v>44268</v>
      </c>
      <c r="B16714" t="s">
        <v>8861</v>
      </c>
      <c r="C16714">
        <v>0.14569030606</v>
      </c>
      <c r="D16714">
        <v>0.91475799018899995</v>
      </c>
      <c r="E16714">
        <v>0.438</v>
      </c>
    </row>
    <row r="16715" spans="1:5">
      <c r="A16715" t="s">
        <v>44269</v>
      </c>
      <c r="B16715" t="s">
        <v>29001</v>
      </c>
      <c r="C16715">
        <v>0.10729987131300001</v>
      </c>
      <c r="D16715">
        <v>0.99999030933900002</v>
      </c>
      <c r="E16715">
        <v>5.4660000000000002</v>
      </c>
    </row>
    <row r="16716" spans="1:5">
      <c r="A16716" t="s">
        <v>44269</v>
      </c>
      <c r="B16716" t="s">
        <v>29009</v>
      </c>
      <c r="C16716">
        <f>0.0974877756088</f>
        <v>9.7487775608799995E-2</v>
      </c>
      <c r="D16716">
        <v>0.99999030933900002</v>
      </c>
      <c r="E16716">
        <v>5.4660000000000002</v>
      </c>
    </row>
    <row r="16717" spans="1:5">
      <c r="A16717" t="s">
        <v>44269</v>
      </c>
      <c r="B16717" t="s">
        <v>44270</v>
      </c>
      <c r="C16717">
        <v>0</v>
      </c>
      <c r="D16717">
        <v>0.99999030933900002</v>
      </c>
      <c r="E16717">
        <v>5.4660000000000002</v>
      </c>
    </row>
    <row r="16718" spans="1:5">
      <c r="A16718" t="s">
        <v>44269</v>
      </c>
      <c r="B16718" t="s">
        <v>29005</v>
      </c>
      <c r="C16718">
        <v>0</v>
      </c>
      <c r="D16718">
        <v>0.99999030933900002</v>
      </c>
      <c r="E16718">
        <v>5.4660000000000002</v>
      </c>
    </row>
    <row r="16719" spans="1:5">
      <c r="A16719" t="s">
        <v>44269</v>
      </c>
      <c r="B16719" t="s">
        <v>29010</v>
      </c>
      <c r="C16719">
        <f>0</f>
        <v>0</v>
      </c>
      <c r="D16719">
        <v>0.99999030933900002</v>
      </c>
      <c r="E16719">
        <v>5.4660000000000002</v>
      </c>
    </row>
    <row r="16720" spans="1:5">
      <c r="A16720" t="s">
        <v>44269</v>
      </c>
      <c r="B16720" t="s">
        <v>29016</v>
      </c>
      <c r="C16720">
        <v>0.70493408518300005</v>
      </c>
      <c r="D16720">
        <v>0.99999030933900002</v>
      </c>
      <c r="E16720">
        <v>5.4660000000000002</v>
      </c>
    </row>
    <row r="16721" spans="1:5">
      <c r="A16721" t="s">
        <v>44269</v>
      </c>
      <c r="B16721" t="s">
        <v>29019</v>
      </c>
      <c r="C16721">
        <f>0.0598110007041</f>
        <v>5.9811000704099997E-2</v>
      </c>
      <c r="D16721">
        <v>0.99999030933900002</v>
      </c>
      <c r="E16721">
        <v>5.4660000000000002</v>
      </c>
    </row>
    <row r="16722" spans="1:5">
      <c r="A16722" t="s">
        <v>44269</v>
      </c>
      <c r="B16722" t="s">
        <v>29017</v>
      </c>
      <c r="C16722">
        <v>0.172892005721</v>
      </c>
      <c r="D16722">
        <v>0.99999030933900002</v>
      </c>
      <c r="E16722">
        <v>5.4660000000000002</v>
      </c>
    </row>
    <row r="16723" spans="1:5">
      <c r="A16723" t="s">
        <v>44269</v>
      </c>
      <c r="B16723" t="s">
        <v>29020</v>
      </c>
      <c r="C16723">
        <v>1.07671972689E-2</v>
      </c>
      <c r="D16723">
        <v>0.99999030933900002</v>
      </c>
      <c r="E16723">
        <v>5.4660000000000002</v>
      </c>
    </row>
    <row r="16724" spans="1:5">
      <c r="A16724" t="s">
        <v>44269</v>
      </c>
      <c r="B16724" t="s">
        <v>29012</v>
      </c>
      <c r="C16724">
        <f>0.202456783837</f>
        <v>0.202456783837</v>
      </c>
      <c r="D16724">
        <v>0.99999030933900002</v>
      </c>
      <c r="E16724">
        <v>5.4660000000000002</v>
      </c>
    </row>
    <row r="16725" spans="1:5">
      <c r="A16725" t="s">
        <v>44269</v>
      </c>
      <c r="B16725" t="s">
        <v>29015</v>
      </c>
      <c r="C16725">
        <v>0</v>
      </c>
      <c r="D16725">
        <v>0.99999030933900002</v>
      </c>
      <c r="E16725">
        <v>5.4660000000000002</v>
      </c>
    </row>
    <row r="16726" spans="1:5">
      <c r="A16726" t="s">
        <v>44269</v>
      </c>
      <c r="B16726" t="s">
        <v>29007</v>
      </c>
      <c r="C16726">
        <v>0.12540557762400001</v>
      </c>
      <c r="D16726">
        <v>0.99999030933900002</v>
      </c>
      <c r="E16726">
        <v>5.4660000000000002</v>
      </c>
    </row>
    <row r="16727" spans="1:5">
      <c r="A16727" t="s">
        <v>44271</v>
      </c>
      <c r="B16727" t="s">
        <v>18854</v>
      </c>
      <c r="C16727">
        <v>0</v>
      </c>
      <c r="D16727" t="s">
        <v>106</v>
      </c>
      <c r="E16727">
        <v>0.54</v>
      </c>
    </row>
    <row r="16728" spans="1:5">
      <c r="A16728" t="s">
        <v>44271</v>
      </c>
      <c r="B16728" t="s">
        <v>18856</v>
      </c>
      <c r="C16728">
        <f>0</f>
        <v>0</v>
      </c>
      <c r="D16728" t="s">
        <v>106</v>
      </c>
      <c r="E16728">
        <v>0.54</v>
      </c>
    </row>
    <row r="16729" spans="1:5">
      <c r="A16729" t="s">
        <v>44271</v>
      </c>
      <c r="B16729" t="s">
        <v>18855</v>
      </c>
      <c r="C16729">
        <f>0</f>
        <v>0</v>
      </c>
      <c r="D16729" t="s">
        <v>106</v>
      </c>
      <c r="E16729">
        <v>0.54</v>
      </c>
    </row>
    <row r="16730" spans="1:5">
      <c r="A16730" t="s">
        <v>44272</v>
      </c>
      <c r="B16730" t="s">
        <v>22502</v>
      </c>
      <c r="C16730">
        <v>0</v>
      </c>
      <c r="D16730" t="s">
        <v>106</v>
      </c>
      <c r="E16730">
        <v>3.5999999999999997E-2</v>
      </c>
    </row>
    <row r="16731" spans="1:5">
      <c r="A16731" t="s">
        <v>44272</v>
      </c>
      <c r="B16731" t="s">
        <v>22500</v>
      </c>
      <c r="C16731">
        <f>0</f>
        <v>0</v>
      </c>
      <c r="D16731" t="s">
        <v>106</v>
      </c>
      <c r="E16731">
        <v>3.5999999999999997E-2</v>
      </c>
    </row>
    <row r="16732" spans="1:5">
      <c r="A16732" t="s">
        <v>44272</v>
      </c>
      <c r="B16732" t="s">
        <v>22504</v>
      </c>
      <c r="C16732">
        <f>0</f>
        <v>0</v>
      </c>
      <c r="D16732" t="s">
        <v>106</v>
      </c>
      <c r="E16732">
        <v>3.5999999999999997E-2</v>
      </c>
    </row>
    <row r="16733" spans="1:5">
      <c r="A16733" t="s">
        <v>44272</v>
      </c>
      <c r="B16733" t="s">
        <v>22505</v>
      </c>
      <c r="C16733">
        <f>0</f>
        <v>0</v>
      </c>
      <c r="D16733" t="s">
        <v>106</v>
      </c>
      <c r="E16733">
        <v>3.5999999999999997E-2</v>
      </c>
    </row>
    <row r="16734" spans="1:5">
      <c r="A16734" t="s">
        <v>44273</v>
      </c>
      <c r="B16734" t="s">
        <v>21310</v>
      </c>
      <c r="C16734">
        <v>0.16068320929999999</v>
      </c>
      <c r="D16734">
        <v>0.69734127618099995</v>
      </c>
      <c r="E16734">
        <v>5.9340000000000002</v>
      </c>
    </row>
    <row r="16735" spans="1:5">
      <c r="A16735" t="s">
        <v>44273</v>
      </c>
      <c r="B16735" t="s">
        <v>21311</v>
      </c>
      <c r="C16735">
        <v>0.75306339230800001</v>
      </c>
      <c r="D16735">
        <v>0.69734127618099995</v>
      </c>
      <c r="E16735">
        <v>5.9340000000000002</v>
      </c>
    </row>
    <row r="16736" spans="1:5">
      <c r="A16736" t="s">
        <v>44274</v>
      </c>
      <c r="B16736" t="s">
        <v>11039</v>
      </c>
      <c r="C16736">
        <f>0.274139525402</f>
        <v>0.27413952540199998</v>
      </c>
      <c r="D16736">
        <v>0.71917986299900005</v>
      </c>
      <c r="E16736">
        <v>24</v>
      </c>
    </row>
    <row r="16737" spans="1:5">
      <c r="A16737" t="s">
        <v>44274</v>
      </c>
      <c r="B16737" t="s">
        <v>11041</v>
      </c>
      <c r="C16737">
        <f>0</f>
        <v>0</v>
      </c>
      <c r="D16737">
        <v>0.71917986299900005</v>
      </c>
      <c r="E16737">
        <v>24</v>
      </c>
    </row>
    <row r="16738" spans="1:5">
      <c r="A16738" t="s">
        <v>44274</v>
      </c>
      <c r="B16738" t="s">
        <v>11042</v>
      </c>
      <c r="C16738">
        <v>0.50968318012199998</v>
      </c>
      <c r="D16738">
        <v>0.71917986299900005</v>
      </c>
      <c r="E16738">
        <v>24</v>
      </c>
    </row>
    <row r="16739" spans="1:5">
      <c r="A16739" t="s">
        <v>44274</v>
      </c>
      <c r="B16739" t="s">
        <v>11043</v>
      </c>
      <c r="C16739">
        <f>0</f>
        <v>0</v>
      </c>
      <c r="D16739">
        <v>0.71917986299900005</v>
      </c>
      <c r="E16739">
        <v>24</v>
      </c>
    </row>
    <row r="16740" spans="1:5">
      <c r="A16740" t="s">
        <v>44275</v>
      </c>
      <c r="B16740" t="s">
        <v>44276</v>
      </c>
      <c r="C16740">
        <v>0.85243857700600001</v>
      </c>
      <c r="D16740">
        <v>0.94349277950900001</v>
      </c>
      <c r="E16740">
        <v>1.224</v>
      </c>
    </row>
    <row r="16741" spans="1:5">
      <c r="A16741" t="s">
        <v>44275</v>
      </c>
      <c r="B16741" t="s">
        <v>44277</v>
      </c>
      <c r="C16741">
        <f>0.256188089311</f>
        <v>0.25618808931100001</v>
      </c>
      <c r="D16741">
        <v>0.94349277950900001</v>
      </c>
      <c r="E16741">
        <v>1.224</v>
      </c>
    </row>
    <row r="16742" spans="1:5">
      <c r="A16742" t="s">
        <v>44275</v>
      </c>
      <c r="B16742" t="s">
        <v>44278</v>
      </c>
      <c r="C16742">
        <f>-1.19150217536</f>
        <v>-1.1915021753599999</v>
      </c>
      <c r="D16742">
        <v>0.94349277950900001</v>
      </c>
      <c r="E16742">
        <v>1.224</v>
      </c>
    </row>
    <row r="16743" spans="1:5">
      <c r="A16743" t="s">
        <v>44275</v>
      </c>
      <c r="B16743" t="s">
        <v>44279</v>
      </c>
      <c r="C16743">
        <v>1.5735161881199999</v>
      </c>
      <c r="D16743">
        <v>0.94349277950900001</v>
      </c>
      <c r="E16743">
        <v>1.224</v>
      </c>
    </row>
    <row r="16744" spans="1:5">
      <c r="A16744" t="s">
        <v>44280</v>
      </c>
      <c r="B16744" t="s">
        <v>16830</v>
      </c>
      <c r="C16744">
        <v>0.84824497331500004</v>
      </c>
      <c r="D16744">
        <v>0.99999930054700004</v>
      </c>
      <c r="E16744">
        <v>0.10199999999999999</v>
      </c>
    </row>
    <row r="16745" spans="1:5">
      <c r="A16745" t="s">
        <v>44280</v>
      </c>
      <c r="B16745" t="s">
        <v>16831</v>
      </c>
      <c r="C16745">
        <f>0.530273876774</f>
        <v>0.53027387677399995</v>
      </c>
      <c r="D16745">
        <v>0.99999930054700004</v>
      </c>
      <c r="E16745">
        <v>0.10199999999999999</v>
      </c>
    </row>
    <row r="16746" spans="1:5">
      <c r="A16746" t="s">
        <v>44280</v>
      </c>
      <c r="B16746" t="s">
        <v>16836</v>
      </c>
      <c r="C16746">
        <v>0.719945957355</v>
      </c>
      <c r="D16746">
        <v>0.99999930054700004</v>
      </c>
      <c r="E16746">
        <v>0.10199999999999999</v>
      </c>
    </row>
    <row r="16747" spans="1:5">
      <c r="A16747" t="s">
        <v>44280</v>
      </c>
      <c r="B16747" t="s">
        <v>16835</v>
      </c>
      <c r="C16747">
        <v>0.213693632445</v>
      </c>
      <c r="D16747">
        <v>0.99999930054700004</v>
      </c>
      <c r="E16747">
        <v>0.10199999999999999</v>
      </c>
    </row>
    <row r="16748" spans="1:5">
      <c r="A16748" t="s">
        <v>44280</v>
      </c>
      <c r="B16748" t="s">
        <v>16828</v>
      </c>
      <c r="C16748">
        <f>0.498899980501</f>
        <v>0.49889998050099998</v>
      </c>
      <c r="D16748">
        <v>0.99999930054700004</v>
      </c>
      <c r="E16748">
        <v>0.10199999999999999</v>
      </c>
    </row>
    <row r="16749" spans="1:5">
      <c r="A16749" t="s">
        <v>44280</v>
      </c>
      <c r="B16749" t="s">
        <v>16833</v>
      </c>
      <c r="C16749">
        <f>0.0663117112243</f>
        <v>6.6311711224300005E-2</v>
      </c>
      <c r="D16749">
        <v>0.99999930054700004</v>
      </c>
      <c r="E16749">
        <v>0.10199999999999999</v>
      </c>
    </row>
    <row r="16750" spans="1:5">
      <c r="A16750" t="s">
        <v>44280</v>
      </c>
      <c r="B16750" t="s">
        <v>16834</v>
      </c>
      <c r="C16750">
        <f>0.121229678919</f>
        <v>0.12122967891899999</v>
      </c>
      <c r="D16750">
        <v>0.99999930054700004</v>
      </c>
      <c r="E16750">
        <v>0.10199999999999999</v>
      </c>
    </row>
    <row r="16751" spans="1:5">
      <c r="A16751" t="s">
        <v>44280</v>
      </c>
      <c r="B16751" t="s">
        <v>16837</v>
      </c>
      <c r="C16751">
        <v>0.29011469952000002</v>
      </c>
      <c r="D16751">
        <v>0.99999930054700004</v>
      </c>
      <c r="E16751">
        <v>0.10199999999999999</v>
      </c>
    </row>
    <row r="16752" spans="1:5">
      <c r="A16752" t="s">
        <v>44280</v>
      </c>
      <c r="B16752" t="s">
        <v>16829</v>
      </c>
      <c r="C16752">
        <f>0.503736566324</f>
        <v>0.50373656632399999</v>
      </c>
      <c r="D16752">
        <v>0.99999930054700004</v>
      </c>
      <c r="E16752">
        <v>0.10199999999999999</v>
      </c>
    </row>
    <row r="16753" spans="1:5">
      <c r="A16753" t="s">
        <v>44281</v>
      </c>
      <c r="B16753" t="s">
        <v>18738</v>
      </c>
      <c r="C16753">
        <v>0</v>
      </c>
      <c r="D16753">
        <v>0.95008439755200003</v>
      </c>
      <c r="E16753">
        <v>10.715999999999999</v>
      </c>
    </row>
    <row r="16754" spans="1:5">
      <c r="A16754" t="s">
        <v>44281</v>
      </c>
      <c r="B16754" t="s">
        <v>18742</v>
      </c>
      <c r="C16754">
        <v>3.20811928042E-2</v>
      </c>
      <c r="D16754">
        <v>0.95008439755200003</v>
      </c>
      <c r="E16754">
        <v>10.715999999999999</v>
      </c>
    </row>
    <row r="16755" spans="1:5">
      <c r="A16755" t="s">
        <v>44281</v>
      </c>
      <c r="B16755" t="s">
        <v>18741</v>
      </c>
      <c r="C16755">
        <f>0</f>
        <v>0</v>
      </c>
      <c r="D16755">
        <v>0.95008439755200003</v>
      </c>
      <c r="E16755">
        <v>10.715999999999999</v>
      </c>
    </row>
    <row r="16756" spans="1:5">
      <c r="A16756" t="s">
        <v>44281</v>
      </c>
      <c r="B16756" t="s">
        <v>18743</v>
      </c>
      <c r="C16756">
        <f>0.374073307999</f>
        <v>0.37407330799900002</v>
      </c>
      <c r="D16756">
        <v>0.95008439755200003</v>
      </c>
      <c r="E16756">
        <v>10.715999999999999</v>
      </c>
    </row>
    <row r="16757" spans="1:5">
      <c r="A16757" t="s">
        <v>44281</v>
      </c>
      <c r="B16757" t="s">
        <v>18739</v>
      </c>
      <c r="C16757">
        <v>0.82411821740400004</v>
      </c>
      <c r="D16757">
        <v>0.95008439755200003</v>
      </c>
      <c r="E16757">
        <v>10.715999999999999</v>
      </c>
    </row>
    <row r="16758" spans="1:5">
      <c r="A16758" t="s">
        <v>44282</v>
      </c>
      <c r="B16758" t="s">
        <v>30933</v>
      </c>
      <c r="C16758">
        <f>0</f>
        <v>0</v>
      </c>
      <c r="D16758" t="s">
        <v>106</v>
      </c>
      <c r="E16758">
        <v>0.54</v>
      </c>
    </row>
    <row r="16759" spans="1:5">
      <c r="A16759" t="s">
        <v>44282</v>
      </c>
      <c r="B16759" t="s">
        <v>30935</v>
      </c>
      <c r="C16759">
        <f>0</f>
        <v>0</v>
      </c>
      <c r="D16759" t="s">
        <v>106</v>
      </c>
      <c r="E16759">
        <v>0.54</v>
      </c>
    </row>
    <row r="16760" spans="1:5">
      <c r="A16760" t="s">
        <v>44282</v>
      </c>
      <c r="B16760" t="s">
        <v>30934</v>
      </c>
      <c r="C16760">
        <v>0</v>
      </c>
      <c r="D16760" t="s">
        <v>106</v>
      </c>
      <c r="E16760">
        <v>0.54</v>
      </c>
    </row>
    <row r="16761" spans="1:5">
      <c r="A16761" t="s">
        <v>44283</v>
      </c>
      <c r="B16761" t="s">
        <v>44284</v>
      </c>
      <c r="C16761">
        <v>0.78066548921300005</v>
      </c>
      <c r="D16761">
        <v>0.82062494213399995</v>
      </c>
      <c r="E16761">
        <v>0</v>
      </c>
    </row>
    <row r="16762" spans="1:5">
      <c r="A16762" t="s">
        <v>44283</v>
      </c>
      <c r="B16762" t="s">
        <v>44285</v>
      </c>
      <c r="C16762">
        <v>0.51833516346700004</v>
      </c>
      <c r="D16762">
        <v>0.82062494213399995</v>
      </c>
      <c r="E16762">
        <v>0</v>
      </c>
    </row>
    <row r="16763" spans="1:5">
      <c r="A16763" t="s">
        <v>44283</v>
      </c>
      <c r="B16763" t="s">
        <v>44286</v>
      </c>
      <c r="C16763">
        <f>0.154003305216</f>
        <v>0.154003305216</v>
      </c>
      <c r="D16763">
        <v>0.82062494213399995</v>
      </c>
      <c r="E16763">
        <v>0</v>
      </c>
    </row>
    <row r="16764" spans="1:5">
      <c r="A16764" t="s">
        <v>44287</v>
      </c>
      <c r="B16764" t="s">
        <v>44288</v>
      </c>
      <c r="C16764">
        <f>0</f>
        <v>0</v>
      </c>
      <c r="D16764">
        <v>0.877484907965</v>
      </c>
      <c r="E16764">
        <v>0.87</v>
      </c>
    </row>
    <row r="16765" spans="1:5">
      <c r="A16765" t="s">
        <v>44287</v>
      </c>
      <c r="B16765" t="s">
        <v>44289</v>
      </c>
      <c r="C16765">
        <v>0.32901088405399997</v>
      </c>
      <c r="D16765">
        <v>0.877484907965</v>
      </c>
      <c r="E16765">
        <v>0.87</v>
      </c>
    </row>
    <row r="16766" spans="1:5">
      <c r="A16766" t="s">
        <v>44287</v>
      </c>
      <c r="B16766" t="s">
        <v>44290</v>
      </c>
      <c r="C16766">
        <f>0.381923383457</f>
        <v>0.381923383457</v>
      </c>
      <c r="D16766">
        <v>0.877484907965</v>
      </c>
      <c r="E16766">
        <v>0.87</v>
      </c>
    </row>
    <row r="16767" spans="1:5">
      <c r="A16767" t="s">
        <v>44287</v>
      </c>
      <c r="B16767" t="s">
        <v>44291</v>
      </c>
      <c r="C16767">
        <f>0.0810240630781</f>
        <v>8.1024063078100006E-2</v>
      </c>
      <c r="D16767">
        <v>0.877484907965</v>
      </c>
      <c r="E16767">
        <v>0.87</v>
      </c>
    </row>
    <row r="16768" spans="1:5">
      <c r="A16768" t="s">
        <v>44287</v>
      </c>
      <c r="B16768" t="s">
        <v>44292</v>
      </c>
      <c r="C16768">
        <v>0</v>
      </c>
      <c r="D16768">
        <v>0.877484907965</v>
      </c>
      <c r="E16768">
        <v>0.87</v>
      </c>
    </row>
    <row r="16769" spans="1:5">
      <c r="A16769" t="s">
        <v>44287</v>
      </c>
      <c r="B16769" t="s">
        <v>44293</v>
      </c>
      <c r="C16769">
        <f>0</f>
        <v>0</v>
      </c>
      <c r="D16769">
        <v>0.877484907965</v>
      </c>
      <c r="E16769">
        <v>0.87</v>
      </c>
    </row>
    <row r="16770" spans="1:5">
      <c r="A16770" t="s">
        <v>44287</v>
      </c>
      <c r="B16770" t="s">
        <v>44294</v>
      </c>
      <c r="C16770">
        <f>0</f>
        <v>0</v>
      </c>
      <c r="D16770">
        <v>0.877484907965</v>
      </c>
      <c r="E16770">
        <v>0.87</v>
      </c>
    </row>
    <row r="16771" spans="1:5">
      <c r="A16771" t="s">
        <v>44287</v>
      </c>
      <c r="B16771" t="s">
        <v>44295</v>
      </c>
      <c r="C16771">
        <v>0.232718862685</v>
      </c>
      <c r="D16771">
        <v>0.877484907965</v>
      </c>
      <c r="E16771">
        <v>0.87</v>
      </c>
    </row>
    <row r="16772" spans="1:5">
      <c r="A16772" t="s">
        <v>44287</v>
      </c>
      <c r="B16772" t="s">
        <v>44296</v>
      </c>
      <c r="C16772">
        <f>0</f>
        <v>0</v>
      </c>
      <c r="D16772">
        <v>0.877484907965</v>
      </c>
      <c r="E16772">
        <v>0.87</v>
      </c>
    </row>
    <row r="16773" spans="1:5">
      <c r="A16773" t="s">
        <v>44297</v>
      </c>
      <c r="B16773" t="s">
        <v>18384</v>
      </c>
      <c r="C16773">
        <v>0</v>
      </c>
      <c r="D16773" t="s">
        <v>106</v>
      </c>
      <c r="E16773">
        <v>24</v>
      </c>
    </row>
    <row r="16774" spans="1:5">
      <c r="A16774" t="s">
        <v>44297</v>
      </c>
      <c r="B16774" t="s">
        <v>18387</v>
      </c>
      <c r="C16774">
        <v>0</v>
      </c>
      <c r="D16774" t="s">
        <v>106</v>
      </c>
      <c r="E16774">
        <v>24</v>
      </c>
    </row>
    <row r="16775" spans="1:5">
      <c r="A16775" t="s">
        <v>44298</v>
      </c>
      <c r="B16775" t="s">
        <v>1348</v>
      </c>
      <c r="C16775">
        <f>0.275349967648</f>
        <v>0.27534996764800002</v>
      </c>
      <c r="D16775">
        <v>0.99999915021600005</v>
      </c>
      <c r="E16775">
        <v>0</v>
      </c>
    </row>
    <row r="16776" spans="1:5">
      <c r="A16776" t="s">
        <v>44298</v>
      </c>
      <c r="B16776" t="s">
        <v>1346</v>
      </c>
      <c r="C16776">
        <v>0.87624215677100004</v>
      </c>
      <c r="D16776">
        <v>0.99999915021600005</v>
      </c>
      <c r="E16776">
        <v>0</v>
      </c>
    </row>
    <row r="16777" spans="1:5">
      <c r="A16777" t="s">
        <v>44298</v>
      </c>
      <c r="B16777" t="s">
        <v>1343</v>
      </c>
      <c r="C16777">
        <v>0.92052568441600002</v>
      </c>
      <c r="D16777">
        <v>0.99999915021600005</v>
      </c>
      <c r="E16777">
        <v>0</v>
      </c>
    </row>
    <row r="16778" spans="1:5">
      <c r="A16778" t="s">
        <v>44298</v>
      </c>
      <c r="B16778" t="s">
        <v>1344</v>
      </c>
      <c r="C16778">
        <f>0.467704634137</f>
        <v>0.46770463413699997</v>
      </c>
      <c r="D16778">
        <v>0.99999915021600005</v>
      </c>
      <c r="E16778">
        <v>0</v>
      </c>
    </row>
    <row r="16779" spans="1:5">
      <c r="A16779" t="s">
        <v>44298</v>
      </c>
      <c r="B16779" t="s">
        <v>1349</v>
      </c>
      <c r="C16779">
        <f>0.83811301403</f>
        <v>0.83811301403000005</v>
      </c>
      <c r="D16779">
        <v>0.99999915021600005</v>
      </c>
      <c r="E16779">
        <v>0</v>
      </c>
    </row>
    <row r="16780" spans="1:5">
      <c r="A16780" t="s">
        <v>44298</v>
      </c>
      <c r="B16780" t="s">
        <v>1347</v>
      </c>
      <c r="C16780">
        <v>1.1995144229900001</v>
      </c>
      <c r="D16780">
        <v>0.99999915021600005</v>
      </c>
      <c r="E16780">
        <v>0</v>
      </c>
    </row>
    <row r="16781" spans="1:5">
      <c r="A16781" t="s">
        <v>44298</v>
      </c>
      <c r="B16781" t="s">
        <v>44299</v>
      </c>
      <c r="C16781">
        <v>2.0642204264799999E-2</v>
      </c>
      <c r="D16781">
        <v>0.99999915021600005</v>
      </c>
      <c r="E16781">
        <v>0</v>
      </c>
    </row>
    <row r="16782" spans="1:5">
      <c r="A16782" t="s">
        <v>44298</v>
      </c>
      <c r="B16782" t="s">
        <v>1351</v>
      </c>
      <c r="C16782">
        <f>0.658658011906</f>
        <v>0.65865801190600004</v>
      </c>
      <c r="D16782">
        <v>0.99999915021600005</v>
      </c>
      <c r="E16782">
        <v>0</v>
      </c>
    </row>
    <row r="16783" spans="1:5">
      <c r="A16783" t="s">
        <v>44300</v>
      </c>
      <c r="B16783" t="s">
        <v>15953</v>
      </c>
      <c r="C16783">
        <f>0.426969218502</f>
        <v>0.42696921850199998</v>
      </c>
      <c r="D16783">
        <v>0.89446235165200005</v>
      </c>
      <c r="E16783">
        <v>1.3919999999999999</v>
      </c>
    </row>
    <row r="16784" spans="1:5">
      <c r="A16784" t="s">
        <v>44300</v>
      </c>
      <c r="B16784" t="s">
        <v>15955</v>
      </c>
      <c r="C16784">
        <f>0.873519846337</f>
        <v>0.87351984633699997</v>
      </c>
      <c r="D16784">
        <v>0.89446235165200005</v>
      </c>
      <c r="E16784">
        <v>1.3919999999999999</v>
      </c>
    </row>
    <row r="16785" spans="1:5">
      <c r="A16785" t="s">
        <v>44300</v>
      </c>
      <c r="B16785" t="s">
        <v>15954</v>
      </c>
      <c r="C16785">
        <f>0</f>
        <v>0</v>
      </c>
      <c r="D16785">
        <v>0.89446235165200005</v>
      </c>
      <c r="E16785">
        <v>1.3919999999999999</v>
      </c>
    </row>
    <row r="16786" spans="1:5">
      <c r="A16786" t="s">
        <v>44300</v>
      </c>
      <c r="B16786" t="s">
        <v>15957</v>
      </c>
      <c r="C16786">
        <v>0.31371365665599998</v>
      </c>
      <c r="D16786">
        <v>0.89446235165200005</v>
      </c>
      <c r="E16786">
        <v>1.3919999999999999</v>
      </c>
    </row>
    <row r="16787" spans="1:5">
      <c r="A16787" t="s">
        <v>44300</v>
      </c>
      <c r="B16787" t="s">
        <v>15961</v>
      </c>
      <c r="C16787">
        <v>0</v>
      </c>
      <c r="D16787">
        <v>0.89446235165200005</v>
      </c>
      <c r="E16787">
        <v>1.3919999999999999</v>
      </c>
    </row>
    <row r="16788" spans="1:5">
      <c r="A16788" t="s">
        <v>44301</v>
      </c>
      <c r="B16788" t="s">
        <v>21243</v>
      </c>
      <c r="C16788">
        <v>0</v>
      </c>
      <c r="D16788" t="s">
        <v>106</v>
      </c>
      <c r="E16788">
        <v>24</v>
      </c>
    </row>
    <row r="16789" spans="1:5">
      <c r="A16789" t="s">
        <v>44301</v>
      </c>
      <c r="B16789" t="s">
        <v>21238</v>
      </c>
      <c r="C16789">
        <v>0</v>
      </c>
      <c r="D16789" t="s">
        <v>106</v>
      </c>
      <c r="E16789">
        <v>24</v>
      </c>
    </row>
    <row r="16790" spans="1:5">
      <c r="A16790" t="s">
        <v>44301</v>
      </c>
      <c r="B16790" t="s">
        <v>21240</v>
      </c>
      <c r="C16790">
        <f>0</f>
        <v>0</v>
      </c>
      <c r="D16790" t="s">
        <v>106</v>
      </c>
      <c r="E16790">
        <v>24</v>
      </c>
    </row>
    <row r="16791" spans="1:5">
      <c r="A16791" t="s">
        <v>44301</v>
      </c>
      <c r="B16791" t="s">
        <v>21241</v>
      </c>
      <c r="C16791">
        <v>0</v>
      </c>
      <c r="D16791" t="s">
        <v>106</v>
      </c>
      <c r="E16791">
        <v>24</v>
      </c>
    </row>
    <row r="16792" spans="1:5">
      <c r="A16792" t="s">
        <v>44301</v>
      </c>
      <c r="B16792" t="s">
        <v>21242</v>
      </c>
      <c r="C16792">
        <v>0</v>
      </c>
      <c r="D16792" t="s">
        <v>106</v>
      </c>
      <c r="E16792">
        <v>24</v>
      </c>
    </row>
    <row r="16793" spans="1:5">
      <c r="A16793" t="s">
        <v>44302</v>
      </c>
      <c r="B16793" t="s">
        <v>8489</v>
      </c>
      <c r="C16793">
        <f>0</f>
        <v>0</v>
      </c>
      <c r="D16793">
        <v>0.92585263123200001</v>
      </c>
      <c r="E16793">
        <v>24</v>
      </c>
    </row>
    <row r="16794" spans="1:5">
      <c r="A16794" t="s">
        <v>44302</v>
      </c>
      <c r="B16794" t="s">
        <v>8493</v>
      </c>
      <c r="C16794">
        <v>0</v>
      </c>
      <c r="D16794">
        <v>0.92585263123200001</v>
      </c>
      <c r="E16794">
        <v>24</v>
      </c>
    </row>
    <row r="16795" spans="1:5">
      <c r="A16795" t="s">
        <v>44302</v>
      </c>
      <c r="B16795" t="s">
        <v>8491</v>
      </c>
      <c r="C16795">
        <v>0</v>
      </c>
      <c r="D16795">
        <v>0.92585263123200001</v>
      </c>
      <c r="E16795">
        <v>24</v>
      </c>
    </row>
    <row r="16796" spans="1:5">
      <c r="A16796" t="s">
        <v>44302</v>
      </c>
      <c r="B16796" t="s">
        <v>8498</v>
      </c>
      <c r="C16796">
        <v>0</v>
      </c>
      <c r="D16796">
        <v>0.92585263123200001</v>
      </c>
      <c r="E16796">
        <v>24</v>
      </c>
    </row>
    <row r="16797" spans="1:5">
      <c r="A16797" t="s">
        <v>44302</v>
      </c>
      <c r="B16797" t="s">
        <v>8495</v>
      </c>
      <c r="C16797">
        <v>0.58626150138099997</v>
      </c>
      <c r="D16797">
        <v>0.92585263123200001</v>
      </c>
      <c r="E16797">
        <v>24</v>
      </c>
    </row>
    <row r="16798" spans="1:5">
      <c r="A16798" t="s">
        <v>44302</v>
      </c>
      <c r="B16798" t="s">
        <v>8499</v>
      </c>
      <c r="C16798">
        <v>0</v>
      </c>
      <c r="D16798">
        <v>0.92585263123200001</v>
      </c>
      <c r="E16798">
        <v>24</v>
      </c>
    </row>
    <row r="16799" spans="1:5">
      <c r="A16799" t="s">
        <v>44302</v>
      </c>
      <c r="B16799" t="s">
        <v>8492</v>
      </c>
      <c r="C16799">
        <v>0.18552257237200001</v>
      </c>
      <c r="D16799">
        <v>0.92585263123200001</v>
      </c>
      <c r="E16799">
        <v>24</v>
      </c>
    </row>
    <row r="16800" spans="1:5">
      <c r="A16800" t="s">
        <v>44302</v>
      </c>
      <c r="B16800" t="s">
        <v>8494</v>
      </c>
      <c r="C16800">
        <f>0</f>
        <v>0</v>
      </c>
      <c r="D16800">
        <v>0.92585263123200001</v>
      </c>
      <c r="E16800">
        <v>24</v>
      </c>
    </row>
    <row r="16801" spans="1:5">
      <c r="A16801" t="s">
        <v>44302</v>
      </c>
      <c r="B16801" t="s">
        <v>8497</v>
      </c>
      <c r="C16801">
        <v>0</v>
      </c>
      <c r="D16801">
        <v>0.92585263123200001</v>
      </c>
      <c r="E16801">
        <v>24</v>
      </c>
    </row>
    <row r="16802" spans="1:5">
      <c r="A16802" t="s">
        <v>44302</v>
      </c>
      <c r="B16802" t="s">
        <v>8490</v>
      </c>
      <c r="C16802">
        <v>0</v>
      </c>
      <c r="D16802">
        <v>0.92585263123200001</v>
      </c>
      <c r="E16802">
        <v>24</v>
      </c>
    </row>
    <row r="16803" spans="1:5">
      <c r="A16803" t="s">
        <v>44303</v>
      </c>
      <c r="B16803" t="s">
        <v>44304</v>
      </c>
      <c r="C16803">
        <f>0.0227037508906</f>
        <v>2.2703750890600002E-2</v>
      </c>
      <c r="D16803">
        <v>0.573321022392</v>
      </c>
      <c r="E16803">
        <v>23.754000000000001</v>
      </c>
    </row>
    <row r="16804" spans="1:5">
      <c r="A16804" t="s">
        <v>44303</v>
      </c>
      <c r="B16804" t="s">
        <v>44305</v>
      </c>
      <c r="C16804">
        <f>0.405704572303</f>
        <v>0.405704572303</v>
      </c>
      <c r="D16804">
        <v>0.573321022392</v>
      </c>
      <c r="E16804">
        <v>23.754000000000001</v>
      </c>
    </row>
    <row r="16805" spans="1:5">
      <c r="A16805" t="s">
        <v>44306</v>
      </c>
      <c r="B16805" t="s">
        <v>25022</v>
      </c>
      <c r="C16805">
        <v>0.55135197053100005</v>
      </c>
      <c r="D16805">
        <v>0.97943344426599999</v>
      </c>
      <c r="E16805">
        <v>3.0539999999999998</v>
      </c>
    </row>
    <row r="16806" spans="1:5">
      <c r="A16806" t="s">
        <v>44306</v>
      </c>
      <c r="B16806" t="s">
        <v>25027</v>
      </c>
      <c r="C16806">
        <v>0.35032240452199997</v>
      </c>
      <c r="D16806">
        <v>0.97943344426599999</v>
      </c>
      <c r="E16806">
        <v>3.0539999999999998</v>
      </c>
    </row>
    <row r="16807" spans="1:5">
      <c r="A16807" t="s">
        <v>44306</v>
      </c>
      <c r="B16807" t="s">
        <v>25031</v>
      </c>
      <c r="C16807">
        <v>0.15839142275500001</v>
      </c>
      <c r="D16807">
        <v>0.97943344426599999</v>
      </c>
      <c r="E16807">
        <v>3.0539999999999998</v>
      </c>
    </row>
    <row r="16808" spans="1:5">
      <c r="A16808" t="s">
        <v>44306</v>
      </c>
      <c r="B16808" t="s">
        <v>25028</v>
      </c>
      <c r="C16808">
        <f>0</f>
        <v>0</v>
      </c>
      <c r="D16808">
        <v>0.97943344426599999</v>
      </c>
      <c r="E16808">
        <v>3.0539999999999998</v>
      </c>
    </row>
    <row r="16809" spans="1:5">
      <c r="A16809" t="s">
        <v>44307</v>
      </c>
      <c r="B16809" t="s">
        <v>44308</v>
      </c>
      <c r="C16809">
        <f>0.741987467087</f>
        <v>0.74198746708700003</v>
      </c>
      <c r="D16809">
        <v>0.95935654040100005</v>
      </c>
      <c r="E16809">
        <v>4.4820000000000002</v>
      </c>
    </row>
    <row r="16810" spans="1:5">
      <c r="A16810" t="s">
        <v>44307</v>
      </c>
      <c r="B16810" t="s">
        <v>44309</v>
      </c>
      <c r="C16810">
        <f>0.0778206171261</f>
        <v>7.78206171261E-2</v>
      </c>
      <c r="D16810">
        <v>0.95935654040100005</v>
      </c>
      <c r="E16810">
        <v>4.4820000000000002</v>
      </c>
    </row>
    <row r="16811" spans="1:5">
      <c r="A16811" t="s">
        <v>44307</v>
      </c>
      <c r="B16811" t="s">
        <v>44310</v>
      </c>
      <c r="C16811">
        <f>-1.17796663866</f>
        <v>-1.1779666386600001</v>
      </c>
      <c r="D16811">
        <v>0.95935654040100005</v>
      </c>
      <c r="E16811">
        <v>4.4820000000000002</v>
      </c>
    </row>
    <row r="16812" spans="1:5">
      <c r="A16812" t="s">
        <v>44307</v>
      </c>
      <c r="B16812" t="s">
        <v>44311</v>
      </c>
      <c r="C16812">
        <v>1.40938655498</v>
      </c>
      <c r="D16812">
        <v>0.95935654040100005</v>
      </c>
      <c r="E16812">
        <v>4.4820000000000002</v>
      </c>
    </row>
    <row r="16813" spans="1:5">
      <c r="A16813" t="s">
        <v>44307</v>
      </c>
      <c r="B16813" t="s">
        <v>44312</v>
      </c>
      <c r="C16813">
        <v>0.470465991162</v>
      </c>
      <c r="D16813">
        <v>0.95935654040100005</v>
      </c>
      <c r="E16813">
        <v>4.4820000000000002</v>
      </c>
    </row>
    <row r="16814" spans="1:5">
      <c r="A16814" t="s">
        <v>44313</v>
      </c>
      <c r="B16814" t="s">
        <v>44314</v>
      </c>
      <c r="C16814">
        <f>0</f>
        <v>0</v>
      </c>
      <c r="D16814" t="s">
        <v>106</v>
      </c>
      <c r="E16814">
        <v>24</v>
      </c>
    </row>
    <row r="16815" spans="1:5">
      <c r="A16815" t="s">
        <v>44313</v>
      </c>
      <c r="B16815" t="s">
        <v>44315</v>
      </c>
      <c r="C16815">
        <f>0</f>
        <v>0</v>
      </c>
      <c r="D16815" t="s">
        <v>106</v>
      </c>
      <c r="E16815">
        <v>24</v>
      </c>
    </row>
    <row r="16816" spans="1:5">
      <c r="A16816" t="s">
        <v>44313</v>
      </c>
      <c r="B16816" t="s">
        <v>44316</v>
      </c>
      <c r="C16816">
        <f>0</f>
        <v>0</v>
      </c>
      <c r="D16816" t="s">
        <v>106</v>
      </c>
      <c r="E16816">
        <v>24</v>
      </c>
    </row>
    <row r="16817" spans="1:5">
      <c r="A16817" t="s">
        <v>44313</v>
      </c>
      <c r="B16817" t="s">
        <v>44317</v>
      </c>
      <c r="C16817">
        <v>0</v>
      </c>
      <c r="D16817" t="s">
        <v>106</v>
      </c>
      <c r="E16817">
        <v>24</v>
      </c>
    </row>
    <row r="16818" spans="1:5">
      <c r="A16818" t="s">
        <v>44318</v>
      </c>
      <c r="B16818" t="s">
        <v>44319</v>
      </c>
      <c r="C16818">
        <v>0</v>
      </c>
      <c r="D16818" t="s">
        <v>106</v>
      </c>
      <c r="E16818">
        <v>12.738</v>
      </c>
    </row>
    <row r="16819" spans="1:5">
      <c r="A16819" t="s">
        <v>44318</v>
      </c>
      <c r="B16819" t="s">
        <v>44320</v>
      </c>
      <c r="C16819">
        <v>0</v>
      </c>
      <c r="D16819" t="s">
        <v>106</v>
      </c>
      <c r="E16819">
        <v>12.738</v>
      </c>
    </row>
    <row r="16820" spans="1:5">
      <c r="A16820" t="s">
        <v>44321</v>
      </c>
      <c r="B16820" t="s">
        <v>44322</v>
      </c>
      <c r="C16820">
        <f>0</f>
        <v>0</v>
      </c>
      <c r="D16820" t="s">
        <v>106</v>
      </c>
      <c r="E16820">
        <v>4.17</v>
      </c>
    </row>
    <row r="16821" spans="1:5">
      <c r="A16821" t="s">
        <v>44321</v>
      </c>
      <c r="B16821" t="s">
        <v>44323</v>
      </c>
      <c r="C16821">
        <v>0</v>
      </c>
      <c r="D16821" t="s">
        <v>106</v>
      </c>
      <c r="E16821">
        <v>4.17</v>
      </c>
    </row>
    <row r="16822" spans="1:5">
      <c r="A16822" t="s">
        <v>44321</v>
      </c>
      <c r="B16822" t="s">
        <v>44324</v>
      </c>
      <c r="C16822">
        <f>0</f>
        <v>0</v>
      </c>
      <c r="D16822" t="s">
        <v>106</v>
      </c>
      <c r="E16822">
        <v>4.17</v>
      </c>
    </row>
    <row r="16823" spans="1:5">
      <c r="A16823" t="s">
        <v>44325</v>
      </c>
      <c r="B16823" t="s">
        <v>23349</v>
      </c>
      <c r="C16823">
        <v>0</v>
      </c>
      <c r="D16823">
        <v>0.73424002153199996</v>
      </c>
      <c r="E16823">
        <v>14.747999999999999</v>
      </c>
    </row>
    <row r="16824" spans="1:5">
      <c r="A16824" t="s">
        <v>44325</v>
      </c>
      <c r="B16824" t="s">
        <v>23350</v>
      </c>
      <c r="C16824">
        <f>0</f>
        <v>0</v>
      </c>
      <c r="D16824">
        <v>0.73424002153199996</v>
      </c>
      <c r="E16824">
        <v>14.747999999999999</v>
      </c>
    </row>
    <row r="16825" spans="1:5">
      <c r="A16825" t="s">
        <v>44325</v>
      </c>
      <c r="B16825" t="s">
        <v>23354</v>
      </c>
      <c r="C16825">
        <f>0</f>
        <v>0</v>
      </c>
      <c r="D16825">
        <v>0.73424002153199996</v>
      </c>
      <c r="E16825">
        <v>14.747999999999999</v>
      </c>
    </row>
    <row r="16826" spans="1:5">
      <c r="A16826" t="s">
        <v>44325</v>
      </c>
      <c r="B16826" t="s">
        <v>23351</v>
      </c>
      <c r="C16826">
        <v>0</v>
      </c>
      <c r="D16826">
        <v>0.73424002153199996</v>
      </c>
      <c r="E16826">
        <v>14.747999999999999</v>
      </c>
    </row>
    <row r="16827" spans="1:5">
      <c r="A16827" t="s">
        <v>44325</v>
      </c>
      <c r="B16827" t="s">
        <v>23353</v>
      </c>
      <c r="C16827">
        <v>0.32463002153199999</v>
      </c>
      <c r="D16827">
        <v>0.73424002153199996</v>
      </c>
      <c r="E16827">
        <v>14.747999999999999</v>
      </c>
    </row>
    <row r="16828" spans="1:5">
      <c r="A16828" t="s">
        <v>44325</v>
      </c>
      <c r="B16828" t="s">
        <v>23352</v>
      </c>
      <c r="C16828">
        <v>0</v>
      </c>
      <c r="D16828">
        <v>0.73424002153199996</v>
      </c>
      <c r="E16828">
        <v>14.747999999999999</v>
      </c>
    </row>
    <row r="16829" spans="1:5">
      <c r="A16829" t="s">
        <v>44326</v>
      </c>
      <c r="B16829" t="s">
        <v>29982</v>
      </c>
      <c r="C16829">
        <f>0.0739731554886</f>
        <v>7.3973155488600006E-2</v>
      </c>
      <c r="D16829">
        <v>0.94168338294599996</v>
      </c>
      <c r="E16829">
        <v>2.25</v>
      </c>
    </row>
    <row r="16830" spans="1:5">
      <c r="A16830" t="s">
        <v>44326</v>
      </c>
      <c r="B16830" t="s">
        <v>29981</v>
      </c>
      <c r="C16830">
        <f>0.34075724729</f>
        <v>0.34075724729000001</v>
      </c>
      <c r="D16830">
        <v>0.94168338294599996</v>
      </c>
      <c r="E16830">
        <v>2.25</v>
      </c>
    </row>
    <row r="16831" spans="1:5">
      <c r="A16831" t="s">
        <v>44326</v>
      </c>
      <c r="B16831" t="s">
        <v>29980</v>
      </c>
      <c r="C16831">
        <v>0.32897327004100002</v>
      </c>
      <c r="D16831">
        <v>0.94168338294599996</v>
      </c>
      <c r="E16831">
        <v>2.25</v>
      </c>
    </row>
    <row r="16832" spans="1:5">
      <c r="A16832" t="s">
        <v>44326</v>
      </c>
      <c r="B16832" t="s">
        <v>29983</v>
      </c>
      <c r="C16832">
        <v>0.36728678691400002</v>
      </c>
      <c r="D16832">
        <v>0.94168338294599996</v>
      </c>
      <c r="E16832">
        <v>2.25</v>
      </c>
    </row>
    <row r="16833" spans="1:5">
      <c r="A16833" t="s">
        <v>44326</v>
      </c>
      <c r="B16833" t="s">
        <v>29985</v>
      </c>
      <c r="C16833">
        <v>0.67346587044999995</v>
      </c>
      <c r="D16833">
        <v>0.94168338294599996</v>
      </c>
      <c r="E16833">
        <v>2.25</v>
      </c>
    </row>
    <row r="16834" spans="1:5">
      <c r="A16834" t="s">
        <v>44326</v>
      </c>
      <c r="B16834" t="s">
        <v>29984</v>
      </c>
      <c r="C16834">
        <f>0</f>
        <v>0</v>
      </c>
      <c r="D16834">
        <v>0.94168338294599996</v>
      </c>
      <c r="E16834">
        <v>2.25</v>
      </c>
    </row>
    <row r="16835" spans="1:5">
      <c r="A16835" t="s">
        <v>44327</v>
      </c>
      <c r="B16835" t="s">
        <v>44328</v>
      </c>
      <c r="C16835">
        <v>0.64521003758100004</v>
      </c>
      <c r="D16835">
        <v>0.61463998722500002</v>
      </c>
      <c r="E16835">
        <v>2.6339999999999999</v>
      </c>
    </row>
    <row r="16836" spans="1:5">
      <c r="A16836" t="s">
        <v>44327</v>
      </c>
      <c r="B16836" t="s">
        <v>44329</v>
      </c>
      <c r="C16836">
        <v>0.54855475444799995</v>
      </c>
      <c r="D16836">
        <v>0.61463998722500002</v>
      </c>
      <c r="E16836">
        <v>2.6339999999999999</v>
      </c>
    </row>
    <row r="16837" spans="1:5">
      <c r="A16837" t="s">
        <v>44330</v>
      </c>
      <c r="B16837" t="s">
        <v>27376</v>
      </c>
      <c r="C16837">
        <v>0</v>
      </c>
      <c r="D16837">
        <v>0.86369381065399997</v>
      </c>
      <c r="E16837">
        <v>3.8759999999999999</v>
      </c>
    </row>
    <row r="16838" spans="1:5">
      <c r="A16838" t="s">
        <v>44330</v>
      </c>
      <c r="B16838" t="s">
        <v>27377</v>
      </c>
      <c r="C16838">
        <f>0.670083810654</f>
        <v>0.67008381065400002</v>
      </c>
      <c r="D16838">
        <v>0.86369381065399997</v>
      </c>
      <c r="E16838">
        <v>3.8759999999999999</v>
      </c>
    </row>
    <row r="16839" spans="1:5">
      <c r="A16839" t="s">
        <v>44331</v>
      </c>
      <c r="B16839" t="s">
        <v>16151</v>
      </c>
      <c r="C16839">
        <f>0</f>
        <v>0</v>
      </c>
      <c r="D16839" t="s">
        <v>106</v>
      </c>
      <c r="E16839">
        <v>1.452</v>
      </c>
    </row>
    <row r="16840" spans="1:5">
      <c r="A16840" t="s">
        <v>44331</v>
      </c>
      <c r="B16840" t="s">
        <v>16155</v>
      </c>
      <c r="C16840">
        <f>0</f>
        <v>0</v>
      </c>
      <c r="D16840" t="s">
        <v>106</v>
      </c>
      <c r="E16840">
        <v>1.452</v>
      </c>
    </row>
    <row r="16841" spans="1:5">
      <c r="A16841" t="s">
        <v>44332</v>
      </c>
      <c r="B16841" t="s">
        <v>44333</v>
      </c>
      <c r="C16841">
        <v>0.76665109435300005</v>
      </c>
      <c r="D16841">
        <v>0.88875161427600002</v>
      </c>
      <c r="E16841">
        <v>4.6920000000000002</v>
      </c>
    </row>
    <row r="16842" spans="1:5">
      <c r="A16842" t="s">
        <v>44332</v>
      </c>
      <c r="B16842" t="s">
        <v>44334</v>
      </c>
      <c r="C16842">
        <f>0.0974760194821</f>
        <v>9.7476019482099996E-2</v>
      </c>
      <c r="D16842">
        <v>0.88875161427600002</v>
      </c>
      <c r="E16842">
        <v>4.6920000000000002</v>
      </c>
    </row>
    <row r="16843" spans="1:5">
      <c r="A16843" t="s">
        <v>44332</v>
      </c>
      <c r="B16843" t="s">
        <v>44335</v>
      </c>
      <c r="C16843">
        <f>0</f>
        <v>0</v>
      </c>
      <c r="D16843">
        <v>0.88875161427600002</v>
      </c>
      <c r="E16843">
        <v>4.6920000000000002</v>
      </c>
    </row>
    <row r="16844" spans="1:5">
      <c r="A16844" t="s">
        <v>44336</v>
      </c>
      <c r="B16844" t="s">
        <v>26586</v>
      </c>
      <c r="C16844">
        <f>0</f>
        <v>0</v>
      </c>
      <c r="D16844" t="s">
        <v>106</v>
      </c>
      <c r="E16844">
        <v>1.83</v>
      </c>
    </row>
    <row r="16845" spans="1:5">
      <c r="A16845" t="s">
        <v>44336</v>
      </c>
      <c r="B16845" t="s">
        <v>26588</v>
      </c>
      <c r="C16845">
        <f>0</f>
        <v>0</v>
      </c>
      <c r="D16845" t="s">
        <v>106</v>
      </c>
      <c r="E16845">
        <v>1.83</v>
      </c>
    </row>
    <row r="16846" spans="1:5">
      <c r="A16846" t="s">
        <v>44336</v>
      </c>
      <c r="B16846" t="s">
        <v>26589</v>
      </c>
      <c r="C16846">
        <f>0</f>
        <v>0</v>
      </c>
      <c r="D16846" t="s">
        <v>106</v>
      </c>
      <c r="E16846">
        <v>1.83</v>
      </c>
    </row>
    <row r="16847" spans="1:5">
      <c r="A16847" t="s">
        <v>44337</v>
      </c>
      <c r="B16847" t="s">
        <v>14149</v>
      </c>
      <c r="C16847">
        <f>0</f>
        <v>0</v>
      </c>
      <c r="D16847" t="s">
        <v>106</v>
      </c>
      <c r="E16847">
        <v>0.34799999999999998</v>
      </c>
    </row>
    <row r="16848" spans="1:5">
      <c r="A16848" t="s">
        <v>44337</v>
      </c>
      <c r="B16848" t="s">
        <v>14156</v>
      </c>
      <c r="C16848">
        <f>0</f>
        <v>0</v>
      </c>
      <c r="D16848" t="s">
        <v>106</v>
      </c>
      <c r="E16848">
        <v>0.34799999999999998</v>
      </c>
    </row>
    <row r="16849" spans="1:5">
      <c r="A16849" t="s">
        <v>44337</v>
      </c>
      <c r="B16849" t="s">
        <v>14151</v>
      </c>
      <c r="C16849">
        <f>0</f>
        <v>0</v>
      </c>
      <c r="D16849" t="s">
        <v>106</v>
      </c>
      <c r="E16849">
        <v>0.34799999999999998</v>
      </c>
    </row>
    <row r="16850" spans="1:5">
      <c r="A16850" t="s">
        <v>44337</v>
      </c>
      <c r="B16850" t="s">
        <v>14158</v>
      </c>
      <c r="C16850">
        <f>0</f>
        <v>0</v>
      </c>
      <c r="D16850" t="s">
        <v>106</v>
      </c>
      <c r="E16850">
        <v>0.34799999999999998</v>
      </c>
    </row>
    <row r="16851" spans="1:5">
      <c r="A16851" t="s">
        <v>44337</v>
      </c>
      <c r="B16851" t="s">
        <v>14157</v>
      </c>
      <c r="C16851">
        <v>0</v>
      </c>
      <c r="D16851" t="s">
        <v>106</v>
      </c>
      <c r="E16851">
        <v>0.34799999999999998</v>
      </c>
    </row>
    <row r="16852" spans="1:5">
      <c r="A16852" t="s">
        <v>44338</v>
      </c>
      <c r="B16852" t="s">
        <v>33025</v>
      </c>
      <c r="C16852">
        <v>0</v>
      </c>
      <c r="D16852" t="s">
        <v>106</v>
      </c>
      <c r="E16852">
        <v>10.715999999999999</v>
      </c>
    </row>
    <row r="16853" spans="1:5">
      <c r="A16853" t="s">
        <v>44338</v>
      </c>
      <c r="B16853" t="s">
        <v>33026</v>
      </c>
      <c r="C16853">
        <f>0</f>
        <v>0</v>
      </c>
      <c r="D16853" t="s">
        <v>106</v>
      </c>
      <c r="E16853">
        <v>10.715999999999999</v>
      </c>
    </row>
    <row r="16854" spans="1:5">
      <c r="A16854" t="s">
        <v>44339</v>
      </c>
      <c r="B16854" t="s">
        <v>44340</v>
      </c>
      <c r="C16854">
        <f>0.129059983315</f>
        <v>0.12905998331499999</v>
      </c>
      <c r="D16854">
        <v>0.97985546966500003</v>
      </c>
      <c r="E16854">
        <v>22.571999999999999</v>
      </c>
    </row>
    <row r="16855" spans="1:5">
      <c r="A16855" t="s">
        <v>44339</v>
      </c>
      <c r="B16855" t="s">
        <v>44341</v>
      </c>
      <c r="C16855">
        <f>0.844843068832</f>
        <v>0.844843068832</v>
      </c>
      <c r="D16855">
        <v>0.97985546966500003</v>
      </c>
      <c r="E16855">
        <v>22.571999999999999</v>
      </c>
    </row>
    <row r="16856" spans="1:5">
      <c r="A16856" t="s">
        <v>44339</v>
      </c>
      <c r="B16856" t="s">
        <v>44342</v>
      </c>
      <c r="C16856">
        <v>0.4921757866</v>
      </c>
      <c r="D16856">
        <v>0.97985546966500003</v>
      </c>
      <c r="E16856">
        <v>22.571999999999999</v>
      </c>
    </row>
    <row r="16857" spans="1:5">
      <c r="A16857" t="s">
        <v>44339</v>
      </c>
      <c r="B16857" t="s">
        <v>44343</v>
      </c>
      <c r="C16857">
        <v>1.0775846281599999</v>
      </c>
      <c r="D16857">
        <v>0.97985546966500003</v>
      </c>
      <c r="E16857">
        <v>22.571999999999999</v>
      </c>
    </row>
    <row r="16858" spans="1:5">
      <c r="A16858" t="s">
        <v>44339</v>
      </c>
      <c r="B16858" t="s">
        <v>44344</v>
      </c>
      <c r="C16858">
        <f>0.15687248285</f>
        <v>0.15687248284999999</v>
      </c>
      <c r="D16858">
        <v>0.97985546966500003</v>
      </c>
      <c r="E16858">
        <v>22.571999999999999</v>
      </c>
    </row>
    <row r="16859" spans="1:5">
      <c r="A16859" t="s">
        <v>44345</v>
      </c>
      <c r="B16859" t="s">
        <v>32642</v>
      </c>
      <c r="C16859">
        <v>0</v>
      </c>
      <c r="D16859">
        <v>0.55632393448299999</v>
      </c>
      <c r="E16859">
        <v>6.18</v>
      </c>
    </row>
    <row r="16860" spans="1:5">
      <c r="A16860" t="s">
        <v>44345</v>
      </c>
      <c r="B16860" t="s">
        <v>32640</v>
      </c>
      <c r="C16860">
        <v>7.0590312702299998E-2</v>
      </c>
      <c r="D16860">
        <v>0.55632393448299999</v>
      </c>
      <c r="E16860">
        <v>6.18</v>
      </c>
    </row>
    <row r="16861" spans="1:5">
      <c r="A16861" t="s">
        <v>44345</v>
      </c>
      <c r="B16861" t="s">
        <v>32641</v>
      </c>
      <c r="C16861">
        <v>0.31681454390399999</v>
      </c>
      <c r="D16861">
        <v>0.55632393448299999</v>
      </c>
      <c r="E16861">
        <v>6.18</v>
      </c>
    </row>
    <row r="16862" spans="1:5">
      <c r="A16862" t="s">
        <v>44345</v>
      </c>
      <c r="B16862" t="s">
        <v>32639</v>
      </c>
      <c r="C16862">
        <v>0</v>
      </c>
      <c r="D16862">
        <v>0.55632393448299999</v>
      </c>
      <c r="E16862">
        <v>6.18</v>
      </c>
    </row>
    <row r="16863" spans="1:5">
      <c r="A16863" t="s">
        <v>44346</v>
      </c>
      <c r="B16863" t="s">
        <v>17521</v>
      </c>
      <c r="C16863">
        <v>0</v>
      </c>
      <c r="D16863" t="s">
        <v>106</v>
      </c>
      <c r="E16863">
        <v>3.6840000000000002</v>
      </c>
    </row>
    <row r="16864" spans="1:5">
      <c r="A16864" t="s">
        <v>44346</v>
      </c>
      <c r="B16864" t="s">
        <v>17523</v>
      </c>
      <c r="C16864">
        <v>0</v>
      </c>
      <c r="D16864" t="s">
        <v>106</v>
      </c>
      <c r="E16864">
        <v>3.6840000000000002</v>
      </c>
    </row>
    <row r="16865" spans="1:5">
      <c r="A16865" t="s">
        <v>44347</v>
      </c>
      <c r="B16865" t="s">
        <v>44348</v>
      </c>
      <c r="C16865">
        <v>0.605126648474</v>
      </c>
      <c r="D16865">
        <v>0.99508862202399995</v>
      </c>
      <c r="E16865">
        <v>3.4079999999999999</v>
      </c>
    </row>
    <row r="16866" spans="1:5">
      <c r="A16866" t="s">
        <v>44347</v>
      </c>
      <c r="B16866" t="s">
        <v>44349</v>
      </c>
      <c r="C16866">
        <v>0.48944629542399998</v>
      </c>
      <c r="D16866">
        <v>0.99508862202399995</v>
      </c>
      <c r="E16866">
        <v>3.4079999999999999</v>
      </c>
    </row>
    <row r="16867" spans="1:5">
      <c r="A16867" t="s">
        <v>44347</v>
      </c>
      <c r="B16867" t="s">
        <v>44350</v>
      </c>
      <c r="C16867">
        <v>0.311540265353</v>
      </c>
      <c r="D16867">
        <v>0.99508862202399995</v>
      </c>
      <c r="E16867">
        <v>3.4079999999999999</v>
      </c>
    </row>
    <row r="16868" spans="1:5">
      <c r="A16868" t="s">
        <v>44347</v>
      </c>
      <c r="B16868" t="s">
        <v>44351</v>
      </c>
      <c r="C16868">
        <v>0</v>
      </c>
      <c r="D16868">
        <v>0.99508862202399995</v>
      </c>
      <c r="E16868">
        <v>3.4079999999999999</v>
      </c>
    </row>
    <row r="16869" spans="1:5">
      <c r="A16869" t="s">
        <v>44347</v>
      </c>
      <c r="B16869" t="s">
        <v>44352</v>
      </c>
      <c r="C16869">
        <v>0</v>
      </c>
      <c r="D16869">
        <v>0.99508862202399995</v>
      </c>
      <c r="E16869">
        <v>3.4079999999999999</v>
      </c>
    </row>
    <row r="16870" spans="1:5">
      <c r="A16870" t="s">
        <v>44347</v>
      </c>
      <c r="B16870" t="s">
        <v>44353</v>
      </c>
      <c r="C16870">
        <f>0.0220137030673</f>
        <v>2.2013703067300001E-2</v>
      </c>
      <c r="D16870">
        <v>0.99508862202399995</v>
      </c>
      <c r="E16870">
        <v>3.4079999999999999</v>
      </c>
    </row>
    <row r="16871" spans="1:5">
      <c r="A16871" t="s">
        <v>44347</v>
      </c>
      <c r="B16871" t="s">
        <v>44354</v>
      </c>
      <c r="C16871">
        <f>0</f>
        <v>0</v>
      </c>
      <c r="D16871">
        <v>0.99508862202399995</v>
      </c>
      <c r="E16871">
        <v>3.4079999999999999</v>
      </c>
    </row>
    <row r="16872" spans="1:5">
      <c r="A16872" t="s">
        <v>44355</v>
      </c>
      <c r="B16872" t="s">
        <v>22281</v>
      </c>
      <c r="C16872">
        <f>0</f>
        <v>0</v>
      </c>
      <c r="D16872" t="s">
        <v>106</v>
      </c>
      <c r="E16872">
        <v>6.9359999999999999</v>
      </c>
    </row>
    <row r="16873" spans="1:5">
      <c r="A16873" t="s">
        <v>44355</v>
      </c>
      <c r="B16873" t="s">
        <v>22283</v>
      </c>
      <c r="C16873">
        <f>0</f>
        <v>0</v>
      </c>
      <c r="D16873" t="s">
        <v>106</v>
      </c>
      <c r="E16873">
        <v>6.9359999999999999</v>
      </c>
    </row>
    <row r="16874" spans="1:5">
      <c r="A16874" t="s">
        <v>44356</v>
      </c>
      <c r="B16874" t="s">
        <v>10867</v>
      </c>
      <c r="C16874">
        <v>0.171633373353</v>
      </c>
      <c r="D16874">
        <v>0.98222047515099997</v>
      </c>
      <c r="E16874">
        <v>18.768000000000001</v>
      </c>
    </row>
    <row r="16875" spans="1:5">
      <c r="A16875" t="s">
        <v>44356</v>
      </c>
      <c r="B16875" t="s">
        <v>10862</v>
      </c>
      <c r="C16875">
        <f>0.199237935382</f>
        <v>0.19923793538199999</v>
      </c>
      <c r="D16875">
        <v>0.98222047515099997</v>
      </c>
      <c r="E16875">
        <v>18.768000000000001</v>
      </c>
    </row>
    <row r="16876" spans="1:5">
      <c r="A16876" t="s">
        <v>44356</v>
      </c>
      <c r="B16876" t="s">
        <v>10870</v>
      </c>
      <c r="C16876">
        <v>0.59368005356300002</v>
      </c>
      <c r="D16876">
        <v>0.98222047515099997</v>
      </c>
      <c r="E16876">
        <v>18.768000000000001</v>
      </c>
    </row>
    <row r="16877" spans="1:5">
      <c r="A16877" t="s">
        <v>44356</v>
      </c>
      <c r="B16877" t="s">
        <v>10871</v>
      </c>
      <c r="C16877">
        <v>0.18797891735300001</v>
      </c>
      <c r="D16877">
        <v>0.98222047515099997</v>
      </c>
      <c r="E16877">
        <v>18.768000000000001</v>
      </c>
    </row>
    <row r="16878" spans="1:5">
      <c r="A16878" t="s">
        <v>44356</v>
      </c>
      <c r="B16878" t="s">
        <v>10872</v>
      </c>
      <c r="C16878">
        <f>0.358170500797</f>
        <v>0.35817050079700002</v>
      </c>
      <c r="D16878">
        <v>0.98222047515099997</v>
      </c>
      <c r="E16878">
        <v>18.768000000000001</v>
      </c>
    </row>
    <row r="16879" spans="1:5">
      <c r="A16879" t="s">
        <v>44356</v>
      </c>
      <c r="B16879" t="s">
        <v>10869</v>
      </c>
      <c r="C16879">
        <v>7.7696234004699993E-2</v>
      </c>
      <c r="D16879">
        <v>0.98222047515099997</v>
      </c>
      <c r="E16879">
        <v>18.768000000000001</v>
      </c>
    </row>
    <row r="16880" spans="1:5">
      <c r="A16880" t="s">
        <v>44357</v>
      </c>
      <c r="B16880" t="s">
        <v>4371</v>
      </c>
      <c r="C16880">
        <v>0</v>
      </c>
      <c r="D16880">
        <v>0.66887666441899996</v>
      </c>
      <c r="E16880">
        <v>4.0739999999999998</v>
      </c>
    </row>
    <row r="16881" spans="1:5">
      <c r="A16881" t="s">
        <v>44357</v>
      </c>
      <c r="B16881" t="s">
        <v>4374</v>
      </c>
      <c r="C16881">
        <f>0</f>
        <v>0</v>
      </c>
      <c r="D16881">
        <v>0.66887666441899996</v>
      </c>
      <c r="E16881">
        <v>4.0739999999999998</v>
      </c>
    </row>
    <row r="16882" spans="1:5">
      <c r="A16882" t="s">
        <v>44357</v>
      </c>
      <c r="B16882" t="s">
        <v>4373</v>
      </c>
      <c r="C16882">
        <f>0.475266664419</f>
        <v>0.47526666441900001</v>
      </c>
      <c r="D16882">
        <v>0.66887666441899996</v>
      </c>
      <c r="E16882">
        <v>4.0739999999999998</v>
      </c>
    </row>
    <row r="16883" spans="1:5">
      <c r="A16883" t="s">
        <v>44358</v>
      </c>
      <c r="B16883" t="s">
        <v>44359</v>
      </c>
      <c r="C16883">
        <f>0</f>
        <v>0</v>
      </c>
      <c r="D16883" t="s">
        <v>106</v>
      </c>
      <c r="E16883">
        <v>1.224</v>
      </c>
    </row>
    <row r="16884" spans="1:5">
      <c r="A16884" t="s">
        <v>44358</v>
      </c>
      <c r="B16884" t="s">
        <v>44360</v>
      </c>
      <c r="C16884">
        <f>0</f>
        <v>0</v>
      </c>
      <c r="D16884" t="s">
        <v>106</v>
      </c>
      <c r="E16884">
        <v>1.224</v>
      </c>
    </row>
    <row r="16885" spans="1:5">
      <c r="A16885" t="s">
        <v>44358</v>
      </c>
      <c r="B16885" t="s">
        <v>44361</v>
      </c>
      <c r="C16885">
        <v>0</v>
      </c>
      <c r="D16885" t="s">
        <v>106</v>
      </c>
      <c r="E16885">
        <v>1.224</v>
      </c>
    </row>
    <row r="16886" spans="1:5">
      <c r="A16886" t="s">
        <v>44358</v>
      </c>
      <c r="B16886" t="s">
        <v>44362</v>
      </c>
      <c r="C16886">
        <v>0</v>
      </c>
      <c r="D16886" t="s">
        <v>106</v>
      </c>
      <c r="E16886">
        <v>1.224</v>
      </c>
    </row>
    <row r="16887" spans="1:5">
      <c r="A16887" t="s">
        <v>44358</v>
      </c>
      <c r="B16887" t="s">
        <v>44363</v>
      </c>
      <c r="C16887">
        <v>0</v>
      </c>
      <c r="D16887" t="s">
        <v>106</v>
      </c>
      <c r="E16887">
        <v>1.224</v>
      </c>
    </row>
    <row r="16888" spans="1:5">
      <c r="A16888" t="s">
        <v>44358</v>
      </c>
      <c r="B16888" t="s">
        <v>44364</v>
      </c>
      <c r="C16888">
        <f>0</f>
        <v>0</v>
      </c>
      <c r="D16888" t="s">
        <v>106</v>
      </c>
      <c r="E16888">
        <v>1.224</v>
      </c>
    </row>
    <row r="16889" spans="1:5">
      <c r="A16889" t="s">
        <v>44365</v>
      </c>
      <c r="B16889" t="s">
        <v>44366</v>
      </c>
      <c r="C16889">
        <f>0</f>
        <v>0</v>
      </c>
      <c r="D16889" t="s">
        <v>106</v>
      </c>
      <c r="E16889">
        <v>24</v>
      </c>
    </row>
    <row r="16890" spans="1:5">
      <c r="A16890" t="s">
        <v>44365</v>
      </c>
      <c r="B16890" t="s">
        <v>44367</v>
      </c>
      <c r="C16890">
        <f>0</f>
        <v>0</v>
      </c>
      <c r="D16890" t="s">
        <v>106</v>
      </c>
      <c r="E16890">
        <v>24</v>
      </c>
    </row>
    <row r="16891" spans="1:5">
      <c r="A16891" t="s">
        <v>44365</v>
      </c>
      <c r="B16891" t="s">
        <v>44368</v>
      </c>
      <c r="C16891">
        <f>0</f>
        <v>0</v>
      </c>
      <c r="D16891" t="s">
        <v>106</v>
      </c>
      <c r="E16891">
        <v>24</v>
      </c>
    </row>
    <row r="16892" spans="1:5">
      <c r="A16892" t="s">
        <v>44369</v>
      </c>
      <c r="B16892" t="s">
        <v>44370</v>
      </c>
      <c r="C16892">
        <f>0.283850392152</f>
        <v>0.28385039215199998</v>
      </c>
      <c r="D16892">
        <v>0.94606905488100002</v>
      </c>
      <c r="E16892">
        <v>23.754000000000001</v>
      </c>
    </row>
    <row r="16893" spans="1:5">
      <c r="A16893" t="s">
        <v>44369</v>
      </c>
      <c r="B16893" t="s">
        <v>44371</v>
      </c>
      <c r="C16893">
        <v>0.24213059301100001</v>
      </c>
      <c r="D16893">
        <v>0.94606905488100002</v>
      </c>
      <c r="E16893">
        <v>23.754000000000001</v>
      </c>
    </row>
    <row r="16894" spans="1:5">
      <c r="A16894" t="s">
        <v>44369</v>
      </c>
      <c r="B16894" t="s">
        <v>44372</v>
      </c>
      <c r="C16894">
        <v>0.44740079418099998</v>
      </c>
      <c r="D16894">
        <v>0.94606905488100002</v>
      </c>
      <c r="E16894">
        <v>23.754000000000001</v>
      </c>
    </row>
    <row r="16895" spans="1:5">
      <c r="A16895" t="s">
        <v>44369</v>
      </c>
      <c r="B16895" t="s">
        <v>44373</v>
      </c>
      <c r="C16895">
        <v>0</v>
      </c>
      <c r="D16895">
        <v>0.94606905488100002</v>
      </c>
      <c r="E16895">
        <v>23.754000000000001</v>
      </c>
    </row>
    <row r="16896" spans="1:5">
      <c r="A16896" t="s">
        <v>44369</v>
      </c>
      <c r="B16896" t="s">
        <v>44374</v>
      </c>
      <c r="C16896">
        <v>0.23102121741000001</v>
      </c>
      <c r="D16896">
        <v>0.94606905488100002</v>
      </c>
      <c r="E16896">
        <v>23.754000000000001</v>
      </c>
    </row>
    <row r="16897" spans="1:5">
      <c r="A16897" t="s">
        <v>44369</v>
      </c>
      <c r="B16897" t="s">
        <v>44375</v>
      </c>
      <c r="C16897">
        <v>0</v>
      </c>
      <c r="D16897">
        <v>0.94606905488100002</v>
      </c>
      <c r="E16897">
        <v>23.754000000000001</v>
      </c>
    </row>
    <row r="16898" spans="1:5">
      <c r="A16898" t="s">
        <v>44376</v>
      </c>
      <c r="B16898" t="s">
        <v>23385</v>
      </c>
      <c r="C16898">
        <v>0</v>
      </c>
      <c r="D16898">
        <v>0.54949899496200005</v>
      </c>
      <c r="E16898">
        <v>1.224</v>
      </c>
    </row>
    <row r="16899" spans="1:5">
      <c r="A16899" t="s">
        <v>44376</v>
      </c>
      <c r="B16899" t="s">
        <v>23390</v>
      </c>
      <c r="C16899">
        <f>0</f>
        <v>0</v>
      </c>
      <c r="D16899">
        <v>0.54949899496200005</v>
      </c>
      <c r="E16899">
        <v>1.224</v>
      </c>
    </row>
    <row r="16900" spans="1:5">
      <c r="A16900" t="s">
        <v>44376</v>
      </c>
      <c r="B16900" t="s">
        <v>23386</v>
      </c>
      <c r="C16900">
        <f>0</f>
        <v>0</v>
      </c>
      <c r="D16900">
        <v>0.54949899496200005</v>
      </c>
      <c r="E16900">
        <v>1.224</v>
      </c>
    </row>
    <row r="16901" spans="1:5">
      <c r="A16901" t="s">
        <v>44376</v>
      </c>
      <c r="B16901" t="s">
        <v>23391</v>
      </c>
      <c r="C16901">
        <f>0.319088994962</f>
        <v>0.31908899496199999</v>
      </c>
      <c r="D16901">
        <v>0.54949899496200005</v>
      </c>
      <c r="E16901">
        <v>1.224</v>
      </c>
    </row>
    <row r="16902" spans="1:5">
      <c r="A16902" t="s">
        <v>44376</v>
      </c>
      <c r="B16902" t="s">
        <v>23389</v>
      </c>
      <c r="C16902">
        <f>0</f>
        <v>0</v>
      </c>
      <c r="D16902">
        <v>0.54949899496200005</v>
      </c>
      <c r="E16902">
        <v>1.224</v>
      </c>
    </row>
    <row r="16903" spans="1:5">
      <c r="A16903" t="s">
        <v>44376</v>
      </c>
      <c r="B16903" t="s">
        <v>23388</v>
      </c>
      <c r="C16903">
        <v>0</v>
      </c>
      <c r="D16903">
        <v>0.54949899496200005</v>
      </c>
      <c r="E16903">
        <v>1.224</v>
      </c>
    </row>
    <row r="16904" spans="1:5">
      <c r="A16904" t="s">
        <v>44377</v>
      </c>
      <c r="B16904" t="s">
        <v>7947</v>
      </c>
      <c r="C16904">
        <v>0</v>
      </c>
      <c r="D16904">
        <v>0.65035400170299995</v>
      </c>
      <c r="E16904">
        <v>23.754000000000001</v>
      </c>
    </row>
    <row r="16905" spans="1:5">
      <c r="A16905" t="s">
        <v>44377</v>
      </c>
      <c r="B16905" t="s">
        <v>7945</v>
      </c>
      <c r="C16905">
        <f>0</f>
        <v>0</v>
      </c>
      <c r="D16905">
        <v>0.65035400170299995</v>
      </c>
      <c r="E16905">
        <v>23.754000000000001</v>
      </c>
    </row>
    <row r="16906" spans="1:5">
      <c r="A16906" t="s">
        <v>44377</v>
      </c>
      <c r="B16906" t="s">
        <v>7946</v>
      </c>
      <c r="C16906">
        <f>0</f>
        <v>0</v>
      </c>
      <c r="D16906">
        <v>0.65035400170299995</v>
      </c>
      <c r="E16906">
        <v>23.754000000000001</v>
      </c>
    </row>
    <row r="16907" spans="1:5">
      <c r="A16907" t="s">
        <v>44377</v>
      </c>
      <c r="B16907" t="s">
        <v>7944</v>
      </c>
      <c r="C16907">
        <f>0.187944001703</f>
        <v>0.18794400170299999</v>
      </c>
      <c r="D16907">
        <v>0.65035400170299995</v>
      </c>
      <c r="E16907">
        <v>23.754000000000001</v>
      </c>
    </row>
    <row r="16908" spans="1:5">
      <c r="A16908" t="s">
        <v>44377</v>
      </c>
      <c r="B16908" t="s">
        <v>7951</v>
      </c>
      <c r="C16908">
        <v>0</v>
      </c>
      <c r="D16908">
        <v>0.65035400170299995</v>
      </c>
      <c r="E16908">
        <v>23.754000000000001</v>
      </c>
    </row>
    <row r="16909" spans="1:5">
      <c r="A16909" t="s">
        <v>44377</v>
      </c>
      <c r="B16909" t="s">
        <v>7948</v>
      </c>
      <c r="C16909">
        <f>0</f>
        <v>0</v>
      </c>
      <c r="D16909">
        <v>0.65035400170299995</v>
      </c>
      <c r="E16909">
        <v>23.754000000000001</v>
      </c>
    </row>
    <row r="16910" spans="1:5">
      <c r="A16910" t="s">
        <v>44377</v>
      </c>
      <c r="B16910" t="s">
        <v>7950</v>
      </c>
      <c r="C16910">
        <v>0</v>
      </c>
      <c r="D16910">
        <v>0.65035400170299995</v>
      </c>
      <c r="E16910">
        <v>23.754000000000001</v>
      </c>
    </row>
    <row r="16911" spans="1:5">
      <c r="A16911" t="s">
        <v>44377</v>
      </c>
      <c r="B16911" t="s">
        <v>7949</v>
      </c>
      <c r="C16911">
        <v>0</v>
      </c>
      <c r="D16911">
        <v>0.65035400170299995</v>
      </c>
      <c r="E16911">
        <v>23.754000000000001</v>
      </c>
    </row>
    <row r="16912" spans="1:5">
      <c r="A16912" t="s">
        <v>44378</v>
      </c>
      <c r="B16912" t="s">
        <v>44379</v>
      </c>
      <c r="C16912">
        <f>0</f>
        <v>0</v>
      </c>
      <c r="D16912">
        <v>0.86707971440499998</v>
      </c>
      <c r="E16912">
        <v>2.4E-2</v>
      </c>
    </row>
    <row r="16913" spans="1:5">
      <c r="A16913" t="s">
        <v>44378</v>
      </c>
      <c r="B16913" t="s">
        <v>44380</v>
      </c>
      <c r="C16913">
        <f>0.21458264709</f>
        <v>0.21458264708999999</v>
      </c>
      <c r="D16913">
        <v>0.86707971440499998</v>
      </c>
      <c r="E16913">
        <v>2.4E-2</v>
      </c>
    </row>
    <row r="16914" spans="1:5">
      <c r="A16914" t="s">
        <v>44378</v>
      </c>
      <c r="B16914" t="s">
        <v>44381</v>
      </c>
      <c r="C16914">
        <v>8.1612522783099994E-2</v>
      </c>
      <c r="D16914">
        <v>0.86707971440499998</v>
      </c>
      <c r="E16914">
        <v>2.4E-2</v>
      </c>
    </row>
    <row r="16915" spans="1:5">
      <c r="A16915" t="s">
        <v>44378</v>
      </c>
      <c r="B16915" t="s">
        <v>44382</v>
      </c>
      <c r="C16915">
        <v>0</v>
      </c>
      <c r="D16915">
        <v>0.86707971440499998</v>
      </c>
      <c r="E16915">
        <v>2.4E-2</v>
      </c>
    </row>
    <row r="16916" spans="1:5">
      <c r="A16916" t="s">
        <v>44378</v>
      </c>
      <c r="B16916" t="s">
        <v>44383</v>
      </c>
      <c r="C16916">
        <v>0.35209698478599999</v>
      </c>
      <c r="D16916">
        <v>0.86707971440499998</v>
      </c>
      <c r="E16916">
        <v>2.4E-2</v>
      </c>
    </row>
    <row r="16917" spans="1:5">
      <c r="A16917" t="s">
        <v>44378</v>
      </c>
      <c r="B16917" t="s">
        <v>44384</v>
      </c>
      <c r="C16917">
        <f>0.787793607121</f>
        <v>0.78779360712099999</v>
      </c>
      <c r="D16917">
        <v>0.86707971440499998</v>
      </c>
      <c r="E16917">
        <v>2.4E-2</v>
      </c>
    </row>
    <row r="16918" spans="1:5">
      <c r="A16918" t="s">
        <v>44385</v>
      </c>
      <c r="B16918" t="s">
        <v>44386</v>
      </c>
      <c r="C16918">
        <v>0</v>
      </c>
      <c r="D16918" t="s">
        <v>106</v>
      </c>
      <c r="E16918">
        <v>24</v>
      </c>
    </row>
    <row r="16919" spans="1:5">
      <c r="A16919" t="s">
        <v>44385</v>
      </c>
      <c r="B16919" t="s">
        <v>44387</v>
      </c>
      <c r="C16919">
        <v>0</v>
      </c>
      <c r="D16919" t="s">
        <v>106</v>
      </c>
      <c r="E16919">
        <v>24</v>
      </c>
    </row>
    <row r="16920" spans="1:5">
      <c r="A16920" t="s">
        <v>44385</v>
      </c>
      <c r="B16920" t="s">
        <v>44388</v>
      </c>
      <c r="C16920">
        <f>0</f>
        <v>0</v>
      </c>
      <c r="D16920" t="s">
        <v>106</v>
      </c>
      <c r="E16920">
        <v>24</v>
      </c>
    </row>
    <row r="16921" spans="1:5">
      <c r="A16921" t="s">
        <v>44385</v>
      </c>
      <c r="B16921" t="s">
        <v>44389</v>
      </c>
      <c r="C16921">
        <f>0</f>
        <v>0</v>
      </c>
      <c r="D16921" t="s">
        <v>106</v>
      </c>
      <c r="E16921">
        <v>24</v>
      </c>
    </row>
    <row r="16922" spans="1:5">
      <c r="A16922" t="s">
        <v>44385</v>
      </c>
      <c r="B16922" t="s">
        <v>44390</v>
      </c>
      <c r="C16922">
        <f>0</f>
        <v>0</v>
      </c>
      <c r="D16922" t="s">
        <v>106</v>
      </c>
      <c r="E16922">
        <v>24</v>
      </c>
    </row>
    <row r="16923" spans="1:5">
      <c r="A16923" t="s">
        <v>44391</v>
      </c>
      <c r="B16923" t="s">
        <v>32341</v>
      </c>
      <c r="C16923">
        <f>0</f>
        <v>0</v>
      </c>
      <c r="D16923" t="s">
        <v>106</v>
      </c>
      <c r="E16923">
        <v>0.10199999999999999</v>
      </c>
    </row>
    <row r="16924" spans="1:5">
      <c r="A16924" t="s">
        <v>44391</v>
      </c>
      <c r="B16924" t="s">
        <v>32340</v>
      </c>
      <c r="C16924">
        <f>0</f>
        <v>0</v>
      </c>
      <c r="D16924" t="s">
        <v>106</v>
      </c>
      <c r="E16924">
        <v>0.10199999999999999</v>
      </c>
    </row>
    <row r="16925" spans="1:5">
      <c r="A16925" t="s">
        <v>44391</v>
      </c>
      <c r="B16925" t="s">
        <v>32347</v>
      </c>
      <c r="C16925">
        <f>0</f>
        <v>0</v>
      </c>
      <c r="D16925" t="s">
        <v>106</v>
      </c>
      <c r="E16925">
        <v>0.10199999999999999</v>
      </c>
    </row>
    <row r="16926" spans="1:5">
      <c r="A16926" t="s">
        <v>44391</v>
      </c>
      <c r="B16926" t="s">
        <v>32339</v>
      </c>
      <c r="C16926">
        <v>0</v>
      </c>
      <c r="D16926" t="s">
        <v>106</v>
      </c>
      <c r="E16926">
        <v>0.10199999999999999</v>
      </c>
    </row>
    <row r="16927" spans="1:5">
      <c r="A16927" t="s">
        <v>44391</v>
      </c>
      <c r="B16927" t="s">
        <v>32346</v>
      </c>
      <c r="C16927">
        <f>0</f>
        <v>0</v>
      </c>
      <c r="D16927" t="s">
        <v>106</v>
      </c>
      <c r="E16927">
        <v>0.10199999999999999</v>
      </c>
    </row>
    <row r="16928" spans="1:5">
      <c r="A16928" t="s">
        <v>44391</v>
      </c>
      <c r="B16928" t="s">
        <v>32343</v>
      </c>
      <c r="C16928">
        <f>0</f>
        <v>0</v>
      </c>
      <c r="D16928" t="s">
        <v>106</v>
      </c>
      <c r="E16928">
        <v>0.10199999999999999</v>
      </c>
    </row>
    <row r="16929" spans="1:5">
      <c r="A16929" t="s">
        <v>44392</v>
      </c>
      <c r="B16929" t="s">
        <v>44393</v>
      </c>
      <c r="C16929">
        <f>0</f>
        <v>0</v>
      </c>
      <c r="D16929">
        <v>0.84148237377699997</v>
      </c>
      <c r="E16929">
        <v>0.40799999999999997</v>
      </c>
    </row>
    <row r="16930" spans="1:5">
      <c r="A16930" t="s">
        <v>44392</v>
      </c>
      <c r="B16930" t="s">
        <v>44394</v>
      </c>
      <c r="C16930">
        <v>0</v>
      </c>
      <c r="D16930">
        <v>0.84148237377699997</v>
      </c>
      <c r="E16930">
        <v>0.40799999999999997</v>
      </c>
    </row>
    <row r="16931" spans="1:5">
      <c r="A16931" t="s">
        <v>44392</v>
      </c>
      <c r="B16931" t="s">
        <v>44395</v>
      </c>
      <c r="C16931">
        <v>0.68147237377699998</v>
      </c>
      <c r="D16931">
        <v>0.84148237377699997</v>
      </c>
      <c r="E16931">
        <v>0.40799999999999997</v>
      </c>
    </row>
    <row r="16932" spans="1:5">
      <c r="A16932" t="s">
        <v>44392</v>
      </c>
      <c r="B16932" t="s">
        <v>44396</v>
      </c>
      <c r="C16932">
        <v>0</v>
      </c>
      <c r="D16932">
        <v>0.84148237377699997</v>
      </c>
      <c r="E16932">
        <v>0.40799999999999997</v>
      </c>
    </row>
    <row r="16933" spans="1:5">
      <c r="A16933" t="s">
        <v>44397</v>
      </c>
      <c r="B16933" t="s">
        <v>8133</v>
      </c>
      <c r="C16933">
        <v>0.64970161803500004</v>
      </c>
      <c r="D16933">
        <v>0.75211161803500004</v>
      </c>
      <c r="E16933">
        <v>23.754000000000001</v>
      </c>
    </row>
    <row r="16934" spans="1:5">
      <c r="A16934" t="s">
        <v>44397</v>
      </c>
      <c r="B16934" t="s">
        <v>8134</v>
      </c>
      <c r="C16934">
        <f>0</f>
        <v>0</v>
      </c>
      <c r="D16934">
        <v>0.75211161803500004</v>
      </c>
      <c r="E16934">
        <v>23.754000000000001</v>
      </c>
    </row>
    <row r="16935" spans="1:5">
      <c r="A16935" t="s">
        <v>44398</v>
      </c>
      <c r="B16935" t="s">
        <v>44399</v>
      </c>
      <c r="C16935">
        <f>0.0775335597248</f>
        <v>7.75335597248E-2</v>
      </c>
      <c r="D16935">
        <v>0.83720922460500002</v>
      </c>
      <c r="E16935">
        <v>10.554</v>
      </c>
    </row>
    <row r="16936" spans="1:5">
      <c r="A16936" t="s">
        <v>44398</v>
      </c>
      <c r="B16936" t="s">
        <v>44400</v>
      </c>
      <c r="C16936">
        <f>0.730164889544</f>
        <v>0.73016488954400005</v>
      </c>
      <c r="D16936">
        <v>0.83720922460500002</v>
      </c>
      <c r="E16936">
        <v>10.554</v>
      </c>
    </row>
    <row r="16937" spans="1:5">
      <c r="A16937" t="s">
        <v>44398</v>
      </c>
      <c r="B16937" t="s">
        <v>44401</v>
      </c>
      <c r="C16937">
        <f>0</f>
        <v>0</v>
      </c>
      <c r="D16937">
        <v>0.83720922460500002</v>
      </c>
      <c r="E16937">
        <v>10.554</v>
      </c>
    </row>
    <row r="16938" spans="1:5">
      <c r="A16938" t="s">
        <v>44402</v>
      </c>
      <c r="B16938" t="s">
        <v>11032</v>
      </c>
      <c r="C16938">
        <v>0.761934597903</v>
      </c>
      <c r="D16938">
        <v>0.72058976193000002</v>
      </c>
      <c r="E16938">
        <v>11.706</v>
      </c>
    </row>
    <row r="16939" spans="1:5">
      <c r="A16939" t="s">
        <v>44402</v>
      </c>
      <c r="B16939" t="s">
        <v>11035</v>
      </c>
      <c r="C16939">
        <f>-1.06153641955</f>
        <v>-1.0615364195500001</v>
      </c>
      <c r="D16939">
        <v>0.72058976193000002</v>
      </c>
      <c r="E16939">
        <v>11.706</v>
      </c>
    </row>
    <row r="16940" spans="1:5">
      <c r="A16940" t="s">
        <v>44403</v>
      </c>
      <c r="B16940" t="s">
        <v>22418</v>
      </c>
      <c r="C16940">
        <v>0</v>
      </c>
      <c r="D16940">
        <v>0.65868894353399998</v>
      </c>
      <c r="E16940">
        <v>0</v>
      </c>
    </row>
    <row r="16941" spans="1:5">
      <c r="A16941" t="s">
        <v>44403</v>
      </c>
      <c r="B16941" t="s">
        <v>22423</v>
      </c>
      <c r="C16941">
        <f>0</f>
        <v>0</v>
      </c>
      <c r="D16941">
        <v>0.65868894353399998</v>
      </c>
      <c r="E16941">
        <v>0</v>
      </c>
    </row>
    <row r="16942" spans="1:5">
      <c r="A16942" t="s">
        <v>44403</v>
      </c>
      <c r="B16942" t="s">
        <v>22420</v>
      </c>
      <c r="C16942">
        <f>0.428278943534</f>
        <v>0.42827894353399998</v>
      </c>
      <c r="D16942">
        <v>0.65868894353399998</v>
      </c>
      <c r="E16942">
        <v>0</v>
      </c>
    </row>
    <row r="16943" spans="1:5">
      <c r="A16943" t="s">
        <v>44404</v>
      </c>
      <c r="B16943" t="s">
        <v>44405</v>
      </c>
      <c r="C16943">
        <f>0.0610627386582</f>
        <v>6.10627386582E-2</v>
      </c>
      <c r="D16943">
        <v>0.96694474450900003</v>
      </c>
      <c r="E16943">
        <v>5.016</v>
      </c>
    </row>
    <row r="16944" spans="1:5">
      <c r="A16944" t="s">
        <v>44404</v>
      </c>
      <c r="B16944" t="s">
        <v>44406</v>
      </c>
      <c r="C16944">
        <f>0.165375865777</f>
        <v>0.165375865777</v>
      </c>
      <c r="D16944">
        <v>0.96694474450900003</v>
      </c>
      <c r="E16944">
        <v>5.016</v>
      </c>
    </row>
    <row r="16945" spans="1:5">
      <c r="A16945" t="s">
        <v>44404</v>
      </c>
      <c r="B16945" t="s">
        <v>44407</v>
      </c>
      <c r="C16945">
        <f>-1.43373004915</f>
        <v>-1.43373004915</v>
      </c>
      <c r="D16945">
        <v>0.96694474450900003</v>
      </c>
      <c r="E16945">
        <v>5.016</v>
      </c>
    </row>
    <row r="16946" spans="1:5">
      <c r="A16946" t="s">
        <v>44404</v>
      </c>
      <c r="B16946" t="s">
        <v>44408</v>
      </c>
      <c r="C16946">
        <v>0.850874829763</v>
      </c>
      <c r="D16946">
        <v>0.96694474450900003</v>
      </c>
      <c r="E16946">
        <v>5.016</v>
      </c>
    </row>
    <row r="16947" spans="1:5">
      <c r="A16947" t="s">
        <v>44409</v>
      </c>
      <c r="B16947" t="s">
        <v>27072</v>
      </c>
      <c r="C16947">
        <v>0</v>
      </c>
      <c r="D16947" t="s">
        <v>106</v>
      </c>
      <c r="E16947">
        <v>24</v>
      </c>
    </row>
    <row r="16948" spans="1:5">
      <c r="A16948" t="s">
        <v>44409</v>
      </c>
      <c r="B16948" t="s">
        <v>27078</v>
      </c>
      <c r="C16948">
        <f>0</f>
        <v>0</v>
      </c>
      <c r="D16948" t="s">
        <v>106</v>
      </c>
      <c r="E16948">
        <v>24</v>
      </c>
    </row>
    <row r="16949" spans="1:5">
      <c r="A16949" t="s">
        <v>44410</v>
      </c>
      <c r="B16949" t="s">
        <v>1272</v>
      </c>
      <c r="C16949">
        <v>0.27103940595600001</v>
      </c>
      <c r="D16949">
        <v>0.76948432489399998</v>
      </c>
      <c r="E16949">
        <v>24</v>
      </c>
    </row>
    <row r="16950" spans="1:5">
      <c r="A16950" t="s">
        <v>44410</v>
      </c>
      <c r="B16950" t="s">
        <v>1275</v>
      </c>
      <c r="C16950">
        <v>0.58016487999199995</v>
      </c>
      <c r="D16950">
        <v>0.76948432489399998</v>
      </c>
      <c r="E16950">
        <v>24</v>
      </c>
    </row>
    <row r="16951" spans="1:5">
      <c r="A16951" t="s">
        <v>44410</v>
      </c>
      <c r="B16951" t="s">
        <v>1273</v>
      </c>
      <c r="C16951">
        <v>0</v>
      </c>
      <c r="D16951">
        <v>0.76948432489399998</v>
      </c>
      <c r="E16951">
        <v>24</v>
      </c>
    </row>
    <row r="16952" spans="1:5">
      <c r="A16952" t="s">
        <v>44411</v>
      </c>
      <c r="B16952" t="s">
        <v>5848</v>
      </c>
      <c r="C16952">
        <f>0</f>
        <v>0</v>
      </c>
      <c r="D16952">
        <v>0.99011446891300003</v>
      </c>
      <c r="E16952">
        <v>24</v>
      </c>
    </row>
    <row r="16953" spans="1:5">
      <c r="A16953" t="s">
        <v>44411</v>
      </c>
      <c r="B16953" t="s">
        <v>5861</v>
      </c>
      <c r="C16953">
        <f>0.38298176581</f>
        <v>0.38298176580999999</v>
      </c>
      <c r="D16953">
        <v>0.99011446891300003</v>
      </c>
      <c r="E16953">
        <v>24</v>
      </c>
    </row>
    <row r="16954" spans="1:5">
      <c r="A16954" t="s">
        <v>44411</v>
      </c>
      <c r="B16954" t="s">
        <v>5857</v>
      </c>
      <c r="C16954">
        <v>8.7617662302400007E-2</v>
      </c>
      <c r="D16954">
        <v>0.99011446891300003</v>
      </c>
      <c r="E16954">
        <v>24</v>
      </c>
    </row>
    <row r="16955" spans="1:5">
      <c r="A16955" t="s">
        <v>44411</v>
      </c>
      <c r="B16955" t="s">
        <v>5855</v>
      </c>
      <c r="C16955">
        <v>0.85360707380300005</v>
      </c>
      <c r="D16955">
        <v>0.99011446891300003</v>
      </c>
      <c r="E16955">
        <v>24</v>
      </c>
    </row>
    <row r="16956" spans="1:5">
      <c r="A16956" t="s">
        <v>44411</v>
      </c>
      <c r="B16956" t="s">
        <v>5856</v>
      </c>
      <c r="C16956">
        <v>0.11393762948699999</v>
      </c>
      <c r="D16956">
        <v>0.99011446891300003</v>
      </c>
      <c r="E16956">
        <v>24</v>
      </c>
    </row>
    <row r="16957" spans="1:5">
      <c r="A16957" t="s">
        <v>44411</v>
      </c>
      <c r="B16957" t="s">
        <v>5859</v>
      </c>
      <c r="C16957">
        <f>0.0892120797731</f>
        <v>8.92120797731E-2</v>
      </c>
      <c r="D16957">
        <v>0.99011446891300003</v>
      </c>
      <c r="E16957">
        <v>24</v>
      </c>
    </row>
    <row r="16958" spans="1:5">
      <c r="A16958" t="s">
        <v>44411</v>
      </c>
      <c r="B16958" t="s">
        <v>5858</v>
      </c>
      <c r="C16958">
        <v>3.0211228942400001E-2</v>
      </c>
      <c r="D16958">
        <v>0.99011446891300003</v>
      </c>
      <c r="E16958">
        <v>24</v>
      </c>
    </row>
    <row r="16959" spans="1:5">
      <c r="A16959" t="s">
        <v>44412</v>
      </c>
      <c r="B16959" t="s">
        <v>34378</v>
      </c>
      <c r="C16959">
        <f>0</f>
        <v>0</v>
      </c>
      <c r="D16959" t="s">
        <v>106</v>
      </c>
      <c r="E16959">
        <v>0.378</v>
      </c>
    </row>
    <row r="16960" spans="1:5">
      <c r="A16960" t="s">
        <v>44412</v>
      </c>
      <c r="B16960" t="s">
        <v>34385</v>
      </c>
      <c r="C16960">
        <v>0</v>
      </c>
      <c r="D16960" t="s">
        <v>106</v>
      </c>
      <c r="E16960">
        <v>0.378</v>
      </c>
    </row>
    <row r="16961" spans="1:5">
      <c r="A16961" t="s">
        <v>44413</v>
      </c>
      <c r="B16961" t="s">
        <v>44414</v>
      </c>
      <c r="C16961">
        <f>0</f>
        <v>0</v>
      </c>
      <c r="D16961" t="s">
        <v>106</v>
      </c>
      <c r="E16961">
        <v>6.6779999999999999</v>
      </c>
    </row>
    <row r="16962" spans="1:5">
      <c r="A16962" t="s">
        <v>44413</v>
      </c>
      <c r="B16962" t="s">
        <v>44415</v>
      </c>
      <c r="C16962">
        <f>0</f>
        <v>0</v>
      </c>
      <c r="D16962" t="s">
        <v>106</v>
      </c>
      <c r="E16962">
        <v>6.6779999999999999</v>
      </c>
    </row>
    <row r="16963" spans="1:5">
      <c r="A16963" t="s">
        <v>44413</v>
      </c>
      <c r="B16963" t="s">
        <v>44416</v>
      </c>
      <c r="C16963">
        <v>0</v>
      </c>
      <c r="D16963" t="s">
        <v>106</v>
      </c>
      <c r="E16963">
        <v>6.6779999999999999</v>
      </c>
    </row>
    <row r="16964" spans="1:5">
      <c r="A16964" t="s">
        <v>44413</v>
      </c>
      <c r="B16964" t="s">
        <v>44417</v>
      </c>
      <c r="C16964">
        <f>0</f>
        <v>0</v>
      </c>
      <c r="D16964" t="s">
        <v>106</v>
      </c>
      <c r="E16964">
        <v>6.6779999999999999</v>
      </c>
    </row>
    <row r="16965" spans="1:5">
      <c r="A16965" t="s">
        <v>44413</v>
      </c>
      <c r="B16965" t="s">
        <v>44418</v>
      </c>
      <c r="C16965">
        <v>0</v>
      </c>
      <c r="D16965" t="s">
        <v>106</v>
      </c>
      <c r="E16965">
        <v>6.6779999999999999</v>
      </c>
    </row>
    <row r="16966" spans="1:5">
      <c r="A16966" t="s">
        <v>44419</v>
      </c>
      <c r="B16966" t="s">
        <v>19052</v>
      </c>
      <c r="C16966">
        <v>0.693074576607</v>
      </c>
      <c r="D16966">
        <v>0.795484576607</v>
      </c>
      <c r="E16966">
        <v>4.8</v>
      </c>
    </row>
    <row r="16967" spans="1:5">
      <c r="A16967" t="s">
        <v>44419</v>
      </c>
      <c r="B16967" t="s">
        <v>19055</v>
      </c>
      <c r="C16967">
        <v>0</v>
      </c>
      <c r="D16967">
        <v>0.795484576607</v>
      </c>
      <c r="E16967">
        <v>4.8</v>
      </c>
    </row>
    <row r="16968" spans="1:5">
      <c r="A16968" t="s">
        <v>44420</v>
      </c>
      <c r="B16968" t="s">
        <v>7604</v>
      </c>
      <c r="C16968">
        <v>0.216609957479</v>
      </c>
      <c r="D16968">
        <v>0.98493964482200003</v>
      </c>
      <c r="E16968">
        <v>2.1059999999999999</v>
      </c>
    </row>
    <row r="16969" spans="1:5">
      <c r="A16969" t="s">
        <v>44420</v>
      </c>
      <c r="B16969" t="s">
        <v>7605</v>
      </c>
      <c r="C16969">
        <f>-1.34514232025</f>
        <v>-1.3451423202499999</v>
      </c>
      <c r="D16969">
        <v>0.98493964482200003</v>
      </c>
      <c r="E16969">
        <v>2.1059999999999999</v>
      </c>
    </row>
    <row r="16970" spans="1:5">
      <c r="A16970" t="s">
        <v>44420</v>
      </c>
      <c r="B16970" t="s">
        <v>7606</v>
      </c>
      <c r="C16970">
        <f>0.798089704187</f>
        <v>0.79808970418699998</v>
      </c>
      <c r="D16970">
        <v>0.98493964482200003</v>
      </c>
      <c r="E16970">
        <v>2.1059999999999999</v>
      </c>
    </row>
    <row r="16971" spans="1:5">
      <c r="A16971" t="s">
        <v>44420</v>
      </c>
      <c r="B16971" t="s">
        <v>7608</v>
      </c>
      <c r="C16971">
        <v>2.4897704947800001</v>
      </c>
      <c r="D16971">
        <v>0.98493964482200003</v>
      </c>
      <c r="E16971">
        <v>2.1059999999999999</v>
      </c>
    </row>
    <row r="16972" spans="1:5">
      <c r="A16972" t="s">
        <v>44421</v>
      </c>
      <c r="B16972" t="s">
        <v>14726</v>
      </c>
      <c r="C16972">
        <f>0.470595625002</f>
        <v>0.47059562500199997</v>
      </c>
      <c r="D16972">
        <v>0.98385814166300001</v>
      </c>
      <c r="E16972">
        <v>23.754000000000001</v>
      </c>
    </row>
    <row r="16973" spans="1:5">
      <c r="A16973" t="s">
        <v>44421</v>
      </c>
      <c r="B16973" t="s">
        <v>14729</v>
      </c>
      <c r="C16973">
        <v>1.2093222186799999</v>
      </c>
      <c r="D16973">
        <v>0.98385814166300001</v>
      </c>
      <c r="E16973">
        <v>23.754000000000001</v>
      </c>
    </row>
    <row r="16974" spans="1:5">
      <c r="A16974" t="s">
        <v>44421</v>
      </c>
      <c r="B16974" t="s">
        <v>14728</v>
      </c>
      <c r="C16974">
        <v>0.12732646109599999</v>
      </c>
      <c r="D16974">
        <v>0.98385814166300001</v>
      </c>
      <c r="E16974">
        <v>23.754000000000001</v>
      </c>
    </row>
    <row r="16975" spans="1:5">
      <c r="A16975" t="s">
        <v>44422</v>
      </c>
      <c r="B16975" t="s">
        <v>5026</v>
      </c>
      <c r="C16975">
        <f>-4.72277748201</f>
        <v>-4.7227774820099997</v>
      </c>
      <c r="D16975">
        <v>0.97388204110099996</v>
      </c>
      <c r="E16975">
        <v>13.272</v>
      </c>
    </row>
    <row r="16976" spans="1:5">
      <c r="A16976" t="s">
        <v>44422</v>
      </c>
      <c r="B16976" t="s">
        <v>5028</v>
      </c>
      <c r="C16976">
        <v>1.4744674446299999</v>
      </c>
      <c r="D16976">
        <v>0.97388204110099996</v>
      </c>
      <c r="E16976">
        <v>13.272</v>
      </c>
    </row>
    <row r="16977" spans="1:5">
      <c r="A16977" t="s">
        <v>44422</v>
      </c>
      <c r="B16977" t="s">
        <v>5031</v>
      </c>
      <c r="C16977">
        <v>0.40590662601100003</v>
      </c>
      <c r="D16977">
        <v>0.97388204110099996</v>
      </c>
      <c r="E16977">
        <v>13.272</v>
      </c>
    </row>
    <row r="16978" spans="1:5">
      <c r="A16978" t="s">
        <v>44422</v>
      </c>
      <c r="B16978" t="s">
        <v>5029</v>
      </c>
      <c r="C16978">
        <v>3.46517484587</v>
      </c>
      <c r="D16978">
        <v>0.97388204110099996</v>
      </c>
      <c r="E16978">
        <v>13.272</v>
      </c>
    </row>
    <row r="16979" spans="1:5">
      <c r="A16979" t="s">
        <v>44422</v>
      </c>
      <c r="B16979" t="s">
        <v>5030</v>
      </c>
      <c r="C16979">
        <v>0.41981980042</v>
      </c>
      <c r="D16979">
        <v>0.97388204110099996</v>
      </c>
      <c r="E16979">
        <v>13.272</v>
      </c>
    </row>
    <row r="16980" spans="1:5">
      <c r="A16980" t="s">
        <v>44423</v>
      </c>
      <c r="B16980" t="s">
        <v>27427</v>
      </c>
      <c r="C16980">
        <f>0</f>
        <v>0</v>
      </c>
      <c r="D16980" t="s">
        <v>106</v>
      </c>
      <c r="E16980">
        <v>4.5839999999999996</v>
      </c>
    </row>
    <row r="16981" spans="1:5">
      <c r="A16981" t="s">
        <v>44423</v>
      </c>
      <c r="B16981" t="s">
        <v>27428</v>
      </c>
      <c r="C16981">
        <v>0</v>
      </c>
      <c r="D16981" t="s">
        <v>106</v>
      </c>
      <c r="E16981">
        <v>4.5839999999999996</v>
      </c>
    </row>
    <row r="16982" spans="1:5">
      <c r="A16982" t="s">
        <v>44423</v>
      </c>
      <c r="B16982" t="s">
        <v>27430</v>
      </c>
      <c r="C16982">
        <f>0</f>
        <v>0</v>
      </c>
      <c r="D16982" t="s">
        <v>106</v>
      </c>
      <c r="E16982">
        <v>4.5839999999999996</v>
      </c>
    </row>
    <row r="16983" spans="1:5">
      <c r="A16983" t="s">
        <v>44423</v>
      </c>
      <c r="B16983" t="s">
        <v>27433</v>
      </c>
      <c r="C16983">
        <f>0</f>
        <v>0</v>
      </c>
      <c r="D16983" t="s">
        <v>106</v>
      </c>
      <c r="E16983">
        <v>4.5839999999999996</v>
      </c>
    </row>
    <row r="16984" spans="1:5">
      <c r="A16984" t="s">
        <v>44423</v>
      </c>
      <c r="B16984" t="s">
        <v>27432</v>
      </c>
      <c r="C16984">
        <f>0</f>
        <v>0</v>
      </c>
      <c r="D16984" t="s">
        <v>106</v>
      </c>
      <c r="E16984">
        <v>4.5839999999999996</v>
      </c>
    </row>
    <row r="16985" spans="1:5">
      <c r="A16985" t="s">
        <v>44424</v>
      </c>
      <c r="B16985" t="s">
        <v>32720</v>
      </c>
      <c r="C16985">
        <v>0.84871054625599995</v>
      </c>
      <c r="D16985">
        <v>0.80341989324499996</v>
      </c>
      <c r="E16985">
        <v>9.0180000000000007</v>
      </c>
    </row>
    <row r="16986" spans="1:5">
      <c r="A16986" t="s">
        <v>44424</v>
      </c>
      <c r="B16986" t="s">
        <v>32715</v>
      </c>
      <c r="C16986">
        <f>0.0753192309298</f>
        <v>7.5319230929800002E-2</v>
      </c>
      <c r="D16986">
        <v>0.80341989324499996</v>
      </c>
      <c r="E16986">
        <v>9.0180000000000007</v>
      </c>
    </row>
    <row r="16987" spans="1:5">
      <c r="A16987" t="s">
        <v>44425</v>
      </c>
      <c r="B16987" t="s">
        <v>12022</v>
      </c>
      <c r="C16987">
        <f>0</f>
        <v>0</v>
      </c>
      <c r="D16987" t="s">
        <v>106</v>
      </c>
      <c r="E16987">
        <v>23.754000000000001</v>
      </c>
    </row>
    <row r="16988" spans="1:5">
      <c r="A16988" t="s">
        <v>44425</v>
      </c>
      <c r="B16988" t="s">
        <v>12023</v>
      </c>
      <c r="C16988">
        <v>0</v>
      </c>
      <c r="D16988" t="s">
        <v>106</v>
      </c>
      <c r="E16988">
        <v>23.754000000000001</v>
      </c>
    </row>
    <row r="16989" spans="1:5">
      <c r="A16989" t="s">
        <v>44425</v>
      </c>
      <c r="B16989" t="s">
        <v>12024</v>
      </c>
      <c r="C16989">
        <f>0</f>
        <v>0</v>
      </c>
      <c r="D16989" t="s">
        <v>106</v>
      </c>
      <c r="E16989">
        <v>23.754000000000001</v>
      </c>
    </row>
    <row r="16990" spans="1:5">
      <c r="A16990" t="s">
        <v>44425</v>
      </c>
      <c r="B16990" t="s">
        <v>12028</v>
      </c>
      <c r="C16990">
        <v>0</v>
      </c>
      <c r="D16990" t="s">
        <v>106</v>
      </c>
      <c r="E16990">
        <v>23.754000000000001</v>
      </c>
    </row>
    <row r="16991" spans="1:5">
      <c r="A16991" t="s">
        <v>44425</v>
      </c>
      <c r="B16991" t="s">
        <v>12026</v>
      </c>
      <c r="C16991">
        <f>0</f>
        <v>0</v>
      </c>
      <c r="D16991" t="s">
        <v>106</v>
      </c>
      <c r="E16991">
        <v>23.754000000000001</v>
      </c>
    </row>
    <row r="16992" spans="1:5">
      <c r="A16992" t="s">
        <v>44425</v>
      </c>
      <c r="B16992" t="s">
        <v>12027</v>
      </c>
      <c r="C16992">
        <f>0</f>
        <v>0</v>
      </c>
      <c r="D16992" t="s">
        <v>106</v>
      </c>
      <c r="E16992">
        <v>23.754000000000001</v>
      </c>
    </row>
    <row r="16993" spans="1:5">
      <c r="A16993" t="s">
        <v>44425</v>
      </c>
      <c r="B16993" t="s">
        <v>12025</v>
      </c>
      <c r="C16993">
        <f>0</f>
        <v>0</v>
      </c>
      <c r="D16993" t="s">
        <v>106</v>
      </c>
      <c r="E16993">
        <v>23.754000000000001</v>
      </c>
    </row>
    <row r="16994" spans="1:5">
      <c r="A16994" t="s">
        <v>44426</v>
      </c>
      <c r="B16994" t="s">
        <v>13579</v>
      </c>
      <c r="C16994">
        <v>0.34359440515799999</v>
      </c>
      <c r="D16994">
        <v>0.67932648719599997</v>
      </c>
      <c r="E16994">
        <v>0</v>
      </c>
    </row>
    <row r="16995" spans="1:5">
      <c r="A16995" t="s">
        <v>44426</v>
      </c>
      <c r="B16995" t="s">
        <v>13578</v>
      </c>
      <c r="C16995">
        <v>7.0880660149400004E-2</v>
      </c>
      <c r="D16995">
        <v>0.67932648719599997</v>
      </c>
      <c r="E16995">
        <v>0</v>
      </c>
    </row>
    <row r="16996" spans="1:5">
      <c r="A16996" t="s">
        <v>44426</v>
      </c>
      <c r="B16996" t="s">
        <v>13583</v>
      </c>
      <c r="C16996">
        <v>0</v>
      </c>
      <c r="D16996">
        <v>0.67932648719599997</v>
      </c>
      <c r="E16996">
        <v>0</v>
      </c>
    </row>
    <row r="16997" spans="1:5">
      <c r="A16997" t="s">
        <v>44426</v>
      </c>
      <c r="B16997" t="s">
        <v>13585</v>
      </c>
      <c r="C16997">
        <v>0</v>
      </c>
      <c r="D16997">
        <v>0.67932648719599997</v>
      </c>
      <c r="E16997">
        <v>0</v>
      </c>
    </row>
    <row r="16998" spans="1:5">
      <c r="A16998" t="s">
        <v>44427</v>
      </c>
      <c r="B16998" t="s">
        <v>12373</v>
      </c>
      <c r="C16998">
        <f>0.518031003536</f>
        <v>0.51803100353599996</v>
      </c>
      <c r="D16998">
        <v>0.94971421031400005</v>
      </c>
      <c r="E16998">
        <v>7.3319999999999999</v>
      </c>
    </row>
    <row r="16999" spans="1:5">
      <c r="A16999" t="s">
        <v>44427</v>
      </c>
      <c r="B16999" t="s">
        <v>12375</v>
      </c>
      <c r="C16999">
        <v>0</v>
      </c>
      <c r="D16999">
        <v>0.94971421031400005</v>
      </c>
      <c r="E16999">
        <v>7.3319999999999999</v>
      </c>
    </row>
    <row r="17000" spans="1:5">
      <c r="A17000" t="s">
        <v>44427</v>
      </c>
      <c r="B17000" t="s">
        <v>12374</v>
      </c>
      <c r="C17000">
        <f>0</f>
        <v>0</v>
      </c>
      <c r="D17000">
        <v>0.94971421031400005</v>
      </c>
      <c r="E17000">
        <v>7.3319999999999999</v>
      </c>
    </row>
    <row r="17001" spans="1:5">
      <c r="A17001" t="s">
        <v>44427</v>
      </c>
      <c r="B17001" t="s">
        <v>12376</v>
      </c>
      <c r="C17001">
        <f>0.525575009988</f>
        <v>0.525575009988</v>
      </c>
      <c r="D17001">
        <v>0.94971421031400005</v>
      </c>
      <c r="E17001">
        <v>7.3319999999999999</v>
      </c>
    </row>
    <row r="17002" spans="1:5">
      <c r="A17002" t="s">
        <v>44427</v>
      </c>
      <c r="B17002" t="s">
        <v>12377</v>
      </c>
      <c r="C17002">
        <v>0.18447483092399999</v>
      </c>
      <c r="D17002">
        <v>0.94971421031400005</v>
      </c>
      <c r="E17002">
        <v>7.3319999999999999</v>
      </c>
    </row>
    <row r="17003" spans="1:5">
      <c r="A17003" t="s">
        <v>44428</v>
      </c>
      <c r="B17003" t="s">
        <v>18663</v>
      </c>
      <c r="C17003">
        <v>0</v>
      </c>
      <c r="D17003" t="s">
        <v>106</v>
      </c>
      <c r="E17003">
        <v>24</v>
      </c>
    </row>
    <row r="17004" spans="1:5">
      <c r="A17004" t="s">
        <v>44428</v>
      </c>
      <c r="B17004" t="s">
        <v>18664</v>
      </c>
      <c r="C17004">
        <v>0</v>
      </c>
      <c r="D17004" t="s">
        <v>106</v>
      </c>
      <c r="E17004">
        <v>24</v>
      </c>
    </row>
    <row r="17005" spans="1:5">
      <c r="A17005" t="s">
        <v>44428</v>
      </c>
      <c r="B17005" t="s">
        <v>18665</v>
      </c>
      <c r="C17005">
        <v>0</v>
      </c>
      <c r="D17005" t="s">
        <v>106</v>
      </c>
      <c r="E17005">
        <v>24</v>
      </c>
    </row>
    <row r="17006" spans="1:5">
      <c r="A17006" t="s">
        <v>44429</v>
      </c>
      <c r="B17006" t="s">
        <v>3988</v>
      </c>
      <c r="C17006">
        <v>0.89539312934299997</v>
      </c>
      <c r="D17006">
        <v>0.97330325523500005</v>
      </c>
      <c r="E17006">
        <v>1.512</v>
      </c>
    </row>
    <row r="17007" spans="1:5">
      <c r="A17007" t="s">
        <v>44429</v>
      </c>
      <c r="B17007" t="s">
        <v>3989</v>
      </c>
      <c r="C17007">
        <v>0</v>
      </c>
      <c r="D17007">
        <v>0.97330325523500005</v>
      </c>
      <c r="E17007">
        <v>1.512</v>
      </c>
    </row>
    <row r="17008" spans="1:5">
      <c r="A17008" t="s">
        <v>44429</v>
      </c>
      <c r="B17008" t="s">
        <v>3991</v>
      </c>
      <c r="C17008">
        <f>0.168055188231</f>
        <v>0.16805518823099999</v>
      </c>
      <c r="D17008">
        <v>0.97330325523500005</v>
      </c>
      <c r="E17008">
        <v>1.512</v>
      </c>
    </row>
    <row r="17009" spans="1:5">
      <c r="A17009" t="s">
        <v>44429</v>
      </c>
      <c r="B17009" t="s">
        <v>3990</v>
      </c>
      <c r="C17009">
        <v>0</v>
      </c>
      <c r="D17009">
        <v>0.97330325523500005</v>
      </c>
      <c r="E17009">
        <v>1.512</v>
      </c>
    </row>
    <row r="17010" spans="1:5">
      <c r="A17010" t="s">
        <v>44429</v>
      </c>
      <c r="B17010" t="s">
        <v>3993</v>
      </c>
      <c r="C17010">
        <v>0</v>
      </c>
      <c r="D17010">
        <v>0.97330325523500005</v>
      </c>
      <c r="E17010">
        <v>1.512</v>
      </c>
    </row>
    <row r="17011" spans="1:5">
      <c r="A17011" t="s">
        <v>44430</v>
      </c>
      <c r="B17011" t="s">
        <v>44431</v>
      </c>
      <c r="C17011">
        <v>0</v>
      </c>
      <c r="D17011" t="s">
        <v>106</v>
      </c>
      <c r="E17011">
        <v>10.08</v>
      </c>
    </row>
    <row r="17012" spans="1:5">
      <c r="A17012" t="s">
        <v>44430</v>
      </c>
      <c r="B17012" t="s">
        <v>44432</v>
      </c>
      <c r="C17012">
        <v>0</v>
      </c>
      <c r="D17012" t="s">
        <v>106</v>
      </c>
      <c r="E17012">
        <v>10.08</v>
      </c>
    </row>
    <row r="17013" spans="1:5">
      <c r="A17013" t="s">
        <v>44430</v>
      </c>
      <c r="B17013" t="s">
        <v>44433</v>
      </c>
      <c r="C17013">
        <v>0</v>
      </c>
      <c r="D17013" t="s">
        <v>106</v>
      </c>
      <c r="E17013">
        <v>10.08</v>
      </c>
    </row>
    <row r="17014" spans="1:5">
      <c r="A17014" t="s">
        <v>44430</v>
      </c>
      <c r="B17014" t="s">
        <v>44434</v>
      </c>
      <c r="C17014">
        <v>0</v>
      </c>
      <c r="D17014" t="s">
        <v>106</v>
      </c>
      <c r="E17014">
        <v>10.08</v>
      </c>
    </row>
    <row r="17015" spans="1:5">
      <c r="A17015" t="s">
        <v>44430</v>
      </c>
      <c r="B17015" t="s">
        <v>44435</v>
      </c>
      <c r="C17015">
        <f>0</f>
        <v>0</v>
      </c>
      <c r="D17015" t="s">
        <v>106</v>
      </c>
      <c r="E17015">
        <v>10.08</v>
      </c>
    </row>
    <row r="17016" spans="1:5">
      <c r="A17016" t="s">
        <v>44430</v>
      </c>
      <c r="B17016" t="s">
        <v>44436</v>
      </c>
      <c r="C17016">
        <f>0</f>
        <v>0</v>
      </c>
      <c r="D17016" t="s">
        <v>106</v>
      </c>
      <c r="E17016">
        <v>10.08</v>
      </c>
    </row>
    <row r="17017" spans="1:5">
      <c r="A17017" t="s">
        <v>44437</v>
      </c>
      <c r="B17017" t="s">
        <v>11061</v>
      </c>
      <c r="C17017">
        <f>0.309506653475</f>
        <v>0.309506653475</v>
      </c>
      <c r="D17017">
        <v>0.80102058799099995</v>
      </c>
      <c r="E17017">
        <v>4.8000000000000001E-2</v>
      </c>
    </row>
    <row r="17018" spans="1:5">
      <c r="A17018" t="s">
        <v>44437</v>
      </c>
      <c r="B17018" t="s">
        <v>11062</v>
      </c>
      <c r="C17018">
        <v>0.79661385047</v>
      </c>
      <c r="D17018">
        <v>0.80102058799099995</v>
      </c>
      <c r="E17018">
        <v>4.8000000000000001E-2</v>
      </c>
    </row>
    <row r="17019" spans="1:5">
      <c r="A17019" t="s">
        <v>44438</v>
      </c>
      <c r="B17019" t="s">
        <v>25385</v>
      </c>
      <c r="C17019">
        <f>0.706419772239</f>
        <v>0.70641977223899999</v>
      </c>
      <c r="D17019">
        <v>0.93872623408699996</v>
      </c>
      <c r="E17019">
        <v>24</v>
      </c>
    </row>
    <row r="17020" spans="1:5">
      <c r="A17020" t="s">
        <v>44438</v>
      </c>
      <c r="B17020" t="s">
        <v>25387</v>
      </c>
      <c r="C17020">
        <f>0.998752879035</f>
        <v>0.99875287903499999</v>
      </c>
      <c r="D17020">
        <v>0.93872623408699996</v>
      </c>
      <c r="E17020">
        <v>24</v>
      </c>
    </row>
    <row r="17021" spans="1:5">
      <c r="A17021" t="s">
        <v>44438</v>
      </c>
      <c r="B17021" t="s">
        <v>25386</v>
      </c>
      <c r="C17021">
        <v>1.74184982198</v>
      </c>
      <c r="D17021">
        <v>0.93872623408699996</v>
      </c>
      <c r="E17021">
        <v>24</v>
      </c>
    </row>
    <row r="17022" spans="1:5">
      <c r="A17022" t="s">
        <v>44438</v>
      </c>
      <c r="B17022" t="s">
        <v>25388</v>
      </c>
      <c r="C17022">
        <v>0.608319731744</v>
      </c>
      <c r="D17022">
        <v>0.93872623408699996</v>
      </c>
      <c r="E17022">
        <v>24</v>
      </c>
    </row>
    <row r="17023" spans="1:5">
      <c r="A17023" t="s">
        <v>44439</v>
      </c>
      <c r="B17023" t="s">
        <v>44440</v>
      </c>
      <c r="C17023">
        <v>0</v>
      </c>
      <c r="D17023" t="s">
        <v>106</v>
      </c>
      <c r="E17023">
        <v>22.571999999999999</v>
      </c>
    </row>
    <row r="17024" spans="1:5">
      <c r="A17024" t="s">
        <v>44439</v>
      </c>
      <c r="B17024" t="s">
        <v>44441</v>
      </c>
      <c r="C17024">
        <v>0</v>
      </c>
      <c r="D17024" t="s">
        <v>106</v>
      </c>
      <c r="E17024">
        <v>22.571999999999999</v>
      </c>
    </row>
    <row r="17025" spans="1:5">
      <c r="A17025" t="s">
        <v>44439</v>
      </c>
      <c r="B17025" t="s">
        <v>44442</v>
      </c>
      <c r="C17025">
        <f>0</f>
        <v>0</v>
      </c>
      <c r="D17025" t="s">
        <v>106</v>
      </c>
      <c r="E17025">
        <v>22.571999999999999</v>
      </c>
    </row>
    <row r="17026" spans="1:5">
      <c r="A17026" t="s">
        <v>44443</v>
      </c>
      <c r="B17026" t="s">
        <v>1607</v>
      </c>
      <c r="C17026">
        <f>0</f>
        <v>0</v>
      </c>
      <c r="D17026">
        <v>0.85341473986299998</v>
      </c>
      <c r="E17026">
        <v>1.452</v>
      </c>
    </row>
    <row r="17027" spans="1:5">
      <c r="A17027" t="s">
        <v>44443</v>
      </c>
      <c r="B17027" t="s">
        <v>1609</v>
      </c>
      <c r="C17027">
        <f>0</f>
        <v>0</v>
      </c>
      <c r="D17027">
        <v>0.85341473986299998</v>
      </c>
      <c r="E17027">
        <v>1.452</v>
      </c>
    </row>
    <row r="17028" spans="1:5">
      <c r="A17028" t="s">
        <v>44443</v>
      </c>
      <c r="B17028" t="s">
        <v>1610</v>
      </c>
      <c r="C17028">
        <f>0.723804739863</f>
        <v>0.72380473986299998</v>
      </c>
      <c r="D17028">
        <v>0.85341473986299998</v>
      </c>
      <c r="E17028">
        <v>1.452</v>
      </c>
    </row>
    <row r="17029" spans="1:5">
      <c r="A17029" t="s">
        <v>44444</v>
      </c>
      <c r="B17029" t="s">
        <v>44445</v>
      </c>
      <c r="C17029">
        <f>0.885718083691</f>
        <v>0.88571808369100002</v>
      </c>
      <c r="D17029">
        <v>0.951194112855</v>
      </c>
      <c r="E17029">
        <v>6.18</v>
      </c>
    </row>
    <row r="17030" spans="1:5">
      <c r="A17030" t="s">
        <v>44444</v>
      </c>
      <c r="B17030" t="s">
        <v>44446</v>
      </c>
      <c r="C17030">
        <f>0.223257065474</f>
        <v>0.22325706547400001</v>
      </c>
      <c r="D17030">
        <v>0.951194112855</v>
      </c>
      <c r="E17030">
        <v>6.18</v>
      </c>
    </row>
    <row r="17031" spans="1:5">
      <c r="A17031" t="s">
        <v>44444</v>
      </c>
      <c r="B17031" t="s">
        <v>44447</v>
      </c>
      <c r="C17031">
        <f>0.0582496140354</f>
        <v>5.8249614035400001E-2</v>
      </c>
      <c r="D17031">
        <v>0.951194112855</v>
      </c>
      <c r="E17031">
        <v>6.18</v>
      </c>
    </row>
    <row r="17032" spans="1:5">
      <c r="A17032" t="s">
        <v>44448</v>
      </c>
      <c r="B17032" t="s">
        <v>9347</v>
      </c>
      <c r="C17032">
        <v>0.13988931593699999</v>
      </c>
      <c r="D17032">
        <v>0.89858710422700006</v>
      </c>
      <c r="E17032">
        <v>4.5839999999999996</v>
      </c>
    </row>
    <row r="17033" spans="1:5">
      <c r="A17033" t="s">
        <v>44448</v>
      </c>
      <c r="B17033" t="s">
        <v>9346</v>
      </c>
      <c r="C17033">
        <v>0.67609684708100004</v>
      </c>
      <c r="D17033">
        <v>0.89858710422700006</v>
      </c>
      <c r="E17033">
        <v>4.5839999999999996</v>
      </c>
    </row>
    <row r="17034" spans="1:5">
      <c r="A17034" t="s">
        <v>44448</v>
      </c>
      <c r="B17034" t="s">
        <v>9351</v>
      </c>
      <c r="C17034">
        <v>0</v>
      </c>
      <c r="D17034">
        <v>0.89858710422700006</v>
      </c>
      <c r="E17034">
        <v>4.5839999999999996</v>
      </c>
    </row>
    <row r="17035" spans="1:5">
      <c r="A17035" t="s">
        <v>44449</v>
      </c>
      <c r="B17035" t="s">
        <v>44450</v>
      </c>
      <c r="C17035">
        <v>7.1970104310999997E-2</v>
      </c>
      <c r="D17035">
        <v>0.71198603381400005</v>
      </c>
      <c r="E17035">
        <v>24</v>
      </c>
    </row>
    <row r="17036" spans="1:5">
      <c r="A17036" t="s">
        <v>44449</v>
      </c>
      <c r="B17036" t="s">
        <v>44451</v>
      </c>
      <c r="C17036">
        <f>0.120056990944</f>
        <v>0.12005699094400001</v>
      </c>
      <c r="D17036">
        <v>0.71198603381400005</v>
      </c>
      <c r="E17036">
        <v>24</v>
      </c>
    </row>
    <row r="17037" spans="1:5">
      <c r="A17037" t="s">
        <v>44449</v>
      </c>
      <c r="B17037" t="s">
        <v>44452</v>
      </c>
      <c r="C17037">
        <f>0</f>
        <v>0</v>
      </c>
      <c r="D17037">
        <v>0.71198603381400005</v>
      </c>
      <c r="E17037">
        <v>24</v>
      </c>
    </row>
    <row r="17038" spans="1:5">
      <c r="A17038" t="s">
        <v>44453</v>
      </c>
      <c r="B17038" t="s">
        <v>44454</v>
      </c>
      <c r="C17038">
        <v>0</v>
      </c>
      <c r="D17038" t="s">
        <v>106</v>
      </c>
      <c r="E17038">
        <v>4.0739999999999998</v>
      </c>
    </row>
    <row r="17039" spans="1:5">
      <c r="A17039" t="s">
        <v>44453</v>
      </c>
      <c r="B17039" t="s">
        <v>44455</v>
      </c>
      <c r="C17039">
        <v>0</v>
      </c>
      <c r="D17039" t="s">
        <v>106</v>
      </c>
      <c r="E17039">
        <v>4.0739999999999998</v>
      </c>
    </row>
    <row r="17040" spans="1:5">
      <c r="A17040" t="s">
        <v>44453</v>
      </c>
      <c r="B17040" t="s">
        <v>44456</v>
      </c>
      <c r="C17040">
        <v>0</v>
      </c>
      <c r="D17040" t="s">
        <v>106</v>
      </c>
      <c r="E17040">
        <v>4.0739999999999998</v>
      </c>
    </row>
    <row r="17041" spans="1:5">
      <c r="A17041" t="s">
        <v>44453</v>
      </c>
      <c r="B17041" t="s">
        <v>44457</v>
      </c>
      <c r="C17041">
        <f>0</f>
        <v>0</v>
      </c>
      <c r="D17041" t="s">
        <v>106</v>
      </c>
      <c r="E17041">
        <v>4.0739999999999998</v>
      </c>
    </row>
    <row r="17042" spans="1:5">
      <c r="A17042" t="s">
        <v>44458</v>
      </c>
      <c r="B17042" t="s">
        <v>44459</v>
      </c>
      <c r="C17042">
        <v>7.7783199316100005E-2</v>
      </c>
      <c r="D17042">
        <v>0.86146876062900002</v>
      </c>
      <c r="E17042">
        <v>5.016</v>
      </c>
    </row>
    <row r="17043" spans="1:5">
      <c r="A17043" t="s">
        <v>44458</v>
      </c>
      <c r="B17043" t="s">
        <v>44460</v>
      </c>
      <c r="C17043">
        <v>0</v>
      </c>
      <c r="D17043">
        <v>0.86146876062900002</v>
      </c>
      <c r="E17043">
        <v>5.016</v>
      </c>
    </row>
    <row r="17044" spans="1:5">
      <c r="A17044" t="s">
        <v>44458</v>
      </c>
      <c r="B17044" t="s">
        <v>44461</v>
      </c>
      <c r="C17044">
        <v>0</v>
      </c>
      <c r="D17044">
        <v>0.86146876062900002</v>
      </c>
      <c r="E17044">
        <v>5.016</v>
      </c>
    </row>
    <row r="17045" spans="1:5">
      <c r="A17045" t="s">
        <v>44458</v>
      </c>
      <c r="B17045" t="s">
        <v>44462</v>
      </c>
      <c r="C17045">
        <v>0</v>
      </c>
      <c r="D17045">
        <v>0.86146876062900002</v>
      </c>
      <c r="E17045">
        <v>5.016</v>
      </c>
    </row>
    <row r="17046" spans="1:5">
      <c r="A17046" t="s">
        <v>44458</v>
      </c>
      <c r="B17046" t="s">
        <v>44463</v>
      </c>
      <c r="C17046">
        <v>0.77863989449600002</v>
      </c>
      <c r="D17046">
        <v>0.86146876062900002</v>
      </c>
      <c r="E17046">
        <v>5.016</v>
      </c>
    </row>
    <row r="17047" spans="1:5">
      <c r="A17047" t="s">
        <v>44458</v>
      </c>
      <c r="B17047" t="s">
        <v>44464</v>
      </c>
      <c r="C17047">
        <v>0</v>
      </c>
      <c r="D17047">
        <v>0.86146876062900002</v>
      </c>
      <c r="E17047">
        <v>5.016</v>
      </c>
    </row>
    <row r="17048" spans="1:5">
      <c r="A17048" t="s">
        <v>44465</v>
      </c>
      <c r="B17048" t="s">
        <v>18948</v>
      </c>
      <c r="C17048">
        <f>0.080368627475</f>
        <v>8.0368627474999996E-2</v>
      </c>
      <c r="D17048">
        <v>0.86013949014199997</v>
      </c>
      <c r="E17048">
        <v>8.1539999999999999</v>
      </c>
    </row>
    <row r="17049" spans="1:5">
      <c r="A17049" t="s">
        <v>44465</v>
      </c>
      <c r="B17049" t="s">
        <v>18950</v>
      </c>
      <c r="C17049">
        <f>0.570617111649</f>
        <v>0.57061711164899998</v>
      </c>
      <c r="D17049">
        <v>0.86013949014199997</v>
      </c>
      <c r="E17049">
        <v>8.1539999999999999</v>
      </c>
    </row>
    <row r="17050" spans="1:5">
      <c r="A17050" t="s">
        <v>44465</v>
      </c>
      <c r="B17050" t="s">
        <v>18955</v>
      </c>
      <c r="C17050">
        <v>0.17752231990600001</v>
      </c>
      <c r="D17050">
        <v>0.86013949014199997</v>
      </c>
      <c r="E17050">
        <v>8.1539999999999999</v>
      </c>
    </row>
    <row r="17051" spans="1:5">
      <c r="A17051" t="s">
        <v>44465</v>
      </c>
      <c r="B17051" t="s">
        <v>18951</v>
      </c>
      <c r="C17051">
        <f>0</f>
        <v>0</v>
      </c>
      <c r="D17051">
        <v>0.86013949014199997</v>
      </c>
      <c r="E17051">
        <v>8.1539999999999999</v>
      </c>
    </row>
    <row r="17052" spans="1:5">
      <c r="A17052" t="s">
        <v>44465</v>
      </c>
      <c r="B17052" t="s">
        <v>18953</v>
      </c>
      <c r="C17052">
        <f>0.00514044301819</f>
        <v>5.1404430181899996E-3</v>
      </c>
      <c r="D17052">
        <v>0.86013949014199997</v>
      </c>
      <c r="E17052">
        <v>8.1539999999999999</v>
      </c>
    </row>
    <row r="17053" spans="1:5">
      <c r="A17053" t="s">
        <v>44466</v>
      </c>
      <c r="B17053" t="s">
        <v>44467</v>
      </c>
      <c r="C17053">
        <v>0</v>
      </c>
      <c r="D17053">
        <v>0.83110099407000004</v>
      </c>
      <c r="E17053">
        <v>0</v>
      </c>
    </row>
    <row r="17054" spans="1:5">
      <c r="A17054" t="s">
        <v>44466</v>
      </c>
      <c r="B17054" t="s">
        <v>44468</v>
      </c>
      <c r="C17054">
        <f>0</f>
        <v>0</v>
      </c>
      <c r="D17054">
        <v>0.83110099407000004</v>
      </c>
      <c r="E17054">
        <v>0</v>
      </c>
    </row>
    <row r="17055" spans="1:5">
      <c r="A17055" t="s">
        <v>44466</v>
      </c>
      <c r="B17055" t="s">
        <v>44469</v>
      </c>
      <c r="C17055">
        <f>0.63749099407</f>
        <v>0.63749099406999998</v>
      </c>
      <c r="D17055">
        <v>0.83110099407000004</v>
      </c>
      <c r="E17055">
        <v>0</v>
      </c>
    </row>
    <row r="17056" spans="1:5">
      <c r="A17056" t="s">
        <v>44466</v>
      </c>
      <c r="B17056" t="s">
        <v>44470</v>
      </c>
      <c r="C17056">
        <f>0</f>
        <v>0</v>
      </c>
      <c r="D17056">
        <v>0.83110099407000004</v>
      </c>
      <c r="E17056">
        <v>0</v>
      </c>
    </row>
    <row r="17057" spans="1:5">
      <c r="A17057" t="s">
        <v>44466</v>
      </c>
      <c r="B17057" t="s">
        <v>44471</v>
      </c>
      <c r="C17057">
        <f>0</f>
        <v>0</v>
      </c>
      <c r="D17057">
        <v>0.83110099407000004</v>
      </c>
      <c r="E17057">
        <v>0</v>
      </c>
    </row>
    <row r="17058" spans="1:5">
      <c r="A17058" t="s">
        <v>44466</v>
      </c>
      <c r="B17058" t="s">
        <v>44472</v>
      </c>
      <c r="C17058">
        <v>0</v>
      </c>
      <c r="D17058">
        <v>0.83110099407000004</v>
      </c>
      <c r="E17058">
        <v>0</v>
      </c>
    </row>
    <row r="17059" spans="1:5">
      <c r="A17059" t="s">
        <v>44466</v>
      </c>
      <c r="B17059" t="s">
        <v>44473</v>
      </c>
      <c r="C17059">
        <f>0</f>
        <v>0</v>
      </c>
      <c r="D17059">
        <v>0.83110099407000004</v>
      </c>
      <c r="E17059">
        <v>0</v>
      </c>
    </row>
    <row r="17060" spans="1:5">
      <c r="A17060" t="s">
        <v>44474</v>
      </c>
      <c r="B17060" t="s">
        <v>23067</v>
      </c>
      <c r="C17060">
        <v>0.33177228413900001</v>
      </c>
      <c r="D17060">
        <v>0.97755158657300001</v>
      </c>
      <c r="E17060">
        <v>9.468</v>
      </c>
    </row>
    <row r="17061" spans="1:5">
      <c r="A17061" t="s">
        <v>44474</v>
      </c>
      <c r="B17061" t="s">
        <v>23069</v>
      </c>
      <c r="C17061">
        <v>0.79050659474499996</v>
      </c>
      <c r="D17061">
        <v>0.97755158657300001</v>
      </c>
      <c r="E17061">
        <v>9.468</v>
      </c>
    </row>
    <row r="17062" spans="1:5">
      <c r="A17062" t="s">
        <v>44474</v>
      </c>
      <c r="B17062" t="s">
        <v>23068</v>
      </c>
      <c r="C17062">
        <v>9.0107084015599997E-2</v>
      </c>
      <c r="D17062">
        <v>0.97755158657300001</v>
      </c>
      <c r="E17062">
        <v>9.468</v>
      </c>
    </row>
    <row r="17063" spans="1:5">
      <c r="A17063" t="s">
        <v>44475</v>
      </c>
      <c r="B17063" t="s">
        <v>22624</v>
      </c>
      <c r="C17063">
        <v>0.49772657448899998</v>
      </c>
      <c r="D17063">
        <v>0.88773440431499995</v>
      </c>
      <c r="E17063">
        <v>4.5839999999999996</v>
      </c>
    </row>
    <row r="17064" spans="1:5">
      <c r="A17064" t="s">
        <v>44475</v>
      </c>
      <c r="B17064" t="s">
        <v>22626</v>
      </c>
      <c r="C17064">
        <f>0.825301861209</f>
        <v>0.82530186120899995</v>
      </c>
      <c r="D17064">
        <v>0.88773440431499995</v>
      </c>
      <c r="E17064">
        <v>4.5839999999999996</v>
      </c>
    </row>
    <row r="17065" spans="1:5">
      <c r="A17065" t="s">
        <v>44475</v>
      </c>
      <c r="B17065" t="s">
        <v>22627</v>
      </c>
      <c r="C17065">
        <f>0</f>
        <v>0</v>
      </c>
      <c r="D17065">
        <v>0.88773440431499995</v>
      </c>
      <c r="E17065">
        <v>4.5839999999999996</v>
      </c>
    </row>
    <row r="17066" spans="1:5">
      <c r="A17066" t="s">
        <v>44476</v>
      </c>
      <c r="B17066" t="s">
        <v>3712</v>
      </c>
      <c r="C17066">
        <v>0.17040756962799999</v>
      </c>
      <c r="D17066">
        <v>0.88211642496599996</v>
      </c>
      <c r="E17066">
        <v>24</v>
      </c>
    </row>
    <row r="17067" spans="1:5">
      <c r="A17067" t="s">
        <v>44476</v>
      </c>
      <c r="B17067" t="s">
        <v>3713</v>
      </c>
      <c r="C17067">
        <v>0</v>
      </c>
      <c r="D17067">
        <v>0.88211642496599996</v>
      </c>
      <c r="E17067">
        <v>24</v>
      </c>
    </row>
    <row r="17068" spans="1:5">
      <c r="A17068" t="s">
        <v>44476</v>
      </c>
      <c r="B17068" t="s">
        <v>3710</v>
      </c>
      <c r="C17068">
        <v>0.70215754253899998</v>
      </c>
      <c r="D17068">
        <v>0.88211642496599996</v>
      </c>
      <c r="E17068">
        <v>24</v>
      </c>
    </row>
    <row r="17069" spans="1:5">
      <c r="A17069" t="s">
        <v>44477</v>
      </c>
      <c r="B17069" t="s">
        <v>44478</v>
      </c>
      <c r="C17069">
        <v>0</v>
      </c>
      <c r="D17069">
        <v>0.88384127669099999</v>
      </c>
      <c r="E17069">
        <v>10.554</v>
      </c>
    </row>
    <row r="17070" spans="1:5">
      <c r="A17070" t="s">
        <v>44477</v>
      </c>
      <c r="B17070" t="s">
        <v>44479</v>
      </c>
      <c r="C17070">
        <f>0.653431276691</f>
        <v>0.65343127669099998</v>
      </c>
      <c r="D17070">
        <v>0.88384127669099999</v>
      </c>
      <c r="E17070">
        <v>10.554</v>
      </c>
    </row>
    <row r="17071" spans="1:5">
      <c r="A17071" t="s">
        <v>44477</v>
      </c>
      <c r="B17071" t="s">
        <v>44480</v>
      </c>
      <c r="C17071">
        <v>0</v>
      </c>
      <c r="D17071">
        <v>0.88384127669099999</v>
      </c>
      <c r="E17071">
        <v>10.554</v>
      </c>
    </row>
    <row r="17072" spans="1:5">
      <c r="A17072" t="s">
        <v>44477</v>
      </c>
      <c r="B17072" t="s">
        <v>44481</v>
      </c>
      <c r="C17072">
        <v>0</v>
      </c>
      <c r="D17072">
        <v>0.88384127669099999</v>
      </c>
      <c r="E17072">
        <v>10.554</v>
      </c>
    </row>
    <row r="17073" spans="1:5">
      <c r="A17073" t="s">
        <v>44482</v>
      </c>
      <c r="B17073" t="s">
        <v>24276</v>
      </c>
      <c r="C17073">
        <v>0.57822299067600003</v>
      </c>
      <c r="D17073">
        <v>0.63583299067599997</v>
      </c>
      <c r="E17073">
        <v>6.3</v>
      </c>
    </row>
    <row r="17074" spans="1:5">
      <c r="A17074" t="s">
        <v>44482</v>
      </c>
      <c r="B17074" t="s">
        <v>24277</v>
      </c>
      <c r="C17074">
        <v>0</v>
      </c>
      <c r="D17074">
        <v>0.63583299067599997</v>
      </c>
      <c r="E17074">
        <v>6.3</v>
      </c>
    </row>
    <row r="17075" spans="1:5">
      <c r="A17075" t="s">
        <v>44483</v>
      </c>
      <c r="B17075" t="s">
        <v>1011</v>
      </c>
      <c r="C17075">
        <v>1.20180643242</v>
      </c>
      <c r="D17075">
        <v>0.99014300762399998</v>
      </c>
      <c r="E17075">
        <v>24</v>
      </c>
    </row>
    <row r="17076" spans="1:5">
      <c r="A17076" t="s">
        <v>44483</v>
      </c>
      <c r="B17076" t="s">
        <v>1010</v>
      </c>
      <c r="C17076">
        <v>0.243187234679</v>
      </c>
      <c r="D17076">
        <v>0.99014300762399998</v>
      </c>
      <c r="E17076">
        <v>24</v>
      </c>
    </row>
    <row r="17077" spans="1:5">
      <c r="A17077" t="s">
        <v>44483</v>
      </c>
      <c r="B17077" t="s">
        <v>1014</v>
      </c>
      <c r="C17077">
        <f>0.443318183824</f>
        <v>0.44331818382400001</v>
      </c>
      <c r="D17077">
        <v>0.99014300762399998</v>
      </c>
      <c r="E17077">
        <v>24</v>
      </c>
    </row>
    <row r="17078" spans="1:5">
      <c r="A17078" t="s">
        <v>44483</v>
      </c>
      <c r="B17078" t="s">
        <v>1009</v>
      </c>
      <c r="C17078">
        <f>-1.00679591708</f>
        <v>-1.00679591708</v>
      </c>
      <c r="D17078">
        <v>0.99014300762399998</v>
      </c>
      <c r="E17078">
        <v>24</v>
      </c>
    </row>
    <row r="17079" spans="1:5">
      <c r="A17079" t="s">
        <v>44483</v>
      </c>
      <c r="B17079" t="s">
        <v>1012</v>
      </c>
      <c r="C17079">
        <f>0.42505039494</f>
        <v>0.42505039494000002</v>
      </c>
      <c r="D17079">
        <v>0.99014300762399998</v>
      </c>
      <c r="E17079">
        <v>24</v>
      </c>
    </row>
    <row r="17080" spans="1:5">
      <c r="A17080" t="s">
        <v>44484</v>
      </c>
      <c r="B17080" t="s">
        <v>44485</v>
      </c>
      <c r="C17080">
        <v>0.79517042579999997</v>
      </c>
      <c r="D17080">
        <v>0.89758042579999997</v>
      </c>
      <c r="E17080">
        <v>2.88</v>
      </c>
    </row>
    <row r="17081" spans="1:5">
      <c r="A17081" t="s">
        <v>44484</v>
      </c>
      <c r="B17081" t="s">
        <v>44486</v>
      </c>
      <c r="C17081">
        <f>0</f>
        <v>0</v>
      </c>
      <c r="D17081">
        <v>0.89758042579999997</v>
      </c>
      <c r="E17081">
        <v>2.88</v>
      </c>
    </row>
    <row r="17082" spans="1:5">
      <c r="A17082" t="s">
        <v>44487</v>
      </c>
      <c r="B17082" t="s">
        <v>20477</v>
      </c>
      <c r="C17082">
        <v>0</v>
      </c>
      <c r="D17082" t="s">
        <v>106</v>
      </c>
      <c r="E17082">
        <v>1.6379999999999999</v>
      </c>
    </row>
    <row r="17083" spans="1:5">
      <c r="A17083" t="s">
        <v>44487</v>
      </c>
      <c r="B17083" t="s">
        <v>20479</v>
      </c>
      <c r="C17083">
        <v>0</v>
      </c>
      <c r="D17083" t="s">
        <v>106</v>
      </c>
      <c r="E17083">
        <v>1.6379999999999999</v>
      </c>
    </row>
    <row r="17084" spans="1:5">
      <c r="A17084" t="s">
        <v>44488</v>
      </c>
      <c r="B17084" t="s">
        <v>29112</v>
      </c>
      <c r="C17084">
        <f>0</f>
        <v>0</v>
      </c>
      <c r="D17084" t="s">
        <v>106</v>
      </c>
      <c r="E17084">
        <v>24</v>
      </c>
    </row>
    <row r="17085" spans="1:5">
      <c r="A17085" t="s">
        <v>44488</v>
      </c>
      <c r="B17085" t="s">
        <v>29118</v>
      </c>
      <c r="C17085">
        <f>0</f>
        <v>0</v>
      </c>
      <c r="D17085" t="s">
        <v>106</v>
      </c>
      <c r="E17085">
        <v>24</v>
      </c>
    </row>
    <row r="17086" spans="1:5">
      <c r="A17086" t="s">
        <v>44488</v>
      </c>
      <c r="B17086" t="s">
        <v>29116</v>
      </c>
      <c r="C17086">
        <f>0</f>
        <v>0</v>
      </c>
      <c r="D17086" t="s">
        <v>106</v>
      </c>
      <c r="E17086">
        <v>24</v>
      </c>
    </row>
    <row r="17087" spans="1:5">
      <c r="A17087" t="s">
        <v>44488</v>
      </c>
      <c r="B17087" t="s">
        <v>29114</v>
      </c>
      <c r="C17087">
        <f>0</f>
        <v>0</v>
      </c>
      <c r="D17087" t="s">
        <v>106</v>
      </c>
      <c r="E17087">
        <v>24</v>
      </c>
    </row>
    <row r="17088" spans="1:5">
      <c r="A17088" t="s">
        <v>44488</v>
      </c>
      <c r="B17088" t="s">
        <v>29117</v>
      </c>
      <c r="C17088">
        <f>0</f>
        <v>0</v>
      </c>
      <c r="D17088" t="s">
        <v>106</v>
      </c>
      <c r="E17088">
        <v>24</v>
      </c>
    </row>
    <row r="17089" spans="1:5">
      <c r="A17089" t="s">
        <v>44488</v>
      </c>
      <c r="B17089" t="s">
        <v>29119</v>
      </c>
      <c r="C17089">
        <f>0</f>
        <v>0</v>
      </c>
      <c r="D17089" t="s">
        <v>106</v>
      </c>
      <c r="E17089">
        <v>24</v>
      </c>
    </row>
    <row r="17090" spans="1:5">
      <c r="A17090" t="s">
        <v>44488</v>
      </c>
      <c r="B17090" t="s">
        <v>29115</v>
      </c>
      <c r="C17090">
        <f>0</f>
        <v>0</v>
      </c>
      <c r="D17090" t="s">
        <v>106</v>
      </c>
      <c r="E17090">
        <v>24</v>
      </c>
    </row>
    <row r="17091" spans="1:5">
      <c r="A17091" t="s">
        <v>44488</v>
      </c>
      <c r="B17091" t="s">
        <v>29120</v>
      </c>
      <c r="C17091">
        <f>0</f>
        <v>0</v>
      </c>
      <c r="D17091" t="s">
        <v>106</v>
      </c>
      <c r="E17091">
        <v>24</v>
      </c>
    </row>
    <row r="17092" spans="1:5">
      <c r="A17092" t="s">
        <v>44489</v>
      </c>
      <c r="B17092" t="s">
        <v>44490</v>
      </c>
      <c r="C17092">
        <v>0</v>
      </c>
      <c r="D17092" t="s">
        <v>106</v>
      </c>
      <c r="E17092">
        <v>24</v>
      </c>
    </row>
    <row r="17093" spans="1:5">
      <c r="A17093" t="s">
        <v>44489</v>
      </c>
      <c r="B17093" t="s">
        <v>44491</v>
      </c>
      <c r="C17093">
        <f>0</f>
        <v>0</v>
      </c>
      <c r="D17093" t="s">
        <v>106</v>
      </c>
      <c r="E17093">
        <v>24</v>
      </c>
    </row>
    <row r="17094" spans="1:5">
      <c r="A17094" t="s">
        <v>44492</v>
      </c>
      <c r="B17094" t="s">
        <v>44493</v>
      </c>
      <c r="C17094">
        <v>0</v>
      </c>
      <c r="D17094">
        <v>0.50580249819699996</v>
      </c>
      <c r="E17094">
        <v>20.07</v>
      </c>
    </row>
    <row r="17095" spans="1:5">
      <c r="A17095" t="s">
        <v>44492</v>
      </c>
      <c r="B17095" t="s">
        <v>44494</v>
      </c>
      <c r="C17095">
        <v>0.37619249819700001</v>
      </c>
      <c r="D17095">
        <v>0.50580249819699996</v>
      </c>
      <c r="E17095">
        <v>20.07</v>
      </c>
    </row>
    <row r="17096" spans="1:5">
      <c r="A17096" t="s">
        <v>44495</v>
      </c>
      <c r="B17096" t="s">
        <v>44496</v>
      </c>
      <c r="C17096">
        <v>0</v>
      </c>
      <c r="D17096">
        <v>0.67059085437999999</v>
      </c>
      <c r="E17096">
        <v>12.215999999999999</v>
      </c>
    </row>
    <row r="17097" spans="1:5">
      <c r="A17097" t="s">
        <v>44495</v>
      </c>
      <c r="B17097" t="s">
        <v>44497</v>
      </c>
      <c r="C17097">
        <f>0</f>
        <v>0</v>
      </c>
      <c r="D17097">
        <v>0.67059085437999999</v>
      </c>
      <c r="E17097">
        <v>12.215999999999999</v>
      </c>
    </row>
    <row r="17098" spans="1:5">
      <c r="A17098" t="s">
        <v>44495</v>
      </c>
      <c r="B17098" t="s">
        <v>44498</v>
      </c>
      <c r="C17098">
        <v>0.41389327940800003</v>
      </c>
      <c r="D17098">
        <v>0.67059085437999999</v>
      </c>
      <c r="E17098">
        <v>12.215999999999999</v>
      </c>
    </row>
    <row r="17099" spans="1:5">
      <c r="A17099" t="s">
        <v>44495</v>
      </c>
      <c r="B17099" t="s">
        <v>44499</v>
      </c>
      <c r="C17099">
        <f>0</f>
        <v>0</v>
      </c>
      <c r="D17099">
        <v>0.67059085437999999</v>
      </c>
      <c r="E17099">
        <v>12.215999999999999</v>
      </c>
    </row>
    <row r="17100" spans="1:5">
      <c r="A17100" t="s">
        <v>44495</v>
      </c>
      <c r="B17100" t="s">
        <v>44500</v>
      </c>
      <c r="C17100">
        <v>9.6388179394599996E-2</v>
      </c>
      <c r="D17100">
        <v>0.67059085437999999</v>
      </c>
      <c r="E17100">
        <v>12.215999999999999</v>
      </c>
    </row>
    <row r="17101" spans="1:5">
      <c r="A17101" t="s">
        <v>44495</v>
      </c>
      <c r="B17101" t="s">
        <v>44501</v>
      </c>
      <c r="C17101">
        <f>0</f>
        <v>0</v>
      </c>
      <c r="D17101">
        <v>0.67059085437999999</v>
      </c>
      <c r="E17101">
        <v>12.215999999999999</v>
      </c>
    </row>
    <row r="17102" spans="1:5">
      <c r="A17102" t="s">
        <v>44502</v>
      </c>
      <c r="B17102" t="s">
        <v>44503</v>
      </c>
      <c r="C17102">
        <v>0</v>
      </c>
      <c r="D17102" t="s">
        <v>106</v>
      </c>
      <c r="E17102">
        <v>0</v>
      </c>
    </row>
    <row r="17103" spans="1:5">
      <c r="A17103" t="s">
        <v>44502</v>
      </c>
      <c r="B17103" t="s">
        <v>44504</v>
      </c>
      <c r="C17103">
        <f>0</f>
        <v>0</v>
      </c>
      <c r="D17103" t="s">
        <v>106</v>
      </c>
      <c r="E17103">
        <v>0</v>
      </c>
    </row>
    <row r="17104" spans="1:5">
      <c r="A17104" t="s">
        <v>44502</v>
      </c>
      <c r="B17104" t="s">
        <v>44505</v>
      </c>
      <c r="C17104">
        <v>0</v>
      </c>
      <c r="D17104" t="s">
        <v>106</v>
      </c>
      <c r="E17104">
        <v>0</v>
      </c>
    </row>
    <row r="17105" spans="1:5">
      <c r="A17105" t="s">
        <v>44502</v>
      </c>
      <c r="B17105" t="s">
        <v>44506</v>
      </c>
      <c r="C17105">
        <v>0</v>
      </c>
      <c r="D17105" t="s">
        <v>106</v>
      </c>
      <c r="E17105">
        <v>0</v>
      </c>
    </row>
    <row r="17106" spans="1:5">
      <c r="A17106" t="s">
        <v>44502</v>
      </c>
      <c r="B17106" t="s">
        <v>44507</v>
      </c>
      <c r="C17106">
        <f>0</f>
        <v>0</v>
      </c>
      <c r="D17106" t="s">
        <v>106</v>
      </c>
      <c r="E17106">
        <v>0</v>
      </c>
    </row>
    <row r="17107" spans="1:5">
      <c r="A17107" t="s">
        <v>44508</v>
      </c>
      <c r="B17107" t="s">
        <v>12297</v>
      </c>
      <c r="C17107">
        <v>0</v>
      </c>
      <c r="D17107" t="s">
        <v>106</v>
      </c>
      <c r="E17107">
        <v>2.4780000000000002</v>
      </c>
    </row>
    <row r="17108" spans="1:5">
      <c r="A17108" t="s">
        <v>44508</v>
      </c>
      <c r="B17108" t="s">
        <v>12302</v>
      </c>
      <c r="C17108">
        <v>0</v>
      </c>
      <c r="D17108" t="s">
        <v>106</v>
      </c>
      <c r="E17108">
        <v>2.4780000000000002</v>
      </c>
    </row>
    <row r="17109" spans="1:5">
      <c r="A17109" t="s">
        <v>44508</v>
      </c>
      <c r="B17109" t="s">
        <v>12299</v>
      </c>
      <c r="C17109">
        <v>0</v>
      </c>
      <c r="D17109" t="s">
        <v>106</v>
      </c>
      <c r="E17109">
        <v>2.4780000000000002</v>
      </c>
    </row>
    <row r="17110" spans="1:5">
      <c r="A17110" t="s">
        <v>44508</v>
      </c>
      <c r="B17110" t="s">
        <v>12296</v>
      </c>
      <c r="C17110">
        <v>0</v>
      </c>
      <c r="D17110" t="s">
        <v>106</v>
      </c>
      <c r="E17110">
        <v>2.4780000000000002</v>
      </c>
    </row>
    <row r="17111" spans="1:5">
      <c r="A17111" t="s">
        <v>44508</v>
      </c>
      <c r="B17111" t="s">
        <v>12300</v>
      </c>
      <c r="C17111">
        <v>0</v>
      </c>
      <c r="D17111" t="s">
        <v>106</v>
      </c>
      <c r="E17111">
        <v>2.4780000000000002</v>
      </c>
    </row>
    <row r="17112" spans="1:5">
      <c r="A17112" t="s">
        <v>44508</v>
      </c>
      <c r="B17112" t="s">
        <v>12301</v>
      </c>
      <c r="C17112">
        <v>0</v>
      </c>
      <c r="D17112" t="s">
        <v>106</v>
      </c>
      <c r="E17112">
        <v>2.4780000000000002</v>
      </c>
    </row>
    <row r="17113" spans="1:5">
      <c r="A17113" t="s">
        <v>44508</v>
      </c>
      <c r="B17113" t="s">
        <v>12298</v>
      </c>
      <c r="C17113">
        <v>0</v>
      </c>
      <c r="D17113" t="s">
        <v>106</v>
      </c>
      <c r="E17113">
        <v>2.4780000000000002</v>
      </c>
    </row>
    <row r="17114" spans="1:5">
      <c r="A17114" t="s">
        <v>44509</v>
      </c>
      <c r="B17114" t="s">
        <v>32900</v>
      </c>
      <c r="C17114">
        <v>0.29216457972799997</v>
      </c>
      <c r="D17114">
        <v>0.70177457972799995</v>
      </c>
      <c r="E17114">
        <v>23.754000000000001</v>
      </c>
    </row>
    <row r="17115" spans="1:5">
      <c r="A17115" t="s">
        <v>44509</v>
      </c>
      <c r="B17115" t="s">
        <v>32902</v>
      </c>
      <c r="C17115">
        <f>0</f>
        <v>0</v>
      </c>
      <c r="D17115">
        <v>0.70177457972799995</v>
      </c>
      <c r="E17115">
        <v>23.754000000000001</v>
      </c>
    </row>
    <row r="17116" spans="1:5">
      <c r="A17116" t="s">
        <v>44509</v>
      </c>
      <c r="B17116" t="s">
        <v>32905</v>
      </c>
      <c r="C17116">
        <f>0</f>
        <v>0</v>
      </c>
      <c r="D17116">
        <v>0.70177457972799995</v>
      </c>
      <c r="E17116">
        <v>23.754000000000001</v>
      </c>
    </row>
    <row r="17117" spans="1:5">
      <c r="A17117" t="s">
        <v>44509</v>
      </c>
      <c r="B17117" t="s">
        <v>32904</v>
      </c>
      <c r="C17117">
        <f>0</f>
        <v>0</v>
      </c>
      <c r="D17117">
        <v>0.70177457972799995</v>
      </c>
      <c r="E17117">
        <v>23.754000000000001</v>
      </c>
    </row>
    <row r="17118" spans="1:5">
      <c r="A17118" t="s">
        <v>44510</v>
      </c>
      <c r="B17118" t="s">
        <v>3664</v>
      </c>
      <c r="C17118">
        <v>0</v>
      </c>
      <c r="D17118">
        <v>0.85279364811299996</v>
      </c>
      <c r="E17118">
        <v>1.512</v>
      </c>
    </row>
    <row r="17119" spans="1:5">
      <c r="A17119" t="s">
        <v>44510</v>
      </c>
      <c r="B17119" t="s">
        <v>3670</v>
      </c>
      <c r="C17119">
        <f>0.597599256621</f>
        <v>0.597599256621</v>
      </c>
      <c r="D17119">
        <v>0.85279364811299996</v>
      </c>
      <c r="E17119">
        <v>1.512</v>
      </c>
    </row>
    <row r="17120" spans="1:5">
      <c r="A17120" t="s">
        <v>44510</v>
      </c>
      <c r="B17120" t="s">
        <v>3668</v>
      </c>
      <c r="C17120">
        <f>0</f>
        <v>0</v>
      </c>
      <c r="D17120">
        <v>0.85279364811299996</v>
      </c>
      <c r="E17120">
        <v>1.512</v>
      </c>
    </row>
    <row r="17121" spans="1:5">
      <c r="A17121" t="s">
        <v>44510</v>
      </c>
      <c r="B17121" t="s">
        <v>3671</v>
      </c>
      <c r="C17121">
        <f>0.132102771289</f>
        <v>0.132102771289</v>
      </c>
      <c r="D17121">
        <v>0.85279364811299996</v>
      </c>
      <c r="E17121">
        <v>1.512</v>
      </c>
    </row>
    <row r="17122" spans="1:5">
      <c r="A17122" t="s">
        <v>44510</v>
      </c>
      <c r="B17122" t="s">
        <v>3669</v>
      </c>
      <c r="C17122">
        <v>0</v>
      </c>
      <c r="D17122">
        <v>0.85279364811299996</v>
      </c>
      <c r="E17122">
        <v>1.512</v>
      </c>
    </row>
    <row r="17123" spans="1:5">
      <c r="A17123" t="s">
        <v>44511</v>
      </c>
      <c r="B17123" t="s">
        <v>44512</v>
      </c>
      <c r="C17123">
        <v>0.794844748047</v>
      </c>
      <c r="D17123">
        <v>0.98140493122799999</v>
      </c>
      <c r="E17123">
        <v>1.452</v>
      </c>
    </row>
    <row r="17124" spans="1:5">
      <c r="A17124" t="s">
        <v>44511</v>
      </c>
      <c r="B17124" t="s">
        <v>44513</v>
      </c>
      <c r="C17124">
        <v>0.16953302254800001</v>
      </c>
      <c r="D17124">
        <v>0.98140493122799999</v>
      </c>
      <c r="E17124">
        <v>1.452</v>
      </c>
    </row>
    <row r="17125" spans="1:5">
      <c r="A17125" t="s">
        <v>44511</v>
      </c>
      <c r="B17125" t="s">
        <v>44514</v>
      </c>
      <c r="C17125">
        <v>0</v>
      </c>
      <c r="D17125">
        <v>0.98140493122799999</v>
      </c>
      <c r="E17125">
        <v>1.452</v>
      </c>
    </row>
    <row r="17126" spans="1:5">
      <c r="A17126" t="s">
        <v>44511</v>
      </c>
      <c r="B17126" t="s">
        <v>44515</v>
      </c>
      <c r="C17126">
        <f>0</f>
        <v>0</v>
      </c>
      <c r="D17126">
        <v>0.98140493122799999</v>
      </c>
      <c r="E17126">
        <v>1.452</v>
      </c>
    </row>
    <row r="17127" spans="1:5">
      <c r="A17127" t="s">
        <v>44516</v>
      </c>
      <c r="B17127" t="s">
        <v>9991</v>
      </c>
      <c r="C17127">
        <v>0.66463854975799996</v>
      </c>
      <c r="D17127">
        <v>0.77130916178599995</v>
      </c>
      <c r="E17127">
        <v>1.512</v>
      </c>
    </row>
    <row r="17128" spans="1:5">
      <c r="A17128" t="s">
        <v>44516</v>
      </c>
      <c r="B17128" t="s">
        <v>9992</v>
      </c>
      <c r="C17128">
        <f>0.383870752178</f>
        <v>0.38387075217799999</v>
      </c>
      <c r="D17128">
        <v>0.77130916178599995</v>
      </c>
      <c r="E17128">
        <v>1.512</v>
      </c>
    </row>
    <row r="17129" spans="1:5">
      <c r="A17129" t="s">
        <v>44517</v>
      </c>
      <c r="B17129" t="s">
        <v>30857</v>
      </c>
      <c r="C17129">
        <f>0</f>
        <v>0</v>
      </c>
      <c r="D17129" t="s">
        <v>106</v>
      </c>
      <c r="E17129">
        <v>1.2E-2</v>
      </c>
    </row>
    <row r="17130" spans="1:5">
      <c r="A17130" t="s">
        <v>44517</v>
      </c>
      <c r="B17130" t="s">
        <v>30861</v>
      </c>
      <c r="C17130">
        <v>0</v>
      </c>
      <c r="D17130" t="s">
        <v>106</v>
      </c>
      <c r="E17130">
        <v>1.2E-2</v>
      </c>
    </row>
    <row r="17131" spans="1:5">
      <c r="A17131" t="s">
        <v>44517</v>
      </c>
      <c r="B17131" t="s">
        <v>30860</v>
      </c>
      <c r="C17131">
        <v>0</v>
      </c>
      <c r="D17131" t="s">
        <v>106</v>
      </c>
      <c r="E17131">
        <v>1.2E-2</v>
      </c>
    </row>
    <row r="17132" spans="1:5">
      <c r="A17132" t="s">
        <v>44518</v>
      </c>
      <c r="B17132" t="s">
        <v>13541</v>
      </c>
      <c r="C17132">
        <v>0</v>
      </c>
      <c r="D17132" t="s">
        <v>106</v>
      </c>
      <c r="E17132">
        <v>0</v>
      </c>
    </row>
    <row r="17133" spans="1:5">
      <c r="A17133" t="s">
        <v>44518</v>
      </c>
      <c r="B17133" t="s">
        <v>13544</v>
      </c>
      <c r="C17133">
        <v>0</v>
      </c>
      <c r="D17133" t="s">
        <v>106</v>
      </c>
      <c r="E17133">
        <v>0</v>
      </c>
    </row>
    <row r="17134" spans="1:5">
      <c r="A17134" t="s">
        <v>44518</v>
      </c>
      <c r="B17134" t="s">
        <v>13543</v>
      </c>
      <c r="C17134">
        <f>0</f>
        <v>0</v>
      </c>
      <c r="D17134" t="s">
        <v>106</v>
      </c>
      <c r="E17134">
        <v>0</v>
      </c>
    </row>
    <row r="17135" spans="1:5">
      <c r="A17135" t="s">
        <v>44519</v>
      </c>
      <c r="B17135" t="s">
        <v>44520</v>
      </c>
      <c r="C17135">
        <v>0.81746565658399994</v>
      </c>
      <c r="D17135">
        <v>0.89587565658400004</v>
      </c>
      <c r="E17135">
        <v>0.28799999999999998</v>
      </c>
    </row>
    <row r="17136" spans="1:5">
      <c r="A17136" t="s">
        <v>44519</v>
      </c>
      <c r="B17136" t="s">
        <v>44521</v>
      </c>
      <c r="C17136">
        <v>0</v>
      </c>
      <c r="D17136">
        <v>0.89587565658400004</v>
      </c>
      <c r="E17136">
        <v>0.28799999999999998</v>
      </c>
    </row>
    <row r="17137" spans="1:5">
      <c r="A17137" t="s">
        <v>44522</v>
      </c>
      <c r="B17137" t="s">
        <v>4828</v>
      </c>
      <c r="C17137">
        <f>0</f>
        <v>0</v>
      </c>
      <c r="D17137">
        <v>0.91823241629999997</v>
      </c>
      <c r="E17137">
        <v>24</v>
      </c>
    </row>
    <row r="17138" spans="1:5">
      <c r="A17138" t="s">
        <v>44522</v>
      </c>
      <c r="B17138" t="s">
        <v>4822</v>
      </c>
      <c r="C17138">
        <v>0</v>
      </c>
      <c r="D17138">
        <v>0.91823241629999997</v>
      </c>
      <c r="E17138">
        <v>24</v>
      </c>
    </row>
    <row r="17139" spans="1:5">
      <c r="A17139" t="s">
        <v>44522</v>
      </c>
      <c r="B17139" t="s">
        <v>4823</v>
      </c>
      <c r="C17139">
        <v>0</v>
      </c>
      <c r="D17139">
        <v>0.91823241629999997</v>
      </c>
      <c r="E17139">
        <v>24</v>
      </c>
    </row>
    <row r="17140" spans="1:5">
      <c r="A17140" t="s">
        <v>44522</v>
      </c>
      <c r="B17140" t="s">
        <v>4836</v>
      </c>
      <c r="C17140">
        <v>0</v>
      </c>
      <c r="D17140">
        <v>0.91823241629999997</v>
      </c>
      <c r="E17140">
        <v>24</v>
      </c>
    </row>
    <row r="17141" spans="1:5">
      <c r="A17141" t="s">
        <v>44522</v>
      </c>
      <c r="B17141" t="s">
        <v>4834</v>
      </c>
      <c r="C17141">
        <v>0.80726479262200002</v>
      </c>
      <c r="D17141">
        <v>0.91823241629999997</v>
      </c>
      <c r="E17141">
        <v>24</v>
      </c>
    </row>
    <row r="17142" spans="1:5">
      <c r="A17142" t="s">
        <v>44522</v>
      </c>
      <c r="B17142" t="s">
        <v>4827</v>
      </c>
      <c r="C17142">
        <f>0.0545508193465</f>
        <v>5.4550819346500003E-2</v>
      </c>
      <c r="D17142">
        <v>0.91823241629999997</v>
      </c>
      <c r="E17142">
        <v>24</v>
      </c>
    </row>
    <row r="17143" spans="1:5">
      <c r="A17143" t="s">
        <v>44522</v>
      </c>
      <c r="B17143" t="s">
        <v>4832</v>
      </c>
      <c r="C17143">
        <v>0.337212959122</v>
      </c>
      <c r="D17143">
        <v>0.91823241629999997</v>
      </c>
      <c r="E17143">
        <v>24</v>
      </c>
    </row>
    <row r="17144" spans="1:5">
      <c r="A17144" t="s">
        <v>44523</v>
      </c>
      <c r="B17144" t="s">
        <v>2111</v>
      </c>
      <c r="C17144">
        <f>0.160307654296</f>
        <v>0.160307654296</v>
      </c>
      <c r="D17144">
        <v>0.95331544182600003</v>
      </c>
      <c r="E17144">
        <v>7.0679999999999996</v>
      </c>
    </row>
    <row r="17145" spans="1:5">
      <c r="A17145" t="s">
        <v>44523</v>
      </c>
      <c r="B17145" t="s">
        <v>2118</v>
      </c>
      <c r="C17145">
        <v>0</v>
      </c>
      <c r="D17145">
        <v>0.95331544182600003</v>
      </c>
      <c r="E17145">
        <v>7.0679999999999996</v>
      </c>
    </row>
    <row r="17146" spans="1:5">
      <c r="A17146" t="s">
        <v>44523</v>
      </c>
      <c r="B17146" t="s">
        <v>2113</v>
      </c>
      <c r="C17146">
        <f>0.405420592601</f>
        <v>0.405420592601</v>
      </c>
      <c r="D17146">
        <v>0.95331544182600003</v>
      </c>
      <c r="E17146">
        <v>7.0679999999999996</v>
      </c>
    </row>
    <row r="17147" spans="1:5">
      <c r="A17147" t="s">
        <v>44523</v>
      </c>
      <c r="B17147" t="s">
        <v>2114</v>
      </c>
      <c r="C17147">
        <v>0.64966269942499999</v>
      </c>
      <c r="D17147">
        <v>0.95331544182600003</v>
      </c>
      <c r="E17147">
        <v>7.0679999999999996</v>
      </c>
    </row>
    <row r="17148" spans="1:5">
      <c r="A17148" t="s">
        <v>44523</v>
      </c>
      <c r="B17148" t="s">
        <v>2112</v>
      </c>
      <c r="C17148">
        <f>0.456488174015</f>
        <v>0.45648817401500003</v>
      </c>
      <c r="D17148">
        <v>0.95331544182600003</v>
      </c>
      <c r="E17148">
        <v>7.0679999999999996</v>
      </c>
    </row>
    <row r="17149" spans="1:5">
      <c r="A17149" t="s">
        <v>44523</v>
      </c>
      <c r="B17149" t="s">
        <v>2115</v>
      </c>
      <c r="C17149">
        <v>0.32280502532400002</v>
      </c>
      <c r="D17149">
        <v>0.95331544182600003</v>
      </c>
      <c r="E17149">
        <v>7.0679999999999996</v>
      </c>
    </row>
    <row r="17150" spans="1:5">
      <c r="A17150" t="s">
        <v>44524</v>
      </c>
      <c r="B17150" t="s">
        <v>2084</v>
      </c>
      <c r="C17150">
        <f>0</f>
        <v>0</v>
      </c>
      <c r="D17150" t="s">
        <v>106</v>
      </c>
      <c r="E17150">
        <v>8.4000000000000005E-2</v>
      </c>
    </row>
    <row r="17151" spans="1:5">
      <c r="A17151" t="s">
        <v>44524</v>
      </c>
      <c r="B17151" t="s">
        <v>2087</v>
      </c>
      <c r="C17151">
        <f>0</f>
        <v>0</v>
      </c>
      <c r="D17151" t="s">
        <v>106</v>
      </c>
      <c r="E17151">
        <v>8.4000000000000005E-2</v>
      </c>
    </row>
    <row r="17152" spans="1:5">
      <c r="A17152" t="s">
        <v>44524</v>
      </c>
      <c r="B17152" t="s">
        <v>2085</v>
      </c>
      <c r="C17152">
        <f>0</f>
        <v>0</v>
      </c>
      <c r="D17152" t="s">
        <v>106</v>
      </c>
      <c r="E17152">
        <v>8.4000000000000005E-2</v>
      </c>
    </row>
    <row r="17153" spans="1:5">
      <c r="A17153" t="s">
        <v>44525</v>
      </c>
      <c r="B17153" t="s">
        <v>20356</v>
      </c>
      <c r="C17153">
        <v>9.9680162101900005E-2</v>
      </c>
      <c r="D17153">
        <v>0.827649299083</v>
      </c>
      <c r="E17153">
        <v>0.34799999999999998</v>
      </c>
    </row>
    <row r="17154" spans="1:5">
      <c r="A17154" t="s">
        <v>44525</v>
      </c>
      <c r="B17154" t="s">
        <v>20360</v>
      </c>
      <c r="C17154">
        <f>0.597929444126</f>
        <v>0.59792944412600002</v>
      </c>
      <c r="D17154">
        <v>0.827649299083</v>
      </c>
      <c r="E17154">
        <v>0.34799999999999998</v>
      </c>
    </row>
    <row r="17155" spans="1:5">
      <c r="A17155" t="s">
        <v>44525</v>
      </c>
      <c r="B17155" t="s">
        <v>20358</v>
      </c>
      <c r="C17155">
        <v>0.148008339431</v>
      </c>
      <c r="D17155">
        <v>0.827649299083</v>
      </c>
      <c r="E17155">
        <v>0.34799999999999998</v>
      </c>
    </row>
    <row r="17156" spans="1:5">
      <c r="A17156" t="s">
        <v>44526</v>
      </c>
      <c r="B17156" t="s">
        <v>44527</v>
      </c>
      <c r="C17156">
        <f>0</f>
        <v>0</v>
      </c>
      <c r="D17156">
        <v>0.67054931026599995</v>
      </c>
      <c r="E17156">
        <v>0.58199999999999996</v>
      </c>
    </row>
    <row r="17157" spans="1:5">
      <c r="A17157" t="s">
        <v>44526</v>
      </c>
      <c r="B17157" t="s">
        <v>44528</v>
      </c>
      <c r="C17157">
        <v>0.272682928361</v>
      </c>
      <c r="D17157">
        <v>0.67054931026599995</v>
      </c>
      <c r="E17157">
        <v>0.58199999999999996</v>
      </c>
    </row>
    <row r="17158" spans="1:5">
      <c r="A17158" t="s">
        <v>44526</v>
      </c>
      <c r="B17158" t="s">
        <v>44529</v>
      </c>
      <c r="C17158">
        <v>0.38828552377600001</v>
      </c>
      <c r="D17158">
        <v>0.67054931026599995</v>
      </c>
      <c r="E17158">
        <v>0.58199999999999996</v>
      </c>
    </row>
    <row r="17159" spans="1:5">
      <c r="A17159" t="s">
        <v>44530</v>
      </c>
      <c r="B17159" t="s">
        <v>21136</v>
      </c>
      <c r="C17159">
        <f>0</f>
        <v>0</v>
      </c>
      <c r="D17159">
        <v>0.87243399101200003</v>
      </c>
      <c r="E17159">
        <v>0.15</v>
      </c>
    </row>
    <row r="17160" spans="1:5">
      <c r="A17160" t="s">
        <v>44530</v>
      </c>
      <c r="B17160" t="s">
        <v>21138</v>
      </c>
      <c r="C17160">
        <f>0.623457966204</f>
        <v>0.62345796620399996</v>
      </c>
      <c r="D17160">
        <v>0.87243399101200003</v>
      </c>
      <c r="E17160">
        <v>0.15</v>
      </c>
    </row>
    <row r="17161" spans="1:5">
      <c r="A17161" t="s">
        <v>44530</v>
      </c>
      <c r="B17161" t="s">
        <v>21139</v>
      </c>
      <c r="C17161">
        <f>0.134609325905</f>
        <v>0.13460932590499999</v>
      </c>
      <c r="D17161">
        <v>0.87243399101200003</v>
      </c>
      <c r="E17161">
        <v>0.15</v>
      </c>
    </row>
    <row r="17162" spans="1:5">
      <c r="A17162" t="s">
        <v>44530</v>
      </c>
      <c r="B17162" t="s">
        <v>21137</v>
      </c>
      <c r="C17162">
        <f>0</f>
        <v>0</v>
      </c>
      <c r="D17162">
        <v>0.87243399101200003</v>
      </c>
      <c r="E17162">
        <v>0.15</v>
      </c>
    </row>
    <row r="17163" spans="1:5">
      <c r="A17163" t="s">
        <v>44531</v>
      </c>
      <c r="B17163" t="s">
        <v>13424</v>
      </c>
      <c r="C17163">
        <v>0.18120519660199999</v>
      </c>
      <c r="D17163">
        <v>0.80758830721499997</v>
      </c>
      <c r="E17163">
        <v>16.698</v>
      </c>
    </row>
    <row r="17164" spans="1:5">
      <c r="A17164" t="s">
        <v>44531</v>
      </c>
      <c r="B17164" t="s">
        <v>13423</v>
      </c>
      <c r="C17164">
        <v>0.50365717574699997</v>
      </c>
      <c r="D17164">
        <v>0.80758830721499997</v>
      </c>
      <c r="E17164">
        <v>16.698</v>
      </c>
    </row>
    <row r="17165" spans="1:5">
      <c r="A17165" t="s">
        <v>44531</v>
      </c>
      <c r="B17165" t="s">
        <v>13422</v>
      </c>
      <c r="C17165">
        <v>0</v>
      </c>
      <c r="D17165">
        <v>0.80758830721499997</v>
      </c>
      <c r="E17165">
        <v>16.698</v>
      </c>
    </row>
    <row r="17166" spans="1:5">
      <c r="A17166" t="s">
        <v>44532</v>
      </c>
      <c r="B17166" t="s">
        <v>4407</v>
      </c>
      <c r="C17166">
        <v>0</v>
      </c>
      <c r="D17166" t="s">
        <v>106</v>
      </c>
      <c r="E17166">
        <v>1.452</v>
      </c>
    </row>
    <row r="17167" spans="1:5">
      <c r="A17167" t="s">
        <v>44532</v>
      </c>
      <c r="B17167" t="s">
        <v>4405</v>
      </c>
      <c r="C17167">
        <v>0</v>
      </c>
      <c r="D17167" t="s">
        <v>106</v>
      </c>
      <c r="E17167">
        <v>1.452</v>
      </c>
    </row>
    <row r="17168" spans="1:5">
      <c r="A17168" t="s">
        <v>44532</v>
      </c>
      <c r="B17168" t="s">
        <v>4399</v>
      </c>
      <c r="C17168">
        <v>0</v>
      </c>
      <c r="D17168" t="s">
        <v>106</v>
      </c>
      <c r="E17168">
        <v>1.452</v>
      </c>
    </row>
    <row r="17169" spans="1:5">
      <c r="A17169" t="s">
        <v>44532</v>
      </c>
      <c r="B17169" t="s">
        <v>4408</v>
      </c>
      <c r="C17169">
        <f>0</f>
        <v>0</v>
      </c>
      <c r="D17169" t="s">
        <v>106</v>
      </c>
      <c r="E17169">
        <v>1.452</v>
      </c>
    </row>
    <row r="17170" spans="1:5">
      <c r="A17170" t="s">
        <v>44532</v>
      </c>
      <c r="B17170" t="s">
        <v>4402</v>
      </c>
      <c r="C17170">
        <v>0</v>
      </c>
      <c r="D17170" t="s">
        <v>106</v>
      </c>
      <c r="E17170">
        <v>1.452</v>
      </c>
    </row>
    <row r="17171" spans="1:5">
      <c r="A17171" t="s">
        <v>44532</v>
      </c>
      <c r="B17171" t="s">
        <v>4406</v>
      </c>
      <c r="C17171">
        <f>0</f>
        <v>0</v>
      </c>
      <c r="D17171" t="s">
        <v>106</v>
      </c>
      <c r="E17171">
        <v>1.452</v>
      </c>
    </row>
    <row r="17172" spans="1:5">
      <c r="A17172" t="s">
        <v>44532</v>
      </c>
      <c r="B17172" t="s">
        <v>4398</v>
      </c>
      <c r="C17172">
        <f>0</f>
        <v>0</v>
      </c>
      <c r="D17172" t="s">
        <v>106</v>
      </c>
      <c r="E17172">
        <v>1.452</v>
      </c>
    </row>
    <row r="17173" spans="1:5">
      <c r="A17173" t="s">
        <v>44532</v>
      </c>
      <c r="B17173" t="s">
        <v>4400</v>
      </c>
      <c r="C17173">
        <f>0</f>
        <v>0</v>
      </c>
      <c r="D17173" t="s">
        <v>106</v>
      </c>
      <c r="E17173">
        <v>1.452</v>
      </c>
    </row>
    <row r="17174" spans="1:5">
      <c r="A17174" t="s">
        <v>44533</v>
      </c>
      <c r="B17174" t="s">
        <v>28908</v>
      </c>
      <c r="C17174">
        <f>0.793832143524</f>
        <v>0.793832143524</v>
      </c>
      <c r="D17174">
        <v>0.95205977282400001</v>
      </c>
      <c r="E17174">
        <v>0.13200000000000001</v>
      </c>
    </row>
    <row r="17175" spans="1:5">
      <c r="A17175" t="s">
        <v>44533</v>
      </c>
      <c r="B17175" t="s">
        <v>28909</v>
      </c>
      <c r="C17175">
        <f>0</f>
        <v>0</v>
      </c>
      <c r="D17175">
        <v>0.95205977282400001</v>
      </c>
      <c r="E17175">
        <v>0.13200000000000001</v>
      </c>
    </row>
    <row r="17176" spans="1:5">
      <c r="A17176" t="s">
        <v>44533</v>
      </c>
      <c r="B17176" t="s">
        <v>28910</v>
      </c>
      <c r="C17176">
        <f>0.036799647774</f>
        <v>3.6799647774000001E-2</v>
      </c>
      <c r="D17176">
        <v>0.95205977282400001</v>
      </c>
      <c r="E17176">
        <v>0.13200000000000001</v>
      </c>
    </row>
    <row r="17177" spans="1:5">
      <c r="A17177" t="s">
        <v>44533</v>
      </c>
      <c r="B17177" t="s">
        <v>28911</v>
      </c>
      <c r="C17177">
        <f>0.0343536504922</f>
        <v>3.4353650492200002E-2</v>
      </c>
      <c r="D17177">
        <v>0.95205977282400001</v>
      </c>
      <c r="E17177">
        <v>0.13200000000000001</v>
      </c>
    </row>
    <row r="17178" spans="1:5">
      <c r="A17178" t="s">
        <v>44534</v>
      </c>
      <c r="B17178" t="s">
        <v>13298</v>
      </c>
      <c r="C17178">
        <f>0</f>
        <v>0</v>
      </c>
      <c r="D17178">
        <v>0.83364474098499997</v>
      </c>
      <c r="E17178">
        <v>2.4E-2</v>
      </c>
    </row>
    <row r="17179" spans="1:5">
      <c r="A17179" t="s">
        <v>44534</v>
      </c>
      <c r="B17179" t="s">
        <v>13299</v>
      </c>
      <c r="C17179">
        <f>0</f>
        <v>0</v>
      </c>
      <c r="D17179">
        <v>0.83364474098499997</v>
      </c>
      <c r="E17179">
        <v>2.4E-2</v>
      </c>
    </row>
    <row r="17180" spans="1:5">
      <c r="A17180" t="s">
        <v>44534</v>
      </c>
      <c r="B17180" t="s">
        <v>13300</v>
      </c>
      <c r="C17180">
        <v>0.73123474098499996</v>
      </c>
      <c r="D17180">
        <v>0.83364474098499997</v>
      </c>
      <c r="E17180">
        <v>2.4E-2</v>
      </c>
    </row>
    <row r="17181" spans="1:5">
      <c r="A17181" t="s">
        <v>44535</v>
      </c>
      <c r="B17181" t="s">
        <v>5196</v>
      </c>
      <c r="C17181">
        <f>0.839283709595</f>
        <v>0.83928370959499998</v>
      </c>
      <c r="D17181">
        <v>0.97501462750699996</v>
      </c>
      <c r="E17181">
        <v>0.318</v>
      </c>
    </row>
    <row r="17182" spans="1:5">
      <c r="A17182" t="s">
        <v>44535</v>
      </c>
      <c r="B17182" t="s">
        <v>5192</v>
      </c>
      <c r="C17182">
        <f>0</f>
        <v>0</v>
      </c>
      <c r="D17182">
        <v>0.97501462750699996</v>
      </c>
      <c r="E17182">
        <v>0.318</v>
      </c>
    </row>
    <row r="17183" spans="1:5">
      <c r="A17183" t="s">
        <v>44535</v>
      </c>
      <c r="B17183" t="s">
        <v>5202</v>
      </c>
      <c r="C17183">
        <v>0</v>
      </c>
      <c r="D17183">
        <v>0.97501462750699996</v>
      </c>
      <c r="E17183">
        <v>0.318</v>
      </c>
    </row>
    <row r="17184" spans="1:5">
      <c r="A17184" t="s">
        <v>44535</v>
      </c>
      <c r="B17184" t="s">
        <v>5195</v>
      </c>
      <c r="C17184">
        <f>0</f>
        <v>0</v>
      </c>
      <c r="D17184">
        <v>0.97501462750699996</v>
      </c>
      <c r="E17184">
        <v>0.318</v>
      </c>
    </row>
    <row r="17185" spans="1:5">
      <c r="A17185" t="s">
        <v>44535</v>
      </c>
      <c r="B17185" t="s">
        <v>5193</v>
      </c>
      <c r="C17185">
        <f>0.171916290635</f>
        <v>0.171916290635</v>
      </c>
      <c r="D17185">
        <v>0.97501462750699996</v>
      </c>
      <c r="E17185">
        <v>0.318</v>
      </c>
    </row>
    <row r="17186" spans="1:5">
      <c r="A17186" t="s">
        <v>44535</v>
      </c>
      <c r="B17186" t="s">
        <v>5199</v>
      </c>
      <c r="C17186">
        <f>0</f>
        <v>0</v>
      </c>
      <c r="D17186">
        <v>0.97501462750699996</v>
      </c>
      <c r="E17186">
        <v>0.318</v>
      </c>
    </row>
    <row r="17187" spans="1:5">
      <c r="A17187" t="s">
        <v>44535</v>
      </c>
      <c r="B17187" t="s">
        <v>5194</v>
      </c>
      <c r="C17187">
        <v>1.8779123765599998E-2</v>
      </c>
      <c r="D17187">
        <v>0.97501462750699996</v>
      </c>
      <c r="E17187">
        <v>0.318</v>
      </c>
    </row>
    <row r="17188" spans="1:5">
      <c r="A17188" t="s">
        <v>44535</v>
      </c>
      <c r="B17188" t="s">
        <v>5200</v>
      </c>
      <c r="C17188">
        <f>0.497571080594</f>
        <v>0.49757108059400001</v>
      </c>
      <c r="D17188">
        <v>0.97501462750699996</v>
      </c>
      <c r="E17188">
        <v>0.318</v>
      </c>
    </row>
    <row r="17189" spans="1:5">
      <c r="A17189" t="s">
        <v>44536</v>
      </c>
      <c r="B17189" t="s">
        <v>12719</v>
      </c>
      <c r="C17189">
        <f>0</f>
        <v>0</v>
      </c>
      <c r="D17189">
        <v>0.94592466216399995</v>
      </c>
      <c r="E17189">
        <v>0.504</v>
      </c>
    </row>
    <row r="17190" spans="1:5">
      <c r="A17190" t="s">
        <v>44536</v>
      </c>
      <c r="B17190" t="s">
        <v>12718</v>
      </c>
      <c r="C17190">
        <f>0</f>
        <v>0</v>
      </c>
      <c r="D17190">
        <v>0.94592466216399995</v>
      </c>
      <c r="E17190">
        <v>0.504</v>
      </c>
    </row>
    <row r="17191" spans="1:5">
      <c r="A17191" t="s">
        <v>44536</v>
      </c>
      <c r="B17191" t="s">
        <v>12715</v>
      </c>
      <c r="C17191">
        <f>0</f>
        <v>0</v>
      </c>
      <c r="D17191">
        <v>0.94592466216399995</v>
      </c>
      <c r="E17191">
        <v>0.504</v>
      </c>
    </row>
    <row r="17192" spans="1:5">
      <c r="A17192" t="s">
        <v>44536</v>
      </c>
      <c r="B17192" t="s">
        <v>12732</v>
      </c>
      <c r="C17192">
        <v>0.123600461541</v>
      </c>
      <c r="D17192">
        <v>0.94592466216399995</v>
      </c>
      <c r="E17192">
        <v>0.504</v>
      </c>
    </row>
    <row r="17193" spans="1:5">
      <c r="A17193" t="s">
        <v>44536</v>
      </c>
      <c r="B17193" t="s">
        <v>12717</v>
      </c>
      <c r="C17193">
        <f>0.107334772322</f>
        <v>0.107334772322</v>
      </c>
      <c r="D17193">
        <v>0.94592466216399995</v>
      </c>
      <c r="E17193">
        <v>0.504</v>
      </c>
    </row>
    <row r="17194" spans="1:5">
      <c r="A17194" t="s">
        <v>44536</v>
      </c>
      <c r="B17194" t="s">
        <v>12716</v>
      </c>
      <c r="C17194">
        <v>0</v>
      </c>
      <c r="D17194">
        <v>0.94592466216399995</v>
      </c>
      <c r="E17194">
        <v>0.504</v>
      </c>
    </row>
    <row r="17195" spans="1:5">
      <c r="A17195" t="s">
        <v>44536</v>
      </c>
      <c r="B17195" t="s">
        <v>12730</v>
      </c>
      <c r="C17195">
        <f>0.637920200765</f>
        <v>0.637920200765</v>
      </c>
      <c r="D17195">
        <v>0.94592466216399995</v>
      </c>
      <c r="E17195">
        <v>0.504</v>
      </c>
    </row>
    <row r="17196" spans="1:5">
      <c r="A17196" t="s">
        <v>44536</v>
      </c>
      <c r="B17196" t="s">
        <v>12724</v>
      </c>
      <c r="C17196">
        <f>0</f>
        <v>0</v>
      </c>
      <c r="D17196">
        <v>0.94592466216399995</v>
      </c>
      <c r="E17196">
        <v>0.504</v>
      </c>
    </row>
    <row r="17197" spans="1:5">
      <c r="A17197" t="s">
        <v>44536</v>
      </c>
      <c r="B17197" t="s">
        <v>12727</v>
      </c>
      <c r="C17197">
        <f>0</f>
        <v>0</v>
      </c>
      <c r="D17197">
        <v>0.94592466216399995</v>
      </c>
      <c r="E17197">
        <v>0.504</v>
      </c>
    </row>
    <row r="17198" spans="1:5">
      <c r="A17198" t="s">
        <v>44536</v>
      </c>
      <c r="B17198" t="s">
        <v>12726</v>
      </c>
      <c r="C17198">
        <f>0</f>
        <v>0</v>
      </c>
      <c r="D17198">
        <v>0.94592466216399995</v>
      </c>
      <c r="E17198">
        <v>0.504</v>
      </c>
    </row>
    <row r="17199" spans="1:5">
      <c r="A17199" t="s">
        <v>44536</v>
      </c>
      <c r="B17199" t="s">
        <v>12721</v>
      </c>
      <c r="C17199">
        <f>0</f>
        <v>0</v>
      </c>
      <c r="D17199">
        <v>0.94592466216399995</v>
      </c>
      <c r="E17199">
        <v>0.504</v>
      </c>
    </row>
    <row r="17200" spans="1:5">
      <c r="A17200" t="s">
        <v>44536</v>
      </c>
      <c r="B17200" t="s">
        <v>12725</v>
      </c>
      <c r="C17200">
        <f>0.171794346347</f>
        <v>0.171794346347</v>
      </c>
      <c r="D17200">
        <v>0.94592466216399995</v>
      </c>
      <c r="E17200">
        <v>0.504</v>
      </c>
    </row>
    <row r="17201" spans="1:5">
      <c r="A17201" t="s">
        <v>44536</v>
      </c>
      <c r="B17201" t="s">
        <v>12720</v>
      </c>
      <c r="C17201">
        <f>0</f>
        <v>0</v>
      </c>
      <c r="D17201">
        <v>0.94592466216399995</v>
      </c>
      <c r="E17201">
        <v>0.504</v>
      </c>
    </row>
    <row r="17202" spans="1:5">
      <c r="A17202" t="s">
        <v>44536</v>
      </c>
      <c r="B17202" t="s">
        <v>12723</v>
      </c>
      <c r="C17202">
        <v>0</v>
      </c>
      <c r="D17202">
        <v>0.94592466216399995</v>
      </c>
      <c r="E17202">
        <v>0.504</v>
      </c>
    </row>
    <row r="17203" spans="1:5">
      <c r="A17203" t="s">
        <v>44537</v>
      </c>
      <c r="B17203" t="s">
        <v>28348</v>
      </c>
      <c r="C17203">
        <v>7.9468253009299994E-2</v>
      </c>
      <c r="D17203">
        <v>0.54187825300900005</v>
      </c>
      <c r="E17203">
        <v>24</v>
      </c>
    </row>
    <row r="17204" spans="1:5">
      <c r="A17204" t="s">
        <v>44537</v>
      </c>
      <c r="B17204" t="s">
        <v>28350</v>
      </c>
      <c r="C17204">
        <f>0</f>
        <v>0</v>
      </c>
      <c r="D17204">
        <v>0.54187825300900005</v>
      </c>
      <c r="E17204">
        <v>24</v>
      </c>
    </row>
    <row r="17205" spans="1:5">
      <c r="A17205" t="s">
        <v>44538</v>
      </c>
      <c r="B17205" t="s">
        <v>30358</v>
      </c>
      <c r="C17205">
        <v>6.3329472911500002E-3</v>
      </c>
      <c r="D17205">
        <v>0.91889971863700004</v>
      </c>
      <c r="E17205">
        <v>23.754000000000001</v>
      </c>
    </row>
    <row r="17206" spans="1:5">
      <c r="A17206" t="s">
        <v>44538</v>
      </c>
      <c r="B17206" t="s">
        <v>30361</v>
      </c>
      <c r="C17206">
        <v>0.49226761389899998</v>
      </c>
      <c r="D17206">
        <v>0.91889971863700004</v>
      </c>
      <c r="E17206">
        <v>23.754000000000001</v>
      </c>
    </row>
    <row r="17207" spans="1:5">
      <c r="A17207" t="s">
        <v>44538</v>
      </c>
      <c r="B17207" t="s">
        <v>30360</v>
      </c>
      <c r="C17207">
        <v>1.54818324088</v>
      </c>
      <c r="D17207">
        <v>0.91889971863700004</v>
      </c>
      <c r="E17207">
        <v>23.754000000000001</v>
      </c>
    </row>
    <row r="17208" spans="1:5">
      <c r="A17208" t="s">
        <v>44538</v>
      </c>
      <c r="B17208" t="s">
        <v>30359</v>
      </c>
      <c r="C17208">
        <v>1.53084754666</v>
      </c>
      <c r="D17208">
        <v>0.91889971863700004</v>
      </c>
      <c r="E17208">
        <v>23.754000000000001</v>
      </c>
    </row>
    <row r="17209" spans="1:5">
      <c r="A17209" t="s">
        <v>44539</v>
      </c>
      <c r="B17209" t="s">
        <v>19320</v>
      </c>
      <c r="C17209">
        <v>0</v>
      </c>
      <c r="D17209">
        <v>0.83436293822800001</v>
      </c>
      <c r="E17209">
        <v>24</v>
      </c>
    </row>
    <row r="17210" spans="1:5">
      <c r="A17210" t="s">
        <v>44539</v>
      </c>
      <c r="B17210" t="s">
        <v>19318</v>
      </c>
      <c r="C17210">
        <f>0</f>
        <v>0</v>
      </c>
      <c r="D17210">
        <v>0.83436293822800001</v>
      </c>
      <c r="E17210">
        <v>24</v>
      </c>
    </row>
    <row r="17211" spans="1:5">
      <c r="A17211" t="s">
        <v>44539</v>
      </c>
      <c r="B17211" t="s">
        <v>19315</v>
      </c>
      <c r="C17211">
        <f>0.346931178485</f>
        <v>0.34693117848499999</v>
      </c>
      <c r="D17211">
        <v>0.83436293822800001</v>
      </c>
      <c r="E17211">
        <v>24</v>
      </c>
    </row>
    <row r="17212" spans="1:5">
      <c r="A17212" t="s">
        <v>44539</v>
      </c>
      <c r="B17212" t="s">
        <v>19316</v>
      </c>
      <c r="C17212">
        <f>0.286331066695</f>
        <v>0.28633106669500002</v>
      </c>
      <c r="D17212">
        <v>0.83436293822800001</v>
      </c>
      <c r="E17212">
        <v>24</v>
      </c>
    </row>
    <row r="17213" spans="1:5">
      <c r="A17213" t="s">
        <v>44539</v>
      </c>
      <c r="B17213" t="s">
        <v>19317</v>
      </c>
      <c r="C17213">
        <f>0</f>
        <v>0</v>
      </c>
      <c r="D17213">
        <v>0.83436293822800001</v>
      </c>
      <c r="E17213">
        <v>24</v>
      </c>
    </row>
    <row r="17214" spans="1:5">
      <c r="A17214" t="s">
        <v>44539</v>
      </c>
      <c r="B17214" t="s">
        <v>19319</v>
      </c>
      <c r="C17214">
        <f>0</f>
        <v>0</v>
      </c>
      <c r="D17214">
        <v>0.83436293822800001</v>
      </c>
      <c r="E17214">
        <v>24</v>
      </c>
    </row>
    <row r="17215" spans="1:5">
      <c r="A17215" t="s">
        <v>44539</v>
      </c>
      <c r="B17215" t="s">
        <v>19321</v>
      </c>
      <c r="C17215">
        <f>0.150049241783</f>
        <v>0.150049241783</v>
      </c>
      <c r="D17215">
        <v>0.83436293822800001</v>
      </c>
      <c r="E17215">
        <v>24</v>
      </c>
    </row>
    <row r="17216" spans="1:5">
      <c r="A17216" t="s">
        <v>44540</v>
      </c>
      <c r="B17216" t="s">
        <v>14230</v>
      </c>
      <c r="C17216">
        <f>0</f>
        <v>0</v>
      </c>
      <c r="D17216" t="s">
        <v>106</v>
      </c>
      <c r="E17216">
        <v>0.15</v>
      </c>
    </row>
    <row r="17217" spans="1:5">
      <c r="A17217" t="s">
        <v>44540</v>
      </c>
      <c r="B17217" t="s">
        <v>14229</v>
      </c>
      <c r="C17217">
        <v>0</v>
      </c>
      <c r="D17217" t="s">
        <v>106</v>
      </c>
      <c r="E17217">
        <v>0.15</v>
      </c>
    </row>
    <row r="17218" spans="1:5">
      <c r="A17218" t="s">
        <v>44540</v>
      </c>
      <c r="B17218" t="s">
        <v>14233</v>
      </c>
      <c r="C17218">
        <f>0</f>
        <v>0</v>
      </c>
      <c r="D17218" t="s">
        <v>106</v>
      </c>
      <c r="E17218">
        <v>0.15</v>
      </c>
    </row>
    <row r="17219" spans="1:5">
      <c r="A17219" t="s">
        <v>44540</v>
      </c>
      <c r="B17219" t="s">
        <v>14232</v>
      </c>
      <c r="C17219">
        <f>0</f>
        <v>0</v>
      </c>
      <c r="D17219" t="s">
        <v>106</v>
      </c>
      <c r="E17219">
        <v>0.15</v>
      </c>
    </row>
    <row r="17220" spans="1:5">
      <c r="A17220" t="s">
        <v>44541</v>
      </c>
      <c r="B17220" t="s">
        <v>23895</v>
      </c>
      <c r="C17220">
        <f>0.937274084136</f>
        <v>0.937274084136</v>
      </c>
      <c r="D17220">
        <v>0.98190559483899997</v>
      </c>
      <c r="E17220">
        <v>24</v>
      </c>
    </row>
    <row r="17221" spans="1:5">
      <c r="A17221" t="s">
        <v>44541</v>
      </c>
      <c r="B17221" t="s">
        <v>23897</v>
      </c>
      <c r="C17221">
        <v>0.69228344157400001</v>
      </c>
      <c r="D17221">
        <v>0.98190559483899997</v>
      </c>
      <c r="E17221">
        <v>24</v>
      </c>
    </row>
    <row r="17222" spans="1:5">
      <c r="A17222" t="s">
        <v>44541</v>
      </c>
      <c r="B17222" t="s">
        <v>23898</v>
      </c>
      <c r="C17222">
        <v>0.205835959023</v>
      </c>
      <c r="D17222">
        <v>0.98190559483899997</v>
      </c>
      <c r="E17222">
        <v>24</v>
      </c>
    </row>
    <row r="17223" spans="1:5">
      <c r="A17223" t="s">
        <v>44541</v>
      </c>
      <c r="B17223" t="s">
        <v>23896</v>
      </c>
      <c r="C17223">
        <v>0.55134375766699995</v>
      </c>
      <c r="D17223">
        <v>0.98190559483899997</v>
      </c>
      <c r="E17223">
        <v>24</v>
      </c>
    </row>
    <row r="17224" spans="1:5">
      <c r="A17224" t="s">
        <v>44541</v>
      </c>
      <c r="B17224" t="s">
        <v>23894</v>
      </c>
      <c r="C17224">
        <v>0.52027820138100001</v>
      </c>
      <c r="D17224">
        <v>0.98190559483899997</v>
      </c>
      <c r="E17224">
        <v>24</v>
      </c>
    </row>
    <row r="17225" spans="1:5">
      <c r="A17225" t="s">
        <v>44542</v>
      </c>
      <c r="B17225" t="s">
        <v>2775</v>
      </c>
      <c r="C17225">
        <f>0</f>
        <v>0</v>
      </c>
      <c r="D17225">
        <v>0.76402442776699997</v>
      </c>
      <c r="E17225">
        <v>1.17</v>
      </c>
    </row>
    <row r="17226" spans="1:5">
      <c r="A17226" t="s">
        <v>44542</v>
      </c>
      <c r="B17226" t="s">
        <v>2773</v>
      </c>
      <c r="C17226">
        <v>0</v>
      </c>
      <c r="D17226">
        <v>0.76402442776699997</v>
      </c>
      <c r="E17226">
        <v>1.17</v>
      </c>
    </row>
    <row r="17227" spans="1:5">
      <c r="A17227" t="s">
        <v>44542</v>
      </c>
      <c r="B17227" t="s">
        <v>2779</v>
      </c>
      <c r="C17227">
        <f>0</f>
        <v>0</v>
      </c>
      <c r="D17227">
        <v>0.76402442776699997</v>
      </c>
      <c r="E17227">
        <v>1.17</v>
      </c>
    </row>
    <row r="17228" spans="1:5">
      <c r="A17228" t="s">
        <v>44542</v>
      </c>
      <c r="B17228" t="s">
        <v>2783</v>
      </c>
      <c r="C17228">
        <v>0</v>
      </c>
      <c r="D17228">
        <v>0.76402442776699997</v>
      </c>
      <c r="E17228">
        <v>1.17</v>
      </c>
    </row>
    <row r="17229" spans="1:5">
      <c r="A17229" t="s">
        <v>44542</v>
      </c>
      <c r="B17229" t="s">
        <v>2781</v>
      </c>
      <c r="C17229">
        <v>0.24561442776699999</v>
      </c>
      <c r="D17229">
        <v>0.76402442776699997</v>
      </c>
      <c r="E17229">
        <v>1.17</v>
      </c>
    </row>
    <row r="17230" spans="1:5">
      <c r="A17230" t="s">
        <v>44542</v>
      </c>
      <c r="B17230" t="s">
        <v>2782</v>
      </c>
      <c r="C17230">
        <f>0</f>
        <v>0</v>
      </c>
      <c r="D17230">
        <v>0.76402442776699997</v>
      </c>
      <c r="E17230">
        <v>1.17</v>
      </c>
    </row>
    <row r="17231" spans="1:5">
      <c r="A17231" t="s">
        <v>44542</v>
      </c>
      <c r="B17231" t="s">
        <v>2777</v>
      </c>
      <c r="C17231">
        <f>0</f>
        <v>0</v>
      </c>
      <c r="D17231">
        <v>0.76402442776699997</v>
      </c>
      <c r="E17231">
        <v>1.17</v>
      </c>
    </row>
    <row r="17232" spans="1:5">
      <c r="A17232" t="s">
        <v>44543</v>
      </c>
      <c r="B17232" t="s">
        <v>18620</v>
      </c>
      <c r="C17232">
        <v>0.61293559431699995</v>
      </c>
      <c r="D17232">
        <v>0.55064793697100001</v>
      </c>
      <c r="E17232">
        <v>19.632000000000001</v>
      </c>
    </row>
    <row r="17233" spans="1:5">
      <c r="A17233" t="s">
        <v>44543</v>
      </c>
      <c r="B17233" t="s">
        <v>18616</v>
      </c>
      <c r="C17233">
        <f>0.685167912443</f>
        <v>0.68516791244300002</v>
      </c>
      <c r="D17233">
        <v>0.55064793697100001</v>
      </c>
      <c r="E17233">
        <v>19.632000000000001</v>
      </c>
    </row>
    <row r="17234" spans="1:5">
      <c r="A17234" t="s">
        <v>44544</v>
      </c>
      <c r="B17234" t="s">
        <v>44545</v>
      </c>
      <c r="C17234">
        <v>0.66353093640899996</v>
      </c>
      <c r="D17234">
        <v>0.82956926755000004</v>
      </c>
      <c r="E17234">
        <v>4.4820000000000002</v>
      </c>
    </row>
    <row r="17235" spans="1:5">
      <c r="A17235" t="s">
        <v>44544</v>
      </c>
      <c r="B17235" t="s">
        <v>44546</v>
      </c>
      <c r="C17235">
        <v>0.25259098973400002</v>
      </c>
      <c r="D17235">
        <v>0.82956926755000004</v>
      </c>
      <c r="E17235">
        <v>4.4820000000000002</v>
      </c>
    </row>
    <row r="17236" spans="1:5">
      <c r="A17236" t="s">
        <v>44547</v>
      </c>
      <c r="B17236" t="s">
        <v>44548</v>
      </c>
      <c r="C17236">
        <v>4.7943935914500002E-3</v>
      </c>
      <c r="D17236">
        <v>0.97724744351000004</v>
      </c>
      <c r="E17236">
        <v>0</v>
      </c>
    </row>
    <row r="17237" spans="1:5">
      <c r="A17237" t="s">
        <v>44547</v>
      </c>
      <c r="B17237" t="s">
        <v>44549</v>
      </c>
      <c r="C17237">
        <v>0.22875202623900001</v>
      </c>
      <c r="D17237">
        <v>0.97724744351000004</v>
      </c>
      <c r="E17237">
        <v>0</v>
      </c>
    </row>
    <row r="17238" spans="1:5">
      <c r="A17238" t="s">
        <v>44547</v>
      </c>
      <c r="B17238" t="s">
        <v>44550</v>
      </c>
      <c r="C17238">
        <f>0.47711256888</f>
        <v>0.47711256887999998</v>
      </c>
      <c r="D17238">
        <v>0.97724744351000004</v>
      </c>
      <c r="E17238">
        <v>0</v>
      </c>
    </row>
    <row r="17239" spans="1:5">
      <c r="A17239" t="s">
        <v>44547</v>
      </c>
      <c r="B17239" t="s">
        <v>44551</v>
      </c>
      <c r="C17239">
        <v>0</v>
      </c>
      <c r="D17239">
        <v>0.97724744351000004</v>
      </c>
      <c r="E17239">
        <v>0</v>
      </c>
    </row>
    <row r="17240" spans="1:5">
      <c r="A17240" t="s">
        <v>44547</v>
      </c>
      <c r="B17240" t="s">
        <v>44552</v>
      </c>
      <c r="C17240">
        <v>0</v>
      </c>
      <c r="D17240">
        <v>0.97724744351000004</v>
      </c>
      <c r="E17240">
        <v>0</v>
      </c>
    </row>
    <row r="17241" spans="1:5">
      <c r="A17241" t="s">
        <v>44547</v>
      </c>
      <c r="B17241" t="s">
        <v>44553</v>
      </c>
      <c r="C17241">
        <v>0.338359525547</v>
      </c>
      <c r="D17241">
        <v>0.97724744351000004</v>
      </c>
      <c r="E17241">
        <v>0</v>
      </c>
    </row>
    <row r="17242" spans="1:5">
      <c r="A17242" t="s">
        <v>44547</v>
      </c>
      <c r="B17242" t="s">
        <v>44554</v>
      </c>
      <c r="C17242">
        <v>0</v>
      </c>
      <c r="D17242">
        <v>0.97724744351000004</v>
      </c>
      <c r="E17242">
        <v>0</v>
      </c>
    </row>
    <row r="17243" spans="1:5">
      <c r="A17243" t="s">
        <v>44547</v>
      </c>
      <c r="B17243" t="s">
        <v>44555</v>
      </c>
      <c r="C17243">
        <v>0.36906633195100003</v>
      </c>
      <c r="D17243">
        <v>0.97724744351000004</v>
      </c>
      <c r="E17243">
        <v>0</v>
      </c>
    </row>
    <row r="17244" spans="1:5">
      <c r="A17244" t="s">
        <v>44547</v>
      </c>
      <c r="B17244" t="s">
        <v>44556</v>
      </c>
      <c r="C17244">
        <v>0</v>
      </c>
      <c r="D17244">
        <v>0.97724744351000004</v>
      </c>
      <c r="E17244">
        <v>0</v>
      </c>
    </row>
    <row r="17245" spans="1:5">
      <c r="A17245" t="s">
        <v>44547</v>
      </c>
      <c r="B17245" t="s">
        <v>44557</v>
      </c>
      <c r="C17245">
        <v>0</v>
      </c>
      <c r="D17245">
        <v>0.97724744351000004</v>
      </c>
      <c r="E17245">
        <v>0</v>
      </c>
    </row>
    <row r="17246" spans="1:5">
      <c r="A17246" t="s">
        <v>44547</v>
      </c>
      <c r="B17246" t="s">
        <v>44558</v>
      </c>
      <c r="C17246">
        <v>3.3562378493399998E-2</v>
      </c>
      <c r="D17246">
        <v>0.97724744351000004</v>
      </c>
      <c r="E17246">
        <v>0</v>
      </c>
    </row>
    <row r="17247" spans="1:5">
      <c r="A17247" t="s">
        <v>44559</v>
      </c>
      <c r="B17247" t="s">
        <v>44560</v>
      </c>
      <c r="C17247">
        <v>0</v>
      </c>
      <c r="D17247" t="s">
        <v>106</v>
      </c>
      <c r="E17247">
        <v>1.1160000000000001</v>
      </c>
    </row>
    <row r="17248" spans="1:5">
      <c r="A17248" t="s">
        <v>44559</v>
      </c>
      <c r="B17248" t="s">
        <v>44561</v>
      </c>
      <c r="C17248">
        <f>0</f>
        <v>0</v>
      </c>
      <c r="D17248" t="s">
        <v>106</v>
      </c>
      <c r="E17248">
        <v>1.1160000000000001</v>
      </c>
    </row>
    <row r="17249" spans="1:5">
      <c r="A17249" t="s">
        <v>44559</v>
      </c>
      <c r="B17249" t="s">
        <v>44562</v>
      </c>
      <c r="C17249">
        <v>0</v>
      </c>
      <c r="D17249" t="s">
        <v>106</v>
      </c>
      <c r="E17249">
        <v>1.1160000000000001</v>
      </c>
    </row>
    <row r="17250" spans="1:5">
      <c r="A17250" t="s">
        <v>44559</v>
      </c>
      <c r="B17250" t="s">
        <v>44563</v>
      </c>
      <c r="C17250">
        <f>0</f>
        <v>0</v>
      </c>
      <c r="D17250" t="s">
        <v>106</v>
      </c>
      <c r="E17250">
        <v>1.1160000000000001</v>
      </c>
    </row>
    <row r="17251" spans="1:5">
      <c r="A17251" t="s">
        <v>44564</v>
      </c>
      <c r="B17251" t="s">
        <v>10743</v>
      </c>
      <c r="C17251">
        <f>0</f>
        <v>0</v>
      </c>
      <c r="D17251">
        <v>0.70777649754100003</v>
      </c>
      <c r="E17251">
        <v>1.764</v>
      </c>
    </row>
    <row r="17252" spans="1:5">
      <c r="A17252" t="s">
        <v>44564</v>
      </c>
      <c r="B17252" t="s">
        <v>10742</v>
      </c>
      <c r="C17252">
        <v>0.51416649754099997</v>
      </c>
      <c r="D17252">
        <v>0.70777649754100003</v>
      </c>
      <c r="E17252">
        <v>1.764</v>
      </c>
    </row>
    <row r="17253" spans="1:5">
      <c r="A17253" t="s">
        <v>44565</v>
      </c>
      <c r="B17253" t="s">
        <v>25835</v>
      </c>
      <c r="C17253">
        <f>0.334530731764</f>
        <v>0.334530731764</v>
      </c>
      <c r="D17253">
        <v>0.67722504067800005</v>
      </c>
      <c r="E17253">
        <v>12.39</v>
      </c>
    </row>
    <row r="17254" spans="1:5">
      <c r="A17254" t="s">
        <v>44565</v>
      </c>
      <c r="B17254" t="s">
        <v>25832</v>
      </c>
      <c r="C17254">
        <v>0.246818980406</v>
      </c>
      <c r="D17254">
        <v>0.67722504067800005</v>
      </c>
      <c r="E17254">
        <v>12.39</v>
      </c>
    </row>
    <row r="17255" spans="1:5">
      <c r="A17255" t="s">
        <v>44566</v>
      </c>
      <c r="B17255" t="s">
        <v>44567</v>
      </c>
      <c r="C17255">
        <v>0</v>
      </c>
      <c r="D17255">
        <v>0.90292311931199998</v>
      </c>
      <c r="E17255">
        <v>5.9340000000000002</v>
      </c>
    </row>
    <row r="17256" spans="1:5">
      <c r="A17256" t="s">
        <v>44566</v>
      </c>
      <c r="B17256" t="s">
        <v>44568</v>
      </c>
      <c r="C17256">
        <f>0.40729716964</f>
        <v>0.40729716964000001</v>
      </c>
      <c r="D17256">
        <v>0.90292311931199998</v>
      </c>
      <c r="E17256">
        <v>5.9340000000000002</v>
      </c>
    </row>
    <row r="17257" spans="1:5">
      <c r="A17257" t="s">
        <v>44566</v>
      </c>
      <c r="B17257" t="s">
        <v>44569</v>
      </c>
      <c r="C17257">
        <f>0.677130210422</f>
        <v>0.67713021042199995</v>
      </c>
      <c r="D17257">
        <v>0.90292311931199998</v>
      </c>
      <c r="E17257">
        <v>5.9340000000000002</v>
      </c>
    </row>
    <row r="17258" spans="1:5">
      <c r="A17258" t="s">
        <v>44566</v>
      </c>
      <c r="B17258" t="s">
        <v>44570</v>
      </c>
      <c r="C17258">
        <v>0.244676317926</v>
      </c>
      <c r="D17258">
        <v>0.90292311931199998</v>
      </c>
      <c r="E17258">
        <v>5.9340000000000002</v>
      </c>
    </row>
    <row r="17259" spans="1:5">
      <c r="A17259" t="s">
        <v>44566</v>
      </c>
      <c r="B17259" t="s">
        <v>44571</v>
      </c>
      <c r="C17259">
        <v>0</v>
      </c>
      <c r="D17259">
        <v>0.90292311931199998</v>
      </c>
      <c r="E17259">
        <v>5.9340000000000002</v>
      </c>
    </row>
    <row r="17260" spans="1:5">
      <c r="A17260" t="s">
        <v>44572</v>
      </c>
      <c r="B17260" t="s">
        <v>44573</v>
      </c>
      <c r="C17260">
        <f>0.825456030804</f>
        <v>0.82545603080399998</v>
      </c>
      <c r="D17260">
        <v>0.96397317930899995</v>
      </c>
      <c r="E17260">
        <v>4.8</v>
      </c>
    </row>
    <row r="17261" spans="1:5">
      <c r="A17261" t="s">
        <v>44572</v>
      </c>
      <c r="B17261" t="s">
        <v>44574</v>
      </c>
      <c r="C17261">
        <v>0.23060998642</v>
      </c>
      <c r="D17261">
        <v>0.96397317930899995</v>
      </c>
      <c r="E17261">
        <v>4.8</v>
      </c>
    </row>
    <row r="17262" spans="1:5">
      <c r="A17262" t="s">
        <v>44572</v>
      </c>
      <c r="B17262" t="s">
        <v>44575</v>
      </c>
      <c r="C17262">
        <v>0.203496195421</v>
      </c>
      <c r="D17262">
        <v>0.96397317930899995</v>
      </c>
      <c r="E17262">
        <v>4.8</v>
      </c>
    </row>
    <row r="17263" spans="1:5">
      <c r="A17263" t="s">
        <v>44572</v>
      </c>
      <c r="B17263" t="s">
        <v>44576</v>
      </c>
      <c r="C17263">
        <f>0</f>
        <v>0</v>
      </c>
      <c r="D17263">
        <v>0.96397317930899995</v>
      </c>
      <c r="E17263">
        <v>4.8</v>
      </c>
    </row>
    <row r="17264" spans="1:5">
      <c r="A17264" t="s">
        <v>44572</v>
      </c>
      <c r="B17264" t="s">
        <v>44577</v>
      </c>
      <c r="C17264">
        <f>0.178549294258</f>
        <v>0.17854929425800001</v>
      </c>
      <c r="D17264">
        <v>0.96397317930899995</v>
      </c>
      <c r="E17264">
        <v>4.8</v>
      </c>
    </row>
    <row r="17265" spans="1:5">
      <c r="A17265" t="s">
        <v>44578</v>
      </c>
      <c r="B17265" t="s">
        <v>44579</v>
      </c>
      <c r="C17265">
        <v>0</v>
      </c>
      <c r="D17265">
        <v>0.67936033615400004</v>
      </c>
      <c r="E17265">
        <v>24</v>
      </c>
    </row>
    <row r="17266" spans="1:5">
      <c r="A17266" t="s">
        <v>44578</v>
      </c>
      <c r="B17266" t="s">
        <v>44580</v>
      </c>
      <c r="C17266">
        <v>0.45464548721100001</v>
      </c>
      <c r="D17266">
        <v>0.67936033615400004</v>
      </c>
      <c r="E17266">
        <v>24</v>
      </c>
    </row>
    <row r="17267" spans="1:5">
      <c r="A17267" t="s">
        <v>44578</v>
      </c>
      <c r="B17267" t="s">
        <v>44581</v>
      </c>
      <c r="C17267">
        <v>0.15023300741199999</v>
      </c>
      <c r="D17267">
        <v>0.67936033615400004</v>
      </c>
      <c r="E17267">
        <v>24</v>
      </c>
    </row>
    <row r="17268" spans="1:5">
      <c r="A17268" t="s">
        <v>44578</v>
      </c>
      <c r="B17268" t="s">
        <v>44582</v>
      </c>
      <c r="C17268">
        <v>0</v>
      </c>
      <c r="D17268">
        <v>0.67936033615400004</v>
      </c>
      <c r="E17268">
        <v>24</v>
      </c>
    </row>
    <row r="17269" spans="1:5">
      <c r="A17269" t="s">
        <v>44583</v>
      </c>
      <c r="B17269" t="s">
        <v>11346</v>
      </c>
      <c r="C17269">
        <v>0.73431932419799995</v>
      </c>
      <c r="D17269">
        <v>0.940917597617</v>
      </c>
      <c r="E17269">
        <v>6.3</v>
      </c>
    </row>
    <row r="17270" spans="1:5">
      <c r="A17270" t="s">
        <v>44583</v>
      </c>
      <c r="B17270" t="s">
        <v>11352</v>
      </c>
      <c r="C17270">
        <v>0.53902769166599995</v>
      </c>
      <c r="D17270">
        <v>0.940917597617</v>
      </c>
      <c r="E17270">
        <v>6.3</v>
      </c>
    </row>
    <row r="17271" spans="1:5">
      <c r="A17271" t="s">
        <v>44583</v>
      </c>
      <c r="B17271" t="s">
        <v>11349</v>
      </c>
      <c r="C17271">
        <v>0</v>
      </c>
      <c r="D17271">
        <v>0.940917597617</v>
      </c>
      <c r="E17271">
        <v>6.3</v>
      </c>
    </row>
    <row r="17272" spans="1:5">
      <c r="A17272" t="s">
        <v>44583</v>
      </c>
      <c r="B17272" t="s">
        <v>11350</v>
      </c>
      <c r="C17272">
        <f>0.0262616264173</f>
        <v>2.62616264173E-2</v>
      </c>
      <c r="D17272">
        <v>0.940917597617</v>
      </c>
      <c r="E17272">
        <v>6.3</v>
      </c>
    </row>
    <row r="17273" spans="1:5">
      <c r="A17273" t="s">
        <v>44583</v>
      </c>
      <c r="B17273" t="s">
        <v>11351</v>
      </c>
      <c r="C17273">
        <v>9.3227420783800002E-2</v>
      </c>
      <c r="D17273">
        <v>0.940917597617</v>
      </c>
      <c r="E17273">
        <v>6.3</v>
      </c>
    </row>
    <row r="17274" spans="1:5">
      <c r="A17274" t="s">
        <v>44584</v>
      </c>
      <c r="B17274" t="s">
        <v>32304</v>
      </c>
      <c r="C17274">
        <f>0</f>
        <v>0</v>
      </c>
      <c r="D17274">
        <v>0.74609802448700002</v>
      </c>
      <c r="E17274">
        <v>24</v>
      </c>
    </row>
    <row r="17275" spans="1:5">
      <c r="A17275" t="s">
        <v>44584</v>
      </c>
      <c r="B17275" t="s">
        <v>32307</v>
      </c>
      <c r="C17275">
        <f>0</f>
        <v>0</v>
      </c>
      <c r="D17275">
        <v>0.74609802448700002</v>
      </c>
      <c r="E17275">
        <v>24</v>
      </c>
    </row>
    <row r="17276" spans="1:5">
      <c r="A17276" t="s">
        <v>44584</v>
      </c>
      <c r="B17276" t="s">
        <v>32306</v>
      </c>
      <c r="C17276">
        <f>0.336488024487</f>
        <v>0.33648802448699999</v>
      </c>
      <c r="D17276">
        <v>0.74609802448700002</v>
      </c>
      <c r="E17276">
        <v>24</v>
      </c>
    </row>
    <row r="17277" spans="1:5">
      <c r="A17277" t="s">
        <v>44585</v>
      </c>
      <c r="B17277" t="s">
        <v>15498</v>
      </c>
      <c r="C17277">
        <v>1.38311756416</v>
      </c>
      <c r="D17277">
        <v>0.84675308305800001</v>
      </c>
      <c r="E17277">
        <v>24</v>
      </c>
    </row>
    <row r="17278" spans="1:5">
      <c r="A17278" t="s">
        <v>44585</v>
      </c>
      <c r="B17278" t="s">
        <v>15499</v>
      </c>
      <c r="C17278">
        <f>-1.05159456978</f>
        <v>-1.05159456978</v>
      </c>
      <c r="D17278">
        <v>0.84675308305800001</v>
      </c>
      <c r="E17278">
        <v>24</v>
      </c>
    </row>
    <row r="17279" spans="1:5">
      <c r="A17279" t="s">
        <v>44586</v>
      </c>
      <c r="B17279" t="s">
        <v>33438</v>
      </c>
      <c r="C17279">
        <v>0</v>
      </c>
      <c r="D17279">
        <v>0.97923988575900001</v>
      </c>
      <c r="E17279">
        <v>3.972</v>
      </c>
    </row>
    <row r="17280" spans="1:5">
      <c r="A17280" t="s">
        <v>44586</v>
      </c>
      <c r="B17280" t="s">
        <v>33437</v>
      </c>
      <c r="C17280">
        <v>0.61927790331699994</v>
      </c>
      <c r="D17280">
        <v>0.97923988575900001</v>
      </c>
      <c r="E17280">
        <v>3.972</v>
      </c>
    </row>
    <row r="17281" spans="1:5">
      <c r="A17281" t="s">
        <v>44586</v>
      </c>
      <c r="B17281" t="s">
        <v>33436</v>
      </c>
      <c r="C17281">
        <f>0.382733986559</f>
        <v>0.38273398655899998</v>
      </c>
      <c r="D17281">
        <v>0.97923988575900001</v>
      </c>
      <c r="E17281">
        <v>3.972</v>
      </c>
    </row>
    <row r="17282" spans="1:5">
      <c r="A17282" t="s">
        <v>44586</v>
      </c>
      <c r="B17282" t="s">
        <v>33439</v>
      </c>
      <c r="C17282">
        <f>0</f>
        <v>0</v>
      </c>
      <c r="D17282">
        <v>0.97923988575900001</v>
      </c>
      <c r="E17282">
        <v>3.972</v>
      </c>
    </row>
    <row r="17283" spans="1:5">
      <c r="A17283" t="s">
        <v>44587</v>
      </c>
      <c r="B17283" t="s">
        <v>1409</v>
      </c>
      <c r="C17283">
        <v>0.115936283742</v>
      </c>
      <c r="D17283">
        <v>0.99997833614999998</v>
      </c>
      <c r="E17283">
        <v>12.215999999999999</v>
      </c>
    </row>
    <row r="17284" spans="1:5">
      <c r="A17284" t="s">
        <v>44587</v>
      </c>
      <c r="B17284" t="s">
        <v>1405</v>
      </c>
      <c r="C17284">
        <v>0.111607749302</v>
      </c>
      <c r="D17284">
        <v>0.99997833614999998</v>
      </c>
      <c r="E17284">
        <v>12.215999999999999</v>
      </c>
    </row>
    <row r="17285" spans="1:5">
      <c r="A17285" t="s">
        <v>44587</v>
      </c>
      <c r="B17285" t="s">
        <v>1402</v>
      </c>
      <c r="C17285">
        <f>0.267264419626</f>
        <v>0.267264419626</v>
      </c>
      <c r="D17285">
        <v>0.99997833614999998</v>
      </c>
      <c r="E17285">
        <v>12.215999999999999</v>
      </c>
    </row>
    <row r="17286" spans="1:5">
      <c r="A17286" t="s">
        <v>44587</v>
      </c>
      <c r="B17286" t="s">
        <v>1404</v>
      </c>
      <c r="C17286">
        <v>9.6941752375399991E-3</v>
      </c>
      <c r="D17286">
        <v>0.99997833614999998</v>
      </c>
      <c r="E17286">
        <v>12.215999999999999</v>
      </c>
    </row>
    <row r="17287" spans="1:5">
      <c r="A17287" t="s">
        <v>44587</v>
      </c>
      <c r="B17287" t="s">
        <v>1403</v>
      </c>
      <c r="C17287">
        <v>4.0306915289400003E-2</v>
      </c>
      <c r="D17287">
        <v>0.99997833614999998</v>
      </c>
      <c r="E17287">
        <v>12.215999999999999</v>
      </c>
    </row>
    <row r="17288" spans="1:5">
      <c r="A17288" t="s">
        <v>44587</v>
      </c>
      <c r="B17288" t="s">
        <v>1413</v>
      </c>
      <c r="C17288">
        <v>0.89223662430799999</v>
      </c>
      <c r="D17288">
        <v>0.99997833614999998</v>
      </c>
      <c r="E17288">
        <v>12.215999999999999</v>
      </c>
    </row>
    <row r="17289" spans="1:5">
      <c r="A17289" t="s">
        <v>44587</v>
      </c>
      <c r="B17289" t="s">
        <v>1408</v>
      </c>
      <c r="C17289">
        <f>0</f>
        <v>0</v>
      </c>
      <c r="D17289">
        <v>0.99997833614999998</v>
      </c>
      <c r="E17289">
        <v>12.215999999999999</v>
      </c>
    </row>
    <row r="17290" spans="1:5">
      <c r="A17290" t="s">
        <v>44587</v>
      </c>
      <c r="B17290" t="s">
        <v>1414</v>
      </c>
      <c r="C17290">
        <f>0.00726608073667</f>
        <v>7.2660807366699996E-3</v>
      </c>
      <c r="D17290">
        <v>0.99997833614999998</v>
      </c>
      <c r="E17290">
        <v>12.215999999999999</v>
      </c>
    </row>
    <row r="17291" spans="1:5">
      <c r="A17291" t="s">
        <v>44587</v>
      </c>
      <c r="B17291" t="s">
        <v>1401</v>
      </c>
      <c r="C17291">
        <v>7.9825504222599999E-2</v>
      </c>
      <c r="D17291">
        <v>0.99997833614999998</v>
      </c>
      <c r="E17291">
        <v>12.215999999999999</v>
      </c>
    </row>
    <row r="17292" spans="1:5">
      <c r="A17292" t="s">
        <v>44588</v>
      </c>
      <c r="B17292" t="s">
        <v>44589</v>
      </c>
      <c r="C17292">
        <v>0</v>
      </c>
      <c r="D17292">
        <v>0.82481460540999996</v>
      </c>
      <c r="E17292">
        <v>24</v>
      </c>
    </row>
    <row r="17293" spans="1:5">
      <c r="A17293" t="s">
        <v>44588</v>
      </c>
      <c r="B17293" t="s">
        <v>44590</v>
      </c>
      <c r="C17293">
        <v>0.45939527446</v>
      </c>
      <c r="D17293">
        <v>0.82481460540999996</v>
      </c>
      <c r="E17293">
        <v>24</v>
      </c>
    </row>
    <row r="17294" spans="1:5">
      <c r="A17294" t="s">
        <v>44588</v>
      </c>
      <c r="B17294" t="s">
        <v>44591</v>
      </c>
      <c r="C17294">
        <v>5.2350895164600002E-2</v>
      </c>
      <c r="D17294">
        <v>0.82481460540999996</v>
      </c>
      <c r="E17294">
        <v>24</v>
      </c>
    </row>
    <row r="17295" spans="1:5">
      <c r="A17295" t="s">
        <v>44588</v>
      </c>
      <c r="B17295" t="s">
        <v>44592</v>
      </c>
      <c r="C17295">
        <v>0.46519575582700001</v>
      </c>
      <c r="D17295">
        <v>0.82481460540999996</v>
      </c>
      <c r="E17295">
        <v>24</v>
      </c>
    </row>
    <row r="17296" spans="1:5">
      <c r="A17296" t="s">
        <v>44593</v>
      </c>
      <c r="B17296" t="s">
        <v>3378</v>
      </c>
      <c r="C17296">
        <f>0.306945683033</f>
        <v>0.30694568303300002</v>
      </c>
      <c r="D17296">
        <v>0.84611617106899994</v>
      </c>
      <c r="E17296">
        <v>10.242000000000001</v>
      </c>
    </row>
    <row r="17297" spans="1:5">
      <c r="A17297" t="s">
        <v>44593</v>
      </c>
      <c r="B17297" t="s">
        <v>3381</v>
      </c>
      <c r="C17297">
        <f>0</f>
        <v>0</v>
      </c>
      <c r="D17297">
        <v>0.84611617106899994</v>
      </c>
      <c r="E17297">
        <v>10.242000000000001</v>
      </c>
    </row>
    <row r="17298" spans="1:5">
      <c r="A17298" t="s">
        <v>44593</v>
      </c>
      <c r="B17298" t="s">
        <v>3380</v>
      </c>
      <c r="C17298">
        <v>5.48217428801E-2</v>
      </c>
      <c r="D17298">
        <v>0.84611617106899994</v>
      </c>
      <c r="E17298">
        <v>10.242000000000001</v>
      </c>
    </row>
    <row r="17299" spans="1:5">
      <c r="A17299" t="s">
        <v>44593</v>
      </c>
      <c r="B17299" t="s">
        <v>3379</v>
      </c>
      <c r="C17299">
        <f>0.346331206372</f>
        <v>0.34633120637199999</v>
      </c>
      <c r="D17299">
        <v>0.84611617106899994</v>
      </c>
      <c r="E17299">
        <v>10.242000000000001</v>
      </c>
    </row>
    <row r="17300" spans="1:5">
      <c r="A17300" t="s">
        <v>44594</v>
      </c>
      <c r="B17300" t="s">
        <v>30520</v>
      </c>
      <c r="C17300">
        <v>0.206313145871</v>
      </c>
      <c r="D17300">
        <v>0.46367912922400001</v>
      </c>
      <c r="E17300">
        <v>20.513999999999999</v>
      </c>
    </row>
    <row r="17301" spans="1:5">
      <c r="A17301" t="s">
        <v>44594</v>
      </c>
      <c r="B17301" t="s">
        <v>30521</v>
      </c>
      <c r="C17301">
        <v>7.1183761329099995E-2</v>
      </c>
      <c r="D17301">
        <v>0.46367912922400001</v>
      </c>
      <c r="E17301">
        <v>20.513999999999999</v>
      </c>
    </row>
    <row r="17302" spans="1:5">
      <c r="A17302" t="s">
        <v>44595</v>
      </c>
      <c r="B17302" t="s">
        <v>44596</v>
      </c>
      <c r="C17302">
        <f>0</f>
        <v>0</v>
      </c>
      <c r="D17302">
        <v>0.87297556845299995</v>
      </c>
      <c r="E17302">
        <v>2.0339999999999998</v>
      </c>
    </row>
    <row r="17303" spans="1:5">
      <c r="A17303" t="s">
        <v>44595</v>
      </c>
      <c r="B17303" t="s">
        <v>44597</v>
      </c>
      <c r="C17303">
        <f>0.0119879013871</f>
        <v>1.19879013871E-2</v>
      </c>
      <c r="D17303">
        <v>0.87297556845299995</v>
      </c>
      <c r="E17303">
        <v>2.0339999999999998</v>
      </c>
    </row>
    <row r="17304" spans="1:5">
      <c r="A17304" t="s">
        <v>44595</v>
      </c>
      <c r="B17304" t="s">
        <v>44598</v>
      </c>
      <c r="C17304">
        <f>0.672073147204</f>
        <v>0.67207314720400002</v>
      </c>
      <c r="D17304">
        <v>0.87297556845299995</v>
      </c>
      <c r="E17304">
        <v>2.0339999999999998</v>
      </c>
    </row>
    <row r="17305" spans="1:5">
      <c r="A17305" t="s">
        <v>44595</v>
      </c>
      <c r="B17305" t="s">
        <v>44599</v>
      </c>
      <c r="C17305">
        <f>0</f>
        <v>0</v>
      </c>
      <c r="D17305">
        <v>0.87297556845299995</v>
      </c>
      <c r="E17305">
        <v>2.0339999999999998</v>
      </c>
    </row>
    <row r="17306" spans="1:5">
      <c r="A17306" t="s">
        <v>44595</v>
      </c>
      <c r="B17306" t="s">
        <v>44600</v>
      </c>
      <c r="C17306">
        <f>0</f>
        <v>0</v>
      </c>
      <c r="D17306">
        <v>0.87297556845299995</v>
      </c>
      <c r="E17306">
        <v>2.0339999999999998</v>
      </c>
    </row>
    <row r="17307" spans="1:5">
      <c r="A17307" t="s">
        <v>44601</v>
      </c>
      <c r="B17307" t="s">
        <v>44602</v>
      </c>
      <c r="C17307">
        <f>0</f>
        <v>0</v>
      </c>
      <c r="D17307">
        <v>0.97650965509400001</v>
      </c>
      <c r="E17307">
        <v>0</v>
      </c>
    </row>
    <row r="17308" spans="1:5">
      <c r="A17308" t="s">
        <v>44601</v>
      </c>
      <c r="B17308" t="s">
        <v>44603</v>
      </c>
      <c r="C17308">
        <f>0.355871645669</f>
        <v>0.35587164566899998</v>
      </c>
      <c r="D17308">
        <v>0.97650965509400001</v>
      </c>
      <c r="E17308">
        <v>0</v>
      </c>
    </row>
    <row r="17309" spans="1:5">
      <c r="A17309" t="s">
        <v>44601</v>
      </c>
      <c r="B17309" t="s">
        <v>44604</v>
      </c>
      <c r="C17309">
        <f>0</f>
        <v>0</v>
      </c>
      <c r="D17309">
        <v>0.97650965509400001</v>
      </c>
      <c r="E17309">
        <v>0</v>
      </c>
    </row>
    <row r="17310" spans="1:5">
      <c r="A17310" t="s">
        <v>44601</v>
      </c>
      <c r="B17310" t="s">
        <v>44605</v>
      </c>
      <c r="C17310">
        <f>0.555054652243</f>
        <v>0.55505465224299999</v>
      </c>
      <c r="D17310">
        <v>0.97650965509400001</v>
      </c>
      <c r="E17310">
        <v>0</v>
      </c>
    </row>
    <row r="17311" spans="1:5">
      <c r="A17311" t="s">
        <v>44601</v>
      </c>
      <c r="B17311" t="s">
        <v>44606</v>
      </c>
      <c r="C17311">
        <v>5.14551557911E-2</v>
      </c>
      <c r="D17311">
        <v>0.97650965509400001</v>
      </c>
      <c r="E17311">
        <v>0</v>
      </c>
    </row>
    <row r="17312" spans="1:5">
      <c r="A17312" t="s">
        <v>44601</v>
      </c>
      <c r="B17312" t="s">
        <v>44607</v>
      </c>
      <c r="C17312">
        <f>0.303180823397</f>
        <v>0.30318082339699998</v>
      </c>
      <c r="D17312">
        <v>0.97650965509400001</v>
      </c>
      <c r="E17312">
        <v>0</v>
      </c>
    </row>
    <row r="17313" spans="1:5">
      <c r="A17313" t="s">
        <v>44601</v>
      </c>
      <c r="B17313" t="s">
        <v>44608</v>
      </c>
      <c r="C17313">
        <f>0.265760602057</f>
        <v>0.26576060205699997</v>
      </c>
      <c r="D17313">
        <v>0.97650965509400001</v>
      </c>
      <c r="E17313">
        <v>0</v>
      </c>
    </row>
    <row r="17314" spans="1:5">
      <c r="A17314" t="s">
        <v>44601</v>
      </c>
      <c r="B17314" t="s">
        <v>44609</v>
      </c>
      <c r="C17314">
        <f>0</f>
        <v>0</v>
      </c>
      <c r="D17314">
        <v>0.97650965509400001</v>
      </c>
      <c r="E17314">
        <v>0</v>
      </c>
    </row>
    <row r="17315" spans="1:5">
      <c r="A17315" t="s">
        <v>44610</v>
      </c>
      <c r="B17315" t="s">
        <v>44611</v>
      </c>
      <c r="C17315">
        <v>0</v>
      </c>
      <c r="D17315">
        <v>0.83164435604999998</v>
      </c>
      <c r="E17315">
        <v>0.504</v>
      </c>
    </row>
    <row r="17316" spans="1:5">
      <c r="A17316" t="s">
        <v>44610</v>
      </c>
      <c r="B17316" t="s">
        <v>44612</v>
      </c>
      <c r="C17316">
        <f>0.60123435605</f>
        <v>0.60123435604999997</v>
      </c>
      <c r="D17316">
        <v>0.83164435604999998</v>
      </c>
      <c r="E17316">
        <v>0.504</v>
      </c>
    </row>
    <row r="17317" spans="1:5">
      <c r="A17317" t="s">
        <v>44610</v>
      </c>
      <c r="B17317" t="s">
        <v>44613</v>
      </c>
      <c r="C17317">
        <f>0</f>
        <v>0</v>
      </c>
      <c r="D17317">
        <v>0.83164435604999998</v>
      </c>
      <c r="E17317">
        <v>0.504</v>
      </c>
    </row>
    <row r="17318" spans="1:5">
      <c r="A17318" t="s">
        <v>44610</v>
      </c>
      <c r="B17318" t="s">
        <v>44614</v>
      </c>
      <c r="C17318">
        <f>0</f>
        <v>0</v>
      </c>
      <c r="D17318">
        <v>0.83164435604999998</v>
      </c>
      <c r="E17318">
        <v>0.504</v>
      </c>
    </row>
    <row r="17319" spans="1:5">
      <c r="A17319" t="s">
        <v>44615</v>
      </c>
      <c r="B17319" t="s">
        <v>32401</v>
      </c>
      <c r="C17319">
        <f>0.244318316445</f>
        <v>0.24431831644499999</v>
      </c>
      <c r="D17319">
        <v>0.99754249507199999</v>
      </c>
      <c r="E17319">
        <v>4.5839999999999996</v>
      </c>
    </row>
    <row r="17320" spans="1:5">
      <c r="A17320" t="s">
        <v>44615</v>
      </c>
      <c r="B17320" t="s">
        <v>32400</v>
      </c>
      <c r="C17320">
        <f>0.489433633908</f>
        <v>0.48943363390799999</v>
      </c>
      <c r="D17320">
        <v>0.99754249507199999</v>
      </c>
      <c r="E17320">
        <v>4.5839999999999996</v>
      </c>
    </row>
    <row r="17321" spans="1:5">
      <c r="A17321" t="s">
        <v>44615</v>
      </c>
      <c r="B17321" t="s">
        <v>32397</v>
      </c>
      <c r="C17321">
        <v>0.41534679968400001</v>
      </c>
      <c r="D17321">
        <v>0.99754249507199999</v>
      </c>
      <c r="E17321">
        <v>4.5839999999999996</v>
      </c>
    </row>
    <row r="17322" spans="1:5">
      <c r="A17322" t="s">
        <v>44615</v>
      </c>
      <c r="B17322" t="s">
        <v>32395</v>
      </c>
      <c r="C17322">
        <v>0</v>
      </c>
      <c r="D17322">
        <v>0.99754249507199999</v>
      </c>
      <c r="E17322">
        <v>4.5839999999999996</v>
      </c>
    </row>
    <row r="17323" spans="1:5">
      <c r="A17323" t="s">
        <v>44615</v>
      </c>
      <c r="B17323" t="s">
        <v>32402</v>
      </c>
      <c r="C17323">
        <f>0.891873572525</f>
        <v>0.89187357252499999</v>
      </c>
      <c r="D17323">
        <v>0.99754249507199999</v>
      </c>
      <c r="E17323">
        <v>4.5839999999999996</v>
      </c>
    </row>
    <row r="17324" spans="1:5">
      <c r="A17324" t="s">
        <v>44615</v>
      </c>
      <c r="B17324" t="s">
        <v>32403</v>
      </c>
      <c r="C17324">
        <v>0.89662629266299998</v>
      </c>
      <c r="D17324">
        <v>0.99754249507199999</v>
      </c>
      <c r="E17324">
        <v>4.5839999999999996</v>
      </c>
    </row>
    <row r="17325" spans="1:5">
      <c r="A17325" t="s">
        <v>44616</v>
      </c>
      <c r="B17325" t="s">
        <v>44617</v>
      </c>
      <c r="C17325">
        <v>0.71170037202199998</v>
      </c>
      <c r="D17325">
        <v>0.84047958412599999</v>
      </c>
      <c r="E17325">
        <v>2.4</v>
      </c>
    </row>
    <row r="17326" spans="1:5">
      <c r="A17326" t="s">
        <v>44616</v>
      </c>
      <c r="B17326" t="s">
        <v>44618</v>
      </c>
      <c r="C17326">
        <v>5.5702153279499997E-2</v>
      </c>
      <c r="D17326">
        <v>0.84047958412599999</v>
      </c>
      <c r="E17326">
        <v>2.4</v>
      </c>
    </row>
    <row r="17327" spans="1:5">
      <c r="A17327" t="s">
        <v>44619</v>
      </c>
      <c r="B17327" t="s">
        <v>9551</v>
      </c>
      <c r="C17327">
        <v>0</v>
      </c>
      <c r="D17327" t="s">
        <v>106</v>
      </c>
      <c r="E17327">
        <v>6.8040000000000003</v>
      </c>
    </row>
    <row r="17328" spans="1:5">
      <c r="A17328" t="s">
        <v>44619</v>
      </c>
      <c r="B17328" t="s">
        <v>9555</v>
      </c>
      <c r="C17328">
        <v>0</v>
      </c>
      <c r="D17328" t="s">
        <v>106</v>
      </c>
      <c r="E17328">
        <v>6.8040000000000003</v>
      </c>
    </row>
    <row r="17329" spans="1:5">
      <c r="A17329" t="s">
        <v>44619</v>
      </c>
      <c r="B17329" t="s">
        <v>9553</v>
      </c>
      <c r="C17329">
        <v>0</v>
      </c>
      <c r="D17329" t="s">
        <v>106</v>
      </c>
      <c r="E17329">
        <v>6.8040000000000003</v>
      </c>
    </row>
    <row r="17330" spans="1:5">
      <c r="A17330" t="s">
        <v>44619</v>
      </c>
      <c r="B17330" t="s">
        <v>9554</v>
      </c>
      <c r="C17330">
        <v>0</v>
      </c>
      <c r="D17330" t="s">
        <v>106</v>
      </c>
      <c r="E17330">
        <v>6.8040000000000003</v>
      </c>
    </row>
    <row r="17331" spans="1:5">
      <c r="A17331" t="s">
        <v>44620</v>
      </c>
      <c r="B17331" t="s">
        <v>44621</v>
      </c>
      <c r="C17331">
        <v>0</v>
      </c>
      <c r="D17331">
        <v>0.936660135221</v>
      </c>
      <c r="E17331">
        <v>1.512</v>
      </c>
    </row>
    <row r="17332" spans="1:5">
      <c r="A17332" t="s">
        <v>44620</v>
      </c>
      <c r="B17332" t="s">
        <v>44622</v>
      </c>
      <c r="C17332">
        <f>0</f>
        <v>0</v>
      </c>
      <c r="D17332">
        <v>0.936660135221</v>
      </c>
      <c r="E17332">
        <v>1.512</v>
      </c>
    </row>
    <row r="17333" spans="1:5">
      <c r="A17333" t="s">
        <v>44620</v>
      </c>
      <c r="B17333" t="s">
        <v>44623</v>
      </c>
      <c r="C17333">
        <v>0.14934712343000001</v>
      </c>
      <c r="D17333">
        <v>0.936660135221</v>
      </c>
      <c r="E17333">
        <v>1.512</v>
      </c>
    </row>
    <row r="17334" spans="1:5">
      <c r="A17334" t="s">
        <v>44620</v>
      </c>
      <c r="B17334" t="s">
        <v>44624</v>
      </c>
      <c r="C17334">
        <v>0.60230116004900003</v>
      </c>
      <c r="D17334">
        <v>0.936660135221</v>
      </c>
      <c r="E17334">
        <v>1.512</v>
      </c>
    </row>
    <row r="17335" spans="1:5">
      <c r="A17335" t="s">
        <v>44620</v>
      </c>
      <c r="B17335" t="s">
        <v>44625</v>
      </c>
      <c r="C17335">
        <v>0</v>
      </c>
      <c r="D17335">
        <v>0.936660135221</v>
      </c>
      <c r="E17335">
        <v>1.512</v>
      </c>
    </row>
    <row r="17336" spans="1:5">
      <c r="A17336" t="s">
        <v>44620</v>
      </c>
      <c r="B17336" t="s">
        <v>44626</v>
      </c>
      <c r="C17336">
        <v>0.23920678140900001</v>
      </c>
      <c r="D17336">
        <v>0.936660135221</v>
      </c>
      <c r="E17336">
        <v>1.512</v>
      </c>
    </row>
    <row r="17337" spans="1:5">
      <c r="A17337" t="s">
        <v>44620</v>
      </c>
      <c r="B17337" t="s">
        <v>44627</v>
      </c>
      <c r="C17337">
        <v>0.23077664927899999</v>
      </c>
      <c r="D17337">
        <v>0.936660135221</v>
      </c>
      <c r="E17337">
        <v>1.512</v>
      </c>
    </row>
    <row r="17338" spans="1:5">
      <c r="A17338" t="s">
        <v>44628</v>
      </c>
      <c r="B17338" t="s">
        <v>44629</v>
      </c>
      <c r="C17338">
        <f>0</f>
        <v>0</v>
      </c>
      <c r="D17338">
        <v>0.477665508397</v>
      </c>
      <c r="E17338">
        <v>18.768000000000001</v>
      </c>
    </row>
    <row r="17339" spans="1:5">
      <c r="A17339" t="s">
        <v>44628</v>
      </c>
      <c r="B17339" t="s">
        <v>44630</v>
      </c>
      <c r="C17339">
        <v>0.164055508397</v>
      </c>
      <c r="D17339">
        <v>0.477665508397</v>
      </c>
      <c r="E17339">
        <v>18.768000000000001</v>
      </c>
    </row>
    <row r="17340" spans="1:5">
      <c r="A17340" t="s">
        <v>44628</v>
      </c>
      <c r="B17340" t="s">
        <v>44631</v>
      </c>
      <c r="C17340">
        <v>0</v>
      </c>
      <c r="D17340">
        <v>0.477665508397</v>
      </c>
      <c r="E17340">
        <v>18.768000000000001</v>
      </c>
    </row>
    <row r="17341" spans="1:5">
      <c r="A17341" t="s">
        <v>44628</v>
      </c>
      <c r="B17341" t="s">
        <v>44632</v>
      </c>
      <c r="C17341">
        <f>0</f>
        <v>0</v>
      </c>
      <c r="D17341">
        <v>0.477665508397</v>
      </c>
      <c r="E17341">
        <v>18.768000000000001</v>
      </c>
    </row>
    <row r="17342" spans="1:5">
      <c r="A17342" t="s">
        <v>44633</v>
      </c>
      <c r="B17342" t="s">
        <v>44634</v>
      </c>
      <c r="C17342">
        <v>0.28465576759799999</v>
      </c>
      <c r="D17342">
        <v>0.51506576759800005</v>
      </c>
      <c r="E17342">
        <v>10.554</v>
      </c>
    </row>
    <row r="17343" spans="1:5">
      <c r="A17343" t="s">
        <v>44633</v>
      </c>
      <c r="B17343" t="s">
        <v>44635</v>
      </c>
      <c r="C17343">
        <v>0</v>
      </c>
      <c r="D17343">
        <v>0.51506576759800005</v>
      </c>
      <c r="E17343">
        <v>10.554</v>
      </c>
    </row>
    <row r="17344" spans="1:5">
      <c r="A17344" t="s">
        <v>44633</v>
      </c>
      <c r="B17344" t="s">
        <v>44636</v>
      </c>
      <c r="C17344">
        <v>0</v>
      </c>
      <c r="D17344">
        <v>0.51506576759800005</v>
      </c>
      <c r="E17344">
        <v>10.554</v>
      </c>
    </row>
    <row r="17345" spans="1:5">
      <c r="A17345" t="s">
        <v>44637</v>
      </c>
      <c r="B17345" t="s">
        <v>14210</v>
      </c>
      <c r="C17345">
        <v>0</v>
      </c>
      <c r="D17345" t="s">
        <v>106</v>
      </c>
      <c r="E17345">
        <v>3.78</v>
      </c>
    </row>
    <row r="17346" spans="1:5">
      <c r="A17346" t="s">
        <v>44637</v>
      </c>
      <c r="B17346" t="s">
        <v>14214</v>
      </c>
      <c r="C17346">
        <f>0</f>
        <v>0</v>
      </c>
      <c r="D17346" t="s">
        <v>106</v>
      </c>
      <c r="E17346">
        <v>3.78</v>
      </c>
    </row>
    <row r="17347" spans="1:5">
      <c r="A17347" t="s">
        <v>44637</v>
      </c>
      <c r="B17347" t="s">
        <v>14213</v>
      </c>
      <c r="C17347">
        <v>0</v>
      </c>
      <c r="D17347" t="s">
        <v>106</v>
      </c>
      <c r="E17347">
        <v>3.78</v>
      </c>
    </row>
    <row r="17348" spans="1:5">
      <c r="A17348" t="s">
        <v>44638</v>
      </c>
      <c r="B17348" t="s">
        <v>44639</v>
      </c>
      <c r="C17348">
        <v>0.195067296675</v>
      </c>
      <c r="D17348">
        <v>0.99310480784400001</v>
      </c>
      <c r="E17348">
        <v>24</v>
      </c>
    </row>
    <row r="17349" spans="1:5">
      <c r="A17349" t="s">
        <v>44638</v>
      </c>
      <c r="B17349" t="s">
        <v>44640</v>
      </c>
      <c r="C17349">
        <f>0.0782198820791</f>
        <v>7.8219882079099995E-2</v>
      </c>
      <c r="D17349">
        <v>0.99310480784400001</v>
      </c>
      <c r="E17349">
        <v>24</v>
      </c>
    </row>
    <row r="17350" spans="1:5">
      <c r="A17350" t="s">
        <v>44638</v>
      </c>
      <c r="B17350" t="s">
        <v>44641</v>
      </c>
      <c r="C17350">
        <v>1.6326800367100001</v>
      </c>
      <c r="D17350">
        <v>0.99310480784400001</v>
      </c>
      <c r="E17350">
        <v>24</v>
      </c>
    </row>
    <row r="17351" spans="1:5">
      <c r="A17351" t="s">
        <v>44638</v>
      </c>
      <c r="B17351" t="s">
        <v>44642</v>
      </c>
      <c r="C17351">
        <f>-1.02504543115</f>
        <v>-1.0250454311499999</v>
      </c>
      <c r="D17351">
        <v>0.99310480784400001</v>
      </c>
      <c r="E17351">
        <v>24</v>
      </c>
    </row>
    <row r="17352" spans="1:5">
      <c r="A17352" t="s">
        <v>44638</v>
      </c>
      <c r="B17352" t="s">
        <v>44643</v>
      </c>
      <c r="C17352">
        <v>2.6922851000400001E-3</v>
      </c>
      <c r="D17352">
        <v>0.99310480784400001</v>
      </c>
      <c r="E17352">
        <v>24</v>
      </c>
    </row>
    <row r="17353" spans="1:5">
      <c r="A17353" t="s">
        <v>44644</v>
      </c>
      <c r="B17353" t="s">
        <v>44645</v>
      </c>
      <c r="C17353">
        <v>0</v>
      </c>
      <c r="D17353">
        <v>0.64973960782999995</v>
      </c>
      <c r="E17353">
        <v>1.3380000000000001</v>
      </c>
    </row>
    <row r="17354" spans="1:5">
      <c r="A17354" t="s">
        <v>44644</v>
      </c>
      <c r="B17354" t="s">
        <v>44646</v>
      </c>
      <c r="C17354">
        <v>0</v>
      </c>
      <c r="D17354">
        <v>0.64973960782999995</v>
      </c>
      <c r="E17354">
        <v>1.3380000000000001</v>
      </c>
    </row>
    <row r="17355" spans="1:5">
      <c r="A17355" t="s">
        <v>44644</v>
      </c>
      <c r="B17355" t="s">
        <v>44647</v>
      </c>
      <c r="C17355">
        <v>0.41932960783000001</v>
      </c>
      <c r="D17355">
        <v>0.64973960782999995</v>
      </c>
      <c r="E17355">
        <v>1.3380000000000001</v>
      </c>
    </row>
    <row r="17356" spans="1:5">
      <c r="A17356" t="s">
        <v>44644</v>
      </c>
      <c r="B17356" t="s">
        <v>44648</v>
      </c>
      <c r="C17356">
        <v>0</v>
      </c>
      <c r="D17356">
        <v>0.64973960782999995</v>
      </c>
      <c r="E17356">
        <v>1.3380000000000001</v>
      </c>
    </row>
    <row r="17357" spans="1:5">
      <c r="A17357" t="s">
        <v>44649</v>
      </c>
      <c r="B17357" t="s">
        <v>23961</v>
      </c>
      <c r="C17357">
        <f>0.378252088207</f>
        <v>0.37825208820700001</v>
      </c>
      <c r="D17357">
        <v>0.87465634462999997</v>
      </c>
      <c r="E17357">
        <v>23.754000000000001</v>
      </c>
    </row>
    <row r="17358" spans="1:5">
      <c r="A17358" t="s">
        <v>44649</v>
      </c>
      <c r="B17358" t="s">
        <v>23963</v>
      </c>
      <c r="C17358">
        <f>0.722138547933</f>
        <v>0.72213854793300003</v>
      </c>
      <c r="D17358">
        <v>0.87465634462999997</v>
      </c>
      <c r="E17358">
        <v>23.754000000000001</v>
      </c>
    </row>
    <row r="17359" spans="1:5">
      <c r="A17359" t="s">
        <v>44650</v>
      </c>
      <c r="B17359" t="s">
        <v>20114</v>
      </c>
      <c r="C17359">
        <v>0</v>
      </c>
      <c r="D17359" t="s">
        <v>106</v>
      </c>
      <c r="E17359">
        <v>0.438</v>
      </c>
    </row>
    <row r="17360" spans="1:5">
      <c r="A17360" t="s">
        <v>44650</v>
      </c>
      <c r="B17360" t="s">
        <v>20115</v>
      </c>
      <c r="C17360">
        <v>0</v>
      </c>
      <c r="D17360" t="s">
        <v>106</v>
      </c>
      <c r="E17360">
        <v>0.438</v>
      </c>
    </row>
    <row r="17361" spans="1:5">
      <c r="A17361" t="s">
        <v>44651</v>
      </c>
      <c r="B17361" t="s">
        <v>27349</v>
      </c>
      <c r="C17361">
        <v>0.49212936046900002</v>
      </c>
      <c r="D17361">
        <v>0.77535530233500005</v>
      </c>
      <c r="E17361">
        <v>2.88</v>
      </c>
    </row>
    <row r="17362" spans="1:5">
      <c r="A17362" t="s">
        <v>44651</v>
      </c>
      <c r="B17362" t="s">
        <v>27353</v>
      </c>
      <c r="C17362">
        <v>0</v>
      </c>
      <c r="D17362">
        <v>0.77535530233500005</v>
      </c>
      <c r="E17362">
        <v>2.88</v>
      </c>
    </row>
    <row r="17363" spans="1:5">
      <c r="A17363" t="s">
        <v>44651</v>
      </c>
      <c r="B17363" t="s">
        <v>27354</v>
      </c>
      <c r="C17363">
        <v>0.28260730839300002</v>
      </c>
      <c r="D17363">
        <v>0.77535530233500005</v>
      </c>
      <c r="E17363">
        <v>2.88</v>
      </c>
    </row>
    <row r="17364" spans="1:5">
      <c r="A17364" t="s">
        <v>44652</v>
      </c>
      <c r="B17364" t="s">
        <v>44653</v>
      </c>
      <c r="C17364">
        <v>0</v>
      </c>
      <c r="D17364">
        <v>0.94239198679500003</v>
      </c>
      <c r="E17364">
        <v>12.048</v>
      </c>
    </row>
    <row r="17365" spans="1:5">
      <c r="A17365" t="s">
        <v>44652</v>
      </c>
      <c r="B17365" t="s">
        <v>44654</v>
      </c>
      <c r="C17365">
        <f>0</f>
        <v>0</v>
      </c>
      <c r="D17365">
        <v>0.94239198679500003</v>
      </c>
      <c r="E17365">
        <v>12.048</v>
      </c>
    </row>
    <row r="17366" spans="1:5">
      <c r="A17366" t="s">
        <v>44652</v>
      </c>
      <c r="B17366" t="s">
        <v>44655</v>
      </c>
      <c r="C17366">
        <v>0</v>
      </c>
      <c r="D17366">
        <v>0.94239198679500003</v>
      </c>
      <c r="E17366">
        <v>12.048</v>
      </c>
    </row>
    <row r="17367" spans="1:5">
      <c r="A17367" t="s">
        <v>44652</v>
      </c>
      <c r="B17367" t="s">
        <v>44656</v>
      </c>
      <c r="C17367">
        <f>0</f>
        <v>0</v>
      </c>
      <c r="D17367">
        <v>0.94239198679500003</v>
      </c>
      <c r="E17367">
        <v>12.048</v>
      </c>
    </row>
    <row r="17368" spans="1:5">
      <c r="A17368" t="s">
        <v>44652</v>
      </c>
      <c r="B17368" t="s">
        <v>44657</v>
      </c>
      <c r="C17368">
        <v>0</v>
      </c>
      <c r="D17368">
        <v>0.94239198679500003</v>
      </c>
      <c r="E17368">
        <v>12.048</v>
      </c>
    </row>
    <row r="17369" spans="1:5">
      <c r="A17369" t="s">
        <v>44652</v>
      </c>
      <c r="B17369" t="s">
        <v>44658</v>
      </c>
      <c r="C17369">
        <v>0</v>
      </c>
      <c r="D17369">
        <v>0.94239198679500003</v>
      </c>
      <c r="E17369">
        <v>12.048</v>
      </c>
    </row>
    <row r="17370" spans="1:5">
      <c r="A17370" t="s">
        <v>44652</v>
      </c>
      <c r="B17370" t="s">
        <v>44659</v>
      </c>
      <c r="C17370">
        <v>0</v>
      </c>
      <c r="D17370">
        <v>0.94239198679500003</v>
      </c>
      <c r="E17370">
        <v>12.048</v>
      </c>
    </row>
    <row r="17371" spans="1:5">
      <c r="A17371" t="s">
        <v>44652</v>
      </c>
      <c r="B17371" t="s">
        <v>44660</v>
      </c>
      <c r="C17371">
        <v>0</v>
      </c>
      <c r="D17371">
        <v>0.94239198679500003</v>
      </c>
      <c r="E17371">
        <v>12.048</v>
      </c>
    </row>
    <row r="17372" spans="1:5">
      <c r="A17372" t="s">
        <v>44652</v>
      </c>
      <c r="B17372" t="s">
        <v>44661</v>
      </c>
      <c r="C17372">
        <f>0.310185567273</f>
        <v>0.31018556727300001</v>
      </c>
      <c r="D17372">
        <v>0.94239198679500003</v>
      </c>
      <c r="E17372">
        <v>12.048</v>
      </c>
    </row>
    <row r="17373" spans="1:5">
      <c r="A17373" t="s">
        <v>44652</v>
      </c>
      <c r="B17373" t="s">
        <v>44662</v>
      </c>
      <c r="C17373">
        <f>0</f>
        <v>0</v>
      </c>
      <c r="D17373">
        <v>0.94239198679500003</v>
      </c>
      <c r="E17373">
        <v>12.048</v>
      </c>
    </row>
    <row r="17374" spans="1:5">
      <c r="A17374" t="s">
        <v>44652</v>
      </c>
      <c r="B17374" t="s">
        <v>44663</v>
      </c>
      <c r="C17374">
        <v>0</v>
      </c>
      <c r="D17374">
        <v>0.94239198679500003</v>
      </c>
      <c r="E17374">
        <v>12.048</v>
      </c>
    </row>
    <row r="17375" spans="1:5">
      <c r="A17375" t="s">
        <v>44652</v>
      </c>
      <c r="B17375" t="s">
        <v>44664</v>
      </c>
      <c r="C17375">
        <v>0</v>
      </c>
      <c r="D17375">
        <v>0.94239198679500003</v>
      </c>
      <c r="E17375">
        <v>12.048</v>
      </c>
    </row>
    <row r="17376" spans="1:5">
      <c r="A17376" t="s">
        <v>44652</v>
      </c>
      <c r="B17376" t="s">
        <v>44665</v>
      </c>
      <c r="C17376">
        <v>0.39329859203700002</v>
      </c>
      <c r="D17376">
        <v>0.94239198679500003</v>
      </c>
      <c r="E17376">
        <v>12.048</v>
      </c>
    </row>
    <row r="17377" spans="1:5">
      <c r="A17377" t="s">
        <v>44652</v>
      </c>
      <c r="B17377" t="s">
        <v>44666</v>
      </c>
      <c r="C17377">
        <v>0</v>
      </c>
      <c r="D17377">
        <v>0.94239198679500003</v>
      </c>
      <c r="E17377">
        <v>12.048</v>
      </c>
    </row>
    <row r="17378" spans="1:5">
      <c r="A17378" t="s">
        <v>44652</v>
      </c>
      <c r="B17378" t="s">
        <v>44667</v>
      </c>
      <c r="C17378">
        <f>0</f>
        <v>0</v>
      </c>
      <c r="D17378">
        <v>0.94239198679500003</v>
      </c>
      <c r="E17378">
        <v>12.048</v>
      </c>
    </row>
    <row r="17379" spans="1:5">
      <c r="A17379" t="s">
        <v>44652</v>
      </c>
      <c r="B17379" t="s">
        <v>44668</v>
      </c>
      <c r="C17379">
        <f>0</f>
        <v>0</v>
      </c>
      <c r="D17379">
        <v>0.94239198679500003</v>
      </c>
      <c r="E17379">
        <v>12.048</v>
      </c>
    </row>
    <row r="17380" spans="1:5">
      <c r="A17380" t="s">
        <v>44652</v>
      </c>
      <c r="B17380" t="s">
        <v>44669</v>
      </c>
      <c r="C17380">
        <f>0</f>
        <v>0</v>
      </c>
      <c r="D17380">
        <v>0.94239198679500003</v>
      </c>
      <c r="E17380">
        <v>12.048</v>
      </c>
    </row>
    <row r="17381" spans="1:5">
      <c r="A17381" t="s">
        <v>44652</v>
      </c>
      <c r="B17381" t="s">
        <v>44670</v>
      </c>
      <c r="C17381">
        <f>0</f>
        <v>0</v>
      </c>
      <c r="D17381">
        <v>0.94239198679500003</v>
      </c>
      <c r="E17381">
        <v>12.048</v>
      </c>
    </row>
    <row r="17382" spans="1:5">
      <c r="A17382" t="s">
        <v>44652</v>
      </c>
      <c r="B17382" t="s">
        <v>44671</v>
      </c>
      <c r="C17382">
        <f>0</f>
        <v>0</v>
      </c>
      <c r="D17382">
        <v>0.94239198679500003</v>
      </c>
      <c r="E17382">
        <v>12.048</v>
      </c>
    </row>
    <row r="17383" spans="1:5">
      <c r="A17383" t="s">
        <v>44672</v>
      </c>
      <c r="B17383" t="s">
        <v>44673</v>
      </c>
      <c r="C17383">
        <v>0</v>
      </c>
      <c r="D17383">
        <v>0.46310708444100002</v>
      </c>
      <c r="E17383">
        <v>24</v>
      </c>
    </row>
    <row r="17384" spans="1:5">
      <c r="A17384" t="s">
        <v>44672</v>
      </c>
      <c r="B17384" t="s">
        <v>44674</v>
      </c>
      <c r="C17384">
        <v>0.14949708444099999</v>
      </c>
      <c r="D17384">
        <v>0.46310708444100002</v>
      </c>
      <c r="E17384">
        <v>24</v>
      </c>
    </row>
    <row r="17385" spans="1:5">
      <c r="A17385" t="s">
        <v>44675</v>
      </c>
      <c r="B17385" t="s">
        <v>11429</v>
      </c>
      <c r="C17385">
        <v>0</v>
      </c>
      <c r="D17385" t="s">
        <v>106</v>
      </c>
      <c r="E17385">
        <v>15.708</v>
      </c>
    </row>
    <row r="17386" spans="1:5">
      <c r="A17386" t="s">
        <v>44675</v>
      </c>
      <c r="B17386" t="s">
        <v>11433</v>
      </c>
      <c r="C17386">
        <v>0</v>
      </c>
      <c r="D17386" t="s">
        <v>106</v>
      </c>
      <c r="E17386">
        <v>15.708</v>
      </c>
    </row>
    <row r="17387" spans="1:5">
      <c r="A17387" t="s">
        <v>44676</v>
      </c>
      <c r="B17387" t="s">
        <v>20006</v>
      </c>
      <c r="C17387">
        <v>0</v>
      </c>
      <c r="D17387">
        <v>0.963470611767</v>
      </c>
      <c r="E17387">
        <v>4.8</v>
      </c>
    </row>
    <row r="17388" spans="1:5">
      <c r="A17388" t="s">
        <v>44676</v>
      </c>
      <c r="B17388" t="s">
        <v>20014</v>
      </c>
      <c r="C17388">
        <f>0</f>
        <v>0</v>
      </c>
      <c r="D17388">
        <v>0.963470611767</v>
      </c>
      <c r="E17388">
        <v>4.8</v>
      </c>
    </row>
    <row r="17389" spans="1:5">
      <c r="A17389" t="s">
        <v>44676</v>
      </c>
      <c r="B17389" t="s">
        <v>20008</v>
      </c>
      <c r="C17389">
        <v>0.30128419650299998</v>
      </c>
      <c r="D17389">
        <v>0.963470611767</v>
      </c>
      <c r="E17389">
        <v>4.8</v>
      </c>
    </row>
    <row r="17390" spans="1:5">
      <c r="A17390" t="s">
        <v>44676</v>
      </c>
      <c r="B17390" t="s">
        <v>20009</v>
      </c>
      <c r="C17390">
        <v>0.23323031215600001</v>
      </c>
      <c r="D17390">
        <v>0.963470611767</v>
      </c>
      <c r="E17390">
        <v>4.8</v>
      </c>
    </row>
    <row r="17391" spans="1:5">
      <c r="A17391" t="s">
        <v>44676</v>
      </c>
      <c r="B17391" t="s">
        <v>20015</v>
      </c>
      <c r="C17391">
        <v>0.66921919567800003</v>
      </c>
      <c r="D17391">
        <v>0.963470611767</v>
      </c>
      <c r="E17391">
        <v>4.8</v>
      </c>
    </row>
    <row r="17392" spans="1:5">
      <c r="A17392" t="s">
        <v>44677</v>
      </c>
      <c r="B17392" t="s">
        <v>23098</v>
      </c>
      <c r="C17392">
        <v>0.56261742597999997</v>
      </c>
      <c r="D17392">
        <v>0.95231970183500003</v>
      </c>
      <c r="E17392">
        <v>15.125999999999999</v>
      </c>
    </row>
    <row r="17393" spans="1:5">
      <c r="A17393" t="s">
        <v>44677</v>
      </c>
      <c r="B17393" t="s">
        <v>23099</v>
      </c>
      <c r="C17393">
        <v>0.49642402382299999</v>
      </c>
      <c r="D17393">
        <v>0.95231970183500003</v>
      </c>
      <c r="E17393">
        <v>15.125999999999999</v>
      </c>
    </row>
    <row r="17394" spans="1:5">
      <c r="A17394" t="s">
        <v>44678</v>
      </c>
      <c r="B17394" t="s">
        <v>44679</v>
      </c>
      <c r="C17394">
        <v>0.250181251504</v>
      </c>
      <c r="D17394">
        <v>0.563791251504</v>
      </c>
      <c r="E17394">
        <v>4.17</v>
      </c>
    </row>
    <row r="17395" spans="1:5">
      <c r="A17395" t="s">
        <v>44678</v>
      </c>
      <c r="B17395" t="s">
        <v>44680</v>
      </c>
      <c r="C17395">
        <v>0</v>
      </c>
      <c r="D17395">
        <v>0.563791251504</v>
      </c>
      <c r="E17395">
        <v>4.17</v>
      </c>
    </row>
    <row r="17396" spans="1:5">
      <c r="A17396" t="s">
        <v>44678</v>
      </c>
      <c r="B17396" t="s">
        <v>44681</v>
      </c>
      <c r="C17396">
        <f>0</f>
        <v>0</v>
      </c>
      <c r="D17396">
        <v>0.563791251504</v>
      </c>
      <c r="E17396">
        <v>4.17</v>
      </c>
    </row>
    <row r="17397" spans="1:5">
      <c r="A17397" t="s">
        <v>44678</v>
      </c>
      <c r="B17397" t="s">
        <v>44682</v>
      </c>
      <c r="C17397">
        <v>0</v>
      </c>
      <c r="D17397">
        <v>0.563791251504</v>
      </c>
      <c r="E17397">
        <v>4.17</v>
      </c>
    </row>
    <row r="17398" spans="1:5">
      <c r="A17398" t="s">
        <v>44683</v>
      </c>
      <c r="B17398" t="s">
        <v>19992</v>
      </c>
      <c r="C17398">
        <f>0</f>
        <v>0</v>
      </c>
      <c r="D17398" t="s">
        <v>106</v>
      </c>
      <c r="E17398">
        <v>6.3</v>
      </c>
    </row>
    <row r="17399" spans="1:5">
      <c r="A17399" t="s">
        <v>44683</v>
      </c>
      <c r="B17399" t="s">
        <v>19991</v>
      </c>
      <c r="C17399">
        <v>0</v>
      </c>
      <c r="D17399" t="s">
        <v>106</v>
      </c>
      <c r="E17399">
        <v>6.3</v>
      </c>
    </row>
    <row r="17400" spans="1:5">
      <c r="A17400" t="s">
        <v>44684</v>
      </c>
      <c r="B17400" t="s">
        <v>6551</v>
      </c>
      <c r="C17400">
        <v>0</v>
      </c>
      <c r="D17400" t="s">
        <v>106</v>
      </c>
      <c r="E17400">
        <v>24</v>
      </c>
    </row>
    <row r="17401" spans="1:5">
      <c r="A17401" t="s">
        <v>44684</v>
      </c>
      <c r="B17401" t="s">
        <v>6541</v>
      </c>
      <c r="C17401">
        <f>0</f>
        <v>0</v>
      </c>
      <c r="D17401" t="s">
        <v>106</v>
      </c>
      <c r="E17401">
        <v>24</v>
      </c>
    </row>
    <row r="17402" spans="1:5">
      <c r="A17402" t="s">
        <v>44684</v>
      </c>
      <c r="B17402" t="s">
        <v>6550</v>
      </c>
      <c r="C17402">
        <v>0</v>
      </c>
      <c r="D17402" t="s">
        <v>106</v>
      </c>
      <c r="E17402">
        <v>24</v>
      </c>
    </row>
    <row r="17403" spans="1:5">
      <c r="A17403" t="s">
        <v>44684</v>
      </c>
      <c r="B17403" t="s">
        <v>6545</v>
      </c>
      <c r="C17403">
        <f>0</f>
        <v>0</v>
      </c>
      <c r="D17403" t="s">
        <v>106</v>
      </c>
      <c r="E17403">
        <v>24</v>
      </c>
    </row>
    <row r="17404" spans="1:5">
      <c r="A17404" t="s">
        <v>44684</v>
      </c>
      <c r="B17404" t="s">
        <v>6546</v>
      </c>
      <c r="C17404">
        <f>0</f>
        <v>0</v>
      </c>
      <c r="D17404" t="s">
        <v>106</v>
      </c>
      <c r="E17404">
        <v>24</v>
      </c>
    </row>
    <row r="17405" spans="1:5">
      <c r="A17405" t="s">
        <v>44685</v>
      </c>
      <c r="B17405" t="s">
        <v>31432</v>
      </c>
      <c r="C17405">
        <v>0.59809036615599998</v>
      </c>
      <c r="D17405">
        <v>0.82182881346000003</v>
      </c>
      <c r="E17405">
        <v>23.754000000000001</v>
      </c>
    </row>
    <row r="17406" spans="1:5">
      <c r="A17406" t="s">
        <v>44685</v>
      </c>
      <c r="B17406" t="s">
        <v>31435</v>
      </c>
      <c r="C17406">
        <f>0.531824627617</f>
        <v>0.531824627617</v>
      </c>
      <c r="D17406">
        <v>0.82182881346000003</v>
      </c>
      <c r="E17406">
        <v>23.754000000000001</v>
      </c>
    </row>
    <row r="17407" spans="1:5">
      <c r="A17407" t="s">
        <v>44686</v>
      </c>
      <c r="B17407" t="s">
        <v>44687</v>
      </c>
      <c r="C17407">
        <f>0</f>
        <v>0</v>
      </c>
      <c r="D17407" t="s">
        <v>106</v>
      </c>
      <c r="E17407">
        <v>12.564</v>
      </c>
    </row>
    <row r="17408" spans="1:5">
      <c r="A17408" t="s">
        <v>44686</v>
      </c>
      <c r="B17408" t="s">
        <v>44688</v>
      </c>
      <c r="C17408">
        <v>0</v>
      </c>
      <c r="D17408" t="s">
        <v>106</v>
      </c>
      <c r="E17408">
        <v>12.564</v>
      </c>
    </row>
    <row r="17409" spans="1:5">
      <c r="A17409" t="s">
        <v>44689</v>
      </c>
      <c r="B17409" t="s">
        <v>27832</v>
      </c>
      <c r="C17409">
        <v>0</v>
      </c>
      <c r="D17409" t="s">
        <v>106</v>
      </c>
      <c r="E17409">
        <v>2.6339999999999999</v>
      </c>
    </row>
    <row r="17410" spans="1:5">
      <c r="A17410" t="s">
        <v>44689</v>
      </c>
      <c r="B17410" t="s">
        <v>27830</v>
      </c>
      <c r="C17410">
        <v>0</v>
      </c>
      <c r="D17410" t="s">
        <v>106</v>
      </c>
      <c r="E17410">
        <v>2.6339999999999999</v>
      </c>
    </row>
    <row r="17411" spans="1:5">
      <c r="A17411" t="s">
        <v>44690</v>
      </c>
      <c r="B17411" t="s">
        <v>44691</v>
      </c>
      <c r="C17411">
        <v>0</v>
      </c>
      <c r="D17411" t="s">
        <v>106</v>
      </c>
      <c r="E17411">
        <v>24</v>
      </c>
    </row>
    <row r="17412" spans="1:5">
      <c r="A17412" t="s">
        <v>44690</v>
      </c>
      <c r="B17412" t="s">
        <v>44692</v>
      </c>
      <c r="C17412">
        <v>0</v>
      </c>
      <c r="D17412" t="s">
        <v>106</v>
      </c>
      <c r="E17412">
        <v>24</v>
      </c>
    </row>
    <row r="17413" spans="1:5">
      <c r="A17413" t="s">
        <v>44690</v>
      </c>
      <c r="B17413" t="s">
        <v>44693</v>
      </c>
      <c r="C17413">
        <v>0</v>
      </c>
      <c r="D17413" t="s">
        <v>106</v>
      </c>
      <c r="E17413">
        <v>24</v>
      </c>
    </row>
    <row r="17414" spans="1:5">
      <c r="A17414" t="s">
        <v>44690</v>
      </c>
      <c r="B17414" t="s">
        <v>44694</v>
      </c>
      <c r="C17414">
        <v>0</v>
      </c>
      <c r="D17414" t="s">
        <v>106</v>
      </c>
      <c r="E17414">
        <v>24</v>
      </c>
    </row>
    <row r="17415" spans="1:5">
      <c r="A17415" t="s">
        <v>44695</v>
      </c>
      <c r="B17415" t="s">
        <v>23858</v>
      </c>
      <c r="C17415">
        <f>0</f>
        <v>0</v>
      </c>
      <c r="D17415">
        <v>0.562482016468</v>
      </c>
      <c r="E17415">
        <v>0.06</v>
      </c>
    </row>
    <row r="17416" spans="1:5">
      <c r="A17416" t="s">
        <v>44695</v>
      </c>
      <c r="B17416" t="s">
        <v>23860</v>
      </c>
      <c r="C17416">
        <f>0.432872016468</f>
        <v>0.432872016468</v>
      </c>
      <c r="D17416">
        <v>0.562482016468</v>
      </c>
      <c r="E17416">
        <v>0.06</v>
      </c>
    </row>
    <row r="17417" spans="1:5">
      <c r="A17417" t="s">
        <v>44696</v>
      </c>
      <c r="B17417" t="s">
        <v>44697</v>
      </c>
      <c r="C17417">
        <v>0.98660373863299999</v>
      </c>
      <c r="D17417">
        <v>0.86647479610300004</v>
      </c>
      <c r="E17417">
        <v>1.512</v>
      </c>
    </row>
    <row r="17418" spans="1:5">
      <c r="A17418" t="s">
        <v>44696</v>
      </c>
      <c r="B17418" t="s">
        <v>44698</v>
      </c>
      <c r="C17418">
        <f>0.17823930282</f>
        <v>0.17823930282</v>
      </c>
      <c r="D17418">
        <v>0.86647479610300004</v>
      </c>
      <c r="E17418">
        <v>1.512</v>
      </c>
    </row>
    <row r="17419" spans="1:5">
      <c r="A17419" t="s">
        <v>44699</v>
      </c>
      <c r="B17419" t="s">
        <v>30666</v>
      </c>
      <c r="C17419">
        <v>0</v>
      </c>
      <c r="D17419">
        <v>0.56656714879400005</v>
      </c>
      <c r="E17419">
        <v>2.88</v>
      </c>
    </row>
    <row r="17420" spans="1:5">
      <c r="A17420" t="s">
        <v>44699</v>
      </c>
      <c r="B17420" t="s">
        <v>30668</v>
      </c>
      <c r="C17420">
        <v>0.156957148794</v>
      </c>
      <c r="D17420">
        <v>0.56656714879400005</v>
      </c>
      <c r="E17420">
        <v>2.88</v>
      </c>
    </row>
    <row r="17421" spans="1:5">
      <c r="A17421" t="s">
        <v>44699</v>
      </c>
      <c r="B17421" t="s">
        <v>30667</v>
      </c>
      <c r="C17421">
        <f>0</f>
        <v>0</v>
      </c>
      <c r="D17421">
        <v>0.56656714879400005</v>
      </c>
      <c r="E17421">
        <v>2.88</v>
      </c>
    </row>
    <row r="17422" spans="1:5">
      <c r="A17422" t="s">
        <v>44700</v>
      </c>
      <c r="B17422" t="s">
        <v>44701</v>
      </c>
      <c r="C17422">
        <f>0</f>
        <v>0</v>
      </c>
      <c r="D17422">
        <v>0.94539825638399999</v>
      </c>
      <c r="E17422">
        <v>8.8680000000000003</v>
      </c>
    </row>
    <row r="17423" spans="1:5">
      <c r="A17423" t="s">
        <v>44700</v>
      </c>
      <c r="B17423" t="s">
        <v>44702</v>
      </c>
      <c r="C17423">
        <v>0</v>
      </c>
      <c r="D17423">
        <v>0.94539825638399999</v>
      </c>
      <c r="E17423">
        <v>8.8680000000000003</v>
      </c>
    </row>
    <row r="17424" spans="1:5">
      <c r="A17424" t="s">
        <v>44700</v>
      </c>
      <c r="B17424" t="s">
        <v>44703</v>
      </c>
      <c r="C17424">
        <f>0</f>
        <v>0</v>
      </c>
      <c r="D17424">
        <v>0.94539825638399999</v>
      </c>
      <c r="E17424">
        <v>8.8680000000000003</v>
      </c>
    </row>
    <row r="17425" spans="1:5">
      <c r="A17425" t="s">
        <v>44700</v>
      </c>
      <c r="B17425" t="s">
        <v>44704</v>
      </c>
      <c r="C17425">
        <f>0.757209787662</f>
        <v>0.75720978766199998</v>
      </c>
      <c r="D17425">
        <v>0.94539825638399999</v>
      </c>
      <c r="E17425">
        <v>8.8680000000000003</v>
      </c>
    </row>
    <row r="17426" spans="1:5">
      <c r="A17426" t="s">
        <v>44700</v>
      </c>
      <c r="B17426" t="s">
        <v>44705</v>
      </c>
      <c r="C17426">
        <f>0.213046563587</f>
        <v>0.213046563587</v>
      </c>
      <c r="D17426">
        <v>0.94539825638399999</v>
      </c>
      <c r="E17426">
        <v>8.8680000000000003</v>
      </c>
    </row>
    <row r="17427" spans="1:5">
      <c r="A17427" t="s">
        <v>44700</v>
      </c>
      <c r="B17427" t="s">
        <v>44706</v>
      </c>
      <c r="C17427">
        <f>0</f>
        <v>0</v>
      </c>
      <c r="D17427">
        <v>0.94539825638399999</v>
      </c>
      <c r="E17427">
        <v>8.8680000000000003</v>
      </c>
    </row>
    <row r="17428" spans="1:5">
      <c r="A17428" t="s">
        <v>44707</v>
      </c>
      <c r="B17428" t="s">
        <v>44708</v>
      </c>
      <c r="C17428">
        <f>0</f>
        <v>0</v>
      </c>
      <c r="D17428" t="s">
        <v>106</v>
      </c>
      <c r="E17428">
        <v>3.1379999999999999</v>
      </c>
    </row>
    <row r="17429" spans="1:5">
      <c r="A17429" t="s">
        <v>44707</v>
      </c>
      <c r="B17429" t="s">
        <v>44709</v>
      </c>
      <c r="C17429">
        <v>0</v>
      </c>
      <c r="D17429" t="s">
        <v>106</v>
      </c>
      <c r="E17429">
        <v>3.1379999999999999</v>
      </c>
    </row>
    <row r="17430" spans="1:5">
      <c r="A17430" t="s">
        <v>44707</v>
      </c>
      <c r="B17430" t="s">
        <v>44710</v>
      </c>
      <c r="C17430">
        <v>0</v>
      </c>
      <c r="D17430" t="s">
        <v>106</v>
      </c>
      <c r="E17430">
        <v>3.1379999999999999</v>
      </c>
    </row>
    <row r="17431" spans="1:5">
      <c r="A17431" t="s">
        <v>44707</v>
      </c>
      <c r="B17431" t="s">
        <v>44711</v>
      </c>
      <c r="C17431">
        <f>0</f>
        <v>0</v>
      </c>
      <c r="D17431" t="s">
        <v>106</v>
      </c>
      <c r="E17431">
        <v>3.1379999999999999</v>
      </c>
    </row>
    <row r="17432" spans="1:5">
      <c r="A17432" t="s">
        <v>44707</v>
      </c>
      <c r="B17432" t="s">
        <v>44712</v>
      </c>
      <c r="C17432">
        <v>0</v>
      </c>
      <c r="D17432" t="s">
        <v>106</v>
      </c>
      <c r="E17432">
        <v>3.1379999999999999</v>
      </c>
    </row>
    <row r="17433" spans="1:5">
      <c r="A17433" t="s">
        <v>44713</v>
      </c>
      <c r="B17433" t="s">
        <v>29710</v>
      </c>
      <c r="C17433">
        <f>0.740093668762</f>
        <v>0.740093668762</v>
      </c>
      <c r="D17433">
        <v>0.85941398818600001</v>
      </c>
      <c r="E17433">
        <v>3.78</v>
      </c>
    </row>
    <row r="17434" spans="1:5">
      <c r="A17434" t="s">
        <v>44713</v>
      </c>
      <c r="B17434" t="s">
        <v>29711</v>
      </c>
      <c r="C17434">
        <f>0.29885845769</f>
        <v>0.29885845769000002</v>
      </c>
      <c r="D17434">
        <v>0.85941398818600001</v>
      </c>
      <c r="E17434">
        <v>3.78</v>
      </c>
    </row>
    <row r="17435" spans="1:5">
      <c r="A17435" t="s">
        <v>44713</v>
      </c>
      <c r="B17435" t="s">
        <v>29712</v>
      </c>
      <c r="C17435">
        <f>0</f>
        <v>0</v>
      </c>
      <c r="D17435">
        <v>0.85941398818600001</v>
      </c>
      <c r="E17435">
        <v>3.78</v>
      </c>
    </row>
    <row r="17436" spans="1:5">
      <c r="A17436" t="s">
        <v>44714</v>
      </c>
      <c r="B17436" t="s">
        <v>44715</v>
      </c>
      <c r="C17436">
        <f>0</f>
        <v>0</v>
      </c>
      <c r="D17436">
        <v>0.63658190104699997</v>
      </c>
      <c r="E17436">
        <v>23.04</v>
      </c>
    </row>
    <row r="17437" spans="1:5">
      <c r="A17437" t="s">
        <v>44714</v>
      </c>
      <c r="B17437" t="s">
        <v>44716</v>
      </c>
      <c r="C17437">
        <f>0.442971901047</f>
        <v>0.44297190104700002</v>
      </c>
      <c r="D17437">
        <v>0.63658190104699997</v>
      </c>
      <c r="E17437">
        <v>23.04</v>
      </c>
    </row>
    <row r="17438" spans="1:5">
      <c r="A17438" t="s">
        <v>44714</v>
      </c>
      <c r="B17438" t="s">
        <v>44717</v>
      </c>
      <c r="C17438">
        <v>0</v>
      </c>
      <c r="D17438">
        <v>0.63658190104699997</v>
      </c>
      <c r="E17438">
        <v>23.04</v>
      </c>
    </row>
    <row r="17439" spans="1:5">
      <c r="A17439" t="s">
        <v>44718</v>
      </c>
      <c r="B17439" t="s">
        <v>32523</v>
      </c>
      <c r="C17439">
        <f>0.0499675700191</f>
        <v>4.9967570019100002E-2</v>
      </c>
      <c r="D17439">
        <v>0.76397382740399999</v>
      </c>
      <c r="E17439">
        <v>4.4820000000000002</v>
      </c>
    </row>
    <row r="17440" spans="1:5">
      <c r="A17440" t="s">
        <v>44718</v>
      </c>
      <c r="B17440" t="s">
        <v>32520</v>
      </c>
      <c r="C17440">
        <v>0.75610272531699996</v>
      </c>
      <c r="D17440">
        <v>0.76397382740399999</v>
      </c>
      <c r="E17440">
        <v>4.4820000000000002</v>
      </c>
    </row>
    <row r="17441" spans="1:5">
      <c r="A17441" t="s">
        <v>44719</v>
      </c>
      <c r="B17441" t="s">
        <v>44720</v>
      </c>
      <c r="C17441">
        <f>0.479999837437</f>
        <v>0.47999983743699998</v>
      </c>
      <c r="D17441">
        <v>0.71040983743700004</v>
      </c>
      <c r="E17441">
        <v>9.1679999999999993</v>
      </c>
    </row>
    <row r="17442" spans="1:5">
      <c r="A17442" t="s">
        <v>44719</v>
      </c>
      <c r="B17442" t="s">
        <v>44721</v>
      </c>
      <c r="C17442">
        <f>0</f>
        <v>0</v>
      </c>
      <c r="D17442">
        <v>0.71040983743700004</v>
      </c>
      <c r="E17442">
        <v>9.1679999999999993</v>
      </c>
    </row>
    <row r="17443" spans="1:5">
      <c r="A17443" t="s">
        <v>44719</v>
      </c>
      <c r="B17443" t="s">
        <v>44722</v>
      </c>
      <c r="C17443">
        <f>0</f>
        <v>0</v>
      </c>
      <c r="D17443">
        <v>0.71040983743700004</v>
      </c>
      <c r="E17443">
        <v>9.1679999999999993</v>
      </c>
    </row>
    <row r="17444" spans="1:5">
      <c r="A17444" t="s">
        <v>44719</v>
      </c>
      <c r="B17444" t="s">
        <v>44723</v>
      </c>
      <c r="C17444">
        <f>0</f>
        <v>0</v>
      </c>
      <c r="D17444">
        <v>0.71040983743700004</v>
      </c>
      <c r="E17444">
        <v>9.1679999999999993</v>
      </c>
    </row>
    <row r="17445" spans="1:5">
      <c r="A17445" t="s">
        <v>44719</v>
      </c>
      <c r="B17445" t="s">
        <v>44724</v>
      </c>
      <c r="C17445">
        <v>0</v>
      </c>
      <c r="D17445">
        <v>0.71040983743700004</v>
      </c>
      <c r="E17445">
        <v>9.1679999999999993</v>
      </c>
    </row>
    <row r="17446" spans="1:5">
      <c r="A17446" t="s">
        <v>44719</v>
      </c>
      <c r="B17446" t="s">
        <v>44725</v>
      </c>
      <c r="C17446">
        <v>0</v>
      </c>
      <c r="D17446">
        <v>0.71040983743700004</v>
      </c>
      <c r="E17446">
        <v>9.1679999999999993</v>
      </c>
    </row>
    <row r="17447" spans="1:5">
      <c r="A17447" t="s">
        <v>44726</v>
      </c>
      <c r="B17447" t="s">
        <v>44727</v>
      </c>
      <c r="C17447">
        <v>0.42370636250999999</v>
      </c>
      <c r="D17447">
        <v>0.98902779016300002</v>
      </c>
      <c r="E17447">
        <v>3.2280000000000002</v>
      </c>
    </row>
    <row r="17448" spans="1:5">
      <c r="A17448" t="s">
        <v>44726</v>
      </c>
      <c r="B17448" t="s">
        <v>44728</v>
      </c>
      <c r="C17448">
        <v>0.39810306602000001</v>
      </c>
      <c r="D17448">
        <v>0.98902779016300002</v>
      </c>
      <c r="E17448">
        <v>3.2280000000000002</v>
      </c>
    </row>
    <row r="17449" spans="1:5">
      <c r="A17449" t="s">
        <v>44726</v>
      </c>
      <c r="B17449" t="s">
        <v>44729</v>
      </c>
      <c r="C17449">
        <f>0.573333487573</f>
        <v>0.57333348757299996</v>
      </c>
      <c r="D17449">
        <v>0.98902779016300002</v>
      </c>
      <c r="E17449">
        <v>3.2280000000000002</v>
      </c>
    </row>
    <row r="17450" spans="1:5">
      <c r="A17450" t="s">
        <v>44726</v>
      </c>
      <c r="B17450" t="s">
        <v>44730</v>
      </c>
      <c r="C17450">
        <v>7.4697875457400004E-2</v>
      </c>
      <c r="D17450">
        <v>0.98902779016300002</v>
      </c>
      <c r="E17450">
        <v>3.2280000000000002</v>
      </c>
    </row>
    <row r="17451" spans="1:5">
      <c r="A17451" t="s">
        <v>44731</v>
      </c>
      <c r="B17451" t="s">
        <v>25590</v>
      </c>
      <c r="C17451">
        <v>0.61820739304500005</v>
      </c>
      <c r="D17451">
        <v>0.925285270996</v>
      </c>
      <c r="E17451">
        <v>1.512</v>
      </c>
    </row>
    <row r="17452" spans="1:5">
      <c r="A17452" t="s">
        <v>44731</v>
      </c>
      <c r="B17452" t="s">
        <v>25588</v>
      </c>
      <c r="C17452">
        <f>0.848217159809</f>
        <v>0.84821715980900003</v>
      </c>
      <c r="D17452">
        <v>0.925285270996</v>
      </c>
      <c r="E17452">
        <v>1.512</v>
      </c>
    </row>
    <row r="17453" spans="1:5">
      <c r="A17453" t="s">
        <v>44731</v>
      </c>
      <c r="B17453" t="s">
        <v>25589</v>
      </c>
      <c r="C17453">
        <v>0.82956476516699995</v>
      </c>
      <c r="D17453">
        <v>0.925285270996</v>
      </c>
      <c r="E17453">
        <v>1.512</v>
      </c>
    </row>
    <row r="17454" spans="1:5">
      <c r="A17454" t="s">
        <v>44731</v>
      </c>
      <c r="B17454" t="s">
        <v>25593</v>
      </c>
      <c r="C17454">
        <v>7.2414448434700004E-2</v>
      </c>
      <c r="D17454">
        <v>0.925285270996</v>
      </c>
      <c r="E17454">
        <v>1.512</v>
      </c>
    </row>
    <row r="17455" spans="1:5">
      <c r="A17455" t="s">
        <v>44731</v>
      </c>
      <c r="B17455" t="s">
        <v>25592</v>
      </c>
      <c r="C17455">
        <f>0.838397621049</f>
        <v>0.83839762104899995</v>
      </c>
      <c r="D17455">
        <v>0.925285270996</v>
      </c>
      <c r="E17455">
        <v>1.512</v>
      </c>
    </row>
    <row r="17456" spans="1:5">
      <c r="A17456" t="s">
        <v>44732</v>
      </c>
      <c r="B17456" t="s">
        <v>12017</v>
      </c>
      <c r="C17456">
        <f>0</f>
        <v>0</v>
      </c>
      <c r="D17456" t="s">
        <v>106</v>
      </c>
      <c r="E17456">
        <v>15.708</v>
      </c>
    </row>
    <row r="17457" spans="1:5">
      <c r="A17457" t="s">
        <v>44732</v>
      </c>
      <c r="B17457" t="s">
        <v>12016</v>
      </c>
      <c r="C17457">
        <f>0</f>
        <v>0</v>
      </c>
      <c r="D17457" t="s">
        <v>106</v>
      </c>
      <c r="E17457">
        <v>15.708</v>
      </c>
    </row>
    <row r="17458" spans="1:5">
      <c r="A17458" t="s">
        <v>44732</v>
      </c>
      <c r="B17458" t="s">
        <v>12019</v>
      </c>
      <c r="C17458">
        <v>0</v>
      </c>
      <c r="D17458" t="s">
        <v>106</v>
      </c>
      <c r="E17458">
        <v>15.708</v>
      </c>
    </row>
    <row r="17459" spans="1:5">
      <c r="A17459" t="s">
        <v>44732</v>
      </c>
      <c r="B17459" t="s">
        <v>12020</v>
      </c>
      <c r="C17459">
        <f>0</f>
        <v>0</v>
      </c>
      <c r="D17459" t="s">
        <v>106</v>
      </c>
      <c r="E17459">
        <v>15.708</v>
      </c>
    </row>
    <row r="17460" spans="1:5">
      <c r="A17460" t="s">
        <v>44732</v>
      </c>
      <c r="B17460" t="s">
        <v>12018</v>
      </c>
      <c r="C17460">
        <v>0</v>
      </c>
      <c r="D17460" t="s">
        <v>106</v>
      </c>
      <c r="E17460">
        <v>15.708</v>
      </c>
    </row>
    <row r="17461" spans="1:5">
      <c r="A17461" t="s">
        <v>44733</v>
      </c>
      <c r="B17461" t="s">
        <v>3706</v>
      </c>
      <c r="C17461">
        <f>0</f>
        <v>0</v>
      </c>
      <c r="D17461" t="s">
        <v>106</v>
      </c>
      <c r="E17461">
        <v>0.192</v>
      </c>
    </row>
    <row r="17462" spans="1:5">
      <c r="A17462" t="s">
        <v>44733</v>
      </c>
      <c r="B17462" t="s">
        <v>3707</v>
      </c>
      <c r="C17462">
        <f>0</f>
        <v>0</v>
      </c>
      <c r="D17462" t="s">
        <v>106</v>
      </c>
      <c r="E17462">
        <v>0.192</v>
      </c>
    </row>
    <row r="17463" spans="1:5">
      <c r="A17463" t="s">
        <v>44734</v>
      </c>
      <c r="B17463" t="s">
        <v>13061</v>
      </c>
      <c r="C17463">
        <f>0</f>
        <v>0</v>
      </c>
      <c r="D17463">
        <v>0.72071567955000004</v>
      </c>
      <c r="E17463">
        <v>6.06</v>
      </c>
    </row>
    <row r="17464" spans="1:5">
      <c r="A17464" t="s">
        <v>44734</v>
      </c>
      <c r="B17464" t="s">
        <v>13064</v>
      </c>
      <c r="C17464">
        <v>0</v>
      </c>
      <c r="D17464">
        <v>0.72071567955000004</v>
      </c>
      <c r="E17464">
        <v>6.06</v>
      </c>
    </row>
    <row r="17465" spans="1:5">
      <c r="A17465" t="s">
        <v>44734</v>
      </c>
      <c r="B17465" t="s">
        <v>13066</v>
      </c>
      <c r="C17465">
        <v>0</v>
      </c>
      <c r="D17465">
        <v>0.72071567955000004</v>
      </c>
      <c r="E17465">
        <v>6.06</v>
      </c>
    </row>
    <row r="17466" spans="1:5">
      <c r="A17466" t="s">
        <v>44734</v>
      </c>
      <c r="B17466" t="s">
        <v>13067</v>
      </c>
      <c r="C17466">
        <f>0</f>
        <v>0</v>
      </c>
      <c r="D17466">
        <v>0.72071567955000004</v>
      </c>
      <c r="E17466">
        <v>6.06</v>
      </c>
    </row>
    <row r="17467" spans="1:5">
      <c r="A17467" t="s">
        <v>44734</v>
      </c>
      <c r="B17467" t="s">
        <v>13068</v>
      </c>
      <c r="C17467">
        <f>0</f>
        <v>0</v>
      </c>
      <c r="D17467">
        <v>0.72071567955000004</v>
      </c>
      <c r="E17467">
        <v>6.06</v>
      </c>
    </row>
    <row r="17468" spans="1:5">
      <c r="A17468" t="s">
        <v>44734</v>
      </c>
      <c r="B17468" t="s">
        <v>13070</v>
      </c>
      <c r="C17468">
        <v>0</v>
      </c>
      <c r="D17468">
        <v>0.72071567955000004</v>
      </c>
      <c r="E17468">
        <v>6.06</v>
      </c>
    </row>
    <row r="17469" spans="1:5">
      <c r="A17469" t="s">
        <v>44734</v>
      </c>
      <c r="B17469" t="s">
        <v>13065</v>
      </c>
      <c r="C17469">
        <f>0</f>
        <v>0</v>
      </c>
      <c r="D17469">
        <v>0.72071567955000004</v>
      </c>
      <c r="E17469">
        <v>6.06</v>
      </c>
    </row>
    <row r="17470" spans="1:5">
      <c r="A17470" t="s">
        <v>44734</v>
      </c>
      <c r="B17470" t="s">
        <v>13063</v>
      </c>
      <c r="C17470">
        <f>0.0196109188011</f>
        <v>1.96109188011E-2</v>
      </c>
      <c r="D17470">
        <v>0.72071567955000004</v>
      </c>
      <c r="E17470">
        <v>6.06</v>
      </c>
    </row>
    <row r="17471" spans="1:5">
      <c r="A17471" t="s">
        <v>44734</v>
      </c>
      <c r="B17471" t="s">
        <v>13071</v>
      </c>
      <c r="C17471">
        <v>0</v>
      </c>
      <c r="D17471">
        <v>0.72071567955000004</v>
      </c>
      <c r="E17471">
        <v>6.06</v>
      </c>
    </row>
    <row r="17472" spans="1:5">
      <c r="A17472" t="s">
        <v>44734</v>
      </c>
      <c r="B17472" t="s">
        <v>13069</v>
      </c>
      <c r="C17472">
        <f>0.432697260443</f>
        <v>0.432697260443</v>
      </c>
      <c r="D17472">
        <v>0.72071567955000004</v>
      </c>
      <c r="E17472">
        <v>6.06</v>
      </c>
    </row>
    <row r="17473" spans="1:5">
      <c r="A17473" t="s">
        <v>44735</v>
      </c>
      <c r="B17473" t="s">
        <v>33897</v>
      </c>
      <c r="C17473">
        <v>0</v>
      </c>
      <c r="D17473" t="s">
        <v>106</v>
      </c>
      <c r="E17473">
        <v>24</v>
      </c>
    </row>
    <row r="17474" spans="1:5">
      <c r="A17474" t="s">
        <v>44735</v>
      </c>
      <c r="B17474" t="s">
        <v>33902</v>
      </c>
      <c r="C17474">
        <v>0</v>
      </c>
      <c r="D17474" t="s">
        <v>106</v>
      </c>
      <c r="E17474">
        <v>24</v>
      </c>
    </row>
    <row r="17475" spans="1:5">
      <c r="A17475" t="s">
        <v>44735</v>
      </c>
      <c r="B17475" t="s">
        <v>33903</v>
      </c>
      <c r="C17475">
        <f>0</f>
        <v>0</v>
      </c>
      <c r="D17475" t="s">
        <v>106</v>
      </c>
      <c r="E17475">
        <v>24</v>
      </c>
    </row>
    <row r="17476" spans="1:5">
      <c r="A17476" t="s">
        <v>44735</v>
      </c>
      <c r="B17476" t="s">
        <v>33900</v>
      </c>
      <c r="C17476">
        <v>0</v>
      </c>
      <c r="D17476" t="s">
        <v>106</v>
      </c>
      <c r="E17476">
        <v>24</v>
      </c>
    </row>
    <row r="17477" spans="1:5">
      <c r="A17477" t="s">
        <v>44735</v>
      </c>
      <c r="B17477" t="s">
        <v>33901</v>
      </c>
      <c r="C17477">
        <v>0</v>
      </c>
      <c r="D17477" t="s">
        <v>106</v>
      </c>
      <c r="E17477">
        <v>24</v>
      </c>
    </row>
    <row r="17478" spans="1:5">
      <c r="A17478" t="s">
        <v>44736</v>
      </c>
      <c r="B17478" t="s">
        <v>34426</v>
      </c>
      <c r="C17478">
        <f>0.427161830018</f>
        <v>0.42716183001800001</v>
      </c>
      <c r="D17478">
        <v>0.69471615782200002</v>
      </c>
      <c r="E17478">
        <v>5.3520000000000003</v>
      </c>
    </row>
    <row r="17479" spans="1:5">
      <c r="A17479" t="s">
        <v>44736</v>
      </c>
      <c r="B17479" t="s">
        <v>34424</v>
      </c>
      <c r="C17479">
        <f>0.641489709927</f>
        <v>0.64148970992700005</v>
      </c>
      <c r="D17479">
        <v>0.69471615782200002</v>
      </c>
      <c r="E17479">
        <v>5.3520000000000003</v>
      </c>
    </row>
    <row r="17480" spans="1:5">
      <c r="A17480" t="s">
        <v>44736</v>
      </c>
      <c r="B17480" t="s">
        <v>34425</v>
      </c>
      <c r="C17480">
        <f>0.205508433064</f>
        <v>0.20550843306399999</v>
      </c>
      <c r="D17480">
        <v>0.69471615782200002</v>
      </c>
      <c r="E17480">
        <v>5.3520000000000003</v>
      </c>
    </row>
    <row r="17481" spans="1:5">
      <c r="A17481" t="s">
        <v>44737</v>
      </c>
      <c r="B17481" t="s">
        <v>23933</v>
      </c>
      <c r="C17481">
        <f>0</f>
        <v>0</v>
      </c>
      <c r="D17481" t="s">
        <v>106</v>
      </c>
      <c r="E17481">
        <v>24</v>
      </c>
    </row>
    <row r="17482" spans="1:5">
      <c r="A17482" t="s">
        <v>44737</v>
      </c>
      <c r="B17482" t="s">
        <v>23934</v>
      </c>
      <c r="C17482">
        <v>0</v>
      </c>
      <c r="D17482" t="s">
        <v>106</v>
      </c>
      <c r="E17482">
        <v>24</v>
      </c>
    </row>
    <row r="17483" spans="1:5">
      <c r="A17483" t="s">
        <v>44738</v>
      </c>
      <c r="B17483" t="s">
        <v>24221</v>
      </c>
      <c r="C17483">
        <v>1.01890749076</v>
      </c>
      <c r="D17483">
        <v>0.89490889827700004</v>
      </c>
      <c r="E17483">
        <v>0</v>
      </c>
    </row>
    <row r="17484" spans="1:5">
      <c r="A17484" t="s">
        <v>44738</v>
      </c>
      <c r="B17484" t="s">
        <v>24223</v>
      </c>
      <c r="C17484">
        <f>0.274388825543</f>
        <v>0.27438882554299998</v>
      </c>
      <c r="D17484">
        <v>0.89490889827700004</v>
      </c>
      <c r="E17484">
        <v>0</v>
      </c>
    </row>
    <row r="17485" spans="1:5">
      <c r="A17485" t="s">
        <v>44739</v>
      </c>
      <c r="B17485" t="s">
        <v>44740</v>
      </c>
      <c r="C17485">
        <v>0.67416348241099999</v>
      </c>
      <c r="D17485">
        <v>0.80506869944500004</v>
      </c>
      <c r="E17485">
        <v>5.2380000000000004</v>
      </c>
    </row>
    <row r="17486" spans="1:5">
      <c r="A17486" t="s">
        <v>44739</v>
      </c>
      <c r="B17486" t="s">
        <v>44741</v>
      </c>
      <c r="C17486">
        <v>0</v>
      </c>
      <c r="D17486">
        <v>0.80506869944500004</v>
      </c>
      <c r="E17486">
        <v>5.2380000000000004</v>
      </c>
    </row>
    <row r="17487" spans="1:5">
      <c r="A17487" t="s">
        <v>44739</v>
      </c>
      <c r="B17487" t="s">
        <v>44742</v>
      </c>
      <c r="C17487">
        <f>0</f>
        <v>0</v>
      </c>
      <c r="D17487">
        <v>0.80506869944500004</v>
      </c>
      <c r="E17487">
        <v>5.2380000000000004</v>
      </c>
    </row>
    <row r="17488" spans="1:5">
      <c r="A17488" t="s">
        <v>44739</v>
      </c>
      <c r="B17488" t="s">
        <v>44743</v>
      </c>
      <c r="C17488">
        <v>8.4995899731700006E-2</v>
      </c>
      <c r="D17488">
        <v>0.80506869944500004</v>
      </c>
      <c r="E17488">
        <v>5.2380000000000004</v>
      </c>
    </row>
    <row r="17489" spans="1:5">
      <c r="A17489" t="s">
        <v>44744</v>
      </c>
      <c r="B17489" t="s">
        <v>14871</v>
      </c>
      <c r="C17489">
        <v>0</v>
      </c>
      <c r="D17489">
        <v>0.97607128069000004</v>
      </c>
      <c r="E17489">
        <v>5.1239999999999997</v>
      </c>
    </row>
    <row r="17490" spans="1:5">
      <c r="A17490" t="s">
        <v>44744</v>
      </c>
      <c r="B17490" t="s">
        <v>14875</v>
      </c>
      <c r="C17490">
        <f>0</f>
        <v>0</v>
      </c>
      <c r="D17490">
        <v>0.97607128069000004</v>
      </c>
      <c r="E17490">
        <v>5.1239999999999997</v>
      </c>
    </row>
    <row r="17491" spans="1:5">
      <c r="A17491" t="s">
        <v>44744</v>
      </c>
      <c r="B17491" t="s">
        <v>14873</v>
      </c>
      <c r="C17491">
        <f>0.0669448982105</f>
        <v>6.6944898210499995E-2</v>
      </c>
      <c r="D17491">
        <v>0.97607128069000004</v>
      </c>
      <c r="E17491">
        <v>5.1239999999999997</v>
      </c>
    </row>
    <row r="17492" spans="1:5">
      <c r="A17492" t="s">
        <v>44744</v>
      </c>
      <c r="B17492" t="s">
        <v>14879</v>
      </c>
      <c r="C17492">
        <f>0.0532465361894</f>
        <v>5.32465361894E-2</v>
      </c>
      <c r="D17492">
        <v>0.97607128069000004</v>
      </c>
      <c r="E17492">
        <v>5.1239999999999997</v>
      </c>
    </row>
    <row r="17493" spans="1:5">
      <c r="A17493" t="s">
        <v>44744</v>
      </c>
      <c r="B17493" t="s">
        <v>14880</v>
      </c>
      <c r="C17493">
        <v>0</v>
      </c>
      <c r="D17493">
        <v>0.97607128069000004</v>
      </c>
      <c r="E17493">
        <v>5.1239999999999997</v>
      </c>
    </row>
    <row r="17494" spans="1:5">
      <c r="A17494" t="s">
        <v>44744</v>
      </c>
      <c r="B17494" t="s">
        <v>14872</v>
      </c>
      <c r="C17494">
        <v>0</v>
      </c>
      <c r="D17494">
        <v>0.97607128069000004</v>
      </c>
      <c r="E17494">
        <v>5.1239999999999997</v>
      </c>
    </row>
    <row r="17495" spans="1:5">
      <c r="A17495" t="s">
        <v>44744</v>
      </c>
      <c r="B17495" t="s">
        <v>14874</v>
      </c>
      <c r="C17495">
        <f>0.870339798601</f>
        <v>0.87033979860099997</v>
      </c>
      <c r="D17495">
        <v>0.97607128069000004</v>
      </c>
      <c r="E17495">
        <v>5.1239999999999997</v>
      </c>
    </row>
    <row r="17496" spans="1:5">
      <c r="A17496" t="s">
        <v>44744</v>
      </c>
      <c r="B17496" t="s">
        <v>14877</v>
      </c>
      <c r="C17496">
        <f>0</f>
        <v>0</v>
      </c>
      <c r="D17496">
        <v>0.97607128069000004</v>
      </c>
      <c r="E17496">
        <v>5.1239999999999997</v>
      </c>
    </row>
    <row r="17497" spans="1:5">
      <c r="A17497" t="s">
        <v>44744</v>
      </c>
      <c r="B17497" t="s">
        <v>14881</v>
      </c>
      <c r="C17497">
        <f>0</f>
        <v>0</v>
      </c>
      <c r="D17497">
        <v>0.97607128069000004</v>
      </c>
      <c r="E17497">
        <v>5.1239999999999997</v>
      </c>
    </row>
    <row r="17498" spans="1:5">
      <c r="A17498" t="s">
        <v>44745</v>
      </c>
      <c r="B17498" t="s">
        <v>14384</v>
      </c>
      <c r="C17498">
        <v>0.37347157518399998</v>
      </c>
      <c r="D17498">
        <v>0.81460360376399998</v>
      </c>
      <c r="E17498">
        <v>12.048</v>
      </c>
    </row>
    <row r="17499" spans="1:5">
      <c r="A17499" t="s">
        <v>44745</v>
      </c>
      <c r="B17499" t="s">
        <v>14386</v>
      </c>
      <c r="C17499">
        <v>0.73249529781400002</v>
      </c>
      <c r="D17499">
        <v>0.81460360376399998</v>
      </c>
      <c r="E17499">
        <v>12.048</v>
      </c>
    </row>
    <row r="17500" spans="1:5">
      <c r="A17500" t="s">
        <v>44746</v>
      </c>
      <c r="B17500" t="s">
        <v>44747</v>
      </c>
      <c r="C17500">
        <f>0.00629444769889</f>
        <v>6.2944476988899996E-3</v>
      </c>
      <c r="D17500">
        <v>0.79398325695399996</v>
      </c>
      <c r="E17500">
        <v>0.318</v>
      </c>
    </row>
    <row r="17501" spans="1:5">
      <c r="A17501" t="s">
        <v>44746</v>
      </c>
      <c r="B17501" t="s">
        <v>44748</v>
      </c>
      <c r="C17501">
        <v>0</v>
      </c>
      <c r="D17501">
        <v>0.79398325695399996</v>
      </c>
      <c r="E17501">
        <v>0.318</v>
      </c>
    </row>
    <row r="17502" spans="1:5">
      <c r="A17502" t="s">
        <v>44746</v>
      </c>
      <c r="B17502" t="s">
        <v>44749</v>
      </c>
      <c r="C17502">
        <v>0.51907555434599995</v>
      </c>
      <c r="D17502">
        <v>0.79398325695399996</v>
      </c>
      <c r="E17502">
        <v>0.318</v>
      </c>
    </row>
    <row r="17503" spans="1:5">
      <c r="A17503" t="s">
        <v>44746</v>
      </c>
      <c r="B17503" t="s">
        <v>44750</v>
      </c>
      <c r="C17503">
        <v>0</v>
      </c>
      <c r="D17503">
        <v>0.79398325695399996</v>
      </c>
      <c r="E17503">
        <v>0.318</v>
      </c>
    </row>
    <row r="17504" spans="1:5">
      <c r="A17504" t="s">
        <v>44746</v>
      </c>
      <c r="B17504" t="s">
        <v>44751</v>
      </c>
      <c r="C17504">
        <v>0</v>
      </c>
      <c r="D17504">
        <v>0.79398325695399996</v>
      </c>
      <c r="E17504">
        <v>0.318</v>
      </c>
    </row>
    <row r="17505" spans="1:5">
      <c r="A17505" t="s">
        <v>44746</v>
      </c>
      <c r="B17505" t="s">
        <v>44752</v>
      </c>
      <c r="C17505">
        <v>0</v>
      </c>
      <c r="D17505">
        <v>0.79398325695399996</v>
      </c>
      <c r="E17505">
        <v>0.318</v>
      </c>
    </row>
    <row r="17506" spans="1:5">
      <c r="A17506" t="s">
        <v>44746</v>
      </c>
      <c r="B17506" t="s">
        <v>44753</v>
      </c>
      <c r="C17506">
        <v>0</v>
      </c>
      <c r="D17506">
        <v>0.79398325695399996</v>
      </c>
      <c r="E17506">
        <v>0.318</v>
      </c>
    </row>
    <row r="17507" spans="1:5">
      <c r="A17507" t="s">
        <v>44746</v>
      </c>
      <c r="B17507" t="s">
        <v>44754</v>
      </c>
      <c r="C17507">
        <v>0</v>
      </c>
      <c r="D17507">
        <v>0.79398325695399996</v>
      </c>
      <c r="E17507">
        <v>0.318</v>
      </c>
    </row>
    <row r="17508" spans="1:5">
      <c r="A17508" t="s">
        <v>44746</v>
      </c>
      <c r="B17508" t="s">
        <v>44755</v>
      </c>
      <c r="C17508">
        <v>0</v>
      </c>
      <c r="D17508">
        <v>0.79398325695399996</v>
      </c>
      <c r="E17508">
        <v>0.318</v>
      </c>
    </row>
    <row r="17509" spans="1:5">
      <c r="A17509" t="s">
        <v>44746</v>
      </c>
      <c r="B17509" t="s">
        <v>44756</v>
      </c>
      <c r="C17509">
        <f>0</f>
        <v>0</v>
      </c>
      <c r="D17509">
        <v>0.79398325695399996</v>
      </c>
      <c r="E17509">
        <v>0.318</v>
      </c>
    </row>
    <row r="17510" spans="1:5">
      <c r="A17510" t="s">
        <v>44746</v>
      </c>
      <c r="B17510" t="s">
        <v>44757</v>
      </c>
      <c r="C17510">
        <v>0</v>
      </c>
      <c r="D17510">
        <v>0.79398325695399996</v>
      </c>
      <c r="E17510">
        <v>0.318</v>
      </c>
    </row>
    <row r="17511" spans="1:5">
      <c r="A17511" t="s">
        <v>44746</v>
      </c>
      <c r="B17511" t="s">
        <v>44758</v>
      </c>
      <c r="C17511">
        <v>0</v>
      </c>
      <c r="D17511">
        <v>0.79398325695399996</v>
      </c>
      <c r="E17511">
        <v>0.318</v>
      </c>
    </row>
    <row r="17512" spans="1:5">
      <c r="A17512" t="s">
        <v>44759</v>
      </c>
      <c r="B17512" t="s">
        <v>44760</v>
      </c>
      <c r="C17512">
        <f>0.355453508984</f>
        <v>0.35545350898400002</v>
      </c>
      <c r="D17512">
        <v>0.85730020098100002</v>
      </c>
      <c r="E17512">
        <v>11.538</v>
      </c>
    </row>
    <row r="17513" spans="1:5">
      <c r="A17513" t="s">
        <v>44759</v>
      </c>
      <c r="B17513" t="s">
        <v>44761</v>
      </c>
      <c r="C17513">
        <f>0.787412394008</f>
        <v>0.78741239400800001</v>
      </c>
      <c r="D17513">
        <v>0.85730020098100002</v>
      </c>
      <c r="E17513">
        <v>11.538</v>
      </c>
    </row>
    <row r="17514" spans="1:5">
      <c r="A17514" t="s">
        <v>44759</v>
      </c>
      <c r="B17514" t="s">
        <v>44762</v>
      </c>
      <c r="C17514">
        <v>1.0169072803999999</v>
      </c>
      <c r="D17514">
        <v>0.85730020098100002</v>
      </c>
      <c r="E17514">
        <v>11.538</v>
      </c>
    </row>
    <row r="17515" spans="1:5">
      <c r="A17515" t="s">
        <v>44763</v>
      </c>
      <c r="B17515" t="s">
        <v>44764</v>
      </c>
      <c r="C17515">
        <f>0.460728802416</f>
        <v>0.46072880241600001</v>
      </c>
      <c r="D17515">
        <v>0.89781955309299999</v>
      </c>
      <c r="E17515">
        <v>6.06</v>
      </c>
    </row>
    <row r="17516" spans="1:5">
      <c r="A17516" t="s">
        <v>44763</v>
      </c>
      <c r="B17516" t="s">
        <v>44765</v>
      </c>
      <c r="C17516">
        <f>-1.07278441028</f>
        <v>-1.0727844102799999</v>
      </c>
      <c r="D17516">
        <v>0.89781955309299999</v>
      </c>
      <c r="E17516">
        <v>6.06</v>
      </c>
    </row>
    <row r="17517" spans="1:5">
      <c r="A17517" t="s">
        <v>44766</v>
      </c>
      <c r="B17517" t="s">
        <v>10341</v>
      </c>
      <c r="C17517">
        <v>0.34365320433399998</v>
      </c>
      <c r="D17517">
        <v>0.98637419356900002</v>
      </c>
      <c r="E17517">
        <v>5.58</v>
      </c>
    </row>
    <row r="17518" spans="1:5">
      <c r="A17518" t="s">
        <v>44766</v>
      </c>
      <c r="B17518" t="s">
        <v>10352</v>
      </c>
      <c r="C17518">
        <v>0.16443292764600001</v>
      </c>
      <c r="D17518">
        <v>0.98637419356900002</v>
      </c>
      <c r="E17518">
        <v>5.58</v>
      </c>
    </row>
    <row r="17519" spans="1:5">
      <c r="A17519" t="s">
        <v>44766</v>
      </c>
      <c r="B17519" t="s">
        <v>10351</v>
      </c>
      <c r="C17519">
        <v>1.58900734757</v>
      </c>
      <c r="D17519">
        <v>0.98637419356900002</v>
      </c>
      <c r="E17519">
        <v>5.58</v>
      </c>
    </row>
    <row r="17520" spans="1:5">
      <c r="A17520" t="s">
        <v>44766</v>
      </c>
      <c r="B17520" t="s">
        <v>10343</v>
      </c>
      <c r="C17520">
        <f>-1.21641489601</f>
        <v>-1.2164148960100001</v>
      </c>
      <c r="D17520">
        <v>0.98637419356900002</v>
      </c>
      <c r="E17520">
        <v>5.58</v>
      </c>
    </row>
    <row r="17521" spans="1:5">
      <c r="A17521" t="s">
        <v>44766</v>
      </c>
      <c r="B17521" t="s">
        <v>10342</v>
      </c>
      <c r="C17521">
        <f>-1.24455711919</f>
        <v>-1.24455711919</v>
      </c>
      <c r="D17521">
        <v>0.98637419356900002</v>
      </c>
      <c r="E17521">
        <v>5.58</v>
      </c>
    </row>
    <row r="17522" spans="1:5">
      <c r="A17522" t="s">
        <v>44767</v>
      </c>
      <c r="B17522" t="s">
        <v>9637</v>
      </c>
      <c r="C17522">
        <v>0</v>
      </c>
      <c r="D17522" t="s">
        <v>106</v>
      </c>
      <c r="E17522">
        <v>5.1239999999999997</v>
      </c>
    </row>
    <row r="17523" spans="1:5">
      <c r="A17523" t="s">
        <v>44767</v>
      </c>
      <c r="B17523" t="s">
        <v>9639</v>
      </c>
      <c r="C17523">
        <v>0</v>
      </c>
      <c r="D17523" t="s">
        <v>106</v>
      </c>
      <c r="E17523">
        <v>5.1239999999999997</v>
      </c>
    </row>
    <row r="17524" spans="1:5">
      <c r="A17524" t="s">
        <v>44767</v>
      </c>
      <c r="B17524" t="s">
        <v>9641</v>
      </c>
      <c r="C17524">
        <f>0</f>
        <v>0</v>
      </c>
      <c r="D17524" t="s">
        <v>106</v>
      </c>
      <c r="E17524">
        <v>5.1239999999999997</v>
      </c>
    </row>
    <row r="17525" spans="1:5">
      <c r="A17525" t="s">
        <v>44767</v>
      </c>
      <c r="B17525" t="s">
        <v>9643</v>
      </c>
      <c r="C17525">
        <v>0</v>
      </c>
      <c r="D17525" t="s">
        <v>106</v>
      </c>
      <c r="E17525">
        <v>5.1239999999999997</v>
      </c>
    </row>
    <row r="17526" spans="1:5">
      <c r="A17526" t="s">
        <v>44767</v>
      </c>
      <c r="B17526" t="s">
        <v>44768</v>
      </c>
      <c r="C17526">
        <v>0</v>
      </c>
      <c r="D17526" t="s">
        <v>106</v>
      </c>
      <c r="E17526">
        <v>5.1239999999999997</v>
      </c>
    </row>
    <row r="17527" spans="1:5">
      <c r="A17527" t="s">
        <v>44767</v>
      </c>
      <c r="B17527" t="s">
        <v>9644</v>
      </c>
      <c r="C17527">
        <v>0</v>
      </c>
      <c r="D17527" t="s">
        <v>106</v>
      </c>
      <c r="E17527">
        <v>5.1239999999999997</v>
      </c>
    </row>
    <row r="17528" spans="1:5">
      <c r="A17528" t="s">
        <v>44767</v>
      </c>
      <c r="B17528" t="s">
        <v>9640</v>
      </c>
      <c r="C17528">
        <v>0</v>
      </c>
      <c r="D17528" t="s">
        <v>106</v>
      </c>
      <c r="E17528">
        <v>5.1239999999999997</v>
      </c>
    </row>
    <row r="17529" spans="1:5">
      <c r="A17529" t="s">
        <v>44767</v>
      </c>
      <c r="B17529" t="s">
        <v>9638</v>
      </c>
      <c r="C17529">
        <f>0</f>
        <v>0</v>
      </c>
      <c r="D17529" t="s">
        <v>106</v>
      </c>
      <c r="E17529">
        <v>5.1239999999999997</v>
      </c>
    </row>
    <row r="17530" spans="1:5">
      <c r="A17530" t="s">
        <v>44767</v>
      </c>
      <c r="B17530" t="s">
        <v>9642</v>
      </c>
      <c r="C17530">
        <v>0</v>
      </c>
      <c r="D17530" t="s">
        <v>106</v>
      </c>
      <c r="E17530">
        <v>5.1239999999999997</v>
      </c>
    </row>
    <row r="17531" spans="1:5">
      <c r="A17531" t="s">
        <v>44769</v>
      </c>
      <c r="B17531" t="s">
        <v>25282</v>
      </c>
      <c r="C17531">
        <v>0.96740029954600004</v>
      </c>
      <c r="D17531">
        <v>0.96355308735300005</v>
      </c>
      <c r="E17531">
        <v>0.17399999999999999</v>
      </c>
    </row>
    <row r="17532" spans="1:5">
      <c r="A17532" t="s">
        <v>44769</v>
      </c>
      <c r="B17532" t="s">
        <v>25291</v>
      </c>
      <c r="C17532">
        <v>1.0026159086199999</v>
      </c>
      <c r="D17532">
        <v>0.96355308735300005</v>
      </c>
      <c r="E17532">
        <v>0.17399999999999999</v>
      </c>
    </row>
    <row r="17533" spans="1:5">
      <c r="A17533" t="s">
        <v>44769</v>
      </c>
      <c r="B17533" t="s">
        <v>25290</v>
      </c>
      <c r="C17533">
        <f>0.456496758761</f>
        <v>0.45649675876099999</v>
      </c>
      <c r="D17533">
        <v>0.96355308735300005</v>
      </c>
      <c r="E17533">
        <v>0.17399999999999999</v>
      </c>
    </row>
    <row r="17534" spans="1:5">
      <c r="A17534" t="s">
        <v>44769</v>
      </c>
      <c r="B17534" t="s">
        <v>25284</v>
      </c>
      <c r="C17534">
        <v>1.0124443831200001</v>
      </c>
      <c r="D17534">
        <v>0.96355308735300005</v>
      </c>
      <c r="E17534">
        <v>0.17399999999999999</v>
      </c>
    </row>
    <row r="17535" spans="1:5">
      <c r="A17535" t="s">
        <v>44769</v>
      </c>
      <c r="B17535" t="s">
        <v>25292</v>
      </c>
      <c r="C17535">
        <v>0.51124801425400002</v>
      </c>
      <c r="D17535">
        <v>0.96355308735300005</v>
      </c>
      <c r="E17535">
        <v>0.17399999999999999</v>
      </c>
    </row>
    <row r="17536" spans="1:5">
      <c r="A17536" t="s">
        <v>44770</v>
      </c>
      <c r="B17536" t="s">
        <v>14621</v>
      </c>
      <c r="C17536">
        <v>0.59145872023500001</v>
      </c>
      <c r="D17536">
        <v>0.76016156747200003</v>
      </c>
      <c r="E17536">
        <v>0</v>
      </c>
    </row>
    <row r="17537" spans="1:5">
      <c r="A17537" t="s">
        <v>44770</v>
      </c>
      <c r="B17537" t="s">
        <v>14623</v>
      </c>
      <c r="C17537">
        <f>0.268070263451</f>
        <v>0.26807026345099999</v>
      </c>
      <c r="D17537">
        <v>0.76016156747200003</v>
      </c>
      <c r="E17537">
        <v>0</v>
      </c>
    </row>
    <row r="17538" spans="1:5">
      <c r="A17538" t="s">
        <v>44771</v>
      </c>
      <c r="B17538" t="s">
        <v>33624</v>
      </c>
      <c r="C17538">
        <f>0</f>
        <v>0</v>
      </c>
      <c r="D17538" t="s">
        <v>106</v>
      </c>
      <c r="E17538">
        <v>12.917999999999999</v>
      </c>
    </row>
    <row r="17539" spans="1:5">
      <c r="A17539" t="s">
        <v>44771</v>
      </c>
      <c r="B17539" t="s">
        <v>33625</v>
      </c>
      <c r="C17539">
        <f>0</f>
        <v>0</v>
      </c>
      <c r="D17539" t="s">
        <v>106</v>
      </c>
      <c r="E17539">
        <v>12.917999999999999</v>
      </c>
    </row>
    <row r="17540" spans="1:5">
      <c r="A17540" t="s">
        <v>44772</v>
      </c>
      <c r="B17540" t="s">
        <v>8555</v>
      </c>
      <c r="C17540">
        <f>0.0919739747825</f>
        <v>9.1973974782499995E-2</v>
      </c>
      <c r="D17540">
        <v>0.99999773391199998</v>
      </c>
      <c r="E17540">
        <v>11.37</v>
      </c>
    </row>
    <row r="17541" spans="1:5">
      <c r="A17541" t="s">
        <v>44772</v>
      </c>
      <c r="B17541" t="s">
        <v>8547</v>
      </c>
      <c r="C17541">
        <v>1.28683203806</v>
      </c>
      <c r="D17541">
        <v>0.99999773391199998</v>
      </c>
      <c r="E17541">
        <v>11.37</v>
      </c>
    </row>
    <row r="17542" spans="1:5">
      <c r="A17542" t="s">
        <v>44772</v>
      </c>
      <c r="B17542" t="s">
        <v>8556</v>
      </c>
      <c r="C17542">
        <f>0.124956172144</f>
        <v>0.124956172144</v>
      </c>
      <c r="D17542">
        <v>0.99999773391199998</v>
      </c>
      <c r="E17542">
        <v>11.37</v>
      </c>
    </row>
    <row r="17543" spans="1:5">
      <c r="A17543" t="s">
        <v>44772</v>
      </c>
      <c r="B17543" t="s">
        <v>8550</v>
      </c>
      <c r="C17543">
        <f>0.903505984649</f>
        <v>0.903505984649</v>
      </c>
      <c r="D17543">
        <v>0.99999773391199998</v>
      </c>
      <c r="E17543">
        <v>11.37</v>
      </c>
    </row>
    <row r="17544" spans="1:5">
      <c r="A17544" t="s">
        <v>44772</v>
      </c>
      <c r="B17544" t="s">
        <v>8549</v>
      </c>
      <c r="C17544">
        <v>0.15150035342900001</v>
      </c>
      <c r="D17544">
        <v>0.99999773391199998</v>
      </c>
      <c r="E17544">
        <v>11.37</v>
      </c>
    </row>
    <row r="17545" spans="1:5">
      <c r="A17545" t="s">
        <v>44772</v>
      </c>
      <c r="B17545" t="s">
        <v>8553</v>
      </c>
      <c r="C17545">
        <f>0.833623912642</f>
        <v>0.83362391264199998</v>
      </c>
      <c r="D17545">
        <v>0.99999773391199998</v>
      </c>
      <c r="E17545">
        <v>11.37</v>
      </c>
    </row>
    <row r="17546" spans="1:5">
      <c r="A17546" t="s">
        <v>44772</v>
      </c>
      <c r="B17546" t="s">
        <v>8552</v>
      </c>
      <c r="C17546">
        <v>5.0070608416499997E-2</v>
      </c>
      <c r="D17546">
        <v>0.99999773391199998</v>
      </c>
      <c r="E17546">
        <v>11.37</v>
      </c>
    </row>
    <row r="17547" spans="1:5">
      <c r="A17547" t="s">
        <v>44772</v>
      </c>
      <c r="B17547" t="s">
        <v>44773</v>
      </c>
      <c r="C17547">
        <v>7.13275918846E-2</v>
      </c>
      <c r="D17547">
        <v>0.99999773391199998</v>
      </c>
      <c r="E17547">
        <v>11.37</v>
      </c>
    </row>
    <row r="17548" spans="1:5">
      <c r="A17548" t="s">
        <v>44774</v>
      </c>
      <c r="B17548" t="s">
        <v>27549</v>
      </c>
      <c r="C17548">
        <f>0.646674946068</f>
        <v>0.64667494606800002</v>
      </c>
      <c r="D17548">
        <v>0.96823383110399996</v>
      </c>
      <c r="E17548">
        <v>8.2919999999999998</v>
      </c>
    </row>
    <row r="17549" spans="1:5">
      <c r="A17549" t="s">
        <v>44774</v>
      </c>
      <c r="B17549" t="s">
        <v>27547</v>
      </c>
      <c r="C17549">
        <v>0.34714589535899998</v>
      </c>
      <c r="D17549">
        <v>0.96823383110399996</v>
      </c>
      <c r="E17549">
        <v>8.2919999999999998</v>
      </c>
    </row>
    <row r="17550" spans="1:5">
      <c r="A17550" t="s">
        <v>44774</v>
      </c>
      <c r="B17550" t="s">
        <v>27548</v>
      </c>
      <c r="C17550">
        <f>-1.30999534747</f>
        <v>-1.3099953474699999</v>
      </c>
      <c r="D17550">
        <v>0.96823383110399996</v>
      </c>
      <c r="E17550">
        <v>8.2919999999999998</v>
      </c>
    </row>
    <row r="17551" spans="1:5">
      <c r="A17551" t="s">
        <v>44774</v>
      </c>
      <c r="B17551" t="s">
        <v>27552</v>
      </c>
      <c r="C17551">
        <v>0.58788044667299999</v>
      </c>
      <c r="D17551">
        <v>0.96823383110399996</v>
      </c>
      <c r="E17551">
        <v>8.2919999999999998</v>
      </c>
    </row>
    <row r="17552" spans="1:5">
      <c r="A17552" t="s">
        <v>44774</v>
      </c>
      <c r="B17552" t="s">
        <v>27550</v>
      </c>
      <c r="C17552">
        <v>0.16635028540999999</v>
      </c>
      <c r="D17552">
        <v>0.96823383110399996</v>
      </c>
      <c r="E17552">
        <v>8.2919999999999998</v>
      </c>
    </row>
    <row r="17553" spans="1:5">
      <c r="A17553" t="s">
        <v>44774</v>
      </c>
      <c r="B17553" t="s">
        <v>27551</v>
      </c>
      <c r="C17553">
        <v>3.3173979445099998E-2</v>
      </c>
      <c r="D17553">
        <v>0.96823383110399996</v>
      </c>
      <c r="E17553">
        <v>8.2919999999999998</v>
      </c>
    </row>
    <row r="17554" spans="1:5">
      <c r="A17554" t="s">
        <v>44775</v>
      </c>
      <c r="B17554" t="s">
        <v>44776</v>
      </c>
      <c r="C17554">
        <v>0</v>
      </c>
      <c r="D17554" t="s">
        <v>106</v>
      </c>
      <c r="E17554">
        <v>0.54</v>
      </c>
    </row>
    <row r="17555" spans="1:5">
      <c r="A17555" t="s">
        <v>44775</v>
      </c>
      <c r="B17555" t="s">
        <v>44777</v>
      </c>
      <c r="C17555">
        <f>0</f>
        <v>0</v>
      </c>
      <c r="D17555" t="s">
        <v>106</v>
      </c>
      <c r="E17555">
        <v>0.54</v>
      </c>
    </row>
    <row r="17556" spans="1:5">
      <c r="A17556" t="s">
        <v>44775</v>
      </c>
      <c r="B17556" t="s">
        <v>44778</v>
      </c>
      <c r="C17556">
        <f>0</f>
        <v>0</v>
      </c>
      <c r="D17556" t="s">
        <v>106</v>
      </c>
      <c r="E17556">
        <v>0.54</v>
      </c>
    </row>
    <row r="17557" spans="1:5">
      <c r="A17557" t="s">
        <v>44775</v>
      </c>
      <c r="B17557" t="s">
        <v>44779</v>
      </c>
      <c r="C17557">
        <f>0</f>
        <v>0</v>
      </c>
      <c r="D17557" t="s">
        <v>106</v>
      </c>
      <c r="E17557">
        <v>0.54</v>
      </c>
    </row>
    <row r="17558" spans="1:5">
      <c r="A17558" t="s">
        <v>44775</v>
      </c>
      <c r="B17558" t="s">
        <v>44780</v>
      </c>
      <c r="C17558">
        <f>0</f>
        <v>0</v>
      </c>
      <c r="D17558" t="s">
        <v>106</v>
      </c>
      <c r="E17558">
        <v>0.54</v>
      </c>
    </row>
    <row r="17559" spans="1:5">
      <c r="A17559" t="s">
        <v>44781</v>
      </c>
      <c r="B17559" t="s">
        <v>44782</v>
      </c>
      <c r="C17559">
        <v>0.62419452636799999</v>
      </c>
      <c r="D17559">
        <v>0.93114723158699997</v>
      </c>
      <c r="E17559">
        <v>6.3</v>
      </c>
    </row>
    <row r="17560" spans="1:5">
      <c r="A17560" t="s">
        <v>44781</v>
      </c>
      <c r="B17560" t="s">
        <v>44783</v>
      </c>
      <c r="C17560">
        <v>0.90021878637499997</v>
      </c>
      <c r="D17560">
        <v>0.93114723158699997</v>
      </c>
      <c r="E17560">
        <v>6.3</v>
      </c>
    </row>
    <row r="17561" spans="1:5">
      <c r="A17561" t="s">
        <v>44781</v>
      </c>
      <c r="B17561" t="s">
        <v>44784</v>
      </c>
      <c r="C17561">
        <f>0.695472823947</f>
        <v>0.69547282394700005</v>
      </c>
      <c r="D17561">
        <v>0.93114723158699997</v>
      </c>
      <c r="E17561">
        <v>6.3</v>
      </c>
    </row>
    <row r="17562" spans="1:5">
      <c r="A17562" t="s">
        <v>44781</v>
      </c>
      <c r="B17562" t="s">
        <v>44785</v>
      </c>
      <c r="C17562">
        <v>0.22631295112499999</v>
      </c>
      <c r="D17562">
        <v>0.93114723158699997</v>
      </c>
      <c r="E17562">
        <v>6.3</v>
      </c>
    </row>
    <row r="17563" spans="1:5">
      <c r="A17563" t="s">
        <v>44786</v>
      </c>
      <c r="B17563" t="s">
        <v>33586</v>
      </c>
      <c r="C17563">
        <f>0</f>
        <v>0</v>
      </c>
      <c r="D17563" t="s">
        <v>106</v>
      </c>
      <c r="E17563">
        <v>24</v>
      </c>
    </row>
    <row r="17564" spans="1:5">
      <c r="A17564" t="s">
        <v>44786</v>
      </c>
      <c r="B17564" t="s">
        <v>33589</v>
      </c>
      <c r="C17564">
        <f>0</f>
        <v>0</v>
      </c>
      <c r="D17564" t="s">
        <v>106</v>
      </c>
      <c r="E17564">
        <v>24</v>
      </c>
    </row>
    <row r="17565" spans="1:5">
      <c r="A17565" t="s">
        <v>44786</v>
      </c>
      <c r="B17565" t="s">
        <v>33588</v>
      </c>
      <c r="C17565">
        <v>0</v>
      </c>
      <c r="D17565" t="s">
        <v>106</v>
      </c>
      <c r="E17565">
        <v>24</v>
      </c>
    </row>
    <row r="17566" spans="1:5">
      <c r="A17566" t="s">
        <v>44786</v>
      </c>
      <c r="B17566" t="s">
        <v>33590</v>
      </c>
      <c r="C17566">
        <f>0</f>
        <v>0</v>
      </c>
      <c r="D17566" t="s">
        <v>106</v>
      </c>
      <c r="E17566">
        <v>24</v>
      </c>
    </row>
    <row r="17567" spans="1:5">
      <c r="A17567" t="s">
        <v>44787</v>
      </c>
      <c r="B17567" t="s">
        <v>6010</v>
      </c>
      <c r="C17567">
        <v>0.19364698190400001</v>
      </c>
      <c r="D17567">
        <v>0.99356755832400001</v>
      </c>
      <c r="E17567">
        <v>18.347999999999999</v>
      </c>
    </row>
    <row r="17568" spans="1:5">
      <c r="A17568" t="s">
        <v>44787</v>
      </c>
      <c r="B17568" t="s">
        <v>6013</v>
      </c>
      <c r="C17568">
        <v>1.09593149382</v>
      </c>
      <c r="D17568">
        <v>0.99356755832400001</v>
      </c>
      <c r="E17568">
        <v>18.347999999999999</v>
      </c>
    </row>
    <row r="17569" spans="1:5">
      <c r="A17569" t="s">
        <v>44787</v>
      </c>
      <c r="B17569" t="s">
        <v>6012</v>
      </c>
      <c r="C17569">
        <v>0.88854883285399999</v>
      </c>
      <c r="D17569">
        <v>0.99356755832400001</v>
      </c>
      <c r="E17569">
        <v>18.347999999999999</v>
      </c>
    </row>
    <row r="17570" spans="1:5">
      <c r="A17570" t="s">
        <v>44787</v>
      </c>
      <c r="B17570" t="s">
        <v>6014</v>
      </c>
      <c r="C17570">
        <f>0.564249127141</f>
        <v>0.56424912714099995</v>
      </c>
      <c r="D17570">
        <v>0.99356755832400001</v>
      </c>
      <c r="E17570">
        <v>18.347999999999999</v>
      </c>
    </row>
    <row r="17571" spans="1:5">
      <c r="A17571" t="s">
        <v>44787</v>
      </c>
      <c r="B17571" t="s">
        <v>6016</v>
      </c>
      <c r="C17571">
        <f>0.377113476278</f>
        <v>0.37711347627800001</v>
      </c>
      <c r="D17571">
        <v>0.99356755832400001</v>
      </c>
      <c r="E17571">
        <v>18.347999999999999</v>
      </c>
    </row>
    <row r="17572" spans="1:5">
      <c r="A17572" t="s">
        <v>44787</v>
      </c>
      <c r="B17572" t="s">
        <v>6017</v>
      </c>
      <c r="C17572">
        <f>-1.32948537541</f>
        <v>-1.32948537541</v>
      </c>
      <c r="D17572">
        <v>0.99356755832400001</v>
      </c>
      <c r="E17572">
        <v>18.347999999999999</v>
      </c>
    </row>
    <row r="17573" spans="1:5">
      <c r="A17573" t="s">
        <v>44788</v>
      </c>
      <c r="B17573" t="s">
        <v>22736</v>
      </c>
      <c r="C17573">
        <f>0.571647992049</f>
        <v>0.57164799204899996</v>
      </c>
      <c r="D17573">
        <v>0.84783153735799999</v>
      </c>
      <c r="E17573">
        <v>1.1160000000000001</v>
      </c>
    </row>
    <row r="17574" spans="1:5">
      <c r="A17574" t="s">
        <v>44788</v>
      </c>
      <c r="B17574" t="s">
        <v>22737</v>
      </c>
      <c r="C17574">
        <f>0</f>
        <v>0</v>
      </c>
      <c r="D17574">
        <v>0.84783153735799999</v>
      </c>
      <c r="E17574">
        <v>1.1160000000000001</v>
      </c>
    </row>
    <row r="17575" spans="1:5">
      <c r="A17575" t="s">
        <v>44788</v>
      </c>
      <c r="B17575" t="s">
        <v>22739</v>
      </c>
      <c r="C17575">
        <f>0.516105995705</f>
        <v>0.51610599570500004</v>
      </c>
      <c r="D17575">
        <v>0.84783153735799999</v>
      </c>
      <c r="E17575">
        <v>1.1160000000000001</v>
      </c>
    </row>
    <row r="17576" spans="1:5">
      <c r="A17576" t="s">
        <v>44788</v>
      </c>
      <c r="B17576" t="s">
        <v>22740</v>
      </c>
      <c r="C17576">
        <v>0.22979089851199999</v>
      </c>
      <c r="D17576">
        <v>0.84783153735799999</v>
      </c>
      <c r="E17576">
        <v>1.1160000000000001</v>
      </c>
    </row>
    <row r="17577" spans="1:5">
      <c r="A17577" t="s">
        <v>44788</v>
      </c>
      <c r="B17577" t="s">
        <v>22738</v>
      </c>
      <c r="C17577">
        <v>0.190308728756</v>
      </c>
      <c r="D17577">
        <v>0.84783153735799999</v>
      </c>
      <c r="E17577">
        <v>1.1160000000000001</v>
      </c>
    </row>
    <row r="17578" spans="1:5">
      <c r="A17578" t="s">
        <v>44789</v>
      </c>
      <c r="B17578" t="s">
        <v>23481</v>
      </c>
      <c r="C17578">
        <f>0.642924831978</f>
        <v>0.64292483197799999</v>
      </c>
      <c r="D17578">
        <v>0.59810990053799995</v>
      </c>
      <c r="E17578">
        <v>0</v>
      </c>
    </row>
    <row r="17579" spans="1:5">
      <c r="A17579" t="s">
        <v>44789</v>
      </c>
      <c r="B17579" t="s">
        <v>23479</v>
      </c>
      <c r="C17579">
        <v>0.185385307656</v>
      </c>
      <c r="D17579">
        <v>0.59810990053799995</v>
      </c>
      <c r="E17579">
        <v>0</v>
      </c>
    </row>
    <row r="17580" spans="1:5">
      <c r="A17580" t="s">
        <v>44790</v>
      </c>
      <c r="B17580" t="s">
        <v>44791</v>
      </c>
      <c r="C17580">
        <v>0.12700480993499999</v>
      </c>
      <c r="D17580">
        <v>0.70680249608300005</v>
      </c>
      <c r="E17580">
        <v>5.7</v>
      </c>
    </row>
    <row r="17581" spans="1:5">
      <c r="A17581" t="s">
        <v>44790</v>
      </c>
      <c r="B17581" t="s">
        <v>44792</v>
      </c>
      <c r="C17581">
        <v>0</v>
      </c>
      <c r="D17581">
        <v>0.70680249608300005</v>
      </c>
      <c r="E17581">
        <v>5.7</v>
      </c>
    </row>
    <row r="17582" spans="1:5">
      <c r="A17582" t="s">
        <v>44790</v>
      </c>
      <c r="B17582" t="s">
        <v>44793</v>
      </c>
      <c r="C17582">
        <f>0.414970693424</f>
        <v>0.414970693424</v>
      </c>
      <c r="D17582">
        <v>0.70680249608300005</v>
      </c>
      <c r="E17582">
        <v>5.7</v>
      </c>
    </row>
    <row r="17583" spans="1:5">
      <c r="A17583" t="s">
        <v>44794</v>
      </c>
      <c r="B17583" t="s">
        <v>1951</v>
      </c>
      <c r="C17583">
        <f>0</f>
        <v>0</v>
      </c>
      <c r="D17583" t="s">
        <v>106</v>
      </c>
      <c r="E17583">
        <v>24</v>
      </c>
    </row>
    <row r="17584" spans="1:5">
      <c r="A17584" t="s">
        <v>44794</v>
      </c>
      <c r="B17584" t="s">
        <v>1957</v>
      </c>
      <c r="C17584">
        <f>0</f>
        <v>0</v>
      </c>
      <c r="D17584" t="s">
        <v>106</v>
      </c>
      <c r="E17584">
        <v>24</v>
      </c>
    </row>
    <row r="17585" spans="1:5">
      <c r="A17585" t="s">
        <v>44794</v>
      </c>
      <c r="B17585" t="s">
        <v>1952</v>
      </c>
      <c r="C17585">
        <v>0</v>
      </c>
      <c r="D17585" t="s">
        <v>106</v>
      </c>
      <c r="E17585">
        <v>24</v>
      </c>
    </row>
    <row r="17586" spans="1:5">
      <c r="A17586" t="s">
        <v>44794</v>
      </c>
      <c r="B17586" t="s">
        <v>1958</v>
      </c>
      <c r="C17586">
        <f>0</f>
        <v>0</v>
      </c>
      <c r="D17586" t="s">
        <v>106</v>
      </c>
      <c r="E17586">
        <v>24</v>
      </c>
    </row>
    <row r="17587" spans="1:5">
      <c r="A17587" t="s">
        <v>44794</v>
      </c>
      <c r="B17587" t="s">
        <v>44795</v>
      </c>
      <c r="C17587">
        <f>0</f>
        <v>0</v>
      </c>
      <c r="D17587" t="s">
        <v>106</v>
      </c>
      <c r="E17587">
        <v>24</v>
      </c>
    </row>
    <row r="17588" spans="1:5">
      <c r="A17588" t="s">
        <v>44794</v>
      </c>
      <c r="B17588" t="s">
        <v>1954</v>
      </c>
      <c r="C17588">
        <f>0</f>
        <v>0</v>
      </c>
      <c r="D17588" t="s">
        <v>106</v>
      </c>
      <c r="E17588">
        <v>24</v>
      </c>
    </row>
    <row r="17589" spans="1:5">
      <c r="A17589" t="s">
        <v>44794</v>
      </c>
      <c r="B17589" t="s">
        <v>1961</v>
      </c>
      <c r="C17589">
        <v>0</v>
      </c>
      <c r="D17589" t="s">
        <v>106</v>
      </c>
      <c r="E17589">
        <v>24</v>
      </c>
    </row>
    <row r="17590" spans="1:5">
      <c r="A17590" t="s">
        <v>44796</v>
      </c>
      <c r="B17590" t="s">
        <v>14103</v>
      </c>
      <c r="C17590">
        <f>0.253206328638</f>
        <v>0.25320632863800002</v>
      </c>
      <c r="D17590">
        <v>0.90082134700600003</v>
      </c>
      <c r="E17590">
        <v>24</v>
      </c>
    </row>
    <row r="17591" spans="1:5">
      <c r="A17591" t="s">
        <v>44796</v>
      </c>
      <c r="B17591" t="s">
        <v>14105</v>
      </c>
      <c r="C17591">
        <v>0.99590559956900004</v>
      </c>
      <c r="D17591">
        <v>0.90082134700600003</v>
      </c>
      <c r="E17591">
        <v>24</v>
      </c>
    </row>
    <row r="17592" spans="1:5">
      <c r="A17592" t="s">
        <v>44797</v>
      </c>
      <c r="B17592" t="s">
        <v>24683</v>
      </c>
      <c r="C17592">
        <v>0.92771099444399996</v>
      </c>
      <c r="D17592">
        <v>0.93945032069900003</v>
      </c>
      <c r="E17592">
        <v>24</v>
      </c>
    </row>
    <row r="17593" spans="1:5">
      <c r="A17593" t="s">
        <v>44797</v>
      </c>
      <c r="B17593" t="s">
        <v>24682</v>
      </c>
      <c r="C17593">
        <f>0.90122546422</f>
        <v>0.90122546422000005</v>
      </c>
      <c r="D17593">
        <v>0.93945032069900003</v>
      </c>
      <c r="E17593">
        <v>24</v>
      </c>
    </row>
    <row r="17594" spans="1:5">
      <c r="A17594" t="s">
        <v>44797</v>
      </c>
      <c r="B17594" t="s">
        <v>24685</v>
      </c>
      <c r="C17594">
        <f>0.343090957562</f>
        <v>0.34309095756199998</v>
      </c>
      <c r="D17594">
        <v>0.93945032069900003</v>
      </c>
      <c r="E17594">
        <v>24</v>
      </c>
    </row>
    <row r="17595" spans="1:5">
      <c r="A17595" t="s">
        <v>44797</v>
      </c>
      <c r="B17595" t="s">
        <v>24687</v>
      </c>
      <c r="C17595">
        <f>0.628476499872</f>
        <v>0.62847649987200005</v>
      </c>
      <c r="D17595">
        <v>0.93945032069900003</v>
      </c>
      <c r="E17595">
        <v>24</v>
      </c>
    </row>
    <row r="17596" spans="1:5">
      <c r="A17596" t="s">
        <v>44798</v>
      </c>
      <c r="B17596" t="s">
        <v>7142</v>
      </c>
      <c r="C17596">
        <v>0.72419334442200001</v>
      </c>
      <c r="D17596">
        <v>0.80260334442199999</v>
      </c>
      <c r="E17596">
        <v>0</v>
      </c>
    </row>
    <row r="17597" spans="1:5">
      <c r="A17597" t="s">
        <v>44798</v>
      </c>
      <c r="B17597" t="s">
        <v>7143</v>
      </c>
      <c r="C17597">
        <v>0</v>
      </c>
      <c r="D17597">
        <v>0.80260334442199999</v>
      </c>
      <c r="E17597">
        <v>0</v>
      </c>
    </row>
    <row r="17598" spans="1:5">
      <c r="A17598" t="s">
        <v>44799</v>
      </c>
      <c r="B17598" t="s">
        <v>28646</v>
      </c>
      <c r="C17598">
        <v>0</v>
      </c>
      <c r="D17598" t="s">
        <v>106</v>
      </c>
      <c r="E17598">
        <v>22.571999999999999</v>
      </c>
    </row>
    <row r="17599" spans="1:5">
      <c r="A17599" t="s">
        <v>44799</v>
      </c>
      <c r="B17599" t="s">
        <v>28647</v>
      </c>
      <c r="C17599">
        <f>0</f>
        <v>0</v>
      </c>
      <c r="D17599" t="s">
        <v>106</v>
      </c>
      <c r="E17599">
        <v>22.571999999999999</v>
      </c>
    </row>
    <row r="17600" spans="1:5">
      <c r="A17600" t="s">
        <v>44799</v>
      </c>
      <c r="B17600" t="s">
        <v>28648</v>
      </c>
      <c r="C17600">
        <f>0</f>
        <v>0</v>
      </c>
      <c r="D17600" t="s">
        <v>106</v>
      </c>
      <c r="E17600">
        <v>22.571999999999999</v>
      </c>
    </row>
    <row r="17601" spans="1:5">
      <c r="A17601" t="s">
        <v>44799</v>
      </c>
      <c r="B17601" t="s">
        <v>28650</v>
      </c>
      <c r="C17601">
        <f>0</f>
        <v>0</v>
      </c>
      <c r="D17601" t="s">
        <v>106</v>
      </c>
      <c r="E17601">
        <v>22.571999999999999</v>
      </c>
    </row>
    <row r="17602" spans="1:5">
      <c r="A17602" t="s">
        <v>44800</v>
      </c>
      <c r="B17602" t="s">
        <v>25565</v>
      </c>
      <c r="C17602">
        <f>0.00753860113559</f>
        <v>7.53860113559E-3</v>
      </c>
      <c r="D17602">
        <v>0.81265872421499996</v>
      </c>
      <c r="E17602">
        <v>14.747999999999999</v>
      </c>
    </row>
    <row r="17603" spans="1:5">
      <c r="A17603" t="s">
        <v>44800</v>
      </c>
      <c r="B17603" t="s">
        <v>25570</v>
      </c>
      <c r="C17603">
        <v>0</v>
      </c>
      <c r="D17603">
        <v>0.81265872421499996</v>
      </c>
      <c r="E17603">
        <v>14.747999999999999</v>
      </c>
    </row>
    <row r="17604" spans="1:5">
      <c r="A17604" t="s">
        <v>44800</v>
      </c>
      <c r="B17604" t="s">
        <v>25567</v>
      </c>
      <c r="C17604">
        <f>0</f>
        <v>0</v>
      </c>
      <c r="D17604">
        <v>0.81265872421499996</v>
      </c>
      <c r="E17604">
        <v>14.747999999999999</v>
      </c>
    </row>
    <row r="17605" spans="1:5">
      <c r="A17605" t="s">
        <v>44800</v>
      </c>
      <c r="B17605" t="s">
        <v>25569</v>
      </c>
      <c r="C17605">
        <f>0.131627550217</f>
        <v>0.13162755021700001</v>
      </c>
      <c r="D17605">
        <v>0.81265872421499996</v>
      </c>
      <c r="E17605">
        <v>14.747999999999999</v>
      </c>
    </row>
    <row r="17606" spans="1:5">
      <c r="A17606" t="s">
        <v>44800</v>
      </c>
      <c r="B17606" t="s">
        <v>25571</v>
      </c>
      <c r="C17606">
        <f>0</f>
        <v>0</v>
      </c>
      <c r="D17606">
        <v>0.81265872421499996</v>
      </c>
      <c r="E17606">
        <v>14.747999999999999</v>
      </c>
    </row>
    <row r="17607" spans="1:5">
      <c r="A17607" t="s">
        <v>44800</v>
      </c>
      <c r="B17607" t="s">
        <v>25568</v>
      </c>
      <c r="C17607">
        <f>0.418938902213</f>
        <v>0.41893890221300001</v>
      </c>
      <c r="D17607">
        <v>0.81265872421499996</v>
      </c>
      <c r="E17607">
        <v>14.747999999999999</v>
      </c>
    </row>
    <row r="17608" spans="1:5">
      <c r="A17608" t="s">
        <v>44800</v>
      </c>
      <c r="B17608" t="s">
        <v>25564</v>
      </c>
      <c r="C17608">
        <f>0.196289579699</f>
        <v>0.19628957969899999</v>
      </c>
      <c r="D17608">
        <v>0.81265872421499996</v>
      </c>
      <c r="E17608">
        <v>14.747999999999999</v>
      </c>
    </row>
    <row r="17609" spans="1:5">
      <c r="A17609" t="s">
        <v>44801</v>
      </c>
      <c r="B17609" t="s">
        <v>44802</v>
      </c>
      <c r="C17609">
        <f>0.571648874711</f>
        <v>0.57164887471100001</v>
      </c>
      <c r="D17609">
        <v>0.76182987832500004</v>
      </c>
      <c r="E17609">
        <v>24</v>
      </c>
    </row>
    <row r="17610" spans="1:5">
      <c r="A17610" t="s">
        <v>44801</v>
      </c>
      <c r="B17610" t="s">
        <v>44803</v>
      </c>
      <c r="C17610">
        <v>0</v>
      </c>
      <c r="D17610">
        <v>0.76182987832500004</v>
      </c>
      <c r="E17610">
        <v>24</v>
      </c>
    </row>
    <row r="17611" spans="1:5">
      <c r="A17611" t="s">
        <v>44801</v>
      </c>
      <c r="B17611" t="s">
        <v>44804</v>
      </c>
      <c r="C17611">
        <v>0</v>
      </c>
      <c r="D17611">
        <v>0.76182987832500004</v>
      </c>
      <c r="E17611">
        <v>24</v>
      </c>
    </row>
    <row r="17612" spans="1:5">
      <c r="A17612" t="s">
        <v>44801</v>
      </c>
      <c r="B17612" t="s">
        <v>44805</v>
      </c>
      <c r="C17612">
        <v>5.0411156580799997E-2</v>
      </c>
      <c r="D17612">
        <v>0.76182987832500004</v>
      </c>
      <c r="E17612">
        <v>24</v>
      </c>
    </row>
    <row r="17613" spans="1:5">
      <c r="A17613" t="s">
        <v>44806</v>
      </c>
      <c r="B17613" t="s">
        <v>30950</v>
      </c>
      <c r="C17613">
        <v>0.63918895837099998</v>
      </c>
      <c r="D17613">
        <v>0.84912258708400001</v>
      </c>
      <c r="E17613">
        <v>0</v>
      </c>
    </row>
    <row r="17614" spans="1:5">
      <c r="A17614" t="s">
        <v>44806</v>
      </c>
      <c r="B17614" t="s">
        <v>30952</v>
      </c>
      <c r="C17614">
        <v>0.164521682261</v>
      </c>
      <c r="D17614">
        <v>0.84912258708400001</v>
      </c>
      <c r="E17614">
        <v>0</v>
      </c>
    </row>
    <row r="17615" spans="1:5">
      <c r="A17615" t="s">
        <v>44807</v>
      </c>
      <c r="B17615" t="s">
        <v>3186</v>
      </c>
      <c r="C17615">
        <v>0.88958698075300002</v>
      </c>
      <c r="D17615">
        <v>0.94853509060600005</v>
      </c>
      <c r="E17615">
        <v>23.52</v>
      </c>
    </row>
    <row r="17616" spans="1:5">
      <c r="A17616" t="s">
        <v>44807</v>
      </c>
      <c r="B17616" t="s">
        <v>3190</v>
      </c>
      <c r="C17616">
        <f>0.303139948384</f>
        <v>0.30313994838399999</v>
      </c>
      <c r="D17616">
        <v>0.94853509060600005</v>
      </c>
      <c r="E17616">
        <v>23.52</v>
      </c>
    </row>
    <row r="17617" spans="1:5">
      <c r="A17617" t="s">
        <v>44807</v>
      </c>
      <c r="B17617" t="s">
        <v>3188</v>
      </c>
      <c r="C17617">
        <f>0.0340545520165</f>
        <v>3.4054552016499998E-2</v>
      </c>
      <c r="D17617">
        <v>0.94853509060600005</v>
      </c>
      <c r="E17617">
        <v>23.52</v>
      </c>
    </row>
    <row r="17618" spans="1:5">
      <c r="A17618" t="s">
        <v>44807</v>
      </c>
      <c r="B17618" t="s">
        <v>3187</v>
      </c>
      <c r="C17618">
        <v>0.155246624404</v>
      </c>
      <c r="D17618">
        <v>0.94853509060600005</v>
      </c>
      <c r="E17618">
        <v>23.52</v>
      </c>
    </row>
    <row r="17619" spans="1:5">
      <c r="A17619" t="s">
        <v>44808</v>
      </c>
      <c r="B17619" t="s">
        <v>16597</v>
      </c>
      <c r="C17619">
        <f>0</f>
        <v>0</v>
      </c>
      <c r="D17619" t="s">
        <v>106</v>
      </c>
      <c r="E17619">
        <v>19.2</v>
      </c>
    </row>
    <row r="17620" spans="1:5">
      <c r="A17620" t="s">
        <v>44808</v>
      </c>
      <c r="B17620" t="s">
        <v>16598</v>
      </c>
      <c r="C17620">
        <v>0</v>
      </c>
      <c r="D17620" t="s">
        <v>106</v>
      </c>
      <c r="E17620">
        <v>19.2</v>
      </c>
    </row>
    <row r="17621" spans="1:5">
      <c r="A17621" t="s">
        <v>44808</v>
      </c>
      <c r="B17621" t="s">
        <v>16599</v>
      </c>
      <c r="C17621">
        <v>0</v>
      </c>
      <c r="D17621" t="s">
        <v>106</v>
      </c>
      <c r="E17621">
        <v>19.2</v>
      </c>
    </row>
    <row r="17622" spans="1:5">
      <c r="A17622" t="s">
        <v>44809</v>
      </c>
      <c r="B17622" t="s">
        <v>44810</v>
      </c>
      <c r="C17622">
        <f>0</f>
        <v>0</v>
      </c>
      <c r="D17622" t="s">
        <v>106</v>
      </c>
      <c r="E17622">
        <v>23.04</v>
      </c>
    </row>
    <row r="17623" spans="1:5">
      <c r="A17623" t="s">
        <v>44809</v>
      </c>
      <c r="B17623" t="s">
        <v>44811</v>
      </c>
      <c r="C17623">
        <f>0</f>
        <v>0</v>
      </c>
      <c r="D17623" t="s">
        <v>106</v>
      </c>
      <c r="E17623">
        <v>23.04</v>
      </c>
    </row>
    <row r="17624" spans="1:5">
      <c r="A17624" t="s">
        <v>44809</v>
      </c>
      <c r="B17624" t="s">
        <v>44812</v>
      </c>
      <c r="C17624">
        <f>0</f>
        <v>0</v>
      </c>
      <c r="D17624" t="s">
        <v>106</v>
      </c>
      <c r="E17624">
        <v>23.04</v>
      </c>
    </row>
    <row r="17625" spans="1:5">
      <c r="A17625" t="s">
        <v>44809</v>
      </c>
      <c r="B17625" t="s">
        <v>44813</v>
      </c>
      <c r="C17625">
        <v>0</v>
      </c>
      <c r="D17625" t="s">
        <v>106</v>
      </c>
      <c r="E17625">
        <v>23.04</v>
      </c>
    </row>
    <row r="17626" spans="1:5">
      <c r="A17626" t="s">
        <v>44809</v>
      </c>
      <c r="B17626" t="s">
        <v>44814</v>
      </c>
      <c r="C17626">
        <v>0</v>
      </c>
      <c r="D17626" t="s">
        <v>106</v>
      </c>
      <c r="E17626">
        <v>23.04</v>
      </c>
    </row>
    <row r="17627" spans="1:5">
      <c r="A17627" t="s">
        <v>44809</v>
      </c>
      <c r="B17627" t="s">
        <v>44815</v>
      </c>
      <c r="C17627">
        <f>0</f>
        <v>0</v>
      </c>
      <c r="D17627" t="s">
        <v>106</v>
      </c>
      <c r="E17627">
        <v>23.04</v>
      </c>
    </row>
    <row r="17628" spans="1:5">
      <c r="A17628" t="s">
        <v>44809</v>
      </c>
      <c r="B17628" t="s">
        <v>44816</v>
      </c>
      <c r="C17628">
        <v>0</v>
      </c>
      <c r="D17628" t="s">
        <v>106</v>
      </c>
      <c r="E17628">
        <v>23.04</v>
      </c>
    </row>
    <row r="17629" spans="1:5">
      <c r="A17629" t="s">
        <v>44809</v>
      </c>
      <c r="B17629" t="s">
        <v>44817</v>
      </c>
      <c r="C17629">
        <f>0</f>
        <v>0</v>
      </c>
      <c r="D17629" t="s">
        <v>106</v>
      </c>
      <c r="E17629">
        <v>23.04</v>
      </c>
    </row>
    <row r="17630" spans="1:5">
      <c r="A17630" t="s">
        <v>44809</v>
      </c>
      <c r="B17630" t="s">
        <v>44818</v>
      </c>
      <c r="C17630">
        <v>0</v>
      </c>
      <c r="D17630" t="s">
        <v>106</v>
      </c>
      <c r="E17630">
        <v>23.04</v>
      </c>
    </row>
    <row r="17631" spans="1:5">
      <c r="A17631" t="s">
        <v>44819</v>
      </c>
      <c r="B17631" t="s">
        <v>9264</v>
      </c>
      <c r="C17631">
        <v>9.0204316445799994E-3</v>
      </c>
      <c r="D17631">
        <v>0.99966335847599996</v>
      </c>
      <c r="E17631">
        <v>3.0539999999999998</v>
      </c>
    </row>
    <row r="17632" spans="1:5">
      <c r="A17632" t="s">
        <v>44819</v>
      </c>
      <c r="B17632" t="s">
        <v>9272</v>
      </c>
      <c r="C17632">
        <v>9.1990497518899997E-2</v>
      </c>
      <c r="D17632">
        <v>0.99966335847599996</v>
      </c>
      <c r="E17632">
        <v>3.0539999999999998</v>
      </c>
    </row>
    <row r="17633" spans="1:5">
      <c r="A17633" t="s">
        <v>44819</v>
      </c>
      <c r="B17633" t="s">
        <v>9277</v>
      </c>
      <c r="C17633">
        <v>5.4804444126699998E-2</v>
      </c>
      <c r="D17633">
        <v>0.99966335847599996</v>
      </c>
      <c r="E17633">
        <v>3.0539999999999998</v>
      </c>
    </row>
    <row r="17634" spans="1:5">
      <c r="A17634" t="s">
        <v>44819</v>
      </c>
      <c r="B17634" t="s">
        <v>9265</v>
      </c>
      <c r="C17634">
        <v>0</v>
      </c>
      <c r="D17634">
        <v>0.99966335847599996</v>
      </c>
      <c r="E17634">
        <v>3.0539999999999998</v>
      </c>
    </row>
    <row r="17635" spans="1:5">
      <c r="A17635" t="s">
        <v>44819</v>
      </c>
      <c r="B17635" t="s">
        <v>9270</v>
      </c>
      <c r="C17635">
        <v>0.273948179041</v>
      </c>
      <c r="D17635">
        <v>0.99966335847599996</v>
      </c>
      <c r="E17635">
        <v>3.0539999999999998</v>
      </c>
    </row>
    <row r="17636" spans="1:5">
      <c r="A17636" t="s">
        <v>44819</v>
      </c>
      <c r="B17636" t="s">
        <v>9269</v>
      </c>
      <c r="C17636">
        <f>0</f>
        <v>0</v>
      </c>
      <c r="D17636">
        <v>0.99966335847599996</v>
      </c>
      <c r="E17636">
        <v>3.0539999999999998</v>
      </c>
    </row>
    <row r="17637" spans="1:5">
      <c r="A17637" t="s">
        <v>44819</v>
      </c>
      <c r="B17637" t="s">
        <v>9273</v>
      </c>
      <c r="C17637">
        <f>0.391418251272</f>
        <v>0.39141825127199997</v>
      </c>
      <c r="D17637">
        <v>0.99966335847599996</v>
      </c>
      <c r="E17637">
        <v>3.0539999999999998</v>
      </c>
    </row>
    <row r="17638" spans="1:5">
      <c r="A17638" t="s">
        <v>44819</v>
      </c>
      <c r="B17638" t="s">
        <v>9279</v>
      </c>
      <c r="C17638">
        <v>0.113308421472</v>
      </c>
      <c r="D17638">
        <v>0.99966335847599996</v>
      </c>
      <c r="E17638">
        <v>3.0539999999999998</v>
      </c>
    </row>
    <row r="17639" spans="1:5">
      <c r="A17639" t="s">
        <v>44819</v>
      </c>
      <c r="B17639" t="s">
        <v>9274</v>
      </c>
      <c r="C17639">
        <v>0.35591576445500001</v>
      </c>
      <c r="D17639">
        <v>0.99966335847599996</v>
      </c>
      <c r="E17639">
        <v>3.0539999999999998</v>
      </c>
    </row>
    <row r="17640" spans="1:5">
      <c r="A17640" t="s">
        <v>44819</v>
      </c>
      <c r="B17640" t="s">
        <v>9275</v>
      </c>
      <c r="C17640">
        <v>4.5522952067500004E-3</v>
      </c>
      <c r="D17640">
        <v>0.99966335847599996</v>
      </c>
      <c r="E17640">
        <v>3.0539999999999998</v>
      </c>
    </row>
    <row r="17641" spans="1:5">
      <c r="A17641" t="s">
        <v>44819</v>
      </c>
      <c r="B17641" t="s">
        <v>9278</v>
      </c>
      <c r="C17641">
        <f>0</f>
        <v>0</v>
      </c>
      <c r="D17641">
        <v>0.99966335847599996</v>
      </c>
      <c r="E17641">
        <v>3.0539999999999998</v>
      </c>
    </row>
    <row r="17642" spans="1:5">
      <c r="A17642" t="s">
        <v>44819</v>
      </c>
      <c r="B17642" t="s">
        <v>9267</v>
      </c>
      <c r="C17642">
        <f>0.769158340702</f>
        <v>0.76915834070199995</v>
      </c>
      <c r="D17642">
        <v>0.99966335847599996</v>
      </c>
      <c r="E17642">
        <v>3.0539999999999998</v>
      </c>
    </row>
    <row r="17643" spans="1:5">
      <c r="A17643" t="s">
        <v>44820</v>
      </c>
      <c r="B17643" t="s">
        <v>44821</v>
      </c>
      <c r="C17643">
        <v>0.63340680732700005</v>
      </c>
      <c r="D17643">
        <v>0.79341680732700004</v>
      </c>
      <c r="E17643">
        <v>23.28</v>
      </c>
    </row>
    <row r="17644" spans="1:5">
      <c r="A17644" t="s">
        <v>44820</v>
      </c>
      <c r="B17644" t="s">
        <v>44822</v>
      </c>
      <c r="C17644">
        <f>0</f>
        <v>0</v>
      </c>
      <c r="D17644">
        <v>0.79341680732700004</v>
      </c>
      <c r="E17644">
        <v>23.28</v>
      </c>
    </row>
    <row r="17645" spans="1:5">
      <c r="A17645" t="s">
        <v>44823</v>
      </c>
      <c r="B17645" t="s">
        <v>30763</v>
      </c>
      <c r="C17645">
        <v>0</v>
      </c>
      <c r="D17645" t="s">
        <v>106</v>
      </c>
      <c r="E17645">
        <v>5.3520000000000003</v>
      </c>
    </row>
    <row r="17646" spans="1:5">
      <c r="A17646" t="s">
        <v>44823</v>
      </c>
      <c r="B17646" t="s">
        <v>30764</v>
      </c>
      <c r="C17646">
        <v>0</v>
      </c>
      <c r="D17646" t="s">
        <v>106</v>
      </c>
      <c r="E17646">
        <v>5.3520000000000003</v>
      </c>
    </row>
    <row r="17647" spans="1:5">
      <c r="A17647" t="s">
        <v>44823</v>
      </c>
      <c r="B17647" t="s">
        <v>30765</v>
      </c>
      <c r="C17647">
        <v>0</v>
      </c>
      <c r="D17647" t="s">
        <v>106</v>
      </c>
      <c r="E17647">
        <v>5.3520000000000003</v>
      </c>
    </row>
    <row r="17648" spans="1:5">
      <c r="A17648" t="s">
        <v>44824</v>
      </c>
      <c r="B17648" t="s">
        <v>22435</v>
      </c>
      <c r="C17648">
        <v>0</v>
      </c>
      <c r="D17648" t="s">
        <v>106</v>
      </c>
      <c r="E17648">
        <v>1.512</v>
      </c>
    </row>
    <row r="17649" spans="1:5">
      <c r="A17649" t="s">
        <v>44824</v>
      </c>
      <c r="B17649" t="s">
        <v>22434</v>
      </c>
      <c r="C17649">
        <v>0</v>
      </c>
      <c r="D17649" t="s">
        <v>106</v>
      </c>
      <c r="E17649">
        <v>1.512</v>
      </c>
    </row>
    <row r="17650" spans="1:5">
      <c r="A17650" t="s">
        <v>44825</v>
      </c>
      <c r="B17650" t="s">
        <v>8402</v>
      </c>
      <c r="C17650">
        <f>0</f>
        <v>0</v>
      </c>
      <c r="D17650">
        <v>0.73559216158600005</v>
      </c>
      <c r="E17650">
        <v>0</v>
      </c>
    </row>
    <row r="17651" spans="1:5">
      <c r="A17651" t="s">
        <v>44825</v>
      </c>
      <c r="B17651" t="s">
        <v>8403</v>
      </c>
      <c r="C17651">
        <v>0.11725387150200001</v>
      </c>
      <c r="D17651">
        <v>0.73559216158600005</v>
      </c>
      <c r="E17651">
        <v>0</v>
      </c>
    </row>
    <row r="17652" spans="1:5">
      <c r="A17652" t="s">
        <v>44825</v>
      </c>
      <c r="B17652" t="s">
        <v>8404</v>
      </c>
      <c r="C17652">
        <f>0</f>
        <v>0</v>
      </c>
      <c r="D17652">
        <v>0.73559216158600005</v>
      </c>
      <c r="E17652">
        <v>0</v>
      </c>
    </row>
    <row r="17653" spans="1:5">
      <c r="A17653" t="s">
        <v>44825</v>
      </c>
      <c r="B17653" t="s">
        <v>8406</v>
      </c>
      <c r="C17653">
        <v>0.43597862928699999</v>
      </c>
      <c r="D17653">
        <v>0.73559216158600005</v>
      </c>
      <c r="E17653">
        <v>0</v>
      </c>
    </row>
    <row r="17654" spans="1:5">
      <c r="A17654" t="s">
        <v>44826</v>
      </c>
      <c r="B17654" t="s">
        <v>33694</v>
      </c>
      <c r="C17654">
        <f>0.477293552583</f>
        <v>0.47729355258299999</v>
      </c>
      <c r="D17654">
        <v>0.74732734454899996</v>
      </c>
      <c r="E17654">
        <v>3.5880000000000001</v>
      </c>
    </row>
    <row r="17655" spans="1:5">
      <c r="A17655" t="s">
        <v>44826</v>
      </c>
      <c r="B17655" t="s">
        <v>33697</v>
      </c>
      <c r="C17655">
        <v>0.32382383638200002</v>
      </c>
      <c r="D17655">
        <v>0.74732734454899996</v>
      </c>
      <c r="E17655">
        <v>3.5880000000000001</v>
      </c>
    </row>
    <row r="17656" spans="1:5">
      <c r="A17656" t="s">
        <v>44826</v>
      </c>
      <c r="B17656" t="s">
        <v>33698</v>
      </c>
      <c r="C17656">
        <v>0</v>
      </c>
      <c r="D17656">
        <v>0.74732734454899996</v>
      </c>
      <c r="E17656">
        <v>3.5880000000000001</v>
      </c>
    </row>
    <row r="17657" spans="1:5">
      <c r="A17657" t="s">
        <v>44827</v>
      </c>
      <c r="B17657" t="s">
        <v>44828</v>
      </c>
      <c r="C17657">
        <v>0.347091274926</v>
      </c>
      <c r="D17657">
        <v>0.95905088718300002</v>
      </c>
      <c r="E17657">
        <v>24</v>
      </c>
    </row>
    <row r="17658" spans="1:5">
      <c r="A17658" t="s">
        <v>44827</v>
      </c>
      <c r="B17658" t="s">
        <v>44829</v>
      </c>
      <c r="C17658">
        <v>7.0083462440100001E-3</v>
      </c>
      <c r="D17658">
        <v>0.95905088718300002</v>
      </c>
      <c r="E17658">
        <v>24</v>
      </c>
    </row>
    <row r="17659" spans="1:5">
      <c r="A17659" t="s">
        <v>44827</v>
      </c>
      <c r="B17659" t="s">
        <v>44830</v>
      </c>
      <c r="C17659">
        <f>0.71615035429</f>
        <v>0.71615035428999996</v>
      </c>
      <c r="D17659">
        <v>0.95905088718300002</v>
      </c>
      <c r="E17659">
        <v>24</v>
      </c>
    </row>
    <row r="17660" spans="1:5">
      <c r="A17660" t="s">
        <v>44827</v>
      </c>
      <c r="B17660" t="s">
        <v>44831</v>
      </c>
      <c r="C17660">
        <v>0.34673961692100003</v>
      </c>
      <c r="D17660">
        <v>0.95905088718300002</v>
      </c>
      <c r="E17660">
        <v>24</v>
      </c>
    </row>
    <row r="17661" spans="1:5">
      <c r="A17661" t="s">
        <v>44832</v>
      </c>
      <c r="B17661" t="s">
        <v>13238</v>
      </c>
      <c r="C17661">
        <v>0.51699913699900002</v>
      </c>
      <c r="D17661">
        <v>0.94571089203900005</v>
      </c>
      <c r="E17661">
        <v>4.2720000000000002</v>
      </c>
    </row>
    <row r="17662" spans="1:5">
      <c r="A17662" t="s">
        <v>44832</v>
      </c>
      <c r="B17662" t="s">
        <v>13239</v>
      </c>
      <c r="C17662">
        <v>0.45772645656799998</v>
      </c>
      <c r="D17662">
        <v>0.94571089203900005</v>
      </c>
      <c r="E17662">
        <v>4.2720000000000002</v>
      </c>
    </row>
    <row r="17663" spans="1:5">
      <c r="A17663" t="s">
        <v>44832</v>
      </c>
      <c r="B17663" t="s">
        <v>13240</v>
      </c>
      <c r="C17663">
        <f>0</f>
        <v>0</v>
      </c>
      <c r="D17663">
        <v>0.94571089203900005</v>
      </c>
      <c r="E17663">
        <v>4.2720000000000002</v>
      </c>
    </row>
    <row r="17664" spans="1:5">
      <c r="A17664" t="s">
        <v>44833</v>
      </c>
      <c r="B17664" t="s">
        <v>28989</v>
      </c>
      <c r="C17664">
        <v>0</v>
      </c>
      <c r="D17664" t="s">
        <v>106</v>
      </c>
      <c r="E17664">
        <v>0</v>
      </c>
    </row>
    <row r="17665" spans="1:5">
      <c r="A17665" t="s">
        <v>44833</v>
      </c>
      <c r="B17665" t="s">
        <v>28997</v>
      </c>
      <c r="C17665">
        <v>0</v>
      </c>
      <c r="D17665" t="s">
        <v>106</v>
      </c>
      <c r="E17665">
        <v>0</v>
      </c>
    </row>
    <row r="17666" spans="1:5">
      <c r="A17666" t="s">
        <v>44833</v>
      </c>
      <c r="B17666" t="s">
        <v>28992</v>
      </c>
      <c r="C17666">
        <v>0</v>
      </c>
      <c r="D17666" t="s">
        <v>106</v>
      </c>
      <c r="E17666">
        <v>0</v>
      </c>
    </row>
    <row r="17667" spans="1:5">
      <c r="A17667" t="s">
        <v>44833</v>
      </c>
      <c r="B17667" t="s">
        <v>28991</v>
      </c>
      <c r="C17667">
        <v>0</v>
      </c>
      <c r="D17667" t="s">
        <v>106</v>
      </c>
      <c r="E17667">
        <v>0</v>
      </c>
    </row>
    <row r="17668" spans="1:5">
      <c r="A17668" t="s">
        <v>44833</v>
      </c>
      <c r="B17668" t="s">
        <v>28993</v>
      </c>
      <c r="C17668">
        <v>0</v>
      </c>
      <c r="D17668" t="s">
        <v>106</v>
      </c>
      <c r="E17668">
        <v>0</v>
      </c>
    </row>
    <row r="17669" spans="1:5">
      <c r="A17669" t="s">
        <v>44834</v>
      </c>
      <c r="B17669" t="s">
        <v>44835</v>
      </c>
      <c r="C17669">
        <f>0.456681321864</f>
        <v>0.45668132186400001</v>
      </c>
      <c r="D17669">
        <v>0.79004984704799996</v>
      </c>
      <c r="E17669">
        <v>0.78</v>
      </c>
    </row>
    <row r="17670" spans="1:5">
      <c r="A17670" t="s">
        <v>44834</v>
      </c>
      <c r="B17670" t="s">
        <v>44836</v>
      </c>
      <c r="C17670">
        <v>0.21230312089699999</v>
      </c>
      <c r="D17670">
        <v>0.79004984704799996</v>
      </c>
      <c r="E17670">
        <v>0.78</v>
      </c>
    </row>
    <row r="17671" spans="1:5">
      <c r="A17671" t="s">
        <v>44834</v>
      </c>
      <c r="B17671" t="s">
        <v>44837</v>
      </c>
      <c r="C17671">
        <v>0.62256053464299999</v>
      </c>
      <c r="D17671">
        <v>0.79004984704799996</v>
      </c>
      <c r="E17671">
        <v>0.78</v>
      </c>
    </row>
    <row r="17672" spans="1:5">
      <c r="A17672" t="s">
        <v>44834</v>
      </c>
      <c r="B17672" t="s">
        <v>44838</v>
      </c>
      <c r="C17672">
        <v>0</v>
      </c>
      <c r="D17672">
        <v>0.79004984704799996</v>
      </c>
      <c r="E17672">
        <v>0.78</v>
      </c>
    </row>
    <row r="17673" spans="1:5">
      <c r="A17673" t="s">
        <v>44839</v>
      </c>
      <c r="B17673" t="s">
        <v>11574</v>
      </c>
      <c r="C17673">
        <f>0</f>
        <v>0</v>
      </c>
      <c r="D17673">
        <v>0.95800561863099998</v>
      </c>
      <c r="E17673">
        <v>10.715999999999999</v>
      </c>
    </row>
    <row r="17674" spans="1:5">
      <c r="A17674" t="s">
        <v>44839</v>
      </c>
      <c r="B17674" t="s">
        <v>11572</v>
      </c>
      <c r="C17674">
        <v>0</v>
      </c>
      <c r="D17674">
        <v>0.95800561863099998</v>
      </c>
      <c r="E17674">
        <v>10.715999999999999</v>
      </c>
    </row>
    <row r="17675" spans="1:5">
      <c r="A17675" t="s">
        <v>44839</v>
      </c>
      <c r="B17675" t="s">
        <v>11592</v>
      </c>
      <c r="C17675">
        <f>0.0692305533447</f>
        <v>6.9230553344700005E-2</v>
      </c>
      <c r="D17675">
        <v>0.95800561863099998</v>
      </c>
      <c r="E17675">
        <v>10.715999999999999</v>
      </c>
    </row>
    <row r="17676" spans="1:5">
      <c r="A17676" t="s">
        <v>44839</v>
      </c>
      <c r="B17676" t="s">
        <v>11575</v>
      </c>
      <c r="C17676">
        <f>0</f>
        <v>0</v>
      </c>
      <c r="D17676">
        <v>0.95800561863099998</v>
      </c>
      <c r="E17676">
        <v>10.715999999999999</v>
      </c>
    </row>
    <row r="17677" spans="1:5">
      <c r="A17677" t="s">
        <v>44839</v>
      </c>
      <c r="B17677" t="s">
        <v>11578</v>
      </c>
      <c r="C17677">
        <v>0.862835092651</v>
      </c>
      <c r="D17677">
        <v>0.95800561863099998</v>
      </c>
      <c r="E17677">
        <v>10.715999999999999</v>
      </c>
    </row>
    <row r="17678" spans="1:5">
      <c r="A17678" t="s">
        <v>44839</v>
      </c>
      <c r="B17678" t="s">
        <v>11585</v>
      </c>
      <c r="C17678">
        <v>0</v>
      </c>
      <c r="D17678">
        <v>0.95800561863099998</v>
      </c>
      <c r="E17678">
        <v>10.715999999999999</v>
      </c>
    </row>
    <row r="17679" spans="1:5">
      <c r="A17679" t="s">
        <v>44839</v>
      </c>
      <c r="B17679" t="s">
        <v>11595</v>
      </c>
      <c r="C17679">
        <f>0</f>
        <v>0</v>
      </c>
      <c r="D17679">
        <v>0.95800561863099998</v>
      </c>
      <c r="E17679">
        <v>10.715999999999999</v>
      </c>
    </row>
    <row r="17680" spans="1:5">
      <c r="A17680" t="s">
        <v>44839</v>
      </c>
      <c r="B17680" t="s">
        <v>11599</v>
      </c>
      <c r="C17680">
        <v>0.200604279169</v>
      </c>
      <c r="D17680">
        <v>0.95800561863099998</v>
      </c>
      <c r="E17680">
        <v>10.715999999999999</v>
      </c>
    </row>
    <row r="17681" spans="1:5">
      <c r="A17681" t="s">
        <v>44839</v>
      </c>
      <c r="B17681" t="s">
        <v>11598</v>
      </c>
      <c r="C17681">
        <f>0.292839393533</f>
        <v>0.29283939353299998</v>
      </c>
      <c r="D17681">
        <v>0.95800561863099998</v>
      </c>
      <c r="E17681">
        <v>10.715999999999999</v>
      </c>
    </row>
    <row r="17682" spans="1:5">
      <c r="A17682" t="s">
        <v>44839</v>
      </c>
      <c r="B17682" t="s">
        <v>11591</v>
      </c>
      <c r="C17682">
        <f>0</f>
        <v>0</v>
      </c>
      <c r="D17682">
        <v>0.95800561863099998</v>
      </c>
      <c r="E17682">
        <v>10.715999999999999</v>
      </c>
    </row>
    <row r="17683" spans="1:5">
      <c r="A17683" t="s">
        <v>44839</v>
      </c>
      <c r="B17683" t="s">
        <v>11586</v>
      </c>
      <c r="C17683">
        <f>0.517213778358</f>
        <v>0.51721377835799998</v>
      </c>
      <c r="D17683">
        <v>0.95800561863099998</v>
      </c>
      <c r="E17683">
        <v>10.715999999999999</v>
      </c>
    </row>
    <row r="17684" spans="1:5">
      <c r="A17684" t="s">
        <v>44839</v>
      </c>
      <c r="B17684" t="s">
        <v>11590</v>
      </c>
      <c r="C17684">
        <f>0</f>
        <v>0</v>
      </c>
      <c r="D17684">
        <v>0.95800561863099998</v>
      </c>
      <c r="E17684">
        <v>10.715999999999999</v>
      </c>
    </row>
    <row r="17685" spans="1:5">
      <c r="A17685" t="s">
        <v>44839</v>
      </c>
      <c r="B17685" t="s">
        <v>11577</v>
      </c>
      <c r="C17685">
        <f>0</f>
        <v>0</v>
      </c>
      <c r="D17685">
        <v>0.95800561863099998</v>
      </c>
      <c r="E17685">
        <v>10.715999999999999</v>
      </c>
    </row>
    <row r="17686" spans="1:5">
      <c r="A17686" t="s">
        <v>44839</v>
      </c>
      <c r="B17686" t="s">
        <v>11583</v>
      </c>
      <c r="C17686">
        <f>0.407796289349</f>
        <v>0.40779628934899997</v>
      </c>
      <c r="D17686">
        <v>0.95800561863099998</v>
      </c>
      <c r="E17686">
        <v>10.715999999999999</v>
      </c>
    </row>
    <row r="17687" spans="1:5">
      <c r="A17687" t="s">
        <v>44839</v>
      </c>
      <c r="B17687" t="s">
        <v>11587</v>
      </c>
      <c r="C17687">
        <f>0</f>
        <v>0</v>
      </c>
      <c r="D17687">
        <v>0.95800561863099998</v>
      </c>
      <c r="E17687">
        <v>10.715999999999999</v>
      </c>
    </row>
    <row r="17688" spans="1:5">
      <c r="A17688" t="s">
        <v>44839</v>
      </c>
      <c r="B17688" t="s">
        <v>11582</v>
      </c>
      <c r="C17688">
        <f>0</f>
        <v>0</v>
      </c>
      <c r="D17688">
        <v>0.95800561863099998</v>
      </c>
      <c r="E17688">
        <v>10.715999999999999</v>
      </c>
    </row>
    <row r="17689" spans="1:5">
      <c r="A17689" t="s">
        <v>44839</v>
      </c>
      <c r="B17689" t="s">
        <v>11594</v>
      </c>
      <c r="C17689">
        <v>0</v>
      </c>
      <c r="D17689">
        <v>0.95800561863099998</v>
      </c>
      <c r="E17689">
        <v>10.715999999999999</v>
      </c>
    </row>
    <row r="17690" spans="1:5">
      <c r="A17690" t="s">
        <v>44839</v>
      </c>
      <c r="B17690" t="s">
        <v>11580</v>
      </c>
      <c r="C17690">
        <f>0</f>
        <v>0</v>
      </c>
      <c r="D17690">
        <v>0.95800561863099998</v>
      </c>
      <c r="E17690">
        <v>10.715999999999999</v>
      </c>
    </row>
    <row r="17691" spans="1:5">
      <c r="A17691" t="s">
        <v>44840</v>
      </c>
      <c r="B17691" t="s">
        <v>21045</v>
      </c>
      <c r="C17691">
        <v>0.30649521122700002</v>
      </c>
      <c r="D17691">
        <v>0.50010521122700002</v>
      </c>
      <c r="E17691">
        <v>24</v>
      </c>
    </row>
    <row r="17692" spans="1:5">
      <c r="A17692" t="s">
        <v>44840</v>
      </c>
      <c r="B17692" t="s">
        <v>21047</v>
      </c>
      <c r="C17692">
        <f>0</f>
        <v>0</v>
      </c>
      <c r="D17692">
        <v>0.50010521122700002</v>
      </c>
      <c r="E17692">
        <v>24</v>
      </c>
    </row>
    <row r="17693" spans="1:5">
      <c r="A17693" t="s">
        <v>44841</v>
      </c>
      <c r="B17693" t="s">
        <v>8030</v>
      </c>
      <c r="C17693">
        <v>0.56283448129900004</v>
      </c>
      <c r="D17693">
        <v>0.66524448129900005</v>
      </c>
      <c r="E17693">
        <v>0.26400000000000001</v>
      </c>
    </row>
    <row r="17694" spans="1:5">
      <c r="A17694" t="s">
        <v>44841</v>
      </c>
      <c r="B17694" t="s">
        <v>8034</v>
      </c>
      <c r="C17694">
        <v>0</v>
      </c>
      <c r="D17694">
        <v>0.66524448129900005</v>
      </c>
      <c r="E17694">
        <v>0.26400000000000001</v>
      </c>
    </row>
    <row r="17695" spans="1:5">
      <c r="A17695" t="s">
        <v>44842</v>
      </c>
      <c r="B17695" t="s">
        <v>2007</v>
      </c>
      <c r="C17695">
        <v>0.29932205505300002</v>
      </c>
      <c r="D17695">
        <v>0.78360575054199999</v>
      </c>
      <c r="E17695">
        <v>17.718</v>
      </c>
    </row>
    <row r="17696" spans="1:5">
      <c r="A17696" t="s">
        <v>44842</v>
      </c>
      <c r="B17696" t="s">
        <v>2009</v>
      </c>
      <c r="C17696">
        <v>0</v>
      </c>
      <c r="D17696">
        <v>0.78360575054199999</v>
      </c>
      <c r="E17696">
        <v>17.718</v>
      </c>
    </row>
    <row r="17697" spans="1:5">
      <c r="A17697" t="s">
        <v>44842</v>
      </c>
      <c r="B17697" t="s">
        <v>2008</v>
      </c>
      <c r="C17697">
        <v>0</v>
      </c>
      <c r="D17697">
        <v>0.78360575054199999</v>
      </c>
      <c r="E17697">
        <v>17.718</v>
      </c>
    </row>
    <row r="17698" spans="1:5">
      <c r="A17698" t="s">
        <v>44842</v>
      </c>
      <c r="B17698" t="s">
        <v>2010</v>
      </c>
      <c r="C17698">
        <f>0.0646524369056</f>
        <v>6.4652436905600005E-2</v>
      </c>
      <c r="D17698">
        <v>0.78360575054199999</v>
      </c>
      <c r="E17698">
        <v>17.718</v>
      </c>
    </row>
    <row r="17699" spans="1:5">
      <c r="A17699" t="s">
        <v>44843</v>
      </c>
      <c r="B17699" t="s">
        <v>8626</v>
      </c>
      <c r="C17699">
        <v>0</v>
      </c>
      <c r="D17699" t="s">
        <v>106</v>
      </c>
      <c r="E17699">
        <v>1.8959999999999999</v>
      </c>
    </row>
    <row r="17700" spans="1:5">
      <c r="A17700" t="s">
        <v>44843</v>
      </c>
      <c r="B17700" t="s">
        <v>8631</v>
      </c>
      <c r="C17700">
        <f>0</f>
        <v>0</v>
      </c>
      <c r="D17700" t="s">
        <v>106</v>
      </c>
      <c r="E17700">
        <v>1.8959999999999999</v>
      </c>
    </row>
    <row r="17701" spans="1:5">
      <c r="A17701" t="s">
        <v>44843</v>
      </c>
      <c r="B17701" t="s">
        <v>8628</v>
      </c>
      <c r="C17701">
        <v>0</v>
      </c>
      <c r="D17701" t="s">
        <v>106</v>
      </c>
      <c r="E17701">
        <v>1.8959999999999999</v>
      </c>
    </row>
    <row r="17702" spans="1:5">
      <c r="A17702" t="s">
        <v>44843</v>
      </c>
      <c r="B17702" t="s">
        <v>8627</v>
      </c>
      <c r="C17702">
        <f>0</f>
        <v>0</v>
      </c>
      <c r="D17702" t="s">
        <v>106</v>
      </c>
      <c r="E17702">
        <v>1.8959999999999999</v>
      </c>
    </row>
    <row r="17703" spans="1:5">
      <c r="A17703" t="s">
        <v>44843</v>
      </c>
      <c r="B17703" t="s">
        <v>8630</v>
      </c>
      <c r="C17703">
        <v>0</v>
      </c>
      <c r="D17703" t="s">
        <v>106</v>
      </c>
      <c r="E17703">
        <v>1.8959999999999999</v>
      </c>
    </row>
    <row r="17704" spans="1:5">
      <c r="A17704" t="s">
        <v>44843</v>
      </c>
      <c r="B17704" t="s">
        <v>8632</v>
      </c>
      <c r="C17704">
        <v>0</v>
      </c>
      <c r="D17704" t="s">
        <v>106</v>
      </c>
      <c r="E17704">
        <v>1.8959999999999999</v>
      </c>
    </row>
    <row r="17705" spans="1:5">
      <c r="A17705" t="s">
        <v>44844</v>
      </c>
      <c r="B17705" t="s">
        <v>17916</v>
      </c>
      <c r="C17705">
        <v>0.65124590491199996</v>
      </c>
      <c r="D17705">
        <v>0.92832241306100005</v>
      </c>
      <c r="E17705">
        <v>0</v>
      </c>
    </row>
    <row r="17706" spans="1:5">
      <c r="A17706" t="s">
        <v>44844</v>
      </c>
      <c r="B17706" t="s">
        <v>17917</v>
      </c>
      <c r="C17706">
        <v>0.92973627922299995</v>
      </c>
      <c r="D17706">
        <v>0.92832241306100005</v>
      </c>
      <c r="E17706">
        <v>0</v>
      </c>
    </row>
    <row r="17707" spans="1:5">
      <c r="A17707" t="s">
        <v>44844</v>
      </c>
      <c r="B17707" t="s">
        <v>17915</v>
      </c>
      <c r="C17707">
        <f>-1.35796103424</f>
        <v>-1.3579610342399999</v>
      </c>
      <c r="D17707">
        <v>0.92832241306100005</v>
      </c>
      <c r="E17707">
        <v>0</v>
      </c>
    </row>
    <row r="17708" spans="1:5">
      <c r="A17708" t="s">
        <v>44844</v>
      </c>
      <c r="B17708" t="s">
        <v>17919</v>
      </c>
      <c r="C17708">
        <v>0.37447961678199998</v>
      </c>
      <c r="D17708">
        <v>0.92832241306100005</v>
      </c>
      <c r="E17708">
        <v>0</v>
      </c>
    </row>
    <row r="17709" spans="1:5">
      <c r="A17709" t="s">
        <v>44845</v>
      </c>
      <c r="B17709" t="s">
        <v>14045</v>
      </c>
      <c r="C17709">
        <f>0</f>
        <v>0</v>
      </c>
      <c r="D17709" t="s">
        <v>106</v>
      </c>
      <c r="E17709">
        <v>1.2E-2</v>
      </c>
    </row>
    <row r="17710" spans="1:5">
      <c r="A17710" t="s">
        <v>44845</v>
      </c>
      <c r="B17710" t="s">
        <v>14055</v>
      </c>
      <c r="C17710">
        <v>0</v>
      </c>
      <c r="D17710" t="s">
        <v>106</v>
      </c>
      <c r="E17710">
        <v>1.2E-2</v>
      </c>
    </row>
    <row r="17711" spans="1:5">
      <c r="A17711" t="s">
        <v>44845</v>
      </c>
      <c r="B17711" t="s">
        <v>14048</v>
      </c>
      <c r="C17711">
        <f>0</f>
        <v>0</v>
      </c>
      <c r="D17711" t="s">
        <v>106</v>
      </c>
      <c r="E17711">
        <v>1.2E-2</v>
      </c>
    </row>
    <row r="17712" spans="1:5">
      <c r="A17712" t="s">
        <v>44845</v>
      </c>
      <c r="B17712" t="s">
        <v>14054</v>
      </c>
      <c r="C17712">
        <v>0</v>
      </c>
      <c r="D17712" t="s">
        <v>106</v>
      </c>
      <c r="E17712">
        <v>1.2E-2</v>
      </c>
    </row>
    <row r="17713" spans="1:5">
      <c r="A17713" t="s">
        <v>44845</v>
      </c>
      <c r="B17713" t="s">
        <v>14051</v>
      </c>
      <c r="C17713">
        <f>0</f>
        <v>0</v>
      </c>
      <c r="D17713" t="s">
        <v>106</v>
      </c>
      <c r="E17713">
        <v>1.2E-2</v>
      </c>
    </row>
    <row r="17714" spans="1:5">
      <c r="A17714" t="s">
        <v>44845</v>
      </c>
      <c r="B17714" t="s">
        <v>14050</v>
      </c>
      <c r="C17714">
        <f>0</f>
        <v>0</v>
      </c>
      <c r="D17714" t="s">
        <v>106</v>
      </c>
      <c r="E17714">
        <v>1.2E-2</v>
      </c>
    </row>
    <row r="17715" spans="1:5">
      <c r="A17715" t="s">
        <v>44845</v>
      </c>
      <c r="B17715" t="s">
        <v>44846</v>
      </c>
      <c r="C17715">
        <v>0</v>
      </c>
      <c r="D17715" t="s">
        <v>106</v>
      </c>
      <c r="E17715">
        <v>1.2E-2</v>
      </c>
    </row>
    <row r="17716" spans="1:5">
      <c r="A17716" t="s">
        <v>44845</v>
      </c>
      <c r="B17716" t="s">
        <v>14052</v>
      </c>
      <c r="C17716">
        <v>0</v>
      </c>
      <c r="D17716" t="s">
        <v>106</v>
      </c>
      <c r="E17716">
        <v>1.2E-2</v>
      </c>
    </row>
    <row r="17717" spans="1:5">
      <c r="A17717" t="s">
        <v>44845</v>
      </c>
      <c r="B17717" t="s">
        <v>14049</v>
      </c>
      <c r="C17717">
        <f>0</f>
        <v>0</v>
      </c>
      <c r="D17717" t="s">
        <v>106</v>
      </c>
      <c r="E17717">
        <v>1.2E-2</v>
      </c>
    </row>
    <row r="17718" spans="1:5">
      <c r="A17718" t="s">
        <v>44845</v>
      </c>
      <c r="B17718" t="s">
        <v>14053</v>
      </c>
      <c r="C17718">
        <f>0</f>
        <v>0</v>
      </c>
      <c r="D17718" t="s">
        <v>106</v>
      </c>
      <c r="E17718">
        <v>1.2E-2</v>
      </c>
    </row>
    <row r="17719" spans="1:5">
      <c r="A17719" t="s">
        <v>44847</v>
      </c>
      <c r="B17719" t="s">
        <v>44848</v>
      </c>
      <c r="C17719">
        <v>0.59196541488599996</v>
      </c>
      <c r="D17719">
        <v>0.61628565154799997</v>
      </c>
      <c r="E17719">
        <v>5.1239999999999997</v>
      </c>
    </row>
    <row r="17720" spans="1:5">
      <c r="A17720" t="s">
        <v>44847</v>
      </c>
      <c r="B17720" t="s">
        <v>44849</v>
      </c>
      <c r="C17720">
        <f>0.160036425518</f>
        <v>0.16003642551799999</v>
      </c>
      <c r="D17720">
        <v>0.61628565154799997</v>
      </c>
      <c r="E17720">
        <v>5.1239999999999997</v>
      </c>
    </row>
    <row r="17721" spans="1:5">
      <c r="A17721" t="s">
        <v>44850</v>
      </c>
      <c r="B17721" t="s">
        <v>44851</v>
      </c>
      <c r="C17721">
        <v>0.243574658296</v>
      </c>
      <c r="D17721">
        <v>0.92690564554300003</v>
      </c>
      <c r="E17721">
        <v>13.452</v>
      </c>
    </row>
    <row r="17722" spans="1:5">
      <c r="A17722" t="s">
        <v>44850</v>
      </c>
      <c r="B17722" t="s">
        <v>44852</v>
      </c>
      <c r="C17722">
        <v>5.5993484053200003E-2</v>
      </c>
      <c r="D17722">
        <v>0.92690564554300003</v>
      </c>
      <c r="E17722">
        <v>13.452</v>
      </c>
    </row>
    <row r="17723" spans="1:5">
      <c r="A17723" t="s">
        <v>44850</v>
      </c>
      <c r="B17723" t="s">
        <v>44853</v>
      </c>
      <c r="C17723">
        <v>0.76840364837200004</v>
      </c>
      <c r="D17723">
        <v>0.92690564554300003</v>
      </c>
      <c r="E17723">
        <v>13.452</v>
      </c>
    </row>
    <row r="17724" spans="1:5">
      <c r="A17724" t="s">
        <v>44854</v>
      </c>
      <c r="B17724" t="s">
        <v>26295</v>
      </c>
      <c r="C17724">
        <v>0</v>
      </c>
      <c r="D17724" t="s">
        <v>106</v>
      </c>
      <c r="E17724">
        <v>5.1239999999999997</v>
      </c>
    </row>
    <row r="17725" spans="1:5">
      <c r="A17725" t="s">
        <v>44854</v>
      </c>
      <c r="B17725" t="s">
        <v>26298</v>
      </c>
      <c r="C17725">
        <f>0</f>
        <v>0</v>
      </c>
      <c r="D17725" t="s">
        <v>106</v>
      </c>
      <c r="E17725">
        <v>5.1239999999999997</v>
      </c>
    </row>
    <row r="17726" spans="1:5">
      <c r="A17726" t="s">
        <v>44854</v>
      </c>
      <c r="B17726" t="s">
        <v>26302</v>
      </c>
      <c r="C17726">
        <v>0</v>
      </c>
      <c r="D17726" t="s">
        <v>106</v>
      </c>
      <c r="E17726">
        <v>5.1239999999999997</v>
      </c>
    </row>
    <row r="17727" spans="1:5">
      <c r="A17727" t="s">
        <v>44855</v>
      </c>
      <c r="B17727" t="s">
        <v>9602</v>
      </c>
      <c r="C17727">
        <f>0</f>
        <v>0</v>
      </c>
      <c r="D17727" t="s">
        <v>106</v>
      </c>
      <c r="E17727">
        <v>20.736000000000001</v>
      </c>
    </row>
    <row r="17728" spans="1:5">
      <c r="A17728" t="s">
        <v>44855</v>
      </c>
      <c r="B17728" t="s">
        <v>9601</v>
      </c>
      <c r="C17728">
        <v>0</v>
      </c>
      <c r="D17728" t="s">
        <v>106</v>
      </c>
      <c r="E17728">
        <v>20.736000000000001</v>
      </c>
    </row>
    <row r="17729" spans="1:5">
      <c r="A17729" t="s">
        <v>44856</v>
      </c>
      <c r="B17729" t="s">
        <v>22059</v>
      </c>
      <c r="C17729">
        <f>0</f>
        <v>0</v>
      </c>
      <c r="D17729">
        <v>0.68801101455500002</v>
      </c>
      <c r="E17729">
        <v>1.0680000000000001</v>
      </c>
    </row>
    <row r="17730" spans="1:5">
      <c r="A17730" t="s">
        <v>44856</v>
      </c>
      <c r="B17730" t="s">
        <v>22060</v>
      </c>
      <c r="C17730">
        <f>0.457601014555</f>
        <v>0.45760101455500002</v>
      </c>
      <c r="D17730">
        <v>0.68801101455500002</v>
      </c>
      <c r="E17730">
        <v>1.0680000000000001</v>
      </c>
    </row>
    <row r="17731" spans="1:5">
      <c r="A17731" t="s">
        <v>44857</v>
      </c>
      <c r="B17731" t="s">
        <v>44858</v>
      </c>
      <c r="C17731">
        <f>0.789125495757</f>
        <v>0.78912549575699997</v>
      </c>
      <c r="D17731">
        <v>0.99726090564799996</v>
      </c>
      <c r="E17731">
        <v>0</v>
      </c>
    </row>
    <row r="17732" spans="1:5">
      <c r="A17732" t="s">
        <v>44857</v>
      </c>
      <c r="B17732" t="s">
        <v>44859</v>
      </c>
      <c r="C17732">
        <f>0.498818574546</f>
        <v>0.49881857454599998</v>
      </c>
      <c r="D17732">
        <v>0.99726090564799996</v>
      </c>
      <c r="E17732">
        <v>0</v>
      </c>
    </row>
    <row r="17733" spans="1:5">
      <c r="A17733" t="s">
        <v>44857</v>
      </c>
      <c r="B17733" t="s">
        <v>44860</v>
      </c>
      <c r="C17733">
        <v>0.923133272359</v>
      </c>
      <c r="D17733">
        <v>0.99726090564799996</v>
      </c>
      <c r="E17733">
        <v>0</v>
      </c>
    </row>
    <row r="17734" spans="1:5">
      <c r="A17734" t="s">
        <v>44857</v>
      </c>
      <c r="B17734" t="s">
        <v>44861</v>
      </c>
      <c r="C17734">
        <f>0.971654317039</f>
        <v>0.97165431703899996</v>
      </c>
      <c r="D17734">
        <v>0.99726090564799996</v>
      </c>
      <c r="E17734">
        <v>0</v>
      </c>
    </row>
    <row r="17735" spans="1:5">
      <c r="A17735" t="s">
        <v>44857</v>
      </c>
      <c r="B17735" t="s">
        <v>44862</v>
      </c>
      <c r="C17735">
        <f>0.0528334667843</f>
        <v>5.2833466784300002E-2</v>
      </c>
      <c r="D17735">
        <v>0.99726090564799996</v>
      </c>
      <c r="E17735">
        <v>0</v>
      </c>
    </row>
    <row r="17736" spans="1:5">
      <c r="A17736" t="s">
        <v>44857</v>
      </c>
      <c r="B17736" t="s">
        <v>44863</v>
      </c>
      <c r="C17736">
        <f>0.514375669737</f>
        <v>0.514375669737</v>
      </c>
      <c r="D17736">
        <v>0.99726090564799996</v>
      </c>
      <c r="E17736">
        <v>0</v>
      </c>
    </row>
    <row r="17737" spans="1:5">
      <c r="A17737" t="s">
        <v>44864</v>
      </c>
      <c r="B17737" t="s">
        <v>19788</v>
      </c>
      <c r="C17737">
        <v>0</v>
      </c>
      <c r="D17737">
        <v>0.80796118496699998</v>
      </c>
      <c r="E17737">
        <v>9.6180000000000003</v>
      </c>
    </row>
    <row r="17738" spans="1:5">
      <c r="A17738" t="s">
        <v>44864</v>
      </c>
      <c r="B17738" t="s">
        <v>19789</v>
      </c>
      <c r="C17738">
        <v>0.61435118496700003</v>
      </c>
      <c r="D17738">
        <v>0.80796118496699998</v>
      </c>
      <c r="E17738">
        <v>9.6180000000000003</v>
      </c>
    </row>
    <row r="17739" spans="1:5">
      <c r="A17739" t="s">
        <v>44865</v>
      </c>
      <c r="B17739" t="s">
        <v>28176</v>
      </c>
      <c r="C17739">
        <v>0</v>
      </c>
      <c r="D17739" t="s">
        <v>106</v>
      </c>
      <c r="E17739">
        <v>24</v>
      </c>
    </row>
    <row r="17740" spans="1:5">
      <c r="A17740" t="s">
        <v>44865</v>
      </c>
      <c r="B17740" t="s">
        <v>28178</v>
      </c>
      <c r="C17740">
        <v>0</v>
      </c>
      <c r="D17740" t="s">
        <v>106</v>
      </c>
      <c r="E17740">
        <v>24</v>
      </c>
    </row>
    <row r="17741" spans="1:5">
      <c r="A17741" t="s">
        <v>44865</v>
      </c>
      <c r="B17741" t="s">
        <v>28182</v>
      </c>
      <c r="C17741">
        <v>0</v>
      </c>
      <c r="D17741" t="s">
        <v>106</v>
      </c>
      <c r="E17741">
        <v>24</v>
      </c>
    </row>
    <row r="17742" spans="1:5">
      <c r="A17742" t="s">
        <v>44866</v>
      </c>
      <c r="B17742" t="s">
        <v>30839</v>
      </c>
      <c r="C17742">
        <f>0</f>
        <v>0</v>
      </c>
      <c r="D17742" t="s">
        <v>106</v>
      </c>
      <c r="E17742">
        <v>10.554</v>
      </c>
    </row>
    <row r="17743" spans="1:5">
      <c r="A17743" t="s">
        <v>44866</v>
      </c>
      <c r="B17743" t="s">
        <v>30840</v>
      </c>
      <c r="C17743">
        <f>0</f>
        <v>0</v>
      </c>
      <c r="D17743" t="s">
        <v>106</v>
      </c>
      <c r="E17743">
        <v>10.554</v>
      </c>
    </row>
    <row r="17744" spans="1:5">
      <c r="A17744" t="s">
        <v>44867</v>
      </c>
      <c r="B17744" t="s">
        <v>44868</v>
      </c>
      <c r="C17744">
        <v>0</v>
      </c>
      <c r="D17744">
        <v>0.92698489265799999</v>
      </c>
      <c r="E17744">
        <v>9.1679999999999993</v>
      </c>
    </row>
    <row r="17745" spans="1:5">
      <c r="A17745" t="s">
        <v>44867</v>
      </c>
      <c r="B17745" t="s">
        <v>44869</v>
      </c>
      <c r="C17745">
        <f>0</f>
        <v>0</v>
      </c>
      <c r="D17745">
        <v>0.92698489265799999</v>
      </c>
      <c r="E17745">
        <v>9.1679999999999993</v>
      </c>
    </row>
    <row r="17746" spans="1:5">
      <c r="A17746" t="s">
        <v>44867</v>
      </c>
      <c r="B17746" t="s">
        <v>44870</v>
      </c>
      <c r="C17746">
        <f>0</f>
        <v>0</v>
      </c>
      <c r="D17746">
        <v>0.92698489265799999</v>
      </c>
      <c r="E17746">
        <v>9.1679999999999993</v>
      </c>
    </row>
    <row r="17747" spans="1:5">
      <c r="A17747" t="s">
        <v>44867</v>
      </c>
      <c r="B17747" t="s">
        <v>44871</v>
      </c>
      <c r="C17747">
        <f>0</f>
        <v>0</v>
      </c>
      <c r="D17747">
        <v>0.92698489265799999</v>
      </c>
      <c r="E17747">
        <v>9.1679999999999993</v>
      </c>
    </row>
    <row r="17748" spans="1:5">
      <c r="A17748" t="s">
        <v>44867</v>
      </c>
      <c r="B17748" t="s">
        <v>44872</v>
      </c>
      <c r="C17748">
        <f>0.696574892658</f>
        <v>0.69657489265799999</v>
      </c>
      <c r="D17748">
        <v>0.92698489265799999</v>
      </c>
      <c r="E17748">
        <v>9.1679999999999993</v>
      </c>
    </row>
    <row r="17749" spans="1:5">
      <c r="A17749" t="s">
        <v>44867</v>
      </c>
      <c r="B17749" t="s">
        <v>44873</v>
      </c>
      <c r="C17749">
        <f>0</f>
        <v>0</v>
      </c>
      <c r="D17749">
        <v>0.92698489265799999</v>
      </c>
      <c r="E17749">
        <v>9.1679999999999993</v>
      </c>
    </row>
    <row r="17750" spans="1:5">
      <c r="A17750" t="s">
        <v>44874</v>
      </c>
      <c r="B17750" t="s">
        <v>22124</v>
      </c>
      <c r="C17750">
        <v>0.32668779838700002</v>
      </c>
      <c r="D17750">
        <v>0.67563570759699998</v>
      </c>
      <c r="E17750">
        <v>6.3</v>
      </c>
    </row>
    <row r="17751" spans="1:5">
      <c r="A17751" t="s">
        <v>44874</v>
      </c>
      <c r="B17751" t="s">
        <v>22119</v>
      </c>
      <c r="C17751">
        <v>0.34286843960500002</v>
      </c>
      <c r="D17751">
        <v>0.67563570759699998</v>
      </c>
      <c r="E17751">
        <v>6.3</v>
      </c>
    </row>
    <row r="17752" spans="1:5">
      <c r="A17752" t="s">
        <v>44874</v>
      </c>
      <c r="B17752" t="s">
        <v>22123</v>
      </c>
      <c r="C17752">
        <v>0</v>
      </c>
      <c r="D17752">
        <v>0.67563570759699998</v>
      </c>
      <c r="E17752">
        <v>6.3</v>
      </c>
    </row>
    <row r="17753" spans="1:5">
      <c r="A17753" t="s">
        <v>44875</v>
      </c>
      <c r="B17753" t="s">
        <v>3146</v>
      </c>
      <c r="C17753">
        <f>0.00660561079847</f>
        <v>6.6056107984699998E-3</v>
      </c>
      <c r="D17753">
        <v>0.789815148877</v>
      </c>
      <c r="E17753">
        <v>9.6180000000000003</v>
      </c>
    </row>
    <row r="17754" spans="1:5">
      <c r="A17754" t="s">
        <v>44875</v>
      </c>
      <c r="B17754" t="s">
        <v>3150</v>
      </c>
      <c r="C17754">
        <f>0.167106890745</f>
        <v>0.16710689074499999</v>
      </c>
      <c r="D17754">
        <v>0.789815148877</v>
      </c>
      <c r="E17754">
        <v>9.6180000000000003</v>
      </c>
    </row>
    <row r="17755" spans="1:5">
      <c r="A17755" t="s">
        <v>44875</v>
      </c>
      <c r="B17755" t="s">
        <v>3149</v>
      </c>
      <c r="C17755">
        <f>0</f>
        <v>0</v>
      </c>
      <c r="D17755">
        <v>0.789815148877</v>
      </c>
      <c r="E17755">
        <v>9.6180000000000003</v>
      </c>
    </row>
    <row r="17756" spans="1:5">
      <c r="A17756" t="s">
        <v>44875</v>
      </c>
      <c r="B17756" t="s">
        <v>3153</v>
      </c>
      <c r="C17756">
        <v>0.63531959395299997</v>
      </c>
      <c r="D17756">
        <v>0.789815148877</v>
      </c>
      <c r="E17756">
        <v>9.6180000000000003</v>
      </c>
    </row>
    <row r="17757" spans="1:5">
      <c r="A17757" t="s">
        <v>44875</v>
      </c>
      <c r="B17757" t="s">
        <v>3148</v>
      </c>
      <c r="C17757">
        <f>0</f>
        <v>0</v>
      </c>
      <c r="D17757">
        <v>0.789815148877</v>
      </c>
      <c r="E17757">
        <v>9.6180000000000003</v>
      </c>
    </row>
    <row r="17758" spans="1:5">
      <c r="A17758" t="s">
        <v>44876</v>
      </c>
      <c r="B17758" t="s">
        <v>4317</v>
      </c>
      <c r="C17758">
        <f>0.413072591455</f>
        <v>0.41307259145500003</v>
      </c>
      <c r="D17758">
        <v>0.54268259145499997</v>
      </c>
      <c r="E17758">
        <v>5.016</v>
      </c>
    </row>
    <row r="17759" spans="1:5">
      <c r="A17759" t="s">
        <v>44876</v>
      </c>
      <c r="B17759" t="s">
        <v>4321</v>
      </c>
      <c r="C17759">
        <v>0</v>
      </c>
      <c r="D17759">
        <v>0.54268259145499997</v>
      </c>
      <c r="E17759">
        <v>5.016</v>
      </c>
    </row>
    <row r="17760" spans="1:5">
      <c r="A17760" t="s">
        <v>44876</v>
      </c>
      <c r="B17760" t="s">
        <v>4318</v>
      </c>
      <c r="C17760">
        <f>0</f>
        <v>0</v>
      </c>
      <c r="D17760">
        <v>0.54268259145499997</v>
      </c>
      <c r="E17760">
        <v>5.016</v>
      </c>
    </row>
    <row r="17761" spans="1:5">
      <c r="A17761" t="s">
        <v>44876</v>
      </c>
      <c r="B17761" t="s">
        <v>4319</v>
      </c>
      <c r="C17761">
        <v>0</v>
      </c>
      <c r="D17761">
        <v>0.54268259145499997</v>
      </c>
      <c r="E17761">
        <v>5.016</v>
      </c>
    </row>
    <row r="17762" spans="1:5">
      <c r="A17762" t="s">
        <v>44877</v>
      </c>
      <c r="B17762" t="s">
        <v>9407</v>
      </c>
      <c r="C17762">
        <f>0.235109471514</f>
        <v>0.235109471514</v>
      </c>
      <c r="D17762">
        <v>0.76254479023699995</v>
      </c>
      <c r="E17762">
        <v>2.0339999999999998</v>
      </c>
    </row>
    <row r="17763" spans="1:5">
      <c r="A17763" t="s">
        <v>44877</v>
      </c>
      <c r="B17763" t="s">
        <v>9411</v>
      </c>
      <c r="C17763">
        <f>0.581171181413</f>
        <v>0.58117118141299995</v>
      </c>
      <c r="D17763">
        <v>0.76254479023699995</v>
      </c>
      <c r="E17763">
        <v>2.0339999999999998</v>
      </c>
    </row>
    <row r="17764" spans="1:5">
      <c r="A17764" t="s">
        <v>44878</v>
      </c>
      <c r="B17764" t="s">
        <v>15097</v>
      </c>
      <c r="C17764">
        <f>0</f>
        <v>0</v>
      </c>
      <c r="D17764">
        <v>0.88840389588799995</v>
      </c>
      <c r="E17764">
        <v>0</v>
      </c>
    </row>
    <row r="17765" spans="1:5">
      <c r="A17765" t="s">
        <v>44878</v>
      </c>
      <c r="B17765" t="s">
        <v>15105</v>
      </c>
      <c r="C17765">
        <f>0.553154079329</f>
        <v>0.55315407932899996</v>
      </c>
      <c r="D17765">
        <v>0.88840389588799995</v>
      </c>
      <c r="E17765">
        <v>0</v>
      </c>
    </row>
    <row r="17766" spans="1:5">
      <c r="A17766" t="s">
        <v>44878</v>
      </c>
      <c r="B17766" t="s">
        <v>15103</v>
      </c>
      <c r="C17766">
        <v>0.698454424006</v>
      </c>
      <c r="D17766">
        <v>0.88840389588799995</v>
      </c>
      <c r="E17766">
        <v>0</v>
      </c>
    </row>
    <row r="17767" spans="1:5">
      <c r="A17767" t="s">
        <v>44878</v>
      </c>
      <c r="B17767" t="s">
        <v>15099</v>
      </c>
      <c r="C17767">
        <v>0</v>
      </c>
      <c r="D17767">
        <v>0.88840389588799995</v>
      </c>
      <c r="E17767">
        <v>0</v>
      </c>
    </row>
    <row r="17768" spans="1:5">
      <c r="A17768" t="s">
        <v>44879</v>
      </c>
      <c r="B17768" t="s">
        <v>7296</v>
      </c>
      <c r="C17768">
        <v>0.40276210221600001</v>
      </c>
      <c r="D17768">
        <v>0.908666774269</v>
      </c>
      <c r="E17768">
        <v>5.3520000000000003</v>
      </c>
    </row>
    <row r="17769" spans="1:5">
      <c r="A17769" t="s">
        <v>44879</v>
      </c>
      <c r="B17769" t="s">
        <v>7297</v>
      </c>
      <c r="C17769">
        <v>0.537533391089</v>
      </c>
      <c r="D17769">
        <v>0.908666774269</v>
      </c>
      <c r="E17769">
        <v>5.3520000000000003</v>
      </c>
    </row>
    <row r="17770" spans="1:5">
      <c r="A17770" t="s">
        <v>44879</v>
      </c>
      <c r="B17770" t="s">
        <v>7300</v>
      </c>
      <c r="C17770">
        <v>0</v>
      </c>
      <c r="D17770">
        <v>0.908666774269</v>
      </c>
      <c r="E17770">
        <v>5.3520000000000003</v>
      </c>
    </row>
    <row r="17771" spans="1:5">
      <c r="A17771" t="s">
        <v>44879</v>
      </c>
      <c r="B17771" t="s">
        <v>7301</v>
      </c>
      <c r="C17771">
        <f>0.0944344124454</f>
        <v>9.4434412445400004E-2</v>
      </c>
      <c r="D17771">
        <v>0.908666774269</v>
      </c>
      <c r="E17771">
        <v>5.3520000000000003</v>
      </c>
    </row>
    <row r="17772" spans="1:5">
      <c r="A17772" t="s">
        <v>44879</v>
      </c>
      <c r="B17772" t="s">
        <v>7299</v>
      </c>
      <c r="C17772">
        <v>0</v>
      </c>
      <c r="D17772">
        <v>0.908666774269</v>
      </c>
      <c r="E17772">
        <v>5.3520000000000003</v>
      </c>
    </row>
    <row r="17773" spans="1:5">
      <c r="A17773" t="s">
        <v>44880</v>
      </c>
      <c r="B17773" t="s">
        <v>23275</v>
      </c>
      <c r="C17773">
        <v>0.82136912797200001</v>
      </c>
      <c r="D17773">
        <v>0.61069069949099997</v>
      </c>
      <c r="E17773">
        <v>16.097999999999999</v>
      </c>
    </row>
    <row r="17774" spans="1:5">
      <c r="A17774" t="s">
        <v>44880</v>
      </c>
      <c r="B17774" t="s">
        <v>23274</v>
      </c>
      <c r="C17774">
        <f>0.747401822452</f>
        <v>0.74740182245200004</v>
      </c>
      <c r="D17774">
        <v>0.61069069949099997</v>
      </c>
      <c r="E17774">
        <v>16.097999999999999</v>
      </c>
    </row>
    <row r="17775" spans="1:5">
      <c r="A17775" t="s">
        <v>44881</v>
      </c>
      <c r="B17775" t="s">
        <v>21927</v>
      </c>
      <c r="C17775">
        <f>0.152318152255</f>
        <v>0.15231815225500001</v>
      </c>
      <c r="D17775">
        <v>0.66443289234900005</v>
      </c>
      <c r="E17775">
        <v>21.42</v>
      </c>
    </row>
    <row r="17776" spans="1:5">
      <c r="A17776" t="s">
        <v>44881</v>
      </c>
      <c r="B17776" t="s">
        <v>21926</v>
      </c>
      <c r="C17776">
        <v>7.5849961361100005E-2</v>
      </c>
      <c r="D17776">
        <v>0.66443289234900005</v>
      </c>
      <c r="E17776">
        <v>21.42</v>
      </c>
    </row>
    <row r="17777" spans="1:5">
      <c r="A17777" t="s">
        <v>44882</v>
      </c>
      <c r="B17777" t="s">
        <v>11888</v>
      </c>
      <c r="C17777">
        <f>0</f>
        <v>0</v>
      </c>
      <c r="D17777">
        <v>0.75404762561299998</v>
      </c>
      <c r="E17777">
        <v>24</v>
      </c>
    </row>
    <row r="17778" spans="1:5">
      <c r="A17778" t="s">
        <v>44882</v>
      </c>
      <c r="B17778" t="s">
        <v>11892</v>
      </c>
      <c r="C17778">
        <f>0</f>
        <v>0</v>
      </c>
      <c r="D17778">
        <v>0.75404762561299998</v>
      </c>
      <c r="E17778">
        <v>24</v>
      </c>
    </row>
    <row r="17779" spans="1:5">
      <c r="A17779" t="s">
        <v>44882</v>
      </c>
      <c r="B17779" t="s">
        <v>11890</v>
      </c>
      <c r="C17779">
        <f>0</f>
        <v>0</v>
      </c>
      <c r="D17779">
        <v>0.75404762561299998</v>
      </c>
      <c r="E17779">
        <v>24</v>
      </c>
    </row>
    <row r="17780" spans="1:5">
      <c r="A17780" t="s">
        <v>44882</v>
      </c>
      <c r="B17780" t="s">
        <v>11891</v>
      </c>
      <c r="C17780">
        <f>0.354981365067</f>
        <v>0.35498136506700001</v>
      </c>
      <c r="D17780">
        <v>0.75404762561299998</v>
      </c>
      <c r="E17780">
        <v>24</v>
      </c>
    </row>
    <row r="17781" spans="1:5">
      <c r="A17781" t="s">
        <v>44882</v>
      </c>
      <c r="B17781" t="s">
        <v>11893</v>
      </c>
      <c r="C17781">
        <f>0.272023405732</f>
        <v>0.27202340573200001</v>
      </c>
      <c r="D17781">
        <v>0.75404762561299998</v>
      </c>
      <c r="E17781">
        <v>24</v>
      </c>
    </row>
    <row r="17782" spans="1:5">
      <c r="A17782" t="s">
        <v>44883</v>
      </c>
      <c r="B17782" t="s">
        <v>44884</v>
      </c>
      <c r="C17782">
        <v>0</v>
      </c>
      <c r="D17782" t="s">
        <v>106</v>
      </c>
      <c r="E17782">
        <v>0</v>
      </c>
    </row>
    <row r="17783" spans="1:5">
      <c r="A17783" t="s">
        <v>44883</v>
      </c>
      <c r="B17783" t="s">
        <v>44885</v>
      </c>
      <c r="C17783">
        <f>0</f>
        <v>0</v>
      </c>
      <c r="D17783" t="s">
        <v>106</v>
      </c>
      <c r="E17783">
        <v>0</v>
      </c>
    </row>
    <row r="17784" spans="1:5">
      <c r="A17784" t="s">
        <v>44883</v>
      </c>
      <c r="B17784" t="s">
        <v>44886</v>
      </c>
      <c r="C17784">
        <f>0</f>
        <v>0</v>
      </c>
      <c r="D17784" t="s">
        <v>106</v>
      </c>
      <c r="E17784">
        <v>0</v>
      </c>
    </row>
    <row r="17785" spans="1:5">
      <c r="A17785" t="s">
        <v>44883</v>
      </c>
      <c r="B17785" t="s">
        <v>44887</v>
      </c>
      <c r="C17785">
        <v>0</v>
      </c>
      <c r="D17785" t="s">
        <v>106</v>
      </c>
      <c r="E17785">
        <v>0</v>
      </c>
    </row>
    <row r="17786" spans="1:5">
      <c r="A17786" t="s">
        <v>44883</v>
      </c>
      <c r="B17786" t="s">
        <v>44888</v>
      </c>
      <c r="C17786">
        <v>0</v>
      </c>
      <c r="D17786" t="s">
        <v>106</v>
      </c>
      <c r="E17786">
        <v>0</v>
      </c>
    </row>
    <row r="17787" spans="1:5">
      <c r="A17787" t="s">
        <v>44889</v>
      </c>
      <c r="B17787" t="s">
        <v>44890</v>
      </c>
      <c r="C17787">
        <f>0.180682731987</f>
        <v>0.18068273198699999</v>
      </c>
      <c r="D17787">
        <v>0.98016149704</v>
      </c>
      <c r="E17787">
        <v>1.3919999999999999</v>
      </c>
    </row>
    <row r="17788" spans="1:5">
      <c r="A17788" t="s">
        <v>44889</v>
      </c>
      <c r="B17788" t="s">
        <v>44891</v>
      </c>
      <c r="C17788">
        <v>0.215586424537</v>
      </c>
      <c r="D17788">
        <v>0.98016149704</v>
      </c>
      <c r="E17788">
        <v>1.3919999999999999</v>
      </c>
    </row>
    <row r="17789" spans="1:5">
      <c r="A17789" t="s">
        <v>44889</v>
      </c>
      <c r="B17789" t="s">
        <v>44892</v>
      </c>
      <c r="C17789">
        <v>0.96532762390100002</v>
      </c>
      <c r="D17789">
        <v>0.98016149704</v>
      </c>
      <c r="E17789">
        <v>1.3919999999999999</v>
      </c>
    </row>
    <row r="17790" spans="1:5">
      <c r="A17790" t="s">
        <v>44889</v>
      </c>
      <c r="B17790" t="s">
        <v>44893</v>
      </c>
      <c r="C17790">
        <v>0.25875848118700001</v>
      </c>
      <c r="D17790">
        <v>0.98016149704</v>
      </c>
      <c r="E17790">
        <v>1.3919999999999999</v>
      </c>
    </row>
    <row r="17791" spans="1:5">
      <c r="A17791" t="s">
        <v>44894</v>
      </c>
      <c r="B17791" t="s">
        <v>11055</v>
      </c>
      <c r="C17791">
        <v>0.32390300880900003</v>
      </c>
      <c r="D17791">
        <v>0.96499810900100003</v>
      </c>
      <c r="E17791">
        <v>23.754000000000001</v>
      </c>
    </row>
    <row r="17792" spans="1:5">
      <c r="A17792" t="s">
        <v>44894</v>
      </c>
      <c r="B17792" t="s">
        <v>11047</v>
      </c>
      <c r="C17792">
        <v>1.6729272426499998E-2</v>
      </c>
      <c r="D17792">
        <v>0.96499810900100003</v>
      </c>
      <c r="E17792">
        <v>23.754000000000001</v>
      </c>
    </row>
    <row r="17793" spans="1:5">
      <c r="A17793" t="s">
        <v>44894</v>
      </c>
      <c r="B17793" t="s">
        <v>11051</v>
      </c>
      <c r="C17793">
        <v>2.2704053927499999E-2</v>
      </c>
      <c r="D17793">
        <v>0.96499810900100003</v>
      </c>
      <c r="E17793">
        <v>23.754000000000001</v>
      </c>
    </row>
    <row r="17794" spans="1:5">
      <c r="A17794" t="s">
        <v>44894</v>
      </c>
      <c r="B17794" t="s">
        <v>11048</v>
      </c>
      <c r="C17794">
        <f>0</f>
        <v>0</v>
      </c>
      <c r="D17794">
        <v>0.96499810900100003</v>
      </c>
      <c r="E17794">
        <v>23.754000000000001</v>
      </c>
    </row>
    <row r="17795" spans="1:5">
      <c r="A17795" t="s">
        <v>44894</v>
      </c>
      <c r="B17795" t="s">
        <v>11054</v>
      </c>
      <c r="C17795">
        <v>0.66799119153200004</v>
      </c>
      <c r="D17795">
        <v>0.96499810900100003</v>
      </c>
      <c r="E17795">
        <v>23.754000000000001</v>
      </c>
    </row>
    <row r="17796" spans="1:5">
      <c r="A17796" t="s">
        <v>44895</v>
      </c>
      <c r="B17796" t="s">
        <v>44896</v>
      </c>
      <c r="C17796">
        <v>0</v>
      </c>
      <c r="D17796">
        <v>0.97414466908800001</v>
      </c>
      <c r="E17796">
        <v>3.5999999999999997E-2</v>
      </c>
    </row>
    <row r="17797" spans="1:5">
      <c r="A17797" t="s">
        <v>44895</v>
      </c>
      <c r="B17797" t="s">
        <v>44897</v>
      </c>
      <c r="C17797">
        <v>0</v>
      </c>
      <c r="D17797">
        <v>0.97414466908800001</v>
      </c>
      <c r="E17797">
        <v>3.5999999999999997E-2</v>
      </c>
    </row>
    <row r="17798" spans="1:5">
      <c r="A17798" t="s">
        <v>44895</v>
      </c>
      <c r="B17798" t="s">
        <v>44898</v>
      </c>
      <c r="C17798">
        <v>0.26084459101599999</v>
      </c>
      <c r="D17798">
        <v>0.97414466908800001</v>
      </c>
      <c r="E17798">
        <v>3.5999999999999997E-2</v>
      </c>
    </row>
    <row r="17799" spans="1:5">
      <c r="A17799" t="s">
        <v>44895</v>
      </c>
      <c r="B17799" t="s">
        <v>44899</v>
      </c>
      <c r="C17799">
        <v>0</v>
      </c>
      <c r="D17799">
        <v>0.97414466908800001</v>
      </c>
      <c r="E17799">
        <v>3.5999999999999997E-2</v>
      </c>
    </row>
    <row r="17800" spans="1:5">
      <c r="A17800" t="s">
        <v>44895</v>
      </c>
      <c r="B17800" t="s">
        <v>44900</v>
      </c>
      <c r="C17800">
        <v>0</v>
      </c>
      <c r="D17800">
        <v>0.97414466908800001</v>
      </c>
      <c r="E17800">
        <v>3.5999999999999997E-2</v>
      </c>
    </row>
    <row r="17801" spans="1:5">
      <c r="A17801" t="s">
        <v>44895</v>
      </c>
      <c r="B17801" t="s">
        <v>44901</v>
      </c>
      <c r="C17801">
        <v>0.68718062029500004</v>
      </c>
      <c r="D17801">
        <v>0.97414466908800001</v>
      </c>
      <c r="E17801">
        <v>3.5999999999999997E-2</v>
      </c>
    </row>
    <row r="17802" spans="1:5">
      <c r="A17802" t="s">
        <v>44902</v>
      </c>
      <c r="B17802" t="s">
        <v>7553</v>
      </c>
      <c r="C17802">
        <v>5.3546168646899997E-3</v>
      </c>
      <c r="D17802">
        <v>0.71221152427900003</v>
      </c>
      <c r="E17802">
        <v>11.874000000000001</v>
      </c>
    </row>
    <row r="17803" spans="1:5">
      <c r="A17803" t="s">
        <v>44902</v>
      </c>
      <c r="B17803" t="s">
        <v>7563</v>
      </c>
      <c r="C17803">
        <v>0</v>
      </c>
      <c r="D17803">
        <v>0.71221152427900003</v>
      </c>
      <c r="E17803">
        <v>11.874000000000001</v>
      </c>
    </row>
    <row r="17804" spans="1:5">
      <c r="A17804" t="s">
        <v>44902</v>
      </c>
      <c r="B17804" t="s">
        <v>7559</v>
      </c>
      <c r="C17804">
        <v>0.121864761871</v>
      </c>
      <c r="D17804">
        <v>0.71221152427900003</v>
      </c>
      <c r="E17804">
        <v>11.874000000000001</v>
      </c>
    </row>
    <row r="17805" spans="1:5">
      <c r="A17805" t="s">
        <v>44902</v>
      </c>
      <c r="B17805" t="s">
        <v>7560</v>
      </c>
      <c r="C17805">
        <f>0</f>
        <v>0</v>
      </c>
      <c r="D17805">
        <v>0.71221152427900003</v>
      </c>
      <c r="E17805">
        <v>11.874000000000001</v>
      </c>
    </row>
    <row r="17806" spans="1:5">
      <c r="A17806" t="s">
        <v>44902</v>
      </c>
      <c r="B17806" t="s">
        <v>44903</v>
      </c>
      <c r="C17806">
        <f>0</f>
        <v>0</v>
      </c>
      <c r="D17806">
        <v>0.71221152427900003</v>
      </c>
      <c r="E17806">
        <v>11.874000000000001</v>
      </c>
    </row>
    <row r="17807" spans="1:5">
      <c r="A17807" t="s">
        <v>44902</v>
      </c>
      <c r="B17807" t="s">
        <v>7556</v>
      </c>
      <c r="C17807">
        <v>0</v>
      </c>
      <c r="D17807">
        <v>0.71221152427900003</v>
      </c>
      <c r="E17807">
        <v>11.874000000000001</v>
      </c>
    </row>
    <row r="17808" spans="1:5">
      <c r="A17808" t="s">
        <v>44902</v>
      </c>
      <c r="B17808" t="s">
        <v>7554</v>
      </c>
      <c r="C17808">
        <v>0</v>
      </c>
      <c r="D17808">
        <v>0.71221152427900003</v>
      </c>
      <c r="E17808">
        <v>11.874000000000001</v>
      </c>
    </row>
    <row r="17809" spans="1:5">
      <c r="A17809" t="s">
        <v>44902</v>
      </c>
      <c r="B17809" t="s">
        <v>7555</v>
      </c>
      <c r="C17809">
        <v>0</v>
      </c>
      <c r="D17809">
        <v>0.71221152427900003</v>
      </c>
      <c r="E17809">
        <v>11.874000000000001</v>
      </c>
    </row>
    <row r="17810" spans="1:5">
      <c r="A17810" t="s">
        <v>44902</v>
      </c>
      <c r="B17810" t="s">
        <v>7565</v>
      </c>
      <c r="C17810">
        <v>0</v>
      </c>
      <c r="D17810">
        <v>0.71221152427900003</v>
      </c>
      <c r="E17810">
        <v>11.874000000000001</v>
      </c>
    </row>
    <row r="17811" spans="1:5">
      <c r="A17811" t="s">
        <v>44904</v>
      </c>
      <c r="B17811" t="s">
        <v>19045</v>
      </c>
      <c r="C17811">
        <f>0</f>
        <v>0</v>
      </c>
      <c r="D17811" t="s">
        <v>106</v>
      </c>
      <c r="E17811">
        <v>0.114</v>
      </c>
    </row>
    <row r="17812" spans="1:5">
      <c r="A17812" t="s">
        <v>44904</v>
      </c>
      <c r="B17812" t="s">
        <v>19046</v>
      </c>
      <c r="C17812">
        <v>0</v>
      </c>
      <c r="D17812" t="s">
        <v>106</v>
      </c>
      <c r="E17812">
        <v>0.114</v>
      </c>
    </row>
    <row r="17813" spans="1:5">
      <c r="A17813" t="s">
        <v>44905</v>
      </c>
      <c r="B17813" t="s">
        <v>862</v>
      </c>
      <c r="C17813">
        <v>0.454230632839</v>
      </c>
      <c r="D17813">
        <v>0.77915821601900004</v>
      </c>
      <c r="E17813">
        <v>10.715999999999999</v>
      </c>
    </row>
    <row r="17814" spans="1:5">
      <c r="A17814" t="s">
        <v>44905</v>
      </c>
      <c r="B17814" t="s">
        <v>864</v>
      </c>
      <c r="C17814">
        <v>0</v>
      </c>
      <c r="D17814">
        <v>0.77915821601900004</v>
      </c>
      <c r="E17814">
        <v>10.715999999999999</v>
      </c>
    </row>
    <row r="17815" spans="1:5">
      <c r="A17815" t="s">
        <v>44905</v>
      </c>
      <c r="B17815" t="s">
        <v>865</v>
      </c>
      <c r="C17815">
        <f>0</f>
        <v>0</v>
      </c>
      <c r="D17815">
        <v>0.77915821601900004</v>
      </c>
      <c r="E17815">
        <v>10.715999999999999</v>
      </c>
    </row>
    <row r="17816" spans="1:5">
      <c r="A17816" t="s">
        <v>44905</v>
      </c>
      <c r="B17816" t="s">
        <v>861</v>
      </c>
      <c r="C17816">
        <v>8.3793260307800002E-2</v>
      </c>
      <c r="D17816">
        <v>0.77915821601900004</v>
      </c>
      <c r="E17816">
        <v>10.715999999999999</v>
      </c>
    </row>
    <row r="17817" spans="1:5">
      <c r="A17817" t="s">
        <v>44906</v>
      </c>
      <c r="B17817" t="s">
        <v>26542</v>
      </c>
      <c r="C17817">
        <f>0</f>
        <v>0</v>
      </c>
      <c r="D17817">
        <v>0.97492228686600002</v>
      </c>
      <c r="E17817">
        <v>23.754000000000001</v>
      </c>
    </row>
    <row r="17818" spans="1:5">
      <c r="A17818" t="s">
        <v>44906</v>
      </c>
      <c r="B17818" t="s">
        <v>26541</v>
      </c>
      <c r="C17818">
        <f>0.108497852542</f>
        <v>0.10849785254200001</v>
      </c>
      <c r="D17818">
        <v>0.97492228686600002</v>
      </c>
      <c r="E17818">
        <v>23.754000000000001</v>
      </c>
    </row>
    <row r="17819" spans="1:5">
      <c r="A17819" t="s">
        <v>44906</v>
      </c>
      <c r="B17819" t="s">
        <v>26544</v>
      </c>
      <c r="C17819">
        <v>1.2116946265299999</v>
      </c>
      <c r="D17819">
        <v>0.97492228686600002</v>
      </c>
      <c r="E17819">
        <v>23.754000000000001</v>
      </c>
    </row>
    <row r="17820" spans="1:5">
      <c r="A17820" t="s">
        <v>44906</v>
      </c>
      <c r="B17820" t="s">
        <v>26543</v>
      </c>
      <c r="C17820">
        <f>0.279846662302</f>
        <v>0.279846662302</v>
      </c>
      <c r="D17820">
        <v>0.97492228686600002</v>
      </c>
      <c r="E17820">
        <v>23.754000000000001</v>
      </c>
    </row>
    <row r="17821" spans="1:5">
      <c r="A17821" t="s">
        <v>44907</v>
      </c>
      <c r="B17821" t="s">
        <v>44908</v>
      </c>
      <c r="C17821">
        <v>0.59771530320699995</v>
      </c>
      <c r="D17821">
        <v>0.72732530320699995</v>
      </c>
      <c r="E17821">
        <v>0</v>
      </c>
    </row>
    <row r="17822" spans="1:5">
      <c r="A17822" t="s">
        <v>44907</v>
      </c>
      <c r="B17822" t="s">
        <v>44909</v>
      </c>
      <c r="C17822">
        <v>0</v>
      </c>
      <c r="D17822">
        <v>0.72732530320699995</v>
      </c>
      <c r="E17822">
        <v>0</v>
      </c>
    </row>
    <row r="17823" spans="1:5">
      <c r="A17823" t="s">
        <v>44910</v>
      </c>
      <c r="B17823" t="s">
        <v>11914</v>
      </c>
      <c r="C17823">
        <v>0.74274682285500004</v>
      </c>
      <c r="D17823">
        <v>0.99395132367000005</v>
      </c>
      <c r="E17823">
        <v>0.504</v>
      </c>
    </row>
    <row r="17824" spans="1:5">
      <c r="A17824" t="s">
        <v>44910</v>
      </c>
      <c r="B17824" t="s">
        <v>11918</v>
      </c>
      <c r="C17824">
        <v>1.63903808357</v>
      </c>
      <c r="D17824">
        <v>0.99395132367000005</v>
      </c>
      <c r="E17824">
        <v>0.504</v>
      </c>
    </row>
    <row r="17825" spans="1:5">
      <c r="A17825" t="s">
        <v>44910</v>
      </c>
      <c r="B17825" t="s">
        <v>11916</v>
      </c>
      <c r="C17825">
        <f>0.289602686776</f>
        <v>0.28960268677599998</v>
      </c>
      <c r="D17825">
        <v>0.99395132367000005</v>
      </c>
      <c r="E17825">
        <v>0.504</v>
      </c>
    </row>
    <row r="17826" spans="1:5">
      <c r="A17826" t="s">
        <v>44910</v>
      </c>
      <c r="B17826" t="s">
        <v>11915</v>
      </c>
      <c r="C17826">
        <v>1.2595353339499999</v>
      </c>
      <c r="D17826">
        <v>0.99395132367000005</v>
      </c>
      <c r="E17826">
        <v>0.504</v>
      </c>
    </row>
    <row r="17827" spans="1:5">
      <c r="A17827" t="s">
        <v>44910</v>
      </c>
      <c r="B17827" t="s">
        <v>11917</v>
      </c>
      <c r="C17827">
        <v>0.81447790597699998</v>
      </c>
      <c r="D17827">
        <v>0.99395132367000005</v>
      </c>
      <c r="E17827">
        <v>0.504</v>
      </c>
    </row>
    <row r="17828" spans="1:5">
      <c r="A17828" t="s">
        <v>44910</v>
      </c>
      <c r="B17828" t="s">
        <v>11913</v>
      </c>
      <c r="C17828">
        <f>0.983958443089</f>
        <v>0.98395844308900005</v>
      </c>
      <c r="D17828">
        <v>0.99395132367000005</v>
      </c>
      <c r="E17828">
        <v>0.504</v>
      </c>
    </row>
    <row r="17829" spans="1:5">
      <c r="A17829" t="s">
        <v>44911</v>
      </c>
      <c r="B17829" t="s">
        <v>16160</v>
      </c>
      <c r="C17829">
        <v>0.20252971377599999</v>
      </c>
      <c r="D17829">
        <v>0.90326314448699996</v>
      </c>
      <c r="E17829">
        <v>24</v>
      </c>
    </row>
    <row r="17830" spans="1:5">
      <c r="A17830" t="s">
        <v>44911</v>
      </c>
      <c r="B17830" t="s">
        <v>16157</v>
      </c>
      <c r="C17830">
        <v>0.13940969633299999</v>
      </c>
      <c r="D17830">
        <v>0.90326314448699996</v>
      </c>
      <c r="E17830">
        <v>24</v>
      </c>
    </row>
    <row r="17831" spans="1:5">
      <c r="A17831" t="s">
        <v>44911</v>
      </c>
      <c r="B17831" t="s">
        <v>16159</v>
      </c>
      <c r="C17831">
        <v>0.62499674226099999</v>
      </c>
      <c r="D17831">
        <v>0.90326314448699996</v>
      </c>
      <c r="E17831">
        <v>24</v>
      </c>
    </row>
    <row r="17832" spans="1:5">
      <c r="A17832" t="s">
        <v>44911</v>
      </c>
      <c r="B17832" t="s">
        <v>16158</v>
      </c>
      <c r="C17832">
        <f>0</f>
        <v>0</v>
      </c>
      <c r="D17832">
        <v>0.90326314448699996</v>
      </c>
      <c r="E17832">
        <v>24</v>
      </c>
    </row>
    <row r="17833" spans="1:5">
      <c r="A17833" t="s">
        <v>44912</v>
      </c>
      <c r="B17833" t="s">
        <v>44913</v>
      </c>
      <c r="C17833">
        <v>0</v>
      </c>
      <c r="D17833">
        <v>0.81565680118899997</v>
      </c>
      <c r="E17833">
        <v>0.318</v>
      </c>
    </row>
    <row r="17834" spans="1:5">
      <c r="A17834" t="s">
        <v>44912</v>
      </c>
      <c r="B17834" t="s">
        <v>44914</v>
      </c>
      <c r="C17834">
        <v>0.62204680118900002</v>
      </c>
      <c r="D17834">
        <v>0.81565680118899997</v>
      </c>
      <c r="E17834">
        <v>0.318</v>
      </c>
    </row>
    <row r="17835" spans="1:5">
      <c r="A17835" t="s">
        <v>44912</v>
      </c>
      <c r="B17835" t="s">
        <v>44915</v>
      </c>
      <c r="C17835">
        <v>0</v>
      </c>
      <c r="D17835">
        <v>0.81565680118899997</v>
      </c>
      <c r="E17835">
        <v>0.318</v>
      </c>
    </row>
    <row r="17836" spans="1:5">
      <c r="A17836" t="s">
        <v>44912</v>
      </c>
      <c r="B17836" t="s">
        <v>44916</v>
      </c>
      <c r="C17836">
        <v>0</v>
      </c>
      <c r="D17836">
        <v>0.81565680118899997</v>
      </c>
      <c r="E17836">
        <v>0.318</v>
      </c>
    </row>
    <row r="17837" spans="1:5">
      <c r="A17837" t="s">
        <v>44912</v>
      </c>
      <c r="B17837" t="s">
        <v>44917</v>
      </c>
      <c r="C17837">
        <f>0</f>
        <v>0</v>
      </c>
      <c r="D17837">
        <v>0.81565680118899997</v>
      </c>
      <c r="E17837">
        <v>0.318</v>
      </c>
    </row>
    <row r="17838" spans="1:5">
      <c r="A17838" t="s">
        <v>44918</v>
      </c>
      <c r="B17838" t="s">
        <v>1659</v>
      </c>
      <c r="C17838">
        <f>0</f>
        <v>0</v>
      </c>
      <c r="D17838">
        <v>0.82498754689200005</v>
      </c>
      <c r="E17838">
        <v>2.4780000000000002</v>
      </c>
    </row>
    <row r="17839" spans="1:5">
      <c r="A17839" t="s">
        <v>44918</v>
      </c>
      <c r="B17839" t="s">
        <v>1658</v>
      </c>
      <c r="C17839">
        <v>0.39994025601200001</v>
      </c>
      <c r="D17839">
        <v>0.82498754689200005</v>
      </c>
      <c r="E17839">
        <v>2.4780000000000002</v>
      </c>
    </row>
    <row r="17840" spans="1:5">
      <c r="A17840" t="s">
        <v>44918</v>
      </c>
      <c r="B17840" t="s">
        <v>1660</v>
      </c>
      <c r="C17840">
        <f>0</f>
        <v>0</v>
      </c>
      <c r="D17840">
        <v>0.82498754689200005</v>
      </c>
      <c r="E17840">
        <v>2.4780000000000002</v>
      </c>
    </row>
    <row r="17841" spans="1:5">
      <c r="A17841" t="s">
        <v>44918</v>
      </c>
      <c r="B17841" t="s">
        <v>1657</v>
      </c>
      <c r="C17841">
        <f>0.448049383752</f>
        <v>0.44804938375199999</v>
      </c>
      <c r="D17841">
        <v>0.82498754689200005</v>
      </c>
      <c r="E17841">
        <v>2.4780000000000002</v>
      </c>
    </row>
    <row r="17842" spans="1:5">
      <c r="A17842" t="s">
        <v>44918</v>
      </c>
      <c r="B17842" t="s">
        <v>1655</v>
      </c>
      <c r="C17842">
        <f>0.186156196564</f>
        <v>0.18615619656400001</v>
      </c>
      <c r="D17842">
        <v>0.82498754689200005</v>
      </c>
      <c r="E17842">
        <v>2.4780000000000002</v>
      </c>
    </row>
    <row r="17843" spans="1:5">
      <c r="A17843" t="s">
        <v>44919</v>
      </c>
      <c r="B17843" t="s">
        <v>5805</v>
      </c>
      <c r="C17843">
        <v>1.0127721063699999</v>
      </c>
      <c r="D17843">
        <v>0.99807621407000002</v>
      </c>
      <c r="E17843">
        <v>6.3</v>
      </c>
    </row>
    <row r="17844" spans="1:5">
      <c r="A17844" t="s">
        <v>44919</v>
      </c>
      <c r="B17844" t="s">
        <v>5799</v>
      </c>
      <c r="C17844">
        <v>1.8098821247300001</v>
      </c>
      <c r="D17844">
        <v>0.99807621407000002</v>
      </c>
      <c r="E17844">
        <v>6.3</v>
      </c>
    </row>
    <row r="17845" spans="1:5">
      <c r="A17845" t="s">
        <v>44919</v>
      </c>
      <c r="B17845" t="s">
        <v>5801</v>
      </c>
      <c r="C17845">
        <f>-1.24790517917</f>
        <v>-1.24790517917</v>
      </c>
      <c r="D17845">
        <v>0.99807621407000002</v>
      </c>
      <c r="E17845">
        <v>6.3</v>
      </c>
    </row>
    <row r="17846" spans="1:5">
      <c r="A17846" t="s">
        <v>44919</v>
      </c>
      <c r="B17846" t="s">
        <v>5802</v>
      </c>
      <c r="C17846">
        <v>1.03350492664</v>
      </c>
      <c r="D17846">
        <v>0.99807621407000002</v>
      </c>
      <c r="E17846">
        <v>6.3</v>
      </c>
    </row>
    <row r="17847" spans="1:5">
      <c r="A17847" t="s">
        <v>44919</v>
      </c>
      <c r="B17847" t="s">
        <v>5803</v>
      </c>
      <c r="C17847">
        <f>-1.99919011863</f>
        <v>-1.9991901186300001</v>
      </c>
      <c r="D17847">
        <v>0.99807621407000002</v>
      </c>
      <c r="E17847">
        <v>6.3</v>
      </c>
    </row>
    <row r="17848" spans="1:5">
      <c r="A17848" t="s">
        <v>44919</v>
      </c>
      <c r="B17848" t="s">
        <v>5800</v>
      </c>
      <c r="C17848">
        <v>0.20198424350800001</v>
      </c>
      <c r="D17848">
        <v>0.99807621407000002</v>
      </c>
      <c r="E17848">
        <v>6.3</v>
      </c>
    </row>
    <row r="17849" spans="1:5">
      <c r="A17849" t="s">
        <v>44920</v>
      </c>
      <c r="B17849" t="s">
        <v>27771</v>
      </c>
      <c r="C17849">
        <f>0</f>
        <v>0</v>
      </c>
      <c r="D17849">
        <v>0.95538429891900001</v>
      </c>
      <c r="E17849">
        <v>23.52</v>
      </c>
    </row>
    <row r="17850" spans="1:5">
      <c r="A17850" t="s">
        <v>44920</v>
      </c>
      <c r="B17850" t="s">
        <v>27774</v>
      </c>
      <c r="C17850">
        <f>0.905746698789</f>
        <v>0.90574669878900005</v>
      </c>
      <c r="D17850">
        <v>0.95538429891900001</v>
      </c>
      <c r="E17850">
        <v>23.52</v>
      </c>
    </row>
    <row r="17851" spans="1:5">
      <c r="A17851" t="s">
        <v>44920</v>
      </c>
      <c r="B17851" t="s">
        <v>27777</v>
      </c>
      <c r="C17851">
        <v>0.16623154122700001</v>
      </c>
      <c r="D17851">
        <v>0.95538429891900001</v>
      </c>
      <c r="E17851">
        <v>23.52</v>
      </c>
    </row>
    <row r="17852" spans="1:5">
      <c r="A17852" t="s">
        <v>44920</v>
      </c>
      <c r="B17852" t="s">
        <v>27776</v>
      </c>
      <c r="C17852">
        <f>0.00609151843133</f>
        <v>6.0915184313300001E-3</v>
      </c>
      <c r="D17852">
        <v>0.95538429891900001</v>
      </c>
      <c r="E17852">
        <v>23.52</v>
      </c>
    </row>
    <row r="17853" spans="1:5">
      <c r="A17853" t="s">
        <v>44921</v>
      </c>
      <c r="B17853" t="s">
        <v>44922</v>
      </c>
      <c r="C17853">
        <v>1.50659571183E-2</v>
      </c>
      <c r="D17853">
        <v>0.60914829828499995</v>
      </c>
      <c r="E17853">
        <v>24</v>
      </c>
    </row>
    <row r="17854" spans="1:5">
      <c r="A17854" t="s">
        <v>44921</v>
      </c>
      <c r="B17854" t="s">
        <v>44923</v>
      </c>
      <c r="C17854">
        <v>0.46943888056499999</v>
      </c>
      <c r="D17854">
        <v>0.60914829828499995</v>
      </c>
      <c r="E17854">
        <v>24</v>
      </c>
    </row>
    <row r="17855" spans="1:5">
      <c r="A17855" t="s">
        <v>44924</v>
      </c>
      <c r="B17855" t="s">
        <v>44925</v>
      </c>
      <c r="C17855">
        <f>0.292914285253</f>
        <v>0.29291428525300001</v>
      </c>
      <c r="D17855">
        <v>0.96023957522100001</v>
      </c>
      <c r="E17855">
        <v>0.58199999999999996</v>
      </c>
    </row>
    <row r="17856" spans="1:5">
      <c r="A17856" t="s">
        <v>44924</v>
      </c>
      <c r="B17856" t="s">
        <v>44926</v>
      </c>
      <c r="C17856">
        <f>0.0749881665551</f>
        <v>7.4988166555100003E-2</v>
      </c>
      <c r="D17856">
        <v>0.96023957522100001</v>
      </c>
      <c r="E17856">
        <v>0.58199999999999996</v>
      </c>
    </row>
    <row r="17857" spans="1:5">
      <c r="A17857" t="s">
        <v>44924</v>
      </c>
      <c r="B17857" t="s">
        <v>44927</v>
      </c>
      <c r="C17857">
        <v>0.60296986086899995</v>
      </c>
      <c r="D17857">
        <v>0.96023957522100001</v>
      </c>
      <c r="E17857">
        <v>0.58199999999999996</v>
      </c>
    </row>
    <row r="17858" spans="1:5">
      <c r="A17858" t="s">
        <v>44924</v>
      </c>
      <c r="B17858" t="s">
        <v>44928</v>
      </c>
      <c r="C17858">
        <v>0.22007028572099999</v>
      </c>
      <c r="D17858">
        <v>0.96023957522100001</v>
      </c>
      <c r="E17858">
        <v>0.58199999999999996</v>
      </c>
    </row>
    <row r="17859" spans="1:5">
      <c r="A17859" t="s">
        <v>44924</v>
      </c>
      <c r="B17859" t="s">
        <v>44929</v>
      </c>
      <c r="C17859">
        <v>0.31380418911500002</v>
      </c>
      <c r="D17859">
        <v>0.96023957522100001</v>
      </c>
      <c r="E17859">
        <v>0.58199999999999996</v>
      </c>
    </row>
    <row r="17860" spans="1:5">
      <c r="A17860" t="s">
        <v>44930</v>
      </c>
      <c r="B17860" t="s">
        <v>44931</v>
      </c>
      <c r="C17860">
        <v>0.32140391536500001</v>
      </c>
      <c r="D17860">
        <v>0.481413915365</v>
      </c>
      <c r="E17860">
        <v>14.183999999999999</v>
      </c>
    </row>
    <row r="17861" spans="1:5">
      <c r="A17861" t="s">
        <v>44930</v>
      </c>
      <c r="B17861" t="s">
        <v>44932</v>
      </c>
      <c r="C17861">
        <f>0</f>
        <v>0</v>
      </c>
      <c r="D17861">
        <v>0.481413915365</v>
      </c>
      <c r="E17861">
        <v>14.183999999999999</v>
      </c>
    </row>
    <row r="17862" spans="1:5">
      <c r="A17862" t="s">
        <v>44933</v>
      </c>
      <c r="B17862" t="s">
        <v>16993</v>
      </c>
      <c r="C17862">
        <f>0</f>
        <v>0</v>
      </c>
      <c r="D17862" t="s">
        <v>106</v>
      </c>
      <c r="E17862">
        <v>18.984000000000002</v>
      </c>
    </row>
    <row r="17863" spans="1:5">
      <c r="A17863" t="s">
        <v>44933</v>
      </c>
      <c r="B17863" t="s">
        <v>16997</v>
      </c>
      <c r="C17863">
        <v>0</v>
      </c>
      <c r="D17863" t="s">
        <v>106</v>
      </c>
      <c r="E17863">
        <v>18.984000000000002</v>
      </c>
    </row>
    <row r="17864" spans="1:5">
      <c r="A17864" t="s">
        <v>44934</v>
      </c>
      <c r="B17864" t="s">
        <v>24867</v>
      </c>
      <c r="C17864">
        <v>0</v>
      </c>
      <c r="D17864" t="s">
        <v>106</v>
      </c>
      <c r="E17864">
        <v>2.25</v>
      </c>
    </row>
    <row r="17865" spans="1:5">
      <c r="A17865" t="s">
        <v>44934</v>
      </c>
      <c r="B17865" t="s">
        <v>24872</v>
      </c>
      <c r="C17865">
        <f>0</f>
        <v>0</v>
      </c>
      <c r="D17865" t="s">
        <v>106</v>
      </c>
      <c r="E17865">
        <v>2.25</v>
      </c>
    </row>
    <row r="17866" spans="1:5">
      <c r="A17866" t="s">
        <v>44934</v>
      </c>
      <c r="B17866" t="s">
        <v>24868</v>
      </c>
      <c r="C17866">
        <f>0</f>
        <v>0</v>
      </c>
      <c r="D17866" t="s">
        <v>106</v>
      </c>
      <c r="E17866">
        <v>2.25</v>
      </c>
    </row>
    <row r="17867" spans="1:5">
      <c r="A17867" t="s">
        <v>44935</v>
      </c>
      <c r="B17867" t="s">
        <v>21908</v>
      </c>
      <c r="C17867">
        <f>0</f>
        <v>0</v>
      </c>
      <c r="D17867" t="s">
        <v>106</v>
      </c>
      <c r="E17867">
        <v>24</v>
      </c>
    </row>
    <row r="17868" spans="1:5">
      <c r="A17868" t="s">
        <v>44935</v>
      </c>
      <c r="B17868" t="s">
        <v>21911</v>
      </c>
      <c r="C17868">
        <f>0</f>
        <v>0</v>
      </c>
      <c r="D17868" t="s">
        <v>106</v>
      </c>
      <c r="E17868">
        <v>24</v>
      </c>
    </row>
    <row r="17869" spans="1:5">
      <c r="A17869" t="s">
        <v>44935</v>
      </c>
      <c r="B17869" t="s">
        <v>21910</v>
      </c>
      <c r="C17869">
        <v>0</v>
      </c>
      <c r="D17869" t="s">
        <v>106</v>
      </c>
      <c r="E17869">
        <v>24</v>
      </c>
    </row>
    <row r="17870" spans="1:5">
      <c r="A17870" t="s">
        <v>44936</v>
      </c>
      <c r="B17870" t="s">
        <v>44937</v>
      </c>
      <c r="C17870">
        <f>0.806051437524</f>
        <v>0.80605143752399999</v>
      </c>
      <c r="D17870">
        <v>0.95969278775900002</v>
      </c>
      <c r="E17870">
        <v>2.25</v>
      </c>
    </row>
    <row r="17871" spans="1:5">
      <c r="A17871" t="s">
        <v>44936</v>
      </c>
      <c r="B17871" t="s">
        <v>44938</v>
      </c>
      <c r="C17871">
        <v>0.186684912487</v>
      </c>
      <c r="D17871">
        <v>0.95969278775900002</v>
      </c>
      <c r="E17871">
        <v>2.25</v>
      </c>
    </row>
    <row r="17872" spans="1:5">
      <c r="A17872" t="s">
        <v>44936</v>
      </c>
      <c r="B17872" t="s">
        <v>44939</v>
      </c>
      <c r="C17872">
        <f>0</f>
        <v>0</v>
      </c>
      <c r="D17872">
        <v>0.95969278775900002</v>
      </c>
      <c r="E17872">
        <v>2.25</v>
      </c>
    </row>
    <row r="17873" spans="1:5">
      <c r="A17873" t="s">
        <v>44936</v>
      </c>
      <c r="B17873" t="s">
        <v>44940</v>
      </c>
      <c r="C17873">
        <v>0.192864522393</v>
      </c>
      <c r="D17873">
        <v>0.95969278775900002</v>
      </c>
      <c r="E17873">
        <v>2.25</v>
      </c>
    </row>
    <row r="17874" spans="1:5">
      <c r="A17874" t="s">
        <v>44936</v>
      </c>
      <c r="B17874" t="s">
        <v>44941</v>
      </c>
      <c r="C17874">
        <v>0</v>
      </c>
      <c r="D17874">
        <v>0.95969278775900002</v>
      </c>
      <c r="E17874">
        <v>2.25</v>
      </c>
    </row>
    <row r="17875" spans="1:5">
      <c r="A17875" t="s">
        <v>44936</v>
      </c>
      <c r="B17875" t="s">
        <v>44942</v>
      </c>
      <c r="C17875">
        <v>0</v>
      </c>
      <c r="D17875">
        <v>0.95969278775900002</v>
      </c>
      <c r="E17875">
        <v>2.25</v>
      </c>
    </row>
    <row r="17876" spans="1:5">
      <c r="A17876" t="s">
        <v>44936</v>
      </c>
      <c r="B17876" t="s">
        <v>44943</v>
      </c>
      <c r="C17876">
        <f>0</f>
        <v>0</v>
      </c>
      <c r="D17876">
        <v>0.95969278775900002</v>
      </c>
      <c r="E17876">
        <v>2.25</v>
      </c>
    </row>
    <row r="17877" spans="1:5">
      <c r="A17877" t="s">
        <v>44936</v>
      </c>
      <c r="B17877" t="s">
        <v>44944</v>
      </c>
      <c r="C17877">
        <f>0</f>
        <v>0</v>
      </c>
      <c r="D17877">
        <v>0.95969278775900002</v>
      </c>
      <c r="E17877">
        <v>2.25</v>
      </c>
    </row>
    <row r="17878" spans="1:5">
      <c r="A17878" t="s">
        <v>44945</v>
      </c>
      <c r="B17878" t="s">
        <v>8425</v>
      </c>
      <c r="C17878">
        <f>0.636984617451</f>
        <v>0.63698461745099999</v>
      </c>
      <c r="D17878">
        <v>0.795851054517</v>
      </c>
      <c r="E17878">
        <v>0.91800000000000004</v>
      </c>
    </row>
    <row r="17879" spans="1:5">
      <c r="A17879" t="s">
        <v>44945</v>
      </c>
      <c r="B17879" t="s">
        <v>8427</v>
      </c>
      <c r="C17879">
        <v>0.11203046673399999</v>
      </c>
      <c r="D17879">
        <v>0.795851054517</v>
      </c>
      <c r="E17879">
        <v>0.91800000000000004</v>
      </c>
    </row>
    <row r="17880" spans="1:5">
      <c r="A17880" t="s">
        <v>44945</v>
      </c>
      <c r="B17880" t="s">
        <v>8430</v>
      </c>
      <c r="C17880">
        <v>8.7959440922600002E-4</v>
      </c>
      <c r="D17880">
        <v>0.795851054517</v>
      </c>
      <c r="E17880">
        <v>0.91800000000000004</v>
      </c>
    </row>
    <row r="17881" spans="1:5">
      <c r="A17881" t="s">
        <v>44945</v>
      </c>
      <c r="B17881" t="s">
        <v>8429</v>
      </c>
      <c r="C17881">
        <f>0</f>
        <v>0</v>
      </c>
      <c r="D17881">
        <v>0.795851054517</v>
      </c>
      <c r="E17881">
        <v>0.91800000000000004</v>
      </c>
    </row>
    <row r="17882" spans="1:5">
      <c r="A17882" t="s">
        <v>44945</v>
      </c>
      <c r="B17882" t="s">
        <v>8428</v>
      </c>
      <c r="C17882">
        <v>0</v>
      </c>
      <c r="D17882">
        <v>0.795851054517</v>
      </c>
      <c r="E17882">
        <v>0.91800000000000004</v>
      </c>
    </row>
    <row r="17883" spans="1:5">
      <c r="A17883" t="s">
        <v>44946</v>
      </c>
      <c r="B17883" t="s">
        <v>28019</v>
      </c>
      <c r="C17883">
        <f>0</f>
        <v>0</v>
      </c>
      <c r="D17883" t="s">
        <v>106</v>
      </c>
      <c r="E17883">
        <v>1.8959999999999999</v>
      </c>
    </row>
    <row r="17884" spans="1:5">
      <c r="A17884" t="s">
        <v>44946</v>
      </c>
      <c r="B17884" t="s">
        <v>28018</v>
      </c>
      <c r="C17884">
        <f>0</f>
        <v>0</v>
      </c>
      <c r="D17884" t="s">
        <v>106</v>
      </c>
      <c r="E17884">
        <v>1.8959999999999999</v>
      </c>
    </row>
    <row r="17885" spans="1:5">
      <c r="A17885" t="s">
        <v>44947</v>
      </c>
      <c r="B17885" t="s">
        <v>15505</v>
      </c>
      <c r="C17885">
        <v>0.54188416381299997</v>
      </c>
      <c r="D17885">
        <v>0.83789284282700005</v>
      </c>
      <c r="E17885">
        <v>1.014</v>
      </c>
    </row>
    <row r="17886" spans="1:5">
      <c r="A17886" t="s">
        <v>44947</v>
      </c>
      <c r="B17886" t="s">
        <v>15502</v>
      </c>
      <c r="C17886">
        <v>0</v>
      </c>
      <c r="D17886">
        <v>0.83789284282700005</v>
      </c>
      <c r="E17886">
        <v>1.014</v>
      </c>
    </row>
    <row r="17887" spans="1:5">
      <c r="A17887" t="s">
        <v>44947</v>
      </c>
      <c r="B17887" t="s">
        <v>15504</v>
      </c>
      <c r="C17887">
        <f>0.664609798551</f>
        <v>0.664609798551</v>
      </c>
      <c r="D17887">
        <v>0.83789284282700005</v>
      </c>
      <c r="E17887">
        <v>1.014</v>
      </c>
    </row>
    <row r="17888" spans="1:5">
      <c r="A17888" t="s">
        <v>44948</v>
      </c>
      <c r="B17888" t="s">
        <v>3132</v>
      </c>
      <c r="C17888">
        <v>2.8580175270399999</v>
      </c>
      <c r="D17888">
        <v>0.96895714818500001</v>
      </c>
      <c r="E17888">
        <v>10.242000000000001</v>
      </c>
    </row>
    <row r="17889" spans="1:5">
      <c r="A17889" t="s">
        <v>44948</v>
      </c>
      <c r="B17889" t="s">
        <v>3130</v>
      </c>
      <c r="C17889">
        <v>0.203738374656</v>
      </c>
      <c r="D17889">
        <v>0.96895714818500001</v>
      </c>
      <c r="E17889">
        <v>10.242000000000001</v>
      </c>
    </row>
    <row r="17890" spans="1:5">
      <c r="A17890" t="s">
        <v>44948</v>
      </c>
      <c r="B17890" t="s">
        <v>3131</v>
      </c>
      <c r="C17890">
        <v>0.316943386597</v>
      </c>
      <c r="D17890">
        <v>0.96895714818500001</v>
      </c>
      <c r="E17890">
        <v>10.242000000000001</v>
      </c>
    </row>
    <row r="17891" spans="1:5">
      <c r="A17891" t="s">
        <v>44948</v>
      </c>
      <c r="B17891" t="s">
        <v>3133</v>
      </c>
      <c r="C17891">
        <f>-2.09025964277</f>
        <v>-2.09025964277</v>
      </c>
      <c r="D17891">
        <v>0.96895714818500001</v>
      </c>
      <c r="E17891">
        <v>10.242000000000001</v>
      </c>
    </row>
    <row r="17892" spans="1:5">
      <c r="A17892" t="s">
        <v>44949</v>
      </c>
      <c r="B17892" t="s">
        <v>31954</v>
      </c>
      <c r="C17892">
        <v>0.56294060582399996</v>
      </c>
      <c r="D17892">
        <v>0.87783212681199996</v>
      </c>
      <c r="E17892">
        <v>10.715999999999999</v>
      </c>
    </row>
    <row r="17893" spans="1:5">
      <c r="A17893" t="s">
        <v>44949</v>
      </c>
      <c r="B17893" t="s">
        <v>31959</v>
      </c>
      <c r="C17893">
        <v>0</v>
      </c>
      <c r="D17893">
        <v>0.87783212681199996</v>
      </c>
      <c r="E17893">
        <v>10.715999999999999</v>
      </c>
    </row>
    <row r="17894" spans="1:5">
      <c r="A17894" t="s">
        <v>44949</v>
      </c>
      <c r="B17894" t="s">
        <v>31957</v>
      </c>
      <c r="C17894">
        <f>0</f>
        <v>0</v>
      </c>
      <c r="D17894">
        <v>0.87783212681199996</v>
      </c>
      <c r="E17894">
        <v>10.715999999999999</v>
      </c>
    </row>
    <row r="17895" spans="1:5">
      <c r="A17895" t="s">
        <v>44949</v>
      </c>
      <c r="B17895" t="s">
        <v>31960</v>
      </c>
      <c r="C17895">
        <v>0</v>
      </c>
      <c r="D17895">
        <v>0.87783212681199996</v>
      </c>
      <c r="E17895">
        <v>10.715999999999999</v>
      </c>
    </row>
    <row r="17896" spans="1:5">
      <c r="A17896" t="s">
        <v>44949</v>
      </c>
      <c r="B17896" t="s">
        <v>31961</v>
      </c>
      <c r="C17896">
        <v>0.62156894138399998</v>
      </c>
      <c r="D17896">
        <v>0.87783212681199996</v>
      </c>
      <c r="E17896">
        <v>10.715999999999999</v>
      </c>
    </row>
    <row r="17897" spans="1:5">
      <c r="A17897" t="s">
        <v>44949</v>
      </c>
      <c r="B17897" t="s">
        <v>31958</v>
      </c>
      <c r="C17897">
        <v>0</v>
      </c>
      <c r="D17897">
        <v>0.87783212681199996</v>
      </c>
      <c r="E17897">
        <v>10.715999999999999</v>
      </c>
    </row>
    <row r="17898" spans="1:5">
      <c r="A17898" t="s">
        <v>44950</v>
      </c>
      <c r="B17898" t="s">
        <v>44951</v>
      </c>
      <c r="C17898">
        <f>0.758902909385</f>
        <v>0.75890290938500005</v>
      </c>
      <c r="D17898">
        <v>0.91813392121000004</v>
      </c>
      <c r="E17898">
        <v>4.3739999999999997</v>
      </c>
    </row>
    <row r="17899" spans="1:5">
      <c r="A17899" t="s">
        <v>44950</v>
      </c>
      <c r="B17899" t="s">
        <v>44952</v>
      </c>
      <c r="C17899">
        <v>0.91482785264199995</v>
      </c>
      <c r="D17899">
        <v>0.91813392121000004</v>
      </c>
      <c r="E17899">
        <v>4.3739999999999997</v>
      </c>
    </row>
    <row r="17900" spans="1:5">
      <c r="A17900" t="s">
        <v>44950</v>
      </c>
      <c r="B17900" t="s">
        <v>44953</v>
      </c>
      <c r="C17900">
        <v>0.52016597309900003</v>
      </c>
      <c r="D17900">
        <v>0.91813392121000004</v>
      </c>
      <c r="E17900">
        <v>4.3739999999999997</v>
      </c>
    </row>
    <row r="17901" spans="1:5">
      <c r="A17901" t="s">
        <v>44954</v>
      </c>
      <c r="B17901" t="s">
        <v>44955</v>
      </c>
      <c r="C17901">
        <f>0</f>
        <v>0</v>
      </c>
      <c r="D17901" t="s">
        <v>106</v>
      </c>
      <c r="E17901">
        <v>3.1379999999999999</v>
      </c>
    </row>
    <row r="17902" spans="1:5">
      <c r="A17902" t="s">
        <v>44954</v>
      </c>
      <c r="B17902" t="s">
        <v>44956</v>
      </c>
      <c r="C17902">
        <v>0</v>
      </c>
      <c r="D17902" t="s">
        <v>106</v>
      </c>
      <c r="E17902">
        <v>3.1379999999999999</v>
      </c>
    </row>
    <row r="17903" spans="1:5">
      <c r="A17903" t="s">
        <v>44954</v>
      </c>
      <c r="B17903" t="s">
        <v>44957</v>
      </c>
      <c r="C17903">
        <f>0</f>
        <v>0</v>
      </c>
      <c r="D17903" t="s">
        <v>106</v>
      </c>
      <c r="E17903">
        <v>3.1379999999999999</v>
      </c>
    </row>
    <row r="17904" spans="1:5">
      <c r="A17904" t="s">
        <v>44954</v>
      </c>
      <c r="B17904" t="s">
        <v>44958</v>
      </c>
      <c r="C17904">
        <v>0</v>
      </c>
      <c r="D17904" t="s">
        <v>106</v>
      </c>
      <c r="E17904">
        <v>3.1379999999999999</v>
      </c>
    </row>
    <row r="17905" spans="1:5">
      <c r="A17905" t="s">
        <v>44954</v>
      </c>
      <c r="B17905" t="s">
        <v>44959</v>
      </c>
      <c r="C17905">
        <v>0</v>
      </c>
      <c r="D17905" t="s">
        <v>106</v>
      </c>
      <c r="E17905">
        <v>3.1379999999999999</v>
      </c>
    </row>
    <row r="17906" spans="1:5">
      <c r="A17906" t="s">
        <v>44954</v>
      </c>
      <c r="B17906" t="s">
        <v>44960</v>
      </c>
      <c r="C17906">
        <v>0</v>
      </c>
      <c r="D17906" t="s">
        <v>106</v>
      </c>
      <c r="E17906">
        <v>3.1379999999999999</v>
      </c>
    </row>
    <row r="17907" spans="1:5">
      <c r="A17907" t="s">
        <v>44961</v>
      </c>
      <c r="B17907" t="s">
        <v>27195</v>
      </c>
      <c r="C17907">
        <f>0.392179218336</f>
        <v>0.392179218336</v>
      </c>
      <c r="D17907">
        <v>0.99967571581400005</v>
      </c>
      <c r="E17907">
        <v>20.07</v>
      </c>
    </row>
    <row r="17908" spans="1:5">
      <c r="A17908" t="s">
        <v>44961</v>
      </c>
      <c r="B17908" t="s">
        <v>27193</v>
      </c>
      <c r="C17908">
        <v>1.6686486040399999</v>
      </c>
      <c r="D17908">
        <v>0.99967571581400005</v>
      </c>
      <c r="E17908">
        <v>20.07</v>
      </c>
    </row>
    <row r="17909" spans="1:5">
      <c r="A17909" t="s">
        <v>44961</v>
      </c>
      <c r="B17909" t="s">
        <v>27190</v>
      </c>
      <c r="C17909">
        <v>1.20208137576</v>
      </c>
      <c r="D17909">
        <v>0.99967571581400005</v>
      </c>
      <c r="E17909">
        <v>20.07</v>
      </c>
    </row>
    <row r="17910" spans="1:5">
      <c r="A17910" t="s">
        <v>44961</v>
      </c>
      <c r="B17910" t="s">
        <v>27174</v>
      </c>
      <c r="C17910">
        <f>0.32468776436</f>
        <v>0.32468776436000002</v>
      </c>
      <c r="D17910">
        <v>0.99967571581400005</v>
      </c>
      <c r="E17910">
        <v>20.07</v>
      </c>
    </row>
    <row r="17911" spans="1:5">
      <c r="A17911" t="s">
        <v>44961</v>
      </c>
      <c r="B17911" t="s">
        <v>27184</v>
      </c>
      <c r="C17911">
        <v>0.22067975184800001</v>
      </c>
      <c r="D17911">
        <v>0.99967571581400005</v>
      </c>
      <c r="E17911">
        <v>20.07</v>
      </c>
    </row>
    <row r="17912" spans="1:5">
      <c r="A17912" t="s">
        <v>44961</v>
      </c>
      <c r="B17912" t="s">
        <v>27196</v>
      </c>
      <c r="C17912">
        <f>0.0767490783856</f>
        <v>7.6749078385599995E-2</v>
      </c>
      <c r="D17912">
        <v>0.99967571581400005</v>
      </c>
      <c r="E17912">
        <v>20.07</v>
      </c>
    </row>
    <row r="17913" spans="1:5">
      <c r="A17913" t="s">
        <v>44961</v>
      </c>
      <c r="B17913" t="s">
        <v>27177</v>
      </c>
      <c r="C17913">
        <v>0</v>
      </c>
      <c r="D17913">
        <v>0.99967571581400005</v>
      </c>
      <c r="E17913">
        <v>20.07</v>
      </c>
    </row>
    <row r="17914" spans="1:5">
      <c r="A17914" t="s">
        <v>44961</v>
      </c>
      <c r="B17914" t="s">
        <v>27175</v>
      </c>
      <c r="C17914">
        <f>0.003018337581</f>
        <v>3.0183375810000001E-3</v>
      </c>
      <c r="D17914">
        <v>0.99967571581400005</v>
      </c>
      <c r="E17914">
        <v>20.07</v>
      </c>
    </row>
    <row r="17915" spans="1:5">
      <c r="A17915" t="s">
        <v>44962</v>
      </c>
      <c r="B17915" t="s">
        <v>18222</v>
      </c>
      <c r="C17915">
        <v>0.31977448798800001</v>
      </c>
      <c r="D17915">
        <v>0.86011163658099998</v>
      </c>
      <c r="E17915">
        <v>10.715999999999999</v>
      </c>
    </row>
    <row r="17916" spans="1:5">
      <c r="A17916" t="s">
        <v>44962</v>
      </c>
      <c r="B17916" t="s">
        <v>18221</v>
      </c>
      <c r="C17916">
        <v>0.55506764502200001</v>
      </c>
      <c r="D17916">
        <v>0.86011163658099998</v>
      </c>
      <c r="E17916">
        <v>10.715999999999999</v>
      </c>
    </row>
    <row r="17917" spans="1:5">
      <c r="A17917" t="s">
        <v>44963</v>
      </c>
      <c r="B17917" t="s">
        <v>44964</v>
      </c>
      <c r="C17917">
        <f>0.73469637854</f>
        <v>0.73469637854000003</v>
      </c>
      <c r="D17917">
        <v>0.93213270372099999</v>
      </c>
      <c r="E17917">
        <v>6.3</v>
      </c>
    </row>
    <row r="17918" spans="1:5">
      <c r="A17918" t="s">
        <v>44963</v>
      </c>
      <c r="B17918" t="s">
        <v>44965</v>
      </c>
      <c r="C17918">
        <f>0.521470774312</f>
        <v>0.52147077431199995</v>
      </c>
      <c r="D17918">
        <v>0.93213270372099999</v>
      </c>
      <c r="E17918">
        <v>6.3</v>
      </c>
    </row>
    <row r="17919" spans="1:5">
      <c r="A17919" t="s">
        <v>44963</v>
      </c>
      <c r="B17919" t="s">
        <v>44966</v>
      </c>
      <c r="C17919">
        <v>0.200587664162</v>
      </c>
      <c r="D17919">
        <v>0.93213270372099999</v>
      </c>
      <c r="E17919">
        <v>6.3</v>
      </c>
    </row>
    <row r="17920" spans="1:5">
      <c r="A17920" t="s">
        <v>44963</v>
      </c>
      <c r="B17920" t="s">
        <v>44967</v>
      </c>
      <c r="C17920">
        <v>0.56688781342000005</v>
      </c>
      <c r="D17920">
        <v>0.93213270372099999</v>
      </c>
      <c r="E17920">
        <v>6.3</v>
      </c>
    </row>
    <row r="17921" spans="1:5">
      <c r="A17921" t="s">
        <v>44968</v>
      </c>
      <c r="B17921" t="s">
        <v>16712</v>
      </c>
      <c r="C17921">
        <f>0</f>
        <v>0</v>
      </c>
      <c r="D17921">
        <v>0.91299069911599995</v>
      </c>
      <c r="E17921">
        <v>23.754000000000001</v>
      </c>
    </row>
    <row r="17922" spans="1:5">
      <c r="A17922" t="s">
        <v>44968</v>
      </c>
      <c r="B17922" t="s">
        <v>16714</v>
      </c>
      <c r="C17922">
        <f>0</f>
        <v>0</v>
      </c>
      <c r="D17922">
        <v>0.91299069911599995</v>
      </c>
      <c r="E17922">
        <v>23.754000000000001</v>
      </c>
    </row>
    <row r="17923" spans="1:5">
      <c r="A17923" t="s">
        <v>44968</v>
      </c>
      <c r="B17923" t="s">
        <v>16732</v>
      </c>
      <c r="C17923">
        <f>0.118111494018</f>
        <v>0.118111494018</v>
      </c>
      <c r="D17923">
        <v>0.91299069911599995</v>
      </c>
      <c r="E17923">
        <v>23.754000000000001</v>
      </c>
    </row>
    <row r="17924" spans="1:5">
      <c r="A17924" t="s">
        <v>44968</v>
      </c>
      <c r="B17924" t="s">
        <v>16723</v>
      </c>
      <c r="C17924">
        <f>0</f>
        <v>0</v>
      </c>
      <c r="D17924">
        <v>0.91299069911599995</v>
      </c>
      <c r="E17924">
        <v>23.754000000000001</v>
      </c>
    </row>
    <row r="17925" spans="1:5">
      <c r="A17925" t="s">
        <v>44968</v>
      </c>
      <c r="B17925" t="s">
        <v>16724</v>
      </c>
      <c r="C17925">
        <f>0</f>
        <v>0</v>
      </c>
      <c r="D17925">
        <v>0.91299069911599995</v>
      </c>
      <c r="E17925">
        <v>23.754000000000001</v>
      </c>
    </row>
    <row r="17926" spans="1:5">
      <c r="A17926" t="s">
        <v>44968</v>
      </c>
      <c r="B17926" t="s">
        <v>16715</v>
      </c>
      <c r="C17926">
        <f>0</f>
        <v>0</v>
      </c>
      <c r="D17926">
        <v>0.91299069911599995</v>
      </c>
      <c r="E17926">
        <v>23.754000000000001</v>
      </c>
    </row>
    <row r="17927" spans="1:5">
      <c r="A17927" t="s">
        <v>44968</v>
      </c>
      <c r="B17927" t="s">
        <v>16720</v>
      </c>
      <c r="C17927">
        <v>0</v>
      </c>
      <c r="D17927">
        <v>0.91299069911599995</v>
      </c>
      <c r="E17927">
        <v>23.754000000000001</v>
      </c>
    </row>
    <row r="17928" spans="1:5">
      <c r="A17928" t="s">
        <v>44968</v>
      </c>
      <c r="B17928" t="s">
        <v>16713</v>
      </c>
      <c r="C17928">
        <f>0.00983737951798</f>
        <v>9.8373795179799994E-3</v>
      </c>
      <c r="D17928">
        <v>0.91299069911599995</v>
      </c>
      <c r="E17928">
        <v>23.754000000000001</v>
      </c>
    </row>
    <row r="17929" spans="1:5">
      <c r="A17929" t="s">
        <v>44968</v>
      </c>
      <c r="B17929" t="s">
        <v>16718</v>
      </c>
      <c r="C17929">
        <f>0</f>
        <v>0</v>
      </c>
      <c r="D17929">
        <v>0.91299069911599995</v>
      </c>
      <c r="E17929">
        <v>23.754000000000001</v>
      </c>
    </row>
    <row r="17930" spans="1:5">
      <c r="A17930" t="s">
        <v>44968</v>
      </c>
      <c r="B17930" t="s">
        <v>16727</v>
      </c>
      <c r="C17930">
        <v>0</v>
      </c>
      <c r="D17930">
        <v>0.91299069911599995</v>
      </c>
      <c r="E17930">
        <v>23.754000000000001</v>
      </c>
    </row>
    <row r="17931" spans="1:5">
      <c r="A17931" t="s">
        <v>44968</v>
      </c>
      <c r="B17931" t="s">
        <v>16729</v>
      </c>
      <c r="C17931">
        <f>0</f>
        <v>0</v>
      </c>
      <c r="D17931">
        <v>0.91299069911599995</v>
      </c>
      <c r="E17931">
        <v>23.754000000000001</v>
      </c>
    </row>
    <row r="17932" spans="1:5">
      <c r="A17932" t="s">
        <v>44968</v>
      </c>
      <c r="B17932" t="s">
        <v>16716</v>
      </c>
      <c r="C17932">
        <f>0.55447812005</f>
        <v>0.55447812004999997</v>
      </c>
      <c r="D17932">
        <v>0.91299069911599995</v>
      </c>
      <c r="E17932">
        <v>23.754000000000001</v>
      </c>
    </row>
    <row r="17933" spans="1:5">
      <c r="A17933" t="s">
        <v>44968</v>
      </c>
      <c r="B17933" t="s">
        <v>16726</v>
      </c>
      <c r="C17933">
        <f>0</f>
        <v>0</v>
      </c>
      <c r="D17933">
        <v>0.91299069911599995</v>
      </c>
      <c r="E17933">
        <v>23.754000000000001</v>
      </c>
    </row>
    <row r="17934" spans="1:5">
      <c r="A17934" t="s">
        <v>44968</v>
      </c>
      <c r="B17934" t="s">
        <v>16730</v>
      </c>
      <c r="C17934">
        <v>0</v>
      </c>
      <c r="D17934">
        <v>0.91299069911599995</v>
      </c>
      <c r="E17934">
        <v>23.754000000000001</v>
      </c>
    </row>
    <row r="17935" spans="1:5">
      <c r="A17935" t="s">
        <v>44968</v>
      </c>
      <c r="B17935" t="s">
        <v>16719</v>
      </c>
      <c r="C17935">
        <f>0</f>
        <v>0</v>
      </c>
      <c r="D17935">
        <v>0.91299069911599995</v>
      </c>
      <c r="E17935">
        <v>23.754000000000001</v>
      </c>
    </row>
    <row r="17936" spans="1:5">
      <c r="A17936" t="s">
        <v>44968</v>
      </c>
      <c r="B17936" t="s">
        <v>16717</v>
      </c>
      <c r="C17936">
        <f>0</f>
        <v>0</v>
      </c>
      <c r="D17936">
        <v>0.91299069911599995</v>
      </c>
      <c r="E17936">
        <v>23.754000000000001</v>
      </c>
    </row>
    <row r="17937" spans="1:5">
      <c r="A17937" t="s">
        <v>44968</v>
      </c>
      <c r="B17937" t="s">
        <v>16721</v>
      </c>
      <c r="C17937">
        <f>0</f>
        <v>0</v>
      </c>
      <c r="D17937">
        <v>0.91299069911599995</v>
      </c>
      <c r="E17937">
        <v>23.754000000000001</v>
      </c>
    </row>
    <row r="17938" spans="1:5">
      <c r="A17938" t="s">
        <v>44969</v>
      </c>
      <c r="B17938" t="s">
        <v>4232</v>
      </c>
      <c r="C17938">
        <v>0.40850871895200003</v>
      </c>
      <c r="D17938">
        <v>0.72211871895199997</v>
      </c>
      <c r="E17938">
        <v>23.754000000000001</v>
      </c>
    </row>
    <row r="17939" spans="1:5">
      <c r="A17939" t="s">
        <v>44969</v>
      </c>
      <c r="B17939" t="s">
        <v>4239</v>
      </c>
      <c r="C17939">
        <v>0</v>
      </c>
      <c r="D17939">
        <v>0.72211871895199997</v>
      </c>
      <c r="E17939">
        <v>23.754000000000001</v>
      </c>
    </row>
    <row r="17940" spans="1:5">
      <c r="A17940" t="s">
        <v>44969</v>
      </c>
      <c r="B17940" t="s">
        <v>4236</v>
      </c>
      <c r="C17940">
        <f>0</f>
        <v>0</v>
      </c>
      <c r="D17940">
        <v>0.72211871895199997</v>
      </c>
      <c r="E17940">
        <v>23.754000000000001</v>
      </c>
    </row>
    <row r="17941" spans="1:5">
      <c r="A17941" t="s">
        <v>44969</v>
      </c>
      <c r="B17941" t="s">
        <v>4240</v>
      </c>
      <c r="C17941">
        <v>0</v>
      </c>
      <c r="D17941">
        <v>0.72211871895199997</v>
      </c>
      <c r="E17941">
        <v>23.754000000000001</v>
      </c>
    </row>
    <row r="17942" spans="1:5">
      <c r="A17942" t="s">
        <v>44969</v>
      </c>
      <c r="B17942" t="s">
        <v>4238</v>
      </c>
      <c r="C17942">
        <v>0</v>
      </c>
      <c r="D17942">
        <v>0.72211871895199997</v>
      </c>
      <c r="E17942">
        <v>23.754000000000001</v>
      </c>
    </row>
    <row r="17943" spans="1:5">
      <c r="A17943" t="s">
        <v>44970</v>
      </c>
      <c r="B17943" t="s">
        <v>12423</v>
      </c>
      <c r="C17943">
        <f>0</f>
        <v>0</v>
      </c>
      <c r="D17943" t="s">
        <v>106</v>
      </c>
      <c r="E17943">
        <v>20.07</v>
      </c>
    </row>
    <row r="17944" spans="1:5">
      <c r="A17944" t="s">
        <v>44970</v>
      </c>
      <c r="B17944" t="s">
        <v>12428</v>
      </c>
      <c r="C17944">
        <v>0</v>
      </c>
      <c r="D17944" t="s">
        <v>106</v>
      </c>
      <c r="E17944">
        <v>20.07</v>
      </c>
    </row>
    <row r="17945" spans="1:5">
      <c r="A17945" t="s">
        <v>44970</v>
      </c>
      <c r="B17945" t="s">
        <v>12427</v>
      </c>
      <c r="C17945">
        <f>0</f>
        <v>0</v>
      </c>
      <c r="D17945" t="s">
        <v>106</v>
      </c>
      <c r="E17945">
        <v>20.07</v>
      </c>
    </row>
    <row r="17946" spans="1:5">
      <c r="A17946" t="s">
        <v>44970</v>
      </c>
      <c r="B17946" t="s">
        <v>12426</v>
      </c>
      <c r="C17946">
        <f>0</f>
        <v>0</v>
      </c>
      <c r="D17946" t="s">
        <v>106</v>
      </c>
      <c r="E17946">
        <v>20.07</v>
      </c>
    </row>
    <row r="17947" spans="1:5">
      <c r="A17947" t="s">
        <v>44971</v>
      </c>
      <c r="B17947" t="s">
        <v>44972</v>
      </c>
      <c r="C17947">
        <v>0.22360887061699999</v>
      </c>
      <c r="D17947">
        <v>0.99044379536399996</v>
      </c>
      <c r="E17947">
        <v>24</v>
      </c>
    </row>
    <row r="17948" spans="1:5">
      <c r="A17948" t="s">
        <v>44971</v>
      </c>
      <c r="B17948" t="s">
        <v>44973</v>
      </c>
      <c r="C17948">
        <f>0</f>
        <v>0</v>
      </c>
      <c r="D17948">
        <v>0.99044379536399996</v>
      </c>
      <c r="E17948">
        <v>24</v>
      </c>
    </row>
    <row r="17949" spans="1:5">
      <c r="A17949" t="s">
        <v>44971</v>
      </c>
      <c r="B17949" t="s">
        <v>44974</v>
      </c>
      <c r="C17949">
        <f>0.140236258023</f>
        <v>0.14023625802299999</v>
      </c>
      <c r="D17949">
        <v>0.99044379536399996</v>
      </c>
      <c r="E17949">
        <v>24</v>
      </c>
    </row>
    <row r="17950" spans="1:5">
      <c r="A17950" t="s">
        <v>44971</v>
      </c>
      <c r="B17950" t="s">
        <v>44975</v>
      </c>
      <c r="C17950">
        <f>-1.32169229152</f>
        <v>-1.32169229152</v>
      </c>
      <c r="D17950">
        <v>0.99044379536399996</v>
      </c>
      <c r="E17950">
        <v>24</v>
      </c>
    </row>
    <row r="17951" spans="1:5">
      <c r="A17951" t="s">
        <v>44971</v>
      </c>
      <c r="B17951" t="s">
        <v>44976</v>
      </c>
      <c r="C17951">
        <v>0</v>
      </c>
      <c r="D17951">
        <v>0.99044379536399996</v>
      </c>
      <c r="E17951">
        <v>24</v>
      </c>
    </row>
    <row r="17952" spans="1:5">
      <c r="A17952" t="s">
        <v>44971</v>
      </c>
      <c r="B17952" t="s">
        <v>44977</v>
      </c>
      <c r="C17952">
        <v>8.2352952110199995E-2</v>
      </c>
      <c r="D17952">
        <v>0.99044379536399996</v>
      </c>
      <c r="E17952">
        <v>24</v>
      </c>
    </row>
    <row r="17953" spans="1:5">
      <c r="A17953" t="s">
        <v>44971</v>
      </c>
      <c r="B17953" t="s">
        <v>44978</v>
      </c>
      <c r="C17953">
        <f>0.0158314903258</f>
        <v>1.5831490325800002E-2</v>
      </c>
      <c r="D17953">
        <v>0.99044379536399996</v>
      </c>
      <c r="E17953">
        <v>24</v>
      </c>
    </row>
    <row r="17954" spans="1:5">
      <c r="A17954" t="s">
        <v>44971</v>
      </c>
      <c r="B17954" t="s">
        <v>44979</v>
      </c>
      <c r="C17954">
        <v>0.61315685328699998</v>
      </c>
      <c r="D17954">
        <v>0.99044379536399996</v>
      </c>
      <c r="E17954">
        <v>24</v>
      </c>
    </row>
    <row r="17955" spans="1:5">
      <c r="A17955" t="s">
        <v>44971</v>
      </c>
      <c r="B17955" t="s">
        <v>44980</v>
      </c>
      <c r="C17955">
        <v>0</v>
      </c>
      <c r="D17955">
        <v>0.99044379536399996</v>
      </c>
      <c r="E17955">
        <v>24</v>
      </c>
    </row>
    <row r="17956" spans="1:5">
      <c r="A17956" t="s">
        <v>44971</v>
      </c>
      <c r="B17956" t="s">
        <v>44981</v>
      </c>
      <c r="C17956">
        <v>0.65013305809099997</v>
      </c>
      <c r="D17956">
        <v>0.99044379536399996</v>
      </c>
      <c r="E17956">
        <v>24</v>
      </c>
    </row>
    <row r="17957" spans="1:5">
      <c r="A17957" t="s">
        <v>44982</v>
      </c>
      <c r="B17957" t="s">
        <v>5033</v>
      </c>
      <c r="C17957">
        <f>0.227907399621</f>
        <v>0.22790739962100001</v>
      </c>
      <c r="D17957">
        <v>0.99984024876199995</v>
      </c>
      <c r="E17957">
        <v>24</v>
      </c>
    </row>
    <row r="17958" spans="1:5">
      <c r="A17958" t="s">
        <v>44982</v>
      </c>
      <c r="B17958" t="s">
        <v>5038</v>
      </c>
      <c r="C17958">
        <f>0.366955072261</f>
        <v>0.36695507226099999</v>
      </c>
      <c r="D17958">
        <v>0.99984024876199995</v>
      </c>
      <c r="E17958">
        <v>24</v>
      </c>
    </row>
    <row r="17959" spans="1:5">
      <c r="A17959" t="s">
        <v>44982</v>
      </c>
      <c r="B17959" t="s">
        <v>5037</v>
      </c>
      <c r="C17959">
        <v>0.492145275258</v>
      </c>
      <c r="D17959">
        <v>0.99984024876199995</v>
      </c>
      <c r="E17959">
        <v>24</v>
      </c>
    </row>
    <row r="17960" spans="1:5">
      <c r="A17960" t="s">
        <v>44982</v>
      </c>
      <c r="B17960" t="s">
        <v>5036</v>
      </c>
      <c r="C17960">
        <v>0.95477139396300004</v>
      </c>
      <c r="D17960">
        <v>0.99984024876199995</v>
      </c>
      <c r="E17960">
        <v>24</v>
      </c>
    </row>
    <row r="17961" spans="1:5">
      <c r="A17961" t="s">
        <v>44982</v>
      </c>
      <c r="B17961" t="s">
        <v>5039</v>
      </c>
      <c r="C17961">
        <f>0.112887676422</f>
        <v>0.112887676422</v>
      </c>
      <c r="D17961">
        <v>0.99984024876199995</v>
      </c>
      <c r="E17961">
        <v>24</v>
      </c>
    </row>
    <row r="17962" spans="1:5">
      <c r="A17962" t="s">
        <v>44982</v>
      </c>
      <c r="B17962" t="s">
        <v>5041</v>
      </c>
      <c r="C17962">
        <v>0.13151495949100001</v>
      </c>
      <c r="D17962">
        <v>0.99984024876199995</v>
      </c>
      <c r="E17962">
        <v>24</v>
      </c>
    </row>
    <row r="17963" spans="1:5">
      <c r="A17963" t="s">
        <v>44983</v>
      </c>
      <c r="B17963" t="s">
        <v>44984</v>
      </c>
      <c r="C17963">
        <v>0.13146996895900001</v>
      </c>
      <c r="D17963">
        <v>0.68222872440299998</v>
      </c>
      <c r="E17963">
        <v>3.4980000000000002</v>
      </c>
    </row>
    <row r="17964" spans="1:5">
      <c r="A17964" t="s">
        <v>44983</v>
      </c>
      <c r="B17964" t="s">
        <v>44985</v>
      </c>
      <c r="C17964">
        <v>0</v>
      </c>
      <c r="D17964">
        <v>0.68222872440299998</v>
      </c>
      <c r="E17964">
        <v>3.4980000000000002</v>
      </c>
    </row>
    <row r="17965" spans="1:5">
      <c r="A17965" t="s">
        <v>44983</v>
      </c>
      <c r="B17965" t="s">
        <v>44986</v>
      </c>
      <c r="C17965">
        <v>0</v>
      </c>
      <c r="D17965">
        <v>0.68222872440299998</v>
      </c>
      <c r="E17965">
        <v>3.4980000000000002</v>
      </c>
    </row>
    <row r="17966" spans="1:5">
      <c r="A17966" t="s">
        <v>44983</v>
      </c>
      <c r="B17966" t="s">
        <v>44987</v>
      </c>
      <c r="C17966">
        <v>0</v>
      </c>
      <c r="D17966">
        <v>0.68222872440299998</v>
      </c>
      <c r="E17966">
        <v>3.4980000000000002</v>
      </c>
    </row>
    <row r="17967" spans="1:5">
      <c r="A17967" t="s">
        <v>44983</v>
      </c>
      <c r="B17967" t="s">
        <v>44988</v>
      </c>
      <c r="C17967">
        <v>0</v>
      </c>
      <c r="D17967">
        <v>0.68222872440299998</v>
      </c>
      <c r="E17967">
        <v>3.4980000000000002</v>
      </c>
    </row>
    <row r="17968" spans="1:5">
      <c r="A17968" t="s">
        <v>44983</v>
      </c>
      <c r="B17968" t="s">
        <v>44989</v>
      </c>
      <c r="C17968">
        <v>0.18783086897099999</v>
      </c>
      <c r="D17968">
        <v>0.68222872440299998</v>
      </c>
      <c r="E17968">
        <v>3.4980000000000002</v>
      </c>
    </row>
    <row r="17969" spans="1:5">
      <c r="A17969" t="s">
        <v>44983</v>
      </c>
      <c r="B17969" t="s">
        <v>44990</v>
      </c>
      <c r="C17969">
        <v>0</v>
      </c>
      <c r="D17969">
        <v>0.68222872440299998</v>
      </c>
      <c r="E17969">
        <v>3.4980000000000002</v>
      </c>
    </row>
    <row r="17970" spans="1:5">
      <c r="A17970" t="s">
        <v>44983</v>
      </c>
      <c r="B17970" t="s">
        <v>44991</v>
      </c>
      <c r="C17970">
        <v>0</v>
      </c>
      <c r="D17970">
        <v>0.68222872440299998</v>
      </c>
      <c r="E17970">
        <v>3.4980000000000002</v>
      </c>
    </row>
    <row r="17971" spans="1:5">
      <c r="A17971" t="s">
        <v>44992</v>
      </c>
      <c r="B17971" t="s">
        <v>44993</v>
      </c>
      <c r="C17971">
        <v>6.1303498221699997E-2</v>
      </c>
      <c r="D17971">
        <v>0.99998605172400001</v>
      </c>
      <c r="E17971">
        <v>1.764</v>
      </c>
    </row>
    <row r="17972" spans="1:5">
      <c r="A17972" t="s">
        <v>44992</v>
      </c>
      <c r="B17972" t="s">
        <v>44994</v>
      </c>
      <c r="C17972">
        <v>0</v>
      </c>
      <c r="D17972">
        <v>0.99998605172400001</v>
      </c>
      <c r="E17972">
        <v>1.764</v>
      </c>
    </row>
    <row r="17973" spans="1:5">
      <c r="A17973" t="s">
        <v>44992</v>
      </c>
      <c r="B17973" t="s">
        <v>44995</v>
      </c>
      <c r="C17973">
        <v>0.19731875376800001</v>
      </c>
      <c r="D17973">
        <v>0.99998605172400001</v>
      </c>
      <c r="E17973">
        <v>1.764</v>
      </c>
    </row>
    <row r="17974" spans="1:5">
      <c r="A17974" t="s">
        <v>44992</v>
      </c>
      <c r="B17974" t="s">
        <v>44996</v>
      </c>
      <c r="C17974">
        <v>0</v>
      </c>
      <c r="D17974">
        <v>0.99998605172400001</v>
      </c>
      <c r="E17974">
        <v>1.764</v>
      </c>
    </row>
    <row r="17975" spans="1:5">
      <c r="A17975" t="s">
        <v>44992</v>
      </c>
      <c r="B17975" t="s">
        <v>44997</v>
      </c>
      <c r="C17975">
        <v>2.1929642538500001E-2</v>
      </c>
      <c r="D17975">
        <v>0.99998605172400001</v>
      </c>
      <c r="E17975">
        <v>1.764</v>
      </c>
    </row>
    <row r="17976" spans="1:5">
      <c r="A17976" t="s">
        <v>44992</v>
      </c>
      <c r="B17976" t="s">
        <v>44998</v>
      </c>
      <c r="C17976">
        <f>0</f>
        <v>0</v>
      </c>
      <c r="D17976">
        <v>0.99998605172400001</v>
      </c>
      <c r="E17976">
        <v>1.764</v>
      </c>
    </row>
    <row r="17977" spans="1:5">
      <c r="A17977" t="s">
        <v>44992</v>
      </c>
      <c r="B17977" t="s">
        <v>44999</v>
      </c>
      <c r="C17977">
        <v>0</v>
      </c>
      <c r="D17977">
        <v>0.99998605172400001</v>
      </c>
      <c r="E17977">
        <v>1.764</v>
      </c>
    </row>
    <row r="17978" spans="1:5">
      <c r="A17978" t="s">
        <v>44992</v>
      </c>
      <c r="B17978" t="s">
        <v>45000</v>
      </c>
      <c r="C17978">
        <v>0</v>
      </c>
      <c r="D17978">
        <v>0.99998605172400001</v>
      </c>
      <c r="E17978">
        <v>1.764</v>
      </c>
    </row>
    <row r="17979" spans="1:5">
      <c r="A17979" t="s">
        <v>44992</v>
      </c>
      <c r="B17979" t="s">
        <v>45001</v>
      </c>
      <c r="C17979">
        <f>0.0815033811626</f>
        <v>8.1503381162600003E-2</v>
      </c>
      <c r="D17979">
        <v>0.99998605172400001</v>
      </c>
      <c r="E17979">
        <v>1.764</v>
      </c>
    </row>
    <row r="17980" spans="1:5">
      <c r="A17980" t="s">
        <v>44992</v>
      </c>
      <c r="B17980" t="s">
        <v>45002</v>
      </c>
      <c r="C17980">
        <v>0.29057874289300001</v>
      </c>
      <c r="D17980">
        <v>0.99998605172400001</v>
      </c>
      <c r="E17980">
        <v>1.764</v>
      </c>
    </row>
    <row r="17981" spans="1:5">
      <c r="A17981" t="s">
        <v>44992</v>
      </c>
      <c r="B17981" t="s">
        <v>45003</v>
      </c>
      <c r="C17981">
        <v>0.63100689275099997</v>
      </c>
      <c r="D17981">
        <v>0.99998605172400001</v>
      </c>
      <c r="E17981">
        <v>1.764</v>
      </c>
    </row>
    <row r="17982" spans="1:5">
      <c r="A17982" t="s">
        <v>44992</v>
      </c>
      <c r="B17982" t="s">
        <v>45004</v>
      </c>
      <c r="C17982">
        <v>2.8967053468799998E-2</v>
      </c>
      <c r="D17982">
        <v>0.99998605172400001</v>
      </c>
      <c r="E17982">
        <v>1.764</v>
      </c>
    </row>
    <row r="17983" spans="1:5">
      <c r="A17983" t="s">
        <v>44992</v>
      </c>
      <c r="B17983" t="s">
        <v>45005</v>
      </c>
      <c r="C17983">
        <v>0</v>
      </c>
      <c r="D17983">
        <v>0.99998605172400001</v>
      </c>
      <c r="E17983">
        <v>1.764</v>
      </c>
    </row>
    <row r="17984" spans="1:5">
      <c r="A17984" t="s">
        <v>44992</v>
      </c>
      <c r="B17984" t="s">
        <v>45006</v>
      </c>
      <c r="C17984">
        <v>0.160023497963</v>
      </c>
      <c r="D17984">
        <v>0.99998605172400001</v>
      </c>
      <c r="E17984">
        <v>1.764</v>
      </c>
    </row>
    <row r="17985" spans="1:5">
      <c r="A17985" t="s">
        <v>44992</v>
      </c>
      <c r="B17985" t="s">
        <v>45007</v>
      </c>
      <c r="C17985">
        <v>0</v>
      </c>
      <c r="D17985">
        <v>0.99998605172400001</v>
      </c>
      <c r="E17985">
        <v>1.764</v>
      </c>
    </row>
    <row r="17986" spans="1:5">
      <c r="A17986" t="s">
        <v>45008</v>
      </c>
      <c r="B17986" t="s">
        <v>45009</v>
      </c>
      <c r="C17986">
        <v>0</v>
      </c>
      <c r="D17986" t="s">
        <v>106</v>
      </c>
      <c r="E17986">
        <v>12.215999999999999</v>
      </c>
    </row>
    <row r="17987" spans="1:5">
      <c r="A17987" t="s">
        <v>45008</v>
      </c>
      <c r="B17987" t="s">
        <v>45010</v>
      </c>
      <c r="C17987">
        <v>0</v>
      </c>
      <c r="D17987" t="s">
        <v>106</v>
      </c>
      <c r="E17987">
        <v>12.215999999999999</v>
      </c>
    </row>
    <row r="17988" spans="1:5">
      <c r="A17988" t="s">
        <v>45008</v>
      </c>
      <c r="B17988" t="s">
        <v>45011</v>
      </c>
      <c r="C17988">
        <f>0</f>
        <v>0</v>
      </c>
      <c r="D17988" t="s">
        <v>106</v>
      </c>
      <c r="E17988">
        <v>12.215999999999999</v>
      </c>
    </row>
    <row r="17989" spans="1:5">
      <c r="A17989" t="s">
        <v>45008</v>
      </c>
      <c r="B17989" t="s">
        <v>45012</v>
      </c>
      <c r="C17989">
        <f>0</f>
        <v>0</v>
      </c>
      <c r="D17989" t="s">
        <v>106</v>
      </c>
      <c r="E17989">
        <v>12.215999999999999</v>
      </c>
    </row>
    <row r="17990" spans="1:5">
      <c r="A17990" t="s">
        <v>45008</v>
      </c>
      <c r="B17990" t="s">
        <v>45013</v>
      </c>
      <c r="C17990">
        <v>0</v>
      </c>
      <c r="D17990" t="s">
        <v>106</v>
      </c>
      <c r="E17990">
        <v>12.215999999999999</v>
      </c>
    </row>
    <row r="17991" spans="1:5">
      <c r="A17991" t="s">
        <v>45014</v>
      </c>
      <c r="B17991" t="s">
        <v>19503</v>
      </c>
      <c r="C17991">
        <f>0.267296763648</f>
        <v>0.26729676364799998</v>
      </c>
      <c r="D17991">
        <v>0.99446283578700001</v>
      </c>
      <c r="E17991">
        <v>24</v>
      </c>
    </row>
    <row r="17992" spans="1:5">
      <c r="A17992" t="s">
        <v>45014</v>
      </c>
      <c r="B17992" t="s">
        <v>19505</v>
      </c>
      <c r="C17992">
        <f>0.719627659622</f>
        <v>0.71962765962200004</v>
      </c>
      <c r="D17992">
        <v>0.99446283578700001</v>
      </c>
      <c r="E17992">
        <v>24</v>
      </c>
    </row>
    <row r="17993" spans="1:5">
      <c r="A17993" t="s">
        <v>45014</v>
      </c>
      <c r="B17993" t="s">
        <v>19507</v>
      </c>
      <c r="C17993">
        <f>0.52170819763</f>
        <v>0.52170819762999998</v>
      </c>
      <c r="D17993">
        <v>0.99446283578700001</v>
      </c>
      <c r="E17993">
        <v>24</v>
      </c>
    </row>
    <row r="17994" spans="1:5">
      <c r="A17994" t="s">
        <v>45014</v>
      </c>
      <c r="B17994" t="s">
        <v>19510</v>
      </c>
      <c r="C17994">
        <v>0.70285502536300004</v>
      </c>
      <c r="D17994">
        <v>0.99446283578700001</v>
      </c>
      <c r="E17994">
        <v>24</v>
      </c>
    </row>
    <row r="17995" spans="1:5">
      <c r="A17995" t="s">
        <v>45014</v>
      </c>
      <c r="B17995" t="s">
        <v>19508</v>
      </c>
      <c r="C17995">
        <f>0.000595359072084</f>
        <v>5.9535907208399996E-4</v>
      </c>
      <c r="D17995">
        <v>0.99446283578700001</v>
      </c>
      <c r="E17995">
        <v>24</v>
      </c>
    </row>
    <row r="17996" spans="1:5">
      <c r="A17996" t="s">
        <v>45015</v>
      </c>
      <c r="B17996" t="s">
        <v>12936</v>
      </c>
      <c r="C17996">
        <v>0</v>
      </c>
      <c r="D17996">
        <v>0.71630312380600003</v>
      </c>
      <c r="E17996">
        <v>5.7</v>
      </c>
    </row>
    <row r="17997" spans="1:5">
      <c r="A17997" t="s">
        <v>45015</v>
      </c>
      <c r="B17997" t="s">
        <v>12939</v>
      </c>
      <c r="C17997">
        <v>0</v>
      </c>
      <c r="D17997">
        <v>0.71630312380600003</v>
      </c>
      <c r="E17997">
        <v>5.7</v>
      </c>
    </row>
    <row r="17998" spans="1:5">
      <c r="A17998" t="s">
        <v>45015</v>
      </c>
      <c r="B17998" t="s">
        <v>12940</v>
      </c>
      <c r="C17998">
        <v>0.55629312380600004</v>
      </c>
      <c r="D17998">
        <v>0.71630312380600003</v>
      </c>
      <c r="E17998">
        <v>5.7</v>
      </c>
    </row>
    <row r="17999" spans="1:5">
      <c r="A17999" t="s">
        <v>45016</v>
      </c>
      <c r="B17999" t="s">
        <v>26624</v>
      </c>
      <c r="C17999">
        <v>0</v>
      </c>
      <c r="D17999" t="s">
        <v>106</v>
      </c>
      <c r="E17999">
        <v>23.754000000000001</v>
      </c>
    </row>
    <row r="18000" spans="1:5">
      <c r="A18000" t="s">
        <v>45016</v>
      </c>
      <c r="B18000" t="s">
        <v>26625</v>
      </c>
      <c r="C18000">
        <v>0</v>
      </c>
      <c r="D18000" t="s">
        <v>106</v>
      </c>
      <c r="E18000">
        <v>23.754000000000001</v>
      </c>
    </row>
    <row r="18001" spans="1:5">
      <c r="A18001" t="s">
        <v>45017</v>
      </c>
      <c r="B18001" t="s">
        <v>45018</v>
      </c>
      <c r="C18001">
        <v>0</v>
      </c>
      <c r="D18001" t="s">
        <v>106</v>
      </c>
      <c r="E18001">
        <v>24</v>
      </c>
    </row>
    <row r="18002" spans="1:5">
      <c r="A18002" t="s">
        <v>45017</v>
      </c>
      <c r="B18002" t="s">
        <v>45019</v>
      </c>
      <c r="C18002">
        <v>0</v>
      </c>
      <c r="D18002" t="s">
        <v>106</v>
      </c>
      <c r="E18002">
        <v>24</v>
      </c>
    </row>
    <row r="18003" spans="1:5">
      <c r="A18003" t="s">
        <v>45020</v>
      </c>
      <c r="B18003" t="s">
        <v>20198</v>
      </c>
      <c r="C18003">
        <f>0.671676916112</f>
        <v>0.67167691611199998</v>
      </c>
      <c r="D18003">
        <v>0.75008691611199996</v>
      </c>
      <c r="E18003">
        <v>23.754000000000001</v>
      </c>
    </row>
    <row r="18004" spans="1:5">
      <c r="A18004" t="s">
        <v>45020</v>
      </c>
      <c r="B18004" t="s">
        <v>20200</v>
      </c>
      <c r="C18004">
        <v>0</v>
      </c>
      <c r="D18004">
        <v>0.75008691611199996</v>
      </c>
      <c r="E18004">
        <v>23.754000000000001</v>
      </c>
    </row>
    <row r="18005" spans="1:5">
      <c r="A18005" t="s">
        <v>45021</v>
      </c>
      <c r="B18005" t="s">
        <v>45022</v>
      </c>
      <c r="C18005">
        <v>0.29420551240100001</v>
      </c>
      <c r="D18005">
        <v>0.95499232657099997</v>
      </c>
      <c r="E18005">
        <v>24</v>
      </c>
    </row>
    <row r="18006" spans="1:5">
      <c r="A18006" t="s">
        <v>45021</v>
      </c>
      <c r="B18006" t="s">
        <v>45023</v>
      </c>
      <c r="C18006">
        <f>0</f>
        <v>0</v>
      </c>
      <c r="D18006">
        <v>0.95499232657099997</v>
      </c>
      <c r="E18006">
        <v>24</v>
      </c>
    </row>
    <row r="18007" spans="1:5">
      <c r="A18007" t="s">
        <v>45021</v>
      </c>
      <c r="B18007" t="s">
        <v>45024</v>
      </c>
      <c r="C18007">
        <v>0</v>
      </c>
      <c r="D18007">
        <v>0.95499232657099997</v>
      </c>
      <c r="E18007">
        <v>24</v>
      </c>
    </row>
    <row r="18008" spans="1:5">
      <c r="A18008" t="s">
        <v>45021</v>
      </c>
      <c r="B18008" t="s">
        <v>45025</v>
      </c>
      <c r="C18008">
        <f>0</f>
        <v>0</v>
      </c>
      <c r="D18008">
        <v>0.95499232657099997</v>
      </c>
      <c r="E18008">
        <v>24</v>
      </c>
    </row>
    <row r="18009" spans="1:5">
      <c r="A18009" t="s">
        <v>45021</v>
      </c>
      <c r="B18009" t="s">
        <v>45026</v>
      </c>
      <c r="C18009">
        <v>0.22277151977699999</v>
      </c>
      <c r="D18009">
        <v>0.95499232657099997</v>
      </c>
      <c r="E18009">
        <v>24</v>
      </c>
    </row>
    <row r="18010" spans="1:5">
      <c r="A18010" t="s">
        <v>45021</v>
      </c>
      <c r="B18010" t="s">
        <v>45027</v>
      </c>
      <c r="C18010">
        <f>0</f>
        <v>0</v>
      </c>
      <c r="D18010">
        <v>0.95499232657099997</v>
      </c>
      <c r="E18010">
        <v>24</v>
      </c>
    </row>
    <row r="18011" spans="1:5">
      <c r="A18011" t="s">
        <v>45021</v>
      </c>
      <c r="B18011" t="s">
        <v>45028</v>
      </c>
      <c r="C18011">
        <v>0.318289576879</v>
      </c>
      <c r="D18011">
        <v>0.95499232657099997</v>
      </c>
      <c r="E18011">
        <v>24</v>
      </c>
    </row>
    <row r="18012" spans="1:5">
      <c r="A18012" t="s">
        <v>45021</v>
      </c>
      <c r="B18012" t="s">
        <v>45029</v>
      </c>
      <c r="C18012">
        <v>0.37951225400900002</v>
      </c>
      <c r="D18012">
        <v>0.95499232657099997</v>
      </c>
      <c r="E18012">
        <v>24</v>
      </c>
    </row>
    <row r="18013" spans="1:5">
      <c r="A18013" t="s">
        <v>45021</v>
      </c>
      <c r="B18013" t="s">
        <v>45030</v>
      </c>
      <c r="C18013">
        <v>0.150413207795</v>
      </c>
      <c r="D18013">
        <v>0.95499232657099997</v>
      </c>
      <c r="E18013">
        <v>24</v>
      </c>
    </row>
    <row r="18014" spans="1:5">
      <c r="A18014" t="s">
        <v>45031</v>
      </c>
      <c r="B18014" t="s">
        <v>45032</v>
      </c>
      <c r="C18014">
        <v>0.71990158076400002</v>
      </c>
      <c r="D18014">
        <v>0.88892217340900004</v>
      </c>
      <c r="E18014">
        <v>23.754000000000001</v>
      </c>
    </row>
    <row r="18015" spans="1:5">
      <c r="A18015" t="s">
        <v>45031</v>
      </c>
      <c r="B18015" t="s">
        <v>45033</v>
      </c>
      <c r="C18015">
        <v>1.63213841475E-2</v>
      </c>
      <c r="D18015">
        <v>0.88892217340900004</v>
      </c>
      <c r="E18015">
        <v>23.754000000000001</v>
      </c>
    </row>
    <row r="18016" spans="1:5">
      <c r="A18016" t="s">
        <v>45031</v>
      </c>
      <c r="B18016" t="s">
        <v>45034</v>
      </c>
      <c r="C18016">
        <f>0</f>
        <v>0</v>
      </c>
      <c r="D18016">
        <v>0.88892217340900004</v>
      </c>
      <c r="E18016">
        <v>23.754000000000001</v>
      </c>
    </row>
    <row r="18017" spans="1:5">
      <c r="A18017" t="s">
        <v>45035</v>
      </c>
      <c r="B18017" t="s">
        <v>21377</v>
      </c>
      <c r="C18017">
        <v>0.77013113022199997</v>
      </c>
      <c r="D18017">
        <v>0.91639692563599995</v>
      </c>
      <c r="E18017">
        <v>0.114</v>
      </c>
    </row>
    <row r="18018" spans="1:5">
      <c r="A18018" t="s">
        <v>45035</v>
      </c>
      <c r="B18018" t="s">
        <v>21371</v>
      </c>
      <c r="C18018">
        <v>0</v>
      </c>
      <c r="D18018">
        <v>0.91639692563599995</v>
      </c>
      <c r="E18018">
        <v>0.114</v>
      </c>
    </row>
    <row r="18019" spans="1:5">
      <c r="A18019" t="s">
        <v>45035</v>
      </c>
      <c r="B18019" t="s">
        <v>21378</v>
      </c>
      <c r="C18019">
        <v>0.35466862710199998</v>
      </c>
      <c r="D18019">
        <v>0.91639692563599995</v>
      </c>
      <c r="E18019">
        <v>0.114</v>
      </c>
    </row>
    <row r="18020" spans="1:5">
      <c r="A18020" t="s">
        <v>45035</v>
      </c>
      <c r="B18020" t="s">
        <v>21376</v>
      </c>
      <c r="C18020">
        <v>0</v>
      </c>
      <c r="D18020">
        <v>0.91639692563599995</v>
      </c>
      <c r="E18020">
        <v>0.114</v>
      </c>
    </row>
    <row r="18021" spans="1:5">
      <c r="A18021" t="s">
        <v>45036</v>
      </c>
      <c r="B18021" t="s">
        <v>45037</v>
      </c>
      <c r="C18021">
        <f>0</f>
        <v>0</v>
      </c>
      <c r="D18021">
        <v>0.92523552006200005</v>
      </c>
      <c r="E18021">
        <v>6.6779999999999999</v>
      </c>
    </row>
    <row r="18022" spans="1:5">
      <c r="A18022" t="s">
        <v>45036</v>
      </c>
      <c r="B18022" t="s">
        <v>45038</v>
      </c>
      <c r="C18022">
        <f>0.555980199881</f>
        <v>0.555980199881</v>
      </c>
      <c r="D18022">
        <v>0.92523552006200005</v>
      </c>
      <c r="E18022">
        <v>6.6779999999999999</v>
      </c>
    </row>
    <row r="18023" spans="1:5">
      <c r="A18023" t="s">
        <v>45036</v>
      </c>
      <c r="B18023" t="s">
        <v>45039</v>
      </c>
      <c r="C18023">
        <f>0</f>
        <v>0</v>
      </c>
      <c r="D18023">
        <v>0.92523552006200005</v>
      </c>
      <c r="E18023">
        <v>6.6779999999999999</v>
      </c>
    </row>
    <row r="18024" spans="1:5">
      <c r="A18024" t="s">
        <v>45036</v>
      </c>
      <c r="B18024" t="s">
        <v>45040</v>
      </c>
      <c r="C18024">
        <f>0</f>
        <v>0</v>
      </c>
      <c r="D18024">
        <v>0.92523552006200005</v>
      </c>
      <c r="E18024">
        <v>6.6779999999999999</v>
      </c>
    </row>
    <row r="18025" spans="1:5">
      <c r="A18025" t="s">
        <v>45036</v>
      </c>
      <c r="B18025" t="s">
        <v>45041</v>
      </c>
      <c r="C18025">
        <v>0.43365437230800002</v>
      </c>
      <c r="D18025">
        <v>0.92523552006200005</v>
      </c>
      <c r="E18025">
        <v>6.6779999999999999</v>
      </c>
    </row>
    <row r="18026" spans="1:5">
      <c r="A18026" t="s">
        <v>45036</v>
      </c>
      <c r="B18026" t="s">
        <v>45042</v>
      </c>
      <c r="C18026">
        <v>0</v>
      </c>
      <c r="D18026">
        <v>0.92523552006200005</v>
      </c>
      <c r="E18026">
        <v>6.6779999999999999</v>
      </c>
    </row>
    <row r="18027" spans="1:5">
      <c r="A18027" t="s">
        <v>45036</v>
      </c>
      <c r="B18027" t="s">
        <v>45043</v>
      </c>
      <c r="C18027">
        <v>0</v>
      </c>
      <c r="D18027">
        <v>0.92523552006200005</v>
      </c>
      <c r="E18027">
        <v>6.6779999999999999</v>
      </c>
    </row>
    <row r="18028" spans="1:5">
      <c r="A18028" t="s">
        <v>45036</v>
      </c>
      <c r="B18028" t="s">
        <v>45044</v>
      </c>
      <c r="C18028">
        <v>0</v>
      </c>
      <c r="D18028">
        <v>0.92523552006200005</v>
      </c>
      <c r="E18028">
        <v>6.6779999999999999</v>
      </c>
    </row>
    <row r="18029" spans="1:5">
      <c r="A18029" t="s">
        <v>45045</v>
      </c>
      <c r="B18029" t="s">
        <v>45046</v>
      </c>
      <c r="C18029">
        <v>0</v>
      </c>
      <c r="D18029" t="s">
        <v>106</v>
      </c>
      <c r="E18029">
        <v>5.58</v>
      </c>
    </row>
    <row r="18030" spans="1:5">
      <c r="A18030" t="s">
        <v>45045</v>
      </c>
      <c r="B18030" t="s">
        <v>45047</v>
      </c>
      <c r="C18030">
        <v>0</v>
      </c>
      <c r="D18030" t="s">
        <v>106</v>
      </c>
      <c r="E18030">
        <v>5.58</v>
      </c>
    </row>
    <row r="18031" spans="1:5">
      <c r="A18031" t="s">
        <v>45045</v>
      </c>
      <c r="B18031" t="s">
        <v>45048</v>
      </c>
      <c r="C18031">
        <f>0</f>
        <v>0</v>
      </c>
      <c r="D18031" t="s">
        <v>106</v>
      </c>
      <c r="E18031">
        <v>5.58</v>
      </c>
    </row>
    <row r="18032" spans="1:5">
      <c r="A18032" t="s">
        <v>45049</v>
      </c>
      <c r="B18032" t="s">
        <v>26161</v>
      </c>
      <c r="C18032">
        <f>0.880762061192</f>
        <v>0.88076206119199996</v>
      </c>
      <c r="D18032">
        <v>0.98404496303099998</v>
      </c>
      <c r="E18032">
        <v>24</v>
      </c>
    </row>
    <row r="18033" spans="1:5">
      <c r="A18033" t="s">
        <v>45049</v>
      </c>
      <c r="B18033" t="s">
        <v>26168</v>
      </c>
      <c r="C18033">
        <v>0.118996834143</v>
      </c>
      <c r="D18033">
        <v>0.98404496303099998</v>
      </c>
      <c r="E18033">
        <v>24</v>
      </c>
    </row>
    <row r="18034" spans="1:5">
      <c r="A18034" t="s">
        <v>45049</v>
      </c>
      <c r="B18034" t="s">
        <v>26162</v>
      </c>
      <c r="C18034">
        <v>0.31649110397699998</v>
      </c>
      <c r="D18034">
        <v>0.98404496303099998</v>
      </c>
      <c r="E18034">
        <v>24</v>
      </c>
    </row>
    <row r="18035" spans="1:5">
      <c r="A18035" t="s">
        <v>45049</v>
      </c>
      <c r="B18035" t="s">
        <v>26171</v>
      </c>
      <c r="C18035">
        <f>0.175706700275</f>
        <v>0.17570670027499999</v>
      </c>
      <c r="D18035">
        <v>0.98404496303099998</v>
      </c>
      <c r="E18035">
        <v>24</v>
      </c>
    </row>
    <row r="18036" spans="1:5">
      <c r="A18036" t="s">
        <v>45049</v>
      </c>
      <c r="B18036" t="s">
        <v>26173</v>
      </c>
      <c r="C18036">
        <f>0.0817347312156</f>
        <v>8.1734731215600001E-2</v>
      </c>
      <c r="D18036">
        <v>0.98404496303099998</v>
      </c>
      <c r="E18036">
        <v>24</v>
      </c>
    </row>
    <row r="18037" spans="1:5">
      <c r="A18037" t="s">
        <v>45050</v>
      </c>
      <c r="B18037" t="s">
        <v>45051</v>
      </c>
      <c r="C18037">
        <f>0.694917861359</f>
        <v>0.69491786135900002</v>
      </c>
      <c r="D18037">
        <v>0.918906189441</v>
      </c>
      <c r="E18037">
        <v>12.048</v>
      </c>
    </row>
    <row r="18038" spans="1:5">
      <c r="A18038" t="s">
        <v>45050</v>
      </c>
      <c r="B18038" t="s">
        <v>45052</v>
      </c>
      <c r="C18038">
        <v>0.274443028152</v>
      </c>
      <c r="D18038">
        <v>0.918906189441</v>
      </c>
      <c r="E18038">
        <v>12.048</v>
      </c>
    </row>
    <row r="18039" spans="1:5">
      <c r="A18039" t="s">
        <v>45050</v>
      </c>
      <c r="B18039" t="s">
        <v>45053</v>
      </c>
      <c r="C18039">
        <v>1.1580060666600001</v>
      </c>
      <c r="D18039">
        <v>0.918906189441</v>
      </c>
      <c r="E18039">
        <v>12.048</v>
      </c>
    </row>
    <row r="18040" spans="1:5">
      <c r="A18040" t="s">
        <v>45054</v>
      </c>
      <c r="B18040" t="s">
        <v>45055</v>
      </c>
      <c r="C18040">
        <f>0</f>
        <v>0</v>
      </c>
      <c r="D18040" t="s">
        <v>106</v>
      </c>
      <c r="E18040">
        <v>1.3380000000000001</v>
      </c>
    </row>
    <row r="18041" spans="1:5">
      <c r="A18041" t="s">
        <v>45054</v>
      </c>
      <c r="B18041" t="s">
        <v>45056</v>
      </c>
      <c r="C18041">
        <v>0</v>
      </c>
      <c r="D18041" t="s">
        <v>106</v>
      </c>
      <c r="E18041">
        <v>1.3380000000000001</v>
      </c>
    </row>
    <row r="18042" spans="1:5">
      <c r="A18042" t="s">
        <v>45054</v>
      </c>
      <c r="B18042" t="s">
        <v>45057</v>
      </c>
      <c r="C18042">
        <f>0</f>
        <v>0</v>
      </c>
      <c r="D18042" t="s">
        <v>106</v>
      </c>
      <c r="E18042">
        <v>1.3380000000000001</v>
      </c>
    </row>
    <row r="18043" spans="1:5">
      <c r="A18043" t="s">
        <v>45058</v>
      </c>
      <c r="B18043" t="s">
        <v>28477</v>
      </c>
      <c r="C18043">
        <v>0.271913766236</v>
      </c>
      <c r="D18043">
        <v>0.89342208779599996</v>
      </c>
      <c r="E18043">
        <v>1.512</v>
      </c>
    </row>
    <row r="18044" spans="1:5">
      <c r="A18044" t="s">
        <v>45058</v>
      </c>
      <c r="B18044" t="s">
        <v>28479</v>
      </c>
      <c r="C18044">
        <v>0.63747749378100005</v>
      </c>
      <c r="D18044">
        <v>0.89342208779599996</v>
      </c>
      <c r="E18044">
        <v>1.512</v>
      </c>
    </row>
    <row r="18045" spans="1:5">
      <c r="A18045" t="s">
        <v>45058</v>
      </c>
      <c r="B18045" t="s">
        <v>28480</v>
      </c>
      <c r="C18045">
        <f>0.23140443217</f>
        <v>0.23140443217000001</v>
      </c>
      <c r="D18045">
        <v>0.89342208779599996</v>
      </c>
      <c r="E18045">
        <v>1.512</v>
      </c>
    </row>
    <row r="18046" spans="1:5">
      <c r="A18046" t="s">
        <v>45059</v>
      </c>
      <c r="B18046" t="s">
        <v>45060</v>
      </c>
      <c r="C18046">
        <f>0</f>
        <v>0</v>
      </c>
      <c r="D18046">
        <v>0.91272704488599998</v>
      </c>
      <c r="E18046">
        <v>9.0180000000000007</v>
      </c>
    </row>
    <row r="18047" spans="1:5">
      <c r="A18047" t="s">
        <v>45059</v>
      </c>
      <c r="B18047" t="s">
        <v>45061</v>
      </c>
      <c r="C18047">
        <v>0.493471371268</v>
      </c>
      <c r="D18047">
        <v>0.91272704488599998</v>
      </c>
      <c r="E18047">
        <v>9.0180000000000007</v>
      </c>
    </row>
    <row r="18048" spans="1:5">
      <c r="A18048" t="s">
        <v>45059</v>
      </c>
      <c r="B18048" t="s">
        <v>45062</v>
      </c>
      <c r="C18048">
        <f>0</f>
        <v>0</v>
      </c>
      <c r="D18048">
        <v>0.91272704488599998</v>
      </c>
      <c r="E18048">
        <v>9.0180000000000007</v>
      </c>
    </row>
    <row r="18049" spans="1:5">
      <c r="A18049" t="s">
        <v>45059</v>
      </c>
      <c r="B18049" t="s">
        <v>45063</v>
      </c>
      <c r="C18049">
        <f>0.044346706497</f>
        <v>4.4346706497000003E-2</v>
      </c>
      <c r="D18049">
        <v>0.91272704488599998</v>
      </c>
      <c r="E18049">
        <v>9.0180000000000007</v>
      </c>
    </row>
    <row r="18050" spans="1:5">
      <c r="A18050" t="s">
        <v>45059</v>
      </c>
      <c r="B18050" t="s">
        <v>45064</v>
      </c>
      <c r="C18050">
        <f>0.0816012758162</f>
        <v>8.1601275816199997E-2</v>
      </c>
      <c r="D18050">
        <v>0.91272704488599998</v>
      </c>
      <c r="E18050">
        <v>9.0180000000000007</v>
      </c>
    </row>
    <row r="18051" spans="1:5">
      <c r="A18051" t="s">
        <v>45059</v>
      </c>
      <c r="B18051" t="s">
        <v>45065</v>
      </c>
      <c r="C18051">
        <v>0.48318608681699998</v>
      </c>
      <c r="D18051">
        <v>0.91272704488599998</v>
      </c>
      <c r="E18051">
        <v>9.0180000000000007</v>
      </c>
    </row>
    <row r="18052" spans="1:5">
      <c r="A18052" t="s">
        <v>45066</v>
      </c>
      <c r="B18052" t="s">
        <v>19866</v>
      </c>
      <c r="C18052">
        <v>0.52081690341999998</v>
      </c>
      <c r="D18052">
        <v>0.88509856400499998</v>
      </c>
      <c r="E18052">
        <v>2.4780000000000002</v>
      </c>
    </row>
    <row r="18053" spans="1:5">
      <c r="A18053" t="s">
        <v>45066</v>
      </c>
      <c r="B18053" t="s">
        <v>19870</v>
      </c>
      <c r="C18053">
        <v>0.28512362918799999</v>
      </c>
      <c r="D18053">
        <v>0.88509856400499998</v>
      </c>
      <c r="E18053">
        <v>2.4780000000000002</v>
      </c>
    </row>
    <row r="18054" spans="1:5">
      <c r="A18054" t="s">
        <v>45066</v>
      </c>
      <c r="B18054" t="s">
        <v>19867</v>
      </c>
      <c r="C18054">
        <v>0</v>
      </c>
      <c r="D18054">
        <v>0.88509856400499998</v>
      </c>
      <c r="E18054">
        <v>2.4780000000000002</v>
      </c>
    </row>
    <row r="18055" spans="1:5">
      <c r="A18055" t="s">
        <v>45067</v>
      </c>
      <c r="B18055" t="s">
        <v>45068</v>
      </c>
      <c r="C18055">
        <f>0</f>
        <v>0</v>
      </c>
      <c r="D18055" t="s">
        <v>106</v>
      </c>
      <c r="E18055">
        <v>0.47399999999999998</v>
      </c>
    </row>
    <row r="18056" spans="1:5">
      <c r="A18056" t="s">
        <v>45067</v>
      </c>
      <c r="B18056" t="s">
        <v>45069</v>
      </c>
      <c r="C18056">
        <v>0</v>
      </c>
      <c r="D18056" t="s">
        <v>106</v>
      </c>
      <c r="E18056">
        <v>0.47399999999999998</v>
      </c>
    </row>
    <row r="18057" spans="1:5">
      <c r="A18057" t="s">
        <v>45070</v>
      </c>
      <c r="B18057" t="s">
        <v>6590</v>
      </c>
      <c r="C18057">
        <f>0</f>
        <v>0</v>
      </c>
      <c r="D18057" t="s">
        <v>106</v>
      </c>
      <c r="E18057">
        <v>0</v>
      </c>
    </row>
    <row r="18058" spans="1:5">
      <c r="A18058" t="s">
        <v>45070</v>
      </c>
      <c r="B18058" t="s">
        <v>6593</v>
      </c>
      <c r="C18058">
        <v>0</v>
      </c>
      <c r="D18058" t="s">
        <v>106</v>
      </c>
      <c r="E18058">
        <v>0</v>
      </c>
    </row>
    <row r="18059" spans="1:5">
      <c r="A18059" t="s">
        <v>45071</v>
      </c>
      <c r="B18059" t="s">
        <v>15986</v>
      </c>
      <c r="C18059">
        <f>0</f>
        <v>0</v>
      </c>
      <c r="D18059">
        <v>0.81070599256499998</v>
      </c>
      <c r="E18059">
        <v>5.9340000000000002</v>
      </c>
    </row>
    <row r="18060" spans="1:5">
      <c r="A18060" t="s">
        <v>45071</v>
      </c>
      <c r="B18060" t="s">
        <v>15985</v>
      </c>
      <c r="C18060">
        <f>0</f>
        <v>0</v>
      </c>
      <c r="D18060">
        <v>0.81070599256499998</v>
      </c>
      <c r="E18060">
        <v>5.9340000000000002</v>
      </c>
    </row>
    <row r="18061" spans="1:5">
      <c r="A18061" t="s">
        <v>45071</v>
      </c>
      <c r="B18061" t="s">
        <v>16011</v>
      </c>
      <c r="C18061">
        <f>0</f>
        <v>0</v>
      </c>
      <c r="D18061">
        <v>0.81070599256499998</v>
      </c>
      <c r="E18061">
        <v>5.9340000000000002</v>
      </c>
    </row>
    <row r="18062" spans="1:5">
      <c r="A18062" t="s">
        <v>45071</v>
      </c>
      <c r="B18062" t="s">
        <v>16009</v>
      </c>
      <c r="C18062">
        <v>0</v>
      </c>
      <c r="D18062">
        <v>0.81070599256499998</v>
      </c>
      <c r="E18062">
        <v>5.9340000000000002</v>
      </c>
    </row>
    <row r="18063" spans="1:5">
      <c r="A18063" t="s">
        <v>45071</v>
      </c>
      <c r="B18063" t="s">
        <v>16002</v>
      </c>
      <c r="C18063">
        <f>0</f>
        <v>0</v>
      </c>
      <c r="D18063">
        <v>0.81070599256499998</v>
      </c>
      <c r="E18063">
        <v>5.9340000000000002</v>
      </c>
    </row>
    <row r="18064" spans="1:5">
      <c r="A18064" t="s">
        <v>45071</v>
      </c>
      <c r="B18064" t="s">
        <v>15988</v>
      </c>
      <c r="C18064">
        <f>0</f>
        <v>0</v>
      </c>
      <c r="D18064">
        <v>0.81070599256499998</v>
      </c>
      <c r="E18064">
        <v>5.9340000000000002</v>
      </c>
    </row>
    <row r="18065" spans="1:5">
      <c r="A18065" t="s">
        <v>45071</v>
      </c>
      <c r="B18065" t="s">
        <v>45072</v>
      </c>
      <c r="C18065">
        <f>0</f>
        <v>0</v>
      </c>
      <c r="D18065">
        <v>0.81070599256499998</v>
      </c>
      <c r="E18065">
        <v>5.9340000000000002</v>
      </c>
    </row>
    <row r="18066" spans="1:5">
      <c r="A18066" t="s">
        <v>45071</v>
      </c>
      <c r="B18066" t="s">
        <v>16005</v>
      </c>
      <c r="C18066">
        <f>0</f>
        <v>0</v>
      </c>
      <c r="D18066">
        <v>0.81070599256499998</v>
      </c>
      <c r="E18066">
        <v>5.9340000000000002</v>
      </c>
    </row>
    <row r="18067" spans="1:5">
      <c r="A18067" t="s">
        <v>45071</v>
      </c>
      <c r="B18067" t="s">
        <v>15997</v>
      </c>
      <c r="C18067">
        <v>0</v>
      </c>
      <c r="D18067">
        <v>0.81070599256499998</v>
      </c>
      <c r="E18067">
        <v>5.9340000000000002</v>
      </c>
    </row>
    <row r="18068" spans="1:5">
      <c r="A18068" t="s">
        <v>45071</v>
      </c>
      <c r="B18068" t="s">
        <v>15994</v>
      </c>
      <c r="C18068">
        <f>0</f>
        <v>0</v>
      </c>
      <c r="D18068">
        <v>0.81070599256499998</v>
      </c>
      <c r="E18068">
        <v>5.9340000000000002</v>
      </c>
    </row>
    <row r="18069" spans="1:5">
      <c r="A18069" t="s">
        <v>45071</v>
      </c>
      <c r="B18069" t="s">
        <v>15998</v>
      </c>
      <c r="C18069">
        <f>0</f>
        <v>0</v>
      </c>
      <c r="D18069">
        <v>0.81070599256499998</v>
      </c>
      <c r="E18069">
        <v>5.9340000000000002</v>
      </c>
    </row>
    <row r="18070" spans="1:5">
      <c r="A18070" t="s">
        <v>45071</v>
      </c>
      <c r="B18070" t="s">
        <v>15984</v>
      </c>
      <c r="C18070">
        <v>0</v>
      </c>
      <c r="D18070">
        <v>0.81070599256499998</v>
      </c>
      <c r="E18070">
        <v>5.9340000000000002</v>
      </c>
    </row>
    <row r="18071" spans="1:5">
      <c r="A18071" t="s">
        <v>45071</v>
      </c>
      <c r="B18071" t="s">
        <v>16001</v>
      </c>
      <c r="C18071">
        <v>0</v>
      </c>
      <c r="D18071">
        <v>0.81070599256499998</v>
      </c>
      <c r="E18071">
        <v>5.9340000000000002</v>
      </c>
    </row>
    <row r="18072" spans="1:5">
      <c r="A18072" t="s">
        <v>45071</v>
      </c>
      <c r="B18072" t="s">
        <v>16010</v>
      </c>
      <c r="C18072">
        <f>0.497095992565</f>
        <v>0.49709599256499998</v>
      </c>
      <c r="D18072">
        <v>0.81070599256499998</v>
      </c>
      <c r="E18072">
        <v>5.9340000000000002</v>
      </c>
    </row>
    <row r="18073" spans="1:5">
      <c r="A18073" t="s">
        <v>45071</v>
      </c>
      <c r="B18073" t="s">
        <v>45073</v>
      </c>
      <c r="C18073">
        <v>0</v>
      </c>
      <c r="D18073">
        <v>0.81070599256499998</v>
      </c>
      <c r="E18073">
        <v>5.9340000000000002</v>
      </c>
    </row>
    <row r="18074" spans="1:5">
      <c r="A18074" t="s">
        <v>45071</v>
      </c>
      <c r="B18074" t="s">
        <v>15999</v>
      </c>
      <c r="C18074">
        <f>0</f>
        <v>0</v>
      </c>
      <c r="D18074">
        <v>0.81070599256499998</v>
      </c>
      <c r="E18074">
        <v>5.9340000000000002</v>
      </c>
    </row>
    <row r="18075" spans="1:5">
      <c r="A18075" t="s">
        <v>45074</v>
      </c>
      <c r="B18075" t="s">
        <v>7290</v>
      </c>
      <c r="C18075">
        <f>0</f>
        <v>0</v>
      </c>
      <c r="D18075" t="s">
        <v>106</v>
      </c>
      <c r="E18075">
        <v>24</v>
      </c>
    </row>
    <row r="18076" spans="1:5">
      <c r="A18076" t="s">
        <v>45074</v>
      </c>
      <c r="B18076" t="s">
        <v>7294</v>
      </c>
      <c r="C18076">
        <f>0</f>
        <v>0</v>
      </c>
      <c r="D18076" t="s">
        <v>106</v>
      </c>
      <c r="E18076">
        <v>24</v>
      </c>
    </row>
    <row r="18077" spans="1:5">
      <c r="A18077" t="s">
        <v>45075</v>
      </c>
      <c r="B18077" t="s">
        <v>45076</v>
      </c>
      <c r="C18077">
        <v>0.68786826397</v>
      </c>
      <c r="D18077">
        <v>0.89174330011400005</v>
      </c>
      <c r="E18077">
        <v>0</v>
      </c>
    </row>
    <row r="18078" spans="1:5">
      <c r="A18078" t="s">
        <v>45075</v>
      </c>
      <c r="B18078" t="s">
        <v>45077</v>
      </c>
      <c r="C18078">
        <f>0</f>
        <v>0</v>
      </c>
      <c r="D18078">
        <v>0.89174330011400005</v>
      </c>
      <c r="E18078">
        <v>0</v>
      </c>
    </row>
    <row r="18079" spans="1:5">
      <c r="A18079" t="s">
        <v>45075</v>
      </c>
      <c r="B18079" t="s">
        <v>45078</v>
      </c>
      <c r="C18079">
        <f>0.0335917133318</f>
        <v>3.3591713331799999E-2</v>
      </c>
      <c r="D18079">
        <v>0.89174330011400005</v>
      </c>
      <c r="E18079">
        <v>0</v>
      </c>
    </row>
    <row r="18080" spans="1:5">
      <c r="A18080" t="s">
        <v>45075</v>
      </c>
      <c r="B18080" t="s">
        <v>45079</v>
      </c>
      <c r="C18080">
        <v>0</v>
      </c>
      <c r="D18080">
        <v>0.89174330011400005</v>
      </c>
      <c r="E18080">
        <v>0</v>
      </c>
    </row>
    <row r="18081" spans="1:5">
      <c r="A18081" t="s">
        <v>45080</v>
      </c>
      <c r="B18081" t="s">
        <v>45081</v>
      </c>
      <c r="C18081">
        <f>0.390028484154</f>
        <v>0.39002848415399999</v>
      </c>
      <c r="D18081">
        <v>0.97822691764799996</v>
      </c>
      <c r="E18081">
        <v>6.0000000000000001E-3</v>
      </c>
    </row>
    <row r="18082" spans="1:5">
      <c r="A18082" t="s">
        <v>45080</v>
      </c>
      <c r="B18082" t="s">
        <v>45082</v>
      </c>
      <c r="C18082">
        <v>9.4585852173500004E-2</v>
      </c>
      <c r="D18082">
        <v>0.97822691764799996</v>
      </c>
      <c r="E18082">
        <v>6.0000000000000001E-3</v>
      </c>
    </row>
    <row r="18083" spans="1:5">
      <c r="A18083" t="s">
        <v>45080</v>
      </c>
      <c r="B18083" t="s">
        <v>45083</v>
      </c>
      <c r="C18083">
        <v>0</v>
      </c>
      <c r="D18083">
        <v>0.97822691764799996</v>
      </c>
      <c r="E18083">
        <v>6.0000000000000001E-3</v>
      </c>
    </row>
    <row r="18084" spans="1:5">
      <c r="A18084" t="s">
        <v>45080</v>
      </c>
      <c r="B18084" t="s">
        <v>45084</v>
      </c>
      <c r="C18084">
        <v>0</v>
      </c>
      <c r="D18084">
        <v>0.97822691764799996</v>
      </c>
      <c r="E18084">
        <v>6.0000000000000001E-3</v>
      </c>
    </row>
    <row r="18085" spans="1:5">
      <c r="A18085" t="s">
        <v>45080</v>
      </c>
      <c r="B18085" t="s">
        <v>45085</v>
      </c>
      <c r="C18085">
        <v>0</v>
      </c>
      <c r="D18085">
        <v>0.97822691764799996</v>
      </c>
      <c r="E18085">
        <v>6.0000000000000001E-3</v>
      </c>
    </row>
    <row r="18086" spans="1:5">
      <c r="A18086" t="s">
        <v>45080</v>
      </c>
      <c r="B18086" t="s">
        <v>45086</v>
      </c>
      <c r="C18086">
        <f>0.00465013448237</f>
        <v>4.6501344823700001E-3</v>
      </c>
      <c r="D18086">
        <v>0.97822691764799996</v>
      </c>
      <c r="E18086">
        <v>6.0000000000000001E-3</v>
      </c>
    </row>
    <row r="18087" spans="1:5">
      <c r="A18087" t="s">
        <v>45080</v>
      </c>
      <c r="B18087" t="s">
        <v>45087</v>
      </c>
      <c r="C18087">
        <v>0.22773470314399999</v>
      </c>
      <c r="D18087">
        <v>0.97822691764799996</v>
      </c>
      <c r="E18087">
        <v>6.0000000000000001E-3</v>
      </c>
    </row>
    <row r="18088" spans="1:5">
      <c r="A18088" t="s">
        <v>45080</v>
      </c>
      <c r="B18088" t="s">
        <v>45088</v>
      </c>
      <c r="C18088">
        <f>0.165405285545</f>
        <v>0.165405285545</v>
      </c>
      <c r="D18088">
        <v>0.97822691764799996</v>
      </c>
      <c r="E18088">
        <v>6.0000000000000001E-3</v>
      </c>
    </row>
    <row r="18089" spans="1:5">
      <c r="A18089" t="s">
        <v>45080</v>
      </c>
      <c r="B18089" t="s">
        <v>45089</v>
      </c>
      <c r="C18089">
        <f>0</f>
        <v>0</v>
      </c>
      <c r="D18089">
        <v>0.97822691764799996</v>
      </c>
      <c r="E18089">
        <v>6.0000000000000001E-3</v>
      </c>
    </row>
    <row r="18090" spans="1:5">
      <c r="A18090" t="s">
        <v>45080</v>
      </c>
      <c r="B18090" t="s">
        <v>45090</v>
      </c>
      <c r="C18090">
        <f>0</f>
        <v>0</v>
      </c>
      <c r="D18090">
        <v>0.97822691764799996</v>
      </c>
      <c r="E18090">
        <v>6.0000000000000001E-3</v>
      </c>
    </row>
    <row r="18091" spans="1:5">
      <c r="A18091" t="s">
        <v>45080</v>
      </c>
      <c r="B18091" t="s">
        <v>45091</v>
      </c>
      <c r="C18091">
        <v>0</v>
      </c>
      <c r="D18091">
        <v>0.97822691764799996</v>
      </c>
      <c r="E18091">
        <v>6.0000000000000001E-3</v>
      </c>
    </row>
    <row r="18092" spans="1:5">
      <c r="A18092" t="s">
        <v>45080</v>
      </c>
      <c r="B18092" t="s">
        <v>45092</v>
      </c>
      <c r="C18092">
        <f>0.620086912732</f>
        <v>0.62008691273200001</v>
      </c>
      <c r="D18092">
        <v>0.97822691764799996</v>
      </c>
      <c r="E18092">
        <v>6.0000000000000001E-3</v>
      </c>
    </row>
    <row r="18093" spans="1:5">
      <c r="A18093" t="s">
        <v>45080</v>
      </c>
      <c r="B18093" t="s">
        <v>45093</v>
      </c>
      <c r="C18093">
        <f>0</f>
        <v>0</v>
      </c>
      <c r="D18093">
        <v>0.97822691764799996</v>
      </c>
      <c r="E18093">
        <v>6.0000000000000001E-3</v>
      </c>
    </row>
    <row r="18094" spans="1:5">
      <c r="A18094" t="s">
        <v>45094</v>
      </c>
      <c r="B18094" t="s">
        <v>21724</v>
      </c>
      <c r="C18094">
        <f>0.27822686925</f>
        <v>0.27822686925000001</v>
      </c>
      <c r="D18094">
        <v>0.50863686924999996</v>
      </c>
      <c r="E18094">
        <v>24</v>
      </c>
    </row>
    <row r="18095" spans="1:5">
      <c r="A18095" t="s">
        <v>45094</v>
      </c>
      <c r="B18095" t="s">
        <v>21723</v>
      </c>
      <c r="C18095">
        <f>0</f>
        <v>0</v>
      </c>
      <c r="D18095">
        <v>0.50863686924999996</v>
      </c>
      <c r="E18095">
        <v>24</v>
      </c>
    </row>
    <row r="18096" spans="1:5">
      <c r="A18096" t="s">
        <v>45095</v>
      </c>
      <c r="B18096" t="s">
        <v>18771</v>
      </c>
      <c r="C18096">
        <v>0.47057418041100002</v>
      </c>
      <c r="D18096">
        <v>0.98726723027300001</v>
      </c>
      <c r="E18096">
        <v>12.215999999999999</v>
      </c>
    </row>
    <row r="18097" spans="1:5">
      <c r="A18097" t="s">
        <v>45095</v>
      </c>
      <c r="B18097" t="s">
        <v>18772</v>
      </c>
      <c r="C18097">
        <v>0.39018215037499998</v>
      </c>
      <c r="D18097">
        <v>0.98726723027300001</v>
      </c>
      <c r="E18097">
        <v>12.215999999999999</v>
      </c>
    </row>
    <row r="18098" spans="1:5">
      <c r="A18098" t="s">
        <v>45095</v>
      </c>
      <c r="B18098" t="s">
        <v>18776</v>
      </c>
      <c r="C18098">
        <f>0</f>
        <v>0</v>
      </c>
      <c r="D18098">
        <v>0.98726723027300001</v>
      </c>
      <c r="E18098">
        <v>12.215999999999999</v>
      </c>
    </row>
    <row r="18099" spans="1:5">
      <c r="A18099" t="s">
        <v>45095</v>
      </c>
      <c r="B18099" t="s">
        <v>18777</v>
      </c>
      <c r="C18099">
        <f>0.0284976939921</f>
        <v>2.84976939921E-2</v>
      </c>
      <c r="D18099">
        <v>0.98726723027300001</v>
      </c>
      <c r="E18099">
        <v>12.215999999999999</v>
      </c>
    </row>
    <row r="18100" spans="1:5">
      <c r="A18100" t="s">
        <v>45095</v>
      </c>
      <c r="B18100" t="s">
        <v>18774</v>
      </c>
      <c r="C18100">
        <v>0</v>
      </c>
      <c r="D18100">
        <v>0.98726723027300001</v>
      </c>
      <c r="E18100">
        <v>12.215999999999999</v>
      </c>
    </row>
    <row r="18101" spans="1:5">
      <c r="A18101" t="s">
        <v>45095</v>
      </c>
      <c r="B18101" t="s">
        <v>18773</v>
      </c>
      <c r="C18101">
        <v>0</v>
      </c>
      <c r="D18101">
        <v>0.98726723027300001</v>
      </c>
      <c r="E18101">
        <v>12.215999999999999</v>
      </c>
    </row>
    <row r="18102" spans="1:5">
      <c r="A18102" t="s">
        <v>45095</v>
      </c>
      <c r="B18102" t="s">
        <v>18775</v>
      </c>
      <c r="C18102">
        <v>0.33061664315700001</v>
      </c>
      <c r="D18102">
        <v>0.98726723027300001</v>
      </c>
      <c r="E18102">
        <v>12.215999999999999</v>
      </c>
    </row>
    <row r="18103" spans="1:5">
      <c r="A18103" t="s">
        <v>45096</v>
      </c>
      <c r="B18103" t="s">
        <v>16551</v>
      </c>
      <c r="C18103">
        <v>0</v>
      </c>
      <c r="D18103">
        <v>0.713370674762</v>
      </c>
      <c r="E18103">
        <v>10.554</v>
      </c>
    </row>
    <row r="18104" spans="1:5">
      <c r="A18104" t="s">
        <v>45096</v>
      </c>
      <c r="B18104" t="s">
        <v>16559</v>
      </c>
      <c r="C18104">
        <v>0</v>
      </c>
      <c r="D18104">
        <v>0.713370674762</v>
      </c>
      <c r="E18104">
        <v>10.554</v>
      </c>
    </row>
    <row r="18105" spans="1:5">
      <c r="A18105" t="s">
        <v>45096</v>
      </c>
      <c r="B18105" t="s">
        <v>16553</v>
      </c>
      <c r="C18105">
        <v>0.51976067476200005</v>
      </c>
      <c r="D18105">
        <v>0.713370674762</v>
      </c>
      <c r="E18105">
        <v>10.554</v>
      </c>
    </row>
    <row r="18106" spans="1:5">
      <c r="A18106" t="s">
        <v>45097</v>
      </c>
      <c r="B18106" t="s">
        <v>13200</v>
      </c>
      <c r="C18106">
        <v>0</v>
      </c>
      <c r="D18106" t="s">
        <v>106</v>
      </c>
      <c r="E18106">
        <v>23.04</v>
      </c>
    </row>
    <row r="18107" spans="1:5">
      <c r="A18107" t="s">
        <v>45097</v>
      </c>
      <c r="B18107" t="s">
        <v>13203</v>
      </c>
      <c r="C18107">
        <v>0</v>
      </c>
      <c r="D18107" t="s">
        <v>106</v>
      </c>
      <c r="E18107">
        <v>23.04</v>
      </c>
    </row>
    <row r="18108" spans="1:5">
      <c r="A18108" t="s">
        <v>45097</v>
      </c>
      <c r="B18108" t="s">
        <v>13202</v>
      </c>
      <c r="C18108">
        <v>0</v>
      </c>
      <c r="D18108" t="s">
        <v>106</v>
      </c>
      <c r="E18108">
        <v>23.04</v>
      </c>
    </row>
    <row r="18109" spans="1:5">
      <c r="A18109" t="s">
        <v>45097</v>
      </c>
      <c r="B18109" t="s">
        <v>13204</v>
      </c>
      <c r="C18109">
        <f>0</f>
        <v>0</v>
      </c>
      <c r="D18109" t="s">
        <v>106</v>
      </c>
      <c r="E18109">
        <v>23.04</v>
      </c>
    </row>
    <row r="18110" spans="1:5">
      <c r="A18110" t="s">
        <v>45098</v>
      </c>
      <c r="B18110" t="s">
        <v>2277</v>
      </c>
      <c r="C18110">
        <v>0.70176985377800005</v>
      </c>
      <c r="D18110">
        <v>0.84011026915099996</v>
      </c>
      <c r="E18110">
        <v>7.4640000000000004</v>
      </c>
    </row>
    <row r="18111" spans="1:5">
      <c r="A18111" t="s">
        <v>45098</v>
      </c>
      <c r="B18111" t="s">
        <v>2275</v>
      </c>
      <c r="C18111">
        <v>0</v>
      </c>
      <c r="D18111">
        <v>0.84011026915099996</v>
      </c>
      <c r="E18111">
        <v>7.4640000000000004</v>
      </c>
    </row>
    <row r="18112" spans="1:5">
      <c r="A18112" t="s">
        <v>45098</v>
      </c>
      <c r="B18112" t="s">
        <v>2273</v>
      </c>
      <c r="C18112">
        <v>1.11882996503E-2</v>
      </c>
      <c r="D18112">
        <v>0.84011026915099996</v>
      </c>
      <c r="E18112">
        <v>7.4640000000000004</v>
      </c>
    </row>
    <row r="18113" spans="1:5">
      <c r="A18113" t="s">
        <v>45099</v>
      </c>
      <c r="B18113" t="s">
        <v>8409</v>
      </c>
      <c r="C18113">
        <v>0.81053338101000005</v>
      </c>
      <c r="D18113">
        <v>0.96741178189900001</v>
      </c>
      <c r="E18113">
        <v>1.452</v>
      </c>
    </row>
    <row r="18114" spans="1:5">
      <c r="A18114" t="s">
        <v>45099</v>
      </c>
      <c r="B18114" t="s">
        <v>8412</v>
      </c>
      <c r="C18114">
        <v>0.114783023759</v>
      </c>
      <c r="D18114">
        <v>0.96741178189900001</v>
      </c>
      <c r="E18114">
        <v>1.452</v>
      </c>
    </row>
    <row r="18115" spans="1:5">
      <c r="A18115" t="s">
        <v>45099</v>
      </c>
      <c r="B18115" t="s">
        <v>8414</v>
      </c>
      <c r="C18115">
        <v>0</v>
      </c>
      <c r="D18115">
        <v>0.96741178189900001</v>
      </c>
      <c r="E18115">
        <v>1.452</v>
      </c>
    </row>
    <row r="18116" spans="1:5">
      <c r="A18116" t="s">
        <v>45099</v>
      </c>
      <c r="B18116" t="s">
        <v>8417</v>
      </c>
      <c r="C18116">
        <f>0</f>
        <v>0</v>
      </c>
      <c r="D18116">
        <v>0.96741178189900001</v>
      </c>
      <c r="E18116">
        <v>1.452</v>
      </c>
    </row>
    <row r="18117" spans="1:5">
      <c r="A18117" t="s">
        <v>45099</v>
      </c>
      <c r="B18117" t="s">
        <v>8415</v>
      </c>
      <c r="C18117">
        <f>0</f>
        <v>0</v>
      </c>
      <c r="D18117">
        <v>0.96741178189900001</v>
      </c>
      <c r="E18117">
        <v>1.452</v>
      </c>
    </row>
    <row r="18118" spans="1:5">
      <c r="A18118" t="s">
        <v>45099</v>
      </c>
      <c r="B18118" t="s">
        <v>8413</v>
      </c>
      <c r="C18118">
        <f>0</f>
        <v>0</v>
      </c>
      <c r="D18118">
        <v>0.96741178189900001</v>
      </c>
      <c r="E18118">
        <v>1.452</v>
      </c>
    </row>
    <row r="18119" spans="1:5">
      <c r="A18119" t="s">
        <v>45099</v>
      </c>
      <c r="B18119" t="s">
        <v>8416</v>
      </c>
      <c r="C18119">
        <f>0.276453461985</f>
        <v>0.27645346198499998</v>
      </c>
      <c r="D18119">
        <v>0.96741178189900001</v>
      </c>
      <c r="E18119">
        <v>1.452</v>
      </c>
    </row>
    <row r="18120" spans="1:5">
      <c r="A18120" t="s">
        <v>45099</v>
      </c>
      <c r="B18120" t="s">
        <v>8410</v>
      </c>
      <c r="C18120">
        <v>2.1714962334300002E-2</v>
      </c>
      <c r="D18120">
        <v>0.96741178189900001</v>
      </c>
      <c r="E18120">
        <v>1.452</v>
      </c>
    </row>
    <row r="18121" spans="1:5">
      <c r="A18121" t="s">
        <v>45100</v>
      </c>
      <c r="B18121" t="s">
        <v>23103</v>
      </c>
      <c r="C18121">
        <v>0.33471031133399998</v>
      </c>
      <c r="D18121">
        <v>0.820430969628</v>
      </c>
      <c r="E18121">
        <v>12.564</v>
      </c>
    </row>
    <row r="18122" spans="1:5">
      <c r="A18122" t="s">
        <v>45100</v>
      </c>
      <c r="B18122" t="s">
        <v>23101</v>
      </c>
      <c r="C18122">
        <f>0</f>
        <v>0</v>
      </c>
      <c r="D18122">
        <v>0.820430969628</v>
      </c>
      <c r="E18122">
        <v>12.564</v>
      </c>
    </row>
    <row r="18123" spans="1:5">
      <c r="A18123" t="s">
        <v>45100</v>
      </c>
      <c r="B18123" t="s">
        <v>23102</v>
      </c>
      <c r="C18123">
        <v>0</v>
      </c>
      <c r="D18123">
        <v>0.820430969628</v>
      </c>
      <c r="E18123">
        <v>12.564</v>
      </c>
    </row>
    <row r="18124" spans="1:5">
      <c r="A18124" t="s">
        <v>45100</v>
      </c>
      <c r="B18124" t="s">
        <v>23104</v>
      </c>
      <c r="C18124">
        <f>0</f>
        <v>0</v>
      </c>
      <c r="D18124">
        <v>0.820430969628</v>
      </c>
      <c r="E18124">
        <v>12.564</v>
      </c>
    </row>
    <row r="18125" spans="1:5">
      <c r="A18125" t="s">
        <v>45100</v>
      </c>
      <c r="B18125" t="s">
        <v>23114</v>
      </c>
      <c r="C18125">
        <f>0</f>
        <v>0</v>
      </c>
      <c r="D18125">
        <v>0.820430969628</v>
      </c>
      <c r="E18125">
        <v>12.564</v>
      </c>
    </row>
    <row r="18126" spans="1:5">
      <c r="A18126" t="s">
        <v>45100</v>
      </c>
      <c r="B18126" t="s">
        <v>23109</v>
      </c>
      <c r="C18126">
        <v>7.1981543295700001E-2</v>
      </c>
      <c r="D18126">
        <v>0.820430969628</v>
      </c>
      <c r="E18126">
        <v>12.564</v>
      </c>
    </row>
    <row r="18127" spans="1:5">
      <c r="A18127" t="s">
        <v>45100</v>
      </c>
      <c r="B18127" t="s">
        <v>23121</v>
      </c>
      <c r="C18127">
        <f>0</f>
        <v>0</v>
      </c>
      <c r="D18127">
        <v>0.820430969628</v>
      </c>
      <c r="E18127">
        <v>12.564</v>
      </c>
    </row>
    <row r="18128" spans="1:5">
      <c r="A18128" t="s">
        <v>45100</v>
      </c>
      <c r="B18128" t="s">
        <v>23105</v>
      </c>
      <c r="C18128">
        <f>0</f>
        <v>0</v>
      </c>
      <c r="D18128">
        <v>0.820430969628</v>
      </c>
      <c r="E18128">
        <v>12.564</v>
      </c>
    </row>
    <row r="18129" spans="1:5">
      <c r="A18129" t="s">
        <v>45100</v>
      </c>
      <c r="B18129" t="s">
        <v>23118</v>
      </c>
      <c r="C18129">
        <f>0</f>
        <v>0</v>
      </c>
      <c r="D18129">
        <v>0.820430969628</v>
      </c>
      <c r="E18129">
        <v>12.564</v>
      </c>
    </row>
    <row r="18130" spans="1:5">
      <c r="A18130" t="s">
        <v>45100</v>
      </c>
      <c r="B18130" t="s">
        <v>23113</v>
      </c>
      <c r="C18130">
        <f>0</f>
        <v>0</v>
      </c>
      <c r="D18130">
        <v>0.820430969628</v>
      </c>
      <c r="E18130">
        <v>12.564</v>
      </c>
    </row>
    <row r="18131" spans="1:5">
      <c r="A18131" t="s">
        <v>45100</v>
      </c>
      <c r="B18131" t="s">
        <v>23111</v>
      </c>
      <c r="C18131">
        <v>0</v>
      </c>
      <c r="D18131">
        <v>0.820430969628</v>
      </c>
      <c r="E18131">
        <v>12.564</v>
      </c>
    </row>
    <row r="18132" spans="1:5">
      <c r="A18132" t="s">
        <v>45100</v>
      </c>
      <c r="B18132" t="s">
        <v>23119</v>
      </c>
      <c r="C18132">
        <v>0</v>
      </c>
      <c r="D18132">
        <v>0.820430969628</v>
      </c>
      <c r="E18132">
        <v>12.564</v>
      </c>
    </row>
    <row r="18133" spans="1:5">
      <c r="A18133" t="s">
        <v>45100</v>
      </c>
      <c r="B18133" t="s">
        <v>23107</v>
      </c>
      <c r="C18133">
        <f>0</f>
        <v>0</v>
      </c>
      <c r="D18133">
        <v>0.820430969628</v>
      </c>
      <c r="E18133">
        <v>12.564</v>
      </c>
    </row>
    <row r="18134" spans="1:5">
      <c r="A18134" t="s">
        <v>45100</v>
      </c>
      <c r="B18134" t="s">
        <v>23106</v>
      </c>
      <c r="C18134">
        <v>0</v>
      </c>
      <c r="D18134">
        <v>0.820430969628</v>
      </c>
      <c r="E18134">
        <v>12.564</v>
      </c>
    </row>
    <row r="18135" spans="1:5">
      <c r="A18135" t="s">
        <v>45100</v>
      </c>
      <c r="B18135" t="s">
        <v>23108</v>
      </c>
      <c r="C18135">
        <f>0</f>
        <v>0</v>
      </c>
      <c r="D18135">
        <v>0.820430969628</v>
      </c>
      <c r="E18135">
        <v>12.564</v>
      </c>
    </row>
    <row r="18136" spans="1:5">
      <c r="A18136" t="s">
        <v>45101</v>
      </c>
      <c r="B18136" t="s">
        <v>4501</v>
      </c>
      <c r="C18136">
        <v>1.0560948402400001</v>
      </c>
      <c r="D18136">
        <v>0.88890390943499997</v>
      </c>
      <c r="E18136">
        <v>0.318</v>
      </c>
    </row>
    <row r="18137" spans="1:5">
      <c r="A18137" t="s">
        <v>45101</v>
      </c>
      <c r="B18137" t="s">
        <v>4502</v>
      </c>
      <c r="C18137">
        <v>0.48658970933899998</v>
      </c>
      <c r="D18137">
        <v>0.88890390943499997</v>
      </c>
      <c r="E18137">
        <v>0.318</v>
      </c>
    </row>
    <row r="18138" spans="1:5">
      <c r="A18138" t="s">
        <v>45102</v>
      </c>
      <c r="B18138" t="s">
        <v>10049</v>
      </c>
      <c r="C18138">
        <v>1.0201746946800001</v>
      </c>
      <c r="D18138">
        <v>0.96796462175599995</v>
      </c>
      <c r="E18138">
        <v>24</v>
      </c>
    </row>
    <row r="18139" spans="1:5">
      <c r="A18139" t="s">
        <v>45102</v>
      </c>
      <c r="B18139" t="s">
        <v>10057</v>
      </c>
      <c r="C18139">
        <f>0.122908780043</f>
        <v>0.122908780043</v>
      </c>
      <c r="D18139">
        <v>0.96796462175599995</v>
      </c>
      <c r="E18139">
        <v>24</v>
      </c>
    </row>
    <row r="18140" spans="1:5">
      <c r="A18140" t="s">
        <v>45102</v>
      </c>
      <c r="B18140" t="s">
        <v>10051</v>
      </c>
      <c r="C18140">
        <f>0.412634237936</f>
        <v>0.41263423793600001</v>
      </c>
      <c r="D18140">
        <v>0.96796462175599995</v>
      </c>
      <c r="E18140">
        <v>24</v>
      </c>
    </row>
    <row r="18141" spans="1:5">
      <c r="A18141" t="s">
        <v>45102</v>
      </c>
      <c r="B18141" t="s">
        <v>10054</v>
      </c>
      <c r="C18141">
        <v>0.29946438902</v>
      </c>
      <c r="D18141">
        <v>0.96796462175599995</v>
      </c>
      <c r="E18141">
        <v>24</v>
      </c>
    </row>
    <row r="18142" spans="1:5">
      <c r="A18142" t="s">
        <v>45103</v>
      </c>
      <c r="B18142" t="s">
        <v>19636</v>
      </c>
      <c r="C18142">
        <v>0</v>
      </c>
      <c r="D18142" t="s">
        <v>106</v>
      </c>
      <c r="E18142">
        <v>24</v>
      </c>
    </row>
    <row r="18143" spans="1:5">
      <c r="A18143" t="s">
        <v>45103</v>
      </c>
      <c r="B18143" t="s">
        <v>19639</v>
      </c>
      <c r="C18143">
        <v>0</v>
      </c>
      <c r="D18143" t="s">
        <v>106</v>
      </c>
      <c r="E18143">
        <v>24</v>
      </c>
    </row>
    <row r="18144" spans="1:5">
      <c r="A18144" t="s">
        <v>45103</v>
      </c>
      <c r="B18144" t="s">
        <v>19643</v>
      </c>
      <c r="C18144">
        <f>0</f>
        <v>0</v>
      </c>
      <c r="D18144" t="s">
        <v>106</v>
      </c>
      <c r="E18144">
        <v>24</v>
      </c>
    </row>
    <row r="18145" spans="1:5">
      <c r="A18145" t="s">
        <v>45103</v>
      </c>
      <c r="B18145" t="s">
        <v>19642</v>
      </c>
      <c r="C18145">
        <v>0</v>
      </c>
      <c r="D18145" t="s">
        <v>106</v>
      </c>
      <c r="E18145">
        <v>24</v>
      </c>
    </row>
    <row r="18146" spans="1:5">
      <c r="A18146" t="s">
        <v>45103</v>
      </c>
      <c r="B18146" t="s">
        <v>19641</v>
      </c>
      <c r="C18146">
        <f>0</f>
        <v>0</v>
      </c>
      <c r="D18146" t="s">
        <v>106</v>
      </c>
      <c r="E18146">
        <v>24</v>
      </c>
    </row>
    <row r="18147" spans="1:5">
      <c r="A18147" t="s">
        <v>45104</v>
      </c>
      <c r="B18147" t="s">
        <v>30903</v>
      </c>
      <c r="C18147">
        <v>0.42068617348699999</v>
      </c>
      <c r="D18147">
        <v>0.94427262064999995</v>
      </c>
      <c r="E18147">
        <v>5.3520000000000003</v>
      </c>
    </row>
    <row r="18148" spans="1:5">
      <c r="A18148" t="s">
        <v>45104</v>
      </c>
      <c r="B18148" t="s">
        <v>30902</v>
      </c>
      <c r="C18148">
        <v>0.622116277991</v>
      </c>
      <c r="D18148">
        <v>0.94427262064999995</v>
      </c>
      <c r="E18148">
        <v>5.3520000000000003</v>
      </c>
    </row>
    <row r="18149" spans="1:5">
      <c r="A18149" t="s">
        <v>45104</v>
      </c>
      <c r="B18149" t="s">
        <v>30905</v>
      </c>
      <c r="C18149">
        <v>0.25864921541500002</v>
      </c>
      <c r="D18149">
        <v>0.94427262064999995</v>
      </c>
      <c r="E18149">
        <v>5.3520000000000003</v>
      </c>
    </row>
    <row r="18150" spans="1:5">
      <c r="A18150" t="s">
        <v>45105</v>
      </c>
      <c r="B18150" t="s">
        <v>45106</v>
      </c>
      <c r="C18150">
        <v>0</v>
      </c>
      <c r="D18150" t="s">
        <v>106</v>
      </c>
      <c r="E18150">
        <v>4.4820000000000002</v>
      </c>
    </row>
    <row r="18151" spans="1:5">
      <c r="A18151" t="s">
        <v>45105</v>
      </c>
      <c r="B18151" t="s">
        <v>45107</v>
      </c>
      <c r="C18151">
        <f>0</f>
        <v>0</v>
      </c>
      <c r="D18151" t="s">
        <v>106</v>
      </c>
      <c r="E18151">
        <v>4.4820000000000002</v>
      </c>
    </row>
    <row r="18152" spans="1:5">
      <c r="A18152" t="s">
        <v>45105</v>
      </c>
      <c r="B18152" t="s">
        <v>45108</v>
      </c>
      <c r="C18152">
        <f>0</f>
        <v>0</v>
      </c>
      <c r="D18152" t="s">
        <v>106</v>
      </c>
      <c r="E18152">
        <v>4.4820000000000002</v>
      </c>
    </row>
    <row r="18153" spans="1:5">
      <c r="A18153" t="s">
        <v>45109</v>
      </c>
      <c r="B18153" t="s">
        <v>45110</v>
      </c>
      <c r="C18153">
        <v>0</v>
      </c>
      <c r="D18153">
        <v>0.73916076154099997</v>
      </c>
      <c r="E18153">
        <v>10.715999999999999</v>
      </c>
    </row>
    <row r="18154" spans="1:5">
      <c r="A18154" t="s">
        <v>45109</v>
      </c>
      <c r="B18154" t="s">
        <v>45111</v>
      </c>
      <c r="C18154">
        <v>0.16613510062799999</v>
      </c>
      <c r="D18154">
        <v>0.73916076154099997</v>
      </c>
      <c r="E18154">
        <v>10.715999999999999</v>
      </c>
    </row>
    <row r="18155" spans="1:5">
      <c r="A18155" t="s">
        <v>45109</v>
      </c>
      <c r="B18155" t="s">
        <v>45112</v>
      </c>
      <c r="C18155">
        <v>0</v>
      </c>
      <c r="D18155">
        <v>0.73916076154099997</v>
      </c>
      <c r="E18155">
        <v>10.715999999999999</v>
      </c>
    </row>
    <row r="18156" spans="1:5">
      <c r="A18156" t="s">
        <v>45109</v>
      </c>
      <c r="B18156" t="s">
        <v>45113</v>
      </c>
      <c r="C18156">
        <v>0</v>
      </c>
      <c r="D18156">
        <v>0.73916076154099997</v>
      </c>
      <c r="E18156">
        <v>10.715999999999999</v>
      </c>
    </row>
    <row r="18157" spans="1:5">
      <c r="A18157" t="s">
        <v>45109</v>
      </c>
      <c r="B18157" t="s">
        <v>45114</v>
      </c>
      <c r="C18157">
        <f>0</f>
        <v>0</v>
      </c>
      <c r="D18157">
        <v>0.73916076154099997</v>
      </c>
      <c r="E18157">
        <v>10.715999999999999</v>
      </c>
    </row>
    <row r="18158" spans="1:5">
      <c r="A18158" t="s">
        <v>45109</v>
      </c>
      <c r="B18158" t="s">
        <v>45115</v>
      </c>
      <c r="C18158">
        <v>0</v>
      </c>
      <c r="D18158">
        <v>0.73916076154099997</v>
      </c>
      <c r="E18158">
        <v>10.715999999999999</v>
      </c>
    </row>
    <row r="18159" spans="1:5">
      <c r="A18159" t="s">
        <v>45109</v>
      </c>
      <c r="B18159" t="s">
        <v>45116</v>
      </c>
      <c r="C18159">
        <v>0</v>
      </c>
      <c r="D18159">
        <v>0.73916076154099997</v>
      </c>
      <c r="E18159">
        <v>10.715999999999999</v>
      </c>
    </row>
    <row r="18160" spans="1:5">
      <c r="A18160" t="s">
        <v>45109</v>
      </c>
      <c r="B18160" t="s">
        <v>45117</v>
      </c>
      <c r="C18160">
        <f>0</f>
        <v>0</v>
      </c>
      <c r="D18160">
        <v>0.73916076154099997</v>
      </c>
      <c r="E18160">
        <v>10.715999999999999</v>
      </c>
    </row>
    <row r="18161" spans="1:5">
      <c r="A18161" t="s">
        <v>45109</v>
      </c>
      <c r="B18161" t="s">
        <v>45118</v>
      </c>
      <c r="C18161">
        <f>0.269382510336</f>
        <v>0.26938251033600003</v>
      </c>
      <c r="D18161">
        <v>0.73916076154099997</v>
      </c>
      <c r="E18161">
        <v>10.715999999999999</v>
      </c>
    </row>
    <row r="18162" spans="1:5">
      <c r="A18162" t="s">
        <v>45109</v>
      </c>
      <c r="B18162" t="s">
        <v>45119</v>
      </c>
      <c r="C18162">
        <v>0</v>
      </c>
      <c r="D18162">
        <v>0.73916076154099997</v>
      </c>
      <c r="E18162">
        <v>10.715999999999999</v>
      </c>
    </row>
    <row r="18163" spans="1:5">
      <c r="A18163" t="s">
        <v>45109</v>
      </c>
      <c r="B18163" t="s">
        <v>45120</v>
      </c>
      <c r="C18163">
        <v>0</v>
      </c>
      <c r="D18163">
        <v>0.73916076154099997</v>
      </c>
      <c r="E18163">
        <v>10.715999999999999</v>
      </c>
    </row>
    <row r="18164" spans="1:5">
      <c r="A18164" t="s">
        <v>45109</v>
      </c>
      <c r="B18164" t="s">
        <v>45121</v>
      </c>
      <c r="C18164">
        <v>0</v>
      </c>
      <c r="D18164">
        <v>0.73916076154099997</v>
      </c>
      <c r="E18164">
        <v>10.715999999999999</v>
      </c>
    </row>
    <row r="18165" spans="1:5">
      <c r="A18165" t="s">
        <v>45122</v>
      </c>
      <c r="B18165" t="s">
        <v>2091</v>
      </c>
      <c r="C18165">
        <f>-1.2701395341</f>
        <v>-1.2701395340999999</v>
      </c>
      <c r="D18165">
        <v>0.86506218443399996</v>
      </c>
      <c r="E18165">
        <v>24</v>
      </c>
    </row>
    <row r="18166" spans="1:5">
      <c r="A18166" t="s">
        <v>45122</v>
      </c>
      <c r="B18166" t="s">
        <v>2090</v>
      </c>
      <c r="C18166">
        <v>1.702965769</v>
      </c>
      <c r="D18166">
        <v>0.86506218443399996</v>
      </c>
      <c r="E18166">
        <v>24</v>
      </c>
    </row>
    <row r="18167" spans="1:5">
      <c r="A18167" t="s">
        <v>45123</v>
      </c>
      <c r="B18167" t="s">
        <v>2071</v>
      </c>
      <c r="C18167">
        <f>0.630452384124</f>
        <v>0.63045238412399995</v>
      </c>
      <c r="D18167">
        <v>0.82406238412400001</v>
      </c>
      <c r="E18167">
        <v>0.24</v>
      </c>
    </row>
    <row r="18168" spans="1:5">
      <c r="A18168" t="s">
        <v>45123</v>
      </c>
      <c r="B18168" t="s">
        <v>2072</v>
      </c>
      <c r="C18168">
        <f>0</f>
        <v>0</v>
      </c>
      <c r="D18168">
        <v>0.82406238412400001</v>
      </c>
      <c r="E18168">
        <v>0.24</v>
      </c>
    </row>
    <row r="18169" spans="1:5">
      <c r="A18169" t="s">
        <v>45124</v>
      </c>
      <c r="B18169" t="s">
        <v>45125</v>
      </c>
      <c r="C18169">
        <v>0</v>
      </c>
      <c r="D18169" t="s">
        <v>106</v>
      </c>
      <c r="E18169">
        <v>0</v>
      </c>
    </row>
    <row r="18170" spans="1:5">
      <c r="A18170" t="s">
        <v>45124</v>
      </c>
      <c r="B18170" t="s">
        <v>45126</v>
      </c>
      <c r="C18170">
        <v>0</v>
      </c>
      <c r="D18170" t="s">
        <v>106</v>
      </c>
      <c r="E18170">
        <v>0</v>
      </c>
    </row>
    <row r="18171" spans="1:5">
      <c r="A18171" t="s">
        <v>45124</v>
      </c>
      <c r="B18171" t="s">
        <v>45127</v>
      </c>
      <c r="C18171">
        <v>0</v>
      </c>
      <c r="D18171" t="s">
        <v>106</v>
      </c>
      <c r="E18171">
        <v>0</v>
      </c>
    </row>
    <row r="18172" spans="1:5">
      <c r="A18172" t="s">
        <v>45128</v>
      </c>
      <c r="B18172" t="s">
        <v>45129</v>
      </c>
      <c r="C18172">
        <f>0</f>
        <v>0</v>
      </c>
      <c r="D18172" t="s">
        <v>106</v>
      </c>
      <c r="E18172">
        <v>24</v>
      </c>
    </row>
    <row r="18173" spans="1:5">
      <c r="A18173" t="s">
        <v>45128</v>
      </c>
      <c r="B18173" t="s">
        <v>45130</v>
      </c>
      <c r="C18173">
        <f>0</f>
        <v>0</v>
      </c>
      <c r="D18173" t="s">
        <v>106</v>
      </c>
      <c r="E18173">
        <v>24</v>
      </c>
    </row>
    <row r="18174" spans="1:5">
      <c r="A18174" t="s">
        <v>45128</v>
      </c>
      <c r="B18174" t="s">
        <v>45131</v>
      </c>
      <c r="C18174">
        <v>0</v>
      </c>
      <c r="D18174" t="s">
        <v>106</v>
      </c>
      <c r="E18174">
        <v>24</v>
      </c>
    </row>
    <row r="18175" spans="1:5">
      <c r="A18175" t="s">
        <v>45132</v>
      </c>
      <c r="B18175" t="s">
        <v>45133</v>
      </c>
      <c r="C18175">
        <f>0</f>
        <v>0</v>
      </c>
      <c r="D18175" t="s">
        <v>106</v>
      </c>
      <c r="E18175">
        <v>14.183999999999999</v>
      </c>
    </row>
    <row r="18176" spans="1:5">
      <c r="A18176" t="s">
        <v>45132</v>
      </c>
      <c r="B18176" t="s">
        <v>45134</v>
      </c>
      <c r="C18176">
        <v>0</v>
      </c>
      <c r="D18176" t="s">
        <v>106</v>
      </c>
      <c r="E18176">
        <v>14.183999999999999</v>
      </c>
    </row>
    <row r="18177" spans="1:5">
      <c r="A18177" t="s">
        <v>45132</v>
      </c>
      <c r="B18177" t="s">
        <v>45135</v>
      </c>
      <c r="C18177">
        <f>0</f>
        <v>0</v>
      </c>
      <c r="D18177" t="s">
        <v>106</v>
      </c>
      <c r="E18177">
        <v>14.183999999999999</v>
      </c>
    </row>
    <row r="18178" spans="1:5">
      <c r="A18178" t="s">
        <v>45132</v>
      </c>
      <c r="B18178" t="s">
        <v>45136</v>
      </c>
      <c r="C18178">
        <f>0</f>
        <v>0</v>
      </c>
      <c r="D18178" t="s">
        <v>106</v>
      </c>
      <c r="E18178">
        <v>14.183999999999999</v>
      </c>
    </row>
    <row r="18179" spans="1:5">
      <c r="A18179" t="s">
        <v>45132</v>
      </c>
      <c r="B18179" t="s">
        <v>45137</v>
      </c>
      <c r="C18179">
        <f>0</f>
        <v>0</v>
      </c>
      <c r="D18179" t="s">
        <v>106</v>
      </c>
      <c r="E18179">
        <v>14.183999999999999</v>
      </c>
    </row>
    <row r="18180" spans="1:5">
      <c r="A18180" t="s">
        <v>45132</v>
      </c>
      <c r="B18180" t="s">
        <v>45138</v>
      </c>
      <c r="C18180">
        <f>0</f>
        <v>0</v>
      </c>
      <c r="D18180" t="s">
        <v>106</v>
      </c>
      <c r="E18180">
        <v>14.183999999999999</v>
      </c>
    </row>
    <row r="18181" spans="1:5">
      <c r="A18181" t="s">
        <v>45139</v>
      </c>
      <c r="B18181" t="s">
        <v>5270</v>
      </c>
      <c r="C18181">
        <v>0.36891021079199998</v>
      </c>
      <c r="D18181">
        <v>0.80548804028700005</v>
      </c>
      <c r="E18181">
        <v>3.4980000000000002</v>
      </c>
    </row>
    <row r="18182" spans="1:5">
      <c r="A18182" t="s">
        <v>45139</v>
      </c>
      <c r="B18182" t="s">
        <v>5273</v>
      </c>
      <c r="C18182">
        <f>0.388494828811</f>
        <v>0.388494828811</v>
      </c>
      <c r="D18182">
        <v>0.80548804028700005</v>
      </c>
      <c r="E18182">
        <v>3.4980000000000002</v>
      </c>
    </row>
    <row r="18183" spans="1:5">
      <c r="A18183" t="s">
        <v>45139</v>
      </c>
      <c r="B18183" t="s">
        <v>5272</v>
      </c>
      <c r="C18183">
        <f>0</f>
        <v>0</v>
      </c>
      <c r="D18183">
        <v>0.80548804028700005</v>
      </c>
      <c r="E18183">
        <v>3.4980000000000002</v>
      </c>
    </row>
    <row r="18184" spans="1:5">
      <c r="A18184" t="s">
        <v>45139</v>
      </c>
      <c r="B18184" t="s">
        <v>5274</v>
      </c>
      <c r="C18184">
        <f>0.00328646521167</f>
        <v>3.2864652116699998E-3</v>
      </c>
      <c r="D18184">
        <v>0.80548804028700005</v>
      </c>
      <c r="E18184">
        <v>3.4980000000000002</v>
      </c>
    </row>
    <row r="18185" spans="1:5">
      <c r="A18185" t="s">
        <v>45140</v>
      </c>
      <c r="B18185" t="s">
        <v>45141</v>
      </c>
      <c r="C18185">
        <f>0</f>
        <v>0</v>
      </c>
      <c r="D18185" t="s">
        <v>106</v>
      </c>
      <c r="E18185">
        <v>24</v>
      </c>
    </row>
    <row r="18186" spans="1:5">
      <c r="A18186" t="s">
        <v>45140</v>
      </c>
      <c r="B18186" t="s">
        <v>45142</v>
      </c>
      <c r="C18186">
        <f>0</f>
        <v>0</v>
      </c>
      <c r="D18186" t="s">
        <v>106</v>
      </c>
      <c r="E18186">
        <v>24</v>
      </c>
    </row>
    <row r="18187" spans="1:5">
      <c r="A18187" t="s">
        <v>45143</v>
      </c>
      <c r="B18187" t="s">
        <v>45144</v>
      </c>
      <c r="C18187">
        <v>0</v>
      </c>
      <c r="D18187" t="s">
        <v>106</v>
      </c>
      <c r="E18187">
        <v>18.984000000000002</v>
      </c>
    </row>
    <row r="18188" spans="1:5">
      <c r="A18188" t="s">
        <v>45143</v>
      </c>
      <c r="B18188" t="s">
        <v>45145</v>
      </c>
      <c r="C18188">
        <v>0</v>
      </c>
      <c r="D18188" t="s">
        <v>106</v>
      </c>
      <c r="E18188">
        <v>18.984000000000002</v>
      </c>
    </row>
    <row r="18189" spans="1:5">
      <c r="A18189" t="s">
        <v>45143</v>
      </c>
      <c r="B18189" t="s">
        <v>45146</v>
      </c>
      <c r="C18189">
        <v>0</v>
      </c>
      <c r="D18189" t="s">
        <v>106</v>
      </c>
      <c r="E18189">
        <v>18.984000000000002</v>
      </c>
    </row>
    <row r="18190" spans="1:5">
      <c r="A18190" t="s">
        <v>45147</v>
      </c>
      <c r="B18190" t="s">
        <v>31528</v>
      </c>
      <c r="C18190">
        <f>0.792799204158</f>
        <v>0.79279920415799998</v>
      </c>
      <c r="D18190">
        <v>0.99912911700700002</v>
      </c>
      <c r="E18190">
        <v>2.3279999999999998</v>
      </c>
    </row>
    <row r="18191" spans="1:5">
      <c r="A18191" t="s">
        <v>45147</v>
      </c>
      <c r="B18191" t="s">
        <v>31526</v>
      </c>
      <c r="C18191">
        <f>0.122312943328</f>
        <v>0.122312943328</v>
      </c>
      <c r="D18191">
        <v>0.99912911700700002</v>
      </c>
      <c r="E18191">
        <v>2.3279999999999998</v>
      </c>
    </row>
    <row r="18192" spans="1:5">
      <c r="A18192" t="s">
        <v>45147</v>
      </c>
      <c r="B18192" t="s">
        <v>31534</v>
      </c>
      <c r="C18192">
        <v>0.71319685493100005</v>
      </c>
      <c r="D18192">
        <v>0.99912911700700002</v>
      </c>
      <c r="E18192">
        <v>2.3279999999999998</v>
      </c>
    </row>
    <row r="18193" spans="1:5">
      <c r="A18193" t="s">
        <v>45147</v>
      </c>
      <c r="B18193" t="s">
        <v>31527</v>
      </c>
      <c r="C18193">
        <f>-1.3337224355</f>
        <v>-1.3337224354999999</v>
      </c>
      <c r="D18193">
        <v>0.99912911700700002</v>
      </c>
      <c r="E18193">
        <v>2.3279999999999998</v>
      </c>
    </row>
    <row r="18194" spans="1:5">
      <c r="A18194" t="s">
        <v>45147</v>
      </c>
      <c r="B18194" t="s">
        <v>31531</v>
      </c>
      <c r="C18194">
        <f>0.662700364329</f>
        <v>0.66270036432900004</v>
      </c>
      <c r="D18194">
        <v>0.99912911700700002</v>
      </c>
      <c r="E18194">
        <v>2.3279999999999998</v>
      </c>
    </row>
    <row r="18195" spans="1:5">
      <c r="A18195" t="s">
        <v>45147</v>
      </c>
      <c r="B18195" t="s">
        <v>31532</v>
      </c>
      <c r="C18195">
        <v>1.13917767463</v>
      </c>
      <c r="D18195">
        <v>0.99912911700700002</v>
      </c>
      <c r="E18195">
        <v>2.3279999999999998</v>
      </c>
    </row>
    <row r="18196" spans="1:5">
      <c r="A18196" t="s">
        <v>45148</v>
      </c>
      <c r="B18196" t="s">
        <v>25702</v>
      </c>
      <c r="C18196">
        <f>0</f>
        <v>0</v>
      </c>
      <c r="D18196" t="s">
        <v>106</v>
      </c>
      <c r="E18196">
        <v>4.5839999999999996</v>
      </c>
    </row>
    <row r="18197" spans="1:5">
      <c r="A18197" t="s">
        <v>45148</v>
      </c>
      <c r="B18197" t="s">
        <v>25700</v>
      </c>
      <c r="C18197">
        <v>0</v>
      </c>
      <c r="D18197" t="s">
        <v>106</v>
      </c>
      <c r="E18197">
        <v>4.5839999999999996</v>
      </c>
    </row>
    <row r="18198" spans="1:5">
      <c r="A18198" t="s">
        <v>45148</v>
      </c>
      <c r="B18198" t="s">
        <v>25699</v>
      </c>
      <c r="C18198">
        <v>0</v>
      </c>
      <c r="D18198" t="s">
        <v>106</v>
      </c>
      <c r="E18198">
        <v>4.5839999999999996</v>
      </c>
    </row>
    <row r="18199" spans="1:5">
      <c r="A18199" t="s">
        <v>45148</v>
      </c>
      <c r="B18199" t="s">
        <v>25698</v>
      </c>
      <c r="C18199">
        <f>0</f>
        <v>0</v>
      </c>
      <c r="D18199" t="s">
        <v>106</v>
      </c>
      <c r="E18199">
        <v>4.5839999999999996</v>
      </c>
    </row>
    <row r="18200" spans="1:5">
      <c r="A18200" t="s">
        <v>45148</v>
      </c>
      <c r="B18200" t="s">
        <v>25697</v>
      </c>
      <c r="C18200">
        <v>0</v>
      </c>
      <c r="D18200" t="s">
        <v>106</v>
      </c>
      <c r="E18200">
        <v>4.5839999999999996</v>
      </c>
    </row>
    <row r="18201" spans="1:5">
      <c r="A18201" t="s">
        <v>45148</v>
      </c>
      <c r="B18201" t="s">
        <v>25701</v>
      </c>
      <c r="C18201">
        <f>0</f>
        <v>0</v>
      </c>
      <c r="D18201" t="s">
        <v>106</v>
      </c>
      <c r="E18201">
        <v>4.5839999999999996</v>
      </c>
    </row>
    <row r="18202" spans="1:5">
      <c r="A18202" t="s">
        <v>45149</v>
      </c>
      <c r="B18202" t="s">
        <v>30328</v>
      </c>
      <c r="C18202">
        <v>0.75617762022199997</v>
      </c>
      <c r="D18202">
        <v>0.99992442452600006</v>
      </c>
      <c r="E18202">
        <v>2.88</v>
      </c>
    </row>
    <row r="18203" spans="1:5">
      <c r="A18203" t="s">
        <v>45149</v>
      </c>
      <c r="B18203" t="s">
        <v>30331</v>
      </c>
      <c r="C18203">
        <v>0.65001568030400003</v>
      </c>
      <c r="D18203">
        <v>0.99992442452600006</v>
      </c>
      <c r="E18203">
        <v>2.88</v>
      </c>
    </row>
    <row r="18204" spans="1:5">
      <c r="A18204" t="s">
        <v>45149</v>
      </c>
      <c r="B18204" t="s">
        <v>30332</v>
      </c>
      <c r="C18204">
        <v>4.7488119717299999E-2</v>
      </c>
      <c r="D18204">
        <v>0.99992442452600006</v>
      </c>
      <c r="E18204">
        <v>2.88</v>
      </c>
    </row>
    <row r="18205" spans="1:5">
      <c r="A18205" t="s">
        <v>45149</v>
      </c>
      <c r="B18205" t="s">
        <v>30335</v>
      </c>
      <c r="C18205">
        <v>0.36021725856600001</v>
      </c>
      <c r="D18205">
        <v>0.99992442452600006</v>
      </c>
      <c r="E18205">
        <v>2.88</v>
      </c>
    </row>
    <row r="18206" spans="1:5">
      <c r="A18206" t="s">
        <v>45149</v>
      </c>
      <c r="B18206" t="s">
        <v>30334</v>
      </c>
      <c r="C18206">
        <f>-1.54292503268</f>
        <v>-1.5429250326799999</v>
      </c>
      <c r="D18206">
        <v>0.99992442452600006</v>
      </c>
      <c r="E18206">
        <v>2.88</v>
      </c>
    </row>
    <row r="18207" spans="1:5">
      <c r="A18207" t="s">
        <v>45149</v>
      </c>
      <c r="B18207" t="s">
        <v>30336</v>
      </c>
      <c r="C18207">
        <f>0.0958247088396</f>
        <v>9.5824708839599995E-2</v>
      </c>
      <c r="D18207">
        <v>0.99992442452600006</v>
      </c>
      <c r="E18207">
        <v>2.88</v>
      </c>
    </row>
    <row r="18208" spans="1:5">
      <c r="A18208" t="s">
        <v>45149</v>
      </c>
      <c r="B18208" t="s">
        <v>30330</v>
      </c>
      <c r="C18208">
        <f>0.533094586325</f>
        <v>0.53309458632499995</v>
      </c>
      <c r="D18208">
        <v>0.99992442452600006</v>
      </c>
      <c r="E18208">
        <v>2.88</v>
      </c>
    </row>
    <row r="18209" spans="1:5">
      <c r="A18209" t="s">
        <v>45150</v>
      </c>
      <c r="B18209" t="s">
        <v>45151</v>
      </c>
      <c r="C18209">
        <f>0.248440770733</f>
        <v>0.248440770733</v>
      </c>
      <c r="D18209">
        <v>0.94001311169000001</v>
      </c>
      <c r="E18209">
        <v>4.8</v>
      </c>
    </row>
    <row r="18210" spans="1:5">
      <c r="A18210" t="s">
        <v>45150</v>
      </c>
      <c r="B18210" t="s">
        <v>45152</v>
      </c>
      <c r="C18210">
        <v>0.92529777991600004</v>
      </c>
      <c r="D18210">
        <v>0.94001311169000001</v>
      </c>
      <c r="E18210">
        <v>4.8</v>
      </c>
    </row>
    <row r="18211" spans="1:5">
      <c r="A18211" t="s">
        <v>45150</v>
      </c>
      <c r="B18211" t="s">
        <v>45153</v>
      </c>
      <c r="C18211">
        <f>-1.45981998409</f>
        <v>-1.4598199840899999</v>
      </c>
      <c r="D18211">
        <v>0.94001311169000001</v>
      </c>
      <c r="E18211">
        <v>4.8</v>
      </c>
    </row>
    <row r="18212" spans="1:5">
      <c r="A18212" t="s">
        <v>45150</v>
      </c>
      <c r="B18212" t="s">
        <v>45154</v>
      </c>
      <c r="C18212">
        <v>0</v>
      </c>
      <c r="D18212">
        <v>0.94001311169000001</v>
      </c>
      <c r="E18212">
        <v>4.8</v>
      </c>
    </row>
    <row r="18213" spans="1:5">
      <c r="A18213" t="s">
        <v>45155</v>
      </c>
      <c r="B18213" t="s">
        <v>17368</v>
      </c>
      <c r="C18213">
        <f>0.490280915721</f>
        <v>0.49028091572100002</v>
      </c>
      <c r="D18213">
        <v>0.899890915721</v>
      </c>
      <c r="E18213">
        <v>17.100000000000001</v>
      </c>
    </row>
    <row r="18214" spans="1:5">
      <c r="A18214" t="s">
        <v>45155</v>
      </c>
      <c r="B18214" t="s">
        <v>17366</v>
      </c>
      <c r="C18214">
        <f>0</f>
        <v>0</v>
      </c>
      <c r="D18214">
        <v>0.899890915721</v>
      </c>
      <c r="E18214">
        <v>17.100000000000001</v>
      </c>
    </row>
    <row r="18215" spans="1:5">
      <c r="A18215" t="s">
        <v>45155</v>
      </c>
      <c r="B18215" t="s">
        <v>17376</v>
      </c>
      <c r="C18215">
        <f>0</f>
        <v>0</v>
      </c>
      <c r="D18215">
        <v>0.899890915721</v>
      </c>
      <c r="E18215">
        <v>17.100000000000001</v>
      </c>
    </row>
    <row r="18216" spans="1:5">
      <c r="A18216" t="s">
        <v>45155</v>
      </c>
      <c r="B18216" t="s">
        <v>17377</v>
      </c>
      <c r="C18216">
        <f>0</f>
        <v>0</v>
      </c>
      <c r="D18216">
        <v>0.899890915721</v>
      </c>
      <c r="E18216">
        <v>17.100000000000001</v>
      </c>
    </row>
    <row r="18217" spans="1:5">
      <c r="A18217" t="s">
        <v>45156</v>
      </c>
      <c r="B18217" t="s">
        <v>22153</v>
      </c>
      <c r="C18217">
        <v>0</v>
      </c>
      <c r="D18217" t="s">
        <v>106</v>
      </c>
      <c r="E18217">
        <v>5.1239999999999997</v>
      </c>
    </row>
    <row r="18218" spans="1:5">
      <c r="A18218" t="s">
        <v>45156</v>
      </c>
      <c r="B18218" t="s">
        <v>22155</v>
      </c>
      <c r="C18218">
        <f>0</f>
        <v>0</v>
      </c>
      <c r="D18218" t="s">
        <v>106</v>
      </c>
      <c r="E18218">
        <v>5.1239999999999997</v>
      </c>
    </row>
    <row r="18219" spans="1:5">
      <c r="A18219" t="s">
        <v>45156</v>
      </c>
      <c r="B18219" t="s">
        <v>22154</v>
      </c>
      <c r="C18219">
        <v>0</v>
      </c>
      <c r="D18219" t="s">
        <v>106</v>
      </c>
      <c r="E18219">
        <v>5.1239999999999997</v>
      </c>
    </row>
    <row r="18220" spans="1:5">
      <c r="A18220" t="s">
        <v>45157</v>
      </c>
      <c r="B18220" t="s">
        <v>31248</v>
      </c>
      <c r="C18220">
        <f>0.355859606094</f>
        <v>0.35585960609400002</v>
      </c>
      <c r="D18220">
        <v>0.97930676041599996</v>
      </c>
      <c r="E18220">
        <v>2.3279999999999998</v>
      </c>
    </row>
    <row r="18221" spans="1:5">
      <c r="A18221" t="s">
        <v>45157</v>
      </c>
      <c r="B18221" t="s">
        <v>31245</v>
      </c>
      <c r="C18221">
        <v>0.58047735904099995</v>
      </c>
      <c r="D18221">
        <v>0.97930676041599996</v>
      </c>
      <c r="E18221">
        <v>2.3279999999999998</v>
      </c>
    </row>
    <row r="18222" spans="1:5">
      <c r="A18222" t="s">
        <v>45157</v>
      </c>
      <c r="B18222" t="s">
        <v>31243</v>
      </c>
      <c r="C18222">
        <v>0.59440017181100002</v>
      </c>
      <c r="D18222">
        <v>0.97930676041599996</v>
      </c>
      <c r="E18222">
        <v>2.3279999999999998</v>
      </c>
    </row>
    <row r="18223" spans="1:5">
      <c r="A18223" t="s">
        <v>45157</v>
      </c>
      <c r="B18223" t="s">
        <v>31246</v>
      </c>
      <c r="C18223">
        <v>0</v>
      </c>
      <c r="D18223">
        <v>0.97930676041599996</v>
      </c>
      <c r="E18223">
        <v>2.3279999999999998</v>
      </c>
    </row>
    <row r="18224" spans="1:5">
      <c r="A18224" t="s">
        <v>45157</v>
      </c>
      <c r="B18224" t="s">
        <v>31247</v>
      </c>
      <c r="C18224">
        <v>4.18456820149E-2</v>
      </c>
      <c r="D18224">
        <v>0.97930676041599996</v>
      </c>
      <c r="E18224">
        <v>2.3279999999999998</v>
      </c>
    </row>
    <row r="18225" spans="1:5">
      <c r="A18225" t="s">
        <v>45158</v>
      </c>
      <c r="B18225" t="s">
        <v>8222</v>
      </c>
      <c r="C18225">
        <v>0</v>
      </c>
      <c r="D18225" t="s">
        <v>106</v>
      </c>
      <c r="E18225">
        <v>18.138000000000002</v>
      </c>
    </row>
    <row r="18226" spans="1:5">
      <c r="A18226" t="s">
        <v>45158</v>
      </c>
      <c r="B18226" t="s">
        <v>8223</v>
      </c>
      <c r="C18226">
        <v>0</v>
      </c>
      <c r="D18226" t="s">
        <v>106</v>
      </c>
      <c r="E18226">
        <v>18.138000000000002</v>
      </c>
    </row>
    <row r="18227" spans="1:5">
      <c r="A18227" t="s">
        <v>45158</v>
      </c>
      <c r="B18227" t="s">
        <v>8224</v>
      </c>
      <c r="C18227">
        <v>0</v>
      </c>
      <c r="D18227" t="s">
        <v>106</v>
      </c>
      <c r="E18227">
        <v>18.138000000000002</v>
      </c>
    </row>
    <row r="18228" spans="1:5">
      <c r="A18228" t="s">
        <v>45158</v>
      </c>
      <c r="B18228" t="s">
        <v>45159</v>
      </c>
      <c r="C18228">
        <v>0</v>
      </c>
      <c r="D18228" t="s">
        <v>106</v>
      </c>
      <c r="E18228">
        <v>18.138000000000002</v>
      </c>
    </row>
    <row r="18229" spans="1:5">
      <c r="A18229" t="s">
        <v>45158</v>
      </c>
      <c r="B18229" t="s">
        <v>8225</v>
      </c>
      <c r="C18229">
        <v>0</v>
      </c>
      <c r="D18229" t="s">
        <v>106</v>
      </c>
      <c r="E18229">
        <v>18.138000000000002</v>
      </c>
    </row>
    <row r="18230" spans="1:5">
      <c r="A18230" t="s">
        <v>45160</v>
      </c>
      <c r="B18230" t="s">
        <v>3506</v>
      </c>
      <c r="C18230">
        <f>0.598272681284</f>
        <v>0.59827268128400002</v>
      </c>
      <c r="D18230">
        <v>0.863933894777</v>
      </c>
      <c r="E18230">
        <v>0</v>
      </c>
    </row>
    <row r="18231" spans="1:5">
      <c r="A18231" t="s">
        <v>45160</v>
      </c>
      <c r="B18231" t="s">
        <v>3508</v>
      </c>
      <c r="C18231">
        <f>0.259292942125</f>
        <v>0.25929294212499998</v>
      </c>
      <c r="D18231">
        <v>0.863933894777</v>
      </c>
      <c r="E18231">
        <v>0</v>
      </c>
    </row>
    <row r="18232" spans="1:5">
      <c r="A18232" t="s">
        <v>45160</v>
      </c>
      <c r="B18232" t="s">
        <v>3509</v>
      </c>
      <c r="C18232">
        <f>0</f>
        <v>0</v>
      </c>
      <c r="D18232">
        <v>0.863933894777</v>
      </c>
      <c r="E18232">
        <v>0</v>
      </c>
    </row>
    <row r="18233" spans="1:5">
      <c r="A18233" t="s">
        <v>45160</v>
      </c>
      <c r="B18233" t="s">
        <v>3507</v>
      </c>
      <c r="C18233">
        <f>0</f>
        <v>0</v>
      </c>
      <c r="D18233">
        <v>0.863933894777</v>
      </c>
      <c r="E18233">
        <v>0</v>
      </c>
    </row>
    <row r="18234" spans="1:5">
      <c r="A18234" t="s">
        <v>45161</v>
      </c>
      <c r="B18234" t="s">
        <v>45162</v>
      </c>
      <c r="C18234">
        <v>0</v>
      </c>
      <c r="D18234" t="s">
        <v>106</v>
      </c>
      <c r="E18234">
        <v>1.1160000000000001</v>
      </c>
    </row>
    <row r="18235" spans="1:5">
      <c r="A18235" t="s">
        <v>45161</v>
      </c>
      <c r="B18235" t="s">
        <v>45163</v>
      </c>
      <c r="C18235">
        <f>0</f>
        <v>0</v>
      </c>
      <c r="D18235" t="s">
        <v>106</v>
      </c>
      <c r="E18235">
        <v>1.1160000000000001</v>
      </c>
    </row>
    <row r="18236" spans="1:5">
      <c r="A18236" t="s">
        <v>45161</v>
      </c>
      <c r="B18236" t="s">
        <v>45164</v>
      </c>
      <c r="C18236">
        <f>0</f>
        <v>0</v>
      </c>
      <c r="D18236" t="s">
        <v>106</v>
      </c>
      <c r="E18236">
        <v>1.1160000000000001</v>
      </c>
    </row>
    <row r="18237" spans="1:5">
      <c r="A18237" t="s">
        <v>45165</v>
      </c>
      <c r="B18237" t="s">
        <v>45166</v>
      </c>
      <c r="C18237">
        <v>0</v>
      </c>
      <c r="D18237">
        <v>0.93750974344399995</v>
      </c>
      <c r="E18237">
        <v>2.556</v>
      </c>
    </row>
    <row r="18238" spans="1:5">
      <c r="A18238" t="s">
        <v>45165</v>
      </c>
      <c r="B18238" t="s">
        <v>45167</v>
      </c>
      <c r="C18238">
        <v>0</v>
      </c>
      <c r="D18238">
        <v>0.93750974344399995</v>
      </c>
      <c r="E18238">
        <v>2.556</v>
      </c>
    </row>
    <row r="18239" spans="1:5">
      <c r="A18239" t="s">
        <v>45165</v>
      </c>
      <c r="B18239" t="s">
        <v>45168</v>
      </c>
      <c r="C18239">
        <v>0.219006608426</v>
      </c>
      <c r="D18239">
        <v>0.93750974344399995</v>
      </c>
      <c r="E18239">
        <v>2.556</v>
      </c>
    </row>
    <row r="18240" spans="1:5">
      <c r="A18240" t="s">
        <v>45165</v>
      </c>
      <c r="B18240" t="s">
        <v>45169</v>
      </c>
      <c r="C18240">
        <f>0</f>
        <v>0</v>
      </c>
      <c r="D18240">
        <v>0.93750974344399995</v>
      </c>
      <c r="E18240">
        <v>2.556</v>
      </c>
    </row>
    <row r="18241" spans="1:5">
      <c r="A18241" t="s">
        <v>45165</v>
      </c>
      <c r="B18241" t="s">
        <v>45170</v>
      </c>
      <c r="C18241">
        <v>0</v>
      </c>
      <c r="D18241">
        <v>0.93750974344399995</v>
      </c>
      <c r="E18241">
        <v>2.556</v>
      </c>
    </row>
    <row r="18242" spans="1:5">
      <c r="A18242" t="s">
        <v>45165</v>
      </c>
      <c r="B18242" t="s">
        <v>45171</v>
      </c>
      <c r="C18242">
        <v>0.163871099396</v>
      </c>
      <c r="D18242">
        <v>0.93750974344399995</v>
      </c>
      <c r="E18242">
        <v>2.556</v>
      </c>
    </row>
    <row r="18243" spans="1:5">
      <c r="A18243" t="s">
        <v>45165</v>
      </c>
      <c r="B18243" t="s">
        <v>45172</v>
      </c>
      <c r="C18243">
        <v>0</v>
      </c>
      <c r="D18243">
        <v>0.93750974344399995</v>
      </c>
      <c r="E18243">
        <v>2.556</v>
      </c>
    </row>
    <row r="18244" spans="1:5">
      <c r="A18244" t="s">
        <v>45165</v>
      </c>
      <c r="B18244" t="s">
        <v>45173</v>
      </c>
      <c r="C18244">
        <v>0.28758961416599998</v>
      </c>
      <c r="D18244">
        <v>0.93750974344399995</v>
      </c>
      <c r="E18244">
        <v>2.556</v>
      </c>
    </row>
    <row r="18245" spans="1:5">
      <c r="A18245" t="s">
        <v>45165</v>
      </c>
      <c r="B18245" t="s">
        <v>45174</v>
      </c>
      <c r="C18245">
        <v>0</v>
      </c>
      <c r="D18245">
        <v>0.93750974344399995</v>
      </c>
      <c r="E18245">
        <v>2.556</v>
      </c>
    </row>
    <row r="18246" spans="1:5">
      <c r="A18246" t="s">
        <v>45165</v>
      </c>
      <c r="B18246" t="s">
        <v>45175</v>
      </c>
      <c r="C18246">
        <f>0</f>
        <v>0</v>
      </c>
      <c r="D18246">
        <v>0.93750974344399995</v>
      </c>
      <c r="E18246">
        <v>2.556</v>
      </c>
    </row>
    <row r="18247" spans="1:5">
      <c r="A18247" t="s">
        <v>45165</v>
      </c>
      <c r="B18247" t="s">
        <v>45176</v>
      </c>
      <c r="C18247">
        <v>0</v>
      </c>
      <c r="D18247">
        <v>0.93750974344399995</v>
      </c>
      <c r="E18247">
        <v>2.556</v>
      </c>
    </row>
    <row r="18248" spans="1:5">
      <c r="A18248" t="s">
        <v>45165</v>
      </c>
      <c r="B18248" t="s">
        <v>45177</v>
      </c>
      <c r="C18248">
        <v>2.65902187701E-2</v>
      </c>
      <c r="D18248">
        <v>0.93750974344399995</v>
      </c>
      <c r="E18248">
        <v>2.556</v>
      </c>
    </row>
    <row r="18249" spans="1:5">
      <c r="A18249" t="s">
        <v>45165</v>
      </c>
      <c r="B18249" t="s">
        <v>45178</v>
      </c>
      <c r="C18249">
        <v>0.49025031540399999</v>
      </c>
      <c r="D18249">
        <v>0.93750974344399995</v>
      </c>
      <c r="E18249">
        <v>2.556</v>
      </c>
    </row>
    <row r="18250" spans="1:5">
      <c r="A18250" t="s">
        <v>45179</v>
      </c>
      <c r="B18250" t="s">
        <v>45180</v>
      </c>
      <c r="C18250">
        <v>0.46329606001000001</v>
      </c>
      <c r="D18250">
        <v>0.92570606001</v>
      </c>
      <c r="E18250">
        <v>3.0539999999999998</v>
      </c>
    </row>
    <row r="18251" spans="1:5">
      <c r="A18251" t="s">
        <v>45179</v>
      </c>
      <c r="B18251" t="s">
        <v>45181</v>
      </c>
      <c r="C18251">
        <v>0</v>
      </c>
      <c r="D18251">
        <v>0.92570606001</v>
      </c>
      <c r="E18251">
        <v>3.0539999999999998</v>
      </c>
    </row>
    <row r="18252" spans="1:5">
      <c r="A18252" t="s">
        <v>45179</v>
      </c>
      <c r="B18252" t="s">
        <v>45182</v>
      </c>
      <c r="C18252">
        <v>0</v>
      </c>
      <c r="D18252">
        <v>0.92570606001</v>
      </c>
      <c r="E18252">
        <v>3.0539999999999998</v>
      </c>
    </row>
    <row r="18253" spans="1:5">
      <c r="A18253" t="s">
        <v>45179</v>
      </c>
      <c r="B18253" t="s">
        <v>45183</v>
      </c>
      <c r="C18253">
        <v>0</v>
      </c>
      <c r="D18253">
        <v>0.92570606001</v>
      </c>
      <c r="E18253">
        <v>3.0539999999999998</v>
      </c>
    </row>
    <row r="18254" spans="1:5">
      <c r="A18254" t="s">
        <v>45179</v>
      </c>
      <c r="B18254" t="s">
        <v>45184</v>
      </c>
      <c r="C18254">
        <v>0</v>
      </c>
      <c r="D18254">
        <v>0.92570606001</v>
      </c>
      <c r="E18254">
        <v>3.0539999999999998</v>
      </c>
    </row>
    <row r="18255" spans="1:5">
      <c r="A18255" t="s">
        <v>45185</v>
      </c>
      <c r="B18255" t="s">
        <v>45186</v>
      </c>
      <c r="C18255">
        <v>0</v>
      </c>
      <c r="D18255">
        <v>0.83773374405199996</v>
      </c>
      <c r="E18255">
        <v>4.17</v>
      </c>
    </row>
    <row r="18256" spans="1:5">
      <c r="A18256" t="s">
        <v>45185</v>
      </c>
      <c r="B18256" t="s">
        <v>45187</v>
      </c>
      <c r="C18256">
        <v>0.34351515036500002</v>
      </c>
      <c r="D18256">
        <v>0.83773374405199996</v>
      </c>
      <c r="E18256">
        <v>4.17</v>
      </c>
    </row>
    <row r="18257" spans="1:5">
      <c r="A18257" t="s">
        <v>45185</v>
      </c>
      <c r="B18257" t="s">
        <v>45188</v>
      </c>
      <c r="C18257">
        <f>0.974621069312</f>
        <v>0.97462106931199999</v>
      </c>
      <c r="D18257">
        <v>0.83773374405199996</v>
      </c>
      <c r="E18257">
        <v>4.17</v>
      </c>
    </row>
    <row r="18258" spans="1:5">
      <c r="A18258" t="s">
        <v>45185</v>
      </c>
      <c r="B18258" t="s">
        <v>45189</v>
      </c>
      <c r="C18258">
        <f>0.352193862637</f>
        <v>0.35219386263699998</v>
      </c>
      <c r="D18258">
        <v>0.83773374405199996</v>
      </c>
      <c r="E18258">
        <v>4.17</v>
      </c>
    </row>
    <row r="18259" spans="1:5">
      <c r="A18259" t="s">
        <v>45190</v>
      </c>
      <c r="B18259" t="s">
        <v>30744</v>
      </c>
      <c r="C18259">
        <f>0.779827042835</f>
        <v>0.77982704283500004</v>
      </c>
      <c r="D18259">
        <v>0.81717324054999996</v>
      </c>
      <c r="E18259">
        <v>24</v>
      </c>
    </row>
    <row r="18260" spans="1:5">
      <c r="A18260" t="s">
        <v>45190</v>
      </c>
      <c r="B18260" t="s">
        <v>30745</v>
      </c>
      <c r="C18260">
        <f>0.50393130221</f>
        <v>0.50393130221000004</v>
      </c>
      <c r="D18260">
        <v>0.81717324054999996</v>
      </c>
      <c r="E18260">
        <v>24</v>
      </c>
    </row>
    <row r="18261" spans="1:5">
      <c r="A18261" t="s">
        <v>45191</v>
      </c>
      <c r="B18261" t="s">
        <v>11640</v>
      </c>
      <c r="C18261">
        <v>0.77955028104099999</v>
      </c>
      <c r="D18261">
        <v>0.99349834530000003</v>
      </c>
      <c r="E18261">
        <v>3.0539999999999998</v>
      </c>
    </row>
    <row r="18262" spans="1:5">
      <c r="A18262" t="s">
        <v>45191</v>
      </c>
      <c r="B18262" t="s">
        <v>11636</v>
      </c>
      <c r="C18262">
        <f>-1.1364536382</f>
        <v>-1.1364536381999999</v>
      </c>
      <c r="D18262">
        <v>0.99349834530000003</v>
      </c>
      <c r="E18262">
        <v>3.0539999999999998</v>
      </c>
    </row>
    <row r="18263" spans="1:5">
      <c r="A18263" t="s">
        <v>45191</v>
      </c>
      <c r="B18263" t="s">
        <v>11637</v>
      </c>
      <c r="C18263">
        <v>0.23265651156200001</v>
      </c>
      <c r="D18263">
        <v>0.99349834530000003</v>
      </c>
      <c r="E18263">
        <v>3.0539999999999998</v>
      </c>
    </row>
    <row r="18264" spans="1:5">
      <c r="A18264" t="s">
        <v>45191</v>
      </c>
      <c r="B18264" t="s">
        <v>11639</v>
      </c>
      <c r="C18264">
        <v>0.19021860934000001</v>
      </c>
      <c r="D18264">
        <v>0.99349834530000003</v>
      </c>
      <c r="E18264">
        <v>3.0539999999999998</v>
      </c>
    </row>
    <row r="18265" spans="1:5">
      <c r="A18265" t="s">
        <v>45192</v>
      </c>
      <c r="B18265" t="s">
        <v>13667</v>
      </c>
      <c r="C18265">
        <v>0.28873145229399999</v>
      </c>
      <c r="D18265">
        <v>0.51914145229399999</v>
      </c>
      <c r="E18265">
        <v>10.554</v>
      </c>
    </row>
    <row r="18266" spans="1:5">
      <c r="A18266" t="s">
        <v>45192</v>
      </c>
      <c r="B18266" t="s">
        <v>13668</v>
      </c>
      <c r="C18266">
        <f>0</f>
        <v>0</v>
      </c>
      <c r="D18266">
        <v>0.51914145229399999</v>
      </c>
      <c r="E18266">
        <v>10.554</v>
      </c>
    </row>
    <row r="18267" spans="1:5">
      <c r="A18267" t="s">
        <v>45193</v>
      </c>
      <c r="B18267" t="s">
        <v>45194</v>
      </c>
      <c r="C18267">
        <v>0</v>
      </c>
      <c r="D18267" t="s">
        <v>106</v>
      </c>
      <c r="E18267">
        <v>24</v>
      </c>
    </row>
    <row r="18268" spans="1:5">
      <c r="A18268" t="s">
        <v>45193</v>
      </c>
      <c r="B18268" t="s">
        <v>45195</v>
      </c>
      <c r="C18268">
        <v>0</v>
      </c>
      <c r="D18268" t="s">
        <v>106</v>
      </c>
      <c r="E18268">
        <v>24</v>
      </c>
    </row>
    <row r="18269" spans="1:5">
      <c r="A18269" t="s">
        <v>45193</v>
      </c>
      <c r="B18269" t="s">
        <v>45196</v>
      </c>
      <c r="C18269">
        <v>0</v>
      </c>
      <c r="D18269" t="s">
        <v>106</v>
      </c>
      <c r="E18269">
        <v>24</v>
      </c>
    </row>
    <row r="18270" spans="1:5">
      <c r="A18270" t="s">
        <v>45197</v>
      </c>
      <c r="B18270" t="s">
        <v>28277</v>
      </c>
      <c r="C18270">
        <f>0</f>
        <v>0</v>
      </c>
      <c r="D18270" t="s">
        <v>106</v>
      </c>
      <c r="E18270">
        <v>23.754000000000001</v>
      </c>
    </row>
    <row r="18271" spans="1:5">
      <c r="A18271" t="s">
        <v>45197</v>
      </c>
      <c r="B18271" t="s">
        <v>28283</v>
      </c>
      <c r="C18271">
        <v>0</v>
      </c>
      <c r="D18271" t="s">
        <v>106</v>
      </c>
      <c r="E18271">
        <v>23.754000000000001</v>
      </c>
    </row>
    <row r="18272" spans="1:5">
      <c r="A18272" t="s">
        <v>45197</v>
      </c>
      <c r="B18272" t="s">
        <v>28276</v>
      </c>
      <c r="C18272">
        <v>0</v>
      </c>
      <c r="D18272" t="s">
        <v>106</v>
      </c>
      <c r="E18272">
        <v>23.754000000000001</v>
      </c>
    </row>
    <row r="18273" spans="1:5">
      <c r="A18273" t="s">
        <v>45197</v>
      </c>
      <c r="B18273" t="s">
        <v>28282</v>
      </c>
      <c r="C18273">
        <f>0</f>
        <v>0</v>
      </c>
      <c r="D18273" t="s">
        <v>106</v>
      </c>
      <c r="E18273">
        <v>23.754000000000001</v>
      </c>
    </row>
    <row r="18274" spans="1:5">
      <c r="A18274" t="s">
        <v>45197</v>
      </c>
      <c r="B18274" t="s">
        <v>28280</v>
      </c>
      <c r="C18274">
        <v>0</v>
      </c>
      <c r="D18274" t="s">
        <v>106</v>
      </c>
      <c r="E18274">
        <v>23.754000000000001</v>
      </c>
    </row>
    <row r="18275" spans="1:5">
      <c r="A18275" t="s">
        <v>45198</v>
      </c>
      <c r="B18275" t="s">
        <v>45199</v>
      </c>
      <c r="C18275">
        <v>1.0998720583499999</v>
      </c>
      <c r="D18275">
        <v>0.97995813117899999</v>
      </c>
      <c r="E18275">
        <v>0.26400000000000001</v>
      </c>
    </row>
    <row r="18276" spans="1:5">
      <c r="A18276" t="s">
        <v>45198</v>
      </c>
      <c r="B18276" t="s">
        <v>45200</v>
      </c>
      <c r="C18276">
        <f>-1.29087226474</f>
        <v>-1.2908722647399999</v>
      </c>
      <c r="D18276">
        <v>0.97995813117899999</v>
      </c>
      <c r="E18276">
        <v>0.26400000000000001</v>
      </c>
    </row>
    <row r="18277" spans="1:5">
      <c r="A18277" t="s">
        <v>45198</v>
      </c>
      <c r="B18277" t="s">
        <v>45201</v>
      </c>
      <c r="C18277">
        <v>0.64794899790799998</v>
      </c>
      <c r="D18277">
        <v>0.97995813117899999</v>
      </c>
      <c r="E18277">
        <v>0.26400000000000001</v>
      </c>
    </row>
    <row r="18278" spans="1:5">
      <c r="A18278" t="s">
        <v>45198</v>
      </c>
      <c r="B18278" t="s">
        <v>45202</v>
      </c>
      <c r="C18278">
        <v>0.72270533601099995</v>
      </c>
      <c r="D18278">
        <v>0.97995813117899999</v>
      </c>
      <c r="E18278">
        <v>0.26400000000000001</v>
      </c>
    </row>
    <row r="18279" spans="1:5">
      <c r="A18279" t="s">
        <v>45198</v>
      </c>
      <c r="B18279" t="s">
        <v>45203</v>
      </c>
      <c r="C18279">
        <f>0.481498503678</f>
        <v>0.48149850367800001</v>
      </c>
      <c r="D18279">
        <v>0.97995813117899999</v>
      </c>
      <c r="E18279">
        <v>0.26400000000000001</v>
      </c>
    </row>
    <row r="18280" spans="1:5">
      <c r="A18280" t="s">
        <v>45204</v>
      </c>
      <c r="B18280" t="s">
        <v>16658</v>
      </c>
      <c r="C18280">
        <v>0</v>
      </c>
      <c r="D18280" t="s">
        <v>106</v>
      </c>
      <c r="E18280">
        <v>24</v>
      </c>
    </row>
    <row r="18281" spans="1:5">
      <c r="A18281" t="s">
        <v>45204</v>
      </c>
      <c r="B18281" t="s">
        <v>16655</v>
      </c>
      <c r="C18281">
        <v>0</v>
      </c>
      <c r="D18281" t="s">
        <v>106</v>
      </c>
      <c r="E18281">
        <v>24</v>
      </c>
    </row>
    <row r="18282" spans="1:5">
      <c r="A18282" t="s">
        <v>45204</v>
      </c>
      <c r="B18282" t="s">
        <v>16657</v>
      </c>
      <c r="C18282">
        <v>0</v>
      </c>
      <c r="D18282" t="s">
        <v>106</v>
      </c>
      <c r="E18282">
        <v>24</v>
      </c>
    </row>
    <row r="18283" spans="1:5">
      <c r="A18283" t="s">
        <v>45205</v>
      </c>
      <c r="B18283" t="s">
        <v>45206</v>
      </c>
      <c r="C18283">
        <f>0</f>
        <v>0</v>
      </c>
      <c r="D18283">
        <v>0.887882301772</v>
      </c>
      <c r="E18283">
        <v>5.9340000000000002</v>
      </c>
    </row>
    <row r="18284" spans="1:5">
      <c r="A18284" t="s">
        <v>45205</v>
      </c>
      <c r="B18284" t="s">
        <v>45207</v>
      </c>
      <c r="C18284">
        <v>0.785472301772</v>
      </c>
      <c r="D18284">
        <v>0.887882301772</v>
      </c>
      <c r="E18284">
        <v>5.9340000000000002</v>
      </c>
    </row>
    <row r="18285" spans="1:5">
      <c r="A18285" t="s">
        <v>45208</v>
      </c>
      <c r="B18285" t="s">
        <v>22925</v>
      </c>
      <c r="C18285">
        <f>0</f>
        <v>0</v>
      </c>
      <c r="D18285" t="s">
        <v>106</v>
      </c>
      <c r="E18285">
        <v>2.6339999999999999</v>
      </c>
    </row>
    <row r="18286" spans="1:5">
      <c r="A18286" t="s">
        <v>45208</v>
      </c>
      <c r="B18286" t="s">
        <v>22935</v>
      </c>
      <c r="C18286">
        <v>0</v>
      </c>
      <c r="D18286" t="s">
        <v>106</v>
      </c>
      <c r="E18286">
        <v>2.6339999999999999</v>
      </c>
    </row>
    <row r="18287" spans="1:5">
      <c r="A18287" t="s">
        <v>45208</v>
      </c>
      <c r="B18287" t="s">
        <v>22930</v>
      </c>
      <c r="C18287">
        <v>0</v>
      </c>
      <c r="D18287" t="s">
        <v>106</v>
      </c>
      <c r="E18287">
        <v>2.6339999999999999</v>
      </c>
    </row>
    <row r="18288" spans="1:5">
      <c r="A18288" t="s">
        <v>45208</v>
      </c>
      <c r="B18288" t="s">
        <v>22926</v>
      </c>
      <c r="C18288">
        <v>0</v>
      </c>
      <c r="D18288" t="s">
        <v>106</v>
      </c>
      <c r="E18288">
        <v>2.6339999999999999</v>
      </c>
    </row>
    <row r="18289" spans="1:5">
      <c r="A18289" t="s">
        <v>45208</v>
      </c>
      <c r="B18289" t="s">
        <v>22932</v>
      </c>
      <c r="C18289">
        <v>0</v>
      </c>
      <c r="D18289" t="s">
        <v>106</v>
      </c>
      <c r="E18289">
        <v>2.6339999999999999</v>
      </c>
    </row>
    <row r="18290" spans="1:5">
      <c r="A18290" t="s">
        <v>45209</v>
      </c>
      <c r="B18290" t="s">
        <v>3684</v>
      </c>
      <c r="C18290">
        <v>0.225670988879</v>
      </c>
      <c r="D18290">
        <v>0.63528098887899997</v>
      </c>
      <c r="E18290">
        <v>0.114</v>
      </c>
    </row>
    <row r="18291" spans="1:5">
      <c r="A18291" t="s">
        <v>45209</v>
      </c>
      <c r="B18291" t="s">
        <v>3686</v>
      </c>
      <c r="C18291">
        <v>0</v>
      </c>
      <c r="D18291">
        <v>0.63528098887899997</v>
      </c>
      <c r="E18291">
        <v>0.114</v>
      </c>
    </row>
    <row r="18292" spans="1:5">
      <c r="A18292" t="s">
        <v>45209</v>
      </c>
      <c r="B18292" t="s">
        <v>3685</v>
      </c>
      <c r="C18292">
        <v>0</v>
      </c>
      <c r="D18292">
        <v>0.63528098887899997</v>
      </c>
      <c r="E18292">
        <v>0.114</v>
      </c>
    </row>
    <row r="18293" spans="1:5">
      <c r="A18293" t="s">
        <v>45210</v>
      </c>
      <c r="B18293" t="s">
        <v>1778</v>
      </c>
      <c r="C18293">
        <v>0.47194292458100001</v>
      </c>
      <c r="D18293">
        <v>0.63195292458100005</v>
      </c>
      <c r="E18293">
        <v>4.0739999999999998</v>
      </c>
    </row>
    <row r="18294" spans="1:5">
      <c r="A18294" t="s">
        <v>45210</v>
      </c>
      <c r="B18294" t="s">
        <v>1785</v>
      </c>
      <c r="C18294">
        <v>0</v>
      </c>
      <c r="D18294">
        <v>0.63195292458100005</v>
      </c>
      <c r="E18294">
        <v>4.0739999999999998</v>
      </c>
    </row>
    <row r="18295" spans="1:5">
      <c r="A18295" t="s">
        <v>45210</v>
      </c>
      <c r="B18295" t="s">
        <v>1782</v>
      </c>
      <c r="C18295">
        <f>0</f>
        <v>0</v>
      </c>
      <c r="D18295">
        <v>0.63195292458100005</v>
      </c>
      <c r="E18295">
        <v>4.0739999999999998</v>
      </c>
    </row>
    <row r="18296" spans="1:5">
      <c r="A18296" t="s">
        <v>45210</v>
      </c>
      <c r="B18296" t="s">
        <v>1775</v>
      </c>
      <c r="C18296">
        <f>0</f>
        <v>0</v>
      </c>
      <c r="D18296">
        <v>0.63195292458100005</v>
      </c>
      <c r="E18296">
        <v>4.0739999999999998</v>
      </c>
    </row>
    <row r="18297" spans="1:5">
      <c r="A18297" t="s">
        <v>45210</v>
      </c>
      <c r="B18297" t="s">
        <v>1776</v>
      </c>
      <c r="C18297">
        <v>0</v>
      </c>
      <c r="D18297">
        <v>0.63195292458100005</v>
      </c>
      <c r="E18297">
        <v>4.0739999999999998</v>
      </c>
    </row>
    <row r="18298" spans="1:5">
      <c r="A18298" t="s">
        <v>45210</v>
      </c>
      <c r="B18298" t="s">
        <v>1784</v>
      </c>
      <c r="C18298">
        <f>0</f>
        <v>0</v>
      </c>
      <c r="D18298">
        <v>0.63195292458100005</v>
      </c>
      <c r="E18298">
        <v>4.0739999999999998</v>
      </c>
    </row>
    <row r="18299" spans="1:5">
      <c r="A18299" t="s">
        <v>45210</v>
      </c>
      <c r="B18299" t="s">
        <v>1780</v>
      </c>
      <c r="C18299">
        <v>0</v>
      </c>
      <c r="D18299">
        <v>0.63195292458100005</v>
      </c>
      <c r="E18299">
        <v>4.0739999999999998</v>
      </c>
    </row>
    <row r="18300" spans="1:5">
      <c r="A18300" t="s">
        <v>45210</v>
      </c>
      <c r="B18300" t="s">
        <v>1779</v>
      </c>
      <c r="C18300">
        <v>0</v>
      </c>
      <c r="D18300">
        <v>0.63195292458100005</v>
      </c>
      <c r="E18300">
        <v>4.0739999999999998</v>
      </c>
    </row>
    <row r="18301" spans="1:5">
      <c r="A18301" t="s">
        <v>45211</v>
      </c>
      <c r="B18301" t="s">
        <v>14359</v>
      </c>
      <c r="C18301">
        <v>0.15404025962199999</v>
      </c>
      <c r="D18301">
        <v>0.95275774638499999</v>
      </c>
      <c r="E18301">
        <v>2.0339999999999998</v>
      </c>
    </row>
    <row r="18302" spans="1:5">
      <c r="A18302" t="s">
        <v>45211</v>
      </c>
      <c r="B18302" t="s">
        <v>14361</v>
      </c>
      <c r="C18302">
        <v>0</v>
      </c>
      <c r="D18302">
        <v>0.95275774638499999</v>
      </c>
      <c r="E18302">
        <v>2.0339999999999998</v>
      </c>
    </row>
    <row r="18303" spans="1:5">
      <c r="A18303" t="s">
        <v>45211</v>
      </c>
      <c r="B18303" t="s">
        <v>14363</v>
      </c>
      <c r="C18303">
        <v>0</v>
      </c>
      <c r="D18303">
        <v>0.95275774638499999</v>
      </c>
      <c r="E18303">
        <v>2.0339999999999998</v>
      </c>
    </row>
    <row r="18304" spans="1:5">
      <c r="A18304" t="s">
        <v>45211</v>
      </c>
      <c r="B18304" t="s">
        <v>14360</v>
      </c>
      <c r="C18304">
        <v>0.49163885115799999</v>
      </c>
      <c r="D18304">
        <v>0.95275774638499999</v>
      </c>
      <c r="E18304">
        <v>2.0339999999999998</v>
      </c>
    </row>
    <row r="18305" spans="1:5">
      <c r="A18305" t="s">
        <v>45211</v>
      </c>
      <c r="B18305" t="s">
        <v>14362</v>
      </c>
      <c r="C18305">
        <f>0</f>
        <v>0</v>
      </c>
      <c r="D18305">
        <v>0.95275774638499999</v>
      </c>
      <c r="E18305">
        <v>2.0339999999999998</v>
      </c>
    </row>
    <row r="18306" spans="1:5">
      <c r="A18306" t="s">
        <v>45212</v>
      </c>
      <c r="B18306" t="s">
        <v>23991</v>
      </c>
      <c r="C18306">
        <v>0.19221754179100001</v>
      </c>
      <c r="D18306">
        <v>0.74916416992299995</v>
      </c>
      <c r="E18306">
        <v>9.9239999999999995</v>
      </c>
    </row>
    <row r="18307" spans="1:5">
      <c r="A18307" t="s">
        <v>45212</v>
      </c>
      <c r="B18307" t="s">
        <v>23987</v>
      </c>
      <c r="C18307">
        <v>0</v>
      </c>
      <c r="D18307">
        <v>0.74916416992299995</v>
      </c>
      <c r="E18307">
        <v>9.9239999999999995</v>
      </c>
    </row>
    <row r="18308" spans="1:5">
      <c r="A18308" t="s">
        <v>45212</v>
      </c>
      <c r="B18308" t="s">
        <v>23988</v>
      </c>
      <c r="C18308">
        <v>0.46246030191699999</v>
      </c>
      <c r="D18308">
        <v>0.74916416992299995</v>
      </c>
      <c r="E18308">
        <v>9.9239999999999995</v>
      </c>
    </row>
    <row r="18309" spans="1:5">
      <c r="A18309" t="s">
        <v>45213</v>
      </c>
      <c r="B18309" t="s">
        <v>45214</v>
      </c>
      <c r="C18309">
        <v>0</v>
      </c>
      <c r="D18309" t="s">
        <v>106</v>
      </c>
      <c r="E18309">
        <v>3.8759999999999999</v>
      </c>
    </row>
    <row r="18310" spans="1:5">
      <c r="A18310" t="s">
        <v>45213</v>
      </c>
      <c r="B18310" t="s">
        <v>45215</v>
      </c>
      <c r="C18310">
        <v>0</v>
      </c>
      <c r="D18310" t="s">
        <v>106</v>
      </c>
      <c r="E18310">
        <v>3.8759999999999999</v>
      </c>
    </row>
    <row r="18311" spans="1:5">
      <c r="A18311" t="s">
        <v>45213</v>
      </c>
      <c r="B18311" t="s">
        <v>45216</v>
      </c>
      <c r="C18311">
        <v>0</v>
      </c>
      <c r="D18311" t="s">
        <v>106</v>
      </c>
      <c r="E18311">
        <v>3.8759999999999999</v>
      </c>
    </row>
    <row r="18312" spans="1:5">
      <c r="A18312" t="s">
        <v>45213</v>
      </c>
      <c r="B18312" t="s">
        <v>45217</v>
      </c>
      <c r="C18312">
        <v>0</v>
      </c>
      <c r="D18312" t="s">
        <v>106</v>
      </c>
      <c r="E18312">
        <v>3.8759999999999999</v>
      </c>
    </row>
    <row r="18313" spans="1:5">
      <c r="A18313" t="s">
        <v>45218</v>
      </c>
      <c r="B18313" t="s">
        <v>33197</v>
      </c>
      <c r="C18313">
        <f>0.405745281382</f>
        <v>0.405745281382</v>
      </c>
      <c r="D18313">
        <v>0.84175693013800001</v>
      </c>
      <c r="E18313">
        <v>10.715999999999999</v>
      </c>
    </row>
    <row r="18314" spans="1:5">
      <c r="A18314" t="s">
        <v>45218</v>
      </c>
      <c r="B18314" t="s">
        <v>33198</v>
      </c>
      <c r="C18314">
        <v>0.87300863173200005</v>
      </c>
      <c r="D18314">
        <v>0.84175693013800001</v>
      </c>
      <c r="E18314">
        <v>10.715999999999999</v>
      </c>
    </row>
    <row r="18315" spans="1:5">
      <c r="A18315" t="s">
        <v>45219</v>
      </c>
      <c r="B18315" t="s">
        <v>24476</v>
      </c>
      <c r="C18315">
        <f>0</f>
        <v>0</v>
      </c>
      <c r="D18315">
        <v>0.95480644003299997</v>
      </c>
      <c r="E18315">
        <v>2.6339999999999999</v>
      </c>
    </row>
    <row r="18316" spans="1:5">
      <c r="A18316" t="s">
        <v>45219</v>
      </c>
      <c r="B18316" t="s">
        <v>24474</v>
      </c>
      <c r="C18316">
        <f>0.164901099152</f>
        <v>0.16490109915199999</v>
      </c>
      <c r="D18316">
        <v>0.95480644003299997</v>
      </c>
      <c r="E18316">
        <v>2.6339999999999999</v>
      </c>
    </row>
    <row r="18317" spans="1:5">
      <c r="A18317" t="s">
        <v>45219</v>
      </c>
      <c r="B18317" t="s">
        <v>24470</v>
      </c>
      <c r="C18317">
        <v>6.00786585501E-2</v>
      </c>
      <c r="D18317">
        <v>0.95480644003299997</v>
      </c>
      <c r="E18317">
        <v>2.6339999999999999</v>
      </c>
    </row>
    <row r="18318" spans="1:5">
      <c r="A18318" t="s">
        <v>45219</v>
      </c>
      <c r="B18318" t="s">
        <v>24473</v>
      </c>
      <c r="C18318">
        <v>0.57829248658999999</v>
      </c>
      <c r="D18318">
        <v>0.95480644003299997</v>
      </c>
      <c r="E18318">
        <v>2.6339999999999999</v>
      </c>
    </row>
    <row r="18319" spans="1:5">
      <c r="A18319" t="s">
        <v>45219</v>
      </c>
      <c r="B18319" t="s">
        <v>24472</v>
      </c>
      <c r="C18319">
        <v>0.43190567140800001</v>
      </c>
      <c r="D18319">
        <v>0.95480644003299997</v>
      </c>
      <c r="E18319">
        <v>2.6339999999999999</v>
      </c>
    </row>
    <row r="18320" spans="1:5">
      <c r="A18320" t="s">
        <v>45219</v>
      </c>
      <c r="B18320" t="s">
        <v>24471</v>
      </c>
      <c r="C18320">
        <v>0</v>
      </c>
      <c r="D18320">
        <v>0.95480644003299997</v>
      </c>
      <c r="E18320">
        <v>2.6339999999999999</v>
      </c>
    </row>
    <row r="18321" spans="1:5">
      <c r="A18321" t="s">
        <v>45220</v>
      </c>
      <c r="B18321" t="s">
        <v>3462</v>
      </c>
      <c r="C18321">
        <v>0</v>
      </c>
      <c r="D18321" t="s">
        <v>106</v>
      </c>
      <c r="E18321">
        <v>12.048</v>
      </c>
    </row>
    <row r="18322" spans="1:5">
      <c r="A18322" t="s">
        <v>45220</v>
      </c>
      <c r="B18322" t="s">
        <v>3465</v>
      </c>
      <c r="C18322">
        <f>0</f>
        <v>0</v>
      </c>
      <c r="D18322" t="s">
        <v>106</v>
      </c>
      <c r="E18322">
        <v>12.048</v>
      </c>
    </row>
    <row r="18323" spans="1:5">
      <c r="A18323" t="s">
        <v>45220</v>
      </c>
      <c r="B18323" t="s">
        <v>3466</v>
      </c>
      <c r="C18323">
        <v>0</v>
      </c>
      <c r="D18323" t="s">
        <v>106</v>
      </c>
      <c r="E18323">
        <v>12.048</v>
      </c>
    </row>
    <row r="18324" spans="1:5">
      <c r="A18324" t="s">
        <v>45221</v>
      </c>
      <c r="B18324" t="s">
        <v>25857</v>
      </c>
      <c r="C18324">
        <v>0</v>
      </c>
      <c r="D18324">
        <v>0.82068156619499999</v>
      </c>
      <c r="E18324">
        <v>6.6779999999999999</v>
      </c>
    </row>
    <row r="18325" spans="1:5">
      <c r="A18325" t="s">
        <v>45221</v>
      </c>
      <c r="B18325" t="s">
        <v>25861</v>
      </c>
      <c r="C18325">
        <v>0</v>
      </c>
      <c r="D18325">
        <v>0.82068156619499999</v>
      </c>
      <c r="E18325">
        <v>6.6779999999999999</v>
      </c>
    </row>
    <row r="18326" spans="1:5">
      <c r="A18326" t="s">
        <v>45221</v>
      </c>
      <c r="B18326" t="s">
        <v>25865</v>
      </c>
      <c r="C18326">
        <v>0.48687263497599997</v>
      </c>
      <c r="D18326">
        <v>0.82068156619499999</v>
      </c>
      <c r="E18326">
        <v>6.6779999999999999</v>
      </c>
    </row>
    <row r="18327" spans="1:5">
      <c r="A18327" t="s">
        <v>45221</v>
      </c>
      <c r="B18327" t="s">
        <v>25864</v>
      </c>
      <c r="C18327">
        <v>7.5500980159500006E-2</v>
      </c>
      <c r="D18327">
        <v>0.82068156619499999</v>
      </c>
      <c r="E18327">
        <v>6.6779999999999999</v>
      </c>
    </row>
    <row r="18328" spans="1:5">
      <c r="A18328" t="s">
        <v>45221</v>
      </c>
      <c r="B18328" t="s">
        <v>25862</v>
      </c>
      <c r="C18328">
        <v>0</v>
      </c>
      <c r="D18328">
        <v>0.82068156619499999</v>
      </c>
      <c r="E18328">
        <v>6.6779999999999999</v>
      </c>
    </row>
    <row r="18329" spans="1:5">
      <c r="A18329" t="s">
        <v>45221</v>
      </c>
      <c r="B18329" t="s">
        <v>25863</v>
      </c>
      <c r="C18329">
        <f>0</f>
        <v>0</v>
      </c>
      <c r="D18329">
        <v>0.82068156619499999</v>
      </c>
      <c r="E18329">
        <v>6.6779999999999999</v>
      </c>
    </row>
    <row r="18330" spans="1:5">
      <c r="A18330" t="s">
        <v>45222</v>
      </c>
      <c r="B18330" t="s">
        <v>45223</v>
      </c>
      <c r="C18330">
        <v>0</v>
      </c>
      <c r="D18330">
        <v>0.802183981612</v>
      </c>
      <c r="E18330">
        <v>24</v>
      </c>
    </row>
    <row r="18331" spans="1:5">
      <c r="A18331" t="s">
        <v>45222</v>
      </c>
      <c r="B18331" t="s">
        <v>45224</v>
      </c>
      <c r="C18331">
        <v>0</v>
      </c>
      <c r="D18331">
        <v>0.802183981612</v>
      </c>
      <c r="E18331">
        <v>24</v>
      </c>
    </row>
    <row r="18332" spans="1:5">
      <c r="A18332" t="s">
        <v>45222</v>
      </c>
      <c r="B18332" t="s">
        <v>45225</v>
      </c>
      <c r="C18332">
        <f>0.308214072967</f>
        <v>0.30821407296699999</v>
      </c>
      <c r="D18332">
        <v>0.802183981612</v>
      </c>
      <c r="E18332">
        <v>24</v>
      </c>
    </row>
    <row r="18333" spans="1:5">
      <c r="A18333" t="s">
        <v>45222</v>
      </c>
      <c r="B18333" t="s">
        <v>45226</v>
      </c>
      <c r="C18333">
        <v>0.287107059138</v>
      </c>
      <c r="D18333">
        <v>0.802183981612</v>
      </c>
      <c r="E18333">
        <v>24</v>
      </c>
    </row>
    <row r="18334" spans="1:5">
      <c r="A18334" t="s">
        <v>45222</v>
      </c>
      <c r="B18334" t="s">
        <v>45227</v>
      </c>
      <c r="C18334">
        <v>0</v>
      </c>
      <c r="D18334">
        <v>0.802183981612</v>
      </c>
      <c r="E18334">
        <v>24</v>
      </c>
    </row>
    <row r="18335" spans="1:5">
      <c r="A18335" t="s">
        <v>45222</v>
      </c>
      <c r="B18335" t="s">
        <v>45228</v>
      </c>
      <c r="C18335">
        <f>0</f>
        <v>0</v>
      </c>
      <c r="D18335">
        <v>0.802183981612</v>
      </c>
      <c r="E18335">
        <v>24</v>
      </c>
    </row>
    <row r="18336" spans="1:5">
      <c r="A18336" t="s">
        <v>45222</v>
      </c>
      <c r="B18336" t="s">
        <v>45229</v>
      </c>
      <c r="C18336">
        <f>0.108072085425</f>
        <v>0.10807208542500001</v>
      </c>
      <c r="D18336">
        <v>0.802183981612</v>
      </c>
      <c r="E18336">
        <v>24</v>
      </c>
    </row>
    <row r="18337" spans="1:5">
      <c r="A18337" t="s">
        <v>45222</v>
      </c>
      <c r="B18337" t="s">
        <v>45230</v>
      </c>
      <c r="C18337">
        <v>0</v>
      </c>
      <c r="D18337">
        <v>0.802183981612</v>
      </c>
      <c r="E18337">
        <v>24</v>
      </c>
    </row>
    <row r="18338" spans="1:5">
      <c r="A18338" t="s">
        <v>45231</v>
      </c>
      <c r="B18338" t="s">
        <v>9501</v>
      </c>
      <c r="C18338">
        <v>0</v>
      </c>
      <c r="D18338" t="s">
        <v>106</v>
      </c>
      <c r="E18338">
        <v>11.874000000000001</v>
      </c>
    </row>
    <row r="18339" spans="1:5">
      <c r="A18339" t="s">
        <v>45231</v>
      </c>
      <c r="B18339" t="s">
        <v>9498</v>
      </c>
      <c r="C18339">
        <v>0</v>
      </c>
      <c r="D18339" t="s">
        <v>106</v>
      </c>
      <c r="E18339">
        <v>11.874000000000001</v>
      </c>
    </row>
    <row r="18340" spans="1:5">
      <c r="A18340" t="s">
        <v>45232</v>
      </c>
      <c r="B18340" t="s">
        <v>10269</v>
      </c>
      <c r="C18340">
        <f>0.53396085724</f>
        <v>0.53396085723999998</v>
      </c>
      <c r="D18340">
        <v>0.99998514885400003</v>
      </c>
      <c r="E18340">
        <v>3.3180000000000001</v>
      </c>
    </row>
    <row r="18341" spans="1:5">
      <c r="A18341" t="s">
        <v>45232</v>
      </c>
      <c r="B18341" t="s">
        <v>10274</v>
      </c>
      <c r="C18341">
        <v>0.42336241462500002</v>
      </c>
      <c r="D18341">
        <v>0.99998514885400003</v>
      </c>
      <c r="E18341">
        <v>3.3180000000000001</v>
      </c>
    </row>
    <row r="18342" spans="1:5">
      <c r="A18342" t="s">
        <v>45232</v>
      </c>
      <c r="B18342" t="s">
        <v>10276</v>
      </c>
      <c r="C18342">
        <v>0.40709594075099997</v>
      </c>
      <c r="D18342">
        <v>0.99998514885400003</v>
      </c>
      <c r="E18342">
        <v>3.3180000000000001</v>
      </c>
    </row>
    <row r="18343" spans="1:5">
      <c r="A18343" t="s">
        <v>45232</v>
      </c>
      <c r="B18343" t="s">
        <v>10270</v>
      </c>
      <c r="C18343">
        <v>0.62276640524500004</v>
      </c>
      <c r="D18343">
        <v>0.99998514885400003</v>
      </c>
      <c r="E18343">
        <v>3.3180000000000001</v>
      </c>
    </row>
    <row r="18344" spans="1:5">
      <c r="A18344" t="s">
        <v>45232</v>
      </c>
      <c r="B18344" t="s">
        <v>10272</v>
      </c>
      <c r="C18344">
        <v>0.46468172310400002</v>
      </c>
      <c r="D18344">
        <v>0.99998514885400003</v>
      </c>
      <c r="E18344">
        <v>3.3180000000000001</v>
      </c>
    </row>
    <row r="18345" spans="1:5">
      <c r="A18345" t="s">
        <v>45232</v>
      </c>
      <c r="B18345" t="s">
        <v>10271</v>
      </c>
      <c r="C18345">
        <v>0.48397616867799997</v>
      </c>
      <c r="D18345">
        <v>0.99998514885400003</v>
      </c>
      <c r="E18345">
        <v>3.3180000000000001</v>
      </c>
    </row>
    <row r="18346" spans="1:5">
      <c r="A18346" t="s">
        <v>45232</v>
      </c>
      <c r="B18346" t="s">
        <v>10275</v>
      </c>
      <c r="C18346">
        <f>0.030165769366</f>
        <v>3.0165769366E-2</v>
      </c>
      <c r="D18346">
        <v>0.99998514885400003</v>
      </c>
      <c r="E18346">
        <v>3.3180000000000001</v>
      </c>
    </row>
    <row r="18347" spans="1:5">
      <c r="A18347" t="s">
        <v>45233</v>
      </c>
      <c r="B18347" t="s">
        <v>45234</v>
      </c>
      <c r="C18347">
        <v>0</v>
      </c>
      <c r="D18347" t="s">
        <v>106</v>
      </c>
      <c r="E18347">
        <v>7.2</v>
      </c>
    </row>
    <row r="18348" spans="1:5">
      <c r="A18348" t="s">
        <v>45233</v>
      </c>
      <c r="B18348" t="s">
        <v>45235</v>
      </c>
      <c r="C18348">
        <v>0</v>
      </c>
      <c r="D18348" t="s">
        <v>106</v>
      </c>
      <c r="E18348">
        <v>7.2</v>
      </c>
    </row>
    <row r="18349" spans="1:5">
      <c r="A18349" t="s">
        <v>45236</v>
      </c>
      <c r="B18349" t="s">
        <v>22890</v>
      </c>
      <c r="C18349">
        <v>0</v>
      </c>
      <c r="D18349">
        <v>0.85922419650500004</v>
      </c>
      <c r="E18349">
        <v>20.07</v>
      </c>
    </row>
    <row r="18350" spans="1:5">
      <c r="A18350" t="s">
        <v>45236</v>
      </c>
      <c r="B18350" t="s">
        <v>22894</v>
      </c>
      <c r="C18350">
        <v>0</v>
      </c>
      <c r="D18350">
        <v>0.85922419650500004</v>
      </c>
      <c r="E18350">
        <v>20.07</v>
      </c>
    </row>
    <row r="18351" spans="1:5">
      <c r="A18351" t="s">
        <v>45236</v>
      </c>
      <c r="B18351" t="s">
        <v>22892</v>
      </c>
      <c r="C18351">
        <f>0</f>
        <v>0</v>
      </c>
      <c r="D18351">
        <v>0.85922419650500004</v>
      </c>
      <c r="E18351">
        <v>20.07</v>
      </c>
    </row>
    <row r="18352" spans="1:5">
      <c r="A18352" t="s">
        <v>45236</v>
      </c>
      <c r="B18352" t="s">
        <v>22893</v>
      </c>
      <c r="C18352">
        <v>0</v>
      </c>
      <c r="D18352">
        <v>0.85922419650500004</v>
      </c>
      <c r="E18352">
        <v>20.07</v>
      </c>
    </row>
    <row r="18353" spans="1:5">
      <c r="A18353" t="s">
        <v>45236</v>
      </c>
      <c r="B18353" t="s">
        <v>22900</v>
      </c>
      <c r="C18353">
        <f>0.628814196505</f>
        <v>0.62881419650500003</v>
      </c>
      <c r="D18353">
        <v>0.85922419650500004</v>
      </c>
      <c r="E18353">
        <v>20.07</v>
      </c>
    </row>
    <row r="18354" spans="1:5">
      <c r="A18354" t="s">
        <v>45237</v>
      </c>
      <c r="B18354" t="s">
        <v>28475</v>
      </c>
      <c r="C18354">
        <v>0</v>
      </c>
      <c r="D18354" t="s">
        <v>106</v>
      </c>
      <c r="E18354">
        <v>1.278</v>
      </c>
    </row>
    <row r="18355" spans="1:5">
      <c r="A18355" t="s">
        <v>45237</v>
      </c>
      <c r="B18355" t="s">
        <v>28474</v>
      </c>
      <c r="C18355">
        <v>0</v>
      </c>
      <c r="D18355" t="s">
        <v>106</v>
      </c>
      <c r="E18355">
        <v>1.278</v>
      </c>
    </row>
    <row r="18356" spans="1:5">
      <c r="A18356" t="s">
        <v>45237</v>
      </c>
      <c r="B18356" t="s">
        <v>28473</v>
      </c>
      <c r="C18356">
        <v>0</v>
      </c>
      <c r="D18356" t="s">
        <v>106</v>
      </c>
      <c r="E18356">
        <v>1.278</v>
      </c>
    </row>
    <row r="18357" spans="1:5">
      <c r="A18357" t="s">
        <v>45237</v>
      </c>
      <c r="B18357" t="s">
        <v>28472</v>
      </c>
      <c r="C18357">
        <v>0</v>
      </c>
      <c r="D18357" t="s">
        <v>106</v>
      </c>
      <c r="E18357">
        <v>1.278</v>
      </c>
    </row>
    <row r="18358" spans="1:5">
      <c r="A18358" t="s">
        <v>45238</v>
      </c>
      <c r="B18358" t="s">
        <v>45239</v>
      </c>
      <c r="C18358">
        <v>0</v>
      </c>
      <c r="D18358">
        <v>0.68575120276099999</v>
      </c>
      <c r="E18358">
        <v>24</v>
      </c>
    </row>
    <row r="18359" spans="1:5">
      <c r="A18359" t="s">
        <v>45238</v>
      </c>
      <c r="B18359" t="s">
        <v>45240</v>
      </c>
      <c r="C18359">
        <f>0.525741202761</f>
        <v>0.525741202761</v>
      </c>
      <c r="D18359">
        <v>0.68575120276099999</v>
      </c>
      <c r="E18359">
        <v>24</v>
      </c>
    </row>
    <row r="18360" spans="1:5">
      <c r="A18360" t="s">
        <v>45241</v>
      </c>
      <c r="B18360" t="s">
        <v>27699</v>
      </c>
      <c r="C18360">
        <f>0</f>
        <v>0</v>
      </c>
      <c r="D18360">
        <v>0.44550339115600002</v>
      </c>
      <c r="E18360">
        <v>24</v>
      </c>
    </row>
    <row r="18361" spans="1:5">
      <c r="A18361" t="s">
        <v>45241</v>
      </c>
      <c r="B18361" t="s">
        <v>27702</v>
      </c>
      <c r="C18361">
        <v>3.5893391155800002E-2</v>
      </c>
      <c r="D18361">
        <v>0.44550339115600002</v>
      </c>
      <c r="E18361">
        <v>24</v>
      </c>
    </row>
    <row r="18362" spans="1:5">
      <c r="A18362" t="s">
        <v>45242</v>
      </c>
      <c r="B18362" t="s">
        <v>10044</v>
      </c>
      <c r="C18362">
        <f>0</f>
        <v>0</v>
      </c>
      <c r="D18362" t="s">
        <v>106</v>
      </c>
      <c r="E18362">
        <v>0.192</v>
      </c>
    </row>
    <row r="18363" spans="1:5">
      <c r="A18363" t="s">
        <v>45242</v>
      </c>
      <c r="B18363" t="s">
        <v>10047</v>
      </c>
      <c r="C18363">
        <v>0</v>
      </c>
      <c r="D18363" t="s">
        <v>106</v>
      </c>
      <c r="E18363">
        <v>0.192</v>
      </c>
    </row>
    <row r="18364" spans="1:5">
      <c r="A18364" t="s">
        <v>45242</v>
      </c>
      <c r="B18364" t="s">
        <v>10045</v>
      </c>
      <c r="C18364">
        <v>0</v>
      </c>
      <c r="D18364" t="s">
        <v>106</v>
      </c>
      <c r="E18364">
        <v>0.192</v>
      </c>
    </row>
    <row r="18365" spans="1:5">
      <c r="A18365" t="s">
        <v>45242</v>
      </c>
      <c r="B18365" t="s">
        <v>10046</v>
      </c>
      <c r="C18365">
        <v>0</v>
      </c>
      <c r="D18365" t="s">
        <v>106</v>
      </c>
      <c r="E18365">
        <v>0.192</v>
      </c>
    </row>
    <row r="18366" spans="1:5">
      <c r="A18366" t="s">
        <v>45243</v>
      </c>
      <c r="B18366" t="s">
        <v>45244</v>
      </c>
      <c r="C18366">
        <v>0</v>
      </c>
      <c r="D18366">
        <v>0.93589584558100003</v>
      </c>
      <c r="E18366">
        <v>0</v>
      </c>
    </row>
    <row r="18367" spans="1:5">
      <c r="A18367" t="s">
        <v>45243</v>
      </c>
      <c r="B18367" t="s">
        <v>45245</v>
      </c>
      <c r="C18367">
        <f>0.871209802781</f>
        <v>0.87120980278100002</v>
      </c>
      <c r="D18367">
        <v>0.93589584558100003</v>
      </c>
      <c r="E18367">
        <v>0</v>
      </c>
    </row>
    <row r="18368" spans="1:5">
      <c r="A18368" t="s">
        <v>45243</v>
      </c>
      <c r="B18368" t="s">
        <v>45246</v>
      </c>
      <c r="C18368">
        <v>0.89410484739600005</v>
      </c>
      <c r="D18368">
        <v>0.93589584558100003</v>
      </c>
      <c r="E18368">
        <v>0</v>
      </c>
    </row>
    <row r="18369" spans="1:5">
      <c r="A18369" t="s">
        <v>45243</v>
      </c>
      <c r="B18369" t="s">
        <v>45247</v>
      </c>
      <c r="C18369">
        <v>0.455516024214</v>
      </c>
      <c r="D18369">
        <v>0.93589584558100003</v>
      </c>
      <c r="E18369">
        <v>0</v>
      </c>
    </row>
    <row r="18370" spans="1:5">
      <c r="A18370" t="s">
        <v>45243</v>
      </c>
      <c r="B18370" t="s">
        <v>45248</v>
      </c>
      <c r="C18370">
        <v>0</v>
      </c>
      <c r="D18370">
        <v>0.93589584558100003</v>
      </c>
      <c r="E18370">
        <v>0</v>
      </c>
    </row>
    <row r="18371" spans="1:5">
      <c r="A18371" t="s">
        <v>45243</v>
      </c>
      <c r="B18371" t="s">
        <v>45249</v>
      </c>
      <c r="C18371">
        <f>0</f>
        <v>0</v>
      </c>
      <c r="D18371">
        <v>0.93589584558100003</v>
      </c>
      <c r="E18371">
        <v>0</v>
      </c>
    </row>
    <row r="18372" spans="1:5">
      <c r="A18372" t="s">
        <v>45250</v>
      </c>
      <c r="B18372" t="s">
        <v>18622</v>
      </c>
      <c r="C18372">
        <v>0</v>
      </c>
      <c r="D18372">
        <v>0.942272833827</v>
      </c>
      <c r="E18372">
        <v>3.78</v>
      </c>
    </row>
    <row r="18373" spans="1:5">
      <c r="A18373" t="s">
        <v>45250</v>
      </c>
      <c r="B18373" t="s">
        <v>18623</v>
      </c>
      <c r="C18373">
        <v>0.29234554240499999</v>
      </c>
      <c r="D18373">
        <v>0.942272833827</v>
      </c>
      <c r="E18373">
        <v>3.78</v>
      </c>
    </row>
    <row r="18374" spans="1:5">
      <c r="A18374" t="s">
        <v>45250</v>
      </c>
      <c r="B18374" t="s">
        <v>18626</v>
      </c>
      <c r="C18374">
        <f>0</f>
        <v>0</v>
      </c>
      <c r="D18374">
        <v>0.942272833827</v>
      </c>
      <c r="E18374">
        <v>3.78</v>
      </c>
    </row>
    <row r="18375" spans="1:5">
      <c r="A18375" t="s">
        <v>45250</v>
      </c>
      <c r="B18375" t="s">
        <v>18631</v>
      </c>
      <c r="C18375">
        <v>0.17586470729799999</v>
      </c>
      <c r="D18375">
        <v>0.942272833827</v>
      </c>
      <c r="E18375">
        <v>3.78</v>
      </c>
    </row>
    <row r="18376" spans="1:5">
      <c r="A18376" t="s">
        <v>45250</v>
      </c>
      <c r="B18376" t="s">
        <v>18624</v>
      </c>
      <c r="C18376">
        <v>0.440459084138</v>
      </c>
      <c r="D18376">
        <v>0.942272833827</v>
      </c>
      <c r="E18376">
        <v>3.78</v>
      </c>
    </row>
    <row r="18377" spans="1:5">
      <c r="A18377" t="s">
        <v>45250</v>
      </c>
      <c r="B18377" t="s">
        <v>18633</v>
      </c>
      <c r="C18377">
        <v>0.246530925565</v>
      </c>
      <c r="D18377">
        <v>0.942272833827</v>
      </c>
      <c r="E18377">
        <v>3.78</v>
      </c>
    </row>
    <row r="18378" spans="1:5">
      <c r="A18378" t="s">
        <v>45250</v>
      </c>
      <c r="B18378" t="s">
        <v>18625</v>
      </c>
      <c r="C18378">
        <v>0</v>
      </c>
      <c r="D18378">
        <v>0.942272833827</v>
      </c>
      <c r="E18378">
        <v>3.78</v>
      </c>
    </row>
    <row r="18379" spans="1:5">
      <c r="A18379" t="s">
        <v>45250</v>
      </c>
      <c r="B18379" t="s">
        <v>18636</v>
      </c>
      <c r="C18379">
        <v>0</v>
      </c>
      <c r="D18379">
        <v>0.942272833827</v>
      </c>
      <c r="E18379">
        <v>3.78</v>
      </c>
    </row>
    <row r="18380" spans="1:5">
      <c r="A18380" t="s">
        <v>45250</v>
      </c>
      <c r="B18380" t="s">
        <v>18630</v>
      </c>
      <c r="C18380">
        <v>0</v>
      </c>
      <c r="D18380">
        <v>0.942272833827</v>
      </c>
      <c r="E18380">
        <v>3.78</v>
      </c>
    </row>
    <row r="18381" spans="1:5">
      <c r="A18381" t="s">
        <v>45251</v>
      </c>
      <c r="B18381" t="s">
        <v>45252</v>
      </c>
      <c r="C18381">
        <f>0</f>
        <v>0</v>
      </c>
      <c r="D18381">
        <v>0.67214126060000001</v>
      </c>
      <c r="E18381">
        <v>2.4780000000000002</v>
      </c>
    </row>
    <row r="18382" spans="1:5">
      <c r="A18382" t="s">
        <v>45251</v>
      </c>
      <c r="B18382" t="s">
        <v>45253</v>
      </c>
      <c r="C18382">
        <v>0</v>
      </c>
      <c r="D18382">
        <v>0.67214126060000001</v>
      </c>
      <c r="E18382">
        <v>2.4780000000000002</v>
      </c>
    </row>
    <row r="18383" spans="1:5">
      <c r="A18383" t="s">
        <v>45251</v>
      </c>
      <c r="B18383" t="s">
        <v>45254</v>
      </c>
      <c r="C18383">
        <v>0</v>
      </c>
      <c r="D18383">
        <v>0.67214126060000001</v>
      </c>
      <c r="E18383">
        <v>2.4780000000000002</v>
      </c>
    </row>
    <row r="18384" spans="1:5">
      <c r="A18384" t="s">
        <v>45251</v>
      </c>
      <c r="B18384" t="s">
        <v>45255</v>
      </c>
      <c r="C18384">
        <v>0</v>
      </c>
      <c r="D18384">
        <v>0.67214126060000001</v>
      </c>
      <c r="E18384">
        <v>2.4780000000000002</v>
      </c>
    </row>
    <row r="18385" spans="1:5">
      <c r="A18385" t="s">
        <v>45251</v>
      </c>
      <c r="B18385" t="s">
        <v>45256</v>
      </c>
      <c r="C18385">
        <v>0.14079426025899999</v>
      </c>
      <c r="D18385">
        <v>0.67214126060000001</v>
      </c>
      <c r="E18385">
        <v>2.4780000000000002</v>
      </c>
    </row>
    <row r="18386" spans="1:5">
      <c r="A18386" t="s">
        <v>45251</v>
      </c>
      <c r="B18386" t="s">
        <v>45257</v>
      </c>
      <c r="C18386">
        <v>0</v>
      </c>
      <c r="D18386">
        <v>0.67214126060000001</v>
      </c>
      <c r="E18386">
        <v>2.4780000000000002</v>
      </c>
    </row>
    <row r="18387" spans="1:5">
      <c r="A18387" t="s">
        <v>45251</v>
      </c>
      <c r="B18387" t="s">
        <v>45258</v>
      </c>
      <c r="C18387">
        <v>0.32958386202700002</v>
      </c>
      <c r="D18387">
        <v>0.67214126060000001</v>
      </c>
      <c r="E18387">
        <v>2.4780000000000002</v>
      </c>
    </row>
    <row r="18388" spans="1:5">
      <c r="A18388" t="s">
        <v>45259</v>
      </c>
      <c r="B18388" t="s">
        <v>19754</v>
      </c>
      <c r="C18388">
        <f>0</f>
        <v>0</v>
      </c>
      <c r="D18388">
        <v>0.57325691247699995</v>
      </c>
      <c r="E18388">
        <v>23.754000000000001</v>
      </c>
    </row>
    <row r="18389" spans="1:5">
      <c r="A18389" t="s">
        <v>45259</v>
      </c>
      <c r="B18389" t="s">
        <v>19745</v>
      </c>
      <c r="C18389">
        <f>0.163646912477</f>
        <v>0.163646912477</v>
      </c>
      <c r="D18389">
        <v>0.57325691247699995</v>
      </c>
      <c r="E18389">
        <v>23.754000000000001</v>
      </c>
    </row>
    <row r="18390" spans="1:5">
      <c r="A18390" t="s">
        <v>45259</v>
      </c>
      <c r="B18390" t="s">
        <v>19758</v>
      </c>
      <c r="C18390">
        <v>0</v>
      </c>
      <c r="D18390">
        <v>0.57325691247699995</v>
      </c>
      <c r="E18390">
        <v>23.754000000000001</v>
      </c>
    </row>
    <row r="18391" spans="1:5">
      <c r="A18391" t="s">
        <v>45260</v>
      </c>
      <c r="B18391" t="s">
        <v>45261</v>
      </c>
      <c r="C18391">
        <v>0.33188760663</v>
      </c>
      <c r="D18391">
        <v>0.60749419653000003</v>
      </c>
      <c r="E18391">
        <v>5.9340000000000002</v>
      </c>
    </row>
    <row r="18392" spans="1:5">
      <c r="A18392" t="s">
        <v>45260</v>
      </c>
      <c r="B18392" t="s">
        <v>45262</v>
      </c>
      <c r="C18392">
        <v>0.31734325735000002</v>
      </c>
      <c r="D18392">
        <v>0.60749419653000003</v>
      </c>
      <c r="E18392">
        <v>5.9340000000000002</v>
      </c>
    </row>
    <row r="18393" spans="1:5">
      <c r="A18393" t="s">
        <v>45263</v>
      </c>
      <c r="B18393" t="s">
        <v>45264</v>
      </c>
      <c r="C18393">
        <v>0.119466630177</v>
      </c>
      <c r="D18393">
        <v>0.92238469527800004</v>
      </c>
      <c r="E18393">
        <v>4.5839999999999996</v>
      </c>
    </row>
    <row r="18394" spans="1:5">
      <c r="A18394" t="s">
        <v>45263</v>
      </c>
      <c r="B18394" t="s">
        <v>45265</v>
      </c>
      <c r="C18394">
        <f>0</f>
        <v>0</v>
      </c>
      <c r="D18394">
        <v>0.92238469527800004</v>
      </c>
      <c r="E18394">
        <v>4.5839999999999996</v>
      </c>
    </row>
    <row r="18395" spans="1:5">
      <c r="A18395" t="s">
        <v>45263</v>
      </c>
      <c r="B18395" t="s">
        <v>45266</v>
      </c>
      <c r="C18395">
        <v>0.43575692111600001</v>
      </c>
      <c r="D18395">
        <v>0.92238469527800004</v>
      </c>
      <c r="E18395">
        <v>4.5839999999999996</v>
      </c>
    </row>
    <row r="18396" spans="1:5">
      <c r="A18396" t="s">
        <v>45263</v>
      </c>
      <c r="B18396" t="s">
        <v>45267</v>
      </c>
      <c r="C18396">
        <v>0</v>
      </c>
      <c r="D18396">
        <v>0.92238469527800004</v>
      </c>
      <c r="E18396">
        <v>4.5839999999999996</v>
      </c>
    </row>
    <row r="18397" spans="1:5">
      <c r="A18397" t="s">
        <v>45263</v>
      </c>
      <c r="B18397" t="s">
        <v>45268</v>
      </c>
      <c r="C18397">
        <f>0.778547323049</f>
        <v>0.77854732304899998</v>
      </c>
      <c r="D18397">
        <v>0.92238469527800004</v>
      </c>
      <c r="E18397">
        <v>4.5839999999999996</v>
      </c>
    </row>
    <row r="18398" spans="1:5">
      <c r="A18398" t="s">
        <v>45269</v>
      </c>
      <c r="B18398" t="s">
        <v>45270</v>
      </c>
      <c r="C18398">
        <v>0</v>
      </c>
      <c r="D18398">
        <v>0.948585726051</v>
      </c>
      <c r="E18398">
        <v>3.4980000000000002</v>
      </c>
    </row>
    <row r="18399" spans="1:5">
      <c r="A18399" t="s">
        <v>45269</v>
      </c>
      <c r="B18399" t="s">
        <v>45271</v>
      </c>
      <c r="C18399">
        <v>0</v>
      </c>
      <c r="D18399">
        <v>0.948585726051</v>
      </c>
      <c r="E18399">
        <v>3.4980000000000002</v>
      </c>
    </row>
    <row r="18400" spans="1:5">
      <c r="A18400" t="s">
        <v>45269</v>
      </c>
      <c r="B18400" t="s">
        <v>45272</v>
      </c>
      <c r="C18400">
        <v>0</v>
      </c>
      <c r="D18400">
        <v>0.948585726051</v>
      </c>
      <c r="E18400">
        <v>3.4980000000000002</v>
      </c>
    </row>
    <row r="18401" spans="1:5">
      <c r="A18401" t="s">
        <v>45269</v>
      </c>
      <c r="B18401" t="s">
        <v>45273</v>
      </c>
      <c r="C18401">
        <f>0.594336043858</f>
        <v>0.59433604385799998</v>
      </c>
      <c r="D18401">
        <v>0.948585726051</v>
      </c>
      <c r="E18401">
        <v>3.4980000000000002</v>
      </c>
    </row>
    <row r="18402" spans="1:5">
      <c r="A18402" t="s">
        <v>45269</v>
      </c>
      <c r="B18402" t="s">
        <v>45274</v>
      </c>
      <c r="C18402">
        <v>0</v>
      </c>
      <c r="D18402">
        <v>0.948585726051</v>
      </c>
      <c r="E18402">
        <v>3.4980000000000002</v>
      </c>
    </row>
    <row r="18403" spans="1:5">
      <c r="A18403" t="s">
        <v>45269</v>
      </c>
      <c r="B18403" t="s">
        <v>45275</v>
      </c>
      <c r="C18403">
        <v>0</v>
      </c>
      <c r="D18403">
        <v>0.948585726051</v>
      </c>
      <c r="E18403">
        <v>3.4980000000000002</v>
      </c>
    </row>
    <row r="18404" spans="1:5">
      <c r="A18404" t="s">
        <v>45269</v>
      </c>
      <c r="B18404" t="s">
        <v>45276</v>
      </c>
      <c r="C18404">
        <v>0.55270393526700001</v>
      </c>
      <c r="D18404">
        <v>0.948585726051</v>
      </c>
      <c r="E18404">
        <v>3.4980000000000002</v>
      </c>
    </row>
    <row r="18405" spans="1:5">
      <c r="A18405" t="s">
        <v>45277</v>
      </c>
      <c r="B18405" t="s">
        <v>10908</v>
      </c>
      <c r="C18405">
        <v>0</v>
      </c>
      <c r="D18405">
        <v>0.94913094275999998</v>
      </c>
      <c r="E18405">
        <v>0.24</v>
      </c>
    </row>
    <row r="18406" spans="1:5">
      <c r="A18406" t="s">
        <v>45277</v>
      </c>
      <c r="B18406" t="s">
        <v>10906</v>
      </c>
      <c r="C18406">
        <v>0.43802218136799997</v>
      </c>
      <c r="D18406">
        <v>0.94913094275999998</v>
      </c>
      <c r="E18406">
        <v>0.24</v>
      </c>
    </row>
    <row r="18407" spans="1:5">
      <c r="A18407" t="s">
        <v>45277</v>
      </c>
      <c r="B18407" t="s">
        <v>45278</v>
      </c>
      <c r="C18407">
        <f>0.407758985811</f>
        <v>0.40775898581100001</v>
      </c>
      <c r="D18407">
        <v>0.94913094275999998</v>
      </c>
      <c r="E18407">
        <v>0.24</v>
      </c>
    </row>
    <row r="18408" spans="1:5">
      <c r="A18408" t="s">
        <v>45277</v>
      </c>
      <c r="B18408" t="s">
        <v>10910</v>
      </c>
      <c r="C18408">
        <v>0.197521401826</v>
      </c>
      <c r="D18408">
        <v>0.94913094275999998</v>
      </c>
      <c r="E18408">
        <v>0.24</v>
      </c>
    </row>
    <row r="18409" spans="1:5">
      <c r="A18409" t="s">
        <v>45277</v>
      </c>
      <c r="B18409" t="s">
        <v>10911</v>
      </c>
      <c r="C18409">
        <f>0.182134050546</f>
        <v>0.18213405054599999</v>
      </c>
      <c r="D18409">
        <v>0.94913094275999998</v>
      </c>
      <c r="E18409">
        <v>0.24</v>
      </c>
    </row>
    <row r="18410" spans="1:5">
      <c r="A18410" t="s">
        <v>45277</v>
      </c>
      <c r="B18410" t="s">
        <v>10909</v>
      </c>
      <c r="C18410">
        <v>0</v>
      </c>
      <c r="D18410">
        <v>0.94913094275999998</v>
      </c>
      <c r="E18410">
        <v>0.24</v>
      </c>
    </row>
    <row r="18411" spans="1:5">
      <c r="A18411" t="s">
        <v>45279</v>
      </c>
      <c r="B18411" t="s">
        <v>45280</v>
      </c>
      <c r="C18411">
        <v>0.75132169058099996</v>
      </c>
      <c r="D18411">
        <v>0.93667823837899999</v>
      </c>
      <c r="E18411">
        <v>5.1239999999999997</v>
      </c>
    </row>
    <row r="18412" spans="1:5">
      <c r="A18412" t="s">
        <v>45279</v>
      </c>
      <c r="B18412" t="s">
        <v>45281</v>
      </c>
      <c r="C18412">
        <f>0.55373233403</f>
        <v>0.55373233403</v>
      </c>
      <c r="D18412">
        <v>0.93667823837899999</v>
      </c>
      <c r="E18412">
        <v>5.1239999999999997</v>
      </c>
    </row>
    <row r="18413" spans="1:5">
      <c r="A18413" t="s">
        <v>45282</v>
      </c>
      <c r="B18413" t="s">
        <v>26714</v>
      </c>
      <c r="C18413">
        <f>0</f>
        <v>0</v>
      </c>
      <c r="D18413" t="s">
        <v>106</v>
      </c>
      <c r="E18413">
        <v>15.318</v>
      </c>
    </row>
    <row r="18414" spans="1:5">
      <c r="A18414" t="s">
        <v>45282</v>
      </c>
      <c r="B18414" t="s">
        <v>26716</v>
      </c>
      <c r="C18414">
        <f>0</f>
        <v>0</v>
      </c>
      <c r="D18414" t="s">
        <v>106</v>
      </c>
      <c r="E18414">
        <v>15.318</v>
      </c>
    </row>
    <row r="18415" spans="1:5">
      <c r="A18415" t="s">
        <v>45283</v>
      </c>
      <c r="B18415" t="s">
        <v>24098</v>
      </c>
      <c r="C18415">
        <v>0</v>
      </c>
      <c r="D18415" t="s">
        <v>106</v>
      </c>
      <c r="E18415">
        <v>0.82799999999999996</v>
      </c>
    </row>
    <row r="18416" spans="1:5">
      <c r="A18416" t="s">
        <v>45283</v>
      </c>
      <c r="B18416" t="s">
        <v>24099</v>
      </c>
      <c r="C18416">
        <v>0</v>
      </c>
      <c r="D18416" t="s">
        <v>106</v>
      </c>
      <c r="E18416">
        <v>0.82799999999999996</v>
      </c>
    </row>
    <row r="18417" spans="1:5">
      <c r="A18417" t="s">
        <v>45284</v>
      </c>
      <c r="B18417" t="s">
        <v>22130</v>
      </c>
      <c r="C18417">
        <f>0.558874541558</f>
        <v>0.55887454155799998</v>
      </c>
      <c r="D18417">
        <v>0.90387549865700001</v>
      </c>
      <c r="E18417">
        <v>4.5839999999999996</v>
      </c>
    </row>
    <row r="18418" spans="1:5">
      <c r="A18418" t="s">
        <v>45284</v>
      </c>
      <c r="B18418" t="s">
        <v>22131</v>
      </c>
      <c r="C18418">
        <f>0.403481884311</f>
        <v>0.40348188431100002</v>
      </c>
      <c r="D18418">
        <v>0.90387549865700001</v>
      </c>
      <c r="E18418">
        <v>4.5839999999999996</v>
      </c>
    </row>
    <row r="18419" spans="1:5">
      <c r="A18419" t="s">
        <v>45285</v>
      </c>
      <c r="B18419" t="s">
        <v>45286</v>
      </c>
      <c r="C18419">
        <v>0</v>
      </c>
      <c r="D18419">
        <v>0.83607751916999995</v>
      </c>
      <c r="E18419">
        <v>9.7739999999999991</v>
      </c>
    </row>
    <row r="18420" spans="1:5">
      <c r="A18420" t="s">
        <v>45285</v>
      </c>
      <c r="B18420" t="s">
        <v>45287</v>
      </c>
      <c r="C18420">
        <f>0.444090381127</f>
        <v>0.444090381127</v>
      </c>
      <c r="D18420">
        <v>0.83607751916999995</v>
      </c>
      <c r="E18420">
        <v>9.7739999999999991</v>
      </c>
    </row>
    <row r="18421" spans="1:5">
      <c r="A18421" t="s">
        <v>45285</v>
      </c>
      <c r="B18421" t="s">
        <v>45288</v>
      </c>
      <c r="C18421">
        <v>0.43882893606200002</v>
      </c>
      <c r="D18421">
        <v>0.83607751916999995</v>
      </c>
      <c r="E18421">
        <v>9.7739999999999991</v>
      </c>
    </row>
    <row r="18422" spans="1:5">
      <c r="A18422" t="s">
        <v>45285</v>
      </c>
      <c r="B18422" t="s">
        <v>45289</v>
      </c>
      <c r="C18422">
        <f>0</f>
        <v>0</v>
      </c>
      <c r="D18422">
        <v>0.83607751916999995</v>
      </c>
      <c r="E18422">
        <v>9.7739999999999991</v>
      </c>
    </row>
    <row r="18423" spans="1:5">
      <c r="A18423" t="s">
        <v>45285</v>
      </c>
      <c r="B18423" t="s">
        <v>45290</v>
      </c>
      <c r="C18423">
        <v>1.6020311491899999E-2</v>
      </c>
      <c r="D18423">
        <v>0.83607751916999995</v>
      </c>
      <c r="E18423">
        <v>9.7739999999999991</v>
      </c>
    </row>
    <row r="18424" spans="1:5">
      <c r="A18424" t="s">
        <v>45291</v>
      </c>
      <c r="B18424" t="s">
        <v>45292</v>
      </c>
      <c r="C18424">
        <v>0.56612176733999997</v>
      </c>
      <c r="D18424">
        <v>0.92809903939299998</v>
      </c>
      <c r="E18424">
        <v>12.048</v>
      </c>
    </row>
    <row r="18425" spans="1:5">
      <c r="A18425" t="s">
        <v>45291</v>
      </c>
      <c r="B18425" t="s">
        <v>45293</v>
      </c>
      <c r="C18425">
        <f>0.1378284889</f>
        <v>0.13782848889999999</v>
      </c>
      <c r="D18425">
        <v>0.92809903939299998</v>
      </c>
      <c r="E18425">
        <v>12.048</v>
      </c>
    </row>
    <row r="18426" spans="1:5">
      <c r="A18426" t="s">
        <v>45291</v>
      </c>
      <c r="B18426" t="s">
        <v>45294</v>
      </c>
      <c r="C18426">
        <v>0.54917525458600003</v>
      </c>
      <c r="D18426">
        <v>0.92809903939299998</v>
      </c>
      <c r="E18426">
        <v>12.048</v>
      </c>
    </row>
    <row r="18427" spans="1:5">
      <c r="A18427" t="s">
        <v>45295</v>
      </c>
      <c r="B18427" t="s">
        <v>33364</v>
      </c>
      <c r="C18427">
        <v>0.31921154860899997</v>
      </c>
      <c r="D18427">
        <v>0.44882154860899998</v>
      </c>
      <c r="E18427">
        <v>24</v>
      </c>
    </row>
    <row r="18428" spans="1:5">
      <c r="A18428" t="s">
        <v>45295</v>
      </c>
      <c r="B18428" t="s">
        <v>33365</v>
      </c>
      <c r="C18428">
        <f>0</f>
        <v>0</v>
      </c>
      <c r="D18428">
        <v>0.44882154860899998</v>
      </c>
      <c r="E18428">
        <v>24</v>
      </c>
    </row>
    <row r="18429" spans="1:5">
      <c r="A18429" t="s">
        <v>45296</v>
      </c>
      <c r="B18429" t="s">
        <v>14302</v>
      </c>
      <c r="C18429">
        <v>0.21852009961800001</v>
      </c>
      <c r="D18429">
        <v>0.792140089411</v>
      </c>
      <c r="E18429">
        <v>10.398</v>
      </c>
    </row>
    <row r="18430" spans="1:5">
      <c r="A18430" t="s">
        <v>45296</v>
      </c>
      <c r="B18430" t="s">
        <v>14303</v>
      </c>
      <c r="C18430">
        <f>0</f>
        <v>0</v>
      </c>
      <c r="D18430">
        <v>0.792140089411</v>
      </c>
      <c r="E18430">
        <v>10.398</v>
      </c>
    </row>
    <row r="18431" spans="1:5">
      <c r="A18431" t="s">
        <v>45296</v>
      </c>
      <c r="B18431" t="s">
        <v>14311</v>
      </c>
      <c r="C18431">
        <v>0</v>
      </c>
      <c r="D18431">
        <v>0.792140089411</v>
      </c>
      <c r="E18431">
        <v>10.398</v>
      </c>
    </row>
    <row r="18432" spans="1:5">
      <c r="A18432" t="s">
        <v>45296</v>
      </c>
      <c r="B18432" t="s">
        <v>14307</v>
      </c>
      <c r="C18432">
        <f>0</f>
        <v>0</v>
      </c>
      <c r="D18432">
        <v>0.792140089411</v>
      </c>
      <c r="E18432">
        <v>10.398</v>
      </c>
    </row>
    <row r="18433" spans="1:5">
      <c r="A18433" t="s">
        <v>45296</v>
      </c>
      <c r="B18433" t="s">
        <v>14304</v>
      </c>
      <c r="C18433">
        <f>0</f>
        <v>0</v>
      </c>
      <c r="D18433">
        <v>0.792140089411</v>
      </c>
      <c r="E18433">
        <v>10.398</v>
      </c>
    </row>
    <row r="18434" spans="1:5">
      <c r="A18434" t="s">
        <v>45296</v>
      </c>
      <c r="B18434" t="s">
        <v>14306</v>
      </c>
      <c r="C18434">
        <v>0</v>
      </c>
      <c r="D18434">
        <v>0.792140089411</v>
      </c>
      <c r="E18434">
        <v>10.398</v>
      </c>
    </row>
    <row r="18435" spans="1:5">
      <c r="A18435" t="s">
        <v>45296</v>
      </c>
      <c r="B18435" t="s">
        <v>14312</v>
      </c>
      <c r="C18435">
        <f>0.552300696661</f>
        <v>0.55230069666100001</v>
      </c>
      <c r="D18435">
        <v>0.792140089411</v>
      </c>
      <c r="E18435">
        <v>10.398</v>
      </c>
    </row>
    <row r="18436" spans="1:5">
      <c r="A18436" t="s">
        <v>45297</v>
      </c>
      <c r="B18436" t="s">
        <v>45298</v>
      </c>
      <c r="C18436">
        <v>1.06432804351</v>
      </c>
      <c r="D18436">
        <v>0.94072794068999999</v>
      </c>
      <c r="E18436">
        <v>0</v>
      </c>
    </row>
    <row r="18437" spans="1:5">
      <c r="A18437" t="s">
        <v>45297</v>
      </c>
      <c r="B18437" t="s">
        <v>45299</v>
      </c>
      <c r="C18437">
        <v>0.11266496371199999</v>
      </c>
      <c r="D18437">
        <v>0.94072794068999999</v>
      </c>
      <c r="E18437">
        <v>0</v>
      </c>
    </row>
    <row r="18438" spans="1:5">
      <c r="A18438" t="s">
        <v>45297</v>
      </c>
      <c r="B18438" t="s">
        <v>45300</v>
      </c>
      <c r="C18438">
        <f>0.367825914633</f>
        <v>0.36782591463300002</v>
      </c>
      <c r="D18438">
        <v>0.94072794068999999</v>
      </c>
      <c r="E18438">
        <v>0</v>
      </c>
    </row>
    <row r="18439" spans="1:5">
      <c r="A18439" t="s">
        <v>45301</v>
      </c>
      <c r="B18439" t="s">
        <v>34084</v>
      </c>
      <c r="C18439">
        <f>0</f>
        <v>0</v>
      </c>
      <c r="D18439">
        <v>0.94512601631799997</v>
      </c>
      <c r="E18439">
        <v>1.014</v>
      </c>
    </row>
    <row r="18440" spans="1:5">
      <c r="A18440" t="s">
        <v>45301</v>
      </c>
      <c r="B18440" t="s">
        <v>34086</v>
      </c>
      <c r="C18440">
        <v>0.64469751474699999</v>
      </c>
      <c r="D18440">
        <v>0.94512601631799997</v>
      </c>
      <c r="E18440">
        <v>1.014</v>
      </c>
    </row>
    <row r="18441" spans="1:5">
      <c r="A18441" t="s">
        <v>45301</v>
      </c>
      <c r="B18441" t="s">
        <v>34087</v>
      </c>
      <c r="C18441">
        <f>0</f>
        <v>0</v>
      </c>
      <c r="D18441">
        <v>0.94512601631799997</v>
      </c>
      <c r="E18441">
        <v>1.014</v>
      </c>
    </row>
    <row r="18442" spans="1:5">
      <c r="A18442" t="s">
        <v>45301</v>
      </c>
      <c r="B18442" t="s">
        <v>45302</v>
      </c>
      <c r="C18442">
        <v>0.84228198432000001</v>
      </c>
      <c r="D18442">
        <v>0.94512601631799997</v>
      </c>
      <c r="E18442">
        <v>1.014</v>
      </c>
    </row>
    <row r="18443" spans="1:5">
      <c r="A18443" t="s">
        <v>45303</v>
      </c>
      <c r="B18443" t="s">
        <v>10793</v>
      </c>
      <c r="C18443">
        <f>0</f>
        <v>0</v>
      </c>
      <c r="D18443">
        <v>0.95059031710999997</v>
      </c>
      <c r="E18443">
        <v>23.754000000000001</v>
      </c>
    </row>
    <row r="18444" spans="1:5">
      <c r="A18444" t="s">
        <v>45303</v>
      </c>
      <c r="B18444" t="s">
        <v>10799</v>
      </c>
      <c r="C18444">
        <f>0.202723864264</f>
        <v>0.20272386426399999</v>
      </c>
      <c r="D18444">
        <v>0.95059031710999997</v>
      </c>
      <c r="E18444">
        <v>23.754000000000001</v>
      </c>
    </row>
    <row r="18445" spans="1:5">
      <c r="A18445" t="s">
        <v>45303</v>
      </c>
      <c r="B18445" t="s">
        <v>10795</v>
      </c>
      <c r="C18445">
        <v>0.95649659695199996</v>
      </c>
      <c r="D18445">
        <v>0.95059031710999997</v>
      </c>
      <c r="E18445">
        <v>23.754000000000001</v>
      </c>
    </row>
    <row r="18446" spans="1:5">
      <c r="A18446" t="s">
        <v>45303</v>
      </c>
      <c r="B18446" t="s">
        <v>45304</v>
      </c>
      <c r="C18446">
        <v>0.43111142501400002</v>
      </c>
      <c r="D18446">
        <v>0.95059031710999997</v>
      </c>
      <c r="E18446">
        <v>23.754000000000001</v>
      </c>
    </row>
    <row r="18447" spans="1:5">
      <c r="A18447" t="s">
        <v>45305</v>
      </c>
      <c r="B18447" t="s">
        <v>10803</v>
      </c>
      <c r="C18447">
        <v>0</v>
      </c>
      <c r="D18447" t="s">
        <v>106</v>
      </c>
      <c r="E18447">
        <v>0.58199999999999996</v>
      </c>
    </row>
    <row r="18448" spans="1:5">
      <c r="A18448" t="s">
        <v>45305</v>
      </c>
      <c r="B18448" t="s">
        <v>10804</v>
      </c>
      <c r="C18448">
        <v>0</v>
      </c>
      <c r="D18448" t="s">
        <v>106</v>
      </c>
      <c r="E18448">
        <v>0.58199999999999996</v>
      </c>
    </row>
    <row r="18449" spans="1:5">
      <c r="A18449" t="s">
        <v>45305</v>
      </c>
      <c r="B18449" t="s">
        <v>10806</v>
      </c>
      <c r="C18449">
        <v>0</v>
      </c>
      <c r="D18449" t="s">
        <v>106</v>
      </c>
      <c r="E18449">
        <v>0.58199999999999996</v>
      </c>
    </row>
    <row r="18450" spans="1:5">
      <c r="A18450" t="s">
        <v>45305</v>
      </c>
      <c r="B18450" t="s">
        <v>10807</v>
      </c>
      <c r="C18450">
        <v>0</v>
      </c>
      <c r="D18450" t="s">
        <v>106</v>
      </c>
      <c r="E18450">
        <v>0.58199999999999996</v>
      </c>
    </row>
    <row r="18451" spans="1:5">
      <c r="A18451" t="s">
        <v>45306</v>
      </c>
      <c r="B18451" t="s">
        <v>45307</v>
      </c>
      <c r="C18451">
        <f>0</f>
        <v>0</v>
      </c>
      <c r="D18451" t="s">
        <v>106</v>
      </c>
      <c r="E18451">
        <v>15.708</v>
      </c>
    </row>
    <row r="18452" spans="1:5">
      <c r="A18452" t="s">
        <v>45306</v>
      </c>
      <c r="B18452" t="s">
        <v>45308</v>
      </c>
      <c r="C18452">
        <f>0</f>
        <v>0</v>
      </c>
      <c r="D18452" t="s">
        <v>106</v>
      </c>
      <c r="E18452">
        <v>15.708</v>
      </c>
    </row>
    <row r="18453" spans="1:5">
      <c r="A18453" t="s">
        <v>45306</v>
      </c>
      <c r="B18453" t="s">
        <v>45309</v>
      </c>
      <c r="C18453">
        <f>0</f>
        <v>0</v>
      </c>
      <c r="D18453" t="s">
        <v>106</v>
      </c>
      <c r="E18453">
        <v>15.708</v>
      </c>
    </row>
    <row r="18454" spans="1:5">
      <c r="A18454" t="s">
        <v>45306</v>
      </c>
      <c r="B18454" t="s">
        <v>45310</v>
      </c>
      <c r="C18454">
        <v>0</v>
      </c>
      <c r="D18454" t="s">
        <v>106</v>
      </c>
      <c r="E18454">
        <v>15.708</v>
      </c>
    </row>
    <row r="18455" spans="1:5">
      <c r="A18455" t="s">
        <v>45311</v>
      </c>
      <c r="B18455" t="s">
        <v>45312</v>
      </c>
      <c r="C18455">
        <v>0</v>
      </c>
      <c r="D18455" t="s">
        <v>106</v>
      </c>
      <c r="E18455">
        <v>4.8000000000000001E-2</v>
      </c>
    </row>
    <row r="18456" spans="1:5">
      <c r="A18456" t="s">
        <v>45311</v>
      </c>
      <c r="B18456" t="s">
        <v>45313</v>
      </c>
      <c r="C18456">
        <v>0</v>
      </c>
      <c r="D18456" t="s">
        <v>106</v>
      </c>
      <c r="E18456">
        <v>4.8000000000000001E-2</v>
      </c>
    </row>
    <row r="18457" spans="1:5">
      <c r="A18457" t="s">
        <v>45311</v>
      </c>
      <c r="B18457" t="s">
        <v>45314</v>
      </c>
      <c r="C18457">
        <v>0</v>
      </c>
      <c r="D18457" t="s">
        <v>106</v>
      </c>
      <c r="E18457">
        <v>4.8000000000000001E-2</v>
      </c>
    </row>
    <row r="18458" spans="1:5">
      <c r="A18458" t="s">
        <v>45311</v>
      </c>
      <c r="B18458" t="s">
        <v>45315</v>
      </c>
      <c r="C18458">
        <f>0</f>
        <v>0</v>
      </c>
      <c r="D18458" t="s">
        <v>106</v>
      </c>
      <c r="E18458">
        <v>4.8000000000000001E-2</v>
      </c>
    </row>
    <row r="18459" spans="1:5">
      <c r="A18459" t="s">
        <v>45311</v>
      </c>
      <c r="B18459" t="s">
        <v>45316</v>
      </c>
      <c r="C18459">
        <f>0</f>
        <v>0</v>
      </c>
      <c r="D18459" t="s">
        <v>106</v>
      </c>
      <c r="E18459">
        <v>4.8000000000000001E-2</v>
      </c>
    </row>
    <row r="18460" spans="1:5">
      <c r="A18460" t="s">
        <v>45317</v>
      </c>
      <c r="B18460" t="s">
        <v>22867</v>
      </c>
      <c r="C18460">
        <v>0</v>
      </c>
      <c r="D18460">
        <v>0.70812881902699998</v>
      </c>
      <c r="E18460">
        <v>1.452</v>
      </c>
    </row>
    <row r="18461" spans="1:5">
      <c r="A18461" t="s">
        <v>45317</v>
      </c>
      <c r="B18461" t="s">
        <v>22878</v>
      </c>
      <c r="C18461">
        <v>0</v>
      </c>
      <c r="D18461">
        <v>0.70812881902699998</v>
      </c>
      <c r="E18461">
        <v>1.452</v>
      </c>
    </row>
    <row r="18462" spans="1:5">
      <c r="A18462" t="s">
        <v>45317</v>
      </c>
      <c r="B18462" t="s">
        <v>45318</v>
      </c>
      <c r="C18462">
        <f>0</f>
        <v>0</v>
      </c>
      <c r="D18462">
        <v>0.70812881902699998</v>
      </c>
      <c r="E18462">
        <v>1.452</v>
      </c>
    </row>
    <row r="18463" spans="1:5">
      <c r="A18463" t="s">
        <v>45317</v>
      </c>
      <c r="B18463" t="s">
        <v>22876</v>
      </c>
      <c r="C18463">
        <v>0</v>
      </c>
      <c r="D18463">
        <v>0.70812881902699998</v>
      </c>
      <c r="E18463">
        <v>1.452</v>
      </c>
    </row>
    <row r="18464" spans="1:5">
      <c r="A18464" t="s">
        <v>45317</v>
      </c>
      <c r="B18464" t="s">
        <v>22872</v>
      </c>
      <c r="C18464">
        <f>0</f>
        <v>0</v>
      </c>
      <c r="D18464">
        <v>0.70812881902699998</v>
      </c>
      <c r="E18464">
        <v>1.452</v>
      </c>
    </row>
    <row r="18465" spans="1:5">
      <c r="A18465" t="s">
        <v>45317</v>
      </c>
      <c r="B18465" t="s">
        <v>22879</v>
      </c>
      <c r="C18465">
        <v>0</v>
      </c>
      <c r="D18465">
        <v>0.70812881902699998</v>
      </c>
      <c r="E18465">
        <v>1.452</v>
      </c>
    </row>
    <row r="18466" spans="1:5">
      <c r="A18466" t="s">
        <v>45317</v>
      </c>
      <c r="B18466" t="s">
        <v>22877</v>
      </c>
      <c r="C18466">
        <v>0.24571881902699999</v>
      </c>
      <c r="D18466">
        <v>0.70812881902699998</v>
      </c>
      <c r="E18466">
        <v>1.452</v>
      </c>
    </row>
    <row r="18467" spans="1:5">
      <c r="A18467" t="s">
        <v>45317</v>
      </c>
      <c r="B18467" t="s">
        <v>22873</v>
      </c>
      <c r="C18467">
        <f>0</f>
        <v>0</v>
      </c>
      <c r="D18467">
        <v>0.70812881902699998</v>
      </c>
      <c r="E18467">
        <v>1.452</v>
      </c>
    </row>
    <row r="18468" spans="1:5">
      <c r="A18468" t="s">
        <v>45317</v>
      </c>
      <c r="B18468" t="s">
        <v>22871</v>
      </c>
      <c r="C18468">
        <f>0</f>
        <v>0</v>
      </c>
      <c r="D18468">
        <v>0.70812881902699998</v>
      </c>
      <c r="E18468">
        <v>1.452</v>
      </c>
    </row>
    <row r="18469" spans="1:5">
      <c r="A18469" t="s">
        <v>45319</v>
      </c>
      <c r="B18469" t="s">
        <v>45320</v>
      </c>
      <c r="C18469">
        <f>0.701614521969</f>
        <v>0.70161452196899998</v>
      </c>
      <c r="D18469">
        <v>0.950436486385</v>
      </c>
      <c r="E18469">
        <v>13.818</v>
      </c>
    </row>
    <row r="18470" spans="1:5">
      <c r="A18470" t="s">
        <v>45319</v>
      </c>
      <c r="B18470" t="s">
        <v>45321</v>
      </c>
      <c r="C18470">
        <f>0.328814023159</f>
        <v>0.32881402315899999</v>
      </c>
      <c r="D18470">
        <v>0.950436486385</v>
      </c>
      <c r="E18470">
        <v>13.818</v>
      </c>
    </row>
    <row r="18471" spans="1:5">
      <c r="A18471" t="s">
        <v>45319</v>
      </c>
      <c r="B18471" t="s">
        <v>45322</v>
      </c>
      <c r="C18471">
        <v>0.749716306449</v>
      </c>
      <c r="D18471">
        <v>0.950436486385</v>
      </c>
      <c r="E18471">
        <v>13.818</v>
      </c>
    </row>
    <row r="18472" spans="1:5">
      <c r="A18472" t="s">
        <v>45323</v>
      </c>
      <c r="B18472" t="s">
        <v>45324</v>
      </c>
      <c r="C18472">
        <v>0</v>
      </c>
      <c r="D18472" t="s">
        <v>106</v>
      </c>
      <c r="E18472">
        <v>0.24</v>
      </c>
    </row>
    <row r="18473" spans="1:5">
      <c r="A18473" t="s">
        <v>45323</v>
      </c>
      <c r="B18473" t="s">
        <v>45325</v>
      </c>
      <c r="C18473">
        <v>0</v>
      </c>
      <c r="D18473" t="s">
        <v>106</v>
      </c>
      <c r="E18473">
        <v>0.24</v>
      </c>
    </row>
    <row r="18474" spans="1:5">
      <c r="A18474" t="s">
        <v>45326</v>
      </c>
      <c r="B18474" t="s">
        <v>10230</v>
      </c>
      <c r="C18474">
        <v>0</v>
      </c>
      <c r="D18474">
        <v>0.74787936316400005</v>
      </c>
      <c r="E18474">
        <v>3.6840000000000002</v>
      </c>
    </row>
    <row r="18475" spans="1:5">
      <c r="A18475" t="s">
        <v>45326</v>
      </c>
      <c r="B18475" t="s">
        <v>10234</v>
      </c>
      <c r="C18475">
        <f>0.517469363164</f>
        <v>0.51746936316400005</v>
      </c>
      <c r="D18475">
        <v>0.74787936316400005</v>
      </c>
      <c r="E18475">
        <v>3.6840000000000002</v>
      </c>
    </row>
    <row r="18476" spans="1:5">
      <c r="A18476" t="s">
        <v>45326</v>
      </c>
      <c r="B18476" t="s">
        <v>10232</v>
      </c>
      <c r="C18476">
        <v>0</v>
      </c>
      <c r="D18476">
        <v>0.74787936316400005</v>
      </c>
      <c r="E18476">
        <v>3.6840000000000002</v>
      </c>
    </row>
    <row r="18477" spans="1:5">
      <c r="A18477" t="s">
        <v>45327</v>
      </c>
      <c r="B18477" t="s">
        <v>6315</v>
      </c>
      <c r="C18477">
        <f>0.742227586004</f>
        <v>0.74222758600399996</v>
      </c>
      <c r="D18477">
        <v>0.82063758600400005</v>
      </c>
      <c r="E18477">
        <v>23.52</v>
      </c>
    </row>
    <row r="18478" spans="1:5">
      <c r="A18478" t="s">
        <v>45327</v>
      </c>
      <c r="B18478" t="s">
        <v>6316</v>
      </c>
      <c r="C18478">
        <f>0</f>
        <v>0</v>
      </c>
      <c r="D18478">
        <v>0.82063758600400005</v>
      </c>
      <c r="E18478">
        <v>23.52</v>
      </c>
    </row>
    <row r="18479" spans="1:5">
      <c r="A18479" t="s">
        <v>45328</v>
      </c>
      <c r="B18479" t="s">
        <v>5614</v>
      </c>
      <c r="C18479">
        <f>0</f>
        <v>0</v>
      </c>
      <c r="D18479" t="s">
        <v>106</v>
      </c>
      <c r="E18479">
        <v>12.048</v>
      </c>
    </row>
    <row r="18480" spans="1:5">
      <c r="A18480" t="s">
        <v>45328</v>
      </c>
      <c r="B18480" t="s">
        <v>5615</v>
      </c>
      <c r="C18480">
        <v>0</v>
      </c>
      <c r="D18480" t="s">
        <v>106</v>
      </c>
      <c r="E18480">
        <v>12.048</v>
      </c>
    </row>
    <row r="18481" spans="1:5">
      <c r="A18481" t="s">
        <v>45328</v>
      </c>
      <c r="B18481" t="s">
        <v>5617</v>
      </c>
      <c r="C18481">
        <v>0</v>
      </c>
      <c r="D18481" t="s">
        <v>106</v>
      </c>
      <c r="E18481">
        <v>12.048</v>
      </c>
    </row>
    <row r="18482" spans="1:5">
      <c r="A18482" t="s">
        <v>45328</v>
      </c>
      <c r="B18482" t="s">
        <v>5616</v>
      </c>
      <c r="C18482">
        <v>0</v>
      </c>
      <c r="D18482" t="s">
        <v>106</v>
      </c>
      <c r="E18482">
        <v>12.048</v>
      </c>
    </row>
    <row r="18483" spans="1:5">
      <c r="A18483" t="s">
        <v>45328</v>
      </c>
      <c r="B18483" t="s">
        <v>5618</v>
      </c>
      <c r="C18483">
        <v>0</v>
      </c>
      <c r="D18483" t="s">
        <v>106</v>
      </c>
      <c r="E18483">
        <v>12.048</v>
      </c>
    </row>
    <row r="18484" spans="1:5">
      <c r="A18484" t="s">
        <v>45328</v>
      </c>
      <c r="B18484" t="s">
        <v>5613</v>
      </c>
      <c r="C18484">
        <f>0</f>
        <v>0</v>
      </c>
      <c r="D18484" t="s">
        <v>106</v>
      </c>
      <c r="E18484">
        <v>12.048</v>
      </c>
    </row>
    <row r="18485" spans="1:5">
      <c r="A18485" t="s">
        <v>45329</v>
      </c>
      <c r="B18485" t="s">
        <v>19125</v>
      </c>
      <c r="C18485">
        <f>0</f>
        <v>0</v>
      </c>
      <c r="D18485">
        <v>0.42345404699</v>
      </c>
      <c r="E18485">
        <v>24</v>
      </c>
    </row>
    <row r="18486" spans="1:5">
      <c r="A18486" t="s">
        <v>45329</v>
      </c>
      <c r="B18486" t="s">
        <v>19127</v>
      </c>
      <c r="C18486">
        <v>0.15304404698999999</v>
      </c>
      <c r="D18486">
        <v>0.42345404699</v>
      </c>
      <c r="E18486">
        <v>24</v>
      </c>
    </row>
    <row r="18487" spans="1:5">
      <c r="A18487" t="s">
        <v>45330</v>
      </c>
      <c r="B18487" t="s">
        <v>45331</v>
      </c>
      <c r="C18487">
        <f>0.393020887583</f>
        <v>0.39302088758300002</v>
      </c>
      <c r="D18487">
        <v>0.98544897214100002</v>
      </c>
      <c r="E18487">
        <v>3.4980000000000002</v>
      </c>
    </row>
    <row r="18488" spans="1:5">
      <c r="A18488" t="s">
        <v>45330</v>
      </c>
      <c r="B18488" t="s">
        <v>45332</v>
      </c>
      <c r="C18488">
        <v>0</v>
      </c>
      <c r="D18488">
        <v>0.98544897214100002</v>
      </c>
      <c r="E18488">
        <v>3.4980000000000002</v>
      </c>
    </row>
    <row r="18489" spans="1:5">
      <c r="A18489" t="s">
        <v>45330</v>
      </c>
      <c r="B18489" t="s">
        <v>45333</v>
      </c>
      <c r="C18489">
        <v>0.36949435527000002</v>
      </c>
      <c r="D18489">
        <v>0.98544897214100002</v>
      </c>
      <c r="E18489">
        <v>3.4980000000000002</v>
      </c>
    </row>
    <row r="18490" spans="1:5">
      <c r="A18490" t="s">
        <v>45330</v>
      </c>
      <c r="B18490" t="s">
        <v>45334</v>
      </c>
      <c r="C18490">
        <v>0.64416676254299998</v>
      </c>
      <c r="D18490">
        <v>0.98544897214100002</v>
      </c>
      <c r="E18490">
        <v>3.4980000000000002</v>
      </c>
    </row>
    <row r="18491" spans="1:5">
      <c r="A18491" t="s">
        <v>45330</v>
      </c>
      <c r="B18491" t="s">
        <v>45335</v>
      </c>
      <c r="C18491">
        <f>0.0399308405757</f>
        <v>3.9930840575699997E-2</v>
      </c>
      <c r="D18491">
        <v>0.98544897214100002</v>
      </c>
      <c r="E18491">
        <v>3.4980000000000002</v>
      </c>
    </row>
    <row r="18492" spans="1:5">
      <c r="A18492" t="s">
        <v>45330</v>
      </c>
      <c r="B18492" t="s">
        <v>45336</v>
      </c>
      <c r="C18492">
        <v>0.80208782876700002</v>
      </c>
      <c r="D18492">
        <v>0.98544897214100002</v>
      </c>
      <c r="E18492">
        <v>3.4980000000000002</v>
      </c>
    </row>
    <row r="18493" spans="1:5">
      <c r="A18493" t="s">
        <v>45330</v>
      </c>
      <c r="B18493" t="s">
        <v>45337</v>
      </c>
      <c r="C18493">
        <v>0.35166995891500002</v>
      </c>
      <c r="D18493">
        <v>0.98544897214100002</v>
      </c>
      <c r="E18493">
        <v>3.4980000000000002</v>
      </c>
    </row>
    <row r="18494" spans="1:5">
      <c r="A18494" t="s">
        <v>45338</v>
      </c>
      <c r="B18494" t="s">
        <v>45339</v>
      </c>
      <c r="C18494">
        <f>0.0844476335408</f>
        <v>8.4447633540799996E-2</v>
      </c>
      <c r="D18494">
        <v>0.63561000598799999</v>
      </c>
      <c r="E18494">
        <v>19.2</v>
      </c>
    </row>
    <row r="18495" spans="1:5">
      <c r="A18495" t="s">
        <v>45338</v>
      </c>
      <c r="B18495" t="s">
        <v>45340</v>
      </c>
      <c r="C18495">
        <f>0.0966618019158</f>
        <v>9.6661801915799997E-2</v>
      </c>
      <c r="D18495">
        <v>0.63561000598799999</v>
      </c>
      <c r="E18495">
        <v>19.2</v>
      </c>
    </row>
    <row r="18496" spans="1:5">
      <c r="A18496" t="s">
        <v>45338</v>
      </c>
      <c r="B18496" t="s">
        <v>45341</v>
      </c>
      <c r="C18496">
        <f>0.490518176116</f>
        <v>0.49051817611600002</v>
      </c>
      <c r="D18496">
        <v>0.63561000598799999</v>
      </c>
      <c r="E18496">
        <v>19.2</v>
      </c>
    </row>
    <row r="18497" spans="1:5">
      <c r="A18497" t="s">
        <v>45342</v>
      </c>
      <c r="B18497" t="s">
        <v>45343</v>
      </c>
      <c r="C18497">
        <v>0.46551413388000001</v>
      </c>
      <c r="D18497">
        <v>0.94882941232399998</v>
      </c>
      <c r="E18497">
        <v>11.04</v>
      </c>
    </row>
    <row r="18498" spans="1:5">
      <c r="A18498" t="s">
        <v>45342</v>
      </c>
      <c r="B18498" t="s">
        <v>45344</v>
      </c>
      <c r="C18498">
        <v>0.71600445903200005</v>
      </c>
      <c r="D18498">
        <v>0.94882941232399998</v>
      </c>
      <c r="E18498">
        <v>11.04</v>
      </c>
    </row>
    <row r="18499" spans="1:5">
      <c r="A18499" t="s">
        <v>45345</v>
      </c>
      <c r="B18499" t="s">
        <v>32988</v>
      </c>
      <c r="C18499">
        <v>0</v>
      </c>
      <c r="D18499">
        <v>0.70824668646099997</v>
      </c>
      <c r="E18499">
        <v>23.754000000000001</v>
      </c>
    </row>
    <row r="18500" spans="1:5">
      <c r="A18500" t="s">
        <v>45345</v>
      </c>
      <c r="B18500" t="s">
        <v>32993</v>
      </c>
      <c r="C18500">
        <v>0</v>
      </c>
      <c r="D18500">
        <v>0.70824668646099997</v>
      </c>
      <c r="E18500">
        <v>23.754000000000001</v>
      </c>
    </row>
    <row r="18501" spans="1:5">
      <c r="A18501" t="s">
        <v>45345</v>
      </c>
      <c r="B18501" t="s">
        <v>32990</v>
      </c>
      <c r="C18501">
        <v>0</v>
      </c>
      <c r="D18501">
        <v>0.70824668646099997</v>
      </c>
      <c r="E18501">
        <v>23.754000000000001</v>
      </c>
    </row>
    <row r="18502" spans="1:5">
      <c r="A18502" t="s">
        <v>45345</v>
      </c>
      <c r="B18502" t="s">
        <v>32992</v>
      </c>
      <c r="C18502">
        <f>0</f>
        <v>0</v>
      </c>
      <c r="D18502">
        <v>0.70824668646099997</v>
      </c>
      <c r="E18502">
        <v>23.754000000000001</v>
      </c>
    </row>
    <row r="18503" spans="1:5">
      <c r="A18503" t="s">
        <v>45345</v>
      </c>
      <c r="B18503" t="s">
        <v>32991</v>
      </c>
      <c r="C18503">
        <v>6.8236686461000007E-2</v>
      </c>
      <c r="D18503">
        <v>0.70824668646099997</v>
      </c>
      <c r="E18503">
        <v>23.754000000000001</v>
      </c>
    </row>
    <row r="18504" spans="1:5">
      <c r="A18504" t="s">
        <v>45346</v>
      </c>
      <c r="B18504" t="s">
        <v>45347</v>
      </c>
      <c r="C18504">
        <f>0</f>
        <v>0</v>
      </c>
      <c r="D18504" t="s">
        <v>106</v>
      </c>
      <c r="E18504">
        <v>1.8959999999999999</v>
      </c>
    </row>
    <row r="18505" spans="1:5">
      <c r="A18505" t="s">
        <v>45346</v>
      </c>
      <c r="B18505" t="s">
        <v>45348</v>
      </c>
      <c r="C18505">
        <v>0</v>
      </c>
      <c r="D18505" t="s">
        <v>106</v>
      </c>
      <c r="E18505">
        <v>1.8959999999999999</v>
      </c>
    </row>
    <row r="18506" spans="1:5">
      <c r="A18506" t="s">
        <v>45346</v>
      </c>
      <c r="B18506" t="s">
        <v>45349</v>
      </c>
      <c r="C18506">
        <f>0</f>
        <v>0</v>
      </c>
      <c r="D18506" t="s">
        <v>106</v>
      </c>
      <c r="E18506">
        <v>1.8959999999999999</v>
      </c>
    </row>
    <row r="18507" spans="1:5">
      <c r="A18507" t="s">
        <v>45346</v>
      </c>
      <c r="B18507" t="s">
        <v>45350</v>
      </c>
      <c r="C18507">
        <f>0</f>
        <v>0</v>
      </c>
      <c r="D18507" t="s">
        <v>106</v>
      </c>
      <c r="E18507">
        <v>1.8959999999999999</v>
      </c>
    </row>
    <row r="18508" spans="1:5">
      <c r="A18508" t="s">
        <v>45351</v>
      </c>
      <c r="B18508" t="s">
        <v>45352</v>
      </c>
      <c r="C18508">
        <f>0</f>
        <v>0</v>
      </c>
      <c r="D18508">
        <v>0.58362609247999997</v>
      </c>
      <c r="E18508">
        <v>8.8680000000000003</v>
      </c>
    </row>
    <row r="18509" spans="1:5">
      <c r="A18509" t="s">
        <v>45351</v>
      </c>
      <c r="B18509" t="s">
        <v>45353</v>
      </c>
      <c r="C18509">
        <f>0.39001609248</f>
        <v>0.39001609248000002</v>
      </c>
      <c r="D18509">
        <v>0.58362609247999997</v>
      </c>
      <c r="E18509">
        <v>8.8680000000000003</v>
      </c>
    </row>
    <row r="18510" spans="1:5">
      <c r="A18510" t="s">
        <v>45354</v>
      </c>
      <c r="B18510" t="s">
        <v>45355</v>
      </c>
      <c r="C18510">
        <v>0</v>
      </c>
      <c r="D18510">
        <v>0.72961858630200005</v>
      </c>
      <c r="E18510">
        <v>23.754000000000001</v>
      </c>
    </row>
    <row r="18511" spans="1:5">
      <c r="A18511" t="s">
        <v>45354</v>
      </c>
      <c r="B18511" t="s">
        <v>45356</v>
      </c>
      <c r="C18511">
        <v>0</v>
      </c>
      <c r="D18511">
        <v>0.72961858630200005</v>
      </c>
      <c r="E18511">
        <v>23.754000000000001</v>
      </c>
    </row>
    <row r="18512" spans="1:5">
      <c r="A18512" t="s">
        <v>45354</v>
      </c>
      <c r="B18512" t="s">
        <v>45357</v>
      </c>
      <c r="C18512">
        <v>0</v>
      </c>
      <c r="D18512">
        <v>0.72961858630200005</v>
      </c>
      <c r="E18512">
        <v>23.754000000000001</v>
      </c>
    </row>
    <row r="18513" spans="1:5">
      <c r="A18513" t="s">
        <v>45354</v>
      </c>
      <c r="B18513" t="s">
        <v>45358</v>
      </c>
      <c r="C18513">
        <f>0.499208586302</f>
        <v>0.49920858630199999</v>
      </c>
      <c r="D18513">
        <v>0.72961858630200005</v>
      </c>
      <c r="E18513">
        <v>23.754000000000001</v>
      </c>
    </row>
    <row r="18514" spans="1:5">
      <c r="A18514" t="s">
        <v>45354</v>
      </c>
      <c r="B18514" t="s">
        <v>45359</v>
      </c>
      <c r="C18514">
        <f>0</f>
        <v>0</v>
      </c>
      <c r="D18514">
        <v>0.72961858630200005</v>
      </c>
      <c r="E18514">
        <v>23.754000000000001</v>
      </c>
    </row>
    <row r="18515" spans="1:5">
      <c r="A18515" t="s">
        <v>45360</v>
      </c>
      <c r="B18515" t="s">
        <v>22983</v>
      </c>
      <c r="C18515">
        <f>0</f>
        <v>0</v>
      </c>
      <c r="D18515" t="s">
        <v>106</v>
      </c>
      <c r="E18515">
        <v>21.192</v>
      </c>
    </row>
    <row r="18516" spans="1:5">
      <c r="A18516" t="s">
        <v>45360</v>
      </c>
      <c r="B18516" t="s">
        <v>22984</v>
      </c>
      <c r="C18516">
        <v>0</v>
      </c>
      <c r="D18516" t="s">
        <v>106</v>
      </c>
      <c r="E18516">
        <v>21.192</v>
      </c>
    </row>
    <row r="18517" spans="1:5">
      <c r="A18517" t="s">
        <v>45360</v>
      </c>
      <c r="B18517" t="s">
        <v>22985</v>
      </c>
      <c r="C18517">
        <v>0</v>
      </c>
      <c r="D18517" t="s">
        <v>106</v>
      </c>
      <c r="E18517">
        <v>21.192</v>
      </c>
    </row>
    <row r="18518" spans="1:5">
      <c r="A18518" t="s">
        <v>45361</v>
      </c>
      <c r="B18518" t="s">
        <v>8579</v>
      </c>
      <c r="C18518">
        <v>0</v>
      </c>
      <c r="D18518" t="s">
        <v>106</v>
      </c>
      <c r="E18518">
        <v>0.91800000000000004</v>
      </c>
    </row>
    <row r="18519" spans="1:5">
      <c r="A18519" t="s">
        <v>45361</v>
      </c>
      <c r="B18519" t="s">
        <v>8580</v>
      </c>
      <c r="C18519">
        <v>0</v>
      </c>
      <c r="D18519" t="s">
        <v>106</v>
      </c>
      <c r="E18519">
        <v>0.91800000000000004</v>
      </c>
    </row>
    <row r="18520" spans="1:5">
      <c r="A18520" t="s">
        <v>45362</v>
      </c>
      <c r="B18520" t="s">
        <v>27891</v>
      </c>
      <c r="C18520">
        <f>0</f>
        <v>0</v>
      </c>
      <c r="D18520">
        <v>0.81366361709199997</v>
      </c>
      <c r="E18520">
        <v>23.754000000000001</v>
      </c>
    </row>
    <row r="18521" spans="1:5">
      <c r="A18521" t="s">
        <v>45362</v>
      </c>
      <c r="B18521" t="s">
        <v>27892</v>
      </c>
      <c r="C18521">
        <v>0</v>
      </c>
      <c r="D18521">
        <v>0.81366361709199997</v>
      </c>
      <c r="E18521">
        <v>23.754000000000001</v>
      </c>
    </row>
    <row r="18522" spans="1:5">
      <c r="A18522" t="s">
        <v>45362</v>
      </c>
      <c r="B18522" t="s">
        <v>27890</v>
      </c>
      <c r="C18522">
        <f>0.583253617092</f>
        <v>0.58325361709199997</v>
      </c>
      <c r="D18522">
        <v>0.81366361709199997</v>
      </c>
      <c r="E18522">
        <v>23.754000000000001</v>
      </c>
    </row>
    <row r="18523" spans="1:5">
      <c r="A18523" t="s">
        <v>45363</v>
      </c>
      <c r="B18523" t="s">
        <v>23965</v>
      </c>
      <c r="C18523">
        <f>0.257965740571</f>
        <v>0.25796574057100002</v>
      </c>
      <c r="D18523">
        <v>0.85726057061700001</v>
      </c>
      <c r="E18523">
        <v>0</v>
      </c>
    </row>
    <row r="18524" spans="1:5">
      <c r="A18524" t="s">
        <v>45363</v>
      </c>
      <c r="B18524" t="s">
        <v>23967</v>
      </c>
      <c r="C18524">
        <f>0</f>
        <v>0</v>
      </c>
      <c r="D18524">
        <v>0.85726057061700001</v>
      </c>
      <c r="E18524">
        <v>0</v>
      </c>
    </row>
    <row r="18525" spans="1:5">
      <c r="A18525" t="s">
        <v>45363</v>
      </c>
      <c r="B18525" t="s">
        <v>23971</v>
      </c>
      <c r="C18525">
        <v>0.57558257535900004</v>
      </c>
      <c r="D18525">
        <v>0.85726057061700001</v>
      </c>
      <c r="E18525">
        <v>0</v>
      </c>
    </row>
    <row r="18526" spans="1:5">
      <c r="A18526" t="s">
        <v>45363</v>
      </c>
      <c r="B18526" t="s">
        <v>23968</v>
      </c>
      <c r="C18526">
        <v>0</v>
      </c>
      <c r="D18526">
        <v>0.85726057061700001</v>
      </c>
      <c r="E18526">
        <v>0</v>
      </c>
    </row>
    <row r="18527" spans="1:5">
      <c r="A18527" t="s">
        <v>45363</v>
      </c>
      <c r="B18527" t="s">
        <v>23969</v>
      </c>
      <c r="C18527">
        <f>0.00236773459338</f>
        <v>2.3677345933799999E-3</v>
      </c>
      <c r="D18527">
        <v>0.85726057061700001</v>
      </c>
      <c r="E18527">
        <v>0</v>
      </c>
    </row>
    <row r="18528" spans="1:5">
      <c r="A18528" t="s">
        <v>45364</v>
      </c>
      <c r="B18528" t="s">
        <v>6006</v>
      </c>
      <c r="C18528">
        <v>0.241230076194</v>
      </c>
      <c r="D18528">
        <v>0.5609402013</v>
      </c>
      <c r="E18528">
        <v>5.9340000000000002</v>
      </c>
    </row>
    <row r="18529" spans="1:5">
      <c r="A18529" t="s">
        <v>45364</v>
      </c>
      <c r="B18529" t="s">
        <v>6003</v>
      </c>
      <c r="C18529">
        <v>0.36532862747200001</v>
      </c>
      <c r="D18529">
        <v>0.5609402013</v>
      </c>
      <c r="E18529">
        <v>5.9340000000000002</v>
      </c>
    </row>
    <row r="18530" spans="1:5">
      <c r="A18530" t="s">
        <v>45365</v>
      </c>
      <c r="B18530" t="s">
        <v>28600</v>
      </c>
      <c r="C18530">
        <v>0.840685158908</v>
      </c>
      <c r="D18530">
        <v>0.86484019802300005</v>
      </c>
      <c r="E18530">
        <v>1.278</v>
      </c>
    </row>
    <row r="18531" spans="1:5">
      <c r="A18531" t="s">
        <v>45365</v>
      </c>
      <c r="B18531" t="s">
        <v>28603</v>
      </c>
      <c r="C18531">
        <f>0.166385355068</f>
        <v>0.16638535506800001</v>
      </c>
      <c r="D18531">
        <v>0.86484019802300005</v>
      </c>
      <c r="E18531">
        <v>1.278</v>
      </c>
    </row>
    <row r="18532" spans="1:5">
      <c r="A18532" t="s">
        <v>45366</v>
      </c>
      <c r="B18532" t="s">
        <v>45367</v>
      </c>
      <c r="C18532">
        <v>0</v>
      </c>
      <c r="D18532">
        <v>0.74688831637200004</v>
      </c>
      <c r="E18532">
        <v>3.78</v>
      </c>
    </row>
    <row r="18533" spans="1:5">
      <c r="A18533" t="s">
        <v>45366</v>
      </c>
      <c r="B18533" t="s">
        <v>45368</v>
      </c>
      <c r="C18533">
        <v>0.43327831637199998</v>
      </c>
      <c r="D18533">
        <v>0.74688831637200004</v>
      </c>
      <c r="E18533">
        <v>3.78</v>
      </c>
    </row>
    <row r="18534" spans="1:5">
      <c r="A18534" t="s">
        <v>45366</v>
      </c>
      <c r="B18534" t="s">
        <v>45369</v>
      </c>
      <c r="C18534">
        <v>0</v>
      </c>
      <c r="D18534">
        <v>0.74688831637200004</v>
      </c>
      <c r="E18534">
        <v>3.78</v>
      </c>
    </row>
    <row r="18535" spans="1:5">
      <c r="A18535" t="s">
        <v>45366</v>
      </c>
      <c r="B18535" t="s">
        <v>45370</v>
      </c>
      <c r="C18535">
        <v>0</v>
      </c>
      <c r="D18535">
        <v>0.74688831637200004</v>
      </c>
      <c r="E18535">
        <v>3.78</v>
      </c>
    </row>
    <row r="18536" spans="1:5">
      <c r="A18536" t="s">
        <v>45371</v>
      </c>
      <c r="B18536" t="s">
        <v>45372</v>
      </c>
      <c r="C18536">
        <f>0.90040239092</f>
        <v>0.90040239091999996</v>
      </c>
      <c r="D18536">
        <v>0.99664330438199999</v>
      </c>
      <c r="E18536">
        <v>21.42</v>
      </c>
    </row>
    <row r="18537" spans="1:5">
      <c r="A18537" t="s">
        <v>45371</v>
      </c>
      <c r="B18537" t="s">
        <v>45373</v>
      </c>
      <c r="C18537">
        <f>0</f>
        <v>0</v>
      </c>
      <c r="D18537">
        <v>0.99664330438199999</v>
      </c>
      <c r="E18537">
        <v>21.42</v>
      </c>
    </row>
    <row r="18538" spans="1:5">
      <c r="A18538" t="s">
        <v>45371</v>
      </c>
      <c r="B18538" t="s">
        <v>45374</v>
      </c>
      <c r="C18538">
        <v>2.2098489688399999E-2</v>
      </c>
      <c r="D18538">
        <v>0.99664330438199999</v>
      </c>
      <c r="E18538">
        <v>21.42</v>
      </c>
    </row>
    <row r="18539" spans="1:5">
      <c r="A18539" t="s">
        <v>45371</v>
      </c>
      <c r="B18539" t="s">
        <v>45375</v>
      </c>
      <c r="C18539">
        <v>0</v>
      </c>
      <c r="D18539">
        <v>0.99664330438199999</v>
      </c>
      <c r="E18539">
        <v>21.42</v>
      </c>
    </row>
    <row r="18540" spans="1:5">
      <c r="A18540" t="s">
        <v>45371</v>
      </c>
      <c r="B18540" t="s">
        <v>45376</v>
      </c>
      <c r="C18540">
        <v>0</v>
      </c>
      <c r="D18540">
        <v>0.99664330438199999</v>
      </c>
      <c r="E18540">
        <v>21.42</v>
      </c>
    </row>
    <row r="18541" spans="1:5">
      <c r="A18541" t="s">
        <v>45371</v>
      </c>
      <c r="B18541" t="s">
        <v>45377</v>
      </c>
      <c r="C18541">
        <f>0.0468306987524</f>
        <v>4.68306987524E-2</v>
      </c>
      <c r="D18541">
        <v>0.99664330438199999</v>
      </c>
      <c r="E18541">
        <v>21.42</v>
      </c>
    </row>
    <row r="18542" spans="1:5">
      <c r="A18542" t="s">
        <v>45371</v>
      </c>
      <c r="B18542" t="s">
        <v>45378</v>
      </c>
      <c r="C18542">
        <v>0.148662369874</v>
      </c>
      <c r="D18542">
        <v>0.99664330438199999</v>
      </c>
      <c r="E18542">
        <v>21.42</v>
      </c>
    </row>
    <row r="18543" spans="1:5">
      <c r="A18543" t="s">
        <v>45371</v>
      </c>
      <c r="B18543" t="s">
        <v>45379</v>
      </c>
      <c r="C18543">
        <f>0.398587966184</f>
        <v>0.398587966184</v>
      </c>
      <c r="D18543">
        <v>0.99664330438199999</v>
      </c>
      <c r="E18543">
        <v>21.42</v>
      </c>
    </row>
    <row r="18544" spans="1:5">
      <c r="A18544" t="s">
        <v>45371</v>
      </c>
      <c r="B18544" t="s">
        <v>45380</v>
      </c>
      <c r="C18544">
        <f>0.138481187444</f>
        <v>0.13848118744400001</v>
      </c>
      <c r="D18544">
        <v>0.99664330438199999</v>
      </c>
      <c r="E18544">
        <v>21.42</v>
      </c>
    </row>
    <row r="18545" spans="1:5">
      <c r="A18545" t="s">
        <v>45381</v>
      </c>
      <c r="B18545" t="s">
        <v>45382</v>
      </c>
      <c r="C18545">
        <v>0</v>
      </c>
      <c r="D18545">
        <v>0.88941601632900003</v>
      </c>
      <c r="E18545">
        <v>23.28</v>
      </c>
    </row>
    <row r="18546" spans="1:5">
      <c r="A18546" t="s">
        <v>45381</v>
      </c>
      <c r="B18546" t="s">
        <v>45383</v>
      </c>
      <c r="C18546">
        <v>0</v>
      </c>
      <c r="D18546">
        <v>0.88941601632900003</v>
      </c>
      <c r="E18546">
        <v>23.28</v>
      </c>
    </row>
    <row r="18547" spans="1:5">
      <c r="A18547" t="s">
        <v>45381</v>
      </c>
      <c r="B18547" t="s">
        <v>45384</v>
      </c>
      <c r="C18547">
        <v>0</v>
      </c>
      <c r="D18547">
        <v>0.88941601632900003</v>
      </c>
      <c r="E18547">
        <v>23.28</v>
      </c>
    </row>
    <row r="18548" spans="1:5">
      <c r="A18548" t="s">
        <v>45381</v>
      </c>
      <c r="B18548" t="s">
        <v>45385</v>
      </c>
      <c r="C18548">
        <v>0.207234525428</v>
      </c>
      <c r="D18548">
        <v>0.88941601632900003</v>
      </c>
      <c r="E18548">
        <v>23.28</v>
      </c>
    </row>
    <row r="18549" spans="1:5">
      <c r="A18549" t="s">
        <v>45381</v>
      </c>
      <c r="B18549" t="s">
        <v>45386</v>
      </c>
      <c r="C18549">
        <v>0</v>
      </c>
      <c r="D18549">
        <v>0.88941601632900003</v>
      </c>
      <c r="E18549">
        <v>23.28</v>
      </c>
    </row>
    <row r="18550" spans="1:5">
      <c r="A18550" t="s">
        <v>45381</v>
      </c>
      <c r="B18550" t="s">
        <v>45387</v>
      </c>
      <c r="C18550">
        <v>0</v>
      </c>
      <c r="D18550">
        <v>0.88941601632900003</v>
      </c>
      <c r="E18550">
        <v>23.28</v>
      </c>
    </row>
    <row r="18551" spans="1:5">
      <c r="A18551" t="s">
        <v>45381</v>
      </c>
      <c r="B18551" t="s">
        <v>45388</v>
      </c>
      <c r="C18551">
        <v>0</v>
      </c>
      <c r="D18551">
        <v>0.88941601632900003</v>
      </c>
      <c r="E18551">
        <v>23.28</v>
      </c>
    </row>
    <row r="18552" spans="1:5">
      <c r="A18552" t="s">
        <v>45381</v>
      </c>
      <c r="B18552" t="s">
        <v>45389</v>
      </c>
      <c r="C18552">
        <v>0</v>
      </c>
      <c r="D18552">
        <v>0.88941601632900003</v>
      </c>
      <c r="E18552">
        <v>23.28</v>
      </c>
    </row>
    <row r="18553" spans="1:5">
      <c r="A18553" t="s">
        <v>45381</v>
      </c>
      <c r="B18553" t="s">
        <v>45390</v>
      </c>
      <c r="C18553">
        <v>0.41925602189400002</v>
      </c>
      <c r="D18553">
        <v>0.88941601632900003</v>
      </c>
      <c r="E18553">
        <v>23.28</v>
      </c>
    </row>
    <row r="18554" spans="1:5">
      <c r="A18554" t="s">
        <v>45381</v>
      </c>
      <c r="B18554" t="s">
        <v>45391</v>
      </c>
      <c r="C18554">
        <f>0</f>
        <v>0</v>
      </c>
      <c r="D18554">
        <v>0.88941601632900003</v>
      </c>
      <c r="E18554">
        <v>23.28</v>
      </c>
    </row>
    <row r="18555" spans="1:5">
      <c r="A18555" t="s">
        <v>45381</v>
      </c>
      <c r="B18555" t="s">
        <v>45392</v>
      </c>
      <c r="C18555">
        <v>0</v>
      </c>
      <c r="D18555">
        <v>0.88941601632900003</v>
      </c>
      <c r="E18555">
        <v>23.28</v>
      </c>
    </row>
    <row r="18556" spans="1:5">
      <c r="A18556" t="s">
        <v>45393</v>
      </c>
      <c r="B18556" t="s">
        <v>45394</v>
      </c>
      <c r="C18556">
        <v>0</v>
      </c>
      <c r="D18556" t="s">
        <v>106</v>
      </c>
      <c r="E18556">
        <v>24</v>
      </c>
    </row>
    <row r="18557" spans="1:5">
      <c r="A18557" t="s">
        <v>45393</v>
      </c>
      <c r="B18557" t="s">
        <v>45395</v>
      </c>
      <c r="C18557">
        <v>0</v>
      </c>
      <c r="D18557" t="s">
        <v>106</v>
      </c>
      <c r="E18557">
        <v>24</v>
      </c>
    </row>
    <row r="18558" spans="1:5">
      <c r="A18558" t="s">
        <v>45393</v>
      </c>
      <c r="B18558" t="s">
        <v>45396</v>
      </c>
      <c r="C18558">
        <f>0</f>
        <v>0</v>
      </c>
      <c r="D18558" t="s">
        <v>106</v>
      </c>
      <c r="E18558">
        <v>24</v>
      </c>
    </row>
    <row r="18559" spans="1:5">
      <c r="A18559" t="s">
        <v>45393</v>
      </c>
      <c r="B18559" t="s">
        <v>45397</v>
      </c>
      <c r="C18559">
        <v>0</v>
      </c>
      <c r="D18559" t="s">
        <v>106</v>
      </c>
      <c r="E18559">
        <v>24</v>
      </c>
    </row>
    <row r="18560" spans="1:5">
      <c r="A18560" t="s">
        <v>45393</v>
      </c>
      <c r="B18560" t="s">
        <v>45398</v>
      </c>
      <c r="C18560">
        <v>0</v>
      </c>
      <c r="D18560" t="s">
        <v>106</v>
      </c>
      <c r="E18560">
        <v>24</v>
      </c>
    </row>
    <row r="18561" spans="1:5">
      <c r="A18561" t="s">
        <v>45399</v>
      </c>
      <c r="B18561" t="s">
        <v>45400</v>
      </c>
      <c r="C18561">
        <v>0</v>
      </c>
      <c r="D18561" t="s">
        <v>106</v>
      </c>
      <c r="E18561">
        <v>18.768000000000001</v>
      </c>
    </row>
    <row r="18562" spans="1:5">
      <c r="A18562" t="s">
        <v>45399</v>
      </c>
      <c r="B18562" t="s">
        <v>45401</v>
      </c>
      <c r="C18562">
        <f>0</f>
        <v>0</v>
      </c>
      <c r="D18562" t="s">
        <v>106</v>
      </c>
      <c r="E18562">
        <v>18.768000000000001</v>
      </c>
    </row>
    <row r="18563" spans="1:5">
      <c r="A18563" t="s">
        <v>45402</v>
      </c>
      <c r="B18563" t="s">
        <v>45403</v>
      </c>
      <c r="C18563">
        <v>0</v>
      </c>
      <c r="D18563" t="s">
        <v>106</v>
      </c>
      <c r="E18563">
        <v>24</v>
      </c>
    </row>
    <row r="18564" spans="1:5">
      <c r="A18564" t="s">
        <v>45402</v>
      </c>
      <c r="B18564" t="s">
        <v>45404</v>
      </c>
      <c r="C18564">
        <v>0</v>
      </c>
      <c r="D18564" t="s">
        <v>106</v>
      </c>
      <c r="E18564">
        <v>24</v>
      </c>
    </row>
    <row r="18565" spans="1:5">
      <c r="A18565" t="s">
        <v>45402</v>
      </c>
      <c r="B18565" t="s">
        <v>45405</v>
      </c>
      <c r="C18565">
        <v>0</v>
      </c>
      <c r="D18565" t="s">
        <v>106</v>
      </c>
      <c r="E18565">
        <v>24</v>
      </c>
    </row>
    <row r="18566" spans="1:5">
      <c r="A18566" t="s">
        <v>45402</v>
      </c>
      <c r="B18566" t="s">
        <v>45406</v>
      </c>
      <c r="C18566">
        <f>0</f>
        <v>0</v>
      </c>
      <c r="D18566" t="s">
        <v>106</v>
      </c>
      <c r="E18566">
        <v>24</v>
      </c>
    </row>
    <row r="18567" spans="1:5">
      <c r="A18567" t="s">
        <v>45402</v>
      </c>
      <c r="B18567" t="s">
        <v>45407</v>
      </c>
      <c r="C18567">
        <v>0</v>
      </c>
      <c r="D18567" t="s">
        <v>106</v>
      </c>
      <c r="E18567">
        <v>24</v>
      </c>
    </row>
    <row r="18568" spans="1:5">
      <c r="A18568" t="s">
        <v>45402</v>
      </c>
      <c r="B18568" t="s">
        <v>45408</v>
      </c>
      <c r="C18568">
        <v>0</v>
      </c>
      <c r="D18568" t="s">
        <v>106</v>
      </c>
      <c r="E18568">
        <v>24</v>
      </c>
    </row>
    <row r="18569" spans="1:5">
      <c r="A18569" t="s">
        <v>45409</v>
      </c>
      <c r="B18569" t="s">
        <v>45410</v>
      </c>
      <c r="C18569">
        <v>0</v>
      </c>
      <c r="D18569" t="s">
        <v>106</v>
      </c>
      <c r="E18569">
        <v>24</v>
      </c>
    </row>
    <row r="18570" spans="1:5">
      <c r="A18570" t="s">
        <v>45409</v>
      </c>
      <c r="B18570" t="s">
        <v>45411</v>
      </c>
      <c r="C18570">
        <v>0</v>
      </c>
      <c r="D18570" t="s">
        <v>106</v>
      </c>
      <c r="E18570">
        <v>24</v>
      </c>
    </row>
    <row r="18571" spans="1:5">
      <c r="A18571" t="s">
        <v>45409</v>
      </c>
      <c r="B18571" t="s">
        <v>45412</v>
      </c>
      <c r="C18571">
        <f>0</f>
        <v>0</v>
      </c>
      <c r="D18571" t="s">
        <v>106</v>
      </c>
      <c r="E18571">
        <v>24</v>
      </c>
    </row>
    <row r="18572" spans="1:5">
      <c r="A18572" t="s">
        <v>45413</v>
      </c>
      <c r="B18572" t="s">
        <v>15007</v>
      </c>
      <c r="C18572">
        <v>6.4547870113699996E-3</v>
      </c>
      <c r="D18572">
        <v>0.64147980839100005</v>
      </c>
      <c r="E18572">
        <v>23.754000000000001</v>
      </c>
    </row>
    <row r="18573" spans="1:5">
      <c r="A18573" t="s">
        <v>45413</v>
      </c>
      <c r="B18573" t="s">
        <v>15006</v>
      </c>
      <c r="C18573">
        <v>0.44415855681799998</v>
      </c>
      <c r="D18573">
        <v>0.64147980839100005</v>
      </c>
      <c r="E18573">
        <v>23.754000000000001</v>
      </c>
    </row>
    <row r="18574" spans="1:5">
      <c r="A18574" t="s">
        <v>45414</v>
      </c>
      <c r="B18574" t="s">
        <v>27256</v>
      </c>
      <c r="C18574">
        <v>0.53444745649000003</v>
      </c>
      <c r="D18574">
        <v>0.83097123606800005</v>
      </c>
      <c r="E18574">
        <v>3.972</v>
      </c>
    </row>
    <row r="18575" spans="1:5">
      <c r="A18575" t="s">
        <v>45414</v>
      </c>
      <c r="B18575" t="s">
        <v>27260</v>
      </c>
      <c r="C18575">
        <v>0.480816227185</v>
      </c>
      <c r="D18575">
        <v>0.83097123606800005</v>
      </c>
      <c r="E18575">
        <v>3.972</v>
      </c>
    </row>
    <row r="18576" spans="1:5">
      <c r="A18576" t="s">
        <v>45415</v>
      </c>
      <c r="B18576" t="s">
        <v>45416</v>
      </c>
      <c r="C18576">
        <f>0.317907825179</f>
        <v>0.31790782517900001</v>
      </c>
      <c r="D18576">
        <v>0.90684323168400005</v>
      </c>
      <c r="E18576">
        <v>9.3179999999999996</v>
      </c>
    </row>
    <row r="18577" spans="1:5">
      <c r="A18577" t="s">
        <v>45415</v>
      </c>
      <c r="B18577" t="s">
        <v>45417</v>
      </c>
      <c r="C18577">
        <v>0.19397807044199999</v>
      </c>
      <c r="D18577">
        <v>0.90684323168400005</v>
      </c>
      <c r="E18577">
        <v>9.3179999999999996</v>
      </c>
    </row>
    <row r="18578" spans="1:5">
      <c r="A18578" t="s">
        <v>45415</v>
      </c>
      <c r="B18578" t="s">
        <v>45418</v>
      </c>
      <c r="C18578">
        <f>0.440240934874</f>
        <v>0.44024093487400001</v>
      </c>
      <c r="D18578">
        <v>0.90684323168400005</v>
      </c>
      <c r="E18578">
        <v>9.3179999999999996</v>
      </c>
    </row>
    <row r="18579" spans="1:5">
      <c r="A18579" t="s">
        <v>45415</v>
      </c>
      <c r="B18579" t="s">
        <v>45419</v>
      </c>
      <c r="C18579">
        <v>0.52756212767800004</v>
      </c>
      <c r="D18579">
        <v>0.90684323168400005</v>
      </c>
      <c r="E18579">
        <v>9.3179999999999996</v>
      </c>
    </row>
    <row r="18580" spans="1:5">
      <c r="A18580" t="s">
        <v>45420</v>
      </c>
      <c r="B18580" t="s">
        <v>21433</v>
      </c>
      <c r="C18580">
        <f>0.7086390501</f>
        <v>0.70863905009999995</v>
      </c>
      <c r="D18580">
        <v>0.81104905009999995</v>
      </c>
      <c r="E18580">
        <v>24</v>
      </c>
    </row>
    <row r="18581" spans="1:5">
      <c r="A18581" t="s">
        <v>45420</v>
      </c>
      <c r="B18581" t="s">
        <v>21434</v>
      </c>
      <c r="C18581">
        <f>0</f>
        <v>0</v>
      </c>
      <c r="D18581">
        <v>0.81104905009999995</v>
      </c>
      <c r="E18581">
        <v>24</v>
      </c>
    </row>
    <row r="18582" spans="1:5">
      <c r="A18582" t="s">
        <v>45421</v>
      </c>
      <c r="B18582" t="s">
        <v>45422</v>
      </c>
      <c r="C18582">
        <f>0</f>
        <v>0</v>
      </c>
      <c r="D18582" t="s">
        <v>106</v>
      </c>
      <c r="E18582">
        <v>4.0739999999999998</v>
      </c>
    </row>
    <row r="18583" spans="1:5">
      <c r="A18583" t="s">
        <v>45421</v>
      </c>
      <c r="B18583" t="s">
        <v>45423</v>
      </c>
      <c r="C18583">
        <v>0</v>
      </c>
      <c r="D18583" t="s">
        <v>106</v>
      </c>
      <c r="E18583">
        <v>4.0739999999999998</v>
      </c>
    </row>
    <row r="18584" spans="1:5">
      <c r="A18584" t="s">
        <v>45421</v>
      </c>
      <c r="B18584" t="s">
        <v>45424</v>
      </c>
      <c r="C18584">
        <v>0</v>
      </c>
      <c r="D18584" t="s">
        <v>106</v>
      </c>
      <c r="E18584">
        <v>4.0739999999999998</v>
      </c>
    </row>
    <row r="18585" spans="1:5">
      <c r="A18585" t="s">
        <v>45425</v>
      </c>
      <c r="B18585" t="s">
        <v>17191</v>
      </c>
      <c r="C18585">
        <f>0.769674611147</f>
        <v>0.76967461114699998</v>
      </c>
      <c r="D18585">
        <v>0.91418337555100004</v>
      </c>
      <c r="E18585">
        <v>0.54</v>
      </c>
    </row>
    <row r="18586" spans="1:5">
      <c r="A18586" t="s">
        <v>45425</v>
      </c>
      <c r="B18586" t="s">
        <v>17189</v>
      </c>
      <c r="C18586">
        <f>0.901344792375</f>
        <v>0.90134479237499998</v>
      </c>
      <c r="D18586">
        <v>0.91418337555100004</v>
      </c>
      <c r="E18586">
        <v>0.54</v>
      </c>
    </row>
    <row r="18587" spans="1:5">
      <c r="A18587" t="s">
        <v>45426</v>
      </c>
      <c r="B18587" t="s">
        <v>18285</v>
      </c>
      <c r="C18587">
        <v>0.38660844410200002</v>
      </c>
      <c r="D18587">
        <v>0.75760399706899995</v>
      </c>
      <c r="E18587">
        <v>24</v>
      </c>
    </row>
    <row r="18588" spans="1:5">
      <c r="A18588" t="s">
        <v>45426</v>
      </c>
      <c r="B18588" t="s">
        <v>18284</v>
      </c>
      <c r="C18588">
        <v>0.42478856170200002</v>
      </c>
      <c r="D18588">
        <v>0.75760399706899995</v>
      </c>
      <c r="E18588">
        <v>24</v>
      </c>
    </row>
    <row r="18589" spans="1:5">
      <c r="A18589" t="s">
        <v>45427</v>
      </c>
      <c r="B18589" t="s">
        <v>28006</v>
      </c>
      <c r="C18589">
        <f>0</f>
        <v>0</v>
      </c>
      <c r="D18589" t="s">
        <v>106</v>
      </c>
      <c r="E18589">
        <v>0.13200000000000001</v>
      </c>
    </row>
    <row r="18590" spans="1:5">
      <c r="A18590" t="s">
        <v>45427</v>
      </c>
      <c r="B18590" t="s">
        <v>28007</v>
      </c>
      <c r="C18590">
        <f>0</f>
        <v>0</v>
      </c>
      <c r="D18590" t="s">
        <v>106</v>
      </c>
      <c r="E18590">
        <v>0.13200000000000001</v>
      </c>
    </row>
    <row r="18591" spans="1:5">
      <c r="A18591" t="s">
        <v>45427</v>
      </c>
      <c r="B18591" t="s">
        <v>28009</v>
      </c>
      <c r="C18591">
        <f>0</f>
        <v>0</v>
      </c>
      <c r="D18591" t="s">
        <v>106</v>
      </c>
      <c r="E18591">
        <v>0.13200000000000001</v>
      </c>
    </row>
    <row r="18592" spans="1:5">
      <c r="A18592" t="s">
        <v>45427</v>
      </c>
      <c r="B18592" t="s">
        <v>28005</v>
      </c>
      <c r="C18592">
        <f>0</f>
        <v>0</v>
      </c>
      <c r="D18592" t="s">
        <v>106</v>
      </c>
      <c r="E18592">
        <v>0.13200000000000001</v>
      </c>
    </row>
    <row r="18593" spans="1:5">
      <c r="A18593" t="s">
        <v>45427</v>
      </c>
      <c r="B18593" t="s">
        <v>28008</v>
      </c>
      <c r="C18593">
        <f>0</f>
        <v>0</v>
      </c>
      <c r="D18593" t="s">
        <v>106</v>
      </c>
      <c r="E18593">
        <v>0.13200000000000001</v>
      </c>
    </row>
    <row r="18594" spans="1:5">
      <c r="A18594" t="s">
        <v>45428</v>
      </c>
      <c r="B18594" t="s">
        <v>45429</v>
      </c>
      <c r="C18594">
        <v>0</v>
      </c>
      <c r="D18594">
        <v>0.62411834997000004</v>
      </c>
      <c r="E18594">
        <v>3.2280000000000002</v>
      </c>
    </row>
    <row r="18595" spans="1:5">
      <c r="A18595" t="s">
        <v>45428</v>
      </c>
      <c r="B18595" t="s">
        <v>45430</v>
      </c>
      <c r="C18595">
        <f>0</f>
        <v>0</v>
      </c>
      <c r="D18595">
        <v>0.62411834997000004</v>
      </c>
      <c r="E18595">
        <v>3.2280000000000002</v>
      </c>
    </row>
    <row r="18596" spans="1:5">
      <c r="A18596" t="s">
        <v>45428</v>
      </c>
      <c r="B18596" t="s">
        <v>45431</v>
      </c>
      <c r="C18596">
        <f>0</f>
        <v>0</v>
      </c>
      <c r="D18596">
        <v>0.62411834997000004</v>
      </c>
      <c r="E18596">
        <v>3.2280000000000002</v>
      </c>
    </row>
    <row r="18597" spans="1:5">
      <c r="A18597" t="s">
        <v>45428</v>
      </c>
      <c r="B18597" t="s">
        <v>45432</v>
      </c>
      <c r="C18597">
        <f>0</f>
        <v>0</v>
      </c>
      <c r="D18597">
        <v>0.62411834997000004</v>
      </c>
      <c r="E18597">
        <v>3.2280000000000002</v>
      </c>
    </row>
    <row r="18598" spans="1:5">
      <c r="A18598" t="s">
        <v>45428</v>
      </c>
      <c r="B18598" t="s">
        <v>45433</v>
      </c>
      <c r="C18598">
        <f>0.0465083499699</f>
        <v>4.6508349969899998E-2</v>
      </c>
      <c r="D18598">
        <v>0.62411834997000004</v>
      </c>
      <c r="E18598">
        <v>3.2280000000000002</v>
      </c>
    </row>
    <row r="18599" spans="1:5">
      <c r="A18599" t="s">
        <v>45428</v>
      </c>
      <c r="B18599" t="s">
        <v>45434</v>
      </c>
      <c r="C18599">
        <v>0</v>
      </c>
      <c r="D18599">
        <v>0.62411834997000004</v>
      </c>
      <c r="E18599">
        <v>3.2280000000000002</v>
      </c>
    </row>
    <row r="18600" spans="1:5">
      <c r="A18600" t="s">
        <v>45435</v>
      </c>
      <c r="B18600" t="s">
        <v>45436</v>
      </c>
      <c r="C18600">
        <f>0</f>
        <v>0</v>
      </c>
      <c r="D18600" t="s">
        <v>106</v>
      </c>
      <c r="E18600">
        <v>0.24</v>
      </c>
    </row>
    <row r="18601" spans="1:5">
      <c r="A18601" t="s">
        <v>45435</v>
      </c>
      <c r="B18601" t="s">
        <v>45437</v>
      </c>
      <c r="C18601">
        <v>0</v>
      </c>
      <c r="D18601" t="s">
        <v>106</v>
      </c>
      <c r="E18601">
        <v>0.24</v>
      </c>
    </row>
    <row r="18602" spans="1:5">
      <c r="A18602" t="s">
        <v>45435</v>
      </c>
      <c r="B18602" t="s">
        <v>45438</v>
      </c>
      <c r="C18602">
        <f>0</f>
        <v>0</v>
      </c>
      <c r="D18602" t="s">
        <v>106</v>
      </c>
      <c r="E18602">
        <v>0.24</v>
      </c>
    </row>
    <row r="18603" spans="1:5">
      <c r="A18603" t="s">
        <v>45439</v>
      </c>
      <c r="B18603" t="s">
        <v>45440</v>
      </c>
      <c r="C18603">
        <v>0</v>
      </c>
      <c r="D18603" t="s">
        <v>106</v>
      </c>
      <c r="E18603">
        <v>2.1059999999999999</v>
      </c>
    </row>
    <row r="18604" spans="1:5">
      <c r="A18604" t="s">
        <v>45439</v>
      </c>
      <c r="B18604" t="s">
        <v>45441</v>
      </c>
      <c r="C18604">
        <v>0</v>
      </c>
      <c r="D18604" t="s">
        <v>106</v>
      </c>
      <c r="E18604">
        <v>2.1059999999999999</v>
      </c>
    </row>
    <row r="18605" spans="1:5">
      <c r="A18605" t="s">
        <v>45439</v>
      </c>
      <c r="B18605" t="s">
        <v>45442</v>
      </c>
      <c r="C18605">
        <v>0</v>
      </c>
      <c r="D18605" t="s">
        <v>106</v>
      </c>
      <c r="E18605">
        <v>2.1059999999999999</v>
      </c>
    </row>
    <row r="18606" spans="1:5">
      <c r="A18606" t="s">
        <v>45443</v>
      </c>
      <c r="B18606" t="s">
        <v>45444</v>
      </c>
      <c r="C18606">
        <f>0.566288320816</f>
        <v>0.566288320816</v>
      </c>
      <c r="D18606">
        <v>0.95032685052200006</v>
      </c>
      <c r="E18606">
        <v>23.754000000000001</v>
      </c>
    </row>
    <row r="18607" spans="1:5">
      <c r="A18607" t="s">
        <v>45443</v>
      </c>
      <c r="B18607" t="s">
        <v>45445</v>
      </c>
      <c r="C18607">
        <f>0.620000270177</f>
        <v>0.62000027017699999</v>
      </c>
      <c r="D18607">
        <v>0.95032685052200006</v>
      </c>
      <c r="E18607">
        <v>23.754000000000001</v>
      </c>
    </row>
    <row r="18608" spans="1:5">
      <c r="A18608" t="s">
        <v>45443</v>
      </c>
      <c r="B18608" t="s">
        <v>45446</v>
      </c>
      <c r="C18608">
        <f>0</f>
        <v>0</v>
      </c>
      <c r="D18608">
        <v>0.95032685052200006</v>
      </c>
      <c r="E18608">
        <v>23.754000000000001</v>
      </c>
    </row>
    <row r="18609" spans="1:5">
      <c r="A18609" t="s">
        <v>45443</v>
      </c>
      <c r="B18609" t="s">
        <v>45447</v>
      </c>
      <c r="C18609">
        <f>0.77838905628</f>
        <v>0.77838905627999999</v>
      </c>
      <c r="D18609">
        <v>0.95032685052200006</v>
      </c>
      <c r="E18609">
        <v>23.754000000000001</v>
      </c>
    </row>
    <row r="18610" spans="1:5">
      <c r="A18610" t="s">
        <v>45448</v>
      </c>
      <c r="B18610" t="s">
        <v>45449</v>
      </c>
      <c r="C18610">
        <f>0.158893262542</f>
        <v>0.15889326254200001</v>
      </c>
      <c r="D18610">
        <v>0.91221461023600003</v>
      </c>
      <c r="E18610">
        <v>24</v>
      </c>
    </row>
    <row r="18611" spans="1:5">
      <c r="A18611" t="s">
        <v>45448</v>
      </c>
      <c r="B18611" t="s">
        <v>45450</v>
      </c>
      <c r="C18611">
        <f>0.1669069438</f>
        <v>0.16690694380000001</v>
      </c>
      <c r="D18611">
        <v>0.91221461023600003</v>
      </c>
      <c r="E18611">
        <v>24</v>
      </c>
    </row>
    <row r="18612" spans="1:5">
      <c r="A18612" t="s">
        <v>45448</v>
      </c>
      <c r="B18612" t="s">
        <v>45451</v>
      </c>
      <c r="C18612">
        <f>0.621786500699</f>
        <v>0.62178650069899999</v>
      </c>
      <c r="D18612">
        <v>0.91221461023600003</v>
      </c>
      <c r="E18612">
        <v>24</v>
      </c>
    </row>
    <row r="18613" spans="1:5">
      <c r="A18613" t="s">
        <v>45448</v>
      </c>
      <c r="B18613" t="s">
        <v>45452</v>
      </c>
      <c r="C18613">
        <f>0.248980268894</f>
        <v>0.24898026889399999</v>
      </c>
      <c r="D18613">
        <v>0.91221461023600003</v>
      </c>
      <c r="E18613">
        <v>24</v>
      </c>
    </row>
    <row r="18614" spans="1:5">
      <c r="A18614" t="s">
        <v>45453</v>
      </c>
      <c r="B18614" t="s">
        <v>33546</v>
      </c>
      <c r="C18614">
        <v>0</v>
      </c>
      <c r="D18614">
        <v>0.55684591599400002</v>
      </c>
      <c r="E18614">
        <v>1.17</v>
      </c>
    </row>
    <row r="18615" spans="1:5">
      <c r="A18615" t="s">
        <v>45453</v>
      </c>
      <c r="B18615" t="s">
        <v>33549</v>
      </c>
      <c r="C18615">
        <v>0</v>
      </c>
      <c r="D18615">
        <v>0.55684591599400002</v>
      </c>
      <c r="E18615">
        <v>1.17</v>
      </c>
    </row>
    <row r="18616" spans="1:5">
      <c r="A18616" t="s">
        <v>45453</v>
      </c>
      <c r="B18616" t="s">
        <v>33550</v>
      </c>
      <c r="C18616">
        <v>0.28643591599399998</v>
      </c>
      <c r="D18616">
        <v>0.55684591599400002</v>
      </c>
      <c r="E18616">
        <v>1.17</v>
      </c>
    </row>
    <row r="18617" spans="1:5">
      <c r="A18617" t="s">
        <v>45454</v>
      </c>
      <c r="B18617" t="s">
        <v>6608</v>
      </c>
      <c r="C18617">
        <f>0.519650301053</f>
        <v>0.51965030105300003</v>
      </c>
      <c r="D18617">
        <v>0.64926030105300003</v>
      </c>
      <c r="E18617">
        <v>5.58</v>
      </c>
    </row>
    <row r="18618" spans="1:5">
      <c r="A18618" t="s">
        <v>45454</v>
      </c>
      <c r="B18618" t="s">
        <v>6610</v>
      </c>
      <c r="C18618">
        <v>0</v>
      </c>
      <c r="D18618">
        <v>0.64926030105300003</v>
      </c>
      <c r="E18618">
        <v>5.58</v>
      </c>
    </row>
    <row r="18619" spans="1:5">
      <c r="A18619" t="s">
        <v>45455</v>
      </c>
      <c r="B18619" t="s">
        <v>45456</v>
      </c>
      <c r="C18619">
        <v>0</v>
      </c>
      <c r="D18619" t="s">
        <v>106</v>
      </c>
      <c r="E18619">
        <v>4.8000000000000001E-2</v>
      </c>
    </row>
    <row r="18620" spans="1:5">
      <c r="A18620" t="s">
        <v>45455</v>
      </c>
      <c r="B18620" t="s">
        <v>45457</v>
      </c>
      <c r="C18620">
        <v>0</v>
      </c>
      <c r="D18620" t="s">
        <v>106</v>
      </c>
      <c r="E18620">
        <v>4.8000000000000001E-2</v>
      </c>
    </row>
    <row r="18621" spans="1:5">
      <c r="A18621" t="s">
        <v>45458</v>
      </c>
      <c r="B18621" t="s">
        <v>45459</v>
      </c>
      <c r="C18621">
        <v>0.40821531698000002</v>
      </c>
      <c r="D18621">
        <v>0.90331030361999998</v>
      </c>
      <c r="E18621">
        <v>23.52</v>
      </c>
    </row>
    <row r="18622" spans="1:5">
      <c r="A18622" t="s">
        <v>45458</v>
      </c>
      <c r="B18622" t="s">
        <v>45460</v>
      </c>
      <c r="C18622">
        <v>0</v>
      </c>
      <c r="D18622">
        <v>0.90331030361999998</v>
      </c>
      <c r="E18622">
        <v>23.52</v>
      </c>
    </row>
    <row r="18623" spans="1:5">
      <c r="A18623" t="s">
        <v>45458</v>
      </c>
      <c r="B18623" t="s">
        <v>45461</v>
      </c>
      <c r="C18623">
        <v>0.231534274185</v>
      </c>
      <c r="D18623">
        <v>0.90331030361999998</v>
      </c>
      <c r="E18623">
        <v>23.52</v>
      </c>
    </row>
    <row r="18624" spans="1:5">
      <c r="A18624" t="s">
        <v>45458</v>
      </c>
      <c r="B18624" t="s">
        <v>45462</v>
      </c>
      <c r="C18624">
        <v>0.360449915033</v>
      </c>
      <c r="D18624">
        <v>0.90331030361999998</v>
      </c>
      <c r="E18624">
        <v>23.52</v>
      </c>
    </row>
    <row r="18625" spans="1:5">
      <c r="A18625" t="s">
        <v>45458</v>
      </c>
      <c r="B18625" t="s">
        <v>45463</v>
      </c>
      <c r="C18625">
        <f>0</f>
        <v>0</v>
      </c>
      <c r="D18625">
        <v>0.90331030361999998</v>
      </c>
      <c r="E18625">
        <v>23.52</v>
      </c>
    </row>
    <row r="18626" spans="1:5">
      <c r="A18626" t="s">
        <v>45458</v>
      </c>
      <c r="B18626" t="s">
        <v>45464</v>
      </c>
      <c r="C18626">
        <v>0</v>
      </c>
      <c r="D18626">
        <v>0.90331030361999998</v>
      </c>
      <c r="E18626">
        <v>23.52</v>
      </c>
    </row>
    <row r="18627" spans="1:5">
      <c r="A18627" t="s">
        <v>45465</v>
      </c>
      <c r="B18627" t="s">
        <v>45466</v>
      </c>
      <c r="C18627">
        <f>0</f>
        <v>0</v>
      </c>
      <c r="D18627">
        <v>0.88580360687399995</v>
      </c>
      <c r="E18627">
        <v>1.512</v>
      </c>
    </row>
    <row r="18628" spans="1:5">
      <c r="A18628" t="s">
        <v>45465</v>
      </c>
      <c r="B18628" t="s">
        <v>45467</v>
      </c>
      <c r="C18628">
        <v>0</v>
      </c>
      <c r="D18628">
        <v>0.88580360687399995</v>
      </c>
      <c r="E18628">
        <v>1.512</v>
      </c>
    </row>
    <row r="18629" spans="1:5">
      <c r="A18629" t="s">
        <v>45465</v>
      </c>
      <c r="B18629" t="s">
        <v>45468</v>
      </c>
      <c r="C18629">
        <v>0</v>
      </c>
      <c r="D18629">
        <v>0.88580360687399995</v>
      </c>
      <c r="E18629">
        <v>1.512</v>
      </c>
    </row>
    <row r="18630" spans="1:5">
      <c r="A18630" t="s">
        <v>45465</v>
      </c>
      <c r="B18630" t="s">
        <v>45469</v>
      </c>
      <c r="C18630">
        <f>0.422444141575</f>
        <v>0.42244414157499999</v>
      </c>
      <c r="D18630">
        <v>0.88580360687399995</v>
      </c>
      <c r="E18630">
        <v>1.512</v>
      </c>
    </row>
    <row r="18631" spans="1:5">
      <c r="A18631" t="s">
        <v>45465</v>
      </c>
      <c r="B18631" t="s">
        <v>45470</v>
      </c>
      <c r="C18631">
        <f>0</f>
        <v>0</v>
      </c>
      <c r="D18631">
        <v>0.88580360687399995</v>
      </c>
      <c r="E18631">
        <v>1.512</v>
      </c>
    </row>
    <row r="18632" spans="1:5">
      <c r="A18632" t="s">
        <v>45465</v>
      </c>
      <c r="B18632" t="s">
        <v>45471</v>
      </c>
      <c r="C18632">
        <f>0.321843026491</f>
        <v>0.32184302649099999</v>
      </c>
      <c r="D18632">
        <v>0.88580360687399995</v>
      </c>
      <c r="E18632">
        <v>1.512</v>
      </c>
    </row>
    <row r="18633" spans="1:5">
      <c r="A18633" t="s">
        <v>45472</v>
      </c>
      <c r="B18633" t="s">
        <v>45473</v>
      </c>
      <c r="C18633">
        <v>0.41732999713899999</v>
      </c>
      <c r="D18633">
        <v>0.95813415897599996</v>
      </c>
      <c r="E18633">
        <v>5.58</v>
      </c>
    </row>
    <row r="18634" spans="1:5">
      <c r="A18634" t="s">
        <v>45472</v>
      </c>
      <c r="B18634" t="s">
        <v>45474</v>
      </c>
      <c r="C18634">
        <f>0.295745388226</f>
        <v>0.29574538822599999</v>
      </c>
      <c r="D18634">
        <v>0.95813415897599996</v>
      </c>
      <c r="E18634">
        <v>5.58</v>
      </c>
    </row>
    <row r="18635" spans="1:5">
      <c r="A18635" t="s">
        <v>45472</v>
      </c>
      <c r="B18635" t="s">
        <v>45475</v>
      </c>
      <c r="C18635">
        <v>0.149825014418</v>
      </c>
      <c r="D18635">
        <v>0.95813415897599996</v>
      </c>
      <c r="E18635">
        <v>5.58</v>
      </c>
    </row>
    <row r="18636" spans="1:5">
      <c r="A18636" t="s">
        <v>45472</v>
      </c>
      <c r="B18636" t="s">
        <v>45476</v>
      </c>
      <c r="C18636">
        <v>0</v>
      </c>
      <c r="D18636">
        <v>0.95813415897599996</v>
      </c>
      <c r="E18636">
        <v>5.58</v>
      </c>
    </row>
    <row r="18637" spans="1:5">
      <c r="A18637" t="s">
        <v>45472</v>
      </c>
      <c r="B18637" t="s">
        <v>45477</v>
      </c>
      <c r="C18637">
        <v>0.123968539157</v>
      </c>
      <c r="D18637">
        <v>0.95813415897599996</v>
      </c>
      <c r="E18637">
        <v>5.58</v>
      </c>
    </row>
    <row r="18638" spans="1:5">
      <c r="A18638" t="s">
        <v>45472</v>
      </c>
      <c r="B18638" t="s">
        <v>45478</v>
      </c>
      <c r="C18638">
        <v>0.28523451398900002</v>
      </c>
      <c r="D18638">
        <v>0.95813415897599996</v>
      </c>
      <c r="E18638">
        <v>5.58</v>
      </c>
    </row>
    <row r="18639" spans="1:5">
      <c r="A18639" t="s">
        <v>45472</v>
      </c>
      <c r="B18639" t="s">
        <v>45479</v>
      </c>
      <c r="C18639">
        <v>0</v>
      </c>
      <c r="D18639">
        <v>0.95813415897599996</v>
      </c>
      <c r="E18639">
        <v>5.58</v>
      </c>
    </row>
    <row r="18640" spans="1:5">
      <c r="A18640" t="s">
        <v>45480</v>
      </c>
      <c r="B18640" t="s">
        <v>3174</v>
      </c>
      <c r="C18640">
        <f>0.344009168142</f>
        <v>0.344009168142</v>
      </c>
      <c r="D18640">
        <v>0.72367045709800004</v>
      </c>
      <c r="E18640">
        <v>1.5720000000000001</v>
      </c>
    </row>
    <row r="18641" spans="1:5">
      <c r="A18641" t="s">
        <v>45480</v>
      </c>
      <c r="B18641" t="s">
        <v>3180</v>
      </c>
      <c r="C18641">
        <f>0.194662028314</f>
        <v>0.19466202831400001</v>
      </c>
      <c r="D18641">
        <v>0.72367045709800004</v>
      </c>
      <c r="E18641">
        <v>1.5720000000000001</v>
      </c>
    </row>
    <row r="18642" spans="1:5">
      <c r="A18642" t="s">
        <v>45480</v>
      </c>
      <c r="B18642" t="s">
        <v>3179</v>
      </c>
      <c r="C18642">
        <f>0</f>
        <v>0</v>
      </c>
      <c r="D18642">
        <v>0.72367045709800004</v>
      </c>
      <c r="E18642">
        <v>1.5720000000000001</v>
      </c>
    </row>
    <row r="18643" spans="1:5">
      <c r="A18643" t="s">
        <v>45481</v>
      </c>
      <c r="B18643" t="s">
        <v>14078</v>
      </c>
      <c r="C18643">
        <v>0.74288199988600001</v>
      </c>
      <c r="D18643">
        <v>0.87200165680800001</v>
      </c>
      <c r="E18643">
        <v>18.768000000000001</v>
      </c>
    </row>
    <row r="18644" spans="1:5">
      <c r="A18644" t="s">
        <v>45481</v>
      </c>
      <c r="B18644" t="s">
        <v>14079</v>
      </c>
      <c r="C18644">
        <f>0.240460426932</f>
        <v>0.24046042693200001</v>
      </c>
      <c r="D18644">
        <v>0.87200165680800001</v>
      </c>
      <c r="E18644">
        <v>18.768000000000001</v>
      </c>
    </row>
    <row r="18645" spans="1:5">
      <c r="A18645" t="s">
        <v>45482</v>
      </c>
      <c r="B18645" t="s">
        <v>45483</v>
      </c>
      <c r="C18645">
        <v>0</v>
      </c>
      <c r="D18645" t="s">
        <v>106</v>
      </c>
      <c r="E18645">
        <v>0.13200000000000001</v>
      </c>
    </row>
    <row r="18646" spans="1:5">
      <c r="A18646" t="s">
        <v>45482</v>
      </c>
      <c r="B18646" t="s">
        <v>45484</v>
      </c>
      <c r="C18646">
        <v>0</v>
      </c>
      <c r="D18646" t="s">
        <v>106</v>
      </c>
      <c r="E18646">
        <v>0.13200000000000001</v>
      </c>
    </row>
    <row r="18647" spans="1:5">
      <c r="A18647" t="s">
        <v>45485</v>
      </c>
      <c r="B18647" t="s">
        <v>2620</v>
      </c>
      <c r="C18647">
        <v>0.37479690239800001</v>
      </c>
      <c r="D18647">
        <v>0.73954768580499997</v>
      </c>
      <c r="E18647">
        <v>1.17</v>
      </c>
    </row>
    <row r="18648" spans="1:5">
      <c r="A18648" t="s">
        <v>45485</v>
      </c>
      <c r="B18648" t="s">
        <v>2621</v>
      </c>
      <c r="C18648">
        <f>0.0589145171595</f>
        <v>5.8914517159500003E-2</v>
      </c>
      <c r="D18648">
        <v>0.73954768580499997</v>
      </c>
      <c r="E18648">
        <v>1.17</v>
      </c>
    </row>
    <row r="18649" spans="1:5">
      <c r="A18649" t="s">
        <v>45485</v>
      </c>
      <c r="B18649" t="s">
        <v>2619</v>
      </c>
      <c r="C18649">
        <f>0</f>
        <v>0</v>
      </c>
      <c r="D18649">
        <v>0.73954768580499997</v>
      </c>
      <c r="E18649">
        <v>1.17</v>
      </c>
    </row>
    <row r="18650" spans="1:5">
      <c r="A18650" t="s">
        <v>45486</v>
      </c>
      <c r="B18650" t="s">
        <v>1863</v>
      </c>
      <c r="C18650">
        <v>0.54236018308199996</v>
      </c>
      <c r="D18650">
        <v>0.99999984550900001</v>
      </c>
      <c r="E18650">
        <v>0.73799999999999999</v>
      </c>
    </row>
    <row r="18651" spans="1:5">
      <c r="A18651" t="s">
        <v>45486</v>
      </c>
      <c r="B18651" t="s">
        <v>1873</v>
      </c>
      <c r="C18651">
        <v>0.75207322811800004</v>
      </c>
      <c r="D18651">
        <v>0.99999984550900001</v>
      </c>
      <c r="E18651">
        <v>0.73799999999999999</v>
      </c>
    </row>
    <row r="18652" spans="1:5">
      <c r="A18652" t="s">
        <v>45486</v>
      </c>
      <c r="B18652" t="s">
        <v>1868</v>
      </c>
      <c r="C18652">
        <f>0.258154841175</f>
        <v>0.25815484117499998</v>
      </c>
      <c r="D18652">
        <v>0.99999984550900001</v>
      </c>
      <c r="E18652">
        <v>0.73799999999999999</v>
      </c>
    </row>
    <row r="18653" spans="1:5">
      <c r="A18653" t="s">
        <v>45486</v>
      </c>
      <c r="B18653" t="s">
        <v>1870</v>
      </c>
      <c r="C18653">
        <f>0.377562339261</f>
        <v>0.37756233926100002</v>
      </c>
      <c r="D18653">
        <v>0.99999984550900001</v>
      </c>
      <c r="E18653">
        <v>0.73799999999999999</v>
      </c>
    </row>
    <row r="18654" spans="1:5">
      <c r="A18654" t="s">
        <v>45486</v>
      </c>
      <c r="B18654" t="s">
        <v>1869</v>
      </c>
      <c r="C18654">
        <v>0.14707175648099999</v>
      </c>
      <c r="D18654">
        <v>0.99999984550900001</v>
      </c>
      <c r="E18654">
        <v>0.73799999999999999</v>
      </c>
    </row>
    <row r="18655" spans="1:5">
      <c r="A18655" t="s">
        <v>45486</v>
      </c>
      <c r="B18655" t="s">
        <v>1872</v>
      </c>
      <c r="C18655">
        <v>8.0102893148499998E-2</v>
      </c>
      <c r="D18655">
        <v>0.99999984550900001</v>
      </c>
      <c r="E18655">
        <v>0.73799999999999999</v>
      </c>
    </row>
    <row r="18656" spans="1:5">
      <c r="A18656" t="s">
        <v>45486</v>
      </c>
      <c r="B18656" t="s">
        <v>1865</v>
      </c>
      <c r="C18656">
        <v>0.64560331312200003</v>
      </c>
      <c r="D18656">
        <v>0.99999984550900001</v>
      </c>
      <c r="E18656">
        <v>0.73799999999999999</v>
      </c>
    </row>
    <row r="18657" spans="1:5">
      <c r="A18657" t="s">
        <v>45486</v>
      </c>
      <c r="B18657" t="s">
        <v>1874</v>
      </c>
      <c r="C18657">
        <f>0.864804280408</f>
        <v>0.86480428040799995</v>
      </c>
      <c r="D18657">
        <v>0.99999984550900001</v>
      </c>
      <c r="E18657">
        <v>0.73799999999999999</v>
      </c>
    </row>
    <row r="18658" spans="1:5">
      <c r="A18658" t="s">
        <v>45487</v>
      </c>
      <c r="B18658" t="s">
        <v>45488</v>
      </c>
      <c r="C18658">
        <f>0</f>
        <v>0</v>
      </c>
      <c r="D18658" t="s">
        <v>106</v>
      </c>
      <c r="E18658">
        <v>24</v>
      </c>
    </row>
    <row r="18659" spans="1:5">
      <c r="A18659" t="s">
        <v>45487</v>
      </c>
      <c r="B18659" t="s">
        <v>45489</v>
      </c>
      <c r="C18659">
        <v>0</v>
      </c>
      <c r="D18659" t="s">
        <v>106</v>
      </c>
      <c r="E18659">
        <v>24</v>
      </c>
    </row>
    <row r="18660" spans="1:5">
      <c r="A18660" t="s">
        <v>45487</v>
      </c>
      <c r="B18660" t="s">
        <v>45490</v>
      </c>
      <c r="C18660">
        <v>0</v>
      </c>
      <c r="D18660" t="s">
        <v>106</v>
      </c>
      <c r="E18660">
        <v>24</v>
      </c>
    </row>
    <row r="18661" spans="1:5">
      <c r="A18661" t="s">
        <v>45487</v>
      </c>
      <c r="B18661" t="s">
        <v>45491</v>
      </c>
      <c r="C18661">
        <v>0</v>
      </c>
      <c r="D18661" t="s">
        <v>106</v>
      </c>
      <c r="E18661">
        <v>24</v>
      </c>
    </row>
    <row r="18662" spans="1:5">
      <c r="A18662" t="s">
        <v>45492</v>
      </c>
      <c r="B18662" t="s">
        <v>45493</v>
      </c>
      <c r="C18662">
        <v>1.23960972607E-2</v>
      </c>
      <c r="D18662">
        <v>0.75172231327799999</v>
      </c>
      <c r="E18662">
        <v>22.338000000000001</v>
      </c>
    </row>
    <row r="18663" spans="1:5">
      <c r="A18663" t="s">
        <v>45492</v>
      </c>
      <c r="B18663" t="s">
        <v>45494</v>
      </c>
      <c r="C18663">
        <v>9.8739925267399997E-2</v>
      </c>
      <c r="D18663">
        <v>0.75172231327799999</v>
      </c>
      <c r="E18663">
        <v>22.338000000000001</v>
      </c>
    </row>
    <row r="18664" spans="1:5">
      <c r="A18664" t="s">
        <v>45492</v>
      </c>
      <c r="B18664" t="s">
        <v>45495</v>
      </c>
      <c r="C18664">
        <v>0.37725663575500001</v>
      </c>
      <c r="D18664">
        <v>0.75172231327799999</v>
      </c>
      <c r="E18664">
        <v>22.338000000000001</v>
      </c>
    </row>
    <row r="18665" spans="1:5">
      <c r="A18665" t="s">
        <v>45496</v>
      </c>
      <c r="B18665" t="s">
        <v>454</v>
      </c>
      <c r="C18665">
        <v>0.471369862039</v>
      </c>
      <c r="D18665">
        <v>0.97450796147100005</v>
      </c>
      <c r="E18665">
        <v>7.1999999999999995E-2</v>
      </c>
    </row>
    <row r="18666" spans="1:5">
      <c r="A18666" t="s">
        <v>45496</v>
      </c>
      <c r="B18666" t="s">
        <v>456</v>
      </c>
      <c r="C18666">
        <v>0.81209528934899999</v>
      </c>
      <c r="D18666">
        <v>0.97450796147100005</v>
      </c>
      <c r="E18666">
        <v>7.1999999999999995E-2</v>
      </c>
    </row>
    <row r="18667" spans="1:5">
      <c r="A18667" t="s">
        <v>45496</v>
      </c>
      <c r="B18667" t="s">
        <v>455</v>
      </c>
      <c r="C18667">
        <v>0.63390148935299995</v>
      </c>
      <c r="D18667">
        <v>0.97450796147100005</v>
      </c>
      <c r="E18667">
        <v>7.1999999999999995E-2</v>
      </c>
    </row>
    <row r="18668" spans="1:5">
      <c r="A18668" t="s">
        <v>45496</v>
      </c>
      <c r="B18668" t="s">
        <v>458</v>
      </c>
      <c r="C18668">
        <v>0.307549537629</v>
      </c>
      <c r="D18668">
        <v>0.97450796147100005</v>
      </c>
      <c r="E18668">
        <v>7.1999999999999995E-2</v>
      </c>
    </row>
    <row r="18669" spans="1:5">
      <c r="A18669" t="s">
        <v>45497</v>
      </c>
      <c r="B18669" t="s">
        <v>45498</v>
      </c>
      <c r="C18669">
        <f>0.423378519641</f>
        <v>0.42337851964099998</v>
      </c>
      <c r="D18669">
        <v>0.99988537801800004</v>
      </c>
      <c r="E18669">
        <v>5.2380000000000004</v>
      </c>
    </row>
    <row r="18670" spans="1:5">
      <c r="A18670" t="s">
        <v>45497</v>
      </c>
      <c r="B18670" t="s">
        <v>45499</v>
      </c>
      <c r="C18670">
        <v>0.32989484939000002</v>
      </c>
      <c r="D18670">
        <v>0.99988537801800004</v>
      </c>
      <c r="E18670">
        <v>5.2380000000000004</v>
      </c>
    </row>
    <row r="18671" spans="1:5">
      <c r="A18671" t="s">
        <v>45497</v>
      </c>
      <c r="B18671" t="s">
        <v>45500</v>
      </c>
      <c r="C18671">
        <f>-1.41468414864</f>
        <v>-1.4146841486399999</v>
      </c>
      <c r="D18671">
        <v>0.99988537801800004</v>
      </c>
      <c r="E18671">
        <v>5.2380000000000004</v>
      </c>
    </row>
    <row r="18672" spans="1:5">
      <c r="A18672" t="s">
        <v>45497</v>
      </c>
      <c r="B18672" t="s">
        <v>45501</v>
      </c>
      <c r="C18672">
        <v>0.66629630592199995</v>
      </c>
      <c r="D18672">
        <v>0.99988537801800004</v>
      </c>
      <c r="E18672">
        <v>5.2380000000000004</v>
      </c>
    </row>
    <row r="18673" spans="1:5">
      <c r="A18673" t="s">
        <v>45497</v>
      </c>
      <c r="B18673" t="s">
        <v>45502</v>
      </c>
      <c r="C18673">
        <v>5.99689026603E-2</v>
      </c>
      <c r="D18673">
        <v>0.99988537801800004</v>
      </c>
      <c r="E18673">
        <v>5.2380000000000004</v>
      </c>
    </row>
    <row r="18674" spans="1:5">
      <c r="A18674" t="s">
        <v>45497</v>
      </c>
      <c r="B18674" t="s">
        <v>45503</v>
      </c>
      <c r="C18674">
        <v>9.3371067702400001E-2</v>
      </c>
      <c r="D18674">
        <v>0.99988537801800004</v>
      </c>
      <c r="E18674">
        <v>5.2380000000000004</v>
      </c>
    </row>
    <row r="18675" spans="1:5">
      <c r="A18675" t="s">
        <v>45497</v>
      </c>
      <c r="B18675" t="s">
        <v>45504</v>
      </c>
      <c r="C18675">
        <v>0.56950483007999997</v>
      </c>
      <c r="D18675">
        <v>0.99988537801800004</v>
      </c>
      <c r="E18675">
        <v>5.2380000000000004</v>
      </c>
    </row>
    <row r="18676" spans="1:5">
      <c r="A18676" t="s">
        <v>45505</v>
      </c>
      <c r="B18676" t="s">
        <v>45506</v>
      </c>
      <c r="C18676">
        <f>0.653914989191</f>
        <v>0.653914989191</v>
      </c>
      <c r="D18676">
        <v>0.94374540492000003</v>
      </c>
      <c r="E18676">
        <v>24</v>
      </c>
    </row>
    <row r="18677" spans="1:5">
      <c r="A18677" t="s">
        <v>45505</v>
      </c>
      <c r="B18677" t="s">
        <v>45507</v>
      </c>
      <c r="C18677">
        <v>0.50593045933400005</v>
      </c>
      <c r="D18677">
        <v>0.94374540492000003</v>
      </c>
      <c r="E18677">
        <v>24</v>
      </c>
    </row>
    <row r="18678" spans="1:5">
      <c r="A18678" t="s">
        <v>45505</v>
      </c>
      <c r="B18678" t="s">
        <v>45508</v>
      </c>
      <c r="C18678">
        <f>0.0129098648293</f>
        <v>1.29098648293E-2</v>
      </c>
      <c r="D18678">
        <v>0.94374540492000003</v>
      </c>
      <c r="E18678">
        <v>24</v>
      </c>
    </row>
    <row r="18679" spans="1:5">
      <c r="A18679" t="s">
        <v>45505</v>
      </c>
      <c r="B18679" t="s">
        <v>45509</v>
      </c>
      <c r="C18679">
        <f>0</f>
        <v>0</v>
      </c>
      <c r="D18679">
        <v>0.94374540492000003</v>
      </c>
      <c r="E18679">
        <v>24</v>
      </c>
    </row>
    <row r="18680" spans="1:5">
      <c r="A18680" t="s">
        <v>45505</v>
      </c>
      <c r="B18680" t="s">
        <v>45510</v>
      </c>
      <c r="C18680">
        <v>0</v>
      </c>
      <c r="D18680">
        <v>0.94374540492000003</v>
      </c>
      <c r="E18680">
        <v>24</v>
      </c>
    </row>
    <row r="18681" spans="1:5">
      <c r="A18681" t="s">
        <v>45505</v>
      </c>
      <c r="B18681" t="s">
        <v>45511</v>
      </c>
      <c r="C18681">
        <f>0</f>
        <v>0</v>
      </c>
      <c r="D18681">
        <v>0.94374540492000003</v>
      </c>
      <c r="E18681">
        <v>24</v>
      </c>
    </row>
    <row r="18682" spans="1:5">
      <c r="A18682" t="s">
        <v>45512</v>
      </c>
      <c r="B18682" t="s">
        <v>1429</v>
      </c>
      <c r="C18682">
        <v>0</v>
      </c>
      <c r="D18682">
        <v>0.79088246251200001</v>
      </c>
      <c r="E18682">
        <v>23.754000000000001</v>
      </c>
    </row>
    <row r="18683" spans="1:5">
      <c r="A18683" t="s">
        <v>45512</v>
      </c>
      <c r="B18683" t="s">
        <v>1427</v>
      </c>
      <c r="C18683">
        <f>0</f>
        <v>0</v>
      </c>
      <c r="D18683">
        <v>0.79088246251200001</v>
      </c>
      <c r="E18683">
        <v>23.754000000000001</v>
      </c>
    </row>
    <row r="18684" spans="1:5">
      <c r="A18684" t="s">
        <v>45512</v>
      </c>
      <c r="B18684" t="s">
        <v>1435</v>
      </c>
      <c r="C18684">
        <f>0</f>
        <v>0</v>
      </c>
      <c r="D18684">
        <v>0.79088246251200001</v>
      </c>
      <c r="E18684">
        <v>23.754000000000001</v>
      </c>
    </row>
    <row r="18685" spans="1:5">
      <c r="A18685" t="s">
        <v>45512</v>
      </c>
      <c r="B18685" t="s">
        <v>1433</v>
      </c>
      <c r="C18685">
        <f>0</f>
        <v>0</v>
      </c>
      <c r="D18685">
        <v>0.79088246251200001</v>
      </c>
      <c r="E18685">
        <v>23.754000000000001</v>
      </c>
    </row>
    <row r="18686" spans="1:5">
      <c r="A18686" t="s">
        <v>45512</v>
      </c>
      <c r="B18686" t="s">
        <v>1436</v>
      </c>
      <c r="C18686">
        <v>0</v>
      </c>
      <c r="D18686">
        <v>0.79088246251200001</v>
      </c>
      <c r="E18686">
        <v>23.754000000000001</v>
      </c>
    </row>
    <row r="18687" spans="1:5">
      <c r="A18687" t="s">
        <v>45512</v>
      </c>
      <c r="B18687" t="s">
        <v>1431</v>
      </c>
      <c r="C18687">
        <f>0</f>
        <v>0</v>
      </c>
      <c r="D18687">
        <v>0.79088246251200001</v>
      </c>
      <c r="E18687">
        <v>23.754000000000001</v>
      </c>
    </row>
    <row r="18688" spans="1:5">
      <c r="A18688" t="s">
        <v>45512</v>
      </c>
      <c r="B18688" t="s">
        <v>1438</v>
      </c>
      <c r="C18688">
        <v>0</v>
      </c>
      <c r="D18688">
        <v>0.79088246251200001</v>
      </c>
      <c r="E18688">
        <v>23.754000000000001</v>
      </c>
    </row>
    <row r="18689" spans="1:5">
      <c r="A18689" t="s">
        <v>45512</v>
      </c>
      <c r="B18689" t="s">
        <v>1432</v>
      </c>
      <c r="C18689">
        <f>0</f>
        <v>0</v>
      </c>
      <c r="D18689">
        <v>0.79088246251200001</v>
      </c>
      <c r="E18689">
        <v>23.754000000000001</v>
      </c>
    </row>
    <row r="18690" spans="1:5">
      <c r="A18690" t="s">
        <v>45512</v>
      </c>
      <c r="B18690" t="s">
        <v>1434</v>
      </c>
      <c r="C18690">
        <f>0.00538580616977</f>
        <v>5.3858061697700001E-3</v>
      </c>
      <c r="D18690">
        <v>0.79088246251200001</v>
      </c>
      <c r="E18690">
        <v>23.754000000000001</v>
      </c>
    </row>
    <row r="18691" spans="1:5">
      <c r="A18691" t="s">
        <v>45512</v>
      </c>
      <c r="B18691" t="s">
        <v>1437</v>
      </c>
      <c r="C18691">
        <f>0.472877407632</f>
        <v>0.47287740763199998</v>
      </c>
      <c r="D18691">
        <v>0.79088246251200001</v>
      </c>
      <c r="E18691">
        <v>23.754000000000001</v>
      </c>
    </row>
    <row r="18692" spans="1:5">
      <c r="A18692" t="s">
        <v>45513</v>
      </c>
      <c r="B18692" t="s">
        <v>29806</v>
      </c>
      <c r="C18692">
        <v>0.379450854404</v>
      </c>
      <c r="D18692">
        <v>0.80289401101199998</v>
      </c>
      <c r="E18692">
        <v>0</v>
      </c>
    </row>
    <row r="18693" spans="1:5">
      <c r="A18693" t="s">
        <v>45513</v>
      </c>
      <c r="B18693" t="s">
        <v>29809</v>
      </c>
      <c r="C18693">
        <f>0</f>
        <v>0</v>
      </c>
      <c r="D18693">
        <v>0.80289401101199998</v>
      </c>
      <c r="E18693">
        <v>0</v>
      </c>
    </row>
    <row r="18694" spans="1:5">
      <c r="A18694" t="s">
        <v>45513</v>
      </c>
      <c r="B18694" t="s">
        <v>29810</v>
      </c>
      <c r="C18694">
        <v>6.8080798245400004E-2</v>
      </c>
      <c r="D18694">
        <v>0.80289401101199998</v>
      </c>
      <c r="E18694">
        <v>0</v>
      </c>
    </row>
    <row r="18695" spans="1:5">
      <c r="A18695" t="s">
        <v>45514</v>
      </c>
      <c r="B18695" t="s">
        <v>27242</v>
      </c>
      <c r="C18695">
        <v>0.84344275577100003</v>
      </c>
      <c r="D18695">
        <v>0.935677112614</v>
      </c>
      <c r="E18695">
        <v>2.25</v>
      </c>
    </row>
    <row r="18696" spans="1:5">
      <c r="A18696" t="s">
        <v>45514</v>
      </c>
      <c r="B18696" t="s">
        <v>27246</v>
      </c>
      <c r="C18696">
        <v>0</v>
      </c>
      <c r="D18696">
        <v>0.935677112614</v>
      </c>
      <c r="E18696">
        <v>2.25</v>
      </c>
    </row>
    <row r="18697" spans="1:5">
      <c r="A18697" t="s">
        <v>45514</v>
      </c>
      <c r="B18697" t="s">
        <v>27244</v>
      </c>
      <c r="C18697">
        <v>0.26602766208</v>
      </c>
      <c r="D18697">
        <v>0.935677112614</v>
      </c>
      <c r="E18697">
        <v>2.25</v>
      </c>
    </row>
    <row r="18698" spans="1:5">
      <c r="A18698" t="s">
        <v>45514</v>
      </c>
      <c r="B18698" t="s">
        <v>27245</v>
      </c>
      <c r="C18698">
        <v>0</v>
      </c>
      <c r="D18698">
        <v>0.935677112614</v>
      </c>
      <c r="E18698">
        <v>2.25</v>
      </c>
    </row>
    <row r="18699" spans="1:5">
      <c r="A18699" t="s">
        <v>45515</v>
      </c>
      <c r="B18699" t="s">
        <v>45516</v>
      </c>
      <c r="C18699">
        <f>0.541757207297</f>
        <v>0.54175720729700005</v>
      </c>
      <c r="D18699">
        <v>0.84553541911800001</v>
      </c>
      <c r="E18699">
        <v>24</v>
      </c>
    </row>
    <row r="18700" spans="1:5">
      <c r="A18700" t="s">
        <v>45515</v>
      </c>
      <c r="B18700" t="s">
        <v>45517</v>
      </c>
      <c r="C18700">
        <f>0.318924259151</f>
        <v>0.31892425915099998</v>
      </c>
      <c r="D18700">
        <v>0.84553541911800001</v>
      </c>
      <c r="E18700">
        <v>24</v>
      </c>
    </row>
    <row r="18701" spans="1:5">
      <c r="A18701" t="s">
        <v>45515</v>
      </c>
      <c r="B18701" t="s">
        <v>45518</v>
      </c>
      <c r="C18701">
        <f>0.370557144224</f>
        <v>0.37055714422399999</v>
      </c>
      <c r="D18701">
        <v>0.84553541911800001</v>
      </c>
      <c r="E18701">
        <v>24</v>
      </c>
    </row>
    <row r="18702" spans="1:5">
      <c r="A18702" t="s">
        <v>45519</v>
      </c>
      <c r="B18702" t="s">
        <v>6478</v>
      </c>
      <c r="C18702">
        <f>0</f>
        <v>0</v>
      </c>
      <c r="D18702" t="s">
        <v>106</v>
      </c>
      <c r="E18702">
        <v>24</v>
      </c>
    </row>
    <row r="18703" spans="1:5">
      <c r="A18703" t="s">
        <v>45519</v>
      </c>
      <c r="B18703" t="s">
        <v>6482</v>
      </c>
      <c r="C18703">
        <f>0</f>
        <v>0</v>
      </c>
      <c r="D18703" t="s">
        <v>106</v>
      </c>
      <c r="E18703">
        <v>24</v>
      </c>
    </row>
    <row r="18704" spans="1:5">
      <c r="A18704" t="s">
        <v>45519</v>
      </c>
      <c r="B18704" t="s">
        <v>6483</v>
      </c>
      <c r="C18704">
        <f>0</f>
        <v>0</v>
      </c>
      <c r="D18704" t="s">
        <v>106</v>
      </c>
      <c r="E18704">
        <v>24</v>
      </c>
    </row>
    <row r="18705" spans="1:5">
      <c r="A18705" t="s">
        <v>45519</v>
      </c>
      <c r="B18705" t="s">
        <v>6484</v>
      </c>
      <c r="C18705">
        <f>0</f>
        <v>0</v>
      </c>
      <c r="D18705" t="s">
        <v>106</v>
      </c>
      <c r="E18705">
        <v>24</v>
      </c>
    </row>
    <row r="18706" spans="1:5">
      <c r="A18706" t="s">
        <v>45519</v>
      </c>
      <c r="B18706" t="s">
        <v>6485</v>
      </c>
      <c r="C18706">
        <f>0</f>
        <v>0</v>
      </c>
      <c r="D18706" t="s">
        <v>106</v>
      </c>
      <c r="E18706">
        <v>24</v>
      </c>
    </row>
    <row r="18707" spans="1:5">
      <c r="A18707" t="s">
        <v>45520</v>
      </c>
      <c r="B18707" t="s">
        <v>3733</v>
      </c>
      <c r="C18707">
        <v>0.89226071352400005</v>
      </c>
      <c r="D18707">
        <v>0.84399243665500001</v>
      </c>
      <c r="E18707">
        <v>23.754000000000001</v>
      </c>
    </row>
    <row r="18708" spans="1:5">
      <c r="A18708" t="s">
        <v>45520</v>
      </c>
      <c r="B18708" t="s">
        <v>3734</v>
      </c>
      <c r="C18708">
        <f>0.0781418225002</f>
        <v>7.8141822500200006E-2</v>
      </c>
      <c r="D18708">
        <v>0.84399243665500001</v>
      </c>
      <c r="E18708">
        <v>23.754000000000001</v>
      </c>
    </row>
    <row r="18709" spans="1:5">
      <c r="A18709" t="s">
        <v>45521</v>
      </c>
      <c r="B18709" t="s">
        <v>13568</v>
      </c>
      <c r="C18709">
        <v>0</v>
      </c>
      <c r="D18709">
        <v>0.75897758186700004</v>
      </c>
      <c r="E18709">
        <v>10.715999999999999</v>
      </c>
    </row>
    <row r="18710" spans="1:5">
      <c r="A18710" t="s">
        <v>45521</v>
      </c>
      <c r="B18710" t="s">
        <v>13575</v>
      </c>
      <c r="C18710">
        <v>0.296567581867</v>
      </c>
      <c r="D18710">
        <v>0.75897758186700004</v>
      </c>
      <c r="E18710">
        <v>10.715999999999999</v>
      </c>
    </row>
    <row r="18711" spans="1:5">
      <c r="A18711" t="s">
        <v>45521</v>
      </c>
      <c r="B18711" t="s">
        <v>13569</v>
      </c>
      <c r="C18711">
        <v>0</v>
      </c>
      <c r="D18711">
        <v>0.75897758186700004</v>
      </c>
      <c r="E18711">
        <v>10.715999999999999</v>
      </c>
    </row>
    <row r="18712" spans="1:5">
      <c r="A18712" t="s">
        <v>45521</v>
      </c>
      <c r="B18712" t="s">
        <v>13573</v>
      </c>
      <c r="C18712">
        <v>0</v>
      </c>
      <c r="D18712">
        <v>0.75897758186700004</v>
      </c>
      <c r="E18712">
        <v>10.715999999999999</v>
      </c>
    </row>
    <row r="18713" spans="1:5">
      <c r="A18713" t="s">
        <v>45521</v>
      </c>
      <c r="B18713" t="s">
        <v>13576</v>
      </c>
      <c r="C18713">
        <v>0</v>
      </c>
      <c r="D18713">
        <v>0.75897758186700004</v>
      </c>
      <c r="E18713">
        <v>10.715999999999999</v>
      </c>
    </row>
    <row r="18714" spans="1:5">
      <c r="A18714" t="s">
        <v>45521</v>
      </c>
      <c r="B18714" t="s">
        <v>13571</v>
      </c>
      <c r="C18714">
        <v>0</v>
      </c>
      <c r="D18714">
        <v>0.75897758186700004</v>
      </c>
      <c r="E18714">
        <v>10.715999999999999</v>
      </c>
    </row>
    <row r="18715" spans="1:5">
      <c r="A18715" t="s">
        <v>45522</v>
      </c>
      <c r="B18715" t="s">
        <v>23042</v>
      </c>
      <c r="C18715">
        <f>0.682794412976</f>
        <v>0.68279441297599996</v>
      </c>
      <c r="D18715">
        <v>0.999863147753</v>
      </c>
      <c r="E18715">
        <v>2.556</v>
      </c>
    </row>
    <row r="18716" spans="1:5">
      <c r="A18716" t="s">
        <v>45522</v>
      </c>
      <c r="B18716" t="s">
        <v>23056</v>
      </c>
      <c r="C18716">
        <v>0.48429782246199998</v>
      </c>
      <c r="D18716">
        <v>0.999863147753</v>
      </c>
      <c r="E18716">
        <v>2.556</v>
      </c>
    </row>
    <row r="18717" spans="1:5">
      <c r="A18717" t="s">
        <v>45522</v>
      </c>
      <c r="B18717" t="s">
        <v>23046</v>
      </c>
      <c r="C18717">
        <f>0.0102452204361</f>
        <v>1.0245220436099999E-2</v>
      </c>
      <c r="D18717">
        <v>0.999863147753</v>
      </c>
      <c r="E18717">
        <v>2.556</v>
      </c>
    </row>
    <row r="18718" spans="1:5">
      <c r="A18718" t="s">
        <v>45522</v>
      </c>
      <c r="B18718" t="s">
        <v>23054</v>
      </c>
      <c r="C18718">
        <v>0.32066702346999998</v>
      </c>
      <c r="D18718">
        <v>0.999863147753</v>
      </c>
      <c r="E18718">
        <v>2.556</v>
      </c>
    </row>
    <row r="18719" spans="1:5">
      <c r="A18719" t="s">
        <v>45522</v>
      </c>
      <c r="B18719" t="s">
        <v>23059</v>
      </c>
      <c r="C18719">
        <v>2.5057941317599999E-2</v>
      </c>
      <c r="D18719">
        <v>0.999863147753</v>
      </c>
      <c r="E18719">
        <v>2.556</v>
      </c>
    </row>
    <row r="18720" spans="1:5">
      <c r="A18720" t="s">
        <v>45522</v>
      </c>
      <c r="B18720" t="s">
        <v>23050</v>
      </c>
      <c r="C18720">
        <f>0.951220365792</f>
        <v>0.95122036579199998</v>
      </c>
      <c r="D18720">
        <v>0.999863147753</v>
      </c>
      <c r="E18720">
        <v>2.556</v>
      </c>
    </row>
    <row r="18721" spans="1:5">
      <c r="A18721" t="s">
        <v>45522</v>
      </c>
      <c r="B18721" t="s">
        <v>23057</v>
      </c>
      <c r="C18721">
        <v>5.37251419731E-2</v>
      </c>
      <c r="D18721">
        <v>0.999863147753</v>
      </c>
      <c r="E18721">
        <v>2.556</v>
      </c>
    </row>
    <row r="18722" spans="1:5">
      <c r="A18722" t="s">
        <v>45522</v>
      </c>
      <c r="B18722" t="s">
        <v>23052</v>
      </c>
      <c r="C18722">
        <f>0.82888330936</f>
        <v>0.82888330935999999</v>
      </c>
      <c r="D18722">
        <v>0.999863147753</v>
      </c>
      <c r="E18722">
        <v>2.556</v>
      </c>
    </row>
    <row r="18723" spans="1:5">
      <c r="A18723" t="s">
        <v>45522</v>
      </c>
      <c r="B18723" t="s">
        <v>23058</v>
      </c>
      <c r="C18723">
        <v>0</v>
      </c>
      <c r="D18723">
        <v>0.999863147753</v>
      </c>
      <c r="E18723">
        <v>2.556</v>
      </c>
    </row>
    <row r="18724" spans="1:5">
      <c r="A18724" t="s">
        <v>45523</v>
      </c>
      <c r="B18724" t="s">
        <v>12811</v>
      </c>
      <c r="C18724">
        <v>0.58854797815899995</v>
      </c>
      <c r="D18724">
        <v>0.88964870676600005</v>
      </c>
      <c r="E18724">
        <v>24</v>
      </c>
    </row>
    <row r="18725" spans="1:5">
      <c r="A18725" t="s">
        <v>45523</v>
      </c>
      <c r="B18725" t="s">
        <v>12815</v>
      </c>
      <c r="C18725">
        <v>4.6082247282500002E-2</v>
      </c>
      <c r="D18725">
        <v>0.88964870676600005</v>
      </c>
      <c r="E18725">
        <v>24</v>
      </c>
    </row>
    <row r="18726" spans="1:5">
      <c r="A18726" t="s">
        <v>45523</v>
      </c>
      <c r="B18726" t="s">
        <v>12812</v>
      </c>
      <c r="C18726">
        <v>0</v>
      </c>
      <c r="D18726">
        <v>0.88964870676600005</v>
      </c>
      <c r="E18726">
        <v>24</v>
      </c>
    </row>
    <row r="18727" spans="1:5">
      <c r="A18727" t="s">
        <v>45523</v>
      </c>
      <c r="B18727" t="s">
        <v>12813</v>
      </c>
      <c r="C18727">
        <v>0</v>
      </c>
      <c r="D18727">
        <v>0.88964870676600005</v>
      </c>
      <c r="E18727">
        <v>24</v>
      </c>
    </row>
    <row r="18728" spans="1:5">
      <c r="A18728" t="s">
        <v>45523</v>
      </c>
      <c r="B18728" t="s">
        <v>12814</v>
      </c>
      <c r="C18728">
        <v>0.28816606703499997</v>
      </c>
      <c r="D18728">
        <v>0.88964870676600005</v>
      </c>
      <c r="E18728">
        <v>24</v>
      </c>
    </row>
    <row r="18729" spans="1:5">
      <c r="A18729" t="s">
        <v>45524</v>
      </c>
      <c r="B18729" t="s">
        <v>29432</v>
      </c>
      <c r="C18729">
        <v>0</v>
      </c>
      <c r="D18729" t="s">
        <v>106</v>
      </c>
      <c r="E18729">
        <v>9.9239999999999995</v>
      </c>
    </row>
    <row r="18730" spans="1:5">
      <c r="A18730" t="s">
        <v>45524</v>
      </c>
      <c r="B18730" t="s">
        <v>29435</v>
      </c>
      <c r="C18730">
        <v>0</v>
      </c>
      <c r="D18730" t="s">
        <v>106</v>
      </c>
      <c r="E18730">
        <v>9.9239999999999995</v>
      </c>
    </row>
    <row r="18731" spans="1:5">
      <c r="A18731" t="s">
        <v>45524</v>
      </c>
      <c r="B18731" t="s">
        <v>29433</v>
      </c>
      <c r="C18731">
        <f>0</f>
        <v>0</v>
      </c>
      <c r="D18731" t="s">
        <v>106</v>
      </c>
      <c r="E18731">
        <v>9.9239999999999995</v>
      </c>
    </row>
    <row r="18732" spans="1:5">
      <c r="A18732" t="s">
        <v>45525</v>
      </c>
      <c r="B18732" t="s">
        <v>11782</v>
      </c>
      <c r="C18732">
        <v>0.46570656389300003</v>
      </c>
      <c r="D18732">
        <v>0.77353844226699997</v>
      </c>
      <c r="E18732">
        <v>4.4820000000000002</v>
      </c>
    </row>
    <row r="18733" spans="1:5">
      <c r="A18733" t="s">
        <v>45525</v>
      </c>
      <c r="B18733" t="s">
        <v>11783</v>
      </c>
      <c r="C18733">
        <v>0</v>
      </c>
      <c r="D18733">
        <v>0.77353844226699997</v>
      </c>
      <c r="E18733">
        <v>4.4820000000000002</v>
      </c>
    </row>
    <row r="18734" spans="1:5">
      <c r="A18734" t="s">
        <v>45525</v>
      </c>
      <c r="B18734" t="s">
        <v>11786</v>
      </c>
      <c r="C18734">
        <v>0</v>
      </c>
      <c r="D18734">
        <v>0.77353844226699997</v>
      </c>
      <c r="E18734">
        <v>4.4820000000000002</v>
      </c>
    </row>
    <row r="18735" spans="1:5">
      <c r="A18735" t="s">
        <v>45525</v>
      </c>
      <c r="B18735" t="s">
        <v>11784</v>
      </c>
      <c r="C18735">
        <v>0.101358059061</v>
      </c>
      <c r="D18735">
        <v>0.77353844226699997</v>
      </c>
      <c r="E18735">
        <v>4.4820000000000002</v>
      </c>
    </row>
    <row r="18736" spans="1:5">
      <c r="A18736" t="s">
        <v>45526</v>
      </c>
      <c r="B18736" t="s">
        <v>12199</v>
      </c>
      <c r="C18736">
        <v>0.80118744620799998</v>
      </c>
      <c r="D18736">
        <v>0.99970054981000001</v>
      </c>
      <c r="E18736">
        <v>24</v>
      </c>
    </row>
    <row r="18737" spans="1:5">
      <c r="A18737" t="s">
        <v>45526</v>
      </c>
      <c r="B18737" t="s">
        <v>12202</v>
      </c>
      <c r="C18737">
        <v>6.4429417697900004E-2</v>
      </c>
      <c r="D18737">
        <v>0.99970054981000001</v>
      </c>
      <c r="E18737">
        <v>24</v>
      </c>
    </row>
    <row r="18738" spans="1:5">
      <c r="A18738" t="s">
        <v>45526</v>
      </c>
      <c r="B18738" t="s">
        <v>12203</v>
      </c>
      <c r="C18738">
        <f>0.328089054346</f>
        <v>0.328089054346</v>
      </c>
      <c r="D18738">
        <v>0.99970054981000001</v>
      </c>
      <c r="E18738">
        <v>24</v>
      </c>
    </row>
    <row r="18739" spans="1:5">
      <c r="A18739" t="s">
        <v>45526</v>
      </c>
      <c r="B18739" t="s">
        <v>12200</v>
      </c>
      <c r="C18739">
        <v>0.29530000846799997</v>
      </c>
      <c r="D18739">
        <v>0.99970054981000001</v>
      </c>
      <c r="E18739">
        <v>24</v>
      </c>
    </row>
    <row r="18740" spans="1:5">
      <c r="A18740" t="s">
        <v>45526</v>
      </c>
      <c r="B18740" t="s">
        <v>12207</v>
      </c>
      <c r="C18740">
        <v>0.63738585911900003</v>
      </c>
      <c r="D18740">
        <v>0.99970054981000001</v>
      </c>
      <c r="E18740">
        <v>24</v>
      </c>
    </row>
    <row r="18741" spans="1:5">
      <c r="A18741" t="s">
        <v>45526</v>
      </c>
      <c r="B18741" t="s">
        <v>12206</v>
      </c>
      <c r="C18741">
        <v>0</v>
      </c>
      <c r="D18741">
        <v>0.99970054981000001</v>
      </c>
      <c r="E18741">
        <v>24</v>
      </c>
    </row>
    <row r="18742" spans="1:5">
      <c r="A18742" t="s">
        <v>45526</v>
      </c>
      <c r="B18742" t="s">
        <v>12205</v>
      </c>
      <c r="C18742">
        <v>0</v>
      </c>
      <c r="D18742">
        <v>0.99970054981000001</v>
      </c>
      <c r="E18742">
        <v>24</v>
      </c>
    </row>
    <row r="18743" spans="1:5">
      <c r="A18743" t="s">
        <v>45526</v>
      </c>
      <c r="B18743" t="s">
        <v>12204</v>
      </c>
      <c r="C18743">
        <v>7.3023803131000001E-2</v>
      </c>
      <c r="D18743">
        <v>0.99970054981000001</v>
      </c>
      <c r="E18743">
        <v>24</v>
      </c>
    </row>
    <row r="18744" spans="1:5">
      <c r="A18744" t="s">
        <v>45527</v>
      </c>
      <c r="B18744" t="s">
        <v>2448</v>
      </c>
      <c r="C18744">
        <v>0.77724883362899999</v>
      </c>
      <c r="D18744">
        <v>0.81680500009599999</v>
      </c>
      <c r="E18744">
        <v>21.648</v>
      </c>
    </row>
    <row r="18745" spans="1:5">
      <c r="A18745" t="s">
        <v>45527</v>
      </c>
      <c r="B18745" t="s">
        <v>2450</v>
      </c>
      <c r="C18745">
        <f>0.000675049573186</f>
        <v>6.7504957318600001E-4</v>
      </c>
      <c r="D18745">
        <v>0.81680500009599999</v>
      </c>
      <c r="E18745">
        <v>21.648</v>
      </c>
    </row>
    <row r="18746" spans="1:5">
      <c r="A18746" t="s">
        <v>45528</v>
      </c>
      <c r="B18746" t="s">
        <v>2636</v>
      </c>
      <c r="C18746">
        <f>0.0840173961235</f>
        <v>8.4017396123499996E-2</v>
      </c>
      <c r="D18746">
        <v>0.75219622632299998</v>
      </c>
      <c r="E18746">
        <v>24</v>
      </c>
    </row>
    <row r="18747" spans="1:5">
      <c r="A18747" t="s">
        <v>45528</v>
      </c>
      <c r="B18747" t="s">
        <v>2638</v>
      </c>
      <c r="C18747">
        <v>0</v>
      </c>
      <c r="D18747">
        <v>0.75219622632299998</v>
      </c>
      <c r="E18747">
        <v>24</v>
      </c>
    </row>
    <row r="18748" spans="1:5">
      <c r="A18748" t="s">
        <v>45528</v>
      </c>
      <c r="B18748" t="s">
        <v>2635</v>
      </c>
      <c r="C18748">
        <v>0.56660875192500004</v>
      </c>
      <c r="D18748">
        <v>0.75219622632299998</v>
      </c>
      <c r="E18748">
        <v>24</v>
      </c>
    </row>
    <row r="18749" spans="1:5">
      <c r="A18749" t="s">
        <v>45529</v>
      </c>
      <c r="B18749" t="s">
        <v>21420</v>
      </c>
      <c r="C18749">
        <f>0</f>
        <v>0</v>
      </c>
      <c r="D18749">
        <v>0.88304964232000005</v>
      </c>
      <c r="E18749">
        <v>4.5839999999999996</v>
      </c>
    </row>
    <row r="18750" spans="1:5">
      <c r="A18750" t="s">
        <v>45529</v>
      </c>
      <c r="B18750" t="s">
        <v>21418</v>
      </c>
      <c r="C18750">
        <v>0.27545212886999998</v>
      </c>
      <c r="D18750">
        <v>0.88304964232000005</v>
      </c>
      <c r="E18750">
        <v>4.5839999999999996</v>
      </c>
    </row>
    <row r="18751" spans="1:5">
      <c r="A18751" t="s">
        <v>45529</v>
      </c>
      <c r="B18751" t="s">
        <v>21422</v>
      </c>
      <c r="C18751">
        <f>0.619458002418</f>
        <v>0.61945800241799998</v>
      </c>
      <c r="D18751">
        <v>0.88304964232000005</v>
      </c>
      <c r="E18751">
        <v>4.5839999999999996</v>
      </c>
    </row>
    <row r="18752" spans="1:5">
      <c r="A18752" t="s">
        <v>45529</v>
      </c>
      <c r="B18752" t="s">
        <v>21423</v>
      </c>
      <c r="C18752">
        <f>0</f>
        <v>0</v>
      </c>
      <c r="D18752">
        <v>0.88304964232000005</v>
      </c>
      <c r="E18752">
        <v>4.5839999999999996</v>
      </c>
    </row>
    <row r="18753" spans="1:5">
      <c r="A18753" t="s">
        <v>45530</v>
      </c>
      <c r="B18753" t="s">
        <v>1729</v>
      </c>
      <c r="C18753">
        <v>0</v>
      </c>
      <c r="D18753" t="s">
        <v>106</v>
      </c>
      <c r="E18753">
        <v>22.103999999999999</v>
      </c>
    </row>
    <row r="18754" spans="1:5">
      <c r="A18754" t="s">
        <v>45530</v>
      </c>
      <c r="B18754" t="s">
        <v>1730</v>
      </c>
      <c r="C18754">
        <v>0</v>
      </c>
      <c r="D18754" t="s">
        <v>106</v>
      </c>
      <c r="E18754">
        <v>22.103999999999999</v>
      </c>
    </row>
    <row r="18755" spans="1:5">
      <c r="A18755" t="s">
        <v>45530</v>
      </c>
      <c r="B18755" t="s">
        <v>1732</v>
      </c>
      <c r="C18755">
        <f>0</f>
        <v>0</v>
      </c>
      <c r="D18755" t="s">
        <v>106</v>
      </c>
      <c r="E18755">
        <v>22.103999999999999</v>
      </c>
    </row>
    <row r="18756" spans="1:5">
      <c r="A18756" t="s">
        <v>45531</v>
      </c>
      <c r="B18756" t="s">
        <v>45532</v>
      </c>
      <c r="C18756">
        <f>0.366447425684</f>
        <v>0.36644742568400002</v>
      </c>
      <c r="D18756">
        <v>0.72519316265</v>
      </c>
      <c r="E18756">
        <v>4.3739999999999997</v>
      </c>
    </row>
    <row r="18757" spans="1:5">
      <c r="A18757" t="s">
        <v>45531</v>
      </c>
      <c r="B18757" t="s">
        <v>45533</v>
      </c>
      <c r="C18757">
        <f>0</f>
        <v>0</v>
      </c>
      <c r="D18757">
        <v>0.72519316265</v>
      </c>
      <c r="E18757">
        <v>4.3739999999999997</v>
      </c>
    </row>
    <row r="18758" spans="1:5">
      <c r="A18758" t="s">
        <v>45531</v>
      </c>
      <c r="B18758" t="s">
        <v>45534</v>
      </c>
      <c r="C18758">
        <f>0.0224541325698</f>
        <v>2.24541325698E-2</v>
      </c>
      <c r="D18758">
        <v>0.72519316265</v>
      </c>
      <c r="E18758">
        <v>4.3739999999999997</v>
      </c>
    </row>
    <row r="18759" spans="1:5">
      <c r="A18759" t="s">
        <v>45531</v>
      </c>
      <c r="B18759" t="s">
        <v>45535</v>
      </c>
      <c r="C18759">
        <f>0</f>
        <v>0</v>
      </c>
      <c r="D18759">
        <v>0.72519316265</v>
      </c>
      <c r="E18759">
        <v>4.3739999999999997</v>
      </c>
    </row>
    <row r="18760" spans="1:5">
      <c r="A18760" t="s">
        <v>45531</v>
      </c>
      <c r="B18760" t="s">
        <v>45536</v>
      </c>
      <c r="C18760">
        <v>0</v>
      </c>
      <c r="D18760">
        <v>0.72519316265</v>
      </c>
      <c r="E18760">
        <v>4.3739999999999997</v>
      </c>
    </row>
    <row r="18761" spans="1:5">
      <c r="A18761" t="s">
        <v>45531</v>
      </c>
      <c r="B18761" t="s">
        <v>45537</v>
      </c>
      <c r="C18761">
        <f>0.0961570015147</f>
        <v>9.6157001514699997E-2</v>
      </c>
      <c r="D18761">
        <v>0.72519316265</v>
      </c>
      <c r="E18761">
        <v>4.3739999999999997</v>
      </c>
    </row>
    <row r="18762" spans="1:5">
      <c r="A18762" t="s">
        <v>45531</v>
      </c>
      <c r="B18762" t="s">
        <v>45538</v>
      </c>
      <c r="C18762">
        <f>0</f>
        <v>0</v>
      </c>
      <c r="D18762">
        <v>0.72519316265</v>
      </c>
      <c r="E18762">
        <v>4.3739999999999997</v>
      </c>
    </row>
    <row r="18763" spans="1:5">
      <c r="A18763" t="s">
        <v>45539</v>
      </c>
      <c r="B18763" t="s">
        <v>10982</v>
      </c>
      <c r="C18763">
        <v>0</v>
      </c>
      <c r="D18763" t="s">
        <v>106</v>
      </c>
      <c r="E18763">
        <v>6.3</v>
      </c>
    </row>
    <row r="18764" spans="1:5">
      <c r="A18764" t="s">
        <v>45539</v>
      </c>
      <c r="B18764" t="s">
        <v>10981</v>
      </c>
      <c r="C18764">
        <f>0</f>
        <v>0</v>
      </c>
      <c r="D18764" t="s">
        <v>106</v>
      </c>
      <c r="E18764">
        <v>6.3</v>
      </c>
    </row>
    <row r="18765" spans="1:5">
      <c r="A18765" t="s">
        <v>45540</v>
      </c>
      <c r="B18765" t="s">
        <v>45541</v>
      </c>
      <c r="C18765">
        <v>4.1527930240200003E-2</v>
      </c>
      <c r="D18765">
        <v>0.89260205839999995</v>
      </c>
      <c r="E18765">
        <v>12.048</v>
      </c>
    </row>
    <row r="18766" spans="1:5">
      <c r="A18766" t="s">
        <v>45540</v>
      </c>
      <c r="B18766" t="s">
        <v>45542</v>
      </c>
      <c r="C18766">
        <v>0.47680694291499998</v>
      </c>
      <c r="D18766">
        <v>0.89260205839999995</v>
      </c>
      <c r="E18766">
        <v>12.048</v>
      </c>
    </row>
    <row r="18767" spans="1:5">
      <c r="A18767" t="s">
        <v>45540</v>
      </c>
      <c r="B18767" t="s">
        <v>45543</v>
      </c>
      <c r="C18767">
        <v>0.37487887940499998</v>
      </c>
      <c r="D18767">
        <v>0.89260205839999995</v>
      </c>
      <c r="E18767">
        <v>12.048</v>
      </c>
    </row>
    <row r="18768" spans="1:5">
      <c r="A18768" t="s">
        <v>45544</v>
      </c>
      <c r="B18768" t="s">
        <v>9766</v>
      </c>
      <c r="C18768">
        <f>0.00940686440807</f>
        <v>9.4068644080700006E-3</v>
      </c>
      <c r="D18768">
        <v>0.99998848081500002</v>
      </c>
      <c r="E18768">
        <v>3.4079999999999999</v>
      </c>
    </row>
    <row r="18769" spans="1:5">
      <c r="A18769" t="s">
        <v>45544</v>
      </c>
      <c r="B18769" t="s">
        <v>9785</v>
      </c>
      <c r="C18769">
        <f>0.390168870826</f>
        <v>0.39016887082599999</v>
      </c>
      <c r="D18769">
        <v>0.99998848081500002</v>
      </c>
      <c r="E18769">
        <v>3.4079999999999999</v>
      </c>
    </row>
    <row r="18770" spans="1:5">
      <c r="A18770" t="s">
        <v>45544</v>
      </c>
      <c r="B18770" t="s">
        <v>9771</v>
      </c>
      <c r="C18770">
        <v>0.94254388980899995</v>
      </c>
      <c r="D18770">
        <v>0.99998848081500002</v>
      </c>
      <c r="E18770">
        <v>3.4079999999999999</v>
      </c>
    </row>
    <row r="18771" spans="1:5">
      <c r="A18771" t="s">
        <v>45544</v>
      </c>
      <c r="B18771" t="s">
        <v>9770</v>
      </c>
      <c r="C18771">
        <f>0</f>
        <v>0</v>
      </c>
      <c r="D18771">
        <v>0.99998848081500002</v>
      </c>
      <c r="E18771">
        <v>3.4079999999999999</v>
      </c>
    </row>
    <row r="18772" spans="1:5">
      <c r="A18772" t="s">
        <v>45544</v>
      </c>
      <c r="B18772" t="s">
        <v>9773</v>
      </c>
      <c r="C18772">
        <f>0.0081852548708</f>
        <v>8.1852548707999993E-3</v>
      </c>
      <c r="D18772">
        <v>0.99998848081500002</v>
      </c>
      <c r="E18772">
        <v>3.4079999999999999</v>
      </c>
    </row>
    <row r="18773" spans="1:5">
      <c r="A18773" t="s">
        <v>45544</v>
      </c>
      <c r="B18773" t="s">
        <v>9781</v>
      </c>
      <c r="C18773">
        <f>0</f>
        <v>0</v>
      </c>
      <c r="D18773">
        <v>0.99998848081500002</v>
      </c>
      <c r="E18773">
        <v>3.4079999999999999</v>
      </c>
    </row>
    <row r="18774" spans="1:5">
      <c r="A18774" t="s">
        <v>45544</v>
      </c>
      <c r="B18774" t="s">
        <v>9777</v>
      </c>
      <c r="C18774">
        <v>9.6662935191600005E-2</v>
      </c>
      <c r="D18774">
        <v>0.99998848081500002</v>
      </c>
      <c r="E18774">
        <v>3.4079999999999999</v>
      </c>
    </row>
    <row r="18775" spans="1:5">
      <c r="A18775" t="s">
        <v>45544</v>
      </c>
      <c r="B18775" t="s">
        <v>9784</v>
      </c>
      <c r="C18775">
        <f>0.455112928381</f>
        <v>0.45511292838099998</v>
      </c>
      <c r="D18775">
        <v>0.99998848081500002</v>
      </c>
      <c r="E18775">
        <v>3.4079999999999999</v>
      </c>
    </row>
    <row r="18776" spans="1:5">
      <c r="A18776" t="s">
        <v>45544</v>
      </c>
      <c r="B18776" t="s">
        <v>9783</v>
      </c>
      <c r="C18776">
        <f>0.0952423041516</f>
        <v>9.5242304151599996E-2</v>
      </c>
      <c r="D18776">
        <v>0.99998848081500002</v>
      </c>
      <c r="E18776">
        <v>3.4079999999999999</v>
      </c>
    </row>
    <row r="18777" spans="1:5">
      <c r="A18777" t="s">
        <v>45544</v>
      </c>
      <c r="B18777" t="s">
        <v>9768</v>
      </c>
      <c r="C18777">
        <f>0.483357156078</f>
        <v>0.48335715607800001</v>
      </c>
      <c r="D18777">
        <v>0.99998848081500002</v>
      </c>
      <c r="E18777">
        <v>3.4079999999999999</v>
      </c>
    </row>
    <row r="18778" spans="1:5">
      <c r="A18778" t="s">
        <v>45544</v>
      </c>
      <c r="B18778" t="s">
        <v>9779</v>
      </c>
      <c r="C18778">
        <v>0.307060575467</v>
      </c>
      <c r="D18778">
        <v>0.99998848081500002</v>
      </c>
      <c r="E18778">
        <v>3.4079999999999999</v>
      </c>
    </row>
    <row r="18779" spans="1:5">
      <c r="A18779" t="s">
        <v>45544</v>
      </c>
      <c r="B18779" t="s">
        <v>9775</v>
      </c>
      <c r="C18779">
        <f>0</f>
        <v>0</v>
      </c>
      <c r="D18779">
        <v>0.99998848081500002</v>
      </c>
      <c r="E18779">
        <v>3.4079999999999999</v>
      </c>
    </row>
    <row r="18780" spans="1:5">
      <c r="A18780" t="s">
        <v>45544</v>
      </c>
      <c r="B18780" t="s">
        <v>9780</v>
      </c>
      <c r="C18780">
        <f>0</f>
        <v>0</v>
      </c>
      <c r="D18780">
        <v>0.99998848081500002</v>
      </c>
      <c r="E18780">
        <v>3.4079999999999999</v>
      </c>
    </row>
    <row r="18781" spans="1:5">
      <c r="A18781" t="s">
        <v>45545</v>
      </c>
      <c r="B18781" t="s">
        <v>45546</v>
      </c>
      <c r="C18781">
        <v>0</v>
      </c>
      <c r="D18781">
        <v>0.811907261943</v>
      </c>
      <c r="E18781">
        <v>0.73799999999999999</v>
      </c>
    </row>
    <row r="18782" spans="1:5">
      <c r="A18782" t="s">
        <v>45545</v>
      </c>
      <c r="B18782" t="s">
        <v>45547</v>
      </c>
      <c r="C18782">
        <f>0</f>
        <v>0</v>
      </c>
      <c r="D18782">
        <v>0.811907261943</v>
      </c>
      <c r="E18782">
        <v>0.73799999999999999</v>
      </c>
    </row>
    <row r="18783" spans="1:5">
      <c r="A18783" t="s">
        <v>45545</v>
      </c>
      <c r="B18783" t="s">
        <v>45548</v>
      </c>
      <c r="C18783">
        <f>0</f>
        <v>0</v>
      </c>
      <c r="D18783">
        <v>0.811907261943</v>
      </c>
      <c r="E18783">
        <v>0.73799999999999999</v>
      </c>
    </row>
    <row r="18784" spans="1:5">
      <c r="A18784" t="s">
        <v>45545</v>
      </c>
      <c r="B18784" t="s">
        <v>45549</v>
      </c>
      <c r="C18784">
        <v>0</v>
      </c>
      <c r="D18784">
        <v>0.811907261943</v>
      </c>
      <c r="E18784">
        <v>0.73799999999999999</v>
      </c>
    </row>
    <row r="18785" spans="1:5">
      <c r="A18785" t="s">
        <v>45545</v>
      </c>
      <c r="B18785" t="s">
        <v>45550</v>
      </c>
      <c r="C18785">
        <f>0</f>
        <v>0</v>
      </c>
      <c r="D18785">
        <v>0.811907261943</v>
      </c>
      <c r="E18785">
        <v>0.73799999999999999</v>
      </c>
    </row>
    <row r="18786" spans="1:5">
      <c r="A18786" t="s">
        <v>45545</v>
      </c>
      <c r="B18786" t="s">
        <v>45551</v>
      </c>
      <c r="C18786">
        <f>0</f>
        <v>0</v>
      </c>
      <c r="D18786">
        <v>0.811907261943</v>
      </c>
      <c r="E18786">
        <v>0.73799999999999999</v>
      </c>
    </row>
    <row r="18787" spans="1:5">
      <c r="A18787" t="s">
        <v>45545</v>
      </c>
      <c r="B18787" t="s">
        <v>45552</v>
      </c>
      <c r="C18787">
        <f>0</f>
        <v>0</v>
      </c>
      <c r="D18787">
        <v>0.811907261943</v>
      </c>
      <c r="E18787">
        <v>0.73799999999999999</v>
      </c>
    </row>
    <row r="18788" spans="1:5">
      <c r="A18788" t="s">
        <v>45545</v>
      </c>
      <c r="B18788" t="s">
        <v>45553</v>
      </c>
      <c r="C18788">
        <f>0</f>
        <v>0</v>
      </c>
      <c r="D18788">
        <v>0.811907261943</v>
      </c>
      <c r="E18788">
        <v>0.73799999999999999</v>
      </c>
    </row>
    <row r="18789" spans="1:5">
      <c r="A18789" t="s">
        <v>45545</v>
      </c>
      <c r="B18789" t="s">
        <v>45554</v>
      </c>
      <c r="C18789">
        <v>0</v>
      </c>
      <c r="D18789">
        <v>0.811907261943</v>
      </c>
      <c r="E18789">
        <v>0.73799999999999999</v>
      </c>
    </row>
    <row r="18790" spans="1:5">
      <c r="A18790" t="s">
        <v>45545</v>
      </c>
      <c r="B18790" t="s">
        <v>45555</v>
      </c>
      <c r="C18790">
        <f>0.451897261943</f>
        <v>0.45189726194300001</v>
      </c>
      <c r="D18790">
        <v>0.811907261943</v>
      </c>
      <c r="E18790">
        <v>0.73799999999999999</v>
      </c>
    </row>
    <row r="18791" spans="1:5">
      <c r="A18791" t="s">
        <v>45545</v>
      </c>
      <c r="B18791" t="s">
        <v>45556</v>
      </c>
      <c r="C18791">
        <f>0</f>
        <v>0</v>
      </c>
      <c r="D18791">
        <v>0.811907261943</v>
      </c>
      <c r="E18791">
        <v>0.73799999999999999</v>
      </c>
    </row>
    <row r="18792" spans="1:5">
      <c r="A18792" t="s">
        <v>45545</v>
      </c>
      <c r="B18792" t="s">
        <v>45557</v>
      </c>
      <c r="C18792">
        <v>0</v>
      </c>
      <c r="D18792">
        <v>0.811907261943</v>
      </c>
      <c r="E18792">
        <v>0.73799999999999999</v>
      </c>
    </row>
    <row r="18793" spans="1:5">
      <c r="A18793" t="s">
        <v>45545</v>
      </c>
      <c r="B18793" t="s">
        <v>45558</v>
      </c>
      <c r="C18793">
        <f>0</f>
        <v>0</v>
      </c>
      <c r="D18793">
        <v>0.811907261943</v>
      </c>
      <c r="E18793">
        <v>0.73799999999999999</v>
      </c>
    </row>
    <row r="18794" spans="1:5">
      <c r="A18794" t="s">
        <v>45559</v>
      </c>
      <c r="B18794" t="s">
        <v>45560</v>
      </c>
      <c r="C18794">
        <f>0</f>
        <v>0</v>
      </c>
      <c r="D18794" t="s">
        <v>106</v>
      </c>
      <c r="E18794">
        <v>2.3279999999999998</v>
      </c>
    </row>
    <row r="18795" spans="1:5">
      <c r="A18795" t="s">
        <v>45559</v>
      </c>
      <c r="B18795" t="s">
        <v>45561</v>
      </c>
      <c r="C18795">
        <f>0</f>
        <v>0</v>
      </c>
      <c r="D18795" t="s">
        <v>106</v>
      </c>
      <c r="E18795">
        <v>2.3279999999999998</v>
      </c>
    </row>
    <row r="18796" spans="1:5">
      <c r="A18796" t="s">
        <v>45562</v>
      </c>
      <c r="B18796" t="s">
        <v>24288</v>
      </c>
      <c r="C18796">
        <v>0.152649144407</v>
      </c>
      <c r="D18796">
        <v>0.93009041931100001</v>
      </c>
      <c r="E18796">
        <v>23.754000000000001</v>
      </c>
    </row>
    <row r="18797" spans="1:5">
      <c r="A18797" t="s">
        <v>45562</v>
      </c>
      <c r="B18797" t="s">
        <v>24291</v>
      </c>
      <c r="C18797">
        <v>0.82724028397299998</v>
      </c>
      <c r="D18797">
        <v>0.93009041931100001</v>
      </c>
      <c r="E18797">
        <v>23.754000000000001</v>
      </c>
    </row>
    <row r="18798" spans="1:5">
      <c r="A18798" t="s">
        <v>45562</v>
      </c>
      <c r="B18798" t="s">
        <v>24290</v>
      </c>
      <c r="C18798">
        <f>0.12907253083</f>
        <v>0.12907253083</v>
      </c>
      <c r="D18798">
        <v>0.93009041931100001</v>
      </c>
      <c r="E18798">
        <v>23.754000000000001</v>
      </c>
    </row>
    <row r="18799" spans="1:5">
      <c r="A18799" t="s">
        <v>45563</v>
      </c>
      <c r="B18799" t="s">
        <v>45564</v>
      </c>
      <c r="C18799">
        <f>0.202080263091</f>
        <v>0.202080263091</v>
      </c>
      <c r="D18799">
        <v>0.98923569160799996</v>
      </c>
      <c r="E18799">
        <v>0.28799999999999998</v>
      </c>
    </row>
    <row r="18800" spans="1:5">
      <c r="A18800" t="s">
        <v>45563</v>
      </c>
      <c r="B18800" t="s">
        <v>45565</v>
      </c>
      <c r="C18800">
        <v>3.6783877206600001E-2</v>
      </c>
      <c r="D18800">
        <v>0.98923569160799996</v>
      </c>
      <c r="E18800">
        <v>0.28799999999999998</v>
      </c>
    </row>
    <row r="18801" spans="1:5">
      <c r="A18801" t="s">
        <v>45563</v>
      </c>
      <c r="B18801" t="s">
        <v>45566</v>
      </c>
      <c r="C18801">
        <f>0.271169681059</f>
        <v>0.27116968105900002</v>
      </c>
      <c r="D18801">
        <v>0.98923569160799996</v>
      </c>
      <c r="E18801">
        <v>0.28799999999999998</v>
      </c>
    </row>
    <row r="18802" spans="1:5">
      <c r="A18802" t="s">
        <v>45563</v>
      </c>
      <c r="B18802" t="s">
        <v>45567</v>
      </c>
      <c r="C18802">
        <v>1.1369868189000001</v>
      </c>
      <c r="D18802">
        <v>0.98923569160799996</v>
      </c>
      <c r="E18802">
        <v>0.28799999999999998</v>
      </c>
    </row>
    <row r="18803" spans="1:5">
      <c r="A18803" t="s">
        <v>45568</v>
      </c>
      <c r="B18803" t="s">
        <v>15284</v>
      </c>
      <c r="C18803">
        <v>0.74465884356599998</v>
      </c>
      <c r="D18803">
        <v>0.87426884356599999</v>
      </c>
      <c r="E18803">
        <v>0</v>
      </c>
    </row>
    <row r="18804" spans="1:5">
      <c r="A18804" t="s">
        <v>45568</v>
      </c>
      <c r="B18804" t="s">
        <v>15285</v>
      </c>
      <c r="C18804">
        <f>0</f>
        <v>0</v>
      </c>
      <c r="D18804">
        <v>0.87426884356599999</v>
      </c>
      <c r="E18804">
        <v>0</v>
      </c>
    </row>
    <row r="18805" spans="1:5">
      <c r="A18805" t="s">
        <v>45569</v>
      </c>
      <c r="B18805" t="s">
        <v>45570</v>
      </c>
      <c r="C18805">
        <v>0.90558918376999997</v>
      </c>
      <c r="D18805">
        <v>0.94343646555600003</v>
      </c>
      <c r="E18805">
        <v>0.26400000000000001</v>
      </c>
    </row>
    <row r="18806" spans="1:5">
      <c r="A18806" t="s">
        <v>45569</v>
      </c>
      <c r="B18806" t="s">
        <v>45571</v>
      </c>
      <c r="C18806">
        <v>0.23141257641599999</v>
      </c>
      <c r="D18806">
        <v>0.94343646555600003</v>
      </c>
      <c r="E18806">
        <v>0.26400000000000001</v>
      </c>
    </row>
    <row r="18807" spans="1:5">
      <c r="A18807" t="s">
        <v>45572</v>
      </c>
      <c r="B18807" t="s">
        <v>45573</v>
      </c>
      <c r="C18807">
        <f>0</f>
        <v>0</v>
      </c>
      <c r="D18807">
        <v>0.48614579218100001</v>
      </c>
      <c r="E18807">
        <v>24</v>
      </c>
    </row>
    <row r="18808" spans="1:5">
      <c r="A18808" t="s">
        <v>45572</v>
      </c>
      <c r="B18808" t="s">
        <v>45574</v>
      </c>
      <c r="C18808">
        <f>0.0432483642752</f>
        <v>4.3248364275199999E-2</v>
      </c>
      <c r="D18808">
        <v>0.48614579218100001</v>
      </c>
      <c r="E18808">
        <v>24</v>
      </c>
    </row>
    <row r="18809" spans="1:5">
      <c r="A18809" t="s">
        <v>45572</v>
      </c>
      <c r="B18809" t="s">
        <v>45575</v>
      </c>
      <c r="C18809">
        <f>0.0651961849007</f>
        <v>6.5196184900700005E-2</v>
      </c>
      <c r="D18809">
        <v>0.48614579218100001</v>
      </c>
      <c r="E18809">
        <v>24</v>
      </c>
    </row>
    <row r="18810" spans="1:5">
      <c r="A18810" t="s">
        <v>45576</v>
      </c>
      <c r="B18810" t="s">
        <v>27581</v>
      </c>
      <c r="C18810">
        <f>0</f>
        <v>0</v>
      </c>
      <c r="D18810">
        <v>0.60125389846599997</v>
      </c>
      <c r="E18810">
        <v>0.65400000000000003</v>
      </c>
    </row>
    <row r="18811" spans="1:5">
      <c r="A18811" t="s">
        <v>45576</v>
      </c>
      <c r="B18811" t="s">
        <v>27584</v>
      </c>
      <c r="C18811">
        <f>0</f>
        <v>0</v>
      </c>
      <c r="D18811">
        <v>0.60125389846599997</v>
      </c>
      <c r="E18811">
        <v>0.65400000000000003</v>
      </c>
    </row>
    <row r="18812" spans="1:5">
      <c r="A18812" t="s">
        <v>45576</v>
      </c>
      <c r="B18812" t="s">
        <v>27580</v>
      </c>
      <c r="C18812">
        <v>0.33084389846599999</v>
      </c>
      <c r="D18812">
        <v>0.60125389846599997</v>
      </c>
      <c r="E18812">
        <v>0.65400000000000003</v>
      </c>
    </row>
    <row r="18813" spans="1:5">
      <c r="A18813" t="s">
        <v>45577</v>
      </c>
      <c r="B18813" t="s">
        <v>24189</v>
      </c>
      <c r="C18813">
        <v>0.14951662454299999</v>
      </c>
      <c r="D18813">
        <v>0.68253979361799999</v>
      </c>
      <c r="E18813">
        <v>4.3739999999999997</v>
      </c>
    </row>
    <row r="18814" spans="1:5">
      <c r="A18814" t="s">
        <v>45577</v>
      </c>
      <c r="B18814" t="s">
        <v>24192</v>
      </c>
      <c r="C18814">
        <v>0.43080629713899998</v>
      </c>
      <c r="D18814">
        <v>0.68253979361799999</v>
      </c>
      <c r="E18814">
        <v>4.3739999999999997</v>
      </c>
    </row>
    <row r="18815" spans="1:5">
      <c r="A18815" t="s">
        <v>45578</v>
      </c>
      <c r="B18815" t="s">
        <v>45579</v>
      </c>
      <c r="C18815">
        <f>0.889311912832</f>
        <v>0.88931191283199995</v>
      </c>
      <c r="D18815">
        <v>0.895370700661</v>
      </c>
      <c r="E18815">
        <v>0.82799999999999996</v>
      </c>
    </row>
    <row r="18816" spans="1:5">
      <c r="A18816" t="s">
        <v>45578</v>
      </c>
      <c r="B18816" t="s">
        <v>45580</v>
      </c>
      <c r="C18816">
        <f>0.880819825122</f>
        <v>0.88081982512199997</v>
      </c>
      <c r="D18816">
        <v>0.895370700661</v>
      </c>
      <c r="E18816">
        <v>0.82799999999999996</v>
      </c>
    </row>
    <row r="18817" spans="1:5">
      <c r="A18817" t="s">
        <v>45578</v>
      </c>
      <c r="B18817" t="s">
        <v>45581</v>
      </c>
      <c r="C18817">
        <f>0.52315413688</f>
        <v>0.52315413688000001</v>
      </c>
      <c r="D18817">
        <v>0.895370700661</v>
      </c>
      <c r="E18817">
        <v>0.82799999999999996</v>
      </c>
    </row>
    <row r="18818" spans="1:5">
      <c r="A18818" t="s">
        <v>45582</v>
      </c>
      <c r="B18818" t="s">
        <v>45583</v>
      </c>
      <c r="C18818">
        <v>0.37494478525800001</v>
      </c>
      <c r="D18818">
        <v>0.99828211449699999</v>
      </c>
      <c r="E18818">
        <v>12.048</v>
      </c>
    </row>
    <row r="18819" spans="1:5">
      <c r="A18819" t="s">
        <v>45582</v>
      </c>
      <c r="B18819" t="s">
        <v>45584</v>
      </c>
      <c r="C18819">
        <v>0.312287960925</v>
      </c>
      <c r="D18819">
        <v>0.99828211449699999</v>
      </c>
      <c r="E18819">
        <v>12.048</v>
      </c>
    </row>
    <row r="18820" spans="1:5">
      <c r="A18820" t="s">
        <v>45582</v>
      </c>
      <c r="B18820" t="s">
        <v>45585</v>
      </c>
      <c r="C18820">
        <f>0</f>
        <v>0</v>
      </c>
      <c r="D18820">
        <v>0.99828211449699999</v>
      </c>
      <c r="E18820">
        <v>12.048</v>
      </c>
    </row>
    <row r="18821" spans="1:5">
      <c r="A18821" t="s">
        <v>45582</v>
      </c>
      <c r="B18821" t="s">
        <v>45586</v>
      </c>
      <c r="C18821">
        <v>0.69273417193099995</v>
      </c>
      <c r="D18821">
        <v>0.99828211449699999</v>
      </c>
      <c r="E18821">
        <v>12.048</v>
      </c>
    </row>
    <row r="18822" spans="1:5">
      <c r="A18822" t="s">
        <v>45582</v>
      </c>
      <c r="B18822" t="s">
        <v>45587</v>
      </c>
      <c r="C18822">
        <f>0.217589809245</f>
        <v>0.21758980924499999</v>
      </c>
      <c r="D18822">
        <v>0.99828211449699999</v>
      </c>
      <c r="E18822">
        <v>12.048</v>
      </c>
    </row>
    <row r="18823" spans="1:5">
      <c r="A18823" t="s">
        <v>45582</v>
      </c>
      <c r="B18823" t="s">
        <v>45588</v>
      </c>
      <c r="C18823">
        <v>2.86891773532E-2</v>
      </c>
      <c r="D18823">
        <v>0.99828211449699999</v>
      </c>
      <c r="E18823">
        <v>12.048</v>
      </c>
    </row>
    <row r="18824" spans="1:5">
      <c r="A18824" t="s">
        <v>45589</v>
      </c>
      <c r="B18824" t="s">
        <v>45590</v>
      </c>
      <c r="C18824">
        <v>0</v>
      </c>
      <c r="D18824" t="s">
        <v>106</v>
      </c>
      <c r="E18824">
        <v>4.5839999999999996</v>
      </c>
    </row>
    <row r="18825" spans="1:5">
      <c r="A18825" t="s">
        <v>45589</v>
      </c>
      <c r="B18825" t="s">
        <v>45591</v>
      </c>
      <c r="C18825">
        <f>0</f>
        <v>0</v>
      </c>
      <c r="D18825" t="s">
        <v>106</v>
      </c>
      <c r="E18825">
        <v>4.5839999999999996</v>
      </c>
    </row>
    <row r="18826" spans="1:5">
      <c r="A18826" t="s">
        <v>45589</v>
      </c>
      <c r="B18826" t="s">
        <v>45592</v>
      </c>
      <c r="C18826">
        <f>0</f>
        <v>0</v>
      </c>
      <c r="D18826" t="s">
        <v>106</v>
      </c>
      <c r="E18826">
        <v>4.5839999999999996</v>
      </c>
    </row>
    <row r="18827" spans="1:5">
      <c r="A18827" t="s">
        <v>45589</v>
      </c>
      <c r="B18827" t="s">
        <v>45593</v>
      </c>
      <c r="C18827">
        <f>0</f>
        <v>0</v>
      </c>
      <c r="D18827" t="s">
        <v>106</v>
      </c>
      <c r="E18827">
        <v>4.5839999999999996</v>
      </c>
    </row>
    <row r="18828" spans="1:5">
      <c r="A18828" t="s">
        <v>45589</v>
      </c>
      <c r="B18828" t="s">
        <v>45594</v>
      </c>
      <c r="C18828">
        <f>0</f>
        <v>0</v>
      </c>
      <c r="D18828" t="s">
        <v>106</v>
      </c>
      <c r="E18828">
        <v>4.5839999999999996</v>
      </c>
    </row>
    <row r="18829" spans="1:5">
      <c r="A18829" t="s">
        <v>45589</v>
      </c>
      <c r="B18829" t="s">
        <v>45595</v>
      </c>
      <c r="C18829">
        <f>0</f>
        <v>0</v>
      </c>
      <c r="D18829" t="s">
        <v>106</v>
      </c>
      <c r="E18829">
        <v>4.5839999999999996</v>
      </c>
    </row>
    <row r="18830" spans="1:5">
      <c r="A18830" t="s">
        <v>45596</v>
      </c>
      <c r="B18830" t="s">
        <v>45597</v>
      </c>
      <c r="C18830">
        <f>0</f>
        <v>0</v>
      </c>
      <c r="D18830" t="s">
        <v>106</v>
      </c>
      <c r="E18830">
        <v>0.17399999999999999</v>
      </c>
    </row>
    <row r="18831" spans="1:5">
      <c r="A18831" t="s">
        <v>45596</v>
      </c>
      <c r="B18831" t="s">
        <v>45598</v>
      </c>
      <c r="C18831">
        <f>0</f>
        <v>0</v>
      </c>
      <c r="D18831" t="s">
        <v>106</v>
      </c>
      <c r="E18831">
        <v>0.17399999999999999</v>
      </c>
    </row>
    <row r="18832" spans="1:5">
      <c r="A18832" t="s">
        <v>45596</v>
      </c>
      <c r="B18832" t="s">
        <v>45599</v>
      </c>
      <c r="C18832">
        <f>0</f>
        <v>0</v>
      </c>
      <c r="D18832" t="s">
        <v>106</v>
      </c>
      <c r="E18832">
        <v>0.17399999999999999</v>
      </c>
    </row>
    <row r="18833" spans="1:5">
      <c r="A18833" t="s">
        <v>45596</v>
      </c>
      <c r="B18833" t="s">
        <v>45600</v>
      </c>
      <c r="C18833">
        <v>0</v>
      </c>
      <c r="D18833" t="s">
        <v>106</v>
      </c>
      <c r="E18833">
        <v>0.17399999999999999</v>
      </c>
    </row>
    <row r="18834" spans="1:5">
      <c r="A18834" t="s">
        <v>45596</v>
      </c>
      <c r="B18834" t="s">
        <v>45601</v>
      </c>
      <c r="C18834">
        <f>0</f>
        <v>0</v>
      </c>
      <c r="D18834" t="s">
        <v>106</v>
      </c>
      <c r="E18834">
        <v>0.17399999999999999</v>
      </c>
    </row>
    <row r="18835" spans="1:5">
      <c r="A18835" t="s">
        <v>45596</v>
      </c>
      <c r="B18835" t="s">
        <v>45602</v>
      </c>
      <c r="C18835">
        <f>0</f>
        <v>0</v>
      </c>
      <c r="D18835" t="s">
        <v>106</v>
      </c>
      <c r="E18835">
        <v>0.17399999999999999</v>
      </c>
    </row>
    <row r="18836" spans="1:5">
      <c r="A18836" t="s">
        <v>45596</v>
      </c>
      <c r="B18836" t="s">
        <v>45603</v>
      </c>
      <c r="C18836">
        <v>0</v>
      </c>
      <c r="D18836" t="s">
        <v>106</v>
      </c>
      <c r="E18836">
        <v>0.17399999999999999</v>
      </c>
    </row>
    <row r="18837" spans="1:5">
      <c r="A18837" t="s">
        <v>45596</v>
      </c>
      <c r="B18837" t="s">
        <v>45604</v>
      </c>
      <c r="C18837">
        <f>0</f>
        <v>0</v>
      </c>
      <c r="D18837" t="s">
        <v>106</v>
      </c>
      <c r="E18837">
        <v>0.17399999999999999</v>
      </c>
    </row>
    <row r="18838" spans="1:5">
      <c r="A18838" t="s">
        <v>45605</v>
      </c>
      <c r="B18838" t="s">
        <v>12567</v>
      </c>
      <c r="C18838">
        <v>0</v>
      </c>
      <c r="D18838" t="s">
        <v>106</v>
      </c>
      <c r="E18838">
        <v>24</v>
      </c>
    </row>
    <row r="18839" spans="1:5">
      <c r="A18839" t="s">
        <v>45605</v>
      </c>
      <c r="B18839" t="s">
        <v>12565</v>
      </c>
      <c r="C18839">
        <f>0</f>
        <v>0</v>
      </c>
      <c r="D18839" t="s">
        <v>106</v>
      </c>
      <c r="E18839">
        <v>24</v>
      </c>
    </row>
    <row r="18840" spans="1:5">
      <c r="A18840" t="s">
        <v>45605</v>
      </c>
      <c r="B18840" t="s">
        <v>12571</v>
      </c>
      <c r="C18840">
        <v>0</v>
      </c>
      <c r="D18840" t="s">
        <v>106</v>
      </c>
      <c r="E18840">
        <v>24</v>
      </c>
    </row>
    <row r="18841" spans="1:5">
      <c r="A18841" t="s">
        <v>45605</v>
      </c>
      <c r="B18841" t="s">
        <v>12569</v>
      </c>
      <c r="C18841">
        <f>0</f>
        <v>0</v>
      </c>
      <c r="D18841" t="s">
        <v>106</v>
      </c>
      <c r="E18841">
        <v>24</v>
      </c>
    </row>
    <row r="18842" spans="1:5">
      <c r="A18842" t="s">
        <v>45605</v>
      </c>
      <c r="B18842" t="s">
        <v>12570</v>
      </c>
      <c r="C18842">
        <v>0</v>
      </c>
      <c r="D18842" t="s">
        <v>106</v>
      </c>
      <c r="E18842">
        <v>24</v>
      </c>
    </row>
    <row r="18843" spans="1:5">
      <c r="A18843" t="s">
        <v>45606</v>
      </c>
      <c r="B18843" t="s">
        <v>755</v>
      </c>
      <c r="C18843">
        <v>0</v>
      </c>
      <c r="D18843">
        <v>0.53753138203700002</v>
      </c>
      <c r="E18843">
        <v>11.538</v>
      </c>
    </row>
    <row r="18844" spans="1:5">
      <c r="A18844" t="s">
        <v>45606</v>
      </c>
      <c r="B18844" t="s">
        <v>757</v>
      </c>
      <c r="C18844">
        <f>0.127921382037</f>
        <v>0.12792138203699999</v>
      </c>
      <c r="D18844">
        <v>0.53753138203700002</v>
      </c>
      <c r="E18844">
        <v>11.538</v>
      </c>
    </row>
    <row r="18845" spans="1:5">
      <c r="A18845" t="s">
        <v>45607</v>
      </c>
      <c r="B18845" t="s">
        <v>45608</v>
      </c>
      <c r="C18845">
        <v>0</v>
      </c>
      <c r="D18845">
        <v>0.90744409367699996</v>
      </c>
      <c r="E18845">
        <v>3.3180000000000001</v>
      </c>
    </row>
    <row r="18846" spans="1:5">
      <c r="A18846" t="s">
        <v>45607</v>
      </c>
      <c r="B18846" t="s">
        <v>45609</v>
      </c>
      <c r="C18846">
        <v>0.86885194030799995</v>
      </c>
      <c r="D18846">
        <v>0.90744409367699996</v>
      </c>
      <c r="E18846">
        <v>3.3180000000000001</v>
      </c>
    </row>
    <row r="18847" spans="1:5">
      <c r="A18847" t="s">
        <v>45607</v>
      </c>
      <c r="B18847" t="s">
        <v>45610</v>
      </c>
      <c r="C18847">
        <v>0.14787953770100001</v>
      </c>
      <c r="D18847">
        <v>0.90744409367699996</v>
      </c>
      <c r="E18847">
        <v>3.3180000000000001</v>
      </c>
    </row>
    <row r="18848" spans="1:5">
      <c r="A18848" t="s">
        <v>45607</v>
      </c>
      <c r="B18848" t="s">
        <v>45611</v>
      </c>
      <c r="C18848">
        <v>0</v>
      </c>
      <c r="D18848">
        <v>0.90744409367699996</v>
      </c>
      <c r="E18848">
        <v>3.3180000000000001</v>
      </c>
    </row>
    <row r="18849" spans="1:5">
      <c r="A18849" t="s">
        <v>45612</v>
      </c>
      <c r="B18849" t="s">
        <v>45613</v>
      </c>
      <c r="C18849">
        <f>0</f>
        <v>0</v>
      </c>
      <c r="D18849" t="s">
        <v>106</v>
      </c>
      <c r="E18849">
        <v>3.8759999999999999</v>
      </c>
    </row>
    <row r="18850" spans="1:5">
      <c r="A18850" t="s">
        <v>45612</v>
      </c>
      <c r="B18850" t="s">
        <v>45614</v>
      </c>
      <c r="C18850">
        <v>0</v>
      </c>
      <c r="D18850" t="s">
        <v>106</v>
      </c>
      <c r="E18850">
        <v>3.8759999999999999</v>
      </c>
    </row>
    <row r="18851" spans="1:5">
      <c r="A18851" t="s">
        <v>45612</v>
      </c>
      <c r="B18851" t="s">
        <v>45615</v>
      </c>
      <c r="C18851">
        <v>0</v>
      </c>
      <c r="D18851" t="s">
        <v>106</v>
      </c>
      <c r="E18851">
        <v>3.8759999999999999</v>
      </c>
    </row>
    <row r="18852" spans="1:5">
      <c r="A18852" t="s">
        <v>45616</v>
      </c>
      <c r="B18852" t="s">
        <v>6378</v>
      </c>
      <c r="C18852">
        <v>0</v>
      </c>
      <c r="D18852">
        <v>0.74280878999099997</v>
      </c>
      <c r="E18852">
        <v>24</v>
      </c>
    </row>
    <row r="18853" spans="1:5">
      <c r="A18853" t="s">
        <v>45616</v>
      </c>
      <c r="B18853" t="s">
        <v>6381</v>
      </c>
      <c r="C18853">
        <v>0.51239878999099997</v>
      </c>
      <c r="D18853">
        <v>0.74280878999099997</v>
      </c>
      <c r="E18853">
        <v>24</v>
      </c>
    </row>
    <row r="18854" spans="1:5">
      <c r="A18854" t="s">
        <v>45616</v>
      </c>
      <c r="B18854" t="s">
        <v>6379</v>
      </c>
      <c r="C18854">
        <v>0</v>
      </c>
      <c r="D18854">
        <v>0.74280878999099997</v>
      </c>
      <c r="E18854">
        <v>24</v>
      </c>
    </row>
    <row r="18855" spans="1:5">
      <c r="A18855" t="s">
        <v>45617</v>
      </c>
      <c r="B18855" t="s">
        <v>45618</v>
      </c>
      <c r="C18855">
        <v>0.12621338078700001</v>
      </c>
      <c r="D18855">
        <v>0.98205083329700005</v>
      </c>
      <c r="E18855">
        <v>0.73799999999999999</v>
      </c>
    </row>
    <row r="18856" spans="1:5">
      <c r="A18856" t="s">
        <v>45617</v>
      </c>
      <c r="B18856" t="s">
        <v>45619</v>
      </c>
      <c r="C18856">
        <f>0.269748475751</f>
        <v>0.26974847575100003</v>
      </c>
      <c r="D18856">
        <v>0.98205083329700005</v>
      </c>
      <c r="E18856">
        <v>0.73799999999999999</v>
      </c>
    </row>
    <row r="18857" spans="1:5">
      <c r="A18857" t="s">
        <v>45617</v>
      </c>
      <c r="B18857" t="s">
        <v>45620</v>
      </c>
      <c r="C18857">
        <v>0</v>
      </c>
      <c r="D18857">
        <v>0.98205083329700005</v>
      </c>
      <c r="E18857">
        <v>0.73799999999999999</v>
      </c>
    </row>
    <row r="18858" spans="1:5">
      <c r="A18858" t="s">
        <v>45617</v>
      </c>
      <c r="B18858" t="s">
        <v>45621</v>
      </c>
      <c r="C18858">
        <v>6.0483886289500001E-2</v>
      </c>
      <c r="D18858">
        <v>0.98205083329700005</v>
      </c>
      <c r="E18858">
        <v>0.73799999999999999</v>
      </c>
    </row>
    <row r="18859" spans="1:5">
      <c r="A18859" t="s">
        <v>45617</v>
      </c>
      <c r="B18859" t="s">
        <v>45622</v>
      </c>
      <c r="C18859">
        <v>0</v>
      </c>
      <c r="D18859">
        <v>0.98205083329700005</v>
      </c>
      <c r="E18859">
        <v>0.73799999999999999</v>
      </c>
    </row>
    <row r="18860" spans="1:5">
      <c r="A18860" t="s">
        <v>45617</v>
      </c>
      <c r="B18860" t="s">
        <v>45623</v>
      </c>
      <c r="C18860">
        <f>-1.24391253817</f>
        <v>-1.24391253817</v>
      </c>
      <c r="D18860">
        <v>0.98205083329700005</v>
      </c>
      <c r="E18860">
        <v>0.73799999999999999</v>
      </c>
    </row>
    <row r="18861" spans="1:5">
      <c r="A18861" t="s">
        <v>45617</v>
      </c>
      <c r="B18861" t="s">
        <v>45624</v>
      </c>
      <c r="C18861">
        <v>0.53664229839900002</v>
      </c>
      <c r="D18861">
        <v>0.98205083329700005</v>
      </c>
      <c r="E18861">
        <v>0.73799999999999999</v>
      </c>
    </row>
    <row r="18862" spans="1:5">
      <c r="A18862" t="s">
        <v>45617</v>
      </c>
      <c r="B18862" t="s">
        <v>45625</v>
      </c>
      <c r="C18862">
        <v>0.43585366624600003</v>
      </c>
      <c r="D18862">
        <v>0.98205083329700005</v>
      </c>
      <c r="E18862">
        <v>0.73799999999999999</v>
      </c>
    </row>
    <row r="18863" spans="1:5">
      <c r="A18863" t="s">
        <v>45626</v>
      </c>
      <c r="B18863" t="s">
        <v>12209</v>
      </c>
      <c r="C18863">
        <f>0</f>
        <v>0</v>
      </c>
      <c r="D18863">
        <v>0.95119211820600003</v>
      </c>
      <c r="E18863">
        <v>21.648</v>
      </c>
    </row>
    <row r="18864" spans="1:5">
      <c r="A18864" t="s">
        <v>45626</v>
      </c>
      <c r="B18864" t="s">
        <v>12212</v>
      </c>
      <c r="C18864">
        <f>0</f>
        <v>0</v>
      </c>
      <c r="D18864">
        <v>0.95119211820600003</v>
      </c>
      <c r="E18864">
        <v>21.648</v>
      </c>
    </row>
    <row r="18865" spans="1:5">
      <c r="A18865" t="s">
        <v>45626</v>
      </c>
      <c r="B18865" t="s">
        <v>12211</v>
      </c>
      <c r="C18865">
        <v>0</v>
      </c>
      <c r="D18865">
        <v>0.95119211820600003</v>
      </c>
      <c r="E18865">
        <v>21.648</v>
      </c>
    </row>
    <row r="18866" spans="1:5">
      <c r="A18866" t="s">
        <v>45626</v>
      </c>
      <c r="B18866" t="s">
        <v>12210</v>
      </c>
      <c r="C18866">
        <v>0.27179660768300001</v>
      </c>
      <c r="D18866">
        <v>0.95119211820600003</v>
      </c>
      <c r="E18866">
        <v>21.648</v>
      </c>
    </row>
    <row r="18867" spans="1:5">
      <c r="A18867" t="s">
        <v>45626</v>
      </c>
      <c r="B18867" t="s">
        <v>12214</v>
      </c>
      <c r="C18867">
        <f>0.800011537478</f>
        <v>0.80001153747800002</v>
      </c>
      <c r="D18867">
        <v>0.95119211820600003</v>
      </c>
      <c r="E18867">
        <v>21.648</v>
      </c>
    </row>
    <row r="18868" spans="1:5">
      <c r="A18868" t="s">
        <v>45626</v>
      </c>
      <c r="B18868" t="s">
        <v>12213</v>
      </c>
      <c r="C18868">
        <v>0.24979320432900001</v>
      </c>
      <c r="D18868">
        <v>0.95119211820600003</v>
      </c>
      <c r="E18868">
        <v>21.648</v>
      </c>
    </row>
    <row r="18869" spans="1:5">
      <c r="A18869" t="s">
        <v>45627</v>
      </c>
      <c r="B18869" t="s">
        <v>11601</v>
      </c>
      <c r="C18869">
        <v>0.73789878052699998</v>
      </c>
      <c r="D18869">
        <v>0.904606798155</v>
      </c>
      <c r="E18869">
        <v>23.754000000000001</v>
      </c>
    </row>
    <row r="18870" spans="1:5">
      <c r="A18870" t="s">
        <v>45627</v>
      </c>
      <c r="B18870" t="s">
        <v>11602</v>
      </c>
      <c r="C18870">
        <f>0.0348313217045</f>
        <v>3.4831321704499998E-2</v>
      </c>
      <c r="D18870">
        <v>0.904606798155</v>
      </c>
      <c r="E18870">
        <v>23.754000000000001</v>
      </c>
    </row>
    <row r="18871" spans="1:5">
      <c r="A18871" t="s">
        <v>45627</v>
      </c>
      <c r="B18871" t="s">
        <v>11603</v>
      </c>
      <c r="C18871">
        <v>0.12762320535300001</v>
      </c>
      <c r="D18871">
        <v>0.904606798155</v>
      </c>
      <c r="E18871">
        <v>23.754000000000001</v>
      </c>
    </row>
    <row r="18872" spans="1:5">
      <c r="A18872" t="s">
        <v>45628</v>
      </c>
      <c r="B18872" t="s">
        <v>45629</v>
      </c>
      <c r="C18872">
        <v>0</v>
      </c>
      <c r="D18872">
        <v>0.63231234390000002</v>
      </c>
      <c r="E18872">
        <v>9.468</v>
      </c>
    </row>
    <row r="18873" spans="1:5">
      <c r="A18873" t="s">
        <v>45628</v>
      </c>
      <c r="B18873" t="s">
        <v>45630</v>
      </c>
      <c r="C18873">
        <v>0.318635083594</v>
      </c>
      <c r="D18873">
        <v>0.63231234390000002</v>
      </c>
      <c r="E18873">
        <v>9.468</v>
      </c>
    </row>
    <row r="18874" spans="1:5">
      <c r="A18874" t="s">
        <v>45628</v>
      </c>
      <c r="B18874" t="s">
        <v>45631</v>
      </c>
      <c r="C18874">
        <f>0.0507072121596</f>
        <v>5.0707212159600001E-2</v>
      </c>
      <c r="D18874">
        <v>0.63231234390000002</v>
      </c>
      <c r="E18874">
        <v>9.468</v>
      </c>
    </row>
    <row r="18875" spans="1:5">
      <c r="A18875" t="s">
        <v>45628</v>
      </c>
      <c r="B18875" t="s">
        <v>45632</v>
      </c>
      <c r="C18875">
        <f>0</f>
        <v>0</v>
      </c>
      <c r="D18875">
        <v>0.63231234390000002</v>
      </c>
      <c r="E18875">
        <v>9.468</v>
      </c>
    </row>
    <row r="18876" spans="1:5">
      <c r="A18876" t="s">
        <v>45633</v>
      </c>
      <c r="B18876" t="s">
        <v>23252</v>
      </c>
      <c r="C18876">
        <v>1.0166525989799999</v>
      </c>
      <c r="D18876">
        <v>0.92637292504500002</v>
      </c>
      <c r="E18876">
        <v>10.554</v>
      </c>
    </row>
    <row r="18877" spans="1:5">
      <c r="A18877" t="s">
        <v>45633</v>
      </c>
      <c r="B18877" t="s">
        <v>23254</v>
      </c>
      <c r="C18877">
        <f>0.347731796802</f>
        <v>0.347731796802</v>
      </c>
      <c r="D18877">
        <v>0.92637292504500002</v>
      </c>
      <c r="E18877">
        <v>10.554</v>
      </c>
    </row>
    <row r="18878" spans="1:5">
      <c r="A18878" t="s">
        <v>45634</v>
      </c>
      <c r="B18878" t="s">
        <v>24263</v>
      </c>
      <c r="C18878">
        <v>0.44823679542200001</v>
      </c>
      <c r="D18878">
        <v>0.608246795422</v>
      </c>
      <c r="E18878">
        <v>3.2280000000000002</v>
      </c>
    </row>
    <row r="18879" spans="1:5">
      <c r="A18879" t="s">
        <v>45634</v>
      </c>
      <c r="B18879" t="s">
        <v>24262</v>
      </c>
      <c r="C18879">
        <v>0</v>
      </c>
      <c r="D18879">
        <v>0.608246795422</v>
      </c>
      <c r="E18879">
        <v>3.2280000000000002</v>
      </c>
    </row>
    <row r="18880" spans="1:5">
      <c r="A18880" t="s">
        <v>45635</v>
      </c>
      <c r="B18880" t="s">
        <v>45636</v>
      </c>
      <c r="C18880">
        <v>0.60008013956399997</v>
      </c>
      <c r="D18880">
        <v>0.68701910250099996</v>
      </c>
      <c r="E18880">
        <v>0.24</v>
      </c>
    </row>
    <row r="18881" spans="1:5">
      <c r="A18881" t="s">
        <v>45635</v>
      </c>
      <c r="B18881" t="s">
        <v>45637</v>
      </c>
      <c r="C18881">
        <v>2.1964545133600001E-2</v>
      </c>
      <c r="D18881">
        <v>0.68701910250099996</v>
      </c>
      <c r="E18881">
        <v>0.24</v>
      </c>
    </row>
    <row r="18882" spans="1:5">
      <c r="A18882" t="s">
        <v>45638</v>
      </c>
      <c r="B18882" t="s">
        <v>19925</v>
      </c>
      <c r="C18882">
        <v>0.114862724907</v>
      </c>
      <c r="D18882">
        <v>0.911253307475</v>
      </c>
      <c r="E18882">
        <v>23.52</v>
      </c>
    </row>
    <row r="18883" spans="1:5">
      <c r="A18883" t="s">
        <v>45638</v>
      </c>
      <c r="B18883" t="s">
        <v>19928</v>
      </c>
      <c r="C18883">
        <v>0.42965830008900002</v>
      </c>
      <c r="D18883">
        <v>0.911253307475</v>
      </c>
      <c r="E18883">
        <v>23.52</v>
      </c>
    </row>
    <row r="18884" spans="1:5">
      <c r="A18884" t="s">
        <v>45638</v>
      </c>
      <c r="B18884" t="s">
        <v>19926</v>
      </c>
      <c r="C18884">
        <v>0.35968747774400001</v>
      </c>
      <c r="D18884">
        <v>0.911253307475</v>
      </c>
      <c r="E18884">
        <v>23.52</v>
      </c>
    </row>
    <row r="18885" spans="1:5">
      <c r="A18885" t="s">
        <v>45639</v>
      </c>
      <c r="B18885" t="s">
        <v>45640</v>
      </c>
      <c r="C18885">
        <f>0</f>
        <v>0</v>
      </c>
      <c r="D18885" t="s">
        <v>106</v>
      </c>
      <c r="E18885">
        <v>16.698</v>
      </c>
    </row>
    <row r="18886" spans="1:5">
      <c r="A18886" t="s">
        <v>45639</v>
      </c>
      <c r="B18886" t="s">
        <v>45641</v>
      </c>
      <c r="C18886">
        <v>0</v>
      </c>
      <c r="D18886" t="s">
        <v>106</v>
      </c>
      <c r="E18886">
        <v>16.698</v>
      </c>
    </row>
    <row r="18887" spans="1:5">
      <c r="A18887" t="s">
        <v>45639</v>
      </c>
      <c r="B18887" t="s">
        <v>45642</v>
      </c>
      <c r="C18887">
        <f>0</f>
        <v>0</v>
      </c>
      <c r="D18887" t="s">
        <v>106</v>
      </c>
      <c r="E18887">
        <v>16.698</v>
      </c>
    </row>
    <row r="18888" spans="1:5">
      <c r="A18888" t="s">
        <v>45639</v>
      </c>
      <c r="B18888" t="s">
        <v>45643</v>
      </c>
      <c r="C18888">
        <f>0</f>
        <v>0</v>
      </c>
      <c r="D18888" t="s">
        <v>106</v>
      </c>
      <c r="E18888">
        <v>16.698</v>
      </c>
    </row>
    <row r="18889" spans="1:5">
      <c r="A18889" t="s">
        <v>45639</v>
      </c>
      <c r="B18889" t="s">
        <v>45644</v>
      </c>
      <c r="C18889">
        <f>0</f>
        <v>0</v>
      </c>
      <c r="D18889" t="s">
        <v>106</v>
      </c>
      <c r="E18889">
        <v>16.698</v>
      </c>
    </row>
    <row r="18890" spans="1:5">
      <c r="A18890" t="s">
        <v>45639</v>
      </c>
      <c r="B18890" t="s">
        <v>45645</v>
      </c>
      <c r="C18890">
        <v>0</v>
      </c>
      <c r="D18890" t="s">
        <v>106</v>
      </c>
      <c r="E18890">
        <v>16.698</v>
      </c>
    </row>
    <row r="18891" spans="1:5">
      <c r="A18891" t="s">
        <v>45639</v>
      </c>
      <c r="B18891" t="s">
        <v>45646</v>
      </c>
      <c r="C18891">
        <f>0</f>
        <v>0</v>
      </c>
      <c r="D18891" t="s">
        <v>106</v>
      </c>
      <c r="E18891">
        <v>16.698</v>
      </c>
    </row>
    <row r="18892" spans="1:5">
      <c r="A18892" t="s">
        <v>45647</v>
      </c>
      <c r="B18892" t="s">
        <v>7218</v>
      </c>
      <c r="C18892">
        <f>0</f>
        <v>0</v>
      </c>
      <c r="D18892" t="s">
        <v>106</v>
      </c>
      <c r="E18892">
        <v>6.18</v>
      </c>
    </row>
    <row r="18893" spans="1:5">
      <c r="A18893" t="s">
        <v>45647</v>
      </c>
      <c r="B18893" t="s">
        <v>7221</v>
      </c>
      <c r="C18893">
        <f>0</f>
        <v>0</v>
      </c>
      <c r="D18893" t="s">
        <v>106</v>
      </c>
      <c r="E18893">
        <v>6.18</v>
      </c>
    </row>
    <row r="18894" spans="1:5">
      <c r="A18894" t="s">
        <v>45647</v>
      </c>
      <c r="B18894" t="s">
        <v>7220</v>
      </c>
      <c r="C18894">
        <f>0</f>
        <v>0</v>
      </c>
      <c r="D18894" t="s">
        <v>106</v>
      </c>
      <c r="E18894">
        <v>6.18</v>
      </c>
    </row>
    <row r="18895" spans="1:5">
      <c r="A18895" t="s">
        <v>45647</v>
      </c>
      <c r="B18895" t="s">
        <v>7216</v>
      </c>
      <c r="C18895">
        <f>0</f>
        <v>0</v>
      </c>
      <c r="D18895" t="s">
        <v>106</v>
      </c>
      <c r="E18895">
        <v>6.18</v>
      </c>
    </row>
    <row r="18896" spans="1:5">
      <c r="A18896" t="s">
        <v>45648</v>
      </c>
      <c r="B18896" t="s">
        <v>18484</v>
      </c>
      <c r="C18896">
        <f>0.0867460807991</f>
        <v>8.6746080799099998E-2</v>
      </c>
      <c r="D18896">
        <v>0.95978230910399998</v>
      </c>
      <c r="E18896">
        <v>23.754000000000001</v>
      </c>
    </row>
    <row r="18897" spans="1:5">
      <c r="A18897" t="s">
        <v>45648</v>
      </c>
      <c r="B18897" t="s">
        <v>18485</v>
      </c>
      <c r="C18897">
        <v>0.44478024365300001</v>
      </c>
      <c r="D18897">
        <v>0.95978230910399998</v>
      </c>
      <c r="E18897">
        <v>23.754000000000001</v>
      </c>
    </row>
    <row r="18898" spans="1:5">
      <c r="A18898" t="s">
        <v>45648</v>
      </c>
      <c r="B18898" t="s">
        <v>18492</v>
      </c>
      <c r="C18898">
        <v>0.67368761998600002</v>
      </c>
      <c r="D18898">
        <v>0.95978230910399998</v>
      </c>
      <c r="E18898">
        <v>23.754000000000001</v>
      </c>
    </row>
    <row r="18899" spans="1:5">
      <c r="A18899" t="s">
        <v>45648</v>
      </c>
      <c r="B18899" t="s">
        <v>18491</v>
      </c>
      <c r="C18899">
        <v>0.50228393110699998</v>
      </c>
      <c r="D18899">
        <v>0.95978230910399998</v>
      </c>
      <c r="E18899">
        <v>23.754000000000001</v>
      </c>
    </row>
    <row r="18900" spans="1:5">
      <c r="A18900" t="s">
        <v>45648</v>
      </c>
      <c r="B18900" t="s">
        <v>18488</v>
      </c>
      <c r="C18900">
        <v>0.47333088126599998</v>
      </c>
      <c r="D18900">
        <v>0.95978230910399998</v>
      </c>
      <c r="E18900">
        <v>23.754000000000001</v>
      </c>
    </row>
    <row r="18901" spans="1:5">
      <c r="A18901" t="s">
        <v>45649</v>
      </c>
      <c r="B18901" t="s">
        <v>27948</v>
      </c>
      <c r="C18901">
        <v>0</v>
      </c>
      <c r="D18901">
        <v>0.75845051706300004</v>
      </c>
      <c r="E18901">
        <v>4.4820000000000002</v>
      </c>
    </row>
    <row r="18902" spans="1:5">
      <c r="A18902" t="s">
        <v>45649</v>
      </c>
      <c r="B18902" t="s">
        <v>27959</v>
      </c>
      <c r="C18902">
        <f>0.426908902657</f>
        <v>0.42690890265699999</v>
      </c>
      <c r="D18902">
        <v>0.75845051706300004</v>
      </c>
      <c r="E18902">
        <v>4.4820000000000002</v>
      </c>
    </row>
    <row r="18903" spans="1:5">
      <c r="A18903" t="s">
        <v>45649</v>
      </c>
      <c r="B18903" t="s">
        <v>27953</v>
      </c>
      <c r="C18903">
        <f>0</f>
        <v>0</v>
      </c>
      <c r="D18903">
        <v>0.75845051706300004</v>
      </c>
      <c r="E18903">
        <v>4.4820000000000002</v>
      </c>
    </row>
    <row r="18904" spans="1:5">
      <c r="A18904" t="s">
        <v>45649</v>
      </c>
      <c r="B18904" t="s">
        <v>27949</v>
      </c>
      <c r="C18904">
        <v>9.7333260315400003E-2</v>
      </c>
      <c r="D18904">
        <v>0.75845051706300004</v>
      </c>
      <c r="E18904">
        <v>4.4820000000000002</v>
      </c>
    </row>
    <row r="18905" spans="1:5">
      <c r="A18905" t="s">
        <v>45650</v>
      </c>
      <c r="B18905" t="s">
        <v>45651</v>
      </c>
      <c r="C18905">
        <v>0</v>
      </c>
      <c r="D18905">
        <v>0.64751262930499998</v>
      </c>
      <c r="E18905">
        <v>8.8680000000000003</v>
      </c>
    </row>
    <row r="18906" spans="1:5">
      <c r="A18906" t="s">
        <v>45650</v>
      </c>
      <c r="B18906" t="s">
        <v>45652</v>
      </c>
      <c r="C18906">
        <v>0</v>
      </c>
      <c r="D18906">
        <v>0.64751262930499998</v>
      </c>
      <c r="E18906">
        <v>8.8680000000000003</v>
      </c>
    </row>
    <row r="18907" spans="1:5">
      <c r="A18907" t="s">
        <v>45650</v>
      </c>
      <c r="B18907" t="s">
        <v>45653</v>
      </c>
      <c r="C18907">
        <v>0</v>
      </c>
      <c r="D18907">
        <v>0.64751262930499998</v>
      </c>
      <c r="E18907">
        <v>8.8680000000000003</v>
      </c>
    </row>
    <row r="18908" spans="1:5">
      <c r="A18908" t="s">
        <v>45650</v>
      </c>
      <c r="B18908" t="s">
        <v>45654</v>
      </c>
      <c r="C18908">
        <v>0.37710262930499999</v>
      </c>
      <c r="D18908">
        <v>0.64751262930499998</v>
      </c>
      <c r="E18908">
        <v>8.8680000000000003</v>
      </c>
    </row>
    <row r="18909" spans="1:5">
      <c r="A18909" t="s">
        <v>45650</v>
      </c>
      <c r="B18909" t="s">
        <v>45655</v>
      </c>
      <c r="C18909">
        <f>0</f>
        <v>0</v>
      </c>
      <c r="D18909">
        <v>0.64751262930499998</v>
      </c>
      <c r="E18909">
        <v>8.8680000000000003</v>
      </c>
    </row>
    <row r="18910" spans="1:5">
      <c r="A18910" t="s">
        <v>45656</v>
      </c>
      <c r="B18910" t="s">
        <v>12785</v>
      </c>
      <c r="C18910">
        <f>0.511619913741</f>
        <v>0.51161991374100002</v>
      </c>
      <c r="D18910">
        <v>0.89425295232900004</v>
      </c>
      <c r="E18910">
        <v>4.4820000000000002</v>
      </c>
    </row>
    <row r="18911" spans="1:5">
      <c r="A18911" t="s">
        <v>45656</v>
      </c>
      <c r="B18911" t="s">
        <v>12784</v>
      </c>
      <c r="C18911">
        <f>0</f>
        <v>0</v>
      </c>
      <c r="D18911">
        <v>0.89425295232900004</v>
      </c>
      <c r="E18911">
        <v>4.4820000000000002</v>
      </c>
    </row>
    <row r="18912" spans="1:5">
      <c r="A18912" t="s">
        <v>45656</v>
      </c>
      <c r="B18912" t="s">
        <v>12788</v>
      </c>
      <c r="C18912">
        <f>0.0827172061513</f>
        <v>8.2717206151300002E-2</v>
      </c>
      <c r="D18912">
        <v>0.89425295232900004</v>
      </c>
      <c r="E18912">
        <v>4.4820000000000002</v>
      </c>
    </row>
    <row r="18913" spans="1:5">
      <c r="A18913" t="s">
        <v>45656</v>
      </c>
      <c r="B18913" t="s">
        <v>12787</v>
      </c>
      <c r="C18913">
        <v>0</v>
      </c>
      <c r="D18913">
        <v>0.89425295232900004</v>
      </c>
      <c r="E18913">
        <v>4.4820000000000002</v>
      </c>
    </row>
    <row r="18914" spans="1:5">
      <c r="A18914" t="s">
        <v>45656</v>
      </c>
      <c r="B18914" t="s">
        <v>12790</v>
      </c>
      <c r="C18914">
        <f>0</f>
        <v>0</v>
      </c>
      <c r="D18914">
        <v>0.89425295232900004</v>
      </c>
      <c r="E18914">
        <v>4.4820000000000002</v>
      </c>
    </row>
    <row r="18915" spans="1:5">
      <c r="A18915" t="s">
        <v>45656</v>
      </c>
      <c r="B18915" t="s">
        <v>12789</v>
      </c>
      <c r="C18915">
        <f>0.31889976142</f>
        <v>0.31889976141999998</v>
      </c>
      <c r="D18915">
        <v>0.89425295232900004</v>
      </c>
      <c r="E18915">
        <v>4.4820000000000002</v>
      </c>
    </row>
    <row r="18916" spans="1:5">
      <c r="A18916" t="s">
        <v>45657</v>
      </c>
      <c r="B18916" t="s">
        <v>45658</v>
      </c>
      <c r="C18916">
        <f>0</f>
        <v>0</v>
      </c>
      <c r="D18916" t="s">
        <v>106</v>
      </c>
      <c r="E18916">
        <v>20.07</v>
      </c>
    </row>
    <row r="18917" spans="1:5">
      <c r="A18917" t="s">
        <v>45657</v>
      </c>
      <c r="B18917" t="s">
        <v>45659</v>
      </c>
      <c r="C18917">
        <v>0</v>
      </c>
      <c r="D18917" t="s">
        <v>106</v>
      </c>
      <c r="E18917">
        <v>20.07</v>
      </c>
    </row>
    <row r="18918" spans="1:5">
      <c r="A18918" t="s">
        <v>45660</v>
      </c>
      <c r="B18918" t="s">
        <v>33771</v>
      </c>
      <c r="C18918">
        <v>7.0238770091899994E-2</v>
      </c>
      <c r="D18918">
        <v>0.79063181463499999</v>
      </c>
      <c r="E18918">
        <v>11.37</v>
      </c>
    </row>
    <row r="18919" spans="1:5">
      <c r="A18919" t="s">
        <v>45660</v>
      </c>
      <c r="B18919" t="s">
        <v>33774</v>
      </c>
      <c r="C18919">
        <v>0</v>
      </c>
      <c r="D18919">
        <v>0.79063181463499999</v>
      </c>
      <c r="E18919">
        <v>11.37</v>
      </c>
    </row>
    <row r="18920" spans="1:5">
      <c r="A18920" t="s">
        <v>45660</v>
      </c>
      <c r="B18920" t="s">
        <v>33780</v>
      </c>
      <c r="C18920">
        <v>0</v>
      </c>
      <c r="D18920">
        <v>0.79063181463499999</v>
      </c>
      <c r="E18920">
        <v>11.37</v>
      </c>
    </row>
    <row r="18921" spans="1:5">
      <c r="A18921" t="s">
        <v>45660</v>
      </c>
      <c r="B18921" t="s">
        <v>33775</v>
      </c>
      <c r="C18921">
        <f>0.50933844277</f>
        <v>0.50933844276999996</v>
      </c>
      <c r="D18921">
        <v>0.79063181463499999</v>
      </c>
      <c r="E18921">
        <v>11.37</v>
      </c>
    </row>
    <row r="18922" spans="1:5">
      <c r="A18922" t="s">
        <v>45660</v>
      </c>
      <c r="B18922" t="s">
        <v>33777</v>
      </c>
      <c r="C18922">
        <f>0</f>
        <v>0</v>
      </c>
      <c r="D18922">
        <v>0.79063181463499999</v>
      </c>
      <c r="E18922">
        <v>11.37</v>
      </c>
    </row>
    <row r="18923" spans="1:5">
      <c r="A18923" t="s">
        <v>45660</v>
      </c>
      <c r="B18923" t="s">
        <v>33781</v>
      </c>
      <c r="C18923">
        <v>0</v>
      </c>
      <c r="D18923">
        <v>0.79063181463499999</v>
      </c>
      <c r="E18923">
        <v>11.37</v>
      </c>
    </row>
    <row r="18924" spans="1:5">
      <c r="A18924" t="s">
        <v>45661</v>
      </c>
      <c r="B18924" t="s">
        <v>45662</v>
      </c>
      <c r="C18924">
        <v>0.55254865171300005</v>
      </c>
      <c r="D18924">
        <v>0.72754659412400002</v>
      </c>
      <c r="E18924">
        <v>1.764</v>
      </c>
    </row>
    <row r="18925" spans="1:5">
      <c r="A18925" t="s">
        <v>45661</v>
      </c>
      <c r="B18925" t="s">
        <v>45663</v>
      </c>
      <c r="C18925">
        <v>0.25591978012299998</v>
      </c>
      <c r="D18925">
        <v>0.72754659412400002</v>
      </c>
      <c r="E18925">
        <v>1.764</v>
      </c>
    </row>
    <row r="18926" spans="1:5">
      <c r="A18926" t="s">
        <v>45664</v>
      </c>
      <c r="B18926" t="s">
        <v>18425</v>
      </c>
      <c r="C18926">
        <f>0.352370110583</f>
        <v>0.352370110583</v>
      </c>
      <c r="D18926">
        <v>0.99999990802799998</v>
      </c>
      <c r="E18926">
        <v>4.3739999999999997</v>
      </c>
    </row>
    <row r="18927" spans="1:5">
      <c r="A18927" t="s">
        <v>45664</v>
      </c>
      <c r="B18927" t="s">
        <v>18411</v>
      </c>
      <c r="C18927">
        <f>0.483737978661</f>
        <v>0.48373797866099999</v>
      </c>
      <c r="D18927">
        <v>0.99999990802799998</v>
      </c>
      <c r="E18927">
        <v>4.3739999999999997</v>
      </c>
    </row>
    <row r="18928" spans="1:5">
      <c r="A18928" t="s">
        <v>45664</v>
      </c>
      <c r="B18928" t="s">
        <v>18424</v>
      </c>
      <c r="C18928">
        <v>0.25160545494499997</v>
      </c>
      <c r="D18928">
        <v>0.99999990802799998</v>
      </c>
      <c r="E18928">
        <v>4.3739999999999997</v>
      </c>
    </row>
    <row r="18929" spans="1:5">
      <c r="A18929" t="s">
        <v>45664</v>
      </c>
      <c r="B18929" t="s">
        <v>18419</v>
      </c>
      <c r="C18929">
        <f>0.539052626172</f>
        <v>0.539052626172</v>
      </c>
      <c r="D18929">
        <v>0.99999990802799998</v>
      </c>
      <c r="E18929">
        <v>4.3739999999999997</v>
      </c>
    </row>
    <row r="18930" spans="1:5">
      <c r="A18930" t="s">
        <v>45664</v>
      </c>
      <c r="B18930" t="s">
        <v>18413</v>
      </c>
      <c r="C18930">
        <v>0.13080092840499999</v>
      </c>
      <c r="D18930">
        <v>0.99999990802799998</v>
      </c>
      <c r="E18930">
        <v>4.3739999999999997</v>
      </c>
    </row>
    <row r="18931" spans="1:5">
      <c r="A18931" t="s">
        <v>45664</v>
      </c>
      <c r="B18931" t="s">
        <v>18421</v>
      </c>
      <c r="C18931">
        <v>0.49274575197600001</v>
      </c>
      <c r="D18931">
        <v>0.99999990802799998</v>
      </c>
      <c r="E18931">
        <v>4.3739999999999997</v>
      </c>
    </row>
    <row r="18932" spans="1:5">
      <c r="A18932" t="s">
        <v>45664</v>
      </c>
      <c r="B18932" t="s">
        <v>18420</v>
      </c>
      <c r="C18932">
        <f>0.700842548894</f>
        <v>0.70084254889399999</v>
      </c>
      <c r="D18932">
        <v>0.99999990802799998</v>
      </c>
      <c r="E18932">
        <v>4.3739999999999997</v>
      </c>
    </row>
    <row r="18933" spans="1:5">
      <c r="A18933" t="s">
        <v>45664</v>
      </c>
      <c r="B18933" t="s">
        <v>18423</v>
      </c>
      <c r="C18933">
        <v>0.41377186593100002</v>
      </c>
      <c r="D18933">
        <v>0.99999990802799998</v>
      </c>
      <c r="E18933">
        <v>4.3739999999999997</v>
      </c>
    </row>
    <row r="18934" spans="1:5">
      <c r="A18934" t="s">
        <v>45664</v>
      </c>
      <c r="B18934" t="s">
        <v>18412</v>
      </c>
      <c r="C18934">
        <v>0.25927248756999999</v>
      </c>
      <c r="D18934">
        <v>0.99999990802799998</v>
      </c>
      <c r="E18934">
        <v>4.3739999999999997</v>
      </c>
    </row>
    <row r="18935" spans="1:5">
      <c r="A18935" t="s">
        <v>45664</v>
      </c>
      <c r="B18935" t="s">
        <v>18422</v>
      </c>
      <c r="C18935">
        <v>0.39825888291799999</v>
      </c>
      <c r="D18935">
        <v>0.99999990802799998</v>
      </c>
      <c r="E18935">
        <v>4.3739999999999997</v>
      </c>
    </row>
    <row r="18936" spans="1:5">
      <c r="A18936" t="s">
        <v>45664</v>
      </c>
      <c r="B18936" t="s">
        <v>45665</v>
      </c>
      <c r="C18936">
        <f>0.159454786646</f>
        <v>0.15945478664599999</v>
      </c>
      <c r="D18936">
        <v>0.99999990802799998</v>
      </c>
      <c r="E18936">
        <v>4.3739999999999997</v>
      </c>
    </row>
    <row r="18937" spans="1:5">
      <c r="A18937" t="s">
        <v>45666</v>
      </c>
      <c r="B18937" t="s">
        <v>31611</v>
      </c>
      <c r="C18937">
        <f>0</f>
        <v>0</v>
      </c>
      <c r="D18937">
        <v>0.99537579840000001</v>
      </c>
      <c r="E18937">
        <v>5.9340000000000002</v>
      </c>
    </row>
    <row r="18938" spans="1:5">
      <c r="A18938" t="s">
        <v>45666</v>
      </c>
      <c r="B18938" t="s">
        <v>31610</v>
      </c>
      <c r="C18938">
        <v>0.612069441499</v>
      </c>
      <c r="D18938">
        <v>0.99537579840000001</v>
      </c>
      <c r="E18938">
        <v>5.9340000000000002</v>
      </c>
    </row>
    <row r="18939" spans="1:5">
      <c r="A18939" t="s">
        <v>45666</v>
      </c>
      <c r="B18939" t="s">
        <v>31612</v>
      </c>
      <c r="C18939">
        <f>0.0747519051847</f>
        <v>7.4751905184699999E-2</v>
      </c>
      <c r="D18939">
        <v>0.99537579840000001</v>
      </c>
      <c r="E18939">
        <v>5.9340000000000002</v>
      </c>
    </row>
    <row r="18940" spans="1:5">
      <c r="A18940" t="s">
        <v>45666</v>
      </c>
      <c r="B18940" t="s">
        <v>31616</v>
      </c>
      <c r="C18940">
        <f>0.348685942839</f>
        <v>0.34868594283900001</v>
      </c>
      <c r="D18940">
        <v>0.99537579840000001</v>
      </c>
      <c r="E18940">
        <v>5.9340000000000002</v>
      </c>
    </row>
    <row r="18941" spans="1:5">
      <c r="A18941" t="s">
        <v>45666</v>
      </c>
      <c r="B18941" t="s">
        <v>31614</v>
      </c>
      <c r="C18941">
        <v>0.68987639015500002</v>
      </c>
      <c r="D18941">
        <v>0.99537579840000001</v>
      </c>
      <c r="E18941">
        <v>5.9340000000000002</v>
      </c>
    </row>
    <row r="18942" spans="1:5">
      <c r="A18942" t="s">
        <v>45667</v>
      </c>
      <c r="B18942" t="s">
        <v>22579</v>
      </c>
      <c r="C18942">
        <f>0.0376378004667</f>
        <v>3.7637800466699997E-2</v>
      </c>
      <c r="D18942">
        <v>0.70411031563500004</v>
      </c>
      <c r="E18942">
        <v>0.58199999999999996</v>
      </c>
    </row>
    <row r="18943" spans="1:5">
      <c r="A18943" t="s">
        <v>45667</v>
      </c>
      <c r="B18943" t="s">
        <v>22581</v>
      </c>
      <c r="C18943">
        <f>0.406409677821</f>
        <v>0.40640967782100001</v>
      </c>
      <c r="D18943">
        <v>0.70411031563500004</v>
      </c>
      <c r="E18943">
        <v>0.58199999999999996</v>
      </c>
    </row>
    <row r="18944" spans="1:5">
      <c r="A18944" t="s">
        <v>45667</v>
      </c>
      <c r="B18944" t="s">
        <v>22580</v>
      </c>
      <c r="C18944">
        <f>0</f>
        <v>0</v>
      </c>
      <c r="D18944">
        <v>0.70411031563500004</v>
      </c>
      <c r="E18944">
        <v>0.58199999999999996</v>
      </c>
    </row>
    <row r="18945" spans="1:5">
      <c r="A18945" t="s">
        <v>45667</v>
      </c>
      <c r="B18945" t="s">
        <v>22582</v>
      </c>
      <c r="C18945">
        <f>0</f>
        <v>0</v>
      </c>
      <c r="D18945">
        <v>0.70411031563500004</v>
      </c>
      <c r="E18945">
        <v>0.58199999999999996</v>
      </c>
    </row>
    <row r="18946" spans="1:5">
      <c r="A18946" t="s">
        <v>45668</v>
      </c>
      <c r="B18946" t="s">
        <v>19183</v>
      </c>
      <c r="C18946">
        <v>0</v>
      </c>
      <c r="D18946" t="s">
        <v>106</v>
      </c>
      <c r="E18946">
        <v>24</v>
      </c>
    </row>
    <row r="18947" spans="1:5">
      <c r="A18947" t="s">
        <v>45668</v>
      </c>
      <c r="B18947" t="s">
        <v>19192</v>
      </c>
      <c r="C18947">
        <v>0</v>
      </c>
      <c r="D18947" t="s">
        <v>106</v>
      </c>
      <c r="E18947">
        <v>24</v>
      </c>
    </row>
    <row r="18948" spans="1:5">
      <c r="A18948" t="s">
        <v>45668</v>
      </c>
      <c r="B18948" t="s">
        <v>19195</v>
      </c>
      <c r="C18948">
        <v>0</v>
      </c>
      <c r="D18948" t="s">
        <v>106</v>
      </c>
      <c r="E18948">
        <v>24</v>
      </c>
    </row>
    <row r="18949" spans="1:5">
      <c r="A18949" t="s">
        <v>45668</v>
      </c>
      <c r="B18949" t="s">
        <v>19184</v>
      </c>
      <c r="C18949">
        <v>0</v>
      </c>
      <c r="D18949" t="s">
        <v>106</v>
      </c>
      <c r="E18949">
        <v>24</v>
      </c>
    </row>
    <row r="18950" spans="1:5">
      <c r="A18950" t="s">
        <v>45668</v>
      </c>
      <c r="B18950" t="s">
        <v>19191</v>
      </c>
      <c r="C18950">
        <v>0</v>
      </c>
      <c r="D18950" t="s">
        <v>106</v>
      </c>
      <c r="E18950">
        <v>24</v>
      </c>
    </row>
    <row r="18951" spans="1:5">
      <c r="A18951" t="s">
        <v>45668</v>
      </c>
      <c r="B18951" t="s">
        <v>19187</v>
      </c>
      <c r="C18951">
        <v>0</v>
      </c>
      <c r="D18951" t="s">
        <v>106</v>
      </c>
      <c r="E18951">
        <v>24</v>
      </c>
    </row>
    <row r="18952" spans="1:5">
      <c r="A18952" t="s">
        <v>45668</v>
      </c>
      <c r="B18952" t="s">
        <v>19196</v>
      </c>
      <c r="C18952">
        <v>0</v>
      </c>
      <c r="D18952" t="s">
        <v>106</v>
      </c>
      <c r="E18952">
        <v>24</v>
      </c>
    </row>
    <row r="18953" spans="1:5">
      <c r="A18953" t="s">
        <v>45668</v>
      </c>
      <c r="B18953" t="s">
        <v>19190</v>
      </c>
      <c r="C18953">
        <f>0</f>
        <v>0</v>
      </c>
      <c r="D18953" t="s">
        <v>106</v>
      </c>
      <c r="E18953">
        <v>24</v>
      </c>
    </row>
    <row r="18954" spans="1:5">
      <c r="A18954" t="s">
        <v>45669</v>
      </c>
      <c r="B18954" t="s">
        <v>45670</v>
      </c>
      <c r="C18954">
        <f>0</f>
        <v>0</v>
      </c>
      <c r="D18954">
        <v>0.70412011786299999</v>
      </c>
      <c r="E18954">
        <v>0.28799999999999998</v>
      </c>
    </row>
    <row r="18955" spans="1:5">
      <c r="A18955" t="s">
        <v>45669</v>
      </c>
      <c r="B18955" t="s">
        <v>45671</v>
      </c>
      <c r="C18955">
        <f>0</f>
        <v>0</v>
      </c>
      <c r="D18955">
        <v>0.70412011786299999</v>
      </c>
      <c r="E18955">
        <v>0.28799999999999998</v>
      </c>
    </row>
    <row r="18956" spans="1:5">
      <c r="A18956" t="s">
        <v>45669</v>
      </c>
      <c r="B18956" t="s">
        <v>45672</v>
      </c>
      <c r="C18956">
        <f>0.510510117863</f>
        <v>0.51051011786300005</v>
      </c>
      <c r="D18956">
        <v>0.70412011786299999</v>
      </c>
      <c r="E18956">
        <v>0.28799999999999998</v>
      </c>
    </row>
    <row r="18957" spans="1:5">
      <c r="A18957" t="s">
        <v>45673</v>
      </c>
      <c r="B18957" t="s">
        <v>3839</v>
      </c>
      <c r="C18957">
        <v>0</v>
      </c>
      <c r="D18957" t="s">
        <v>106</v>
      </c>
      <c r="E18957">
        <v>4.5839999999999996</v>
      </c>
    </row>
    <row r="18958" spans="1:5">
      <c r="A18958" t="s">
        <v>45673</v>
      </c>
      <c r="B18958" t="s">
        <v>3837</v>
      </c>
      <c r="C18958">
        <v>0</v>
      </c>
      <c r="D18958" t="s">
        <v>106</v>
      </c>
      <c r="E18958">
        <v>4.5839999999999996</v>
      </c>
    </row>
    <row r="18959" spans="1:5">
      <c r="A18959" t="s">
        <v>45673</v>
      </c>
      <c r="B18959" t="s">
        <v>3841</v>
      </c>
      <c r="C18959">
        <f>0</f>
        <v>0</v>
      </c>
      <c r="D18959" t="s">
        <v>106</v>
      </c>
      <c r="E18959">
        <v>4.5839999999999996</v>
      </c>
    </row>
    <row r="18960" spans="1:5">
      <c r="A18960" t="s">
        <v>45673</v>
      </c>
      <c r="B18960" t="s">
        <v>3840</v>
      </c>
      <c r="C18960">
        <f>0</f>
        <v>0</v>
      </c>
      <c r="D18960" t="s">
        <v>106</v>
      </c>
      <c r="E18960">
        <v>4.5839999999999996</v>
      </c>
    </row>
    <row r="18961" spans="1:5">
      <c r="A18961" t="s">
        <v>45674</v>
      </c>
      <c r="B18961" t="s">
        <v>45675</v>
      </c>
      <c r="C18961">
        <v>0.40146283083000001</v>
      </c>
      <c r="D18961">
        <v>0.97045782394299995</v>
      </c>
      <c r="E18961">
        <v>2.964</v>
      </c>
    </row>
    <row r="18962" spans="1:5">
      <c r="A18962" t="s">
        <v>45674</v>
      </c>
      <c r="B18962" t="s">
        <v>45676</v>
      </c>
      <c r="C18962">
        <v>0.47999208417599998</v>
      </c>
      <c r="D18962">
        <v>0.97045782394299995</v>
      </c>
      <c r="E18962">
        <v>2.964</v>
      </c>
    </row>
    <row r="18963" spans="1:5">
      <c r="A18963" t="s">
        <v>45674</v>
      </c>
      <c r="B18963" t="s">
        <v>45677</v>
      </c>
      <c r="C18963">
        <v>0</v>
      </c>
      <c r="D18963">
        <v>0.97045782394299995</v>
      </c>
      <c r="E18963">
        <v>2.964</v>
      </c>
    </row>
    <row r="18964" spans="1:5">
      <c r="A18964" t="s">
        <v>45674</v>
      </c>
      <c r="B18964" t="s">
        <v>45678</v>
      </c>
      <c r="C18964">
        <f>0</f>
        <v>0</v>
      </c>
      <c r="D18964">
        <v>0.97045782394299995</v>
      </c>
      <c r="E18964">
        <v>2.964</v>
      </c>
    </row>
    <row r="18965" spans="1:5">
      <c r="A18965" t="s">
        <v>45674</v>
      </c>
      <c r="B18965" t="s">
        <v>45679</v>
      </c>
      <c r="C18965">
        <v>3.9264266541200001E-2</v>
      </c>
      <c r="D18965">
        <v>0.97045782394299995</v>
      </c>
      <c r="E18965">
        <v>2.964</v>
      </c>
    </row>
    <row r="18966" spans="1:5">
      <c r="A18966" t="s">
        <v>45674</v>
      </c>
      <c r="B18966" t="s">
        <v>45680</v>
      </c>
      <c r="C18966">
        <f>0</f>
        <v>0</v>
      </c>
      <c r="D18966">
        <v>0.97045782394299995</v>
      </c>
      <c r="E18966">
        <v>2.964</v>
      </c>
    </row>
    <row r="18967" spans="1:5">
      <c r="A18967" t="s">
        <v>45674</v>
      </c>
      <c r="B18967" t="s">
        <v>45681</v>
      </c>
      <c r="C18967">
        <v>0</v>
      </c>
      <c r="D18967">
        <v>0.97045782394299995</v>
      </c>
      <c r="E18967">
        <v>2.964</v>
      </c>
    </row>
    <row r="18968" spans="1:5">
      <c r="A18968" t="s">
        <v>45674</v>
      </c>
      <c r="B18968" t="s">
        <v>45682</v>
      </c>
      <c r="C18968">
        <v>0.55857848232499996</v>
      </c>
      <c r="D18968">
        <v>0.97045782394299995</v>
      </c>
      <c r="E18968">
        <v>2.964</v>
      </c>
    </row>
    <row r="18969" spans="1:5">
      <c r="A18969" t="s">
        <v>45674</v>
      </c>
      <c r="B18969" t="s">
        <v>45683</v>
      </c>
      <c r="C18969">
        <f>0</f>
        <v>0</v>
      </c>
      <c r="D18969">
        <v>0.97045782394299995</v>
      </c>
      <c r="E18969">
        <v>2.964</v>
      </c>
    </row>
    <row r="18970" spans="1:5">
      <c r="A18970" t="s">
        <v>45684</v>
      </c>
      <c r="B18970" t="s">
        <v>45685</v>
      </c>
      <c r="C18970">
        <f>0.117001268341</f>
        <v>0.117001268341</v>
      </c>
      <c r="D18970">
        <v>0.99392620189299996</v>
      </c>
      <c r="E18970">
        <v>23.754000000000001</v>
      </c>
    </row>
    <row r="18971" spans="1:5">
      <c r="A18971" t="s">
        <v>45684</v>
      </c>
      <c r="B18971" t="s">
        <v>45686</v>
      </c>
      <c r="C18971">
        <v>0.481823653071</v>
      </c>
      <c r="D18971">
        <v>0.99392620189299996</v>
      </c>
      <c r="E18971">
        <v>23.754000000000001</v>
      </c>
    </row>
    <row r="18972" spans="1:5">
      <c r="A18972" t="s">
        <v>45684</v>
      </c>
      <c r="B18972" t="s">
        <v>45687</v>
      </c>
      <c r="C18972">
        <v>0.53282936485099996</v>
      </c>
      <c r="D18972">
        <v>0.99392620189299996</v>
      </c>
      <c r="E18972">
        <v>23.754000000000001</v>
      </c>
    </row>
    <row r="18973" spans="1:5">
      <c r="A18973" t="s">
        <v>45684</v>
      </c>
      <c r="B18973" t="s">
        <v>45688</v>
      </c>
      <c r="C18973">
        <f>0.203359376077</f>
        <v>0.203359376077</v>
      </c>
      <c r="D18973">
        <v>0.99392620189299996</v>
      </c>
      <c r="E18973">
        <v>23.754000000000001</v>
      </c>
    </row>
    <row r="18974" spans="1:5">
      <c r="A18974" t="s">
        <v>45684</v>
      </c>
      <c r="B18974" t="s">
        <v>45689</v>
      </c>
      <c r="C18974">
        <v>0</v>
      </c>
      <c r="D18974">
        <v>0.99392620189299996</v>
      </c>
      <c r="E18974">
        <v>23.754000000000001</v>
      </c>
    </row>
    <row r="18975" spans="1:5">
      <c r="A18975" t="s">
        <v>45684</v>
      </c>
      <c r="B18975" t="s">
        <v>45690</v>
      </c>
      <c r="C18975">
        <v>0.192038394094</v>
      </c>
      <c r="D18975">
        <v>0.99392620189299996</v>
      </c>
      <c r="E18975">
        <v>23.754000000000001</v>
      </c>
    </row>
    <row r="18976" spans="1:5">
      <c r="A18976" t="s">
        <v>45684</v>
      </c>
      <c r="B18976" t="s">
        <v>45691</v>
      </c>
      <c r="C18976">
        <v>0.422381358466</v>
      </c>
      <c r="D18976">
        <v>0.99392620189299996</v>
      </c>
      <c r="E18976">
        <v>23.754000000000001</v>
      </c>
    </row>
    <row r="18977" spans="1:5">
      <c r="A18977" t="s">
        <v>45692</v>
      </c>
      <c r="B18977" t="s">
        <v>22970</v>
      </c>
      <c r="C18977">
        <f>0.433236048383</f>
        <v>0.43323604838300001</v>
      </c>
      <c r="D18977">
        <v>0.66364604838300001</v>
      </c>
      <c r="E18977">
        <v>14.933999999999999</v>
      </c>
    </row>
    <row r="18978" spans="1:5">
      <c r="A18978" t="s">
        <v>45692</v>
      </c>
      <c r="B18978" t="s">
        <v>22973</v>
      </c>
      <c r="C18978">
        <v>0</v>
      </c>
      <c r="D18978">
        <v>0.66364604838300001</v>
      </c>
      <c r="E18978">
        <v>14.933999999999999</v>
      </c>
    </row>
    <row r="18979" spans="1:5">
      <c r="A18979" t="s">
        <v>45693</v>
      </c>
      <c r="B18979" t="s">
        <v>19978</v>
      </c>
      <c r="C18979">
        <v>0.70845999139100002</v>
      </c>
      <c r="D18979">
        <v>0.87930530638600002</v>
      </c>
      <c r="E18979">
        <v>4.2720000000000002</v>
      </c>
    </row>
    <row r="18980" spans="1:5">
      <c r="A18980" t="s">
        <v>45693</v>
      </c>
      <c r="B18980" t="s">
        <v>19979</v>
      </c>
      <c r="C18980">
        <v>0.35920581128200002</v>
      </c>
      <c r="D18980">
        <v>0.87930530638600002</v>
      </c>
      <c r="E18980">
        <v>4.2720000000000002</v>
      </c>
    </row>
    <row r="18981" spans="1:5">
      <c r="A18981" t="s">
        <v>45694</v>
      </c>
      <c r="B18981" t="s">
        <v>7387</v>
      </c>
      <c r="C18981">
        <v>0</v>
      </c>
      <c r="D18981">
        <v>0.70608389087900003</v>
      </c>
      <c r="E18981">
        <v>4.0739999999999998</v>
      </c>
    </row>
    <row r="18982" spans="1:5">
      <c r="A18982" t="s">
        <v>45694</v>
      </c>
      <c r="B18982" t="s">
        <v>7393</v>
      </c>
      <c r="C18982">
        <v>0</v>
      </c>
      <c r="D18982">
        <v>0.70608389087900003</v>
      </c>
      <c r="E18982">
        <v>4.0739999999999998</v>
      </c>
    </row>
    <row r="18983" spans="1:5">
      <c r="A18983" t="s">
        <v>45694</v>
      </c>
      <c r="B18983" t="s">
        <v>7388</v>
      </c>
      <c r="C18983">
        <v>0.29420445817699997</v>
      </c>
      <c r="D18983">
        <v>0.70608389087900003</v>
      </c>
      <c r="E18983">
        <v>4.0739999999999998</v>
      </c>
    </row>
    <row r="18984" spans="1:5">
      <c r="A18984" t="s">
        <v>45694</v>
      </c>
      <c r="B18984" t="s">
        <v>7397</v>
      </c>
      <c r="C18984">
        <v>2.0489637593E-3</v>
      </c>
      <c r="D18984">
        <v>0.70608389087900003</v>
      </c>
      <c r="E18984">
        <v>4.0739999999999998</v>
      </c>
    </row>
    <row r="18985" spans="1:5">
      <c r="A18985" t="s">
        <v>45694</v>
      </c>
      <c r="B18985" t="s">
        <v>7398</v>
      </c>
      <c r="C18985">
        <v>0</v>
      </c>
      <c r="D18985">
        <v>0.70608389087900003</v>
      </c>
      <c r="E18985">
        <v>4.0739999999999998</v>
      </c>
    </row>
    <row r="18986" spans="1:5">
      <c r="A18986" t="s">
        <v>45694</v>
      </c>
      <c r="B18986" t="s">
        <v>7392</v>
      </c>
      <c r="C18986">
        <f>0</f>
        <v>0</v>
      </c>
      <c r="D18986">
        <v>0.70608389087900003</v>
      </c>
      <c r="E18986">
        <v>4.0739999999999998</v>
      </c>
    </row>
    <row r="18987" spans="1:5">
      <c r="A18987" t="s">
        <v>45694</v>
      </c>
      <c r="B18987" t="s">
        <v>7394</v>
      </c>
      <c r="C18987">
        <v>0</v>
      </c>
      <c r="D18987">
        <v>0.70608389087900003</v>
      </c>
      <c r="E18987">
        <v>4.0739999999999998</v>
      </c>
    </row>
    <row r="18988" spans="1:5">
      <c r="A18988" t="s">
        <v>45694</v>
      </c>
      <c r="B18988" t="s">
        <v>7396</v>
      </c>
      <c r="C18988">
        <v>0</v>
      </c>
      <c r="D18988">
        <v>0.70608389087900003</v>
      </c>
      <c r="E18988">
        <v>4.0739999999999998</v>
      </c>
    </row>
    <row r="18989" spans="1:5">
      <c r="A18989" t="s">
        <v>45695</v>
      </c>
      <c r="B18989" t="s">
        <v>45696</v>
      </c>
      <c r="C18989">
        <f>0</f>
        <v>0</v>
      </c>
      <c r="D18989">
        <v>0.87849894417600005</v>
      </c>
      <c r="E18989">
        <v>4.8000000000000001E-2</v>
      </c>
    </row>
    <row r="18990" spans="1:5">
      <c r="A18990" t="s">
        <v>45695</v>
      </c>
      <c r="B18990" t="s">
        <v>45697</v>
      </c>
      <c r="C18990">
        <v>0.51737111943500003</v>
      </c>
      <c r="D18990">
        <v>0.87849894417600005</v>
      </c>
      <c r="E18990">
        <v>4.8000000000000001E-2</v>
      </c>
    </row>
    <row r="18991" spans="1:5">
      <c r="A18991" t="s">
        <v>45695</v>
      </c>
      <c r="B18991" t="s">
        <v>45698</v>
      </c>
      <c r="C18991">
        <v>0</v>
      </c>
      <c r="D18991">
        <v>0.87849894417600005</v>
      </c>
      <c r="E18991">
        <v>4.8000000000000001E-2</v>
      </c>
    </row>
    <row r="18992" spans="1:5">
      <c r="A18992" t="s">
        <v>45695</v>
      </c>
      <c r="B18992" t="s">
        <v>45699</v>
      </c>
      <c r="C18992">
        <v>0.23742957740000001</v>
      </c>
      <c r="D18992">
        <v>0.87849894417600005</v>
      </c>
      <c r="E18992">
        <v>4.8000000000000001E-2</v>
      </c>
    </row>
    <row r="18993" spans="1:5">
      <c r="A18993" t="s">
        <v>45695</v>
      </c>
      <c r="B18993" t="s">
        <v>45700</v>
      </c>
      <c r="C18993">
        <f>0</f>
        <v>0</v>
      </c>
      <c r="D18993">
        <v>0.87849894417600005</v>
      </c>
      <c r="E18993">
        <v>4.8000000000000001E-2</v>
      </c>
    </row>
    <row r="18994" spans="1:5">
      <c r="A18994" t="s">
        <v>45695</v>
      </c>
      <c r="B18994" t="s">
        <v>45701</v>
      </c>
      <c r="C18994">
        <v>0</v>
      </c>
      <c r="D18994">
        <v>0.87849894417600005</v>
      </c>
      <c r="E18994">
        <v>4.8000000000000001E-2</v>
      </c>
    </row>
    <row r="18995" spans="1:5">
      <c r="A18995" t="s">
        <v>45695</v>
      </c>
      <c r="B18995" t="s">
        <v>45702</v>
      </c>
      <c r="C18995">
        <v>8.1329805539500005E-2</v>
      </c>
      <c r="D18995">
        <v>0.87849894417600005</v>
      </c>
      <c r="E18995">
        <v>4.8000000000000001E-2</v>
      </c>
    </row>
    <row r="18996" spans="1:5">
      <c r="A18996" t="s">
        <v>45695</v>
      </c>
      <c r="B18996" t="s">
        <v>45703</v>
      </c>
      <c r="C18996">
        <v>0</v>
      </c>
      <c r="D18996">
        <v>0.87849894417600005</v>
      </c>
      <c r="E18996">
        <v>4.8000000000000001E-2</v>
      </c>
    </row>
    <row r="18997" spans="1:5">
      <c r="A18997" t="s">
        <v>45704</v>
      </c>
      <c r="B18997" t="s">
        <v>45705</v>
      </c>
      <c r="C18997">
        <f>0</f>
        <v>0</v>
      </c>
      <c r="D18997" t="s">
        <v>106</v>
      </c>
      <c r="E18997">
        <v>24</v>
      </c>
    </row>
    <row r="18998" spans="1:5">
      <c r="A18998" t="s">
        <v>45704</v>
      </c>
      <c r="B18998" t="s">
        <v>45706</v>
      </c>
      <c r="C18998">
        <f>0</f>
        <v>0</v>
      </c>
      <c r="D18998" t="s">
        <v>106</v>
      </c>
      <c r="E18998">
        <v>24</v>
      </c>
    </row>
    <row r="18999" spans="1:5">
      <c r="A18999" t="s">
        <v>45704</v>
      </c>
      <c r="B18999" t="s">
        <v>45707</v>
      </c>
      <c r="C18999">
        <f>0</f>
        <v>0</v>
      </c>
      <c r="D18999" t="s">
        <v>106</v>
      </c>
      <c r="E18999">
        <v>24</v>
      </c>
    </row>
    <row r="19000" spans="1:5">
      <c r="A19000" t="s">
        <v>45708</v>
      </c>
      <c r="B19000" t="s">
        <v>45709</v>
      </c>
      <c r="C19000">
        <f>0.158186940464</f>
        <v>0.158186940464</v>
      </c>
      <c r="D19000">
        <v>0.97259100752000005</v>
      </c>
      <c r="E19000">
        <v>5.016</v>
      </c>
    </row>
    <row r="19001" spans="1:5">
      <c r="A19001" t="s">
        <v>45708</v>
      </c>
      <c r="B19001" t="s">
        <v>45710</v>
      </c>
      <c r="C19001">
        <v>0.306449442194</v>
      </c>
      <c r="D19001">
        <v>0.97259100752000005</v>
      </c>
      <c r="E19001">
        <v>5.016</v>
      </c>
    </row>
    <row r="19002" spans="1:5">
      <c r="A19002" t="s">
        <v>45708</v>
      </c>
      <c r="B19002" t="s">
        <v>45711</v>
      </c>
      <c r="C19002">
        <v>0</v>
      </c>
      <c r="D19002">
        <v>0.97259100752000005</v>
      </c>
      <c r="E19002">
        <v>5.016</v>
      </c>
    </row>
    <row r="19003" spans="1:5">
      <c r="A19003" t="s">
        <v>45708</v>
      </c>
      <c r="B19003" t="s">
        <v>45712</v>
      </c>
      <c r="C19003">
        <f>0.704391679401</f>
        <v>0.704391679401</v>
      </c>
      <c r="D19003">
        <v>0.97259100752000005</v>
      </c>
      <c r="E19003">
        <v>5.016</v>
      </c>
    </row>
    <row r="19004" spans="1:5">
      <c r="A19004" t="s">
        <v>45708</v>
      </c>
      <c r="B19004" t="s">
        <v>45713</v>
      </c>
      <c r="C19004">
        <f>0.101011806097</f>
        <v>0.101011806097</v>
      </c>
      <c r="D19004">
        <v>0.97259100752000005</v>
      </c>
      <c r="E19004">
        <v>5.016</v>
      </c>
    </row>
    <row r="19005" spans="1:5">
      <c r="A19005" t="s">
        <v>45708</v>
      </c>
      <c r="B19005" t="s">
        <v>45714</v>
      </c>
      <c r="C19005">
        <v>1.1122222919</v>
      </c>
      <c r="D19005">
        <v>0.97259100752000005</v>
      </c>
      <c r="E19005">
        <v>5.016</v>
      </c>
    </row>
    <row r="19006" spans="1:5">
      <c r="A19006" t="s">
        <v>45715</v>
      </c>
      <c r="B19006" t="s">
        <v>33273</v>
      </c>
      <c r="C19006">
        <v>0</v>
      </c>
      <c r="D19006">
        <v>0.82717731293800001</v>
      </c>
      <c r="E19006">
        <v>3.5999999999999997E-2</v>
      </c>
    </row>
    <row r="19007" spans="1:5">
      <c r="A19007" t="s">
        <v>45715</v>
      </c>
      <c r="B19007" t="s">
        <v>33281</v>
      </c>
      <c r="C19007">
        <v>2.0927849922499998E-2</v>
      </c>
      <c r="D19007">
        <v>0.82717731293800001</v>
      </c>
      <c r="E19007">
        <v>3.5999999999999997E-2</v>
      </c>
    </row>
    <row r="19008" spans="1:5">
      <c r="A19008" t="s">
        <v>45715</v>
      </c>
      <c r="B19008" t="s">
        <v>33279</v>
      </c>
      <c r="C19008">
        <f>0</f>
        <v>0</v>
      </c>
      <c r="D19008">
        <v>0.82717731293800001</v>
      </c>
      <c r="E19008">
        <v>3.5999999999999997E-2</v>
      </c>
    </row>
    <row r="19009" spans="1:5">
      <c r="A19009" t="s">
        <v>45715</v>
      </c>
      <c r="B19009" t="s">
        <v>33280</v>
      </c>
      <c r="C19009">
        <v>0</v>
      </c>
      <c r="D19009">
        <v>0.82717731293800001</v>
      </c>
      <c r="E19009">
        <v>3.5999999999999997E-2</v>
      </c>
    </row>
    <row r="19010" spans="1:5">
      <c r="A19010" t="s">
        <v>45715</v>
      </c>
      <c r="B19010" t="s">
        <v>33277</v>
      </c>
      <c r="C19010">
        <f>0</f>
        <v>0</v>
      </c>
      <c r="D19010">
        <v>0.82717731293800001</v>
      </c>
      <c r="E19010">
        <v>3.5999999999999997E-2</v>
      </c>
    </row>
    <row r="19011" spans="1:5">
      <c r="A19011" t="s">
        <v>45715</v>
      </c>
      <c r="B19011" t="s">
        <v>33276</v>
      </c>
      <c r="C19011">
        <v>0.25075571849799999</v>
      </c>
      <c r="D19011">
        <v>0.82717731293800001</v>
      </c>
      <c r="E19011">
        <v>3.5999999999999997E-2</v>
      </c>
    </row>
    <row r="19012" spans="1:5">
      <c r="A19012" t="s">
        <v>45715</v>
      </c>
      <c r="B19012" t="s">
        <v>33283</v>
      </c>
      <c r="C19012">
        <v>0.26726182204900001</v>
      </c>
      <c r="D19012">
        <v>0.82717731293800001</v>
      </c>
      <c r="E19012">
        <v>3.5999999999999997E-2</v>
      </c>
    </row>
    <row r="19013" spans="1:5">
      <c r="A19013" t="s">
        <v>45715</v>
      </c>
      <c r="B19013" t="s">
        <v>33282</v>
      </c>
      <c r="C19013">
        <v>0.13766548691899999</v>
      </c>
      <c r="D19013">
        <v>0.82717731293800001</v>
      </c>
      <c r="E19013">
        <v>3.5999999999999997E-2</v>
      </c>
    </row>
    <row r="19014" spans="1:5">
      <c r="A19014" t="s">
        <v>45715</v>
      </c>
      <c r="B19014" t="s">
        <v>33285</v>
      </c>
      <c r="C19014">
        <v>0</v>
      </c>
      <c r="D19014">
        <v>0.82717731293800001</v>
      </c>
      <c r="E19014">
        <v>3.5999999999999997E-2</v>
      </c>
    </row>
    <row r="19015" spans="1:5">
      <c r="A19015" t="s">
        <v>45715</v>
      </c>
      <c r="B19015" t="s">
        <v>33275</v>
      </c>
      <c r="C19015">
        <v>0</v>
      </c>
      <c r="D19015">
        <v>0.82717731293800001</v>
      </c>
      <c r="E19015">
        <v>3.5999999999999997E-2</v>
      </c>
    </row>
    <row r="19016" spans="1:5">
      <c r="A19016" t="s">
        <v>45715</v>
      </c>
      <c r="B19016" t="s">
        <v>33272</v>
      </c>
      <c r="C19016">
        <v>0</v>
      </c>
      <c r="D19016">
        <v>0.82717731293800001</v>
      </c>
      <c r="E19016">
        <v>3.5999999999999997E-2</v>
      </c>
    </row>
    <row r="19017" spans="1:5">
      <c r="A19017" t="s">
        <v>45716</v>
      </c>
      <c r="B19017" t="s">
        <v>45717</v>
      </c>
      <c r="C19017">
        <v>0</v>
      </c>
      <c r="D19017" t="s">
        <v>106</v>
      </c>
      <c r="E19017">
        <v>6.0000000000000001E-3</v>
      </c>
    </row>
    <row r="19018" spans="1:5">
      <c r="A19018" t="s">
        <v>45716</v>
      </c>
      <c r="B19018" t="s">
        <v>45718</v>
      </c>
      <c r="C19018">
        <f>0</f>
        <v>0</v>
      </c>
      <c r="D19018" t="s">
        <v>106</v>
      </c>
      <c r="E19018">
        <v>6.0000000000000001E-3</v>
      </c>
    </row>
    <row r="19019" spans="1:5">
      <c r="A19019" t="s">
        <v>45719</v>
      </c>
      <c r="B19019" t="s">
        <v>15020</v>
      </c>
      <c r="C19019">
        <v>0</v>
      </c>
      <c r="D19019" t="s">
        <v>106</v>
      </c>
      <c r="E19019">
        <v>3.2280000000000002</v>
      </c>
    </row>
    <row r="19020" spans="1:5">
      <c r="A19020" t="s">
        <v>45719</v>
      </c>
      <c r="B19020" t="s">
        <v>15024</v>
      </c>
      <c r="C19020">
        <v>0</v>
      </c>
      <c r="D19020" t="s">
        <v>106</v>
      </c>
      <c r="E19020">
        <v>3.2280000000000002</v>
      </c>
    </row>
    <row r="19021" spans="1:5">
      <c r="A19021" t="s">
        <v>45719</v>
      </c>
      <c r="B19021" t="s">
        <v>15022</v>
      </c>
      <c r="C19021">
        <v>0</v>
      </c>
      <c r="D19021" t="s">
        <v>106</v>
      </c>
      <c r="E19021">
        <v>3.2280000000000002</v>
      </c>
    </row>
    <row r="19022" spans="1:5">
      <c r="A19022" t="s">
        <v>45719</v>
      </c>
      <c r="B19022" t="s">
        <v>15023</v>
      </c>
      <c r="C19022">
        <f>0</f>
        <v>0</v>
      </c>
      <c r="D19022" t="s">
        <v>106</v>
      </c>
      <c r="E19022">
        <v>3.2280000000000002</v>
      </c>
    </row>
    <row r="19023" spans="1:5">
      <c r="A19023" t="s">
        <v>45720</v>
      </c>
      <c r="B19023" t="s">
        <v>17185</v>
      </c>
      <c r="C19023">
        <f>0</f>
        <v>0</v>
      </c>
      <c r="D19023">
        <v>0.73015291820899997</v>
      </c>
      <c r="E19023">
        <v>0</v>
      </c>
    </row>
    <row r="19024" spans="1:5">
      <c r="A19024" t="s">
        <v>45720</v>
      </c>
      <c r="B19024" t="s">
        <v>17187</v>
      </c>
      <c r="C19024">
        <f>0</f>
        <v>0</v>
      </c>
      <c r="D19024">
        <v>0.73015291820899997</v>
      </c>
      <c r="E19024">
        <v>0</v>
      </c>
    </row>
    <row r="19025" spans="1:5">
      <c r="A19025" t="s">
        <v>45720</v>
      </c>
      <c r="B19025" t="s">
        <v>17186</v>
      </c>
      <c r="C19025">
        <f>0.416542918209</f>
        <v>0.41654291820900002</v>
      </c>
      <c r="D19025">
        <v>0.73015291820899997</v>
      </c>
      <c r="E19025">
        <v>0</v>
      </c>
    </row>
    <row r="19026" spans="1:5">
      <c r="A19026" t="s">
        <v>45721</v>
      </c>
      <c r="B19026" t="s">
        <v>11939</v>
      </c>
      <c r="C19026">
        <v>0.60353996248800001</v>
      </c>
      <c r="D19026">
        <v>0.98969995040799996</v>
      </c>
      <c r="E19026">
        <v>1.3919999999999999</v>
      </c>
    </row>
    <row r="19027" spans="1:5">
      <c r="A19027" t="s">
        <v>45721</v>
      </c>
      <c r="B19027" t="s">
        <v>11938</v>
      </c>
      <c r="C19027">
        <v>0.33456142659999999</v>
      </c>
      <c r="D19027">
        <v>0.98969995040799996</v>
      </c>
      <c r="E19027">
        <v>1.3919999999999999</v>
      </c>
    </row>
    <row r="19028" spans="1:5">
      <c r="A19028" t="s">
        <v>45721</v>
      </c>
      <c r="B19028" t="s">
        <v>11941</v>
      </c>
      <c r="C19028">
        <v>7.9486481921200003E-2</v>
      </c>
      <c r="D19028">
        <v>0.98969995040799996</v>
      </c>
      <c r="E19028">
        <v>1.3919999999999999</v>
      </c>
    </row>
    <row r="19029" spans="1:5">
      <c r="A19029" t="s">
        <v>45722</v>
      </c>
      <c r="B19029" t="s">
        <v>8747</v>
      </c>
      <c r="C19029">
        <f>0.7456884046</f>
        <v>0.74568840459999997</v>
      </c>
      <c r="D19029">
        <v>0.94665735340000001</v>
      </c>
      <c r="E19029">
        <v>8.8680000000000003</v>
      </c>
    </row>
    <row r="19030" spans="1:5">
      <c r="A19030" t="s">
        <v>45722</v>
      </c>
      <c r="B19030" t="s">
        <v>8748</v>
      </c>
      <c r="C19030">
        <v>7.9622158670799997E-2</v>
      </c>
      <c r="D19030">
        <v>0.94665735340000001</v>
      </c>
      <c r="E19030">
        <v>8.8680000000000003</v>
      </c>
    </row>
    <row r="19031" spans="1:5">
      <c r="A19031" t="s">
        <v>45722</v>
      </c>
      <c r="B19031" t="s">
        <v>8750</v>
      </c>
      <c r="C19031">
        <v>0.73020530044900001</v>
      </c>
      <c r="D19031">
        <v>0.94665735340000001</v>
      </c>
      <c r="E19031">
        <v>8.8680000000000003</v>
      </c>
    </row>
    <row r="19032" spans="1:5">
      <c r="A19032" t="s">
        <v>45722</v>
      </c>
      <c r="B19032" t="s">
        <v>8752</v>
      </c>
      <c r="C19032">
        <f>0.0315942052082</f>
        <v>3.1594205208199999E-2</v>
      </c>
      <c r="D19032">
        <v>0.94665735340000001</v>
      </c>
      <c r="E19032">
        <v>8.8680000000000003</v>
      </c>
    </row>
    <row r="19033" spans="1:5">
      <c r="A19033" t="s">
        <v>45723</v>
      </c>
      <c r="B19033" t="s">
        <v>16121</v>
      </c>
      <c r="C19033">
        <v>0</v>
      </c>
      <c r="D19033" t="s">
        <v>106</v>
      </c>
      <c r="E19033">
        <v>24</v>
      </c>
    </row>
    <row r="19034" spans="1:5">
      <c r="A19034" t="s">
        <v>45723</v>
      </c>
      <c r="B19034" t="s">
        <v>16124</v>
      </c>
      <c r="C19034">
        <v>0</v>
      </c>
      <c r="D19034" t="s">
        <v>106</v>
      </c>
      <c r="E19034">
        <v>24</v>
      </c>
    </row>
    <row r="19035" spans="1:5">
      <c r="A19035" t="s">
        <v>45723</v>
      </c>
      <c r="B19035" t="s">
        <v>16125</v>
      </c>
      <c r="C19035">
        <v>0</v>
      </c>
      <c r="D19035" t="s">
        <v>106</v>
      </c>
      <c r="E19035">
        <v>24</v>
      </c>
    </row>
    <row r="19036" spans="1:5">
      <c r="A19036" t="s">
        <v>45724</v>
      </c>
      <c r="B19036" t="s">
        <v>45725</v>
      </c>
      <c r="C19036">
        <v>0.10982858051</v>
      </c>
      <c r="D19036">
        <v>0.80579961527300004</v>
      </c>
      <c r="E19036">
        <v>0</v>
      </c>
    </row>
    <row r="19037" spans="1:5">
      <c r="A19037" t="s">
        <v>45724</v>
      </c>
      <c r="B19037" t="s">
        <v>45726</v>
      </c>
      <c r="C19037">
        <v>0.54611842072600003</v>
      </c>
      <c r="D19037">
        <v>0.80579961527300004</v>
      </c>
      <c r="E19037">
        <v>0</v>
      </c>
    </row>
    <row r="19038" spans="1:5">
      <c r="A19038" t="s">
        <v>45724</v>
      </c>
      <c r="B19038" t="s">
        <v>45727</v>
      </c>
      <c r="C19038">
        <f>0</f>
        <v>0</v>
      </c>
      <c r="D19038">
        <v>0.80579961527300004</v>
      </c>
      <c r="E19038">
        <v>0</v>
      </c>
    </row>
    <row r="19039" spans="1:5">
      <c r="A19039" t="s">
        <v>45724</v>
      </c>
      <c r="B19039" t="s">
        <v>45728</v>
      </c>
      <c r="C19039">
        <v>0.70937451364100002</v>
      </c>
      <c r="D19039">
        <v>0.80579961527300004</v>
      </c>
      <c r="E19039">
        <v>0</v>
      </c>
    </row>
    <row r="19040" spans="1:5">
      <c r="A19040" t="s">
        <v>45729</v>
      </c>
      <c r="B19040" t="s">
        <v>32633</v>
      </c>
      <c r="C19040">
        <f>0.626085573107</f>
        <v>0.62608557310699997</v>
      </c>
      <c r="D19040">
        <v>0.81969557310700003</v>
      </c>
      <c r="E19040">
        <v>7.6020000000000003</v>
      </c>
    </row>
    <row r="19041" spans="1:5">
      <c r="A19041" t="s">
        <v>45729</v>
      </c>
      <c r="B19041" t="s">
        <v>32635</v>
      </c>
      <c r="C19041">
        <f>0</f>
        <v>0</v>
      </c>
      <c r="D19041">
        <v>0.81969557310700003</v>
      </c>
      <c r="E19041">
        <v>7.6020000000000003</v>
      </c>
    </row>
    <row r="19042" spans="1:5">
      <c r="A19042" t="s">
        <v>45730</v>
      </c>
      <c r="B19042" t="s">
        <v>45731</v>
      </c>
      <c r="C19042">
        <v>0.11895367299</v>
      </c>
      <c r="D19042">
        <v>0.930542256796</v>
      </c>
      <c r="E19042">
        <v>24</v>
      </c>
    </row>
    <row r="19043" spans="1:5">
      <c r="A19043" t="s">
        <v>45730</v>
      </c>
      <c r="B19043" t="s">
        <v>45732</v>
      </c>
      <c r="C19043">
        <v>0</v>
      </c>
      <c r="D19043">
        <v>0.930542256796</v>
      </c>
      <c r="E19043">
        <v>24</v>
      </c>
    </row>
    <row r="19044" spans="1:5">
      <c r="A19044" t="s">
        <v>45730</v>
      </c>
      <c r="B19044" t="s">
        <v>45733</v>
      </c>
      <c r="C19044">
        <v>3.9612220805999999E-2</v>
      </c>
      <c r="D19044">
        <v>0.930542256796</v>
      </c>
      <c r="E19044">
        <v>24</v>
      </c>
    </row>
    <row r="19045" spans="1:5">
      <c r="A19045" t="s">
        <v>45730</v>
      </c>
      <c r="B19045" t="s">
        <v>45734</v>
      </c>
      <c r="C19045">
        <f>0</f>
        <v>0</v>
      </c>
      <c r="D19045">
        <v>0.930542256796</v>
      </c>
      <c r="E19045">
        <v>24</v>
      </c>
    </row>
    <row r="19046" spans="1:5">
      <c r="A19046" t="s">
        <v>45730</v>
      </c>
      <c r="B19046" t="s">
        <v>45735</v>
      </c>
      <c r="C19046">
        <f>0.376494542894</f>
        <v>0.37649454289399997</v>
      </c>
      <c r="D19046">
        <v>0.930542256796</v>
      </c>
      <c r="E19046">
        <v>24</v>
      </c>
    </row>
    <row r="19047" spans="1:5">
      <c r="A19047" t="s">
        <v>45730</v>
      </c>
      <c r="B19047" t="s">
        <v>45736</v>
      </c>
      <c r="C19047">
        <f>0.437276248748</f>
        <v>0.43727624874799997</v>
      </c>
      <c r="D19047">
        <v>0.930542256796</v>
      </c>
      <c r="E19047">
        <v>24</v>
      </c>
    </row>
    <row r="19048" spans="1:5">
      <c r="A19048" t="s">
        <v>45730</v>
      </c>
      <c r="B19048" t="s">
        <v>45737</v>
      </c>
      <c r="C19048">
        <f>0</f>
        <v>0</v>
      </c>
      <c r="D19048">
        <v>0.930542256796</v>
      </c>
      <c r="E19048">
        <v>24</v>
      </c>
    </row>
    <row r="19049" spans="1:5">
      <c r="A19049" t="s">
        <v>45730</v>
      </c>
      <c r="B19049" t="s">
        <v>45738</v>
      </c>
      <c r="C19049">
        <v>0</v>
      </c>
      <c r="D19049">
        <v>0.930542256796</v>
      </c>
      <c r="E19049">
        <v>24</v>
      </c>
    </row>
    <row r="19050" spans="1:5">
      <c r="A19050" t="s">
        <v>45739</v>
      </c>
      <c r="B19050" t="s">
        <v>12117</v>
      </c>
      <c r="C19050">
        <f>0</f>
        <v>0</v>
      </c>
      <c r="D19050" t="s">
        <v>106</v>
      </c>
      <c r="E19050">
        <v>5.3520000000000003</v>
      </c>
    </row>
    <row r="19051" spans="1:5">
      <c r="A19051" t="s">
        <v>45739</v>
      </c>
      <c r="B19051" t="s">
        <v>12118</v>
      </c>
      <c r="C19051">
        <f>0</f>
        <v>0</v>
      </c>
      <c r="D19051" t="s">
        <v>106</v>
      </c>
      <c r="E19051">
        <v>5.3520000000000003</v>
      </c>
    </row>
    <row r="19052" spans="1:5">
      <c r="A19052" t="s">
        <v>45740</v>
      </c>
      <c r="B19052" t="s">
        <v>45741</v>
      </c>
      <c r="C19052">
        <v>0</v>
      </c>
      <c r="D19052" t="s">
        <v>106</v>
      </c>
      <c r="E19052">
        <v>22.103999999999999</v>
      </c>
    </row>
    <row r="19053" spans="1:5">
      <c r="A19053" t="s">
        <v>45740</v>
      </c>
      <c r="B19053" t="s">
        <v>45742</v>
      </c>
      <c r="C19053">
        <f>0</f>
        <v>0</v>
      </c>
      <c r="D19053" t="s">
        <v>106</v>
      </c>
      <c r="E19053">
        <v>22.103999999999999</v>
      </c>
    </row>
    <row r="19054" spans="1:5">
      <c r="A19054" t="s">
        <v>45743</v>
      </c>
      <c r="B19054" t="s">
        <v>21222</v>
      </c>
      <c r="C19054">
        <v>0.38640020054300001</v>
      </c>
      <c r="D19054">
        <v>0.66695038388399996</v>
      </c>
      <c r="E19054">
        <v>1.3380000000000001</v>
      </c>
    </row>
    <row r="19055" spans="1:5">
      <c r="A19055" t="s">
        <v>45743</v>
      </c>
      <c r="B19055" t="s">
        <v>21223</v>
      </c>
      <c r="C19055">
        <f>0.0844790467736</f>
        <v>8.4479046773600006E-2</v>
      </c>
      <c r="D19055">
        <v>0.66695038388399996</v>
      </c>
      <c r="E19055">
        <v>1.3380000000000001</v>
      </c>
    </row>
    <row r="19056" spans="1:5">
      <c r="A19056" t="s">
        <v>45743</v>
      </c>
      <c r="B19056" t="s">
        <v>21228</v>
      </c>
      <c r="C19056">
        <f>0</f>
        <v>0</v>
      </c>
      <c r="D19056">
        <v>0.66695038388399996</v>
      </c>
      <c r="E19056">
        <v>1.3380000000000001</v>
      </c>
    </row>
    <row r="19057" spans="1:5">
      <c r="A19057" t="s">
        <v>45743</v>
      </c>
      <c r="B19057" t="s">
        <v>21224</v>
      </c>
      <c r="C19057">
        <f>0.0868543210401</f>
        <v>8.6854321040100005E-2</v>
      </c>
      <c r="D19057">
        <v>0.66695038388399996</v>
      </c>
      <c r="E19057">
        <v>1.3380000000000001</v>
      </c>
    </row>
    <row r="19058" spans="1:5">
      <c r="A19058" t="s">
        <v>45744</v>
      </c>
      <c r="B19058" t="s">
        <v>24370</v>
      </c>
      <c r="C19058">
        <v>2.1765303266299999E-2</v>
      </c>
      <c r="D19058">
        <v>0.91426694240499995</v>
      </c>
      <c r="E19058">
        <v>7.4640000000000004</v>
      </c>
    </row>
    <row r="19059" spans="1:5">
      <c r="A19059" t="s">
        <v>45744</v>
      </c>
      <c r="B19059" t="s">
        <v>24371</v>
      </c>
      <c r="C19059">
        <v>0.76881923845800004</v>
      </c>
      <c r="D19059">
        <v>0.91426694240499995</v>
      </c>
      <c r="E19059">
        <v>7.4640000000000004</v>
      </c>
    </row>
    <row r="19060" spans="1:5">
      <c r="A19060" t="s">
        <v>45745</v>
      </c>
      <c r="B19060" t="s">
        <v>45746</v>
      </c>
      <c r="C19060">
        <f>0</f>
        <v>0</v>
      </c>
      <c r="D19060">
        <v>0.36135904121899998</v>
      </c>
      <c r="E19060">
        <v>24</v>
      </c>
    </row>
    <row r="19061" spans="1:5">
      <c r="A19061" t="s">
        <v>45745</v>
      </c>
      <c r="B19061" t="s">
        <v>2129</v>
      </c>
      <c r="C19061">
        <v>0.25894904121899998</v>
      </c>
      <c r="D19061">
        <v>0.36135904121899998</v>
      </c>
      <c r="E19061">
        <v>24</v>
      </c>
    </row>
    <row r="19062" spans="1:5">
      <c r="A19062" t="s">
        <v>45745</v>
      </c>
      <c r="B19062" t="s">
        <v>2127</v>
      </c>
      <c r="C19062">
        <v>0</v>
      </c>
      <c r="D19062">
        <v>0.36135904121899998</v>
      </c>
      <c r="E19062">
        <v>24</v>
      </c>
    </row>
    <row r="19063" spans="1:5">
      <c r="A19063" t="s">
        <v>45747</v>
      </c>
      <c r="B19063" t="s">
        <v>23853</v>
      </c>
      <c r="C19063">
        <f>0</f>
        <v>0</v>
      </c>
      <c r="D19063" t="s">
        <v>106</v>
      </c>
      <c r="E19063">
        <v>0</v>
      </c>
    </row>
    <row r="19064" spans="1:5">
      <c r="A19064" t="s">
        <v>45747</v>
      </c>
      <c r="B19064" t="s">
        <v>23855</v>
      </c>
      <c r="C19064">
        <v>0</v>
      </c>
      <c r="D19064" t="s">
        <v>106</v>
      </c>
      <c r="E19064">
        <v>0</v>
      </c>
    </row>
    <row r="19065" spans="1:5">
      <c r="A19065" t="s">
        <v>45747</v>
      </c>
      <c r="B19065" t="s">
        <v>23854</v>
      </c>
      <c r="C19065">
        <f>0</f>
        <v>0</v>
      </c>
      <c r="D19065" t="s">
        <v>106</v>
      </c>
      <c r="E19065">
        <v>0</v>
      </c>
    </row>
    <row r="19066" spans="1:5">
      <c r="A19066" t="s">
        <v>45747</v>
      </c>
      <c r="B19066" t="s">
        <v>23856</v>
      </c>
      <c r="C19066">
        <f>0</f>
        <v>0</v>
      </c>
      <c r="D19066" t="s">
        <v>106</v>
      </c>
      <c r="E19066">
        <v>0</v>
      </c>
    </row>
    <row r="19067" spans="1:5">
      <c r="A19067" t="s">
        <v>45748</v>
      </c>
      <c r="B19067" t="s">
        <v>7665</v>
      </c>
      <c r="C19067">
        <v>0.37222555658700002</v>
      </c>
      <c r="D19067">
        <v>0.97385141011599996</v>
      </c>
      <c r="E19067">
        <v>5.7</v>
      </c>
    </row>
    <row r="19068" spans="1:5">
      <c r="A19068" t="s">
        <v>45748</v>
      </c>
      <c r="B19068" t="s">
        <v>7662</v>
      </c>
      <c r="C19068">
        <v>0.618929171281</v>
      </c>
      <c r="D19068">
        <v>0.97385141011599996</v>
      </c>
      <c r="E19068">
        <v>5.7</v>
      </c>
    </row>
    <row r="19069" spans="1:5">
      <c r="A19069" t="s">
        <v>45748</v>
      </c>
      <c r="B19069" t="s">
        <v>7666</v>
      </c>
      <c r="C19069">
        <f>0.301447190093</f>
        <v>0.30144719009299997</v>
      </c>
      <c r="D19069">
        <v>0.97385141011599996</v>
      </c>
      <c r="E19069">
        <v>5.7</v>
      </c>
    </row>
    <row r="19070" spans="1:5">
      <c r="A19070" t="s">
        <v>45748</v>
      </c>
      <c r="B19070" t="s">
        <v>7663</v>
      </c>
      <c r="C19070">
        <v>0.48150733684199998</v>
      </c>
      <c r="D19070">
        <v>0.97385141011599996</v>
      </c>
      <c r="E19070">
        <v>5.7</v>
      </c>
    </row>
    <row r="19071" spans="1:5">
      <c r="A19071" t="s">
        <v>45749</v>
      </c>
      <c r="B19071" t="s">
        <v>28814</v>
      </c>
      <c r="C19071">
        <f>0</f>
        <v>0</v>
      </c>
      <c r="D19071" t="s">
        <v>106</v>
      </c>
      <c r="E19071">
        <v>5.2380000000000004</v>
      </c>
    </row>
    <row r="19072" spans="1:5">
      <c r="A19072" t="s">
        <v>45749</v>
      </c>
      <c r="B19072" t="s">
        <v>28812</v>
      </c>
      <c r="C19072">
        <f>0</f>
        <v>0</v>
      </c>
      <c r="D19072" t="s">
        <v>106</v>
      </c>
      <c r="E19072">
        <v>5.2380000000000004</v>
      </c>
    </row>
    <row r="19073" spans="1:5">
      <c r="A19073" t="s">
        <v>45750</v>
      </c>
      <c r="B19073" t="s">
        <v>34062</v>
      </c>
      <c r="C19073">
        <v>0</v>
      </c>
      <c r="D19073" t="s">
        <v>106</v>
      </c>
      <c r="E19073">
        <v>0.114</v>
      </c>
    </row>
    <row r="19074" spans="1:5">
      <c r="A19074" t="s">
        <v>45750</v>
      </c>
      <c r="B19074" t="s">
        <v>34063</v>
      </c>
      <c r="C19074">
        <v>0</v>
      </c>
      <c r="D19074" t="s">
        <v>106</v>
      </c>
      <c r="E19074">
        <v>0.114</v>
      </c>
    </row>
    <row r="19075" spans="1:5">
      <c r="A19075" t="s">
        <v>45750</v>
      </c>
      <c r="B19075" t="s">
        <v>34065</v>
      </c>
      <c r="C19075">
        <v>0</v>
      </c>
      <c r="D19075" t="s">
        <v>106</v>
      </c>
      <c r="E19075">
        <v>0.114</v>
      </c>
    </row>
    <row r="19076" spans="1:5">
      <c r="A19076" t="s">
        <v>45750</v>
      </c>
      <c r="B19076" t="s">
        <v>34066</v>
      </c>
      <c r="C19076">
        <f>0</f>
        <v>0</v>
      </c>
      <c r="D19076" t="s">
        <v>106</v>
      </c>
      <c r="E19076">
        <v>0.114</v>
      </c>
    </row>
    <row r="19077" spans="1:5">
      <c r="A19077" t="s">
        <v>45751</v>
      </c>
      <c r="B19077" t="s">
        <v>45752</v>
      </c>
      <c r="C19077">
        <f>0.359645765349</f>
        <v>0.359645765349</v>
      </c>
      <c r="D19077">
        <v>0.59893303703300005</v>
      </c>
      <c r="E19077">
        <v>0.114</v>
      </c>
    </row>
    <row r="19078" spans="1:5">
      <c r="A19078" t="s">
        <v>45751</v>
      </c>
      <c r="B19078" t="s">
        <v>45753</v>
      </c>
      <c r="C19078">
        <v>0.30357369014199997</v>
      </c>
      <c r="D19078">
        <v>0.59893303703300005</v>
      </c>
      <c r="E19078">
        <v>0.114</v>
      </c>
    </row>
    <row r="19079" spans="1:5">
      <c r="A19079" t="s">
        <v>45754</v>
      </c>
      <c r="B19079" t="s">
        <v>31112</v>
      </c>
      <c r="C19079">
        <v>0</v>
      </c>
      <c r="D19079">
        <v>0.43331244391899998</v>
      </c>
      <c r="E19079">
        <v>4.2720000000000002</v>
      </c>
    </row>
    <row r="19080" spans="1:5">
      <c r="A19080" t="s">
        <v>45754</v>
      </c>
      <c r="B19080" t="s">
        <v>31113</v>
      </c>
      <c r="C19080">
        <f>0.375702443919</f>
        <v>0.37570244391899998</v>
      </c>
      <c r="D19080">
        <v>0.43331244391899998</v>
      </c>
      <c r="E19080">
        <v>4.2720000000000002</v>
      </c>
    </row>
    <row r="19081" spans="1:5">
      <c r="A19081" t="s">
        <v>45755</v>
      </c>
      <c r="B19081" t="s">
        <v>4871</v>
      </c>
      <c r="C19081">
        <f>0</f>
        <v>0</v>
      </c>
      <c r="D19081" t="s">
        <v>106</v>
      </c>
      <c r="E19081">
        <v>7.8719999999999999</v>
      </c>
    </row>
    <row r="19082" spans="1:5">
      <c r="A19082" t="s">
        <v>45755</v>
      </c>
      <c r="B19082" t="s">
        <v>4873</v>
      </c>
      <c r="C19082">
        <v>0</v>
      </c>
      <c r="D19082" t="s">
        <v>106</v>
      </c>
      <c r="E19082">
        <v>7.8719999999999999</v>
      </c>
    </row>
    <row r="19083" spans="1:5">
      <c r="A19083" t="s">
        <v>45755</v>
      </c>
      <c r="B19083" t="s">
        <v>4875</v>
      </c>
      <c r="C19083">
        <f>0</f>
        <v>0</v>
      </c>
      <c r="D19083" t="s">
        <v>106</v>
      </c>
      <c r="E19083">
        <v>7.8719999999999999</v>
      </c>
    </row>
    <row r="19084" spans="1:5">
      <c r="A19084" t="s">
        <v>45755</v>
      </c>
      <c r="B19084" t="s">
        <v>4872</v>
      </c>
      <c r="C19084">
        <v>0</v>
      </c>
      <c r="D19084" t="s">
        <v>106</v>
      </c>
      <c r="E19084">
        <v>7.8719999999999999</v>
      </c>
    </row>
    <row r="19085" spans="1:5">
      <c r="A19085" t="s">
        <v>45756</v>
      </c>
      <c r="B19085" t="s">
        <v>26008</v>
      </c>
      <c r="C19085">
        <f>0</f>
        <v>0</v>
      </c>
      <c r="D19085" t="s">
        <v>106</v>
      </c>
      <c r="E19085">
        <v>19.632000000000001</v>
      </c>
    </row>
    <row r="19086" spans="1:5">
      <c r="A19086" t="s">
        <v>45756</v>
      </c>
      <c r="B19086" t="s">
        <v>26011</v>
      </c>
      <c r="C19086">
        <v>0</v>
      </c>
      <c r="D19086" t="s">
        <v>106</v>
      </c>
      <c r="E19086">
        <v>19.632000000000001</v>
      </c>
    </row>
    <row r="19087" spans="1:5">
      <c r="A19087" t="s">
        <v>45756</v>
      </c>
      <c r="B19087" t="s">
        <v>26012</v>
      </c>
      <c r="C19087">
        <v>0</v>
      </c>
      <c r="D19087" t="s">
        <v>106</v>
      </c>
      <c r="E19087">
        <v>19.632000000000001</v>
      </c>
    </row>
    <row r="19088" spans="1:5">
      <c r="A19088" t="s">
        <v>45756</v>
      </c>
      <c r="B19088" t="s">
        <v>26013</v>
      </c>
      <c r="C19088">
        <f>0</f>
        <v>0</v>
      </c>
      <c r="D19088" t="s">
        <v>106</v>
      </c>
      <c r="E19088">
        <v>19.632000000000001</v>
      </c>
    </row>
    <row r="19089" spans="1:5">
      <c r="A19089" t="s">
        <v>45756</v>
      </c>
      <c r="B19089" t="s">
        <v>26014</v>
      </c>
      <c r="C19089">
        <f>0</f>
        <v>0</v>
      </c>
      <c r="D19089" t="s">
        <v>106</v>
      </c>
      <c r="E19089">
        <v>19.632000000000001</v>
      </c>
    </row>
    <row r="19090" spans="1:5">
      <c r="A19090" t="s">
        <v>45756</v>
      </c>
      <c r="B19090" t="s">
        <v>26015</v>
      </c>
      <c r="C19090">
        <v>0</v>
      </c>
      <c r="D19090" t="s">
        <v>106</v>
      </c>
      <c r="E19090">
        <v>19.632000000000001</v>
      </c>
    </row>
    <row r="19091" spans="1:5">
      <c r="A19091" t="s">
        <v>45756</v>
      </c>
      <c r="B19091" t="s">
        <v>26016</v>
      </c>
      <c r="C19091">
        <f>0</f>
        <v>0</v>
      </c>
      <c r="D19091" t="s">
        <v>106</v>
      </c>
      <c r="E19091">
        <v>19.632000000000001</v>
      </c>
    </row>
    <row r="19092" spans="1:5">
      <c r="A19092" t="s">
        <v>45757</v>
      </c>
      <c r="B19092" t="s">
        <v>16372</v>
      </c>
      <c r="C19092">
        <v>0</v>
      </c>
      <c r="D19092" t="s">
        <v>106</v>
      </c>
      <c r="E19092">
        <v>9.3179999999999996</v>
      </c>
    </row>
    <row r="19093" spans="1:5">
      <c r="A19093" t="s">
        <v>45757</v>
      </c>
      <c r="B19093" t="s">
        <v>16373</v>
      </c>
      <c r="C19093">
        <v>0</v>
      </c>
      <c r="D19093" t="s">
        <v>106</v>
      </c>
      <c r="E19093">
        <v>9.3179999999999996</v>
      </c>
    </row>
    <row r="19094" spans="1:5">
      <c r="A19094" t="s">
        <v>45757</v>
      </c>
      <c r="B19094" t="s">
        <v>16374</v>
      </c>
      <c r="C19094">
        <f>0</f>
        <v>0</v>
      </c>
      <c r="D19094" t="s">
        <v>106</v>
      </c>
      <c r="E19094">
        <v>9.3179999999999996</v>
      </c>
    </row>
    <row r="19095" spans="1:5">
      <c r="A19095" t="s">
        <v>45758</v>
      </c>
      <c r="B19095" t="s">
        <v>45759</v>
      </c>
      <c r="C19095">
        <v>0</v>
      </c>
      <c r="D19095" t="s">
        <v>106</v>
      </c>
      <c r="E19095">
        <v>2.964</v>
      </c>
    </row>
    <row r="19096" spans="1:5">
      <c r="A19096" t="s">
        <v>45758</v>
      </c>
      <c r="B19096" t="s">
        <v>45760</v>
      </c>
      <c r="C19096">
        <f>0</f>
        <v>0</v>
      </c>
      <c r="D19096" t="s">
        <v>106</v>
      </c>
      <c r="E19096">
        <v>2.964</v>
      </c>
    </row>
    <row r="19097" spans="1:5">
      <c r="A19097" t="s">
        <v>45761</v>
      </c>
      <c r="B19097" t="s">
        <v>10723</v>
      </c>
      <c r="C19097">
        <v>0.64079540011299996</v>
      </c>
      <c r="D19097">
        <v>0.91949298264299995</v>
      </c>
      <c r="E19097">
        <v>4.6920000000000002</v>
      </c>
    </row>
    <row r="19098" spans="1:5">
      <c r="A19098" t="s">
        <v>45761</v>
      </c>
      <c r="B19098" t="s">
        <v>10728</v>
      </c>
      <c r="C19098">
        <v>0</v>
      </c>
      <c r="D19098">
        <v>0.91949298264299995</v>
      </c>
      <c r="E19098">
        <v>4.6920000000000002</v>
      </c>
    </row>
    <row r="19099" spans="1:5">
      <c r="A19099" t="s">
        <v>45761</v>
      </c>
      <c r="B19099" t="s">
        <v>10726</v>
      </c>
      <c r="C19099">
        <v>0</v>
      </c>
      <c r="D19099">
        <v>0.91949298264299995</v>
      </c>
      <c r="E19099">
        <v>4.6920000000000002</v>
      </c>
    </row>
    <row r="19100" spans="1:5">
      <c r="A19100" t="s">
        <v>45761</v>
      </c>
      <c r="B19100" t="s">
        <v>10725</v>
      </c>
      <c r="C19100">
        <v>0.13944941665800001</v>
      </c>
      <c r="D19100">
        <v>0.91949298264299995</v>
      </c>
      <c r="E19100">
        <v>4.6920000000000002</v>
      </c>
    </row>
    <row r="19101" spans="1:5">
      <c r="A19101" t="s">
        <v>45761</v>
      </c>
      <c r="B19101" t="s">
        <v>10727</v>
      </c>
      <c r="C19101">
        <v>0</v>
      </c>
      <c r="D19101">
        <v>0.91949298264299995</v>
      </c>
      <c r="E19101">
        <v>4.6920000000000002</v>
      </c>
    </row>
    <row r="19102" spans="1:5">
      <c r="A19102" t="s">
        <v>45761</v>
      </c>
      <c r="B19102" t="s">
        <v>10724</v>
      </c>
      <c r="C19102">
        <v>0.17263018405</v>
      </c>
      <c r="D19102">
        <v>0.91949298264299995</v>
      </c>
      <c r="E19102">
        <v>4.6920000000000002</v>
      </c>
    </row>
    <row r="19103" spans="1:5">
      <c r="A19103" t="s">
        <v>45762</v>
      </c>
      <c r="B19103" t="s">
        <v>45763</v>
      </c>
      <c r="C19103">
        <f>0</f>
        <v>0</v>
      </c>
      <c r="D19103" t="s">
        <v>106</v>
      </c>
      <c r="E19103">
        <v>3.5999999999999997E-2</v>
      </c>
    </row>
    <row r="19104" spans="1:5">
      <c r="A19104" t="s">
        <v>45762</v>
      </c>
      <c r="B19104" t="s">
        <v>45764</v>
      </c>
      <c r="C19104">
        <f>0</f>
        <v>0</v>
      </c>
      <c r="D19104" t="s">
        <v>106</v>
      </c>
      <c r="E19104">
        <v>3.5999999999999997E-2</v>
      </c>
    </row>
    <row r="19105" spans="1:5">
      <c r="A19105" t="s">
        <v>45762</v>
      </c>
      <c r="B19105" t="s">
        <v>45765</v>
      </c>
      <c r="C19105">
        <f>0</f>
        <v>0</v>
      </c>
      <c r="D19105" t="s">
        <v>106</v>
      </c>
      <c r="E19105">
        <v>3.5999999999999997E-2</v>
      </c>
    </row>
    <row r="19106" spans="1:5">
      <c r="A19106" t="s">
        <v>45766</v>
      </c>
      <c r="B19106" t="s">
        <v>18142</v>
      </c>
      <c r="C19106">
        <f>0</f>
        <v>0</v>
      </c>
      <c r="D19106">
        <v>0.99208661762899997</v>
      </c>
      <c r="E19106">
        <v>0</v>
      </c>
    </row>
    <row r="19107" spans="1:5">
      <c r="A19107" t="s">
        <v>45766</v>
      </c>
      <c r="B19107" t="s">
        <v>18158</v>
      </c>
      <c r="C19107">
        <f>0</f>
        <v>0</v>
      </c>
      <c r="D19107">
        <v>0.99208661762899997</v>
      </c>
      <c r="E19107">
        <v>0</v>
      </c>
    </row>
    <row r="19108" spans="1:5">
      <c r="A19108" t="s">
        <v>45766</v>
      </c>
      <c r="B19108" t="s">
        <v>18139</v>
      </c>
      <c r="C19108">
        <f>0</f>
        <v>0</v>
      </c>
      <c r="D19108">
        <v>0.99208661762899997</v>
      </c>
      <c r="E19108">
        <v>0</v>
      </c>
    </row>
    <row r="19109" spans="1:5">
      <c r="A19109" t="s">
        <v>45766</v>
      </c>
      <c r="B19109" t="s">
        <v>18145</v>
      </c>
      <c r="C19109">
        <f>0.109307467539</f>
        <v>0.109307467539</v>
      </c>
      <c r="D19109">
        <v>0.99208661762899997</v>
      </c>
      <c r="E19109">
        <v>0</v>
      </c>
    </row>
    <row r="19110" spans="1:5">
      <c r="A19110" t="s">
        <v>45766</v>
      </c>
      <c r="B19110" t="s">
        <v>18154</v>
      </c>
      <c r="C19110">
        <f>0.36873002518</f>
        <v>0.36873002517999998</v>
      </c>
      <c r="D19110">
        <v>0.99208661762899997</v>
      </c>
      <c r="E19110">
        <v>0</v>
      </c>
    </row>
    <row r="19111" spans="1:5">
      <c r="A19111" t="s">
        <v>45766</v>
      </c>
      <c r="B19111" t="s">
        <v>18156</v>
      </c>
      <c r="C19111">
        <f>0</f>
        <v>0</v>
      </c>
      <c r="D19111">
        <v>0.99208661762899997</v>
      </c>
      <c r="E19111">
        <v>0</v>
      </c>
    </row>
    <row r="19112" spans="1:5">
      <c r="A19112" t="s">
        <v>45766</v>
      </c>
      <c r="B19112" t="s">
        <v>18151</v>
      </c>
      <c r="C19112">
        <f>0</f>
        <v>0</v>
      </c>
      <c r="D19112">
        <v>0.99208661762899997</v>
      </c>
      <c r="E19112">
        <v>0</v>
      </c>
    </row>
    <row r="19113" spans="1:5">
      <c r="A19113" t="s">
        <v>45766</v>
      </c>
      <c r="B19113" t="s">
        <v>18143</v>
      </c>
      <c r="C19113">
        <v>0</v>
      </c>
      <c r="D19113">
        <v>0.99208661762899997</v>
      </c>
      <c r="E19113">
        <v>0</v>
      </c>
    </row>
    <row r="19114" spans="1:5">
      <c r="A19114" t="s">
        <v>45766</v>
      </c>
      <c r="B19114" t="s">
        <v>18149</v>
      </c>
      <c r="C19114">
        <f>0</f>
        <v>0</v>
      </c>
      <c r="D19114">
        <v>0.99208661762899997</v>
      </c>
      <c r="E19114">
        <v>0</v>
      </c>
    </row>
    <row r="19115" spans="1:5">
      <c r="A19115" t="s">
        <v>45766</v>
      </c>
      <c r="B19115" t="s">
        <v>18144</v>
      </c>
      <c r="C19115">
        <f>0.380390644188</f>
        <v>0.380390644188</v>
      </c>
      <c r="D19115">
        <v>0.99208661762899997</v>
      </c>
      <c r="E19115">
        <v>0</v>
      </c>
    </row>
    <row r="19116" spans="1:5">
      <c r="A19116" t="s">
        <v>45766</v>
      </c>
      <c r="B19116" t="s">
        <v>18146</v>
      </c>
      <c r="C19116">
        <v>0.15603111720599999</v>
      </c>
      <c r="D19116">
        <v>0.99208661762899997</v>
      </c>
      <c r="E19116">
        <v>0</v>
      </c>
    </row>
    <row r="19117" spans="1:5">
      <c r="A19117" t="s">
        <v>45766</v>
      </c>
      <c r="B19117" t="s">
        <v>18140</v>
      </c>
      <c r="C19117">
        <f>0</f>
        <v>0</v>
      </c>
      <c r="D19117">
        <v>0.99208661762899997</v>
      </c>
      <c r="E19117">
        <v>0</v>
      </c>
    </row>
    <row r="19118" spans="1:5">
      <c r="A19118" t="s">
        <v>45766</v>
      </c>
      <c r="B19118" t="s">
        <v>18153</v>
      </c>
      <c r="C19118">
        <v>0</v>
      </c>
      <c r="D19118">
        <v>0.99208661762899997</v>
      </c>
      <c r="E19118">
        <v>0</v>
      </c>
    </row>
    <row r="19119" spans="1:5">
      <c r="A19119" t="s">
        <v>45766</v>
      </c>
      <c r="B19119" t="s">
        <v>18147</v>
      </c>
      <c r="C19119">
        <v>0.31509798817599999</v>
      </c>
      <c r="D19119">
        <v>0.99208661762899997</v>
      </c>
      <c r="E19119">
        <v>0</v>
      </c>
    </row>
    <row r="19120" spans="1:5">
      <c r="A19120" t="s">
        <v>45766</v>
      </c>
      <c r="B19120" t="s">
        <v>18157</v>
      </c>
      <c r="C19120">
        <v>0</v>
      </c>
      <c r="D19120">
        <v>0.99208661762899997</v>
      </c>
      <c r="E19120">
        <v>0</v>
      </c>
    </row>
    <row r="19121" spans="1:5">
      <c r="A19121" t="s">
        <v>45766</v>
      </c>
      <c r="B19121" t="s">
        <v>18152</v>
      </c>
      <c r="C19121">
        <f>0.261844904016</f>
        <v>0.26184490401600002</v>
      </c>
      <c r="D19121">
        <v>0.99208661762899997</v>
      </c>
      <c r="E19121">
        <v>0</v>
      </c>
    </row>
    <row r="19122" spans="1:5">
      <c r="A19122" t="s">
        <v>45766</v>
      </c>
      <c r="B19122" t="s">
        <v>18150</v>
      </c>
      <c r="C19122">
        <f>0</f>
        <v>0</v>
      </c>
      <c r="D19122">
        <v>0.99208661762899997</v>
      </c>
      <c r="E19122">
        <v>0</v>
      </c>
    </row>
    <row r="19123" spans="1:5">
      <c r="A19123" t="s">
        <v>45766</v>
      </c>
      <c r="B19123" t="s">
        <v>18148</v>
      </c>
      <c r="C19123">
        <v>0.109334885531</v>
      </c>
      <c r="D19123">
        <v>0.99208661762899997</v>
      </c>
      <c r="E19123">
        <v>0</v>
      </c>
    </row>
    <row r="19124" spans="1:5">
      <c r="A19124" t="s">
        <v>45766</v>
      </c>
      <c r="B19124" t="s">
        <v>18155</v>
      </c>
      <c r="C19124">
        <v>6.4912959490199998E-2</v>
      </c>
      <c r="D19124">
        <v>0.99208661762899997</v>
      </c>
      <c r="E19124">
        <v>0</v>
      </c>
    </row>
    <row r="19125" spans="1:5">
      <c r="A19125" t="s">
        <v>45767</v>
      </c>
      <c r="B19125" t="s">
        <v>45768</v>
      </c>
      <c r="C19125">
        <v>0</v>
      </c>
      <c r="D19125">
        <v>0.72242621150999997</v>
      </c>
      <c r="E19125">
        <v>18.138000000000002</v>
      </c>
    </row>
    <row r="19126" spans="1:5">
      <c r="A19126" t="s">
        <v>45767</v>
      </c>
      <c r="B19126" t="s">
        <v>45769</v>
      </c>
      <c r="C19126">
        <f>0</f>
        <v>0</v>
      </c>
      <c r="D19126">
        <v>0.72242621150999997</v>
      </c>
      <c r="E19126">
        <v>18.138000000000002</v>
      </c>
    </row>
    <row r="19127" spans="1:5">
      <c r="A19127" t="s">
        <v>45767</v>
      </c>
      <c r="B19127" t="s">
        <v>45770</v>
      </c>
      <c r="C19127">
        <v>0</v>
      </c>
      <c r="D19127">
        <v>0.72242621150999997</v>
      </c>
      <c r="E19127">
        <v>18.138000000000002</v>
      </c>
    </row>
    <row r="19128" spans="1:5">
      <c r="A19128" t="s">
        <v>45767</v>
      </c>
      <c r="B19128" t="s">
        <v>45771</v>
      </c>
      <c r="C19128">
        <v>0</v>
      </c>
      <c r="D19128">
        <v>0.72242621150999997</v>
      </c>
      <c r="E19128">
        <v>18.138000000000002</v>
      </c>
    </row>
    <row r="19129" spans="1:5">
      <c r="A19129" t="s">
        <v>45767</v>
      </c>
      <c r="B19129" t="s">
        <v>45772</v>
      </c>
      <c r="C19129">
        <v>0.45201621150999999</v>
      </c>
      <c r="D19129">
        <v>0.72242621150999997</v>
      </c>
      <c r="E19129">
        <v>18.138000000000002</v>
      </c>
    </row>
    <row r="19130" spans="1:5">
      <c r="A19130" t="s">
        <v>45767</v>
      </c>
      <c r="B19130" t="s">
        <v>45773</v>
      </c>
      <c r="C19130">
        <f>0</f>
        <v>0</v>
      </c>
      <c r="D19130">
        <v>0.72242621150999997</v>
      </c>
      <c r="E19130">
        <v>18.138000000000002</v>
      </c>
    </row>
    <row r="19131" spans="1:5">
      <c r="A19131" t="s">
        <v>45767</v>
      </c>
      <c r="B19131" t="s">
        <v>45774</v>
      </c>
      <c r="C19131">
        <v>0</v>
      </c>
      <c r="D19131">
        <v>0.72242621150999997</v>
      </c>
      <c r="E19131">
        <v>18.138000000000002</v>
      </c>
    </row>
    <row r="19132" spans="1:5">
      <c r="A19132" t="s">
        <v>45775</v>
      </c>
      <c r="B19132" t="s">
        <v>26418</v>
      </c>
      <c r="C19132">
        <f>0</f>
        <v>0</v>
      </c>
      <c r="D19132" t="s">
        <v>106</v>
      </c>
      <c r="E19132">
        <v>3.2280000000000002</v>
      </c>
    </row>
    <row r="19133" spans="1:5">
      <c r="A19133" t="s">
        <v>45775</v>
      </c>
      <c r="B19133" t="s">
        <v>26421</v>
      </c>
      <c r="C19133">
        <v>0</v>
      </c>
      <c r="D19133" t="s">
        <v>106</v>
      </c>
      <c r="E19133">
        <v>3.2280000000000002</v>
      </c>
    </row>
    <row r="19134" spans="1:5">
      <c r="A19134" t="s">
        <v>45776</v>
      </c>
      <c r="B19134" t="s">
        <v>45777</v>
      </c>
      <c r="C19134">
        <v>1.022383514E-2</v>
      </c>
      <c r="D19134">
        <v>0.99999497850499997</v>
      </c>
      <c r="E19134">
        <v>7.4640000000000004</v>
      </c>
    </row>
    <row r="19135" spans="1:5">
      <c r="A19135" t="s">
        <v>45776</v>
      </c>
      <c r="B19135" t="s">
        <v>45778</v>
      </c>
      <c r="C19135">
        <v>0.87079978350999998</v>
      </c>
      <c r="D19135">
        <v>0.99999497850499997</v>
      </c>
      <c r="E19135">
        <v>7.4640000000000004</v>
      </c>
    </row>
    <row r="19136" spans="1:5">
      <c r="A19136" t="s">
        <v>45776</v>
      </c>
      <c r="B19136" t="s">
        <v>45779</v>
      </c>
      <c r="C19136">
        <f>0.7150283527</f>
        <v>0.71502835269999998</v>
      </c>
      <c r="D19136">
        <v>0.99999497850499997</v>
      </c>
      <c r="E19136">
        <v>7.4640000000000004</v>
      </c>
    </row>
    <row r="19137" spans="1:5">
      <c r="A19137" t="s">
        <v>45776</v>
      </c>
      <c r="B19137" t="s">
        <v>45780</v>
      </c>
      <c r="C19137">
        <v>0.41255380654399998</v>
      </c>
      <c r="D19137">
        <v>0.99999497850499997</v>
      </c>
      <c r="E19137">
        <v>7.4640000000000004</v>
      </c>
    </row>
    <row r="19138" spans="1:5">
      <c r="A19138" t="s">
        <v>45776</v>
      </c>
      <c r="B19138" t="s">
        <v>45781</v>
      </c>
      <c r="C19138">
        <f>0.346372726005</f>
        <v>0.34637272600500002</v>
      </c>
      <c r="D19138">
        <v>0.99999497850499997</v>
      </c>
      <c r="E19138">
        <v>7.4640000000000004</v>
      </c>
    </row>
    <row r="19139" spans="1:5">
      <c r="A19139" t="s">
        <v>45776</v>
      </c>
      <c r="B19139" t="s">
        <v>45782</v>
      </c>
      <c r="C19139">
        <f>0.547430302051</f>
        <v>0.54743030205099996</v>
      </c>
      <c r="D19139">
        <v>0.99999497850499997</v>
      </c>
      <c r="E19139">
        <v>7.4640000000000004</v>
      </c>
    </row>
    <row r="19140" spans="1:5">
      <c r="A19140" t="s">
        <v>45776</v>
      </c>
      <c r="B19140" t="s">
        <v>45783</v>
      </c>
      <c r="C19140">
        <v>0.39707117849500001</v>
      </c>
      <c r="D19140">
        <v>0.99999497850499997</v>
      </c>
      <c r="E19140">
        <v>7.4640000000000004</v>
      </c>
    </row>
    <row r="19141" spans="1:5">
      <c r="A19141" t="s">
        <v>45776</v>
      </c>
      <c r="B19141" t="s">
        <v>45784</v>
      </c>
      <c r="C19141">
        <v>1.00390636866</v>
      </c>
      <c r="D19141">
        <v>0.99999497850499997</v>
      </c>
      <c r="E19141">
        <v>7.4640000000000004</v>
      </c>
    </row>
    <row r="19142" spans="1:5">
      <c r="A19142" t="s">
        <v>45785</v>
      </c>
      <c r="B19142" t="s">
        <v>45786</v>
      </c>
      <c r="C19142">
        <v>0</v>
      </c>
      <c r="D19142" t="s">
        <v>106</v>
      </c>
      <c r="E19142">
        <v>1.224</v>
      </c>
    </row>
    <row r="19143" spans="1:5">
      <c r="A19143" t="s">
        <v>45785</v>
      </c>
      <c r="B19143" t="s">
        <v>45787</v>
      </c>
      <c r="C19143">
        <f>0</f>
        <v>0</v>
      </c>
      <c r="D19143" t="s">
        <v>106</v>
      </c>
      <c r="E19143">
        <v>1.224</v>
      </c>
    </row>
    <row r="19144" spans="1:5">
      <c r="A19144" t="s">
        <v>45788</v>
      </c>
      <c r="B19144" t="s">
        <v>819</v>
      </c>
      <c r="C19144">
        <f>0.411059714061</f>
        <v>0.411059714061</v>
      </c>
      <c r="D19144">
        <v>0.56540089154499995</v>
      </c>
      <c r="E19144">
        <v>24</v>
      </c>
    </row>
    <row r="19145" spans="1:5">
      <c r="A19145" t="s">
        <v>45788</v>
      </c>
      <c r="B19145" t="s">
        <v>815</v>
      </c>
      <c r="C19145">
        <v>0.182010856109</v>
      </c>
      <c r="D19145">
        <v>0.56540089154499995</v>
      </c>
      <c r="E19145">
        <v>24</v>
      </c>
    </row>
    <row r="19146" spans="1:5">
      <c r="A19146" t="s">
        <v>45788</v>
      </c>
      <c r="B19146" t="s">
        <v>820</v>
      </c>
      <c r="C19146">
        <v>0</v>
      </c>
      <c r="D19146">
        <v>0.56540089154499995</v>
      </c>
      <c r="E19146">
        <v>24</v>
      </c>
    </row>
    <row r="19147" spans="1:5">
      <c r="A19147" t="s">
        <v>45789</v>
      </c>
      <c r="B19147" t="s">
        <v>12809</v>
      </c>
      <c r="C19147">
        <f>0.202714613192</f>
        <v>0.20271461319199999</v>
      </c>
      <c r="D19147">
        <v>0.96777382542299994</v>
      </c>
      <c r="E19147">
        <v>2.802</v>
      </c>
    </row>
    <row r="19148" spans="1:5">
      <c r="A19148" t="s">
        <v>45789</v>
      </c>
      <c r="B19148" t="s">
        <v>12808</v>
      </c>
      <c r="C19148">
        <v>0.91845390687700001</v>
      </c>
      <c r="D19148">
        <v>0.96777382542299994</v>
      </c>
      <c r="E19148">
        <v>2.802</v>
      </c>
    </row>
    <row r="19149" spans="1:5">
      <c r="A19149" t="s">
        <v>45789</v>
      </c>
      <c r="B19149" t="s">
        <v>12807</v>
      </c>
      <c r="C19149">
        <f>0.282337540595</f>
        <v>0.28233754059499999</v>
      </c>
      <c r="D19149">
        <v>0.96777382542299994</v>
      </c>
      <c r="E19149">
        <v>2.802</v>
      </c>
    </row>
    <row r="19150" spans="1:5">
      <c r="A19150" t="s">
        <v>45790</v>
      </c>
      <c r="B19150" t="s">
        <v>33367</v>
      </c>
      <c r="C19150">
        <f>0.415608111825</f>
        <v>0.41560811182500002</v>
      </c>
      <c r="D19150">
        <v>0.97220757215800002</v>
      </c>
      <c r="E19150">
        <v>0</v>
      </c>
    </row>
    <row r="19151" spans="1:5">
      <c r="A19151" t="s">
        <v>45790</v>
      </c>
      <c r="B19151" t="s">
        <v>33369</v>
      </c>
      <c r="C19151">
        <f>0.263998036065</f>
        <v>0.263998036065</v>
      </c>
      <c r="D19151">
        <v>0.97220757215800002</v>
      </c>
      <c r="E19151">
        <v>0</v>
      </c>
    </row>
    <row r="19152" spans="1:5">
      <c r="A19152" t="s">
        <v>45790</v>
      </c>
      <c r="B19152" t="s">
        <v>33368</v>
      </c>
      <c r="C19152">
        <f>0.356892038616</f>
        <v>0.356892038616</v>
      </c>
      <c r="D19152">
        <v>0.97220757215800002</v>
      </c>
      <c r="E19152">
        <v>0</v>
      </c>
    </row>
    <row r="19153" spans="1:5">
      <c r="A19153" t="s">
        <v>45790</v>
      </c>
      <c r="B19153" t="s">
        <v>33371</v>
      </c>
      <c r="C19153">
        <f>0</f>
        <v>0</v>
      </c>
      <c r="D19153">
        <v>0.97220757215800002</v>
      </c>
      <c r="E19153">
        <v>0</v>
      </c>
    </row>
    <row r="19154" spans="1:5">
      <c r="A19154" t="s">
        <v>45791</v>
      </c>
      <c r="B19154" t="s">
        <v>17225</v>
      </c>
      <c r="C19154">
        <f>0.698145489331</f>
        <v>0.69814548933099996</v>
      </c>
      <c r="D19154">
        <v>0.71987407790000002</v>
      </c>
      <c r="E19154">
        <v>1.7999999999999999E-2</v>
      </c>
    </row>
    <row r="19155" spans="1:5">
      <c r="A19155" t="s">
        <v>45791</v>
      </c>
      <c r="B19155" t="s">
        <v>17226</v>
      </c>
      <c r="C19155">
        <v>1.0178705268999999</v>
      </c>
      <c r="D19155">
        <v>0.71987407790000002</v>
      </c>
      <c r="E19155">
        <v>1.7999999999999999E-2</v>
      </c>
    </row>
    <row r="19156" spans="1:5">
      <c r="A19156" t="s">
        <v>45792</v>
      </c>
      <c r="B19156" t="s">
        <v>45793</v>
      </c>
      <c r="C19156">
        <f>0</f>
        <v>0</v>
      </c>
      <c r="D19156">
        <v>0.81219735240500002</v>
      </c>
      <c r="E19156">
        <v>0.114</v>
      </c>
    </row>
    <row r="19157" spans="1:5">
      <c r="A19157" t="s">
        <v>45792</v>
      </c>
      <c r="B19157" t="s">
        <v>45794</v>
      </c>
      <c r="C19157">
        <f>0.582211466595</f>
        <v>0.582211466595</v>
      </c>
      <c r="D19157">
        <v>0.81219735240500002</v>
      </c>
      <c r="E19157">
        <v>0.114</v>
      </c>
    </row>
    <row r="19158" spans="1:5">
      <c r="A19158" t="s">
        <v>45792</v>
      </c>
      <c r="B19158" t="s">
        <v>45795</v>
      </c>
      <c r="C19158">
        <v>0.42009814076699997</v>
      </c>
      <c r="D19158">
        <v>0.81219735240500002</v>
      </c>
      <c r="E19158">
        <v>0.114</v>
      </c>
    </row>
    <row r="19159" spans="1:5">
      <c r="A19159" t="s">
        <v>45796</v>
      </c>
      <c r="B19159" t="s">
        <v>45797</v>
      </c>
      <c r="C19159">
        <f>0</f>
        <v>0</v>
      </c>
      <c r="D19159" t="s">
        <v>106</v>
      </c>
      <c r="E19159">
        <v>17.100000000000001</v>
      </c>
    </row>
    <row r="19160" spans="1:5">
      <c r="A19160" t="s">
        <v>45796</v>
      </c>
      <c r="B19160" t="s">
        <v>45798</v>
      </c>
      <c r="C19160">
        <f>0</f>
        <v>0</v>
      </c>
      <c r="D19160" t="s">
        <v>106</v>
      </c>
      <c r="E19160">
        <v>17.100000000000001</v>
      </c>
    </row>
    <row r="19161" spans="1:5">
      <c r="A19161" t="s">
        <v>45796</v>
      </c>
      <c r="B19161" t="s">
        <v>45799</v>
      </c>
      <c r="C19161">
        <f>0</f>
        <v>0</v>
      </c>
      <c r="D19161" t="s">
        <v>106</v>
      </c>
      <c r="E19161">
        <v>17.100000000000001</v>
      </c>
    </row>
    <row r="19162" spans="1:5">
      <c r="A19162" t="s">
        <v>45796</v>
      </c>
      <c r="B19162" t="s">
        <v>45800</v>
      </c>
      <c r="C19162">
        <f>0</f>
        <v>0</v>
      </c>
      <c r="D19162" t="s">
        <v>106</v>
      </c>
      <c r="E19162">
        <v>17.100000000000001</v>
      </c>
    </row>
    <row r="19163" spans="1:5">
      <c r="A19163" t="s">
        <v>45796</v>
      </c>
      <c r="B19163" t="s">
        <v>45801</v>
      </c>
      <c r="C19163">
        <f>0</f>
        <v>0</v>
      </c>
      <c r="D19163" t="s">
        <v>106</v>
      </c>
      <c r="E19163">
        <v>17.100000000000001</v>
      </c>
    </row>
    <row r="19164" spans="1:5">
      <c r="A19164" t="s">
        <v>45802</v>
      </c>
      <c r="B19164" t="s">
        <v>18668</v>
      </c>
      <c r="C19164">
        <f>0</f>
        <v>0</v>
      </c>
      <c r="D19164">
        <v>0.95941017586900001</v>
      </c>
      <c r="E19164">
        <v>2.964</v>
      </c>
    </row>
    <row r="19165" spans="1:5">
      <c r="A19165" t="s">
        <v>45802</v>
      </c>
      <c r="B19165" t="s">
        <v>18671</v>
      </c>
      <c r="C19165">
        <f>0.761418510841</f>
        <v>0.76141851084099998</v>
      </c>
      <c r="D19165">
        <v>0.95941017586900001</v>
      </c>
      <c r="E19165">
        <v>2.964</v>
      </c>
    </row>
    <row r="19166" spans="1:5">
      <c r="A19166" t="s">
        <v>45802</v>
      </c>
      <c r="B19166" t="s">
        <v>18672</v>
      </c>
      <c r="C19166">
        <v>0</v>
      </c>
      <c r="D19166">
        <v>0.95941017586900001</v>
      </c>
      <c r="E19166">
        <v>2.964</v>
      </c>
    </row>
    <row r="19167" spans="1:5">
      <c r="A19167" t="s">
        <v>45802</v>
      </c>
      <c r="B19167" t="s">
        <v>18680</v>
      </c>
      <c r="C19167">
        <v>0</v>
      </c>
      <c r="D19167">
        <v>0.95941017586900001</v>
      </c>
      <c r="E19167">
        <v>2.964</v>
      </c>
    </row>
    <row r="19168" spans="1:5">
      <c r="A19168" t="s">
        <v>45802</v>
      </c>
      <c r="B19168" t="s">
        <v>18673</v>
      </c>
      <c r="C19168">
        <v>0</v>
      </c>
      <c r="D19168">
        <v>0.95941017586900001</v>
      </c>
      <c r="E19168">
        <v>2.964</v>
      </c>
    </row>
    <row r="19169" spans="1:5">
      <c r="A19169" t="s">
        <v>45802</v>
      </c>
      <c r="B19169" t="s">
        <v>18675</v>
      </c>
      <c r="C19169">
        <v>0</v>
      </c>
      <c r="D19169">
        <v>0.95941017586900001</v>
      </c>
      <c r="E19169">
        <v>2.964</v>
      </c>
    </row>
    <row r="19170" spans="1:5">
      <c r="A19170" t="s">
        <v>45802</v>
      </c>
      <c r="B19170" t="s">
        <v>18670</v>
      </c>
      <c r="C19170">
        <v>0</v>
      </c>
      <c r="D19170">
        <v>0.95941017586900001</v>
      </c>
      <c r="E19170">
        <v>2.964</v>
      </c>
    </row>
    <row r="19171" spans="1:5">
      <c r="A19171" t="s">
        <v>45802</v>
      </c>
      <c r="B19171" t="s">
        <v>18676</v>
      </c>
      <c r="C19171">
        <v>0</v>
      </c>
      <c r="D19171">
        <v>0.95941017586900001</v>
      </c>
      <c r="E19171">
        <v>2.964</v>
      </c>
    </row>
    <row r="19172" spans="1:5">
      <c r="A19172" t="s">
        <v>45802</v>
      </c>
      <c r="B19172" t="s">
        <v>18681</v>
      </c>
      <c r="C19172">
        <f>0</f>
        <v>0</v>
      </c>
      <c r="D19172">
        <v>0.95941017586900001</v>
      </c>
      <c r="E19172">
        <v>2.964</v>
      </c>
    </row>
    <row r="19173" spans="1:5">
      <c r="A19173" t="s">
        <v>45802</v>
      </c>
      <c r="B19173" t="s">
        <v>18679</v>
      </c>
      <c r="C19173">
        <v>0</v>
      </c>
      <c r="D19173">
        <v>0.95941017586900001</v>
      </c>
      <c r="E19173">
        <v>2.964</v>
      </c>
    </row>
    <row r="19174" spans="1:5">
      <c r="A19174" t="s">
        <v>45802</v>
      </c>
      <c r="B19174" t="s">
        <v>18674</v>
      </c>
      <c r="C19174">
        <f>0.147972994812</f>
        <v>0.14797299481199999</v>
      </c>
      <c r="D19174">
        <v>0.95941017586900001</v>
      </c>
      <c r="E19174">
        <v>2.964</v>
      </c>
    </row>
    <row r="19175" spans="1:5">
      <c r="A19175" t="s">
        <v>45802</v>
      </c>
      <c r="B19175" t="s">
        <v>18677</v>
      </c>
      <c r="C19175">
        <v>0</v>
      </c>
      <c r="D19175">
        <v>0.95941017586900001</v>
      </c>
      <c r="E19175">
        <v>2.964</v>
      </c>
    </row>
    <row r="19176" spans="1:5">
      <c r="A19176" t="s">
        <v>45802</v>
      </c>
      <c r="B19176" t="s">
        <v>18669</v>
      </c>
      <c r="C19176">
        <f>0</f>
        <v>0</v>
      </c>
      <c r="D19176">
        <v>0.95941017586900001</v>
      </c>
      <c r="E19176">
        <v>2.964</v>
      </c>
    </row>
    <row r="19177" spans="1:5">
      <c r="A19177" t="s">
        <v>45803</v>
      </c>
      <c r="B19177" t="s">
        <v>13375</v>
      </c>
      <c r="C19177">
        <v>0.71955940806100005</v>
      </c>
      <c r="D19177">
        <v>0.87726926349800005</v>
      </c>
      <c r="E19177">
        <v>7.1999999999999995E-2</v>
      </c>
    </row>
    <row r="19178" spans="1:5">
      <c r="A19178" t="s">
        <v>45803</v>
      </c>
      <c r="B19178" t="s">
        <v>13376</v>
      </c>
      <c r="C19178">
        <f>0.379257162857</f>
        <v>0.37925716285700001</v>
      </c>
      <c r="D19178">
        <v>0.87726926349800005</v>
      </c>
      <c r="E19178">
        <v>7.1999999999999995E-2</v>
      </c>
    </row>
    <row r="19179" spans="1:5">
      <c r="A19179" t="s">
        <v>45804</v>
      </c>
      <c r="B19179" t="s">
        <v>31306</v>
      </c>
      <c r="C19179">
        <v>0.46580472274000001</v>
      </c>
      <c r="D19179">
        <v>0.56821472273999996</v>
      </c>
      <c r="E19179">
        <v>0.82799999999999996</v>
      </c>
    </row>
    <row r="19180" spans="1:5">
      <c r="A19180" t="s">
        <v>45804</v>
      </c>
      <c r="B19180" t="s">
        <v>31305</v>
      </c>
      <c r="C19180">
        <v>0</v>
      </c>
      <c r="D19180">
        <v>0.56821472273999996</v>
      </c>
      <c r="E19180">
        <v>0.82799999999999996</v>
      </c>
    </row>
    <row r="19181" spans="1:5">
      <c r="A19181" t="s">
        <v>45805</v>
      </c>
      <c r="B19181" t="s">
        <v>6320</v>
      </c>
      <c r="C19181">
        <v>0.31433417685199999</v>
      </c>
      <c r="D19181">
        <v>0.87146971130399997</v>
      </c>
      <c r="E19181">
        <v>24</v>
      </c>
    </row>
    <row r="19182" spans="1:5">
      <c r="A19182" t="s">
        <v>45805</v>
      </c>
      <c r="B19182" t="s">
        <v>6321</v>
      </c>
      <c r="C19182">
        <v>0.97080854362500002</v>
      </c>
      <c r="D19182">
        <v>0.87146971130399997</v>
      </c>
      <c r="E19182">
        <v>24</v>
      </c>
    </row>
    <row r="19183" spans="1:5">
      <c r="A19183" t="s">
        <v>45805</v>
      </c>
      <c r="B19183" t="s">
        <v>6325</v>
      </c>
      <c r="C19183">
        <f>-1.67985698493</f>
        <v>-1.67985698493</v>
      </c>
      <c r="D19183">
        <v>0.87146971130399997</v>
      </c>
      <c r="E19183">
        <v>24</v>
      </c>
    </row>
    <row r="19184" spans="1:5">
      <c r="A19184" t="s">
        <v>45805</v>
      </c>
      <c r="B19184" t="s">
        <v>6322</v>
      </c>
      <c r="C19184">
        <f>0.25673927657</f>
        <v>0.25673927657000001</v>
      </c>
      <c r="D19184">
        <v>0.87146971130399997</v>
      </c>
      <c r="E19184">
        <v>24</v>
      </c>
    </row>
    <row r="19185" spans="1:5">
      <c r="A19185" t="s">
        <v>45806</v>
      </c>
      <c r="B19185" t="s">
        <v>29032</v>
      </c>
      <c r="C19185">
        <v>0.70342383108899997</v>
      </c>
      <c r="D19185">
        <v>0.81286322785999998</v>
      </c>
      <c r="E19185">
        <v>0.96599999999999997</v>
      </c>
    </row>
    <row r="19186" spans="1:5">
      <c r="A19186" t="s">
        <v>45806</v>
      </c>
      <c r="B19186" t="s">
        <v>29033</v>
      </c>
      <c r="C19186">
        <v>2.0500738391999999E-2</v>
      </c>
      <c r="D19186">
        <v>0.81286322785999998</v>
      </c>
      <c r="E19186">
        <v>0.96599999999999997</v>
      </c>
    </row>
    <row r="19187" spans="1:5">
      <c r="A19187" t="s">
        <v>45806</v>
      </c>
      <c r="B19187" t="s">
        <v>29034</v>
      </c>
      <c r="C19187">
        <v>0</v>
      </c>
      <c r="D19187">
        <v>0.81286322785999998</v>
      </c>
      <c r="E19187">
        <v>0.96599999999999997</v>
      </c>
    </row>
    <row r="19188" spans="1:5">
      <c r="A19188" t="s">
        <v>45806</v>
      </c>
      <c r="B19188" t="s">
        <v>29036</v>
      </c>
      <c r="C19188">
        <f>0.577983209206</f>
        <v>0.57798320920599999</v>
      </c>
      <c r="D19188">
        <v>0.81286322785999998</v>
      </c>
      <c r="E19188">
        <v>0.96599999999999997</v>
      </c>
    </row>
    <row r="19189" spans="1:5">
      <c r="A19189" t="s">
        <v>45807</v>
      </c>
      <c r="B19189" t="s">
        <v>8797</v>
      </c>
      <c r="C19189">
        <v>0.14321484114800001</v>
      </c>
      <c r="D19189">
        <v>0.99886192853</v>
      </c>
      <c r="E19189">
        <v>24</v>
      </c>
    </row>
    <row r="19190" spans="1:5">
      <c r="A19190" t="s">
        <v>45807</v>
      </c>
      <c r="B19190" t="s">
        <v>8807</v>
      </c>
      <c r="C19190">
        <v>1.2109927464200001</v>
      </c>
      <c r="D19190">
        <v>0.99886192853</v>
      </c>
      <c r="E19190">
        <v>24</v>
      </c>
    </row>
    <row r="19191" spans="1:5">
      <c r="A19191" t="s">
        <v>45807</v>
      </c>
      <c r="B19191" t="s">
        <v>8801</v>
      </c>
      <c r="C19191">
        <f>0.0221748422117</f>
        <v>2.2174842211700001E-2</v>
      </c>
      <c r="D19191">
        <v>0.99886192853</v>
      </c>
      <c r="E19191">
        <v>24</v>
      </c>
    </row>
    <row r="19192" spans="1:5">
      <c r="A19192" t="s">
        <v>45807</v>
      </c>
      <c r="B19192" t="s">
        <v>8800</v>
      </c>
      <c r="C19192">
        <v>0.26381900739500003</v>
      </c>
      <c r="D19192">
        <v>0.99886192853</v>
      </c>
      <c r="E19192">
        <v>24</v>
      </c>
    </row>
    <row r="19193" spans="1:5">
      <c r="A19193" t="s">
        <v>45807</v>
      </c>
      <c r="B19193" t="s">
        <v>45808</v>
      </c>
      <c r="C19193">
        <f>0.467575871913</f>
        <v>0.46757587191299999</v>
      </c>
      <c r="D19193">
        <v>0.99886192853</v>
      </c>
      <c r="E19193">
        <v>24</v>
      </c>
    </row>
    <row r="19194" spans="1:5">
      <c r="A19194" t="s">
        <v>45807</v>
      </c>
      <c r="B19194" t="s">
        <v>8805</v>
      </c>
      <c r="C19194">
        <f>0.995697449472</f>
        <v>0.99569744947200001</v>
      </c>
      <c r="D19194">
        <v>0.99886192853</v>
      </c>
      <c r="E19194">
        <v>24</v>
      </c>
    </row>
    <row r="19195" spans="1:5">
      <c r="A19195" t="s">
        <v>45807</v>
      </c>
      <c r="B19195" t="s">
        <v>8806</v>
      </c>
      <c r="C19195">
        <v>0</v>
      </c>
      <c r="D19195">
        <v>0.99886192853</v>
      </c>
      <c r="E19195">
        <v>24</v>
      </c>
    </row>
    <row r="19196" spans="1:5">
      <c r="A19196" t="s">
        <v>45807</v>
      </c>
      <c r="B19196" t="s">
        <v>8798</v>
      </c>
      <c r="C19196">
        <v>0.99257164045000001</v>
      </c>
      <c r="D19196">
        <v>0.99886192853</v>
      </c>
      <c r="E19196">
        <v>24</v>
      </c>
    </row>
    <row r="19197" spans="1:5">
      <c r="A19197" t="s">
        <v>45807</v>
      </c>
      <c r="B19197" t="s">
        <v>8804</v>
      </c>
      <c r="C19197">
        <v>0.23604449032399999</v>
      </c>
      <c r="D19197">
        <v>0.99886192853</v>
      </c>
      <c r="E19197">
        <v>24</v>
      </c>
    </row>
    <row r="19198" spans="1:5">
      <c r="A19198" t="s">
        <v>45809</v>
      </c>
      <c r="B19198" t="s">
        <v>45810</v>
      </c>
      <c r="C19198">
        <v>0.15846252544</v>
      </c>
      <c r="D19198">
        <v>0.99905949827100005</v>
      </c>
      <c r="E19198">
        <v>5.2380000000000004</v>
      </c>
    </row>
    <row r="19199" spans="1:5">
      <c r="A19199" t="s">
        <v>45809</v>
      </c>
      <c r="B19199" t="s">
        <v>45811</v>
      </c>
      <c r="C19199">
        <v>0.194197144903</v>
      </c>
      <c r="D19199">
        <v>0.99905949827100005</v>
      </c>
      <c r="E19199">
        <v>5.2380000000000004</v>
      </c>
    </row>
    <row r="19200" spans="1:5">
      <c r="A19200" t="s">
        <v>45809</v>
      </c>
      <c r="B19200" t="s">
        <v>45812</v>
      </c>
      <c r="C19200">
        <v>0.19374882187199999</v>
      </c>
      <c r="D19200">
        <v>0.99905949827100005</v>
      </c>
      <c r="E19200">
        <v>5.2380000000000004</v>
      </c>
    </row>
    <row r="19201" spans="1:5">
      <c r="A19201" t="s">
        <v>45809</v>
      </c>
      <c r="B19201" t="s">
        <v>45813</v>
      </c>
      <c r="C19201">
        <v>0.42176821262500003</v>
      </c>
      <c r="D19201">
        <v>0.99905949827100005</v>
      </c>
      <c r="E19201">
        <v>5.2380000000000004</v>
      </c>
    </row>
    <row r="19202" spans="1:5">
      <c r="A19202" t="s">
        <v>45809</v>
      </c>
      <c r="B19202" t="s">
        <v>45814</v>
      </c>
      <c r="C19202">
        <f>0.357027207311</f>
        <v>0.35702720731100002</v>
      </c>
      <c r="D19202">
        <v>0.99905949827100005</v>
      </c>
      <c r="E19202">
        <v>5.2380000000000004</v>
      </c>
    </row>
    <row r="19203" spans="1:5">
      <c r="A19203" t="s">
        <v>45809</v>
      </c>
      <c r="B19203" t="s">
        <v>45815</v>
      </c>
      <c r="C19203">
        <v>8.8851644990300002E-2</v>
      </c>
      <c r="D19203">
        <v>0.99905949827100005</v>
      </c>
      <c r="E19203">
        <v>5.2380000000000004</v>
      </c>
    </row>
    <row r="19204" spans="1:5">
      <c r="A19204" t="s">
        <v>45816</v>
      </c>
      <c r="B19204" t="s">
        <v>45817</v>
      </c>
      <c r="C19204">
        <f>0</f>
        <v>0</v>
      </c>
      <c r="D19204" t="s">
        <v>106</v>
      </c>
      <c r="E19204">
        <v>24</v>
      </c>
    </row>
    <row r="19205" spans="1:5">
      <c r="A19205" t="s">
        <v>45816</v>
      </c>
      <c r="B19205" t="s">
        <v>45818</v>
      </c>
      <c r="C19205">
        <v>0</v>
      </c>
      <c r="D19205" t="s">
        <v>106</v>
      </c>
      <c r="E19205">
        <v>24</v>
      </c>
    </row>
    <row r="19206" spans="1:5">
      <c r="A19206" t="s">
        <v>45816</v>
      </c>
      <c r="B19206" t="s">
        <v>45819</v>
      </c>
      <c r="C19206">
        <f>0</f>
        <v>0</v>
      </c>
      <c r="D19206" t="s">
        <v>106</v>
      </c>
      <c r="E19206">
        <v>24</v>
      </c>
    </row>
    <row r="19207" spans="1:5">
      <c r="A19207" t="s">
        <v>45816</v>
      </c>
      <c r="B19207" t="s">
        <v>45820</v>
      </c>
      <c r="C19207">
        <v>0</v>
      </c>
      <c r="D19207" t="s">
        <v>106</v>
      </c>
      <c r="E19207">
        <v>24</v>
      </c>
    </row>
    <row r="19208" spans="1:5">
      <c r="A19208" t="s">
        <v>45816</v>
      </c>
      <c r="B19208" t="s">
        <v>45821</v>
      </c>
      <c r="C19208">
        <v>0</v>
      </c>
      <c r="D19208" t="s">
        <v>106</v>
      </c>
      <c r="E19208">
        <v>24</v>
      </c>
    </row>
    <row r="19209" spans="1:5">
      <c r="A19209" t="s">
        <v>45822</v>
      </c>
      <c r="B19209" t="s">
        <v>33557</v>
      </c>
      <c r="C19209">
        <v>0</v>
      </c>
      <c r="D19209">
        <v>0.44587284695599999</v>
      </c>
      <c r="E19209">
        <v>0.54</v>
      </c>
    </row>
    <row r="19210" spans="1:5">
      <c r="A19210" t="s">
        <v>45822</v>
      </c>
      <c r="B19210" t="s">
        <v>33559</v>
      </c>
      <c r="C19210">
        <v>0.25226284695599999</v>
      </c>
      <c r="D19210">
        <v>0.44587284695599999</v>
      </c>
      <c r="E19210">
        <v>0.54</v>
      </c>
    </row>
    <row r="19211" spans="1:5">
      <c r="A19211" t="s">
        <v>45823</v>
      </c>
      <c r="B19211" t="s">
        <v>29469</v>
      </c>
      <c r="C19211">
        <v>0.80446755621599997</v>
      </c>
      <c r="D19211">
        <v>0.90687755621599997</v>
      </c>
      <c r="E19211">
        <v>6.4260000000000002</v>
      </c>
    </row>
    <row r="19212" spans="1:5">
      <c r="A19212" t="s">
        <v>45823</v>
      </c>
      <c r="B19212" t="s">
        <v>29470</v>
      </c>
      <c r="C19212">
        <f>0</f>
        <v>0</v>
      </c>
      <c r="D19212">
        <v>0.90687755621599997</v>
      </c>
      <c r="E19212">
        <v>6.4260000000000002</v>
      </c>
    </row>
    <row r="19213" spans="1:5">
      <c r="A19213" t="s">
        <v>45824</v>
      </c>
      <c r="B19213" t="s">
        <v>45825</v>
      </c>
      <c r="C19213">
        <f>0.158425522997</f>
        <v>0.158425522997</v>
      </c>
      <c r="D19213">
        <v>0.74143264060900005</v>
      </c>
      <c r="E19213">
        <v>6.18</v>
      </c>
    </row>
    <row r="19214" spans="1:5">
      <c r="A19214" t="s">
        <v>45824</v>
      </c>
      <c r="B19214" t="s">
        <v>45826</v>
      </c>
      <c r="C19214">
        <v>0</v>
      </c>
      <c r="D19214">
        <v>0.74143264060900005</v>
      </c>
      <c r="E19214">
        <v>6.18</v>
      </c>
    </row>
    <row r="19215" spans="1:5">
      <c r="A19215" t="s">
        <v>45824</v>
      </c>
      <c r="B19215" t="s">
        <v>45827</v>
      </c>
      <c r="C19215">
        <v>0.39180520077300002</v>
      </c>
      <c r="D19215">
        <v>0.74143264060900005</v>
      </c>
      <c r="E19215">
        <v>6.18</v>
      </c>
    </row>
    <row r="19216" spans="1:5">
      <c r="A19216" t="s">
        <v>45824</v>
      </c>
      <c r="B19216" t="s">
        <v>45828</v>
      </c>
      <c r="C19216">
        <f>0</f>
        <v>0</v>
      </c>
      <c r="D19216">
        <v>0.74143264060900005</v>
      </c>
      <c r="E19216">
        <v>6.18</v>
      </c>
    </row>
    <row r="19217" spans="1:5">
      <c r="A19217" t="s">
        <v>45824</v>
      </c>
      <c r="B19217" t="s">
        <v>45829</v>
      </c>
      <c r="C19217">
        <v>0</v>
      </c>
      <c r="D19217">
        <v>0.74143264060900005</v>
      </c>
      <c r="E19217">
        <v>6.18</v>
      </c>
    </row>
    <row r="19218" spans="1:5">
      <c r="A19218" t="s">
        <v>45830</v>
      </c>
      <c r="B19218" t="s">
        <v>29498</v>
      </c>
      <c r="C19218">
        <f>0</f>
        <v>0</v>
      </c>
      <c r="D19218">
        <v>0.84182782836000003</v>
      </c>
      <c r="E19218">
        <v>1.5720000000000001</v>
      </c>
    </row>
    <row r="19219" spans="1:5">
      <c r="A19219" t="s">
        <v>45830</v>
      </c>
      <c r="B19219" t="s">
        <v>45831</v>
      </c>
      <c r="C19219">
        <f>0</f>
        <v>0</v>
      </c>
      <c r="D19219">
        <v>0.84182782836000003</v>
      </c>
      <c r="E19219">
        <v>1.5720000000000001</v>
      </c>
    </row>
    <row r="19220" spans="1:5">
      <c r="A19220" t="s">
        <v>45830</v>
      </c>
      <c r="B19220" t="s">
        <v>29495</v>
      </c>
      <c r="C19220">
        <v>0.113559276158</v>
      </c>
      <c r="D19220">
        <v>0.84182782836000003</v>
      </c>
      <c r="E19220">
        <v>1.5720000000000001</v>
      </c>
    </row>
    <row r="19221" spans="1:5">
      <c r="A19221" t="s">
        <v>45830</v>
      </c>
      <c r="B19221" t="s">
        <v>29499</v>
      </c>
      <c r="C19221">
        <v>0.51003759627599998</v>
      </c>
      <c r="D19221">
        <v>0.84182782836000003</v>
      </c>
      <c r="E19221">
        <v>1.5720000000000001</v>
      </c>
    </row>
    <row r="19222" spans="1:5">
      <c r="A19222" t="s">
        <v>45832</v>
      </c>
      <c r="B19222" t="s">
        <v>17229</v>
      </c>
      <c r="C19222">
        <v>0</v>
      </c>
      <c r="D19222">
        <v>0.68722592511900005</v>
      </c>
      <c r="E19222">
        <v>11.37</v>
      </c>
    </row>
    <row r="19223" spans="1:5">
      <c r="A19223" t="s">
        <v>45832</v>
      </c>
      <c r="B19223" t="s">
        <v>17236</v>
      </c>
      <c r="C19223">
        <f>0</f>
        <v>0</v>
      </c>
      <c r="D19223">
        <v>0.68722592511900005</v>
      </c>
      <c r="E19223">
        <v>11.37</v>
      </c>
    </row>
    <row r="19224" spans="1:5">
      <c r="A19224" t="s">
        <v>45832</v>
      </c>
      <c r="B19224" t="s">
        <v>17232</v>
      </c>
      <c r="C19224">
        <v>0</v>
      </c>
      <c r="D19224">
        <v>0.68722592511900005</v>
      </c>
      <c r="E19224">
        <v>11.37</v>
      </c>
    </row>
    <row r="19225" spans="1:5">
      <c r="A19225" t="s">
        <v>45832</v>
      </c>
      <c r="B19225" t="s">
        <v>17233</v>
      </c>
      <c r="C19225">
        <f>0</f>
        <v>0</v>
      </c>
      <c r="D19225">
        <v>0.68722592511900005</v>
      </c>
      <c r="E19225">
        <v>11.37</v>
      </c>
    </row>
    <row r="19226" spans="1:5">
      <c r="A19226" t="s">
        <v>45832</v>
      </c>
      <c r="B19226" t="s">
        <v>17234</v>
      </c>
      <c r="C19226">
        <f>0</f>
        <v>0</v>
      </c>
      <c r="D19226">
        <v>0.68722592511900005</v>
      </c>
      <c r="E19226">
        <v>11.37</v>
      </c>
    </row>
    <row r="19227" spans="1:5">
      <c r="A19227" t="s">
        <v>45832</v>
      </c>
      <c r="B19227" t="s">
        <v>17237</v>
      </c>
      <c r="C19227">
        <v>0</v>
      </c>
      <c r="D19227">
        <v>0.68722592511900005</v>
      </c>
      <c r="E19227">
        <v>11.37</v>
      </c>
    </row>
    <row r="19228" spans="1:5">
      <c r="A19228" t="s">
        <v>45832</v>
      </c>
      <c r="B19228" t="s">
        <v>17238</v>
      </c>
      <c r="C19228">
        <f>0.277615925119</f>
        <v>0.27761592511900002</v>
      </c>
      <c r="D19228">
        <v>0.68722592511900005</v>
      </c>
      <c r="E19228">
        <v>11.37</v>
      </c>
    </row>
    <row r="19229" spans="1:5">
      <c r="A19229" t="s">
        <v>45832</v>
      </c>
      <c r="B19229" t="s">
        <v>17231</v>
      </c>
      <c r="C19229">
        <f>0</f>
        <v>0</v>
      </c>
      <c r="D19229">
        <v>0.68722592511900005</v>
      </c>
      <c r="E19229">
        <v>11.37</v>
      </c>
    </row>
    <row r="19230" spans="1:5">
      <c r="A19230" t="s">
        <v>45832</v>
      </c>
      <c r="B19230" t="s">
        <v>17228</v>
      </c>
      <c r="C19230">
        <v>0</v>
      </c>
      <c r="D19230">
        <v>0.68722592511900005</v>
      </c>
      <c r="E19230">
        <v>11.37</v>
      </c>
    </row>
    <row r="19231" spans="1:5">
      <c r="A19231" t="s">
        <v>45833</v>
      </c>
      <c r="B19231" t="s">
        <v>12070</v>
      </c>
      <c r="C19231">
        <v>0</v>
      </c>
      <c r="D19231" t="s">
        <v>106</v>
      </c>
      <c r="E19231">
        <v>7.3319999999999999</v>
      </c>
    </row>
    <row r="19232" spans="1:5">
      <c r="A19232" t="s">
        <v>45833</v>
      </c>
      <c r="B19232" t="s">
        <v>12073</v>
      </c>
      <c r="C19232">
        <v>0</v>
      </c>
      <c r="D19232" t="s">
        <v>106</v>
      </c>
      <c r="E19232">
        <v>7.3319999999999999</v>
      </c>
    </row>
    <row r="19233" spans="1:5">
      <c r="A19233" t="s">
        <v>45833</v>
      </c>
      <c r="B19233" t="s">
        <v>12072</v>
      </c>
      <c r="C19233">
        <v>0</v>
      </c>
      <c r="D19233" t="s">
        <v>106</v>
      </c>
      <c r="E19233">
        <v>7.3319999999999999</v>
      </c>
    </row>
    <row r="19234" spans="1:5">
      <c r="A19234" t="s">
        <v>45833</v>
      </c>
      <c r="B19234" t="s">
        <v>12077</v>
      </c>
      <c r="C19234">
        <f>0</f>
        <v>0</v>
      </c>
      <c r="D19234" t="s">
        <v>106</v>
      </c>
      <c r="E19234">
        <v>7.3319999999999999</v>
      </c>
    </row>
    <row r="19235" spans="1:5">
      <c r="A19235" t="s">
        <v>45833</v>
      </c>
      <c r="B19235" t="s">
        <v>12076</v>
      </c>
      <c r="C19235">
        <v>0</v>
      </c>
      <c r="D19235" t="s">
        <v>106</v>
      </c>
      <c r="E19235">
        <v>7.3319999999999999</v>
      </c>
    </row>
    <row r="19236" spans="1:5">
      <c r="A19236" t="s">
        <v>45833</v>
      </c>
      <c r="B19236" t="s">
        <v>12075</v>
      </c>
      <c r="C19236">
        <v>0</v>
      </c>
      <c r="D19236" t="s">
        <v>106</v>
      </c>
      <c r="E19236">
        <v>7.3319999999999999</v>
      </c>
    </row>
    <row r="19237" spans="1:5">
      <c r="A19237" t="s">
        <v>45833</v>
      </c>
      <c r="B19237" t="s">
        <v>12071</v>
      </c>
      <c r="C19237">
        <v>0</v>
      </c>
      <c r="D19237" t="s">
        <v>106</v>
      </c>
      <c r="E19237">
        <v>7.3319999999999999</v>
      </c>
    </row>
    <row r="19238" spans="1:5">
      <c r="A19238" t="s">
        <v>45834</v>
      </c>
      <c r="B19238" t="s">
        <v>45835</v>
      </c>
      <c r="C19238">
        <v>0.26198510408699999</v>
      </c>
      <c r="D19238">
        <v>0.89939676269199997</v>
      </c>
      <c r="E19238">
        <v>6.06</v>
      </c>
    </row>
    <row r="19239" spans="1:5">
      <c r="A19239" t="s">
        <v>45834</v>
      </c>
      <c r="B19239" t="s">
        <v>45836</v>
      </c>
      <c r="C19239">
        <v>0.62325868880599999</v>
      </c>
      <c r="D19239">
        <v>0.89939676269199997</v>
      </c>
      <c r="E19239">
        <v>6.06</v>
      </c>
    </row>
    <row r="19240" spans="1:5">
      <c r="A19240" t="s">
        <v>45834</v>
      </c>
      <c r="B19240" t="s">
        <v>45837</v>
      </c>
      <c r="C19240">
        <v>0.32418413144899999</v>
      </c>
      <c r="D19240">
        <v>0.89939676269199997</v>
      </c>
      <c r="E19240">
        <v>6.06</v>
      </c>
    </row>
    <row r="19241" spans="1:5">
      <c r="A19241" t="s">
        <v>45838</v>
      </c>
      <c r="B19241" t="s">
        <v>18204</v>
      </c>
      <c r="C19241">
        <f>0</f>
        <v>0</v>
      </c>
      <c r="D19241" t="s">
        <v>106</v>
      </c>
      <c r="E19241">
        <v>10.242000000000001</v>
      </c>
    </row>
    <row r="19242" spans="1:5">
      <c r="A19242" t="s">
        <v>45838</v>
      </c>
      <c r="B19242" t="s">
        <v>18206</v>
      </c>
      <c r="C19242">
        <v>0</v>
      </c>
      <c r="D19242" t="s">
        <v>106</v>
      </c>
      <c r="E19242">
        <v>10.242000000000001</v>
      </c>
    </row>
    <row r="19243" spans="1:5">
      <c r="A19243" t="s">
        <v>45838</v>
      </c>
      <c r="B19243" t="s">
        <v>18203</v>
      </c>
      <c r="C19243">
        <f>0</f>
        <v>0</v>
      </c>
      <c r="D19243" t="s">
        <v>106</v>
      </c>
      <c r="E19243">
        <v>10.242000000000001</v>
      </c>
    </row>
    <row r="19244" spans="1:5">
      <c r="A19244" t="s">
        <v>45838</v>
      </c>
      <c r="B19244" t="s">
        <v>18207</v>
      </c>
      <c r="C19244">
        <f>0</f>
        <v>0</v>
      </c>
      <c r="D19244" t="s">
        <v>106</v>
      </c>
      <c r="E19244">
        <v>10.242000000000001</v>
      </c>
    </row>
    <row r="19245" spans="1:5">
      <c r="A19245" t="s">
        <v>45838</v>
      </c>
      <c r="B19245" t="s">
        <v>18205</v>
      </c>
      <c r="C19245">
        <f>0</f>
        <v>0</v>
      </c>
      <c r="D19245" t="s">
        <v>106</v>
      </c>
      <c r="E19245">
        <v>10.242000000000001</v>
      </c>
    </row>
    <row r="19246" spans="1:5">
      <c r="A19246" t="s">
        <v>45839</v>
      </c>
      <c r="B19246" t="s">
        <v>45840</v>
      </c>
      <c r="C19246">
        <v>0.34173347236599999</v>
      </c>
      <c r="D19246">
        <v>0.85459789793499996</v>
      </c>
      <c r="E19246">
        <v>3.0539999999999998</v>
      </c>
    </row>
    <row r="19247" spans="1:5">
      <c r="A19247" t="s">
        <v>45839</v>
      </c>
      <c r="B19247" t="s">
        <v>45841</v>
      </c>
      <c r="C19247">
        <v>0</v>
      </c>
      <c r="D19247">
        <v>0.85459789793499996</v>
      </c>
      <c r="E19247">
        <v>3.0539999999999998</v>
      </c>
    </row>
    <row r="19248" spans="1:5">
      <c r="A19248" t="s">
        <v>45839</v>
      </c>
      <c r="B19248" t="s">
        <v>45842</v>
      </c>
      <c r="C19248">
        <v>0</v>
      </c>
      <c r="D19248">
        <v>0.85459789793499996</v>
      </c>
      <c r="E19248">
        <v>3.0539999999999998</v>
      </c>
    </row>
    <row r="19249" spans="1:5">
      <c r="A19249" t="s">
        <v>45839</v>
      </c>
      <c r="B19249" t="s">
        <v>45843</v>
      </c>
      <c r="C19249">
        <v>0.27605682274499999</v>
      </c>
      <c r="D19249">
        <v>0.85459789793499996</v>
      </c>
      <c r="E19249">
        <v>3.0539999999999998</v>
      </c>
    </row>
    <row r="19250" spans="1:5">
      <c r="A19250" t="s">
        <v>45839</v>
      </c>
      <c r="B19250" t="s">
        <v>45844</v>
      </c>
      <c r="C19250">
        <f>0</f>
        <v>0</v>
      </c>
      <c r="D19250">
        <v>0.85459789793499996</v>
      </c>
      <c r="E19250">
        <v>3.0539999999999998</v>
      </c>
    </row>
    <row r="19251" spans="1:5">
      <c r="A19251" t="s">
        <v>45845</v>
      </c>
      <c r="B19251" t="s">
        <v>45846</v>
      </c>
      <c r="C19251">
        <v>0.60027130844999999</v>
      </c>
      <c r="D19251">
        <v>0.83889234108300004</v>
      </c>
      <c r="E19251">
        <v>0</v>
      </c>
    </row>
    <row r="19252" spans="1:5">
      <c r="A19252" t="s">
        <v>45845</v>
      </c>
      <c r="B19252" t="s">
        <v>45847</v>
      </c>
      <c r="C19252">
        <v>0.43956899742400002</v>
      </c>
      <c r="D19252">
        <v>0.83889234108300004</v>
      </c>
      <c r="E19252">
        <v>0</v>
      </c>
    </row>
    <row r="19253" spans="1:5">
      <c r="A19253" t="s">
        <v>45848</v>
      </c>
      <c r="B19253" t="s">
        <v>23907</v>
      </c>
      <c r="C19253">
        <f>0</f>
        <v>0</v>
      </c>
      <c r="D19253">
        <v>0.76433778053300006</v>
      </c>
      <c r="E19253">
        <v>0</v>
      </c>
    </row>
    <row r="19254" spans="1:5">
      <c r="A19254" t="s">
        <v>45848</v>
      </c>
      <c r="B19254" t="s">
        <v>23908</v>
      </c>
      <c r="C19254">
        <f>0.493927780533</f>
        <v>0.49392778053300002</v>
      </c>
      <c r="D19254">
        <v>0.76433778053300006</v>
      </c>
      <c r="E19254">
        <v>0</v>
      </c>
    </row>
    <row r="19255" spans="1:5">
      <c r="A19255" t="s">
        <v>45848</v>
      </c>
      <c r="B19255" t="s">
        <v>23909</v>
      </c>
      <c r="C19255">
        <f>0</f>
        <v>0</v>
      </c>
      <c r="D19255">
        <v>0.76433778053300006</v>
      </c>
      <c r="E19255">
        <v>0</v>
      </c>
    </row>
    <row r="19256" spans="1:5">
      <c r="A19256" t="s">
        <v>45849</v>
      </c>
      <c r="B19256" t="s">
        <v>20353</v>
      </c>
      <c r="C19256">
        <v>0</v>
      </c>
      <c r="D19256">
        <v>0.87320504629399998</v>
      </c>
      <c r="E19256">
        <v>3.1379999999999999</v>
      </c>
    </row>
    <row r="19257" spans="1:5">
      <c r="A19257" t="s">
        <v>45849</v>
      </c>
      <c r="B19257" t="s">
        <v>20354</v>
      </c>
      <c r="C19257">
        <v>0</v>
      </c>
      <c r="D19257">
        <v>0.87320504629399998</v>
      </c>
      <c r="E19257">
        <v>3.1379999999999999</v>
      </c>
    </row>
    <row r="19258" spans="1:5">
      <c r="A19258" t="s">
        <v>45849</v>
      </c>
      <c r="B19258" t="s">
        <v>20349</v>
      </c>
      <c r="C19258">
        <f>0.197179340472</f>
        <v>0.197179340472</v>
      </c>
      <c r="D19258">
        <v>0.87320504629399998</v>
      </c>
      <c r="E19258">
        <v>3.1379999999999999</v>
      </c>
    </row>
    <row r="19259" spans="1:5">
      <c r="A19259" t="s">
        <v>45849</v>
      </c>
      <c r="B19259" t="s">
        <v>20352</v>
      </c>
      <c r="C19259">
        <f>0.532715736067</f>
        <v>0.53271573606699996</v>
      </c>
      <c r="D19259">
        <v>0.87320504629399998</v>
      </c>
      <c r="E19259">
        <v>3.1379999999999999</v>
      </c>
    </row>
    <row r="19260" spans="1:5">
      <c r="A19260" t="s">
        <v>45850</v>
      </c>
      <c r="B19260" t="s">
        <v>12483</v>
      </c>
      <c r="C19260">
        <f>0.857735925336</f>
        <v>0.85773592533599996</v>
      </c>
      <c r="D19260">
        <v>0.88056891228199996</v>
      </c>
      <c r="E19260">
        <v>24</v>
      </c>
    </row>
    <row r="19261" spans="1:5">
      <c r="A19261" t="s">
        <v>45850</v>
      </c>
      <c r="B19261" t="s">
        <v>12481</v>
      </c>
      <c r="C19261">
        <f>0.0766019103149</f>
        <v>7.6601910314900004E-2</v>
      </c>
      <c r="D19261">
        <v>0.88056891228199996</v>
      </c>
      <c r="E19261">
        <v>24</v>
      </c>
    </row>
    <row r="19262" spans="1:5">
      <c r="A19262" t="s">
        <v>45851</v>
      </c>
      <c r="B19262" t="s">
        <v>18120</v>
      </c>
      <c r="C19262">
        <v>0</v>
      </c>
      <c r="D19262" t="s">
        <v>106</v>
      </c>
      <c r="E19262">
        <v>4.5839999999999996</v>
      </c>
    </row>
    <row r="19263" spans="1:5">
      <c r="A19263" t="s">
        <v>45851</v>
      </c>
      <c r="B19263" t="s">
        <v>18124</v>
      </c>
      <c r="C19263">
        <v>0</v>
      </c>
      <c r="D19263" t="s">
        <v>106</v>
      </c>
      <c r="E19263">
        <v>4.5839999999999996</v>
      </c>
    </row>
    <row r="19264" spans="1:5">
      <c r="A19264" t="s">
        <v>45852</v>
      </c>
      <c r="B19264" t="s">
        <v>822</v>
      </c>
      <c r="C19264">
        <f>0</f>
        <v>0</v>
      </c>
      <c r="D19264">
        <v>0.61864557545900001</v>
      </c>
      <c r="E19264">
        <v>0</v>
      </c>
    </row>
    <row r="19265" spans="1:5">
      <c r="A19265" t="s">
        <v>45852</v>
      </c>
      <c r="B19265" t="s">
        <v>823</v>
      </c>
      <c r="C19265">
        <v>0.388235575459</v>
      </c>
      <c r="D19265">
        <v>0.61864557545900001</v>
      </c>
      <c r="E19265">
        <v>0</v>
      </c>
    </row>
    <row r="19266" spans="1:5">
      <c r="A19266" t="s">
        <v>45853</v>
      </c>
      <c r="B19266" t="s">
        <v>45854</v>
      </c>
      <c r="C19266">
        <v>0</v>
      </c>
      <c r="D19266">
        <v>0.94105724249800005</v>
      </c>
      <c r="E19266">
        <v>1.3380000000000001</v>
      </c>
    </row>
    <row r="19267" spans="1:5">
      <c r="A19267" t="s">
        <v>45853</v>
      </c>
      <c r="B19267" t="s">
        <v>45855</v>
      </c>
      <c r="C19267">
        <v>2.0014122002899998E-2</v>
      </c>
      <c r="D19267">
        <v>0.94105724249800005</v>
      </c>
      <c r="E19267">
        <v>1.3380000000000001</v>
      </c>
    </row>
    <row r="19268" spans="1:5">
      <c r="A19268" t="s">
        <v>45853</v>
      </c>
      <c r="B19268" t="s">
        <v>45856</v>
      </c>
      <c r="C19268">
        <f>0.244344746643</f>
        <v>0.24434474664299999</v>
      </c>
      <c r="D19268">
        <v>0.94105724249800005</v>
      </c>
      <c r="E19268">
        <v>1.3380000000000001</v>
      </c>
    </row>
    <row r="19269" spans="1:5">
      <c r="A19269" t="s">
        <v>45853</v>
      </c>
      <c r="B19269" t="s">
        <v>45857</v>
      </c>
      <c r="C19269">
        <f>0</f>
        <v>0</v>
      </c>
      <c r="D19269">
        <v>0.94105724249800005</v>
      </c>
      <c r="E19269">
        <v>1.3380000000000001</v>
      </c>
    </row>
    <row r="19270" spans="1:5">
      <c r="A19270" t="s">
        <v>45853</v>
      </c>
      <c r="B19270" t="s">
        <v>45858</v>
      </c>
      <c r="C19270">
        <v>0.109708477966</v>
      </c>
      <c r="D19270">
        <v>0.94105724249800005</v>
      </c>
      <c r="E19270">
        <v>1.3380000000000001</v>
      </c>
    </row>
    <row r="19271" spans="1:5">
      <c r="A19271" t="s">
        <v>45853</v>
      </c>
      <c r="B19271" t="s">
        <v>45859</v>
      </c>
      <c r="C19271">
        <v>0</v>
      </c>
      <c r="D19271">
        <v>0.94105724249800005</v>
      </c>
      <c r="E19271">
        <v>1.3380000000000001</v>
      </c>
    </row>
    <row r="19272" spans="1:5">
      <c r="A19272" t="s">
        <v>45853</v>
      </c>
      <c r="B19272" t="s">
        <v>45860</v>
      </c>
      <c r="C19272">
        <f>0.763701188646</f>
        <v>0.76370118864600001</v>
      </c>
      <c r="D19272">
        <v>0.94105724249800005</v>
      </c>
      <c r="E19272">
        <v>1.3380000000000001</v>
      </c>
    </row>
    <row r="19273" spans="1:5">
      <c r="A19273" t="s">
        <v>45853</v>
      </c>
      <c r="B19273" t="s">
        <v>45861</v>
      </c>
      <c r="C19273">
        <f>0</f>
        <v>0</v>
      </c>
      <c r="D19273">
        <v>0.94105724249800005</v>
      </c>
      <c r="E19273">
        <v>1.3380000000000001</v>
      </c>
    </row>
    <row r="19274" spans="1:5">
      <c r="A19274" t="s">
        <v>45862</v>
      </c>
      <c r="B19274" t="s">
        <v>28069</v>
      </c>
      <c r="C19274">
        <v>0.78671951480900004</v>
      </c>
      <c r="D19274">
        <v>0.93686142161399999</v>
      </c>
      <c r="E19274">
        <v>8.2919999999999998</v>
      </c>
    </row>
    <row r="19275" spans="1:5">
      <c r="A19275" t="s">
        <v>45862</v>
      </c>
      <c r="B19275" t="s">
        <v>28072</v>
      </c>
      <c r="C19275">
        <f>0</f>
        <v>0</v>
      </c>
      <c r="D19275">
        <v>0.93686142161399999</v>
      </c>
      <c r="E19275">
        <v>8.2919999999999998</v>
      </c>
    </row>
    <row r="19276" spans="1:5">
      <c r="A19276" t="s">
        <v>45862</v>
      </c>
      <c r="B19276" t="s">
        <v>28068</v>
      </c>
      <c r="C19276">
        <f>0.22442361949</f>
        <v>0.22442361949</v>
      </c>
      <c r="D19276">
        <v>0.93686142161399999</v>
      </c>
      <c r="E19276">
        <v>8.2919999999999998</v>
      </c>
    </row>
    <row r="19277" spans="1:5">
      <c r="A19277" t="s">
        <v>45862</v>
      </c>
      <c r="B19277" t="s">
        <v>28073</v>
      </c>
      <c r="C19277">
        <v>0</v>
      </c>
      <c r="D19277">
        <v>0.93686142161399999</v>
      </c>
      <c r="E19277">
        <v>8.2919999999999998</v>
      </c>
    </row>
    <row r="19278" spans="1:5">
      <c r="A19278" t="s">
        <v>45862</v>
      </c>
      <c r="B19278" t="s">
        <v>28075</v>
      </c>
      <c r="C19278">
        <v>0</v>
      </c>
      <c r="D19278">
        <v>0.93686142161399999</v>
      </c>
      <c r="E19278">
        <v>8.2919999999999998</v>
      </c>
    </row>
    <row r="19279" spans="1:5">
      <c r="A19279" t="s">
        <v>45863</v>
      </c>
      <c r="B19279" t="s">
        <v>13134</v>
      </c>
      <c r="C19279">
        <v>7.3039693181399995E-2</v>
      </c>
      <c r="D19279">
        <v>0.98541278384300002</v>
      </c>
      <c r="E19279">
        <v>24</v>
      </c>
    </row>
    <row r="19280" spans="1:5">
      <c r="A19280" t="s">
        <v>45863</v>
      </c>
      <c r="B19280" t="s">
        <v>13136</v>
      </c>
      <c r="C19280">
        <v>0</v>
      </c>
      <c r="D19280">
        <v>0.98541278384300002</v>
      </c>
      <c r="E19280">
        <v>24</v>
      </c>
    </row>
    <row r="19281" spans="1:5">
      <c r="A19281" t="s">
        <v>45863</v>
      </c>
      <c r="B19281" t="s">
        <v>13138</v>
      </c>
      <c r="C19281">
        <f>0.752135787481</f>
        <v>0.75213578748099996</v>
      </c>
      <c r="D19281">
        <v>0.98541278384300002</v>
      </c>
      <c r="E19281">
        <v>24</v>
      </c>
    </row>
    <row r="19282" spans="1:5">
      <c r="A19282" t="s">
        <v>45863</v>
      </c>
      <c r="B19282" t="s">
        <v>13137</v>
      </c>
      <c r="C19282">
        <f>0.185145504976</f>
        <v>0.18514550497599999</v>
      </c>
      <c r="D19282">
        <v>0.98541278384300002</v>
      </c>
      <c r="E19282">
        <v>24</v>
      </c>
    </row>
    <row r="19283" spans="1:5">
      <c r="A19283" t="s">
        <v>45863</v>
      </c>
      <c r="B19283" t="s">
        <v>13139</v>
      </c>
      <c r="C19283">
        <v>0.704660183878</v>
      </c>
      <c r="D19283">
        <v>0.98541278384300002</v>
      </c>
      <c r="E19283">
        <v>24</v>
      </c>
    </row>
    <row r="19284" spans="1:5">
      <c r="A19284" t="s">
        <v>45863</v>
      </c>
      <c r="B19284" t="s">
        <v>13133</v>
      </c>
      <c r="C19284">
        <f>0.0596195011574</f>
        <v>5.9619501157400001E-2</v>
      </c>
      <c r="D19284">
        <v>0.98541278384300002</v>
      </c>
      <c r="E19284">
        <v>24</v>
      </c>
    </row>
    <row r="19285" spans="1:5">
      <c r="A19285" t="s">
        <v>45864</v>
      </c>
      <c r="B19285" t="s">
        <v>19062</v>
      </c>
      <c r="C19285">
        <v>0</v>
      </c>
      <c r="D19285">
        <v>0.74002870159599998</v>
      </c>
      <c r="E19285">
        <v>4.4820000000000002</v>
      </c>
    </row>
    <row r="19286" spans="1:5">
      <c r="A19286" t="s">
        <v>45864</v>
      </c>
      <c r="B19286" t="s">
        <v>19059</v>
      </c>
      <c r="C19286">
        <v>0</v>
      </c>
      <c r="D19286">
        <v>0.74002870159599998</v>
      </c>
      <c r="E19286">
        <v>4.4820000000000002</v>
      </c>
    </row>
    <row r="19287" spans="1:5">
      <c r="A19287" t="s">
        <v>45864</v>
      </c>
      <c r="B19287" t="s">
        <v>19068</v>
      </c>
      <c r="C19287">
        <v>0</v>
      </c>
      <c r="D19287">
        <v>0.74002870159599998</v>
      </c>
      <c r="E19287">
        <v>4.4820000000000002</v>
      </c>
    </row>
    <row r="19288" spans="1:5">
      <c r="A19288" t="s">
        <v>45864</v>
      </c>
      <c r="B19288" t="s">
        <v>19070</v>
      </c>
      <c r="C19288">
        <v>0</v>
      </c>
      <c r="D19288">
        <v>0.74002870159599998</v>
      </c>
      <c r="E19288">
        <v>4.4820000000000002</v>
      </c>
    </row>
    <row r="19289" spans="1:5">
      <c r="A19289" t="s">
        <v>45864</v>
      </c>
      <c r="B19289" t="s">
        <v>19071</v>
      </c>
      <c r="C19289">
        <v>0</v>
      </c>
      <c r="D19289">
        <v>0.74002870159599998</v>
      </c>
      <c r="E19289">
        <v>4.4820000000000002</v>
      </c>
    </row>
    <row r="19290" spans="1:5">
      <c r="A19290" t="s">
        <v>45864</v>
      </c>
      <c r="B19290" t="s">
        <v>19066</v>
      </c>
      <c r="C19290">
        <v>0.41308770422699997</v>
      </c>
      <c r="D19290">
        <v>0.74002870159599998</v>
      </c>
      <c r="E19290">
        <v>4.4820000000000002</v>
      </c>
    </row>
    <row r="19291" spans="1:5">
      <c r="A19291" t="s">
        <v>45864</v>
      </c>
      <c r="B19291" t="s">
        <v>19064</v>
      </c>
      <c r="C19291">
        <v>0.106423643444</v>
      </c>
      <c r="D19291">
        <v>0.74002870159599998</v>
      </c>
      <c r="E19291">
        <v>4.4820000000000002</v>
      </c>
    </row>
    <row r="19292" spans="1:5">
      <c r="A19292" t="s">
        <v>45864</v>
      </c>
      <c r="B19292" t="s">
        <v>19067</v>
      </c>
      <c r="C19292">
        <v>0</v>
      </c>
      <c r="D19292">
        <v>0.74002870159599998</v>
      </c>
      <c r="E19292">
        <v>4.4820000000000002</v>
      </c>
    </row>
    <row r="19293" spans="1:5">
      <c r="A19293" t="s">
        <v>45864</v>
      </c>
      <c r="B19293" t="s">
        <v>19061</v>
      </c>
      <c r="C19293">
        <v>0</v>
      </c>
      <c r="D19293">
        <v>0.74002870159599998</v>
      </c>
      <c r="E19293">
        <v>4.4820000000000002</v>
      </c>
    </row>
    <row r="19294" spans="1:5">
      <c r="A19294" t="s">
        <v>45864</v>
      </c>
      <c r="B19294" t="s">
        <v>19069</v>
      </c>
      <c r="C19294">
        <v>0</v>
      </c>
      <c r="D19294">
        <v>0.74002870159599998</v>
      </c>
      <c r="E19294">
        <v>4.4820000000000002</v>
      </c>
    </row>
    <row r="19295" spans="1:5">
      <c r="A19295" t="s">
        <v>45865</v>
      </c>
      <c r="B19295" t="s">
        <v>45866</v>
      </c>
      <c r="C19295">
        <v>0</v>
      </c>
      <c r="D19295">
        <v>0.88182032334399996</v>
      </c>
      <c r="E19295">
        <v>23.04</v>
      </c>
    </row>
    <row r="19296" spans="1:5">
      <c r="A19296" t="s">
        <v>45865</v>
      </c>
      <c r="B19296" t="s">
        <v>45867</v>
      </c>
      <c r="C19296">
        <v>0.92176363258100003</v>
      </c>
      <c r="D19296">
        <v>0.88182032334399996</v>
      </c>
      <c r="E19296">
        <v>23.04</v>
      </c>
    </row>
    <row r="19297" spans="1:5">
      <c r="A19297" t="s">
        <v>45865</v>
      </c>
      <c r="B19297" t="s">
        <v>45868</v>
      </c>
      <c r="C19297">
        <f>0.207349760658</f>
        <v>0.20734976065800001</v>
      </c>
      <c r="D19297">
        <v>0.88182032334399996</v>
      </c>
      <c r="E19297">
        <v>23.04</v>
      </c>
    </row>
    <row r="19298" spans="1:5">
      <c r="A19298" t="s">
        <v>45865</v>
      </c>
      <c r="B19298" t="s">
        <v>45869</v>
      </c>
      <c r="C19298">
        <f>0.439561615411</f>
        <v>0.43956161541099997</v>
      </c>
      <c r="D19298">
        <v>0.88182032334399996</v>
      </c>
      <c r="E19298">
        <v>23.04</v>
      </c>
    </row>
    <row r="19299" spans="1:5">
      <c r="A19299" t="s">
        <v>45870</v>
      </c>
      <c r="B19299" t="s">
        <v>14656</v>
      </c>
      <c r="C19299">
        <f>0.0300959461062</f>
        <v>3.0095946106199999E-2</v>
      </c>
      <c r="D19299">
        <v>0.99998558247199998</v>
      </c>
      <c r="E19299">
        <v>6.06</v>
      </c>
    </row>
    <row r="19300" spans="1:5">
      <c r="A19300" t="s">
        <v>45870</v>
      </c>
      <c r="B19300" t="s">
        <v>14665</v>
      </c>
      <c r="C19300">
        <v>0.15650790117800001</v>
      </c>
      <c r="D19300">
        <v>0.99998558247199998</v>
      </c>
      <c r="E19300">
        <v>6.06</v>
      </c>
    </row>
    <row r="19301" spans="1:5">
      <c r="A19301" t="s">
        <v>45870</v>
      </c>
      <c r="B19301" t="s">
        <v>14669</v>
      </c>
      <c r="C19301">
        <v>0.17693824604799999</v>
      </c>
      <c r="D19301">
        <v>0.99998558247199998</v>
      </c>
      <c r="E19301">
        <v>6.06</v>
      </c>
    </row>
    <row r="19302" spans="1:5">
      <c r="A19302" t="s">
        <v>45870</v>
      </c>
      <c r="B19302" t="s">
        <v>14663</v>
      </c>
      <c r="C19302">
        <v>0.89105938550200003</v>
      </c>
      <c r="D19302">
        <v>0.99998558247199998</v>
      </c>
      <c r="E19302">
        <v>6.06</v>
      </c>
    </row>
    <row r="19303" spans="1:5">
      <c r="A19303" t="s">
        <v>45870</v>
      </c>
      <c r="B19303" t="s">
        <v>14664</v>
      </c>
      <c r="C19303">
        <v>0.36564878117100003</v>
      </c>
      <c r="D19303">
        <v>0.99998558247199998</v>
      </c>
      <c r="E19303">
        <v>6.06</v>
      </c>
    </row>
    <row r="19304" spans="1:5">
      <c r="A19304" t="s">
        <v>45870</v>
      </c>
      <c r="B19304" t="s">
        <v>14667</v>
      </c>
      <c r="C19304">
        <f>0.231102831472</f>
        <v>0.231102831472</v>
      </c>
      <c r="D19304">
        <v>0.99998558247199998</v>
      </c>
      <c r="E19304">
        <v>6.06</v>
      </c>
    </row>
    <row r="19305" spans="1:5">
      <c r="A19305" t="s">
        <v>45870</v>
      </c>
      <c r="B19305" t="s">
        <v>14660</v>
      </c>
      <c r="C19305">
        <f>0.69115483296</f>
        <v>0.69115483296000002</v>
      </c>
      <c r="D19305">
        <v>0.99998558247199998</v>
      </c>
      <c r="E19305">
        <v>6.06</v>
      </c>
    </row>
    <row r="19306" spans="1:5">
      <c r="A19306" t="s">
        <v>45870</v>
      </c>
      <c r="B19306" t="s">
        <v>14661</v>
      </c>
      <c r="C19306">
        <v>0</v>
      </c>
      <c r="D19306">
        <v>0.99998558247199998</v>
      </c>
      <c r="E19306">
        <v>6.06</v>
      </c>
    </row>
    <row r="19307" spans="1:5">
      <c r="A19307" t="s">
        <v>45870</v>
      </c>
      <c r="B19307" t="s">
        <v>14666</v>
      </c>
      <c r="C19307">
        <f>-1.07562938762</f>
        <v>-1.07562938762</v>
      </c>
      <c r="D19307">
        <v>0.99998558247199998</v>
      </c>
      <c r="E19307">
        <v>6.06</v>
      </c>
    </row>
    <row r="19308" spans="1:5">
      <c r="A19308" t="s">
        <v>45870</v>
      </c>
      <c r="B19308" t="s">
        <v>14670</v>
      </c>
      <c r="C19308">
        <f>0</f>
        <v>0</v>
      </c>
      <c r="D19308">
        <v>0.99998558247199998</v>
      </c>
      <c r="E19308">
        <v>6.06</v>
      </c>
    </row>
    <row r="19309" spans="1:5">
      <c r="A19309" t="s">
        <v>45870</v>
      </c>
      <c r="B19309" t="s">
        <v>14668</v>
      </c>
      <c r="C19309">
        <v>0</v>
      </c>
      <c r="D19309">
        <v>0.99998558247199998</v>
      </c>
      <c r="E19309">
        <v>6.06</v>
      </c>
    </row>
    <row r="19310" spans="1:5">
      <c r="A19310" t="s">
        <v>45871</v>
      </c>
      <c r="B19310" t="s">
        <v>15071</v>
      </c>
      <c r="C19310">
        <v>0</v>
      </c>
      <c r="D19310">
        <v>0.99996576588399999</v>
      </c>
      <c r="E19310">
        <v>24</v>
      </c>
    </row>
    <row r="19311" spans="1:5">
      <c r="A19311" t="s">
        <v>45871</v>
      </c>
      <c r="B19311" t="s">
        <v>15073</v>
      </c>
      <c r="C19311">
        <f>0.535337604238</f>
        <v>0.53533760423800003</v>
      </c>
      <c r="D19311">
        <v>0.99996576588399999</v>
      </c>
      <c r="E19311">
        <v>24</v>
      </c>
    </row>
    <row r="19312" spans="1:5">
      <c r="A19312" t="s">
        <v>45871</v>
      </c>
      <c r="B19312" t="s">
        <v>15076</v>
      </c>
      <c r="C19312">
        <v>0</v>
      </c>
      <c r="D19312">
        <v>0.99996576588399999</v>
      </c>
      <c r="E19312">
        <v>24</v>
      </c>
    </row>
    <row r="19313" spans="1:5">
      <c r="A19313" t="s">
        <v>45871</v>
      </c>
      <c r="B19313" t="s">
        <v>15079</v>
      </c>
      <c r="C19313">
        <f>0.615676680909</f>
        <v>0.61567668090899996</v>
      </c>
      <c r="D19313">
        <v>0.99996576588399999</v>
      </c>
      <c r="E19313">
        <v>24</v>
      </c>
    </row>
    <row r="19314" spans="1:5">
      <c r="A19314" t="s">
        <v>45871</v>
      </c>
      <c r="B19314" t="s">
        <v>15072</v>
      </c>
      <c r="C19314">
        <f>0</f>
        <v>0</v>
      </c>
      <c r="D19314">
        <v>0.99996576588399999</v>
      </c>
      <c r="E19314">
        <v>24</v>
      </c>
    </row>
    <row r="19315" spans="1:5">
      <c r="A19315" t="s">
        <v>45871</v>
      </c>
      <c r="B19315" t="s">
        <v>15069</v>
      </c>
      <c r="C19315">
        <f>0.393277950613</f>
        <v>0.39327795061300003</v>
      </c>
      <c r="D19315">
        <v>0.99996576588399999</v>
      </c>
      <c r="E19315">
        <v>24</v>
      </c>
    </row>
    <row r="19316" spans="1:5">
      <c r="A19316" t="s">
        <v>45871</v>
      </c>
      <c r="B19316" t="s">
        <v>15077</v>
      </c>
      <c r="C19316">
        <v>0.71057873517000003</v>
      </c>
      <c r="D19316">
        <v>0.99996576588399999</v>
      </c>
      <c r="E19316">
        <v>24</v>
      </c>
    </row>
    <row r="19317" spans="1:5">
      <c r="A19317" t="s">
        <v>45871</v>
      </c>
      <c r="B19317" t="s">
        <v>15070</v>
      </c>
      <c r="C19317">
        <v>0</v>
      </c>
      <c r="D19317">
        <v>0.99996576588399999</v>
      </c>
      <c r="E19317">
        <v>24</v>
      </c>
    </row>
    <row r="19318" spans="1:5">
      <c r="A19318" t="s">
        <v>45871</v>
      </c>
      <c r="B19318" t="s">
        <v>15078</v>
      </c>
      <c r="C19318">
        <v>3.2490316110099997E-2</v>
      </c>
      <c r="D19318">
        <v>0.99996576588399999</v>
      </c>
      <c r="E19318">
        <v>24</v>
      </c>
    </row>
    <row r="19319" spans="1:5">
      <c r="A19319" t="s">
        <v>45871</v>
      </c>
      <c r="B19319" t="s">
        <v>15074</v>
      </c>
      <c r="C19319">
        <f>0.295639137039</f>
        <v>0.29563913703900002</v>
      </c>
      <c r="D19319">
        <v>0.99996576588399999</v>
      </c>
      <c r="E19319">
        <v>24</v>
      </c>
    </row>
    <row r="19320" spans="1:5">
      <c r="A19320" t="s">
        <v>45871</v>
      </c>
      <c r="B19320" t="s">
        <v>45872</v>
      </c>
      <c r="C19320">
        <v>0.288327915898</v>
      </c>
      <c r="D19320">
        <v>0.99996576588399999</v>
      </c>
      <c r="E19320">
        <v>24</v>
      </c>
    </row>
    <row r="19321" spans="1:5">
      <c r="A19321" t="s">
        <v>45873</v>
      </c>
      <c r="B19321" t="s">
        <v>29130</v>
      </c>
      <c r="C19321">
        <v>0.52883702481299999</v>
      </c>
      <c r="D19321">
        <v>0.799997727007</v>
      </c>
      <c r="E19321">
        <v>1.3380000000000001</v>
      </c>
    </row>
    <row r="19322" spans="1:5">
      <c r="A19322" t="s">
        <v>45873</v>
      </c>
      <c r="B19322" t="s">
        <v>29133</v>
      </c>
      <c r="C19322">
        <v>0</v>
      </c>
      <c r="D19322">
        <v>0.799997727007</v>
      </c>
      <c r="E19322">
        <v>1.3380000000000001</v>
      </c>
    </row>
    <row r="19323" spans="1:5">
      <c r="A19323" t="s">
        <v>45873</v>
      </c>
      <c r="B19323" t="s">
        <v>29131</v>
      </c>
      <c r="C19323">
        <v>8.6985950718200002E-4</v>
      </c>
      <c r="D19323">
        <v>0.799997727007</v>
      </c>
      <c r="E19323">
        <v>1.3380000000000001</v>
      </c>
    </row>
    <row r="19324" spans="1:5">
      <c r="A19324" t="s">
        <v>45873</v>
      </c>
      <c r="B19324" t="s">
        <v>29134</v>
      </c>
      <c r="C19324">
        <v>0</v>
      </c>
      <c r="D19324">
        <v>0.799997727007</v>
      </c>
      <c r="E19324">
        <v>1.3380000000000001</v>
      </c>
    </row>
    <row r="19325" spans="1:5">
      <c r="A19325" t="s">
        <v>45873</v>
      </c>
      <c r="B19325" t="s">
        <v>29132</v>
      </c>
      <c r="C19325">
        <v>0</v>
      </c>
      <c r="D19325">
        <v>0.799997727007</v>
      </c>
      <c r="E19325">
        <v>1.3380000000000001</v>
      </c>
    </row>
    <row r="19326" spans="1:5">
      <c r="A19326" t="s">
        <v>45874</v>
      </c>
      <c r="B19326" t="s">
        <v>15334</v>
      </c>
      <c r="C19326">
        <v>9.1325651493300006E-2</v>
      </c>
      <c r="D19326">
        <v>0.85049634538800001</v>
      </c>
      <c r="E19326">
        <v>1.17</v>
      </c>
    </row>
    <row r="19327" spans="1:5">
      <c r="A19327" t="s">
        <v>45874</v>
      </c>
      <c r="B19327" t="s">
        <v>15335</v>
      </c>
      <c r="C19327">
        <v>0.75561150945300004</v>
      </c>
      <c r="D19327">
        <v>0.85049634538800001</v>
      </c>
      <c r="E19327">
        <v>1.17</v>
      </c>
    </row>
    <row r="19328" spans="1:5">
      <c r="A19328" t="s">
        <v>45874</v>
      </c>
      <c r="B19328" t="s">
        <v>15332</v>
      </c>
      <c r="C19328">
        <v>0</v>
      </c>
      <c r="D19328">
        <v>0.85049634538800001</v>
      </c>
      <c r="E19328">
        <v>1.17</v>
      </c>
    </row>
    <row r="19329" spans="1:5">
      <c r="A19329" t="s">
        <v>45874</v>
      </c>
      <c r="B19329" t="s">
        <v>15333</v>
      </c>
      <c r="C19329">
        <v>0</v>
      </c>
      <c r="D19329">
        <v>0.85049634538800001</v>
      </c>
      <c r="E19329">
        <v>1.17</v>
      </c>
    </row>
    <row r="19330" spans="1:5">
      <c r="A19330" t="s">
        <v>45875</v>
      </c>
      <c r="B19330" t="s">
        <v>14001</v>
      </c>
      <c r="C19330">
        <f>0</f>
        <v>0</v>
      </c>
      <c r="D19330" t="s">
        <v>106</v>
      </c>
      <c r="E19330">
        <v>17.718</v>
      </c>
    </row>
    <row r="19331" spans="1:5">
      <c r="A19331" t="s">
        <v>45875</v>
      </c>
      <c r="B19331" t="s">
        <v>14003</v>
      </c>
      <c r="C19331">
        <f>0</f>
        <v>0</v>
      </c>
      <c r="D19331" t="s">
        <v>106</v>
      </c>
      <c r="E19331">
        <v>17.718</v>
      </c>
    </row>
    <row r="19332" spans="1:5">
      <c r="A19332" t="s">
        <v>45875</v>
      </c>
      <c r="B19332" t="s">
        <v>14006</v>
      </c>
      <c r="C19332">
        <v>0</v>
      </c>
      <c r="D19332" t="s">
        <v>106</v>
      </c>
      <c r="E19332">
        <v>17.718</v>
      </c>
    </row>
    <row r="19333" spans="1:5">
      <c r="A19333" t="s">
        <v>45875</v>
      </c>
      <c r="B19333" t="s">
        <v>14002</v>
      </c>
      <c r="C19333">
        <f>0</f>
        <v>0</v>
      </c>
      <c r="D19333" t="s">
        <v>106</v>
      </c>
      <c r="E19333">
        <v>17.718</v>
      </c>
    </row>
    <row r="19334" spans="1:5">
      <c r="A19334" t="s">
        <v>45876</v>
      </c>
      <c r="B19334" t="s">
        <v>45877</v>
      </c>
      <c r="C19334">
        <v>0.29799614626900001</v>
      </c>
      <c r="D19334">
        <v>0.91019832245300003</v>
      </c>
      <c r="E19334">
        <v>9.468</v>
      </c>
    </row>
    <row r="19335" spans="1:5">
      <c r="A19335" t="s">
        <v>45876</v>
      </c>
      <c r="B19335" t="s">
        <v>45878</v>
      </c>
      <c r="C19335">
        <v>0</v>
      </c>
      <c r="D19335">
        <v>0.91019832245300003</v>
      </c>
      <c r="E19335">
        <v>9.468</v>
      </c>
    </row>
    <row r="19336" spans="1:5">
      <c r="A19336" t="s">
        <v>45876</v>
      </c>
      <c r="B19336" t="s">
        <v>45879</v>
      </c>
      <c r="C19336">
        <f>0</f>
        <v>0</v>
      </c>
      <c r="D19336">
        <v>0.91019832245300003</v>
      </c>
      <c r="E19336">
        <v>9.468</v>
      </c>
    </row>
    <row r="19337" spans="1:5">
      <c r="A19337" t="s">
        <v>45876</v>
      </c>
      <c r="B19337" t="s">
        <v>45880</v>
      </c>
      <c r="C19337">
        <v>0</v>
      </c>
      <c r="D19337">
        <v>0.91019832245300003</v>
      </c>
      <c r="E19337">
        <v>9.468</v>
      </c>
    </row>
    <row r="19338" spans="1:5">
      <c r="A19338" t="s">
        <v>45876</v>
      </c>
      <c r="B19338" t="s">
        <v>45881</v>
      </c>
      <c r="C19338">
        <f>0.362018985148</f>
        <v>0.36201898514800002</v>
      </c>
      <c r="D19338">
        <v>0.91019832245300003</v>
      </c>
      <c r="E19338">
        <v>9.468</v>
      </c>
    </row>
    <row r="19339" spans="1:5">
      <c r="A19339" t="s">
        <v>45876</v>
      </c>
      <c r="B19339" t="s">
        <v>45882</v>
      </c>
      <c r="C19339">
        <v>0</v>
      </c>
      <c r="D19339">
        <v>0.91019832245300003</v>
      </c>
      <c r="E19339">
        <v>9.468</v>
      </c>
    </row>
    <row r="19340" spans="1:5">
      <c r="A19340" t="s">
        <v>45876</v>
      </c>
      <c r="B19340" t="s">
        <v>45883</v>
      </c>
      <c r="C19340">
        <v>0</v>
      </c>
      <c r="D19340">
        <v>0.91019832245300003</v>
      </c>
      <c r="E19340">
        <v>9.468</v>
      </c>
    </row>
    <row r="19341" spans="1:5">
      <c r="A19341" t="s">
        <v>45876</v>
      </c>
      <c r="B19341" t="s">
        <v>45884</v>
      </c>
      <c r="C19341">
        <f>0</f>
        <v>0</v>
      </c>
      <c r="D19341">
        <v>0.91019832245300003</v>
      </c>
      <c r="E19341">
        <v>9.468</v>
      </c>
    </row>
    <row r="19342" spans="1:5">
      <c r="A19342" t="s">
        <v>45885</v>
      </c>
      <c r="B19342" t="s">
        <v>20487</v>
      </c>
      <c r="C19342">
        <v>0</v>
      </c>
      <c r="D19342" t="s">
        <v>106</v>
      </c>
      <c r="E19342">
        <v>24</v>
      </c>
    </row>
    <row r="19343" spans="1:5">
      <c r="A19343" t="s">
        <v>45885</v>
      </c>
      <c r="B19343" t="s">
        <v>20493</v>
      </c>
      <c r="C19343">
        <v>0</v>
      </c>
      <c r="D19343" t="s">
        <v>106</v>
      </c>
      <c r="E19343">
        <v>24</v>
      </c>
    </row>
    <row r="19344" spans="1:5">
      <c r="A19344" t="s">
        <v>45885</v>
      </c>
      <c r="B19344" t="s">
        <v>20491</v>
      </c>
      <c r="C19344">
        <v>0</v>
      </c>
      <c r="D19344" t="s">
        <v>106</v>
      </c>
      <c r="E19344">
        <v>24</v>
      </c>
    </row>
    <row r="19345" spans="1:5">
      <c r="A19345" t="s">
        <v>45885</v>
      </c>
      <c r="B19345" t="s">
        <v>20501</v>
      </c>
      <c r="C19345">
        <v>0</v>
      </c>
      <c r="D19345" t="s">
        <v>106</v>
      </c>
      <c r="E19345">
        <v>24</v>
      </c>
    </row>
    <row r="19346" spans="1:5">
      <c r="A19346" t="s">
        <v>45885</v>
      </c>
      <c r="B19346" t="s">
        <v>20497</v>
      </c>
      <c r="C19346">
        <f>0</f>
        <v>0</v>
      </c>
      <c r="D19346" t="s">
        <v>106</v>
      </c>
      <c r="E19346">
        <v>24</v>
      </c>
    </row>
    <row r="19347" spans="1:5">
      <c r="A19347" t="s">
        <v>45886</v>
      </c>
      <c r="B19347" t="s">
        <v>1178</v>
      </c>
      <c r="C19347">
        <v>0</v>
      </c>
      <c r="D19347" t="s">
        <v>106</v>
      </c>
      <c r="E19347">
        <v>16.698</v>
      </c>
    </row>
    <row r="19348" spans="1:5">
      <c r="A19348" t="s">
        <v>45886</v>
      </c>
      <c r="B19348" t="s">
        <v>1180</v>
      </c>
      <c r="C19348">
        <v>0</v>
      </c>
      <c r="D19348" t="s">
        <v>106</v>
      </c>
      <c r="E19348">
        <v>16.698</v>
      </c>
    </row>
    <row r="19349" spans="1:5">
      <c r="A19349" t="s">
        <v>45886</v>
      </c>
      <c r="B19349" t="s">
        <v>1179</v>
      </c>
      <c r="C19349">
        <v>0</v>
      </c>
      <c r="D19349" t="s">
        <v>106</v>
      </c>
      <c r="E19349">
        <v>16.698</v>
      </c>
    </row>
    <row r="19350" spans="1:5">
      <c r="A19350" t="s">
        <v>45887</v>
      </c>
      <c r="B19350" t="s">
        <v>2811</v>
      </c>
      <c r="C19350">
        <f>0</f>
        <v>0</v>
      </c>
      <c r="D19350" t="s">
        <v>106</v>
      </c>
      <c r="E19350">
        <v>10.08</v>
      </c>
    </row>
    <row r="19351" spans="1:5">
      <c r="A19351" t="s">
        <v>45887</v>
      </c>
      <c r="B19351" t="s">
        <v>2812</v>
      </c>
      <c r="C19351">
        <f>0</f>
        <v>0</v>
      </c>
      <c r="D19351" t="s">
        <v>106</v>
      </c>
      <c r="E19351">
        <v>10.08</v>
      </c>
    </row>
    <row r="19352" spans="1:5">
      <c r="A19352" t="s">
        <v>45887</v>
      </c>
      <c r="B19352" t="s">
        <v>2815</v>
      </c>
      <c r="C19352">
        <f>0</f>
        <v>0</v>
      </c>
      <c r="D19352" t="s">
        <v>106</v>
      </c>
      <c r="E19352">
        <v>10.08</v>
      </c>
    </row>
    <row r="19353" spans="1:5">
      <c r="A19353" t="s">
        <v>45888</v>
      </c>
      <c r="B19353" t="s">
        <v>45889</v>
      </c>
      <c r="C19353">
        <f>0</f>
        <v>0</v>
      </c>
      <c r="D19353" t="s">
        <v>106</v>
      </c>
      <c r="E19353">
        <v>1.1160000000000001</v>
      </c>
    </row>
    <row r="19354" spans="1:5">
      <c r="A19354" t="s">
        <v>45888</v>
      </c>
      <c r="B19354" t="s">
        <v>45890</v>
      </c>
      <c r="C19354">
        <v>0</v>
      </c>
      <c r="D19354" t="s">
        <v>106</v>
      </c>
      <c r="E19354">
        <v>1.1160000000000001</v>
      </c>
    </row>
    <row r="19355" spans="1:5">
      <c r="A19355" t="s">
        <v>45888</v>
      </c>
      <c r="B19355" t="s">
        <v>45891</v>
      </c>
      <c r="C19355">
        <v>0</v>
      </c>
      <c r="D19355" t="s">
        <v>106</v>
      </c>
      <c r="E19355">
        <v>1.1160000000000001</v>
      </c>
    </row>
    <row r="19356" spans="1:5">
      <c r="A19356" t="s">
        <v>45888</v>
      </c>
      <c r="B19356" t="s">
        <v>45892</v>
      </c>
      <c r="C19356">
        <f>0</f>
        <v>0</v>
      </c>
      <c r="D19356" t="s">
        <v>106</v>
      </c>
      <c r="E19356">
        <v>1.1160000000000001</v>
      </c>
    </row>
    <row r="19357" spans="1:5">
      <c r="A19357" t="s">
        <v>45893</v>
      </c>
      <c r="B19357" t="s">
        <v>21680</v>
      </c>
      <c r="C19357">
        <v>0.174898226898</v>
      </c>
      <c r="D19357">
        <v>0.75250822689800001</v>
      </c>
      <c r="E19357">
        <v>20.513999999999999</v>
      </c>
    </row>
    <row r="19358" spans="1:5">
      <c r="A19358" t="s">
        <v>45893</v>
      </c>
      <c r="B19358" t="s">
        <v>21682</v>
      </c>
      <c r="C19358">
        <v>0</v>
      </c>
      <c r="D19358">
        <v>0.75250822689800001</v>
      </c>
      <c r="E19358">
        <v>20.513999999999999</v>
      </c>
    </row>
    <row r="19359" spans="1:5">
      <c r="A19359" t="s">
        <v>45893</v>
      </c>
      <c r="B19359" t="s">
        <v>21681</v>
      </c>
      <c r="C19359">
        <v>0</v>
      </c>
      <c r="D19359">
        <v>0.75250822689800001</v>
      </c>
      <c r="E19359">
        <v>20.513999999999999</v>
      </c>
    </row>
    <row r="19360" spans="1:5">
      <c r="A19360" t="s">
        <v>45893</v>
      </c>
      <c r="B19360" t="s">
        <v>21679</v>
      </c>
      <c r="C19360">
        <v>0</v>
      </c>
      <c r="D19360">
        <v>0.75250822689800001</v>
      </c>
      <c r="E19360">
        <v>20.513999999999999</v>
      </c>
    </row>
    <row r="19361" spans="1:5">
      <c r="A19361" t="s">
        <v>45894</v>
      </c>
      <c r="B19361" t="s">
        <v>45895</v>
      </c>
      <c r="C19361">
        <v>0.21201363957200001</v>
      </c>
      <c r="D19361">
        <v>0.89672148679700003</v>
      </c>
      <c r="E19361">
        <v>2.6339999999999999</v>
      </c>
    </row>
    <row r="19362" spans="1:5">
      <c r="A19362" t="s">
        <v>45894</v>
      </c>
      <c r="B19362" t="s">
        <v>45896</v>
      </c>
      <c r="C19362">
        <f>0</f>
        <v>0</v>
      </c>
      <c r="D19362">
        <v>0.89672148679700003</v>
      </c>
      <c r="E19362">
        <v>2.6339999999999999</v>
      </c>
    </row>
    <row r="19363" spans="1:5">
      <c r="A19363" t="s">
        <v>45894</v>
      </c>
      <c r="B19363" t="s">
        <v>45897</v>
      </c>
      <c r="C19363">
        <v>0.119797700799</v>
      </c>
      <c r="D19363">
        <v>0.89672148679700003</v>
      </c>
      <c r="E19363">
        <v>2.6339999999999999</v>
      </c>
    </row>
    <row r="19364" spans="1:5">
      <c r="A19364" t="s">
        <v>45894</v>
      </c>
      <c r="B19364" t="s">
        <v>45898</v>
      </c>
      <c r="C19364">
        <v>0.77294065752600005</v>
      </c>
      <c r="D19364">
        <v>0.89672148679700003</v>
      </c>
      <c r="E19364">
        <v>2.6339999999999999</v>
      </c>
    </row>
    <row r="19365" spans="1:5">
      <c r="A19365" t="s">
        <v>45894</v>
      </c>
      <c r="B19365" t="s">
        <v>45899</v>
      </c>
      <c r="C19365">
        <v>0.60922519748199999</v>
      </c>
      <c r="D19365">
        <v>0.89672148679700003</v>
      </c>
      <c r="E19365">
        <v>2.6339999999999999</v>
      </c>
    </row>
    <row r="19366" spans="1:5">
      <c r="A19366" t="s">
        <v>45900</v>
      </c>
      <c r="B19366" t="s">
        <v>437</v>
      </c>
      <c r="C19366">
        <f>0.314812461159</f>
        <v>0.31481246115900002</v>
      </c>
      <c r="D19366">
        <v>0.98993255107</v>
      </c>
      <c r="E19366">
        <v>7.4640000000000004</v>
      </c>
    </row>
    <row r="19367" spans="1:5">
      <c r="A19367" t="s">
        <v>45900</v>
      </c>
      <c r="B19367" t="s">
        <v>431</v>
      </c>
      <c r="C19367">
        <v>0</v>
      </c>
      <c r="D19367">
        <v>0.98993255107</v>
      </c>
      <c r="E19367">
        <v>7.4640000000000004</v>
      </c>
    </row>
    <row r="19368" spans="1:5">
      <c r="A19368" t="s">
        <v>45900</v>
      </c>
      <c r="B19368" t="s">
        <v>436</v>
      </c>
      <c r="C19368">
        <f>0.207733048554</f>
        <v>0.20773304855399999</v>
      </c>
      <c r="D19368">
        <v>0.98993255107</v>
      </c>
      <c r="E19368">
        <v>7.4640000000000004</v>
      </c>
    </row>
    <row r="19369" spans="1:5">
      <c r="A19369" t="s">
        <v>45900</v>
      </c>
      <c r="B19369" t="s">
        <v>433</v>
      </c>
      <c r="C19369">
        <f>0</f>
        <v>0</v>
      </c>
      <c r="D19369">
        <v>0.98993255107</v>
      </c>
      <c r="E19369">
        <v>7.4640000000000004</v>
      </c>
    </row>
    <row r="19370" spans="1:5">
      <c r="A19370" t="s">
        <v>45900</v>
      </c>
      <c r="B19370" t="s">
        <v>432</v>
      </c>
      <c r="C19370">
        <f>0.0569377067535</f>
        <v>5.6937706753500003E-2</v>
      </c>
      <c r="D19370">
        <v>0.98993255107</v>
      </c>
      <c r="E19370">
        <v>7.4640000000000004</v>
      </c>
    </row>
    <row r="19371" spans="1:5">
      <c r="A19371" t="s">
        <v>45900</v>
      </c>
      <c r="B19371" t="s">
        <v>435</v>
      </c>
      <c r="C19371">
        <v>7.2393996068899999E-2</v>
      </c>
      <c r="D19371">
        <v>0.98993255107</v>
      </c>
      <c r="E19371">
        <v>7.4640000000000004</v>
      </c>
    </row>
    <row r="19372" spans="1:5">
      <c r="A19372" t="s">
        <v>45900</v>
      </c>
      <c r="B19372" t="s">
        <v>430</v>
      </c>
      <c r="C19372">
        <v>0.54389518306100004</v>
      </c>
      <c r="D19372">
        <v>0.98993255107</v>
      </c>
      <c r="E19372">
        <v>7.4640000000000004</v>
      </c>
    </row>
    <row r="19373" spans="1:5">
      <c r="A19373" t="s">
        <v>45901</v>
      </c>
      <c r="B19373" t="s">
        <v>45902</v>
      </c>
      <c r="C19373">
        <v>0</v>
      </c>
      <c r="D19373" t="s">
        <v>106</v>
      </c>
      <c r="E19373">
        <v>1.968</v>
      </c>
    </row>
    <row r="19374" spans="1:5">
      <c r="A19374" t="s">
        <v>45901</v>
      </c>
      <c r="B19374" t="s">
        <v>45903</v>
      </c>
      <c r="C19374">
        <v>0</v>
      </c>
      <c r="D19374" t="s">
        <v>106</v>
      </c>
      <c r="E19374">
        <v>1.968</v>
      </c>
    </row>
    <row r="19375" spans="1:5">
      <c r="A19375" t="s">
        <v>45904</v>
      </c>
      <c r="B19375" t="s">
        <v>45905</v>
      </c>
      <c r="C19375">
        <f>0.24631206388</f>
        <v>0.24631206387999999</v>
      </c>
      <c r="D19375">
        <v>0.78477057805200001</v>
      </c>
      <c r="E19375">
        <v>12.564</v>
      </c>
    </row>
    <row r="19376" spans="1:5">
      <c r="A19376" t="s">
        <v>45904</v>
      </c>
      <c r="B19376" t="s">
        <v>45906</v>
      </c>
      <c r="C19376">
        <v>0.44043897672299998</v>
      </c>
      <c r="D19376">
        <v>0.78477057805200001</v>
      </c>
      <c r="E19376">
        <v>12.564</v>
      </c>
    </row>
    <row r="19377" spans="1:5">
      <c r="A19377" t="s">
        <v>45904</v>
      </c>
      <c r="B19377" t="s">
        <v>45907</v>
      </c>
      <c r="C19377">
        <v>0</v>
      </c>
      <c r="D19377">
        <v>0.78477057805200001</v>
      </c>
      <c r="E19377">
        <v>12.564</v>
      </c>
    </row>
    <row r="19378" spans="1:5">
      <c r="A19378" t="s">
        <v>45904</v>
      </c>
      <c r="B19378" t="s">
        <v>45908</v>
      </c>
      <c r="C19378">
        <v>0</v>
      </c>
      <c r="D19378">
        <v>0.78477057805200001</v>
      </c>
      <c r="E19378">
        <v>12.564</v>
      </c>
    </row>
    <row r="19379" spans="1:5">
      <c r="A19379" t="s">
        <v>45909</v>
      </c>
      <c r="B19379" t="s">
        <v>20508</v>
      </c>
      <c r="C19379">
        <v>0.68414030733300002</v>
      </c>
      <c r="D19379">
        <v>0.99242553569799996</v>
      </c>
      <c r="E19379">
        <v>3.3180000000000001</v>
      </c>
    </row>
    <row r="19380" spans="1:5">
      <c r="A19380" t="s">
        <v>45909</v>
      </c>
      <c r="B19380" t="s">
        <v>20510</v>
      </c>
      <c r="C19380">
        <v>0.49156677653399999</v>
      </c>
      <c r="D19380">
        <v>0.99242553569799996</v>
      </c>
      <c r="E19380">
        <v>3.3180000000000001</v>
      </c>
    </row>
    <row r="19381" spans="1:5">
      <c r="A19381" t="s">
        <v>45909</v>
      </c>
      <c r="B19381" t="s">
        <v>20509</v>
      </c>
      <c r="C19381">
        <f>0.869586500943</f>
        <v>0.86958650094300005</v>
      </c>
      <c r="D19381">
        <v>0.99242553569799996</v>
      </c>
      <c r="E19381">
        <v>3.3180000000000001</v>
      </c>
    </row>
    <row r="19382" spans="1:5">
      <c r="A19382" t="s">
        <v>45909</v>
      </c>
      <c r="B19382" t="s">
        <v>20507</v>
      </c>
      <c r="C19382">
        <f>0.149725782502</f>
        <v>0.149725782502</v>
      </c>
      <c r="D19382">
        <v>0.99242553569799996</v>
      </c>
      <c r="E19382">
        <v>3.3180000000000001</v>
      </c>
    </row>
    <row r="19383" spans="1:5">
      <c r="A19383" t="s">
        <v>45909</v>
      </c>
      <c r="B19383" t="s">
        <v>20506</v>
      </c>
      <c r="C19383">
        <f>0.906434595616</f>
        <v>0.90643459561600004</v>
      </c>
      <c r="D19383">
        <v>0.99242553569799996</v>
      </c>
      <c r="E19383">
        <v>3.3180000000000001</v>
      </c>
    </row>
    <row r="19384" spans="1:5">
      <c r="A19384" t="s">
        <v>45910</v>
      </c>
      <c r="B19384" t="s">
        <v>1646</v>
      </c>
      <c r="C19384">
        <v>0.33664826398100001</v>
      </c>
      <c r="D19384">
        <v>0.97516781373600003</v>
      </c>
      <c r="E19384">
        <v>12.048</v>
      </c>
    </row>
    <row r="19385" spans="1:5">
      <c r="A19385" t="s">
        <v>45910</v>
      </c>
      <c r="B19385" t="s">
        <v>1653</v>
      </c>
      <c r="C19385">
        <f>0.943178530997</f>
        <v>0.943178530997</v>
      </c>
      <c r="D19385">
        <v>0.97516781373600003</v>
      </c>
      <c r="E19385">
        <v>12.048</v>
      </c>
    </row>
    <row r="19386" spans="1:5">
      <c r="A19386" t="s">
        <v>45910</v>
      </c>
      <c r="B19386" t="s">
        <v>1650</v>
      </c>
      <c r="C19386">
        <v>0.48545324474200002</v>
      </c>
      <c r="D19386">
        <v>0.97516781373600003</v>
      </c>
      <c r="E19386">
        <v>12.048</v>
      </c>
    </row>
    <row r="19387" spans="1:5">
      <c r="A19387" t="s">
        <v>45910</v>
      </c>
      <c r="B19387" t="s">
        <v>1647</v>
      </c>
      <c r="C19387">
        <v>0</v>
      </c>
      <c r="D19387">
        <v>0.97516781373600003</v>
      </c>
      <c r="E19387">
        <v>12.048</v>
      </c>
    </row>
    <row r="19388" spans="1:5">
      <c r="A19388" t="s">
        <v>45911</v>
      </c>
      <c r="B19388" t="s">
        <v>18224</v>
      </c>
      <c r="C19388">
        <v>0.58975218180099998</v>
      </c>
      <c r="D19388">
        <v>0.81253263424400002</v>
      </c>
      <c r="E19388">
        <v>5.58</v>
      </c>
    </row>
    <row r="19389" spans="1:5">
      <c r="A19389" t="s">
        <v>45911</v>
      </c>
      <c r="B19389" t="s">
        <v>18226</v>
      </c>
      <c r="C19389">
        <v>0.44474450308300001</v>
      </c>
      <c r="D19389">
        <v>0.81253263424400002</v>
      </c>
      <c r="E19389">
        <v>5.58</v>
      </c>
    </row>
    <row r="19390" spans="1:5">
      <c r="A19390" t="s">
        <v>45911</v>
      </c>
      <c r="B19390" t="s">
        <v>18228</v>
      </c>
      <c r="C19390">
        <f>0</f>
        <v>0</v>
      </c>
      <c r="D19390">
        <v>0.81253263424400002</v>
      </c>
      <c r="E19390">
        <v>5.58</v>
      </c>
    </row>
    <row r="19391" spans="1:5">
      <c r="A19391" t="s">
        <v>45911</v>
      </c>
      <c r="B19391" t="s">
        <v>18227</v>
      </c>
      <c r="C19391">
        <v>0.107730962658</v>
      </c>
      <c r="D19391">
        <v>0.81253263424400002</v>
      </c>
      <c r="E19391">
        <v>5.58</v>
      </c>
    </row>
    <row r="19392" spans="1:5">
      <c r="A19392" t="s">
        <v>45912</v>
      </c>
      <c r="B19392" t="s">
        <v>45913</v>
      </c>
      <c r="C19392">
        <f>0</f>
        <v>0</v>
      </c>
      <c r="D19392" t="s">
        <v>106</v>
      </c>
      <c r="E19392">
        <v>0.216</v>
      </c>
    </row>
    <row r="19393" spans="1:5">
      <c r="A19393" t="s">
        <v>45912</v>
      </c>
      <c r="B19393" t="s">
        <v>45914</v>
      </c>
      <c r="C19393">
        <v>0</v>
      </c>
      <c r="D19393" t="s">
        <v>106</v>
      </c>
      <c r="E19393">
        <v>0.216</v>
      </c>
    </row>
    <row r="19394" spans="1:5">
      <c r="A19394" t="s">
        <v>45912</v>
      </c>
      <c r="B19394" t="s">
        <v>45915</v>
      </c>
      <c r="C19394">
        <f>0</f>
        <v>0</v>
      </c>
      <c r="D19394" t="s">
        <v>106</v>
      </c>
      <c r="E19394">
        <v>0.216</v>
      </c>
    </row>
    <row r="19395" spans="1:5">
      <c r="A19395" t="s">
        <v>45916</v>
      </c>
      <c r="B19395" t="s">
        <v>15868</v>
      </c>
      <c r="C19395">
        <f>0.186181533052</f>
        <v>0.186181533052</v>
      </c>
      <c r="D19395">
        <v>0.94843260094100001</v>
      </c>
      <c r="E19395">
        <v>4.2720000000000002</v>
      </c>
    </row>
    <row r="19396" spans="1:5">
      <c r="A19396" t="s">
        <v>45916</v>
      </c>
      <c r="B19396" t="s">
        <v>15874</v>
      </c>
      <c r="C19396">
        <f>0</f>
        <v>0</v>
      </c>
      <c r="D19396">
        <v>0.94843260094100001</v>
      </c>
      <c r="E19396">
        <v>4.2720000000000002</v>
      </c>
    </row>
    <row r="19397" spans="1:5">
      <c r="A19397" t="s">
        <v>45916</v>
      </c>
      <c r="B19397" t="s">
        <v>15872</v>
      </c>
      <c r="C19397">
        <f>0.776721884521</f>
        <v>0.77672188452099999</v>
      </c>
      <c r="D19397">
        <v>0.94843260094100001</v>
      </c>
      <c r="E19397">
        <v>4.2720000000000002</v>
      </c>
    </row>
    <row r="19398" spans="1:5">
      <c r="A19398" t="s">
        <v>45916</v>
      </c>
      <c r="B19398" t="s">
        <v>15875</v>
      </c>
      <c r="C19398">
        <f>0</f>
        <v>0</v>
      </c>
      <c r="D19398">
        <v>0.94843260094100001</v>
      </c>
      <c r="E19398">
        <v>4.2720000000000002</v>
      </c>
    </row>
    <row r="19399" spans="1:5">
      <c r="A19399" t="s">
        <v>45916</v>
      </c>
      <c r="B19399" t="s">
        <v>15870</v>
      </c>
      <c r="C19399">
        <f>0</f>
        <v>0</v>
      </c>
      <c r="D19399">
        <v>0.94843260094100001</v>
      </c>
      <c r="E19399">
        <v>4.2720000000000002</v>
      </c>
    </row>
    <row r="19400" spans="1:5">
      <c r="A19400" t="s">
        <v>45917</v>
      </c>
      <c r="B19400" t="s">
        <v>45918</v>
      </c>
      <c r="C19400">
        <v>0</v>
      </c>
      <c r="D19400">
        <v>0.92633489702899996</v>
      </c>
      <c r="E19400">
        <v>1.6379999999999999</v>
      </c>
    </row>
    <row r="19401" spans="1:5">
      <c r="A19401" t="s">
        <v>45917</v>
      </c>
      <c r="B19401" t="s">
        <v>45919</v>
      </c>
      <c r="C19401">
        <v>2.2227177481300001E-2</v>
      </c>
      <c r="D19401">
        <v>0.92633489702899996</v>
      </c>
      <c r="E19401">
        <v>1.6379999999999999</v>
      </c>
    </row>
    <row r="19402" spans="1:5">
      <c r="A19402" t="s">
        <v>45917</v>
      </c>
      <c r="B19402" t="s">
        <v>45920</v>
      </c>
      <c r="C19402">
        <v>0.42470991649099998</v>
      </c>
      <c r="D19402">
        <v>0.92633489702899996</v>
      </c>
      <c r="E19402">
        <v>1.6379999999999999</v>
      </c>
    </row>
    <row r="19403" spans="1:5">
      <c r="A19403" t="s">
        <v>45917</v>
      </c>
      <c r="B19403" t="s">
        <v>45921</v>
      </c>
      <c r="C19403">
        <f>0.200693826848</f>
        <v>0.200693826848</v>
      </c>
      <c r="D19403">
        <v>0.92633489702899996</v>
      </c>
      <c r="E19403">
        <v>1.6379999999999999</v>
      </c>
    </row>
    <row r="19404" spans="1:5">
      <c r="A19404" t="s">
        <v>45917</v>
      </c>
      <c r="B19404" t="s">
        <v>45922</v>
      </c>
      <c r="C19404">
        <v>0.68777850433300003</v>
      </c>
      <c r="D19404">
        <v>0.92633489702899996</v>
      </c>
      <c r="E19404">
        <v>1.6379999999999999</v>
      </c>
    </row>
    <row r="19405" spans="1:5">
      <c r="A19405" t="s">
        <v>45923</v>
      </c>
      <c r="B19405" t="s">
        <v>28467</v>
      </c>
      <c r="C19405">
        <v>0</v>
      </c>
      <c r="D19405">
        <v>0.55631865216999998</v>
      </c>
      <c r="E19405">
        <v>0</v>
      </c>
    </row>
    <row r="19406" spans="1:5">
      <c r="A19406" t="s">
        <v>45923</v>
      </c>
      <c r="B19406" t="s">
        <v>28468</v>
      </c>
      <c r="C19406">
        <v>0.32590865216999998</v>
      </c>
      <c r="D19406">
        <v>0.55631865216999998</v>
      </c>
      <c r="E19406">
        <v>0</v>
      </c>
    </row>
    <row r="19407" spans="1:5">
      <c r="A19407" t="s">
        <v>45924</v>
      </c>
      <c r="B19407" t="s">
        <v>26634</v>
      </c>
      <c r="C19407">
        <v>0.90290843970099999</v>
      </c>
      <c r="D19407">
        <v>0.73133311661400002</v>
      </c>
      <c r="E19407">
        <v>23.754000000000001</v>
      </c>
    </row>
    <row r="19408" spans="1:5">
      <c r="A19408" t="s">
        <v>45924</v>
      </c>
      <c r="B19408" t="s">
        <v>26636</v>
      </c>
      <c r="C19408">
        <v>0.60048009896099996</v>
      </c>
      <c r="D19408">
        <v>0.73133311661400002</v>
      </c>
      <c r="E19408">
        <v>23.754000000000001</v>
      </c>
    </row>
    <row r="19409" spans="1:5">
      <c r="A19409" t="s">
        <v>45925</v>
      </c>
      <c r="B19409" t="s">
        <v>24939</v>
      </c>
      <c r="C19409">
        <v>0</v>
      </c>
      <c r="D19409" t="s">
        <v>106</v>
      </c>
      <c r="E19409">
        <v>4.8000000000000001E-2</v>
      </c>
    </row>
    <row r="19410" spans="1:5">
      <c r="A19410" t="s">
        <v>45925</v>
      </c>
      <c r="B19410" t="s">
        <v>24946</v>
      </c>
      <c r="C19410">
        <v>0</v>
      </c>
      <c r="D19410" t="s">
        <v>106</v>
      </c>
      <c r="E19410">
        <v>4.8000000000000001E-2</v>
      </c>
    </row>
    <row r="19411" spans="1:5">
      <c r="A19411" t="s">
        <v>45925</v>
      </c>
      <c r="B19411" t="s">
        <v>24940</v>
      </c>
      <c r="C19411">
        <v>0</v>
      </c>
      <c r="D19411" t="s">
        <v>106</v>
      </c>
      <c r="E19411">
        <v>4.8000000000000001E-2</v>
      </c>
    </row>
    <row r="19412" spans="1:5">
      <c r="A19412" t="s">
        <v>45926</v>
      </c>
      <c r="B19412" t="s">
        <v>45927</v>
      </c>
      <c r="C19412">
        <f>0</f>
        <v>0</v>
      </c>
      <c r="D19412">
        <v>0.820397107407</v>
      </c>
      <c r="E19412">
        <v>3.8759999999999999</v>
      </c>
    </row>
    <row r="19413" spans="1:5">
      <c r="A19413" t="s">
        <v>45926</v>
      </c>
      <c r="B19413" t="s">
        <v>45928</v>
      </c>
      <c r="C19413">
        <v>0.41078710740699997</v>
      </c>
      <c r="D19413">
        <v>0.820397107407</v>
      </c>
      <c r="E19413">
        <v>3.8759999999999999</v>
      </c>
    </row>
    <row r="19414" spans="1:5">
      <c r="A19414" t="s">
        <v>45926</v>
      </c>
      <c r="B19414" t="s">
        <v>45929</v>
      </c>
      <c r="C19414">
        <f>0</f>
        <v>0</v>
      </c>
      <c r="D19414">
        <v>0.820397107407</v>
      </c>
      <c r="E19414">
        <v>3.8759999999999999</v>
      </c>
    </row>
    <row r="19415" spans="1:5">
      <c r="A19415" t="s">
        <v>45930</v>
      </c>
      <c r="B19415" t="s">
        <v>23822</v>
      </c>
      <c r="C19415">
        <v>0</v>
      </c>
      <c r="D19415" t="s">
        <v>106</v>
      </c>
      <c r="E19415">
        <v>0.96599999999999997</v>
      </c>
    </row>
    <row r="19416" spans="1:5">
      <c r="A19416" t="s">
        <v>45930</v>
      </c>
      <c r="B19416" t="s">
        <v>23823</v>
      </c>
      <c r="C19416">
        <f>0</f>
        <v>0</v>
      </c>
      <c r="D19416" t="s">
        <v>106</v>
      </c>
      <c r="E19416">
        <v>0.96599999999999997</v>
      </c>
    </row>
    <row r="19417" spans="1:5">
      <c r="A19417" t="s">
        <v>45930</v>
      </c>
      <c r="B19417" t="s">
        <v>23819</v>
      </c>
      <c r="C19417">
        <v>0</v>
      </c>
      <c r="D19417" t="s">
        <v>106</v>
      </c>
      <c r="E19417">
        <v>0.96599999999999997</v>
      </c>
    </row>
    <row r="19418" spans="1:5">
      <c r="A19418" t="s">
        <v>45931</v>
      </c>
      <c r="B19418" t="s">
        <v>26992</v>
      </c>
      <c r="C19418">
        <f>0</f>
        <v>0</v>
      </c>
      <c r="D19418" t="s">
        <v>106</v>
      </c>
      <c r="E19418">
        <v>0.192</v>
      </c>
    </row>
    <row r="19419" spans="1:5">
      <c r="A19419" t="s">
        <v>45931</v>
      </c>
      <c r="B19419" t="s">
        <v>26991</v>
      </c>
      <c r="C19419">
        <f>0</f>
        <v>0</v>
      </c>
      <c r="D19419" t="s">
        <v>106</v>
      </c>
      <c r="E19419">
        <v>0.192</v>
      </c>
    </row>
    <row r="19420" spans="1:5">
      <c r="A19420" t="s">
        <v>45931</v>
      </c>
      <c r="B19420" t="s">
        <v>26994</v>
      </c>
      <c r="C19420">
        <f>0</f>
        <v>0</v>
      </c>
      <c r="D19420" t="s">
        <v>106</v>
      </c>
      <c r="E19420">
        <v>0.192</v>
      </c>
    </row>
    <row r="19421" spans="1:5">
      <c r="A19421" t="s">
        <v>45931</v>
      </c>
      <c r="B19421" t="s">
        <v>26995</v>
      </c>
      <c r="C19421">
        <v>0</v>
      </c>
      <c r="D19421" t="s">
        <v>106</v>
      </c>
      <c r="E19421">
        <v>0.192</v>
      </c>
    </row>
    <row r="19422" spans="1:5">
      <c r="A19422" t="s">
        <v>45932</v>
      </c>
      <c r="B19422" t="s">
        <v>31683</v>
      </c>
      <c r="C19422">
        <v>0.235772330428</v>
      </c>
      <c r="D19422">
        <v>0.69818233042800004</v>
      </c>
      <c r="E19422">
        <v>3.5880000000000001</v>
      </c>
    </row>
    <row r="19423" spans="1:5">
      <c r="A19423" t="s">
        <v>45932</v>
      </c>
      <c r="B19423" t="s">
        <v>31686</v>
      </c>
      <c r="C19423">
        <f>0</f>
        <v>0</v>
      </c>
      <c r="D19423">
        <v>0.69818233042800004</v>
      </c>
      <c r="E19423">
        <v>3.5880000000000001</v>
      </c>
    </row>
    <row r="19424" spans="1:5">
      <c r="A19424" t="s">
        <v>45932</v>
      </c>
      <c r="B19424" t="s">
        <v>31687</v>
      </c>
      <c r="C19424">
        <v>0</v>
      </c>
      <c r="D19424">
        <v>0.69818233042800004</v>
      </c>
      <c r="E19424">
        <v>3.5880000000000001</v>
      </c>
    </row>
    <row r="19425" spans="1:5">
      <c r="A19425" t="s">
        <v>45932</v>
      </c>
      <c r="B19425" t="s">
        <v>31691</v>
      </c>
      <c r="C19425">
        <f>0</f>
        <v>0</v>
      </c>
      <c r="D19425">
        <v>0.69818233042800004</v>
      </c>
      <c r="E19425">
        <v>3.5880000000000001</v>
      </c>
    </row>
    <row r="19426" spans="1:5">
      <c r="A19426" t="s">
        <v>45933</v>
      </c>
      <c r="B19426" t="s">
        <v>45934</v>
      </c>
      <c r="C19426">
        <f>0.974867074342</f>
        <v>0.97486707434200004</v>
      </c>
      <c r="D19426">
        <v>0.95993934066599995</v>
      </c>
      <c r="E19426">
        <v>11.538</v>
      </c>
    </row>
    <row r="19427" spans="1:5">
      <c r="A19427" t="s">
        <v>45933</v>
      </c>
      <c r="B19427" t="s">
        <v>45935</v>
      </c>
      <c r="C19427">
        <v>1.32777258327</v>
      </c>
      <c r="D19427">
        <v>0.95993934066599995</v>
      </c>
      <c r="E19427">
        <v>11.538</v>
      </c>
    </row>
    <row r="19428" spans="1:5">
      <c r="A19428" t="s">
        <v>45936</v>
      </c>
      <c r="B19428" t="s">
        <v>45937</v>
      </c>
      <c r="C19428">
        <f>0</f>
        <v>0</v>
      </c>
      <c r="D19428">
        <v>0.73320807881500005</v>
      </c>
      <c r="E19428">
        <v>9.7739999999999991</v>
      </c>
    </row>
    <row r="19429" spans="1:5">
      <c r="A19429" t="s">
        <v>45936</v>
      </c>
      <c r="B19429" t="s">
        <v>45938</v>
      </c>
      <c r="C19429">
        <v>0.39880408703699999</v>
      </c>
      <c r="D19429">
        <v>0.73320807881500005</v>
      </c>
      <c r="E19429">
        <v>9.7739999999999991</v>
      </c>
    </row>
    <row r="19430" spans="1:5">
      <c r="A19430" t="s">
        <v>45936</v>
      </c>
      <c r="B19430" t="s">
        <v>45939</v>
      </c>
      <c r="C19430">
        <v>0.25977738490899999</v>
      </c>
      <c r="D19430">
        <v>0.73320807881500005</v>
      </c>
      <c r="E19430">
        <v>9.7739999999999991</v>
      </c>
    </row>
    <row r="19431" spans="1:5">
      <c r="A19431" t="s">
        <v>45936</v>
      </c>
      <c r="B19431" t="s">
        <v>45940</v>
      </c>
      <c r="C19431">
        <v>0</v>
      </c>
      <c r="D19431">
        <v>0.73320807881500005</v>
      </c>
      <c r="E19431">
        <v>9.7739999999999991</v>
      </c>
    </row>
    <row r="19432" spans="1:5">
      <c r="A19432" t="s">
        <v>45936</v>
      </c>
      <c r="B19432" t="s">
        <v>45941</v>
      </c>
      <c r="C19432">
        <f>0</f>
        <v>0</v>
      </c>
      <c r="D19432">
        <v>0.73320807881500005</v>
      </c>
      <c r="E19432">
        <v>9.7739999999999991</v>
      </c>
    </row>
    <row r="19433" spans="1:5">
      <c r="A19433" t="s">
        <v>45936</v>
      </c>
      <c r="B19433" t="s">
        <v>45942</v>
      </c>
      <c r="C19433">
        <v>0</v>
      </c>
      <c r="D19433">
        <v>0.73320807881500005</v>
      </c>
      <c r="E19433">
        <v>9.7739999999999991</v>
      </c>
    </row>
    <row r="19434" spans="1:5">
      <c r="A19434" t="s">
        <v>45936</v>
      </c>
      <c r="B19434" t="s">
        <v>45943</v>
      </c>
      <c r="C19434">
        <v>0</v>
      </c>
      <c r="D19434">
        <v>0.73320807881500005</v>
      </c>
      <c r="E19434">
        <v>9.7739999999999991</v>
      </c>
    </row>
    <row r="19435" spans="1:5">
      <c r="A19435" t="s">
        <v>45944</v>
      </c>
      <c r="B19435" t="s">
        <v>33101</v>
      </c>
      <c r="C19435">
        <v>0</v>
      </c>
      <c r="D19435" t="s">
        <v>106</v>
      </c>
      <c r="E19435">
        <v>2.1059999999999999</v>
      </c>
    </row>
    <row r="19436" spans="1:5">
      <c r="A19436" t="s">
        <v>45944</v>
      </c>
      <c r="B19436" t="s">
        <v>33097</v>
      </c>
      <c r="C19436">
        <v>0</v>
      </c>
      <c r="D19436" t="s">
        <v>106</v>
      </c>
      <c r="E19436">
        <v>2.1059999999999999</v>
      </c>
    </row>
    <row r="19437" spans="1:5">
      <c r="A19437" t="s">
        <v>45944</v>
      </c>
      <c r="B19437" t="s">
        <v>33100</v>
      </c>
      <c r="C19437">
        <v>0</v>
      </c>
      <c r="D19437" t="s">
        <v>106</v>
      </c>
      <c r="E19437">
        <v>2.1059999999999999</v>
      </c>
    </row>
    <row r="19438" spans="1:5">
      <c r="A19438" t="s">
        <v>45945</v>
      </c>
      <c r="B19438" t="s">
        <v>45946</v>
      </c>
      <c r="C19438">
        <v>0</v>
      </c>
      <c r="D19438" t="s">
        <v>106</v>
      </c>
      <c r="E19438">
        <v>0</v>
      </c>
    </row>
    <row r="19439" spans="1:5">
      <c r="A19439" t="s">
        <v>45945</v>
      </c>
      <c r="B19439" t="s">
        <v>45947</v>
      </c>
      <c r="C19439">
        <v>0</v>
      </c>
      <c r="D19439" t="s">
        <v>106</v>
      </c>
      <c r="E19439">
        <v>0</v>
      </c>
    </row>
    <row r="19440" spans="1:5">
      <c r="A19440" t="s">
        <v>45948</v>
      </c>
      <c r="B19440" t="s">
        <v>45949</v>
      </c>
      <c r="C19440">
        <v>0.321403671999</v>
      </c>
      <c r="D19440">
        <v>0.88523595701500002</v>
      </c>
      <c r="E19440">
        <v>7.4640000000000004</v>
      </c>
    </row>
    <row r="19441" spans="1:5">
      <c r="A19441" t="s">
        <v>45948</v>
      </c>
      <c r="B19441" t="s">
        <v>45950</v>
      </c>
      <c r="C19441">
        <v>0.53474029196799999</v>
      </c>
      <c r="D19441">
        <v>0.88523595701500002</v>
      </c>
      <c r="E19441">
        <v>7.4640000000000004</v>
      </c>
    </row>
    <row r="19442" spans="1:5">
      <c r="A19442" t="s">
        <v>45951</v>
      </c>
      <c r="B19442" t="s">
        <v>45952</v>
      </c>
      <c r="C19442">
        <v>0</v>
      </c>
      <c r="D19442">
        <v>0.67333451646999998</v>
      </c>
      <c r="E19442">
        <v>24</v>
      </c>
    </row>
    <row r="19443" spans="1:5">
      <c r="A19443" t="s">
        <v>45951</v>
      </c>
      <c r="B19443" t="s">
        <v>45953</v>
      </c>
      <c r="C19443">
        <v>0.15492451647</v>
      </c>
      <c r="D19443">
        <v>0.67333451646999998</v>
      </c>
      <c r="E19443">
        <v>24</v>
      </c>
    </row>
    <row r="19444" spans="1:5">
      <c r="A19444" t="s">
        <v>45954</v>
      </c>
      <c r="B19444" t="s">
        <v>23357</v>
      </c>
      <c r="C19444">
        <f>0.164883365959</f>
        <v>0.16488336595899999</v>
      </c>
      <c r="D19444">
        <v>0.52489336595900005</v>
      </c>
      <c r="E19444">
        <v>5.7</v>
      </c>
    </row>
    <row r="19445" spans="1:5">
      <c r="A19445" t="s">
        <v>45954</v>
      </c>
      <c r="B19445" t="s">
        <v>23361</v>
      </c>
      <c r="C19445">
        <v>0</v>
      </c>
      <c r="D19445">
        <v>0.52489336595900005</v>
      </c>
      <c r="E19445">
        <v>5.7</v>
      </c>
    </row>
    <row r="19446" spans="1:5">
      <c r="A19446" t="s">
        <v>45955</v>
      </c>
      <c r="B19446" t="s">
        <v>2002</v>
      </c>
      <c r="C19446">
        <v>0</v>
      </c>
      <c r="D19446" t="s">
        <v>106</v>
      </c>
      <c r="E19446">
        <v>1.7999999999999999E-2</v>
      </c>
    </row>
    <row r="19447" spans="1:5">
      <c r="A19447" t="s">
        <v>45955</v>
      </c>
      <c r="B19447" t="s">
        <v>2003</v>
      </c>
      <c r="C19447">
        <v>0</v>
      </c>
      <c r="D19447" t="s">
        <v>106</v>
      </c>
      <c r="E19447">
        <v>1.7999999999999999E-2</v>
      </c>
    </row>
    <row r="19448" spans="1:5">
      <c r="A19448" t="s">
        <v>45956</v>
      </c>
      <c r="B19448" t="s">
        <v>14434</v>
      </c>
      <c r="C19448">
        <f>0.879839059446</f>
        <v>0.87983905944600005</v>
      </c>
      <c r="D19448">
        <v>0.76691151829699999</v>
      </c>
      <c r="E19448">
        <v>0</v>
      </c>
    </row>
    <row r="19449" spans="1:5">
      <c r="A19449" t="s">
        <v>45956</v>
      </c>
      <c r="B19449" t="s">
        <v>14436</v>
      </c>
      <c r="C19449">
        <f>0.00522082850412</f>
        <v>5.2208285041200004E-3</v>
      </c>
      <c r="D19449">
        <v>0.76691151829699999</v>
      </c>
      <c r="E19449">
        <v>0</v>
      </c>
    </row>
    <row r="19450" spans="1:5">
      <c r="A19450" t="s">
        <v>45956</v>
      </c>
      <c r="B19450" t="s">
        <v>14435</v>
      </c>
      <c r="C19450">
        <v>0.32596588259300002</v>
      </c>
      <c r="D19450">
        <v>0.76691151829699999</v>
      </c>
      <c r="E19450">
        <v>0</v>
      </c>
    </row>
    <row r="19451" spans="1:5">
      <c r="A19451" t="s">
        <v>45957</v>
      </c>
      <c r="B19451" t="s">
        <v>24887</v>
      </c>
      <c r="C19451">
        <v>0</v>
      </c>
      <c r="D19451" t="s">
        <v>106</v>
      </c>
      <c r="E19451">
        <v>11.706</v>
      </c>
    </row>
    <row r="19452" spans="1:5">
      <c r="A19452" t="s">
        <v>45957</v>
      </c>
      <c r="B19452" t="s">
        <v>24889</v>
      </c>
      <c r="C19452">
        <v>0</v>
      </c>
      <c r="D19452" t="s">
        <v>106</v>
      </c>
      <c r="E19452">
        <v>11.706</v>
      </c>
    </row>
    <row r="19453" spans="1:5">
      <c r="A19453" t="s">
        <v>45958</v>
      </c>
      <c r="B19453" t="s">
        <v>32287</v>
      </c>
      <c r="C19453">
        <f>0.471016573596</f>
        <v>0.47101657359600002</v>
      </c>
      <c r="D19453">
        <v>0.996218741505</v>
      </c>
      <c r="E19453">
        <v>5.7</v>
      </c>
    </row>
    <row r="19454" spans="1:5">
      <c r="A19454" t="s">
        <v>45958</v>
      </c>
      <c r="B19454" t="s">
        <v>32284</v>
      </c>
      <c r="C19454">
        <f>0.434736304788</f>
        <v>0.43473630478800002</v>
      </c>
      <c r="D19454">
        <v>0.996218741505</v>
      </c>
      <c r="E19454">
        <v>5.7</v>
      </c>
    </row>
    <row r="19455" spans="1:5">
      <c r="A19455" t="s">
        <v>45958</v>
      </c>
      <c r="B19455" t="s">
        <v>32286</v>
      </c>
      <c r="C19455">
        <f>0.752939598643</f>
        <v>0.75293959864299997</v>
      </c>
      <c r="D19455">
        <v>0.996218741505</v>
      </c>
      <c r="E19455">
        <v>5.7</v>
      </c>
    </row>
    <row r="19456" spans="1:5">
      <c r="A19456" t="s">
        <v>45958</v>
      </c>
      <c r="B19456" t="s">
        <v>32285</v>
      </c>
      <c r="C19456">
        <v>0.32976912259300001</v>
      </c>
      <c r="D19456">
        <v>0.996218741505</v>
      </c>
      <c r="E19456">
        <v>5.7</v>
      </c>
    </row>
    <row r="19457" spans="1:5">
      <c r="A19457" t="s">
        <v>45958</v>
      </c>
      <c r="B19457" t="s">
        <v>32288</v>
      </c>
      <c r="C19457">
        <f>0.113401331872</f>
        <v>0.11340133187199999</v>
      </c>
      <c r="D19457">
        <v>0.996218741505</v>
      </c>
      <c r="E19457">
        <v>5.7</v>
      </c>
    </row>
    <row r="19458" spans="1:5">
      <c r="A19458" t="s">
        <v>45959</v>
      </c>
      <c r="B19458" t="s">
        <v>20657</v>
      </c>
      <c r="C19458">
        <v>0.73564599467000003</v>
      </c>
      <c r="D19458">
        <v>0.99998461498799995</v>
      </c>
      <c r="E19458">
        <v>11.538</v>
      </c>
    </row>
    <row r="19459" spans="1:5">
      <c r="A19459" t="s">
        <v>45959</v>
      </c>
      <c r="B19459" t="s">
        <v>20656</v>
      </c>
      <c r="C19459">
        <v>6.3967512389999995E-2</v>
      </c>
      <c r="D19459">
        <v>0.99998461498799995</v>
      </c>
      <c r="E19459">
        <v>11.538</v>
      </c>
    </row>
    <row r="19460" spans="1:5">
      <c r="A19460" t="s">
        <v>45959</v>
      </c>
      <c r="B19460" t="s">
        <v>20652</v>
      </c>
      <c r="C19460">
        <v>0.316301387617</v>
      </c>
      <c r="D19460">
        <v>0.99998461498799995</v>
      </c>
      <c r="E19460">
        <v>11.538</v>
      </c>
    </row>
    <row r="19461" spans="1:5">
      <c r="A19461" t="s">
        <v>45959</v>
      </c>
      <c r="B19461" t="s">
        <v>20654</v>
      </c>
      <c r="C19461">
        <f>0.519013120355</f>
        <v>0.51901312035500002</v>
      </c>
      <c r="D19461">
        <v>0.99998461498799995</v>
      </c>
      <c r="E19461">
        <v>11.538</v>
      </c>
    </row>
    <row r="19462" spans="1:5">
      <c r="A19462" t="s">
        <v>45959</v>
      </c>
      <c r="B19462" t="s">
        <v>20660</v>
      </c>
      <c r="C19462">
        <f>0.0615976181718</f>
        <v>6.1597618171799998E-2</v>
      </c>
      <c r="D19462">
        <v>0.99998461498799995</v>
      </c>
      <c r="E19462">
        <v>11.538</v>
      </c>
    </row>
    <row r="19463" spans="1:5">
      <c r="A19463" t="s">
        <v>45959</v>
      </c>
      <c r="B19463" t="s">
        <v>20661</v>
      </c>
      <c r="C19463">
        <v>3.7140307830600003E-2</v>
      </c>
      <c r="D19463">
        <v>0.99998461498799995</v>
      </c>
      <c r="E19463">
        <v>11.538</v>
      </c>
    </row>
    <row r="19464" spans="1:5">
      <c r="A19464" t="s">
        <v>45959</v>
      </c>
      <c r="B19464" t="s">
        <v>20659</v>
      </c>
      <c r="C19464">
        <f>0.220392537104</f>
        <v>0.220392537104</v>
      </c>
      <c r="D19464">
        <v>0.99998461498799995</v>
      </c>
      <c r="E19464">
        <v>11.538</v>
      </c>
    </row>
    <row r="19465" spans="1:5">
      <c r="A19465" t="s">
        <v>45959</v>
      </c>
      <c r="B19465" t="s">
        <v>20655</v>
      </c>
      <c r="C19465">
        <f>0.279706822063</f>
        <v>0.27970682206300002</v>
      </c>
      <c r="D19465">
        <v>0.99998461498799995</v>
      </c>
      <c r="E19465">
        <v>11.538</v>
      </c>
    </row>
    <row r="19466" spans="1:5">
      <c r="A19466" t="s">
        <v>45960</v>
      </c>
      <c r="B19466" t="s">
        <v>28565</v>
      </c>
      <c r="C19466">
        <f>0.566356273194</f>
        <v>0.56635627319399995</v>
      </c>
      <c r="D19466">
        <v>0.865977113819</v>
      </c>
      <c r="E19466">
        <v>1.512</v>
      </c>
    </row>
    <row r="19467" spans="1:5">
      <c r="A19467" t="s">
        <v>45960</v>
      </c>
      <c r="B19467" t="s">
        <v>28566</v>
      </c>
      <c r="C19467">
        <f>0.0731096038597</f>
        <v>7.3109603859700001E-2</v>
      </c>
      <c r="D19467">
        <v>0.865977113819</v>
      </c>
      <c r="E19467">
        <v>1.512</v>
      </c>
    </row>
    <row r="19468" spans="1:5">
      <c r="A19468" t="s">
        <v>45960</v>
      </c>
      <c r="B19468" t="s">
        <v>28568</v>
      </c>
      <c r="C19468">
        <f>0.0505892030787</f>
        <v>5.0589203078699997E-2</v>
      </c>
      <c r="D19468">
        <v>0.865977113819</v>
      </c>
      <c r="E19468">
        <v>1.512</v>
      </c>
    </row>
    <row r="19469" spans="1:5">
      <c r="A19469" t="s">
        <v>45961</v>
      </c>
      <c r="B19469" t="s">
        <v>24700</v>
      </c>
      <c r="C19469">
        <v>7.3366047446300001E-2</v>
      </c>
      <c r="D19469">
        <v>0.94387157699299995</v>
      </c>
      <c r="E19469">
        <v>0</v>
      </c>
    </row>
    <row r="19470" spans="1:5">
      <c r="A19470" t="s">
        <v>45961</v>
      </c>
      <c r="B19470" t="s">
        <v>24704</v>
      </c>
      <c r="C19470">
        <f>0</f>
        <v>0</v>
      </c>
      <c r="D19470">
        <v>0.94387157699299995</v>
      </c>
      <c r="E19470">
        <v>0</v>
      </c>
    </row>
    <row r="19471" spans="1:5">
      <c r="A19471" t="s">
        <v>45961</v>
      </c>
      <c r="B19471" t="s">
        <v>24698</v>
      </c>
      <c r="C19471">
        <f>0.541893005475</f>
        <v>0.54189300547499997</v>
      </c>
      <c r="D19471">
        <v>0.94387157699299995</v>
      </c>
      <c r="E19471">
        <v>0</v>
      </c>
    </row>
    <row r="19472" spans="1:5">
      <c r="A19472" t="s">
        <v>45961</v>
      </c>
      <c r="B19472" t="s">
        <v>24702</v>
      </c>
      <c r="C19472">
        <v>0</v>
      </c>
      <c r="D19472">
        <v>0.94387157699299995</v>
      </c>
      <c r="E19472">
        <v>0</v>
      </c>
    </row>
    <row r="19473" spans="1:5">
      <c r="A19473" t="s">
        <v>45961</v>
      </c>
      <c r="B19473" t="s">
        <v>24701</v>
      </c>
      <c r="C19473">
        <v>0.98741419699999999</v>
      </c>
      <c r="D19473">
        <v>0.94387157699299995</v>
      </c>
      <c r="E19473">
        <v>0</v>
      </c>
    </row>
    <row r="19474" spans="1:5">
      <c r="A19474" t="s">
        <v>45962</v>
      </c>
      <c r="B19474" t="s">
        <v>13740</v>
      </c>
      <c r="C19474">
        <v>0</v>
      </c>
      <c r="D19474">
        <v>0.55434565723899998</v>
      </c>
      <c r="E19474">
        <v>24</v>
      </c>
    </row>
    <row r="19475" spans="1:5">
      <c r="A19475" t="s">
        <v>45962</v>
      </c>
      <c r="B19475" t="s">
        <v>13741</v>
      </c>
      <c r="C19475">
        <v>0.24073565723900001</v>
      </c>
      <c r="D19475">
        <v>0.55434565723899998</v>
      </c>
      <c r="E19475">
        <v>24</v>
      </c>
    </row>
    <row r="19476" spans="1:5">
      <c r="A19476" t="s">
        <v>45963</v>
      </c>
      <c r="B19476" t="s">
        <v>24500</v>
      </c>
      <c r="C19476">
        <f>0</f>
        <v>0</v>
      </c>
      <c r="D19476" t="s">
        <v>106</v>
      </c>
      <c r="E19476">
        <v>7.0679999999999996</v>
      </c>
    </row>
    <row r="19477" spans="1:5">
      <c r="A19477" t="s">
        <v>45963</v>
      </c>
      <c r="B19477" t="s">
        <v>24502</v>
      </c>
      <c r="C19477">
        <v>0</v>
      </c>
      <c r="D19477" t="s">
        <v>106</v>
      </c>
      <c r="E19477">
        <v>7.0679999999999996</v>
      </c>
    </row>
    <row r="19478" spans="1:5">
      <c r="A19478" t="s">
        <v>45963</v>
      </c>
      <c r="B19478" t="s">
        <v>24504</v>
      </c>
      <c r="C19478">
        <f>0</f>
        <v>0</v>
      </c>
      <c r="D19478" t="s">
        <v>106</v>
      </c>
      <c r="E19478">
        <v>7.0679999999999996</v>
      </c>
    </row>
    <row r="19479" spans="1:5">
      <c r="A19479" t="s">
        <v>45963</v>
      </c>
      <c r="B19479" t="s">
        <v>24505</v>
      </c>
      <c r="C19479">
        <f>0</f>
        <v>0</v>
      </c>
      <c r="D19479" t="s">
        <v>106</v>
      </c>
      <c r="E19479">
        <v>7.0679999999999996</v>
      </c>
    </row>
    <row r="19480" spans="1:5">
      <c r="A19480" t="s">
        <v>45964</v>
      </c>
      <c r="B19480" t="s">
        <v>18007</v>
      </c>
      <c r="C19480">
        <v>0</v>
      </c>
      <c r="D19480">
        <v>0.56804244373099999</v>
      </c>
      <c r="E19480">
        <v>23.754000000000001</v>
      </c>
    </row>
    <row r="19481" spans="1:5">
      <c r="A19481" t="s">
        <v>45964</v>
      </c>
      <c r="B19481" t="s">
        <v>18008</v>
      </c>
      <c r="C19481">
        <v>0.29763244373100001</v>
      </c>
      <c r="D19481">
        <v>0.56804244373099999</v>
      </c>
      <c r="E19481">
        <v>23.754000000000001</v>
      </c>
    </row>
    <row r="19482" spans="1:5">
      <c r="A19482" t="s">
        <v>45965</v>
      </c>
      <c r="B19482" t="s">
        <v>45966</v>
      </c>
      <c r="C19482">
        <v>0</v>
      </c>
      <c r="D19482">
        <v>0.761258359469</v>
      </c>
      <c r="E19482">
        <v>3.3180000000000001</v>
      </c>
    </row>
    <row r="19483" spans="1:5">
      <c r="A19483" t="s">
        <v>45965</v>
      </c>
      <c r="B19483" t="s">
        <v>45967</v>
      </c>
      <c r="C19483">
        <f>0</f>
        <v>0</v>
      </c>
      <c r="D19483">
        <v>0.761258359469</v>
      </c>
      <c r="E19483">
        <v>3.3180000000000001</v>
      </c>
    </row>
    <row r="19484" spans="1:5">
      <c r="A19484" t="s">
        <v>45965</v>
      </c>
      <c r="B19484" t="s">
        <v>45968</v>
      </c>
      <c r="C19484">
        <v>0.530848359469</v>
      </c>
      <c r="D19484">
        <v>0.761258359469</v>
      </c>
      <c r="E19484">
        <v>3.3180000000000001</v>
      </c>
    </row>
    <row r="19485" spans="1:5">
      <c r="A19485" t="s">
        <v>45969</v>
      </c>
      <c r="B19485" t="s">
        <v>17256</v>
      </c>
      <c r="C19485">
        <v>0</v>
      </c>
      <c r="D19485" t="s">
        <v>106</v>
      </c>
      <c r="E19485">
        <v>6.18</v>
      </c>
    </row>
    <row r="19486" spans="1:5">
      <c r="A19486" t="s">
        <v>45969</v>
      </c>
      <c r="B19486" t="s">
        <v>17252</v>
      </c>
      <c r="C19486">
        <v>0</v>
      </c>
      <c r="D19486" t="s">
        <v>106</v>
      </c>
      <c r="E19486">
        <v>6.18</v>
      </c>
    </row>
    <row r="19487" spans="1:5">
      <c r="A19487" t="s">
        <v>45970</v>
      </c>
      <c r="B19487" t="s">
        <v>20979</v>
      </c>
      <c r="C19487">
        <f>0.219938565208</f>
        <v>0.21993856520800001</v>
      </c>
      <c r="D19487">
        <v>0.90443220331800001</v>
      </c>
      <c r="E19487">
        <v>1.698</v>
      </c>
    </row>
    <row r="19488" spans="1:5">
      <c r="A19488" t="s">
        <v>45970</v>
      </c>
      <c r="B19488" t="s">
        <v>20977</v>
      </c>
      <c r="C19488">
        <f>0.866071125643</f>
        <v>0.86607112564300004</v>
      </c>
      <c r="D19488">
        <v>0.90443220331800001</v>
      </c>
      <c r="E19488">
        <v>1.698</v>
      </c>
    </row>
    <row r="19489" spans="1:5">
      <c r="A19489" t="s">
        <v>45971</v>
      </c>
      <c r="B19489" t="s">
        <v>25880</v>
      </c>
      <c r="C19489">
        <f>0</f>
        <v>0</v>
      </c>
      <c r="D19489">
        <v>0.99497647607600004</v>
      </c>
      <c r="E19489">
        <v>23.754000000000001</v>
      </c>
    </row>
    <row r="19490" spans="1:5">
      <c r="A19490" t="s">
        <v>45971</v>
      </c>
      <c r="B19490" t="s">
        <v>25881</v>
      </c>
      <c r="C19490">
        <f>0</f>
        <v>0</v>
      </c>
      <c r="D19490">
        <v>0.99497647607600004</v>
      </c>
      <c r="E19490">
        <v>23.754000000000001</v>
      </c>
    </row>
    <row r="19491" spans="1:5">
      <c r="A19491" t="s">
        <v>45971</v>
      </c>
      <c r="B19491" t="s">
        <v>25886</v>
      </c>
      <c r="C19491">
        <f>0.486651738898</f>
        <v>0.48665173889800001</v>
      </c>
      <c r="D19491">
        <v>0.99497647607600004</v>
      </c>
      <c r="E19491">
        <v>23.754000000000001</v>
      </c>
    </row>
    <row r="19492" spans="1:5">
      <c r="A19492" t="s">
        <v>45971</v>
      </c>
      <c r="B19492" t="s">
        <v>25882</v>
      </c>
      <c r="C19492">
        <f>0.555726933981</f>
        <v>0.55572693398100004</v>
      </c>
      <c r="D19492">
        <v>0.99497647607600004</v>
      </c>
      <c r="E19492">
        <v>23.754000000000001</v>
      </c>
    </row>
    <row r="19493" spans="1:5">
      <c r="A19493" t="s">
        <v>45971</v>
      </c>
      <c r="B19493" t="s">
        <v>25889</v>
      </c>
      <c r="C19493">
        <v>0.53634615873199998</v>
      </c>
      <c r="D19493">
        <v>0.99497647607600004</v>
      </c>
      <c r="E19493">
        <v>23.754000000000001</v>
      </c>
    </row>
    <row r="19494" spans="1:5">
      <c r="A19494" t="s">
        <v>45971</v>
      </c>
      <c r="B19494" t="s">
        <v>25884</v>
      </c>
      <c r="C19494">
        <f>0.531425302028</f>
        <v>0.53142530202799998</v>
      </c>
      <c r="D19494">
        <v>0.99497647607600004</v>
      </c>
      <c r="E19494">
        <v>23.754000000000001</v>
      </c>
    </row>
    <row r="19495" spans="1:5">
      <c r="A19495" t="s">
        <v>45971</v>
      </c>
      <c r="B19495" t="s">
        <v>25885</v>
      </c>
      <c r="C19495">
        <f>0.266958757338</f>
        <v>0.26695875733800001</v>
      </c>
      <c r="D19495">
        <v>0.99497647607600004</v>
      </c>
      <c r="E19495">
        <v>23.754000000000001</v>
      </c>
    </row>
    <row r="19496" spans="1:5">
      <c r="A19496" t="s">
        <v>45972</v>
      </c>
      <c r="B19496" t="s">
        <v>18186</v>
      </c>
      <c r="C19496">
        <f>0.308051460835</f>
        <v>0.30805146083500001</v>
      </c>
      <c r="D19496">
        <v>0.98832892003899997</v>
      </c>
      <c r="E19496">
        <v>24</v>
      </c>
    </row>
    <row r="19497" spans="1:5">
      <c r="A19497" t="s">
        <v>45972</v>
      </c>
      <c r="B19497" t="s">
        <v>18181</v>
      </c>
      <c r="C19497">
        <f>0.462466593561</f>
        <v>0.46246659356100001</v>
      </c>
      <c r="D19497">
        <v>0.98832892003899997</v>
      </c>
      <c r="E19497">
        <v>24</v>
      </c>
    </row>
    <row r="19498" spans="1:5">
      <c r="A19498" t="s">
        <v>45972</v>
      </c>
      <c r="B19498" t="s">
        <v>18187</v>
      </c>
      <c r="C19498">
        <v>0.66408774003100002</v>
      </c>
      <c r="D19498">
        <v>0.98832892003899997</v>
      </c>
      <c r="E19498">
        <v>24</v>
      </c>
    </row>
    <row r="19499" spans="1:5">
      <c r="A19499" t="s">
        <v>45972</v>
      </c>
      <c r="B19499" t="s">
        <v>18182</v>
      </c>
      <c r="C19499">
        <v>0.249089581028</v>
      </c>
      <c r="D19499">
        <v>0.98832892003899997</v>
      </c>
      <c r="E19499">
        <v>24</v>
      </c>
    </row>
    <row r="19500" spans="1:5">
      <c r="A19500" t="s">
        <v>45972</v>
      </c>
      <c r="B19500" t="s">
        <v>18185</v>
      </c>
      <c r="C19500">
        <v>0.43667559707499998</v>
      </c>
      <c r="D19500">
        <v>0.98832892003899997</v>
      </c>
      <c r="E19500">
        <v>24</v>
      </c>
    </row>
    <row r="19501" spans="1:5">
      <c r="A19501" t="s">
        <v>45973</v>
      </c>
      <c r="B19501" t="s">
        <v>20308</v>
      </c>
      <c r="C19501">
        <f>0</f>
        <v>0</v>
      </c>
      <c r="D19501" t="s">
        <v>106</v>
      </c>
      <c r="E19501">
        <v>24</v>
      </c>
    </row>
    <row r="19502" spans="1:5">
      <c r="A19502" t="s">
        <v>45973</v>
      </c>
      <c r="B19502" t="s">
        <v>20314</v>
      </c>
      <c r="C19502">
        <f>0</f>
        <v>0</v>
      </c>
      <c r="D19502" t="s">
        <v>106</v>
      </c>
      <c r="E19502">
        <v>24</v>
      </c>
    </row>
    <row r="19503" spans="1:5">
      <c r="A19503" t="s">
        <v>45973</v>
      </c>
      <c r="B19503" t="s">
        <v>20315</v>
      </c>
      <c r="C19503">
        <f>0</f>
        <v>0</v>
      </c>
      <c r="D19503" t="s">
        <v>106</v>
      </c>
      <c r="E19503">
        <v>24</v>
      </c>
    </row>
    <row r="19504" spans="1:5">
      <c r="A19504" t="s">
        <v>45973</v>
      </c>
      <c r="B19504" t="s">
        <v>20313</v>
      </c>
      <c r="C19504">
        <v>0</v>
      </c>
      <c r="D19504" t="s">
        <v>106</v>
      </c>
      <c r="E19504">
        <v>24</v>
      </c>
    </row>
    <row r="19505" spans="1:5">
      <c r="A19505" t="s">
        <v>45973</v>
      </c>
      <c r="B19505" t="s">
        <v>20310</v>
      </c>
      <c r="C19505">
        <f>0</f>
        <v>0</v>
      </c>
      <c r="D19505" t="s">
        <v>106</v>
      </c>
      <c r="E19505">
        <v>24</v>
      </c>
    </row>
    <row r="19506" spans="1:5">
      <c r="A19506" t="s">
        <v>45973</v>
      </c>
      <c r="B19506" t="s">
        <v>20309</v>
      </c>
      <c r="C19506">
        <f>0</f>
        <v>0</v>
      </c>
      <c r="D19506" t="s">
        <v>106</v>
      </c>
      <c r="E19506">
        <v>24</v>
      </c>
    </row>
    <row r="19507" spans="1:5">
      <c r="A19507" t="s">
        <v>45973</v>
      </c>
      <c r="B19507" t="s">
        <v>20312</v>
      </c>
      <c r="C19507">
        <v>0</v>
      </c>
      <c r="D19507" t="s">
        <v>106</v>
      </c>
      <c r="E19507">
        <v>24</v>
      </c>
    </row>
    <row r="19508" spans="1:5">
      <c r="A19508" t="s">
        <v>45973</v>
      </c>
      <c r="B19508" t="s">
        <v>20317</v>
      </c>
      <c r="C19508">
        <v>0</v>
      </c>
      <c r="D19508" t="s">
        <v>106</v>
      </c>
      <c r="E19508">
        <v>24</v>
      </c>
    </row>
    <row r="19509" spans="1:5">
      <c r="A19509" t="s">
        <v>45974</v>
      </c>
      <c r="B19509" t="s">
        <v>23205</v>
      </c>
      <c r="C19509">
        <v>0</v>
      </c>
      <c r="D19509" t="s">
        <v>106</v>
      </c>
      <c r="E19509">
        <v>0.47399999999999998</v>
      </c>
    </row>
    <row r="19510" spans="1:5">
      <c r="A19510" t="s">
        <v>45974</v>
      </c>
      <c r="B19510" t="s">
        <v>23202</v>
      </c>
      <c r="C19510">
        <f>0</f>
        <v>0</v>
      </c>
      <c r="D19510" t="s">
        <v>106</v>
      </c>
      <c r="E19510">
        <v>0.47399999999999998</v>
      </c>
    </row>
    <row r="19511" spans="1:5">
      <c r="A19511" t="s">
        <v>45975</v>
      </c>
      <c r="B19511" t="s">
        <v>21902</v>
      </c>
      <c r="C19511">
        <v>8.74404084207E-2</v>
      </c>
      <c r="D19511">
        <v>0.74841188497699995</v>
      </c>
      <c r="E19511">
        <v>5.2380000000000004</v>
      </c>
    </row>
    <row r="19512" spans="1:5">
      <c r="A19512" t="s">
        <v>45975</v>
      </c>
      <c r="B19512" t="s">
        <v>21903</v>
      </c>
      <c r="C19512">
        <f>0</f>
        <v>0</v>
      </c>
      <c r="D19512">
        <v>0.74841188497699995</v>
      </c>
      <c r="E19512">
        <v>5.2380000000000004</v>
      </c>
    </row>
    <row r="19513" spans="1:5">
      <c r="A19513" t="s">
        <v>45975</v>
      </c>
      <c r="B19513" t="s">
        <v>21906</v>
      </c>
      <c r="C19513">
        <v>0.50470767331099997</v>
      </c>
      <c r="D19513">
        <v>0.74841188497699995</v>
      </c>
      <c r="E19513">
        <v>5.2380000000000004</v>
      </c>
    </row>
    <row r="19514" spans="1:5">
      <c r="A19514" t="s">
        <v>45975</v>
      </c>
      <c r="B19514" t="s">
        <v>21905</v>
      </c>
      <c r="C19514">
        <f>0</f>
        <v>0</v>
      </c>
      <c r="D19514">
        <v>0.74841188497699995</v>
      </c>
      <c r="E19514">
        <v>5.2380000000000004</v>
      </c>
    </row>
    <row r="19515" spans="1:5">
      <c r="A19515" t="s">
        <v>45976</v>
      </c>
      <c r="B19515" t="s">
        <v>45977</v>
      </c>
      <c r="C19515">
        <v>0</v>
      </c>
      <c r="D19515">
        <v>0.73659180175399996</v>
      </c>
      <c r="E19515">
        <v>17.303999999999998</v>
      </c>
    </row>
    <row r="19516" spans="1:5">
      <c r="A19516" t="s">
        <v>45976</v>
      </c>
      <c r="B19516" t="s">
        <v>45978</v>
      </c>
      <c r="C19516">
        <v>0</v>
      </c>
      <c r="D19516">
        <v>0.73659180175399996</v>
      </c>
      <c r="E19516">
        <v>17.303999999999998</v>
      </c>
    </row>
    <row r="19517" spans="1:5">
      <c r="A19517" t="s">
        <v>45976</v>
      </c>
      <c r="B19517" t="s">
        <v>45979</v>
      </c>
      <c r="C19517">
        <v>0.21818180175400001</v>
      </c>
      <c r="D19517">
        <v>0.73659180175399996</v>
      </c>
      <c r="E19517">
        <v>17.303999999999998</v>
      </c>
    </row>
    <row r="19518" spans="1:5">
      <c r="A19518" t="s">
        <v>45976</v>
      </c>
      <c r="B19518" t="s">
        <v>45980</v>
      </c>
      <c r="C19518">
        <v>0</v>
      </c>
      <c r="D19518">
        <v>0.73659180175399996</v>
      </c>
      <c r="E19518">
        <v>17.303999999999998</v>
      </c>
    </row>
    <row r="19519" spans="1:5">
      <c r="A19519" t="s">
        <v>45981</v>
      </c>
      <c r="B19519" t="s">
        <v>31982</v>
      </c>
      <c r="C19519">
        <v>0</v>
      </c>
      <c r="D19519">
        <v>0.80484023517699999</v>
      </c>
      <c r="E19519">
        <v>24</v>
      </c>
    </row>
    <row r="19520" spans="1:5">
      <c r="A19520" t="s">
        <v>45981</v>
      </c>
      <c r="B19520" t="s">
        <v>31989</v>
      </c>
      <c r="C19520">
        <v>0.42915399153599998</v>
      </c>
      <c r="D19520">
        <v>0.80484023517699999</v>
      </c>
      <c r="E19520">
        <v>24</v>
      </c>
    </row>
    <row r="19521" spans="1:5">
      <c r="A19521" t="s">
        <v>45981</v>
      </c>
      <c r="B19521" t="s">
        <v>31983</v>
      </c>
      <c r="C19521">
        <v>0.16325337837100001</v>
      </c>
      <c r="D19521">
        <v>0.80484023517699999</v>
      </c>
      <c r="E19521">
        <v>24</v>
      </c>
    </row>
    <row r="19522" spans="1:5">
      <c r="A19522" t="s">
        <v>45981</v>
      </c>
      <c r="B19522" t="s">
        <v>31988</v>
      </c>
      <c r="C19522">
        <v>0</v>
      </c>
      <c r="D19522">
        <v>0.80484023517699999</v>
      </c>
      <c r="E19522">
        <v>24</v>
      </c>
    </row>
    <row r="19523" spans="1:5">
      <c r="A19523" t="s">
        <v>45981</v>
      </c>
      <c r="B19523" t="s">
        <v>31987</v>
      </c>
      <c r="C19523">
        <v>0.33896324624899998</v>
      </c>
      <c r="D19523">
        <v>0.80484023517699999</v>
      </c>
      <c r="E19523">
        <v>24</v>
      </c>
    </row>
    <row r="19524" spans="1:5">
      <c r="A19524" t="s">
        <v>45982</v>
      </c>
      <c r="B19524" t="s">
        <v>11143</v>
      </c>
      <c r="C19524">
        <f>0.608246296339</f>
        <v>0.60824629633899996</v>
      </c>
      <c r="D19524">
        <v>0.84141632708000003</v>
      </c>
      <c r="E19524">
        <v>23.754000000000001</v>
      </c>
    </row>
    <row r="19525" spans="1:5">
      <c r="A19525" t="s">
        <v>45982</v>
      </c>
      <c r="B19525" t="s">
        <v>11142</v>
      </c>
      <c r="C19525">
        <f>0</f>
        <v>0</v>
      </c>
      <c r="D19525">
        <v>0.84141632708000003</v>
      </c>
      <c r="E19525">
        <v>23.754000000000001</v>
      </c>
    </row>
    <row r="19526" spans="1:5">
      <c r="A19526" t="s">
        <v>45982</v>
      </c>
      <c r="B19526" t="s">
        <v>11141</v>
      </c>
      <c r="C19526">
        <v>0.78685239331400003</v>
      </c>
      <c r="D19526">
        <v>0.84141632708000003</v>
      </c>
      <c r="E19526">
        <v>23.754000000000001</v>
      </c>
    </row>
    <row r="19527" spans="1:5">
      <c r="A19527" t="s">
        <v>45983</v>
      </c>
      <c r="B19527" t="s">
        <v>9445</v>
      </c>
      <c r="C19527">
        <v>0.41492110483700001</v>
      </c>
      <c r="D19527">
        <v>0.82780190762700001</v>
      </c>
      <c r="E19527">
        <v>10.08</v>
      </c>
    </row>
    <row r="19528" spans="1:5">
      <c r="A19528" t="s">
        <v>45983</v>
      </c>
      <c r="B19528" t="s">
        <v>45984</v>
      </c>
      <c r="C19528">
        <v>0.60197479864699999</v>
      </c>
      <c r="D19528">
        <v>0.82780190762700001</v>
      </c>
      <c r="E19528">
        <v>10.08</v>
      </c>
    </row>
    <row r="19529" spans="1:5">
      <c r="A19529" t="s">
        <v>45985</v>
      </c>
      <c r="B19529" t="s">
        <v>45986</v>
      </c>
      <c r="C19529">
        <v>0.431740478526</v>
      </c>
      <c r="D19529">
        <v>0.59175047852600005</v>
      </c>
      <c r="E19529">
        <v>6.3</v>
      </c>
    </row>
    <row r="19530" spans="1:5">
      <c r="A19530" t="s">
        <v>45985</v>
      </c>
      <c r="B19530" t="s">
        <v>45987</v>
      </c>
      <c r="C19530">
        <v>0</v>
      </c>
      <c r="D19530">
        <v>0.59175047852600005</v>
      </c>
      <c r="E19530">
        <v>6.3</v>
      </c>
    </row>
    <row r="19531" spans="1:5">
      <c r="A19531" t="s">
        <v>45988</v>
      </c>
      <c r="B19531" t="s">
        <v>45989</v>
      </c>
      <c r="C19531">
        <v>0.47975557094499999</v>
      </c>
      <c r="D19531">
        <v>0.87776400804700005</v>
      </c>
      <c r="E19531">
        <v>24</v>
      </c>
    </row>
    <row r="19532" spans="1:5">
      <c r="A19532" t="s">
        <v>45988</v>
      </c>
      <c r="B19532" t="s">
        <v>45990</v>
      </c>
      <c r="C19532">
        <v>0.41326919253799999</v>
      </c>
      <c r="D19532">
        <v>0.87776400804700005</v>
      </c>
      <c r="E19532">
        <v>24</v>
      </c>
    </row>
    <row r="19533" spans="1:5">
      <c r="A19533" t="s">
        <v>45991</v>
      </c>
      <c r="B19533" t="s">
        <v>45992</v>
      </c>
      <c r="C19533">
        <v>0</v>
      </c>
      <c r="D19533">
        <v>0.35594673046399999</v>
      </c>
      <c r="E19533">
        <v>18.768000000000001</v>
      </c>
    </row>
    <row r="19534" spans="1:5">
      <c r="A19534" t="s">
        <v>45991</v>
      </c>
      <c r="B19534" t="s">
        <v>45993</v>
      </c>
      <c r="C19534">
        <v>0.12553673046399999</v>
      </c>
      <c r="D19534">
        <v>0.35594673046399999</v>
      </c>
      <c r="E19534">
        <v>18.768000000000001</v>
      </c>
    </row>
    <row r="19535" spans="1:5">
      <c r="A19535" t="s">
        <v>45994</v>
      </c>
      <c r="B19535" t="s">
        <v>18714</v>
      </c>
      <c r="C19535">
        <v>0</v>
      </c>
      <c r="D19535" t="s">
        <v>106</v>
      </c>
      <c r="E19535">
        <v>13.092000000000001</v>
      </c>
    </row>
    <row r="19536" spans="1:5">
      <c r="A19536" t="s">
        <v>45994</v>
      </c>
      <c r="B19536" t="s">
        <v>18721</v>
      </c>
      <c r="C19536">
        <v>0</v>
      </c>
      <c r="D19536" t="s">
        <v>106</v>
      </c>
      <c r="E19536">
        <v>13.092000000000001</v>
      </c>
    </row>
    <row r="19537" spans="1:5">
      <c r="A19537" t="s">
        <v>45994</v>
      </c>
      <c r="B19537" t="s">
        <v>18718</v>
      </c>
      <c r="C19537">
        <v>0</v>
      </c>
      <c r="D19537" t="s">
        <v>106</v>
      </c>
      <c r="E19537">
        <v>13.092000000000001</v>
      </c>
    </row>
    <row r="19538" spans="1:5">
      <c r="A19538" t="s">
        <v>45994</v>
      </c>
      <c r="B19538" t="s">
        <v>18710</v>
      </c>
      <c r="C19538">
        <v>0</v>
      </c>
      <c r="D19538" t="s">
        <v>106</v>
      </c>
      <c r="E19538">
        <v>13.092000000000001</v>
      </c>
    </row>
    <row r="19539" spans="1:5">
      <c r="A19539" t="s">
        <v>45995</v>
      </c>
      <c r="B19539" t="s">
        <v>13956</v>
      </c>
      <c r="C19539">
        <f>0.216393865552</f>
        <v>0.21639386555199999</v>
      </c>
      <c r="D19539">
        <v>0.99999998961600001</v>
      </c>
      <c r="E19539">
        <v>16.295999999999999</v>
      </c>
    </row>
    <row r="19540" spans="1:5">
      <c r="A19540" t="s">
        <v>45995</v>
      </c>
      <c r="B19540" t="s">
        <v>13942</v>
      </c>
      <c r="C19540">
        <v>0.881150131319</v>
      </c>
      <c r="D19540">
        <v>0.99999998961600001</v>
      </c>
      <c r="E19540">
        <v>16.295999999999999</v>
      </c>
    </row>
    <row r="19541" spans="1:5">
      <c r="A19541" t="s">
        <v>45995</v>
      </c>
      <c r="B19541" t="s">
        <v>13947</v>
      </c>
      <c r="C19541">
        <f>0.25215410418</f>
        <v>0.25215410418</v>
      </c>
      <c r="D19541">
        <v>0.99999998961600001</v>
      </c>
      <c r="E19541">
        <v>16.295999999999999</v>
      </c>
    </row>
    <row r="19542" spans="1:5">
      <c r="A19542" t="s">
        <v>45995</v>
      </c>
      <c r="B19542" t="s">
        <v>13959</v>
      </c>
      <c r="C19542">
        <v>0.59813579743800005</v>
      </c>
      <c r="D19542">
        <v>0.99999998961600001</v>
      </c>
      <c r="E19542">
        <v>16.295999999999999</v>
      </c>
    </row>
    <row r="19543" spans="1:5">
      <c r="A19543" t="s">
        <v>45995</v>
      </c>
      <c r="B19543" t="s">
        <v>13955</v>
      </c>
      <c r="C19543">
        <f>0.22100066076</f>
        <v>0.22100066076</v>
      </c>
      <c r="D19543">
        <v>0.99999998961600001</v>
      </c>
      <c r="E19543">
        <v>16.295999999999999</v>
      </c>
    </row>
    <row r="19544" spans="1:5">
      <c r="A19544" t="s">
        <v>45995</v>
      </c>
      <c r="B19544" t="s">
        <v>13958</v>
      </c>
      <c r="C19544">
        <v>5.9958132448899998E-2</v>
      </c>
      <c r="D19544">
        <v>0.99999998961600001</v>
      </c>
      <c r="E19544">
        <v>16.295999999999999</v>
      </c>
    </row>
    <row r="19545" spans="1:5">
      <c r="A19545" t="s">
        <v>45995</v>
      </c>
      <c r="B19545" t="s">
        <v>13943</v>
      </c>
      <c r="C19545">
        <f>0.368652486041</f>
        <v>0.36865248604099998</v>
      </c>
      <c r="D19545">
        <v>0.99999998961600001</v>
      </c>
      <c r="E19545">
        <v>16.295999999999999</v>
      </c>
    </row>
    <row r="19546" spans="1:5">
      <c r="A19546" t="s">
        <v>45995</v>
      </c>
      <c r="B19546" t="s">
        <v>13957</v>
      </c>
      <c r="C19546">
        <v>5.3094833129200001E-3</v>
      </c>
      <c r="D19546">
        <v>0.99999998961600001</v>
      </c>
      <c r="E19546">
        <v>16.295999999999999</v>
      </c>
    </row>
    <row r="19547" spans="1:5">
      <c r="A19547" t="s">
        <v>45995</v>
      </c>
      <c r="B19547" t="s">
        <v>13954</v>
      </c>
      <c r="C19547">
        <v>0.18210175299100001</v>
      </c>
      <c r="D19547">
        <v>0.99999998961600001</v>
      </c>
      <c r="E19547">
        <v>16.295999999999999</v>
      </c>
    </row>
    <row r="19548" spans="1:5">
      <c r="A19548" t="s">
        <v>45995</v>
      </c>
      <c r="B19548" t="s">
        <v>13949</v>
      </c>
      <c r="C19548">
        <f>0.222891687187</f>
        <v>0.222891687187</v>
      </c>
      <c r="D19548">
        <v>0.99999998961600001</v>
      </c>
      <c r="E19548">
        <v>16.295999999999999</v>
      </c>
    </row>
    <row r="19549" spans="1:5">
      <c r="A19549" t="s">
        <v>45995</v>
      </c>
      <c r="B19549" t="s">
        <v>13961</v>
      </c>
      <c r="C19549">
        <f>0.427023522184</f>
        <v>0.42702352218400003</v>
      </c>
      <c r="D19549">
        <v>0.99999998961600001</v>
      </c>
      <c r="E19549">
        <v>16.295999999999999</v>
      </c>
    </row>
    <row r="19550" spans="1:5">
      <c r="A19550" t="s">
        <v>45995</v>
      </c>
      <c r="B19550" t="s">
        <v>13948</v>
      </c>
      <c r="C19550">
        <v>0.33818494162599999</v>
      </c>
      <c r="D19550">
        <v>0.99999998961600001</v>
      </c>
      <c r="E19550">
        <v>16.295999999999999</v>
      </c>
    </row>
    <row r="19551" spans="1:5">
      <c r="A19551" t="s">
        <v>45995</v>
      </c>
      <c r="B19551" t="s">
        <v>13953</v>
      </c>
      <c r="C19551">
        <f>0.187911992343</f>
        <v>0.18791199234299999</v>
      </c>
      <c r="D19551">
        <v>0.99999998961600001</v>
      </c>
      <c r="E19551">
        <v>16.295999999999999</v>
      </c>
    </row>
    <row r="19552" spans="1:5">
      <c r="A19552" t="s">
        <v>45995</v>
      </c>
      <c r="B19552" t="s">
        <v>13952</v>
      </c>
      <c r="C19552">
        <f>0.310664565597</f>
        <v>0.31066456559700001</v>
      </c>
      <c r="D19552">
        <v>0.99999998961600001</v>
      </c>
      <c r="E19552">
        <v>16.295999999999999</v>
      </c>
    </row>
    <row r="19553" spans="1:5">
      <c r="A19553" t="s">
        <v>45996</v>
      </c>
      <c r="B19553" t="s">
        <v>13268</v>
      </c>
      <c r="C19553">
        <f>0</f>
        <v>0</v>
      </c>
      <c r="D19553" t="s">
        <v>106</v>
      </c>
      <c r="E19553">
        <v>5.4660000000000002</v>
      </c>
    </row>
    <row r="19554" spans="1:5">
      <c r="A19554" t="s">
        <v>45996</v>
      </c>
      <c r="B19554" t="s">
        <v>13269</v>
      </c>
      <c r="C19554">
        <v>0</v>
      </c>
      <c r="D19554" t="s">
        <v>106</v>
      </c>
      <c r="E19554">
        <v>5.4660000000000002</v>
      </c>
    </row>
    <row r="19555" spans="1:5">
      <c r="A19555" t="s">
        <v>45997</v>
      </c>
      <c r="B19555" t="s">
        <v>25464</v>
      </c>
      <c r="C19555">
        <f>0</f>
        <v>0</v>
      </c>
      <c r="D19555" t="s">
        <v>106</v>
      </c>
      <c r="E19555">
        <v>24</v>
      </c>
    </row>
    <row r="19556" spans="1:5">
      <c r="A19556" t="s">
        <v>45997</v>
      </c>
      <c r="B19556" t="s">
        <v>25460</v>
      </c>
      <c r="C19556">
        <v>0</v>
      </c>
      <c r="D19556" t="s">
        <v>106</v>
      </c>
      <c r="E19556">
        <v>24</v>
      </c>
    </row>
    <row r="19557" spans="1:5">
      <c r="A19557" t="s">
        <v>45998</v>
      </c>
      <c r="B19557" t="s">
        <v>8901</v>
      </c>
      <c r="C19557">
        <v>0</v>
      </c>
      <c r="D19557">
        <v>0.45033279746299998</v>
      </c>
      <c r="E19557">
        <v>24</v>
      </c>
    </row>
    <row r="19558" spans="1:5">
      <c r="A19558" t="s">
        <v>45998</v>
      </c>
      <c r="B19558" t="s">
        <v>8902</v>
      </c>
      <c r="C19558">
        <v>0</v>
      </c>
      <c r="D19558">
        <v>0.45033279746299998</v>
      </c>
      <c r="E19558">
        <v>24</v>
      </c>
    </row>
    <row r="19559" spans="1:5">
      <c r="A19559" t="s">
        <v>45998</v>
      </c>
      <c r="B19559" t="s">
        <v>8908</v>
      </c>
      <c r="C19559">
        <v>0</v>
      </c>
      <c r="D19559">
        <v>0.45033279746299998</v>
      </c>
      <c r="E19559">
        <v>24</v>
      </c>
    </row>
    <row r="19560" spans="1:5">
      <c r="A19560" t="s">
        <v>45998</v>
      </c>
      <c r="B19560" t="s">
        <v>8904</v>
      </c>
      <c r="C19560">
        <v>0</v>
      </c>
      <c r="D19560">
        <v>0.45033279746299998</v>
      </c>
      <c r="E19560">
        <v>24</v>
      </c>
    </row>
    <row r="19561" spans="1:5">
      <c r="A19561" t="s">
        <v>45998</v>
      </c>
      <c r="B19561" t="s">
        <v>8909</v>
      </c>
      <c r="C19561">
        <v>0.13672279746300001</v>
      </c>
      <c r="D19561">
        <v>0.45033279746299998</v>
      </c>
      <c r="E19561">
        <v>24</v>
      </c>
    </row>
    <row r="19562" spans="1:5">
      <c r="A19562" t="s">
        <v>45998</v>
      </c>
      <c r="B19562" t="s">
        <v>8906</v>
      </c>
      <c r="C19562">
        <v>0</v>
      </c>
      <c r="D19562">
        <v>0.45033279746299998</v>
      </c>
      <c r="E19562">
        <v>24</v>
      </c>
    </row>
    <row r="19563" spans="1:5">
      <c r="A19563" t="s">
        <v>45999</v>
      </c>
      <c r="B19563" t="s">
        <v>46000</v>
      </c>
      <c r="C19563">
        <v>0</v>
      </c>
      <c r="D19563" t="s">
        <v>106</v>
      </c>
      <c r="E19563">
        <v>24</v>
      </c>
    </row>
    <row r="19564" spans="1:5">
      <c r="A19564" t="s">
        <v>45999</v>
      </c>
      <c r="B19564" t="s">
        <v>46001</v>
      </c>
      <c r="C19564">
        <f>0</f>
        <v>0</v>
      </c>
      <c r="D19564" t="s">
        <v>106</v>
      </c>
      <c r="E19564">
        <v>24</v>
      </c>
    </row>
    <row r="19565" spans="1:5">
      <c r="A19565" t="s">
        <v>45999</v>
      </c>
      <c r="B19565" t="s">
        <v>46002</v>
      </c>
      <c r="C19565">
        <f>0</f>
        <v>0</v>
      </c>
      <c r="D19565" t="s">
        <v>106</v>
      </c>
      <c r="E19565">
        <v>24</v>
      </c>
    </row>
    <row r="19566" spans="1:5">
      <c r="A19566" t="s">
        <v>45999</v>
      </c>
      <c r="B19566" t="s">
        <v>46003</v>
      </c>
      <c r="C19566">
        <v>0</v>
      </c>
      <c r="D19566" t="s">
        <v>106</v>
      </c>
      <c r="E19566">
        <v>24</v>
      </c>
    </row>
    <row r="19567" spans="1:5">
      <c r="A19567" t="s">
        <v>46004</v>
      </c>
      <c r="B19567" t="s">
        <v>21736</v>
      </c>
      <c r="C19567">
        <v>0.36820169351600002</v>
      </c>
      <c r="D19567">
        <v>0.706408230144</v>
      </c>
      <c r="E19567">
        <v>0</v>
      </c>
    </row>
    <row r="19568" spans="1:5">
      <c r="A19568" t="s">
        <v>46004</v>
      </c>
      <c r="B19568" t="s">
        <v>21737</v>
      </c>
      <c r="C19568">
        <v>0.223537017043</v>
      </c>
      <c r="D19568">
        <v>0.706408230144</v>
      </c>
      <c r="E19568">
        <v>0</v>
      </c>
    </row>
    <row r="19569" spans="1:5">
      <c r="A19569" t="s">
        <v>46004</v>
      </c>
      <c r="B19569" t="s">
        <v>21733</v>
      </c>
      <c r="C19569">
        <f>0.0957274910722</f>
        <v>9.5727491072199994E-2</v>
      </c>
      <c r="D19569">
        <v>0.706408230144</v>
      </c>
      <c r="E19569">
        <v>0</v>
      </c>
    </row>
    <row r="19570" spans="1:5">
      <c r="A19570" t="s">
        <v>46005</v>
      </c>
      <c r="B19570" t="s">
        <v>46006</v>
      </c>
      <c r="C19570">
        <f>0</f>
        <v>0</v>
      </c>
      <c r="D19570">
        <v>0.99040041236099996</v>
      </c>
      <c r="E19570">
        <v>9.3179999999999996</v>
      </c>
    </row>
    <row r="19571" spans="1:5">
      <c r="A19571" t="s">
        <v>46005</v>
      </c>
      <c r="B19571" t="s">
        <v>46007</v>
      </c>
      <c r="C19571">
        <f>0.111229834628</f>
        <v>0.111229834628</v>
      </c>
      <c r="D19571">
        <v>0.99040041236099996</v>
      </c>
      <c r="E19571">
        <v>9.3179999999999996</v>
      </c>
    </row>
    <row r="19572" spans="1:5">
      <c r="A19572" t="s">
        <v>46005</v>
      </c>
      <c r="B19572" t="s">
        <v>46008</v>
      </c>
      <c r="C19572">
        <v>0.241280405527</v>
      </c>
      <c r="D19572">
        <v>0.99040041236099996</v>
      </c>
      <c r="E19572">
        <v>9.3179999999999996</v>
      </c>
    </row>
    <row r="19573" spans="1:5">
      <c r="A19573" t="s">
        <v>46005</v>
      </c>
      <c r="B19573" t="s">
        <v>46009</v>
      </c>
      <c r="C19573">
        <v>0.66485452736700001</v>
      </c>
      <c r="D19573">
        <v>0.99040041236099996</v>
      </c>
      <c r="E19573">
        <v>9.3179999999999996</v>
      </c>
    </row>
    <row r="19574" spans="1:5">
      <c r="A19574" t="s">
        <v>46005</v>
      </c>
      <c r="B19574" t="s">
        <v>46010</v>
      </c>
      <c r="C19574">
        <v>0.17325728615200001</v>
      </c>
      <c r="D19574">
        <v>0.99040041236099996</v>
      </c>
      <c r="E19574">
        <v>9.3179999999999996</v>
      </c>
    </row>
    <row r="19575" spans="1:5">
      <c r="A19575" t="s">
        <v>46005</v>
      </c>
      <c r="B19575" t="s">
        <v>46011</v>
      </c>
      <c r="C19575">
        <f>0.643169152364</f>
        <v>0.64316915236399996</v>
      </c>
      <c r="D19575">
        <v>0.99040041236099996</v>
      </c>
      <c r="E19575">
        <v>9.3179999999999996</v>
      </c>
    </row>
    <row r="19576" spans="1:5">
      <c r="A19576" t="s">
        <v>46005</v>
      </c>
      <c r="B19576" t="s">
        <v>46012</v>
      </c>
      <c r="C19576">
        <f>0</f>
        <v>0</v>
      </c>
      <c r="D19576">
        <v>0.99040041236099996</v>
      </c>
      <c r="E19576">
        <v>9.3179999999999996</v>
      </c>
    </row>
    <row r="19577" spans="1:5">
      <c r="A19577" t="s">
        <v>46013</v>
      </c>
      <c r="B19577" t="s">
        <v>3638</v>
      </c>
      <c r="C19577">
        <v>0</v>
      </c>
      <c r="D19577">
        <v>0.999995968352</v>
      </c>
      <c r="E19577">
        <v>1.512</v>
      </c>
    </row>
    <row r="19578" spans="1:5">
      <c r="A19578" t="s">
        <v>46013</v>
      </c>
      <c r="B19578" t="s">
        <v>3636</v>
      </c>
      <c r="C19578">
        <v>0</v>
      </c>
      <c r="D19578">
        <v>0.999995968352</v>
      </c>
      <c r="E19578">
        <v>1.512</v>
      </c>
    </row>
    <row r="19579" spans="1:5">
      <c r="A19579" t="s">
        <v>46013</v>
      </c>
      <c r="B19579" t="s">
        <v>46014</v>
      </c>
      <c r="C19579">
        <v>0.131756484886</v>
      </c>
      <c r="D19579">
        <v>0.999995968352</v>
      </c>
      <c r="E19579">
        <v>1.512</v>
      </c>
    </row>
    <row r="19580" spans="1:5">
      <c r="A19580" t="s">
        <v>46013</v>
      </c>
      <c r="B19580" t="s">
        <v>3639</v>
      </c>
      <c r="C19580">
        <f>0.18550003195</f>
        <v>0.18550003195</v>
      </c>
      <c r="D19580">
        <v>0.999995968352</v>
      </c>
      <c r="E19580">
        <v>1.512</v>
      </c>
    </row>
    <row r="19581" spans="1:5">
      <c r="A19581" t="s">
        <v>46013</v>
      </c>
      <c r="B19581" t="s">
        <v>3645</v>
      </c>
      <c r="C19581">
        <f>0</f>
        <v>0</v>
      </c>
      <c r="D19581">
        <v>0.999995968352</v>
      </c>
      <c r="E19581">
        <v>1.512</v>
      </c>
    </row>
    <row r="19582" spans="1:5">
      <c r="A19582" t="s">
        <v>46013</v>
      </c>
      <c r="B19582" t="s">
        <v>3651</v>
      </c>
      <c r="C19582">
        <f>0.013248750521</f>
        <v>1.3248750521E-2</v>
      </c>
      <c r="D19582">
        <v>0.999995968352</v>
      </c>
      <c r="E19582">
        <v>1.512</v>
      </c>
    </row>
    <row r="19583" spans="1:5">
      <c r="A19583" t="s">
        <v>46013</v>
      </c>
      <c r="B19583" t="s">
        <v>3643</v>
      </c>
      <c r="C19583">
        <f>0.11904850396</f>
        <v>0.11904850396</v>
      </c>
      <c r="D19583">
        <v>0.999995968352</v>
      </c>
      <c r="E19583">
        <v>1.512</v>
      </c>
    </row>
    <row r="19584" spans="1:5">
      <c r="A19584" t="s">
        <v>46013</v>
      </c>
      <c r="B19584" t="s">
        <v>3640</v>
      </c>
      <c r="C19584">
        <v>0.63737208420500002</v>
      </c>
      <c r="D19584">
        <v>0.999995968352</v>
      </c>
      <c r="E19584">
        <v>1.512</v>
      </c>
    </row>
    <row r="19585" spans="1:5">
      <c r="A19585" t="s">
        <v>46013</v>
      </c>
      <c r="B19585" t="s">
        <v>3649</v>
      </c>
      <c r="C19585">
        <v>0.15734808305299999</v>
      </c>
      <c r="D19585">
        <v>0.999995968352</v>
      </c>
      <c r="E19585">
        <v>1.512</v>
      </c>
    </row>
    <row r="19586" spans="1:5">
      <c r="A19586" t="s">
        <v>46013</v>
      </c>
      <c r="B19586" t="s">
        <v>3646</v>
      </c>
      <c r="C19586">
        <f>0.773210846139</f>
        <v>0.77321084613900004</v>
      </c>
      <c r="D19586">
        <v>0.999995968352</v>
      </c>
      <c r="E19586">
        <v>1.512</v>
      </c>
    </row>
    <row r="19587" spans="1:5">
      <c r="A19587" t="s">
        <v>46013</v>
      </c>
      <c r="B19587" t="s">
        <v>3652</v>
      </c>
      <c r="C19587">
        <f>0.256336117852</f>
        <v>0.256336117852</v>
      </c>
      <c r="D19587">
        <v>0.999995968352</v>
      </c>
      <c r="E19587">
        <v>1.512</v>
      </c>
    </row>
    <row r="19588" spans="1:5">
      <c r="A19588" t="s">
        <v>46015</v>
      </c>
      <c r="B19588" t="s">
        <v>29066</v>
      </c>
      <c r="C19588">
        <v>0</v>
      </c>
      <c r="D19588">
        <v>0.80584467580899999</v>
      </c>
      <c r="E19588">
        <v>4.8000000000000001E-2</v>
      </c>
    </row>
    <row r="19589" spans="1:5">
      <c r="A19589" t="s">
        <v>46015</v>
      </c>
      <c r="B19589" t="s">
        <v>29059</v>
      </c>
      <c r="C19589">
        <f>0.246920868325</f>
        <v>0.24692086832499999</v>
      </c>
      <c r="D19589">
        <v>0.80584467580899999</v>
      </c>
      <c r="E19589">
        <v>4.8000000000000001E-2</v>
      </c>
    </row>
    <row r="19590" spans="1:5">
      <c r="A19590" t="s">
        <v>46015</v>
      </c>
      <c r="B19590" t="s">
        <v>29060</v>
      </c>
      <c r="C19590">
        <f>0.54026331237</f>
        <v>0.54026331237000003</v>
      </c>
      <c r="D19590">
        <v>0.80584467580899999</v>
      </c>
      <c r="E19590">
        <v>4.8000000000000001E-2</v>
      </c>
    </row>
    <row r="19591" spans="1:5">
      <c r="A19591" t="s">
        <v>46016</v>
      </c>
      <c r="B19591" t="s">
        <v>28632</v>
      </c>
      <c r="C19591">
        <v>0.63609972928400005</v>
      </c>
      <c r="D19591">
        <v>0.67440210323299998</v>
      </c>
      <c r="E19591">
        <v>24</v>
      </c>
    </row>
    <row r="19592" spans="1:5">
      <c r="A19592" t="s">
        <v>46016</v>
      </c>
      <c r="B19592" t="s">
        <v>28637</v>
      </c>
      <c r="C19592">
        <f>0.0227361186179</f>
        <v>2.2736118617900002E-2</v>
      </c>
      <c r="D19592">
        <v>0.67440210323299998</v>
      </c>
      <c r="E19592">
        <v>24</v>
      </c>
    </row>
    <row r="19593" spans="1:5">
      <c r="A19593" t="s">
        <v>46017</v>
      </c>
      <c r="B19593" t="s">
        <v>402</v>
      </c>
      <c r="C19593">
        <f>0.437277602594</f>
        <v>0.437277602594</v>
      </c>
      <c r="D19593">
        <v>0.87678166914099998</v>
      </c>
      <c r="E19593">
        <v>6.18</v>
      </c>
    </row>
    <row r="19594" spans="1:5">
      <c r="A19594" t="s">
        <v>46017</v>
      </c>
      <c r="B19594" t="s">
        <v>403</v>
      </c>
      <c r="C19594">
        <v>0.54286764355999995</v>
      </c>
      <c r="D19594">
        <v>0.87678166914099998</v>
      </c>
      <c r="E19594">
        <v>6.18</v>
      </c>
    </row>
    <row r="19595" spans="1:5">
      <c r="A19595" t="s">
        <v>46017</v>
      </c>
      <c r="B19595" t="s">
        <v>404</v>
      </c>
      <c r="C19595">
        <f>0</f>
        <v>0</v>
      </c>
      <c r="D19595">
        <v>0.87678166914099998</v>
      </c>
      <c r="E19595">
        <v>6.18</v>
      </c>
    </row>
    <row r="19596" spans="1:5">
      <c r="A19596" t="s">
        <v>46017</v>
      </c>
      <c r="B19596" t="s">
        <v>405</v>
      </c>
      <c r="C19596">
        <f>0.0442787116687</f>
        <v>4.4278711668699997E-2</v>
      </c>
      <c r="D19596">
        <v>0.87678166914099998</v>
      </c>
      <c r="E19596">
        <v>6.18</v>
      </c>
    </row>
    <row r="19597" spans="1:5">
      <c r="A19597" t="s">
        <v>46017</v>
      </c>
      <c r="B19597" t="s">
        <v>400</v>
      </c>
      <c r="C19597">
        <f>0.0304778077848</f>
        <v>3.0477807784799998E-2</v>
      </c>
      <c r="D19597">
        <v>0.87678166914099998</v>
      </c>
      <c r="E19597">
        <v>6.18</v>
      </c>
    </row>
    <row r="19598" spans="1:5">
      <c r="A19598" t="s">
        <v>46018</v>
      </c>
      <c r="B19598" t="s">
        <v>27740</v>
      </c>
      <c r="C19598">
        <v>1.0208119786700001</v>
      </c>
      <c r="D19598">
        <v>0.92159897583499995</v>
      </c>
      <c r="E19598">
        <v>23.754000000000001</v>
      </c>
    </row>
    <row r="19599" spans="1:5">
      <c r="A19599" t="s">
        <v>46018</v>
      </c>
      <c r="B19599" t="s">
        <v>27744</v>
      </c>
      <c r="C19599">
        <f>0.968659857698</f>
        <v>0.968659857698</v>
      </c>
      <c r="D19599">
        <v>0.92159897583499995</v>
      </c>
      <c r="E19599">
        <v>23.754000000000001</v>
      </c>
    </row>
    <row r="19600" spans="1:5">
      <c r="A19600" t="s">
        <v>46018</v>
      </c>
      <c r="B19600" t="s">
        <v>27743</v>
      </c>
      <c r="C19600">
        <v>0.42062682288100001</v>
      </c>
      <c r="D19600">
        <v>0.92159897583499995</v>
      </c>
      <c r="E19600">
        <v>23.754000000000001</v>
      </c>
    </row>
    <row r="19601" spans="1:5">
      <c r="A19601" t="s">
        <v>46018</v>
      </c>
      <c r="B19601" t="s">
        <v>27745</v>
      </c>
      <c r="C19601">
        <f>0.0835553084501</f>
        <v>8.3555308450099994E-2</v>
      </c>
      <c r="D19601">
        <v>0.92159897583499995</v>
      </c>
      <c r="E19601">
        <v>23.754000000000001</v>
      </c>
    </row>
    <row r="19602" spans="1:5">
      <c r="A19602" t="s">
        <v>46019</v>
      </c>
      <c r="B19602" t="s">
        <v>4489</v>
      </c>
      <c r="C19602">
        <v>0</v>
      </c>
      <c r="D19602">
        <v>0.86066061685100004</v>
      </c>
      <c r="E19602">
        <v>8.7240000000000002</v>
      </c>
    </row>
    <row r="19603" spans="1:5">
      <c r="A19603" t="s">
        <v>46019</v>
      </c>
      <c r="B19603" t="s">
        <v>4496</v>
      </c>
      <c r="C19603">
        <v>0</v>
      </c>
      <c r="D19603">
        <v>0.86066061685100004</v>
      </c>
      <c r="E19603">
        <v>8.7240000000000002</v>
      </c>
    </row>
    <row r="19604" spans="1:5">
      <c r="A19604" t="s">
        <v>46019</v>
      </c>
      <c r="B19604" t="s">
        <v>4495</v>
      </c>
      <c r="C19604">
        <f>0.274223822562</f>
        <v>0.27422382256200001</v>
      </c>
      <c r="D19604">
        <v>0.86066061685100004</v>
      </c>
      <c r="E19604">
        <v>8.7240000000000002</v>
      </c>
    </row>
    <row r="19605" spans="1:5">
      <c r="A19605" t="s">
        <v>46019</v>
      </c>
      <c r="B19605" t="s">
        <v>4490</v>
      </c>
      <c r="C19605">
        <v>0</v>
      </c>
      <c r="D19605">
        <v>0.86066061685100004</v>
      </c>
      <c r="E19605">
        <v>8.7240000000000002</v>
      </c>
    </row>
    <row r="19606" spans="1:5">
      <c r="A19606" t="s">
        <v>46019</v>
      </c>
      <c r="B19606" t="s">
        <v>4494</v>
      </c>
      <c r="C19606">
        <v>0</v>
      </c>
      <c r="D19606">
        <v>0.86066061685100004</v>
      </c>
      <c r="E19606">
        <v>8.7240000000000002</v>
      </c>
    </row>
    <row r="19607" spans="1:5">
      <c r="A19607" t="s">
        <v>46019</v>
      </c>
      <c r="B19607" t="s">
        <v>4492</v>
      </c>
      <c r="C19607">
        <v>0</v>
      </c>
      <c r="D19607">
        <v>0.86066061685100004</v>
      </c>
      <c r="E19607">
        <v>8.7240000000000002</v>
      </c>
    </row>
    <row r="19608" spans="1:5">
      <c r="A19608" t="s">
        <v>46019</v>
      </c>
      <c r="B19608" t="s">
        <v>4491</v>
      </c>
      <c r="C19608">
        <v>0</v>
      </c>
      <c r="D19608">
        <v>0.86066061685100004</v>
      </c>
      <c r="E19608">
        <v>8.7240000000000002</v>
      </c>
    </row>
    <row r="19609" spans="1:5">
      <c r="A19609" t="s">
        <v>46019</v>
      </c>
      <c r="B19609" t="s">
        <v>4493</v>
      </c>
      <c r="C19609">
        <v>0.84201255850099999</v>
      </c>
      <c r="D19609">
        <v>0.86066061685100004</v>
      </c>
      <c r="E19609">
        <v>8.7240000000000002</v>
      </c>
    </row>
    <row r="19610" spans="1:5">
      <c r="A19610" t="s">
        <v>46020</v>
      </c>
      <c r="B19610" t="s">
        <v>46021</v>
      </c>
      <c r="C19610">
        <v>0.81524963206400003</v>
      </c>
      <c r="D19610">
        <v>0.85765285278400005</v>
      </c>
      <c r="E19610">
        <v>0.15</v>
      </c>
    </row>
    <row r="19611" spans="1:5">
      <c r="A19611" t="s">
        <v>46020</v>
      </c>
      <c r="B19611" t="s">
        <v>46022</v>
      </c>
      <c r="C19611">
        <v>0.74604600720000003</v>
      </c>
      <c r="D19611">
        <v>0.85765285278400005</v>
      </c>
      <c r="E19611">
        <v>0.15</v>
      </c>
    </row>
    <row r="19612" spans="1:5">
      <c r="A19612" t="s">
        <v>46020</v>
      </c>
      <c r="B19612" t="s">
        <v>46023</v>
      </c>
      <c r="C19612">
        <v>0.20757807358399999</v>
      </c>
      <c r="D19612">
        <v>0.85765285278400005</v>
      </c>
      <c r="E19612">
        <v>0.15</v>
      </c>
    </row>
    <row r="19613" spans="1:5">
      <c r="A19613" t="s">
        <v>46024</v>
      </c>
      <c r="B19613" t="s">
        <v>28927</v>
      </c>
      <c r="C19613">
        <v>0</v>
      </c>
      <c r="D19613" t="s">
        <v>106</v>
      </c>
      <c r="E19613">
        <v>7.6020000000000003</v>
      </c>
    </row>
    <row r="19614" spans="1:5">
      <c r="A19614" t="s">
        <v>46024</v>
      </c>
      <c r="B19614" t="s">
        <v>28931</v>
      </c>
      <c r="C19614">
        <f>0</f>
        <v>0</v>
      </c>
      <c r="D19614" t="s">
        <v>106</v>
      </c>
      <c r="E19614">
        <v>7.6020000000000003</v>
      </c>
    </row>
    <row r="19615" spans="1:5">
      <c r="A19615" t="s">
        <v>46025</v>
      </c>
      <c r="B19615" t="s">
        <v>46026</v>
      </c>
      <c r="C19615">
        <f>0.0932589840515</f>
        <v>9.3258984051500002E-2</v>
      </c>
      <c r="D19615">
        <v>0.72262066761099997</v>
      </c>
      <c r="E19615">
        <v>20.07</v>
      </c>
    </row>
    <row r="19616" spans="1:5">
      <c r="A19616" t="s">
        <v>46025</v>
      </c>
      <c r="B19616" t="s">
        <v>46027</v>
      </c>
      <c r="C19616">
        <f>0.317484721129</f>
        <v>0.317484721129</v>
      </c>
      <c r="D19616">
        <v>0.72262066761099997</v>
      </c>
      <c r="E19616">
        <v>20.07</v>
      </c>
    </row>
    <row r="19617" spans="1:5">
      <c r="A19617" t="s">
        <v>46025</v>
      </c>
      <c r="B19617" t="s">
        <v>46028</v>
      </c>
      <c r="C19617">
        <f>0</f>
        <v>0</v>
      </c>
      <c r="D19617">
        <v>0.72262066761099997</v>
      </c>
      <c r="E19617">
        <v>20.07</v>
      </c>
    </row>
    <row r="19618" spans="1:5">
      <c r="A19618" t="s">
        <v>46025</v>
      </c>
      <c r="B19618" t="s">
        <v>46029</v>
      </c>
      <c r="C19618">
        <f>0</f>
        <v>0</v>
      </c>
      <c r="D19618">
        <v>0.72262066761099997</v>
      </c>
      <c r="E19618">
        <v>20.07</v>
      </c>
    </row>
    <row r="19619" spans="1:5">
      <c r="A19619" t="s">
        <v>46025</v>
      </c>
      <c r="B19619" t="s">
        <v>46030</v>
      </c>
      <c r="C19619">
        <f>0</f>
        <v>0</v>
      </c>
      <c r="D19619">
        <v>0.72262066761099997</v>
      </c>
      <c r="E19619">
        <v>20.07</v>
      </c>
    </row>
    <row r="19620" spans="1:5">
      <c r="A19620" t="s">
        <v>46031</v>
      </c>
      <c r="B19620" t="s">
        <v>46032</v>
      </c>
      <c r="C19620">
        <v>0.50900532541999999</v>
      </c>
      <c r="D19620">
        <v>0.73587918695599996</v>
      </c>
      <c r="E19620">
        <v>0.69599999999999995</v>
      </c>
    </row>
    <row r="19621" spans="1:5">
      <c r="A19621" t="s">
        <v>46031</v>
      </c>
      <c r="B19621" t="s">
        <v>46033</v>
      </c>
      <c r="C19621">
        <v>0.35303509511199999</v>
      </c>
      <c r="D19621">
        <v>0.73587918695599996</v>
      </c>
      <c r="E19621">
        <v>0.69599999999999995</v>
      </c>
    </row>
    <row r="19622" spans="1:5">
      <c r="A19622" t="s">
        <v>46034</v>
      </c>
      <c r="B19622" t="s">
        <v>46035</v>
      </c>
      <c r="C19622">
        <f>0</f>
        <v>0</v>
      </c>
      <c r="D19622">
        <v>0.97740616526500002</v>
      </c>
      <c r="E19622">
        <v>10.08</v>
      </c>
    </row>
    <row r="19623" spans="1:5">
      <c r="A19623" t="s">
        <v>46034</v>
      </c>
      <c r="B19623" t="s">
        <v>46036</v>
      </c>
      <c r="C19623">
        <f>0</f>
        <v>0</v>
      </c>
      <c r="D19623">
        <v>0.97740616526500002</v>
      </c>
      <c r="E19623">
        <v>10.08</v>
      </c>
    </row>
    <row r="19624" spans="1:5">
      <c r="A19624" t="s">
        <v>46034</v>
      </c>
      <c r="B19624" t="s">
        <v>46037</v>
      </c>
      <c r="C19624">
        <v>0</v>
      </c>
      <c r="D19624">
        <v>0.97740616526500002</v>
      </c>
      <c r="E19624">
        <v>10.08</v>
      </c>
    </row>
    <row r="19625" spans="1:5">
      <c r="A19625" t="s">
        <v>46034</v>
      </c>
      <c r="B19625" t="s">
        <v>46038</v>
      </c>
      <c r="C19625">
        <v>0</v>
      </c>
      <c r="D19625">
        <v>0.97740616526500002</v>
      </c>
      <c r="E19625">
        <v>10.08</v>
      </c>
    </row>
    <row r="19626" spans="1:5">
      <c r="A19626" t="s">
        <v>46034</v>
      </c>
      <c r="B19626" t="s">
        <v>46039</v>
      </c>
      <c r="C19626">
        <v>0</v>
      </c>
      <c r="D19626">
        <v>0.97740616526500002</v>
      </c>
      <c r="E19626">
        <v>10.08</v>
      </c>
    </row>
    <row r="19627" spans="1:5">
      <c r="A19627" t="s">
        <v>46034</v>
      </c>
      <c r="B19627" t="s">
        <v>46040</v>
      </c>
      <c r="C19627">
        <v>7.4392585911700004E-2</v>
      </c>
      <c r="D19627">
        <v>0.97740616526500002</v>
      </c>
      <c r="E19627">
        <v>10.08</v>
      </c>
    </row>
    <row r="19628" spans="1:5">
      <c r="A19628" t="s">
        <v>46034</v>
      </c>
      <c r="B19628" t="s">
        <v>46041</v>
      </c>
      <c r="C19628">
        <v>0</v>
      </c>
      <c r="D19628">
        <v>0.97740616526500002</v>
      </c>
      <c r="E19628">
        <v>10.08</v>
      </c>
    </row>
    <row r="19629" spans="1:5">
      <c r="A19629" t="s">
        <v>46034</v>
      </c>
      <c r="B19629" t="s">
        <v>46042</v>
      </c>
      <c r="C19629">
        <v>0</v>
      </c>
      <c r="D19629">
        <v>0.97740616526500002</v>
      </c>
      <c r="E19629">
        <v>10.08</v>
      </c>
    </row>
    <row r="19630" spans="1:5">
      <c r="A19630" t="s">
        <v>46034</v>
      </c>
      <c r="B19630" t="s">
        <v>46043</v>
      </c>
      <c r="C19630">
        <f>0</f>
        <v>0</v>
      </c>
      <c r="D19630">
        <v>0.97740616526500002</v>
      </c>
      <c r="E19630">
        <v>10.08</v>
      </c>
    </row>
    <row r="19631" spans="1:5">
      <c r="A19631" t="s">
        <v>46034</v>
      </c>
      <c r="B19631" t="s">
        <v>46044</v>
      </c>
      <c r="C19631">
        <v>0</v>
      </c>
      <c r="D19631">
        <v>0.97740616526500002</v>
      </c>
      <c r="E19631">
        <v>10.08</v>
      </c>
    </row>
    <row r="19632" spans="1:5">
      <c r="A19632" t="s">
        <v>46034</v>
      </c>
      <c r="B19632" t="s">
        <v>46045</v>
      </c>
      <c r="C19632">
        <v>3.8322041111899997E-2</v>
      </c>
      <c r="D19632">
        <v>0.97740616526500002</v>
      </c>
      <c r="E19632">
        <v>10.08</v>
      </c>
    </row>
    <row r="19633" spans="1:5">
      <c r="A19633" t="s">
        <v>46034</v>
      </c>
      <c r="B19633" t="s">
        <v>46046</v>
      </c>
      <c r="C19633">
        <v>5.4067150104800003E-2</v>
      </c>
      <c r="D19633">
        <v>0.97740616526500002</v>
      </c>
      <c r="E19633">
        <v>10.08</v>
      </c>
    </row>
    <row r="19634" spans="1:5">
      <c r="A19634" t="s">
        <v>46034</v>
      </c>
      <c r="B19634" t="s">
        <v>46047</v>
      </c>
      <c r="C19634">
        <f>0.839508868878</f>
        <v>0.83950886887800003</v>
      </c>
      <c r="D19634">
        <v>0.97740616526500002</v>
      </c>
      <c r="E19634">
        <v>10.08</v>
      </c>
    </row>
    <row r="19635" spans="1:5">
      <c r="A19635" t="s">
        <v>46034</v>
      </c>
      <c r="B19635" t="s">
        <v>46048</v>
      </c>
      <c r="C19635">
        <v>0</v>
      </c>
      <c r="D19635">
        <v>0.97740616526500002</v>
      </c>
      <c r="E19635">
        <v>10.08</v>
      </c>
    </row>
    <row r="19636" spans="1:5">
      <c r="A19636" t="s">
        <v>46034</v>
      </c>
      <c r="B19636" t="s">
        <v>46049</v>
      </c>
      <c r="C19636">
        <f>0</f>
        <v>0</v>
      </c>
      <c r="D19636">
        <v>0.97740616526500002</v>
      </c>
      <c r="E19636">
        <v>10.08</v>
      </c>
    </row>
    <row r="19637" spans="1:5">
      <c r="A19637" t="s">
        <v>46050</v>
      </c>
      <c r="B19637" t="s">
        <v>46051</v>
      </c>
      <c r="C19637">
        <v>0.299908341455</v>
      </c>
      <c r="D19637">
        <v>0.93204684327300003</v>
      </c>
      <c r="E19637">
        <v>0</v>
      </c>
    </row>
    <row r="19638" spans="1:5">
      <c r="A19638" t="s">
        <v>46050</v>
      </c>
      <c r="B19638" t="s">
        <v>46052</v>
      </c>
      <c r="C19638">
        <f>0.403084269787</f>
        <v>0.40308426978700002</v>
      </c>
      <c r="D19638">
        <v>0.93204684327300003</v>
      </c>
      <c r="E19638">
        <v>0</v>
      </c>
    </row>
    <row r="19639" spans="1:5">
      <c r="A19639" t="s">
        <v>46050</v>
      </c>
      <c r="B19639" t="s">
        <v>46053</v>
      </c>
      <c r="C19639">
        <f>0.0802970494552</f>
        <v>8.0297049455199998E-2</v>
      </c>
      <c r="D19639">
        <v>0.93204684327300003</v>
      </c>
      <c r="E19639">
        <v>0</v>
      </c>
    </row>
    <row r="19640" spans="1:5">
      <c r="A19640" t="s">
        <v>46050</v>
      </c>
      <c r="B19640" t="s">
        <v>46054</v>
      </c>
      <c r="C19640">
        <v>0.48737085810399999</v>
      </c>
      <c r="D19640">
        <v>0.93204684327300003</v>
      </c>
      <c r="E19640">
        <v>0</v>
      </c>
    </row>
    <row r="19641" spans="1:5">
      <c r="A19641" t="s">
        <v>46055</v>
      </c>
      <c r="B19641" t="s">
        <v>23410</v>
      </c>
      <c r="C19641">
        <v>1.4508747604500001</v>
      </c>
      <c r="D19641">
        <v>0.99454504195899995</v>
      </c>
      <c r="E19641">
        <v>23.754000000000001</v>
      </c>
    </row>
    <row r="19642" spans="1:5">
      <c r="A19642" t="s">
        <v>46055</v>
      </c>
      <c r="B19642" t="s">
        <v>23415</v>
      </c>
      <c r="C19642">
        <v>4.8793084521700003E-2</v>
      </c>
      <c r="D19642">
        <v>0.99454504195899995</v>
      </c>
      <c r="E19642">
        <v>23.754000000000001</v>
      </c>
    </row>
    <row r="19643" spans="1:5">
      <c r="A19643" t="s">
        <v>46055</v>
      </c>
      <c r="B19643" t="s">
        <v>23416</v>
      </c>
      <c r="C19643">
        <f>0.423094548697</f>
        <v>0.42309454869699997</v>
      </c>
      <c r="D19643">
        <v>0.99454504195899995</v>
      </c>
      <c r="E19643">
        <v>23.754000000000001</v>
      </c>
    </row>
    <row r="19644" spans="1:5">
      <c r="A19644" t="s">
        <v>46055</v>
      </c>
      <c r="B19644" t="s">
        <v>23414</v>
      </c>
      <c r="C19644">
        <f>0.346074990014</f>
        <v>0.34607499001399999</v>
      </c>
      <c r="D19644">
        <v>0.99454504195899995</v>
      </c>
      <c r="E19644">
        <v>23.754000000000001</v>
      </c>
    </row>
    <row r="19645" spans="1:5">
      <c r="A19645" t="s">
        <v>46056</v>
      </c>
      <c r="B19645" t="s">
        <v>12673</v>
      </c>
      <c r="C19645">
        <v>0.224750198181</v>
      </c>
      <c r="D19645">
        <v>0.90335763781300005</v>
      </c>
      <c r="E19645">
        <v>0</v>
      </c>
    </row>
    <row r="19646" spans="1:5">
      <c r="A19646" t="s">
        <v>46056</v>
      </c>
      <c r="B19646" t="s">
        <v>12671</v>
      </c>
      <c r="C19646">
        <v>0.32712566745900001</v>
      </c>
      <c r="D19646">
        <v>0.90335763781300005</v>
      </c>
      <c r="E19646">
        <v>0</v>
      </c>
    </row>
    <row r="19647" spans="1:5">
      <c r="A19647" t="s">
        <v>46056</v>
      </c>
      <c r="B19647" t="s">
        <v>12675</v>
      </c>
      <c r="C19647">
        <v>0.81051560251699994</v>
      </c>
      <c r="D19647">
        <v>0.90335763781300005</v>
      </c>
      <c r="E19647">
        <v>0</v>
      </c>
    </row>
    <row r="19648" spans="1:5">
      <c r="A19648" t="s">
        <v>46057</v>
      </c>
      <c r="B19648" t="s">
        <v>11987</v>
      </c>
      <c r="C19648">
        <v>0.47174425114599999</v>
      </c>
      <c r="D19648">
        <v>0.84076301072199999</v>
      </c>
      <c r="E19648">
        <v>0</v>
      </c>
    </row>
    <row r="19649" spans="1:5">
      <c r="A19649" t="s">
        <v>46057</v>
      </c>
      <c r="B19649" t="s">
        <v>11986</v>
      </c>
      <c r="C19649">
        <v>0</v>
      </c>
      <c r="D19649">
        <v>0.84076301072199999</v>
      </c>
      <c r="E19649">
        <v>0</v>
      </c>
    </row>
    <row r="19650" spans="1:5">
      <c r="A19650" t="s">
        <v>46057</v>
      </c>
      <c r="B19650" t="s">
        <v>11990</v>
      </c>
      <c r="C19650">
        <f>0.0642502316749</f>
        <v>6.4250231674900002E-2</v>
      </c>
      <c r="D19650">
        <v>0.84076301072199999</v>
      </c>
      <c r="E19650">
        <v>0</v>
      </c>
    </row>
    <row r="19651" spans="1:5">
      <c r="A19651" t="s">
        <v>46058</v>
      </c>
      <c r="B19651" t="s">
        <v>30996</v>
      </c>
      <c r="C19651">
        <f>0</f>
        <v>0</v>
      </c>
      <c r="D19651" t="s">
        <v>106</v>
      </c>
      <c r="E19651">
        <v>1.278</v>
      </c>
    </row>
    <row r="19652" spans="1:5">
      <c r="A19652" t="s">
        <v>46058</v>
      </c>
      <c r="B19652" t="s">
        <v>30994</v>
      </c>
      <c r="C19652">
        <f>0</f>
        <v>0</v>
      </c>
      <c r="D19652" t="s">
        <v>106</v>
      </c>
      <c r="E19652">
        <v>1.278</v>
      </c>
    </row>
    <row r="19653" spans="1:5">
      <c r="A19653" t="s">
        <v>46058</v>
      </c>
      <c r="B19653" t="s">
        <v>30995</v>
      </c>
      <c r="C19653">
        <f>0</f>
        <v>0</v>
      </c>
      <c r="D19653" t="s">
        <v>106</v>
      </c>
      <c r="E19653">
        <v>1.278</v>
      </c>
    </row>
    <row r="19654" spans="1:5">
      <c r="A19654" t="s">
        <v>46058</v>
      </c>
      <c r="B19654" t="s">
        <v>30997</v>
      </c>
      <c r="C19654">
        <f>0</f>
        <v>0</v>
      </c>
      <c r="D19654" t="s">
        <v>106</v>
      </c>
      <c r="E19654">
        <v>1.278</v>
      </c>
    </row>
    <row r="19655" spans="1:5">
      <c r="A19655" t="s">
        <v>46059</v>
      </c>
      <c r="B19655" t="s">
        <v>9359</v>
      </c>
      <c r="C19655">
        <f>-1.75667447655</f>
        <v>-1.75667447655</v>
      </c>
      <c r="D19655">
        <v>0.97739556881400003</v>
      </c>
      <c r="E19655">
        <v>1.512</v>
      </c>
    </row>
    <row r="19656" spans="1:5">
      <c r="A19656" t="s">
        <v>46059</v>
      </c>
      <c r="B19656" t="s">
        <v>9360</v>
      </c>
      <c r="C19656">
        <v>2.1135191638799999</v>
      </c>
      <c r="D19656">
        <v>0.97739556881400003</v>
      </c>
      <c r="E19656">
        <v>1.512</v>
      </c>
    </row>
    <row r="19657" spans="1:5">
      <c r="A19657" t="s">
        <v>46059</v>
      </c>
      <c r="B19657" t="s">
        <v>9362</v>
      </c>
      <c r="C19657">
        <f>-3.90741313922</f>
        <v>-3.90741313922</v>
      </c>
      <c r="D19657">
        <v>0.97739556881400003</v>
      </c>
      <c r="E19657">
        <v>1.512</v>
      </c>
    </row>
    <row r="19658" spans="1:5">
      <c r="A19658" t="s">
        <v>46059</v>
      </c>
      <c r="B19658" t="s">
        <v>9361</v>
      </c>
      <c r="C19658">
        <v>3.91764816851</v>
      </c>
      <c r="D19658">
        <v>0.97739556881400003</v>
      </c>
      <c r="E19658">
        <v>1.512</v>
      </c>
    </row>
    <row r="19659" spans="1:5">
      <c r="A19659" t="s">
        <v>46060</v>
      </c>
      <c r="B19659" t="s">
        <v>46061</v>
      </c>
      <c r="C19659">
        <v>0.45573605280099999</v>
      </c>
      <c r="D19659">
        <v>0.99410886332399995</v>
      </c>
      <c r="E19659">
        <v>5.7</v>
      </c>
    </row>
    <row r="19660" spans="1:5">
      <c r="A19660" t="s">
        <v>46060</v>
      </c>
      <c r="B19660" t="s">
        <v>46062</v>
      </c>
      <c r="C19660">
        <v>0.27203744134199997</v>
      </c>
      <c r="D19660">
        <v>0.99410886332399995</v>
      </c>
      <c r="E19660">
        <v>5.7</v>
      </c>
    </row>
    <row r="19661" spans="1:5">
      <c r="A19661" t="s">
        <v>46060</v>
      </c>
      <c r="B19661" t="s">
        <v>46063</v>
      </c>
      <c r="C19661">
        <f>0.656735409968</f>
        <v>0.65673540996799995</v>
      </c>
      <c r="D19661">
        <v>0.99410886332399995</v>
      </c>
      <c r="E19661">
        <v>5.7</v>
      </c>
    </row>
    <row r="19662" spans="1:5">
      <c r="A19662" t="s">
        <v>46060</v>
      </c>
      <c r="B19662" t="s">
        <v>46064</v>
      </c>
      <c r="C19662">
        <v>0</v>
      </c>
      <c r="D19662">
        <v>0.99410886332399995</v>
      </c>
      <c r="E19662">
        <v>5.7</v>
      </c>
    </row>
    <row r="19663" spans="1:5">
      <c r="A19663" t="s">
        <v>46060</v>
      </c>
      <c r="B19663" t="s">
        <v>46065</v>
      </c>
      <c r="C19663">
        <v>6.01694960421E-2</v>
      </c>
      <c r="D19663">
        <v>0.99410886332399995</v>
      </c>
      <c r="E19663">
        <v>5.7</v>
      </c>
    </row>
    <row r="19664" spans="1:5">
      <c r="A19664" t="s">
        <v>46060</v>
      </c>
      <c r="B19664" t="s">
        <v>46066</v>
      </c>
      <c r="C19664">
        <f>0.0158373546204</f>
        <v>1.58373546204E-2</v>
      </c>
      <c r="D19664">
        <v>0.99410886332399995</v>
      </c>
      <c r="E19664">
        <v>5.7</v>
      </c>
    </row>
    <row r="19665" spans="1:5">
      <c r="A19665" t="s">
        <v>46060</v>
      </c>
      <c r="B19665" t="s">
        <v>46067</v>
      </c>
      <c r="C19665">
        <f>0</f>
        <v>0</v>
      </c>
      <c r="D19665">
        <v>0.99410886332399995</v>
      </c>
      <c r="E19665">
        <v>5.7</v>
      </c>
    </row>
    <row r="19666" spans="1:5">
      <c r="A19666" t="s">
        <v>46060</v>
      </c>
      <c r="B19666" t="s">
        <v>46068</v>
      </c>
      <c r="C19666">
        <v>0.13796791647699999</v>
      </c>
      <c r="D19666">
        <v>0.99410886332399995</v>
      </c>
      <c r="E19666">
        <v>5.7</v>
      </c>
    </row>
    <row r="19667" spans="1:5">
      <c r="A19667" t="s">
        <v>46069</v>
      </c>
      <c r="B19667" t="s">
        <v>29700</v>
      </c>
      <c r="C19667">
        <v>0.65932145034699996</v>
      </c>
      <c r="D19667">
        <v>0.89000671694699995</v>
      </c>
      <c r="E19667">
        <v>5.7</v>
      </c>
    </row>
    <row r="19668" spans="1:5">
      <c r="A19668" t="s">
        <v>46069</v>
      </c>
      <c r="B19668" t="s">
        <v>29702</v>
      </c>
      <c r="C19668">
        <v>0.51587409867300005</v>
      </c>
      <c r="D19668">
        <v>0.89000671694699995</v>
      </c>
      <c r="E19668">
        <v>5.7</v>
      </c>
    </row>
    <row r="19669" spans="1:5">
      <c r="A19669" t="s">
        <v>46069</v>
      </c>
      <c r="B19669" t="s">
        <v>29705</v>
      </c>
      <c r="C19669">
        <f>0.0353410755446</f>
        <v>3.5341075544599997E-2</v>
      </c>
      <c r="D19669">
        <v>0.89000671694699995</v>
      </c>
      <c r="E19669">
        <v>5.7</v>
      </c>
    </row>
    <row r="19670" spans="1:5">
      <c r="A19670" t="s">
        <v>46069</v>
      </c>
      <c r="B19670" t="s">
        <v>29707</v>
      </c>
      <c r="C19670">
        <v>0.109036798691</v>
      </c>
      <c r="D19670">
        <v>0.89000671694699995</v>
      </c>
      <c r="E19670">
        <v>5.7</v>
      </c>
    </row>
    <row r="19671" spans="1:5">
      <c r="A19671" t="s">
        <v>46070</v>
      </c>
      <c r="B19671" t="s">
        <v>5636</v>
      </c>
      <c r="C19671">
        <f>-1.11127723336</f>
        <v>-1.1112772333600001</v>
      </c>
      <c r="D19671">
        <v>0.99999990418499995</v>
      </c>
      <c r="E19671">
        <v>0</v>
      </c>
    </row>
    <row r="19672" spans="1:5">
      <c r="A19672" t="s">
        <v>46070</v>
      </c>
      <c r="B19672" t="s">
        <v>5635</v>
      </c>
      <c r="C19672">
        <f>0.547342132463</f>
        <v>0.54734213246300001</v>
      </c>
      <c r="D19672">
        <v>0.99999990418499995</v>
      </c>
      <c r="E19672">
        <v>0</v>
      </c>
    </row>
    <row r="19673" spans="1:5">
      <c r="A19673" t="s">
        <v>46070</v>
      </c>
      <c r="B19673" t="s">
        <v>5631</v>
      </c>
      <c r="C19673">
        <v>0.67134825395599995</v>
      </c>
      <c r="D19673">
        <v>0.99999990418499995</v>
      </c>
      <c r="E19673">
        <v>0</v>
      </c>
    </row>
    <row r="19674" spans="1:5">
      <c r="A19674" t="s">
        <v>46070</v>
      </c>
      <c r="B19674" t="s">
        <v>5630</v>
      </c>
      <c r="C19674">
        <f>0.350881114034</f>
        <v>0.35088111403400002</v>
      </c>
      <c r="D19674">
        <v>0.99999990418499995</v>
      </c>
      <c r="E19674">
        <v>0</v>
      </c>
    </row>
    <row r="19675" spans="1:5">
      <c r="A19675" t="s">
        <v>46070</v>
      </c>
      <c r="B19675" t="s">
        <v>5634</v>
      </c>
      <c r="C19675">
        <f>0.0457218309008</f>
        <v>4.5721830900800002E-2</v>
      </c>
      <c r="D19675">
        <v>0.99999990418499995</v>
      </c>
      <c r="E19675">
        <v>0</v>
      </c>
    </row>
    <row r="19676" spans="1:5">
      <c r="A19676" t="s">
        <v>46070</v>
      </c>
      <c r="B19676" t="s">
        <v>5638</v>
      </c>
      <c r="C19676">
        <v>1.00363057304E-2</v>
      </c>
      <c r="D19676">
        <v>0.99999990418499995</v>
      </c>
      <c r="E19676">
        <v>0</v>
      </c>
    </row>
    <row r="19677" spans="1:5">
      <c r="A19677" t="s">
        <v>46070</v>
      </c>
      <c r="B19677" t="s">
        <v>5637</v>
      </c>
      <c r="C19677">
        <f>0.0300148660673</f>
        <v>3.00148660673E-2</v>
      </c>
      <c r="D19677">
        <v>0.99999990418499995</v>
      </c>
      <c r="E19677">
        <v>0</v>
      </c>
    </row>
    <row r="19678" spans="1:5">
      <c r="A19678" t="s">
        <v>46070</v>
      </c>
      <c r="B19678" t="s">
        <v>5633</v>
      </c>
      <c r="C19678">
        <v>3.9122139371899997E-2</v>
      </c>
      <c r="D19678">
        <v>0.99999990418499995</v>
      </c>
      <c r="E19678">
        <v>0</v>
      </c>
    </row>
    <row r="19679" spans="1:5">
      <c r="A19679" t="s">
        <v>46070</v>
      </c>
      <c r="B19679" t="s">
        <v>5632</v>
      </c>
      <c r="C19679">
        <v>0.15510504092800001</v>
      </c>
      <c r="D19679">
        <v>0.99999990418499995</v>
      </c>
      <c r="E19679">
        <v>0</v>
      </c>
    </row>
    <row r="19680" spans="1:5">
      <c r="A19680" t="s">
        <v>46070</v>
      </c>
      <c r="B19680" t="s">
        <v>5640</v>
      </c>
      <c r="C19680">
        <v>0.29203493613100001</v>
      </c>
      <c r="D19680">
        <v>0.99999990418499995</v>
      </c>
      <c r="E19680">
        <v>0</v>
      </c>
    </row>
    <row r="19681" spans="1:5">
      <c r="A19681" t="s">
        <v>46070</v>
      </c>
      <c r="B19681" t="s">
        <v>5641</v>
      </c>
      <c r="C19681">
        <f>0.34848438999</f>
        <v>0.34848438998999998</v>
      </c>
      <c r="D19681">
        <v>0.99999990418499995</v>
      </c>
      <c r="E19681">
        <v>0</v>
      </c>
    </row>
    <row r="19682" spans="1:5">
      <c r="A19682" t="s">
        <v>46071</v>
      </c>
      <c r="B19682" t="s">
        <v>26972</v>
      </c>
      <c r="C19682">
        <v>0</v>
      </c>
      <c r="D19682">
        <v>0.763805982745</v>
      </c>
      <c r="E19682">
        <v>0</v>
      </c>
    </row>
    <row r="19683" spans="1:5">
      <c r="A19683" t="s">
        <v>46071</v>
      </c>
      <c r="B19683" t="s">
        <v>26975</v>
      </c>
      <c r="C19683">
        <f>0</f>
        <v>0</v>
      </c>
      <c r="D19683">
        <v>0.763805982745</v>
      </c>
      <c r="E19683">
        <v>0</v>
      </c>
    </row>
    <row r="19684" spans="1:5">
      <c r="A19684" t="s">
        <v>46071</v>
      </c>
      <c r="B19684" t="s">
        <v>26974</v>
      </c>
      <c r="C19684">
        <v>0.661395982745</v>
      </c>
      <c r="D19684">
        <v>0.763805982745</v>
      </c>
      <c r="E19684">
        <v>0</v>
      </c>
    </row>
    <row r="19685" spans="1:5">
      <c r="A19685" t="s">
        <v>46072</v>
      </c>
      <c r="B19685" t="s">
        <v>46073</v>
      </c>
      <c r="C19685">
        <f>0.800278903078</f>
        <v>0.80027890307799998</v>
      </c>
      <c r="D19685">
        <v>0.97770413386400001</v>
      </c>
      <c r="E19685">
        <v>23.04</v>
      </c>
    </row>
    <row r="19686" spans="1:5">
      <c r="A19686" t="s">
        <v>46072</v>
      </c>
      <c r="B19686" t="s">
        <v>46074</v>
      </c>
      <c r="C19686">
        <v>0.64484884808300003</v>
      </c>
      <c r="D19686">
        <v>0.97770413386400001</v>
      </c>
      <c r="E19686">
        <v>23.04</v>
      </c>
    </row>
    <row r="19687" spans="1:5">
      <c r="A19687" t="s">
        <v>46072</v>
      </c>
      <c r="B19687" t="s">
        <v>46075</v>
      </c>
      <c r="C19687">
        <f>0.29459801483</f>
        <v>0.29459801482999998</v>
      </c>
      <c r="D19687">
        <v>0.97770413386400001</v>
      </c>
      <c r="E19687">
        <v>23.04</v>
      </c>
    </row>
    <row r="19688" spans="1:5">
      <c r="A19688" t="s">
        <v>46072</v>
      </c>
      <c r="B19688" t="s">
        <v>46076</v>
      </c>
      <c r="C19688">
        <v>0.23303681553399999</v>
      </c>
      <c r="D19688">
        <v>0.97770413386400001</v>
      </c>
      <c r="E19688">
        <v>23.04</v>
      </c>
    </row>
    <row r="19689" spans="1:5">
      <c r="A19689" t="s">
        <v>46072</v>
      </c>
      <c r="B19689" t="s">
        <v>46077</v>
      </c>
      <c r="C19689">
        <f>0.190673272911</f>
        <v>0.190673272911</v>
      </c>
      <c r="D19689">
        <v>0.97770413386400001</v>
      </c>
      <c r="E19689">
        <v>23.04</v>
      </c>
    </row>
    <row r="19690" spans="1:5">
      <c r="A19690" t="s">
        <v>46072</v>
      </c>
      <c r="B19690" t="s">
        <v>46078</v>
      </c>
      <c r="C19690">
        <f>0.52735767237</f>
        <v>0.52735767236999997</v>
      </c>
      <c r="D19690">
        <v>0.97770413386400001</v>
      </c>
      <c r="E19690">
        <v>23.04</v>
      </c>
    </row>
    <row r="19691" spans="1:5">
      <c r="A19691" t="s">
        <v>46079</v>
      </c>
      <c r="B19691" t="s">
        <v>6751</v>
      </c>
      <c r="C19691">
        <f>0</f>
        <v>0</v>
      </c>
      <c r="D19691">
        <v>0.95780930830300004</v>
      </c>
      <c r="E19691">
        <v>23.754000000000001</v>
      </c>
    </row>
    <row r="19692" spans="1:5">
      <c r="A19692" t="s">
        <v>46079</v>
      </c>
      <c r="B19692" t="s">
        <v>6744</v>
      </c>
      <c r="C19692">
        <f>0.226999005167</f>
        <v>0.226999005167</v>
      </c>
      <c r="D19692">
        <v>0.95780930830300004</v>
      </c>
      <c r="E19692">
        <v>23.754000000000001</v>
      </c>
    </row>
    <row r="19693" spans="1:5">
      <c r="A19693" t="s">
        <v>46079</v>
      </c>
      <c r="B19693" t="s">
        <v>6745</v>
      </c>
      <c r="C19693">
        <f>0.364721170812</f>
        <v>0.36472117081200001</v>
      </c>
      <c r="D19693">
        <v>0.95780930830300004</v>
      </c>
      <c r="E19693">
        <v>23.754000000000001</v>
      </c>
    </row>
    <row r="19694" spans="1:5">
      <c r="A19694" t="s">
        <v>46079</v>
      </c>
      <c r="B19694" t="s">
        <v>6747</v>
      </c>
      <c r="C19694">
        <f>0.109013402494</f>
        <v>0.109013402494</v>
      </c>
      <c r="D19694">
        <v>0.95780930830300004</v>
      </c>
      <c r="E19694">
        <v>23.754000000000001</v>
      </c>
    </row>
    <row r="19695" spans="1:5">
      <c r="A19695" t="s">
        <v>46079</v>
      </c>
      <c r="B19695" t="s">
        <v>6749</v>
      </c>
      <c r="C19695">
        <v>0.59258509938799997</v>
      </c>
      <c r="D19695">
        <v>0.95780930830300004</v>
      </c>
      <c r="E19695">
        <v>23.754000000000001</v>
      </c>
    </row>
    <row r="19696" spans="1:5">
      <c r="A19696" t="s">
        <v>46079</v>
      </c>
      <c r="B19696" t="s">
        <v>6746</v>
      </c>
      <c r="C19696">
        <f>0.338364467257</f>
        <v>0.33836446725699998</v>
      </c>
      <c r="D19696">
        <v>0.95780930830300004</v>
      </c>
      <c r="E19696">
        <v>23.754000000000001</v>
      </c>
    </row>
    <row r="19697" spans="1:5">
      <c r="A19697" t="s">
        <v>46080</v>
      </c>
      <c r="B19697" t="s">
        <v>38</v>
      </c>
      <c r="C19697">
        <v>2.2949276462100002E-2</v>
      </c>
      <c r="D19697">
        <v>0.67449414384899997</v>
      </c>
      <c r="E19697">
        <v>1.512</v>
      </c>
    </row>
    <row r="19698" spans="1:5">
      <c r="A19698" t="s">
        <v>46080</v>
      </c>
      <c r="B19698" t="s">
        <v>39</v>
      </c>
      <c r="C19698">
        <v>0.58455411473399999</v>
      </c>
      <c r="D19698">
        <v>0.67449414384899997</v>
      </c>
      <c r="E19698">
        <v>1.512</v>
      </c>
    </row>
    <row r="19699" spans="1:5">
      <c r="A19699" t="s">
        <v>46081</v>
      </c>
      <c r="B19699" t="s">
        <v>19736</v>
      </c>
      <c r="C19699">
        <f>0</f>
        <v>0</v>
      </c>
      <c r="D19699" t="s">
        <v>106</v>
      </c>
      <c r="E19699">
        <v>4.8000000000000001E-2</v>
      </c>
    </row>
    <row r="19700" spans="1:5">
      <c r="A19700" t="s">
        <v>46081</v>
      </c>
      <c r="B19700" t="s">
        <v>19737</v>
      </c>
      <c r="C19700">
        <f>0</f>
        <v>0</v>
      </c>
      <c r="D19700" t="s">
        <v>106</v>
      </c>
      <c r="E19700">
        <v>4.8000000000000001E-2</v>
      </c>
    </row>
    <row r="19701" spans="1:5">
      <c r="A19701" t="s">
        <v>46082</v>
      </c>
      <c r="B19701" t="s">
        <v>29581</v>
      </c>
      <c r="C19701">
        <f>0.17223253372</f>
        <v>0.17223253372</v>
      </c>
      <c r="D19701">
        <v>0.93857520831499996</v>
      </c>
      <c r="E19701">
        <v>5.4660000000000002</v>
      </c>
    </row>
    <row r="19702" spans="1:5">
      <c r="A19702" t="s">
        <v>46082</v>
      </c>
      <c r="B19702" t="s">
        <v>29589</v>
      </c>
      <c r="C19702">
        <f>0.0435624424803</f>
        <v>4.3562442480300001E-2</v>
      </c>
      <c r="D19702">
        <v>0.93857520831499996</v>
      </c>
      <c r="E19702">
        <v>5.4660000000000002</v>
      </c>
    </row>
    <row r="19703" spans="1:5">
      <c r="A19703" t="s">
        <v>46082</v>
      </c>
      <c r="B19703" t="s">
        <v>29584</v>
      </c>
      <c r="C19703">
        <f>0.229946277475</f>
        <v>0.22994627747499999</v>
      </c>
      <c r="D19703">
        <v>0.93857520831499996</v>
      </c>
      <c r="E19703">
        <v>5.4660000000000002</v>
      </c>
    </row>
    <row r="19704" spans="1:5">
      <c r="A19704" t="s">
        <v>46082</v>
      </c>
      <c r="B19704" t="s">
        <v>29588</v>
      </c>
      <c r="C19704">
        <f>-1.09554667485</f>
        <v>-1.09554667485</v>
      </c>
      <c r="D19704">
        <v>0.93857520831499996</v>
      </c>
      <c r="E19704">
        <v>5.4660000000000002</v>
      </c>
    </row>
    <row r="19705" spans="1:5">
      <c r="A19705" t="s">
        <v>46082</v>
      </c>
      <c r="B19705" t="s">
        <v>29587</v>
      </c>
      <c r="C19705">
        <v>0.67850324271999995</v>
      </c>
      <c r="D19705">
        <v>0.93857520831499996</v>
      </c>
      <c r="E19705">
        <v>5.4660000000000002</v>
      </c>
    </row>
    <row r="19706" spans="1:5">
      <c r="A19706" t="s">
        <v>46083</v>
      </c>
      <c r="B19706" t="s">
        <v>6415</v>
      </c>
      <c r="C19706">
        <f>0</f>
        <v>0</v>
      </c>
      <c r="D19706" t="s">
        <v>106</v>
      </c>
      <c r="E19706">
        <v>0.34799999999999998</v>
      </c>
    </row>
    <row r="19707" spans="1:5">
      <c r="A19707" t="s">
        <v>46083</v>
      </c>
      <c r="B19707" t="s">
        <v>6416</v>
      </c>
      <c r="C19707">
        <v>0</v>
      </c>
      <c r="D19707" t="s">
        <v>106</v>
      </c>
      <c r="E19707">
        <v>0.34799999999999998</v>
      </c>
    </row>
    <row r="19708" spans="1:5">
      <c r="A19708" t="s">
        <v>46084</v>
      </c>
      <c r="B19708" t="s">
        <v>17978</v>
      </c>
      <c r="C19708">
        <v>0</v>
      </c>
      <c r="D19708" t="s">
        <v>106</v>
      </c>
      <c r="E19708">
        <v>2.25</v>
      </c>
    </row>
    <row r="19709" spans="1:5">
      <c r="A19709" t="s">
        <v>46084</v>
      </c>
      <c r="B19709" t="s">
        <v>17979</v>
      </c>
      <c r="C19709">
        <f>0</f>
        <v>0</v>
      </c>
      <c r="D19709" t="s">
        <v>106</v>
      </c>
      <c r="E19709">
        <v>2.25</v>
      </c>
    </row>
    <row r="19710" spans="1:5">
      <c r="A19710" t="s">
        <v>46085</v>
      </c>
      <c r="B19710" t="s">
        <v>46086</v>
      </c>
      <c r="C19710">
        <v>0</v>
      </c>
      <c r="D19710" t="s">
        <v>106</v>
      </c>
      <c r="E19710">
        <v>7.4640000000000004</v>
      </c>
    </row>
    <row r="19711" spans="1:5">
      <c r="A19711" t="s">
        <v>46085</v>
      </c>
      <c r="B19711" t="s">
        <v>46087</v>
      </c>
      <c r="C19711">
        <v>0</v>
      </c>
      <c r="D19711" t="s">
        <v>106</v>
      </c>
      <c r="E19711">
        <v>7.4640000000000004</v>
      </c>
    </row>
    <row r="19712" spans="1:5">
      <c r="A19712" t="s">
        <v>46085</v>
      </c>
      <c r="B19712" t="s">
        <v>46088</v>
      </c>
      <c r="C19712">
        <f>0</f>
        <v>0</v>
      </c>
      <c r="D19712" t="s">
        <v>106</v>
      </c>
      <c r="E19712">
        <v>7.4640000000000004</v>
      </c>
    </row>
    <row r="19713" spans="1:5">
      <c r="A19713" t="s">
        <v>46085</v>
      </c>
      <c r="B19713" t="s">
        <v>46089</v>
      </c>
      <c r="C19713">
        <f>0</f>
        <v>0</v>
      </c>
      <c r="D19713" t="s">
        <v>106</v>
      </c>
      <c r="E19713">
        <v>7.4640000000000004</v>
      </c>
    </row>
    <row r="19714" spans="1:5">
      <c r="A19714" t="s">
        <v>46085</v>
      </c>
      <c r="B19714" t="s">
        <v>46090</v>
      </c>
      <c r="C19714">
        <f>0</f>
        <v>0</v>
      </c>
      <c r="D19714" t="s">
        <v>106</v>
      </c>
      <c r="E19714">
        <v>7.4640000000000004</v>
      </c>
    </row>
    <row r="19715" spans="1:5">
      <c r="A19715" t="s">
        <v>46085</v>
      </c>
      <c r="B19715" t="s">
        <v>46091</v>
      </c>
      <c r="C19715">
        <v>0</v>
      </c>
      <c r="D19715" t="s">
        <v>106</v>
      </c>
      <c r="E19715">
        <v>7.4640000000000004</v>
      </c>
    </row>
    <row r="19716" spans="1:5">
      <c r="A19716" t="s">
        <v>46092</v>
      </c>
      <c r="B19716" t="s">
        <v>46093</v>
      </c>
      <c r="C19716">
        <v>0</v>
      </c>
      <c r="D19716" t="s">
        <v>106</v>
      </c>
      <c r="E19716">
        <v>24</v>
      </c>
    </row>
    <row r="19717" spans="1:5">
      <c r="A19717" t="s">
        <v>46092</v>
      </c>
      <c r="B19717" t="s">
        <v>46094</v>
      </c>
      <c r="C19717">
        <f>0</f>
        <v>0</v>
      </c>
      <c r="D19717" t="s">
        <v>106</v>
      </c>
      <c r="E19717">
        <v>24</v>
      </c>
    </row>
    <row r="19718" spans="1:5">
      <c r="A19718" t="s">
        <v>46092</v>
      </c>
      <c r="B19718" t="s">
        <v>46095</v>
      </c>
      <c r="C19718">
        <v>0</v>
      </c>
      <c r="D19718" t="s">
        <v>106</v>
      </c>
      <c r="E19718">
        <v>24</v>
      </c>
    </row>
    <row r="19719" spans="1:5">
      <c r="A19719" t="s">
        <v>46096</v>
      </c>
      <c r="B19719" t="s">
        <v>1992</v>
      </c>
      <c r="C19719">
        <f>0.24706513781</f>
        <v>0.24706513781</v>
      </c>
      <c r="D19719">
        <v>0.51747513780999999</v>
      </c>
      <c r="E19719">
        <v>21.42</v>
      </c>
    </row>
    <row r="19720" spans="1:5">
      <c r="A19720" t="s">
        <v>46096</v>
      </c>
      <c r="B19720" t="s">
        <v>1993</v>
      </c>
      <c r="C19720">
        <v>0</v>
      </c>
      <c r="D19720">
        <v>0.51747513780999999</v>
      </c>
      <c r="E19720">
        <v>21.42</v>
      </c>
    </row>
    <row r="19721" spans="1:5">
      <c r="A19721" t="s">
        <v>46097</v>
      </c>
      <c r="B19721" t="s">
        <v>5386</v>
      </c>
      <c r="C19721">
        <f>0.192817166435</f>
        <v>0.19281716643499999</v>
      </c>
      <c r="D19721">
        <v>0.95509875341700001</v>
      </c>
      <c r="E19721">
        <v>2.6339999999999999</v>
      </c>
    </row>
    <row r="19722" spans="1:5">
      <c r="A19722" t="s">
        <v>46097</v>
      </c>
      <c r="B19722" t="s">
        <v>5384</v>
      </c>
      <c r="C19722">
        <v>0.79473520503700001</v>
      </c>
      <c r="D19722">
        <v>0.95509875341700001</v>
      </c>
      <c r="E19722">
        <v>2.6339999999999999</v>
      </c>
    </row>
    <row r="19723" spans="1:5">
      <c r="A19723" t="s">
        <v>46097</v>
      </c>
      <c r="B19723" t="s">
        <v>5385</v>
      </c>
      <c r="C19723">
        <f>0.774137971381</f>
        <v>0.77413797138100005</v>
      </c>
      <c r="D19723">
        <v>0.95509875341700001</v>
      </c>
      <c r="E19723">
        <v>2.6339999999999999</v>
      </c>
    </row>
    <row r="19724" spans="1:5">
      <c r="A19724" t="s">
        <v>46098</v>
      </c>
      <c r="B19724" t="s">
        <v>2034</v>
      </c>
      <c r="C19724">
        <v>0.499437932049</v>
      </c>
      <c r="D19724">
        <v>0.76857957134199995</v>
      </c>
      <c r="E19724">
        <v>5.4660000000000002</v>
      </c>
    </row>
    <row r="19725" spans="1:5">
      <c r="A19725" t="s">
        <v>46098</v>
      </c>
      <c r="B19725" t="s">
        <v>2033</v>
      </c>
      <c r="C19725">
        <v>0.34808856113199999</v>
      </c>
      <c r="D19725">
        <v>0.76857957134199995</v>
      </c>
      <c r="E19725">
        <v>5.4660000000000002</v>
      </c>
    </row>
    <row r="19726" spans="1:5">
      <c r="A19726" t="s">
        <v>46099</v>
      </c>
      <c r="B19726" t="s">
        <v>2761</v>
      </c>
      <c r="C19726">
        <v>0.17832763984800001</v>
      </c>
      <c r="D19726">
        <v>0.99363600487600001</v>
      </c>
      <c r="E19726">
        <v>9.7739999999999991</v>
      </c>
    </row>
    <row r="19727" spans="1:5">
      <c r="A19727" t="s">
        <v>46099</v>
      </c>
      <c r="B19727" t="s">
        <v>2764</v>
      </c>
      <c r="C19727">
        <v>1.0720413206099999</v>
      </c>
      <c r="D19727">
        <v>0.99363600487600001</v>
      </c>
      <c r="E19727">
        <v>9.7739999999999991</v>
      </c>
    </row>
    <row r="19728" spans="1:5">
      <c r="A19728" t="s">
        <v>46099</v>
      </c>
      <c r="B19728" t="s">
        <v>2765</v>
      </c>
      <c r="C19728">
        <f>0.660541564317</f>
        <v>0.66054156431699995</v>
      </c>
      <c r="D19728">
        <v>0.99363600487600001</v>
      </c>
      <c r="E19728">
        <v>9.7739999999999991</v>
      </c>
    </row>
    <row r="19729" spans="1:5">
      <c r="A19729" t="s">
        <v>46099</v>
      </c>
      <c r="B19729" t="s">
        <v>2762</v>
      </c>
      <c r="C19729">
        <f>0.330215837817</f>
        <v>0.33021583781699998</v>
      </c>
      <c r="D19729">
        <v>0.99363600487600001</v>
      </c>
      <c r="E19729">
        <v>9.7739999999999991</v>
      </c>
    </row>
    <row r="19730" spans="1:5">
      <c r="A19730" t="s">
        <v>46099</v>
      </c>
      <c r="B19730" t="s">
        <v>2767</v>
      </c>
      <c r="C19730">
        <v>0.74610720456500002</v>
      </c>
      <c r="D19730">
        <v>0.99363600487600001</v>
      </c>
      <c r="E19730">
        <v>9.7739999999999991</v>
      </c>
    </row>
    <row r="19731" spans="1:5">
      <c r="A19731" t="s">
        <v>46100</v>
      </c>
      <c r="B19731" t="s">
        <v>17346</v>
      </c>
      <c r="C19731">
        <f>0.100031756942</f>
        <v>0.10003175694200001</v>
      </c>
      <c r="D19731">
        <v>0.92897869376800002</v>
      </c>
      <c r="E19731">
        <v>24</v>
      </c>
    </row>
    <row r="19732" spans="1:5">
      <c r="A19732" t="s">
        <v>46100</v>
      </c>
      <c r="B19732" t="s">
        <v>17350</v>
      </c>
      <c r="C19732">
        <v>1.9885640314199999</v>
      </c>
      <c r="D19732">
        <v>0.92897869376800002</v>
      </c>
      <c r="E19732">
        <v>24</v>
      </c>
    </row>
    <row r="19733" spans="1:5">
      <c r="A19733" t="s">
        <v>46100</v>
      </c>
      <c r="B19733" t="s">
        <v>17347</v>
      </c>
      <c r="C19733">
        <f>-2.06876630809</f>
        <v>-2.0687663080899998</v>
      </c>
      <c r="D19733">
        <v>0.92897869376800002</v>
      </c>
      <c r="E19733">
        <v>24</v>
      </c>
    </row>
    <row r="19734" spans="1:5">
      <c r="A19734" t="s">
        <v>46100</v>
      </c>
      <c r="B19734" t="s">
        <v>17349</v>
      </c>
      <c r="C19734">
        <f>0.0773620601108</f>
        <v>7.7362060110800004E-2</v>
      </c>
      <c r="D19734">
        <v>0.92897869376800002</v>
      </c>
      <c r="E19734">
        <v>24</v>
      </c>
    </row>
    <row r="19735" spans="1:5">
      <c r="A19735" t="s">
        <v>46101</v>
      </c>
      <c r="B19735" t="s">
        <v>16042</v>
      </c>
      <c r="C19735">
        <v>0.215995451821</v>
      </c>
      <c r="D19735">
        <v>0.64219888464800001</v>
      </c>
      <c r="E19735">
        <v>18.558</v>
      </c>
    </row>
    <row r="19736" spans="1:5">
      <c r="A19736" t="s">
        <v>46101</v>
      </c>
      <c r="B19736" t="s">
        <v>16045</v>
      </c>
      <c r="C19736">
        <f>0</f>
        <v>0</v>
      </c>
      <c r="D19736">
        <v>0.64219888464800001</v>
      </c>
      <c r="E19736">
        <v>18.558</v>
      </c>
    </row>
    <row r="19737" spans="1:5">
      <c r="A19737" t="s">
        <v>46101</v>
      </c>
      <c r="B19737" t="s">
        <v>16043</v>
      </c>
      <c r="C19737">
        <v>0</v>
      </c>
      <c r="D19737">
        <v>0.64219888464800001</v>
      </c>
      <c r="E19737">
        <v>18.558</v>
      </c>
    </row>
    <row r="19738" spans="1:5">
      <c r="A19738" t="s">
        <v>46101</v>
      </c>
      <c r="B19738" t="s">
        <v>16044</v>
      </c>
      <c r="C19738">
        <f>0.225472178585</f>
        <v>0.22547217858499999</v>
      </c>
      <c r="D19738">
        <v>0.64219888464800001</v>
      </c>
      <c r="E19738">
        <v>18.558</v>
      </c>
    </row>
    <row r="19739" spans="1:5">
      <c r="A19739" t="s">
        <v>46102</v>
      </c>
      <c r="B19739" t="s">
        <v>6887</v>
      </c>
      <c r="C19739">
        <f>0.712087636226</f>
        <v>0.71208763622600002</v>
      </c>
      <c r="D19739">
        <v>0.81869667515199995</v>
      </c>
      <c r="E19739">
        <v>0</v>
      </c>
    </row>
    <row r="19740" spans="1:5">
      <c r="A19740" t="s">
        <v>46102</v>
      </c>
      <c r="B19740" t="s">
        <v>6889</v>
      </c>
      <c r="C19740">
        <f>0.379361491336</f>
        <v>0.379361491336</v>
      </c>
      <c r="D19740">
        <v>0.81869667515199995</v>
      </c>
      <c r="E19740">
        <v>0</v>
      </c>
    </row>
    <row r="19741" spans="1:5">
      <c r="A19741" t="s">
        <v>46103</v>
      </c>
      <c r="B19741" t="s">
        <v>34477</v>
      </c>
      <c r="C19741">
        <v>0.74810738805400001</v>
      </c>
      <c r="D19741">
        <v>0.87771738805400001</v>
      </c>
      <c r="E19741">
        <v>2.6339999999999999</v>
      </c>
    </row>
    <row r="19742" spans="1:5">
      <c r="A19742" t="s">
        <v>46103</v>
      </c>
      <c r="B19742" t="s">
        <v>34478</v>
      </c>
      <c r="C19742">
        <v>0</v>
      </c>
      <c r="D19742">
        <v>0.87771738805400001</v>
      </c>
      <c r="E19742">
        <v>2.6339999999999999</v>
      </c>
    </row>
    <row r="19743" spans="1:5">
      <c r="A19743" t="s">
        <v>46104</v>
      </c>
      <c r="B19743" t="s">
        <v>8584</v>
      </c>
      <c r="C19743">
        <f>0</f>
        <v>0</v>
      </c>
      <c r="D19743" t="s">
        <v>106</v>
      </c>
      <c r="E19743">
        <v>24</v>
      </c>
    </row>
    <row r="19744" spans="1:5">
      <c r="A19744" t="s">
        <v>46104</v>
      </c>
      <c r="B19744" t="s">
        <v>8589</v>
      </c>
      <c r="C19744">
        <v>0</v>
      </c>
      <c r="D19744" t="s">
        <v>106</v>
      </c>
      <c r="E19744">
        <v>24</v>
      </c>
    </row>
    <row r="19745" spans="1:5">
      <c r="A19745" t="s">
        <v>46104</v>
      </c>
      <c r="B19745" t="s">
        <v>8587</v>
      </c>
      <c r="C19745">
        <v>0</v>
      </c>
      <c r="D19745" t="s">
        <v>106</v>
      </c>
      <c r="E19745">
        <v>24</v>
      </c>
    </row>
    <row r="19746" spans="1:5">
      <c r="A19746" t="s">
        <v>46104</v>
      </c>
      <c r="B19746" t="s">
        <v>8591</v>
      </c>
      <c r="C19746">
        <v>0</v>
      </c>
      <c r="D19746" t="s">
        <v>106</v>
      </c>
      <c r="E19746">
        <v>24</v>
      </c>
    </row>
    <row r="19747" spans="1:5">
      <c r="A19747" t="s">
        <v>46104</v>
      </c>
      <c r="B19747" t="s">
        <v>8588</v>
      </c>
      <c r="C19747">
        <f>0</f>
        <v>0</v>
      </c>
      <c r="D19747" t="s">
        <v>106</v>
      </c>
      <c r="E19747">
        <v>24</v>
      </c>
    </row>
    <row r="19748" spans="1:5">
      <c r="A19748" t="s">
        <v>46104</v>
      </c>
      <c r="B19748" t="s">
        <v>8593</v>
      </c>
      <c r="C19748">
        <f>0</f>
        <v>0</v>
      </c>
      <c r="D19748" t="s">
        <v>106</v>
      </c>
      <c r="E19748">
        <v>24</v>
      </c>
    </row>
    <row r="19749" spans="1:5">
      <c r="A19749" t="s">
        <v>46104</v>
      </c>
      <c r="B19749" t="s">
        <v>8590</v>
      </c>
      <c r="C19749">
        <f>0</f>
        <v>0</v>
      </c>
      <c r="D19749" t="s">
        <v>106</v>
      </c>
      <c r="E19749">
        <v>24</v>
      </c>
    </row>
    <row r="19750" spans="1:5">
      <c r="A19750" t="s">
        <v>46105</v>
      </c>
      <c r="B19750" t="s">
        <v>29669</v>
      </c>
      <c r="C19750">
        <f>0</f>
        <v>0</v>
      </c>
      <c r="D19750" t="s">
        <v>106</v>
      </c>
      <c r="E19750">
        <v>3.5999999999999997E-2</v>
      </c>
    </row>
    <row r="19751" spans="1:5">
      <c r="A19751" t="s">
        <v>46105</v>
      </c>
      <c r="B19751" t="s">
        <v>29670</v>
      </c>
      <c r="C19751">
        <f>0</f>
        <v>0</v>
      </c>
      <c r="D19751" t="s">
        <v>106</v>
      </c>
      <c r="E19751">
        <v>3.5999999999999997E-2</v>
      </c>
    </row>
    <row r="19752" spans="1:5">
      <c r="A19752" t="s">
        <v>46106</v>
      </c>
      <c r="B19752" t="s">
        <v>1140</v>
      </c>
      <c r="C19752">
        <f>0</f>
        <v>0</v>
      </c>
      <c r="D19752" t="s">
        <v>106</v>
      </c>
      <c r="E19752">
        <v>24</v>
      </c>
    </row>
    <row r="19753" spans="1:5">
      <c r="A19753" t="s">
        <v>46106</v>
      </c>
      <c r="B19753" t="s">
        <v>1143</v>
      </c>
      <c r="C19753">
        <v>0</v>
      </c>
      <c r="D19753" t="s">
        <v>106</v>
      </c>
      <c r="E19753">
        <v>24</v>
      </c>
    </row>
    <row r="19754" spans="1:5">
      <c r="A19754" t="s">
        <v>46107</v>
      </c>
      <c r="B19754" t="s">
        <v>46108</v>
      </c>
      <c r="C19754">
        <f>0.37687925744</f>
        <v>0.37687925744</v>
      </c>
      <c r="D19754">
        <v>0.92027390525800001</v>
      </c>
      <c r="E19754">
        <v>22.103999999999999</v>
      </c>
    </row>
    <row r="19755" spans="1:5">
      <c r="A19755" t="s">
        <v>46107</v>
      </c>
      <c r="B19755" t="s">
        <v>46109</v>
      </c>
      <c r="C19755">
        <f>-1.20207552705</f>
        <v>-1.2020755270500001</v>
      </c>
      <c r="D19755">
        <v>0.92027390525800001</v>
      </c>
      <c r="E19755">
        <v>22.103999999999999</v>
      </c>
    </row>
    <row r="19756" spans="1:5">
      <c r="A19756" t="s">
        <v>46107</v>
      </c>
      <c r="B19756" t="s">
        <v>46110</v>
      </c>
      <c r="C19756">
        <v>1.0387584728100001</v>
      </c>
      <c r="D19756">
        <v>0.92027390525800001</v>
      </c>
      <c r="E19756">
        <v>22.103999999999999</v>
      </c>
    </row>
    <row r="19757" spans="1:5">
      <c r="A19757" t="s">
        <v>46111</v>
      </c>
      <c r="B19757" t="s">
        <v>46112</v>
      </c>
      <c r="C19757">
        <f>0</f>
        <v>0</v>
      </c>
      <c r="D19757" t="s">
        <v>106</v>
      </c>
      <c r="E19757">
        <v>24</v>
      </c>
    </row>
    <row r="19758" spans="1:5">
      <c r="A19758" t="s">
        <v>46111</v>
      </c>
      <c r="B19758" t="s">
        <v>46113</v>
      </c>
      <c r="C19758">
        <v>0</v>
      </c>
      <c r="D19758" t="s">
        <v>106</v>
      </c>
      <c r="E19758">
        <v>24</v>
      </c>
    </row>
    <row r="19759" spans="1:5">
      <c r="A19759" t="s">
        <v>46111</v>
      </c>
      <c r="B19759" t="s">
        <v>46114</v>
      </c>
      <c r="C19759">
        <f>0</f>
        <v>0</v>
      </c>
      <c r="D19759" t="s">
        <v>106</v>
      </c>
      <c r="E19759">
        <v>24</v>
      </c>
    </row>
    <row r="19760" spans="1:5">
      <c r="A19760" t="s">
        <v>46111</v>
      </c>
      <c r="B19760" t="s">
        <v>46115</v>
      </c>
      <c r="C19760">
        <v>0</v>
      </c>
      <c r="D19760" t="s">
        <v>106</v>
      </c>
      <c r="E19760">
        <v>24</v>
      </c>
    </row>
    <row r="19761" spans="1:5">
      <c r="A19761" t="s">
        <v>46111</v>
      </c>
      <c r="B19761" t="s">
        <v>46116</v>
      </c>
      <c r="C19761">
        <f>0</f>
        <v>0</v>
      </c>
      <c r="D19761" t="s">
        <v>106</v>
      </c>
      <c r="E19761">
        <v>24</v>
      </c>
    </row>
    <row r="19762" spans="1:5">
      <c r="A19762" t="s">
        <v>46111</v>
      </c>
      <c r="B19762" t="s">
        <v>46117</v>
      </c>
      <c r="C19762">
        <f>0</f>
        <v>0</v>
      </c>
      <c r="D19762" t="s">
        <v>106</v>
      </c>
      <c r="E19762">
        <v>24</v>
      </c>
    </row>
    <row r="19763" spans="1:5">
      <c r="A19763" t="s">
        <v>46111</v>
      </c>
      <c r="B19763" t="s">
        <v>46118</v>
      </c>
      <c r="C19763">
        <f>0</f>
        <v>0</v>
      </c>
      <c r="D19763" t="s">
        <v>106</v>
      </c>
      <c r="E19763">
        <v>24</v>
      </c>
    </row>
    <row r="19764" spans="1:5">
      <c r="A19764" t="s">
        <v>46111</v>
      </c>
      <c r="B19764" t="s">
        <v>46119</v>
      </c>
      <c r="C19764">
        <f>0</f>
        <v>0</v>
      </c>
      <c r="D19764" t="s">
        <v>106</v>
      </c>
      <c r="E19764">
        <v>24</v>
      </c>
    </row>
    <row r="19765" spans="1:5">
      <c r="A19765" t="s">
        <v>46120</v>
      </c>
      <c r="B19765" t="s">
        <v>1048</v>
      </c>
      <c r="C19765">
        <v>0</v>
      </c>
      <c r="D19765">
        <v>0.64118849081499996</v>
      </c>
      <c r="E19765">
        <v>0.58199999999999996</v>
      </c>
    </row>
    <row r="19766" spans="1:5">
      <c r="A19766" t="s">
        <v>46120</v>
      </c>
      <c r="B19766" t="s">
        <v>1058</v>
      </c>
      <c r="C19766">
        <v>0</v>
      </c>
      <c r="D19766">
        <v>0.64118849081499996</v>
      </c>
      <c r="E19766">
        <v>0.58199999999999996</v>
      </c>
    </row>
    <row r="19767" spans="1:5">
      <c r="A19767" t="s">
        <v>46120</v>
      </c>
      <c r="B19767" t="s">
        <v>1062</v>
      </c>
      <c r="C19767">
        <v>0.122778490815</v>
      </c>
      <c r="D19767">
        <v>0.64118849081499996</v>
      </c>
      <c r="E19767">
        <v>0.58199999999999996</v>
      </c>
    </row>
    <row r="19768" spans="1:5">
      <c r="A19768" t="s">
        <v>46120</v>
      </c>
      <c r="B19768" t="s">
        <v>1046</v>
      </c>
      <c r="C19768">
        <v>0</v>
      </c>
      <c r="D19768">
        <v>0.64118849081499996</v>
      </c>
      <c r="E19768">
        <v>0.58199999999999996</v>
      </c>
    </row>
    <row r="19769" spans="1:5">
      <c r="A19769" t="s">
        <v>46120</v>
      </c>
      <c r="B19769" t="s">
        <v>1056</v>
      </c>
      <c r="C19769">
        <v>0</v>
      </c>
      <c r="D19769">
        <v>0.64118849081499996</v>
      </c>
      <c r="E19769">
        <v>0.58199999999999996</v>
      </c>
    </row>
    <row r="19770" spans="1:5">
      <c r="A19770" t="s">
        <v>46120</v>
      </c>
      <c r="B19770" t="s">
        <v>1051</v>
      </c>
      <c r="C19770">
        <f>0</f>
        <v>0</v>
      </c>
      <c r="D19770">
        <v>0.64118849081499996</v>
      </c>
      <c r="E19770">
        <v>0.58199999999999996</v>
      </c>
    </row>
    <row r="19771" spans="1:5">
      <c r="A19771" t="s">
        <v>46120</v>
      </c>
      <c r="B19771" t="s">
        <v>1049</v>
      </c>
      <c r="C19771">
        <v>0</v>
      </c>
      <c r="D19771">
        <v>0.64118849081499996</v>
      </c>
      <c r="E19771">
        <v>0.58199999999999996</v>
      </c>
    </row>
    <row r="19772" spans="1:5">
      <c r="A19772" t="s">
        <v>46120</v>
      </c>
      <c r="B19772" t="s">
        <v>1052</v>
      </c>
      <c r="C19772">
        <v>0</v>
      </c>
      <c r="D19772">
        <v>0.64118849081499996</v>
      </c>
      <c r="E19772">
        <v>0.58199999999999996</v>
      </c>
    </row>
    <row r="19773" spans="1:5">
      <c r="A19773" t="s">
        <v>46120</v>
      </c>
      <c r="B19773" t="s">
        <v>1054</v>
      </c>
      <c r="C19773">
        <v>0</v>
      </c>
      <c r="D19773">
        <v>0.64118849081499996</v>
      </c>
      <c r="E19773">
        <v>0.58199999999999996</v>
      </c>
    </row>
    <row r="19774" spans="1:5">
      <c r="A19774" t="s">
        <v>46120</v>
      </c>
      <c r="B19774" t="s">
        <v>1053</v>
      </c>
      <c r="C19774">
        <v>0</v>
      </c>
      <c r="D19774">
        <v>0.64118849081499996</v>
      </c>
      <c r="E19774">
        <v>0.58199999999999996</v>
      </c>
    </row>
    <row r="19775" spans="1:5">
      <c r="A19775" t="s">
        <v>46120</v>
      </c>
      <c r="B19775" t="s">
        <v>1061</v>
      </c>
      <c r="C19775">
        <v>0</v>
      </c>
      <c r="D19775">
        <v>0.64118849081499996</v>
      </c>
      <c r="E19775">
        <v>0.58199999999999996</v>
      </c>
    </row>
    <row r="19776" spans="1:5">
      <c r="A19776" t="s">
        <v>46121</v>
      </c>
      <c r="B19776" t="s">
        <v>10100</v>
      </c>
      <c r="C19776">
        <f>0</f>
        <v>0</v>
      </c>
      <c r="D19776" t="s">
        <v>106</v>
      </c>
      <c r="E19776">
        <v>10.242000000000001</v>
      </c>
    </row>
    <row r="19777" spans="1:5">
      <c r="A19777" t="s">
        <v>46121</v>
      </c>
      <c r="B19777" t="s">
        <v>10103</v>
      </c>
      <c r="C19777">
        <v>0</v>
      </c>
      <c r="D19777" t="s">
        <v>106</v>
      </c>
      <c r="E19777">
        <v>10.242000000000001</v>
      </c>
    </row>
    <row r="19778" spans="1:5">
      <c r="A19778" t="s">
        <v>46121</v>
      </c>
      <c r="B19778" t="s">
        <v>10101</v>
      </c>
      <c r="C19778">
        <v>0</v>
      </c>
      <c r="D19778" t="s">
        <v>106</v>
      </c>
      <c r="E19778">
        <v>10.242000000000001</v>
      </c>
    </row>
    <row r="19779" spans="1:5">
      <c r="A19779" t="s">
        <v>46122</v>
      </c>
      <c r="B19779" t="s">
        <v>46123</v>
      </c>
      <c r="C19779">
        <v>2.3788803405199999E-2</v>
      </c>
      <c r="D19779">
        <v>0.93667571877300004</v>
      </c>
      <c r="E19779">
        <v>7.1999999999999995E-2</v>
      </c>
    </row>
    <row r="19780" spans="1:5">
      <c r="A19780" t="s">
        <v>46122</v>
      </c>
      <c r="B19780" t="s">
        <v>46124</v>
      </c>
      <c r="C19780">
        <v>0</v>
      </c>
      <c r="D19780">
        <v>0.93667571877300004</v>
      </c>
      <c r="E19780">
        <v>7.1999999999999995E-2</v>
      </c>
    </row>
    <row r="19781" spans="1:5">
      <c r="A19781" t="s">
        <v>46122</v>
      </c>
      <c r="B19781" t="s">
        <v>46125</v>
      </c>
      <c r="C19781">
        <v>0</v>
      </c>
      <c r="D19781">
        <v>0.93667571877300004</v>
      </c>
      <c r="E19781">
        <v>7.1999999999999995E-2</v>
      </c>
    </row>
    <row r="19782" spans="1:5">
      <c r="A19782" t="s">
        <v>46122</v>
      </c>
      <c r="B19782" t="s">
        <v>46126</v>
      </c>
      <c r="C19782">
        <v>0.62777289721100005</v>
      </c>
      <c r="D19782">
        <v>0.93667571877300004</v>
      </c>
      <c r="E19782">
        <v>7.1999999999999995E-2</v>
      </c>
    </row>
    <row r="19783" spans="1:5">
      <c r="A19783" t="s">
        <v>46122</v>
      </c>
      <c r="B19783" t="s">
        <v>46127</v>
      </c>
      <c r="C19783">
        <v>0.34848729966300002</v>
      </c>
      <c r="D19783">
        <v>0.93667571877300004</v>
      </c>
      <c r="E19783">
        <v>7.1999999999999995E-2</v>
      </c>
    </row>
    <row r="19784" spans="1:5">
      <c r="A19784" t="s">
        <v>46122</v>
      </c>
      <c r="B19784" t="s">
        <v>46128</v>
      </c>
      <c r="C19784">
        <f>0</f>
        <v>0</v>
      </c>
      <c r="D19784">
        <v>0.93667571877300004</v>
      </c>
      <c r="E19784">
        <v>7.1999999999999995E-2</v>
      </c>
    </row>
    <row r="19785" spans="1:5">
      <c r="A19785" t="s">
        <v>46122</v>
      </c>
      <c r="B19785" t="s">
        <v>46129</v>
      </c>
      <c r="C19785">
        <f>0.190628806029</f>
        <v>0.19062880602900001</v>
      </c>
      <c r="D19785">
        <v>0.93667571877300004</v>
      </c>
      <c r="E19785">
        <v>7.1999999999999995E-2</v>
      </c>
    </row>
    <row r="19786" spans="1:5">
      <c r="A19786" t="s">
        <v>46130</v>
      </c>
      <c r="B19786" t="s">
        <v>12887</v>
      </c>
      <c r="C19786">
        <v>0.42523231384799998</v>
      </c>
      <c r="D19786">
        <v>0.80298018913400004</v>
      </c>
      <c r="E19786">
        <v>1.3380000000000001</v>
      </c>
    </row>
    <row r="19787" spans="1:5">
      <c r="A19787" t="s">
        <v>46130</v>
      </c>
      <c r="B19787" t="s">
        <v>12880</v>
      </c>
      <c r="C19787">
        <f>0</f>
        <v>0</v>
      </c>
      <c r="D19787">
        <v>0.80298018913400004</v>
      </c>
      <c r="E19787">
        <v>1.3380000000000001</v>
      </c>
    </row>
    <row r="19788" spans="1:5">
      <c r="A19788" t="s">
        <v>46130</v>
      </c>
      <c r="B19788" t="s">
        <v>12881</v>
      </c>
      <c r="C19788">
        <v>0</v>
      </c>
      <c r="D19788">
        <v>0.80298018913400004</v>
      </c>
      <c r="E19788">
        <v>1.3380000000000001</v>
      </c>
    </row>
    <row r="19789" spans="1:5">
      <c r="A19789" t="s">
        <v>46130</v>
      </c>
      <c r="B19789" t="s">
        <v>12883</v>
      </c>
      <c r="C19789">
        <f>0</f>
        <v>0</v>
      </c>
      <c r="D19789">
        <v>0.80298018913400004</v>
      </c>
      <c r="E19789">
        <v>1.3380000000000001</v>
      </c>
    </row>
    <row r="19790" spans="1:5">
      <c r="A19790" t="s">
        <v>46130</v>
      </c>
      <c r="B19790" t="s">
        <v>12882</v>
      </c>
      <c r="C19790">
        <v>0</v>
      </c>
      <c r="D19790">
        <v>0.80298018913400004</v>
      </c>
      <c r="E19790">
        <v>1.3380000000000001</v>
      </c>
    </row>
    <row r="19791" spans="1:5">
      <c r="A19791" t="s">
        <v>46130</v>
      </c>
      <c r="B19791" t="s">
        <v>12889</v>
      </c>
      <c r="C19791">
        <f>0</f>
        <v>0</v>
      </c>
      <c r="D19791">
        <v>0.80298018913400004</v>
      </c>
      <c r="E19791">
        <v>1.3380000000000001</v>
      </c>
    </row>
    <row r="19792" spans="1:5">
      <c r="A19792" t="s">
        <v>46130</v>
      </c>
      <c r="B19792" t="s">
        <v>12885</v>
      </c>
      <c r="C19792">
        <v>0</v>
      </c>
      <c r="D19792">
        <v>0.80298018913400004</v>
      </c>
      <c r="E19792">
        <v>1.3380000000000001</v>
      </c>
    </row>
    <row r="19793" spans="1:5">
      <c r="A19793" t="s">
        <v>46130</v>
      </c>
      <c r="B19793" t="s">
        <v>12890</v>
      </c>
      <c r="C19793">
        <v>0.28897842733399998</v>
      </c>
      <c r="D19793">
        <v>0.80298018913400004</v>
      </c>
      <c r="E19793">
        <v>1.3380000000000001</v>
      </c>
    </row>
    <row r="19794" spans="1:5">
      <c r="A19794" t="s">
        <v>46131</v>
      </c>
      <c r="B19794" t="s">
        <v>31664</v>
      </c>
      <c r="C19794">
        <v>0</v>
      </c>
      <c r="D19794">
        <v>0.92998646561800002</v>
      </c>
      <c r="E19794">
        <v>8.2919999999999998</v>
      </c>
    </row>
    <row r="19795" spans="1:5">
      <c r="A19795" t="s">
        <v>46131</v>
      </c>
      <c r="B19795" t="s">
        <v>31653</v>
      </c>
      <c r="C19795">
        <f>0</f>
        <v>0</v>
      </c>
      <c r="D19795">
        <v>0.92998646561800002</v>
      </c>
      <c r="E19795">
        <v>8.2919999999999998</v>
      </c>
    </row>
    <row r="19796" spans="1:5">
      <c r="A19796" t="s">
        <v>46131</v>
      </c>
      <c r="B19796" t="s">
        <v>31657</v>
      </c>
      <c r="C19796">
        <v>0</v>
      </c>
      <c r="D19796">
        <v>0.92998646561800002</v>
      </c>
      <c r="E19796">
        <v>8.2919999999999998</v>
      </c>
    </row>
    <row r="19797" spans="1:5">
      <c r="A19797" t="s">
        <v>46131</v>
      </c>
      <c r="B19797" t="s">
        <v>31655</v>
      </c>
      <c r="C19797">
        <f>0</f>
        <v>0</v>
      </c>
      <c r="D19797">
        <v>0.92998646561800002</v>
      </c>
      <c r="E19797">
        <v>8.2919999999999998</v>
      </c>
    </row>
    <row r="19798" spans="1:5">
      <c r="A19798" t="s">
        <v>46131</v>
      </c>
      <c r="B19798" t="s">
        <v>31659</v>
      </c>
      <c r="C19798">
        <f>0</f>
        <v>0</v>
      </c>
      <c r="D19798">
        <v>0.92998646561800002</v>
      </c>
      <c r="E19798">
        <v>8.2919999999999998</v>
      </c>
    </row>
    <row r="19799" spans="1:5">
      <c r="A19799" t="s">
        <v>46131</v>
      </c>
      <c r="B19799" t="s">
        <v>31661</v>
      </c>
      <c r="C19799">
        <v>0.13016825428000001</v>
      </c>
      <c r="D19799">
        <v>0.92998646561800002</v>
      </c>
      <c r="E19799">
        <v>8.2919999999999998</v>
      </c>
    </row>
    <row r="19800" spans="1:5">
      <c r="A19800" t="s">
        <v>46131</v>
      </c>
      <c r="B19800" t="s">
        <v>31662</v>
      </c>
      <c r="C19800">
        <f>0.199906657542</f>
        <v>0.19990665754199999</v>
      </c>
      <c r="D19800">
        <v>0.92998646561800002</v>
      </c>
      <c r="E19800">
        <v>8.2919999999999998</v>
      </c>
    </row>
    <row r="19801" spans="1:5">
      <c r="A19801" t="s">
        <v>46131</v>
      </c>
      <c r="B19801" t="s">
        <v>31658</v>
      </c>
      <c r="C19801">
        <f>0.522399346285</f>
        <v>0.52239934628499995</v>
      </c>
      <c r="D19801">
        <v>0.92998646561800002</v>
      </c>
      <c r="E19801">
        <v>8.2919999999999998</v>
      </c>
    </row>
    <row r="19802" spans="1:5">
      <c r="A19802" t="s">
        <v>46131</v>
      </c>
      <c r="B19802" t="s">
        <v>31660</v>
      </c>
      <c r="C19802">
        <f>0</f>
        <v>0</v>
      </c>
      <c r="D19802">
        <v>0.92998646561800002</v>
      </c>
      <c r="E19802">
        <v>8.2919999999999998</v>
      </c>
    </row>
    <row r="19803" spans="1:5">
      <c r="A19803" t="s">
        <v>46132</v>
      </c>
      <c r="B19803" t="s">
        <v>46133</v>
      </c>
      <c r="C19803">
        <v>4.0181851860900002E-2</v>
      </c>
      <c r="D19803">
        <v>0.75208276651100003</v>
      </c>
      <c r="E19803">
        <v>1.512</v>
      </c>
    </row>
    <row r="19804" spans="1:5">
      <c r="A19804" t="s">
        <v>46132</v>
      </c>
      <c r="B19804" t="s">
        <v>46134</v>
      </c>
      <c r="C19804">
        <v>0.54082674429400002</v>
      </c>
      <c r="D19804">
        <v>0.75208276651100003</v>
      </c>
      <c r="E19804">
        <v>1.512</v>
      </c>
    </row>
    <row r="19805" spans="1:5">
      <c r="A19805" t="s">
        <v>46135</v>
      </c>
      <c r="B19805" t="s">
        <v>34193</v>
      </c>
      <c r="C19805">
        <v>0.39845479215599999</v>
      </c>
      <c r="D19805">
        <v>0.89169357833600005</v>
      </c>
      <c r="E19805">
        <v>23.754000000000001</v>
      </c>
    </row>
    <row r="19806" spans="1:5">
      <c r="A19806" t="s">
        <v>46135</v>
      </c>
      <c r="B19806" t="s">
        <v>34194</v>
      </c>
      <c r="C19806">
        <v>0.55302179722</v>
      </c>
      <c r="D19806">
        <v>0.89169357833600005</v>
      </c>
      <c r="E19806">
        <v>23.754000000000001</v>
      </c>
    </row>
    <row r="19807" spans="1:5">
      <c r="A19807" t="s">
        <v>46135</v>
      </c>
      <c r="B19807" t="s">
        <v>34196</v>
      </c>
      <c r="C19807">
        <v>5.4739290236900003E-2</v>
      </c>
      <c r="D19807">
        <v>0.89169357833600005</v>
      </c>
      <c r="E19807">
        <v>23.754000000000001</v>
      </c>
    </row>
    <row r="19808" spans="1:5">
      <c r="A19808" t="s">
        <v>46136</v>
      </c>
      <c r="B19808" t="s">
        <v>4961</v>
      </c>
      <c r="C19808">
        <f>0</f>
        <v>0</v>
      </c>
      <c r="D19808" t="s">
        <v>106</v>
      </c>
      <c r="E19808">
        <v>1.968</v>
      </c>
    </row>
    <row r="19809" spans="1:5">
      <c r="A19809" t="s">
        <v>46136</v>
      </c>
      <c r="B19809" t="s">
        <v>4964</v>
      </c>
      <c r="C19809">
        <v>0</v>
      </c>
      <c r="D19809" t="s">
        <v>106</v>
      </c>
      <c r="E19809">
        <v>1.968</v>
      </c>
    </row>
    <row r="19810" spans="1:5">
      <c r="A19810" t="s">
        <v>46136</v>
      </c>
      <c r="B19810" t="s">
        <v>4963</v>
      </c>
      <c r="C19810">
        <f>0</f>
        <v>0</v>
      </c>
      <c r="D19810" t="s">
        <v>106</v>
      </c>
      <c r="E19810">
        <v>1.968</v>
      </c>
    </row>
    <row r="19811" spans="1:5">
      <c r="A19811" t="s">
        <v>46136</v>
      </c>
      <c r="B19811" t="s">
        <v>4962</v>
      </c>
      <c r="C19811">
        <f>0</f>
        <v>0</v>
      </c>
      <c r="D19811" t="s">
        <v>106</v>
      </c>
      <c r="E19811">
        <v>1.968</v>
      </c>
    </row>
    <row r="19812" spans="1:5">
      <c r="A19812" t="s">
        <v>46137</v>
      </c>
      <c r="B19812" t="s">
        <v>33149</v>
      </c>
      <c r="C19812">
        <v>0</v>
      </c>
      <c r="D19812" t="s">
        <v>106</v>
      </c>
      <c r="E19812">
        <v>23.52</v>
      </c>
    </row>
    <row r="19813" spans="1:5">
      <c r="A19813" t="s">
        <v>46137</v>
      </c>
      <c r="B19813" t="s">
        <v>33153</v>
      </c>
      <c r="C19813">
        <v>0</v>
      </c>
      <c r="D19813" t="s">
        <v>106</v>
      </c>
      <c r="E19813">
        <v>23.52</v>
      </c>
    </row>
    <row r="19814" spans="1:5">
      <c r="A19814" t="s">
        <v>46137</v>
      </c>
      <c r="B19814" t="s">
        <v>33154</v>
      </c>
      <c r="C19814">
        <v>0</v>
      </c>
      <c r="D19814" t="s">
        <v>106</v>
      </c>
      <c r="E19814">
        <v>23.52</v>
      </c>
    </row>
    <row r="19815" spans="1:5">
      <c r="A19815" t="s">
        <v>46137</v>
      </c>
      <c r="B19815" t="s">
        <v>33151</v>
      </c>
      <c r="C19815">
        <v>0</v>
      </c>
      <c r="D19815" t="s">
        <v>106</v>
      </c>
      <c r="E19815">
        <v>23.52</v>
      </c>
    </row>
    <row r="19816" spans="1:5">
      <c r="A19816" t="s">
        <v>46138</v>
      </c>
      <c r="B19816" t="s">
        <v>18264</v>
      </c>
      <c r="C19816">
        <v>0</v>
      </c>
      <c r="D19816" t="s">
        <v>106</v>
      </c>
      <c r="E19816">
        <v>23.04</v>
      </c>
    </row>
    <row r="19817" spans="1:5">
      <c r="A19817" t="s">
        <v>46138</v>
      </c>
      <c r="B19817" t="s">
        <v>18265</v>
      </c>
      <c r="C19817">
        <f>0</f>
        <v>0</v>
      </c>
      <c r="D19817" t="s">
        <v>106</v>
      </c>
      <c r="E19817">
        <v>23.04</v>
      </c>
    </row>
    <row r="19818" spans="1:5">
      <c r="A19818" t="s">
        <v>46139</v>
      </c>
      <c r="B19818" t="s">
        <v>46140</v>
      </c>
      <c r="C19818">
        <f>0</f>
        <v>0</v>
      </c>
      <c r="D19818" t="s">
        <v>106</v>
      </c>
      <c r="E19818">
        <v>22.571999999999999</v>
      </c>
    </row>
    <row r="19819" spans="1:5">
      <c r="A19819" t="s">
        <v>46139</v>
      </c>
      <c r="B19819" t="s">
        <v>46141</v>
      </c>
      <c r="C19819">
        <f>0</f>
        <v>0</v>
      </c>
      <c r="D19819" t="s">
        <v>106</v>
      </c>
      <c r="E19819">
        <v>22.571999999999999</v>
      </c>
    </row>
    <row r="19820" spans="1:5">
      <c r="A19820" t="s">
        <v>46139</v>
      </c>
      <c r="B19820" t="s">
        <v>46142</v>
      </c>
      <c r="C19820">
        <f>0</f>
        <v>0</v>
      </c>
      <c r="D19820" t="s">
        <v>106</v>
      </c>
      <c r="E19820">
        <v>22.571999999999999</v>
      </c>
    </row>
    <row r="19821" spans="1:5">
      <c r="A19821" t="s">
        <v>46139</v>
      </c>
      <c r="B19821" t="s">
        <v>46143</v>
      </c>
      <c r="C19821">
        <f>0</f>
        <v>0</v>
      </c>
      <c r="D19821" t="s">
        <v>106</v>
      </c>
      <c r="E19821">
        <v>22.571999999999999</v>
      </c>
    </row>
    <row r="19822" spans="1:5">
      <c r="A19822" t="s">
        <v>46139</v>
      </c>
      <c r="B19822" t="s">
        <v>46144</v>
      </c>
      <c r="C19822">
        <f>0</f>
        <v>0</v>
      </c>
      <c r="D19822" t="s">
        <v>106</v>
      </c>
      <c r="E19822">
        <v>22.571999999999999</v>
      </c>
    </row>
    <row r="19823" spans="1:5">
      <c r="A19823" t="s">
        <v>46139</v>
      </c>
      <c r="B19823" t="s">
        <v>46145</v>
      </c>
      <c r="C19823">
        <f>0</f>
        <v>0</v>
      </c>
      <c r="D19823" t="s">
        <v>106</v>
      </c>
      <c r="E19823">
        <v>22.571999999999999</v>
      </c>
    </row>
    <row r="19824" spans="1:5">
      <c r="A19824" t="s">
        <v>46146</v>
      </c>
      <c r="B19824" t="s">
        <v>24791</v>
      </c>
      <c r="C19824">
        <f>0.374657901413</f>
        <v>0.37465790141299998</v>
      </c>
      <c r="D19824">
        <v>0.74874215910899999</v>
      </c>
      <c r="E19824">
        <v>6.3</v>
      </c>
    </row>
    <row r="19825" spans="1:5">
      <c r="A19825" t="s">
        <v>46146</v>
      </c>
      <c r="B19825" t="s">
        <v>24797</v>
      </c>
      <c r="C19825">
        <f>0.593823853396</f>
        <v>0.59382385339599997</v>
      </c>
      <c r="D19825">
        <v>0.74874215910899999</v>
      </c>
      <c r="E19825">
        <v>6.3</v>
      </c>
    </row>
    <row r="19826" spans="1:5">
      <c r="A19826" t="s">
        <v>46146</v>
      </c>
      <c r="B19826" t="s">
        <v>24792</v>
      </c>
      <c r="C19826">
        <f>0</f>
        <v>0</v>
      </c>
      <c r="D19826">
        <v>0.74874215910899999</v>
      </c>
      <c r="E19826">
        <v>6.3</v>
      </c>
    </row>
    <row r="19827" spans="1:5">
      <c r="A19827" t="s">
        <v>46146</v>
      </c>
      <c r="B19827" t="s">
        <v>24796</v>
      </c>
      <c r="C19827">
        <v>0</v>
      </c>
      <c r="D19827">
        <v>0.74874215910899999</v>
      </c>
      <c r="E19827">
        <v>6.3</v>
      </c>
    </row>
    <row r="19828" spans="1:5">
      <c r="A19828" t="s">
        <v>46147</v>
      </c>
      <c r="B19828" t="s">
        <v>7751</v>
      </c>
      <c r="C19828">
        <v>0.295674229289</v>
      </c>
      <c r="D19828">
        <v>0.71722561476199997</v>
      </c>
      <c r="E19828">
        <v>24</v>
      </c>
    </row>
    <row r="19829" spans="1:5">
      <c r="A19829" t="s">
        <v>46147</v>
      </c>
      <c r="B19829" t="s">
        <v>7747</v>
      </c>
      <c r="C19829">
        <f>0</f>
        <v>0</v>
      </c>
      <c r="D19829">
        <v>0.71722561476199997</v>
      </c>
      <c r="E19829">
        <v>24</v>
      </c>
    </row>
    <row r="19830" spans="1:5">
      <c r="A19830" t="s">
        <v>46147</v>
      </c>
      <c r="B19830" t="s">
        <v>7753</v>
      </c>
      <c r="C19830">
        <v>0.171907915982</v>
      </c>
      <c r="D19830">
        <v>0.71722561476199997</v>
      </c>
      <c r="E19830">
        <v>24</v>
      </c>
    </row>
    <row r="19831" spans="1:5">
      <c r="A19831" t="s">
        <v>46147</v>
      </c>
      <c r="B19831" t="s">
        <v>7748</v>
      </c>
      <c r="C19831">
        <f>0</f>
        <v>0</v>
      </c>
      <c r="D19831">
        <v>0.71722561476199997</v>
      </c>
      <c r="E19831">
        <v>24</v>
      </c>
    </row>
    <row r="19832" spans="1:5">
      <c r="A19832" t="s">
        <v>46147</v>
      </c>
      <c r="B19832" t="s">
        <v>7749</v>
      </c>
      <c r="C19832">
        <v>0</v>
      </c>
      <c r="D19832">
        <v>0.71722561476199997</v>
      </c>
      <c r="E19832">
        <v>24</v>
      </c>
    </row>
    <row r="19833" spans="1:5">
      <c r="A19833" t="s">
        <v>46148</v>
      </c>
      <c r="B19833" t="s">
        <v>34132</v>
      </c>
      <c r="C19833">
        <v>0.91602513632100002</v>
      </c>
      <c r="D19833">
        <v>0.99961192446500002</v>
      </c>
      <c r="E19833">
        <v>23.04</v>
      </c>
    </row>
    <row r="19834" spans="1:5">
      <c r="A19834" t="s">
        <v>46148</v>
      </c>
      <c r="B19834" t="s">
        <v>34131</v>
      </c>
      <c r="C19834">
        <v>0.30944256071100001</v>
      </c>
      <c r="D19834">
        <v>0.99961192446500002</v>
      </c>
      <c r="E19834">
        <v>23.04</v>
      </c>
    </row>
    <row r="19835" spans="1:5">
      <c r="A19835" t="s">
        <v>46148</v>
      </c>
      <c r="B19835" t="s">
        <v>34134</v>
      </c>
      <c r="C19835">
        <f>0.238302389909</f>
        <v>0.23830238990899999</v>
      </c>
      <c r="D19835">
        <v>0.99961192446500002</v>
      </c>
      <c r="E19835">
        <v>23.04</v>
      </c>
    </row>
    <row r="19836" spans="1:5">
      <c r="A19836" t="s">
        <v>46148</v>
      </c>
      <c r="B19836" t="s">
        <v>34133</v>
      </c>
      <c r="C19836">
        <v>0.13195288537700001</v>
      </c>
      <c r="D19836">
        <v>0.99961192446500002</v>
      </c>
      <c r="E19836">
        <v>23.04</v>
      </c>
    </row>
    <row r="19837" spans="1:5">
      <c r="A19837" t="s">
        <v>46149</v>
      </c>
      <c r="B19837" t="s">
        <v>13856</v>
      </c>
      <c r="C19837">
        <v>0</v>
      </c>
      <c r="D19837" t="s">
        <v>106</v>
      </c>
      <c r="E19837">
        <v>0.24</v>
      </c>
    </row>
    <row r="19838" spans="1:5">
      <c r="A19838" t="s">
        <v>46149</v>
      </c>
      <c r="B19838" t="s">
        <v>13855</v>
      </c>
      <c r="C19838">
        <v>0</v>
      </c>
      <c r="D19838" t="s">
        <v>106</v>
      </c>
      <c r="E19838">
        <v>0.24</v>
      </c>
    </row>
    <row r="19839" spans="1:5">
      <c r="A19839" t="s">
        <v>46150</v>
      </c>
      <c r="B19839" t="s">
        <v>46151</v>
      </c>
      <c r="C19839">
        <v>0.65990350328500003</v>
      </c>
      <c r="D19839">
        <v>0.92950630518800004</v>
      </c>
      <c r="E19839">
        <v>5.9340000000000002</v>
      </c>
    </row>
    <row r="19840" spans="1:5">
      <c r="A19840" t="s">
        <v>46150</v>
      </c>
      <c r="B19840" t="s">
        <v>46152</v>
      </c>
      <c r="C19840">
        <v>0.15202840378400001</v>
      </c>
      <c r="D19840">
        <v>0.92950630518800004</v>
      </c>
      <c r="E19840">
        <v>5.9340000000000002</v>
      </c>
    </row>
    <row r="19841" spans="1:5">
      <c r="A19841" t="s">
        <v>46150</v>
      </c>
      <c r="B19841" t="s">
        <v>46153</v>
      </c>
      <c r="C19841">
        <v>7.6492043322000006E-2</v>
      </c>
      <c r="D19841">
        <v>0.92950630518800004</v>
      </c>
      <c r="E19841">
        <v>5.9340000000000002</v>
      </c>
    </row>
    <row r="19842" spans="1:5">
      <c r="A19842" t="s">
        <v>46154</v>
      </c>
      <c r="B19842" t="s">
        <v>46155</v>
      </c>
      <c r="C19842">
        <v>0.437223173455</v>
      </c>
      <c r="D19842">
        <v>0.99962227196700004</v>
      </c>
      <c r="E19842">
        <v>11.538</v>
      </c>
    </row>
    <row r="19843" spans="1:5">
      <c r="A19843" t="s">
        <v>46154</v>
      </c>
      <c r="B19843" t="s">
        <v>46156</v>
      </c>
      <c r="C19843">
        <v>0.28090862926100002</v>
      </c>
      <c r="D19843">
        <v>0.99962227196700004</v>
      </c>
      <c r="E19843">
        <v>11.538</v>
      </c>
    </row>
    <row r="19844" spans="1:5">
      <c r="A19844" t="s">
        <v>46154</v>
      </c>
      <c r="B19844" t="s">
        <v>46157</v>
      </c>
      <c r="C19844">
        <f>0.383632431796</f>
        <v>0.38363243179599998</v>
      </c>
      <c r="D19844">
        <v>0.99962227196700004</v>
      </c>
      <c r="E19844">
        <v>11.538</v>
      </c>
    </row>
    <row r="19845" spans="1:5">
      <c r="A19845" t="s">
        <v>46154</v>
      </c>
      <c r="B19845" t="s">
        <v>46158</v>
      </c>
      <c r="C19845">
        <f>0.123266902445</f>
        <v>0.12326690244500001</v>
      </c>
      <c r="D19845">
        <v>0.99962227196700004</v>
      </c>
      <c r="E19845">
        <v>11.538</v>
      </c>
    </row>
    <row r="19846" spans="1:5">
      <c r="A19846" t="s">
        <v>46154</v>
      </c>
      <c r="B19846" t="s">
        <v>46159</v>
      </c>
      <c r="C19846">
        <v>1.0666355322400001</v>
      </c>
      <c r="D19846">
        <v>0.99962227196700004</v>
      </c>
      <c r="E19846">
        <v>11.538</v>
      </c>
    </row>
    <row r="19847" spans="1:5">
      <c r="A19847" t="s">
        <v>46154</v>
      </c>
      <c r="B19847" t="s">
        <v>46160</v>
      </c>
      <c r="C19847">
        <f>-1.14829526456</f>
        <v>-1.14829526456</v>
      </c>
      <c r="D19847">
        <v>0.99962227196700004</v>
      </c>
      <c r="E19847">
        <v>11.538</v>
      </c>
    </row>
    <row r="19848" spans="1:5">
      <c r="A19848" t="s">
        <v>46154</v>
      </c>
      <c r="B19848" t="s">
        <v>46161</v>
      </c>
      <c r="C19848">
        <v>0.32597475345999999</v>
      </c>
      <c r="D19848">
        <v>0.99962227196700004</v>
      </c>
      <c r="E19848">
        <v>11.538</v>
      </c>
    </row>
    <row r="19849" spans="1:5">
      <c r="A19849" t="s">
        <v>46162</v>
      </c>
      <c r="B19849" t="s">
        <v>20928</v>
      </c>
      <c r="C19849">
        <f>0</f>
        <v>0</v>
      </c>
      <c r="D19849" t="s">
        <v>106</v>
      </c>
      <c r="E19849">
        <v>24</v>
      </c>
    </row>
    <row r="19850" spans="1:5">
      <c r="A19850" t="s">
        <v>46162</v>
      </c>
      <c r="B19850" t="s">
        <v>20933</v>
      </c>
      <c r="C19850">
        <f>0</f>
        <v>0</v>
      </c>
      <c r="D19850" t="s">
        <v>106</v>
      </c>
      <c r="E19850">
        <v>24</v>
      </c>
    </row>
    <row r="19851" spans="1:5">
      <c r="A19851" t="s">
        <v>46162</v>
      </c>
      <c r="B19851" t="s">
        <v>20931</v>
      </c>
      <c r="C19851">
        <v>0</v>
      </c>
      <c r="D19851" t="s">
        <v>106</v>
      </c>
      <c r="E19851">
        <v>24</v>
      </c>
    </row>
    <row r="19852" spans="1:5">
      <c r="A19852" t="s">
        <v>46162</v>
      </c>
      <c r="B19852" t="s">
        <v>20934</v>
      </c>
      <c r="C19852">
        <v>0</v>
      </c>
      <c r="D19852" t="s">
        <v>106</v>
      </c>
      <c r="E19852">
        <v>24</v>
      </c>
    </row>
    <row r="19853" spans="1:5">
      <c r="A19853" t="s">
        <v>46162</v>
      </c>
      <c r="B19853" t="s">
        <v>20929</v>
      </c>
      <c r="C19853">
        <f>0</f>
        <v>0</v>
      </c>
      <c r="D19853" t="s">
        <v>106</v>
      </c>
      <c r="E19853">
        <v>24</v>
      </c>
    </row>
    <row r="19854" spans="1:5">
      <c r="A19854" t="s">
        <v>46163</v>
      </c>
      <c r="B19854" t="s">
        <v>46164</v>
      </c>
      <c r="C19854">
        <v>0.78114397220800003</v>
      </c>
      <c r="D19854">
        <v>0.87683511007500003</v>
      </c>
      <c r="E19854">
        <v>0</v>
      </c>
    </row>
    <row r="19855" spans="1:5">
      <c r="A19855" t="s">
        <v>46163</v>
      </c>
      <c r="B19855" t="s">
        <v>46165</v>
      </c>
      <c r="C19855">
        <v>0.15554804590499999</v>
      </c>
      <c r="D19855">
        <v>0.87683511007500003</v>
      </c>
      <c r="E19855">
        <v>0</v>
      </c>
    </row>
    <row r="19856" spans="1:5">
      <c r="A19856" t="s">
        <v>46166</v>
      </c>
      <c r="B19856" t="s">
        <v>11694</v>
      </c>
      <c r="C19856">
        <f>0.600284795068</f>
        <v>0.60028479506800003</v>
      </c>
      <c r="D19856">
        <v>0.73005007586100001</v>
      </c>
      <c r="E19856">
        <v>10.554</v>
      </c>
    </row>
    <row r="19857" spans="1:5">
      <c r="A19857" t="s">
        <v>46166</v>
      </c>
      <c r="B19857" t="s">
        <v>11696</v>
      </c>
      <c r="C19857">
        <f>0.152049872279</f>
        <v>0.15204987227899999</v>
      </c>
      <c r="D19857">
        <v>0.73005007586100001</v>
      </c>
      <c r="E19857">
        <v>10.554</v>
      </c>
    </row>
    <row r="19858" spans="1:5">
      <c r="A19858" t="s">
        <v>46167</v>
      </c>
      <c r="B19858" t="s">
        <v>28105</v>
      </c>
      <c r="C19858">
        <f>0</f>
        <v>0</v>
      </c>
      <c r="D19858" t="s">
        <v>106</v>
      </c>
      <c r="E19858">
        <v>7.6020000000000003</v>
      </c>
    </row>
    <row r="19859" spans="1:5">
      <c r="A19859" t="s">
        <v>46167</v>
      </c>
      <c r="B19859" t="s">
        <v>28101</v>
      </c>
      <c r="C19859">
        <f>0</f>
        <v>0</v>
      </c>
      <c r="D19859" t="s">
        <v>106</v>
      </c>
      <c r="E19859">
        <v>7.6020000000000003</v>
      </c>
    </row>
    <row r="19860" spans="1:5">
      <c r="A19860" t="s">
        <v>46167</v>
      </c>
      <c r="B19860" t="s">
        <v>28100</v>
      </c>
      <c r="C19860">
        <f>0</f>
        <v>0</v>
      </c>
      <c r="D19860" t="s">
        <v>106</v>
      </c>
      <c r="E19860">
        <v>7.6020000000000003</v>
      </c>
    </row>
    <row r="19861" spans="1:5">
      <c r="A19861" t="s">
        <v>46167</v>
      </c>
      <c r="B19861" t="s">
        <v>28102</v>
      </c>
      <c r="C19861">
        <f>0</f>
        <v>0</v>
      </c>
      <c r="D19861" t="s">
        <v>106</v>
      </c>
      <c r="E19861">
        <v>7.6020000000000003</v>
      </c>
    </row>
    <row r="19862" spans="1:5">
      <c r="A19862" t="s">
        <v>46167</v>
      </c>
      <c r="B19862" t="s">
        <v>28104</v>
      </c>
      <c r="C19862">
        <v>0</v>
      </c>
      <c r="D19862" t="s">
        <v>106</v>
      </c>
      <c r="E19862">
        <v>7.6020000000000003</v>
      </c>
    </row>
    <row r="19863" spans="1:5">
      <c r="A19863" t="s">
        <v>46168</v>
      </c>
      <c r="B19863" t="s">
        <v>20717</v>
      </c>
      <c r="C19863">
        <v>0.873940989981</v>
      </c>
      <c r="D19863">
        <v>0.75486585567800002</v>
      </c>
      <c r="E19863">
        <v>8.7240000000000002</v>
      </c>
    </row>
    <row r="19864" spans="1:5">
      <c r="A19864" t="s">
        <v>46168</v>
      </c>
      <c r="B19864" t="s">
        <v>20718</v>
      </c>
      <c r="C19864">
        <v>0.34710919653900002</v>
      </c>
      <c r="D19864">
        <v>0.75486585567800002</v>
      </c>
      <c r="E19864">
        <v>8.7240000000000002</v>
      </c>
    </row>
    <row r="19865" spans="1:5">
      <c r="A19865" t="s">
        <v>46169</v>
      </c>
      <c r="B19865" t="s">
        <v>28011</v>
      </c>
      <c r="C19865">
        <f>0</f>
        <v>0</v>
      </c>
      <c r="D19865">
        <v>0.830676535188</v>
      </c>
      <c r="E19865">
        <v>0.28799999999999998</v>
      </c>
    </row>
    <row r="19866" spans="1:5">
      <c r="A19866" t="s">
        <v>46169</v>
      </c>
      <c r="B19866" t="s">
        <v>28015</v>
      </c>
      <c r="C19866">
        <v>0.63706653518800005</v>
      </c>
      <c r="D19866">
        <v>0.830676535188</v>
      </c>
      <c r="E19866">
        <v>0.28799999999999998</v>
      </c>
    </row>
    <row r="19867" spans="1:5">
      <c r="A19867" t="s">
        <v>46169</v>
      </c>
      <c r="B19867" t="s">
        <v>28016</v>
      </c>
      <c r="C19867">
        <f>0</f>
        <v>0</v>
      </c>
      <c r="D19867">
        <v>0.830676535188</v>
      </c>
      <c r="E19867">
        <v>0.28799999999999998</v>
      </c>
    </row>
    <row r="19868" spans="1:5">
      <c r="A19868" t="s">
        <v>46170</v>
      </c>
      <c r="B19868" t="s">
        <v>25043</v>
      </c>
      <c r="C19868">
        <f>0.702482134668</f>
        <v>0.70248213466800002</v>
      </c>
      <c r="D19868">
        <v>0.882438702455</v>
      </c>
      <c r="E19868">
        <v>24</v>
      </c>
    </row>
    <row r="19869" spans="1:5">
      <c r="A19869" t="s">
        <v>46170</v>
      </c>
      <c r="B19869" t="s">
        <v>25046</v>
      </c>
      <c r="C19869">
        <f>0.108196194329</f>
        <v>0.108196194329</v>
      </c>
      <c r="D19869">
        <v>0.882438702455</v>
      </c>
      <c r="E19869">
        <v>24</v>
      </c>
    </row>
    <row r="19870" spans="1:5">
      <c r="A19870" t="s">
        <v>46170</v>
      </c>
      <c r="B19870" t="s">
        <v>25042</v>
      </c>
      <c r="C19870">
        <f>0.418335346419</f>
        <v>0.418335346419</v>
      </c>
      <c r="D19870">
        <v>0.882438702455</v>
      </c>
      <c r="E19870">
        <v>24</v>
      </c>
    </row>
    <row r="19871" spans="1:5">
      <c r="A19871" t="s">
        <v>46171</v>
      </c>
      <c r="B19871" t="s">
        <v>46172</v>
      </c>
      <c r="C19871">
        <v>0</v>
      </c>
      <c r="D19871">
        <v>0.97272351508999999</v>
      </c>
      <c r="E19871">
        <v>1.3380000000000001</v>
      </c>
    </row>
    <row r="19872" spans="1:5">
      <c r="A19872" t="s">
        <v>46171</v>
      </c>
      <c r="B19872" t="s">
        <v>46173</v>
      </c>
      <c r="C19872">
        <v>0</v>
      </c>
      <c r="D19872">
        <v>0.97272351508999999</v>
      </c>
      <c r="E19872">
        <v>1.3380000000000001</v>
      </c>
    </row>
    <row r="19873" spans="1:5">
      <c r="A19873" t="s">
        <v>46171</v>
      </c>
      <c r="B19873" t="s">
        <v>46174</v>
      </c>
      <c r="C19873">
        <v>0</v>
      </c>
      <c r="D19873">
        <v>0.97272351508999999</v>
      </c>
      <c r="E19873">
        <v>1.3380000000000001</v>
      </c>
    </row>
    <row r="19874" spans="1:5">
      <c r="A19874" t="s">
        <v>46171</v>
      </c>
      <c r="B19874" t="s">
        <v>46175</v>
      </c>
      <c r="C19874">
        <v>0.113399629416</v>
      </c>
      <c r="D19874">
        <v>0.97272351508999999</v>
      </c>
      <c r="E19874">
        <v>1.3380000000000001</v>
      </c>
    </row>
    <row r="19875" spans="1:5">
      <c r="A19875" t="s">
        <v>46171</v>
      </c>
      <c r="B19875" t="s">
        <v>46176</v>
      </c>
      <c r="C19875">
        <v>0</v>
      </c>
      <c r="D19875">
        <v>0.97272351508999999</v>
      </c>
      <c r="E19875">
        <v>1.3380000000000001</v>
      </c>
    </row>
    <row r="19876" spans="1:5">
      <c r="A19876" t="s">
        <v>46171</v>
      </c>
      <c r="B19876" t="s">
        <v>46177</v>
      </c>
      <c r="C19876">
        <f>0.949171745744</f>
        <v>0.94917174574399998</v>
      </c>
      <c r="D19876">
        <v>0.97272351508999999</v>
      </c>
      <c r="E19876">
        <v>1.3380000000000001</v>
      </c>
    </row>
    <row r="19877" spans="1:5">
      <c r="A19877" t="s">
        <v>46171</v>
      </c>
      <c r="B19877" t="s">
        <v>46178</v>
      </c>
      <c r="C19877">
        <f>0</f>
        <v>0</v>
      </c>
      <c r="D19877">
        <v>0.97272351508999999</v>
      </c>
      <c r="E19877">
        <v>1.3380000000000001</v>
      </c>
    </row>
    <row r="19878" spans="1:5">
      <c r="A19878" t="s">
        <v>46171</v>
      </c>
      <c r="B19878" t="s">
        <v>46179</v>
      </c>
      <c r="C19878">
        <v>0.278874563267</v>
      </c>
      <c r="D19878">
        <v>0.97272351508999999</v>
      </c>
      <c r="E19878">
        <v>1.3380000000000001</v>
      </c>
    </row>
    <row r="19879" spans="1:5">
      <c r="A19879" t="s">
        <v>46180</v>
      </c>
      <c r="B19879" t="s">
        <v>33253</v>
      </c>
      <c r="C19879">
        <f>0</f>
        <v>0</v>
      </c>
      <c r="D19879">
        <v>0.87084016194199998</v>
      </c>
      <c r="E19879">
        <v>22.806000000000001</v>
      </c>
    </row>
    <row r="19880" spans="1:5">
      <c r="A19880" t="s">
        <v>46180</v>
      </c>
      <c r="B19880" t="s">
        <v>33254</v>
      </c>
      <c r="C19880">
        <v>0.74123016194199998</v>
      </c>
      <c r="D19880">
        <v>0.87084016194199998</v>
      </c>
      <c r="E19880">
        <v>22.806000000000001</v>
      </c>
    </row>
    <row r="19881" spans="1:5">
      <c r="A19881" t="s">
        <v>46180</v>
      </c>
      <c r="B19881" t="s">
        <v>33258</v>
      </c>
      <c r="C19881">
        <v>0</v>
      </c>
      <c r="D19881">
        <v>0.87084016194199998</v>
      </c>
      <c r="E19881">
        <v>22.806000000000001</v>
      </c>
    </row>
    <row r="19882" spans="1:5">
      <c r="A19882" t="s">
        <v>46180</v>
      </c>
      <c r="B19882" t="s">
        <v>33260</v>
      </c>
      <c r="C19882">
        <v>0</v>
      </c>
      <c r="D19882">
        <v>0.87084016194199998</v>
      </c>
      <c r="E19882">
        <v>22.806000000000001</v>
      </c>
    </row>
    <row r="19883" spans="1:5">
      <c r="A19883" t="s">
        <v>46181</v>
      </c>
      <c r="B19883" t="s">
        <v>25850</v>
      </c>
      <c r="C19883">
        <v>0</v>
      </c>
      <c r="D19883" t="s">
        <v>106</v>
      </c>
      <c r="E19883">
        <v>24</v>
      </c>
    </row>
    <row r="19884" spans="1:5">
      <c r="A19884" t="s">
        <v>46181</v>
      </c>
      <c r="B19884" t="s">
        <v>25853</v>
      </c>
      <c r="C19884">
        <v>0</v>
      </c>
      <c r="D19884" t="s">
        <v>106</v>
      </c>
      <c r="E19884">
        <v>24</v>
      </c>
    </row>
    <row r="19885" spans="1:5">
      <c r="A19885" t="s">
        <v>46181</v>
      </c>
      <c r="B19885" t="s">
        <v>25852</v>
      </c>
      <c r="C19885">
        <v>0</v>
      </c>
      <c r="D19885" t="s">
        <v>106</v>
      </c>
      <c r="E19885">
        <v>24</v>
      </c>
    </row>
    <row r="19886" spans="1:5">
      <c r="A19886" t="s">
        <v>46182</v>
      </c>
      <c r="B19886" t="s">
        <v>28808</v>
      </c>
      <c r="C19886">
        <v>0</v>
      </c>
      <c r="D19886" t="s">
        <v>106</v>
      </c>
      <c r="E19886">
        <v>22.338000000000001</v>
      </c>
    </row>
    <row r="19887" spans="1:5">
      <c r="A19887" t="s">
        <v>46182</v>
      </c>
      <c r="B19887" t="s">
        <v>28809</v>
      </c>
      <c r="C19887">
        <f>0</f>
        <v>0</v>
      </c>
      <c r="D19887" t="s">
        <v>106</v>
      </c>
      <c r="E19887">
        <v>22.338000000000001</v>
      </c>
    </row>
    <row r="19888" spans="1:5">
      <c r="A19888" t="s">
        <v>46183</v>
      </c>
      <c r="B19888" t="s">
        <v>21306</v>
      </c>
      <c r="C19888">
        <v>0.35221347653099999</v>
      </c>
      <c r="D19888">
        <v>0.56811525916899996</v>
      </c>
      <c r="E19888">
        <v>24</v>
      </c>
    </row>
    <row r="19889" spans="1:5">
      <c r="A19889" t="s">
        <v>46183</v>
      </c>
      <c r="B19889" t="s">
        <v>46184</v>
      </c>
      <c r="C19889">
        <f>0.425878528107</f>
        <v>0.425878528107</v>
      </c>
      <c r="D19889">
        <v>0.56811525916899996</v>
      </c>
      <c r="E19889">
        <v>24</v>
      </c>
    </row>
    <row r="19890" spans="1:5">
      <c r="A19890" t="s">
        <v>46185</v>
      </c>
      <c r="B19890" t="s">
        <v>23214</v>
      </c>
      <c r="C19890">
        <f>0</f>
        <v>0</v>
      </c>
      <c r="D19890" t="s">
        <v>106</v>
      </c>
      <c r="E19890">
        <v>23.754000000000001</v>
      </c>
    </row>
    <row r="19891" spans="1:5">
      <c r="A19891" t="s">
        <v>46185</v>
      </c>
      <c r="B19891" t="s">
        <v>23217</v>
      </c>
      <c r="C19891">
        <f>0</f>
        <v>0</v>
      </c>
      <c r="D19891" t="s">
        <v>106</v>
      </c>
      <c r="E19891">
        <v>23.754000000000001</v>
      </c>
    </row>
    <row r="19892" spans="1:5">
      <c r="A19892" t="s">
        <v>46185</v>
      </c>
      <c r="B19892" t="s">
        <v>23223</v>
      </c>
      <c r="C19892">
        <f>0</f>
        <v>0</v>
      </c>
      <c r="D19892" t="s">
        <v>106</v>
      </c>
      <c r="E19892">
        <v>23.754000000000001</v>
      </c>
    </row>
    <row r="19893" spans="1:5">
      <c r="A19893" t="s">
        <v>46185</v>
      </c>
      <c r="B19893" t="s">
        <v>23218</v>
      </c>
      <c r="C19893">
        <f>0</f>
        <v>0</v>
      </c>
      <c r="D19893" t="s">
        <v>106</v>
      </c>
      <c r="E19893">
        <v>23.754000000000001</v>
      </c>
    </row>
    <row r="19894" spans="1:5">
      <c r="A19894" t="s">
        <v>46185</v>
      </c>
      <c r="B19894" t="s">
        <v>23216</v>
      </c>
      <c r="C19894">
        <f>0</f>
        <v>0</v>
      </c>
      <c r="D19894" t="s">
        <v>106</v>
      </c>
      <c r="E19894">
        <v>23.754000000000001</v>
      </c>
    </row>
    <row r="19895" spans="1:5">
      <c r="A19895" t="s">
        <v>46186</v>
      </c>
      <c r="B19895" t="s">
        <v>46187</v>
      </c>
      <c r="C19895">
        <v>0</v>
      </c>
      <c r="D19895" t="s">
        <v>106</v>
      </c>
      <c r="E19895">
        <v>0.87</v>
      </c>
    </row>
    <row r="19896" spans="1:5">
      <c r="A19896" t="s">
        <v>46186</v>
      </c>
      <c r="B19896" t="s">
        <v>46188</v>
      </c>
      <c r="C19896">
        <v>0</v>
      </c>
      <c r="D19896" t="s">
        <v>106</v>
      </c>
      <c r="E19896">
        <v>0.87</v>
      </c>
    </row>
    <row r="19897" spans="1:5">
      <c r="A19897" t="s">
        <v>46186</v>
      </c>
      <c r="B19897" t="s">
        <v>46189</v>
      </c>
      <c r="C19897">
        <v>0</v>
      </c>
      <c r="D19897" t="s">
        <v>106</v>
      </c>
      <c r="E19897">
        <v>0.87</v>
      </c>
    </row>
    <row r="19898" spans="1:5">
      <c r="A19898" t="s">
        <v>46190</v>
      </c>
      <c r="B19898" t="s">
        <v>46191</v>
      </c>
      <c r="C19898">
        <f>0</f>
        <v>0</v>
      </c>
      <c r="D19898" t="s">
        <v>106</v>
      </c>
      <c r="E19898">
        <v>4.6920000000000002</v>
      </c>
    </row>
    <row r="19899" spans="1:5">
      <c r="A19899" t="s">
        <v>46190</v>
      </c>
      <c r="B19899" t="s">
        <v>46192</v>
      </c>
      <c r="C19899">
        <v>0</v>
      </c>
      <c r="D19899" t="s">
        <v>106</v>
      </c>
      <c r="E19899">
        <v>4.6920000000000002</v>
      </c>
    </row>
    <row r="19900" spans="1:5">
      <c r="A19900" t="s">
        <v>46190</v>
      </c>
      <c r="B19900" t="s">
        <v>46193</v>
      </c>
      <c r="C19900">
        <f>0</f>
        <v>0</v>
      </c>
      <c r="D19900" t="s">
        <v>106</v>
      </c>
      <c r="E19900">
        <v>4.6920000000000002</v>
      </c>
    </row>
    <row r="19901" spans="1:5">
      <c r="A19901" t="s">
        <v>46190</v>
      </c>
      <c r="B19901" t="s">
        <v>46194</v>
      </c>
      <c r="C19901">
        <f>0</f>
        <v>0</v>
      </c>
      <c r="D19901" t="s">
        <v>106</v>
      </c>
      <c r="E19901">
        <v>4.6920000000000002</v>
      </c>
    </row>
    <row r="19902" spans="1:5">
      <c r="A19902" t="s">
        <v>46190</v>
      </c>
      <c r="B19902" t="s">
        <v>46195</v>
      </c>
      <c r="C19902">
        <f>0</f>
        <v>0</v>
      </c>
      <c r="D19902" t="s">
        <v>106</v>
      </c>
      <c r="E19902">
        <v>4.6920000000000002</v>
      </c>
    </row>
    <row r="19903" spans="1:5">
      <c r="A19903" t="s">
        <v>46196</v>
      </c>
      <c r="B19903" t="s">
        <v>2142</v>
      </c>
      <c r="C19903">
        <f>0.0763765681662</f>
        <v>7.6376568166200004E-2</v>
      </c>
      <c r="D19903">
        <v>0.89615784609299998</v>
      </c>
      <c r="E19903">
        <v>4.8</v>
      </c>
    </row>
    <row r="19904" spans="1:5">
      <c r="A19904" t="s">
        <v>46196</v>
      </c>
      <c r="B19904" t="s">
        <v>2144</v>
      </c>
      <c r="C19904">
        <f>0</f>
        <v>0</v>
      </c>
      <c r="D19904">
        <v>0.89615784609299998</v>
      </c>
      <c r="E19904">
        <v>4.8</v>
      </c>
    </row>
    <row r="19905" spans="1:5">
      <c r="A19905" t="s">
        <v>46196</v>
      </c>
      <c r="B19905" t="s">
        <v>2146</v>
      </c>
      <c r="C19905">
        <v>0.65418432499800006</v>
      </c>
      <c r="D19905">
        <v>0.89615784609299998</v>
      </c>
      <c r="E19905">
        <v>4.8</v>
      </c>
    </row>
    <row r="19906" spans="1:5">
      <c r="A19906" t="s">
        <v>46196</v>
      </c>
      <c r="B19906" t="s">
        <v>2148</v>
      </c>
      <c r="C19906">
        <f>0</f>
        <v>0</v>
      </c>
      <c r="D19906">
        <v>0.89615784609299998</v>
      </c>
      <c r="E19906">
        <v>4.8</v>
      </c>
    </row>
    <row r="19907" spans="1:5">
      <c r="A19907" t="s">
        <v>46196</v>
      </c>
      <c r="B19907" t="s">
        <v>2149</v>
      </c>
      <c r="C19907">
        <f>0</f>
        <v>0</v>
      </c>
      <c r="D19907">
        <v>0.89615784609299998</v>
      </c>
      <c r="E19907">
        <v>4.8</v>
      </c>
    </row>
    <row r="19908" spans="1:5">
      <c r="A19908" t="s">
        <v>46196</v>
      </c>
      <c r="B19908" t="s">
        <v>2145</v>
      </c>
      <c r="C19908">
        <f>0</f>
        <v>0</v>
      </c>
      <c r="D19908">
        <v>0.89615784609299998</v>
      </c>
      <c r="E19908">
        <v>4.8</v>
      </c>
    </row>
    <row r="19909" spans="1:5">
      <c r="A19909" t="s">
        <v>46197</v>
      </c>
      <c r="B19909" t="s">
        <v>18733</v>
      </c>
      <c r="C19909">
        <f>0</f>
        <v>0</v>
      </c>
      <c r="D19909" t="s">
        <v>106</v>
      </c>
      <c r="E19909">
        <v>11.04</v>
      </c>
    </row>
    <row r="19910" spans="1:5">
      <c r="A19910" t="s">
        <v>46197</v>
      </c>
      <c r="B19910" t="s">
        <v>18734</v>
      </c>
      <c r="C19910">
        <v>0</v>
      </c>
      <c r="D19910" t="s">
        <v>106</v>
      </c>
      <c r="E19910">
        <v>11.04</v>
      </c>
    </row>
    <row r="19911" spans="1:5">
      <c r="A19911" t="s">
        <v>46198</v>
      </c>
      <c r="B19911" t="s">
        <v>46199</v>
      </c>
      <c r="C19911">
        <v>0</v>
      </c>
      <c r="D19911">
        <v>0.85573257583899998</v>
      </c>
      <c r="E19911">
        <v>3.1379999999999999</v>
      </c>
    </row>
    <row r="19912" spans="1:5">
      <c r="A19912" t="s">
        <v>46198</v>
      </c>
      <c r="B19912" t="s">
        <v>46200</v>
      </c>
      <c r="C19912">
        <v>0.88745934422399997</v>
      </c>
      <c r="D19912">
        <v>0.85573257583899998</v>
      </c>
      <c r="E19912">
        <v>3.1379999999999999</v>
      </c>
    </row>
    <row r="19913" spans="1:5">
      <c r="A19913" t="s">
        <v>46198</v>
      </c>
      <c r="B19913" t="s">
        <v>46201</v>
      </c>
      <c r="C19913">
        <f>0.855509788864</f>
        <v>0.85550978886399998</v>
      </c>
      <c r="D19913">
        <v>0.85573257583899998</v>
      </c>
      <c r="E19913">
        <v>3.1379999999999999</v>
      </c>
    </row>
    <row r="19914" spans="1:5">
      <c r="A19914" t="s">
        <v>46198</v>
      </c>
      <c r="B19914" t="s">
        <v>46202</v>
      </c>
      <c r="C19914">
        <v>0</v>
      </c>
      <c r="D19914">
        <v>0.85573257583899998</v>
      </c>
      <c r="E19914">
        <v>3.1379999999999999</v>
      </c>
    </row>
    <row r="19915" spans="1:5">
      <c r="A19915" t="s">
        <v>46203</v>
      </c>
      <c r="B19915" t="s">
        <v>2849</v>
      </c>
      <c r="C19915">
        <v>0</v>
      </c>
      <c r="D19915">
        <v>0.83281659910799999</v>
      </c>
      <c r="E19915">
        <v>0.65400000000000003</v>
      </c>
    </row>
    <row r="19916" spans="1:5">
      <c r="A19916" t="s">
        <v>46203</v>
      </c>
      <c r="B19916" t="s">
        <v>2858</v>
      </c>
      <c r="C19916">
        <v>0</v>
      </c>
      <c r="D19916">
        <v>0.83281659910799999</v>
      </c>
      <c r="E19916">
        <v>0.65400000000000003</v>
      </c>
    </row>
    <row r="19917" spans="1:5">
      <c r="A19917" t="s">
        <v>46203</v>
      </c>
      <c r="B19917" t="s">
        <v>2851</v>
      </c>
      <c r="C19917">
        <f>0</f>
        <v>0</v>
      </c>
      <c r="D19917">
        <v>0.83281659910799999</v>
      </c>
      <c r="E19917">
        <v>0.65400000000000003</v>
      </c>
    </row>
    <row r="19918" spans="1:5">
      <c r="A19918" t="s">
        <v>46203</v>
      </c>
      <c r="B19918" t="s">
        <v>2857</v>
      </c>
      <c r="C19918">
        <v>0.60240659910799998</v>
      </c>
      <c r="D19918">
        <v>0.83281659910799999</v>
      </c>
      <c r="E19918">
        <v>0.65400000000000003</v>
      </c>
    </row>
    <row r="19919" spans="1:5">
      <c r="A19919" t="s">
        <v>46203</v>
      </c>
      <c r="B19919" t="s">
        <v>2855</v>
      </c>
      <c r="C19919">
        <v>0</v>
      </c>
      <c r="D19919">
        <v>0.83281659910799999</v>
      </c>
      <c r="E19919">
        <v>0.65400000000000003</v>
      </c>
    </row>
    <row r="19920" spans="1:5">
      <c r="A19920" t="s">
        <v>46203</v>
      </c>
      <c r="B19920" t="s">
        <v>2854</v>
      </c>
      <c r="C19920">
        <v>0</v>
      </c>
      <c r="D19920">
        <v>0.83281659910799999</v>
      </c>
      <c r="E19920">
        <v>0.65400000000000003</v>
      </c>
    </row>
    <row r="19921" spans="1:5">
      <c r="A19921" t="s">
        <v>46204</v>
      </c>
      <c r="B19921" t="s">
        <v>25418</v>
      </c>
      <c r="C19921">
        <v>0</v>
      </c>
      <c r="D19921" t="s">
        <v>106</v>
      </c>
      <c r="E19921">
        <v>3.4980000000000002</v>
      </c>
    </row>
    <row r="19922" spans="1:5">
      <c r="A19922" t="s">
        <v>46204</v>
      </c>
      <c r="B19922" t="s">
        <v>25422</v>
      </c>
      <c r="C19922">
        <f>0</f>
        <v>0</v>
      </c>
      <c r="D19922" t="s">
        <v>106</v>
      </c>
      <c r="E19922">
        <v>3.4980000000000002</v>
      </c>
    </row>
    <row r="19923" spans="1:5">
      <c r="A19923" t="s">
        <v>46205</v>
      </c>
      <c r="B19923" t="s">
        <v>5923</v>
      </c>
      <c r="C19923">
        <v>0.40859241899400001</v>
      </c>
      <c r="D19923">
        <v>0.97034597129300004</v>
      </c>
      <c r="E19923">
        <v>0.34799999999999998</v>
      </c>
    </row>
    <row r="19924" spans="1:5">
      <c r="A19924" t="s">
        <v>46205</v>
      </c>
      <c r="B19924" t="s">
        <v>5927</v>
      </c>
      <c r="C19924">
        <v>2.3078431006599998E-2</v>
      </c>
      <c r="D19924">
        <v>0.97034597129300004</v>
      </c>
      <c r="E19924">
        <v>0.34799999999999998</v>
      </c>
    </row>
    <row r="19925" spans="1:5">
      <c r="A19925" t="s">
        <v>46205</v>
      </c>
      <c r="B19925" t="s">
        <v>5933</v>
      </c>
      <c r="C19925">
        <v>0</v>
      </c>
      <c r="D19925">
        <v>0.97034597129300004</v>
      </c>
      <c r="E19925">
        <v>0.34799999999999998</v>
      </c>
    </row>
    <row r="19926" spans="1:5">
      <c r="A19926" t="s">
        <v>46205</v>
      </c>
      <c r="B19926" t="s">
        <v>5925</v>
      </c>
      <c r="C19926">
        <f>0.0372174859342</f>
        <v>3.7217485934199997E-2</v>
      </c>
      <c r="D19926">
        <v>0.97034597129300004</v>
      </c>
      <c r="E19926">
        <v>0.34799999999999998</v>
      </c>
    </row>
    <row r="19927" spans="1:5">
      <c r="A19927" t="s">
        <v>46205</v>
      </c>
      <c r="B19927" t="s">
        <v>5930</v>
      </c>
      <c r="C19927">
        <v>0</v>
      </c>
      <c r="D19927">
        <v>0.97034597129300004</v>
      </c>
      <c r="E19927">
        <v>0.34799999999999998</v>
      </c>
    </row>
    <row r="19928" spans="1:5">
      <c r="A19928" t="s">
        <v>46205</v>
      </c>
      <c r="B19928" t="s">
        <v>5929</v>
      </c>
      <c r="C19928">
        <v>0.52838152085500001</v>
      </c>
      <c r="D19928">
        <v>0.97034597129300004</v>
      </c>
      <c r="E19928">
        <v>0.34799999999999998</v>
      </c>
    </row>
    <row r="19929" spans="1:5">
      <c r="A19929" t="s">
        <v>46205</v>
      </c>
      <c r="B19929" t="s">
        <v>5934</v>
      </c>
      <c r="C19929">
        <v>0</v>
      </c>
      <c r="D19929">
        <v>0.97034597129300004</v>
      </c>
      <c r="E19929">
        <v>0.34799999999999998</v>
      </c>
    </row>
    <row r="19930" spans="1:5">
      <c r="A19930" t="s">
        <v>46205</v>
      </c>
      <c r="B19930" t="s">
        <v>5926</v>
      </c>
      <c r="C19930">
        <v>0</v>
      </c>
      <c r="D19930">
        <v>0.97034597129300004</v>
      </c>
      <c r="E19930">
        <v>0.34799999999999998</v>
      </c>
    </row>
    <row r="19931" spans="1:5">
      <c r="A19931" t="s">
        <v>46205</v>
      </c>
      <c r="B19931" t="s">
        <v>5932</v>
      </c>
      <c r="C19931">
        <v>0.442099296172</v>
      </c>
      <c r="D19931">
        <v>0.97034597129300004</v>
      </c>
      <c r="E19931">
        <v>0.34799999999999998</v>
      </c>
    </row>
    <row r="19932" spans="1:5">
      <c r="A19932" t="s">
        <v>46205</v>
      </c>
      <c r="B19932" t="s">
        <v>5928</v>
      </c>
      <c r="C19932">
        <f>0</f>
        <v>0</v>
      </c>
      <c r="D19932">
        <v>0.97034597129300004</v>
      </c>
      <c r="E19932">
        <v>0.34799999999999998</v>
      </c>
    </row>
    <row r="19933" spans="1:5">
      <c r="A19933" t="s">
        <v>46206</v>
      </c>
      <c r="B19933" t="s">
        <v>1096</v>
      </c>
      <c r="C19933">
        <f>0.441777901818</f>
        <v>0.44177790181799997</v>
      </c>
      <c r="D19933">
        <v>0.60178790181800002</v>
      </c>
      <c r="E19933">
        <v>12.048</v>
      </c>
    </row>
    <row r="19934" spans="1:5">
      <c r="A19934" t="s">
        <v>46206</v>
      </c>
      <c r="B19934" t="s">
        <v>1095</v>
      </c>
      <c r="C19934">
        <v>0</v>
      </c>
      <c r="D19934">
        <v>0.60178790181800002</v>
      </c>
      <c r="E19934">
        <v>12.048</v>
      </c>
    </row>
    <row r="19935" spans="1:5">
      <c r="A19935" t="s">
        <v>46207</v>
      </c>
      <c r="B19935" t="s">
        <v>14626</v>
      </c>
      <c r="C19935">
        <f>0</f>
        <v>0</v>
      </c>
      <c r="D19935">
        <v>0.55870815066799995</v>
      </c>
      <c r="E19935">
        <v>0.61799999999999999</v>
      </c>
    </row>
    <row r="19936" spans="1:5">
      <c r="A19936" t="s">
        <v>46207</v>
      </c>
      <c r="B19936" t="s">
        <v>14628</v>
      </c>
      <c r="C19936">
        <v>0.35661648485500003</v>
      </c>
      <c r="D19936">
        <v>0.55870815066799995</v>
      </c>
      <c r="E19936">
        <v>0.61799999999999999</v>
      </c>
    </row>
    <row r="19937" spans="1:5">
      <c r="A19937" t="s">
        <v>46207</v>
      </c>
      <c r="B19937" t="s">
        <v>14627</v>
      </c>
      <c r="C19937">
        <v>0.128534231562</v>
      </c>
      <c r="D19937">
        <v>0.55870815066799995</v>
      </c>
      <c r="E19937">
        <v>0.61799999999999999</v>
      </c>
    </row>
    <row r="19938" spans="1:5">
      <c r="A19938" t="s">
        <v>46208</v>
      </c>
      <c r="B19938" t="s">
        <v>46209</v>
      </c>
      <c r="C19938">
        <f>0</f>
        <v>0</v>
      </c>
      <c r="D19938">
        <v>0.52866963531900002</v>
      </c>
      <c r="E19938">
        <v>0.73799999999999999</v>
      </c>
    </row>
    <row r="19939" spans="1:5">
      <c r="A19939" t="s">
        <v>46208</v>
      </c>
      <c r="B19939" t="s">
        <v>46210</v>
      </c>
      <c r="C19939">
        <v>0.168659635319</v>
      </c>
      <c r="D19939">
        <v>0.52866963531900002</v>
      </c>
      <c r="E19939">
        <v>0.73799999999999999</v>
      </c>
    </row>
    <row r="19940" spans="1:5">
      <c r="A19940" t="s">
        <v>46208</v>
      </c>
      <c r="B19940" t="s">
        <v>46211</v>
      </c>
      <c r="C19940">
        <v>0</v>
      </c>
      <c r="D19940">
        <v>0.52866963531900002</v>
      </c>
      <c r="E19940">
        <v>0.73799999999999999</v>
      </c>
    </row>
    <row r="19941" spans="1:5">
      <c r="A19941" t="s">
        <v>46208</v>
      </c>
      <c r="B19941" t="s">
        <v>46212</v>
      </c>
      <c r="C19941">
        <f>0</f>
        <v>0</v>
      </c>
      <c r="D19941">
        <v>0.52866963531900002</v>
      </c>
      <c r="E19941">
        <v>0.73799999999999999</v>
      </c>
    </row>
    <row r="19942" spans="1:5">
      <c r="A19942" t="s">
        <v>46208</v>
      </c>
      <c r="B19942" t="s">
        <v>46213</v>
      </c>
      <c r="C19942">
        <v>0</v>
      </c>
      <c r="D19942">
        <v>0.52866963531900002</v>
      </c>
      <c r="E19942">
        <v>0.73799999999999999</v>
      </c>
    </row>
    <row r="19943" spans="1:5">
      <c r="A19943" t="s">
        <v>46214</v>
      </c>
      <c r="B19943" t="s">
        <v>46215</v>
      </c>
      <c r="C19943">
        <f>0</f>
        <v>0</v>
      </c>
      <c r="D19943">
        <v>0.81163811526200003</v>
      </c>
      <c r="E19943">
        <v>23.52</v>
      </c>
    </row>
    <row r="19944" spans="1:5">
      <c r="A19944" t="s">
        <v>46214</v>
      </c>
      <c r="B19944" t="s">
        <v>46216</v>
      </c>
      <c r="C19944">
        <v>0.49802811526200003</v>
      </c>
      <c r="D19944">
        <v>0.81163811526200003</v>
      </c>
      <c r="E19944">
        <v>23.52</v>
      </c>
    </row>
    <row r="19945" spans="1:5">
      <c r="A19945" t="s">
        <v>46214</v>
      </c>
      <c r="B19945" t="s">
        <v>46217</v>
      </c>
      <c r="C19945">
        <v>0</v>
      </c>
      <c r="D19945">
        <v>0.81163811526200003</v>
      </c>
      <c r="E19945">
        <v>23.52</v>
      </c>
    </row>
    <row r="19946" spans="1:5">
      <c r="A19946" t="s">
        <v>46218</v>
      </c>
      <c r="B19946" t="s">
        <v>23506</v>
      </c>
      <c r="C19946">
        <v>0</v>
      </c>
      <c r="D19946">
        <v>0.75365445236799999</v>
      </c>
      <c r="E19946">
        <v>24</v>
      </c>
    </row>
    <row r="19947" spans="1:5">
      <c r="A19947" t="s">
        <v>46218</v>
      </c>
      <c r="B19947" t="s">
        <v>23511</v>
      </c>
      <c r="C19947">
        <f>0.622614185694</f>
        <v>0.62261418569399996</v>
      </c>
      <c r="D19947">
        <v>0.75365445236799999</v>
      </c>
      <c r="E19947">
        <v>24</v>
      </c>
    </row>
    <row r="19948" spans="1:5">
      <c r="A19948" t="s">
        <v>46218</v>
      </c>
      <c r="B19948" t="s">
        <v>23507</v>
      </c>
      <c r="C19948">
        <f>0</f>
        <v>0</v>
      </c>
      <c r="D19948">
        <v>0.75365445236799999</v>
      </c>
      <c r="E19948">
        <v>24</v>
      </c>
    </row>
    <row r="19949" spans="1:5">
      <c r="A19949" t="s">
        <v>46218</v>
      </c>
      <c r="B19949" t="s">
        <v>23513</v>
      </c>
      <c r="C19949">
        <f>0.0647692692053</f>
        <v>6.4769269205300004E-2</v>
      </c>
      <c r="D19949">
        <v>0.75365445236799999</v>
      </c>
      <c r="E19949">
        <v>24</v>
      </c>
    </row>
    <row r="19950" spans="1:5">
      <c r="A19950" t="s">
        <v>46218</v>
      </c>
      <c r="B19950" t="s">
        <v>23510</v>
      </c>
      <c r="C19950">
        <f>0</f>
        <v>0</v>
      </c>
      <c r="D19950">
        <v>0.75365445236799999</v>
      </c>
      <c r="E19950">
        <v>24</v>
      </c>
    </row>
    <row r="19951" spans="1:5">
      <c r="A19951" t="s">
        <v>46218</v>
      </c>
      <c r="B19951" t="s">
        <v>23508</v>
      </c>
      <c r="C19951">
        <f>0</f>
        <v>0</v>
      </c>
      <c r="D19951">
        <v>0.75365445236799999</v>
      </c>
      <c r="E19951">
        <v>24</v>
      </c>
    </row>
    <row r="19952" spans="1:5">
      <c r="A19952" t="s">
        <v>46218</v>
      </c>
      <c r="B19952" t="s">
        <v>23515</v>
      </c>
      <c r="C19952">
        <v>0</v>
      </c>
      <c r="D19952">
        <v>0.75365445236799999</v>
      </c>
      <c r="E19952">
        <v>24</v>
      </c>
    </row>
    <row r="19953" spans="1:5">
      <c r="A19953" t="s">
        <v>46219</v>
      </c>
      <c r="B19953" t="s">
        <v>46220</v>
      </c>
      <c r="C19953">
        <f>0</f>
        <v>0</v>
      </c>
      <c r="D19953" t="s">
        <v>106</v>
      </c>
      <c r="E19953">
        <v>16.494</v>
      </c>
    </row>
    <row r="19954" spans="1:5">
      <c r="A19954" t="s">
        <v>46219</v>
      </c>
      <c r="B19954" t="s">
        <v>46221</v>
      </c>
      <c r="C19954">
        <f>0</f>
        <v>0</v>
      </c>
      <c r="D19954" t="s">
        <v>106</v>
      </c>
      <c r="E19954">
        <v>16.494</v>
      </c>
    </row>
    <row r="19955" spans="1:5">
      <c r="A19955" t="s">
        <v>46222</v>
      </c>
      <c r="B19955" t="s">
        <v>16247</v>
      </c>
      <c r="C19955">
        <f>0</f>
        <v>0</v>
      </c>
      <c r="D19955" t="s">
        <v>106</v>
      </c>
      <c r="E19955">
        <v>24</v>
      </c>
    </row>
    <row r="19956" spans="1:5">
      <c r="A19956" t="s">
        <v>46222</v>
      </c>
      <c r="B19956" t="s">
        <v>16250</v>
      </c>
      <c r="C19956">
        <f>0</f>
        <v>0</v>
      </c>
      <c r="D19956" t="s">
        <v>106</v>
      </c>
      <c r="E19956">
        <v>24</v>
      </c>
    </row>
    <row r="19957" spans="1:5">
      <c r="A19957" t="s">
        <v>46222</v>
      </c>
      <c r="B19957" t="s">
        <v>16248</v>
      </c>
      <c r="C19957">
        <v>0</v>
      </c>
      <c r="D19957" t="s">
        <v>106</v>
      </c>
      <c r="E19957">
        <v>24</v>
      </c>
    </row>
    <row r="19958" spans="1:5">
      <c r="A19958" t="s">
        <v>46223</v>
      </c>
      <c r="B19958" t="s">
        <v>17619</v>
      </c>
      <c r="C19958">
        <f>0</f>
        <v>0</v>
      </c>
      <c r="D19958" t="s">
        <v>106</v>
      </c>
      <c r="E19958">
        <v>1.1160000000000001</v>
      </c>
    </row>
    <row r="19959" spans="1:5">
      <c r="A19959" t="s">
        <v>46223</v>
      </c>
      <c r="B19959" t="s">
        <v>17622</v>
      </c>
      <c r="C19959">
        <f>0</f>
        <v>0</v>
      </c>
      <c r="D19959" t="s">
        <v>106</v>
      </c>
      <c r="E19959">
        <v>1.1160000000000001</v>
      </c>
    </row>
    <row r="19960" spans="1:5">
      <c r="A19960" t="s">
        <v>46224</v>
      </c>
      <c r="B19960" t="s">
        <v>10652</v>
      </c>
      <c r="C19960">
        <v>0</v>
      </c>
      <c r="D19960">
        <v>0.79012720224999999</v>
      </c>
      <c r="E19960">
        <v>0</v>
      </c>
    </row>
    <row r="19961" spans="1:5">
      <c r="A19961" t="s">
        <v>46224</v>
      </c>
      <c r="B19961" t="s">
        <v>10646</v>
      </c>
      <c r="C19961">
        <f>0</f>
        <v>0</v>
      </c>
      <c r="D19961">
        <v>0.79012720224999999</v>
      </c>
      <c r="E19961">
        <v>0</v>
      </c>
    </row>
    <row r="19962" spans="1:5">
      <c r="A19962" t="s">
        <v>46224</v>
      </c>
      <c r="B19962" t="s">
        <v>10649</v>
      </c>
      <c r="C19962">
        <f>0</f>
        <v>0</v>
      </c>
      <c r="D19962">
        <v>0.79012720224999999</v>
      </c>
      <c r="E19962">
        <v>0</v>
      </c>
    </row>
    <row r="19963" spans="1:5">
      <c r="A19963" t="s">
        <v>46224</v>
      </c>
      <c r="B19963" t="s">
        <v>10645</v>
      </c>
      <c r="C19963">
        <f>0.319004535009</f>
        <v>0.319004535009</v>
      </c>
      <c r="D19963">
        <v>0.79012720224999999</v>
      </c>
      <c r="E19963">
        <v>0</v>
      </c>
    </row>
    <row r="19964" spans="1:5">
      <c r="A19964" t="s">
        <v>46224</v>
      </c>
      <c r="B19964" t="s">
        <v>10653</v>
      </c>
      <c r="C19964">
        <f>0.329288422802</f>
        <v>0.32928842280199999</v>
      </c>
      <c r="D19964">
        <v>0.79012720224999999</v>
      </c>
      <c r="E19964">
        <v>0</v>
      </c>
    </row>
    <row r="19965" spans="1:5">
      <c r="A19965" t="s">
        <v>46224</v>
      </c>
      <c r="B19965" t="s">
        <v>10648</v>
      </c>
      <c r="C19965">
        <v>0</v>
      </c>
      <c r="D19965">
        <v>0.79012720224999999</v>
      </c>
      <c r="E19965">
        <v>0</v>
      </c>
    </row>
    <row r="19966" spans="1:5">
      <c r="A19966" t="s">
        <v>46225</v>
      </c>
      <c r="B19966" t="s">
        <v>46226</v>
      </c>
      <c r="C19966">
        <v>0</v>
      </c>
      <c r="D19966" t="s">
        <v>106</v>
      </c>
      <c r="E19966">
        <v>1.014</v>
      </c>
    </row>
    <row r="19967" spans="1:5">
      <c r="A19967" t="s">
        <v>46225</v>
      </c>
      <c r="B19967" t="s">
        <v>46227</v>
      </c>
      <c r="C19967">
        <v>0</v>
      </c>
      <c r="D19967" t="s">
        <v>106</v>
      </c>
      <c r="E19967">
        <v>1.014</v>
      </c>
    </row>
    <row r="19968" spans="1:5">
      <c r="A19968" t="s">
        <v>46228</v>
      </c>
      <c r="B19968" t="s">
        <v>46229</v>
      </c>
      <c r="C19968">
        <v>0</v>
      </c>
      <c r="D19968" t="s">
        <v>106</v>
      </c>
      <c r="E19968">
        <v>15.51</v>
      </c>
    </row>
    <row r="19969" spans="1:5">
      <c r="A19969" t="s">
        <v>46228</v>
      </c>
      <c r="B19969" t="s">
        <v>46230</v>
      </c>
      <c r="C19969">
        <f>0</f>
        <v>0</v>
      </c>
      <c r="D19969" t="s">
        <v>106</v>
      </c>
      <c r="E19969">
        <v>15.51</v>
      </c>
    </row>
    <row r="19970" spans="1:5">
      <c r="A19970" t="s">
        <v>46231</v>
      </c>
      <c r="B19970" t="s">
        <v>20899</v>
      </c>
      <c r="C19970">
        <f>0.684200666949</f>
        <v>0.68420066694899995</v>
      </c>
      <c r="D19970">
        <v>0.73426422025500004</v>
      </c>
      <c r="E19970">
        <v>9.7739999999999991</v>
      </c>
    </row>
    <row r="19971" spans="1:5">
      <c r="A19971" t="s">
        <v>46231</v>
      </c>
      <c r="B19971" t="s">
        <v>20900</v>
      </c>
      <c r="C19971">
        <f>0.636299082371</f>
        <v>0.63629908237099997</v>
      </c>
      <c r="D19971">
        <v>0.73426422025500004</v>
      </c>
      <c r="E19971">
        <v>9.7739999999999991</v>
      </c>
    </row>
    <row r="19972" spans="1:5">
      <c r="A19972" t="s">
        <v>46231</v>
      </c>
      <c r="B19972" t="s">
        <v>20902</v>
      </c>
      <c r="C19972">
        <f>0</f>
        <v>0</v>
      </c>
      <c r="D19972">
        <v>0.73426422025500004</v>
      </c>
      <c r="E19972">
        <v>9.7739999999999991</v>
      </c>
    </row>
    <row r="19973" spans="1:5">
      <c r="A19973" t="s">
        <v>46232</v>
      </c>
      <c r="B19973" t="s">
        <v>9953</v>
      </c>
      <c r="C19973">
        <v>0.104167770209</v>
      </c>
      <c r="D19973">
        <v>0.64704757779099997</v>
      </c>
      <c r="E19973">
        <v>11.538</v>
      </c>
    </row>
    <row r="19974" spans="1:5">
      <c r="A19974" t="s">
        <v>46232</v>
      </c>
      <c r="B19974" t="s">
        <v>9952</v>
      </c>
      <c r="C19974">
        <v>0.28289511116499999</v>
      </c>
      <c r="D19974">
        <v>0.64704757779099997</v>
      </c>
      <c r="E19974">
        <v>11.538</v>
      </c>
    </row>
    <row r="19975" spans="1:5">
      <c r="A19975" t="s">
        <v>46232</v>
      </c>
      <c r="B19975" t="s">
        <v>9960</v>
      </c>
      <c r="C19975">
        <f>0</f>
        <v>0</v>
      </c>
      <c r="D19975">
        <v>0.64704757779099997</v>
      </c>
      <c r="E19975">
        <v>11.538</v>
      </c>
    </row>
    <row r="19976" spans="1:5">
      <c r="A19976" t="s">
        <v>46232</v>
      </c>
      <c r="B19976" t="s">
        <v>9961</v>
      </c>
      <c r="C19976">
        <f>0</f>
        <v>0</v>
      </c>
      <c r="D19976">
        <v>0.64704757779099997</v>
      </c>
      <c r="E19976">
        <v>11.538</v>
      </c>
    </row>
    <row r="19977" spans="1:5">
      <c r="A19977" t="s">
        <v>46232</v>
      </c>
      <c r="B19977" t="s">
        <v>9958</v>
      </c>
      <c r="C19977">
        <f>0</f>
        <v>0</v>
      </c>
      <c r="D19977">
        <v>0.64704757779099997</v>
      </c>
      <c r="E19977">
        <v>11.538</v>
      </c>
    </row>
    <row r="19978" spans="1:5">
      <c r="A19978" t="s">
        <v>46232</v>
      </c>
      <c r="B19978" t="s">
        <v>9957</v>
      </c>
      <c r="C19978">
        <v>0</v>
      </c>
      <c r="D19978">
        <v>0.64704757779099997</v>
      </c>
      <c r="E19978">
        <v>11.538</v>
      </c>
    </row>
    <row r="19979" spans="1:5">
      <c r="A19979" t="s">
        <v>46232</v>
      </c>
      <c r="B19979" t="s">
        <v>9959</v>
      </c>
      <c r="C19979">
        <v>0</v>
      </c>
      <c r="D19979">
        <v>0.64704757779099997</v>
      </c>
      <c r="E19979">
        <v>11.538</v>
      </c>
    </row>
    <row r="19980" spans="1:5">
      <c r="A19980" t="s">
        <v>46233</v>
      </c>
      <c r="B19980" t="s">
        <v>21673</v>
      </c>
      <c r="C19980">
        <f>0</f>
        <v>0</v>
      </c>
      <c r="D19980" t="s">
        <v>106</v>
      </c>
      <c r="E19980">
        <v>24</v>
      </c>
    </row>
    <row r="19981" spans="1:5">
      <c r="A19981" t="s">
        <v>46233</v>
      </c>
      <c r="B19981" t="s">
        <v>21674</v>
      </c>
      <c r="C19981">
        <v>0</v>
      </c>
      <c r="D19981" t="s">
        <v>106</v>
      </c>
      <c r="E19981">
        <v>24</v>
      </c>
    </row>
    <row r="19982" spans="1:5">
      <c r="A19982" t="s">
        <v>46233</v>
      </c>
      <c r="B19982" t="s">
        <v>21675</v>
      </c>
      <c r="C19982">
        <f>0</f>
        <v>0</v>
      </c>
      <c r="D19982" t="s">
        <v>106</v>
      </c>
      <c r="E19982">
        <v>24</v>
      </c>
    </row>
    <row r="19983" spans="1:5">
      <c r="A19983" t="s">
        <v>46233</v>
      </c>
      <c r="B19983" t="s">
        <v>21676</v>
      </c>
      <c r="C19983">
        <v>0</v>
      </c>
      <c r="D19983" t="s">
        <v>106</v>
      </c>
      <c r="E19983">
        <v>24</v>
      </c>
    </row>
    <row r="19984" spans="1:5">
      <c r="A19984" t="s">
        <v>46234</v>
      </c>
      <c r="B19984" t="s">
        <v>46235</v>
      </c>
      <c r="C19984">
        <v>8.4602401611700004E-2</v>
      </c>
      <c r="D19984">
        <v>0.90746661816999996</v>
      </c>
      <c r="E19984">
        <v>0.318</v>
      </c>
    </row>
    <row r="19985" spans="1:5">
      <c r="A19985" t="s">
        <v>46234</v>
      </c>
      <c r="B19985" t="s">
        <v>46236</v>
      </c>
      <c r="C19985">
        <v>0.80506095793800003</v>
      </c>
      <c r="D19985">
        <v>0.90746661816999996</v>
      </c>
      <c r="E19985">
        <v>0.318</v>
      </c>
    </row>
    <row r="19986" spans="1:5">
      <c r="A19986" t="s">
        <v>46237</v>
      </c>
      <c r="B19986" t="s">
        <v>20152</v>
      </c>
      <c r="C19986">
        <v>0</v>
      </c>
      <c r="D19986" t="s">
        <v>106</v>
      </c>
      <c r="E19986">
        <v>2.4E-2</v>
      </c>
    </row>
    <row r="19987" spans="1:5">
      <c r="A19987" t="s">
        <v>46237</v>
      </c>
      <c r="B19987" t="s">
        <v>20153</v>
      </c>
      <c r="C19987">
        <f>0</f>
        <v>0</v>
      </c>
      <c r="D19987" t="s">
        <v>106</v>
      </c>
      <c r="E19987">
        <v>2.4E-2</v>
      </c>
    </row>
    <row r="19988" spans="1:5">
      <c r="A19988" t="s">
        <v>46237</v>
      </c>
      <c r="B19988" t="s">
        <v>20155</v>
      </c>
      <c r="C19988">
        <v>0</v>
      </c>
      <c r="D19988" t="s">
        <v>106</v>
      </c>
      <c r="E19988">
        <v>2.4E-2</v>
      </c>
    </row>
    <row r="19989" spans="1:5">
      <c r="A19989" t="s">
        <v>46237</v>
      </c>
      <c r="B19989" t="s">
        <v>20154</v>
      </c>
      <c r="C19989">
        <f>0</f>
        <v>0</v>
      </c>
      <c r="D19989" t="s">
        <v>106</v>
      </c>
      <c r="E19989">
        <v>2.4E-2</v>
      </c>
    </row>
    <row r="19990" spans="1:5">
      <c r="A19990" t="s">
        <v>46238</v>
      </c>
      <c r="B19990" t="s">
        <v>29096</v>
      </c>
      <c r="C19990">
        <f>0.732676261343</f>
        <v>0.73267626134300001</v>
      </c>
      <c r="D19990">
        <v>0.99969115686900001</v>
      </c>
      <c r="E19990">
        <v>9.7739999999999991</v>
      </c>
    </row>
    <row r="19991" spans="1:5">
      <c r="A19991" t="s">
        <v>46238</v>
      </c>
      <c r="B19991" t="s">
        <v>29110</v>
      </c>
      <c r="C19991">
        <f>-1.07280277857</f>
        <v>-1.0728027785700001</v>
      </c>
      <c r="D19991">
        <v>0.99969115686900001</v>
      </c>
      <c r="E19991">
        <v>9.7739999999999991</v>
      </c>
    </row>
    <row r="19992" spans="1:5">
      <c r="A19992" t="s">
        <v>46238</v>
      </c>
      <c r="B19992" t="s">
        <v>29105</v>
      </c>
      <c r="C19992">
        <v>0.15575025014999999</v>
      </c>
      <c r="D19992">
        <v>0.99969115686900001</v>
      </c>
      <c r="E19992">
        <v>9.7739999999999991</v>
      </c>
    </row>
    <row r="19993" spans="1:5">
      <c r="A19993" t="s">
        <v>46238</v>
      </c>
      <c r="B19993" t="s">
        <v>29109</v>
      </c>
      <c r="C19993">
        <v>0.656926793944</v>
      </c>
      <c r="D19993">
        <v>0.99969115686900001</v>
      </c>
      <c r="E19993">
        <v>9.7739999999999991</v>
      </c>
    </row>
    <row r="19994" spans="1:5">
      <c r="A19994" t="s">
        <v>46238</v>
      </c>
      <c r="B19994" t="s">
        <v>29101</v>
      </c>
      <c r="C19994">
        <f>0.249585040389</f>
        <v>0.24958504038900001</v>
      </c>
      <c r="D19994">
        <v>0.99969115686900001</v>
      </c>
      <c r="E19994">
        <v>9.7739999999999991</v>
      </c>
    </row>
    <row r="19995" spans="1:5">
      <c r="A19995" t="s">
        <v>46238</v>
      </c>
      <c r="B19995" t="s">
        <v>29102</v>
      </c>
      <c r="C19995">
        <f>0.0750354079767</f>
        <v>7.5035407976699997E-2</v>
      </c>
      <c r="D19995">
        <v>0.99969115686900001</v>
      </c>
      <c r="E19995">
        <v>9.7739999999999991</v>
      </c>
    </row>
    <row r="19996" spans="1:5">
      <c r="A19996" t="s">
        <v>46239</v>
      </c>
      <c r="B19996" t="s">
        <v>4641</v>
      </c>
      <c r="C19996">
        <v>0</v>
      </c>
      <c r="D19996">
        <v>0.94958565546600004</v>
      </c>
      <c r="E19996">
        <v>7.3319999999999999</v>
      </c>
    </row>
    <row r="19997" spans="1:5">
      <c r="A19997" t="s">
        <v>46239</v>
      </c>
      <c r="B19997" t="s">
        <v>4647</v>
      </c>
      <c r="C19997">
        <f>0</f>
        <v>0</v>
      </c>
      <c r="D19997">
        <v>0.94958565546600004</v>
      </c>
      <c r="E19997">
        <v>7.3319999999999999</v>
      </c>
    </row>
    <row r="19998" spans="1:5">
      <c r="A19998" t="s">
        <v>46239</v>
      </c>
      <c r="B19998" t="s">
        <v>4642</v>
      </c>
      <c r="C19998">
        <f>0</f>
        <v>0</v>
      </c>
      <c r="D19998">
        <v>0.94958565546600004</v>
      </c>
      <c r="E19998">
        <v>7.3319999999999999</v>
      </c>
    </row>
    <row r="19999" spans="1:5">
      <c r="A19999" t="s">
        <v>46239</v>
      </c>
      <c r="B19999" t="s">
        <v>4643</v>
      </c>
      <c r="C19999">
        <v>0</v>
      </c>
      <c r="D19999">
        <v>0.94958565546600004</v>
      </c>
      <c r="E19999">
        <v>7.3319999999999999</v>
      </c>
    </row>
    <row r="20000" spans="1:5">
      <c r="A20000" t="s">
        <v>46239</v>
      </c>
      <c r="B20000" t="s">
        <v>4649</v>
      </c>
      <c r="C20000">
        <v>0.36224524372400002</v>
      </c>
      <c r="D20000">
        <v>0.94958565546600004</v>
      </c>
      <c r="E20000">
        <v>7.3319999999999999</v>
      </c>
    </row>
    <row r="20001" spans="1:5">
      <c r="A20001" t="s">
        <v>46239</v>
      </c>
      <c r="B20001" t="s">
        <v>4644</v>
      </c>
      <c r="C20001">
        <v>0.18331642858300001</v>
      </c>
      <c r="D20001">
        <v>0.94958565546600004</v>
      </c>
      <c r="E20001">
        <v>7.3319999999999999</v>
      </c>
    </row>
    <row r="20002" spans="1:5">
      <c r="A20002" t="s">
        <v>46239</v>
      </c>
      <c r="B20002" t="s">
        <v>4646</v>
      </c>
      <c r="C20002">
        <f>0.0830503319082</f>
        <v>8.3050331908200006E-2</v>
      </c>
      <c r="D20002">
        <v>0.94958565546600004</v>
      </c>
      <c r="E20002">
        <v>7.3319999999999999</v>
      </c>
    </row>
    <row r="20003" spans="1:5">
      <c r="A20003" t="s">
        <v>46239</v>
      </c>
      <c r="B20003" t="s">
        <v>4648</v>
      </c>
      <c r="C20003">
        <v>0</v>
      </c>
      <c r="D20003">
        <v>0.94958565546600004</v>
      </c>
      <c r="E20003">
        <v>7.3319999999999999</v>
      </c>
    </row>
    <row r="20004" spans="1:5">
      <c r="A20004" t="s">
        <v>46239</v>
      </c>
      <c r="B20004" t="s">
        <v>4645</v>
      </c>
      <c r="C20004">
        <f>0.40023315007</f>
        <v>0.40023315006999999</v>
      </c>
      <c r="D20004">
        <v>0.94958565546600004</v>
      </c>
      <c r="E20004">
        <v>7.3319999999999999</v>
      </c>
    </row>
    <row r="20005" spans="1:5">
      <c r="A20005" t="s">
        <v>46239</v>
      </c>
      <c r="B20005" t="s">
        <v>4650</v>
      </c>
      <c r="C20005">
        <f>0.618209561509</f>
        <v>0.61820956150899997</v>
      </c>
      <c r="D20005">
        <v>0.94958565546600004</v>
      </c>
      <c r="E20005">
        <v>7.3319999999999999</v>
      </c>
    </row>
    <row r="20006" spans="1:5">
      <c r="A20006" t="s">
        <v>46240</v>
      </c>
      <c r="B20006" t="s">
        <v>46241</v>
      </c>
      <c r="C20006">
        <f>0</f>
        <v>0</v>
      </c>
      <c r="D20006">
        <v>0.63541266090100001</v>
      </c>
      <c r="E20006">
        <v>23.754000000000001</v>
      </c>
    </row>
    <row r="20007" spans="1:5">
      <c r="A20007" t="s">
        <v>46240</v>
      </c>
      <c r="B20007" t="s">
        <v>46242</v>
      </c>
      <c r="C20007">
        <f>0.225802660901</f>
        <v>0.22580266090100001</v>
      </c>
      <c r="D20007">
        <v>0.63541266090100001</v>
      </c>
      <c r="E20007">
        <v>23.754000000000001</v>
      </c>
    </row>
    <row r="20008" spans="1:5">
      <c r="A20008" t="s">
        <v>46240</v>
      </c>
      <c r="B20008" t="s">
        <v>46243</v>
      </c>
      <c r="C20008">
        <f>0</f>
        <v>0</v>
      </c>
      <c r="D20008">
        <v>0.63541266090100001</v>
      </c>
      <c r="E20008">
        <v>23.754000000000001</v>
      </c>
    </row>
    <row r="20009" spans="1:5">
      <c r="A20009" t="s">
        <v>46244</v>
      </c>
      <c r="B20009" t="s">
        <v>25084</v>
      </c>
      <c r="C20009">
        <v>0.64920132557999999</v>
      </c>
      <c r="D20009">
        <v>0.84281132558000005</v>
      </c>
      <c r="E20009">
        <v>1.0680000000000001</v>
      </c>
    </row>
    <row r="20010" spans="1:5">
      <c r="A20010" t="s">
        <v>46244</v>
      </c>
      <c r="B20010" t="s">
        <v>25086</v>
      </c>
      <c r="C20010">
        <f>0</f>
        <v>0</v>
      </c>
      <c r="D20010">
        <v>0.84281132558000005</v>
      </c>
      <c r="E20010">
        <v>1.0680000000000001</v>
      </c>
    </row>
    <row r="20011" spans="1:5">
      <c r="A20011" t="s">
        <v>46245</v>
      </c>
      <c r="B20011" t="s">
        <v>7369</v>
      </c>
      <c r="C20011">
        <v>0.98874032305699999</v>
      </c>
      <c r="D20011">
        <v>0.98768812053900001</v>
      </c>
      <c r="E20011">
        <v>20.513999999999999</v>
      </c>
    </row>
    <row r="20012" spans="1:5">
      <c r="A20012" t="s">
        <v>46245</v>
      </c>
      <c r="B20012" t="s">
        <v>7375</v>
      </c>
      <c r="C20012">
        <v>0</v>
      </c>
      <c r="D20012">
        <v>0.98768812053900001</v>
      </c>
      <c r="E20012">
        <v>20.513999999999999</v>
      </c>
    </row>
    <row r="20013" spans="1:5">
      <c r="A20013" t="s">
        <v>46245</v>
      </c>
      <c r="B20013" t="s">
        <v>7372</v>
      </c>
      <c r="C20013">
        <v>0.22202426384099999</v>
      </c>
      <c r="D20013">
        <v>0.98768812053900001</v>
      </c>
      <c r="E20013">
        <v>20.513999999999999</v>
      </c>
    </row>
    <row r="20014" spans="1:5">
      <c r="A20014" t="s">
        <v>46245</v>
      </c>
      <c r="B20014" t="s">
        <v>7373</v>
      </c>
      <c r="C20014">
        <v>0</v>
      </c>
      <c r="D20014">
        <v>0.98768812053900001</v>
      </c>
      <c r="E20014">
        <v>20.513999999999999</v>
      </c>
    </row>
    <row r="20015" spans="1:5">
      <c r="A20015" t="s">
        <v>46245</v>
      </c>
      <c r="B20015" t="s">
        <v>7374</v>
      </c>
      <c r="C20015">
        <v>2.2557703741299999E-2</v>
      </c>
      <c r="D20015">
        <v>0.98768812053900001</v>
      </c>
      <c r="E20015">
        <v>20.513999999999999</v>
      </c>
    </row>
    <row r="20016" spans="1:5">
      <c r="A20016" t="s">
        <v>46245</v>
      </c>
      <c r="B20016" t="s">
        <v>7371</v>
      </c>
      <c r="C20016">
        <v>0.14507763021</v>
      </c>
      <c r="D20016">
        <v>0.98768812053900001</v>
      </c>
      <c r="E20016">
        <v>20.513999999999999</v>
      </c>
    </row>
    <row r="20017" spans="1:5">
      <c r="A20017" t="s">
        <v>46245</v>
      </c>
      <c r="B20017" t="s">
        <v>7370</v>
      </c>
      <c r="C20017">
        <v>0</v>
      </c>
      <c r="D20017">
        <v>0.98768812053900001</v>
      </c>
      <c r="E20017">
        <v>20.513999999999999</v>
      </c>
    </row>
    <row r="20018" spans="1:5">
      <c r="A20018" t="s">
        <v>46245</v>
      </c>
      <c r="B20018" t="s">
        <v>46246</v>
      </c>
      <c r="C20018">
        <v>0</v>
      </c>
      <c r="D20018">
        <v>0.98768812053900001</v>
      </c>
      <c r="E20018">
        <v>20.513999999999999</v>
      </c>
    </row>
    <row r="20019" spans="1:5">
      <c r="A20019" t="s">
        <v>46247</v>
      </c>
      <c r="B20019" t="s">
        <v>21670</v>
      </c>
      <c r="C20019">
        <v>0</v>
      </c>
      <c r="D20019" t="s">
        <v>106</v>
      </c>
      <c r="E20019">
        <v>8.2919999999999998</v>
      </c>
    </row>
    <row r="20020" spans="1:5">
      <c r="A20020" t="s">
        <v>46247</v>
      </c>
      <c r="B20020" t="s">
        <v>21671</v>
      </c>
      <c r="C20020">
        <f>0</f>
        <v>0</v>
      </c>
      <c r="D20020" t="s">
        <v>106</v>
      </c>
      <c r="E20020">
        <v>8.2919999999999998</v>
      </c>
    </row>
    <row r="20021" spans="1:5">
      <c r="A20021" t="s">
        <v>46248</v>
      </c>
      <c r="B20021" t="s">
        <v>17541</v>
      </c>
      <c r="C20021">
        <f>0.161681076433</f>
        <v>0.161681076433</v>
      </c>
      <c r="D20021">
        <v>0.89201388753599997</v>
      </c>
      <c r="E20021">
        <v>24</v>
      </c>
    </row>
    <row r="20022" spans="1:5">
      <c r="A20022" t="s">
        <v>46248</v>
      </c>
      <c r="B20022" t="s">
        <v>17544</v>
      </c>
      <c r="C20022">
        <v>0</v>
      </c>
      <c r="D20022">
        <v>0.89201388753599997</v>
      </c>
      <c r="E20022">
        <v>24</v>
      </c>
    </row>
    <row r="20023" spans="1:5">
      <c r="A20023" t="s">
        <v>46248</v>
      </c>
      <c r="B20023" t="s">
        <v>17538</v>
      </c>
      <c r="C20023">
        <f>0.373561525955</f>
        <v>0.37356152595499997</v>
      </c>
      <c r="D20023">
        <v>0.89201388753599997</v>
      </c>
      <c r="E20023">
        <v>24</v>
      </c>
    </row>
    <row r="20024" spans="1:5">
      <c r="A20024" t="s">
        <v>46248</v>
      </c>
      <c r="B20024" t="s">
        <v>17548</v>
      </c>
      <c r="C20024">
        <f>0.578387765353</f>
        <v>0.57838776535299996</v>
      </c>
      <c r="D20024">
        <v>0.89201388753599997</v>
      </c>
      <c r="E20024">
        <v>24</v>
      </c>
    </row>
    <row r="20025" spans="1:5">
      <c r="A20025" t="s">
        <v>46249</v>
      </c>
      <c r="B20025" t="s">
        <v>18904</v>
      </c>
      <c r="C20025">
        <v>0</v>
      </c>
      <c r="D20025" t="s">
        <v>106</v>
      </c>
      <c r="E20025">
        <v>9.3179999999999996</v>
      </c>
    </row>
    <row r="20026" spans="1:5">
      <c r="A20026" t="s">
        <v>46249</v>
      </c>
      <c r="B20026" t="s">
        <v>18909</v>
      </c>
      <c r="C20026">
        <v>0</v>
      </c>
      <c r="D20026" t="s">
        <v>106</v>
      </c>
      <c r="E20026">
        <v>9.3179999999999996</v>
      </c>
    </row>
    <row r="20027" spans="1:5">
      <c r="A20027" t="s">
        <v>46249</v>
      </c>
      <c r="B20027" t="s">
        <v>18910</v>
      </c>
      <c r="C20027">
        <v>0</v>
      </c>
      <c r="D20027" t="s">
        <v>106</v>
      </c>
      <c r="E20027">
        <v>9.3179999999999996</v>
      </c>
    </row>
    <row r="20028" spans="1:5">
      <c r="A20028" t="s">
        <v>46250</v>
      </c>
      <c r="B20028" t="s">
        <v>33611</v>
      </c>
      <c r="C20028">
        <v>0.40957572161700001</v>
      </c>
      <c r="D20028">
        <v>0.53918572161699996</v>
      </c>
      <c r="E20028">
        <v>22.806000000000001</v>
      </c>
    </row>
    <row r="20029" spans="1:5">
      <c r="A20029" t="s">
        <v>46250</v>
      </c>
      <c r="B20029" t="s">
        <v>33612</v>
      </c>
      <c r="C20029">
        <f>0</f>
        <v>0</v>
      </c>
      <c r="D20029">
        <v>0.53918572161699996</v>
      </c>
      <c r="E20029">
        <v>22.806000000000001</v>
      </c>
    </row>
    <row r="20030" spans="1:5">
      <c r="A20030" t="s">
        <v>46250</v>
      </c>
      <c r="B20030" t="s">
        <v>33614</v>
      </c>
      <c r="C20030">
        <f>0</f>
        <v>0</v>
      </c>
      <c r="D20030">
        <v>0.53918572161699996</v>
      </c>
      <c r="E20030">
        <v>22.806000000000001</v>
      </c>
    </row>
    <row r="20031" spans="1:5">
      <c r="A20031" t="s">
        <v>46251</v>
      </c>
      <c r="B20031" t="s">
        <v>21981</v>
      </c>
      <c r="C20031">
        <v>0</v>
      </c>
      <c r="D20031" t="s">
        <v>106</v>
      </c>
      <c r="E20031">
        <v>0.54</v>
      </c>
    </row>
    <row r="20032" spans="1:5">
      <c r="A20032" t="s">
        <v>46251</v>
      </c>
      <c r="B20032" t="s">
        <v>21982</v>
      </c>
      <c r="C20032">
        <v>0</v>
      </c>
      <c r="D20032" t="s">
        <v>106</v>
      </c>
      <c r="E20032">
        <v>0.54</v>
      </c>
    </row>
    <row r="20033" spans="1:5">
      <c r="A20033" t="s">
        <v>46252</v>
      </c>
      <c r="B20033" t="s">
        <v>34245</v>
      </c>
      <c r="C20033">
        <v>0.39626869166700002</v>
      </c>
      <c r="D20033">
        <v>0.93499936740800005</v>
      </c>
      <c r="E20033">
        <v>12.048</v>
      </c>
    </row>
    <row r="20034" spans="1:5">
      <c r="A20034" t="s">
        <v>46252</v>
      </c>
      <c r="B20034" t="s">
        <v>34251</v>
      </c>
      <c r="C20034">
        <v>0.17675323235199999</v>
      </c>
      <c r="D20034">
        <v>0.93499936740800005</v>
      </c>
      <c r="E20034">
        <v>12.048</v>
      </c>
    </row>
    <row r="20035" spans="1:5">
      <c r="A20035" t="s">
        <v>46252</v>
      </c>
      <c r="B20035" t="s">
        <v>34248</v>
      </c>
      <c r="C20035">
        <v>0</v>
      </c>
      <c r="D20035">
        <v>0.93499936740800005</v>
      </c>
      <c r="E20035">
        <v>12.048</v>
      </c>
    </row>
    <row r="20036" spans="1:5">
      <c r="A20036" t="s">
        <v>46252</v>
      </c>
      <c r="B20036" t="s">
        <v>34247</v>
      </c>
      <c r="C20036">
        <f>0</f>
        <v>0</v>
      </c>
      <c r="D20036">
        <v>0.93499936740800005</v>
      </c>
      <c r="E20036">
        <v>12.048</v>
      </c>
    </row>
    <row r="20037" spans="1:5">
      <c r="A20037" t="s">
        <v>46252</v>
      </c>
      <c r="B20037" t="s">
        <v>46253</v>
      </c>
      <c r="C20037">
        <f>0.022572569495</f>
        <v>2.2572569495E-2</v>
      </c>
      <c r="D20037">
        <v>0.93499936740800005</v>
      </c>
      <c r="E20037">
        <v>12.048</v>
      </c>
    </row>
    <row r="20038" spans="1:5">
      <c r="A20038" t="s">
        <v>46252</v>
      </c>
      <c r="B20038" t="s">
        <v>34250</v>
      </c>
      <c r="C20038">
        <f>0.443983927502</f>
        <v>0.443983927502</v>
      </c>
      <c r="D20038">
        <v>0.93499936740800005</v>
      </c>
      <c r="E20038">
        <v>12.048</v>
      </c>
    </row>
    <row r="20039" spans="1:5">
      <c r="A20039" t="s">
        <v>46254</v>
      </c>
      <c r="B20039" t="s">
        <v>46255</v>
      </c>
      <c r="C20039">
        <f>0.506974297144</f>
        <v>0.506974297144</v>
      </c>
      <c r="D20039">
        <v>0.93665619341200002</v>
      </c>
      <c r="E20039">
        <v>18.347999999999999</v>
      </c>
    </row>
    <row r="20040" spans="1:5">
      <c r="A20040" t="s">
        <v>46254</v>
      </c>
      <c r="B20040" t="s">
        <v>46256</v>
      </c>
      <c r="C20040">
        <f>0</f>
        <v>0</v>
      </c>
      <c r="D20040">
        <v>0.93665619341200002</v>
      </c>
      <c r="E20040">
        <v>18.347999999999999</v>
      </c>
    </row>
    <row r="20041" spans="1:5">
      <c r="A20041" t="s">
        <v>46254</v>
      </c>
      <c r="B20041" t="s">
        <v>46257</v>
      </c>
      <c r="C20041">
        <f>-1.07931341162</f>
        <v>-1.0793134116200001</v>
      </c>
      <c r="D20041">
        <v>0.93665619341200002</v>
      </c>
      <c r="E20041">
        <v>18.347999999999999</v>
      </c>
    </row>
    <row r="20042" spans="1:5">
      <c r="A20042" t="s">
        <v>46254</v>
      </c>
      <c r="B20042" t="s">
        <v>46258</v>
      </c>
      <c r="C20042">
        <v>0.87057385969099998</v>
      </c>
      <c r="D20042">
        <v>0.93665619341200002</v>
      </c>
      <c r="E20042">
        <v>18.347999999999999</v>
      </c>
    </row>
    <row r="20043" spans="1:5">
      <c r="A20043" t="s">
        <v>46254</v>
      </c>
      <c r="B20043" t="s">
        <v>46259</v>
      </c>
      <c r="C20043">
        <v>0</v>
      </c>
      <c r="D20043">
        <v>0.93665619341200002</v>
      </c>
      <c r="E20043">
        <v>18.347999999999999</v>
      </c>
    </row>
    <row r="20044" spans="1:5">
      <c r="A20044" t="s">
        <v>46254</v>
      </c>
      <c r="B20044" t="s">
        <v>46260</v>
      </c>
      <c r="C20044">
        <v>0.60388707791700003</v>
      </c>
      <c r="D20044">
        <v>0.93665619341200002</v>
      </c>
      <c r="E20044">
        <v>18.347999999999999</v>
      </c>
    </row>
    <row r="20045" spans="1:5">
      <c r="A20045" t="s">
        <v>46261</v>
      </c>
      <c r="B20045" t="s">
        <v>20942</v>
      </c>
      <c r="C20045">
        <v>9.4073376987700005E-2</v>
      </c>
      <c r="D20045">
        <v>0.98721513500199998</v>
      </c>
      <c r="E20045">
        <v>22.571999999999999</v>
      </c>
    </row>
    <row r="20046" spans="1:5">
      <c r="A20046" t="s">
        <v>46261</v>
      </c>
      <c r="B20046" t="s">
        <v>20945</v>
      </c>
      <c r="C20046">
        <f>0</f>
        <v>0</v>
      </c>
      <c r="D20046">
        <v>0.98721513500199998</v>
      </c>
      <c r="E20046">
        <v>22.571999999999999</v>
      </c>
    </row>
    <row r="20047" spans="1:5">
      <c r="A20047" t="s">
        <v>46261</v>
      </c>
      <c r="B20047" t="s">
        <v>20948</v>
      </c>
      <c r="C20047">
        <v>0.54775331778799996</v>
      </c>
      <c r="D20047">
        <v>0.98721513500199998</v>
      </c>
      <c r="E20047">
        <v>22.571999999999999</v>
      </c>
    </row>
    <row r="20048" spans="1:5">
      <c r="A20048" t="s">
        <v>46261</v>
      </c>
      <c r="B20048" t="s">
        <v>20943</v>
      </c>
      <c r="C20048">
        <v>0.64399435272600003</v>
      </c>
      <c r="D20048">
        <v>0.98721513500199998</v>
      </c>
      <c r="E20048">
        <v>22.571999999999999</v>
      </c>
    </row>
    <row r="20049" spans="1:5">
      <c r="A20049" t="s">
        <v>46262</v>
      </c>
      <c r="B20049" t="s">
        <v>19799</v>
      </c>
      <c r="C20049">
        <v>0.53595287303799999</v>
      </c>
      <c r="D20049">
        <v>0.72956287303800005</v>
      </c>
      <c r="E20049">
        <v>18.558</v>
      </c>
    </row>
    <row r="20050" spans="1:5">
      <c r="A20050" t="s">
        <v>46262</v>
      </c>
      <c r="B20050" t="s">
        <v>19801</v>
      </c>
      <c r="C20050">
        <v>0</v>
      </c>
      <c r="D20050">
        <v>0.72956287303800005</v>
      </c>
      <c r="E20050">
        <v>18.558</v>
      </c>
    </row>
    <row r="20051" spans="1:5">
      <c r="A20051" t="s">
        <v>46263</v>
      </c>
      <c r="B20051" t="s">
        <v>30964</v>
      </c>
      <c r="C20051">
        <v>0.29630920456400001</v>
      </c>
      <c r="D20051">
        <v>0.99412592653200005</v>
      </c>
      <c r="E20051">
        <v>8.1539999999999999</v>
      </c>
    </row>
    <row r="20052" spans="1:5">
      <c r="A20052" t="s">
        <v>46263</v>
      </c>
      <c r="B20052" t="s">
        <v>30969</v>
      </c>
      <c r="C20052">
        <f>0.355238220745</f>
        <v>0.355238220745</v>
      </c>
      <c r="D20052">
        <v>0.99412592653200005</v>
      </c>
      <c r="E20052">
        <v>8.1539999999999999</v>
      </c>
    </row>
    <row r="20053" spans="1:5">
      <c r="A20053" t="s">
        <v>46263</v>
      </c>
      <c r="B20053" t="s">
        <v>30967</v>
      </c>
      <c r="C20053">
        <v>0</v>
      </c>
      <c r="D20053">
        <v>0.99412592653200005</v>
      </c>
      <c r="E20053">
        <v>8.1539999999999999</v>
      </c>
    </row>
    <row r="20054" spans="1:5">
      <c r="A20054" t="s">
        <v>46263</v>
      </c>
      <c r="B20054" t="s">
        <v>30965</v>
      </c>
      <c r="C20054">
        <v>0.44180433092799998</v>
      </c>
      <c r="D20054">
        <v>0.99412592653200005</v>
      </c>
      <c r="E20054">
        <v>8.1539999999999999</v>
      </c>
    </row>
    <row r="20055" spans="1:5">
      <c r="A20055" t="s">
        <v>46263</v>
      </c>
      <c r="B20055" t="s">
        <v>30968</v>
      </c>
      <c r="C20055">
        <f>0.738136744631</f>
        <v>0.73813674463099999</v>
      </c>
      <c r="D20055">
        <v>0.99412592653200005</v>
      </c>
      <c r="E20055">
        <v>8.1539999999999999</v>
      </c>
    </row>
    <row r="20056" spans="1:5">
      <c r="A20056" t="s">
        <v>46263</v>
      </c>
      <c r="B20056" t="s">
        <v>30966</v>
      </c>
      <c r="C20056">
        <v>0.103088781842</v>
      </c>
      <c r="D20056">
        <v>0.99412592653200005</v>
      </c>
      <c r="E20056">
        <v>8.1539999999999999</v>
      </c>
    </row>
    <row r="20057" spans="1:5">
      <c r="A20057" t="s">
        <v>46264</v>
      </c>
      <c r="B20057" t="s">
        <v>46265</v>
      </c>
      <c r="C20057">
        <f>0.919252935916</f>
        <v>0.91925293591599999</v>
      </c>
      <c r="D20057">
        <v>0.99026582662700002</v>
      </c>
      <c r="E20057">
        <v>14.37</v>
      </c>
    </row>
    <row r="20058" spans="1:5">
      <c r="A20058" t="s">
        <v>46264</v>
      </c>
      <c r="B20058" t="s">
        <v>46266</v>
      </c>
      <c r="C20058">
        <f>-1.12942447762</f>
        <v>-1.12942447762</v>
      </c>
      <c r="D20058">
        <v>0.99026582662700002</v>
      </c>
      <c r="E20058">
        <v>14.37</v>
      </c>
    </row>
    <row r="20059" spans="1:5">
      <c r="A20059" t="s">
        <v>46264</v>
      </c>
      <c r="B20059" t="s">
        <v>46267</v>
      </c>
      <c r="C20059">
        <v>0.38783956887999999</v>
      </c>
      <c r="D20059">
        <v>0.99026582662700002</v>
      </c>
      <c r="E20059">
        <v>14.37</v>
      </c>
    </row>
    <row r="20060" spans="1:5">
      <c r="A20060" t="s">
        <v>46264</v>
      </c>
      <c r="B20060" t="s">
        <v>46268</v>
      </c>
      <c r="C20060">
        <v>0.62069272321000002</v>
      </c>
      <c r="D20060">
        <v>0.99026582662700002</v>
      </c>
      <c r="E20060">
        <v>14.37</v>
      </c>
    </row>
    <row r="20061" spans="1:5">
      <c r="A20061" t="s">
        <v>46264</v>
      </c>
      <c r="B20061" t="s">
        <v>46269</v>
      </c>
      <c r="C20061">
        <v>6.7155774583799996E-2</v>
      </c>
      <c r="D20061">
        <v>0.99026582662700002</v>
      </c>
      <c r="E20061">
        <v>14.37</v>
      </c>
    </row>
    <row r="20062" spans="1:5">
      <c r="A20062" t="s">
        <v>46264</v>
      </c>
      <c r="B20062" t="s">
        <v>46270</v>
      </c>
      <c r="C20062">
        <f>0.777185369953</f>
        <v>0.77718536995300003</v>
      </c>
      <c r="D20062">
        <v>0.99026582662700002</v>
      </c>
      <c r="E20062">
        <v>14.37</v>
      </c>
    </row>
    <row r="20063" spans="1:5">
      <c r="A20063" t="s">
        <v>46271</v>
      </c>
      <c r="B20063" t="s">
        <v>26699</v>
      </c>
      <c r="C20063">
        <v>0.23978795466700001</v>
      </c>
      <c r="D20063">
        <v>0.69189408054199997</v>
      </c>
      <c r="E20063">
        <v>6.06</v>
      </c>
    </row>
    <row r="20064" spans="1:5">
      <c r="A20064" t="s">
        <v>46271</v>
      </c>
      <c r="B20064" t="s">
        <v>26702</v>
      </c>
      <c r="C20064">
        <v>0.47260901679200001</v>
      </c>
      <c r="D20064">
        <v>0.69189408054199997</v>
      </c>
      <c r="E20064">
        <v>6.06</v>
      </c>
    </row>
    <row r="20065" spans="1:5">
      <c r="A20065" t="s">
        <v>46272</v>
      </c>
      <c r="B20065" t="s">
        <v>46273</v>
      </c>
      <c r="C20065">
        <v>0</v>
      </c>
      <c r="D20065" t="s">
        <v>106</v>
      </c>
      <c r="E20065">
        <v>1.3380000000000001</v>
      </c>
    </row>
    <row r="20066" spans="1:5">
      <c r="A20066" t="s">
        <v>46272</v>
      </c>
      <c r="B20066" t="s">
        <v>46274</v>
      </c>
      <c r="C20066">
        <v>0</v>
      </c>
      <c r="D20066" t="s">
        <v>106</v>
      </c>
      <c r="E20066">
        <v>1.3380000000000001</v>
      </c>
    </row>
    <row r="20067" spans="1:5">
      <c r="A20067" t="s">
        <v>46272</v>
      </c>
      <c r="B20067" t="s">
        <v>46275</v>
      </c>
      <c r="C20067">
        <f>0</f>
        <v>0</v>
      </c>
      <c r="D20067" t="s">
        <v>106</v>
      </c>
      <c r="E20067">
        <v>1.3380000000000001</v>
      </c>
    </row>
    <row r="20068" spans="1:5">
      <c r="A20068" t="s">
        <v>46272</v>
      </c>
      <c r="B20068" t="s">
        <v>46276</v>
      </c>
      <c r="C20068">
        <f>0</f>
        <v>0</v>
      </c>
      <c r="D20068" t="s">
        <v>106</v>
      </c>
      <c r="E20068">
        <v>1.3380000000000001</v>
      </c>
    </row>
    <row r="20069" spans="1:5">
      <c r="A20069" t="s">
        <v>46272</v>
      </c>
      <c r="B20069" t="s">
        <v>46277</v>
      </c>
      <c r="C20069">
        <f>0</f>
        <v>0</v>
      </c>
      <c r="D20069" t="s">
        <v>106</v>
      </c>
      <c r="E20069">
        <v>1.3380000000000001</v>
      </c>
    </row>
    <row r="20070" spans="1:5">
      <c r="A20070" t="s">
        <v>46278</v>
      </c>
      <c r="B20070" t="s">
        <v>12355</v>
      </c>
      <c r="C20070">
        <f>0.159231107808</f>
        <v>0.15923110780800001</v>
      </c>
      <c r="D20070">
        <v>0.87717063726</v>
      </c>
      <c r="E20070">
        <v>12.39</v>
      </c>
    </row>
    <row r="20071" spans="1:5">
      <c r="A20071" t="s">
        <v>46278</v>
      </c>
      <c r="B20071" t="s">
        <v>12354</v>
      </c>
      <c r="C20071">
        <f>0.416181669832</f>
        <v>0.416181669832</v>
      </c>
      <c r="D20071">
        <v>0.87717063726</v>
      </c>
      <c r="E20071">
        <v>12.39</v>
      </c>
    </row>
    <row r="20072" spans="1:5">
      <c r="A20072" t="s">
        <v>46278</v>
      </c>
      <c r="B20072" t="s">
        <v>12352</v>
      </c>
      <c r="C20072">
        <f>0.452029230096</f>
        <v>0.45202923009599999</v>
      </c>
      <c r="D20072">
        <v>0.87717063726</v>
      </c>
      <c r="E20072">
        <v>12.39</v>
      </c>
    </row>
    <row r="20073" spans="1:5">
      <c r="A20073" t="s">
        <v>46278</v>
      </c>
      <c r="B20073" t="s">
        <v>12351</v>
      </c>
      <c r="C20073">
        <v>0.49070143064499999</v>
      </c>
      <c r="D20073">
        <v>0.87717063726</v>
      </c>
      <c r="E20073">
        <v>12.39</v>
      </c>
    </row>
    <row r="20074" spans="1:5">
      <c r="A20074" t="s">
        <v>46279</v>
      </c>
      <c r="B20074" t="s">
        <v>33397</v>
      </c>
      <c r="C20074">
        <f>0.204405109567</f>
        <v>0.204405109567</v>
      </c>
      <c r="D20074">
        <v>0.83914603306699997</v>
      </c>
      <c r="E20074">
        <v>24</v>
      </c>
    </row>
    <row r="20075" spans="1:5">
      <c r="A20075" t="s">
        <v>46279</v>
      </c>
      <c r="B20075" t="s">
        <v>33403</v>
      </c>
      <c r="C20075">
        <v>0.20210688698599999</v>
      </c>
      <c r="D20075">
        <v>0.83914603306699997</v>
      </c>
      <c r="E20075">
        <v>24</v>
      </c>
    </row>
    <row r="20076" spans="1:5">
      <c r="A20076" t="s">
        <v>46279</v>
      </c>
      <c r="B20076" t="s">
        <v>33404</v>
      </c>
      <c r="C20076">
        <v>0</v>
      </c>
      <c r="D20076">
        <v>0.83914603306699997</v>
      </c>
      <c r="E20076">
        <v>24</v>
      </c>
    </row>
    <row r="20077" spans="1:5">
      <c r="A20077" t="s">
        <v>46279</v>
      </c>
      <c r="B20077" t="s">
        <v>33401</v>
      </c>
      <c r="C20077">
        <v>0.64145175558400003</v>
      </c>
      <c r="D20077">
        <v>0.83914603306699997</v>
      </c>
      <c r="E20077">
        <v>24</v>
      </c>
    </row>
    <row r="20078" spans="1:5">
      <c r="A20078" t="s">
        <v>46280</v>
      </c>
      <c r="B20078" t="s">
        <v>46281</v>
      </c>
      <c r="C20078">
        <v>0</v>
      </c>
      <c r="D20078" t="s">
        <v>106</v>
      </c>
      <c r="E20078">
        <v>3.972</v>
      </c>
    </row>
    <row r="20079" spans="1:5">
      <c r="A20079" t="s">
        <v>46280</v>
      </c>
      <c r="B20079" t="s">
        <v>46282</v>
      </c>
      <c r="C20079">
        <v>0</v>
      </c>
      <c r="D20079" t="s">
        <v>106</v>
      </c>
      <c r="E20079">
        <v>3.972</v>
      </c>
    </row>
    <row r="20080" spans="1:5">
      <c r="A20080" t="s">
        <v>46280</v>
      </c>
      <c r="B20080" t="s">
        <v>46283</v>
      </c>
      <c r="C20080">
        <v>0</v>
      </c>
      <c r="D20080" t="s">
        <v>106</v>
      </c>
      <c r="E20080">
        <v>3.972</v>
      </c>
    </row>
    <row r="20081" spans="1:5">
      <c r="A20081" t="s">
        <v>46280</v>
      </c>
      <c r="B20081" t="s">
        <v>46284</v>
      </c>
      <c r="C20081">
        <v>0</v>
      </c>
      <c r="D20081" t="s">
        <v>106</v>
      </c>
      <c r="E20081">
        <v>3.972</v>
      </c>
    </row>
    <row r="20082" spans="1:5">
      <c r="A20082" t="s">
        <v>46280</v>
      </c>
      <c r="B20082" t="s">
        <v>46285</v>
      </c>
      <c r="C20082">
        <v>0</v>
      </c>
      <c r="D20082" t="s">
        <v>106</v>
      </c>
      <c r="E20082">
        <v>3.972</v>
      </c>
    </row>
    <row r="20083" spans="1:5">
      <c r="A20083" t="s">
        <v>46280</v>
      </c>
      <c r="B20083" t="s">
        <v>46286</v>
      </c>
      <c r="C20083">
        <v>0</v>
      </c>
      <c r="D20083" t="s">
        <v>106</v>
      </c>
      <c r="E20083">
        <v>3.972</v>
      </c>
    </row>
    <row r="20084" spans="1:5">
      <c r="A20084" t="s">
        <v>46280</v>
      </c>
      <c r="B20084" t="s">
        <v>46287</v>
      </c>
      <c r="C20084">
        <v>0</v>
      </c>
      <c r="D20084" t="s">
        <v>106</v>
      </c>
      <c r="E20084">
        <v>3.972</v>
      </c>
    </row>
    <row r="20085" spans="1:5">
      <c r="A20085" t="s">
        <v>46280</v>
      </c>
      <c r="B20085" t="s">
        <v>46288</v>
      </c>
      <c r="C20085">
        <f>0</f>
        <v>0</v>
      </c>
      <c r="D20085" t="s">
        <v>106</v>
      </c>
      <c r="E20085">
        <v>3.972</v>
      </c>
    </row>
    <row r="20086" spans="1:5">
      <c r="A20086" t="s">
        <v>46289</v>
      </c>
      <c r="B20086" t="s">
        <v>19817</v>
      </c>
      <c r="C20086">
        <v>0</v>
      </c>
      <c r="D20086" t="s">
        <v>106</v>
      </c>
      <c r="E20086">
        <v>1.6379999999999999</v>
      </c>
    </row>
    <row r="20087" spans="1:5">
      <c r="A20087" t="s">
        <v>46289</v>
      </c>
      <c r="B20087" t="s">
        <v>19813</v>
      </c>
      <c r="C20087">
        <v>0</v>
      </c>
      <c r="D20087" t="s">
        <v>106</v>
      </c>
      <c r="E20087">
        <v>1.6379999999999999</v>
      </c>
    </row>
    <row r="20088" spans="1:5">
      <c r="A20088" t="s">
        <v>46289</v>
      </c>
      <c r="B20088" t="s">
        <v>19812</v>
      </c>
      <c r="C20088">
        <v>0</v>
      </c>
      <c r="D20088" t="s">
        <v>106</v>
      </c>
      <c r="E20088">
        <v>1.6379999999999999</v>
      </c>
    </row>
    <row r="20089" spans="1:5">
      <c r="A20089" t="s">
        <v>46290</v>
      </c>
      <c r="B20089" t="s">
        <v>9157</v>
      </c>
      <c r="C20089">
        <v>0</v>
      </c>
      <c r="D20089">
        <v>0.88544304184199996</v>
      </c>
      <c r="E20089">
        <v>17.100000000000001</v>
      </c>
    </row>
    <row r="20090" spans="1:5">
      <c r="A20090" t="s">
        <v>46290</v>
      </c>
      <c r="B20090" t="s">
        <v>9165</v>
      </c>
      <c r="C20090">
        <f>0</f>
        <v>0</v>
      </c>
      <c r="D20090">
        <v>0.88544304184199996</v>
      </c>
      <c r="E20090">
        <v>17.100000000000001</v>
      </c>
    </row>
    <row r="20091" spans="1:5">
      <c r="A20091" t="s">
        <v>46290</v>
      </c>
      <c r="B20091" t="s">
        <v>9163</v>
      </c>
      <c r="C20091">
        <f>0</f>
        <v>0</v>
      </c>
      <c r="D20091">
        <v>0.88544304184199996</v>
      </c>
      <c r="E20091">
        <v>17.100000000000001</v>
      </c>
    </row>
    <row r="20092" spans="1:5">
      <c r="A20092" t="s">
        <v>46290</v>
      </c>
      <c r="B20092" t="s">
        <v>9162</v>
      </c>
      <c r="C20092">
        <f>0</f>
        <v>0</v>
      </c>
      <c r="D20092">
        <v>0.88544304184199996</v>
      </c>
      <c r="E20092">
        <v>17.100000000000001</v>
      </c>
    </row>
    <row r="20093" spans="1:5">
      <c r="A20093" t="s">
        <v>46290</v>
      </c>
      <c r="B20093" t="s">
        <v>9161</v>
      </c>
      <c r="C20093">
        <v>0</v>
      </c>
      <c r="D20093">
        <v>0.88544304184199996</v>
      </c>
      <c r="E20093">
        <v>17.100000000000001</v>
      </c>
    </row>
    <row r="20094" spans="1:5">
      <c r="A20094" t="s">
        <v>46290</v>
      </c>
      <c r="B20094" t="s">
        <v>9160</v>
      </c>
      <c r="C20094">
        <f>0</f>
        <v>0</v>
      </c>
      <c r="D20094">
        <v>0.88544304184199996</v>
      </c>
      <c r="E20094">
        <v>17.100000000000001</v>
      </c>
    </row>
    <row r="20095" spans="1:5">
      <c r="A20095" t="s">
        <v>46290</v>
      </c>
      <c r="B20095" t="s">
        <v>46291</v>
      </c>
      <c r="C20095">
        <v>0.68405257935099995</v>
      </c>
      <c r="D20095">
        <v>0.88544304184199996</v>
      </c>
      <c r="E20095">
        <v>17.100000000000001</v>
      </c>
    </row>
    <row r="20096" spans="1:5">
      <c r="A20096" t="s">
        <v>46290</v>
      </c>
      <c r="B20096" t="s">
        <v>9158</v>
      </c>
      <c r="C20096">
        <f>0.0691437871688</f>
        <v>6.91437871688E-2</v>
      </c>
      <c r="D20096">
        <v>0.88544304184199996</v>
      </c>
      <c r="E20096">
        <v>17.100000000000001</v>
      </c>
    </row>
    <row r="20097" spans="1:5">
      <c r="A20097" t="s">
        <v>46290</v>
      </c>
      <c r="B20097" t="s">
        <v>9159</v>
      </c>
      <c r="C20097">
        <v>0</v>
      </c>
      <c r="D20097">
        <v>0.88544304184199996</v>
      </c>
      <c r="E20097">
        <v>17.100000000000001</v>
      </c>
    </row>
    <row r="20098" spans="1:5">
      <c r="A20098" t="s">
        <v>46290</v>
      </c>
      <c r="B20098" t="s">
        <v>46292</v>
      </c>
      <c r="C20098">
        <v>0</v>
      </c>
      <c r="D20098">
        <v>0.88544304184199996</v>
      </c>
      <c r="E20098">
        <v>17.100000000000001</v>
      </c>
    </row>
    <row r="20099" spans="1:5">
      <c r="A20099" t="s">
        <v>46293</v>
      </c>
      <c r="B20099" t="s">
        <v>33597</v>
      </c>
      <c r="C20099">
        <v>0</v>
      </c>
      <c r="D20099" t="s">
        <v>106</v>
      </c>
      <c r="E20099">
        <v>7.0679999999999996</v>
      </c>
    </row>
    <row r="20100" spans="1:5">
      <c r="A20100" t="s">
        <v>46293</v>
      </c>
      <c r="B20100" t="s">
        <v>33598</v>
      </c>
      <c r="C20100">
        <v>0</v>
      </c>
      <c r="D20100" t="s">
        <v>106</v>
      </c>
      <c r="E20100">
        <v>7.0679999999999996</v>
      </c>
    </row>
    <row r="20101" spans="1:5">
      <c r="A20101" t="s">
        <v>46294</v>
      </c>
      <c r="B20101" t="s">
        <v>46295</v>
      </c>
      <c r="C20101">
        <v>0</v>
      </c>
      <c r="D20101" t="s">
        <v>106</v>
      </c>
      <c r="E20101">
        <v>0</v>
      </c>
    </row>
    <row r="20102" spans="1:5">
      <c r="A20102" t="s">
        <v>46294</v>
      </c>
      <c r="B20102" t="s">
        <v>46296</v>
      </c>
      <c r="C20102">
        <f>0</f>
        <v>0</v>
      </c>
      <c r="D20102" t="s">
        <v>106</v>
      </c>
      <c r="E20102">
        <v>0</v>
      </c>
    </row>
    <row r="20103" spans="1:5">
      <c r="A20103" t="s">
        <v>46294</v>
      </c>
      <c r="B20103" t="s">
        <v>46297</v>
      </c>
      <c r="C20103">
        <v>0</v>
      </c>
      <c r="D20103" t="s">
        <v>106</v>
      </c>
      <c r="E20103">
        <v>0</v>
      </c>
    </row>
    <row r="20104" spans="1:5">
      <c r="A20104" t="s">
        <v>46294</v>
      </c>
      <c r="B20104" t="s">
        <v>46298</v>
      </c>
      <c r="C20104">
        <v>0</v>
      </c>
      <c r="D20104" t="s">
        <v>106</v>
      </c>
      <c r="E20104">
        <v>0</v>
      </c>
    </row>
    <row r="20105" spans="1:5">
      <c r="A20105" t="s">
        <v>46294</v>
      </c>
      <c r="B20105" t="s">
        <v>46299</v>
      </c>
      <c r="C20105">
        <f>0</f>
        <v>0</v>
      </c>
      <c r="D20105" t="s">
        <v>106</v>
      </c>
      <c r="E20105">
        <v>0</v>
      </c>
    </row>
    <row r="20106" spans="1:5">
      <c r="A20106" t="s">
        <v>46294</v>
      </c>
      <c r="B20106" t="s">
        <v>46300</v>
      </c>
      <c r="C20106">
        <v>0</v>
      </c>
      <c r="D20106" t="s">
        <v>106</v>
      </c>
      <c r="E20106">
        <v>0</v>
      </c>
    </row>
    <row r="20107" spans="1:5">
      <c r="A20107" t="s">
        <v>46294</v>
      </c>
      <c r="B20107" t="s">
        <v>46301</v>
      </c>
      <c r="C20107">
        <f>0</f>
        <v>0</v>
      </c>
      <c r="D20107" t="s">
        <v>106</v>
      </c>
      <c r="E20107">
        <v>0</v>
      </c>
    </row>
    <row r="20108" spans="1:5">
      <c r="A20108" t="s">
        <v>46294</v>
      </c>
      <c r="B20108" t="s">
        <v>46302</v>
      </c>
      <c r="C20108">
        <v>0</v>
      </c>
      <c r="D20108" t="s">
        <v>106</v>
      </c>
      <c r="E20108">
        <v>0</v>
      </c>
    </row>
    <row r="20109" spans="1:5">
      <c r="A20109" t="s">
        <v>46294</v>
      </c>
      <c r="B20109" t="s">
        <v>46303</v>
      </c>
      <c r="C20109">
        <f>0</f>
        <v>0</v>
      </c>
      <c r="D20109" t="s">
        <v>106</v>
      </c>
      <c r="E20109">
        <v>0</v>
      </c>
    </row>
    <row r="20110" spans="1:5">
      <c r="A20110" t="s">
        <v>46294</v>
      </c>
      <c r="B20110" t="s">
        <v>46304</v>
      </c>
      <c r="C20110">
        <v>0</v>
      </c>
      <c r="D20110" t="s">
        <v>106</v>
      </c>
      <c r="E20110">
        <v>0</v>
      </c>
    </row>
    <row r="20111" spans="1:5">
      <c r="A20111" t="s">
        <v>46305</v>
      </c>
      <c r="B20111" t="s">
        <v>19260</v>
      </c>
      <c r="C20111">
        <v>0.57055114573200005</v>
      </c>
      <c r="D20111">
        <v>0.69012117406899998</v>
      </c>
      <c r="E20111">
        <v>1.0680000000000001</v>
      </c>
    </row>
    <row r="20112" spans="1:5">
      <c r="A20112" t="s">
        <v>46305</v>
      </c>
      <c r="B20112" t="s">
        <v>19257</v>
      </c>
      <c r="C20112">
        <v>9.5613516386199998E-2</v>
      </c>
      <c r="D20112">
        <v>0.69012117406899998</v>
      </c>
      <c r="E20112">
        <v>1.0680000000000001</v>
      </c>
    </row>
    <row r="20113" spans="1:5">
      <c r="A20113" t="s">
        <v>46306</v>
      </c>
      <c r="B20113" t="s">
        <v>46307</v>
      </c>
      <c r="C20113">
        <f>-1.0758398806</f>
        <v>-1.0758398806</v>
      </c>
      <c r="D20113">
        <v>0.88482961584700004</v>
      </c>
      <c r="E20113">
        <v>0.28799999999999998</v>
      </c>
    </row>
    <row r="20114" spans="1:5">
      <c r="A20114" t="s">
        <v>46306</v>
      </c>
      <c r="B20114" t="s">
        <v>46308</v>
      </c>
      <c r="C20114">
        <v>0.55824843229800003</v>
      </c>
      <c r="D20114">
        <v>0.88482961584700004</v>
      </c>
      <c r="E20114">
        <v>0.28799999999999998</v>
      </c>
    </row>
    <row r="20115" spans="1:5">
      <c r="A20115" t="s">
        <v>46306</v>
      </c>
      <c r="B20115" t="s">
        <v>46309</v>
      </c>
      <c r="C20115">
        <f>0.596096173574</f>
        <v>0.59609617357400002</v>
      </c>
      <c r="D20115">
        <v>0.88482961584700004</v>
      </c>
      <c r="E20115">
        <v>0.28799999999999998</v>
      </c>
    </row>
    <row r="20116" spans="1:5">
      <c r="A20116" t="s">
        <v>46310</v>
      </c>
      <c r="B20116" t="s">
        <v>46311</v>
      </c>
      <c r="C20116">
        <v>0</v>
      </c>
      <c r="D20116" t="s">
        <v>106</v>
      </c>
      <c r="E20116">
        <v>24</v>
      </c>
    </row>
    <row r="20117" spans="1:5">
      <c r="A20117" t="s">
        <v>46310</v>
      </c>
      <c r="B20117" t="s">
        <v>46312</v>
      </c>
      <c r="C20117">
        <f>0</f>
        <v>0</v>
      </c>
      <c r="D20117" t="s">
        <v>106</v>
      </c>
      <c r="E20117">
        <v>24</v>
      </c>
    </row>
    <row r="20118" spans="1:5">
      <c r="A20118" t="s">
        <v>46313</v>
      </c>
      <c r="B20118" t="s">
        <v>46314</v>
      </c>
      <c r="C20118">
        <v>0</v>
      </c>
      <c r="D20118" t="s">
        <v>106</v>
      </c>
      <c r="E20118">
        <v>15.9</v>
      </c>
    </row>
    <row r="20119" spans="1:5">
      <c r="A20119" t="s">
        <v>46313</v>
      </c>
      <c r="B20119" t="s">
        <v>46315</v>
      </c>
      <c r="C20119">
        <v>0</v>
      </c>
      <c r="D20119" t="s">
        <v>106</v>
      </c>
      <c r="E20119">
        <v>15.9</v>
      </c>
    </row>
    <row r="20120" spans="1:5">
      <c r="A20120" t="s">
        <v>46313</v>
      </c>
      <c r="B20120" t="s">
        <v>46316</v>
      </c>
      <c r="C20120">
        <f>0</f>
        <v>0</v>
      </c>
      <c r="D20120" t="s">
        <v>106</v>
      </c>
      <c r="E20120">
        <v>15.9</v>
      </c>
    </row>
    <row r="20121" spans="1:5">
      <c r="A20121" t="s">
        <v>46317</v>
      </c>
      <c r="B20121" t="s">
        <v>19944</v>
      </c>
      <c r="C20121">
        <v>0.34086792832700002</v>
      </c>
      <c r="D20121">
        <v>0.71746723161399995</v>
      </c>
      <c r="E20121">
        <v>5.82</v>
      </c>
    </row>
    <row r="20122" spans="1:5">
      <c r="A20122" t="s">
        <v>46317</v>
      </c>
      <c r="B20122" t="s">
        <v>19942</v>
      </c>
      <c r="C20122">
        <v>0.58275557473399997</v>
      </c>
      <c r="D20122">
        <v>0.71746723161399995</v>
      </c>
      <c r="E20122">
        <v>5.82</v>
      </c>
    </row>
    <row r="20123" spans="1:5">
      <c r="A20123" t="s">
        <v>46317</v>
      </c>
      <c r="B20123" t="s">
        <v>19943</v>
      </c>
      <c r="C20123">
        <v>0.29823387041900001</v>
      </c>
      <c r="D20123">
        <v>0.71746723161399995</v>
      </c>
      <c r="E20123">
        <v>5.82</v>
      </c>
    </row>
    <row r="20124" spans="1:5">
      <c r="A20124" t="s">
        <v>46318</v>
      </c>
      <c r="B20124" t="s">
        <v>22329</v>
      </c>
      <c r="C20124">
        <f>0.242271910836</f>
        <v>0.242271910836</v>
      </c>
      <c r="D20124">
        <v>0.76068191083600001</v>
      </c>
      <c r="E20124">
        <v>22.571999999999999</v>
      </c>
    </row>
    <row r="20125" spans="1:5">
      <c r="A20125" t="s">
        <v>46318</v>
      </c>
      <c r="B20125" t="s">
        <v>22337</v>
      </c>
      <c r="C20125">
        <v>0</v>
      </c>
      <c r="D20125">
        <v>0.76068191083600001</v>
      </c>
      <c r="E20125">
        <v>22.571999999999999</v>
      </c>
    </row>
    <row r="20126" spans="1:5">
      <c r="A20126" t="s">
        <v>46318</v>
      </c>
      <c r="B20126" t="s">
        <v>22330</v>
      </c>
      <c r="C20126">
        <f>0</f>
        <v>0</v>
      </c>
      <c r="D20126">
        <v>0.76068191083600001</v>
      </c>
      <c r="E20126">
        <v>22.571999999999999</v>
      </c>
    </row>
    <row r="20127" spans="1:5">
      <c r="A20127" t="s">
        <v>46318</v>
      </c>
      <c r="B20127" t="s">
        <v>22335</v>
      </c>
      <c r="C20127">
        <f>0</f>
        <v>0</v>
      </c>
      <c r="D20127">
        <v>0.76068191083600001</v>
      </c>
      <c r="E20127">
        <v>22.571999999999999</v>
      </c>
    </row>
    <row r="20128" spans="1:5">
      <c r="A20128" t="s">
        <v>46319</v>
      </c>
      <c r="B20128" t="s">
        <v>10809</v>
      </c>
      <c r="C20128">
        <v>1.5799448892800001</v>
      </c>
      <c r="D20128">
        <v>0.91251151016999998</v>
      </c>
      <c r="E20128">
        <v>20.292000000000002</v>
      </c>
    </row>
    <row r="20129" spans="1:5">
      <c r="A20129" t="s">
        <v>46319</v>
      </c>
      <c r="B20129" t="s">
        <v>10811</v>
      </c>
      <c r="C20129">
        <f>0.949735609134</f>
        <v>0.94973560913400001</v>
      </c>
      <c r="D20129">
        <v>0.91251151016999998</v>
      </c>
      <c r="E20129">
        <v>20.292000000000002</v>
      </c>
    </row>
    <row r="20130" spans="1:5">
      <c r="A20130" t="s">
        <v>46319</v>
      </c>
      <c r="B20130" t="s">
        <v>46320</v>
      </c>
      <c r="C20130">
        <f>0.367742668411</f>
        <v>0.36774266841100001</v>
      </c>
      <c r="D20130">
        <v>0.91251151016999998</v>
      </c>
      <c r="E20130">
        <v>20.292000000000002</v>
      </c>
    </row>
    <row r="20131" spans="1:5">
      <c r="A20131" t="s">
        <v>46321</v>
      </c>
      <c r="B20131" t="s">
        <v>20582</v>
      </c>
      <c r="C20131">
        <v>0.16679661782899999</v>
      </c>
      <c r="D20131">
        <v>0.74440661782899997</v>
      </c>
      <c r="E20131">
        <v>18.138000000000002</v>
      </c>
    </row>
    <row r="20132" spans="1:5">
      <c r="A20132" t="s">
        <v>46321</v>
      </c>
      <c r="B20132" t="s">
        <v>20583</v>
      </c>
      <c r="C20132">
        <f>0</f>
        <v>0</v>
      </c>
      <c r="D20132">
        <v>0.74440661782899997</v>
      </c>
      <c r="E20132">
        <v>18.138000000000002</v>
      </c>
    </row>
    <row r="20133" spans="1:5">
      <c r="A20133" t="s">
        <v>46322</v>
      </c>
      <c r="B20133" t="s">
        <v>19938</v>
      </c>
      <c r="C20133">
        <v>0</v>
      </c>
      <c r="D20133" t="s">
        <v>106</v>
      </c>
      <c r="E20133">
        <v>0.34799999999999998</v>
      </c>
    </row>
    <row r="20134" spans="1:5">
      <c r="A20134" t="s">
        <v>46322</v>
      </c>
      <c r="B20134" t="s">
        <v>19940</v>
      </c>
      <c r="C20134">
        <f>0</f>
        <v>0</v>
      </c>
      <c r="D20134" t="s">
        <v>106</v>
      </c>
      <c r="E20134">
        <v>0.34799999999999998</v>
      </c>
    </row>
    <row r="20135" spans="1:5">
      <c r="A20135" t="s">
        <v>46323</v>
      </c>
      <c r="B20135" t="s">
        <v>46324</v>
      </c>
      <c r="C20135">
        <v>0.215929056722</v>
      </c>
      <c r="D20135">
        <v>0.90883674075200005</v>
      </c>
      <c r="E20135">
        <v>18.984000000000002</v>
      </c>
    </row>
    <row r="20136" spans="1:5">
      <c r="A20136" t="s">
        <v>46323</v>
      </c>
      <c r="B20136" t="s">
        <v>46325</v>
      </c>
      <c r="C20136">
        <v>0.69333485517000004</v>
      </c>
      <c r="D20136">
        <v>0.90883674075200005</v>
      </c>
      <c r="E20136">
        <v>18.984000000000002</v>
      </c>
    </row>
    <row r="20137" spans="1:5">
      <c r="A20137" t="s">
        <v>46323</v>
      </c>
      <c r="B20137" t="s">
        <v>46326</v>
      </c>
      <c r="C20137">
        <v>0.153266917787</v>
      </c>
      <c r="D20137">
        <v>0.90883674075200005</v>
      </c>
      <c r="E20137">
        <v>18.984000000000002</v>
      </c>
    </row>
    <row r="20138" spans="1:5">
      <c r="A20138" t="s">
        <v>46323</v>
      </c>
      <c r="B20138" t="s">
        <v>46327</v>
      </c>
      <c r="C20138">
        <v>0</v>
      </c>
      <c r="D20138">
        <v>0.90883674075200005</v>
      </c>
      <c r="E20138">
        <v>18.984000000000002</v>
      </c>
    </row>
    <row r="20139" spans="1:5">
      <c r="A20139" t="s">
        <v>46328</v>
      </c>
      <c r="B20139" t="s">
        <v>27129</v>
      </c>
      <c r="C20139">
        <v>0</v>
      </c>
      <c r="D20139" t="s">
        <v>106</v>
      </c>
      <c r="E20139">
        <v>6.3</v>
      </c>
    </row>
    <row r="20140" spans="1:5">
      <c r="A20140" t="s">
        <v>46328</v>
      </c>
      <c r="B20140" t="s">
        <v>27130</v>
      </c>
      <c r="C20140">
        <f>0</f>
        <v>0</v>
      </c>
      <c r="D20140" t="s">
        <v>106</v>
      </c>
      <c r="E20140">
        <v>6.3</v>
      </c>
    </row>
    <row r="20141" spans="1:5">
      <c r="A20141" t="s">
        <v>46329</v>
      </c>
      <c r="B20141" t="s">
        <v>13594</v>
      </c>
      <c r="C20141">
        <v>5.5730003809300002E-2</v>
      </c>
      <c r="D20141">
        <v>0.98307272605100005</v>
      </c>
      <c r="E20141">
        <v>19.416</v>
      </c>
    </row>
    <row r="20142" spans="1:5">
      <c r="A20142" t="s">
        <v>46329</v>
      </c>
      <c r="B20142" t="s">
        <v>13597</v>
      </c>
      <c r="C20142">
        <f>0</f>
        <v>0</v>
      </c>
      <c r="D20142">
        <v>0.98307272605100005</v>
      </c>
      <c r="E20142">
        <v>19.416</v>
      </c>
    </row>
    <row r="20143" spans="1:5">
      <c r="A20143" t="s">
        <v>46329</v>
      </c>
      <c r="B20143" t="s">
        <v>13602</v>
      </c>
      <c r="C20143">
        <f>0.379552733095</f>
        <v>0.37955273309499998</v>
      </c>
      <c r="D20143">
        <v>0.98307272605100005</v>
      </c>
      <c r="E20143">
        <v>19.416</v>
      </c>
    </row>
    <row r="20144" spans="1:5">
      <c r="A20144" t="s">
        <v>46329</v>
      </c>
      <c r="B20144" t="s">
        <v>13610</v>
      </c>
      <c r="C20144">
        <f>0</f>
        <v>0</v>
      </c>
      <c r="D20144">
        <v>0.98307272605100005</v>
      </c>
      <c r="E20144">
        <v>19.416</v>
      </c>
    </row>
    <row r="20145" spans="1:5">
      <c r="A20145" t="s">
        <v>46329</v>
      </c>
      <c r="B20145" t="s">
        <v>13605</v>
      </c>
      <c r="C20145">
        <v>0</v>
      </c>
      <c r="D20145">
        <v>0.98307272605100005</v>
      </c>
      <c r="E20145">
        <v>19.416</v>
      </c>
    </row>
    <row r="20146" spans="1:5">
      <c r="A20146" t="s">
        <v>46329</v>
      </c>
      <c r="B20146" t="s">
        <v>13604</v>
      </c>
      <c r="C20146">
        <f>0</f>
        <v>0</v>
      </c>
      <c r="D20146">
        <v>0.98307272605100005</v>
      </c>
      <c r="E20146">
        <v>19.416</v>
      </c>
    </row>
    <row r="20147" spans="1:5">
      <c r="A20147" t="s">
        <v>46329</v>
      </c>
      <c r="B20147" t="s">
        <v>13598</v>
      </c>
      <c r="C20147">
        <f>0.0406286299435</f>
        <v>4.06286299435E-2</v>
      </c>
      <c r="D20147">
        <v>0.98307272605100005</v>
      </c>
      <c r="E20147">
        <v>19.416</v>
      </c>
    </row>
    <row r="20148" spans="1:5">
      <c r="A20148" t="s">
        <v>46329</v>
      </c>
      <c r="B20148" t="s">
        <v>13608</v>
      </c>
      <c r="C20148">
        <v>0</v>
      </c>
      <c r="D20148">
        <v>0.98307272605100005</v>
      </c>
      <c r="E20148">
        <v>19.416</v>
      </c>
    </row>
    <row r="20149" spans="1:5">
      <c r="A20149" t="s">
        <v>46329</v>
      </c>
      <c r="B20149" t="s">
        <v>13606</v>
      </c>
      <c r="C20149">
        <v>0.91997641801800001</v>
      </c>
      <c r="D20149">
        <v>0.98307272605100005</v>
      </c>
      <c r="E20149">
        <v>19.416</v>
      </c>
    </row>
    <row r="20150" spans="1:5">
      <c r="A20150" t="s">
        <v>46329</v>
      </c>
      <c r="B20150" t="s">
        <v>13601</v>
      </c>
      <c r="C20150">
        <f>0</f>
        <v>0</v>
      </c>
      <c r="D20150">
        <v>0.98307272605100005</v>
      </c>
      <c r="E20150">
        <v>19.416</v>
      </c>
    </row>
    <row r="20151" spans="1:5">
      <c r="A20151" t="s">
        <v>46329</v>
      </c>
      <c r="B20151" t="s">
        <v>13596</v>
      </c>
      <c r="C20151">
        <f>0.233260688196</f>
        <v>0.23326068819599999</v>
      </c>
      <c r="D20151">
        <v>0.98307272605100005</v>
      </c>
      <c r="E20151">
        <v>19.416</v>
      </c>
    </row>
    <row r="20152" spans="1:5">
      <c r="A20152" t="s">
        <v>46329</v>
      </c>
      <c r="B20152" t="s">
        <v>13603</v>
      </c>
      <c r="C20152">
        <f>0</f>
        <v>0</v>
      </c>
      <c r="D20152">
        <v>0.98307272605100005</v>
      </c>
      <c r="E20152">
        <v>19.416</v>
      </c>
    </row>
    <row r="20153" spans="1:5">
      <c r="A20153" t="s">
        <v>46329</v>
      </c>
      <c r="B20153" t="s">
        <v>13607</v>
      </c>
      <c r="C20153">
        <v>0.26472590529899998</v>
      </c>
      <c r="D20153">
        <v>0.98307272605100005</v>
      </c>
      <c r="E20153">
        <v>19.416</v>
      </c>
    </row>
    <row r="20154" spans="1:5">
      <c r="A20154" t="s">
        <v>46330</v>
      </c>
      <c r="B20154" t="s">
        <v>22993</v>
      </c>
      <c r="C20154">
        <f>0</f>
        <v>0</v>
      </c>
      <c r="D20154">
        <v>0.97526088016400003</v>
      </c>
      <c r="E20154">
        <v>1.1160000000000001</v>
      </c>
    </row>
    <row r="20155" spans="1:5">
      <c r="A20155" t="s">
        <v>46330</v>
      </c>
      <c r="B20155" t="s">
        <v>22997</v>
      </c>
      <c r="C20155">
        <v>0.94965088016400001</v>
      </c>
      <c r="D20155">
        <v>0.97526088016400003</v>
      </c>
      <c r="E20155">
        <v>1.1160000000000001</v>
      </c>
    </row>
    <row r="20156" spans="1:5">
      <c r="A20156" t="s">
        <v>46331</v>
      </c>
      <c r="B20156" t="s">
        <v>4742</v>
      </c>
      <c r="C20156">
        <v>0.66243352371800002</v>
      </c>
      <c r="D20156">
        <v>0.98330075127100003</v>
      </c>
      <c r="E20156">
        <v>0</v>
      </c>
    </row>
    <row r="20157" spans="1:5">
      <c r="A20157" t="s">
        <v>46331</v>
      </c>
      <c r="B20157" t="s">
        <v>4750</v>
      </c>
      <c r="C20157">
        <f>0</f>
        <v>0</v>
      </c>
      <c r="D20157">
        <v>0.98330075127100003</v>
      </c>
      <c r="E20157">
        <v>0</v>
      </c>
    </row>
    <row r="20158" spans="1:5">
      <c r="A20158" t="s">
        <v>46331</v>
      </c>
      <c r="B20158" t="s">
        <v>4749</v>
      </c>
      <c r="C20158">
        <f>0.124786090461</f>
        <v>0.124786090461</v>
      </c>
      <c r="D20158">
        <v>0.98330075127100003</v>
      </c>
      <c r="E20158">
        <v>0</v>
      </c>
    </row>
    <row r="20159" spans="1:5">
      <c r="A20159" t="s">
        <v>46331</v>
      </c>
      <c r="B20159" t="s">
        <v>4754</v>
      </c>
      <c r="C20159">
        <v>0.51930526944699995</v>
      </c>
      <c r="D20159">
        <v>0.98330075127100003</v>
      </c>
      <c r="E20159">
        <v>0</v>
      </c>
    </row>
    <row r="20160" spans="1:5">
      <c r="A20160" t="s">
        <v>46332</v>
      </c>
      <c r="B20160" t="s">
        <v>29675</v>
      </c>
      <c r="C20160">
        <v>0.37795769048700001</v>
      </c>
      <c r="D20160">
        <v>0.88671165572800004</v>
      </c>
      <c r="E20160">
        <v>4.6920000000000002</v>
      </c>
    </row>
    <row r="20161" spans="1:5">
      <c r="A20161" t="s">
        <v>46332</v>
      </c>
      <c r="B20161" t="s">
        <v>29676</v>
      </c>
      <c r="C20161">
        <v>0.37730846550199998</v>
      </c>
      <c r="D20161">
        <v>0.88671165572800004</v>
      </c>
      <c r="E20161">
        <v>4.6920000000000002</v>
      </c>
    </row>
    <row r="20162" spans="1:5">
      <c r="A20162" t="s">
        <v>46333</v>
      </c>
      <c r="B20162" t="s">
        <v>4550</v>
      </c>
      <c r="C20162">
        <f>0</f>
        <v>0</v>
      </c>
      <c r="D20162" t="s">
        <v>106</v>
      </c>
      <c r="E20162">
        <v>18.347999999999999</v>
      </c>
    </row>
    <row r="20163" spans="1:5">
      <c r="A20163" t="s">
        <v>46333</v>
      </c>
      <c r="B20163" t="s">
        <v>4560</v>
      </c>
      <c r="C20163">
        <v>0</v>
      </c>
      <c r="D20163" t="s">
        <v>106</v>
      </c>
      <c r="E20163">
        <v>18.347999999999999</v>
      </c>
    </row>
    <row r="20164" spans="1:5">
      <c r="A20164" t="s">
        <v>46333</v>
      </c>
      <c r="B20164" t="s">
        <v>4561</v>
      </c>
      <c r="C20164">
        <v>0</v>
      </c>
      <c r="D20164" t="s">
        <v>106</v>
      </c>
      <c r="E20164">
        <v>18.347999999999999</v>
      </c>
    </row>
    <row r="20165" spans="1:5">
      <c r="A20165" t="s">
        <v>46333</v>
      </c>
      <c r="B20165" t="s">
        <v>4551</v>
      </c>
      <c r="C20165">
        <f>0</f>
        <v>0</v>
      </c>
      <c r="D20165" t="s">
        <v>106</v>
      </c>
      <c r="E20165">
        <v>18.347999999999999</v>
      </c>
    </row>
    <row r="20166" spans="1:5">
      <c r="A20166" t="s">
        <v>46333</v>
      </c>
      <c r="B20166" t="s">
        <v>4558</v>
      </c>
      <c r="C20166">
        <f>0</f>
        <v>0</v>
      </c>
      <c r="D20166" t="s">
        <v>106</v>
      </c>
      <c r="E20166">
        <v>18.347999999999999</v>
      </c>
    </row>
    <row r="20167" spans="1:5">
      <c r="A20167" t="s">
        <v>46333</v>
      </c>
      <c r="B20167" t="s">
        <v>4556</v>
      </c>
      <c r="C20167">
        <f>0</f>
        <v>0</v>
      </c>
      <c r="D20167" t="s">
        <v>106</v>
      </c>
      <c r="E20167">
        <v>18.347999999999999</v>
      </c>
    </row>
    <row r="20168" spans="1:5">
      <c r="A20168" t="s">
        <v>46333</v>
      </c>
      <c r="B20168" t="s">
        <v>4555</v>
      </c>
      <c r="C20168">
        <f>0</f>
        <v>0</v>
      </c>
      <c r="D20168" t="s">
        <v>106</v>
      </c>
      <c r="E20168">
        <v>18.347999999999999</v>
      </c>
    </row>
    <row r="20169" spans="1:5">
      <c r="A20169" t="s">
        <v>46333</v>
      </c>
      <c r="B20169" t="s">
        <v>4559</v>
      </c>
      <c r="C20169">
        <f>0</f>
        <v>0</v>
      </c>
      <c r="D20169" t="s">
        <v>106</v>
      </c>
      <c r="E20169">
        <v>18.347999999999999</v>
      </c>
    </row>
    <row r="20170" spans="1:5">
      <c r="A20170" t="s">
        <v>46333</v>
      </c>
      <c r="B20170" t="s">
        <v>4552</v>
      </c>
      <c r="C20170">
        <v>0</v>
      </c>
      <c r="D20170" t="s">
        <v>106</v>
      </c>
      <c r="E20170">
        <v>18.347999999999999</v>
      </c>
    </row>
    <row r="20171" spans="1:5">
      <c r="A20171" t="s">
        <v>46333</v>
      </c>
      <c r="B20171" t="s">
        <v>4549</v>
      </c>
      <c r="C20171">
        <v>0</v>
      </c>
      <c r="D20171" t="s">
        <v>106</v>
      </c>
      <c r="E20171">
        <v>18.347999999999999</v>
      </c>
    </row>
    <row r="20172" spans="1:5">
      <c r="A20172" t="s">
        <v>46333</v>
      </c>
      <c r="B20172" t="s">
        <v>4557</v>
      </c>
      <c r="C20172">
        <v>0</v>
      </c>
      <c r="D20172" t="s">
        <v>106</v>
      </c>
      <c r="E20172">
        <v>18.347999999999999</v>
      </c>
    </row>
    <row r="20173" spans="1:5">
      <c r="A20173" t="s">
        <v>46333</v>
      </c>
      <c r="B20173" t="s">
        <v>4554</v>
      </c>
      <c r="C20173">
        <f>0</f>
        <v>0</v>
      </c>
      <c r="D20173" t="s">
        <v>106</v>
      </c>
      <c r="E20173">
        <v>18.347999999999999</v>
      </c>
    </row>
    <row r="20174" spans="1:5">
      <c r="A20174" t="s">
        <v>46334</v>
      </c>
      <c r="B20174" t="s">
        <v>46335</v>
      </c>
      <c r="C20174">
        <v>1.00278235049E-2</v>
      </c>
      <c r="D20174">
        <v>0.94351455000700002</v>
      </c>
      <c r="E20174">
        <v>23.754000000000001</v>
      </c>
    </row>
    <row r="20175" spans="1:5">
      <c r="A20175" t="s">
        <v>46334</v>
      </c>
      <c r="B20175" t="s">
        <v>46336</v>
      </c>
      <c r="C20175">
        <v>1.69938534723</v>
      </c>
      <c r="D20175">
        <v>0.94351455000700002</v>
      </c>
      <c r="E20175">
        <v>23.754000000000001</v>
      </c>
    </row>
    <row r="20176" spans="1:5">
      <c r="A20176" t="s">
        <v>46334</v>
      </c>
      <c r="B20176" t="s">
        <v>46337</v>
      </c>
      <c r="C20176">
        <f>-1.26326507019</f>
        <v>-1.2632650701899999</v>
      </c>
      <c r="D20176">
        <v>0.94351455000700002</v>
      </c>
      <c r="E20176">
        <v>23.754000000000001</v>
      </c>
    </row>
    <row r="20177" spans="1:5">
      <c r="A20177" t="s">
        <v>46338</v>
      </c>
      <c r="B20177" t="s">
        <v>6585</v>
      </c>
      <c r="C20177">
        <v>0</v>
      </c>
      <c r="D20177">
        <v>0.999948491986</v>
      </c>
      <c r="E20177">
        <v>24</v>
      </c>
    </row>
    <row r="20178" spans="1:5">
      <c r="A20178" t="s">
        <v>46338</v>
      </c>
      <c r="B20178" t="s">
        <v>6587</v>
      </c>
      <c r="C20178">
        <v>0.29150887892299998</v>
      </c>
      <c r="D20178">
        <v>0.999948491986</v>
      </c>
      <c r="E20178">
        <v>24</v>
      </c>
    </row>
    <row r="20179" spans="1:5">
      <c r="A20179" t="s">
        <v>46338</v>
      </c>
      <c r="B20179" t="s">
        <v>6588</v>
      </c>
      <c r="C20179">
        <f>0.341970009398</f>
        <v>0.34197000939799999</v>
      </c>
      <c r="D20179">
        <v>0.999948491986</v>
      </c>
      <c r="E20179">
        <v>24</v>
      </c>
    </row>
    <row r="20180" spans="1:5">
      <c r="A20180" t="s">
        <v>46338</v>
      </c>
      <c r="B20180" t="s">
        <v>6580</v>
      </c>
      <c r="C20180">
        <f>0.782486026798</f>
        <v>0.78248602679799995</v>
      </c>
      <c r="D20180">
        <v>0.999948491986</v>
      </c>
      <c r="E20180">
        <v>24</v>
      </c>
    </row>
    <row r="20181" spans="1:5">
      <c r="A20181" t="s">
        <v>46338</v>
      </c>
      <c r="B20181" t="s">
        <v>6584</v>
      </c>
      <c r="C20181">
        <v>1.0784909777</v>
      </c>
      <c r="D20181">
        <v>0.999948491986</v>
      </c>
      <c r="E20181">
        <v>24</v>
      </c>
    </row>
    <row r="20182" spans="1:5">
      <c r="A20182" t="s">
        <v>46338</v>
      </c>
      <c r="B20182" t="s">
        <v>6581</v>
      </c>
      <c r="C20182">
        <v>0.34832416187800003</v>
      </c>
      <c r="D20182">
        <v>0.999948491986</v>
      </c>
      <c r="E20182">
        <v>24</v>
      </c>
    </row>
    <row r="20183" spans="1:5">
      <c r="A20183" t="s">
        <v>46338</v>
      </c>
      <c r="B20183" t="s">
        <v>6583</v>
      </c>
      <c r="C20183">
        <v>0.141493760419</v>
      </c>
      <c r="D20183">
        <v>0.999948491986</v>
      </c>
      <c r="E20183">
        <v>24</v>
      </c>
    </row>
    <row r="20184" spans="1:5">
      <c r="A20184" t="s">
        <v>46338</v>
      </c>
      <c r="B20184" t="s">
        <v>6582</v>
      </c>
      <c r="C20184">
        <v>0.89353758570700004</v>
      </c>
      <c r="D20184">
        <v>0.999948491986</v>
      </c>
      <c r="E20184">
        <v>24</v>
      </c>
    </row>
    <row r="20185" spans="1:5">
      <c r="A20185" t="s">
        <v>46338</v>
      </c>
      <c r="B20185" t="s">
        <v>6586</v>
      </c>
      <c r="C20185">
        <v>4.7393295957600001E-2</v>
      </c>
      <c r="D20185">
        <v>0.999948491986</v>
      </c>
      <c r="E20185">
        <v>24</v>
      </c>
    </row>
    <row r="20186" spans="1:5">
      <c r="A20186" t="s">
        <v>46339</v>
      </c>
      <c r="B20186" t="s">
        <v>46340</v>
      </c>
      <c r="C20186">
        <v>0</v>
      </c>
      <c r="D20186">
        <v>0.54044402613099995</v>
      </c>
      <c r="E20186">
        <v>19.853999999999999</v>
      </c>
    </row>
    <row r="20187" spans="1:5">
      <c r="A20187" t="s">
        <v>46339</v>
      </c>
      <c r="B20187" t="s">
        <v>46341</v>
      </c>
      <c r="C20187">
        <f>0.270034026131</f>
        <v>0.27003402613100003</v>
      </c>
      <c r="D20187">
        <v>0.54044402613099995</v>
      </c>
      <c r="E20187">
        <v>19.853999999999999</v>
      </c>
    </row>
    <row r="20188" spans="1:5">
      <c r="A20188" t="s">
        <v>46339</v>
      </c>
      <c r="B20188" t="s">
        <v>46342</v>
      </c>
      <c r="C20188">
        <v>0</v>
      </c>
      <c r="D20188">
        <v>0.54044402613099995</v>
      </c>
      <c r="E20188">
        <v>19.853999999999999</v>
      </c>
    </row>
    <row r="20189" spans="1:5">
      <c r="A20189" t="s">
        <v>46339</v>
      </c>
      <c r="B20189" t="s">
        <v>46343</v>
      </c>
      <c r="C20189">
        <v>0</v>
      </c>
      <c r="D20189">
        <v>0.54044402613099995</v>
      </c>
      <c r="E20189">
        <v>19.853999999999999</v>
      </c>
    </row>
    <row r="20190" spans="1:5">
      <c r="A20190" t="s">
        <v>46339</v>
      </c>
      <c r="B20190" t="s">
        <v>46344</v>
      </c>
      <c r="C20190">
        <f>0</f>
        <v>0</v>
      </c>
      <c r="D20190">
        <v>0.54044402613099995</v>
      </c>
      <c r="E20190">
        <v>19.853999999999999</v>
      </c>
    </row>
    <row r="20191" spans="1:5">
      <c r="A20191" t="s">
        <v>46345</v>
      </c>
      <c r="B20191" t="s">
        <v>4943</v>
      </c>
      <c r="C20191">
        <f>0</f>
        <v>0</v>
      </c>
      <c r="D20191" t="s">
        <v>106</v>
      </c>
      <c r="E20191">
        <v>24</v>
      </c>
    </row>
    <row r="20192" spans="1:5">
      <c r="A20192" t="s">
        <v>46345</v>
      </c>
      <c r="B20192" t="s">
        <v>4948</v>
      </c>
      <c r="C20192">
        <f>0</f>
        <v>0</v>
      </c>
      <c r="D20192" t="s">
        <v>106</v>
      </c>
      <c r="E20192">
        <v>24</v>
      </c>
    </row>
    <row r="20193" spans="1:5">
      <c r="A20193" t="s">
        <v>46345</v>
      </c>
      <c r="B20193" t="s">
        <v>4946</v>
      </c>
      <c r="C20193">
        <f>0</f>
        <v>0</v>
      </c>
      <c r="D20193" t="s">
        <v>106</v>
      </c>
      <c r="E20193">
        <v>24</v>
      </c>
    </row>
    <row r="20194" spans="1:5">
      <c r="A20194" t="s">
        <v>46345</v>
      </c>
      <c r="B20194" t="s">
        <v>4944</v>
      </c>
      <c r="C20194">
        <f>0</f>
        <v>0</v>
      </c>
      <c r="D20194" t="s">
        <v>106</v>
      </c>
      <c r="E20194">
        <v>24</v>
      </c>
    </row>
    <row r="20195" spans="1:5">
      <c r="A20195" t="s">
        <v>46345</v>
      </c>
      <c r="B20195" t="s">
        <v>4945</v>
      </c>
      <c r="C20195">
        <f>0</f>
        <v>0</v>
      </c>
      <c r="D20195" t="s">
        <v>106</v>
      </c>
      <c r="E20195">
        <v>24</v>
      </c>
    </row>
    <row r="20196" spans="1:5">
      <c r="A20196" t="s">
        <v>46346</v>
      </c>
      <c r="B20196" t="s">
        <v>46347</v>
      </c>
      <c r="C20196">
        <v>0</v>
      </c>
      <c r="D20196">
        <v>0.99999717988500003</v>
      </c>
      <c r="E20196">
        <v>0.10199999999999999</v>
      </c>
    </row>
    <row r="20197" spans="1:5">
      <c r="A20197" t="s">
        <v>46346</v>
      </c>
      <c r="B20197" t="s">
        <v>46348</v>
      </c>
      <c r="C20197">
        <f>0.116613943791</f>
        <v>0.116613943791</v>
      </c>
      <c r="D20197">
        <v>0.99999717988500003</v>
      </c>
      <c r="E20197">
        <v>0.10199999999999999</v>
      </c>
    </row>
    <row r="20198" spans="1:5">
      <c r="A20198" t="s">
        <v>46346</v>
      </c>
      <c r="B20198" t="s">
        <v>46349</v>
      </c>
      <c r="C20198">
        <f>0.318473872558</f>
        <v>0.31847387255800003</v>
      </c>
      <c r="D20198">
        <v>0.99999717988500003</v>
      </c>
      <c r="E20198">
        <v>0.10199999999999999</v>
      </c>
    </row>
    <row r="20199" spans="1:5">
      <c r="A20199" t="s">
        <v>46346</v>
      </c>
      <c r="B20199" t="s">
        <v>46350</v>
      </c>
      <c r="C20199">
        <v>0</v>
      </c>
      <c r="D20199">
        <v>0.99999717988500003</v>
      </c>
      <c r="E20199">
        <v>0.10199999999999999</v>
      </c>
    </row>
    <row r="20200" spans="1:5">
      <c r="A20200" t="s">
        <v>46346</v>
      </c>
      <c r="B20200" t="s">
        <v>46351</v>
      </c>
      <c r="C20200">
        <v>0.38161905873800001</v>
      </c>
      <c r="D20200">
        <v>0.99999717988500003</v>
      </c>
      <c r="E20200">
        <v>0.10199999999999999</v>
      </c>
    </row>
    <row r="20201" spans="1:5">
      <c r="A20201" t="s">
        <v>46346</v>
      </c>
      <c r="B20201" t="s">
        <v>46352</v>
      </c>
      <c r="C20201">
        <v>0.22777099268000001</v>
      </c>
      <c r="D20201">
        <v>0.99999717988500003</v>
      </c>
      <c r="E20201">
        <v>0.10199999999999999</v>
      </c>
    </row>
    <row r="20202" spans="1:5">
      <c r="A20202" t="s">
        <v>46346</v>
      </c>
      <c r="B20202" t="s">
        <v>46353</v>
      </c>
      <c r="C20202">
        <f>0</f>
        <v>0</v>
      </c>
      <c r="D20202">
        <v>0.99999717988500003</v>
      </c>
      <c r="E20202">
        <v>0.10199999999999999</v>
      </c>
    </row>
    <row r="20203" spans="1:5">
      <c r="A20203" t="s">
        <v>46346</v>
      </c>
      <c r="B20203" t="s">
        <v>46354</v>
      </c>
      <c r="C20203">
        <v>0.14560797248900001</v>
      </c>
      <c r="D20203">
        <v>0.99999717988500003</v>
      </c>
      <c r="E20203">
        <v>0.10199999999999999</v>
      </c>
    </row>
    <row r="20204" spans="1:5">
      <c r="A20204" t="s">
        <v>46346</v>
      </c>
      <c r="B20204" t="s">
        <v>46355</v>
      </c>
      <c r="C20204">
        <v>0.28671654100499999</v>
      </c>
      <c r="D20204">
        <v>0.99999717988500003</v>
      </c>
      <c r="E20204">
        <v>0.10199999999999999</v>
      </c>
    </row>
    <row r="20205" spans="1:5">
      <c r="A20205" t="s">
        <v>46346</v>
      </c>
      <c r="B20205" t="s">
        <v>46356</v>
      </c>
      <c r="C20205">
        <v>0.16473581923700001</v>
      </c>
      <c r="D20205">
        <v>0.99999717988500003</v>
      </c>
      <c r="E20205">
        <v>0.10199999999999999</v>
      </c>
    </row>
    <row r="20206" spans="1:5">
      <c r="A20206" t="s">
        <v>46346</v>
      </c>
      <c r="B20206" t="s">
        <v>46357</v>
      </c>
      <c r="C20206">
        <v>0.41906481931</v>
      </c>
      <c r="D20206">
        <v>0.99999717988500003</v>
      </c>
      <c r="E20206">
        <v>0.10199999999999999</v>
      </c>
    </row>
    <row r="20207" spans="1:5">
      <c r="A20207" t="s">
        <v>46358</v>
      </c>
      <c r="B20207" t="s">
        <v>46359</v>
      </c>
      <c r="C20207">
        <v>0.71783313812799998</v>
      </c>
      <c r="D20207">
        <v>0.72447422256899996</v>
      </c>
      <c r="E20207">
        <v>0</v>
      </c>
    </row>
    <row r="20208" spans="1:5">
      <c r="A20208" t="s">
        <v>46358</v>
      </c>
      <c r="B20208" t="s">
        <v>46360</v>
      </c>
      <c r="C20208">
        <v>0.63477714020499998</v>
      </c>
      <c r="D20208">
        <v>0.72447422256899996</v>
      </c>
      <c r="E20208">
        <v>0</v>
      </c>
    </row>
    <row r="20209" spans="1:5">
      <c r="A20209" t="s">
        <v>46361</v>
      </c>
      <c r="B20209" t="s">
        <v>46362</v>
      </c>
      <c r="C20209">
        <f>-1.1919704904</f>
        <v>-1.1919704903999999</v>
      </c>
      <c r="D20209">
        <v>0.993391357734</v>
      </c>
      <c r="E20209">
        <v>1.3919999999999999</v>
      </c>
    </row>
    <row r="20210" spans="1:5">
      <c r="A20210" t="s">
        <v>46361</v>
      </c>
      <c r="B20210" t="s">
        <v>46363</v>
      </c>
      <c r="C20210">
        <v>0.27159282823000003</v>
      </c>
      <c r="D20210">
        <v>0.993391357734</v>
      </c>
      <c r="E20210">
        <v>1.3919999999999999</v>
      </c>
    </row>
    <row r="20211" spans="1:5">
      <c r="A20211" t="s">
        <v>46361</v>
      </c>
      <c r="B20211" t="s">
        <v>46364</v>
      </c>
      <c r="C20211">
        <v>0.14621256242200001</v>
      </c>
      <c r="D20211">
        <v>0.993391357734</v>
      </c>
      <c r="E20211">
        <v>1.3919999999999999</v>
      </c>
    </row>
    <row r="20212" spans="1:5">
      <c r="A20212" t="s">
        <v>46361</v>
      </c>
      <c r="B20212" t="s">
        <v>46365</v>
      </c>
      <c r="C20212">
        <f>0.0861761398293</f>
        <v>8.6176139829300002E-2</v>
      </c>
      <c r="D20212">
        <v>0.993391357734</v>
      </c>
      <c r="E20212">
        <v>1.3919999999999999</v>
      </c>
    </row>
    <row r="20213" spans="1:5">
      <c r="A20213" t="s">
        <v>46361</v>
      </c>
      <c r="B20213" t="s">
        <v>46366</v>
      </c>
      <c r="C20213">
        <v>0.56543142956199999</v>
      </c>
      <c r="D20213">
        <v>0.993391357734</v>
      </c>
      <c r="E20213">
        <v>1.3919999999999999</v>
      </c>
    </row>
    <row r="20214" spans="1:5">
      <c r="A20214" t="s">
        <v>46361</v>
      </c>
      <c r="B20214" t="s">
        <v>46367</v>
      </c>
      <c r="C20214">
        <v>0.46146084565099998</v>
      </c>
      <c r="D20214">
        <v>0.993391357734</v>
      </c>
      <c r="E20214">
        <v>1.3919999999999999</v>
      </c>
    </row>
    <row r="20215" spans="1:5">
      <c r="A20215" t="s">
        <v>46368</v>
      </c>
      <c r="B20215" t="s">
        <v>46369</v>
      </c>
      <c r="C20215">
        <f>0</f>
        <v>0</v>
      </c>
      <c r="D20215">
        <v>0.91186662827700005</v>
      </c>
      <c r="E20215">
        <v>0</v>
      </c>
    </row>
    <row r="20216" spans="1:5">
      <c r="A20216" t="s">
        <v>46368</v>
      </c>
      <c r="B20216" t="s">
        <v>46370</v>
      </c>
      <c r="C20216">
        <f>0</f>
        <v>0</v>
      </c>
      <c r="D20216">
        <v>0.91186662827700005</v>
      </c>
      <c r="E20216">
        <v>0</v>
      </c>
    </row>
    <row r="20217" spans="1:5">
      <c r="A20217" t="s">
        <v>46368</v>
      </c>
      <c r="B20217" t="s">
        <v>46371</v>
      </c>
      <c r="C20217">
        <f>0.0811587600872</f>
        <v>8.1158760087199994E-2</v>
      </c>
      <c r="D20217">
        <v>0.91186662827700005</v>
      </c>
      <c r="E20217">
        <v>0</v>
      </c>
    </row>
    <row r="20218" spans="1:5">
      <c r="A20218" t="s">
        <v>46368</v>
      </c>
      <c r="B20218" t="s">
        <v>46372</v>
      </c>
      <c r="C20218">
        <f>0</f>
        <v>0</v>
      </c>
      <c r="D20218">
        <v>0.91186662827700005</v>
      </c>
      <c r="E20218">
        <v>0</v>
      </c>
    </row>
    <row r="20219" spans="1:5">
      <c r="A20219" t="s">
        <v>46368</v>
      </c>
      <c r="B20219" t="s">
        <v>46373</v>
      </c>
      <c r="C20219">
        <f>0</f>
        <v>0</v>
      </c>
      <c r="D20219">
        <v>0.91186662827700005</v>
      </c>
      <c r="E20219">
        <v>0</v>
      </c>
    </row>
    <row r="20220" spans="1:5">
      <c r="A20220" t="s">
        <v>46368</v>
      </c>
      <c r="B20220" t="s">
        <v>46374</v>
      </c>
      <c r="C20220">
        <v>0</v>
      </c>
      <c r="D20220">
        <v>0.91186662827700005</v>
      </c>
      <c r="E20220">
        <v>0</v>
      </c>
    </row>
    <row r="20221" spans="1:5">
      <c r="A20221" t="s">
        <v>46368</v>
      </c>
      <c r="B20221" t="s">
        <v>46375</v>
      </c>
      <c r="C20221">
        <f>0</f>
        <v>0</v>
      </c>
      <c r="D20221">
        <v>0.91186662827700005</v>
      </c>
      <c r="E20221">
        <v>0</v>
      </c>
    </row>
    <row r="20222" spans="1:5">
      <c r="A20222" t="s">
        <v>46368</v>
      </c>
      <c r="B20222" t="s">
        <v>46376</v>
      </c>
      <c r="C20222">
        <f>0</f>
        <v>0</v>
      </c>
      <c r="D20222">
        <v>0.91186662827700005</v>
      </c>
      <c r="E20222">
        <v>0</v>
      </c>
    </row>
    <row r="20223" spans="1:5">
      <c r="A20223" t="s">
        <v>46368</v>
      </c>
      <c r="B20223" t="s">
        <v>46377</v>
      </c>
      <c r="C20223">
        <f>0.588571575926</f>
        <v>0.58857157592599996</v>
      </c>
      <c r="D20223">
        <v>0.91186662827700005</v>
      </c>
      <c r="E20223">
        <v>0</v>
      </c>
    </row>
    <row r="20224" spans="1:5">
      <c r="A20224" t="s">
        <v>46368</v>
      </c>
      <c r="B20224" t="s">
        <v>46378</v>
      </c>
      <c r="C20224">
        <f>0</f>
        <v>0</v>
      </c>
      <c r="D20224">
        <v>0.91186662827700005</v>
      </c>
      <c r="E20224">
        <v>0</v>
      </c>
    </row>
    <row r="20225" spans="1:5">
      <c r="A20225" t="s">
        <v>46368</v>
      </c>
      <c r="B20225" t="s">
        <v>46379</v>
      </c>
      <c r="C20225">
        <v>0</v>
      </c>
      <c r="D20225">
        <v>0.91186662827700005</v>
      </c>
      <c r="E20225">
        <v>0</v>
      </c>
    </row>
    <row r="20226" spans="1:5">
      <c r="A20226" t="s">
        <v>46368</v>
      </c>
      <c r="B20226" t="s">
        <v>46380</v>
      </c>
      <c r="C20226">
        <f>0.283262253107</f>
        <v>0.28326225310699998</v>
      </c>
      <c r="D20226">
        <v>0.91186662827700005</v>
      </c>
      <c r="E20226">
        <v>0</v>
      </c>
    </row>
    <row r="20227" spans="1:5">
      <c r="A20227" t="s">
        <v>46381</v>
      </c>
      <c r="B20227" t="s">
        <v>33059</v>
      </c>
      <c r="C20227">
        <f>0.770940724196</f>
        <v>0.77094072419600002</v>
      </c>
      <c r="D20227">
        <v>0.70744398340400005</v>
      </c>
      <c r="E20227">
        <v>23.754000000000001</v>
      </c>
    </row>
    <row r="20228" spans="1:5">
      <c r="A20228" t="s">
        <v>46381</v>
      </c>
      <c r="B20228" t="s">
        <v>33056</v>
      </c>
      <c r="C20228">
        <v>0.36130984685299999</v>
      </c>
      <c r="D20228">
        <v>0.70744398340400005</v>
      </c>
      <c r="E20228">
        <v>23.754000000000001</v>
      </c>
    </row>
    <row r="20229" spans="1:5">
      <c r="A20229" t="s">
        <v>46381</v>
      </c>
      <c r="B20229" t="s">
        <v>33058</v>
      </c>
      <c r="C20229">
        <v>0.29266576249499998</v>
      </c>
      <c r="D20229">
        <v>0.70744398340400005</v>
      </c>
      <c r="E20229">
        <v>23.754000000000001</v>
      </c>
    </row>
    <row r="20230" spans="1:5">
      <c r="A20230" t="s">
        <v>46382</v>
      </c>
      <c r="B20230" t="s">
        <v>32245</v>
      </c>
      <c r="C20230">
        <v>0</v>
      </c>
      <c r="D20230" t="s">
        <v>106</v>
      </c>
      <c r="E20230">
        <v>12.917999999999999</v>
      </c>
    </row>
    <row r="20231" spans="1:5">
      <c r="A20231" t="s">
        <v>46382</v>
      </c>
      <c r="B20231" t="s">
        <v>32234</v>
      </c>
      <c r="C20231">
        <f>0</f>
        <v>0</v>
      </c>
      <c r="D20231" t="s">
        <v>106</v>
      </c>
      <c r="E20231">
        <v>12.917999999999999</v>
      </c>
    </row>
    <row r="20232" spans="1:5">
      <c r="A20232" t="s">
        <v>46382</v>
      </c>
      <c r="B20232" t="s">
        <v>32240</v>
      </c>
      <c r="C20232">
        <v>0</v>
      </c>
      <c r="D20232" t="s">
        <v>106</v>
      </c>
      <c r="E20232">
        <v>12.917999999999999</v>
      </c>
    </row>
    <row r="20233" spans="1:5">
      <c r="A20233" t="s">
        <v>46382</v>
      </c>
      <c r="B20233" t="s">
        <v>32238</v>
      </c>
      <c r="C20233">
        <v>0</v>
      </c>
      <c r="D20233" t="s">
        <v>106</v>
      </c>
      <c r="E20233">
        <v>12.917999999999999</v>
      </c>
    </row>
    <row r="20234" spans="1:5">
      <c r="A20234" t="s">
        <v>46382</v>
      </c>
      <c r="B20234" t="s">
        <v>32235</v>
      </c>
      <c r="C20234">
        <f>0</f>
        <v>0</v>
      </c>
      <c r="D20234" t="s">
        <v>106</v>
      </c>
      <c r="E20234">
        <v>12.917999999999999</v>
      </c>
    </row>
    <row r="20235" spans="1:5">
      <c r="A20235" t="s">
        <v>46382</v>
      </c>
      <c r="B20235" t="s">
        <v>32239</v>
      </c>
      <c r="C20235">
        <v>0</v>
      </c>
      <c r="D20235" t="s">
        <v>106</v>
      </c>
      <c r="E20235">
        <v>12.917999999999999</v>
      </c>
    </row>
    <row r="20236" spans="1:5">
      <c r="A20236" t="s">
        <v>46382</v>
      </c>
      <c r="B20236" t="s">
        <v>32237</v>
      </c>
      <c r="C20236">
        <f>0</f>
        <v>0</v>
      </c>
      <c r="D20236" t="s">
        <v>106</v>
      </c>
      <c r="E20236">
        <v>12.917999999999999</v>
      </c>
    </row>
    <row r="20237" spans="1:5">
      <c r="A20237" t="s">
        <v>46382</v>
      </c>
      <c r="B20237" t="s">
        <v>32244</v>
      </c>
      <c r="C20237">
        <v>0</v>
      </c>
      <c r="D20237" t="s">
        <v>106</v>
      </c>
      <c r="E20237">
        <v>12.917999999999999</v>
      </c>
    </row>
    <row r="20238" spans="1:5">
      <c r="A20238" t="s">
        <v>46382</v>
      </c>
      <c r="B20238" t="s">
        <v>32247</v>
      </c>
      <c r="C20238">
        <f>0</f>
        <v>0</v>
      </c>
      <c r="D20238" t="s">
        <v>106</v>
      </c>
      <c r="E20238">
        <v>12.917999999999999</v>
      </c>
    </row>
    <row r="20239" spans="1:5">
      <c r="A20239" t="s">
        <v>46382</v>
      </c>
      <c r="B20239" t="s">
        <v>32248</v>
      </c>
      <c r="C20239">
        <v>0</v>
      </c>
      <c r="D20239" t="s">
        <v>106</v>
      </c>
      <c r="E20239">
        <v>12.917999999999999</v>
      </c>
    </row>
    <row r="20240" spans="1:5">
      <c r="A20240" t="s">
        <v>46383</v>
      </c>
      <c r="B20240" t="s">
        <v>2315</v>
      </c>
      <c r="C20240">
        <v>0</v>
      </c>
      <c r="D20240">
        <v>0.75736658372900001</v>
      </c>
      <c r="E20240">
        <v>24</v>
      </c>
    </row>
    <row r="20241" spans="1:5">
      <c r="A20241" t="s">
        <v>46383</v>
      </c>
      <c r="B20241" t="s">
        <v>2316</v>
      </c>
      <c r="C20241">
        <v>0</v>
      </c>
      <c r="D20241">
        <v>0.75736658372900001</v>
      </c>
      <c r="E20241">
        <v>24</v>
      </c>
    </row>
    <row r="20242" spans="1:5">
      <c r="A20242" t="s">
        <v>46383</v>
      </c>
      <c r="B20242" t="s">
        <v>2317</v>
      </c>
      <c r="C20242">
        <v>0.34775658372899998</v>
      </c>
      <c r="D20242">
        <v>0.75736658372900001</v>
      </c>
      <c r="E20242">
        <v>24</v>
      </c>
    </row>
    <row r="20243" spans="1:5">
      <c r="A20243" t="s">
        <v>46383</v>
      </c>
      <c r="B20243" t="s">
        <v>2320</v>
      </c>
      <c r="C20243">
        <v>0</v>
      </c>
      <c r="D20243">
        <v>0.75736658372900001</v>
      </c>
      <c r="E20243">
        <v>24</v>
      </c>
    </row>
    <row r="20244" spans="1:5">
      <c r="A20244" t="s">
        <v>46383</v>
      </c>
      <c r="B20244" t="s">
        <v>2318</v>
      </c>
      <c r="C20244">
        <v>0</v>
      </c>
      <c r="D20244">
        <v>0.75736658372900001</v>
      </c>
      <c r="E20244">
        <v>24</v>
      </c>
    </row>
    <row r="20245" spans="1:5">
      <c r="A20245" t="s">
        <v>46384</v>
      </c>
      <c r="B20245" t="s">
        <v>46385</v>
      </c>
      <c r="C20245">
        <v>0.59498435923500004</v>
      </c>
      <c r="D20245">
        <v>0.98955123401400003</v>
      </c>
      <c r="E20245">
        <v>1.224</v>
      </c>
    </row>
    <row r="20246" spans="1:5">
      <c r="A20246" t="s">
        <v>46384</v>
      </c>
      <c r="B20246" t="s">
        <v>46386</v>
      </c>
      <c r="C20246">
        <v>0</v>
      </c>
      <c r="D20246">
        <v>0.98955123401400003</v>
      </c>
      <c r="E20246">
        <v>1.224</v>
      </c>
    </row>
    <row r="20247" spans="1:5">
      <c r="A20247" t="s">
        <v>46384</v>
      </c>
      <c r="B20247" t="s">
        <v>46387</v>
      </c>
      <c r="C20247">
        <v>0.65561203688299996</v>
      </c>
      <c r="D20247">
        <v>0.98955123401400003</v>
      </c>
      <c r="E20247">
        <v>1.224</v>
      </c>
    </row>
    <row r="20248" spans="1:5">
      <c r="A20248" t="s">
        <v>46384</v>
      </c>
      <c r="B20248" t="s">
        <v>46388</v>
      </c>
      <c r="C20248">
        <v>0.74239387214300001</v>
      </c>
      <c r="D20248">
        <v>0.98955123401400003</v>
      </c>
      <c r="E20248">
        <v>1.224</v>
      </c>
    </row>
    <row r="20249" spans="1:5">
      <c r="A20249" t="s">
        <v>46389</v>
      </c>
      <c r="B20249" t="s">
        <v>14316</v>
      </c>
      <c r="C20249">
        <f>0</f>
        <v>0</v>
      </c>
      <c r="D20249" t="s">
        <v>106</v>
      </c>
      <c r="E20249">
        <v>8.01</v>
      </c>
    </row>
    <row r="20250" spans="1:5">
      <c r="A20250" t="s">
        <v>46389</v>
      </c>
      <c r="B20250" t="s">
        <v>14321</v>
      </c>
      <c r="C20250">
        <f>0</f>
        <v>0</v>
      </c>
      <c r="D20250" t="s">
        <v>106</v>
      </c>
      <c r="E20250">
        <v>8.01</v>
      </c>
    </row>
    <row r="20251" spans="1:5">
      <c r="A20251" t="s">
        <v>46389</v>
      </c>
      <c r="B20251" t="s">
        <v>14317</v>
      </c>
      <c r="C20251">
        <v>0</v>
      </c>
      <c r="D20251" t="s">
        <v>106</v>
      </c>
      <c r="E20251">
        <v>8.01</v>
      </c>
    </row>
    <row r="20252" spans="1:5">
      <c r="A20252" t="s">
        <v>46389</v>
      </c>
      <c r="B20252" t="s">
        <v>14323</v>
      </c>
      <c r="C20252">
        <v>0</v>
      </c>
      <c r="D20252" t="s">
        <v>106</v>
      </c>
      <c r="E20252">
        <v>8.01</v>
      </c>
    </row>
    <row r="20253" spans="1:5">
      <c r="A20253" t="s">
        <v>46389</v>
      </c>
      <c r="B20253" t="s">
        <v>14318</v>
      </c>
      <c r="C20253">
        <v>0</v>
      </c>
      <c r="D20253" t="s">
        <v>106</v>
      </c>
      <c r="E20253">
        <v>8.01</v>
      </c>
    </row>
    <row r="20254" spans="1:5">
      <c r="A20254" t="s">
        <v>46389</v>
      </c>
      <c r="B20254" t="s">
        <v>14320</v>
      </c>
      <c r="C20254">
        <v>0</v>
      </c>
      <c r="D20254" t="s">
        <v>106</v>
      </c>
      <c r="E20254">
        <v>8.01</v>
      </c>
    </row>
    <row r="20255" spans="1:5">
      <c r="A20255" t="s">
        <v>46389</v>
      </c>
      <c r="B20255" t="s">
        <v>14322</v>
      </c>
      <c r="C20255">
        <v>0</v>
      </c>
      <c r="D20255" t="s">
        <v>106</v>
      </c>
      <c r="E20255">
        <v>8.01</v>
      </c>
    </row>
    <row r="20256" spans="1:5">
      <c r="A20256" t="s">
        <v>46389</v>
      </c>
      <c r="B20256" t="s">
        <v>14319</v>
      </c>
      <c r="C20256">
        <v>0</v>
      </c>
      <c r="D20256" t="s">
        <v>106</v>
      </c>
      <c r="E20256">
        <v>8.01</v>
      </c>
    </row>
    <row r="20257" spans="1:5">
      <c r="A20257" t="s">
        <v>46390</v>
      </c>
      <c r="B20257" t="s">
        <v>46391</v>
      </c>
      <c r="C20257">
        <v>0</v>
      </c>
      <c r="D20257" t="s">
        <v>106</v>
      </c>
      <c r="E20257">
        <v>9.1679999999999993</v>
      </c>
    </row>
    <row r="20258" spans="1:5">
      <c r="A20258" t="s">
        <v>46390</v>
      </c>
      <c r="B20258" t="s">
        <v>46392</v>
      </c>
      <c r="C20258">
        <f>0</f>
        <v>0</v>
      </c>
      <c r="D20258" t="s">
        <v>106</v>
      </c>
      <c r="E20258">
        <v>9.1679999999999993</v>
      </c>
    </row>
    <row r="20259" spans="1:5">
      <c r="A20259" t="s">
        <v>46390</v>
      </c>
      <c r="B20259" t="s">
        <v>46393</v>
      </c>
      <c r="C20259">
        <v>0</v>
      </c>
      <c r="D20259" t="s">
        <v>106</v>
      </c>
      <c r="E20259">
        <v>9.1679999999999993</v>
      </c>
    </row>
    <row r="20260" spans="1:5">
      <c r="A20260" t="s">
        <v>46394</v>
      </c>
      <c r="B20260" t="s">
        <v>6864</v>
      </c>
      <c r="C20260">
        <f>0.594169917254</f>
        <v>0.59416991725400004</v>
      </c>
      <c r="D20260">
        <v>0.99863366841300005</v>
      </c>
      <c r="E20260">
        <v>10.878</v>
      </c>
    </row>
    <row r="20261" spans="1:5">
      <c r="A20261" t="s">
        <v>46394</v>
      </c>
      <c r="B20261" t="s">
        <v>6868</v>
      </c>
      <c r="C20261">
        <v>0.25428063975699999</v>
      </c>
      <c r="D20261">
        <v>0.99863366841300005</v>
      </c>
      <c r="E20261">
        <v>10.878</v>
      </c>
    </row>
    <row r="20262" spans="1:5">
      <c r="A20262" t="s">
        <v>46394</v>
      </c>
      <c r="B20262" t="s">
        <v>6871</v>
      </c>
      <c r="C20262">
        <v>0.32939437036199998</v>
      </c>
      <c r="D20262">
        <v>0.99863366841300005</v>
      </c>
      <c r="E20262">
        <v>10.878</v>
      </c>
    </row>
    <row r="20263" spans="1:5">
      <c r="A20263" t="s">
        <v>46394</v>
      </c>
      <c r="B20263" t="s">
        <v>6869</v>
      </c>
      <c r="C20263">
        <f>0</f>
        <v>0</v>
      </c>
      <c r="D20263">
        <v>0.99863366841300005</v>
      </c>
      <c r="E20263">
        <v>10.878</v>
      </c>
    </row>
    <row r="20264" spans="1:5">
      <c r="A20264" t="s">
        <v>46394</v>
      </c>
      <c r="B20264" t="s">
        <v>6866</v>
      </c>
      <c r="C20264">
        <v>0.38622801093300002</v>
      </c>
      <c r="D20264">
        <v>0.99863366841300005</v>
      </c>
      <c r="E20264">
        <v>10.878</v>
      </c>
    </row>
    <row r="20265" spans="1:5">
      <c r="A20265" t="s">
        <v>46394</v>
      </c>
      <c r="B20265" t="s">
        <v>6862</v>
      </c>
      <c r="C20265">
        <f>0.348330076811</f>
        <v>0.34833007681099998</v>
      </c>
      <c r="D20265">
        <v>0.99863366841300005</v>
      </c>
      <c r="E20265">
        <v>10.878</v>
      </c>
    </row>
    <row r="20266" spans="1:5">
      <c r="A20266" t="s">
        <v>46395</v>
      </c>
      <c r="B20266" t="s">
        <v>33528</v>
      </c>
      <c r="C20266">
        <f>0</f>
        <v>0</v>
      </c>
      <c r="D20266">
        <v>0.44603507855800001</v>
      </c>
      <c r="E20266">
        <v>7.8719999999999999</v>
      </c>
    </row>
    <row r="20267" spans="1:5">
      <c r="A20267" t="s">
        <v>46395</v>
      </c>
      <c r="B20267" t="s">
        <v>33526</v>
      </c>
      <c r="C20267">
        <v>0</v>
      </c>
      <c r="D20267">
        <v>0.44603507855800001</v>
      </c>
      <c r="E20267">
        <v>7.8719999999999999</v>
      </c>
    </row>
    <row r="20268" spans="1:5">
      <c r="A20268" t="s">
        <v>46395</v>
      </c>
      <c r="B20268" t="s">
        <v>33529</v>
      </c>
      <c r="C20268">
        <v>0.252425078558</v>
      </c>
      <c r="D20268">
        <v>0.44603507855800001</v>
      </c>
      <c r="E20268">
        <v>7.8719999999999999</v>
      </c>
    </row>
    <row r="20269" spans="1:5">
      <c r="A20269" t="s">
        <v>46396</v>
      </c>
      <c r="B20269" t="s">
        <v>46397</v>
      </c>
      <c r="C20269">
        <f>0</f>
        <v>0</v>
      </c>
      <c r="D20269" t="s">
        <v>106</v>
      </c>
      <c r="E20269">
        <v>24</v>
      </c>
    </row>
    <row r="20270" spans="1:5">
      <c r="A20270" t="s">
        <v>46396</v>
      </c>
      <c r="B20270" t="s">
        <v>46398</v>
      </c>
      <c r="C20270">
        <f>0</f>
        <v>0</v>
      </c>
      <c r="D20270" t="s">
        <v>106</v>
      </c>
      <c r="E20270">
        <v>24</v>
      </c>
    </row>
    <row r="20271" spans="1:5">
      <c r="A20271" t="s">
        <v>46399</v>
      </c>
      <c r="B20271" t="s">
        <v>19982</v>
      </c>
      <c r="C20271">
        <f>0.217821552251</f>
        <v>0.217821552251</v>
      </c>
      <c r="D20271">
        <v>0.82774145133200006</v>
      </c>
      <c r="E20271">
        <v>10.878</v>
      </c>
    </row>
    <row r="20272" spans="1:5">
      <c r="A20272" t="s">
        <v>46399</v>
      </c>
      <c r="B20272" t="s">
        <v>19981</v>
      </c>
      <c r="C20272">
        <f>0.0240407437005</f>
        <v>2.4040743700500002E-2</v>
      </c>
      <c r="D20272">
        <v>0.82774145133200006</v>
      </c>
      <c r="E20272">
        <v>10.878</v>
      </c>
    </row>
    <row r="20273" spans="1:5">
      <c r="A20273" t="s">
        <v>46399</v>
      </c>
      <c r="B20273" t="s">
        <v>19984</v>
      </c>
      <c r="C20273">
        <f>0.618789981669</f>
        <v>0.61878998166900001</v>
      </c>
      <c r="D20273">
        <v>0.82774145133200006</v>
      </c>
      <c r="E20273">
        <v>10.878</v>
      </c>
    </row>
    <row r="20274" spans="1:5">
      <c r="A20274" t="s">
        <v>46400</v>
      </c>
      <c r="B20274" t="s">
        <v>46401</v>
      </c>
      <c r="C20274">
        <f>0.121627081203</f>
        <v>0.121627081203</v>
      </c>
      <c r="D20274">
        <v>0.58403708120300002</v>
      </c>
      <c r="E20274">
        <v>23.754000000000001</v>
      </c>
    </row>
    <row r="20275" spans="1:5">
      <c r="A20275" t="s">
        <v>46400</v>
      </c>
      <c r="B20275" t="s">
        <v>46402</v>
      </c>
      <c r="C20275">
        <v>0</v>
      </c>
      <c r="D20275">
        <v>0.58403708120300002</v>
      </c>
      <c r="E20275">
        <v>23.754000000000001</v>
      </c>
    </row>
    <row r="20276" spans="1:5">
      <c r="A20276" t="s">
        <v>46400</v>
      </c>
      <c r="B20276" t="s">
        <v>46403</v>
      </c>
      <c r="C20276">
        <v>0</v>
      </c>
      <c r="D20276">
        <v>0.58403708120300002</v>
      </c>
      <c r="E20276">
        <v>23.754000000000001</v>
      </c>
    </row>
    <row r="20277" spans="1:5">
      <c r="A20277" t="s">
        <v>46404</v>
      </c>
      <c r="B20277" t="s">
        <v>18703</v>
      </c>
      <c r="C20277">
        <f>0.311106082281</f>
        <v>0.31110608228100001</v>
      </c>
      <c r="D20277">
        <v>0.47111608228099999</v>
      </c>
      <c r="E20277">
        <v>23.754000000000001</v>
      </c>
    </row>
    <row r="20278" spans="1:5">
      <c r="A20278" t="s">
        <v>46404</v>
      </c>
      <c r="B20278" t="s">
        <v>18700</v>
      </c>
      <c r="C20278">
        <f>0</f>
        <v>0</v>
      </c>
      <c r="D20278">
        <v>0.47111608228099999</v>
      </c>
      <c r="E20278">
        <v>23.754000000000001</v>
      </c>
    </row>
    <row r="20279" spans="1:5">
      <c r="A20279" t="s">
        <v>46405</v>
      </c>
      <c r="B20279" t="s">
        <v>24878</v>
      </c>
      <c r="C20279">
        <v>0.53377709008300001</v>
      </c>
      <c r="D20279">
        <v>0.91957385976299999</v>
      </c>
      <c r="E20279">
        <v>20.513999999999999</v>
      </c>
    </row>
    <row r="20280" spans="1:5">
      <c r="A20280" t="s">
        <v>46405</v>
      </c>
      <c r="B20280" t="s">
        <v>24880</v>
      </c>
      <c r="C20280">
        <v>5.0900818518199997E-2</v>
      </c>
      <c r="D20280">
        <v>0.91957385976299999</v>
      </c>
      <c r="E20280">
        <v>20.513999999999999</v>
      </c>
    </row>
    <row r="20281" spans="1:5">
      <c r="A20281" t="s">
        <v>46405</v>
      </c>
      <c r="B20281" t="s">
        <v>24881</v>
      </c>
      <c r="C20281">
        <f>0.576382539443</f>
        <v>0.576382539443</v>
      </c>
      <c r="D20281">
        <v>0.91957385976299999</v>
      </c>
      <c r="E20281">
        <v>20.513999999999999</v>
      </c>
    </row>
    <row r="20282" spans="1:5">
      <c r="A20282" t="s">
        <v>46405</v>
      </c>
      <c r="B20282" t="s">
        <v>24879</v>
      </c>
      <c r="C20282">
        <v>1.1808909618E-2</v>
      </c>
      <c r="D20282">
        <v>0.91957385976299999</v>
      </c>
      <c r="E20282">
        <v>20.513999999999999</v>
      </c>
    </row>
    <row r="20283" spans="1:5">
      <c r="A20283" t="s">
        <v>46405</v>
      </c>
      <c r="B20283" t="s">
        <v>24885</v>
      </c>
      <c r="C20283">
        <v>0.73324596660600005</v>
      </c>
      <c r="D20283">
        <v>0.91957385976299999</v>
      </c>
      <c r="E20283">
        <v>20.513999999999999</v>
      </c>
    </row>
    <row r="20284" spans="1:5">
      <c r="A20284" t="s">
        <v>46406</v>
      </c>
      <c r="B20284" t="s">
        <v>20133</v>
      </c>
      <c r="C20284">
        <f>0.508101532929</f>
        <v>0.50810153292899995</v>
      </c>
      <c r="D20284">
        <v>0.610509117386</v>
      </c>
      <c r="E20284">
        <v>4.17</v>
      </c>
    </row>
    <row r="20285" spans="1:5">
      <c r="A20285" t="s">
        <v>46406</v>
      </c>
      <c r="B20285" t="s">
        <v>20132</v>
      </c>
      <c r="C20285">
        <f>0</f>
        <v>0</v>
      </c>
      <c r="D20285">
        <v>0.610509117386</v>
      </c>
      <c r="E20285">
        <v>4.17</v>
      </c>
    </row>
    <row r="20286" spans="1:5">
      <c r="A20286" t="s">
        <v>46406</v>
      </c>
      <c r="B20286" t="s">
        <v>20134</v>
      </c>
      <c r="C20286">
        <v>0.32184344567000001</v>
      </c>
      <c r="D20286">
        <v>0.610509117386</v>
      </c>
      <c r="E20286">
        <v>4.17</v>
      </c>
    </row>
    <row r="20287" spans="1:5">
      <c r="A20287" t="s">
        <v>46407</v>
      </c>
      <c r="B20287" t="s">
        <v>16900</v>
      </c>
      <c r="C20287">
        <v>0</v>
      </c>
      <c r="D20287" t="s">
        <v>106</v>
      </c>
      <c r="E20287">
        <v>10.878</v>
      </c>
    </row>
    <row r="20288" spans="1:5">
      <c r="A20288" t="s">
        <v>46407</v>
      </c>
      <c r="B20288" t="s">
        <v>16899</v>
      </c>
      <c r="C20288">
        <v>0</v>
      </c>
      <c r="D20288" t="s">
        <v>106</v>
      </c>
      <c r="E20288">
        <v>10.878</v>
      </c>
    </row>
    <row r="20289" spans="1:5">
      <c r="A20289" t="s">
        <v>46407</v>
      </c>
      <c r="B20289" t="s">
        <v>16907</v>
      </c>
      <c r="C20289">
        <v>0</v>
      </c>
      <c r="D20289" t="s">
        <v>106</v>
      </c>
      <c r="E20289">
        <v>10.878</v>
      </c>
    </row>
    <row r="20290" spans="1:5">
      <c r="A20290" t="s">
        <v>46408</v>
      </c>
      <c r="B20290" t="s">
        <v>31963</v>
      </c>
      <c r="C20290">
        <v>0.20953273519499999</v>
      </c>
      <c r="D20290">
        <v>0.91229240139300005</v>
      </c>
      <c r="E20290">
        <v>15.318</v>
      </c>
    </row>
    <row r="20291" spans="1:5">
      <c r="A20291" t="s">
        <v>46408</v>
      </c>
      <c r="B20291" t="s">
        <v>31966</v>
      </c>
      <c r="C20291">
        <v>0.38936264337100002</v>
      </c>
      <c r="D20291">
        <v>0.91229240139300005</v>
      </c>
      <c r="E20291">
        <v>15.318</v>
      </c>
    </row>
    <row r="20292" spans="1:5">
      <c r="A20292" t="s">
        <v>46408</v>
      </c>
      <c r="B20292" t="s">
        <v>31965</v>
      </c>
      <c r="C20292">
        <f>0.135839352123</f>
        <v>0.135839352123</v>
      </c>
      <c r="D20292">
        <v>0.91229240139300005</v>
      </c>
      <c r="E20292">
        <v>15.318</v>
      </c>
    </row>
    <row r="20293" spans="1:5">
      <c r="A20293" t="s">
        <v>46408</v>
      </c>
      <c r="B20293" t="s">
        <v>31967</v>
      </c>
      <c r="C20293">
        <v>0.84664734892399995</v>
      </c>
      <c r="D20293">
        <v>0.91229240139300005</v>
      </c>
      <c r="E20293">
        <v>15.318</v>
      </c>
    </row>
    <row r="20294" spans="1:5">
      <c r="A20294" t="s">
        <v>46409</v>
      </c>
      <c r="B20294" t="s">
        <v>3722</v>
      </c>
      <c r="C20294">
        <v>1.6812038599E-2</v>
      </c>
      <c r="D20294">
        <v>0.79574224155600004</v>
      </c>
      <c r="E20294">
        <v>9.0180000000000007</v>
      </c>
    </row>
    <row r="20295" spans="1:5">
      <c r="A20295" t="s">
        <v>46409</v>
      </c>
      <c r="B20295" t="s">
        <v>3723</v>
      </c>
      <c r="C20295">
        <v>0.68267979696799996</v>
      </c>
      <c r="D20295">
        <v>0.79574224155600004</v>
      </c>
      <c r="E20295">
        <v>9.0180000000000007</v>
      </c>
    </row>
    <row r="20296" spans="1:5">
      <c r="A20296" t="s">
        <v>46410</v>
      </c>
      <c r="B20296" t="s">
        <v>14254</v>
      </c>
      <c r="C20296">
        <f>0</f>
        <v>0</v>
      </c>
      <c r="D20296" t="s">
        <v>106</v>
      </c>
      <c r="E20296">
        <v>1.2E-2</v>
      </c>
    </row>
    <row r="20297" spans="1:5">
      <c r="A20297" t="s">
        <v>46410</v>
      </c>
      <c r="B20297" t="s">
        <v>14256</v>
      </c>
      <c r="C20297">
        <f>0</f>
        <v>0</v>
      </c>
      <c r="D20297" t="s">
        <v>106</v>
      </c>
      <c r="E20297">
        <v>1.2E-2</v>
      </c>
    </row>
    <row r="20298" spans="1:5">
      <c r="A20298" t="s">
        <v>46410</v>
      </c>
      <c r="B20298" t="s">
        <v>14252</v>
      </c>
      <c r="C20298">
        <f>0</f>
        <v>0</v>
      </c>
      <c r="D20298" t="s">
        <v>106</v>
      </c>
      <c r="E20298">
        <v>1.2E-2</v>
      </c>
    </row>
    <row r="20299" spans="1:5">
      <c r="A20299" t="s">
        <v>46410</v>
      </c>
      <c r="B20299" t="s">
        <v>14253</v>
      </c>
      <c r="C20299">
        <f>0</f>
        <v>0</v>
      </c>
      <c r="D20299" t="s">
        <v>106</v>
      </c>
      <c r="E20299">
        <v>1.2E-2</v>
      </c>
    </row>
    <row r="20300" spans="1:5">
      <c r="A20300" t="s">
        <v>46411</v>
      </c>
      <c r="B20300" t="s">
        <v>20781</v>
      </c>
      <c r="C20300">
        <f>0</f>
        <v>0</v>
      </c>
      <c r="D20300" t="s">
        <v>106</v>
      </c>
      <c r="E20300">
        <v>23.754000000000001</v>
      </c>
    </row>
    <row r="20301" spans="1:5">
      <c r="A20301" t="s">
        <v>46411</v>
      </c>
      <c r="B20301" t="s">
        <v>20782</v>
      </c>
      <c r="C20301">
        <f>0</f>
        <v>0</v>
      </c>
      <c r="D20301" t="s">
        <v>106</v>
      </c>
      <c r="E20301">
        <v>23.754000000000001</v>
      </c>
    </row>
    <row r="20302" spans="1:5">
      <c r="A20302" t="s">
        <v>46412</v>
      </c>
      <c r="B20302" t="s">
        <v>46413</v>
      </c>
      <c r="C20302">
        <f>0</f>
        <v>0</v>
      </c>
      <c r="D20302" t="s">
        <v>106</v>
      </c>
      <c r="E20302">
        <v>2.718</v>
      </c>
    </row>
    <row r="20303" spans="1:5">
      <c r="A20303" t="s">
        <v>46412</v>
      </c>
      <c r="B20303" t="s">
        <v>46414</v>
      </c>
      <c r="C20303">
        <f>0</f>
        <v>0</v>
      </c>
      <c r="D20303" t="s">
        <v>106</v>
      </c>
      <c r="E20303">
        <v>2.718</v>
      </c>
    </row>
    <row r="20304" spans="1:5">
      <c r="A20304" t="s">
        <v>46412</v>
      </c>
      <c r="B20304" t="s">
        <v>46415</v>
      </c>
      <c r="C20304">
        <v>0</v>
      </c>
      <c r="D20304" t="s">
        <v>106</v>
      </c>
      <c r="E20304">
        <v>2.718</v>
      </c>
    </row>
    <row r="20305" spans="1:5">
      <c r="A20305" t="s">
        <v>46416</v>
      </c>
      <c r="B20305" t="s">
        <v>46417</v>
      </c>
      <c r="C20305">
        <v>0.40356957917199998</v>
      </c>
      <c r="D20305">
        <v>0.86259279226200003</v>
      </c>
      <c r="E20305">
        <v>0.378</v>
      </c>
    </row>
    <row r="20306" spans="1:5">
      <c r="A20306" t="s">
        <v>46416</v>
      </c>
      <c r="B20306" t="s">
        <v>46418</v>
      </c>
      <c r="C20306">
        <f>0.141111924572</f>
        <v>0.141111924572</v>
      </c>
      <c r="D20306">
        <v>0.86259279226200003</v>
      </c>
      <c r="E20306">
        <v>0.378</v>
      </c>
    </row>
    <row r="20307" spans="1:5">
      <c r="A20307" t="s">
        <v>46416</v>
      </c>
      <c r="B20307" t="s">
        <v>46419</v>
      </c>
      <c r="C20307">
        <f>0.531092285762</f>
        <v>0.53109228576199996</v>
      </c>
      <c r="D20307">
        <v>0.86259279226200003</v>
      </c>
      <c r="E20307">
        <v>0.378</v>
      </c>
    </row>
    <row r="20308" spans="1:5">
      <c r="A20308" t="s">
        <v>46416</v>
      </c>
      <c r="B20308" t="s">
        <v>46420</v>
      </c>
      <c r="C20308">
        <f>0.894255004667</f>
        <v>0.89425500466700003</v>
      </c>
      <c r="D20308">
        <v>0.86259279226200003</v>
      </c>
      <c r="E20308">
        <v>0.378</v>
      </c>
    </row>
    <row r="20309" spans="1:5">
      <c r="A20309" t="s">
        <v>46416</v>
      </c>
      <c r="B20309" t="s">
        <v>46421</v>
      </c>
      <c r="C20309">
        <v>0</v>
      </c>
      <c r="D20309">
        <v>0.86259279226200003</v>
      </c>
      <c r="E20309">
        <v>0.378</v>
      </c>
    </row>
    <row r="20310" spans="1:5">
      <c r="A20310" t="s">
        <v>46422</v>
      </c>
      <c r="B20310" t="s">
        <v>10750</v>
      </c>
      <c r="C20310">
        <v>0.84307910287400001</v>
      </c>
      <c r="D20310">
        <v>0.91315350016100005</v>
      </c>
      <c r="E20310">
        <v>17.718</v>
      </c>
    </row>
    <row r="20311" spans="1:5">
      <c r="A20311" t="s">
        <v>46422</v>
      </c>
      <c r="B20311" t="s">
        <v>10752</v>
      </c>
      <c r="C20311">
        <f>0.322246940854</f>
        <v>0.32224694085400002</v>
      </c>
      <c r="D20311">
        <v>0.91315350016100005</v>
      </c>
      <c r="E20311">
        <v>17.718</v>
      </c>
    </row>
    <row r="20312" spans="1:5">
      <c r="A20312" t="s">
        <v>46423</v>
      </c>
      <c r="B20312" t="s">
        <v>46424</v>
      </c>
      <c r="C20312">
        <v>0.48361929214400001</v>
      </c>
      <c r="D20312">
        <v>0.77830985909399997</v>
      </c>
      <c r="E20312">
        <v>23.754000000000001</v>
      </c>
    </row>
    <row r="20313" spans="1:5">
      <c r="A20313" t="s">
        <v>46423</v>
      </c>
      <c r="B20313" t="s">
        <v>46425</v>
      </c>
      <c r="C20313">
        <v>0.41241258042599999</v>
      </c>
      <c r="D20313">
        <v>0.77830985909399997</v>
      </c>
      <c r="E20313">
        <v>23.754000000000001</v>
      </c>
    </row>
    <row r="20314" spans="1:5">
      <c r="A20314" t="s">
        <v>46426</v>
      </c>
      <c r="B20314" t="s">
        <v>46427</v>
      </c>
      <c r="C20314">
        <f>0.0852986198677</f>
        <v>8.5298619867700001E-2</v>
      </c>
      <c r="D20314">
        <v>0.96634361948000003</v>
      </c>
      <c r="E20314">
        <v>24</v>
      </c>
    </row>
    <row r="20315" spans="1:5">
      <c r="A20315" t="s">
        <v>46426</v>
      </c>
      <c r="B20315" t="s">
        <v>46428</v>
      </c>
      <c r="C20315">
        <f>0.0795887556779</f>
        <v>7.9588755677899997E-2</v>
      </c>
      <c r="D20315">
        <v>0.96634361948000003</v>
      </c>
      <c r="E20315">
        <v>24</v>
      </c>
    </row>
    <row r="20316" spans="1:5">
      <c r="A20316" t="s">
        <v>46426</v>
      </c>
      <c r="B20316" t="s">
        <v>46429</v>
      </c>
      <c r="C20316">
        <v>0.38602391916399997</v>
      </c>
      <c r="D20316">
        <v>0.96634361948000003</v>
      </c>
      <c r="E20316">
        <v>24</v>
      </c>
    </row>
    <row r="20317" spans="1:5">
      <c r="A20317" t="s">
        <v>46426</v>
      </c>
      <c r="B20317" t="s">
        <v>46430</v>
      </c>
      <c r="C20317">
        <f>0.660521739696</f>
        <v>0.66052173969600003</v>
      </c>
      <c r="D20317">
        <v>0.96634361948000003</v>
      </c>
      <c r="E20317">
        <v>24</v>
      </c>
    </row>
    <row r="20318" spans="1:5">
      <c r="A20318" t="s">
        <v>46426</v>
      </c>
      <c r="B20318" t="s">
        <v>46431</v>
      </c>
      <c r="C20318">
        <f>0.331720848293</f>
        <v>0.33172084829300003</v>
      </c>
      <c r="D20318">
        <v>0.96634361948000003</v>
      </c>
      <c r="E20318">
        <v>24</v>
      </c>
    </row>
    <row r="20319" spans="1:5">
      <c r="A20319" t="s">
        <v>46426</v>
      </c>
      <c r="B20319" t="s">
        <v>46432</v>
      </c>
      <c r="C20319">
        <v>0.44813754117400001</v>
      </c>
      <c r="D20319">
        <v>0.96634361948000003</v>
      </c>
      <c r="E20319">
        <v>24</v>
      </c>
    </row>
    <row r="20320" spans="1:5">
      <c r="A20320" t="s">
        <v>46433</v>
      </c>
      <c r="B20320" t="s">
        <v>46434</v>
      </c>
      <c r="C20320">
        <f>0.671283358272</f>
        <v>0.67128335827200003</v>
      </c>
      <c r="D20320">
        <v>0.99999986076900005</v>
      </c>
      <c r="E20320">
        <v>8.58</v>
      </c>
    </row>
    <row r="20321" spans="1:5">
      <c r="A20321" t="s">
        <v>46433</v>
      </c>
      <c r="B20321" t="s">
        <v>46435</v>
      </c>
      <c r="C20321">
        <v>0.39260518813799999</v>
      </c>
      <c r="D20321">
        <v>0.99999986076900005</v>
      </c>
      <c r="E20321">
        <v>8.58</v>
      </c>
    </row>
    <row r="20322" spans="1:5">
      <c r="A20322" t="s">
        <v>46433</v>
      </c>
      <c r="B20322" t="s">
        <v>46436</v>
      </c>
      <c r="C20322">
        <f>0.604222410465</f>
        <v>0.60422241046500003</v>
      </c>
      <c r="D20322">
        <v>0.99999986076900005</v>
      </c>
      <c r="E20322">
        <v>8.58</v>
      </c>
    </row>
    <row r="20323" spans="1:5">
      <c r="A20323" t="s">
        <v>46433</v>
      </c>
      <c r="B20323" t="s">
        <v>46437</v>
      </c>
      <c r="C20323">
        <f>0.328772617997</f>
        <v>0.32877261799700003</v>
      </c>
      <c r="D20323">
        <v>0.99999986076900005</v>
      </c>
      <c r="E20323">
        <v>8.58</v>
      </c>
    </row>
    <row r="20324" spans="1:5">
      <c r="A20324" t="s">
        <v>46433</v>
      </c>
      <c r="B20324" t="s">
        <v>46438</v>
      </c>
      <c r="C20324">
        <v>0.52853919254199999</v>
      </c>
      <c r="D20324">
        <v>0.99999986076900005</v>
      </c>
      <c r="E20324">
        <v>8.58</v>
      </c>
    </row>
    <row r="20325" spans="1:5">
      <c r="A20325" t="s">
        <v>46433</v>
      </c>
      <c r="B20325" t="s">
        <v>46439</v>
      </c>
      <c r="C20325">
        <f>0.201739274773</f>
        <v>0.20173927477299999</v>
      </c>
      <c r="D20325">
        <v>0.99999986076900005</v>
      </c>
      <c r="E20325">
        <v>8.58</v>
      </c>
    </row>
    <row r="20326" spans="1:5">
      <c r="A20326" t="s">
        <v>46433</v>
      </c>
      <c r="B20326" t="s">
        <v>46440</v>
      </c>
      <c r="C20326">
        <v>0.27173051302000001</v>
      </c>
      <c r="D20326">
        <v>0.99999986076900005</v>
      </c>
      <c r="E20326">
        <v>8.58</v>
      </c>
    </row>
    <row r="20327" spans="1:5">
      <c r="A20327" t="s">
        <v>46433</v>
      </c>
      <c r="B20327" t="s">
        <v>46441</v>
      </c>
      <c r="C20327">
        <f>0.455726613323</f>
        <v>0.45572661332300002</v>
      </c>
      <c r="D20327">
        <v>0.99999986076900005</v>
      </c>
      <c r="E20327">
        <v>8.58</v>
      </c>
    </row>
    <row r="20328" spans="1:5">
      <c r="A20328" t="s">
        <v>46442</v>
      </c>
      <c r="B20328" t="s">
        <v>46443</v>
      </c>
      <c r="C20328">
        <f>0.344398560936</f>
        <v>0.34439856093600002</v>
      </c>
      <c r="D20328">
        <v>0.99311020686100004</v>
      </c>
      <c r="E20328">
        <v>0</v>
      </c>
    </row>
    <row r="20329" spans="1:5">
      <c r="A20329" t="s">
        <v>46442</v>
      </c>
      <c r="B20329" t="s">
        <v>46444</v>
      </c>
      <c r="C20329">
        <f>0.430976585798</f>
        <v>0.43097658579800002</v>
      </c>
      <c r="D20329">
        <v>0.99311020686100004</v>
      </c>
      <c r="E20329">
        <v>0</v>
      </c>
    </row>
    <row r="20330" spans="1:5">
      <c r="A20330" t="s">
        <v>46442</v>
      </c>
      <c r="B20330" t="s">
        <v>46445</v>
      </c>
      <c r="C20330">
        <f>0.90016953381</f>
        <v>0.90016953380999998</v>
      </c>
      <c r="D20330">
        <v>0.99311020686100004</v>
      </c>
      <c r="E20330">
        <v>0</v>
      </c>
    </row>
    <row r="20331" spans="1:5">
      <c r="A20331" t="s">
        <v>46442</v>
      </c>
      <c r="B20331" t="s">
        <v>46446</v>
      </c>
      <c r="C20331">
        <v>1.5416514235400001</v>
      </c>
      <c r="D20331">
        <v>0.99311020686100004</v>
      </c>
      <c r="E20331">
        <v>0</v>
      </c>
    </row>
    <row r="20332" spans="1:5">
      <c r="A20332" t="s">
        <v>46442</v>
      </c>
      <c r="B20332" t="s">
        <v>46447</v>
      </c>
      <c r="C20332">
        <v>0.46430344045999999</v>
      </c>
      <c r="D20332">
        <v>0.99311020686100004</v>
      </c>
      <c r="E20332">
        <v>0</v>
      </c>
    </row>
    <row r="20333" spans="1:5">
      <c r="A20333" t="s">
        <v>46442</v>
      </c>
      <c r="B20333" t="s">
        <v>46448</v>
      </c>
      <c r="C20333">
        <v>1.3984013818900001</v>
      </c>
      <c r="D20333">
        <v>0.99311020686100004</v>
      </c>
      <c r="E20333">
        <v>0</v>
      </c>
    </row>
    <row r="20334" spans="1:5">
      <c r="A20334" t="s">
        <v>46449</v>
      </c>
      <c r="B20334" t="s">
        <v>46450</v>
      </c>
      <c r="C20334">
        <v>0</v>
      </c>
      <c r="D20334">
        <v>0.68435976735199999</v>
      </c>
      <c r="E20334">
        <v>24</v>
      </c>
    </row>
    <row r="20335" spans="1:5">
      <c r="A20335" t="s">
        <v>46449</v>
      </c>
      <c r="B20335" t="s">
        <v>46451</v>
      </c>
      <c r="C20335">
        <f>0</f>
        <v>0</v>
      </c>
      <c r="D20335">
        <v>0.68435976735199999</v>
      </c>
      <c r="E20335">
        <v>24</v>
      </c>
    </row>
    <row r="20336" spans="1:5">
      <c r="A20336" t="s">
        <v>46449</v>
      </c>
      <c r="B20336" t="s">
        <v>46452</v>
      </c>
      <c r="C20336">
        <v>0</v>
      </c>
      <c r="D20336">
        <v>0.68435976735199999</v>
      </c>
      <c r="E20336">
        <v>24</v>
      </c>
    </row>
    <row r="20337" spans="1:5">
      <c r="A20337" t="s">
        <v>46449</v>
      </c>
      <c r="B20337" t="s">
        <v>46453</v>
      </c>
      <c r="C20337">
        <v>0.16594976735200001</v>
      </c>
      <c r="D20337">
        <v>0.68435976735199999</v>
      </c>
      <c r="E20337">
        <v>24</v>
      </c>
    </row>
    <row r="20338" spans="1:5">
      <c r="A20338" t="s">
        <v>46449</v>
      </c>
      <c r="B20338" t="s">
        <v>46454</v>
      </c>
      <c r="C20338">
        <v>0</v>
      </c>
      <c r="D20338">
        <v>0.68435976735199999</v>
      </c>
      <c r="E20338">
        <v>24</v>
      </c>
    </row>
    <row r="20339" spans="1:5">
      <c r="A20339" t="s">
        <v>46455</v>
      </c>
      <c r="B20339" t="s">
        <v>28320</v>
      </c>
      <c r="C20339">
        <v>0</v>
      </c>
      <c r="D20339" t="s">
        <v>106</v>
      </c>
      <c r="E20339">
        <v>21.648</v>
      </c>
    </row>
    <row r="20340" spans="1:5">
      <c r="A20340" t="s">
        <v>46455</v>
      </c>
      <c r="B20340" t="s">
        <v>28321</v>
      </c>
      <c r="C20340">
        <f>0</f>
        <v>0</v>
      </c>
      <c r="D20340" t="s">
        <v>106</v>
      </c>
      <c r="E20340">
        <v>21.648</v>
      </c>
    </row>
    <row r="20341" spans="1:5">
      <c r="A20341" t="s">
        <v>46456</v>
      </c>
      <c r="B20341" t="s">
        <v>30740</v>
      </c>
      <c r="C20341">
        <f>0.561277607665</f>
        <v>0.56127760766500001</v>
      </c>
      <c r="D20341">
        <v>0.79168760766500001</v>
      </c>
      <c r="E20341">
        <v>24</v>
      </c>
    </row>
    <row r="20342" spans="1:5">
      <c r="A20342" t="s">
        <v>46456</v>
      </c>
      <c r="B20342" t="s">
        <v>30741</v>
      </c>
      <c r="C20342">
        <f>0</f>
        <v>0</v>
      </c>
      <c r="D20342">
        <v>0.79168760766500001</v>
      </c>
      <c r="E20342">
        <v>24</v>
      </c>
    </row>
    <row r="20343" spans="1:5">
      <c r="A20343" t="s">
        <v>46457</v>
      </c>
      <c r="B20343" t="s">
        <v>46458</v>
      </c>
      <c r="C20343">
        <v>0</v>
      </c>
      <c r="D20343">
        <v>0.67381765498599999</v>
      </c>
      <c r="E20343">
        <v>0.10199999999999999</v>
      </c>
    </row>
    <row r="20344" spans="1:5">
      <c r="A20344" t="s">
        <v>46457</v>
      </c>
      <c r="B20344" t="s">
        <v>46459</v>
      </c>
      <c r="C20344">
        <f>0</f>
        <v>0</v>
      </c>
      <c r="D20344">
        <v>0.67381765498599999</v>
      </c>
      <c r="E20344">
        <v>0.10199999999999999</v>
      </c>
    </row>
    <row r="20345" spans="1:5">
      <c r="A20345" t="s">
        <v>46457</v>
      </c>
      <c r="B20345" t="s">
        <v>46460</v>
      </c>
      <c r="C20345">
        <f>0</f>
        <v>0</v>
      </c>
      <c r="D20345">
        <v>0.67381765498599999</v>
      </c>
      <c r="E20345">
        <v>0.10199999999999999</v>
      </c>
    </row>
    <row r="20346" spans="1:5">
      <c r="A20346" t="s">
        <v>46457</v>
      </c>
      <c r="B20346" t="s">
        <v>46461</v>
      </c>
      <c r="C20346">
        <f>0</f>
        <v>0</v>
      </c>
      <c r="D20346">
        <v>0.67381765498599999</v>
      </c>
      <c r="E20346">
        <v>0.10199999999999999</v>
      </c>
    </row>
    <row r="20347" spans="1:5">
      <c r="A20347" t="s">
        <v>46457</v>
      </c>
      <c r="B20347" t="s">
        <v>46462</v>
      </c>
      <c r="C20347">
        <f>0</f>
        <v>0</v>
      </c>
      <c r="D20347">
        <v>0.67381765498599999</v>
      </c>
      <c r="E20347">
        <v>0.10199999999999999</v>
      </c>
    </row>
    <row r="20348" spans="1:5">
      <c r="A20348" t="s">
        <v>46457</v>
      </c>
      <c r="B20348" t="s">
        <v>46463</v>
      </c>
      <c r="C20348">
        <f>0</f>
        <v>0</v>
      </c>
      <c r="D20348">
        <v>0.67381765498599999</v>
      </c>
      <c r="E20348">
        <v>0.10199999999999999</v>
      </c>
    </row>
    <row r="20349" spans="1:5">
      <c r="A20349" t="s">
        <v>46457</v>
      </c>
      <c r="B20349" t="s">
        <v>46464</v>
      </c>
      <c r="C20349">
        <f>0.360207654986</f>
        <v>0.36020765498599999</v>
      </c>
      <c r="D20349">
        <v>0.67381765498599999</v>
      </c>
      <c r="E20349">
        <v>0.10199999999999999</v>
      </c>
    </row>
    <row r="20350" spans="1:5">
      <c r="A20350" t="s">
        <v>46457</v>
      </c>
      <c r="B20350" t="s">
        <v>46465</v>
      </c>
      <c r="C20350">
        <f>0</f>
        <v>0</v>
      </c>
      <c r="D20350">
        <v>0.67381765498599999</v>
      </c>
      <c r="E20350">
        <v>0.10199999999999999</v>
      </c>
    </row>
    <row r="20351" spans="1:5">
      <c r="A20351" t="s">
        <v>46466</v>
      </c>
      <c r="B20351" t="s">
        <v>26383</v>
      </c>
      <c r="C20351">
        <f>0.709199666532</f>
        <v>0.70919966653199995</v>
      </c>
      <c r="D20351">
        <v>0.78543647451900001</v>
      </c>
      <c r="E20351">
        <v>3.4980000000000002</v>
      </c>
    </row>
    <row r="20352" spans="1:5">
      <c r="A20352" t="s">
        <v>46466</v>
      </c>
      <c r="B20352" t="s">
        <v>26387</v>
      </c>
      <c r="C20352">
        <f>0.0704737009767</f>
        <v>7.0473700976699999E-2</v>
      </c>
      <c r="D20352">
        <v>0.78543647451900001</v>
      </c>
      <c r="E20352">
        <v>3.4980000000000002</v>
      </c>
    </row>
    <row r="20353" spans="1:5">
      <c r="A20353" t="s">
        <v>46467</v>
      </c>
      <c r="B20353" t="s">
        <v>20248</v>
      </c>
      <c r="C20353">
        <f>0.413130999734</f>
        <v>0.41313099973400003</v>
      </c>
      <c r="D20353">
        <v>0.82929254339000003</v>
      </c>
      <c r="E20353">
        <v>8.4359999999999999</v>
      </c>
    </row>
    <row r="20354" spans="1:5">
      <c r="A20354" t="s">
        <v>46467</v>
      </c>
      <c r="B20354" t="s">
        <v>20250</v>
      </c>
      <c r="C20354">
        <v>0</v>
      </c>
      <c r="D20354">
        <v>0.82929254339000003</v>
      </c>
      <c r="E20354">
        <v>8.4359999999999999</v>
      </c>
    </row>
    <row r="20355" spans="1:5">
      <c r="A20355" t="s">
        <v>46467</v>
      </c>
      <c r="B20355" t="s">
        <v>20254</v>
      </c>
      <c r="C20355">
        <f>0</f>
        <v>0</v>
      </c>
      <c r="D20355">
        <v>0.82929254339000003</v>
      </c>
      <c r="E20355">
        <v>8.4359999999999999</v>
      </c>
    </row>
    <row r="20356" spans="1:5">
      <c r="A20356" t="s">
        <v>46467</v>
      </c>
      <c r="B20356" t="s">
        <v>20253</v>
      </c>
      <c r="C20356">
        <v>0.37085899589100002</v>
      </c>
      <c r="D20356">
        <v>0.82929254339000003</v>
      </c>
      <c r="E20356">
        <v>8.4359999999999999</v>
      </c>
    </row>
    <row r="20357" spans="1:5">
      <c r="A20357" t="s">
        <v>46467</v>
      </c>
      <c r="B20357" t="s">
        <v>20251</v>
      </c>
      <c r="C20357">
        <f>0.0225821942562</f>
        <v>2.2582194256199999E-2</v>
      </c>
      <c r="D20357">
        <v>0.82929254339000003</v>
      </c>
      <c r="E20357">
        <v>8.4359999999999999</v>
      </c>
    </row>
    <row r="20358" spans="1:5">
      <c r="A20358" t="s">
        <v>46467</v>
      </c>
      <c r="B20358" t="s">
        <v>20252</v>
      </c>
      <c r="C20358">
        <v>0</v>
      </c>
      <c r="D20358">
        <v>0.82929254339000003</v>
      </c>
      <c r="E20358">
        <v>8.4359999999999999</v>
      </c>
    </row>
    <row r="20359" spans="1:5">
      <c r="A20359" t="s">
        <v>46468</v>
      </c>
      <c r="B20359" t="s">
        <v>46469</v>
      </c>
      <c r="C20359">
        <v>9.1121188253800001E-2</v>
      </c>
      <c r="D20359">
        <v>0.93310190996300002</v>
      </c>
      <c r="E20359">
        <v>10.398</v>
      </c>
    </row>
    <row r="20360" spans="1:5">
      <c r="A20360" t="s">
        <v>46468</v>
      </c>
      <c r="B20360" t="s">
        <v>46470</v>
      </c>
      <c r="C20360">
        <v>0.52349247133599996</v>
      </c>
      <c r="D20360">
        <v>0.93310190996300002</v>
      </c>
      <c r="E20360">
        <v>10.398</v>
      </c>
    </row>
    <row r="20361" spans="1:5">
      <c r="A20361" t="s">
        <v>46468</v>
      </c>
      <c r="B20361" t="s">
        <v>46471</v>
      </c>
      <c r="C20361">
        <v>0.41838660690200002</v>
      </c>
      <c r="D20361">
        <v>0.93310190996300002</v>
      </c>
      <c r="E20361">
        <v>10.398</v>
      </c>
    </row>
    <row r="20362" spans="1:5">
      <c r="A20362" t="s">
        <v>46468</v>
      </c>
      <c r="B20362" t="s">
        <v>46472</v>
      </c>
      <c r="C20362">
        <v>0</v>
      </c>
      <c r="D20362">
        <v>0.93310190996300002</v>
      </c>
      <c r="E20362">
        <v>10.398</v>
      </c>
    </row>
    <row r="20363" spans="1:5">
      <c r="A20363" t="s">
        <v>46468</v>
      </c>
      <c r="B20363" t="s">
        <v>46473</v>
      </c>
      <c r="C20363">
        <v>5.1813164734899997E-2</v>
      </c>
      <c r="D20363">
        <v>0.93310190996300002</v>
      </c>
      <c r="E20363">
        <v>10.398</v>
      </c>
    </row>
    <row r="20364" spans="1:5">
      <c r="A20364" t="s">
        <v>46474</v>
      </c>
      <c r="B20364" t="s">
        <v>46475</v>
      </c>
      <c r="C20364">
        <v>0</v>
      </c>
      <c r="D20364">
        <v>0.90922629182000003</v>
      </c>
      <c r="E20364">
        <v>10.878</v>
      </c>
    </row>
    <row r="20365" spans="1:5">
      <c r="A20365" t="s">
        <v>46474</v>
      </c>
      <c r="B20365" t="s">
        <v>46476</v>
      </c>
      <c r="C20365">
        <v>0</v>
      </c>
      <c r="D20365">
        <v>0.90922629182000003</v>
      </c>
      <c r="E20365">
        <v>10.878</v>
      </c>
    </row>
    <row r="20366" spans="1:5">
      <c r="A20366" t="s">
        <v>46474</v>
      </c>
      <c r="B20366" t="s">
        <v>46477</v>
      </c>
      <c r="C20366">
        <v>0</v>
      </c>
      <c r="D20366">
        <v>0.90922629182000003</v>
      </c>
      <c r="E20366">
        <v>10.878</v>
      </c>
    </row>
    <row r="20367" spans="1:5">
      <c r="A20367" t="s">
        <v>46474</v>
      </c>
      <c r="B20367" t="s">
        <v>46478</v>
      </c>
      <c r="C20367">
        <f>0</f>
        <v>0</v>
      </c>
      <c r="D20367">
        <v>0.90922629182000003</v>
      </c>
      <c r="E20367">
        <v>10.878</v>
      </c>
    </row>
    <row r="20368" spans="1:5">
      <c r="A20368" t="s">
        <v>46474</v>
      </c>
      <c r="B20368" t="s">
        <v>46479</v>
      </c>
      <c r="C20368">
        <v>0</v>
      </c>
      <c r="D20368">
        <v>0.90922629182000003</v>
      </c>
      <c r="E20368">
        <v>10.878</v>
      </c>
    </row>
    <row r="20369" spans="1:5">
      <c r="A20369" t="s">
        <v>46474</v>
      </c>
      <c r="B20369" t="s">
        <v>46480</v>
      </c>
      <c r="C20369">
        <v>0.77961629182000003</v>
      </c>
      <c r="D20369">
        <v>0.90922629182000003</v>
      </c>
      <c r="E20369">
        <v>10.878</v>
      </c>
    </row>
    <row r="20370" spans="1:5">
      <c r="A20370" t="s">
        <v>46481</v>
      </c>
      <c r="B20370" t="s">
        <v>9181</v>
      </c>
      <c r="C20370">
        <f>0.289091915991</f>
        <v>0.28909191599099998</v>
      </c>
      <c r="D20370">
        <v>0.560137732133</v>
      </c>
      <c r="E20370">
        <v>24</v>
      </c>
    </row>
    <row r="20371" spans="1:5">
      <c r="A20371" t="s">
        <v>46481</v>
      </c>
      <c r="B20371" t="s">
        <v>9183</v>
      </c>
      <c r="C20371">
        <v>0</v>
      </c>
      <c r="D20371">
        <v>0.560137732133</v>
      </c>
      <c r="E20371">
        <v>24</v>
      </c>
    </row>
    <row r="20372" spans="1:5">
      <c r="A20372" t="s">
        <v>46481</v>
      </c>
      <c r="B20372" t="s">
        <v>9180</v>
      </c>
      <c r="C20372">
        <f>0</f>
        <v>0</v>
      </c>
      <c r="D20372">
        <v>0.560137732133</v>
      </c>
      <c r="E20372">
        <v>24</v>
      </c>
    </row>
    <row r="20373" spans="1:5">
      <c r="A20373" t="s">
        <v>46481</v>
      </c>
      <c r="B20373" t="s">
        <v>9184</v>
      </c>
      <c r="C20373">
        <f>0.102469867025</f>
        <v>0.10246986702499999</v>
      </c>
      <c r="D20373">
        <v>0.560137732133</v>
      </c>
      <c r="E20373">
        <v>24</v>
      </c>
    </row>
    <row r="20374" spans="1:5">
      <c r="A20374" t="s">
        <v>46482</v>
      </c>
      <c r="B20374" t="s">
        <v>46483</v>
      </c>
      <c r="C20374">
        <v>0.12177418081999999</v>
      </c>
      <c r="D20374">
        <v>0.76463954723299998</v>
      </c>
      <c r="E20374">
        <v>3.8759999999999999</v>
      </c>
    </row>
    <row r="20375" spans="1:5">
      <c r="A20375" t="s">
        <v>46482</v>
      </c>
      <c r="B20375" t="s">
        <v>46484</v>
      </c>
      <c r="C20375">
        <v>0.63995421756699999</v>
      </c>
      <c r="D20375">
        <v>0.76463954723299998</v>
      </c>
      <c r="E20375">
        <v>3.8759999999999999</v>
      </c>
    </row>
    <row r="20376" spans="1:5">
      <c r="A20376" t="s">
        <v>46482</v>
      </c>
      <c r="B20376" t="s">
        <v>46485</v>
      </c>
      <c r="C20376">
        <f>0</f>
        <v>0</v>
      </c>
      <c r="D20376">
        <v>0.76463954723299998</v>
      </c>
      <c r="E20376">
        <v>3.8759999999999999</v>
      </c>
    </row>
    <row r="20377" spans="1:5">
      <c r="A20377" t="s">
        <v>46486</v>
      </c>
      <c r="B20377" t="s">
        <v>46487</v>
      </c>
      <c r="C20377">
        <f>0.383963466344</f>
        <v>0.38396346634400003</v>
      </c>
      <c r="D20377">
        <v>0.61437346634400003</v>
      </c>
      <c r="E20377">
        <v>24</v>
      </c>
    </row>
    <row r="20378" spans="1:5">
      <c r="A20378" t="s">
        <v>46486</v>
      </c>
      <c r="B20378" t="s">
        <v>46488</v>
      </c>
      <c r="C20378">
        <f>0</f>
        <v>0</v>
      </c>
      <c r="D20378">
        <v>0.61437346634400003</v>
      </c>
      <c r="E20378">
        <v>24</v>
      </c>
    </row>
    <row r="20379" spans="1:5">
      <c r="A20379" t="s">
        <v>46489</v>
      </c>
      <c r="B20379" t="s">
        <v>46490</v>
      </c>
      <c r="C20379">
        <f>0</f>
        <v>0</v>
      </c>
      <c r="D20379" t="s">
        <v>106</v>
      </c>
      <c r="E20379">
        <v>24</v>
      </c>
    </row>
    <row r="20380" spans="1:5">
      <c r="A20380" t="s">
        <v>46489</v>
      </c>
      <c r="B20380" t="s">
        <v>46491</v>
      </c>
      <c r="C20380">
        <f>0</f>
        <v>0</v>
      </c>
      <c r="D20380" t="s">
        <v>106</v>
      </c>
      <c r="E20380">
        <v>24</v>
      </c>
    </row>
    <row r="20381" spans="1:5">
      <c r="A20381" t="s">
        <v>46489</v>
      </c>
      <c r="B20381" t="s">
        <v>46492</v>
      </c>
      <c r="C20381">
        <f>0</f>
        <v>0</v>
      </c>
      <c r="D20381" t="s">
        <v>106</v>
      </c>
      <c r="E20381">
        <v>24</v>
      </c>
    </row>
    <row r="20382" spans="1:5">
      <c r="A20382" t="s">
        <v>46493</v>
      </c>
      <c r="B20382" t="s">
        <v>46494</v>
      </c>
      <c r="C20382">
        <v>0.70936575730999996</v>
      </c>
      <c r="D20382">
        <v>0.907888433025</v>
      </c>
      <c r="E20382">
        <v>22.103999999999999</v>
      </c>
    </row>
    <row r="20383" spans="1:5">
      <c r="A20383" t="s">
        <v>46493</v>
      </c>
      <c r="B20383" t="s">
        <v>46495</v>
      </c>
      <c r="C20383">
        <v>0.70541808345799994</v>
      </c>
      <c r="D20383">
        <v>0.907888433025</v>
      </c>
      <c r="E20383">
        <v>22.103999999999999</v>
      </c>
    </row>
    <row r="20384" spans="1:5">
      <c r="A20384" t="s">
        <v>46493</v>
      </c>
      <c r="B20384" t="s">
        <v>46496</v>
      </c>
      <c r="C20384">
        <v>0.225932478375</v>
      </c>
      <c r="D20384">
        <v>0.907888433025</v>
      </c>
      <c r="E20384">
        <v>22.103999999999999</v>
      </c>
    </row>
    <row r="20385" spans="1:5">
      <c r="A20385" t="s">
        <v>46497</v>
      </c>
      <c r="B20385" t="s">
        <v>46498</v>
      </c>
      <c r="C20385">
        <f>0.0943098803449</f>
        <v>9.4309880344899996E-2</v>
      </c>
      <c r="D20385">
        <v>0.84525708599000005</v>
      </c>
      <c r="E20385">
        <v>5.1239999999999997</v>
      </c>
    </row>
    <row r="20386" spans="1:5">
      <c r="A20386" t="s">
        <v>46497</v>
      </c>
      <c r="B20386" t="s">
        <v>46499</v>
      </c>
      <c r="C20386">
        <f>0.315569204458</f>
        <v>0.31556920445800002</v>
      </c>
      <c r="D20386">
        <v>0.84525708599000005</v>
      </c>
      <c r="E20386">
        <v>5.1239999999999997</v>
      </c>
    </row>
    <row r="20387" spans="1:5">
      <c r="A20387" t="s">
        <v>46497</v>
      </c>
      <c r="B20387" t="s">
        <v>46500</v>
      </c>
      <c r="C20387">
        <f>0.493127002788</f>
        <v>0.49312700278799998</v>
      </c>
      <c r="D20387">
        <v>0.84525708599000005</v>
      </c>
      <c r="E20387">
        <v>5.1239999999999997</v>
      </c>
    </row>
    <row r="20388" spans="1:5">
      <c r="A20388" t="s">
        <v>46497</v>
      </c>
      <c r="B20388" t="s">
        <v>46501</v>
      </c>
      <c r="C20388">
        <f>0</f>
        <v>0</v>
      </c>
      <c r="D20388">
        <v>0.84525708599000005</v>
      </c>
      <c r="E20388">
        <v>5.1239999999999997</v>
      </c>
    </row>
    <row r="20389" spans="1:5">
      <c r="A20389" t="s">
        <v>46502</v>
      </c>
      <c r="B20389" t="s">
        <v>46503</v>
      </c>
      <c r="C20389">
        <f>0</f>
        <v>0</v>
      </c>
      <c r="D20389" t="s">
        <v>106</v>
      </c>
      <c r="E20389">
        <v>24</v>
      </c>
    </row>
    <row r="20390" spans="1:5">
      <c r="A20390" t="s">
        <v>46502</v>
      </c>
      <c r="B20390" t="s">
        <v>46504</v>
      </c>
      <c r="C20390">
        <f>0</f>
        <v>0</v>
      </c>
      <c r="D20390" t="s">
        <v>106</v>
      </c>
      <c r="E20390">
        <v>24</v>
      </c>
    </row>
    <row r="20391" spans="1:5">
      <c r="A20391" t="s">
        <v>46502</v>
      </c>
      <c r="B20391" t="s">
        <v>46505</v>
      </c>
      <c r="C20391">
        <v>0</v>
      </c>
      <c r="D20391" t="s">
        <v>106</v>
      </c>
      <c r="E20391">
        <v>24</v>
      </c>
    </row>
    <row r="20392" spans="1:5">
      <c r="A20392" t="s">
        <v>46502</v>
      </c>
      <c r="B20392" t="s">
        <v>46506</v>
      </c>
      <c r="C20392">
        <v>0</v>
      </c>
      <c r="D20392" t="s">
        <v>106</v>
      </c>
      <c r="E20392">
        <v>24</v>
      </c>
    </row>
    <row r="20393" spans="1:5">
      <c r="A20393" t="s">
        <v>46502</v>
      </c>
      <c r="B20393" t="s">
        <v>46507</v>
      </c>
      <c r="C20393">
        <v>0</v>
      </c>
      <c r="D20393" t="s">
        <v>106</v>
      </c>
      <c r="E20393">
        <v>24</v>
      </c>
    </row>
    <row r="20394" spans="1:5">
      <c r="A20394" t="s">
        <v>46508</v>
      </c>
      <c r="B20394" t="s">
        <v>46509</v>
      </c>
      <c r="C20394">
        <v>0</v>
      </c>
      <c r="D20394">
        <v>0.93814455063299995</v>
      </c>
      <c r="E20394">
        <v>0.26400000000000001</v>
      </c>
    </row>
    <row r="20395" spans="1:5">
      <c r="A20395" t="s">
        <v>46508</v>
      </c>
      <c r="B20395" t="s">
        <v>46510</v>
      </c>
      <c r="C20395">
        <v>0</v>
      </c>
      <c r="D20395">
        <v>0.93814455063299995</v>
      </c>
      <c r="E20395">
        <v>0.26400000000000001</v>
      </c>
    </row>
    <row r="20396" spans="1:5">
      <c r="A20396" t="s">
        <v>46508</v>
      </c>
      <c r="B20396" t="s">
        <v>46511</v>
      </c>
      <c r="C20396">
        <f>0</f>
        <v>0</v>
      </c>
      <c r="D20396">
        <v>0.93814455063299995</v>
      </c>
      <c r="E20396">
        <v>0.26400000000000001</v>
      </c>
    </row>
    <row r="20397" spans="1:5">
      <c r="A20397" t="s">
        <v>46508</v>
      </c>
      <c r="B20397" t="s">
        <v>46512</v>
      </c>
      <c r="C20397">
        <v>0.626616261924</v>
      </c>
      <c r="D20397">
        <v>0.93814455063299995</v>
      </c>
      <c r="E20397">
        <v>0.26400000000000001</v>
      </c>
    </row>
    <row r="20398" spans="1:5">
      <c r="A20398" t="s">
        <v>46508</v>
      </c>
      <c r="B20398" t="s">
        <v>46513</v>
      </c>
      <c r="C20398">
        <v>0.19605404987700001</v>
      </c>
      <c r="D20398">
        <v>0.93814455063299995</v>
      </c>
      <c r="E20398">
        <v>0.26400000000000001</v>
      </c>
    </row>
    <row r="20399" spans="1:5">
      <c r="A20399" t="s">
        <v>46514</v>
      </c>
      <c r="B20399" t="s">
        <v>10460</v>
      </c>
      <c r="C20399">
        <f>0</f>
        <v>0</v>
      </c>
      <c r="D20399">
        <v>0.97915062664200003</v>
      </c>
      <c r="E20399">
        <v>5.82</v>
      </c>
    </row>
    <row r="20400" spans="1:5">
      <c r="A20400" t="s">
        <v>46514</v>
      </c>
      <c r="B20400" t="s">
        <v>10458</v>
      </c>
      <c r="C20400">
        <v>0</v>
      </c>
      <c r="D20400">
        <v>0.97915062664200003</v>
      </c>
      <c r="E20400">
        <v>5.82</v>
      </c>
    </row>
    <row r="20401" spans="1:5">
      <c r="A20401" t="s">
        <v>46514</v>
      </c>
      <c r="B20401" t="s">
        <v>10457</v>
      </c>
      <c r="C20401">
        <v>0.48119669654800001</v>
      </c>
      <c r="D20401">
        <v>0.97915062664200003</v>
      </c>
      <c r="E20401">
        <v>5.82</v>
      </c>
    </row>
    <row r="20402" spans="1:5">
      <c r="A20402" t="s">
        <v>46514</v>
      </c>
      <c r="B20402" t="s">
        <v>10464</v>
      </c>
      <c r="C20402">
        <v>0.190645951988</v>
      </c>
      <c r="D20402">
        <v>0.97915062664200003</v>
      </c>
      <c r="E20402">
        <v>5.82</v>
      </c>
    </row>
    <row r="20403" spans="1:5">
      <c r="A20403" t="s">
        <v>46514</v>
      </c>
      <c r="B20403" t="s">
        <v>10461</v>
      </c>
      <c r="C20403">
        <v>0.50369881633799996</v>
      </c>
      <c r="D20403">
        <v>0.97915062664200003</v>
      </c>
      <c r="E20403">
        <v>5.82</v>
      </c>
    </row>
    <row r="20404" spans="1:5">
      <c r="A20404" t="s">
        <v>46514</v>
      </c>
      <c r="B20404" t="s">
        <v>10465</v>
      </c>
      <c r="C20404">
        <f>0.168571487818</f>
        <v>0.16857148781799999</v>
      </c>
      <c r="D20404">
        <v>0.97915062664200003</v>
      </c>
      <c r="E20404">
        <v>5.82</v>
      </c>
    </row>
    <row r="20405" spans="1:5">
      <c r="A20405" t="s">
        <v>46515</v>
      </c>
      <c r="B20405" t="s">
        <v>21301</v>
      </c>
      <c r="C20405">
        <v>0</v>
      </c>
      <c r="D20405" t="s">
        <v>106</v>
      </c>
      <c r="E20405">
        <v>24</v>
      </c>
    </row>
    <row r="20406" spans="1:5">
      <c r="A20406" t="s">
        <v>46515</v>
      </c>
      <c r="B20406" t="s">
        <v>21302</v>
      </c>
      <c r="C20406">
        <v>0</v>
      </c>
      <c r="D20406" t="s">
        <v>106</v>
      </c>
      <c r="E20406">
        <v>24</v>
      </c>
    </row>
    <row r="20407" spans="1:5">
      <c r="A20407" t="s">
        <v>46515</v>
      </c>
      <c r="B20407" t="s">
        <v>21304</v>
      </c>
      <c r="C20407">
        <v>0</v>
      </c>
      <c r="D20407" t="s">
        <v>106</v>
      </c>
      <c r="E20407">
        <v>24</v>
      </c>
    </row>
    <row r="20408" spans="1:5">
      <c r="A20408" t="s">
        <v>46515</v>
      </c>
      <c r="B20408" t="s">
        <v>21303</v>
      </c>
      <c r="C20408">
        <v>0</v>
      </c>
      <c r="D20408" t="s">
        <v>106</v>
      </c>
      <c r="E20408">
        <v>24</v>
      </c>
    </row>
    <row r="20409" spans="1:5">
      <c r="A20409" t="s">
        <v>46516</v>
      </c>
      <c r="B20409" t="s">
        <v>1820</v>
      </c>
      <c r="C20409">
        <f>0</f>
        <v>0</v>
      </c>
      <c r="D20409" t="s">
        <v>106</v>
      </c>
      <c r="E20409">
        <v>24</v>
      </c>
    </row>
    <row r="20410" spans="1:5">
      <c r="A20410" t="s">
        <v>46516</v>
      </c>
      <c r="B20410" t="s">
        <v>1821</v>
      </c>
      <c r="C20410">
        <v>0</v>
      </c>
      <c r="D20410" t="s">
        <v>106</v>
      </c>
      <c r="E20410">
        <v>24</v>
      </c>
    </row>
    <row r="20411" spans="1:5">
      <c r="A20411" t="s">
        <v>46516</v>
      </c>
      <c r="B20411" t="s">
        <v>1825</v>
      </c>
      <c r="C20411">
        <v>0</v>
      </c>
      <c r="D20411" t="s">
        <v>106</v>
      </c>
      <c r="E20411">
        <v>24</v>
      </c>
    </row>
    <row r="20412" spans="1:5">
      <c r="A20412" t="s">
        <v>46516</v>
      </c>
      <c r="B20412" t="s">
        <v>1824</v>
      </c>
      <c r="C20412">
        <v>0</v>
      </c>
      <c r="D20412" t="s">
        <v>106</v>
      </c>
      <c r="E20412">
        <v>24</v>
      </c>
    </row>
    <row r="20413" spans="1:5">
      <c r="A20413" t="s">
        <v>46517</v>
      </c>
      <c r="B20413" t="s">
        <v>20274</v>
      </c>
      <c r="C20413">
        <v>0.19912728535099999</v>
      </c>
      <c r="D20413">
        <v>0.997108768915</v>
      </c>
      <c r="E20413">
        <v>9.7739999999999991</v>
      </c>
    </row>
    <row r="20414" spans="1:5">
      <c r="A20414" t="s">
        <v>46517</v>
      </c>
      <c r="B20414" t="s">
        <v>20270</v>
      </c>
      <c r="C20414">
        <v>4.4731912265500003E-2</v>
      </c>
      <c r="D20414">
        <v>0.997108768915</v>
      </c>
      <c r="E20414">
        <v>9.7739999999999991</v>
      </c>
    </row>
    <row r="20415" spans="1:5">
      <c r="A20415" t="s">
        <v>46517</v>
      </c>
      <c r="B20415" t="s">
        <v>20275</v>
      </c>
      <c r="C20415">
        <f>0</f>
        <v>0</v>
      </c>
      <c r="D20415">
        <v>0.997108768915</v>
      </c>
      <c r="E20415">
        <v>9.7739999999999991</v>
      </c>
    </row>
    <row r="20416" spans="1:5">
      <c r="A20416" t="s">
        <v>46517</v>
      </c>
      <c r="B20416" t="s">
        <v>46518</v>
      </c>
      <c r="C20416">
        <v>0</v>
      </c>
      <c r="D20416">
        <v>0.997108768915</v>
      </c>
      <c r="E20416">
        <v>9.7739999999999991</v>
      </c>
    </row>
    <row r="20417" spans="1:5">
      <c r="A20417" t="s">
        <v>46517</v>
      </c>
      <c r="B20417" t="s">
        <v>20272</v>
      </c>
      <c r="C20417">
        <f>0.148877443759</f>
        <v>0.148877443759</v>
      </c>
      <c r="D20417">
        <v>0.997108768915</v>
      </c>
      <c r="E20417">
        <v>9.7739999999999991</v>
      </c>
    </row>
    <row r="20418" spans="1:5">
      <c r="A20418" t="s">
        <v>46517</v>
      </c>
      <c r="B20418" t="s">
        <v>20271</v>
      </c>
      <c r="C20418">
        <v>0.88516697567900005</v>
      </c>
      <c r="D20418">
        <v>0.997108768915</v>
      </c>
      <c r="E20418">
        <v>9.7739999999999991</v>
      </c>
    </row>
    <row r="20419" spans="1:5">
      <c r="A20419" t="s">
        <v>46517</v>
      </c>
      <c r="B20419" t="s">
        <v>20276</v>
      </c>
      <c r="C20419">
        <v>0.507252128375</v>
      </c>
      <c r="D20419">
        <v>0.997108768915</v>
      </c>
      <c r="E20419">
        <v>9.7739999999999991</v>
      </c>
    </row>
    <row r="20420" spans="1:5">
      <c r="A20420" t="s">
        <v>46517</v>
      </c>
      <c r="B20420" t="s">
        <v>46519</v>
      </c>
      <c r="C20420">
        <f>0.747103663336</f>
        <v>0.74710366333599998</v>
      </c>
      <c r="D20420">
        <v>0.997108768915</v>
      </c>
      <c r="E20420">
        <v>9.7739999999999991</v>
      </c>
    </row>
    <row r="20421" spans="1:5">
      <c r="A20421" t="s">
        <v>46517</v>
      </c>
      <c r="B20421" t="s">
        <v>20280</v>
      </c>
      <c r="C20421">
        <v>0</v>
      </c>
      <c r="D20421">
        <v>0.997108768915</v>
      </c>
      <c r="E20421">
        <v>9.7739999999999991</v>
      </c>
    </row>
    <row r="20422" spans="1:5">
      <c r="A20422" t="s">
        <v>46520</v>
      </c>
      <c r="B20422" t="s">
        <v>46521</v>
      </c>
      <c r="C20422">
        <v>0</v>
      </c>
      <c r="D20422" t="s">
        <v>106</v>
      </c>
      <c r="E20422">
        <v>14.747999999999999</v>
      </c>
    </row>
    <row r="20423" spans="1:5">
      <c r="A20423" t="s">
        <v>46520</v>
      </c>
      <c r="B20423" t="s">
        <v>46522</v>
      </c>
      <c r="C20423">
        <v>0</v>
      </c>
      <c r="D20423" t="s">
        <v>106</v>
      </c>
      <c r="E20423">
        <v>14.747999999999999</v>
      </c>
    </row>
    <row r="20424" spans="1:5">
      <c r="A20424" t="s">
        <v>46520</v>
      </c>
      <c r="B20424" t="s">
        <v>46523</v>
      </c>
      <c r="C20424">
        <v>0</v>
      </c>
      <c r="D20424" t="s">
        <v>106</v>
      </c>
      <c r="E20424">
        <v>14.747999999999999</v>
      </c>
    </row>
    <row r="20425" spans="1:5">
      <c r="A20425" t="s">
        <v>46520</v>
      </c>
      <c r="B20425" t="s">
        <v>46524</v>
      </c>
      <c r="C20425">
        <v>0</v>
      </c>
      <c r="D20425" t="s">
        <v>106</v>
      </c>
      <c r="E20425">
        <v>14.747999999999999</v>
      </c>
    </row>
    <row r="20426" spans="1:5">
      <c r="A20426" t="s">
        <v>46520</v>
      </c>
      <c r="B20426" t="s">
        <v>46525</v>
      </c>
      <c r="C20426">
        <v>0</v>
      </c>
      <c r="D20426" t="s">
        <v>106</v>
      </c>
      <c r="E20426">
        <v>14.747999999999999</v>
      </c>
    </row>
    <row r="20427" spans="1:5">
      <c r="A20427" t="s">
        <v>46520</v>
      </c>
      <c r="B20427" t="s">
        <v>46526</v>
      </c>
      <c r="C20427">
        <v>0</v>
      </c>
      <c r="D20427" t="s">
        <v>106</v>
      </c>
      <c r="E20427">
        <v>14.747999999999999</v>
      </c>
    </row>
    <row r="20428" spans="1:5">
      <c r="A20428" t="s">
        <v>46520</v>
      </c>
      <c r="B20428" t="s">
        <v>46527</v>
      </c>
      <c r="C20428">
        <v>0</v>
      </c>
      <c r="D20428" t="s">
        <v>106</v>
      </c>
      <c r="E20428">
        <v>14.747999999999999</v>
      </c>
    </row>
    <row r="20429" spans="1:5">
      <c r="A20429" t="s">
        <v>46520</v>
      </c>
      <c r="B20429" t="s">
        <v>46528</v>
      </c>
      <c r="C20429">
        <v>0</v>
      </c>
      <c r="D20429" t="s">
        <v>106</v>
      </c>
      <c r="E20429">
        <v>14.747999999999999</v>
      </c>
    </row>
    <row r="20430" spans="1:5">
      <c r="A20430" t="s">
        <v>46520</v>
      </c>
      <c r="B20430" t="s">
        <v>46529</v>
      </c>
      <c r="C20430">
        <f>0</f>
        <v>0</v>
      </c>
      <c r="D20430" t="s">
        <v>106</v>
      </c>
      <c r="E20430">
        <v>14.747999999999999</v>
      </c>
    </row>
    <row r="20431" spans="1:5">
      <c r="A20431" t="s">
        <v>46530</v>
      </c>
      <c r="B20431" t="s">
        <v>46531</v>
      </c>
      <c r="C20431">
        <f>0.163954105921</f>
        <v>0.16395410592099999</v>
      </c>
      <c r="D20431">
        <v>0.99823239793499996</v>
      </c>
      <c r="E20431">
        <v>1.8959999999999999</v>
      </c>
    </row>
    <row r="20432" spans="1:5">
      <c r="A20432" t="s">
        <v>46530</v>
      </c>
      <c r="B20432" t="s">
        <v>46532</v>
      </c>
      <c r="C20432">
        <f>0.147547886762</f>
        <v>0.14754788676200001</v>
      </c>
      <c r="D20432">
        <v>0.99823239793499996</v>
      </c>
      <c r="E20432">
        <v>1.8959999999999999</v>
      </c>
    </row>
    <row r="20433" spans="1:5">
      <c r="A20433" t="s">
        <v>46530</v>
      </c>
      <c r="B20433" t="s">
        <v>46533</v>
      </c>
      <c r="C20433">
        <f>0.0836786691291</f>
        <v>8.3678669129100006E-2</v>
      </c>
      <c r="D20433">
        <v>0.99823239793499996</v>
      </c>
      <c r="E20433">
        <v>1.8959999999999999</v>
      </c>
    </row>
    <row r="20434" spans="1:5">
      <c r="A20434" t="s">
        <v>46530</v>
      </c>
      <c r="B20434" t="s">
        <v>46534</v>
      </c>
      <c r="C20434">
        <f>0.380858765803</f>
        <v>0.38085876580299999</v>
      </c>
      <c r="D20434">
        <v>0.99823239793499996</v>
      </c>
      <c r="E20434">
        <v>1.8959999999999999</v>
      </c>
    </row>
    <row r="20435" spans="1:5">
      <c r="A20435" t="s">
        <v>46530</v>
      </c>
      <c r="B20435" t="s">
        <v>46535</v>
      </c>
      <c r="C20435">
        <v>0.37741468496699998</v>
      </c>
      <c r="D20435">
        <v>0.99823239793499996</v>
      </c>
      <c r="E20435">
        <v>1.8959999999999999</v>
      </c>
    </row>
    <row r="20436" spans="1:5">
      <c r="A20436" t="s">
        <v>46530</v>
      </c>
      <c r="B20436" t="s">
        <v>46536</v>
      </c>
      <c r="C20436">
        <f>0.507794341673</f>
        <v>0.50779434167299997</v>
      </c>
      <c r="D20436">
        <v>0.99823239793499996</v>
      </c>
      <c r="E20436">
        <v>1.8959999999999999</v>
      </c>
    </row>
    <row r="20437" spans="1:5">
      <c r="A20437" t="s">
        <v>46530</v>
      </c>
      <c r="B20437" t="s">
        <v>46537</v>
      </c>
      <c r="C20437">
        <v>0.67832026178399996</v>
      </c>
      <c r="D20437">
        <v>0.99823239793499996</v>
      </c>
      <c r="E20437">
        <v>1.8959999999999999</v>
      </c>
    </row>
    <row r="20438" spans="1:5">
      <c r="A20438" t="s">
        <v>46538</v>
      </c>
      <c r="B20438" t="s">
        <v>46539</v>
      </c>
      <c r="C20438">
        <v>0</v>
      </c>
      <c r="D20438">
        <v>0.94269603448700001</v>
      </c>
      <c r="E20438">
        <v>0.192</v>
      </c>
    </row>
    <row r="20439" spans="1:5">
      <c r="A20439" t="s">
        <v>46538</v>
      </c>
      <c r="B20439" t="s">
        <v>46540</v>
      </c>
      <c r="C20439">
        <f>0</f>
        <v>0</v>
      </c>
      <c r="D20439">
        <v>0.94269603448700001</v>
      </c>
      <c r="E20439">
        <v>0.192</v>
      </c>
    </row>
    <row r="20440" spans="1:5">
      <c r="A20440" t="s">
        <v>46538</v>
      </c>
      <c r="B20440" t="s">
        <v>46541</v>
      </c>
      <c r="C20440">
        <v>0</v>
      </c>
      <c r="D20440">
        <v>0.94269603448700001</v>
      </c>
      <c r="E20440">
        <v>0.192</v>
      </c>
    </row>
    <row r="20441" spans="1:5">
      <c r="A20441" t="s">
        <v>46538</v>
      </c>
      <c r="B20441" t="s">
        <v>46542</v>
      </c>
      <c r="C20441">
        <f>0.619042278096</f>
        <v>0.61904227809599999</v>
      </c>
      <c r="D20441">
        <v>0.94269603448700001</v>
      </c>
      <c r="E20441">
        <v>0.192</v>
      </c>
    </row>
    <row r="20442" spans="1:5">
      <c r="A20442" t="s">
        <v>46538</v>
      </c>
      <c r="B20442" t="s">
        <v>46543</v>
      </c>
      <c r="C20442">
        <v>0.17357526180800001</v>
      </c>
      <c r="D20442">
        <v>0.94269603448700001</v>
      </c>
      <c r="E20442">
        <v>0.192</v>
      </c>
    </row>
    <row r="20443" spans="1:5">
      <c r="A20443" t="s">
        <v>46538</v>
      </c>
      <c r="B20443" t="s">
        <v>46544</v>
      </c>
      <c r="C20443">
        <v>0</v>
      </c>
      <c r="D20443">
        <v>0.94269603448700001</v>
      </c>
      <c r="E20443">
        <v>0.192</v>
      </c>
    </row>
    <row r="20444" spans="1:5">
      <c r="A20444" t="s">
        <v>46538</v>
      </c>
      <c r="B20444" t="s">
        <v>46545</v>
      </c>
      <c r="C20444">
        <f>0</f>
        <v>0</v>
      </c>
      <c r="D20444">
        <v>0.94269603448700001</v>
      </c>
      <c r="E20444">
        <v>0.192</v>
      </c>
    </row>
    <row r="20445" spans="1:5">
      <c r="A20445" t="s">
        <v>46538</v>
      </c>
      <c r="B20445" t="s">
        <v>46546</v>
      </c>
      <c r="C20445">
        <f>0.0793147764278</f>
        <v>7.9314776427799993E-2</v>
      </c>
      <c r="D20445">
        <v>0.94269603448700001</v>
      </c>
      <c r="E20445">
        <v>0.192</v>
      </c>
    </row>
    <row r="20446" spans="1:5">
      <c r="A20446" t="s">
        <v>46538</v>
      </c>
      <c r="B20446" t="s">
        <v>46547</v>
      </c>
      <c r="C20446">
        <f>0</f>
        <v>0</v>
      </c>
      <c r="D20446">
        <v>0.94269603448700001</v>
      </c>
      <c r="E20446">
        <v>0.192</v>
      </c>
    </row>
    <row r="20447" spans="1:5">
      <c r="A20447" t="s">
        <v>46538</v>
      </c>
      <c r="B20447" t="s">
        <v>46548</v>
      </c>
      <c r="C20447">
        <f>0</f>
        <v>0</v>
      </c>
      <c r="D20447">
        <v>0.94269603448700001</v>
      </c>
      <c r="E20447">
        <v>0.192</v>
      </c>
    </row>
    <row r="20448" spans="1:5">
      <c r="A20448" t="s">
        <v>46538</v>
      </c>
      <c r="B20448" t="s">
        <v>46549</v>
      </c>
      <c r="C20448">
        <f>0</f>
        <v>0</v>
      </c>
      <c r="D20448">
        <v>0.94269603448700001</v>
      </c>
      <c r="E20448">
        <v>0.192</v>
      </c>
    </row>
    <row r="20449" spans="1:5">
      <c r="A20449" t="s">
        <v>46538</v>
      </c>
      <c r="B20449" t="s">
        <v>46550</v>
      </c>
      <c r="C20449">
        <f>0</f>
        <v>0</v>
      </c>
      <c r="D20449">
        <v>0.94269603448700001</v>
      </c>
      <c r="E20449">
        <v>0.192</v>
      </c>
    </row>
    <row r="20450" spans="1:5">
      <c r="A20450" t="s">
        <v>46551</v>
      </c>
      <c r="B20450" t="s">
        <v>29938</v>
      </c>
      <c r="C20450">
        <f>0.2583723927</f>
        <v>0.25837239270000001</v>
      </c>
      <c r="D20450">
        <v>0.58769812732100002</v>
      </c>
      <c r="E20450">
        <v>10.398</v>
      </c>
    </row>
    <row r="20451" spans="1:5">
      <c r="A20451" t="s">
        <v>46551</v>
      </c>
      <c r="B20451" t="s">
        <v>29936</v>
      </c>
      <c r="C20451">
        <f>0.252316691796</f>
        <v>0.25231669179600003</v>
      </c>
      <c r="D20451">
        <v>0.58769812732100002</v>
      </c>
      <c r="E20451">
        <v>10.398</v>
      </c>
    </row>
    <row r="20452" spans="1:5">
      <c r="A20452" t="s">
        <v>46551</v>
      </c>
      <c r="B20452" t="s">
        <v>29937</v>
      </c>
      <c r="C20452">
        <f>0</f>
        <v>0</v>
      </c>
      <c r="D20452">
        <v>0.58769812732100002</v>
      </c>
      <c r="E20452">
        <v>10.398</v>
      </c>
    </row>
    <row r="20453" spans="1:5">
      <c r="A20453" t="s">
        <v>46552</v>
      </c>
      <c r="B20453" t="s">
        <v>32053</v>
      </c>
      <c r="C20453">
        <f>0</f>
        <v>0</v>
      </c>
      <c r="D20453">
        <v>0.77480564532499996</v>
      </c>
      <c r="E20453">
        <v>1.3919999999999999</v>
      </c>
    </row>
    <row r="20454" spans="1:5">
      <c r="A20454" t="s">
        <v>46552</v>
      </c>
      <c r="B20454" t="s">
        <v>32050</v>
      </c>
      <c r="C20454">
        <f>0</f>
        <v>0</v>
      </c>
      <c r="D20454">
        <v>0.77480564532499996</v>
      </c>
      <c r="E20454">
        <v>1.3919999999999999</v>
      </c>
    </row>
    <row r="20455" spans="1:5">
      <c r="A20455" t="s">
        <v>46552</v>
      </c>
      <c r="B20455" t="s">
        <v>32049</v>
      </c>
      <c r="C20455">
        <v>0.54439564532499995</v>
      </c>
      <c r="D20455">
        <v>0.77480564532499996</v>
      </c>
      <c r="E20455">
        <v>1.3919999999999999</v>
      </c>
    </row>
    <row r="20456" spans="1:5">
      <c r="A20456" t="s">
        <v>46553</v>
      </c>
      <c r="B20456" t="s">
        <v>11813</v>
      </c>
      <c r="C20456">
        <f>0</f>
        <v>0</v>
      </c>
      <c r="D20456">
        <v>0.60504849389299997</v>
      </c>
      <c r="E20456">
        <v>5.016</v>
      </c>
    </row>
    <row r="20457" spans="1:5">
      <c r="A20457" t="s">
        <v>46553</v>
      </c>
      <c r="B20457" t="s">
        <v>11815</v>
      </c>
      <c r="C20457">
        <f>0.291438493893</f>
        <v>0.29143849389299997</v>
      </c>
      <c r="D20457">
        <v>0.60504849389299997</v>
      </c>
      <c r="E20457">
        <v>5.016</v>
      </c>
    </row>
    <row r="20458" spans="1:5">
      <c r="A20458" t="s">
        <v>46553</v>
      </c>
      <c r="B20458" t="s">
        <v>11814</v>
      </c>
      <c r="C20458">
        <v>0</v>
      </c>
      <c r="D20458">
        <v>0.60504849389299997</v>
      </c>
      <c r="E20458">
        <v>5.016</v>
      </c>
    </row>
    <row r="20459" spans="1:5">
      <c r="A20459" t="s">
        <v>46553</v>
      </c>
      <c r="B20459" t="s">
        <v>11816</v>
      </c>
      <c r="C20459">
        <f>0</f>
        <v>0</v>
      </c>
      <c r="D20459">
        <v>0.60504849389299997</v>
      </c>
      <c r="E20459">
        <v>5.016</v>
      </c>
    </row>
    <row r="20460" spans="1:5">
      <c r="A20460" t="s">
        <v>46554</v>
      </c>
      <c r="B20460" t="s">
        <v>27068</v>
      </c>
      <c r="C20460">
        <f>0.360616457414</f>
        <v>0.360616457414</v>
      </c>
      <c r="D20460">
        <v>0.55422645741400001</v>
      </c>
      <c r="E20460">
        <v>0.87</v>
      </c>
    </row>
    <row r="20461" spans="1:5">
      <c r="A20461" t="s">
        <v>46554</v>
      </c>
      <c r="B20461" t="s">
        <v>27070</v>
      </c>
      <c r="C20461">
        <v>0</v>
      </c>
      <c r="D20461">
        <v>0.55422645741400001</v>
      </c>
      <c r="E20461">
        <v>0.87</v>
      </c>
    </row>
    <row r="20462" spans="1:5">
      <c r="A20462" t="s">
        <v>46554</v>
      </c>
      <c r="B20462" t="s">
        <v>27069</v>
      </c>
      <c r="C20462">
        <v>0</v>
      </c>
      <c r="D20462">
        <v>0.55422645741400001</v>
      </c>
      <c r="E20462">
        <v>0.87</v>
      </c>
    </row>
    <row r="20463" spans="1:5">
      <c r="A20463" t="s">
        <v>46555</v>
      </c>
      <c r="B20463" t="s">
        <v>27230</v>
      </c>
      <c r="C20463">
        <f>0.649629481862</f>
        <v>0.64962948186199998</v>
      </c>
      <c r="D20463">
        <v>0.98742656185099997</v>
      </c>
      <c r="E20463">
        <v>7.8719999999999999</v>
      </c>
    </row>
    <row r="20464" spans="1:5">
      <c r="A20464" t="s">
        <v>46555</v>
      </c>
      <c r="B20464" t="s">
        <v>27231</v>
      </c>
      <c r="C20464">
        <f>0.462017359126</f>
        <v>0.462017359126</v>
      </c>
      <c r="D20464">
        <v>0.98742656185099997</v>
      </c>
      <c r="E20464">
        <v>7.8719999999999999</v>
      </c>
    </row>
    <row r="20465" spans="1:5">
      <c r="A20465" t="s">
        <v>46555</v>
      </c>
      <c r="B20465" t="s">
        <v>27233</v>
      </c>
      <c r="C20465">
        <f>0</f>
        <v>0</v>
      </c>
      <c r="D20465">
        <v>0.98742656185099997</v>
      </c>
      <c r="E20465">
        <v>7.8719999999999999</v>
      </c>
    </row>
    <row r="20466" spans="1:5">
      <c r="A20466" t="s">
        <v>46555</v>
      </c>
      <c r="B20466" t="s">
        <v>27235</v>
      </c>
      <c r="C20466">
        <v>0.88793710864700004</v>
      </c>
      <c r="D20466">
        <v>0.98742656185099997</v>
      </c>
      <c r="E20466">
        <v>7.8719999999999999</v>
      </c>
    </row>
    <row r="20467" spans="1:5">
      <c r="A20467" t="s">
        <v>46555</v>
      </c>
      <c r="B20467" t="s">
        <v>27232</v>
      </c>
      <c r="C20467">
        <v>0.20717705900300001</v>
      </c>
      <c r="D20467">
        <v>0.98742656185099997</v>
      </c>
      <c r="E20467">
        <v>7.8719999999999999</v>
      </c>
    </row>
    <row r="20468" spans="1:5">
      <c r="A20468" t="s">
        <v>46555</v>
      </c>
      <c r="B20468" t="s">
        <v>27234</v>
      </c>
      <c r="C20468">
        <v>0</v>
      </c>
      <c r="D20468">
        <v>0.98742656185099997</v>
      </c>
      <c r="E20468">
        <v>7.8719999999999999</v>
      </c>
    </row>
    <row r="20469" spans="1:5">
      <c r="A20469" t="s">
        <v>46556</v>
      </c>
      <c r="B20469" t="s">
        <v>24706</v>
      </c>
      <c r="C20469">
        <f>0</f>
        <v>0</v>
      </c>
      <c r="D20469" t="s">
        <v>106</v>
      </c>
      <c r="E20469">
        <v>3.1379999999999999</v>
      </c>
    </row>
    <row r="20470" spans="1:5">
      <c r="A20470" t="s">
        <v>46556</v>
      </c>
      <c r="B20470" t="s">
        <v>24710</v>
      </c>
      <c r="C20470">
        <f>0</f>
        <v>0</v>
      </c>
      <c r="D20470" t="s">
        <v>106</v>
      </c>
      <c r="E20470">
        <v>3.1379999999999999</v>
      </c>
    </row>
    <row r="20471" spans="1:5">
      <c r="A20471" t="s">
        <v>46556</v>
      </c>
      <c r="B20471" t="s">
        <v>24709</v>
      </c>
      <c r="C20471">
        <v>0</v>
      </c>
      <c r="D20471" t="s">
        <v>106</v>
      </c>
      <c r="E20471">
        <v>3.1379999999999999</v>
      </c>
    </row>
    <row r="20472" spans="1:5">
      <c r="A20472" t="s">
        <v>46556</v>
      </c>
      <c r="B20472" t="s">
        <v>24712</v>
      </c>
      <c r="C20472">
        <f>0</f>
        <v>0</v>
      </c>
      <c r="D20472" t="s">
        <v>106</v>
      </c>
      <c r="E20472">
        <v>3.1379999999999999</v>
      </c>
    </row>
    <row r="20473" spans="1:5">
      <c r="A20473" t="s">
        <v>46557</v>
      </c>
      <c r="B20473" t="s">
        <v>11523</v>
      </c>
      <c r="C20473">
        <f>0</f>
        <v>0</v>
      </c>
      <c r="D20473" t="s">
        <v>106</v>
      </c>
      <c r="E20473">
        <v>4.4820000000000002</v>
      </c>
    </row>
    <row r="20474" spans="1:5">
      <c r="A20474" t="s">
        <v>46557</v>
      </c>
      <c r="B20474" t="s">
        <v>11527</v>
      </c>
      <c r="C20474">
        <v>0</v>
      </c>
      <c r="D20474" t="s">
        <v>106</v>
      </c>
      <c r="E20474">
        <v>4.4820000000000002</v>
      </c>
    </row>
    <row r="20475" spans="1:5">
      <c r="A20475" t="s">
        <v>46558</v>
      </c>
      <c r="B20475" t="s">
        <v>46559</v>
      </c>
      <c r="C20475">
        <v>0.35505409599900001</v>
      </c>
      <c r="D20475">
        <v>0.99808001066600005</v>
      </c>
      <c r="E20475">
        <v>14.747999999999999</v>
      </c>
    </row>
    <row r="20476" spans="1:5">
      <c r="A20476" t="s">
        <v>46558</v>
      </c>
      <c r="B20476" t="s">
        <v>46560</v>
      </c>
      <c r="C20476">
        <v>0</v>
      </c>
      <c r="D20476">
        <v>0.99808001066600005</v>
      </c>
      <c r="E20476">
        <v>14.747999999999999</v>
      </c>
    </row>
    <row r="20477" spans="1:5">
      <c r="A20477" t="s">
        <v>46558</v>
      </c>
      <c r="B20477" t="s">
        <v>46561</v>
      </c>
      <c r="C20477">
        <v>8.1774060279799998E-2</v>
      </c>
      <c r="D20477">
        <v>0.99808001066600005</v>
      </c>
      <c r="E20477">
        <v>14.747999999999999</v>
      </c>
    </row>
    <row r="20478" spans="1:5">
      <c r="A20478" t="s">
        <v>46558</v>
      </c>
      <c r="B20478" t="s">
        <v>46562</v>
      </c>
      <c r="C20478">
        <v>0</v>
      </c>
      <c r="D20478">
        <v>0.99808001066600005</v>
      </c>
      <c r="E20478">
        <v>14.747999999999999</v>
      </c>
    </row>
    <row r="20479" spans="1:5">
      <c r="A20479" t="s">
        <v>46558</v>
      </c>
      <c r="B20479" t="s">
        <v>46563</v>
      </c>
      <c r="C20479">
        <v>0</v>
      </c>
      <c r="D20479">
        <v>0.99808001066600005</v>
      </c>
      <c r="E20479">
        <v>14.747999999999999</v>
      </c>
    </row>
    <row r="20480" spans="1:5">
      <c r="A20480" t="s">
        <v>46558</v>
      </c>
      <c r="B20480" t="s">
        <v>46564</v>
      </c>
      <c r="C20480">
        <v>0.37983770416399998</v>
      </c>
      <c r="D20480">
        <v>0.99808001066600005</v>
      </c>
      <c r="E20480">
        <v>14.747999999999999</v>
      </c>
    </row>
    <row r="20481" spans="1:5">
      <c r="A20481" t="s">
        <v>46558</v>
      </c>
      <c r="B20481" t="s">
        <v>46565</v>
      </c>
      <c r="C20481">
        <f>0.71172900151</f>
        <v>0.71172900150999996</v>
      </c>
      <c r="D20481">
        <v>0.99808001066600005</v>
      </c>
      <c r="E20481">
        <v>14.747999999999999</v>
      </c>
    </row>
    <row r="20482" spans="1:5">
      <c r="A20482" t="s">
        <v>46558</v>
      </c>
      <c r="B20482" t="s">
        <v>46566</v>
      </c>
      <c r="C20482">
        <v>0.14624691999799999</v>
      </c>
      <c r="D20482">
        <v>0.99808001066600005</v>
      </c>
      <c r="E20482">
        <v>14.747999999999999</v>
      </c>
    </row>
    <row r="20483" spans="1:5">
      <c r="A20483" t="s">
        <v>46558</v>
      </c>
      <c r="B20483" t="s">
        <v>46567</v>
      </c>
      <c r="C20483">
        <f>0.372452274</f>
        <v>0.37245227400000003</v>
      </c>
      <c r="D20483">
        <v>0.99808001066600005</v>
      </c>
      <c r="E20483">
        <v>14.747999999999999</v>
      </c>
    </row>
    <row r="20484" spans="1:5">
      <c r="A20484" t="s">
        <v>46558</v>
      </c>
      <c r="B20484" t="s">
        <v>46568</v>
      </c>
      <c r="C20484">
        <v>3.46649380073E-2</v>
      </c>
      <c r="D20484">
        <v>0.99808001066600005</v>
      </c>
      <c r="E20484">
        <v>14.747999999999999</v>
      </c>
    </row>
    <row r="20485" spans="1:5">
      <c r="A20485" t="s">
        <v>46569</v>
      </c>
      <c r="B20485" t="s">
        <v>27222</v>
      </c>
      <c r="C20485">
        <f>0.700174565373</f>
        <v>0.70017456537300005</v>
      </c>
      <c r="D20485">
        <v>0.82753488380499995</v>
      </c>
      <c r="E20485">
        <v>0.58199999999999996</v>
      </c>
    </row>
    <row r="20486" spans="1:5">
      <c r="A20486" t="s">
        <v>46569</v>
      </c>
      <c r="B20486" t="s">
        <v>27224</v>
      </c>
      <c r="C20486">
        <f>0.828452445806</f>
        <v>0.82845244580599997</v>
      </c>
      <c r="D20486">
        <v>0.82753488380499995</v>
      </c>
      <c r="E20486">
        <v>0.58199999999999996</v>
      </c>
    </row>
    <row r="20487" spans="1:5">
      <c r="A20487" t="s">
        <v>46569</v>
      </c>
      <c r="B20487" t="s">
        <v>27223</v>
      </c>
      <c r="C20487">
        <v>1.31061617471</v>
      </c>
      <c r="D20487">
        <v>0.82753488380499995</v>
      </c>
      <c r="E20487">
        <v>0.58199999999999996</v>
      </c>
    </row>
    <row r="20488" spans="1:5">
      <c r="A20488" t="s">
        <v>46570</v>
      </c>
      <c r="B20488" t="s">
        <v>46571</v>
      </c>
      <c r="C20488">
        <v>0.61343839839799996</v>
      </c>
      <c r="D20488">
        <v>0.866837554284</v>
      </c>
      <c r="E20488">
        <v>5.1239999999999997</v>
      </c>
    </row>
    <row r="20489" spans="1:5">
      <c r="A20489" t="s">
        <v>46570</v>
      </c>
      <c r="B20489" t="s">
        <v>46572</v>
      </c>
      <c r="C20489">
        <v>0.50026888165299999</v>
      </c>
      <c r="D20489">
        <v>0.866837554284</v>
      </c>
      <c r="E20489">
        <v>5.1239999999999997</v>
      </c>
    </row>
    <row r="20490" spans="1:5">
      <c r="A20490" t="s">
        <v>46570</v>
      </c>
      <c r="B20490" t="s">
        <v>46573</v>
      </c>
      <c r="C20490">
        <v>5.81708145941E-2</v>
      </c>
      <c r="D20490">
        <v>0.866837554284</v>
      </c>
      <c r="E20490">
        <v>5.1239999999999997</v>
      </c>
    </row>
    <row r="20491" spans="1:5">
      <c r="A20491" t="s">
        <v>46574</v>
      </c>
      <c r="B20491" t="s">
        <v>33360</v>
      </c>
      <c r="C20491">
        <f>0</f>
        <v>0</v>
      </c>
      <c r="D20491">
        <v>0.74793086019999999</v>
      </c>
      <c r="E20491">
        <v>24</v>
      </c>
    </row>
    <row r="20492" spans="1:5">
      <c r="A20492" t="s">
        <v>46574</v>
      </c>
      <c r="B20492" t="s">
        <v>33361</v>
      </c>
      <c r="C20492">
        <v>0</v>
      </c>
      <c r="D20492">
        <v>0.74793086019999999</v>
      </c>
      <c r="E20492">
        <v>24</v>
      </c>
    </row>
    <row r="20493" spans="1:5">
      <c r="A20493" t="s">
        <v>46574</v>
      </c>
      <c r="B20493" t="s">
        <v>33362</v>
      </c>
      <c r="C20493">
        <f>0.4343208602</f>
        <v>0.43432086019999999</v>
      </c>
      <c r="D20493">
        <v>0.74793086019999999</v>
      </c>
      <c r="E20493">
        <v>24</v>
      </c>
    </row>
    <row r="20494" spans="1:5">
      <c r="A20494" t="s">
        <v>46575</v>
      </c>
      <c r="B20494" t="s">
        <v>46576</v>
      </c>
      <c r="C20494">
        <f>0.508157776267</f>
        <v>0.50815777626699998</v>
      </c>
      <c r="D20494">
        <v>0.74176349726299995</v>
      </c>
      <c r="E20494">
        <v>24</v>
      </c>
    </row>
    <row r="20495" spans="1:5">
      <c r="A20495" t="s">
        <v>46575</v>
      </c>
      <c r="B20495" t="s">
        <v>46577</v>
      </c>
      <c r="C20495">
        <v>1.0063814026299999E-2</v>
      </c>
      <c r="D20495">
        <v>0.74176349726299995</v>
      </c>
      <c r="E20495">
        <v>24</v>
      </c>
    </row>
    <row r="20496" spans="1:5">
      <c r="A20496" t="s">
        <v>46578</v>
      </c>
      <c r="B20496" t="s">
        <v>46579</v>
      </c>
      <c r="C20496">
        <f>0</f>
        <v>0</v>
      </c>
      <c r="D20496">
        <v>0.97333859357999997</v>
      </c>
      <c r="E20496">
        <v>17.718</v>
      </c>
    </row>
    <row r="20497" spans="1:5">
      <c r="A20497" t="s">
        <v>46578</v>
      </c>
      <c r="B20497" t="s">
        <v>46580</v>
      </c>
      <c r="C20497">
        <f>0</f>
        <v>0</v>
      </c>
      <c r="D20497">
        <v>0.97333859357999997</v>
      </c>
      <c r="E20497">
        <v>17.718</v>
      </c>
    </row>
    <row r="20498" spans="1:5">
      <c r="A20498" t="s">
        <v>46578</v>
      </c>
      <c r="B20498" t="s">
        <v>46581</v>
      </c>
      <c r="C20498">
        <v>0</v>
      </c>
      <c r="D20498">
        <v>0.97333859357999997</v>
      </c>
      <c r="E20498">
        <v>17.718</v>
      </c>
    </row>
    <row r="20499" spans="1:5">
      <c r="A20499" t="s">
        <v>46578</v>
      </c>
      <c r="B20499" t="s">
        <v>46582</v>
      </c>
      <c r="C20499">
        <v>0</v>
      </c>
      <c r="D20499">
        <v>0.97333859357999997</v>
      </c>
      <c r="E20499">
        <v>17.718</v>
      </c>
    </row>
    <row r="20500" spans="1:5">
      <c r="A20500" t="s">
        <v>46578</v>
      </c>
      <c r="B20500" t="s">
        <v>46583</v>
      </c>
      <c r="C20500">
        <v>0.196497727269</v>
      </c>
      <c r="D20500">
        <v>0.97333859357999997</v>
      </c>
      <c r="E20500">
        <v>17.718</v>
      </c>
    </row>
    <row r="20501" spans="1:5">
      <c r="A20501" t="s">
        <v>46578</v>
      </c>
      <c r="B20501" t="s">
        <v>46584</v>
      </c>
      <c r="C20501">
        <f>0</f>
        <v>0</v>
      </c>
      <c r="D20501">
        <v>0.97333859357999997</v>
      </c>
      <c r="E20501">
        <v>17.718</v>
      </c>
    </row>
    <row r="20502" spans="1:5">
      <c r="A20502" t="s">
        <v>46578</v>
      </c>
      <c r="B20502" t="s">
        <v>46585</v>
      </c>
      <c r="C20502">
        <v>0.96399061360899996</v>
      </c>
      <c r="D20502">
        <v>0.97333859357999997</v>
      </c>
      <c r="E20502">
        <v>17.718</v>
      </c>
    </row>
    <row r="20503" spans="1:5">
      <c r="A20503" t="s">
        <v>46586</v>
      </c>
      <c r="B20503" t="s">
        <v>28490</v>
      </c>
      <c r="C20503">
        <v>0</v>
      </c>
      <c r="D20503" t="s">
        <v>106</v>
      </c>
      <c r="E20503">
        <v>0</v>
      </c>
    </row>
    <row r="20504" spans="1:5">
      <c r="A20504" t="s">
        <v>46586</v>
      </c>
      <c r="B20504" t="s">
        <v>28497</v>
      </c>
      <c r="C20504">
        <f>0</f>
        <v>0</v>
      </c>
      <c r="D20504" t="s">
        <v>106</v>
      </c>
      <c r="E20504">
        <v>0</v>
      </c>
    </row>
    <row r="20505" spans="1:5">
      <c r="A20505" t="s">
        <v>46586</v>
      </c>
      <c r="B20505" t="s">
        <v>28491</v>
      </c>
      <c r="C20505">
        <v>0</v>
      </c>
      <c r="D20505" t="s">
        <v>106</v>
      </c>
      <c r="E20505">
        <v>0</v>
      </c>
    </row>
    <row r="20506" spans="1:5">
      <c r="A20506" t="s">
        <v>46586</v>
      </c>
      <c r="B20506" t="s">
        <v>28496</v>
      </c>
      <c r="C20506">
        <f>0</f>
        <v>0</v>
      </c>
      <c r="D20506" t="s">
        <v>106</v>
      </c>
      <c r="E20506">
        <v>0</v>
      </c>
    </row>
    <row r="20507" spans="1:5">
      <c r="A20507" t="s">
        <v>46586</v>
      </c>
      <c r="B20507" t="s">
        <v>28499</v>
      </c>
      <c r="C20507">
        <f>0</f>
        <v>0</v>
      </c>
      <c r="D20507" t="s">
        <v>106</v>
      </c>
      <c r="E20507">
        <v>0</v>
      </c>
    </row>
    <row r="20508" spans="1:5">
      <c r="A20508" t="s">
        <v>46586</v>
      </c>
      <c r="B20508" t="s">
        <v>28498</v>
      </c>
      <c r="C20508">
        <v>0</v>
      </c>
      <c r="D20508" t="s">
        <v>106</v>
      </c>
      <c r="E20508">
        <v>0</v>
      </c>
    </row>
    <row r="20509" spans="1:5">
      <c r="A20509" t="s">
        <v>46587</v>
      </c>
      <c r="B20509" t="s">
        <v>46588</v>
      </c>
      <c r="C20509">
        <f>0.458466041097</f>
        <v>0.45846604109700001</v>
      </c>
      <c r="D20509">
        <v>0.95979551297300003</v>
      </c>
      <c r="E20509">
        <v>1.8959999999999999</v>
      </c>
    </row>
    <row r="20510" spans="1:5">
      <c r="A20510" t="s">
        <v>46587</v>
      </c>
      <c r="B20510" t="s">
        <v>46589</v>
      </c>
      <c r="C20510">
        <v>0.22187085162699999</v>
      </c>
      <c r="D20510">
        <v>0.95979551297300003</v>
      </c>
      <c r="E20510">
        <v>1.8959999999999999</v>
      </c>
    </row>
    <row r="20511" spans="1:5">
      <c r="A20511" t="s">
        <v>46587</v>
      </c>
      <c r="B20511" t="s">
        <v>46590</v>
      </c>
      <c r="C20511">
        <v>0.28228105219499999</v>
      </c>
      <c r="D20511">
        <v>0.95979551297300003</v>
      </c>
      <c r="E20511">
        <v>1.8959999999999999</v>
      </c>
    </row>
    <row r="20512" spans="1:5">
      <c r="A20512" t="s">
        <v>46587</v>
      </c>
      <c r="B20512" t="s">
        <v>46591</v>
      </c>
      <c r="C20512">
        <f>0.396589062249</f>
        <v>0.39658906224899998</v>
      </c>
      <c r="D20512">
        <v>0.95979551297300003</v>
      </c>
      <c r="E20512">
        <v>1.8959999999999999</v>
      </c>
    </row>
    <row r="20513" spans="1:5">
      <c r="A20513" t="s">
        <v>46592</v>
      </c>
      <c r="B20513" t="s">
        <v>46593</v>
      </c>
      <c r="C20513">
        <v>0</v>
      </c>
      <c r="D20513" t="s">
        <v>106</v>
      </c>
      <c r="E20513">
        <v>4.8</v>
      </c>
    </row>
    <row r="20514" spans="1:5">
      <c r="A20514" t="s">
        <v>46592</v>
      </c>
      <c r="B20514" t="s">
        <v>46594</v>
      </c>
      <c r="C20514">
        <f>0</f>
        <v>0</v>
      </c>
      <c r="D20514" t="s">
        <v>106</v>
      </c>
      <c r="E20514">
        <v>4.8</v>
      </c>
    </row>
    <row r="20515" spans="1:5">
      <c r="A20515" t="s">
        <v>46592</v>
      </c>
      <c r="B20515" t="s">
        <v>46595</v>
      </c>
      <c r="C20515">
        <v>0</v>
      </c>
      <c r="D20515" t="s">
        <v>106</v>
      </c>
      <c r="E20515">
        <v>4.8</v>
      </c>
    </row>
    <row r="20516" spans="1:5">
      <c r="A20516" t="s">
        <v>46592</v>
      </c>
      <c r="B20516" t="s">
        <v>46596</v>
      </c>
      <c r="C20516">
        <f>0</f>
        <v>0</v>
      </c>
      <c r="D20516" t="s">
        <v>106</v>
      </c>
      <c r="E20516">
        <v>4.8</v>
      </c>
    </row>
    <row r="20517" spans="1:5">
      <c r="A20517" t="s">
        <v>46592</v>
      </c>
      <c r="B20517" t="s">
        <v>46597</v>
      </c>
      <c r="C20517">
        <v>0</v>
      </c>
      <c r="D20517" t="s">
        <v>106</v>
      </c>
      <c r="E20517">
        <v>4.8</v>
      </c>
    </row>
    <row r="20518" spans="1:5">
      <c r="A20518" t="s">
        <v>46592</v>
      </c>
      <c r="B20518" t="s">
        <v>46598</v>
      </c>
      <c r="C20518">
        <v>0</v>
      </c>
      <c r="D20518" t="s">
        <v>106</v>
      </c>
      <c r="E20518">
        <v>4.8</v>
      </c>
    </row>
    <row r="20519" spans="1:5">
      <c r="A20519" t="s">
        <v>46592</v>
      </c>
      <c r="B20519" t="s">
        <v>46599</v>
      </c>
      <c r="C20519">
        <v>0</v>
      </c>
      <c r="D20519" t="s">
        <v>106</v>
      </c>
      <c r="E20519">
        <v>4.8</v>
      </c>
    </row>
    <row r="20520" spans="1:5">
      <c r="A20520" t="s">
        <v>46592</v>
      </c>
      <c r="B20520" t="s">
        <v>46600</v>
      </c>
      <c r="C20520">
        <v>0</v>
      </c>
      <c r="D20520" t="s">
        <v>106</v>
      </c>
      <c r="E20520">
        <v>4.8</v>
      </c>
    </row>
    <row r="20521" spans="1:5">
      <c r="A20521" t="s">
        <v>46601</v>
      </c>
      <c r="B20521" t="s">
        <v>21624</v>
      </c>
      <c r="C20521">
        <f>0.303054814891</f>
        <v>0.303054814891</v>
      </c>
      <c r="D20521">
        <v>0.88535941204299995</v>
      </c>
      <c r="E20521">
        <v>0</v>
      </c>
    </row>
    <row r="20522" spans="1:5">
      <c r="A20522" t="s">
        <v>46601</v>
      </c>
      <c r="B20522" t="s">
        <v>21625</v>
      </c>
      <c r="C20522">
        <f>0.509214193658</f>
        <v>0.50921419365800002</v>
      </c>
      <c r="D20522">
        <v>0.88535941204299995</v>
      </c>
      <c r="E20522">
        <v>0</v>
      </c>
    </row>
    <row r="20523" spans="1:5">
      <c r="A20523" t="s">
        <v>46601</v>
      </c>
      <c r="B20523" t="s">
        <v>21626</v>
      </c>
      <c r="C20523">
        <f>0.251039910674</f>
        <v>0.251039910674</v>
      </c>
      <c r="D20523">
        <v>0.88535941204299995</v>
      </c>
      <c r="E20523">
        <v>0</v>
      </c>
    </row>
    <row r="20524" spans="1:5">
      <c r="A20524" t="s">
        <v>46602</v>
      </c>
      <c r="B20524" t="s">
        <v>18392</v>
      </c>
      <c r="C20524">
        <f>0.486670048007</f>
        <v>0.48667004800699998</v>
      </c>
      <c r="D20524">
        <v>0.93998507394099995</v>
      </c>
      <c r="E20524">
        <v>4.17</v>
      </c>
    </row>
    <row r="20525" spans="1:5">
      <c r="A20525" t="s">
        <v>46602</v>
      </c>
      <c r="B20525" t="s">
        <v>18399</v>
      </c>
      <c r="C20525">
        <v>0</v>
      </c>
      <c r="D20525">
        <v>0.93998507394099995</v>
      </c>
      <c r="E20525">
        <v>4.17</v>
      </c>
    </row>
    <row r="20526" spans="1:5">
      <c r="A20526" t="s">
        <v>46602</v>
      </c>
      <c r="B20526" t="s">
        <v>18408</v>
      </c>
      <c r="C20526">
        <v>0.62069816214899998</v>
      </c>
      <c r="D20526">
        <v>0.93998507394099995</v>
      </c>
      <c r="E20526">
        <v>4.17</v>
      </c>
    </row>
    <row r="20527" spans="1:5">
      <c r="A20527" t="s">
        <v>46602</v>
      </c>
      <c r="B20527" t="s">
        <v>18409</v>
      </c>
      <c r="C20527">
        <v>7.4699426918300005E-2</v>
      </c>
      <c r="D20527">
        <v>0.93998507394099995</v>
      </c>
      <c r="E20527">
        <v>4.17</v>
      </c>
    </row>
    <row r="20528" spans="1:5">
      <c r="A20528" t="s">
        <v>46602</v>
      </c>
      <c r="B20528" t="s">
        <v>18403</v>
      </c>
      <c r="C20528">
        <f>0</f>
        <v>0</v>
      </c>
      <c r="D20528">
        <v>0.93998507394099995</v>
      </c>
      <c r="E20528">
        <v>4.17</v>
      </c>
    </row>
    <row r="20529" spans="1:5">
      <c r="A20529" t="s">
        <v>46603</v>
      </c>
      <c r="B20529" t="s">
        <v>46604</v>
      </c>
      <c r="C20529">
        <v>0.12927401138799999</v>
      </c>
      <c r="D20529">
        <v>0.92701831918800004</v>
      </c>
      <c r="E20529">
        <v>12.048</v>
      </c>
    </row>
    <row r="20530" spans="1:5">
      <c r="A20530" t="s">
        <v>46603</v>
      </c>
      <c r="B20530" t="s">
        <v>46605</v>
      </c>
      <c r="C20530">
        <v>0.54032773787499999</v>
      </c>
      <c r="D20530">
        <v>0.92701831918800004</v>
      </c>
      <c r="E20530">
        <v>12.048</v>
      </c>
    </row>
    <row r="20531" spans="1:5">
      <c r="A20531" t="s">
        <v>46603</v>
      </c>
      <c r="B20531" t="s">
        <v>46606</v>
      </c>
      <c r="C20531">
        <v>0.37427601328999999</v>
      </c>
      <c r="D20531">
        <v>0.92701831918800004</v>
      </c>
      <c r="E20531">
        <v>12.048</v>
      </c>
    </row>
    <row r="20532" spans="1:5">
      <c r="A20532" t="s">
        <v>46607</v>
      </c>
      <c r="B20532" t="s">
        <v>46608</v>
      </c>
      <c r="C20532">
        <f>-1.65195435186</f>
        <v>-1.6519543518599999</v>
      </c>
      <c r="D20532">
        <v>0.93127965001299995</v>
      </c>
      <c r="E20532">
        <v>0.13200000000000001</v>
      </c>
    </row>
    <row r="20533" spans="1:5">
      <c r="A20533" t="s">
        <v>46607</v>
      </c>
      <c r="B20533" t="s">
        <v>46609</v>
      </c>
      <c r="C20533">
        <v>0.24962271883600001</v>
      </c>
      <c r="D20533">
        <v>0.93127965001299995</v>
      </c>
      <c r="E20533">
        <v>0.13200000000000001</v>
      </c>
    </row>
    <row r="20534" spans="1:5">
      <c r="A20534" t="s">
        <v>46607</v>
      </c>
      <c r="B20534" t="s">
        <v>46610</v>
      </c>
      <c r="C20534">
        <v>1.58378838622</v>
      </c>
      <c r="D20534">
        <v>0.93127965001299995</v>
      </c>
      <c r="E20534">
        <v>0.13200000000000001</v>
      </c>
    </row>
    <row r="20535" spans="1:5">
      <c r="A20535" t="s">
        <v>46611</v>
      </c>
      <c r="B20535" t="s">
        <v>2345</v>
      </c>
      <c r="C20535">
        <v>0</v>
      </c>
      <c r="D20535" t="s">
        <v>106</v>
      </c>
      <c r="E20535">
        <v>19.853999999999999</v>
      </c>
    </row>
    <row r="20536" spans="1:5">
      <c r="A20536" t="s">
        <v>46611</v>
      </c>
      <c r="B20536" t="s">
        <v>2346</v>
      </c>
      <c r="C20536">
        <v>0</v>
      </c>
      <c r="D20536" t="s">
        <v>106</v>
      </c>
      <c r="E20536">
        <v>19.853999999999999</v>
      </c>
    </row>
    <row r="20537" spans="1:5">
      <c r="A20537" t="s">
        <v>46611</v>
      </c>
      <c r="B20537" t="s">
        <v>2347</v>
      </c>
      <c r="C20537">
        <v>0</v>
      </c>
      <c r="D20537" t="s">
        <v>106</v>
      </c>
      <c r="E20537">
        <v>19.853999999999999</v>
      </c>
    </row>
    <row r="20538" spans="1:5">
      <c r="A20538" t="s">
        <v>46612</v>
      </c>
      <c r="B20538" t="s">
        <v>20020</v>
      </c>
      <c r="C20538">
        <v>0.42516572702400002</v>
      </c>
      <c r="D20538">
        <v>0.93644590845700004</v>
      </c>
      <c r="E20538">
        <v>11.706</v>
      </c>
    </row>
    <row r="20539" spans="1:5">
      <c r="A20539" t="s">
        <v>46612</v>
      </c>
      <c r="B20539" t="s">
        <v>20027</v>
      </c>
      <c r="C20539">
        <f>0.211801278252</f>
        <v>0.21180127825200001</v>
      </c>
      <c r="D20539">
        <v>0.93644590845700004</v>
      </c>
      <c r="E20539">
        <v>11.706</v>
      </c>
    </row>
    <row r="20540" spans="1:5">
      <c r="A20540" t="s">
        <v>46612</v>
      </c>
      <c r="B20540" t="s">
        <v>20022</v>
      </c>
      <c r="C20540">
        <v>1.49960925566</v>
      </c>
      <c r="D20540">
        <v>0.93644590845700004</v>
      </c>
      <c r="E20540">
        <v>11.706</v>
      </c>
    </row>
    <row r="20541" spans="1:5">
      <c r="A20541" t="s">
        <v>46612</v>
      </c>
      <c r="B20541" t="s">
        <v>20025</v>
      </c>
      <c r="C20541">
        <f>0.981412199967</f>
        <v>0.98141219996700002</v>
      </c>
      <c r="D20541">
        <v>0.93644590845700004</v>
      </c>
      <c r="E20541">
        <v>11.706</v>
      </c>
    </row>
    <row r="20542" spans="1:5">
      <c r="A20542" t="s">
        <v>46613</v>
      </c>
      <c r="B20542" t="s">
        <v>18899</v>
      </c>
      <c r="C20542">
        <f>0.639191429557</f>
        <v>0.63919142955700003</v>
      </c>
      <c r="D20542">
        <v>0.76880142955700004</v>
      </c>
      <c r="E20542">
        <v>1.3380000000000001</v>
      </c>
    </row>
    <row r="20543" spans="1:5">
      <c r="A20543" t="s">
        <v>46613</v>
      </c>
      <c r="B20543" t="s">
        <v>18901</v>
      </c>
      <c r="C20543">
        <f>0</f>
        <v>0</v>
      </c>
      <c r="D20543">
        <v>0.76880142955700004</v>
      </c>
      <c r="E20543">
        <v>1.3380000000000001</v>
      </c>
    </row>
    <row r="20544" spans="1:5">
      <c r="A20544" t="s">
        <v>46614</v>
      </c>
      <c r="B20544" t="s">
        <v>16202</v>
      </c>
      <c r="C20544">
        <v>0.166981062826</v>
      </c>
      <c r="D20544">
        <v>0.97137672655999996</v>
      </c>
      <c r="E20544">
        <v>4.17</v>
      </c>
    </row>
    <row r="20545" spans="1:5">
      <c r="A20545" t="s">
        <v>46614</v>
      </c>
      <c r="B20545" t="s">
        <v>16204</v>
      </c>
      <c r="C20545">
        <f>0.547660757017</f>
        <v>0.54766075701700001</v>
      </c>
      <c r="D20545">
        <v>0.97137672655999996</v>
      </c>
      <c r="E20545">
        <v>4.17</v>
      </c>
    </row>
    <row r="20546" spans="1:5">
      <c r="A20546" t="s">
        <v>46614</v>
      </c>
      <c r="B20546" t="s">
        <v>16216</v>
      </c>
      <c r="C20546">
        <f>0.445310534053</f>
        <v>0.44531053405299997</v>
      </c>
      <c r="D20546">
        <v>0.97137672655999996</v>
      </c>
      <c r="E20546">
        <v>4.17</v>
      </c>
    </row>
    <row r="20547" spans="1:5">
      <c r="A20547" t="s">
        <v>46614</v>
      </c>
      <c r="B20547" t="s">
        <v>16212</v>
      </c>
      <c r="C20547">
        <v>0</v>
      </c>
      <c r="D20547">
        <v>0.97137672655999996</v>
      </c>
      <c r="E20547">
        <v>4.17</v>
      </c>
    </row>
    <row r="20548" spans="1:5">
      <c r="A20548" t="s">
        <v>46614</v>
      </c>
      <c r="B20548" t="s">
        <v>16215</v>
      </c>
      <c r="C20548">
        <f>0</f>
        <v>0</v>
      </c>
      <c r="D20548">
        <v>0.97137672655999996</v>
      </c>
      <c r="E20548">
        <v>4.17</v>
      </c>
    </row>
    <row r="20549" spans="1:5">
      <c r="A20549" t="s">
        <v>46615</v>
      </c>
      <c r="B20549" t="s">
        <v>1016</v>
      </c>
      <c r="C20549">
        <f>0.361743754588</f>
        <v>0.36174375458800001</v>
      </c>
      <c r="D20549">
        <v>0.99996757190700003</v>
      </c>
      <c r="E20549">
        <v>2.88</v>
      </c>
    </row>
    <row r="20550" spans="1:5">
      <c r="A20550" t="s">
        <v>46615</v>
      </c>
      <c r="B20550" t="s">
        <v>1025</v>
      </c>
      <c r="C20550">
        <v>1.26991909674</v>
      </c>
      <c r="D20550">
        <v>0.99996757190700003</v>
      </c>
      <c r="E20550">
        <v>2.88</v>
      </c>
    </row>
    <row r="20551" spans="1:5">
      <c r="A20551" t="s">
        <v>46615</v>
      </c>
      <c r="B20551" t="s">
        <v>1026</v>
      </c>
      <c r="C20551">
        <f>0.965546019691</f>
        <v>0.96554601969099996</v>
      </c>
      <c r="D20551">
        <v>0.99996757190700003</v>
      </c>
      <c r="E20551">
        <v>2.88</v>
      </c>
    </row>
    <row r="20552" spans="1:5">
      <c r="A20552" t="s">
        <v>46615</v>
      </c>
      <c r="B20552" t="s">
        <v>1024</v>
      </c>
      <c r="C20552">
        <v>0.105670725146</v>
      </c>
      <c r="D20552">
        <v>0.99996757190700003</v>
      </c>
      <c r="E20552">
        <v>2.88</v>
      </c>
    </row>
    <row r="20553" spans="1:5">
      <c r="A20553" t="s">
        <v>46615</v>
      </c>
      <c r="B20553" t="s">
        <v>1020</v>
      </c>
      <c r="C20553">
        <v>0.77104824425999996</v>
      </c>
      <c r="D20553">
        <v>0.99996757190700003</v>
      </c>
      <c r="E20553">
        <v>2.88</v>
      </c>
    </row>
    <row r="20554" spans="1:5">
      <c r="A20554" t="s">
        <v>46615</v>
      </c>
      <c r="B20554" t="s">
        <v>1018</v>
      </c>
      <c r="C20554">
        <v>0.13384766593200001</v>
      </c>
      <c r="D20554">
        <v>0.99996757190700003</v>
      </c>
      <c r="E20554">
        <v>2.88</v>
      </c>
    </row>
    <row r="20555" spans="1:5">
      <c r="A20555" t="s">
        <v>46615</v>
      </c>
      <c r="B20555" t="s">
        <v>1017</v>
      </c>
      <c r="C20555">
        <v>0.39170319595000003</v>
      </c>
      <c r="D20555">
        <v>0.99996757190700003</v>
      </c>
      <c r="E20555">
        <v>2.88</v>
      </c>
    </row>
    <row r="20556" spans="1:5">
      <c r="A20556" t="s">
        <v>46616</v>
      </c>
      <c r="B20556" t="s">
        <v>29050</v>
      </c>
      <c r="C20556">
        <f>0</f>
        <v>0</v>
      </c>
      <c r="D20556">
        <v>0.93337235479900005</v>
      </c>
      <c r="E20556">
        <v>0.61799999999999999</v>
      </c>
    </row>
    <row r="20557" spans="1:5">
      <c r="A20557" t="s">
        <v>46616</v>
      </c>
      <c r="B20557" t="s">
        <v>29049</v>
      </c>
      <c r="C20557">
        <v>0.65432544157500006</v>
      </c>
      <c r="D20557">
        <v>0.93337235479900005</v>
      </c>
      <c r="E20557">
        <v>0.61799999999999999</v>
      </c>
    </row>
    <row r="20558" spans="1:5">
      <c r="A20558" t="s">
        <v>46616</v>
      </c>
      <c r="B20558" t="s">
        <v>29051</v>
      </c>
      <c r="C20558">
        <v>3.6534454458100003E-2</v>
      </c>
      <c r="D20558">
        <v>0.93337235479900005</v>
      </c>
      <c r="E20558">
        <v>0.61799999999999999</v>
      </c>
    </row>
    <row r="20559" spans="1:5">
      <c r="A20559" t="s">
        <v>46616</v>
      </c>
      <c r="B20559" t="s">
        <v>29052</v>
      </c>
      <c r="C20559">
        <f>0.205341039968</f>
        <v>0.20534103996799999</v>
      </c>
      <c r="D20559">
        <v>0.93337235479900005</v>
      </c>
      <c r="E20559">
        <v>0.61799999999999999</v>
      </c>
    </row>
    <row r="20560" spans="1:5">
      <c r="A20560" t="s">
        <v>46616</v>
      </c>
      <c r="B20560" t="s">
        <v>29055</v>
      </c>
      <c r="C20560">
        <v>0.26067308202099998</v>
      </c>
      <c r="D20560">
        <v>0.93337235479900005</v>
      </c>
      <c r="E20560">
        <v>0.61799999999999999</v>
      </c>
    </row>
    <row r="20561" spans="1:5">
      <c r="A20561" t="s">
        <v>46616</v>
      </c>
      <c r="B20561" t="s">
        <v>29053</v>
      </c>
      <c r="C20561">
        <v>0</v>
      </c>
      <c r="D20561">
        <v>0.93337235479900005</v>
      </c>
      <c r="E20561">
        <v>0.61799999999999999</v>
      </c>
    </row>
    <row r="20562" spans="1:5">
      <c r="A20562" t="s">
        <v>46616</v>
      </c>
      <c r="B20562" t="s">
        <v>29056</v>
      </c>
      <c r="C20562">
        <v>0</v>
      </c>
      <c r="D20562">
        <v>0.93337235479900005</v>
      </c>
      <c r="E20562">
        <v>0.61799999999999999</v>
      </c>
    </row>
    <row r="20563" spans="1:5">
      <c r="A20563" t="s">
        <v>46617</v>
      </c>
      <c r="B20563" t="s">
        <v>46618</v>
      </c>
      <c r="C20563">
        <v>0</v>
      </c>
      <c r="D20563">
        <v>0.58946855367399997</v>
      </c>
      <c r="E20563">
        <v>4.5839999999999996</v>
      </c>
    </row>
    <row r="20564" spans="1:5">
      <c r="A20564" t="s">
        <v>46617</v>
      </c>
      <c r="B20564" t="s">
        <v>46619</v>
      </c>
      <c r="C20564">
        <v>0.42945855367399999</v>
      </c>
      <c r="D20564">
        <v>0.58946855367399997</v>
      </c>
      <c r="E20564">
        <v>4.5839999999999996</v>
      </c>
    </row>
    <row r="20565" spans="1:5">
      <c r="A20565" t="s">
        <v>46620</v>
      </c>
      <c r="B20565" t="s">
        <v>47</v>
      </c>
      <c r="C20565">
        <v>0.488202069929</v>
      </c>
      <c r="D20565">
        <v>0.82799587057199997</v>
      </c>
      <c r="E20565">
        <v>10.878</v>
      </c>
    </row>
    <row r="20566" spans="1:5">
      <c r="A20566" t="s">
        <v>46620</v>
      </c>
      <c r="B20566" t="s">
        <v>52</v>
      </c>
      <c r="C20566">
        <f>0.727641622518</f>
        <v>0.72764162251800002</v>
      </c>
      <c r="D20566">
        <v>0.82799587057199997</v>
      </c>
      <c r="E20566">
        <v>10.878</v>
      </c>
    </row>
    <row r="20567" spans="1:5">
      <c r="A20567" t="s">
        <v>46621</v>
      </c>
      <c r="B20567" t="s">
        <v>28820</v>
      </c>
      <c r="C20567">
        <v>0</v>
      </c>
      <c r="D20567">
        <v>0.74383646231300005</v>
      </c>
      <c r="E20567">
        <v>10.554</v>
      </c>
    </row>
    <row r="20568" spans="1:5">
      <c r="A20568" t="s">
        <v>46621</v>
      </c>
      <c r="B20568" t="s">
        <v>28826</v>
      </c>
      <c r="C20568">
        <v>0.66542646231299996</v>
      </c>
      <c r="D20568">
        <v>0.74383646231300005</v>
      </c>
      <c r="E20568">
        <v>10.554</v>
      </c>
    </row>
    <row r="20569" spans="1:5">
      <c r="A20569" t="s">
        <v>46622</v>
      </c>
      <c r="B20569" t="s">
        <v>19223</v>
      </c>
      <c r="C20569">
        <v>0</v>
      </c>
      <c r="D20569">
        <v>0.75725828735699996</v>
      </c>
      <c r="E20569">
        <v>0</v>
      </c>
    </row>
    <row r="20570" spans="1:5">
      <c r="A20570" t="s">
        <v>46622</v>
      </c>
      <c r="B20570" t="s">
        <v>19222</v>
      </c>
      <c r="C20570">
        <v>0.67884828735699998</v>
      </c>
      <c r="D20570">
        <v>0.75725828735699996</v>
      </c>
      <c r="E20570">
        <v>0</v>
      </c>
    </row>
    <row r="20571" spans="1:5">
      <c r="A20571" t="s">
        <v>46623</v>
      </c>
      <c r="B20571" t="s">
        <v>46624</v>
      </c>
      <c r="C20571">
        <v>0</v>
      </c>
      <c r="D20571" t="s">
        <v>106</v>
      </c>
      <c r="E20571">
        <v>0.10199999999999999</v>
      </c>
    </row>
    <row r="20572" spans="1:5">
      <c r="A20572" t="s">
        <v>46623</v>
      </c>
      <c r="B20572" t="s">
        <v>46625</v>
      </c>
      <c r="C20572">
        <f>0</f>
        <v>0</v>
      </c>
      <c r="D20572" t="s">
        <v>106</v>
      </c>
      <c r="E20572">
        <v>0.10199999999999999</v>
      </c>
    </row>
    <row r="20573" spans="1:5">
      <c r="A20573" t="s">
        <v>46626</v>
      </c>
      <c r="B20573" t="s">
        <v>46627</v>
      </c>
      <c r="C20573">
        <v>0.273947256714</v>
      </c>
      <c r="D20573">
        <v>0.93648566884200002</v>
      </c>
      <c r="E20573">
        <v>0</v>
      </c>
    </row>
    <row r="20574" spans="1:5">
      <c r="A20574" t="s">
        <v>46626</v>
      </c>
      <c r="B20574" t="s">
        <v>46628</v>
      </c>
      <c r="C20574">
        <f>0</f>
        <v>0</v>
      </c>
      <c r="D20574">
        <v>0.93648566884200002</v>
      </c>
      <c r="E20574">
        <v>0</v>
      </c>
    </row>
    <row r="20575" spans="1:5">
      <c r="A20575" t="s">
        <v>46626</v>
      </c>
      <c r="B20575" t="s">
        <v>46629</v>
      </c>
      <c r="C20575">
        <f>0.282788739208</f>
        <v>0.28278873920800002</v>
      </c>
      <c r="D20575">
        <v>0.93648566884200002</v>
      </c>
      <c r="E20575">
        <v>0</v>
      </c>
    </row>
    <row r="20576" spans="1:5">
      <c r="A20576" t="s">
        <v>46626</v>
      </c>
      <c r="B20576" t="s">
        <v>46630</v>
      </c>
      <c r="C20576">
        <v>0.71391802852899999</v>
      </c>
      <c r="D20576">
        <v>0.93648566884200002</v>
      </c>
      <c r="E20576">
        <v>0</v>
      </c>
    </row>
    <row r="20577" spans="1:5">
      <c r="A20577" t="s">
        <v>46631</v>
      </c>
      <c r="B20577" t="s">
        <v>9630</v>
      </c>
      <c r="C20577">
        <v>0</v>
      </c>
      <c r="D20577" t="s">
        <v>106</v>
      </c>
      <c r="E20577">
        <v>23.28</v>
      </c>
    </row>
    <row r="20578" spans="1:5">
      <c r="A20578" t="s">
        <v>46631</v>
      </c>
      <c r="B20578" t="s">
        <v>9633</v>
      </c>
      <c r="C20578">
        <f>0</f>
        <v>0</v>
      </c>
      <c r="D20578" t="s">
        <v>106</v>
      </c>
      <c r="E20578">
        <v>23.28</v>
      </c>
    </row>
    <row r="20579" spans="1:5">
      <c r="A20579" t="s">
        <v>46631</v>
      </c>
      <c r="B20579" t="s">
        <v>9634</v>
      </c>
      <c r="C20579">
        <f>0</f>
        <v>0</v>
      </c>
      <c r="D20579" t="s">
        <v>106</v>
      </c>
      <c r="E20579">
        <v>23.28</v>
      </c>
    </row>
    <row r="20580" spans="1:5">
      <c r="A20580" t="s">
        <v>46632</v>
      </c>
      <c r="B20580" t="s">
        <v>4897</v>
      </c>
      <c r="C20580">
        <v>0</v>
      </c>
      <c r="D20580">
        <v>0.97671914891300005</v>
      </c>
      <c r="E20580">
        <v>20.513999999999999</v>
      </c>
    </row>
    <row r="20581" spans="1:5">
      <c r="A20581" t="s">
        <v>46632</v>
      </c>
      <c r="B20581" t="s">
        <v>4894</v>
      </c>
      <c r="C20581">
        <v>8.2125982861899996E-2</v>
      </c>
      <c r="D20581">
        <v>0.97671914891300005</v>
      </c>
      <c r="E20581">
        <v>20.513999999999999</v>
      </c>
    </row>
    <row r="20582" spans="1:5">
      <c r="A20582" t="s">
        <v>46632</v>
      </c>
      <c r="B20582" t="s">
        <v>4896</v>
      </c>
      <c r="C20582">
        <f>0.873014825694</f>
        <v>0.87301482569400002</v>
      </c>
      <c r="D20582">
        <v>0.97671914891300005</v>
      </c>
      <c r="E20582">
        <v>20.513999999999999</v>
      </c>
    </row>
    <row r="20583" spans="1:5">
      <c r="A20583" t="s">
        <v>46633</v>
      </c>
      <c r="B20583" t="s">
        <v>29760</v>
      </c>
      <c r="C20583">
        <v>1.2021635632700001</v>
      </c>
      <c r="D20583">
        <v>0.95744255426400005</v>
      </c>
      <c r="E20583">
        <v>12.048</v>
      </c>
    </row>
    <row r="20584" spans="1:5">
      <c r="A20584" t="s">
        <v>46633</v>
      </c>
      <c r="B20584" t="s">
        <v>29761</v>
      </c>
      <c r="C20584">
        <f>-1.97622289236</f>
        <v>-1.97622289236</v>
      </c>
      <c r="D20584">
        <v>0.95744255426400005</v>
      </c>
      <c r="E20584">
        <v>12.048</v>
      </c>
    </row>
    <row r="20585" spans="1:5">
      <c r="A20585" t="s">
        <v>46633</v>
      </c>
      <c r="B20585" t="s">
        <v>29762</v>
      </c>
      <c r="C20585">
        <v>0.66248214350900003</v>
      </c>
      <c r="D20585">
        <v>0.95744255426400005</v>
      </c>
      <c r="E20585">
        <v>12.048</v>
      </c>
    </row>
    <row r="20586" spans="1:5">
      <c r="A20586" t="s">
        <v>46634</v>
      </c>
      <c r="B20586" t="s">
        <v>4706</v>
      </c>
      <c r="C20586">
        <v>0.39237480268199998</v>
      </c>
      <c r="D20586">
        <v>0.99998389477399996</v>
      </c>
      <c r="E20586">
        <v>0.54</v>
      </c>
    </row>
    <row r="20587" spans="1:5">
      <c r="A20587" t="s">
        <v>46634</v>
      </c>
      <c r="B20587" t="s">
        <v>4710</v>
      </c>
      <c r="C20587">
        <v>0.21853777947299999</v>
      </c>
      <c r="D20587">
        <v>0.99998389477399996</v>
      </c>
      <c r="E20587">
        <v>0.54</v>
      </c>
    </row>
    <row r="20588" spans="1:5">
      <c r="A20588" t="s">
        <v>46634</v>
      </c>
      <c r="B20588" t="s">
        <v>4717</v>
      </c>
      <c r="C20588">
        <f>0.0105419001623</f>
        <v>1.05419001623E-2</v>
      </c>
      <c r="D20588">
        <v>0.99998389477399996</v>
      </c>
      <c r="E20588">
        <v>0.54</v>
      </c>
    </row>
    <row r="20589" spans="1:5">
      <c r="A20589" t="s">
        <v>46634</v>
      </c>
      <c r="B20589" t="s">
        <v>4712</v>
      </c>
      <c r="C20589">
        <v>0.21499363800599999</v>
      </c>
      <c r="D20589">
        <v>0.99998389477399996</v>
      </c>
      <c r="E20589">
        <v>0.54</v>
      </c>
    </row>
    <row r="20590" spans="1:5">
      <c r="A20590" t="s">
        <v>46634</v>
      </c>
      <c r="B20590" t="s">
        <v>4718</v>
      </c>
      <c r="C20590">
        <f>0</f>
        <v>0</v>
      </c>
      <c r="D20590">
        <v>0.99998389477399996</v>
      </c>
      <c r="E20590">
        <v>0.54</v>
      </c>
    </row>
    <row r="20591" spans="1:5">
      <c r="A20591" t="s">
        <v>46634</v>
      </c>
      <c r="B20591" t="s">
        <v>4711</v>
      </c>
      <c r="C20591">
        <v>6.7522275215899999E-2</v>
      </c>
      <c r="D20591">
        <v>0.99998389477399996</v>
      </c>
      <c r="E20591">
        <v>0.54</v>
      </c>
    </row>
    <row r="20592" spans="1:5">
      <c r="A20592" t="s">
        <v>46634</v>
      </c>
      <c r="B20592" t="s">
        <v>4714</v>
      </c>
      <c r="C20592">
        <f>0</f>
        <v>0</v>
      </c>
      <c r="D20592">
        <v>0.99998389477399996</v>
      </c>
      <c r="E20592">
        <v>0.54</v>
      </c>
    </row>
    <row r="20593" spans="1:5">
      <c r="A20593" t="s">
        <v>46634</v>
      </c>
      <c r="B20593" t="s">
        <v>4713</v>
      </c>
      <c r="C20593">
        <f>0.0595049731807</f>
        <v>5.9504973180699999E-2</v>
      </c>
      <c r="D20593">
        <v>0.99998389477399996</v>
      </c>
      <c r="E20593">
        <v>0.54</v>
      </c>
    </row>
    <row r="20594" spans="1:5">
      <c r="A20594" t="s">
        <v>46634</v>
      </c>
      <c r="B20594" t="s">
        <v>4715</v>
      </c>
      <c r="C20594">
        <v>0</v>
      </c>
      <c r="D20594">
        <v>0.99998389477399996</v>
      </c>
      <c r="E20594">
        <v>0.54</v>
      </c>
    </row>
    <row r="20595" spans="1:5">
      <c r="A20595" t="s">
        <v>46634</v>
      </c>
      <c r="B20595" t="s">
        <v>4719</v>
      </c>
      <c r="C20595">
        <v>0.33760466666900002</v>
      </c>
      <c r="D20595">
        <v>0.99998389477399996</v>
      </c>
      <c r="E20595">
        <v>0.54</v>
      </c>
    </row>
    <row r="20596" spans="1:5">
      <c r="A20596" t="s">
        <v>46634</v>
      </c>
      <c r="B20596" t="s">
        <v>4724</v>
      </c>
      <c r="C20596">
        <v>7.8563697477799996E-2</v>
      </c>
      <c r="D20596">
        <v>0.99998389477399996</v>
      </c>
      <c r="E20596">
        <v>0.54</v>
      </c>
    </row>
    <row r="20597" spans="1:5">
      <c r="A20597" t="s">
        <v>46634</v>
      </c>
      <c r="B20597" t="s">
        <v>4707</v>
      </c>
      <c r="C20597">
        <f>0</f>
        <v>0</v>
      </c>
      <c r="D20597">
        <v>0.99998389477399996</v>
      </c>
      <c r="E20597">
        <v>0.54</v>
      </c>
    </row>
    <row r="20598" spans="1:5">
      <c r="A20598" t="s">
        <v>46635</v>
      </c>
      <c r="B20598" t="s">
        <v>32823</v>
      </c>
      <c r="C20598">
        <f>0</f>
        <v>0</v>
      </c>
      <c r="D20598">
        <v>0.96107272390099996</v>
      </c>
      <c r="E20598">
        <v>8.7240000000000002</v>
      </c>
    </row>
    <row r="20599" spans="1:5">
      <c r="A20599" t="s">
        <v>46635</v>
      </c>
      <c r="B20599" t="s">
        <v>32825</v>
      </c>
      <c r="C20599">
        <v>1.4056072227E-2</v>
      </c>
      <c r="D20599">
        <v>0.96107272390099996</v>
      </c>
      <c r="E20599">
        <v>8.7240000000000002</v>
      </c>
    </row>
    <row r="20600" spans="1:5">
      <c r="A20600" t="s">
        <v>46635</v>
      </c>
      <c r="B20600" t="s">
        <v>32818</v>
      </c>
      <c r="C20600">
        <v>0.171662074187</v>
      </c>
      <c r="D20600">
        <v>0.96107272390099996</v>
      </c>
      <c r="E20600">
        <v>8.7240000000000002</v>
      </c>
    </row>
    <row r="20601" spans="1:5">
      <c r="A20601" t="s">
        <v>46635</v>
      </c>
      <c r="B20601" t="s">
        <v>32819</v>
      </c>
      <c r="C20601">
        <f>0</f>
        <v>0</v>
      </c>
      <c r="D20601">
        <v>0.96107272390099996</v>
      </c>
      <c r="E20601">
        <v>8.7240000000000002</v>
      </c>
    </row>
    <row r="20602" spans="1:5">
      <c r="A20602" t="s">
        <v>46635</v>
      </c>
      <c r="B20602" t="s">
        <v>32824</v>
      </c>
      <c r="C20602">
        <f>0</f>
        <v>0</v>
      </c>
      <c r="D20602">
        <v>0.96107272390099996</v>
      </c>
      <c r="E20602">
        <v>8.7240000000000002</v>
      </c>
    </row>
    <row r="20603" spans="1:5">
      <c r="A20603" t="s">
        <v>46635</v>
      </c>
      <c r="B20603" t="s">
        <v>32821</v>
      </c>
      <c r="C20603">
        <f>0.752220401899</f>
        <v>0.75222040189899997</v>
      </c>
      <c r="D20603">
        <v>0.96107272390099996</v>
      </c>
      <c r="E20603">
        <v>8.7240000000000002</v>
      </c>
    </row>
    <row r="20604" spans="1:5">
      <c r="A20604" t="s">
        <v>46635</v>
      </c>
      <c r="B20604" t="s">
        <v>32822</v>
      </c>
      <c r="C20604">
        <f>0</f>
        <v>0</v>
      </c>
      <c r="D20604">
        <v>0.96107272390099996</v>
      </c>
      <c r="E20604">
        <v>8.7240000000000002</v>
      </c>
    </row>
    <row r="20605" spans="1:5">
      <c r="A20605" t="s">
        <v>46636</v>
      </c>
      <c r="B20605" t="s">
        <v>33168</v>
      </c>
      <c r="C20605">
        <v>1.0260245349999999</v>
      </c>
      <c r="D20605">
        <v>0.82849951018900003</v>
      </c>
      <c r="E20605">
        <v>6.9359999999999999</v>
      </c>
    </row>
    <row r="20606" spans="1:5">
      <c r="A20606" t="s">
        <v>46636</v>
      </c>
      <c r="B20606" t="s">
        <v>33171</v>
      </c>
      <c r="C20606">
        <f>0.647570935765</f>
        <v>0.64757093576500002</v>
      </c>
      <c r="D20606">
        <v>0.82849951018900003</v>
      </c>
      <c r="E20606">
        <v>6.9359999999999999</v>
      </c>
    </row>
    <row r="20607" spans="1:5">
      <c r="A20607" t="s">
        <v>46637</v>
      </c>
      <c r="B20607" t="s">
        <v>31465</v>
      </c>
      <c r="C20607">
        <f>0</f>
        <v>0</v>
      </c>
      <c r="D20607" t="s">
        <v>106</v>
      </c>
      <c r="E20607">
        <v>24</v>
      </c>
    </row>
    <row r="20608" spans="1:5">
      <c r="A20608" t="s">
        <v>46637</v>
      </c>
      <c r="B20608" t="s">
        <v>31468</v>
      </c>
      <c r="C20608">
        <v>0</v>
      </c>
      <c r="D20608" t="s">
        <v>106</v>
      </c>
      <c r="E20608">
        <v>24</v>
      </c>
    </row>
    <row r="20609" spans="1:5">
      <c r="A20609" t="s">
        <v>46637</v>
      </c>
      <c r="B20609" t="s">
        <v>31467</v>
      </c>
      <c r="C20609">
        <v>0</v>
      </c>
      <c r="D20609" t="s">
        <v>106</v>
      </c>
      <c r="E20609">
        <v>24</v>
      </c>
    </row>
    <row r="20610" spans="1:5">
      <c r="A20610" t="s">
        <v>46637</v>
      </c>
      <c r="B20610" t="s">
        <v>31466</v>
      </c>
      <c r="C20610">
        <f>0</f>
        <v>0</v>
      </c>
      <c r="D20610" t="s">
        <v>106</v>
      </c>
      <c r="E20610">
        <v>24</v>
      </c>
    </row>
    <row r="20611" spans="1:5">
      <c r="A20611" t="s">
        <v>46637</v>
      </c>
      <c r="B20611" t="s">
        <v>31469</v>
      </c>
      <c r="C20611">
        <f>0</f>
        <v>0</v>
      </c>
      <c r="D20611" t="s">
        <v>106</v>
      </c>
      <c r="E20611">
        <v>24</v>
      </c>
    </row>
    <row r="20612" spans="1:5">
      <c r="A20612" t="s">
        <v>46637</v>
      </c>
      <c r="B20612" t="s">
        <v>31472</v>
      </c>
      <c r="C20612">
        <v>0</v>
      </c>
      <c r="D20612" t="s">
        <v>106</v>
      </c>
      <c r="E20612">
        <v>24</v>
      </c>
    </row>
    <row r="20613" spans="1:5">
      <c r="A20613" t="s">
        <v>46638</v>
      </c>
      <c r="B20613" t="s">
        <v>19861</v>
      </c>
      <c r="C20613">
        <v>0</v>
      </c>
      <c r="D20613">
        <v>0.74454974390299999</v>
      </c>
      <c r="E20613">
        <v>0.87</v>
      </c>
    </row>
    <row r="20614" spans="1:5">
      <c r="A20614" t="s">
        <v>46638</v>
      </c>
      <c r="B20614" t="s">
        <v>19860</v>
      </c>
      <c r="C20614">
        <f>0.584539743903</f>
        <v>0.58453974390300001</v>
      </c>
      <c r="D20614">
        <v>0.74454974390299999</v>
      </c>
      <c r="E20614">
        <v>0.87</v>
      </c>
    </row>
    <row r="20615" spans="1:5">
      <c r="A20615" t="s">
        <v>46639</v>
      </c>
      <c r="B20615" t="s">
        <v>46640</v>
      </c>
      <c r="C20615">
        <v>0</v>
      </c>
      <c r="D20615">
        <v>0.74432334014000001</v>
      </c>
      <c r="E20615">
        <v>1.3919999999999999</v>
      </c>
    </row>
    <row r="20616" spans="1:5">
      <c r="A20616" t="s">
        <v>46639</v>
      </c>
      <c r="B20616" t="s">
        <v>46641</v>
      </c>
      <c r="C20616">
        <v>0</v>
      </c>
      <c r="D20616">
        <v>0.74432334014000001</v>
      </c>
      <c r="E20616">
        <v>1.3919999999999999</v>
      </c>
    </row>
    <row r="20617" spans="1:5">
      <c r="A20617" t="s">
        <v>46639</v>
      </c>
      <c r="B20617" t="s">
        <v>46642</v>
      </c>
      <c r="C20617">
        <v>0</v>
      </c>
      <c r="D20617">
        <v>0.74432334014000001</v>
      </c>
      <c r="E20617">
        <v>1.3919999999999999</v>
      </c>
    </row>
    <row r="20618" spans="1:5">
      <c r="A20618" t="s">
        <v>46639</v>
      </c>
      <c r="B20618" t="s">
        <v>46643</v>
      </c>
      <c r="C20618">
        <v>0</v>
      </c>
      <c r="D20618">
        <v>0.74432334014000001</v>
      </c>
      <c r="E20618">
        <v>1.3919999999999999</v>
      </c>
    </row>
    <row r="20619" spans="1:5">
      <c r="A20619" t="s">
        <v>46639</v>
      </c>
      <c r="B20619" t="s">
        <v>46644</v>
      </c>
      <c r="C20619">
        <v>0</v>
      </c>
      <c r="D20619">
        <v>0.74432334014000001</v>
      </c>
      <c r="E20619">
        <v>1.3919999999999999</v>
      </c>
    </row>
    <row r="20620" spans="1:5">
      <c r="A20620" t="s">
        <v>46639</v>
      </c>
      <c r="B20620" t="s">
        <v>46645</v>
      </c>
      <c r="C20620">
        <f>0.22591334014</f>
        <v>0.22591334014</v>
      </c>
      <c r="D20620">
        <v>0.74432334014000001</v>
      </c>
      <c r="E20620">
        <v>1.3919999999999999</v>
      </c>
    </row>
    <row r="20621" spans="1:5">
      <c r="A20621" t="s">
        <v>46639</v>
      </c>
      <c r="B20621" t="s">
        <v>46646</v>
      </c>
      <c r="C20621">
        <f>0</f>
        <v>0</v>
      </c>
      <c r="D20621">
        <v>0.74432334014000001</v>
      </c>
      <c r="E20621">
        <v>1.3919999999999999</v>
      </c>
    </row>
    <row r="20622" spans="1:5">
      <c r="A20622" t="s">
        <v>46639</v>
      </c>
      <c r="B20622" t="s">
        <v>46647</v>
      </c>
      <c r="C20622">
        <v>0</v>
      </c>
      <c r="D20622">
        <v>0.74432334014000001</v>
      </c>
      <c r="E20622">
        <v>1.3919999999999999</v>
      </c>
    </row>
    <row r="20623" spans="1:5">
      <c r="A20623" t="s">
        <v>46639</v>
      </c>
      <c r="B20623" t="s">
        <v>46648</v>
      </c>
      <c r="C20623">
        <f>0</f>
        <v>0</v>
      </c>
      <c r="D20623">
        <v>0.74432334014000001</v>
      </c>
      <c r="E20623">
        <v>1.3919999999999999</v>
      </c>
    </row>
    <row r="20624" spans="1:5">
      <c r="A20624" t="s">
        <v>46639</v>
      </c>
      <c r="B20624" t="s">
        <v>46649</v>
      </c>
      <c r="C20624">
        <v>0</v>
      </c>
      <c r="D20624">
        <v>0.74432334014000001</v>
      </c>
      <c r="E20624">
        <v>1.3919999999999999</v>
      </c>
    </row>
    <row r="20625" spans="1:5">
      <c r="A20625" t="s">
        <v>46650</v>
      </c>
      <c r="B20625" t="s">
        <v>14892</v>
      </c>
      <c r="C20625">
        <v>0</v>
      </c>
      <c r="D20625">
        <v>0.75765495684299999</v>
      </c>
      <c r="E20625">
        <v>5.4660000000000002</v>
      </c>
    </row>
    <row r="20626" spans="1:5">
      <c r="A20626" t="s">
        <v>46650</v>
      </c>
      <c r="B20626" t="s">
        <v>14886</v>
      </c>
      <c r="C20626">
        <v>0</v>
      </c>
      <c r="D20626">
        <v>0.75765495684299999</v>
      </c>
      <c r="E20626">
        <v>5.4660000000000002</v>
      </c>
    </row>
    <row r="20627" spans="1:5">
      <c r="A20627" t="s">
        <v>46650</v>
      </c>
      <c r="B20627" t="s">
        <v>14884</v>
      </c>
      <c r="C20627">
        <v>0</v>
      </c>
      <c r="D20627">
        <v>0.75765495684299999</v>
      </c>
      <c r="E20627">
        <v>5.4660000000000002</v>
      </c>
    </row>
    <row r="20628" spans="1:5">
      <c r="A20628" t="s">
        <v>46650</v>
      </c>
      <c r="B20628" t="s">
        <v>14887</v>
      </c>
      <c r="C20628">
        <v>0</v>
      </c>
      <c r="D20628">
        <v>0.75765495684299999</v>
      </c>
      <c r="E20628">
        <v>5.4660000000000002</v>
      </c>
    </row>
    <row r="20629" spans="1:5">
      <c r="A20629" t="s">
        <v>46650</v>
      </c>
      <c r="B20629" t="s">
        <v>14888</v>
      </c>
      <c r="C20629">
        <v>0</v>
      </c>
      <c r="D20629">
        <v>0.75765495684299999</v>
      </c>
      <c r="E20629">
        <v>5.4660000000000002</v>
      </c>
    </row>
    <row r="20630" spans="1:5">
      <c r="A20630" t="s">
        <v>46650</v>
      </c>
      <c r="B20630" t="s">
        <v>14894</v>
      </c>
      <c r="C20630">
        <f>0</f>
        <v>0</v>
      </c>
      <c r="D20630">
        <v>0.75765495684299999</v>
      </c>
      <c r="E20630">
        <v>5.4660000000000002</v>
      </c>
    </row>
    <row r="20631" spans="1:5">
      <c r="A20631" t="s">
        <v>46650</v>
      </c>
      <c r="B20631" t="s">
        <v>14890</v>
      </c>
      <c r="C20631">
        <v>0.34804495684300002</v>
      </c>
      <c r="D20631">
        <v>0.75765495684299999</v>
      </c>
      <c r="E20631">
        <v>5.4660000000000002</v>
      </c>
    </row>
    <row r="20632" spans="1:5">
      <c r="A20632" t="s">
        <v>46650</v>
      </c>
      <c r="B20632" t="s">
        <v>14891</v>
      </c>
      <c r="C20632">
        <v>0</v>
      </c>
      <c r="D20632">
        <v>0.75765495684299999</v>
      </c>
      <c r="E20632">
        <v>5.4660000000000002</v>
      </c>
    </row>
    <row r="20633" spans="1:5">
      <c r="A20633" t="s">
        <v>46650</v>
      </c>
      <c r="B20633" t="s">
        <v>14893</v>
      </c>
      <c r="C20633">
        <v>0</v>
      </c>
      <c r="D20633">
        <v>0.75765495684299999</v>
      </c>
      <c r="E20633">
        <v>5.4660000000000002</v>
      </c>
    </row>
    <row r="20634" spans="1:5">
      <c r="A20634" t="s">
        <v>46650</v>
      </c>
      <c r="B20634" t="s">
        <v>14885</v>
      </c>
      <c r="C20634">
        <v>0</v>
      </c>
      <c r="D20634">
        <v>0.75765495684299999</v>
      </c>
      <c r="E20634">
        <v>5.4660000000000002</v>
      </c>
    </row>
    <row r="20635" spans="1:5">
      <c r="A20635" t="s">
        <v>46650</v>
      </c>
      <c r="B20635" t="s">
        <v>14889</v>
      </c>
      <c r="C20635">
        <v>0</v>
      </c>
      <c r="D20635">
        <v>0.75765495684299999</v>
      </c>
      <c r="E20635">
        <v>5.4660000000000002</v>
      </c>
    </row>
    <row r="20636" spans="1:5">
      <c r="A20636" t="s">
        <v>46651</v>
      </c>
      <c r="B20636" t="s">
        <v>10656</v>
      </c>
      <c r="C20636">
        <f>0.238143757756</f>
        <v>0.238143757756</v>
      </c>
      <c r="D20636">
        <v>0.98916603799199998</v>
      </c>
      <c r="E20636">
        <v>24</v>
      </c>
    </row>
    <row r="20637" spans="1:5">
      <c r="A20637" t="s">
        <v>46651</v>
      </c>
      <c r="B20637" t="s">
        <v>10660</v>
      </c>
      <c r="C20637">
        <f>0.426511943511</f>
        <v>0.42651194351100002</v>
      </c>
      <c r="D20637">
        <v>0.98916603799199998</v>
      </c>
      <c r="E20637">
        <v>24</v>
      </c>
    </row>
    <row r="20638" spans="1:5">
      <c r="A20638" t="s">
        <v>46651</v>
      </c>
      <c r="B20638" t="s">
        <v>10658</v>
      </c>
      <c r="C20638">
        <f>0.495001112082</f>
        <v>0.49500111208199998</v>
      </c>
      <c r="D20638">
        <v>0.98916603799199998</v>
      </c>
      <c r="E20638">
        <v>24</v>
      </c>
    </row>
    <row r="20639" spans="1:5">
      <c r="A20639" t="s">
        <v>46651</v>
      </c>
      <c r="B20639" t="s">
        <v>10661</v>
      </c>
      <c r="C20639">
        <f>0.477166531056</f>
        <v>0.47716653105599999</v>
      </c>
      <c r="D20639">
        <v>0.98916603799199998</v>
      </c>
      <c r="E20639">
        <v>24</v>
      </c>
    </row>
    <row r="20640" spans="1:5">
      <c r="A20640" t="s">
        <v>46652</v>
      </c>
      <c r="B20640" t="s">
        <v>8568</v>
      </c>
      <c r="C20640">
        <f>0</f>
        <v>0</v>
      </c>
      <c r="D20640">
        <v>0.81773722740200006</v>
      </c>
      <c r="E20640">
        <v>2.4</v>
      </c>
    </row>
    <row r="20641" spans="1:5">
      <c r="A20641" t="s">
        <v>46652</v>
      </c>
      <c r="B20641" t="s">
        <v>8569</v>
      </c>
      <c r="C20641">
        <v>0.624127227402</v>
      </c>
      <c r="D20641">
        <v>0.81773722740200006</v>
      </c>
      <c r="E20641">
        <v>2.4</v>
      </c>
    </row>
    <row r="20642" spans="1:5">
      <c r="A20642" t="s">
        <v>46653</v>
      </c>
      <c r="B20642" t="s">
        <v>5501</v>
      </c>
      <c r="C20642">
        <v>0</v>
      </c>
      <c r="D20642" t="s">
        <v>106</v>
      </c>
      <c r="E20642">
        <v>0.73799999999999999</v>
      </c>
    </row>
    <row r="20643" spans="1:5">
      <c r="A20643" t="s">
        <v>46653</v>
      </c>
      <c r="B20643" t="s">
        <v>5503</v>
      </c>
      <c r="C20643">
        <v>0</v>
      </c>
      <c r="D20643" t="s">
        <v>106</v>
      </c>
      <c r="E20643">
        <v>0.73799999999999999</v>
      </c>
    </row>
    <row r="20644" spans="1:5">
      <c r="A20644" t="s">
        <v>46654</v>
      </c>
      <c r="B20644" t="s">
        <v>46655</v>
      </c>
      <c r="C20644">
        <f>0</f>
        <v>0</v>
      </c>
      <c r="D20644" t="s">
        <v>106</v>
      </c>
      <c r="E20644">
        <v>1.8959999999999999</v>
      </c>
    </row>
    <row r="20645" spans="1:5">
      <c r="A20645" t="s">
        <v>46654</v>
      </c>
      <c r="B20645" t="s">
        <v>46656</v>
      </c>
      <c r="C20645">
        <v>0</v>
      </c>
      <c r="D20645" t="s">
        <v>106</v>
      </c>
      <c r="E20645">
        <v>1.8959999999999999</v>
      </c>
    </row>
    <row r="20646" spans="1:5">
      <c r="A20646" t="s">
        <v>46654</v>
      </c>
      <c r="B20646" t="s">
        <v>46657</v>
      </c>
      <c r="C20646">
        <f>0</f>
        <v>0</v>
      </c>
      <c r="D20646" t="s">
        <v>106</v>
      </c>
      <c r="E20646">
        <v>1.8959999999999999</v>
      </c>
    </row>
    <row r="20647" spans="1:5">
      <c r="A20647" t="s">
        <v>46658</v>
      </c>
      <c r="B20647" t="s">
        <v>15669</v>
      </c>
      <c r="C20647">
        <f>0</f>
        <v>0</v>
      </c>
      <c r="D20647">
        <v>0.64126374886799997</v>
      </c>
      <c r="E20647">
        <v>0.78</v>
      </c>
    </row>
    <row r="20648" spans="1:5">
      <c r="A20648" t="s">
        <v>46658</v>
      </c>
      <c r="B20648" t="s">
        <v>15672</v>
      </c>
      <c r="C20648">
        <v>0.48125374886799999</v>
      </c>
      <c r="D20648">
        <v>0.64126374886799997</v>
      </c>
      <c r="E20648">
        <v>0.78</v>
      </c>
    </row>
    <row r="20649" spans="1:5">
      <c r="A20649" t="s">
        <v>46659</v>
      </c>
      <c r="B20649" t="s">
        <v>22526</v>
      </c>
      <c r="C20649">
        <v>0</v>
      </c>
      <c r="D20649">
        <v>0.88593683148000002</v>
      </c>
      <c r="E20649">
        <v>1.698</v>
      </c>
    </row>
    <row r="20650" spans="1:5">
      <c r="A20650" t="s">
        <v>46659</v>
      </c>
      <c r="B20650" t="s">
        <v>22527</v>
      </c>
      <c r="C20650">
        <f>0.78352683148</f>
        <v>0.78352683148000002</v>
      </c>
      <c r="D20650">
        <v>0.88593683148000002</v>
      </c>
      <c r="E20650">
        <v>1.698</v>
      </c>
    </row>
    <row r="20651" spans="1:5">
      <c r="A20651" t="s">
        <v>46660</v>
      </c>
      <c r="B20651" t="s">
        <v>30443</v>
      </c>
      <c r="C20651">
        <f>0</f>
        <v>0</v>
      </c>
      <c r="D20651">
        <v>0.58647805423900001</v>
      </c>
      <c r="E20651">
        <v>12.564</v>
      </c>
    </row>
    <row r="20652" spans="1:5">
      <c r="A20652" t="s">
        <v>46660</v>
      </c>
      <c r="B20652" t="s">
        <v>30446</v>
      </c>
      <c r="C20652">
        <f>0.392868054239</f>
        <v>0.39286805423900001</v>
      </c>
      <c r="D20652">
        <v>0.58647805423900001</v>
      </c>
      <c r="E20652">
        <v>12.564</v>
      </c>
    </row>
    <row r="20653" spans="1:5">
      <c r="A20653" t="s">
        <v>46661</v>
      </c>
      <c r="B20653" t="s">
        <v>25131</v>
      </c>
      <c r="C20653">
        <f>0.48520166656</f>
        <v>0.48520166656000002</v>
      </c>
      <c r="D20653">
        <v>0.97287800119000001</v>
      </c>
      <c r="E20653">
        <v>4.3739999999999997</v>
      </c>
    </row>
    <row r="20654" spans="1:5">
      <c r="A20654" t="s">
        <v>46661</v>
      </c>
      <c r="B20654" t="s">
        <v>25143</v>
      </c>
      <c r="C20654">
        <f>0</f>
        <v>0</v>
      </c>
      <c r="D20654">
        <v>0.97287800119000001</v>
      </c>
      <c r="E20654">
        <v>4.3739999999999997</v>
      </c>
    </row>
    <row r="20655" spans="1:5">
      <c r="A20655" t="s">
        <v>46661</v>
      </c>
      <c r="B20655" t="s">
        <v>25136</v>
      </c>
      <c r="C20655">
        <v>0</v>
      </c>
      <c r="D20655">
        <v>0.97287800119000001</v>
      </c>
      <c r="E20655">
        <v>4.3739999999999997</v>
      </c>
    </row>
    <row r="20656" spans="1:5">
      <c r="A20656" t="s">
        <v>46661</v>
      </c>
      <c r="B20656" t="s">
        <v>25141</v>
      </c>
      <c r="C20656">
        <v>0</v>
      </c>
      <c r="D20656">
        <v>0.97287800119000001</v>
      </c>
      <c r="E20656">
        <v>4.3739999999999997</v>
      </c>
    </row>
    <row r="20657" spans="1:5">
      <c r="A20657" t="s">
        <v>46661</v>
      </c>
      <c r="B20657" t="s">
        <v>25138</v>
      </c>
      <c r="C20657">
        <v>0</v>
      </c>
      <c r="D20657">
        <v>0.97287800119000001</v>
      </c>
      <c r="E20657">
        <v>4.3739999999999997</v>
      </c>
    </row>
    <row r="20658" spans="1:5">
      <c r="A20658" t="s">
        <v>46661</v>
      </c>
      <c r="B20658" t="s">
        <v>25142</v>
      </c>
      <c r="C20658">
        <f>0.496731819634</f>
        <v>0.49673181963399998</v>
      </c>
      <c r="D20658">
        <v>0.97287800119000001</v>
      </c>
      <c r="E20658">
        <v>4.3739999999999997</v>
      </c>
    </row>
    <row r="20659" spans="1:5">
      <c r="A20659" t="s">
        <v>46661</v>
      </c>
      <c r="B20659" t="s">
        <v>25137</v>
      </c>
      <c r="C20659">
        <f>0</f>
        <v>0</v>
      </c>
      <c r="D20659">
        <v>0.97287800119000001</v>
      </c>
      <c r="E20659">
        <v>4.3739999999999997</v>
      </c>
    </row>
    <row r="20660" spans="1:5">
      <c r="A20660" t="s">
        <v>46661</v>
      </c>
      <c r="B20660" t="s">
        <v>25140</v>
      </c>
      <c r="C20660">
        <v>0</v>
      </c>
      <c r="D20660">
        <v>0.97287800119000001</v>
      </c>
      <c r="E20660">
        <v>4.3739999999999997</v>
      </c>
    </row>
    <row r="20661" spans="1:5">
      <c r="A20661" t="s">
        <v>46662</v>
      </c>
      <c r="B20661" t="s">
        <v>31212</v>
      </c>
      <c r="C20661">
        <v>0.342767289915</v>
      </c>
      <c r="D20661">
        <v>0.91259138639899995</v>
      </c>
      <c r="E20661">
        <v>0.34799999999999998</v>
      </c>
    </row>
    <row r="20662" spans="1:5">
      <c r="A20662" t="s">
        <v>46662</v>
      </c>
      <c r="B20662" t="s">
        <v>31213</v>
      </c>
      <c r="C20662">
        <f>0</f>
        <v>0</v>
      </c>
      <c r="D20662">
        <v>0.91259138639899995</v>
      </c>
      <c r="E20662">
        <v>0.34799999999999998</v>
      </c>
    </row>
    <row r="20663" spans="1:5">
      <c r="A20663" t="s">
        <v>46662</v>
      </c>
      <c r="B20663" t="s">
        <v>31215</v>
      </c>
      <c r="C20663">
        <f>0</f>
        <v>0</v>
      </c>
      <c r="D20663">
        <v>0.91259138639899995</v>
      </c>
      <c r="E20663">
        <v>0.34799999999999998</v>
      </c>
    </row>
    <row r="20664" spans="1:5">
      <c r="A20664" t="s">
        <v>46662</v>
      </c>
      <c r="B20664" t="s">
        <v>31211</v>
      </c>
      <c r="C20664">
        <f>0.0931258279336</f>
        <v>9.3125827933599997E-2</v>
      </c>
      <c r="D20664">
        <v>0.91259138639899995</v>
      </c>
      <c r="E20664">
        <v>0.34799999999999998</v>
      </c>
    </row>
    <row r="20665" spans="1:5">
      <c r="A20665" t="s">
        <v>46662</v>
      </c>
      <c r="B20665" t="s">
        <v>31214</v>
      </c>
      <c r="C20665">
        <v>0.67320667018699998</v>
      </c>
      <c r="D20665">
        <v>0.91259138639899995</v>
      </c>
      <c r="E20665">
        <v>0.34799999999999998</v>
      </c>
    </row>
    <row r="20666" spans="1:5">
      <c r="A20666" t="s">
        <v>46663</v>
      </c>
      <c r="B20666" t="s">
        <v>24238</v>
      </c>
      <c r="C20666">
        <v>0.48118232169800002</v>
      </c>
      <c r="D20666">
        <v>0.88013197411699995</v>
      </c>
      <c r="E20666">
        <v>23.52</v>
      </c>
    </row>
    <row r="20667" spans="1:5">
      <c r="A20667" t="s">
        <v>46663</v>
      </c>
      <c r="B20667" t="s">
        <v>24239</v>
      </c>
      <c r="C20667">
        <f>0.86119201418</f>
        <v>0.86119201418000002</v>
      </c>
      <c r="D20667">
        <v>0.88013197411699995</v>
      </c>
      <c r="E20667">
        <v>23.52</v>
      </c>
    </row>
    <row r="20668" spans="1:5">
      <c r="A20668" t="s">
        <v>46664</v>
      </c>
      <c r="B20668" t="s">
        <v>27018</v>
      </c>
      <c r="C20668">
        <v>0.70731952571599999</v>
      </c>
      <c r="D20668">
        <v>0.942879780389</v>
      </c>
      <c r="E20668">
        <v>5.2380000000000004</v>
      </c>
    </row>
    <row r="20669" spans="1:5">
      <c r="A20669" t="s">
        <v>46664</v>
      </c>
      <c r="B20669" t="s">
        <v>27016</v>
      </c>
      <c r="C20669">
        <f>0.733110857922</f>
        <v>0.73311085792200004</v>
      </c>
      <c r="D20669">
        <v>0.942879780389</v>
      </c>
      <c r="E20669">
        <v>5.2380000000000004</v>
      </c>
    </row>
    <row r="20670" spans="1:5">
      <c r="A20670" t="s">
        <v>46664</v>
      </c>
      <c r="B20670" t="s">
        <v>27020</v>
      </c>
      <c r="C20670">
        <f>0.317807805764</f>
        <v>0.31780780576399997</v>
      </c>
      <c r="D20670">
        <v>0.942879780389</v>
      </c>
      <c r="E20670">
        <v>5.2380000000000004</v>
      </c>
    </row>
    <row r="20671" spans="1:5">
      <c r="A20671" t="s">
        <v>46665</v>
      </c>
      <c r="B20671" t="s">
        <v>20093</v>
      </c>
      <c r="C20671">
        <v>0.102433229579</v>
      </c>
      <c r="D20671">
        <v>0.94870112546999996</v>
      </c>
      <c r="E20671">
        <v>3.2280000000000002</v>
      </c>
    </row>
    <row r="20672" spans="1:5">
      <c r="A20672" t="s">
        <v>46665</v>
      </c>
      <c r="B20672" t="s">
        <v>20094</v>
      </c>
      <c r="C20672">
        <v>0</v>
      </c>
      <c r="D20672">
        <v>0.94870112546999996</v>
      </c>
      <c r="E20672">
        <v>3.2280000000000002</v>
      </c>
    </row>
    <row r="20673" spans="1:5">
      <c r="A20673" t="s">
        <v>46665</v>
      </c>
      <c r="B20673" t="s">
        <v>20099</v>
      </c>
      <c r="C20673">
        <v>0.87366208438199999</v>
      </c>
      <c r="D20673">
        <v>0.94870112546999996</v>
      </c>
      <c r="E20673">
        <v>3.2280000000000002</v>
      </c>
    </row>
    <row r="20674" spans="1:5">
      <c r="A20674" t="s">
        <v>46665</v>
      </c>
      <c r="B20674" t="s">
        <v>20096</v>
      </c>
      <c r="C20674">
        <v>0</v>
      </c>
      <c r="D20674">
        <v>0.94870112546999996</v>
      </c>
      <c r="E20674">
        <v>3.2280000000000002</v>
      </c>
    </row>
    <row r="20675" spans="1:5">
      <c r="A20675" t="s">
        <v>46665</v>
      </c>
      <c r="B20675" t="s">
        <v>20095</v>
      </c>
      <c r="C20675">
        <v>0</v>
      </c>
      <c r="D20675">
        <v>0.94870112546999996</v>
      </c>
      <c r="E20675">
        <v>3.2280000000000002</v>
      </c>
    </row>
    <row r="20676" spans="1:5">
      <c r="A20676" t="s">
        <v>46665</v>
      </c>
      <c r="B20676" t="s">
        <v>20098</v>
      </c>
      <c r="C20676">
        <v>0</v>
      </c>
      <c r="D20676">
        <v>0.94870112546999996</v>
      </c>
      <c r="E20676">
        <v>3.2280000000000002</v>
      </c>
    </row>
    <row r="20677" spans="1:5">
      <c r="A20677" t="s">
        <v>46666</v>
      </c>
      <c r="B20677" t="s">
        <v>46667</v>
      </c>
      <c r="C20677">
        <v>0.45706068138099998</v>
      </c>
      <c r="D20677">
        <v>0.53547068138099996</v>
      </c>
      <c r="E20677">
        <v>6.3</v>
      </c>
    </row>
    <row r="20678" spans="1:5">
      <c r="A20678" t="s">
        <v>46666</v>
      </c>
      <c r="B20678" t="s">
        <v>46668</v>
      </c>
      <c r="C20678">
        <f>0</f>
        <v>0</v>
      </c>
      <c r="D20678">
        <v>0.53547068138099996</v>
      </c>
      <c r="E20678">
        <v>6.3</v>
      </c>
    </row>
    <row r="20679" spans="1:5">
      <c r="A20679" t="s">
        <v>46669</v>
      </c>
      <c r="B20679" t="s">
        <v>33344</v>
      </c>
      <c r="C20679">
        <f>0</f>
        <v>0</v>
      </c>
      <c r="D20679">
        <v>0.82712784779199999</v>
      </c>
      <c r="E20679">
        <v>23.754000000000001</v>
      </c>
    </row>
    <row r="20680" spans="1:5">
      <c r="A20680" t="s">
        <v>46669</v>
      </c>
      <c r="B20680" t="s">
        <v>33346</v>
      </c>
      <c r="C20680">
        <f>0.311638167536</f>
        <v>0.31163816753599999</v>
      </c>
      <c r="D20680">
        <v>0.82712784779199999</v>
      </c>
      <c r="E20680">
        <v>23.754000000000001</v>
      </c>
    </row>
    <row r="20681" spans="1:5">
      <c r="A20681" t="s">
        <v>46669</v>
      </c>
      <c r="B20681" t="s">
        <v>33349</v>
      </c>
      <c r="C20681">
        <v>0.10061192069700001</v>
      </c>
      <c r="D20681">
        <v>0.82712784779199999</v>
      </c>
      <c r="E20681">
        <v>23.754000000000001</v>
      </c>
    </row>
    <row r="20682" spans="1:5">
      <c r="A20682" t="s">
        <v>46669</v>
      </c>
      <c r="B20682" t="s">
        <v>33345</v>
      </c>
      <c r="C20682">
        <v>0.53899570235299998</v>
      </c>
      <c r="D20682">
        <v>0.82712784779199999</v>
      </c>
      <c r="E20682">
        <v>23.754000000000001</v>
      </c>
    </row>
    <row r="20683" spans="1:5">
      <c r="A20683" t="s">
        <v>46669</v>
      </c>
      <c r="B20683" t="s">
        <v>33348</v>
      </c>
      <c r="C20683">
        <v>0</v>
      </c>
      <c r="D20683">
        <v>0.82712784779199999</v>
      </c>
      <c r="E20683">
        <v>23.754000000000001</v>
      </c>
    </row>
    <row r="20684" spans="1:5">
      <c r="A20684" t="s">
        <v>46670</v>
      </c>
      <c r="B20684" t="s">
        <v>46671</v>
      </c>
      <c r="C20684">
        <v>0</v>
      </c>
      <c r="D20684" t="s">
        <v>106</v>
      </c>
      <c r="E20684">
        <v>0.47399999999999998</v>
      </c>
    </row>
    <row r="20685" spans="1:5">
      <c r="A20685" t="s">
        <v>46670</v>
      </c>
      <c r="B20685" t="s">
        <v>46672</v>
      </c>
      <c r="C20685">
        <v>0</v>
      </c>
      <c r="D20685" t="s">
        <v>106</v>
      </c>
      <c r="E20685">
        <v>0.47399999999999998</v>
      </c>
    </row>
    <row r="20686" spans="1:5">
      <c r="A20686" t="s">
        <v>46670</v>
      </c>
      <c r="B20686" t="s">
        <v>46673</v>
      </c>
      <c r="C20686">
        <f>0</f>
        <v>0</v>
      </c>
      <c r="D20686" t="s">
        <v>106</v>
      </c>
      <c r="E20686">
        <v>0.47399999999999998</v>
      </c>
    </row>
    <row r="20687" spans="1:5">
      <c r="A20687" t="s">
        <v>46674</v>
      </c>
      <c r="B20687" t="s">
        <v>46675</v>
      </c>
      <c r="C20687">
        <v>0.129826549673</v>
      </c>
      <c r="D20687">
        <v>0.66127470190500004</v>
      </c>
      <c r="E20687">
        <v>24</v>
      </c>
    </row>
    <row r="20688" spans="1:5">
      <c r="A20688" t="s">
        <v>46674</v>
      </c>
      <c r="B20688" t="s">
        <v>46676</v>
      </c>
      <c r="C20688">
        <f>0.493317979394</f>
        <v>0.49331797939400002</v>
      </c>
      <c r="D20688">
        <v>0.66127470190500004</v>
      </c>
      <c r="E20688">
        <v>24</v>
      </c>
    </row>
    <row r="20689" spans="1:5">
      <c r="A20689" t="s">
        <v>46677</v>
      </c>
      <c r="B20689" t="s">
        <v>28559</v>
      </c>
      <c r="C20689">
        <f>0</f>
        <v>0</v>
      </c>
      <c r="D20689" t="s">
        <v>106</v>
      </c>
      <c r="E20689">
        <v>24</v>
      </c>
    </row>
    <row r="20690" spans="1:5">
      <c r="A20690" t="s">
        <v>46677</v>
      </c>
      <c r="B20690" t="s">
        <v>28560</v>
      </c>
      <c r="C20690">
        <v>0</v>
      </c>
      <c r="D20690" t="s">
        <v>106</v>
      </c>
      <c r="E20690">
        <v>24</v>
      </c>
    </row>
    <row r="20691" spans="1:5">
      <c r="A20691" t="s">
        <v>46677</v>
      </c>
      <c r="B20691" t="s">
        <v>28563</v>
      </c>
      <c r="C20691">
        <f>0</f>
        <v>0</v>
      </c>
      <c r="D20691" t="s">
        <v>106</v>
      </c>
      <c r="E20691">
        <v>24</v>
      </c>
    </row>
    <row r="20692" spans="1:5">
      <c r="A20692" t="s">
        <v>46678</v>
      </c>
      <c r="B20692" t="s">
        <v>8816</v>
      </c>
      <c r="C20692">
        <v>0.118367243491</v>
      </c>
      <c r="D20692">
        <v>0.99995905221199999</v>
      </c>
      <c r="E20692">
        <v>23.04</v>
      </c>
    </row>
    <row r="20693" spans="1:5">
      <c r="A20693" t="s">
        <v>46678</v>
      </c>
      <c r="B20693" t="s">
        <v>8817</v>
      </c>
      <c r="C20693">
        <v>3.9153808691599998E-2</v>
      </c>
      <c r="D20693">
        <v>0.99995905221199999</v>
      </c>
      <c r="E20693">
        <v>23.04</v>
      </c>
    </row>
    <row r="20694" spans="1:5">
      <c r="A20694" t="s">
        <v>46678</v>
      </c>
      <c r="B20694" t="s">
        <v>8818</v>
      </c>
      <c r="C20694">
        <v>0.119302381751</v>
      </c>
      <c r="D20694">
        <v>0.99995905221199999</v>
      </c>
      <c r="E20694">
        <v>23.04</v>
      </c>
    </row>
    <row r="20695" spans="1:5">
      <c r="A20695" t="s">
        <v>46678</v>
      </c>
      <c r="B20695" t="s">
        <v>8823</v>
      </c>
      <c r="C20695">
        <v>0.87772164833800004</v>
      </c>
      <c r="D20695">
        <v>0.99995905221199999</v>
      </c>
      <c r="E20695">
        <v>23.04</v>
      </c>
    </row>
    <row r="20696" spans="1:5">
      <c r="A20696" t="s">
        <v>46678</v>
      </c>
      <c r="B20696" t="s">
        <v>8819</v>
      </c>
      <c r="C20696">
        <f>0.0281026832941</f>
        <v>2.8102683294100001E-2</v>
      </c>
      <c r="D20696">
        <v>0.99995905221199999</v>
      </c>
      <c r="E20696">
        <v>23.04</v>
      </c>
    </row>
    <row r="20697" spans="1:5">
      <c r="A20697" t="s">
        <v>46678</v>
      </c>
      <c r="B20697" t="s">
        <v>8820</v>
      </c>
      <c r="C20697">
        <f>0.327387723076</f>
        <v>0.327387723076</v>
      </c>
      <c r="D20697">
        <v>0.99995905221199999</v>
      </c>
      <c r="E20697">
        <v>23.04</v>
      </c>
    </row>
    <row r="20698" spans="1:5">
      <c r="A20698" t="s">
        <v>46678</v>
      </c>
      <c r="B20698" t="s">
        <v>8821</v>
      </c>
      <c r="C20698">
        <v>6.6492307196700004E-2</v>
      </c>
      <c r="D20698">
        <v>0.99995905221199999</v>
      </c>
      <c r="E20698">
        <v>23.04</v>
      </c>
    </row>
    <row r="20699" spans="1:5">
      <c r="A20699" t="s">
        <v>46679</v>
      </c>
      <c r="B20699" t="s">
        <v>46680</v>
      </c>
      <c r="C20699">
        <v>0.48166118189200002</v>
      </c>
      <c r="D20699">
        <v>0.61127118189200003</v>
      </c>
      <c r="E20699">
        <v>19.853999999999999</v>
      </c>
    </row>
    <row r="20700" spans="1:5">
      <c r="A20700" t="s">
        <v>46679</v>
      </c>
      <c r="B20700" t="s">
        <v>46681</v>
      </c>
      <c r="C20700">
        <f>0</f>
        <v>0</v>
      </c>
      <c r="D20700">
        <v>0.61127118189200003</v>
      </c>
      <c r="E20700">
        <v>19.853999999999999</v>
      </c>
    </row>
    <row r="20701" spans="1:5">
      <c r="A20701" t="s">
        <v>46682</v>
      </c>
      <c r="B20701" t="s">
        <v>12304</v>
      </c>
      <c r="C20701">
        <v>0.59812001465499998</v>
      </c>
      <c r="D20701">
        <v>0.86805478326300001</v>
      </c>
      <c r="E20701">
        <v>8.4359999999999999</v>
      </c>
    </row>
    <row r="20702" spans="1:5">
      <c r="A20702" t="s">
        <v>46682</v>
      </c>
      <c r="B20702" t="s">
        <v>12309</v>
      </c>
      <c r="C20702">
        <v>0</v>
      </c>
      <c r="D20702">
        <v>0.86805478326300001</v>
      </c>
      <c r="E20702">
        <v>8.4359999999999999</v>
      </c>
    </row>
    <row r="20703" spans="1:5">
      <c r="A20703" t="s">
        <v>46682</v>
      </c>
      <c r="B20703" t="s">
        <v>12308</v>
      </c>
      <c r="C20703">
        <v>0</v>
      </c>
      <c r="D20703">
        <v>0.86805478326300001</v>
      </c>
      <c r="E20703">
        <v>8.4359999999999999</v>
      </c>
    </row>
    <row r="20704" spans="1:5">
      <c r="A20704" t="s">
        <v>46682</v>
      </c>
      <c r="B20704" t="s">
        <v>12307</v>
      </c>
      <c r="C20704">
        <v>6.6582318998900006E-2</v>
      </c>
      <c r="D20704">
        <v>0.86805478326300001</v>
      </c>
      <c r="E20704">
        <v>8.4359999999999999</v>
      </c>
    </row>
    <row r="20705" spans="1:5">
      <c r="A20705" t="s">
        <v>46682</v>
      </c>
      <c r="B20705" t="s">
        <v>12306</v>
      </c>
      <c r="C20705">
        <v>0</v>
      </c>
      <c r="D20705">
        <v>0.86805478326300001</v>
      </c>
      <c r="E20705">
        <v>8.4359999999999999</v>
      </c>
    </row>
    <row r="20706" spans="1:5">
      <c r="A20706" t="s">
        <v>46682</v>
      </c>
      <c r="B20706" t="s">
        <v>12305</v>
      </c>
      <c r="C20706">
        <v>0.14868700561500001</v>
      </c>
      <c r="D20706">
        <v>0.86805478326300001</v>
      </c>
      <c r="E20706">
        <v>8.4359999999999999</v>
      </c>
    </row>
    <row r="20707" spans="1:5">
      <c r="A20707" t="s">
        <v>46682</v>
      </c>
      <c r="B20707" t="s">
        <v>12310</v>
      </c>
      <c r="C20707">
        <v>0</v>
      </c>
      <c r="D20707">
        <v>0.86805478326300001</v>
      </c>
      <c r="E20707">
        <v>8.4359999999999999</v>
      </c>
    </row>
    <row r="20708" spans="1:5">
      <c r="A20708" t="s">
        <v>46683</v>
      </c>
      <c r="B20708" t="s">
        <v>11738</v>
      </c>
      <c r="C20708">
        <v>0.31549083166699998</v>
      </c>
      <c r="D20708">
        <v>0.88094348017799995</v>
      </c>
      <c r="E20708">
        <v>11.706</v>
      </c>
    </row>
    <row r="20709" spans="1:5">
      <c r="A20709" t="s">
        <v>46683</v>
      </c>
      <c r="B20709" t="s">
        <v>11737</v>
      </c>
      <c r="C20709">
        <v>0</v>
      </c>
      <c r="D20709">
        <v>0.88094348017799995</v>
      </c>
      <c r="E20709">
        <v>11.706</v>
      </c>
    </row>
    <row r="20710" spans="1:5">
      <c r="A20710" t="s">
        <v>46683</v>
      </c>
      <c r="B20710" t="s">
        <v>11745</v>
      </c>
      <c r="C20710">
        <f>0</f>
        <v>0</v>
      </c>
      <c r="D20710">
        <v>0.88094348017799995</v>
      </c>
      <c r="E20710">
        <v>11.706</v>
      </c>
    </row>
    <row r="20711" spans="1:5">
      <c r="A20711" t="s">
        <v>46683</v>
      </c>
      <c r="B20711" t="s">
        <v>11741</v>
      </c>
      <c r="C20711">
        <f>0.662705871359</f>
        <v>0.66270587135900005</v>
      </c>
      <c r="D20711">
        <v>0.88094348017799995</v>
      </c>
      <c r="E20711">
        <v>11.706</v>
      </c>
    </row>
    <row r="20712" spans="1:5">
      <c r="A20712" t="s">
        <v>46683</v>
      </c>
      <c r="B20712" t="s">
        <v>11744</v>
      </c>
      <c r="C20712">
        <v>0.144659727421</v>
      </c>
      <c r="D20712">
        <v>0.88094348017799995</v>
      </c>
      <c r="E20712">
        <v>11.706</v>
      </c>
    </row>
    <row r="20713" spans="1:5">
      <c r="A20713" t="s">
        <v>46683</v>
      </c>
      <c r="B20713" t="s">
        <v>11740</v>
      </c>
      <c r="C20713">
        <v>0</v>
      </c>
      <c r="D20713">
        <v>0.88094348017799995</v>
      </c>
      <c r="E20713">
        <v>11.706</v>
      </c>
    </row>
    <row r="20714" spans="1:5">
      <c r="A20714" t="s">
        <v>46683</v>
      </c>
      <c r="B20714" t="s">
        <v>11743</v>
      </c>
      <c r="C20714">
        <f>0</f>
        <v>0</v>
      </c>
      <c r="D20714">
        <v>0.88094348017799995</v>
      </c>
      <c r="E20714">
        <v>11.706</v>
      </c>
    </row>
    <row r="20715" spans="1:5">
      <c r="A20715" t="s">
        <v>46684</v>
      </c>
      <c r="B20715" t="s">
        <v>46685</v>
      </c>
      <c r="C20715">
        <f>0</f>
        <v>0</v>
      </c>
      <c r="D20715">
        <v>0.58879621498000001</v>
      </c>
      <c r="E20715">
        <v>0.10199999999999999</v>
      </c>
    </row>
    <row r="20716" spans="1:5">
      <c r="A20716" t="s">
        <v>46684</v>
      </c>
      <c r="B20716" t="s">
        <v>46686</v>
      </c>
      <c r="C20716">
        <v>0</v>
      </c>
      <c r="D20716">
        <v>0.58879621498000001</v>
      </c>
      <c r="E20716">
        <v>0.10199999999999999</v>
      </c>
    </row>
    <row r="20717" spans="1:5">
      <c r="A20717" t="s">
        <v>46684</v>
      </c>
      <c r="B20717" t="s">
        <v>46687</v>
      </c>
      <c r="C20717">
        <f>0</f>
        <v>0</v>
      </c>
      <c r="D20717">
        <v>0.58879621498000001</v>
      </c>
      <c r="E20717">
        <v>0.10199999999999999</v>
      </c>
    </row>
    <row r="20718" spans="1:5">
      <c r="A20718" t="s">
        <v>46684</v>
      </c>
      <c r="B20718" t="s">
        <v>46688</v>
      </c>
      <c r="C20718">
        <v>0</v>
      </c>
      <c r="D20718">
        <v>0.58879621498000001</v>
      </c>
      <c r="E20718">
        <v>0.10199999999999999</v>
      </c>
    </row>
    <row r="20719" spans="1:5">
      <c r="A20719" t="s">
        <v>46684</v>
      </c>
      <c r="B20719" t="s">
        <v>46689</v>
      </c>
      <c r="C20719">
        <v>0</v>
      </c>
      <c r="D20719">
        <v>0.58879621498000001</v>
      </c>
      <c r="E20719">
        <v>0.10199999999999999</v>
      </c>
    </row>
    <row r="20720" spans="1:5">
      <c r="A20720" t="s">
        <v>46684</v>
      </c>
      <c r="B20720" t="s">
        <v>46690</v>
      </c>
      <c r="C20720">
        <v>0.22878621498000001</v>
      </c>
      <c r="D20720">
        <v>0.58879621498000001</v>
      </c>
      <c r="E20720">
        <v>0.10199999999999999</v>
      </c>
    </row>
    <row r="20721" spans="1:5">
      <c r="A20721" t="s">
        <v>46684</v>
      </c>
      <c r="B20721" t="s">
        <v>46691</v>
      </c>
      <c r="C20721">
        <v>0</v>
      </c>
      <c r="D20721">
        <v>0.58879621498000001</v>
      </c>
      <c r="E20721">
        <v>0.10199999999999999</v>
      </c>
    </row>
    <row r="20722" spans="1:5">
      <c r="A20722" t="s">
        <v>46684</v>
      </c>
      <c r="B20722" t="s">
        <v>46692</v>
      </c>
      <c r="C20722">
        <v>0</v>
      </c>
      <c r="D20722">
        <v>0.58879621498000001</v>
      </c>
      <c r="E20722">
        <v>0.10199999999999999</v>
      </c>
    </row>
    <row r="20723" spans="1:5">
      <c r="A20723" t="s">
        <v>46693</v>
      </c>
      <c r="B20723" t="s">
        <v>28167</v>
      </c>
      <c r="C20723">
        <f>0.735856003492</f>
        <v>0.73585600349199998</v>
      </c>
      <c r="D20723">
        <v>0.82038365390599999</v>
      </c>
      <c r="E20723">
        <v>0.82799999999999996</v>
      </c>
    </row>
    <row r="20724" spans="1:5">
      <c r="A20724" t="s">
        <v>46693</v>
      </c>
      <c r="B20724" t="s">
        <v>28174</v>
      </c>
      <c r="C20724">
        <v>0</v>
      </c>
      <c r="D20724">
        <v>0.82038365390599999</v>
      </c>
      <c r="E20724">
        <v>0.82799999999999996</v>
      </c>
    </row>
    <row r="20725" spans="1:5">
      <c r="A20725" t="s">
        <v>46693</v>
      </c>
      <c r="B20725" t="s">
        <v>28169</v>
      </c>
      <c r="C20725">
        <v>5.7884312048100003E-2</v>
      </c>
      <c r="D20725">
        <v>0.82038365390599999</v>
      </c>
      <c r="E20725">
        <v>0.82799999999999996</v>
      </c>
    </row>
    <row r="20726" spans="1:5">
      <c r="A20726" t="s">
        <v>46693</v>
      </c>
      <c r="B20726" t="s">
        <v>28171</v>
      </c>
      <c r="C20726">
        <f>0</f>
        <v>0</v>
      </c>
      <c r="D20726">
        <v>0.82038365390599999</v>
      </c>
      <c r="E20726">
        <v>0.82799999999999996</v>
      </c>
    </row>
    <row r="20727" spans="1:5">
      <c r="A20727" t="s">
        <v>46693</v>
      </c>
      <c r="B20727" t="s">
        <v>28170</v>
      </c>
      <c r="C20727">
        <v>0.11961095547599999</v>
      </c>
      <c r="D20727">
        <v>0.82038365390599999</v>
      </c>
      <c r="E20727">
        <v>0.82799999999999996</v>
      </c>
    </row>
    <row r="20728" spans="1:5">
      <c r="A20728" t="s">
        <v>46694</v>
      </c>
      <c r="B20728" t="s">
        <v>19795</v>
      </c>
      <c r="C20728">
        <f>0.483153177882</f>
        <v>0.48315317788200002</v>
      </c>
      <c r="D20728">
        <v>0.88018545730300002</v>
      </c>
      <c r="E20728">
        <v>24</v>
      </c>
    </row>
    <row r="20729" spans="1:5">
      <c r="A20729" t="s">
        <v>46694</v>
      </c>
      <c r="B20729" t="s">
        <v>19792</v>
      </c>
      <c r="C20729">
        <v>0.35787744119499998</v>
      </c>
      <c r="D20729">
        <v>0.88018545730300002</v>
      </c>
      <c r="E20729">
        <v>24</v>
      </c>
    </row>
    <row r="20730" spans="1:5">
      <c r="A20730" t="s">
        <v>46694</v>
      </c>
      <c r="B20730" t="s">
        <v>19793</v>
      </c>
      <c r="C20730">
        <v>0.12806422742500001</v>
      </c>
      <c r="D20730">
        <v>0.88018545730300002</v>
      </c>
      <c r="E20730">
        <v>24</v>
      </c>
    </row>
    <row r="20731" spans="1:5">
      <c r="A20731" t="s">
        <v>46694</v>
      </c>
      <c r="B20731" t="s">
        <v>19797</v>
      </c>
      <c r="C20731">
        <f>0</f>
        <v>0</v>
      </c>
      <c r="D20731">
        <v>0.88018545730300002</v>
      </c>
      <c r="E20731">
        <v>24</v>
      </c>
    </row>
    <row r="20732" spans="1:5">
      <c r="A20732" t="s">
        <v>46695</v>
      </c>
      <c r="B20732" t="s">
        <v>20889</v>
      </c>
      <c r="C20732">
        <v>0.12584473712300001</v>
      </c>
      <c r="D20732">
        <v>0.43945473712299998</v>
      </c>
      <c r="E20732">
        <v>22.806000000000001</v>
      </c>
    </row>
    <row r="20733" spans="1:5">
      <c r="A20733" t="s">
        <v>46695</v>
      </c>
      <c r="B20733" t="s">
        <v>20890</v>
      </c>
      <c r="C20733">
        <f>0</f>
        <v>0</v>
      </c>
      <c r="D20733">
        <v>0.43945473712299998</v>
      </c>
      <c r="E20733">
        <v>22.806000000000001</v>
      </c>
    </row>
    <row r="20734" spans="1:5">
      <c r="A20734" t="s">
        <v>46696</v>
      </c>
      <c r="B20734" t="s">
        <v>32383</v>
      </c>
      <c r="C20734">
        <v>5.3535306073199999E-2</v>
      </c>
      <c r="D20734">
        <v>0.82922343011599997</v>
      </c>
      <c r="E20734">
        <v>7.8719999999999999</v>
      </c>
    </row>
    <row r="20735" spans="1:5">
      <c r="A20735" t="s">
        <v>46696</v>
      </c>
      <c r="B20735" t="s">
        <v>32386</v>
      </c>
      <c r="C20735">
        <v>0</v>
      </c>
      <c r="D20735">
        <v>0.82922343011599997</v>
      </c>
      <c r="E20735">
        <v>7.8719999999999999</v>
      </c>
    </row>
    <row r="20736" spans="1:5">
      <c r="A20736" t="s">
        <v>46696</v>
      </c>
      <c r="B20736" t="s">
        <v>32387</v>
      </c>
      <c r="C20736">
        <f>0.773643215651</f>
        <v>0.77364321565100003</v>
      </c>
      <c r="D20736">
        <v>0.82922343011599997</v>
      </c>
      <c r="E20736">
        <v>7.8719999999999999</v>
      </c>
    </row>
    <row r="20737" spans="1:5">
      <c r="A20737" t="s">
        <v>46696</v>
      </c>
      <c r="B20737" t="s">
        <v>32385</v>
      </c>
      <c r="C20737">
        <v>0</v>
      </c>
      <c r="D20737">
        <v>0.82922343011599997</v>
      </c>
      <c r="E20737">
        <v>7.8719999999999999</v>
      </c>
    </row>
    <row r="20738" spans="1:5">
      <c r="A20738" t="s">
        <v>46697</v>
      </c>
      <c r="B20738" t="s">
        <v>46698</v>
      </c>
      <c r="C20738">
        <f>0</f>
        <v>0</v>
      </c>
      <c r="D20738">
        <v>0.88762122005999999</v>
      </c>
      <c r="E20738">
        <v>0</v>
      </c>
    </row>
    <row r="20739" spans="1:5">
      <c r="A20739" t="s">
        <v>46697</v>
      </c>
      <c r="B20739" t="s">
        <v>46699</v>
      </c>
      <c r="C20739">
        <f>0.483814672711</f>
        <v>0.48381467271099998</v>
      </c>
      <c r="D20739">
        <v>0.88762122005999999</v>
      </c>
      <c r="E20739">
        <v>0</v>
      </c>
    </row>
    <row r="20740" spans="1:5">
      <c r="A20740" t="s">
        <v>46697</v>
      </c>
      <c r="B20740" t="s">
        <v>46700</v>
      </c>
      <c r="C20740">
        <v>0</v>
      </c>
      <c r="D20740">
        <v>0.88762122005999999</v>
      </c>
      <c r="E20740">
        <v>0</v>
      </c>
    </row>
    <row r="20741" spans="1:5">
      <c r="A20741" t="s">
        <v>46697</v>
      </c>
      <c r="B20741" t="s">
        <v>46701</v>
      </c>
      <c r="C20741">
        <v>0.87720427724000005</v>
      </c>
      <c r="D20741">
        <v>0.88762122005999999</v>
      </c>
      <c r="E20741">
        <v>0</v>
      </c>
    </row>
    <row r="20742" spans="1:5">
      <c r="A20742" t="s">
        <v>46702</v>
      </c>
      <c r="B20742" t="s">
        <v>2754</v>
      </c>
      <c r="C20742">
        <f>0.79671625512</f>
        <v>0.79671625511999999</v>
      </c>
      <c r="D20742">
        <v>0.964239814709</v>
      </c>
      <c r="E20742">
        <v>24</v>
      </c>
    </row>
    <row r="20743" spans="1:5">
      <c r="A20743" t="s">
        <v>46702</v>
      </c>
      <c r="B20743" t="s">
        <v>2758</v>
      </c>
      <c r="C20743">
        <f>0.125744682601</f>
        <v>0.125744682601</v>
      </c>
      <c r="D20743">
        <v>0.964239814709</v>
      </c>
      <c r="E20743">
        <v>24</v>
      </c>
    </row>
    <row r="20744" spans="1:5">
      <c r="A20744" t="s">
        <v>46702</v>
      </c>
      <c r="B20744" t="s">
        <v>2756</v>
      </c>
      <c r="C20744">
        <f>0.8990954941</f>
        <v>0.8990954941</v>
      </c>
      <c r="D20744">
        <v>0.964239814709</v>
      </c>
      <c r="E20744">
        <v>24</v>
      </c>
    </row>
    <row r="20745" spans="1:5">
      <c r="A20745" t="s">
        <v>46702</v>
      </c>
      <c r="B20745" t="s">
        <v>2755</v>
      </c>
      <c r="C20745">
        <v>0.17104200212699999</v>
      </c>
      <c r="D20745">
        <v>0.964239814709</v>
      </c>
      <c r="E20745">
        <v>24</v>
      </c>
    </row>
    <row r="20746" spans="1:5">
      <c r="A20746" t="s">
        <v>46703</v>
      </c>
      <c r="B20746" t="s">
        <v>46704</v>
      </c>
      <c r="C20746">
        <f>0.506252684137</f>
        <v>0.50625268413699998</v>
      </c>
      <c r="D20746">
        <v>0.99994452845600001</v>
      </c>
      <c r="E20746">
        <v>3.1379999999999999</v>
      </c>
    </row>
    <row r="20747" spans="1:5">
      <c r="A20747" t="s">
        <v>46703</v>
      </c>
      <c r="B20747" t="s">
        <v>46705</v>
      </c>
      <c r="C20747">
        <f>0.0775392618562</f>
        <v>7.7539261856199998E-2</v>
      </c>
      <c r="D20747">
        <v>0.99994452845600001</v>
      </c>
      <c r="E20747">
        <v>3.1379999999999999</v>
      </c>
    </row>
    <row r="20748" spans="1:5">
      <c r="A20748" t="s">
        <v>46703</v>
      </c>
      <c r="B20748" t="s">
        <v>46706</v>
      </c>
      <c r="C20748">
        <f>0.27375183107</f>
        <v>0.27375183107000001</v>
      </c>
      <c r="D20748">
        <v>0.99994452845600001</v>
      </c>
      <c r="E20748">
        <v>3.1379999999999999</v>
      </c>
    </row>
    <row r="20749" spans="1:5">
      <c r="A20749" t="s">
        <v>46703</v>
      </c>
      <c r="B20749" t="s">
        <v>46707</v>
      </c>
      <c r="C20749">
        <v>0.294375361025</v>
      </c>
      <c r="D20749">
        <v>0.99994452845600001</v>
      </c>
      <c r="E20749">
        <v>3.1379999999999999</v>
      </c>
    </row>
    <row r="20750" spans="1:5">
      <c r="A20750" t="s">
        <v>46703</v>
      </c>
      <c r="B20750" t="s">
        <v>46708</v>
      </c>
      <c r="C20750">
        <v>0.25556300854000003</v>
      </c>
      <c r="D20750">
        <v>0.99994452845600001</v>
      </c>
      <c r="E20750">
        <v>3.1379999999999999</v>
      </c>
    </row>
    <row r="20751" spans="1:5">
      <c r="A20751" t="s">
        <v>46703</v>
      </c>
      <c r="B20751" t="s">
        <v>46709</v>
      </c>
      <c r="C20751">
        <v>0.86917256413900001</v>
      </c>
      <c r="D20751">
        <v>0.99994452845600001</v>
      </c>
      <c r="E20751">
        <v>3.1379999999999999</v>
      </c>
    </row>
    <row r="20752" spans="1:5">
      <c r="A20752" t="s">
        <v>46703</v>
      </c>
      <c r="B20752" t="s">
        <v>46710</v>
      </c>
      <c r="C20752">
        <f>0.145804846371</f>
        <v>0.145804846371</v>
      </c>
      <c r="D20752">
        <v>0.99994452845600001</v>
      </c>
      <c r="E20752">
        <v>3.1379999999999999</v>
      </c>
    </row>
    <row r="20753" spans="1:5">
      <c r="A20753" t="s">
        <v>46703</v>
      </c>
      <c r="B20753" t="s">
        <v>46711</v>
      </c>
      <c r="C20753">
        <f>0.122707449765</f>
        <v>0.122707449765</v>
      </c>
      <c r="D20753">
        <v>0.99994452845600001</v>
      </c>
      <c r="E20753">
        <v>3.1379999999999999</v>
      </c>
    </row>
    <row r="20754" spans="1:5">
      <c r="A20754" t="s">
        <v>46703</v>
      </c>
      <c r="B20754" t="s">
        <v>46712</v>
      </c>
      <c r="C20754">
        <v>1.6811115856100001E-2</v>
      </c>
      <c r="D20754">
        <v>0.99994452845600001</v>
      </c>
      <c r="E20754">
        <v>3.1379999999999999</v>
      </c>
    </row>
    <row r="20755" spans="1:5">
      <c r="A20755" t="s">
        <v>46713</v>
      </c>
      <c r="B20755" t="s">
        <v>5490</v>
      </c>
      <c r="C20755">
        <v>0</v>
      </c>
      <c r="D20755">
        <v>0.91646006774400002</v>
      </c>
      <c r="E20755">
        <v>1.17</v>
      </c>
    </row>
    <row r="20756" spans="1:5">
      <c r="A20756" t="s">
        <v>46713</v>
      </c>
      <c r="B20756" t="s">
        <v>5499</v>
      </c>
      <c r="C20756">
        <v>0.58795197347000006</v>
      </c>
      <c r="D20756">
        <v>0.91646006774400002</v>
      </c>
      <c r="E20756">
        <v>1.17</v>
      </c>
    </row>
    <row r="20757" spans="1:5">
      <c r="A20757" t="s">
        <v>46713</v>
      </c>
      <c r="B20757" t="s">
        <v>5494</v>
      </c>
      <c r="C20757">
        <v>0</v>
      </c>
      <c r="D20757">
        <v>0.91646006774400002</v>
      </c>
      <c r="E20757">
        <v>1.17</v>
      </c>
    </row>
    <row r="20758" spans="1:5">
      <c r="A20758" t="s">
        <v>46713</v>
      </c>
      <c r="B20758" t="s">
        <v>5492</v>
      </c>
      <c r="C20758">
        <v>0.31923691402400001</v>
      </c>
      <c r="D20758">
        <v>0.91646006774400002</v>
      </c>
      <c r="E20758">
        <v>1.17</v>
      </c>
    </row>
    <row r="20759" spans="1:5">
      <c r="A20759" t="s">
        <v>46714</v>
      </c>
      <c r="B20759" t="s">
        <v>22075</v>
      </c>
      <c r="C20759">
        <f>0.183545958891</f>
        <v>0.18354595889100001</v>
      </c>
      <c r="D20759">
        <v>0.87653459739299999</v>
      </c>
      <c r="E20759">
        <v>23.754000000000001</v>
      </c>
    </row>
    <row r="20760" spans="1:5">
      <c r="A20760" t="s">
        <v>46714</v>
      </c>
      <c r="B20760" t="s">
        <v>22076</v>
      </c>
      <c r="C20760">
        <v>0.12315513753399999</v>
      </c>
      <c r="D20760">
        <v>0.87653459739299999</v>
      </c>
      <c r="E20760">
        <v>23.754000000000001</v>
      </c>
    </row>
    <row r="20761" spans="1:5">
      <c r="A20761" t="s">
        <v>46714</v>
      </c>
      <c r="B20761" t="s">
        <v>22071</v>
      </c>
      <c r="C20761">
        <f>0.0418841794929</f>
        <v>4.1884179492899999E-2</v>
      </c>
      <c r="D20761">
        <v>0.87653459739299999</v>
      </c>
      <c r="E20761">
        <v>23.754000000000001</v>
      </c>
    </row>
    <row r="20762" spans="1:5">
      <c r="A20762" t="s">
        <v>46714</v>
      </c>
      <c r="B20762" t="s">
        <v>22073</v>
      </c>
      <c r="C20762">
        <v>0.59091511855199996</v>
      </c>
      <c r="D20762">
        <v>0.87653459739299999</v>
      </c>
      <c r="E20762">
        <v>23.754000000000001</v>
      </c>
    </row>
    <row r="20763" spans="1:5">
      <c r="A20763" t="s">
        <v>46714</v>
      </c>
      <c r="B20763" t="s">
        <v>22077</v>
      </c>
      <c r="C20763">
        <v>0</v>
      </c>
      <c r="D20763">
        <v>0.87653459739299999</v>
      </c>
      <c r="E20763">
        <v>23.754000000000001</v>
      </c>
    </row>
    <row r="20764" spans="1:5">
      <c r="A20764" t="s">
        <v>46715</v>
      </c>
      <c r="B20764" t="s">
        <v>20289</v>
      </c>
      <c r="C20764">
        <v>0</v>
      </c>
      <c r="D20764">
        <v>0.78448098235499997</v>
      </c>
      <c r="E20764">
        <v>11.37</v>
      </c>
    </row>
    <row r="20765" spans="1:5">
      <c r="A20765" t="s">
        <v>46715</v>
      </c>
      <c r="B20765" t="s">
        <v>20293</v>
      </c>
      <c r="C20765">
        <v>0.57487038515900002</v>
      </c>
      <c r="D20765">
        <v>0.78448098235499997</v>
      </c>
      <c r="E20765">
        <v>11.37</v>
      </c>
    </row>
    <row r="20766" spans="1:5">
      <c r="A20766" t="s">
        <v>46715</v>
      </c>
      <c r="B20766" t="s">
        <v>20291</v>
      </c>
      <c r="C20766">
        <v>2.1039903792399998E-2</v>
      </c>
      <c r="D20766">
        <v>0.78448098235499997</v>
      </c>
      <c r="E20766">
        <v>11.37</v>
      </c>
    </row>
    <row r="20767" spans="1:5">
      <c r="A20767" t="s">
        <v>46715</v>
      </c>
      <c r="B20767" t="s">
        <v>20294</v>
      </c>
      <c r="C20767">
        <f>0.0348330541629</f>
        <v>3.4833054162900001E-2</v>
      </c>
      <c r="D20767">
        <v>0.78448098235499997</v>
      </c>
      <c r="E20767">
        <v>11.37</v>
      </c>
    </row>
    <row r="20768" spans="1:5">
      <c r="A20768" t="s">
        <v>46715</v>
      </c>
      <c r="B20768" t="s">
        <v>20292</v>
      </c>
      <c r="C20768">
        <v>0</v>
      </c>
      <c r="D20768">
        <v>0.78448098235499997</v>
      </c>
      <c r="E20768">
        <v>11.37</v>
      </c>
    </row>
    <row r="20769" spans="1:5">
      <c r="A20769" t="s">
        <v>46716</v>
      </c>
      <c r="B20769" t="s">
        <v>10579</v>
      </c>
      <c r="C20769">
        <v>0.33235266206399999</v>
      </c>
      <c r="D20769">
        <v>0.88080161421699998</v>
      </c>
      <c r="E20769">
        <v>6.3</v>
      </c>
    </row>
    <row r="20770" spans="1:5">
      <c r="A20770" t="s">
        <v>46716</v>
      </c>
      <c r="B20770" t="s">
        <v>10580</v>
      </c>
      <c r="C20770">
        <v>0.56728514643500005</v>
      </c>
      <c r="D20770">
        <v>0.88080161421699998</v>
      </c>
      <c r="E20770">
        <v>6.3</v>
      </c>
    </row>
    <row r="20771" spans="1:5">
      <c r="A20771" t="s">
        <v>46716</v>
      </c>
      <c r="B20771" t="s">
        <v>10581</v>
      </c>
      <c r="C20771">
        <f>0</f>
        <v>0</v>
      </c>
      <c r="D20771">
        <v>0.88080161421699998</v>
      </c>
      <c r="E20771">
        <v>6.3</v>
      </c>
    </row>
    <row r="20772" spans="1:5">
      <c r="A20772" t="s">
        <v>46716</v>
      </c>
      <c r="B20772" t="s">
        <v>10585</v>
      </c>
      <c r="C20772">
        <f>0</f>
        <v>0</v>
      </c>
      <c r="D20772">
        <v>0.88080161421699998</v>
      </c>
      <c r="E20772">
        <v>6.3</v>
      </c>
    </row>
    <row r="20773" spans="1:5">
      <c r="A20773" t="s">
        <v>46717</v>
      </c>
      <c r="B20773" t="s">
        <v>11426</v>
      </c>
      <c r="C20773">
        <f>0.778190071766</f>
        <v>0.77819007176599997</v>
      </c>
      <c r="D20773">
        <v>0.99999998454299999</v>
      </c>
      <c r="E20773">
        <v>8.7240000000000002</v>
      </c>
    </row>
    <row r="20774" spans="1:5">
      <c r="A20774" t="s">
        <v>46717</v>
      </c>
      <c r="B20774" t="s">
        <v>11406</v>
      </c>
      <c r="C20774">
        <f>0.154202620187</f>
        <v>0.15420262018700001</v>
      </c>
      <c r="D20774">
        <v>0.99999998454299999</v>
      </c>
      <c r="E20774">
        <v>8.7240000000000002</v>
      </c>
    </row>
    <row r="20775" spans="1:5">
      <c r="A20775" t="s">
        <v>46717</v>
      </c>
      <c r="B20775" t="s">
        <v>11407</v>
      </c>
      <c r="C20775">
        <f>0.389980825796</f>
        <v>0.38998082579600002</v>
      </c>
      <c r="D20775">
        <v>0.99999998454299999</v>
      </c>
      <c r="E20775">
        <v>8.7240000000000002</v>
      </c>
    </row>
    <row r="20776" spans="1:5">
      <c r="A20776" t="s">
        <v>46717</v>
      </c>
      <c r="B20776" t="s">
        <v>11413</v>
      </c>
      <c r="C20776">
        <f>0.306651432151</f>
        <v>0.30665143215099999</v>
      </c>
      <c r="D20776">
        <v>0.99999998454299999</v>
      </c>
      <c r="E20776">
        <v>8.7240000000000002</v>
      </c>
    </row>
    <row r="20777" spans="1:5">
      <c r="A20777" t="s">
        <v>46717</v>
      </c>
      <c r="B20777" t="s">
        <v>11425</v>
      </c>
      <c r="C20777">
        <v>0.151659094892</v>
      </c>
      <c r="D20777">
        <v>0.99999998454299999</v>
      </c>
      <c r="E20777">
        <v>8.7240000000000002</v>
      </c>
    </row>
    <row r="20778" spans="1:5">
      <c r="A20778" t="s">
        <v>46717</v>
      </c>
      <c r="B20778" t="s">
        <v>11410</v>
      </c>
      <c r="C20778">
        <f>0.158575070808</f>
        <v>0.15857507080800001</v>
      </c>
      <c r="D20778">
        <v>0.99999998454299999</v>
      </c>
      <c r="E20778">
        <v>8.7240000000000002</v>
      </c>
    </row>
    <row r="20779" spans="1:5">
      <c r="A20779" t="s">
        <v>46717</v>
      </c>
      <c r="B20779" t="s">
        <v>11408</v>
      </c>
      <c r="C20779">
        <f>0.202418189091</f>
        <v>0.20241818909100001</v>
      </c>
      <c r="D20779">
        <v>0.99999998454299999</v>
      </c>
      <c r="E20779">
        <v>8.7240000000000002</v>
      </c>
    </row>
    <row r="20780" spans="1:5">
      <c r="A20780" t="s">
        <v>46717</v>
      </c>
      <c r="B20780" t="s">
        <v>11419</v>
      </c>
      <c r="C20780">
        <f>0.0351560394557</f>
        <v>3.5156039455699999E-2</v>
      </c>
      <c r="D20780">
        <v>0.99999998454299999</v>
      </c>
      <c r="E20780">
        <v>8.7240000000000002</v>
      </c>
    </row>
    <row r="20781" spans="1:5">
      <c r="A20781" t="s">
        <v>46717</v>
      </c>
      <c r="B20781" t="s">
        <v>11415</v>
      </c>
      <c r="C20781">
        <f>0.0025517736543</f>
        <v>2.5517736542999998E-3</v>
      </c>
      <c r="D20781">
        <v>0.99999998454299999</v>
      </c>
      <c r="E20781">
        <v>8.7240000000000002</v>
      </c>
    </row>
    <row r="20782" spans="1:5">
      <c r="A20782" t="s">
        <v>46717</v>
      </c>
      <c r="B20782" t="s">
        <v>11414</v>
      </c>
      <c r="C20782">
        <f>0.0373390487416</f>
        <v>3.7339048741600003E-2</v>
      </c>
      <c r="D20782">
        <v>0.99999998454299999</v>
      </c>
      <c r="E20782">
        <v>8.7240000000000002</v>
      </c>
    </row>
    <row r="20783" spans="1:5">
      <c r="A20783" t="s">
        <v>46717</v>
      </c>
      <c r="B20783" t="s">
        <v>11416</v>
      </c>
      <c r="C20783">
        <v>7.7030874084000001E-2</v>
      </c>
      <c r="D20783">
        <v>0.99999998454299999</v>
      </c>
      <c r="E20783">
        <v>8.7240000000000002</v>
      </c>
    </row>
    <row r="20784" spans="1:5">
      <c r="A20784" t="s">
        <v>46717</v>
      </c>
      <c r="B20784" t="s">
        <v>11421</v>
      </c>
      <c r="C20784">
        <f>0.0198685933603</f>
        <v>1.9868593360299999E-2</v>
      </c>
      <c r="D20784">
        <v>0.99999998454299999</v>
      </c>
      <c r="E20784">
        <v>8.7240000000000002</v>
      </c>
    </row>
    <row r="20785" spans="1:5">
      <c r="A20785" t="s">
        <v>46717</v>
      </c>
      <c r="B20785" t="s">
        <v>11417</v>
      </c>
      <c r="C20785">
        <v>2.3217013505100002E-2</v>
      </c>
      <c r="D20785">
        <v>0.99999998454299999</v>
      </c>
      <c r="E20785">
        <v>8.7240000000000002</v>
      </c>
    </row>
    <row r="20786" spans="1:5">
      <c r="A20786" t="s">
        <v>46717</v>
      </c>
      <c r="B20786" t="s">
        <v>11412</v>
      </c>
      <c r="C20786">
        <f>0.0552166570499</f>
        <v>5.5216657049900003E-2</v>
      </c>
      <c r="D20786">
        <v>0.99999998454299999</v>
      </c>
      <c r="E20786">
        <v>8.7240000000000002</v>
      </c>
    </row>
    <row r="20787" spans="1:5">
      <c r="A20787" t="s">
        <v>46717</v>
      </c>
      <c r="B20787" t="s">
        <v>11423</v>
      </c>
      <c r="C20787">
        <v>9.3087592399000007E-3</v>
      </c>
      <c r="D20787">
        <v>0.99999998454299999</v>
      </c>
      <c r="E20787">
        <v>8.7240000000000002</v>
      </c>
    </row>
    <row r="20788" spans="1:5">
      <c r="A20788" t="s">
        <v>46717</v>
      </c>
      <c r="B20788" t="s">
        <v>11420</v>
      </c>
      <c r="C20788">
        <v>2.3679448741699999E-2</v>
      </c>
      <c r="D20788">
        <v>0.99999998454299999</v>
      </c>
      <c r="E20788">
        <v>8.7240000000000002</v>
      </c>
    </row>
    <row r="20789" spans="1:5">
      <c r="A20789" t="s">
        <v>46717</v>
      </c>
      <c r="B20789" t="s">
        <v>11418</v>
      </c>
      <c r="C20789">
        <v>1.8681525688000002E-2</v>
      </c>
      <c r="D20789">
        <v>0.99999998454299999</v>
      </c>
      <c r="E20789">
        <v>8.7240000000000002</v>
      </c>
    </row>
    <row r="20790" spans="1:5">
      <c r="A20790" t="s">
        <v>46717</v>
      </c>
      <c r="B20790" t="s">
        <v>11422</v>
      </c>
      <c r="C20790">
        <v>6.7321313968399998E-3</v>
      </c>
      <c r="D20790">
        <v>0.99999998454299999</v>
      </c>
      <c r="E20790">
        <v>8.7240000000000002</v>
      </c>
    </row>
    <row r="20791" spans="1:5">
      <c r="A20791" t="s">
        <v>46717</v>
      </c>
      <c r="B20791" t="s">
        <v>11405</v>
      </c>
      <c r="C20791">
        <f>0.0541201521104</f>
        <v>5.4120152110399999E-2</v>
      </c>
      <c r="D20791">
        <v>0.99999998454299999</v>
      </c>
      <c r="E20791">
        <v>8.7240000000000002</v>
      </c>
    </row>
    <row r="20792" spans="1:5">
      <c r="A20792" t="s">
        <v>46718</v>
      </c>
      <c r="B20792" t="s">
        <v>46719</v>
      </c>
      <c r="C20792">
        <f>0</f>
        <v>0</v>
      </c>
      <c r="D20792">
        <v>0.80731522390099997</v>
      </c>
      <c r="E20792">
        <v>0.26400000000000001</v>
      </c>
    </row>
    <row r="20793" spans="1:5">
      <c r="A20793" t="s">
        <v>46718</v>
      </c>
      <c r="B20793" t="s">
        <v>46720</v>
      </c>
      <c r="C20793">
        <f>0.172523000615</f>
        <v>0.17252300061500001</v>
      </c>
      <c r="D20793">
        <v>0.80731522390099997</v>
      </c>
      <c r="E20793">
        <v>0.26400000000000001</v>
      </c>
    </row>
    <row r="20794" spans="1:5">
      <c r="A20794" t="s">
        <v>46718</v>
      </c>
      <c r="B20794" t="s">
        <v>46721</v>
      </c>
      <c r="C20794">
        <v>0</v>
      </c>
      <c r="D20794">
        <v>0.80731522390099997</v>
      </c>
      <c r="E20794">
        <v>0.26400000000000001</v>
      </c>
    </row>
    <row r="20795" spans="1:5">
      <c r="A20795" t="s">
        <v>46718</v>
      </c>
      <c r="B20795" t="s">
        <v>46722</v>
      </c>
      <c r="C20795">
        <v>0.44882418655900003</v>
      </c>
      <c r="D20795">
        <v>0.80731522390099997</v>
      </c>
      <c r="E20795">
        <v>0.26400000000000001</v>
      </c>
    </row>
    <row r="20796" spans="1:5">
      <c r="A20796" t="s">
        <v>46718</v>
      </c>
      <c r="B20796" t="s">
        <v>46723</v>
      </c>
      <c r="C20796">
        <v>3.4000391648199998E-2</v>
      </c>
      <c r="D20796">
        <v>0.80731522390099997</v>
      </c>
      <c r="E20796">
        <v>0.26400000000000001</v>
      </c>
    </row>
    <row r="20797" spans="1:5">
      <c r="A20797" t="s">
        <v>46724</v>
      </c>
      <c r="B20797" t="s">
        <v>46725</v>
      </c>
      <c r="C20797">
        <f>0.8239565119</f>
        <v>0.82395651189999997</v>
      </c>
      <c r="D20797">
        <v>0.99816228375600002</v>
      </c>
      <c r="E20797">
        <v>24</v>
      </c>
    </row>
    <row r="20798" spans="1:5">
      <c r="A20798" t="s">
        <v>46724</v>
      </c>
      <c r="B20798" t="s">
        <v>46726</v>
      </c>
      <c r="C20798">
        <v>0.22659374319700001</v>
      </c>
      <c r="D20798">
        <v>0.99816228375600002</v>
      </c>
      <c r="E20798">
        <v>24</v>
      </c>
    </row>
    <row r="20799" spans="1:5">
      <c r="A20799" t="s">
        <v>46724</v>
      </c>
      <c r="B20799" t="s">
        <v>46727</v>
      </c>
      <c r="C20799">
        <f>0</f>
        <v>0</v>
      </c>
      <c r="D20799">
        <v>0.99816228375600002</v>
      </c>
      <c r="E20799">
        <v>24</v>
      </c>
    </row>
    <row r="20800" spans="1:5">
      <c r="A20800" t="s">
        <v>46724</v>
      </c>
      <c r="B20800" t="s">
        <v>46728</v>
      </c>
      <c r="C20800">
        <v>0.25980880899499997</v>
      </c>
      <c r="D20800">
        <v>0.99816228375600002</v>
      </c>
      <c r="E20800">
        <v>24</v>
      </c>
    </row>
    <row r="20801" spans="1:5">
      <c r="A20801" t="s">
        <v>46724</v>
      </c>
      <c r="B20801" t="s">
        <v>46729</v>
      </c>
      <c r="C20801">
        <v>0.30796560057</v>
      </c>
      <c r="D20801">
        <v>0.99816228375600002</v>
      </c>
      <c r="E20801">
        <v>24</v>
      </c>
    </row>
    <row r="20802" spans="1:5">
      <c r="A20802" t="s">
        <v>46724</v>
      </c>
      <c r="B20802" t="s">
        <v>46730</v>
      </c>
      <c r="C20802">
        <v>0.42803851055199998</v>
      </c>
      <c r="D20802">
        <v>0.99816228375600002</v>
      </c>
      <c r="E20802">
        <v>24</v>
      </c>
    </row>
    <row r="20803" spans="1:5">
      <c r="A20803" t="s">
        <v>46724</v>
      </c>
      <c r="B20803" t="s">
        <v>46731</v>
      </c>
      <c r="C20803">
        <v>1.1762435013300001</v>
      </c>
      <c r="D20803">
        <v>0.99816228375600002</v>
      </c>
      <c r="E20803">
        <v>24</v>
      </c>
    </row>
    <row r="20804" spans="1:5">
      <c r="A20804" t="s">
        <v>46724</v>
      </c>
      <c r="B20804" t="s">
        <v>46732</v>
      </c>
      <c r="C20804">
        <f>0</f>
        <v>0</v>
      </c>
      <c r="D20804">
        <v>0.99816228375600002</v>
      </c>
      <c r="E20804">
        <v>24</v>
      </c>
    </row>
    <row r="20805" spans="1:5">
      <c r="A20805" t="s">
        <v>46724</v>
      </c>
      <c r="B20805" t="s">
        <v>46733</v>
      </c>
      <c r="C20805">
        <f>0.190622258126</f>
        <v>0.190622258126</v>
      </c>
      <c r="D20805">
        <v>0.99816228375600002</v>
      </c>
      <c r="E20805">
        <v>24</v>
      </c>
    </row>
    <row r="20806" spans="1:5">
      <c r="A20806" t="s">
        <v>46734</v>
      </c>
      <c r="B20806" t="s">
        <v>46735</v>
      </c>
      <c r="C20806">
        <v>0.48446122901100003</v>
      </c>
      <c r="D20806">
        <v>0.95548795391100005</v>
      </c>
      <c r="E20806">
        <v>2.556</v>
      </c>
    </row>
    <row r="20807" spans="1:5">
      <c r="A20807" t="s">
        <v>46734</v>
      </c>
      <c r="B20807" t="s">
        <v>46736</v>
      </c>
      <c r="C20807">
        <v>0.121509382052</v>
      </c>
      <c r="D20807">
        <v>0.95548795391100005</v>
      </c>
      <c r="E20807">
        <v>2.556</v>
      </c>
    </row>
    <row r="20808" spans="1:5">
      <c r="A20808" t="s">
        <v>46734</v>
      </c>
      <c r="B20808" t="s">
        <v>46737</v>
      </c>
      <c r="C20808">
        <v>0.347346658882</v>
      </c>
      <c r="D20808">
        <v>0.95548795391100005</v>
      </c>
      <c r="E20808">
        <v>2.556</v>
      </c>
    </row>
    <row r="20809" spans="1:5">
      <c r="A20809" t="s">
        <v>46734</v>
      </c>
      <c r="B20809" t="s">
        <v>46738</v>
      </c>
      <c r="C20809">
        <f>0.856522314088</f>
        <v>0.85652231408799995</v>
      </c>
      <c r="D20809">
        <v>0.95548795391100005</v>
      </c>
      <c r="E20809">
        <v>2.556</v>
      </c>
    </row>
    <row r="20810" spans="1:5">
      <c r="A20810" t="s">
        <v>46734</v>
      </c>
      <c r="B20810" t="s">
        <v>46739</v>
      </c>
      <c r="C20810">
        <v>0.42889401891000001</v>
      </c>
      <c r="D20810">
        <v>0.95548795391100005</v>
      </c>
      <c r="E20810">
        <v>2.556</v>
      </c>
    </row>
    <row r="20811" spans="1:5">
      <c r="A20811" t="s">
        <v>46740</v>
      </c>
      <c r="B20811" t="s">
        <v>18760</v>
      </c>
      <c r="C20811">
        <f>0.250993071142</f>
        <v>0.25099307114199998</v>
      </c>
      <c r="D20811">
        <v>0.91876344297799994</v>
      </c>
      <c r="E20811">
        <v>0</v>
      </c>
    </row>
    <row r="20812" spans="1:5">
      <c r="A20812" t="s">
        <v>46740</v>
      </c>
      <c r="B20812" t="s">
        <v>18763</v>
      </c>
      <c r="C20812">
        <v>0.84796061524300004</v>
      </c>
      <c r="D20812">
        <v>0.91876344297799994</v>
      </c>
      <c r="E20812">
        <v>0</v>
      </c>
    </row>
    <row r="20813" spans="1:5">
      <c r="A20813" t="s">
        <v>46740</v>
      </c>
      <c r="B20813" t="s">
        <v>18762</v>
      </c>
      <c r="C20813">
        <v>0.33843232757899999</v>
      </c>
      <c r="D20813">
        <v>0.91876344297799994</v>
      </c>
      <c r="E20813">
        <v>0</v>
      </c>
    </row>
    <row r="20814" spans="1:5">
      <c r="A20814" t="s">
        <v>46741</v>
      </c>
      <c r="B20814" t="s">
        <v>46742</v>
      </c>
      <c r="C20814">
        <v>0.49596860046000002</v>
      </c>
      <c r="D20814">
        <v>0.81484865789700001</v>
      </c>
      <c r="E20814">
        <v>15.708</v>
      </c>
    </row>
    <row r="20815" spans="1:5">
      <c r="A20815" t="s">
        <v>46741</v>
      </c>
      <c r="B20815" t="s">
        <v>46743</v>
      </c>
      <c r="C20815">
        <f>0.043294322956</f>
        <v>4.3294322955999998E-2</v>
      </c>
      <c r="D20815">
        <v>0.81484865789700001</v>
      </c>
      <c r="E20815">
        <v>15.708</v>
      </c>
    </row>
    <row r="20816" spans="1:5">
      <c r="A20816" t="s">
        <v>46741</v>
      </c>
      <c r="B20816" t="s">
        <v>46744</v>
      </c>
      <c r="C20816">
        <v>0.32639489456699999</v>
      </c>
      <c r="D20816">
        <v>0.81484865789700001</v>
      </c>
      <c r="E20816">
        <v>15.708</v>
      </c>
    </row>
    <row r="20817" spans="1:5">
      <c r="A20817" t="s">
        <v>46741</v>
      </c>
      <c r="B20817" t="s">
        <v>46745</v>
      </c>
      <c r="C20817">
        <f>0</f>
        <v>0</v>
      </c>
      <c r="D20817">
        <v>0.81484865789700001</v>
      </c>
      <c r="E20817">
        <v>15.708</v>
      </c>
    </row>
    <row r="20818" spans="1:5">
      <c r="A20818" t="s">
        <v>46741</v>
      </c>
      <c r="B20818" t="s">
        <v>46746</v>
      </c>
      <c r="C20818">
        <f>0</f>
        <v>0</v>
      </c>
      <c r="D20818">
        <v>0.81484865789700001</v>
      </c>
      <c r="E20818">
        <v>15.708</v>
      </c>
    </row>
    <row r="20819" spans="1:5">
      <c r="A20819" t="s">
        <v>46741</v>
      </c>
      <c r="B20819" t="s">
        <v>46747</v>
      </c>
      <c r="C20819">
        <f>0</f>
        <v>0</v>
      </c>
      <c r="D20819">
        <v>0.81484865789700001</v>
      </c>
      <c r="E20819">
        <v>15.708</v>
      </c>
    </row>
    <row r="20820" spans="1:5">
      <c r="A20820" t="s">
        <v>46748</v>
      </c>
      <c r="B20820" t="s">
        <v>14160</v>
      </c>
      <c r="C20820">
        <v>0</v>
      </c>
      <c r="D20820">
        <v>0.93097923189200005</v>
      </c>
      <c r="E20820">
        <v>23.754000000000001</v>
      </c>
    </row>
    <row r="20821" spans="1:5">
      <c r="A20821" t="s">
        <v>46748</v>
      </c>
      <c r="B20821" t="s">
        <v>14164</v>
      </c>
      <c r="C20821">
        <f>0.185470556064</f>
        <v>0.18547055606400001</v>
      </c>
      <c r="D20821">
        <v>0.93097923189200005</v>
      </c>
      <c r="E20821">
        <v>23.754000000000001</v>
      </c>
    </row>
    <row r="20822" spans="1:5">
      <c r="A20822" t="s">
        <v>46748</v>
      </c>
      <c r="B20822" t="s">
        <v>14162</v>
      </c>
      <c r="C20822">
        <v>0.76530499100299998</v>
      </c>
      <c r="D20822">
        <v>0.93097923189200005</v>
      </c>
      <c r="E20822">
        <v>23.754000000000001</v>
      </c>
    </row>
    <row r="20823" spans="1:5">
      <c r="A20823" t="s">
        <v>46748</v>
      </c>
      <c r="B20823" t="s">
        <v>14163</v>
      </c>
      <c r="C20823">
        <f>0.0798619941506</f>
        <v>7.9861994150599996E-2</v>
      </c>
      <c r="D20823">
        <v>0.93097923189200005</v>
      </c>
      <c r="E20823">
        <v>23.754000000000001</v>
      </c>
    </row>
    <row r="20824" spans="1:5">
      <c r="A20824" t="s">
        <v>46749</v>
      </c>
      <c r="B20824" t="s">
        <v>46750</v>
      </c>
      <c r="C20824">
        <v>0</v>
      </c>
      <c r="D20824" t="s">
        <v>106</v>
      </c>
      <c r="E20824">
        <v>0</v>
      </c>
    </row>
    <row r="20825" spans="1:5">
      <c r="A20825" t="s">
        <v>46749</v>
      </c>
      <c r="B20825" t="s">
        <v>46751</v>
      </c>
      <c r="C20825">
        <v>0</v>
      </c>
      <c r="D20825" t="s">
        <v>106</v>
      </c>
      <c r="E20825">
        <v>0</v>
      </c>
    </row>
    <row r="20826" spans="1:5">
      <c r="A20826" t="s">
        <v>46749</v>
      </c>
      <c r="B20826" t="s">
        <v>46752</v>
      </c>
      <c r="C20826">
        <v>0</v>
      </c>
      <c r="D20826" t="s">
        <v>106</v>
      </c>
      <c r="E20826">
        <v>0</v>
      </c>
    </row>
    <row r="20827" spans="1:5">
      <c r="A20827" t="s">
        <v>46749</v>
      </c>
      <c r="B20827" t="s">
        <v>46753</v>
      </c>
      <c r="C20827">
        <v>0</v>
      </c>
      <c r="D20827" t="s">
        <v>106</v>
      </c>
      <c r="E20827">
        <v>0</v>
      </c>
    </row>
    <row r="20828" spans="1:5">
      <c r="A20828" t="s">
        <v>46749</v>
      </c>
      <c r="B20828" t="s">
        <v>46754</v>
      </c>
      <c r="C20828">
        <v>0</v>
      </c>
      <c r="D20828" t="s">
        <v>106</v>
      </c>
      <c r="E20828">
        <v>0</v>
      </c>
    </row>
    <row r="20829" spans="1:5">
      <c r="A20829" t="s">
        <v>46749</v>
      </c>
      <c r="B20829" t="s">
        <v>46755</v>
      </c>
      <c r="C20829">
        <v>0</v>
      </c>
      <c r="D20829" t="s">
        <v>106</v>
      </c>
      <c r="E20829">
        <v>0</v>
      </c>
    </row>
    <row r="20830" spans="1:5">
      <c r="A20830" t="s">
        <v>46749</v>
      </c>
      <c r="B20830" t="s">
        <v>46756</v>
      </c>
      <c r="C20830">
        <f>0</f>
        <v>0</v>
      </c>
      <c r="D20830" t="s">
        <v>106</v>
      </c>
      <c r="E20830">
        <v>0</v>
      </c>
    </row>
    <row r="20831" spans="1:5">
      <c r="A20831" t="s">
        <v>46749</v>
      </c>
      <c r="B20831" t="s">
        <v>46757</v>
      </c>
      <c r="C20831">
        <v>0</v>
      </c>
      <c r="D20831" t="s">
        <v>106</v>
      </c>
      <c r="E20831">
        <v>0</v>
      </c>
    </row>
    <row r="20832" spans="1:5">
      <c r="A20832" t="s">
        <v>46749</v>
      </c>
      <c r="B20832" t="s">
        <v>46758</v>
      </c>
      <c r="C20832">
        <v>0</v>
      </c>
      <c r="D20832" t="s">
        <v>106</v>
      </c>
      <c r="E20832">
        <v>0</v>
      </c>
    </row>
    <row r="20833" spans="1:5">
      <c r="A20833" t="s">
        <v>46759</v>
      </c>
      <c r="B20833" t="s">
        <v>23921</v>
      </c>
      <c r="C20833">
        <v>0</v>
      </c>
      <c r="D20833">
        <v>0.82246126150999999</v>
      </c>
      <c r="E20833">
        <v>3.2280000000000002</v>
      </c>
    </row>
    <row r="20834" spans="1:5">
      <c r="A20834" t="s">
        <v>46759</v>
      </c>
      <c r="B20834" t="s">
        <v>23923</v>
      </c>
      <c r="C20834">
        <v>0.39420882495499998</v>
      </c>
      <c r="D20834">
        <v>0.82246126150999999</v>
      </c>
      <c r="E20834">
        <v>3.2280000000000002</v>
      </c>
    </row>
    <row r="20835" spans="1:5">
      <c r="A20835" t="s">
        <v>46759</v>
      </c>
      <c r="B20835" t="s">
        <v>23919</v>
      </c>
      <c r="C20835">
        <v>0</v>
      </c>
      <c r="D20835">
        <v>0.82246126150999999</v>
      </c>
      <c r="E20835">
        <v>3.2280000000000002</v>
      </c>
    </row>
    <row r="20836" spans="1:5">
      <c r="A20836" t="s">
        <v>46759</v>
      </c>
      <c r="B20836" t="s">
        <v>23922</v>
      </c>
      <c r="C20836">
        <f>0</f>
        <v>0</v>
      </c>
      <c r="D20836">
        <v>0.82246126150999999</v>
      </c>
      <c r="E20836">
        <v>3.2280000000000002</v>
      </c>
    </row>
    <row r="20837" spans="1:5">
      <c r="A20837" t="s">
        <v>46759</v>
      </c>
      <c r="B20837" t="s">
        <v>23915</v>
      </c>
      <c r="C20837">
        <v>0</v>
      </c>
      <c r="D20837">
        <v>0.82246126150999999</v>
      </c>
      <c r="E20837">
        <v>3.2280000000000002</v>
      </c>
    </row>
    <row r="20838" spans="1:5">
      <c r="A20838" t="s">
        <v>46759</v>
      </c>
      <c r="B20838" t="s">
        <v>23916</v>
      </c>
      <c r="C20838">
        <f>0.31952384175</f>
        <v>0.31952384174999998</v>
      </c>
      <c r="D20838">
        <v>0.82246126150999999</v>
      </c>
      <c r="E20838">
        <v>3.2280000000000002</v>
      </c>
    </row>
    <row r="20839" spans="1:5">
      <c r="A20839" t="s">
        <v>46759</v>
      </c>
      <c r="B20839" t="s">
        <v>23918</v>
      </c>
      <c r="C20839">
        <f>0</f>
        <v>0</v>
      </c>
      <c r="D20839">
        <v>0.82246126150999999</v>
      </c>
      <c r="E20839">
        <v>3.2280000000000002</v>
      </c>
    </row>
    <row r="20840" spans="1:5">
      <c r="A20840" t="s">
        <v>46759</v>
      </c>
      <c r="B20840" t="s">
        <v>23920</v>
      </c>
      <c r="C20840">
        <v>0</v>
      </c>
      <c r="D20840">
        <v>0.82246126150999999</v>
      </c>
      <c r="E20840">
        <v>3.2280000000000002</v>
      </c>
    </row>
    <row r="20841" spans="1:5">
      <c r="A20841" t="s">
        <v>46759</v>
      </c>
      <c r="B20841" t="s">
        <v>23912</v>
      </c>
      <c r="C20841">
        <f>0</f>
        <v>0</v>
      </c>
      <c r="D20841">
        <v>0.82246126150999999</v>
      </c>
      <c r="E20841">
        <v>3.2280000000000002</v>
      </c>
    </row>
    <row r="20842" spans="1:5">
      <c r="A20842" t="s">
        <v>46760</v>
      </c>
      <c r="B20842" t="s">
        <v>34090</v>
      </c>
      <c r="C20842">
        <v>0</v>
      </c>
      <c r="D20842" t="s">
        <v>106</v>
      </c>
      <c r="E20842">
        <v>6.4260000000000002</v>
      </c>
    </row>
    <row r="20843" spans="1:5">
      <c r="A20843" t="s">
        <v>46760</v>
      </c>
      <c r="B20843" t="s">
        <v>34091</v>
      </c>
      <c r="C20843">
        <v>0</v>
      </c>
      <c r="D20843" t="s">
        <v>106</v>
      </c>
      <c r="E20843">
        <v>6.4260000000000002</v>
      </c>
    </row>
    <row r="20844" spans="1:5">
      <c r="A20844" t="s">
        <v>46760</v>
      </c>
      <c r="B20844" t="s">
        <v>34092</v>
      </c>
      <c r="C20844">
        <v>0</v>
      </c>
      <c r="D20844" t="s">
        <v>106</v>
      </c>
      <c r="E20844">
        <v>6.4260000000000002</v>
      </c>
    </row>
    <row r="20845" spans="1:5">
      <c r="A20845" t="s">
        <v>46761</v>
      </c>
      <c r="B20845" t="s">
        <v>7122</v>
      </c>
      <c r="C20845">
        <f>0</f>
        <v>0</v>
      </c>
      <c r="D20845" t="s">
        <v>106</v>
      </c>
      <c r="E20845">
        <v>1.014</v>
      </c>
    </row>
    <row r="20846" spans="1:5">
      <c r="A20846" t="s">
        <v>46761</v>
      </c>
      <c r="B20846" t="s">
        <v>7124</v>
      </c>
      <c r="C20846">
        <v>0</v>
      </c>
      <c r="D20846" t="s">
        <v>106</v>
      </c>
      <c r="E20846">
        <v>1.014</v>
      </c>
    </row>
    <row r="20847" spans="1:5">
      <c r="A20847" t="s">
        <v>46761</v>
      </c>
      <c r="B20847" t="s">
        <v>7120</v>
      </c>
      <c r="C20847">
        <v>0</v>
      </c>
      <c r="D20847" t="s">
        <v>106</v>
      </c>
      <c r="E20847">
        <v>1.014</v>
      </c>
    </row>
    <row r="20848" spans="1:5">
      <c r="A20848" t="s">
        <v>46761</v>
      </c>
      <c r="B20848" t="s">
        <v>7119</v>
      </c>
      <c r="C20848">
        <v>0</v>
      </c>
      <c r="D20848" t="s">
        <v>106</v>
      </c>
      <c r="E20848">
        <v>1.014</v>
      </c>
    </row>
    <row r="20849" spans="1:5">
      <c r="A20849" t="s">
        <v>46762</v>
      </c>
      <c r="B20849" t="s">
        <v>25870</v>
      </c>
      <c r="C20849">
        <v>7.6167018078699994E-2</v>
      </c>
      <c r="D20849">
        <v>0.79226278695600005</v>
      </c>
      <c r="E20849">
        <v>14.37</v>
      </c>
    </row>
    <row r="20850" spans="1:5">
      <c r="A20850" t="s">
        <v>46762</v>
      </c>
      <c r="B20850" t="s">
        <v>25869</v>
      </c>
      <c r="C20850">
        <v>8.1243483431099994E-2</v>
      </c>
      <c r="D20850">
        <v>0.79226278695600005</v>
      </c>
      <c r="E20850">
        <v>14.37</v>
      </c>
    </row>
    <row r="20851" spans="1:5">
      <c r="A20851" t="s">
        <v>46762</v>
      </c>
      <c r="B20851" t="s">
        <v>25873</v>
      </c>
      <c r="C20851">
        <v>0</v>
      </c>
      <c r="D20851">
        <v>0.79226278695600005</v>
      </c>
      <c r="E20851">
        <v>14.37</v>
      </c>
    </row>
    <row r="20852" spans="1:5">
      <c r="A20852" t="s">
        <v>46762</v>
      </c>
      <c r="B20852" t="s">
        <v>25871</v>
      </c>
      <c r="C20852">
        <v>0</v>
      </c>
      <c r="D20852">
        <v>0.79226278695600005</v>
      </c>
      <c r="E20852">
        <v>14.37</v>
      </c>
    </row>
    <row r="20853" spans="1:5">
      <c r="A20853" t="s">
        <v>46762</v>
      </c>
      <c r="B20853" t="s">
        <v>25872</v>
      </c>
      <c r="C20853">
        <v>0.20377953680700001</v>
      </c>
      <c r="D20853">
        <v>0.79226278695600005</v>
      </c>
      <c r="E20853">
        <v>14.37</v>
      </c>
    </row>
    <row r="20854" spans="1:5">
      <c r="A20854" t="s">
        <v>46762</v>
      </c>
      <c r="B20854" t="s">
        <v>25874</v>
      </c>
      <c r="C20854">
        <v>0</v>
      </c>
      <c r="D20854">
        <v>0.79226278695600005</v>
      </c>
      <c r="E20854">
        <v>14.37</v>
      </c>
    </row>
    <row r="20855" spans="1:5">
      <c r="A20855" t="s">
        <v>46763</v>
      </c>
      <c r="B20855" t="s">
        <v>23782</v>
      </c>
      <c r="C20855">
        <f>0.107418673447</f>
        <v>0.107418673447</v>
      </c>
      <c r="D20855">
        <v>0.966252549402</v>
      </c>
      <c r="E20855">
        <v>3.78</v>
      </c>
    </row>
    <row r="20856" spans="1:5">
      <c r="A20856" t="s">
        <v>46763</v>
      </c>
      <c r="B20856" t="s">
        <v>23792</v>
      </c>
      <c r="C20856">
        <f>0.327879654259</f>
        <v>0.32787965425900001</v>
      </c>
      <c r="D20856">
        <v>0.966252549402</v>
      </c>
      <c r="E20856">
        <v>3.78</v>
      </c>
    </row>
    <row r="20857" spans="1:5">
      <c r="A20857" t="s">
        <v>46763</v>
      </c>
      <c r="B20857" t="s">
        <v>23788</v>
      </c>
      <c r="C20857">
        <v>0</v>
      </c>
      <c r="D20857">
        <v>0.966252549402</v>
      </c>
      <c r="E20857">
        <v>3.78</v>
      </c>
    </row>
    <row r="20858" spans="1:5">
      <c r="A20858" t="s">
        <v>46763</v>
      </c>
      <c r="B20858" t="s">
        <v>23787</v>
      </c>
      <c r="C20858">
        <v>0</v>
      </c>
      <c r="D20858">
        <v>0.966252549402</v>
      </c>
      <c r="E20858">
        <v>3.78</v>
      </c>
    </row>
    <row r="20859" spans="1:5">
      <c r="A20859" t="s">
        <v>46763</v>
      </c>
      <c r="B20859" t="s">
        <v>23786</v>
      </c>
      <c r="C20859">
        <v>0</v>
      </c>
      <c r="D20859">
        <v>0.966252549402</v>
      </c>
      <c r="E20859">
        <v>3.78</v>
      </c>
    </row>
    <row r="20860" spans="1:5">
      <c r="A20860" t="s">
        <v>46763</v>
      </c>
      <c r="B20860" t="s">
        <v>23783</v>
      </c>
      <c r="C20860">
        <f>0.138324958378</f>
        <v>0.13832495837799999</v>
      </c>
      <c r="D20860">
        <v>0.966252549402</v>
      </c>
      <c r="E20860">
        <v>3.78</v>
      </c>
    </row>
    <row r="20861" spans="1:5">
      <c r="A20861" t="s">
        <v>46763</v>
      </c>
      <c r="B20861" t="s">
        <v>23793</v>
      </c>
      <c r="C20861">
        <v>0</v>
      </c>
      <c r="D20861">
        <v>0.966252549402</v>
      </c>
      <c r="E20861">
        <v>3.78</v>
      </c>
    </row>
    <row r="20862" spans="1:5">
      <c r="A20862" t="s">
        <v>46763</v>
      </c>
      <c r="B20862" t="s">
        <v>46764</v>
      </c>
      <c r="C20862">
        <f>0</f>
        <v>0</v>
      </c>
      <c r="D20862">
        <v>0.966252549402</v>
      </c>
      <c r="E20862">
        <v>3.78</v>
      </c>
    </row>
    <row r="20863" spans="1:5">
      <c r="A20863" t="s">
        <v>46763</v>
      </c>
      <c r="B20863" t="s">
        <v>23797</v>
      </c>
      <c r="C20863">
        <v>0</v>
      </c>
      <c r="D20863">
        <v>0.966252549402</v>
      </c>
      <c r="E20863">
        <v>3.78</v>
      </c>
    </row>
    <row r="20864" spans="1:5">
      <c r="A20864" t="s">
        <v>46763</v>
      </c>
      <c r="B20864" t="s">
        <v>23791</v>
      </c>
      <c r="C20864">
        <v>0</v>
      </c>
      <c r="D20864">
        <v>0.966252549402</v>
      </c>
      <c r="E20864">
        <v>3.78</v>
      </c>
    </row>
    <row r="20865" spans="1:5">
      <c r="A20865" t="s">
        <v>46763</v>
      </c>
      <c r="B20865" t="s">
        <v>23796</v>
      </c>
      <c r="C20865">
        <f>0</f>
        <v>0</v>
      </c>
      <c r="D20865">
        <v>0.966252549402</v>
      </c>
      <c r="E20865">
        <v>3.78</v>
      </c>
    </row>
    <row r="20866" spans="1:5">
      <c r="A20866" t="s">
        <v>46763</v>
      </c>
      <c r="B20866" t="s">
        <v>23789</v>
      </c>
      <c r="C20866">
        <f>0.739803717005</f>
        <v>0.73980371700500003</v>
      </c>
      <c r="D20866">
        <v>0.966252549402</v>
      </c>
      <c r="E20866">
        <v>3.78</v>
      </c>
    </row>
    <row r="20867" spans="1:5">
      <c r="A20867" t="s">
        <v>46763</v>
      </c>
      <c r="B20867" t="s">
        <v>23781</v>
      </c>
      <c r="C20867">
        <v>0</v>
      </c>
      <c r="D20867">
        <v>0.966252549402</v>
      </c>
      <c r="E20867">
        <v>3.78</v>
      </c>
    </row>
    <row r="20868" spans="1:5">
      <c r="A20868" t="s">
        <v>46765</v>
      </c>
      <c r="B20868" t="s">
        <v>46766</v>
      </c>
      <c r="C20868">
        <v>0.94514972446000001</v>
      </c>
      <c r="D20868">
        <v>0.97539590453000002</v>
      </c>
      <c r="E20868">
        <v>0</v>
      </c>
    </row>
    <row r="20869" spans="1:5">
      <c r="A20869" t="s">
        <v>46765</v>
      </c>
      <c r="B20869" t="s">
        <v>46767</v>
      </c>
      <c r="C20869">
        <v>1.1994093933200001</v>
      </c>
      <c r="D20869">
        <v>0.97539590453000002</v>
      </c>
      <c r="E20869">
        <v>0</v>
      </c>
    </row>
    <row r="20870" spans="1:5">
      <c r="A20870" t="s">
        <v>46765</v>
      </c>
      <c r="B20870" t="s">
        <v>46768</v>
      </c>
      <c r="C20870">
        <f>0.743825071107</f>
        <v>0.74382507110700002</v>
      </c>
      <c r="D20870">
        <v>0.97539590453000002</v>
      </c>
      <c r="E20870">
        <v>0</v>
      </c>
    </row>
    <row r="20871" spans="1:5">
      <c r="A20871" t="s">
        <v>46765</v>
      </c>
      <c r="B20871" t="s">
        <v>46769</v>
      </c>
      <c r="C20871">
        <f>0.26219857306</f>
        <v>0.26219857306</v>
      </c>
      <c r="D20871">
        <v>0.97539590453000002</v>
      </c>
      <c r="E20871">
        <v>0</v>
      </c>
    </row>
    <row r="20872" spans="1:5">
      <c r="A20872" t="s">
        <v>46770</v>
      </c>
      <c r="B20872" t="s">
        <v>46771</v>
      </c>
      <c r="C20872">
        <f>0</f>
        <v>0</v>
      </c>
      <c r="D20872">
        <v>0.61515257280400004</v>
      </c>
      <c r="E20872">
        <v>8.2919999999999998</v>
      </c>
    </row>
    <row r="20873" spans="1:5">
      <c r="A20873" t="s">
        <v>46770</v>
      </c>
      <c r="B20873" t="s">
        <v>46772</v>
      </c>
      <c r="C20873">
        <f>0</f>
        <v>0</v>
      </c>
      <c r="D20873">
        <v>0.61515257280400004</v>
      </c>
      <c r="E20873">
        <v>8.2919999999999998</v>
      </c>
    </row>
    <row r="20874" spans="1:5">
      <c r="A20874" t="s">
        <v>46770</v>
      </c>
      <c r="B20874" t="s">
        <v>46773</v>
      </c>
      <c r="C20874">
        <v>0</v>
      </c>
      <c r="D20874">
        <v>0.61515257280400004</v>
      </c>
      <c r="E20874">
        <v>8.2919999999999998</v>
      </c>
    </row>
    <row r="20875" spans="1:5">
      <c r="A20875" t="s">
        <v>46770</v>
      </c>
      <c r="B20875" t="s">
        <v>46774</v>
      </c>
      <c r="C20875">
        <v>0</v>
      </c>
      <c r="D20875">
        <v>0.61515257280400004</v>
      </c>
      <c r="E20875">
        <v>8.2919999999999998</v>
      </c>
    </row>
    <row r="20876" spans="1:5">
      <c r="A20876" t="s">
        <v>46770</v>
      </c>
      <c r="B20876" t="s">
        <v>46775</v>
      </c>
      <c r="C20876">
        <v>0.344742572804</v>
      </c>
      <c r="D20876">
        <v>0.61515257280400004</v>
      </c>
      <c r="E20876">
        <v>8.2919999999999998</v>
      </c>
    </row>
    <row r="20877" spans="1:5">
      <c r="A20877" t="s">
        <v>46776</v>
      </c>
      <c r="B20877" t="s">
        <v>19151</v>
      </c>
      <c r="C20877">
        <v>0.205005359331</v>
      </c>
      <c r="D20877">
        <v>0.83290317857600005</v>
      </c>
      <c r="E20877">
        <v>4.4820000000000002</v>
      </c>
    </row>
    <row r="20878" spans="1:5">
      <c r="A20878" t="s">
        <v>46776</v>
      </c>
      <c r="B20878" t="s">
        <v>19153</v>
      </c>
      <c r="C20878">
        <v>0</v>
      </c>
      <c r="D20878">
        <v>0.83290317857600005</v>
      </c>
      <c r="E20878">
        <v>4.4820000000000002</v>
      </c>
    </row>
    <row r="20879" spans="1:5">
      <c r="A20879" t="s">
        <v>46776</v>
      </c>
      <c r="B20879" t="s">
        <v>19154</v>
      </c>
      <c r="C20879">
        <v>0.49033539324499997</v>
      </c>
      <c r="D20879">
        <v>0.83290317857600005</v>
      </c>
      <c r="E20879">
        <v>4.4820000000000002</v>
      </c>
    </row>
    <row r="20880" spans="1:5">
      <c r="A20880" t="s">
        <v>46777</v>
      </c>
      <c r="B20880" t="s">
        <v>46778</v>
      </c>
      <c r="C20880">
        <f>0.460937871124</f>
        <v>0.46093787112399998</v>
      </c>
      <c r="D20880">
        <v>0.69134787112399998</v>
      </c>
      <c r="E20880">
        <v>10.715999999999999</v>
      </c>
    </row>
    <row r="20881" spans="1:5">
      <c r="A20881" t="s">
        <v>46777</v>
      </c>
      <c r="B20881" t="s">
        <v>46779</v>
      </c>
      <c r="C20881">
        <f>0</f>
        <v>0</v>
      </c>
      <c r="D20881">
        <v>0.69134787112399998</v>
      </c>
      <c r="E20881">
        <v>10.715999999999999</v>
      </c>
    </row>
    <row r="20882" spans="1:5">
      <c r="A20882" t="s">
        <v>46780</v>
      </c>
      <c r="B20882" t="s">
        <v>12926</v>
      </c>
      <c r="C20882">
        <f>0</f>
        <v>0</v>
      </c>
      <c r="D20882">
        <v>0.76490900872400003</v>
      </c>
      <c r="E20882">
        <v>10.554</v>
      </c>
    </row>
    <row r="20883" spans="1:5">
      <c r="A20883" t="s">
        <v>46780</v>
      </c>
      <c r="B20883" t="s">
        <v>12927</v>
      </c>
      <c r="C20883">
        <v>0.60489900872400004</v>
      </c>
      <c r="D20883">
        <v>0.76490900872400003</v>
      </c>
      <c r="E20883">
        <v>10.554</v>
      </c>
    </row>
    <row r="20884" spans="1:5">
      <c r="A20884" t="s">
        <v>46781</v>
      </c>
      <c r="B20884" t="s">
        <v>19719</v>
      </c>
      <c r="C20884">
        <f>0</f>
        <v>0</v>
      </c>
      <c r="D20884">
        <v>0.73349106514999995</v>
      </c>
      <c r="E20884">
        <v>1.698</v>
      </c>
    </row>
    <row r="20885" spans="1:5">
      <c r="A20885" t="s">
        <v>46781</v>
      </c>
      <c r="B20885" t="s">
        <v>19720</v>
      </c>
      <c r="C20885">
        <f>0.37348106515</f>
        <v>0.37348106515000001</v>
      </c>
      <c r="D20885">
        <v>0.73349106514999995</v>
      </c>
      <c r="E20885">
        <v>1.698</v>
      </c>
    </row>
    <row r="20886" spans="1:5">
      <c r="A20886" t="s">
        <v>46781</v>
      </c>
      <c r="B20886" t="s">
        <v>19711</v>
      </c>
      <c r="C20886">
        <f>0</f>
        <v>0</v>
      </c>
      <c r="D20886">
        <v>0.73349106514999995</v>
      </c>
      <c r="E20886">
        <v>1.698</v>
      </c>
    </row>
    <row r="20887" spans="1:5">
      <c r="A20887" t="s">
        <v>46781</v>
      </c>
      <c r="B20887" t="s">
        <v>19716</v>
      </c>
      <c r="C20887">
        <f>0</f>
        <v>0</v>
      </c>
      <c r="D20887">
        <v>0.73349106514999995</v>
      </c>
      <c r="E20887">
        <v>1.698</v>
      </c>
    </row>
    <row r="20888" spans="1:5">
      <c r="A20888" t="s">
        <v>46781</v>
      </c>
      <c r="B20888" t="s">
        <v>19718</v>
      </c>
      <c r="C20888">
        <v>0</v>
      </c>
      <c r="D20888">
        <v>0.73349106514999995</v>
      </c>
      <c r="E20888">
        <v>1.698</v>
      </c>
    </row>
    <row r="20889" spans="1:5">
      <c r="A20889" t="s">
        <v>46781</v>
      </c>
      <c r="B20889" t="s">
        <v>19715</v>
      </c>
      <c r="C20889">
        <f>0</f>
        <v>0</v>
      </c>
      <c r="D20889">
        <v>0.73349106514999995</v>
      </c>
      <c r="E20889">
        <v>1.698</v>
      </c>
    </row>
    <row r="20890" spans="1:5">
      <c r="A20890" t="s">
        <v>46782</v>
      </c>
      <c r="B20890" t="s">
        <v>5884</v>
      </c>
      <c r="C20890">
        <f>0</f>
        <v>0</v>
      </c>
      <c r="D20890">
        <v>0.71116614220800001</v>
      </c>
      <c r="E20890">
        <v>3.5999999999999997E-2</v>
      </c>
    </row>
    <row r="20891" spans="1:5">
      <c r="A20891" t="s">
        <v>46782</v>
      </c>
      <c r="B20891" t="s">
        <v>5885</v>
      </c>
      <c r="C20891">
        <v>0.480756142208</v>
      </c>
      <c r="D20891">
        <v>0.71116614220800001</v>
      </c>
      <c r="E20891">
        <v>3.5999999999999997E-2</v>
      </c>
    </row>
    <row r="20892" spans="1:5">
      <c r="A20892" t="s">
        <v>46783</v>
      </c>
      <c r="B20892" t="s">
        <v>18066</v>
      </c>
      <c r="C20892">
        <v>0</v>
      </c>
      <c r="D20892" t="s">
        <v>106</v>
      </c>
      <c r="E20892">
        <v>24</v>
      </c>
    </row>
    <row r="20893" spans="1:5">
      <c r="A20893" t="s">
        <v>46783</v>
      </c>
      <c r="B20893" t="s">
        <v>18067</v>
      </c>
      <c r="C20893">
        <f>0</f>
        <v>0</v>
      </c>
      <c r="D20893" t="s">
        <v>106</v>
      </c>
      <c r="E20893">
        <v>24</v>
      </c>
    </row>
    <row r="20894" spans="1:5">
      <c r="A20894" t="s">
        <v>46784</v>
      </c>
      <c r="B20894" t="s">
        <v>5909</v>
      </c>
      <c r="C20894">
        <f>0.078876884849</f>
        <v>7.8876884849000004E-2</v>
      </c>
      <c r="D20894">
        <v>0.96393998765</v>
      </c>
      <c r="E20894">
        <v>24</v>
      </c>
    </row>
    <row r="20895" spans="1:5">
      <c r="A20895" t="s">
        <v>46784</v>
      </c>
      <c r="B20895" t="s">
        <v>5914</v>
      </c>
      <c r="C20895">
        <f>0</f>
        <v>0</v>
      </c>
      <c r="D20895">
        <v>0.96393998765</v>
      </c>
      <c r="E20895">
        <v>24</v>
      </c>
    </row>
    <row r="20896" spans="1:5">
      <c r="A20896" t="s">
        <v>46784</v>
      </c>
      <c r="B20896" t="s">
        <v>5911</v>
      </c>
      <c r="C20896">
        <f>0</f>
        <v>0</v>
      </c>
      <c r="D20896">
        <v>0.96393998765</v>
      </c>
      <c r="E20896">
        <v>24</v>
      </c>
    </row>
    <row r="20897" spans="1:5">
      <c r="A20897" t="s">
        <v>46784</v>
      </c>
      <c r="B20897" t="s">
        <v>5910</v>
      </c>
      <c r="C20897">
        <v>0.71143335160499999</v>
      </c>
      <c r="D20897">
        <v>0.96393998765</v>
      </c>
      <c r="E20897">
        <v>24</v>
      </c>
    </row>
    <row r="20898" spans="1:5">
      <c r="A20898" t="s">
        <v>46784</v>
      </c>
      <c r="B20898" t="s">
        <v>5913</v>
      </c>
      <c r="C20898">
        <f>0.486416061589</f>
        <v>0.48641606158900003</v>
      </c>
      <c r="D20898">
        <v>0.96393998765</v>
      </c>
      <c r="E20898">
        <v>24</v>
      </c>
    </row>
    <row r="20899" spans="1:5">
      <c r="A20899" t="s">
        <v>46784</v>
      </c>
      <c r="B20899" t="s">
        <v>5912</v>
      </c>
      <c r="C20899">
        <f>0</f>
        <v>0</v>
      </c>
      <c r="D20899">
        <v>0.96393998765</v>
      </c>
      <c r="E20899">
        <v>24</v>
      </c>
    </row>
    <row r="20900" spans="1:5">
      <c r="A20900" t="s">
        <v>46785</v>
      </c>
      <c r="B20900" t="s">
        <v>7305</v>
      </c>
      <c r="C20900">
        <v>0.60472515309899999</v>
      </c>
      <c r="D20900">
        <v>0.86709700529800005</v>
      </c>
      <c r="E20900">
        <v>1.1160000000000001</v>
      </c>
    </row>
    <row r="20901" spans="1:5">
      <c r="A20901" t="s">
        <v>46785</v>
      </c>
      <c r="B20901" t="s">
        <v>7308</v>
      </c>
      <c r="C20901">
        <v>0.33689326036299999</v>
      </c>
      <c r="D20901">
        <v>0.86709700529800005</v>
      </c>
      <c r="E20901">
        <v>1.1160000000000001</v>
      </c>
    </row>
    <row r="20902" spans="1:5">
      <c r="A20902" t="s">
        <v>46785</v>
      </c>
      <c r="B20902" t="s">
        <v>7307</v>
      </c>
      <c r="C20902">
        <v>0.83086279904100002</v>
      </c>
      <c r="D20902">
        <v>0.86709700529800005</v>
      </c>
      <c r="E20902">
        <v>1.1160000000000001</v>
      </c>
    </row>
    <row r="20903" spans="1:5">
      <c r="A20903" t="s">
        <v>46786</v>
      </c>
      <c r="B20903" t="s">
        <v>22560</v>
      </c>
      <c r="C20903">
        <f>0</f>
        <v>0</v>
      </c>
      <c r="D20903" t="s">
        <v>106</v>
      </c>
      <c r="E20903">
        <v>24</v>
      </c>
    </row>
    <row r="20904" spans="1:5">
      <c r="A20904" t="s">
        <v>46786</v>
      </c>
      <c r="B20904" t="s">
        <v>22559</v>
      </c>
      <c r="C20904">
        <v>0</v>
      </c>
      <c r="D20904" t="s">
        <v>106</v>
      </c>
      <c r="E20904">
        <v>24</v>
      </c>
    </row>
    <row r="20905" spans="1:5">
      <c r="A20905" t="s">
        <v>46787</v>
      </c>
      <c r="B20905" t="s">
        <v>46788</v>
      </c>
      <c r="C20905">
        <v>0</v>
      </c>
      <c r="D20905">
        <v>0.87000486859699999</v>
      </c>
      <c r="E20905">
        <v>0.65400000000000003</v>
      </c>
    </row>
    <row r="20906" spans="1:5">
      <c r="A20906" t="s">
        <v>46787</v>
      </c>
      <c r="B20906" t="s">
        <v>46789</v>
      </c>
      <c r="C20906">
        <f>0</f>
        <v>0</v>
      </c>
      <c r="D20906">
        <v>0.87000486859699999</v>
      </c>
      <c r="E20906">
        <v>0.65400000000000003</v>
      </c>
    </row>
    <row r="20907" spans="1:5">
      <c r="A20907" t="s">
        <v>46787</v>
      </c>
      <c r="B20907" t="s">
        <v>46790</v>
      </c>
      <c r="C20907">
        <f>0</f>
        <v>0</v>
      </c>
      <c r="D20907">
        <v>0.87000486859699999</v>
      </c>
      <c r="E20907">
        <v>0.65400000000000003</v>
      </c>
    </row>
    <row r="20908" spans="1:5">
      <c r="A20908" t="s">
        <v>46787</v>
      </c>
      <c r="B20908" t="s">
        <v>46791</v>
      </c>
      <c r="C20908">
        <f>0</f>
        <v>0</v>
      </c>
      <c r="D20908">
        <v>0.87000486859699999</v>
      </c>
      <c r="E20908">
        <v>0.65400000000000003</v>
      </c>
    </row>
    <row r="20909" spans="1:5">
      <c r="A20909" t="s">
        <v>46787</v>
      </c>
      <c r="B20909" t="s">
        <v>46792</v>
      </c>
      <c r="C20909">
        <v>0</v>
      </c>
      <c r="D20909">
        <v>0.87000486859699999</v>
      </c>
      <c r="E20909">
        <v>0.65400000000000003</v>
      </c>
    </row>
    <row r="20910" spans="1:5">
      <c r="A20910" t="s">
        <v>46787</v>
      </c>
      <c r="B20910" t="s">
        <v>46793</v>
      </c>
      <c r="C20910">
        <v>0.47294241031500001</v>
      </c>
      <c r="D20910">
        <v>0.87000486859699999</v>
      </c>
      <c r="E20910">
        <v>0.65400000000000003</v>
      </c>
    </row>
    <row r="20911" spans="1:5">
      <c r="A20911" t="s">
        <v>46787</v>
      </c>
      <c r="B20911" t="s">
        <v>46794</v>
      </c>
      <c r="C20911">
        <f>0</f>
        <v>0</v>
      </c>
      <c r="D20911">
        <v>0.87000486859699999</v>
      </c>
      <c r="E20911">
        <v>0.65400000000000003</v>
      </c>
    </row>
    <row r="20912" spans="1:5">
      <c r="A20912" t="s">
        <v>46787</v>
      </c>
      <c r="B20912" t="s">
        <v>46795</v>
      </c>
      <c r="C20912">
        <f>0.338365594153</f>
        <v>0.33836559415299999</v>
      </c>
      <c r="D20912">
        <v>0.87000486859699999</v>
      </c>
      <c r="E20912">
        <v>0.65400000000000003</v>
      </c>
    </row>
    <row r="20913" spans="1:5">
      <c r="A20913" t="s">
        <v>46787</v>
      </c>
      <c r="B20913" t="s">
        <v>46796</v>
      </c>
      <c r="C20913">
        <v>0</v>
      </c>
      <c r="D20913">
        <v>0.87000486859699999</v>
      </c>
      <c r="E20913">
        <v>0.65400000000000003</v>
      </c>
    </row>
    <row r="20914" spans="1:5">
      <c r="A20914" t="s">
        <v>46787</v>
      </c>
      <c r="B20914" t="s">
        <v>46797</v>
      </c>
      <c r="C20914">
        <f>0.00779363280585</f>
        <v>7.7936328058499996E-3</v>
      </c>
      <c r="D20914">
        <v>0.87000486859699999</v>
      </c>
      <c r="E20914">
        <v>0.65400000000000003</v>
      </c>
    </row>
    <row r="20915" spans="1:5">
      <c r="A20915" t="s">
        <v>46787</v>
      </c>
      <c r="B20915" t="s">
        <v>46798</v>
      </c>
      <c r="C20915">
        <v>0</v>
      </c>
      <c r="D20915">
        <v>0.87000486859699999</v>
      </c>
      <c r="E20915">
        <v>0.65400000000000003</v>
      </c>
    </row>
    <row r="20916" spans="1:5">
      <c r="A20916" t="s">
        <v>46787</v>
      </c>
      <c r="B20916" t="s">
        <v>46799</v>
      </c>
      <c r="C20916">
        <f>0</f>
        <v>0</v>
      </c>
      <c r="D20916">
        <v>0.87000486859699999</v>
      </c>
      <c r="E20916">
        <v>0.65400000000000003</v>
      </c>
    </row>
    <row r="20917" spans="1:5">
      <c r="A20917" t="s">
        <v>46800</v>
      </c>
      <c r="B20917" t="s">
        <v>46801</v>
      </c>
      <c r="C20917">
        <f>0.621942200473</f>
        <v>0.62194220047299997</v>
      </c>
      <c r="D20917">
        <v>0.89989675015000004</v>
      </c>
      <c r="E20917">
        <v>20.736000000000001</v>
      </c>
    </row>
    <row r="20918" spans="1:5">
      <c r="A20918" t="s">
        <v>46800</v>
      </c>
      <c r="B20918" t="s">
        <v>46802</v>
      </c>
      <c r="C20918">
        <f>0</f>
        <v>0</v>
      </c>
      <c r="D20918">
        <v>0.89989675015000004</v>
      </c>
      <c r="E20918">
        <v>20.736000000000001</v>
      </c>
    </row>
    <row r="20919" spans="1:5">
      <c r="A20919" t="s">
        <v>46800</v>
      </c>
      <c r="B20919" t="s">
        <v>46803</v>
      </c>
      <c r="C20919">
        <v>0</v>
      </c>
      <c r="D20919">
        <v>0.89989675015000004</v>
      </c>
      <c r="E20919">
        <v>20.736000000000001</v>
      </c>
    </row>
    <row r="20920" spans="1:5">
      <c r="A20920" t="s">
        <v>46800</v>
      </c>
      <c r="B20920" t="s">
        <v>46804</v>
      </c>
      <c r="C20920">
        <v>5.2539157721999998E-2</v>
      </c>
      <c r="D20920">
        <v>0.89989675015000004</v>
      </c>
      <c r="E20920">
        <v>20.736000000000001</v>
      </c>
    </row>
    <row r="20921" spans="1:5">
      <c r="A20921" t="s">
        <v>46800</v>
      </c>
      <c r="B20921" t="s">
        <v>46805</v>
      </c>
      <c r="C20921">
        <f>0.417820681038</f>
        <v>0.41782068103800002</v>
      </c>
      <c r="D20921">
        <v>0.89989675015000004</v>
      </c>
      <c r="E20921">
        <v>20.736000000000001</v>
      </c>
    </row>
    <row r="20922" spans="1:5">
      <c r="A20922" t="s">
        <v>46806</v>
      </c>
      <c r="B20922" t="s">
        <v>46807</v>
      </c>
      <c r="C20922">
        <v>0.29215003701999998</v>
      </c>
      <c r="D20922">
        <v>0.62387565798099998</v>
      </c>
      <c r="E20922">
        <v>24</v>
      </c>
    </row>
    <row r="20923" spans="1:5">
      <c r="A20923" t="s">
        <v>46806</v>
      </c>
      <c r="B20923" t="s">
        <v>46808</v>
      </c>
      <c r="C20923">
        <f>0</f>
        <v>0</v>
      </c>
      <c r="D20923">
        <v>0.62387565798099998</v>
      </c>
      <c r="E20923">
        <v>24</v>
      </c>
    </row>
    <row r="20924" spans="1:5">
      <c r="A20924" t="s">
        <v>46806</v>
      </c>
      <c r="B20924" t="s">
        <v>46809</v>
      </c>
      <c r="C20924">
        <f>0.403916683004</f>
        <v>0.40391668300400002</v>
      </c>
      <c r="D20924">
        <v>0.62387565798099998</v>
      </c>
      <c r="E20924">
        <v>24</v>
      </c>
    </row>
    <row r="20925" spans="1:5">
      <c r="A20925" t="s">
        <v>46810</v>
      </c>
      <c r="B20925" t="s">
        <v>14326</v>
      </c>
      <c r="C20925">
        <f>0</f>
        <v>0</v>
      </c>
      <c r="D20925" t="s">
        <v>106</v>
      </c>
      <c r="E20925">
        <v>24</v>
      </c>
    </row>
    <row r="20926" spans="1:5">
      <c r="A20926" t="s">
        <v>46810</v>
      </c>
      <c r="B20926" t="s">
        <v>14325</v>
      </c>
      <c r="C20926">
        <f>0</f>
        <v>0</v>
      </c>
      <c r="D20926" t="s">
        <v>106</v>
      </c>
      <c r="E20926">
        <v>24</v>
      </c>
    </row>
    <row r="20927" spans="1:5">
      <c r="A20927" t="s">
        <v>46811</v>
      </c>
      <c r="B20927" t="s">
        <v>46812</v>
      </c>
      <c r="C20927">
        <v>1.0682102145300001</v>
      </c>
      <c r="D20927">
        <v>0.94791123270900002</v>
      </c>
      <c r="E20927">
        <v>1.8959999999999999</v>
      </c>
    </row>
    <row r="20928" spans="1:5">
      <c r="A20928" t="s">
        <v>46811</v>
      </c>
      <c r="B20928" t="s">
        <v>46813</v>
      </c>
      <c r="C20928">
        <f>0.514422918963</f>
        <v>0.51442291896299996</v>
      </c>
      <c r="D20928">
        <v>0.94791123270900002</v>
      </c>
      <c r="E20928">
        <v>1.8959999999999999</v>
      </c>
    </row>
    <row r="20929" spans="1:5">
      <c r="A20929" t="s">
        <v>46811</v>
      </c>
      <c r="B20929" t="s">
        <v>46814</v>
      </c>
      <c r="C20929">
        <v>0.188724522305</v>
      </c>
      <c r="D20929">
        <v>0.94791123270900002</v>
      </c>
      <c r="E20929">
        <v>1.8959999999999999</v>
      </c>
    </row>
    <row r="20930" spans="1:5">
      <c r="A20930" t="s">
        <v>46811</v>
      </c>
      <c r="B20930" t="s">
        <v>46815</v>
      </c>
      <c r="C20930">
        <f>0.706918252722</f>
        <v>0.70691825272200004</v>
      </c>
      <c r="D20930">
        <v>0.94791123270900002</v>
      </c>
      <c r="E20930">
        <v>1.8959999999999999</v>
      </c>
    </row>
    <row r="20931" spans="1:5">
      <c r="A20931" t="s">
        <v>46816</v>
      </c>
      <c r="B20931" t="s">
        <v>5381</v>
      </c>
      <c r="C20931">
        <v>3.59172695991E-2</v>
      </c>
      <c r="D20931">
        <v>0.64236673314600001</v>
      </c>
      <c r="E20931">
        <v>6.3</v>
      </c>
    </row>
    <row r="20932" spans="1:5">
      <c r="A20932" t="s">
        <v>46816</v>
      </c>
      <c r="B20932" t="s">
        <v>5377</v>
      </c>
      <c r="C20932">
        <v>0</v>
      </c>
      <c r="D20932">
        <v>0.64236673314600001</v>
      </c>
      <c r="E20932">
        <v>6.3</v>
      </c>
    </row>
    <row r="20933" spans="1:5">
      <c r="A20933" t="s">
        <v>46816</v>
      </c>
      <c r="B20933" t="s">
        <v>5376</v>
      </c>
      <c r="C20933">
        <v>0.24435706897000001</v>
      </c>
      <c r="D20933">
        <v>0.64236673314600001</v>
      </c>
      <c r="E20933">
        <v>6.3</v>
      </c>
    </row>
    <row r="20934" spans="1:5">
      <c r="A20934" t="s">
        <v>46816</v>
      </c>
      <c r="B20934" t="s">
        <v>5380</v>
      </c>
      <c r="C20934">
        <v>0</v>
      </c>
      <c r="D20934">
        <v>0.64236673314600001</v>
      </c>
      <c r="E20934">
        <v>6.3</v>
      </c>
    </row>
    <row r="20935" spans="1:5">
      <c r="A20935" t="s">
        <v>46816</v>
      </c>
      <c r="B20935" t="s">
        <v>5375</v>
      </c>
      <c r="C20935">
        <v>0</v>
      </c>
      <c r="D20935">
        <v>0.64236673314600001</v>
      </c>
      <c r="E20935">
        <v>6.3</v>
      </c>
    </row>
    <row r="20936" spans="1:5">
      <c r="A20936" t="s">
        <v>46816</v>
      </c>
      <c r="B20936" t="s">
        <v>5374</v>
      </c>
      <c r="C20936">
        <f>0</f>
        <v>0</v>
      </c>
      <c r="D20936">
        <v>0.64236673314600001</v>
      </c>
      <c r="E20936">
        <v>6.3</v>
      </c>
    </row>
    <row r="20937" spans="1:5">
      <c r="A20937" t="s">
        <v>46817</v>
      </c>
      <c r="B20937" t="s">
        <v>9386</v>
      </c>
      <c r="C20937">
        <v>0.71870353493799999</v>
      </c>
      <c r="D20937">
        <v>0.99999678847700002</v>
      </c>
      <c r="E20937">
        <v>10.398</v>
      </c>
    </row>
    <row r="20938" spans="1:5">
      <c r="A20938" t="s">
        <v>46817</v>
      </c>
      <c r="B20938" t="s">
        <v>9395</v>
      </c>
      <c r="C20938">
        <f>0.39032157665</f>
        <v>0.39032157665</v>
      </c>
      <c r="D20938">
        <v>0.99999678847700002</v>
      </c>
      <c r="E20938">
        <v>10.398</v>
      </c>
    </row>
    <row r="20939" spans="1:5">
      <c r="A20939" t="s">
        <v>46817</v>
      </c>
      <c r="B20939" t="s">
        <v>9390</v>
      </c>
      <c r="C20939">
        <f>-1.15634982836</f>
        <v>-1.15634982836</v>
      </c>
      <c r="D20939">
        <v>0.99999678847700002</v>
      </c>
      <c r="E20939">
        <v>10.398</v>
      </c>
    </row>
    <row r="20940" spans="1:5">
      <c r="A20940" t="s">
        <v>46817</v>
      </c>
      <c r="B20940" t="s">
        <v>9392</v>
      </c>
      <c r="C20940">
        <f>0.171193846865</f>
        <v>0.171193846865</v>
      </c>
      <c r="D20940">
        <v>0.99999678847700002</v>
      </c>
      <c r="E20940">
        <v>10.398</v>
      </c>
    </row>
    <row r="20941" spans="1:5">
      <c r="A20941" t="s">
        <v>46817</v>
      </c>
      <c r="B20941" t="s">
        <v>9389</v>
      </c>
      <c r="C20941">
        <f>0.627015072706</f>
        <v>0.62701507270599999</v>
      </c>
      <c r="D20941">
        <v>0.99999678847700002</v>
      </c>
      <c r="E20941">
        <v>10.398</v>
      </c>
    </row>
    <row r="20942" spans="1:5">
      <c r="A20942" t="s">
        <v>46817</v>
      </c>
      <c r="B20942" t="s">
        <v>9391</v>
      </c>
      <c r="C20942">
        <f>0.607623087718</f>
        <v>0.607623087718</v>
      </c>
      <c r="D20942">
        <v>0.99999678847700002</v>
      </c>
      <c r="E20942">
        <v>10.398</v>
      </c>
    </row>
    <row r="20943" spans="1:5">
      <c r="A20943" t="s">
        <v>46817</v>
      </c>
      <c r="B20943" t="s">
        <v>9394</v>
      </c>
      <c r="C20943">
        <v>0.52006815135600004</v>
      </c>
      <c r="D20943">
        <v>0.99999678847700002</v>
      </c>
      <c r="E20943">
        <v>10.398</v>
      </c>
    </row>
    <row r="20944" spans="1:5">
      <c r="A20944" t="s">
        <v>46818</v>
      </c>
      <c r="B20944" t="s">
        <v>10482</v>
      </c>
      <c r="C20944">
        <v>0</v>
      </c>
      <c r="D20944">
        <v>0.92519385839699997</v>
      </c>
      <c r="E20944">
        <v>22.338000000000001</v>
      </c>
    </row>
    <row r="20945" spans="1:5">
      <c r="A20945" t="s">
        <v>46818</v>
      </c>
      <c r="B20945" t="s">
        <v>10488</v>
      </c>
      <c r="C20945">
        <v>0</v>
      </c>
      <c r="D20945">
        <v>0.92519385839699997</v>
      </c>
      <c r="E20945">
        <v>22.338000000000001</v>
      </c>
    </row>
    <row r="20946" spans="1:5">
      <c r="A20946" t="s">
        <v>46818</v>
      </c>
      <c r="B20946" t="s">
        <v>10483</v>
      </c>
      <c r="C20946">
        <f>0.034074209007</f>
        <v>3.4074209006999999E-2</v>
      </c>
      <c r="D20946">
        <v>0.92519385839699997</v>
      </c>
      <c r="E20946">
        <v>22.338000000000001</v>
      </c>
    </row>
    <row r="20947" spans="1:5">
      <c r="A20947" t="s">
        <v>46818</v>
      </c>
      <c r="B20947" t="s">
        <v>10485</v>
      </c>
      <c r="C20947">
        <v>0</v>
      </c>
      <c r="D20947">
        <v>0.92519385839699997</v>
      </c>
      <c r="E20947">
        <v>22.338000000000001</v>
      </c>
    </row>
    <row r="20948" spans="1:5">
      <c r="A20948" t="s">
        <v>46818</v>
      </c>
      <c r="B20948" t="s">
        <v>10489</v>
      </c>
      <c r="C20948">
        <v>0.214450559683</v>
      </c>
      <c r="D20948">
        <v>0.92519385839699997</v>
      </c>
      <c r="E20948">
        <v>22.338000000000001</v>
      </c>
    </row>
    <row r="20949" spans="1:5">
      <c r="A20949" t="s">
        <v>46818</v>
      </c>
      <c r="B20949" t="s">
        <v>10487</v>
      </c>
      <c r="C20949">
        <v>7.0864205309000006E-2</v>
      </c>
      <c r="D20949">
        <v>0.92519385839699997</v>
      </c>
      <c r="E20949">
        <v>22.338000000000001</v>
      </c>
    </row>
    <row r="20950" spans="1:5">
      <c r="A20950" t="s">
        <v>46818</v>
      </c>
      <c r="B20950" t="s">
        <v>10490</v>
      </c>
      <c r="C20950">
        <v>0.59301046902499999</v>
      </c>
      <c r="D20950">
        <v>0.92519385839699997</v>
      </c>
      <c r="E20950">
        <v>22.338000000000001</v>
      </c>
    </row>
    <row r="20951" spans="1:5">
      <c r="A20951" t="s">
        <v>46818</v>
      </c>
      <c r="B20951" t="s">
        <v>10486</v>
      </c>
      <c r="C20951">
        <v>0</v>
      </c>
      <c r="D20951">
        <v>0.92519385839699997</v>
      </c>
      <c r="E20951">
        <v>22.338000000000001</v>
      </c>
    </row>
    <row r="20952" spans="1:5">
      <c r="A20952" t="s">
        <v>46819</v>
      </c>
      <c r="B20952" t="s">
        <v>18273</v>
      </c>
      <c r="C20952">
        <f>0</f>
        <v>0</v>
      </c>
      <c r="D20952" t="s">
        <v>106</v>
      </c>
      <c r="E20952">
        <v>24</v>
      </c>
    </row>
    <row r="20953" spans="1:5">
      <c r="A20953" t="s">
        <v>46819</v>
      </c>
      <c r="B20953" t="s">
        <v>18274</v>
      </c>
      <c r="C20953">
        <v>0</v>
      </c>
      <c r="D20953" t="s">
        <v>106</v>
      </c>
      <c r="E20953">
        <v>24</v>
      </c>
    </row>
    <row r="20954" spans="1:5">
      <c r="A20954" t="s">
        <v>46819</v>
      </c>
      <c r="B20954" t="s">
        <v>18275</v>
      </c>
      <c r="C20954">
        <v>0</v>
      </c>
      <c r="D20954" t="s">
        <v>106</v>
      </c>
      <c r="E20954">
        <v>24</v>
      </c>
    </row>
    <row r="20955" spans="1:5">
      <c r="A20955" t="s">
        <v>46819</v>
      </c>
      <c r="B20955" t="s">
        <v>18276</v>
      </c>
      <c r="C20955">
        <v>0</v>
      </c>
      <c r="D20955" t="s">
        <v>106</v>
      </c>
      <c r="E20955">
        <v>24</v>
      </c>
    </row>
    <row r="20956" spans="1:5">
      <c r="A20956" t="s">
        <v>46819</v>
      </c>
      <c r="B20956" t="s">
        <v>18272</v>
      </c>
      <c r="C20956">
        <v>0</v>
      </c>
      <c r="D20956" t="s">
        <v>106</v>
      </c>
      <c r="E20956">
        <v>24</v>
      </c>
    </row>
    <row r="20957" spans="1:5">
      <c r="A20957" t="s">
        <v>46819</v>
      </c>
      <c r="B20957" t="s">
        <v>18280</v>
      </c>
      <c r="C20957">
        <f>0</f>
        <v>0</v>
      </c>
      <c r="D20957" t="s">
        <v>106</v>
      </c>
      <c r="E20957">
        <v>24</v>
      </c>
    </row>
    <row r="20958" spans="1:5">
      <c r="A20958" t="s">
        <v>46820</v>
      </c>
      <c r="B20958" t="s">
        <v>46821</v>
      </c>
      <c r="C20958">
        <v>0</v>
      </c>
      <c r="D20958" t="s">
        <v>106</v>
      </c>
      <c r="E20958">
        <v>1.17</v>
      </c>
    </row>
    <row r="20959" spans="1:5">
      <c r="A20959" t="s">
        <v>46820</v>
      </c>
      <c r="B20959" t="s">
        <v>46822</v>
      </c>
      <c r="C20959">
        <f>0</f>
        <v>0</v>
      </c>
      <c r="D20959" t="s">
        <v>106</v>
      </c>
      <c r="E20959">
        <v>1.17</v>
      </c>
    </row>
    <row r="20960" spans="1:5">
      <c r="A20960" t="s">
        <v>46823</v>
      </c>
      <c r="B20960" t="s">
        <v>2186</v>
      </c>
      <c r="C20960">
        <f>0</f>
        <v>0</v>
      </c>
      <c r="D20960" t="s">
        <v>106</v>
      </c>
      <c r="E20960">
        <v>1.2E-2</v>
      </c>
    </row>
    <row r="20961" spans="1:5">
      <c r="A20961" t="s">
        <v>46823</v>
      </c>
      <c r="B20961" t="s">
        <v>2187</v>
      </c>
      <c r="C20961">
        <f>0</f>
        <v>0</v>
      </c>
      <c r="D20961" t="s">
        <v>106</v>
      </c>
      <c r="E20961">
        <v>1.2E-2</v>
      </c>
    </row>
    <row r="20962" spans="1:5">
      <c r="A20962" t="s">
        <v>46824</v>
      </c>
      <c r="B20962" t="s">
        <v>580</v>
      </c>
      <c r="C20962">
        <f>0.0525891587251</f>
        <v>5.2589158725099998E-2</v>
      </c>
      <c r="D20962">
        <v>0.90333587016000005</v>
      </c>
      <c r="E20962">
        <v>3.8759999999999999</v>
      </c>
    </row>
    <row r="20963" spans="1:5">
      <c r="A20963" t="s">
        <v>46824</v>
      </c>
      <c r="B20963" t="s">
        <v>583</v>
      </c>
      <c r="C20963">
        <f>0</f>
        <v>0</v>
      </c>
      <c r="D20963">
        <v>0.90333587016000005</v>
      </c>
      <c r="E20963">
        <v>3.8759999999999999</v>
      </c>
    </row>
    <row r="20964" spans="1:5">
      <c r="A20964" t="s">
        <v>46824</v>
      </c>
      <c r="B20964" t="s">
        <v>584</v>
      </c>
      <c r="C20964">
        <v>0.31676886299899998</v>
      </c>
      <c r="D20964">
        <v>0.90333587016000005</v>
      </c>
      <c r="E20964">
        <v>3.8759999999999999</v>
      </c>
    </row>
    <row r="20965" spans="1:5">
      <c r="A20965" t="s">
        <v>46824</v>
      </c>
      <c r="B20965" t="s">
        <v>581</v>
      </c>
      <c r="C20965">
        <v>0.45272447741600003</v>
      </c>
      <c r="D20965">
        <v>0.90333587016000005</v>
      </c>
      <c r="E20965">
        <v>3.8759999999999999</v>
      </c>
    </row>
    <row r="20966" spans="1:5">
      <c r="A20966" t="s">
        <v>46824</v>
      </c>
      <c r="B20966" t="s">
        <v>585</v>
      </c>
      <c r="C20966">
        <v>0</v>
      </c>
      <c r="D20966">
        <v>0.90333587016000005</v>
      </c>
      <c r="E20966">
        <v>3.8759999999999999</v>
      </c>
    </row>
    <row r="20967" spans="1:5">
      <c r="A20967" t="s">
        <v>46825</v>
      </c>
      <c r="B20967" t="s">
        <v>46826</v>
      </c>
      <c r="C20967">
        <v>0.99402612099900001</v>
      </c>
      <c r="D20967">
        <v>0.99957104952300002</v>
      </c>
      <c r="E20967">
        <v>11.706</v>
      </c>
    </row>
    <row r="20968" spans="1:5">
      <c r="A20968" t="s">
        <v>46825</v>
      </c>
      <c r="B20968" t="s">
        <v>46827</v>
      </c>
      <c r="C20968">
        <f>-2.0293603513</f>
        <v>-2.0293603512999998</v>
      </c>
      <c r="D20968">
        <v>0.99957104952300002</v>
      </c>
      <c r="E20968">
        <v>11.706</v>
      </c>
    </row>
    <row r="20969" spans="1:5">
      <c r="A20969" t="s">
        <v>46825</v>
      </c>
      <c r="B20969" t="s">
        <v>46828</v>
      </c>
      <c r="C20969">
        <v>1.5952472128499999</v>
      </c>
      <c r="D20969">
        <v>0.99957104952300002</v>
      </c>
      <c r="E20969">
        <v>11.706</v>
      </c>
    </row>
    <row r="20970" spans="1:5">
      <c r="A20970" t="s">
        <v>46825</v>
      </c>
      <c r="B20970" t="s">
        <v>46829</v>
      </c>
      <c r="C20970">
        <f>-1.40349161421</f>
        <v>-1.40349161421</v>
      </c>
      <c r="D20970">
        <v>0.99957104952300002</v>
      </c>
      <c r="E20970">
        <v>11.706</v>
      </c>
    </row>
    <row r="20971" spans="1:5">
      <c r="A20971" t="s">
        <v>46825</v>
      </c>
      <c r="B20971" t="s">
        <v>46830</v>
      </c>
      <c r="C20971">
        <f>-2.47669093875</f>
        <v>-2.47669093875</v>
      </c>
      <c r="D20971">
        <v>0.99957104952300002</v>
      </c>
      <c r="E20971">
        <v>11.706</v>
      </c>
    </row>
    <row r="20972" spans="1:5">
      <c r="A20972" t="s">
        <v>46825</v>
      </c>
      <c r="B20972" t="s">
        <v>46831</v>
      </c>
      <c r="C20972">
        <v>1.19859494837</v>
      </c>
      <c r="D20972">
        <v>0.99957104952300002</v>
      </c>
      <c r="E20972">
        <v>11.706</v>
      </c>
    </row>
    <row r="20973" spans="1:5">
      <c r="A20973" t="s">
        <v>46832</v>
      </c>
      <c r="B20973" t="s">
        <v>18249</v>
      </c>
      <c r="C20973">
        <v>0.65317990090400002</v>
      </c>
      <c r="D20973">
        <v>0.81863440249499997</v>
      </c>
      <c r="E20973">
        <v>23.754000000000001</v>
      </c>
    </row>
    <row r="20974" spans="1:5">
      <c r="A20974" t="s">
        <v>46832</v>
      </c>
      <c r="B20974" t="s">
        <v>18250</v>
      </c>
      <c r="C20974">
        <v>0.29387340565800002</v>
      </c>
      <c r="D20974">
        <v>0.81863440249499997</v>
      </c>
      <c r="E20974">
        <v>23.754000000000001</v>
      </c>
    </row>
    <row r="20975" spans="1:5">
      <c r="A20975" t="s">
        <v>46832</v>
      </c>
      <c r="B20975" t="s">
        <v>18254</v>
      </c>
      <c r="C20975">
        <v>5.3004465135300001E-2</v>
      </c>
      <c r="D20975">
        <v>0.81863440249499997</v>
      </c>
      <c r="E20975">
        <v>23.754000000000001</v>
      </c>
    </row>
    <row r="20976" spans="1:5">
      <c r="A20976" t="s">
        <v>46832</v>
      </c>
      <c r="B20976" t="s">
        <v>18253</v>
      </c>
      <c r="C20976">
        <v>0</v>
      </c>
      <c r="D20976">
        <v>0.81863440249499997</v>
      </c>
      <c r="E20976">
        <v>23.754000000000001</v>
      </c>
    </row>
    <row r="20977" spans="1:5">
      <c r="A20977" t="s">
        <v>46833</v>
      </c>
      <c r="B20977" t="s">
        <v>16376</v>
      </c>
      <c r="C20977">
        <v>0</v>
      </c>
      <c r="D20977" t="s">
        <v>106</v>
      </c>
      <c r="E20977">
        <v>0.13200000000000001</v>
      </c>
    </row>
    <row r="20978" spans="1:5">
      <c r="A20978" t="s">
        <v>46833</v>
      </c>
      <c r="B20978" t="s">
        <v>16379</v>
      </c>
      <c r="C20978">
        <v>0</v>
      </c>
      <c r="D20978" t="s">
        <v>106</v>
      </c>
      <c r="E20978">
        <v>0.13200000000000001</v>
      </c>
    </row>
    <row r="20979" spans="1:5">
      <c r="A20979" t="s">
        <v>46833</v>
      </c>
      <c r="B20979" t="s">
        <v>16386</v>
      </c>
      <c r="C20979">
        <f>0</f>
        <v>0</v>
      </c>
      <c r="D20979" t="s">
        <v>106</v>
      </c>
      <c r="E20979">
        <v>0.13200000000000001</v>
      </c>
    </row>
    <row r="20980" spans="1:5">
      <c r="A20980" t="s">
        <v>46833</v>
      </c>
      <c r="B20980" t="s">
        <v>16383</v>
      </c>
      <c r="C20980">
        <f>0</f>
        <v>0</v>
      </c>
      <c r="D20980" t="s">
        <v>106</v>
      </c>
      <c r="E20980">
        <v>0.13200000000000001</v>
      </c>
    </row>
    <row r="20981" spans="1:5">
      <c r="A20981" t="s">
        <v>46833</v>
      </c>
      <c r="B20981" t="s">
        <v>16382</v>
      </c>
      <c r="C20981">
        <v>0</v>
      </c>
      <c r="D20981" t="s">
        <v>106</v>
      </c>
      <c r="E20981">
        <v>0.13200000000000001</v>
      </c>
    </row>
    <row r="20982" spans="1:5">
      <c r="A20982" t="s">
        <v>46833</v>
      </c>
      <c r="B20982" t="s">
        <v>16384</v>
      </c>
      <c r="C20982">
        <f>0</f>
        <v>0</v>
      </c>
      <c r="D20982" t="s">
        <v>106</v>
      </c>
      <c r="E20982">
        <v>0.13200000000000001</v>
      </c>
    </row>
    <row r="20983" spans="1:5">
      <c r="A20983" t="s">
        <v>46833</v>
      </c>
      <c r="B20983" t="s">
        <v>16385</v>
      </c>
      <c r="C20983">
        <v>0</v>
      </c>
      <c r="D20983" t="s">
        <v>106</v>
      </c>
      <c r="E20983">
        <v>0.13200000000000001</v>
      </c>
    </row>
    <row r="20984" spans="1:5">
      <c r="A20984" t="s">
        <v>46833</v>
      </c>
      <c r="B20984" t="s">
        <v>16378</v>
      </c>
      <c r="C20984">
        <v>0</v>
      </c>
      <c r="D20984" t="s">
        <v>106</v>
      </c>
      <c r="E20984">
        <v>0.13200000000000001</v>
      </c>
    </row>
    <row r="20985" spans="1:5">
      <c r="A20985" t="s">
        <v>46833</v>
      </c>
      <c r="B20985" t="s">
        <v>16377</v>
      </c>
      <c r="C20985">
        <f>0</f>
        <v>0</v>
      </c>
      <c r="D20985" t="s">
        <v>106</v>
      </c>
      <c r="E20985">
        <v>0.13200000000000001</v>
      </c>
    </row>
    <row r="20986" spans="1:5">
      <c r="A20986" t="s">
        <v>46833</v>
      </c>
      <c r="B20986" t="s">
        <v>16380</v>
      </c>
      <c r="C20986">
        <v>0</v>
      </c>
      <c r="D20986" t="s">
        <v>106</v>
      </c>
      <c r="E20986">
        <v>0.13200000000000001</v>
      </c>
    </row>
    <row r="20987" spans="1:5">
      <c r="A20987" t="s">
        <v>46834</v>
      </c>
      <c r="B20987" t="s">
        <v>18939</v>
      </c>
      <c r="C20987">
        <v>0.67780335300000005</v>
      </c>
      <c r="D20987">
        <v>0.78021335300000005</v>
      </c>
      <c r="E20987">
        <v>0</v>
      </c>
    </row>
    <row r="20988" spans="1:5">
      <c r="A20988" t="s">
        <v>46834</v>
      </c>
      <c r="B20988" t="s">
        <v>18940</v>
      </c>
      <c r="C20988">
        <v>0</v>
      </c>
      <c r="D20988">
        <v>0.78021335300000005</v>
      </c>
      <c r="E20988">
        <v>0</v>
      </c>
    </row>
    <row r="20989" spans="1:5">
      <c r="A20989" t="s">
        <v>46835</v>
      </c>
      <c r="B20989" t="s">
        <v>32349</v>
      </c>
      <c r="C20989">
        <v>0.62281696387499996</v>
      </c>
      <c r="D20989">
        <v>0.92855370764</v>
      </c>
      <c r="E20989">
        <v>21.648</v>
      </c>
    </row>
    <row r="20990" spans="1:5">
      <c r="A20990" t="s">
        <v>46835</v>
      </c>
      <c r="B20990" t="s">
        <v>32351</v>
      </c>
      <c r="C20990">
        <v>0.328713896645</v>
      </c>
      <c r="D20990">
        <v>0.92855370764</v>
      </c>
      <c r="E20990">
        <v>21.648</v>
      </c>
    </row>
    <row r="20991" spans="1:5">
      <c r="A20991" t="s">
        <v>46836</v>
      </c>
      <c r="B20991" t="s">
        <v>46837</v>
      </c>
      <c r="C20991">
        <v>0.47248529279000001</v>
      </c>
      <c r="D20991">
        <v>0.93035140423899998</v>
      </c>
      <c r="E20991">
        <v>4.6920000000000002</v>
      </c>
    </row>
    <row r="20992" spans="1:5">
      <c r="A20992" t="s">
        <v>46836</v>
      </c>
      <c r="B20992" t="s">
        <v>46838</v>
      </c>
      <c r="C20992">
        <v>0.34974625525199998</v>
      </c>
      <c r="D20992">
        <v>0.93035140423899998</v>
      </c>
      <c r="E20992">
        <v>4.6920000000000002</v>
      </c>
    </row>
    <row r="20993" spans="1:5">
      <c r="A20993" t="s">
        <v>46836</v>
      </c>
      <c r="B20993" t="s">
        <v>46839</v>
      </c>
      <c r="C20993">
        <v>0.47528668974499999</v>
      </c>
      <c r="D20993">
        <v>0.93035140423899998</v>
      </c>
      <c r="E20993">
        <v>4.6920000000000002</v>
      </c>
    </row>
    <row r="20994" spans="1:5">
      <c r="A20994" t="s">
        <v>46836</v>
      </c>
      <c r="B20994" t="s">
        <v>46840</v>
      </c>
      <c r="C20994">
        <v>0.46189901810900003</v>
      </c>
      <c r="D20994">
        <v>0.93035140423899998</v>
      </c>
      <c r="E20994">
        <v>4.6920000000000002</v>
      </c>
    </row>
    <row r="20995" spans="1:5">
      <c r="A20995" t="s">
        <v>46841</v>
      </c>
      <c r="B20995" t="s">
        <v>33531</v>
      </c>
      <c r="C20995">
        <v>0.37638294228899999</v>
      </c>
      <c r="D20995">
        <v>0.78532306094299997</v>
      </c>
      <c r="E20995">
        <v>2.4E-2</v>
      </c>
    </row>
    <row r="20996" spans="1:5">
      <c r="A20996" t="s">
        <v>46841</v>
      </c>
      <c r="B20996" t="s">
        <v>33532</v>
      </c>
      <c r="C20996">
        <v>0.47976530785299998</v>
      </c>
      <c r="D20996">
        <v>0.78532306094299997</v>
      </c>
      <c r="E20996">
        <v>2.4E-2</v>
      </c>
    </row>
    <row r="20997" spans="1:5">
      <c r="A20997" t="s">
        <v>46842</v>
      </c>
      <c r="B20997" t="s">
        <v>5125</v>
      </c>
      <c r="C20997">
        <f>0</f>
        <v>0</v>
      </c>
      <c r="D20997">
        <v>0.97383032025899996</v>
      </c>
      <c r="E20997">
        <v>0.54</v>
      </c>
    </row>
    <row r="20998" spans="1:5">
      <c r="A20998" t="s">
        <v>46842</v>
      </c>
      <c r="B20998" t="s">
        <v>5124</v>
      </c>
      <c r="C20998">
        <f>0.629214829358</f>
        <v>0.62921482935799999</v>
      </c>
      <c r="D20998">
        <v>0.97383032025899996</v>
      </c>
      <c r="E20998">
        <v>0.54</v>
      </c>
    </row>
    <row r="20999" spans="1:5">
      <c r="A20999" t="s">
        <v>46842</v>
      </c>
      <c r="B20999" t="s">
        <v>5126</v>
      </c>
      <c r="C20999">
        <f>0.619355004419</f>
        <v>0.61935500441900004</v>
      </c>
      <c r="D20999">
        <v>0.97383032025899996</v>
      </c>
      <c r="E20999">
        <v>0.54</v>
      </c>
    </row>
    <row r="21000" spans="1:5">
      <c r="A21000" t="s">
        <v>46842</v>
      </c>
      <c r="B21000" t="s">
        <v>5123</v>
      </c>
      <c r="C21000">
        <v>0.70721562388699999</v>
      </c>
      <c r="D21000">
        <v>0.97383032025899996</v>
      </c>
      <c r="E21000">
        <v>0.54</v>
      </c>
    </row>
    <row r="21001" spans="1:5">
      <c r="A21001" t="s">
        <v>46842</v>
      </c>
      <c r="B21001" t="s">
        <v>5130</v>
      </c>
      <c r="C21001">
        <f>0.319357654291</f>
        <v>0.31935765429099999</v>
      </c>
      <c r="D21001">
        <v>0.97383032025899996</v>
      </c>
      <c r="E21001">
        <v>0.54</v>
      </c>
    </row>
    <row r="21002" spans="1:5">
      <c r="A21002" t="s">
        <v>46842</v>
      </c>
      <c r="B21002" t="s">
        <v>5129</v>
      </c>
      <c r="C21002">
        <f>0.363484457028</f>
        <v>0.36348445702799997</v>
      </c>
      <c r="D21002">
        <v>0.97383032025899996</v>
      </c>
      <c r="E21002">
        <v>0.54</v>
      </c>
    </row>
    <row r="21003" spans="1:5">
      <c r="A21003" t="s">
        <v>46843</v>
      </c>
      <c r="B21003" t="s">
        <v>18944</v>
      </c>
      <c r="C21003">
        <v>0</v>
      </c>
      <c r="D21003" t="s">
        <v>106</v>
      </c>
      <c r="E21003">
        <v>9.6180000000000003</v>
      </c>
    </row>
    <row r="21004" spans="1:5">
      <c r="A21004" t="s">
        <v>46843</v>
      </c>
      <c r="B21004" t="s">
        <v>18943</v>
      </c>
      <c r="C21004">
        <f>0</f>
        <v>0</v>
      </c>
      <c r="D21004" t="s">
        <v>106</v>
      </c>
      <c r="E21004">
        <v>9.6180000000000003</v>
      </c>
    </row>
    <row r="21005" spans="1:5">
      <c r="A21005" t="s">
        <v>46843</v>
      </c>
      <c r="B21005" t="s">
        <v>18945</v>
      </c>
      <c r="C21005">
        <f>0</f>
        <v>0</v>
      </c>
      <c r="D21005" t="s">
        <v>106</v>
      </c>
      <c r="E21005">
        <v>9.6180000000000003</v>
      </c>
    </row>
    <row r="21006" spans="1:5">
      <c r="A21006" t="s">
        <v>46844</v>
      </c>
      <c r="B21006" t="s">
        <v>46845</v>
      </c>
      <c r="C21006">
        <v>0</v>
      </c>
      <c r="D21006" t="s">
        <v>106</v>
      </c>
      <c r="E21006">
        <v>19.2</v>
      </c>
    </row>
    <row r="21007" spans="1:5">
      <c r="A21007" t="s">
        <v>46844</v>
      </c>
      <c r="B21007" t="s">
        <v>46846</v>
      </c>
      <c r="C21007">
        <f>0</f>
        <v>0</v>
      </c>
      <c r="D21007" t="s">
        <v>106</v>
      </c>
      <c r="E21007">
        <v>19.2</v>
      </c>
    </row>
    <row r="21008" spans="1:5">
      <c r="A21008" t="s">
        <v>46847</v>
      </c>
      <c r="B21008" t="s">
        <v>46848</v>
      </c>
      <c r="C21008">
        <v>0.23084516291900001</v>
      </c>
      <c r="D21008">
        <v>0.85801856410900001</v>
      </c>
      <c r="E21008">
        <v>4.3739999999999997</v>
      </c>
    </row>
    <row r="21009" spans="1:5">
      <c r="A21009" t="s">
        <v>46847</v>
      </c>
      <c r="B21009" t="s">
        <v>46849</v>
      </c>
      <c r="C21009">
        <v>0.71357520914399997</v>
      </c>
      <c r="D21009">
        <v>0.85801856410900001</v>
      </c>
      <c r="E21009">
        <v>4.3739999999999997</v>
      </c>
    </row>
    <row r="21010" spans="1:5">
      <c r="A21010" t="s">
        <v>46850</v>
      </c>
      <c r="B21010" t="s">
        <v>22217</v>
      </c>
      <c r="C21010">
        <v>0</v>
      </c>
      <c r="D21010" t="s">
        <v>106</v>
      </c>
      <c r="E21010">
        <v>24</v>
      </c>
    </row>
    <row r="21011" spans="1:5">
      <c r="A21011" t="s">
        <v>46850</v>
      </c>
      <c r="B21011" t="s">
        <v>22218</v>
      </c>
      <c r="C21011">
        <f>0</f>
        <v>0</v>
      </c>
      <c r="D21011" t="s">
        <v>106</v>
      </c>
      <c r="E21011">
        <v>24</v>
      </c>
    </row>
    <row r="21012" spans="1:5">
      <c r="A21012" t="s">
        <v>46851</v>
      </c>
      <c r="B21012" t="s">
        <v>9298</v>
      </c>
      <c r="C21012">
        <v>0.56116066023599998</v>
      </c>
      <c r="D21012">
        <v>0.69077066023599998</v>
      </c>
      <c r="E21012">
        <v>1.8959999999999999</v>
      </c>
    </row>
    <row r="21013" spans="1:5">
      <c r="A21013" t="s">
        <v>46851</v>
      </c>
      <c r="B21013" t="s">
        <v>9300</v>
      </c>
      <c r="C21013">
        <f>0</f>
        <v>0</v>
      </c>
      <c r="D21013">
        <v>0.69077066023599998</v>
      </c>
      <c r="E21013">
        <v>1.8959999999999999</v>
      </c>
    </row>
    <row r="21014" spans="1:5">
      <c r="A21014" t="s">
        <v>46851</v>
      </c>
      <c r="B21014" t="s">
        <v>9301</v>
      </c>
      <c r="C21014">
        <f>0</f>
        <v>0</v>
      </c>
      <c r="D21014">
        <v>0.69077066023599998</v>
      </c>
      <c r="E21014">
        <v>1.8959999999999999</v>
      </c>
    </row>
    <row r="21015" spans="1:5">
      <c r="A21015" t="s">
        <v>46852</v>
      </c>
      <c r="B21015" t="s">
        <v>7583</v>
      </c>
      <c r="C21015">
        <v>0.69863929826399995</v>
      </c>
      <c r="D21015">
        <v>0.84792483847599998</v>
      </c>
      <c r="E21015">
        <v>24</v>
      </c>
    </row>
    <row r="21016" spans="1:5">
      <c r="A21016" t="s">
        <v>46852</v>
      </c>
      <c r="B21016" t="s">
        <v>7581</v>
      </c>
      <c r="C21016">
        <v>0.131200998879</v>
      </c>
      <c r="D21016">
        <v>0.84792483847599998</v>
      </c>
      <c r="E21016">
        <v>24</v>
      </c>
    </row>
    <row r="21017" spans="1:5">
      <c r="A21017" t="s">
        <v>46853</v>
      </c>
      <c r="B21017" t="s">
        <v>9561</v>
      </c>
      <c r="C21017">
        <v>0</v>
      </c>
      <c r="D21017">
        <v>0.55796095945000002</v>
      </c>
      <c r="E21017">
        <v>6.4260000000000002</v>
      </c>
    </row>
    <row r="21018" spans="1:5">
      <c r="A21018" t="s">
        <v>46853</v>
      </c>
      <c r="B21018" t="s">
        <v>9563</v>
      </c>
      <c r="C21018">
        <v>0.36435095945000001</v>
      </c>
      <c r="D21018">
        <v>0.55796095945000002</v>
      </c>
      <c r="E21018">
        <v>6.4260000000000002</v>
      </c>
    </row>
    <row r="21019" spans="1:5">
      <c r="A21019" t="s">
        <v>46854</v>
      </c>
      <c r="B21019" t="s">
        <v>3345</v>
      </c>
      <c r="C21019">
        <f>0</f>
        <v>0</v>
      </c>
      <c r="D21019">
        <v>0.86421375605600004</v>
      </c>
      <c r="E21019">
        <v>7.1999999999999995E-2</v>
      </c>
    </row>
    <row r="21020" spans="1:5">
      <c r="A21020" t="s">
        <v>46854</v>
      </c>
      <c r="B21020" t="s">
        <v>3351</v>
      </c>
      <c r="C21020">
        <v>0.63265405406399999</v>
      </c>
      <c r="D21020">
        <v>0.86421375605600004</v>
      </c>
      <c r="E21020">
        <v>7.1999999999999995E-2</v>
      </c>
    </row>
    <row r="21021" spans="1:5">
      <c r="A21021" t="s">
        <v>46854</v>
      </c>
      <c r="B21021" t="s">
        <v>3350</v>
      </c>
      <c r="C21021">
        <f>0</f>
        <v>0</v>
      </c>
      <c r="D21021">
        <v>0.86421375605600004</v>
      </c>
      <c r="E21021">
        <v>7.1999999999999995E-2</v>
      </c>
    </row>
    <row r="21022" spans="1:5">
      <c r="A21022" t="s">
        <v>46854</v>
      </c>
      <c r="B21022" t="s">
        <v>3348</v>
      </c>
      <c r="C21022">
        <v>0.14235206119400001</v>
      </c>
      <c r="D21022">
        <v>0.86421375605600004</v>
      </c>
      <c r="E21022">
        <v>7.1999999999999995E-2</v>
      </c>
    </row>
    <row r="21023" spans="1:5">
      <c r="A21023" t="s">
        <v>46854</v>
      </c>
      <c r="B21023" t="s">
        <v>3346</v>
      </c>
      <c r="C21023">
        <v>0</v>
      </c>
      <c r="D21023">
        <v>0.86421375605600004</v>
      </c>
      <c r="E21023">
        <v>7.1999999999999995E-2</v>
      </c>
    </row>
    <row r="21024" spans="1:5">
      <c r="A21024" t="s">
        <v>46854</v>
      </c>
      <c r="B21024" t="s">
        <v>3349</v>
      </c>
      <c r="C21024">
        <v>0</v>
      </c>
      <c r="D21024">
        <v>0.86421375605600004</v>
      </c>
      <c r="E21024">
        <v>7.1999999999999995E-2</v>
      </c>
    </row>
    <row r="21025" spans="1:5">
      <c r="A21025" t="s">
        <v>46855</v>
      </c>
      <c r="B21025" t="s">
        <v>26103</v>
      </c>
      <c r="C21025">
        <f>0.887719759803</f>
        <v>0.887719759803</v>
      </c>
      <c r="D21025">
        <v>0.92772975980299999</v>
      </c>
      <c r="E21025">
        <v>8.4359999999999999</v>
      </c>
    </row>
    <row r="21026" spans="1:5">
      <c r="A21026" t="s">
        <v>46855</v>
      </c>
      <c r="B21026" t="s">
        <v>26104</v>
      </c>
      <c r="C21026">
        <f>0</f>
        <v>0</v>
      </c>
      <c r="D21026">
        <v>0.92772975980299999</v>
      </c>
      <c r="E21026">
        <v>8.4359999999999999</v>
      </c>
    </row>
    <row r="21027" spans="1:5">
      <c r="A21027" t="s">
        <v>46855</v>
      </c>
      <c r="B21027" t="s">
        <v>26106</v>
      </c>
      <c r="C21027">
        <v>0</v>
      </c>
      <c r="D21027">
        <v>0.92772975980299999</v>
      </c>
      <c r="E21027">
        <v>8.4359999999999999</v>
      </c>
    </row>
    <row r="21028" spans="1:5">
      <c r="A21028" t="s">
        <v>46856</v>
      </c>
      <c r="B21028" t="s">
        <v>46857</v>
      </c>
      <c r="C21028">
        <f>0.0175068005634</f>
        <v>1.75068005634E-2</v>
      </c>
      <c r="D21028">
        <v>0.88634481336500004</v>
      </c>
      <c r="E21028">
        <v>24</v>
      </c>
    </row>
    <row r="21029" spans="1:5">
      <c r="A21029" t="s">
        <v>46856</v>
      </c>
      <c r="B21029" t="s">
        <v>46858</v>
      </c>
      <c r="C21029">
        <f>0.319642572449</f>
        <v>0.31964257244900002</v>
      </c>
      <c r="D21029">
        <v>0.88634481336500004</v>
      </c>
      <c r="E21029">
        <v>24</v>
      </c>
    </row>
    <row r="21030" spans="1:5">
      <c r="A21030" t="s">
        <v>46856</v>
      </c>
      <c r="B21030" t="s">
        <v>46859</v>
      </c>
      <c r="C21030">
        <v>0.88368360722999995</v>
      </c>
      <c r="D21030">
        <v>0.88634481336500004</v>
      </c>
      <c r="E21030">
        <v>24</v>
      </c>
    </row>
    <row r="21031" spans="1:5">
      <c r="A21031" t="s">
        <v>46860</v>
      </c>
      <c r="B21031" t="s">
        <v>46861</v>
      </c>
      <c r="C21031">
        <f>0.515974726663</f>
        <v>0.51597472666300004</v>
      </c>
      <c r="D21031">
        <v>0.91159823887900004</v>
      </c>
      <c r="E21031">
        <v>12.39</v>
      </c>
    </row>
    <row r="21032" spans="1:5">
      <c r="A21032" t="s">
        <v>46860</v>
      </c>
      <c r="B21032" t="s">
        <v>46862</v>
      </c>
      <c r="C21032">
        <f>0</f>
        <v>0</v>
      </c>
      <c r="D21032">
        <v>0.91159823887900004</v>
      </c>
      <c r="E21032">
        <v>12.39</v>
      </c>
    </row>
    <row r="21033" spans="1:5">
      <c r="A21033" t="s">
        <v>46860</v>
      </c>
      <c r="B21033" t="s">
        <v>46863</v>
      </c>
      <c r="C21033">
        <f>0.082257001223</f>
        <v>8.2257001223000004E-2</v>
      </c>
      <c r="D21033">
        <v>0.91159823887900004</v>
      </c>
      <c r="E21033">
        <v>12.39</v>
      </c>
    </row>
    <row r="21034" spans="1:5">
      <c r="A21034" t="s">
        <v>46860</v>
      </c>
      <c r="B21034" t="s">
        <v>46864</v>
      </c>
      <c r="C21034">
        <f>0.373649290939</f>
        <v>0.37364929093900001</v>
      </c>
      <c r="D21034">
        <v>0.91159823887900004</v>
      </c>
      <c r="E21034">
        <v>12.39</v>
      </c>
    </row>
    <row r="21035" spans="1:5">
      <c r="A21035" t="s">
        <v>46860</v>
      </c>
      <c r="B21035" t="s">
        <v>46865</v>
      </c>
      <c r="C21035">
        <v>5.1079387282499999E-2</v>
      </c>
      <c r="D21035">
        <v>0.91159823887900004</v>
      </c>
      <c r="E21035">
        <v>12.39</v>
      </c>
    </row>
    <row r="21036" spans="1:5">
      <c r="A21036" t="s">
        <v>46860</v>
      </c>
      <c r="B21036" t="s">
        <v>46866</v>
      </c>
      <c r="C21036">
        <v>0</v>
      </c>
      <c r="D21036">
        <v>0.91159823887900004</v>
      </c>
      <c r="E21036">
        <v>12.39</v>
      </c>
    </row>
    <row r="21037" spans="1:5">
      <c r="A21037" t="s">
        <v>46860</v>
      </c>
      <c r="B21037" t="s">
        <v>46867</v>
      </c>
      <c r="C21037">
        <v>0</v>
      </c>
      <c r="D21037">
        <v>0.91159823887900004</v>
      </c>
      <c r="E21037">
        <v>12.39</v>
      </c>
    </row>
    <row r="21038" spans="1:5">
      <c r="A21038" t="s">
        <v>46860</v>
      </c>
      <c r="B21038" t="s">
        <v>46868</v>
      </c>
      <c r="C21038">
        <f>0</f>
        <v>0</v>
      </c>
      <c r="D21038">
        <v>0.91159823887900004</v>
      </c>
      <c r="E21038">
        <v>12.39</v>
      </c>
    </row>
    <row r="21039" spans="1:5">
      <c r="A21039" t="s">
        <v>46860</v>
      </c>
      <c r="B21039" t="s">
        <v>46869</v>
      </c>
      <c r="C21039">
        <v>0</v>
      </c>
      <c r="D21039">
        <v>0.91159823887900004</v>
      </c>
      <c r="E21039">
        <v>12.39</v>
      </c>
    </row>
    <row r="21040" spans="1:5">
      <c r="A21040" t="s">
        <v>46860</v>
      </c>
      <c r="B21040" t="s">
        <v>46870</v>
      </c>
      <c r="C21040">
        <f>0</f>
        <v>0</v>
      </c>
      <c r="D21040">
        <v>0.91159823887900004</v>
      </c>
      <c r="E21040">
        <v>12.39</v>
      </c>
    </row>
    <row r="21041" spans="1:5">
      <c r="A21041" t="s">
        <v>46860</v>
      </c>
      <c r="B21041" t="s">
        <v>46871</v>
      </c>
      <c r="C21041">
        <v>0</v>
      </c>
      <c r="D21041">
        <v>0.91159823887900004</v>
      </c>
      <c r="E21041">
        <v>12.39</v>
      </c>
    </row>
    <row r="21042" spans="1:5">
      <c r="A21042" t="s">
        <v>46860</v>
      </c>
      <c r="B21042" t="s">
        <v>46872</v>
      </c>
      <c r="C21042">
        <v>0</v>
      </c>
      <c r="D21042">
        <v>0.91159823887900004</v>
      </c>
      <c r="E21042">
        <v>12.39</v>
      </c>
    </row>
    <row r="21043" spans="1:5">
      <c r="A21043" t="s">
        <v>46873</v>
      </c>
      <c r="B21043" t="s">
        <v>12634</v>
      </c>
      <c r="C21043">
        <f>0.0160554535484</f>
        <v>1.60554535484E-2</v>
      </c>
      <c r="D21043">
        <v>0.99715333383600002</v>
      </c>
      <c r="E21043">
        <v>23.04</v>
      </c>
    </row>
    <row r="21044" spans="1:5">
      <c r="A21044" t="s">
        <v>46873</v>
      </c>
      <c r="B21044" t="s">
        <v>12631</v>
      </c>
      <c r="C21044">
        <v>0.29705968863999999</v>
      </c>
      <c r="D21044">
        <v>0.99715333383600002</v>
      </c>
      <c r="E21044">
        <v>23.04</v>
      </c>
    </row>
    <row r="21045" spans="1:5">
      <c r="A21045" t="s">
        <v>46873</v>
      </c>
      <c r="B21045" t="s">
        <v>12632</v>
      </c>
      <c r="C21045">
        <v>4.1875732561000002E-2</v>
      </c>
      <c r="D21045">
        <v>0.99715333383600002</v>
      </c>
      <c r="E21045">
        <v>23.04</v>
      </c>
    </row>
    <row r="21046" spans="1:5">
      <c r="A21046" t="s">
        <v>46873</v>
      </c>
      <c r="B21046" t="s">
        <v>12635</v>
      </c>
      <c r="C21046">
        <v>0.270156137533</v>
      </c>
      <c r="D21046">
        <v>0.99715333383600002</v>
      </c>
      <c r="E21046">
        <v>23.04</v>
      </c>
    </row>
    <row r="21047" spans="1:5">
      <c r="A21047" t="s">
        <v>46873</v>
      </c>
      <c r="B21047" t="s">
        <v>12629</v>
      </c>
      <c r="C21047">
        <f>0.203291058108</f>
        <v>0.20329105810799999</v>
      </c>
      <c r="D21047">
        <v>0.99715333383600002</v>
      </c>
      <c r="E21047">
        <v>23.04</v>
      </c>
    </row>
    <row r="21048" spans="1:5">
      <c r="A21048" t="s">
        <v>46873</v>
      </c>
      <c r="B21048" t="s">
        <v>12630</v>
      </c>
      <c r="C21048">
        <f>0.650180657362</f>
        <v>0.65018065736200004</v>
      </c>
      <c r="D21048">
        <v>0.99715333383600002</v>
      </c>
      <c r="E21048">
        <v>23.04</v>
      </c>
    </row>
    <row r="21049" spans="1:5">
      <c r="A21049" t="s">
        <v>46873</v>
      </c>
      <c r="B21049" t="s">
        <v>12636</v>
      </c>
      <c r="C21049">
        <f>0.246584335236</f>
        <v>0.24658433523600001</v>
      </c>
      <c r="D21049">
        <v>0.99715333383600002</v>
      </c>
      <c r="E21049">
        <v>23.04</v>
      </c>
    </row>
    <row r="21050" spans="1:5">
      <c r="A21050" t="s">
        <v>46874</v>
      </c>
      <c r="B21050" t="s">
        <v>46875</v>
      </c>
      <c r="C21050">
        <f>0.636353750351</f>
        <v>0.63635375035099995</v>
      </c>
      <c r="D21050">
        <v>0.95352760078099996</v>
      </c>
      <c r="E21050">
        <v>4.0739999999999998</v>
      </c>
    </row>
    <row r="21051" spans="1:5">
      <c r="A21051" t="s">
        <v>46874</v>
      </c>
      <c r="B21051" t="s">
        <v>46876</v>
      </c>
      <c r="C21051">
        <v>0.46857642578300002</v>
      </c>
      <c r="D21051">
        <v>0.95352760078099996</v>
      </c>
      <c r="E21051">
        <v>4.0739999999999998</v>
      </c>
    </row>
    <row r="21052" spans="1:5">
      <c r="A21052" t="s">
        <v>46877</v>
      </c>
      <c r="B21052" t="s">
        <v>9209</v>
      </c>
      <c r="C21052">
        <f>0</f>
        <v>0</v>
      </c>
      <c r="D21052">
        <v>0.99312972931900001</v>
      </c>
      <c r="E21052">
        <v>10.242000000000001</v>
      </c>
    </row>
    <row r="21053" spans="1:5">
      <c r="A21053" t="s">
        <v>46877</v>
      </c>
      <c r="B21053" t="s">
        <v>9208</v>
      </c>
      <c r="C21053">
        <f>0</f>
        <v>0</v>
      </c>
      <c r="D21053">
        <v>0.99312972931900001</v>
      </c>
      <c r="E21053">
        <v>10.242000000000001</v>
      </c>
    </row>
    <row r="21054" spans="1:5">
      <c r="A21054" t="s">
        <v>46877</v>
      </c>
      <c r="B21054" t="s">
        <v>9217</v>
      </c>
      <c r="C21054">
        <f>0.569820023048</f>
        <v>0.56982002304799995</v>
      </c>
      <c r="D21054">
        <v>0.99312972931900001</v>
      </c>
      <c r="E21054">
        <v>10.242000000000001</v>
      </c>
    </row>
    <row r="21055" spans="1:5">
      <c r="A21055" t="s">
        <v>46877</v>
      </c>
      <c r="B21055" t="s">
        <v>9216</v>
      </c>
      <c r="C21055">
        <f>0</f>
        <v>0</v>
      </c>
      <c r="D21055">
        <v>0.99312972931900001</v>
      </c>
      <c r="E21055">
        <v>10.242000000000001</v>
      </c>
    </row>
    <row r="21056" spans="1:5">
      <c r="A21056" t="s">
        <v>46877</v>
      </c>
      <c r="B21056" t="s">
        <v>9214</v>
      </c>
      <c r="C21056">
        <f>0</f>
        <v>0</v>
      </c>
      <c r="D21056">
        <v>0.99312972931900001</v>
      </c>
      <c r="E21056">
        <v>10.242000000000001</v>
      </c>
    </row>
    <row r="21057" spans="1:5">
      <c r="A21057" t="s">
        <v>46877</v>
      </c>
      <c r="B21057" t="s">
        <v>9215</v>
      </c>
      <c r="C21057">
        <f>0</f>
        <v>0</v>
      </c>
      <c r="D21057">
        <v>0.99312972931900001</v>
      </c>
      <c r="E21057">
        <v>10.242000000000001</v>
      </c>
    </row>
    <row r="21058" spans="1:5">
      <c r="A21058" t="s">
        <v>46877</v>
      </c>
      <c r="B21058" t="s">
        <v>9210</v>
      </c>
      <c r="C21058">
        <f>0</f>
        <v>0</v>
      </c>
      <c r="D21058">
        <v>0.99312972931900001</v>
      </c>
      <c r="E21058">
        <v>10.242000000000001</v>
      </c>
    </row>
    <row r="21059" spans="1:5">
      <c r="A21059" t="s">
        <v>46877</v>
      </c>
      <c r="B21059" t="s">
        <v>9219</v>
      </c>
      <c r="C21059">
        <v>0.65630080881899999</v>
      </c>
      <c r="D21059">
        <v>0.99312972931900001</v>
      </c>
      <c r="E21059">
        <v>10.242000000000001</v>
      </c>
    </row>
    <row r="21060" spans="1:5">
      <c r="A21060" t="s">
        <v>46877</v>
      </c>
      <c r="B21060" t="s">
        <v>9218</v>
      </c>
      <c r="C21060">
        <f>0.229825372395</f>
        <v>0.229825372395</v>
      </c>
      <c r="D21060">
        <v>0.99312972931900001</v>
      </c>
      <c r="E21060">
        <v>10.242000000000001</v>
      </c>
    </row>
    <row r="21061" spans="1:5">
      <c r="A21061" t="s">
        <v>46877</v>
      </c>
      <c r="B21061" t="s">
        <v>9212</v>
      </c>
      <c r="C21061">
        <f>0.0727622724964</f>
        <v>7.2762272496399993E-2</v>
      </c>
      <c r="D21061">
        <v>0.99312972931900001</v>
      </c>
      <c r="E21061">
        <v>10.242000000000001</v>
      </c>
    </row>
    <row r="21062" spans="1:5">
      <c r="A21062" t="s">
        <v>46878</v>
      </c>
      <c r="B21062" t="s">
        <v>46879</v>
      </c>
      <c r="C21062">
        <v>0</v>
      </c>
      <c r="D21062" t="s">
        <v>106</v>
      </c>
      <c r="E21062">
        <v>7.6020000000000003</v>
      </c>
    </row>
    <row r="21063" spans="1:5">
      <c r="A21063" t="s">
        <v>46878</v>
      </c>
      <c r="B21063" t="s">
        <v>46880</v>
      </c>
      <c r="C21063">
        <v>0</v>
      </c>
      <c r="D21063" t="s">
        <v>106</v>
      </c>
      <c r="E21063">
        <v>7.6020000000000003</v>
      </c>
    </row>
    <row r="21064" spans="1:5">
      <c r="A21064" t="s">
        <v>46878</v>
      </c>
      <c r="B21064" t="s">
        <v>46881</v>
      </c>
      <c r="C21064">
        <f>0</f>
        <v>0</v>
      </c>
      <c r="D21064" t="s">
        <v>106</v>
      </c>
      <c r="E21064">
        <v>7.6020000000000003</v>
      </c>
    </row>
    <row r="21065" spans="1:5">
      <c r="A21065" t="s">
        <v>46878</v>
      </c>
      <c r="B21065" t="s">
        <v>46882</v>
      </c>
      <c r="C21065">
        <f>0</f>
        <v>0</v>
      </c>
      <c r="D21065" t="s">
        <v>106</v>
      </c>
      <c r="E21065">
        <v>7.6020000000000003</v>
      </c>
    </row>
    <row r="21066" spans="1:5">
      <c r="A21066" t="s">
        <v>46878</v>
      </c>
      <c r="B21066" t="s">
        <v>46883</v>
      </c>
      <c r="C21066">
        <v>0</v>
      </c>
      <c r="D21066" t="s">
        <v>106</v>
      </c>
      <c r="E21066">
        <v>7.6020000000000003</v>
      </c>
    </row>
    <row r="21067" spans="1:5">
      <c r="A21067" t="s">
        <v>46878</v>
      </c>
      <c r="B21067" t="s">
        <v>46884</v>
      </c>
      <c r="C21067">
        <f>0</f>
        <v>0</v>
      </c>
      <c r="D21067" t="s">
        <v>106</v>
      </c>
      <c r="E21067">
        <v>7.6020000000000003</v>
      </c>
    </row>
    <row r="21068" spans="1:5">
      <c r="A21068" t="s">
        <v>46885</v>
      </c>
      <c r="B21068" t="s">
        <v>46886</v>
      </c>
      <c r="C21068">
        <v>0.70898270330199997</v>
      </c>
      <c r="D21068">
        <v>0.77918691626000003</v>
      </c>
      <c r="E21068">
        <v>0</v>
      </c>
    </row>
    <row r="21069" spans="1:5">
      <c r="A21069" t="s">
        <v>46885</v>
      </c>
      <c r="B21069" t="s">
        <v>46887</v>
      </c>
      <c r="C21069">
        <f>0.209393949187</f>
        <v>0.20939394918699999</v>
      </c>
      <c r="D21069">
        <v>0.77918691626000003</v>
      </c>
      <c r="E21069">
        <v>0</v>
      </c>
    </row>
    <row r="21070" spans="1:5">
      <c r="A21070" t="s">
        <v>46885</v>
      </c>
      <c r="B21070" t="s">
        <v>46888</v>
      </c>
      <c r="C21070">
        <f>0.327097360247</f>
        <v>0.32709736024699998</v>
      </c>
      <c r="D21070">
        <v>0.77918691626000003</v>
      </c>
      <c r="E21070">
        <v>0</v>
      </c>
    </row>
    <row r="21071" spans="1:5">
      <c r="A21071" t="s">
        <v>46885</v>
      </c>
      <c r="B21071" t="s">
        <v>46889</v>
      </c>
      <c r="C21071">
        <v>0.460777690573</v>
      </c>
      <c r="D21071">
        <v>0.77918691626000003</v>
      </c>
      <c r="E21071">
        <v>0</v>
      </c>
    </row>
    <row r="21072" spans="1:5">
      <c r="A21072" t="s">
        <v>46890</v>
      </c>
      <c r="B21072" t="s">
        <v>46891</v>
      </c>
      <c r="C21072">
        <f>0</f>
        <v>0</v>
      </c>
      <c r="D21072">
        <v>0.93398119431899995</v>
      </c>
      <c r="E21072">
        <v>1.3919999999999999</v>
      </c>
    </row>
    <row r="21073" spans="1:5">
      <c r="A21073" t="s">
        <v>46890</v>
      </c>
      <c r="B21073" t="s">
        <v>46892</v>
      </c>
      <c r="C21073">
        <f>0</f>
        <v>0</v>
      </c>
      <c r="D21073">
        <v>0.93398119431899995</v>
      </c>
      <c r="E21073">
        <v>1.3919999999999999</v>
      </c>
    </row>
    <row r="21074" spans="1:5">
      <c r="A21074" t="s">
        <v>46890</v>
      </c>
      <c r="B21074" t="s">
        <v>46893</v>
      </c>
      <c r="C21074">
        <v>0.85557119431899997</v>
      </c>
      <c r="D21074">
        <v>0.93398119431899995</v>
      </c>
      <c r="E21074">
        <v>1.3919999999999999</v>
      </c>
    </row>
    <row r="21075" spans="1:5">
      <c r="A21075" t="s">
        <v>46894</v>
      </c>
      <c r="B21075" t="s">
        <v>46895</v>
      </c>
      <c r="C21075">
        <v>0</v>
      </c>
      <c r="D21075" t="s">
        <v>106</v>
      </c>
      <c r="E21075">
        <v>5.9340000000000002</v>
      </c>
    </row>
    <row r="21076" spans="1:5">
      <c r="A21076" t="s">
        <v>46894</v>
      </c>
      <c r="B21076" t="s">
        <v>46896</v>
      </c>
      <c r="C21076">
        <v>0</v>
      </c>
      <c r="D21076" t="s">
        <v>106</v>
      </c>
      <c r="E21076">
        <v>5.9340000000000002</v>
      </c>
    </row>
    <row r="21077" spans="1:5">
      <c r="A21077" t="s">
        <v>46894</v>
      </c>
      <c r="B21077" t="s">
        <v>46897</v>
      </c>
      <c r="C21077">
        <v>0</v>
      </c>
      <c r="D21077" t="s">
        <v>106</v>
      </c>
      <c r="E21077">
        <v>5.9340000000000002</v>
      </c>
    </row>
    <row r="21078" spans="1:5">
      <c r="A21078" t="s">
        <v>46894</v>
      </c>
      <c r="B21078" t="s">
        <v>46898</v>
      </c>
      <c r="C21078">
        <v>0</v>
      </c>
      <c r="D21078" t="s">
        <v>106</v>
      </c>
      <c r="E21078">
        <v>5.9340000000000002</v>
      </c>
    </row>
    <row r="21079" spans="1:5">
      <c r="A21079" t="s">
        <v>46894</v>
      </c>
      <c r="B21079" t="s">
        <v>46899</v>
      </c>
      <c r="C21079">
        <v>0</v>
      </c>
      <c r="D21079" t="s">
        <v>106</v>
      </c>
      <c r="E21079">
        <v>5.9340000000000002</v>
      </c>
    </row>
    <row r="21080" spans="1:5">
      <c r="A21080" t="s">
        <v>46894</v>
      </c>
      <c r="B21080" t="s">
        <v>46900</v>
      </c>
      <c r="C21080">
        <v>0</v>
      </c>
      <c r="D21080" t="s">
        <v>106</v>
      </c>
      <c r="E21080">
        <v>5.9340000000000002</v>
      </c>
    </row>
    <row r="21081" spans="1:5">
      <c r="A21081" t="s">
        <v>46894</v>
      </c>
      <c r="B21081" t="s">
        <v>46901</v>
      </c>
      <c r="C21081">
        <v>0</v>
      </c>
      <c r="D21081" t="s">
        <v>106</v>
      </c>
      <c r="E21081">
        <v>5.9340000000000002</v>
      </c>
    </row>
    <row r="21082" spans="1:5">
      <c r="A21082" t="s">
        <v>46894</v>
      </c>
      <c r="B21082" t="s">
        <v>46902</v>
      </c>
      <c r="C21082">
        <v>0</v>
      </c>
      <c r="D21082" t="s">
        <v>106</v>
      </c>
      <c r="E21082">
        <v>5.9340000000000002</v>
      </c>
    </row>
    <row r="21083" spans="1:5">
      <c r="A21083" t="s">
        <v>46894</v>
      </c>
      <c r="B21083" t="s">
        <v>46903</v>
      </c>
      <c r="C21083">
        <f>0</f>
        <v>0</v>
      </c>
      <c r="D21083" t="s">
        <v>106</v>
      </c>
      <c r="E21083">
        <v>5.9340000000000002</v>
      </c>
    </row>
    <row r="21084" spans="1:5">
      <c r="A21084" t="s">
        <v>46894</v>
      </c>
      <c r="B21084" t="s">
        <v>46904</v>
      </c>
      <c r="C21084">
        <v>0</v>
      </c>
      <c r="D21084" t="s">
        <v>106</v>
      </c>
      <c r="E21084">
        <v>5.9340000000000002</v>
      </c>
    </row>
    <row r="21085" spans="1:5">
      <c r="A21085" t="s">
        <v>46905</v>
      </c>
      <c r="B21085" t="s">
        <v>46906</v>
      </c>
      <c r="C21085">
        <v>0</v>
      </c>
      <c r="D21085">
        <v>0.81138005784199996</v>
      </c>
      <c r="E21085">
        <v>10.554</v>
      </c>
    </row>
    <row r="21086" spans="1:5">
      <c r="A21086" t="s">
        <v>46905</v>
      </c>
      <c r="B21086" t="s">
        <v>46907</v>
      </c>
      <c r="C21086">
        <v>0.75377005784200002</v>
      </c>
      <c r="D21086">
        <v>0.81138005784199996</v>
      </c>
      <c r="E21086">
        <v>10.554</v>
      </c>
    </row>
    <row r="21087" spans="1:5">
      <c r="A21087" t="s">
        <v>46908</v>
      </c>
      <c r="B21087" t="s">
        <v>5701</v>
      </c>
      <c r="C21087">
        <f>0</f>
        <v>0</v>
      </c>
      <c r="D21087" t="s">
        <v>106</v>
      </c>
      <c r="E21087">
        <v>24</v>
      </c>
    </row>
    <row r="21088" spans="1:5">
      <c r="A21088" t="s">
        <v>46908</v>
      </c>
      <c r="B21088" t="s">
        <v>5705</v>
      </c>
      <c r="C21088">
        <f>0</f>
        <v>0</v>
      </c>
      <c r="D21088" t="s">
        <v>106</v>
      </c>
      <c r="E21088">
        <v>24</v>
      </c>
    </row>
    <row r="21089" spans="1:5">
      <c r="A21089" t="s">
        <v>46908</v>
      </c>
      <c r="B21089" t="s">
        <v>5702</v>
      </c>
      <c r="C21089">
        <f>0</f>
        <v>0</v>
      </c>
      <c r="D21089" t="s">
        <v>106</v>
      </c>
      <c r="E21089">
        <v>24</v>
      </c>
    </row>
    <row r="21090" spans="1:5">
      <c r="A21090" t="s">
        <v>46908</v>
      </c>
      <c r="B21090" t="s">
        <v>5700</v>
      </c>
      <c r="C21090">
        <v>0</v>
      </c>
      <c r="D21090" t="s">
        <v>106</v>
      </c>
      <c r="E21090">
        <v>24</v>
      </c>
    </row>
    <row r="21091" spans="1:5">
      <c r="A21091" t="s">
        <v>46908</v>
      </c>
      <c r="B21091" t="s">
        <v>5706</v>
      </c>
      <c r="C21091">
        <f>0</f>
        <v>0</v>
      </c>
      <c r="D21091" t="s">
        <v>106</v>
      </c>
      <c r="E21091">
        <v>24</v>
      </c>
    </row>
    <row r="21092" spans="1:5">
      <c r="A21092" t="s">
        <v>46909</v>
      </c>
      <c r="B21092" t="s">
        <v>46910</v>
      </c>
      <c r="C21092">
        <v>0.440178035601</v>
      </c>
      <c r="D21092">
        <v>0.81905137640400005</v>
      </c>
      <c r="E21092">
        <v>3.6840000000000002</v>
      </c>
    </row>
    <row r="21093" spans="1:5">
      <c r="A21093" t="s">
        <v>46909</v>
      </c>
      <c r="B21093" t="s">
        <v>46911</v>
      </c>
      <c r="C21093">
        <v>0</v>
      </c>
      <c r="D21093">
        <v>0.81905137640400005</v>
      </c>
      <c r="E21093">
        <v>3.6840000000000002</v>
      </c>
    </row>
    <row r="21094" spans="1:5">
      <c r="A21094" t="s">
        <v>46909</v>
      </c>
      <c r="B21094" t="s">
        <v>46912</v>
      </c>
      <c r="C21094">
        <v>0.38248982510399998</v>
      </c>
      <c r="D21094">
        <v>0.81905137640400005</v>
      </c>
      <c r="E21094">
        <v>3.6840000000000002</v>
      </c>
    </row>
    <row r="21095" spans="1:5">
      <c r="A21095" t="s">
        <v>46913</v>
      </c>
      <c r="B21095" t="s">
        <v>26121</v>
      </c>
      <c r="C21095">
        <f>0.743203435345</f>
        <v>0.743203435345</v>
      </c>
      <c r="D21095">
        <v>0.91257044860000003</v>
      </c>
      <c r="E21095">
        <v>4.6920000000000002</v>
      </c>
    </row>
    <row r="21096" spans="1:5">
      <c r="A21096" t="s">
        <v>46913</v>
      </c>
      <c r="B21096" t="s">
        <v>26122</v>
      </c>
      <c r="C21096">
        <f>0.0962588208283</f>
        <v>9.6258820828300007E-2</v>
      </c>
      <c r="D21096">
        <v>0.91257044860000003</v>
      </c>
      <c r="E21096">
        <v>4.6920000000000002</v>
      </c>
    </row>
    <row r="21097" spans="1:5">
      <c r="A21097" t="s">
        <v>46913</v>
      </c>
      <c r="B21097" t="s">
        <v>26123</v>
      </c>
      <c r="C21097">
        <f>0.0053444394193</f>
        <v>5.3444394193000004E-3</v>
      </c>
      <c r="D21097">
        <v>0.91257044860000003</v>
      </c>
      <c r="E21097">
        <v>4.6920000000000002</v>
      </c>
    </row>
    <row r="21098" spans="1:5">
      <c r="A21098" t="s">
        <v>46914</v>
      </c>
      <c r="B21098" t="s">
        <v>46915</v>
      </c>
      <c r="C21098">
        <f>0</f>
        <v>0</v>
      </c>
      <c r="D21098">
        <v>0.95688330218399997</v>
      </c>
      <c r="E21098">
        <v>5.7</v>
      </c>
    </row>
    <row r="21099" spans="1:5">
      <c r="A21099" t="s">
        <v>46914</v>
      </c>
      <c r="B21099" t="s">
        <v>46916</v>
      </c>
      <c r="C21099">
        <f>0.0379074858733</f>
        <v>3.7907485873299999E-2</v>
      </c>
      <c r="D21099">
        <v>0.95688330218399997</v>
      </c>
      <c r="E21099">
        <v>5.7</v>
      </c>
    </row>
    <row r="21100" spans="1:5">
      <c r="A21100" t="s">
        <v>46914</v>
      </c>
      <c r="B21100" t="s">
        <v>46917</v>
      </c>
      <c r="C21100">
        <v>0</v>
      </c>
      <c r="D21100">
        <v>0.95688330218399997</v>
      </c>
      <c r="E21100">
        <v>5.7</v>
      </c>
    </row>
    <row r="21101" spans="1:5">
      <c r="A21101" t="s">
        <v>46914</v>
      </c>
      <c r="B21101" t="s">
        <v>46918</v>
      </c>
      <c r="C21101">
        <f>0.237221485168</f>
        <v>0.23722148516800001</v>
      </c>
      <c r="D21101">
        <v>0.95688330218399997</v>
      </c>
      <c r="E21101">
        <v>5.7</v>
      </c>
    </row>
    <row r="21102" spans="1:5">
      <c r="A21102" t="s">
        <v>46914</v>
      </c>
      <c r="B21102" t="s">
        <v>5289</v>
      </c>
      <c r="C21102">
        <f>0.355725673407</f>
        <v>0.35572567340700001</v>
      </c>
      <c r="D21102">
        <v>0.95688330218399997</v>
      </c>
      <c r="E21102">
        <v>5.7</v>
      </c>
    </row>
    <row r="21103" spans="1:5">
      <c r="A21103" t="s">
        <v>46914</v>
      </c>
      <c r="B21103" t="s">
        <v>5290</v>
      </c>
      <c r="C21103">
        <v>0.82227882291499999</v>
      </c>
      <c r="D21103">
        <v>0.95688330218399997</v>
      </c>
      <c r="E21103">
        <v>5.7</v>
      </c>
    </row>
    <row r="21104" spans="1:5">
      <c r="A21104" t="s">
        <v>46919</v>
      </c>
      <c r="B21104" t="s">
        <v>6026</v>
      </c>
      <c r="C21104">
        <f>0.27100317475</f>
        <v>0.27100317475000002</v>
      </c>
      <c r="D21104">
        <v>0.94624012952299996</v>
      </c>
      <c r="E21104">
        <v>0</v>
      </c>
    </row>
    <row r="21105" spans="1:5">
      <c r="A21105" t="s">
        <v>46919</v>
      </c>
      <c r="B21105" t="s">
        <v>6019</v>
      </c>
      <c r="C21105">
        <v>0.98680007972999995</v>
      </c>
      <c r="D21105">
        <v>0.94624012952299996</v>
      </c>
      <c r="E21105">
        <v>0</v>
      </c>
    </row>
    <row r="21106" spans="1:5">
      <c r="A21106" t="s">
        <v>46919</v>
      </c>
      <c r="B21106" t="s">
        <v>6020</v>
      </c>
      <c r="C21106">
        <v>9.3767081365999996E-3</v>
      </c>
      <c r="D21106">
        <v>0.94624012952299996</v>
      </c>
      <c r="E21106">
        <v>0</v>
      </c>
    </row>
    <row r="21107" spans="1:5">
      <c r="A21107" t="s">
        <v>46920</v>
      </c>
      <c r="B21107" t="s">
        <v>46921</v>
      </c>
      <c r="C21107">
        <v>0.50028047857000002</v>
      </c>
      <c r="D21107">
        <v>0.89816590692700005</v>
      </c>
      <c r="E21107">
        <v>19.2</v>
      </c>
    </row>
    <row r="21108" spans="1:5">
      <c r="A21108" t="s">
        <v>46920</v>
      </c>
      <c r="B21108" t="s">
        <v>46922</v>
      </c>
      <c r="C21108">
        <v>0.451302001151</v>
      </c>
      <c r="D21108">
        <v>0.89816590692700005</v>
      </c>
      <c r="E21108">
        <v>19.2</v>
      </c>
    </row>
    <row r="21109" spans="1:5">
      <c r="A21109" t="s">
        <v>46923</v>
      </c>
      <c r="B21109" t="s">
        <v>22664</v>
      </c>
      <c r="C21109">
        <v>1.5763832631800001</v>
      </c>
      <c r="D21109">
        <v>0.99781173118400002</v>
      </c>
      <c r="E21109">
        <v>13.092000000000001</v>
      </c>
    </row>
    <row r="21110" spans="1:5">
      <c r="A21110" t="s">
        <v>46923</v>
      </c>
      <c r="B21110" t="s">
        <v>22679</v>
      </c>
      <c r="C21110">
        <v>0.22067038128899999</v>
      </c>
      <c r="D21110">
        <v>0.99781173118400002</v>
      </c>
      <c r="E21110">
        <v>13.092000000000001</v>
      </c>
    </row>
    <row r="21111" spans="1:5">
      <c r="A21111" t="s">
        <v>46923</v>
      </c>
      <c r="B21111" t="s">
        <v>22676</v>
      </c>
      <c r="C21111">
        <v>0.33082503607899999</v>
      </c>
      <c r="D21111">
        <v>0.99781173118400002</v>
      </c>
      <c r="E21111">
        <v>13.092000000000001</v>
      </c>
    </row>
    <row r="21112" spans="1:5">
      <c r="A21112" t="s">
        <v>46923</v>
      </c>
      <c r="B21112" t="s">
        <v>22671</v>
      </c>
      <c r="C21112">
        <f>0.198564913453</f>
        <v>0.19856491345300001</v>
      </c>
      <c r="D21112">
        <v>0.99781173118400002</v>
      </c>
      <c r="E21112">
        <v>13.092000000000001</v>
      </c>
    </row>
    <row r="21113" spans="1:5">
      <c r="A21113" t="s">
        <v>46923</v>
      </c>
      <c r="B21113" t="s">
        <v>22668</v>
      </c>
      <c r="C21113">
        <f>-1.69708468879</f>
        <v>-1.69708468879</v>
      </c>
      <c r="D21113">
        <v>0.99781173118400002</v>
      </c>
      <c r="E21113">
        <v>13.092000000000001</v>
      </c>
    </row>
    <row r="21114" spans="1:5">
      <c r="A21114" t="s">
        <v>46923</v>
      </c>
      <c r="B21114" t="s">
        <v>22674</v>
      </c>
      <c r="C21114">
        <v>0.34661622309599999</v>
      </c>
      <c r="D21114">
        <v>0.99781173118400002</v>
      </c>
      <c r="E21114">
        <v>13.092000000000001</v>
      </c>
    </row>
    <row r="21115" spans="1:5">
      <c r="A21115" t="s">
        <v>46923</v>
      </c>
      <c r="B21115" t="s">
        <v>22673</v>
      </c>
      <c r="C21115">
        <f>0.160530468388</f>
        <v>0.160530468388</v>
      </c>
      <c r="D21115">
        <v>0.99781173118400002</v>
      </c>
      <c r="E21115">
        <v>13.092000000000001</v>
      </c>
    </row>
    <row r="21116" spans="1:5">
      <c r="A21116" t="s">
        <v>46924</v>
      </c>
      <c r="B21116" t="s">
        <v>46925</v>
      </c>
      <c r="C21116">
        <v>0</v>
      </c>
      <c r="D21116" t="s">
        <v>106</v>
      </c>
      <c r="E21116">
        <v>5.7</v>
      </c>
    </row>
    <row r="21117" spans="1:5">
      <c r="A21117" t="s">
        <v>46924</v>
      </c>
      <c r="B21117" t="s">
        <v>46926</v>
      </c>
      <c r="C21117">
        <v>0</v>
      </c>
      <c r="D21117" t="s">
        <v>106</v>
      </c>
      <c r="E21117">
        <v>5.7</v>
      </c>
    </row>
    <row r="21118" spans="1:5">
      <c r="A21118" t="s">
        <v>46924</v>
      </c>
      <c r="B21118" t="s">
        <v>46927</v>
      </c>
      <c r="C21118">
        <f>0</f>
        <v>0</v>
      </c>
      <c r="D21118" t="s">
        <v>106</v>
      </c>
      <c r="E21118">
        <v>5.7</v>
      </c>
    </row>
    <row r="21119" spans="1:5">
      <c r="A21119" t="s">
        <v>46924</v>
      </c>
      <c r="B21119" t="s">
        <v>46928</v>
      </c>
      <c r="C21119">
        <v>0</v>
      </c>
      <c r="D21119" t="s">
        <v>106</v>
      </c>
      <c r="E21119">
        <v>5.7</v>
      </c>
    </row>
    <row r="21120" spans="1:5">
      <c r="A21120" t="s">
        <v>46924</v>
      </c>
      <c r="B21120" t="s">
        <v>46929</v>
      </c>
      <c r="C21120">
        <f>0</f>
        <v>0</v>
      </c>
      <c r="D21120" t="s">
        <v>106</v>
      </c>
      <c r="E21120">
        <v>5.7</v>
      </c>
    </row>
    <row r="21121" spans="1:5">
      <c r="A21121" t="s">
        <v>46924</v>
      </c>
      <c r="B21121" t="s">
        <v>46930</v>
      </c>
      <c r="C21121">
        <v>0</v>
      </c>
      <c r="D21121" t="s">
        <v>106</v>
      </c>
      <c r="E21121">
        <v>5.7</v>
      </c>
    </row>
    <row r="21122" spans="1:5">
      <c r="A21122" t="s">
        <v>46924</v>
      </c>
      <c r="B21122" t="s">
        <v>46931</v>
      </c>
      <c r="C21122">
        <v>0</v>
      </c>
      <c r="D21122" t="s">
        <v>106</v>
      </c>
      <c r="E21122">
        <v>5.7</v>
      </c>
    </row>
    <row r="21123" spans="1:5">
      <c r="A21123" t="s">
        <v>46924</v>
      </c>
      <c r="B21123" t="s">
        <v>46932</v>
      </c>
      <c r="C21123">
        <f>0</f>
        <v>0</v>
      </c>
      <c r="D21123" t="s">
        <v>106</v>
      </c>
      <c r="E21123">
        <v>5.7</v>
      </c>
    </row>
    <row r="21124" spans="1:5">
      <c r="A21124" t="s">
        <v>46933</v>
      </c>
      <c r="B21124" t="s">
        <v>46934</v>
      </c>
      <c r="C21124">
        <v>0.77323313656500003</v>
      </c>
      <c r="D21124">
        <v>0.97121263071800001</v>
      </c>
      <c r="E21124">
        <v>23.754000000000001</v>
      </c>
    </row>
    <row r="21125" spans="1:5">
      <c r="A21125" t="s">
        <v>46933</v>
      </c>
      <c r="B21125" t="s">
        <v>46935</v>
      </c>
      <c r="C21125">
        <v>6.0466761663099996E-3</v>
      </c>
      <c r="D21125">
        <v>0.97121263071800001</v>
      </c>
      <c r="E21125">
        <v>23.754000000000001</v>
      </c>
    </row>
    <row r="21126" spans="1:5">
      <c r="A21126" t="s">
        <v>46933</v>
      </c>
      <c r="B21126" t="s">
        <v>46936</v>
      </c>
      <c r="C21126">
        <v>0.73739218962399999</v>
      </c>
      <c r="D21126">
        <v>0.97121263071800001</v>
      </c>
      <c r="E21126">
        <v>23.754000000000001</v>
      </c>
    </row>
    <row r="21127" spans="1:5">
      <c r="A21127" t="s">
        <v>46933</v>
      </c>
      <c r="B21127" t="s">
        <v>46937</v>
      </c>
      <c r="C21127">
        <f>0.470952328905</f>
        <v>0.470952328905</v>
      </c>
      <c r="D21127">
        <v>0.97121263071800001</v>
      </c>
      <c r="E21127">
        <v>23.754000000000001</v>
      </c>
    </row>
    <row r="21128" spans="1:5">
      <c r="A21128" t="s">
        <v>46938</v>
      </c>
      <c r="B21128" t="s">
        <v>46939</v>
      </c>
      <c r="C21128">
        <f>0</f>
        <v>0</v>
      </c>
      <c r="D21128" t="s">
        <v>106</v>
      </c>
      <c r="E21128">
        <v>24</v>
      </c>
    </row>
    <row r="21129" spans="1:5">
      <c r="A21129" t="s">
        <v>46938</v>
      </c>
      <c r="B21129" t="s">
        <v>46940</v>
      </c>
      <c r="C21129">
        <f>0</f>
        <v>0</v>
      </c>
      <c r="D21129" t="s">
        <v>106</v>
      </c>
      <c r="E21129">
        <v>24</v>
      </c>
    </row>
    <row r="21130" spans="1:5">
      <c r="A21130" t="s">
        <v>46938</v>
      </c>
      <c r="B21130" t="s">
        <v>46941</v>
      </c>
      <c r="C21130">
        <v>0</v>
      </c>
      <c r="D21130" t="s">
        <v>106</v>
      </c>
      <c r="E21130">
        <v>24</v>
      </c>
    </row>
    <row r="21131" spans="1:5">
      <c r="A21131" t="s">
        <v>46938</v>
      </c>
      <c r="B21131" t="s">
        <v>46942</v>
      </c>
      <c r="C21131">
        <f>0</f>
        <v>0</v>
      </c>
      <c r="D21131" t="s">
        <v>106</v>
      </c>
      <c r="E21131">
        <v>24</v>
      </c>
    </row>
    <row r="21132" spans="1:5">
      <c r="A21132" t="s">
        <v>46938</v>
      </c>
      <c r="B21132" t="s">
        <v>46943</v>
      </c>
      <c r="C21132">
        <v>0</v>
      </c>
      <c r="D21132" t="s">
        <v>106</v>
      </c>
      <c r="E21132">
        <v>24</v>
      </c>
    </row>
    <row r="21133" spans="1:5">
      <c r="A21133" t="s">
        <v>46938</v>
      </c>
      <c r="B21133" t="s">
        <v>46944</v>
      </c>
      <c r="C21133">
        <f>0</f>
        <v>0</v>
      </c>
      <c r="D21133" t="s">
        <v>106</v>
      </c>
      <c r="E21133">
        <v>24</v>
      </c>
    </row>
    <row r="21134" spans="1:5">
      <c r="A21134" t="s">
        <v>46938</v>
      </c>
      <c r="B21134" t="s">
        <v>46945</v>
      </c>
      <c r="C21134">
        <f>0</f>
        <v>0</v>
      </c>
      <c r="D21134" t="s">
        <v>106</v>
      </c>
      <c r="E21134">
        <v>24</v>
      </c>
    </row>
    <row r="21135" spans="1:5">
      <c r="A21135" t="s">
        <v>46938</v>
      </c>
      <c r="B21135" t="s">
        <v>46946</v>
      </c>
      <c r="C21135">
        <f>0</f>
        <v>0</v>
      </c>
      <c r="D21135" t="s">
        <v>106</v>
      </c>
      <c r="E21135">
        <v>24</v>
      </c>
    </row>
    <row r="21136" spans="1:5">
      <c r="A21136" t="s">
        <v>46938</v>
      </c>
      <c r="B21136" t="s">
        <v>46947</v>
      </c>
      <c r="C21136">
        <v>0</v>
      </c>
      <c r="D21136" t="s">
        <v>106</v>
      </c>
      <c r="E21136">
        <v>24</v>
      </c>
    </row>
    <row r="21137" spans="1:5">
      <c r="A21137" t="s">
        <v>46948</v>
      </c>
      <c r="B21137" t="s">
        <v>28504</v>
      </c>
      <c r="C21137">
        <v>0</v>
      </c>
      <c r="D21137" t="s">
        <v>106</v>
      </c>
      <c r="E21137">
        <v>24</v>
      </c>
    </row>
    <row r="21138" spans="1:5">
      <c r="A21138" t="s">
        <v>46948</v>
      </c>
      <c r="B21138" t="s">
        <v>28508</v>
      </c>
      <c r="C21138">
        <v>0</v>
      </c>
      <c r="D21138" t="s">
        <v>106</v>
      </c>
      <c r="E21138">
        <v>24</v>
      </c>
    </row>
    <row r="21139" spans="1:5">
      <c r="A21139" t="s">
        <v>46949</v>
      </c>
      <c r="B21139" t="s">
        <v>21357</v>
      </c>
      <c r="C21139">
        <f>0.316747787902</f>
        <v>0.31674778790199998</v>
      </c>
      <c r="D21139">
        <v>0.939319455789</v>
      </c>
      <c r="E21139">
        <v>23.754000000000001</v>
      </c>
    </row>
    <row r="21140" spans="1:5">
      <c r="A21140" t="s">
        <v>46949</v>
      </c>
      <c r="B21140" t="s">
        <v>21359</v>
      </c>
      <c r="C21140">
        <v>0.140523207053</v>
      </c>
      <c r="D21140">
        <v>0.939319455789</v>
      </c>
      <c r="E21140">
        <v>23.754000000000001</v>
      </c>
    </row>
    <row r="21141" spans="1:5">
      <c r="A21141" t="s">
        <v>46949</v>
      </c>
      <c r="B21141" t="s">
        <v>21356</v>
      </c>
      <c r="C21141">
        <v>0.806832512073</v>
      </c>
      <c r="D21141">
        <v>0.939319455789</v>
      </c>
      <c r="E21141">
        <v>23.754000000000001</v>
      </c>
    </row>
    <row r="21142" spans="1:5">
      <c r="A21142" t="s">
        <v>46950</v>
      </c>
      <c r="B21142" t="s">
        <v>15221</v>
      </c>
      <c r="C21142">
        <f>0</f>
        <v>0</v>
      </c>
      <c r="D21142">
        <v>0.99767197661999996</v>
      </c>
      <c r="E21142">
        <v>2.964</v>
      </c>
    </row>
    <row r="21143" spans="1:5">
      <c r="A21143" t="s">
        <v>46950</v>
      </c>
      <c r="B21143" t="s">
        <v>15209</v>
      </c>
      <c r="C21143">
        <v>2.3550456800000001E-2</v>
      </c>
      <c r="D21143">
        <v>0.99767197661999996</v>
      </c>
      <c r="E21143">
        <v>2.964</v>
      </c>
    </row>
    <row r="21144" spans="1:5">
      <c r="A21144" t="s">
        <v>46950</v>
      </c>
      <c r="B21144" t="s">
        <v>15210</v>
      </c>
      <c r="C21144">
        <v>0</v>
      </c>
      <c r="D21144">
        <v>0.99767197661999996</v>
      </c>
      <c r="E21144">
        <v>2.964</v>
      </c>
    </row>
    <row r="21145" spans="1:5">
      <c r="A21145" t="s">
        <v>46950</v>
      </c>
      <c r="B21145" t="s">
        <v>15217</v>
      </c>
      <c r="C21145">
        <f>0.631333076583</f>
        <v>0.63133307658299997</v>
      </c>
      <c r="D21145">
        <v>0.99767197661999996</v>
      </c>
      <c r="E21145">
        <v>2.964</v>
      </c>
    </row>
    <row r="21146" spans="1:5">
      <c r="A21146" t="s">
        <v>46950</v>
      </c>
      <c r="B21146" t="s">
        <v>15218</v>
      </c>
      <c r="C21146">
        <f>0</f>
        <v>0</v>
      </c>
      <c r="D21146">
        <v>0.99767197661999996</v>
      </c>
      <c r="E21146">
        <v>2.964</v>
      </c>
    </row>
    <row r="21147" spans="1:5">
      <c r="A21147" t="s">
        <v>46950</v>
      </c>
      <c r="B21147" t="s">
        <v>15212</v>
      </c>
      <c r="C21147">
        <f>0</f>
        <v>0</v>
      </c>
      <c r="D21147">
        <v>0.99767197661999996</v>
      </c>
      <c r="E21147">
        <v>2.964</v>
      </c>
    </row>
    <row r="21148" spans="1:5">
      <c r="A21148" t="s">
        <v>46950</v>
      </c>
      <c r="B21148" t="s">
        <v>15213</v>
      </c>
      <c r="C21148">
        <f>0</f>
        <v>0</v>
      </c>
      <c r="D21148">
        <v>0.99767197661999996</v>
      </c>
      <c r="E21148">
        <v>2.964</v>
      </c>
    </row>
    <row r="21149" spans="1:5">
      <c r="A21149" t="s">
        <v>46950</v>
      </c>
      <c r="B21149" t="s">
        <v>15219</v>
      </c>
      <c r="C21149">
        <f>0</f>
        <v>0</v>
      </c>
      <c r="D21149">
        <v>0.99767197661999996</v>
      </c>
      <c r="E21149">
        <v>2.964</v>
      </c>
    </row>
    <row r="21150" spans="1:5">
      <c r="A21150" t="s">
        <v>46950</v>
      </c>
      <c r="B21150" t="s">
        <v>15224</v>
      </c>
      <c r="C21150">
        <f>0</f>
        <v>0</v>
      </c>
      <c r="D21150">
        <v>0.99767197661999996</v>
      </c>
      <c r="E21150">
        <v>2.964</v>
      </c>
    </row>
    <row r="21151" spans="1:5">
      <c r="A21151" t="s">
        <v>46950</v>
      </c>
      <c r="B21151" t="s">
        <v>15214</v>
      </c>
      <c r="C21151">
        <f>0</f>
        <v>0</v>
      </c>
      <c r="D21151">
        <v>0.99767197661999996</v>
      </c>
      <c r="E21151">
        <v>2.964</v>
      </c>
    </row>
    <row r="21152" spans="1:5">
      <c r="A21152" t="s">
        <v>46950</v>
      </c>
      <c r="B21152" t="s">
        <v>15223</v>
      </c>
      <c r="C21152">
        <f>0.123442064125</f>
        <v>0.123442064125</v>
      </c>
      <c r="D21152">
        <v>0.99767197661999996</v>
      </c>
      <c r="E21152">
        <v>2.964</v>
      </c>
    </row>
    <row r="21153" spans="1:5">
      <c r="A21153" t="s">
        <v>46950</v>
      </c>
      <c r="B21153" t="s">
        <v>15222</v>
      </c>
      <c r="C21153">
        <f>0</f>
        <v>0</v>
      </c>
      <c r="D21153">
        <v>0.99767197661999996</v>
      </c>
      <c r="E21153">
        <v>2.964</v>
      </c>
    </row>
    <row r="21154" spans="1:5">
      <c r="A21154" t="s">
        <v>46950</v>
      </c>
      <c r="B21154" t="s">
        <v>15220</v>
      </c>
      <c r="C21154">
        <f>0</f>
        <v>0</v>
      </c>
      <c r="D21154">
        <v>0.99767197661999996</v>
      </c>
      <c r="E21154">
        <v>2.964</v>
      </c>
    </row>
    <row r="21155" spans="1:5">
      <c r="A21155" t="s">
        <v>46950</v>
      </c>
      <c r="B21155" t="s">
        <v>15216</v>
      </c>
      <c r="C21155">
        <v>0</v>
      </c>
      <c r="D21155">
        <v>0.99767197661999996</v>
      </c>
      <c r="E21155">
        <v>2.964</v>
      </c>
    </row>
    <row r="21156" spans="1:5">
      <c r="A21156" t="s">
        <v>46950</v>
      </c>
      <c r="B21156" t="s">
        <v>15215</v>
      </c>
      <c r="C21156">
        <v>0.289777396636</v>
      </c>
      <c r="D21156">
        <v>0.99767197661999996</v>
      </c>
      <c r="E21156">
        <v>2.964</v>
      </c>
    </row>
    <row r="21157" spans="1:5">
      <c r="A21157" t="s">
        <v>46950</v>
      </c>
      <c r="B21157" t="s">
        <v>15211</v>
      </c>
      <c r="C21157">
        <f>0.498740042437</f>
        <v>0.49874004243699999</v>
      </c>
      <c r="D21157">
        <v>0.99767197661999996</v>
      </c>
      <c r="E21157">
        <v>2.964</v>
      </c>
    </row>
    <row r="21158" spans="1:5">
      <c r="A21158" t="s">
        <v>46951</v>
      </c>
      <c r="B21158" t="s">
        <v>46952</v>
      </c>
      <c r="C21158">
        <f>0</f>
        <v>0</v>
      </c>
      <c r="D21158">
        <v>0.80810863571500002</v>
      </c>
      <c r="E21158">
        <v>1.7999999999999999E-2</v>
      </c>
    </row>
    <row r="21159" spans="1:5">
      <c r="A21159" t="s">
        <v>46951</v>
      </c>
      <c r="B21159" t="s">
        <v>46953</v>
      </c>
      <c r="C21159">
        <v>0.51241860284700003</v>
      </c>
      <c r="D21159">
        <v>0.80810863571500002</v>
      </c>
      <c r="E21159">
        <v>1.7999999999999999E-2</v>
      </c>
    </row>
    <row r="21160" spans="1:5">
      <c r="A21160" t="s">
        <v>46951</v>
      </c>
      <c r="B21160" t="s">
        <v>46954</v>
      </c>
      <c r="C21160">
        <f>0</f>
        <v>0</v>
      </c>
      <c r="D21160">
        <v>0.80810863571500002</v>
      </c>
      <c r="E21160">
        <v>1.7999999999999999E-2</v>
      </c>
    </row>
    <row r="21161" spans="1:5">
      <c r="A21161" t="s">
        <v>46951</v>
      </c>
      <c r="B21161" t="s">
        <v>46955</v>
      </c>
      <c r="C21161">
        <v>0</v>
      </c>
      <c r="D21161">
        <v>0.80810863571500002</v>
      </c>
      <c r="E21161">
        <v>1.7999999999999999E-2</v>
      </c>
    </row>
    <row r="21162" spans="1:5">
      <c r="A21162" t="s">
        <v>46951</v>
      </c>
      <c r="B21162" t="s">
        <v>46956</v>
      </c>
      <c r="C21162">
        <v>0</v>
      </c>
      <c r="D21162">
        <v>0.80810863571500002</v>
      </c>
      <c r="E21162">
        <v>1.7999999999999999E-2</v>
      </c>
    </row>
    <row r="21163" spans="1:5">
      <c r="A21163" t="s">
        <v>46951</v>
      </c>
      <c r="B21163" t="s">
        <v>46957</v>
      </c>
      <c r="C21163">
        <v>0.134227494827</v>
      </c>
      <c r="D21163">
        <v>0.80810863571500002</v>
      </c>
      <c r="E21163">
        <v>1.7999999999999999E-2</v>
      </c>
    </row>
    <row r="21164" spans="1:5">
      <c r="A21164" t="s">
        <v>46958</v>
      </c>
      <c r="B21164" t="s">
        <v>24022</v>
      </c>
      <c r="C21164">
        <f>0</f>
        <v>0</v>
      </c>
      <c r="D21164" t="s">
        <v>106</v>
      </c>
      <c r="E21164">
        <v>1.1160000000000001</v>
      </c>
    </row>
    <row r="21165" spans="1:5">
      <c r="A21165" t="s">
        <v>46958</v>
      </c>
      <c r="B21165" t="s">
        <v>24025</v>
      </c>
      <c r="C21165">
        <v>0</v>
      </c>
      <c r="D21165" t="s">
        <v>106</v>
      </c>
      <c r="E21165">
        <v>1.1160000000000001</v>
      </c>
    </row>
    <row r="21166" spans="1:5">
      <c r="A21166" t="s">
        <v>46958</v>
      </c>
      <c r="B21166" t="s">
        <v>24029</v>
      </c>
      <c r="C21166">
        <v>0</v>
      </c>
      <c r="D21166" t="s">
        <v>106</v>
      </c>
      <c r="E21166">
        <v>1.1160000000000001</v>
      </c>
    </row>
    <row r="21167" spans="1:5">
      <c r="A21167" t="s">
        <v>46958</v>
      </c>
      <c r="B21167" t="s">
        <v>24024</v>
      </c>
      <c r="C21167">
        <f>0</f>
        <v>0</v>
      </c>
      <c r="D21167" t="s">
        <v>106</v>
      </c>
      <c r="E21167">
        <v>1.1160000000000001</v>
      </c>
    </row>
    <row r="21168" spans="1:5">
      <c r="A21168" t="s">
        <v>46959</v>
      </c>
      <c r="B21168" t="s">
        <v>23654</v>
      </c>
      <c r="C21168">
        <v>3.8602582513E-3</v>
      </c>
      <c r="D21168">
        <v>0.99992769742999998</v>
      </c>
      <c r="E21168">
        <v>0.69599999999999995</v>
      </c>
    </row>
    <row r="21169" spans="1:5">
      <c r="A21169" t="s">
        <v>46959</v>
      </c>
      <c r="B21169" t="s">
        <v>23658</v>
      </c>
      <c r="C21169">
        <v>0.221783102595</v>
      </c>
      <c r="D21169">
        <v>0.99992769742999998</v>
      </c>
      <c r="E21169">
        <v>0.69599999999999995</v>
      </c>
    </row>
    <row r="21170" spans="1:5">
      <c r="A21170" t="s">
        <v>46959</v>
      </c>
      <c r="B21170" t="s">
        <v>23655</v>
      </c>
      <c r="C21170">
        <f>-1.7581486514</f>
        <v>-1.7581486514</v>
      </c>
      <c r="D21170">
        <v>0.99992769742999998</v>
      </c>
      <c r="E21170">
        <v>0.69599999999999995</v>
      </c>
    </row>
    <row r="21171" spans="1:5">
      <c r="A21171" t="s">
        <v>46959</v>
      </c>
      <c r="B21171" t="s">
        <v>23653</v>
      </c>
      <c r="C21171">
        <f>0.721225917937</f>
        <v>0.72122591793699997</v>
      </c>
      <c r="D21171">
        <v>0.99992769742999998</v>
      </c>
      <c r="E21171">
        <v>0.69599999999999995</v>
      </c>
    </row>
    <row r="21172" spans="1:5">
      <c r="A21172" t="s">
        <v>46959</v>
      </c>
      <c r="B21172" t="s">
        <v>23652</v>
      </c>
      <c r="C21172">
        <f>0.411019505478</f>
        <v>0.41101950547799998</v>
      </c>
      <c r="D21172">
        <v>0.99992769742999998</v>
      </c>
      <c r="E21172">
        <v>0.69599999999999995</v>
      </c>
    </row>
    <row r="21173" spans="1:5">
      <c r="A21173" t="s">
        <v>46959</v>
      </c>
      <c r="B21173" t="s">
        <v>23656</v>
      </c>
      <c r="C21173">
        <v>1.24286096842</v>
      </c>
      <c r="D21173">
        <v>0.99992769742999998</v>
      </c>
      <c r="E21173">
        <v>0.69599999999999995</v>
      </c>
    </row>
    <row r="21174" spans="1:5">
      <c r="A21174" t="s">
        <v>46959</v>
      </c>
      <c r="B21174" t="s">
        <v>23657</v>
      </c>
      <c r="C21174">
        <v>0.227824415098</v>
      </c>
      <c r="D21174">
        <v>0.99992769742999998</v>
      </c>
      <c r="E21174">
        <v>0.69599999999999995</v>
      </c>
    </row>
    <row r="21175" spans="1:5">
      <c r="A21175" t="s">
        <v>46960</v>
      </c>
      <c r="B21175" t="s">
        <v>46961</v>
      </c>
      <c r="C21175">
        <v>0</v>
      </c>
      <c r="D21175">
        <v>0.77647003078200005</v>
      </c>
      <c r="E21175">
        <v>9.468</v>
      </c>
    </row>
    <row r="21176" spans="1:5">
      <c r="A21176" t="s">
        <v>46960</v>
      </c>
      <c r="B21176" t="s">
        <v>46962</v>
      </c>
      <c r="C21176">
        <v>0.53445220554299999</v>
      </c>
      <c r="D21176">
        <v>0.77647003078200005</v>
      </c>
      <c r="E21176">
        <v>9.468</v>
      </c>
    </row>
    <row r="21177" spans="1:5">
      <c r="A21177" t="s">
        <v>46960</v>
      </c>
      <c r="B21177" t="s">
        <v>46963</v>
      </c>
      <c r="C21177">
        <v>7.9536414491999996E-2</v>
      </c>
      <c r="D21177">
        <v>0.77647003078200005</v>
      </c>
      <c r="E21177">
        <v>9.468</v>
      </c>
    </row>
    <row r="21178" spans="1:5">
      <c r="A21178" t="s">
        <v>46964</v>
      </c>
      <c r="B21178" t="s">
        <v>46965</v>
      </c>
      <c r="C21178">
        <f>0</f>
        <v>0</v>
      </c>
      <c r="D21178">
        <v>0.96628892130300004</v>
      </c>
      <c r="E21178">
        <v>5.3520000000000003</v>
      </c>
    </row>
    <row r="21179" spans="1:5">
      <c r="A21179" t="s">
        <v>46964</v>
      </c>
      <c r="B21179" t="s">
        <v>46966</v>
      </c>
      <c r="C21179">
        <v>0</v>
      </c>
      <c r="D21179">
        <v>0.96628892130300004</v>
      </c>
      <c r="E21179">
        <v>5.3520000000000003</v>
      </c>
    </row>
    <row r="21180" spans="1:5">
      <c r="A21180" t="s">
        <v>46964</v>
      </c>
      <c r="B21180" t="s">
        <v>46967</v>
      </c>
      <c r="C21180">
        <v>0</v>
      </c>
      <c r="D21180">
        <v>0.96628892130300004</v>
      </c>
      <c r="E21180">
        <v>5.3520000000000003</v>
      </c>
    </row>
    <row r="21181" spans="1:5">
      <c r="A21181" t="s">
        <v>46964</v>
      </c>
      <c r="B21181" t="s">
        <v>46968</v>
      </c>
      <c r="C21181">
        <v>0.14356167291300001</v>
      </c>
      <c r="D21181">
        <v>0.96628892130300004</v>
      </c>
      <c r="E21181">
        <v>5.3520000000000003</v>
      </c>
    </row>
    <row r="21182" spans="1:5">
      <c r="A21182" t="s">
        <v>46964</v>
      </c>
      <c r="B21182" t="s">
        <v>46969</v>
      </c>
      <c r="C21182">
        <f>0</f>
        <v>0</v>
      </c>
      <c r="D21182">
        <v>0.96628892130300004</v>
      </c>
      <c r="E21182">
        <v>5.3520000000000003</v>
      </c>
    </row>
    <row r="21183" spans="1:5">
      <c r="A21183" t="s">
        <v>46964</v>
      </c>
      <c r="B21183" t="s">
        <v>46970</v>
      </c>
      <c r="C21183">
        <f>0.733253530501</f>
        <v>0.73325353050099995</v>
      </c>
      <c r="D21183">
        <v>0.96628892130300004</v>
      </c>
      <c r="E21183">
        <v>5.3520000000000003</v>
      </c>
    </row>
    <row r="21184" spans="1:5">
      <c r="A21184" t="s">
        <v>46964</v>
      </c>
      <c r="B21184" t="s">
        <v>46971</v>
      </c>
      <c r="C21184">
        <f>0.154736056884</f>
        <v>0.154736056884</v>
      </c>
      <c r="D21184">
        <v>0.96628892130300004</v>
      </c>
      <c r="E21184">
        <v>5.3520000000000003</v>
      </c>
    </row>
    <row r="21185" spans="1:5">
      <c r="A21185" t="s">
        <v>46972</v>
      </c>
      <c r="B21185" t="s">
        <v>6522</v>
      </c>
      <c r="C21185">
        <f>0.14618135751</f>
        <v>0.14618135751</v>
      </c>
      <c r="D21185">
        <v>0.85444825655199996</v>
      </c>
      <c r="E21185">
        <v>7.1999999999999995E-2</v>
      </c>
    </row>
    <row r="21186" spans="1:5">
      <c r="A21186" t="s">
        <v>46972</v>
      </c>
      <c r="B21186" t="s">
        <v>6523</v>
      </c>
      <c r="C21186">
        <f>0.793759066582</f>
        <v>0.79375906658200002</v>
      </c>
      <c r="D21186">
        <v>0.85444825655199996</v>
      </c>
      <c r="E21186">
        <v>7.1999999999999995E-2</v>
      </c>
    </row>
    <row r="21187" spans="1:5">
      <c r="A21187" t="s">
        <v>46973</v>
      </c>
      <c r="B21187" t="s">
        <v>4125</v>
      </c>
      <c r="C21187">
        <v>0</v>
      </c>
      <c r="D21187" t="s">
        <v>106</v>
      </c>
      <c r="E21187">
        <v>24</v>
      </c>
    </row>
    <row r="21188" spans="1:5">
      <c r="A21188" t="s">
        <v>46973</v>
      </c>
      <c r="B21188" t="s">
        <v>4131</v>
      </c>
      <c r="C21188">
        <v>0</v>
      </c>
      <c r="D21188" t="s">
        <v>106</v>
      </c>
      <c r="E21188">
        <v>24</v>
      </c>
    </row>
    <row r="21189" spans="1:5">
      <c r="A21189" t="s">
        <v>46974</v>
      </c>
      <c r="B21189" t="s">
        <v>13776</v>
      </c>
      <c r="C21189">
        <v>0.53366414240899995</v>
      </c>
      <c r="D21189">
        <v>0.84727414240900001</v>
      </c>
      <c r="E21189">
        <v>1.3919999999999999</v>
      </c>
    </row>
    <row r="21190" spans="1:5">
      <c r="A21190" t="s">
        <v>46974</v>
      </c>
      <c r="B21190" t="s">
        <v>13772</v>
      </c>
      <c r="C21190">
        <f>0</f>
        <v>0</v>
      </c>
      <c r="D21190">
        <v>0.84727414240900001</v>
      </c>
      <c r="E21190">
        <v>1.3919999999999999</v>
      </c>
    </row>
    <row r="21191" spans="1:5">
      <c r="A21191" t="s">
        <v>46974</v>
      </c>
      <c r="B21191" t="s">
        <v>13773</v>
      </c>
      <c r="C21191">
        <f>0</f>
        <v>0</v>
      </c>
      <c r="D21191">
        <v>0.84727414240900001</v>
      </c>
      <c r="E21191">
        <v>1.3919999999999999</v>
      </c>
    </row>
    <row r="21192" spans="1:5">
      <c r="A21192" t="s">
        <v>46974</v>
      </c>
      <c r="B21192" t="s">
        <v>13774</v>
      </c>
      <c r="C21192">
        <v>0</v>
      </c>
      <c r="D21192">
        <v>0.84727414240900001</v>
      </c>
      <c r="E21192">
        <v>1.3919999999999999</v>
      </c>
    </row>
    <row r="21193" spans="1:5">
      <c r="A21193" t="s">
        <v>46974</v>
      </c>
      <c r="B21193" t="s">
        <v>13777</v>
      </c>
      <c r="C21193">
        <v>0</v>
      </c>
      <c r="D21193">
        <v>0.84727414240900001</v>
      </c>
      <c r="E21193">
        <v>1.3919999999999999</v>
      </c>
    </row>
    <row r="21194" spans="1:5">
      <c r="A21194" t="s">
        <v>46975</v>
      </c>
      <c r="B21194" t="s">
        <v>22260</v>
      </c>
      <c r="C21194">
        <f>0</f>
        <v>0</v>
      </c>
      <c r="D21194" t="s">
        <v>106</v>
      </c>
      <c r="E21194">
        <v>24</v>
      </c>
    </row>
    <row r="21195" spans="1:5">
      <c r="A21195" t="s">
        <v>46975</v>
      </c>
      <c r="B21195" t="s">
        <v>22261</v>
      </c>
      <c r="C21195">
        <v>0</v>
      </c>
      <c r="D21195" t="s">
        <v>106</v>
      </c>
      <c r="E21195">
        <v>24</v>
      </c>
    </row>
    <row r="21196" spans="1:5">
      <c r="A21196" t="s">
        <v>46976</v>
      </c>
      <c r="B21196" t="s">
        <v>21755</v>
      </c>
      <c r="C21196">
        <f>0</f>
        <v>0</v>
      </c>
      <c r="D21196" t="s">
        <v>106</v>
      </c>
      <c r="E21196">
        <v>24</v>
      </c>
    </row>
    <row r="21197" spans="1:5">
      <c r="A21197" t="s">
        <v>46976</v>
      </c>
      <c r="B21197" t="s">
        <v>21756</v>
      </c>
      <c r="C21197">
        <f>0</f>
        <v>0</v>
      </c>
      <c r="D21197" t="s">
        <v>106</v>
      </c>
      <c r="E21197">
        <v>24</v>
      </c>
    </row>
    <row r="21198" spans="1:5">
      <c r="A21198" t="s">
        <v>46977</v>
      </c>
      <c r="B21198" t="s">
        <v>46978</v>
      </c>
      <c r="C21198">
        <v>0</v>
      </c>
      <c r="D21198">
        <v>0.98311324076200002</v>
      </c>
      <c r="E21198">
        <v>4.17</v>
      </c>
    </row>
    <row r="21199" spans="1:5">
      <c r="A21199" t="s">
        <v>46977</v>
      </c>
      <c r="B21199" t="s">
        <v>46979</v>
      </c>
      <c r="C21199">
        <v>0.77280843451600001</v>
      </c>
      <c r="D21199">
        <v>0.98311324076200002</v>
      </c>
      <c r="E21199">
        <v>4.17</v>
      </c>
    </row>
    <row r="21200" spans="1:5">
      <c r="A21200" t="s">
        <v>46977</v>
      </c>
      <c r="B21200" t="s">
        <v>46980</v>
      </c>
      <c r="C21200">
        <f>0.76431938816</f>
        <v>0.76431938816</v>
      </c>
      <c r="D21200">
        <v>0.98311324076200002</v>
      </c>
      <c r="E21200">
        <v>4.17</v>
      </c>
    </row>
    <row r="21201" spans="1:5">
      <c r="A21201" t="s">
        <v>46977</v>
      </c>
      <c r="B21201" t="s">
        <v>46981</v>
      </c>
      <c r="C21201">
        <f>0.192596578231</f>
        <v>0.19259657823099999</v>
      </c>
      <c r="D21201">
        <v>0.98311324076200002</v>
      </c>
      <c r="E21201">
        <v>4.17</v>
      </c>
    </row>
    <row r="21202" spans="1:5">
      <c r="A21202" t="s">
        <v>46977</v>
      </c>
      <c r="B21202" t="s">
        <v>46982</v>
      </c>
      <c r="C21202">
        <f>0.263308434805</f>
        <v>0.26330843480499999</v>
      </c>
      <c r="D21202">
        <v>0.98311324076200002</v>
      </c>
      <c r="E21202">
        <v>4.17</v>
      </c>
    </row>
    <row r="21203" spans="1:5">
      <c r="A21203" t="s">
        <v>46977</v>
      </c>
      <c r="B21203" t="s">
        <v>46983</v>
      </c>
      <c r="C21203">
        <f>0.584485458633</f>
        <v>0.58448545863300005</v>
      </c>
      <c r="D21203">
        <v>0.98311324076200002</v>
      </c>
      <c r="E21203">
        <v>4.17</v>
      </c>
    </row>
    <row r="21204" spans="1:5">
      <c r="A21204" t="s">
        <v>46984</v>
      </c>
      <c r="B21204" t="s">
        <v>46985</v>
      </c>
      <c r="C21204">
        <v>5.6300813506199997E-2</v>
      </c>
      <c r="D21204">
        <v>0.99444018915900001</v>
      </c>
      <c r="E21204">
        <v>4.0739999999999998</v>
      </c>
    </row>
    <row r="21205" spans="1:5">
      <c r="A21205" t="s">
        <v>46984</v>
      </c>
      <c r="B21205" t="s">
        <v>46986</v>
      </c>
      <c r="C21205">
        <f>0.0972109605758</f>
        <v>9.7210960575800004E-2</v>
      </c>
      <c r="D21205">
        <v>0.99444018915900001</v>
      </c>
      <c r="E21205">
        <v>4.0739999999999998</v>
      </c>
    </row>
    <row r="21206" spans="1:5">
      <c r="A21206" t="s">
        <v>46984</v>
      </c>
      <c r="B21206" t="s">
        <v>46987</v>
      </c>
      <c r="C21206">
        <f>0</f>
        <v>0</v>
      </c>
      <c r="D21206">
        <v>0.99444018915900001</v>
      </c>
      <c r="E21206">
        <v>4.0739999999999998</v>
      </c>
    </row>
    <row r="21207" spans="1:5">
      <c r="A21207" t="s">
        <v>46984</v>
      </c>
      <c r="B21207" t="s">
        <v>46988</v>
      </c>
      <c r="C21207">
        <v>0</v>
      </c>
      <c r="D21207">
        <v>0.99444018915900001</v>
      </c>
      <c r="E21207">
        <v>4.0739999999999998</v>
      </c>
    </row>
    <row r="21208" spans="1:5">
      <c r="A21208" t="s">
        <v>46984</v>
      </c>
      <c r="B21208" t="s">
        <v>46989</v>
      </c>
      <c r="C21208">
        <f>0.0634179252837</f>
        <v>6.3417925283699994E-2</v>
      </c>
      <c r="D21208">
        <v>0.99444018915900001</v>
      </c>
      <c r="E21208">
        <v>4.0739999999999998</v>
      </c>
    </row>
    <row r="21209" spans="1:5">
      <c r="A21209" t="s">
        <v>46984</v>
      </c>
      <c r="B21209" t="s">
        <v>46990</v>
      </c>
      <c r="C21209">
        <v>3.2308147073199997E-2</v>
      </c>
      <c r="D21209">
        <v>0.99444018915900001</v>
      </c>
      <c r="E21209">
        <v>4.0739999999999998</v>
      </c>
    </row>
    <row r="21210" spans="1:5">
      <c r="A21210" t="s">
        <v>46984</v>
      </c>
      <c r="B21210" t="s">
        <v>46991</v>
      </c>
      <c r="C21210">
        <f>0</f>
        <v>0</v>
      </c>
      <c r="D21210">
        <v>0.99444018915900001</v>
      </c>
      <c r="E21210">
        <v>4.0739999999999998</v>
      </c>
    </row>
    <row r="21211" spans="1:5">
      <c r="A21211" t="s">
        <v>46984</v>
      </c>
      <c r="B21211" t="s">
        <v>46992</v>
      </c>
      <c r="C21211">
        <v>0</v>
      </c>
      <c r="D21211">
        <v>0.99444018915900001</v>
      </c>
      <c r="E21211">
        <v>4.0739999999999998</v>
      </c>
    </row>
    <row r="21212" spans="1:5">
      <c r="A21212" t="s">
        <v>46984</v>
      </c>
      <c r="B21212" t="s">
        <v>46993</v>
      </c>
      <c r="C21212">
        <v>0.70738445642500003</v>
      </c>
      <c r="D21212">
        <v>0.99444018915900001</v>
      </c>
      <c r="E21212">
        <v>4.0739999999999998</v>
      </c>
    </row>
    <row r="21213" spans="1:5">
      <c r="A21213" t="s">
        <v>46984</v>
      </c>
      <c r="B21213" t="s">
        <v>46994</v>
      </c>
      <c r="C21213">
        <v>0.203043146432</v>
      </c>
      <c r="D21213">
        <v>0.99444018915900001</v>
      </c>
      <c r="E21213">
        <v>4.0739999999999998</v>
      </c>
    </row>
    <row r="21214" spans="1:5">
      <c r="A21214" t="s">
        <v>46984</v>
      </c>
      <c r="B21214" t="s">
        <v>46995</v>
      </c>
      <c r="C21214">
        <v>0</v>
      </c>
      <c r="D21214">
        <v>0.99444018915900001</v>
      </c>
      <c r="E21214">
        <v>4.0739999999999998</v>
      </c>
    </row>
    <row r="21215" spans="1:5">
      <c r="A21215" t="s">
        <v>46984</v>
      </c>
      <c r="B21215" t="s">
        <v>46996</v>
      </c>
      <c r="C21215">
        <v>0</v>
      </c>
      <c r="D21215">
        <v>0.99444018915900001</v>
      </c>
      <c r="E21215">
        <v>4.0739999999999998</v>
      </c>
    </row>
    <row r="21216" spans="1:5">
      <c r="A21216" t="s">
        <v>46997</v>
      </c>
      <c r="B21216" t="s">
        <v>23319</v>
      </c>
      <c r="C21216">
        <f>0.213351772121</f>
        <v>0.21335177212100001</v>
      </c>
      <c r="D21216">
        <v>0.62408253990499996</v>
      </c>
      <c r="E21216">
        <v>0.15</v>
      </c>
    </row>
    <row r="21217" spans="1:5">
      <c r="A21217" t="s">
        <v>46997</v>
      </c>
      <c r="B21217" t="s">
        <v>23320</v>
      </c>
      <c r="C21217">
        <v>0.355515567029</v>
      </c>
      <c r="D21217">
        <v>0.62408253990499996</v>
      </c>
      <c r="E21217">
        <v>0.15</v>
      </c>
    </row>
    <row r="21218" spans="1:5">
      <c r="A21218" t="s">
        <v>46998</v>
      </c>
      <c r="B21218" t="s">
        <v>10166</v>
      </c>
      <c r="C21218">
        <v>0.56612512941399995</v>
      </c>
      <c r="D21218">
        <v>0.98492076650000004</v>
      </c>
      <c r="E21218">
        <v>24</v>
      </c>
    </row>
    <row r="21219" spans="1:5">
      <c r="A21219" t="s">
        <v>46998</v>
      </c>
      <c r="B21219" t="s">
        <v>10164</v>
      </c>
      <c r="C21219">
        <v>3.2708754091300002E-2</v>
      </c>
      <c r="D21219">
        <v>0.98492076650000004</v>
      </c>
      <c r="E21219">
        <v>24</v>
      </c>
    </row>
    <row r="21220" spans="1:5">
      <c r="A21220" t="s">
        <v>46998</v>
      </c>
      <c r="B21220" t="s">
        <v>10163</v>
      </c>
      <c r="C21220">
        <v>0.18741135583599999</v>
      </c>
      <c r="D21220">
        <v>0.98492076650000004</v>
      </c>
      <c r="E21220">
        <v>24</v>
      </c>
    </row>
    <row r="21221" spans="1:5">
      <c r="A21221" t="s">
        <v>46998</v>
      </c>
      <c r="B21221" t="s">
        <v>10168</v>
      </c>
      <c r="C21221">
        <f>0</f>
        <v>0</v>
      </c>
      <c r="D21221">
        <v>0.98492076650000004</v>
      </c>
      <c r="E21221">
        <v>24</v>
      </c>
    </row>
    <row r="21222" spans="1:5">
      <c r="A21222" t="s">
        <v>46998</v>
      </c>
      <c r="B21222" t="s">
        <v>10169</v>
      </c>
      <c r="C21222">
        <f>0</f>
        <v>0</v>
      </c>
      <c r="D21222">
        <v>0.98492076650000004</v>
      </c>
      <c r="E21222">
        <v>24</v>
      </c>
    </row>
    <row r="21223" spans="1:5">
      <c r="A21223" t="s">
        <v>46998</v>
      </c>
      <c r="B21223" t="s">
        <v>10172</v>
      </c>
      <c r="C21223">
        <f>0.117012596232</f>
        <v>0.117012596232</v>
      </c>
      <c r="D21223">
        <v>0.98492076650000004</v>
      </c>
      <c r="E21223">
        <v>24</v>
      </c>
    </row>
    <row r="21224" spans="1:5">
      <c r="A21224" t="s">
        <v>46998</v>
      </c>
      <c r="B21224" t="s">
        <v>10173</v>
      </c>
      <c r="C21224">
        <v>0.96428561502700005</v>
      </c>
      <c r="D21224">
        <v>0.98492076650000004</v>
      </c>
      <c r="E21224">
        <v>24</v>
      </c>
    </row>
    <row r="21225" spans="1:5">
      <c r="A21225" t="s">
        <v>46998</v>
      </c>
      <c r="B21225" t="s">
        <v>10165</v>
      </c>
      <c r="C21225">
        <v>0.29319477451800002</v>
      </c>
      <c r="D21225">
        <v>0.98492076650000004</v>
      </c>
      <c r="E21225">
        <v>24</v>
      </c>
    </row>
    <row r="21226" spans="1:5">
      <c r="A21226" t="s">
        <v>46998</v>
      </c>
      <c r="B21226" t="s">
        <v>10171</v>
      </c>
      <c r="C21226">
        <v>0.171214430404</v>
      </c>
      <c r="D21226">
        <v>0.98492076650000004</v>
      </c>
      <c r="E21226">
        <v>24</v>
      </c>
    </row>
    <row r="21227" spans="1:5">
      <c r="A21227" t="s">
        <v>46999</v>
      </c>
      <c r="B21227" t="s">
        <v>47000</v>
      </c>
      <c r="C21227">
        <f>0.482389074655</f>
        <v>0.48238907465500003</v>
      </c>
      <c r="D21227">
        <v>0.93346880120700004</v>
      </c>
      <c r="E21227">
        <v>22.338000000000001</v>
      </c>
    </row>
    <row r="21228" spans="1:5">
      <c r="A21228" t="s">
        <v>46999</v>
      </c>
      <c r="B21228" t="s">
        <v>47001</v>
      </c>
      <c r="C21228">
        <f>0.283449987077</f>
        <v>0.28344998707699998</v>
      </c>
      <c r="D21228">
        <v>0.93346880120700004</v>
      </c>
      <c r="E21228">
        <v>22.338000000000001</v>
      </c>
    </row>
    <row r="21229" spans="1:5">
      <c r="A21229" t="s">
        <v>46999</v>
      </c>
      <c r="B21229" t="s">
        <v>47002</v>
      </c>
      <c r="C21229">
        <f>0.975896768311</f>
        <v>0.97589676831100003</v>
      </c>
      <c r="D21229">
        <v>0.93346880120700004</v>
      </c>
      <c r="E21229">
        <v>22.338000000000001</v>
      </c>
    </row>
    <row r="21230" spans="1:5">
      <c r="A21230" t="s">
        <v>46999</v>
      </c>
      <c r="B21230" t="s">
        <v>47003</v>
      </c>
      <c r="C21230">
        <f>0.0563742895613</f>
        <v>5.6374289561300001E-2</v>
      </c>
      <c r="D21230">
        <v>0.93346880120700004</v>
      </c>
      <c r="E21230">
        <v>22.338000000000001</v>
      </c>
    </row>
    <row r="21231" spans="1:5">
      <c r="A21231" t="s">
        <v>47004</v>
      </c>
      <c r="B21231" t="s">
        <v>5138</v>
      </c>
      <c r="C21231">
        <v>0</v>
      </c>
      <c r="D21231">
        <v>0.90811303703000001</v>
      </c>
      <c r="E21231">
        <v>2.1059999999999999</v>
      </c>
    </row>
    <row r="21232" spans="1:5">
      <c r="A21232" t="s">
        <v>47004</v>
      </c>
      <c r="B21232" t="s">
        <v>5135</v>
      </c>
      <c r="C21232">
        <v>0</v>
      </c>
      <c r="D21232">
        <v>0.90811303703000001</v>
      </c>
      <c r="E21232">
        <v>2.1059999999999999</v>
      </c>
    </row>
    <row r="21233" spans="1:5">
      <c r="A21233" t="s">
        <v>47004</v>
      </c>
      <c r="B21233" t="s">
        <v>5137</v>
      </c>
      <c r="C21233">
        <v>0.33050303703</v>
      </c>
      <c r="D21233">
        <v>0.90811303703000001</v>
      </c>
      <c r="E21233">
        <v>2.1059999999999999</v>
      </c>
    </row>
    <row r="21234" spans="1:5">
      <c r="A21234" t="s">
        <v>47005</v>
      </c>
      <c r="B21234" t="s">
        <v>33758</v>
      </c>
      <c r="C21234">
        <v>0.55625465028300003</v>
      </c>
      <c r="D21234">
        <v>0.99792256866999995</v>
      </c>
      <c r="E21234">
        <v>6.9359999999999999</v>
      </c>
    </row>
    <row r="21235" spans="1:5">
      <c r="A21235" t="s">
        <v>47005</v>
      </c>
      <c r="B21235" t="s">
        <v>33768</v>
      </c>
      <c r="C21235">
        <v>0.60546037056299995</v>
      </c>
      <c r="D21235">
        <v>0.99792256866999995</v>
      </c>
      <c r="E21235">
        <v>6.9359999999999999</v>
      </c>
    </row>
    <row r="21236" spans="1:5">
      <c r="A21236" t="s">
        <v>47005</v>
      </c>
      <c r="B21236" t="s">
        <v>33767</v>
      </c>
      <c r="C21236">
        <v>0.16243332374</v>
      </c>
      <c r="D21236">
        <v>0.99792256866999995</v>
      </c>
      <c r="E21236">
        <v>6.9359999999999999</v>
      </c>
    </row>
    <row r="21237" spans="1:5">
      <c r="A21237" t="s">
        <v>47005</v>
      </c>
      <c r="B21237" t="s">
        <v>33769</v>
      </c>
      <c r="C21237">
        <f>0.0782999332516</f>
        <v>7.8299933251600007E-2</v>
      </c>
      <c r="D21237">
        <v>0.99792256866999995</v>
      </c>
      <c r="E21237">
        <v>6.9359999999999999</v>
      </c>
    </row>
    <row r="21238" spans="1:5">
      <c r="A21238" t="s">
        <v>47006</v>
      </c>
      <c r="B21238" t="s">
        <v>47007</v>
      </c>
      <c r="C21238">
        <v>0.30034167403299999</v>
      </c>
      <c r="D21238">
        <v>0.98241531079800004</v>
      </c>
      <c r="E21238">
        <v>24</v>
      </c>
    </row>
    <row r="21239" spans="1:5">
      <c r="A21239" t="s">
        <v>47006</v>
      </c>
      <c r="B21239" t="s">
        <v>47008</v>
      </c>
      <c r="C21239">
        <f>0.611735841526</f>
        <v>0.61173584152600002</v>
      </c>
      <c r="D21239">
        <v>0.98241531079800004</v>
      </c>
      <c r="E21239">
        <v>24</v>
      </c>
    </row>
    <row r="21240" spans="1:5">
      <c r="A21240" t="s">
        <v>47006</v>
      </c>
      <c r="B21240" t="s">
        <v>47009</v>
      </c>
      <c r="C21240">
        <f>0</f>
        <v>0</v>
      </c>
      <c r="D21240">
        <v>0.98241531079800004</v>
      </c>
      <c r="E21240">
        <v>24</v>
      </c>
    </row>
    <row r="21241" spans="1:5">
      <c r="A21241" t="s">
        <v>47006</v>
      </c>
      <c r="B21241" t="s">
        <v>47010</v>
      </c>
      <c r="C21241">
        <v>0.25261524681199998</v>
      </c>
      <c r="D21241">
        <v>0.98241531079800004</v>
      </c>
      <c r="E21241">
        <v>24</v>
      </c>
    </row>
    <row r="21242" spans="1:5">
      <c r="A21242" t="s">
        <v>47006</v>
      </c>
      <c r="B21242" t="s">
        <v>47011</v>
      </c>
      <c r="C21242">
        <v>0.30691670541900001</v>
      </c>
      <c r="D21242">
        <v>0.98241531079800004</v>
      </c>
      <c r="E21242">
        <v>24</v>
      </c>
    </row>
    <row r="21243" spans="1:5">
      <c r="A21243" t="s">
        <v>47012</v>
      </c>
      <c r="B21243" t="s">
        <v>47013</v>
      </c>
      <c r="C21243">
        <f>0</f>
        <v>0</v>
      </c>
      <c r="D21243">
        <v>0.81646327698999999</v>
      </c>
      <c r="E21243">
        <v>24</v>
      </c>
    </row>
    <row r="21244" spans="1:5">
      <c r="A21244" t="s">
        <v>47012</v>
      </c>
      <c r="B21244" t="s">
        <v>47014</v>
      </c>
      <c r="C21244">
        <v>0.18181061097500001</v>
      </c>
      <c r="D21244">
        <v>0.81646327698999999</v>
      </c>
      <c r="E21244">
        <v>24</v>
      </c>
    </row>
    <row r="21245" spans="1:5">
      <c r="A21245" t="s">
        <v>47012</v>
      </c>
      <c r="B21245" t="s">
        <v>47015</v>
      </c>
      <c r="C21245">
        <v>0.58702763115000001</v>
      </c>
      <c r="D21245">
        <v>0.81646327698999999</v>
      </c>
      <c r="E21245">
        <v>24</v>
      </c>
    </row>
    <row r="21246" spans="1:5">
      <c r="A21246" t="s">
        <v>47016</v>
      </c>
      <c r="B21246" t="s">
        <v>4908</v>
      </c>
      <c r="C21246">
        <f>0.888432619495</f>
        <v>0.88843261949499996</v>
      </c>
      <c r="D21246">
        <v>0.94378667010600004</v>
      </c>
      <c r="E21246">
        <v>0</v>
      </c>
    </row>
    <row r="21247" spans="1:5">
      <c r="A21247" t="s">
        <v>47016</v>
      </c>
      <c r="B21247" t="s">
        <v>4911</v>
      </c>
      <c r="C21247">
        <v>0.272290677634</v>
      </c>
      <c r="D21247">
        <v>0.94378667010600004</v>
      </c>
      <c r="E21247">
        <v>0</v>
      </c>
    </row>
    <row r="21248" spans="1:5">
      <c r="A21248" t="s">
        <v>47016</v>
      </c>
      <c r="B21248" t="s">
        <v>4909</v>
      </c>
      <c r="C21248">
        <f>0</f>
        <v>0</v>
      </c>
      <c r="D21248">
        <v>0.94378667010600004</v>
      </c>
      <c r="E21248">
        <v>0</v>
      </c>
    </row>
    <row r="21249" spans="1:5">
      <c r="A21249" t="s">
        <v>47016</v>
      </c>
      <c r="B21249" t="s">
        <v>4912</v>
      </c>
      <c r="C21249">
        <f>0</f>
        <v>0</v>
      </c>
      <c r="D21249">
        <v>0.94378667010600004</v>
      </c>
      <c r="E21249">
        <v>0</v>
      </c>
    </row>
    <row r="21250" spans="1:5">
      <c r="A21250" t="s">
        <v>47016</v>
      </c>
      <c r="B21250" t="s">
        <v>4910</v>
      </c>
      <c r="C21250">
        <v>2.8850368491600002E-2</v>
      </c>
      <c r="D21250">
        <v>0.94378667010600004</v>
      </c>
      <c r="E21250">
        <v>0</v>
      </c>
    </row>
    <row r="21251" spans="1:5">
      <c r="A21251" t="s">
        <v>47017</v>
      </c>
      <c r="B21251" t="s">
        <v>47018</v>
      </c>
      <c r="C21251">
        <f>0.502645116622</f>
        <v>0.50264511662199995</v>
      </c>
      <c r="D21251">
        <v>0.97335224215600002</v>
      </c>
      <c r="E21251">
        <v>0.40799999999999997</v>
      </c>
    </row>
    <row r="21252" spans="1:5">
      <c r="A21252" t="s">
        <v>47017</v>
      </c>
      <c r="B21252" t="s">
        <v>47019</v>
      </c>
      <c r="C21252">
        <v>1.0831285265499999</v>
      </c>
      <c r="D21252">
        <v>0.97335224215600002</v>
      </c>
      <c r="E21252">
        <v>0.40799999999999997</v>
      </c>
    </row>
    <row r="21253" spans="1:5">
      <c r="A21253" t="s">
        <v>47020</v>
      </c>
      <c r="B21253" t="s">
        <v>11886</v>
      </c>
      <c r="C21253">
        <v>0</v>
      </c>
      <c r="D21253" t="s">
        <v>106</v>
      </c>
      <c r="E21253">
        <v>24</v>
      </c>
    </row>
    <row r="21254" spans="1:5">
      <c r="A21254" t="s">
        <v>47020</v>
      </c>
      <c r="B21254" t="s">
        <v>11883</v>
      </c>
      <c r="C21254">
        <f>0</f>
        <v>0</v>
      </c>
      <c r="D21254" t="s">
        <v>106</v>
      </c>
      <c r="E21254">
        <v>24</v>
      </c>
    </row>
    <row r="21255" spans="1:5">
      <c r="A21255" t="s">
        <v>47020</v>
      </c>
      <c r="B21255" t="s">
        <v>11884</v>
      </c>
      <c r="C21255">
        <v>0</v>
      </c>
      <c r="D21255" t="s">
        <v>106</v>
      </c>
      <c r="E21255">
        <v>24</v>
      </c>
    </row>
    <row r="21256" spans="1:5">
      <c r="A21256" t="s">
        <v>47021</v>
      </c>
      <c r="B21256" t="s">
        <v>47022</v>
      </c>
      <c r="C21256">
        <v>0</v>
      </c>
      <c r="D21256" t="s">
        <v>106</v>
      </c>
      <c r="E21256">
        <v>23.04</v>
      </c>
    </row>
    <row r="21257" spans="1:5">
      <c r="A21257" t="s">
        <v>47021</v>
      </c>
      <c r="B21257" t="s">
        <v>47023</v>
      </c>
      <c r="C21257">
        <v>0</v>
      </c>
      <c r="D21257" t="s">
        <v>106</v>
      </c>
      <c r="E21257">
        <v>23.04</v>
      </c>
    </row>
    <row r="21258" spans="1:5">
      <c r="A21258" t="s">
        <v>47024</v>
      </c>
      <c r="B21258" t="s">
        <v>21402</v>
      </c>
      <c r="C21258">
        <f>0</f>
        <v>0</v>
      </c>
      <c r="D21258">
        <v>0.81380983140899998</v>
      </c>
      <c r="E21258">
        <v>10.715999999999999</v>
      </c>
    </row>
    <row r="21259" spans="1:5">
      <c r="A21259" t="s">
        <v>47024</v>
      </c>
      <c r="B21259" t="s">
        <v>21404</v>
      </c>
      <c r="C21259">
        <v>0</v>
      </c>
      <c r="D21259">
        <v>0.81380983140899998</v>
      </c>
      <c r="E21259">
        <v>10.715999999999999</v>
      </c>
    </row>
    <row r="21260" spans="1:5">
      <c r="A21260" t="s">
        <v>47024</v>
      </c>
      <c r="B21260" t="s">
        <v>21405</v>
      </c>
      <c r="C21260">
        <v>0.67183992957000005</v>
      </c>
      <c r="D21260">
        <v>0.81380983140899998</v>
      </c>
      <c r="E21260">
        <v>10.715999999999999</v>
      </c>
    </row>
    <row r="21261" spans="1:5">
      <c r="A21261" t="s">
        <v>47024</v>
      </c>
      <c r="B21261" t="s">
        <v>21408</v>
      </c>
      <c r="C21261">
        <v>0</v>
      </c>
      <c r="D21261">
        <v>0.81380983140899998</v>
      </c>
      <c r="E21261">
        <v>10.715999999999999</v>
      </c>
    </row>
    <row r="21262" spans="1:5">
      <c r="A21262" t="s">
        <v>47024</v>
      </c>
      <c r="B21262" t="s">
        <v>21406</v>
      </c>
      <c r="C21262">
        <v>2.5059743699099999E-2</v>
      </c>
      <c r="D21262">
        <v>0.81380983140899998</v>
      </c>
      <c r="E21262">
        <v>10.715999999999999</v>
      </c>
    </row>
    <row r="21263" spans="1:5">
      <c r="A21263" t="s">
        <v>47025</v>
      </c>
      <c r="B21263" t="s">
        <v>5558</v>
      </c>
      <c r="C21263">
        <v>0.69095097096699998</v>
      </c>
      <c r="D21263">
        <v>0.898182309229</v>
      </c>
      <c r="E21263">
        <v>10.242000000000001</v>
      </c>
    </row>
    <row r="21264" spans="1:5">
      <c r="A21264" t="s">
        <v>47025</v>
      </c>
      <c r="B21264" t="s">
        <v>5559</v>
      </c>
      <c r="C21264">
        <v>0</v>
      </c>
      <c r="D21264">
        <v>0.898182309229</v>
      </c>
      <c r="E21264">
        <v>10.242000000000001</v>
      </c>
    </row>
    <row r="21265" spans="1:5">
      <c r="A21265" t="s">
        <v>47025</v>
      </c>
      <c r="B21265" t="s">
        <v>5561</v>
      </c>
      <c r="C21265">
        <f>0.178191501544</f>
        <v>0.17819150154400001</v>
      </c>
      <c r="D21265">
        <v>0.898182309229</v>
      </c>
      <c r="E21265">
        <v>10.242000000000001</v>
      </c>
    </row>
    <row r="21266" spans="1:5">
      <c r="A21266" t="s">
        <v>47025</v>
      </c>
      <c r="B21266" t="s">
        <v>5560</v>
      </c>
      <c r="C21266">
        <v>9.29046824642E-2</v>
      </c>
      <c r="D21266">
        <v>0.898182309229</v>
      </c>
      <c r="E21266">
        <v>10.242000000000001</v>
      </c>
    </row>
    <row r="21267" spans="1:5">
      <c r="A21267" t="s">
        <v>47026</v>
      </c>
      <c r="B21267" t="s">
        <v>15507</v>
      </c>
      <c r="C21267">
        <f>0</f>
        <v>0</v>
      </c>
      <c r="D21267">
        <v>0.87720229280999995</v>
      </c>
      <c r="E21267">
        <v>12.048</v>
      </c>
    </row>
    <row r="21268" spans="1:5">
      <c r="A21268" t="s">
        <v>47026</v>
      </c>
      <c r="B21268" t="s">
        <v>15509</v>
      </c>
      <c r="C21268">
        <f>0</f>
        <v>0</v>
      </c>
      <c r="D21268">
        <v>0.87720229280999995</v>
      </c>
      <c r="E21268">
        <v>12.048</v>
      </c>
    </row>
    <row r="21269" spans="1:5">
      <c r="A21269" t="s">
        <v>47026</v>
      </c>
      <c r="B21269" t="s">
        <v>15516</v>
      </c>
      <c r="C21269">
        <f>0.0640863922969</f>
        <v>6.4086392296899997E-2</v>
      </c>
      <c r="D21269">
        <v>0.87720229280999995</v>
      </c>
      <c r="E21269">
        <v>12.048</v>
      </c>
    </row>
    <row r="21270" spans="1:5">
      <c r="A21270" t="s">
        <v>47026</v>
      </c>
      <c r="B21270" t="s">
        <v>15512</v>
      </c>
      <c r="C21270">
        <f>0</f>
        <v>0</v>
      </c>
      <c r="D21270">
        <v>0.87720229280999995</v>
      </c>
      <c r="E21270">
        <v>12.048</v>
      </c>
    </row>
    <row r="21271" spans="1:5">
      <c r="A21271" t="s">
        <v>47026</v>
      </c>
      <c r="B21271" t="s">
        <v>15513</v>
      </c>
      <c r="C21271">
        <f>0.174134030506</f>
        <v>0.17413403050599999</v>
      </c>
      <c r="D21271">
        <v>0.87720229280999995</v>
      </c>
      <c r="E21271">
        <v>12.048</v>
      </c>
    </row>
    <row r="21272" spans="1:5">
      <c r="A21272" t="s">
        <v>47026</v>
      </c>
      <c r="B21272" t="s">
        <v>15515</v>
      </c>
      <c r="C21272">
        <f>0.616604793411</f>
        <v>0.61660479341100005</v>
      </c>
      <c r="D21272">
        <v>0.87720229280999995</v>
      </c>
      <c r="E21272">
        <v>12.048</v>
      </c>
    </row>
    <row r="21273" spans="1:5">
      <c r="A21273" t="s">
        <v>47026</v>
      </c>
      <c r="B21273" t="s">
        <v>15514</v>
      </c>
      <c r="C21273">
        <v>0</v>
      </c>
      <c r="D21273">
        <v>0.87720229280999995</v>
      </c>
      <c r="E21273">
        <v>12.048</v>
      </c>
    </row>
    <row r="21274" spans="1:5">
      <c r="A21274" t="s">
        <v>47026</v>
      </c>
      <c r="B21274" t="s">
        <v>15510</v>
      </c>
      <c r="C21274">
        <v>0</v>
      </c>
      <c r="D21274">
        <v>0.87720229280999995</v>
      </c>
      <c r="E21274">
        <v>12.048</v>
      </c>
    </row>
    <row r="21275" spans="1:5">
      <c r="A21275" t="s">
        <v>47027</v>
      </c>
      <c r="B21275" t="s">
        <v>47028</v>
      </c>
      <c r="C21275">
        <v>0.40097745146500002</v>
      </c>
      <c r="D21275">
        <v>0.862310217642</v>
      </c>
      <c r="E21275">
        <v>6.18</v>
      </c>
    </row>
    <row r="21276" spans="1:5">
      <c r="A21276" t="s">
        <v>47027</v>
      </c>
      <c r="B21276" t="s">
        <v>47029</v>
      </c>
      <c r="C21276">
        <v>0.37224748924200002</v>
      </c>
      <c r="D21276">
        <v>0.862310217642</v>
      </c>
      <c r="E21276">
        <v>6.18</v>
      </c>
    </row>
    <row r="21277" spans="1:5">
      <c r="A21277" t="s">
        <v>47027</v>
      </c>
      <c r="B21277" t="s">
        <v>47030</v>
      </c>
      <c r="C21277">
        <v>0.369645712864</v>
      </c>
      <c r="D21277">
        <v>0.862310217642</v>
      </c>
      <c r="E21277">
        <v>6.18</v>
      </c>
    </row>
    <row r="21278" spans="1:5">
      <c r="A21278" t="s">
        <v>47027</v>
      </c>
      <c r="B21278" t="s">
        <v>47031</v>
      </c>
      <c r="C21278">
        <f>0</f>
        <v>0</v>
      </c>
      <c r="D21278">
        <v>0.862310217642</v>
      </c>
      <c r="E21278">
        <v>6.18</v>
      </c>
    </row>
    <row r="21279" spans="1:5">
      <c r="A21279" t="s">
        <v>47027</v>
      </c>
      <c r="B21279" t="s">
        <v>47032</v>
      </c>
      <c r="C21279">
        <f>0</f>
        <v>0</v>
      </c>
      <c r="D21279">
        <v>0.862310217642</v>
      </c>
      <c r="E21279">
        <v>6.18</v>
      </c>
    </row>
    <row r="21280" spans="1:5">
      <c r="A21280" t="s">
        <v>47033</v>
      </c>
      <c r="B21280" t="s">
        <v>32608</v>
      </c>
      <c r="C21280">
        <f>0</f>
        <v>0</v>
      </c>
      <c r="D21280">
        <v>0.86994168621300005</v>
      </c>
      <c r="E21280">
        <v>15.708</v>
      </c>
    </row>
    <row r="21281" spans="1:5">
      <c r="A21281" t="s">
        <v>47033</v>
      </c>
      <c r="B21281" t="s">
        <v>32603</v>
      </c>
      <c r="C21281">
        <v>0.40753168621300001</v>
      </c>
      <c r="D21281">
        <v>0.86994168621300005</v>
      </c>
      <c r="E21281">
        <v>15.708</v>
      </c>
    </row>
    <row r="21282" spans="1:5">
      <c r="A21282" t="s">
        <v>47033</v>
      </c>
      <c r="B21282" t="s">
        <v>32607</v>
      </c>
      <c r="C21282">
        <v>0</v>
      </c>
      <c r="D21282">
        <v>0.86994168621300005</v>
      </c>
      <c r="E21282">
        <v>15.708</v>
      </c>
    </row>
    <row r="21283" spans="1:5">
      <c r="A21283" t="s">
        <v>47033</v>
      </c>
      <c r="B21283" t="s">
        <v>32609</v>
      </c>
      <c r="C21283">
        <v>0</v>
      </c>
      <c r="D21283">
        <v>0.86994168621300005</v>
      </c>
      <c r="E21283">
        <v>15.708</v>
      </c>
    </row>
    <row r="21284" spans="1:5">
      <c r="A21284" t="s">
        <v>47033</v>
      </c>
      <c r="B21284" t="s">
        <v>32604</v>
      </c>
      <c r="C21284">
        <v>0</v>
      </c>
      <c r="D21284">
        <v>0.86994168621300005</v>
      </c>
      <c r="E21284">
        <v>15.708</v>
      </c>
    </row>
    <row r="21285" spans="1:5">
      <c r="A21285" t="s">
        <v>47033</v>
      </c>
      <c r="B21285" t="s">
        <v>32605</v>
      </c>
      <c r="C21285">
        <f>0</f>
        <v>0</v>
      </c>
      <c r="D21285">
        <v>0.86994168621300005</v>
      </c>
      <c r="E21285">
        <v>15.708</v>
      </c>
    </row>
    <row r="21286" spans="1:5">
      <c r="A21286" t="s">
        <v>47034</v>
      </c>
      <c r="B21286" t="s">
        <v>19350</v>
      </c>
      <c r="C21286">
        <v>0.58418746005800004</v>
      </c>
      <c r="D21286">
        <v>0.99675844101800004</v>
      </c>
      <c r="E21286">
        <v>14.555999999999999</v>
      </c>
    </row>
    <row r="21287" spans="1:5">
      <c r="A21287" t="s">
        <v>47034</v>
      </c>
      <c r="B21287" t="s">
        <v>19351</v>
      </c>
      <c r="C21287">
        <f>0.0633513738296</f>
        <v>6.3351373829600002E-2</v>
      </c>
      <c r="D21287">
        <v>0.99675844101800004</v>
      </c>
      <c r="E21287">
        <v>14.555999999999999</v>
      </c>
    </row>
    <row r="21288" spans="1:5">
      <c r="A21288" t="s">
        <v>47034</v>
      </c>
      <c r="B21288" t="s">
        <v>19356</v>
      </c>
      <c r="C21288">
        <f>0.436656678309</f>
        <v>0.43665667830900001</v>
      </c>
      <c r="D21288">
        <v>0.99675844101800004</v>
      </c>
      <c r="E21288">
        <v>14.555999999999999</v>
      </c>
    </row>
    <row r="21289" spans="1:5">
      <c r="A21289" t="s">
        <v>47034</v>
      </c>
      <c r="B21289" t="s">
        <v>19358</v>
      </c>
      <c r="C21289">
        <v>0.38616632455700001</v>
      </c>
      <c r="D21289">
        <v>0.99675844101800004</v>
      </c>
      <c r="E21289">
        <v>14.555999999999999</v>
      </c>
    </row>
    <row r="21290" spans="1:5">
      <c r="A21290" t="s">
        <v>47034</v>
      </c>
      <c r="B21290" t="s">
        <v>19352</v>
      </c>
      <c r="C21290">
        <f>0.0093927860624</f>
        <v>9.3927860624000003E-3</v>
      </c>
      <c r="D21290">
        <v>0.99675844101800004</v>
      </c>
      <c r="E21290">
        <v>14.555999999999999</v>
      </c>
    </row>
    <row r="21291" spans="1:5">
      <c r="A21291" t="s">
        <v>47034</v>
      </c>
      <c r="B21291" t="s">
        <v>19357</v>
      </c>
      <c r="C21291">
        <v>0.31063734917300001</v>
      </c>
      <c r="D21291">
        <v>0.99675844101800004</v>
      </c>
      <c r="E21291">
        <v>14.555999999999999</v>
      </c>
    </row>
    <row r="21292" spans="1:5">
      <c r="A21292" t="s">
        <v>47035</v>
      </c>
      <c r="B21292" t="s">
        <v>379</v>
      </c>
      <c r="C21292">
        <v>0</v>
      </c>
      <c r="D21292" t="s">
        <v>106</v>
      </c>
      <c r="E21292">
        <v>24</v>
      </c>
    </row>
    <row r="21293" spans="1:5">
      <c r="A21293" t="s">
        <v>47035</v>
      </c>
      <c r="B21293" t="s">
        <v>380</v>
      </c>
      <c r="C21293">
        <v>0</v>
      </c>
      <c r="D21293" t="s">
        <v>106</v>
      </c>
      <c r="E21293">
        <v>24</v>
      </c>
    </row>
    <row r="21294" spans="1:5">
      <c r="A21294" t="s">
        <v>47035</v>
      </c>
      <c r="B21294" t="s">
        <v>384</v>
      </c>
      <c r="C21294">
        <f>0</f>
        <v>0</v>
      </c>
      <c r="D21294" t="s">
        <v>106</v>
      </c>
      <c r="E21294">
        <v>24</v>
      </c>
    </row>
    <row r="21295" spans="1:5">
      <c r="A21295" t="s">
        <v>47035</v>
      </c>
      <c r="B21295" t="s">
        <v>381</v>
      </c>
      <c r="C21295">
        <f>0</f>
        <v>0</v>
      </c>
      <c r="D21295" t="s">
        <v>106</v>
      </c>
      <c r="E21295">
        <v>24</v>
      </c>
    </row>
    <row r="21296" spans="1:5">
      <c r="A21296" t="s">
        <v>47036</v>
      </c>
      <c r="B21296" t="s">
        <v>47037</v>
      </c>
      <c r="C21296">
        <f>0</f>
        <v>0</v>
      </c>
      <c r="D21296" t="s">
        <v>106</v>
      </c>
      <c r="E21296">
        <v>0.96599999999999997</v>
      </c>
    </row>
    <row r="21297" spans="1:5">
      <c r="A21297" t="s">
        <v>47036</v>
      </c>
      <c r="B21297" t="s">
        <v>47038</v>
      </c>
      <c r="C21297">
        <f>0</f>
        <v>0</v>
      </c>
      <c r="D21297" t="s">
        <v>106</v>
      </c>
      <c r="E21297">
        <v>0.96599999999999997</v>
      </c>
    </row>
    <row r="21298" spans="1:5">
      <c r="A21298" t="s">
        <v>47036</v>
      </c>
      <c r="B21298" t="s">
        <v>47039</v>
      </c>
      <c r="C21298">
        <f>0</f>
        <v>0</v>
      </c>
      <c r="D21298" t="s">
        <v>106</v>
      </c>
      <c r="E21298">
        <v>0.96599999999999997</v>
      </c>
    </row>
    <row r="21299" spans="1:5">
      <c r="A21299" t="s">
        <v>47036</v>
      </c>
      <c r="B21299" t="s">
        <v>47040</v>
      </c>
      <c r="C21299">
        <f>0</f>
        <v>0</v>
      </c>
      <c r="D21299" t="s">
        <v>106</v>
      </c>
      <c r="E21299">
        <v>0.96599999999999997</v>
      </c>
    </row>
    <row r="21300" spans="1:5">
      <c r="A21300" t="s">
        <v>47036</v>
      </c>
      <c r="B21300" t="s">
        <v>47041</v>
      </c>
      <c r="C21300">
        <v>0</v>
      </c>
      <c r="D21300" t="s">
        <v>106</v>
      </c>
      <c r="E21300">
        <v>0.96599999999999997</v>
      </c>
    </row>
    <row r="21301" spans="1:5">
      <c r="A21301" t="s">
        <v>47036</v>
      </c>
      <c r="B21301" t="s">
        <v>47042</v>
      </c>
      <c r="C21301">
        <v>0</v>
      </c>
      <c r="D21301" t="s">
        <v>106</v>
      </c>
      <c r="E21301">
        <v>0.96599999999999997</v>
      </c>
    </row>
    <row r="21302" spans="1:5">
      <c r="A21302" t="s">
        <v>47036</v>
      </c>
      <c r="B21302" t="s">
        <v>47043</v>
      </c>
      <c r="C21302">
        <f>0</f>
        <v>0</v>
      </c>
      <c r="D21302" t="s">
        <v>106</v>
      </c>
      <c r="E21302">
        <v>0.96599999999999997</v>
      </c>
    </row>
    <row r="21303" spans="1:5">
      <c r="A21303" t="s">
        <v>47036</v>
      </c>
      <c r="B21303" t="s">
        <v>47044</v>
      </c>
      <c r="C21303">
        <v>0</v>
      </c>
      <c r="D21303" t="s">
        <v>106</v>
      </c>
      <c r="E21303">
        <v>0.96599999999999997</v>
      </c>
    </row>
    <row r="21304" spans="1:5">
      <c r="A21304" t="s">
        <v>47036</v>
      </c>
      <c r="B21304" t="s">
        <v>47045</v>
      </c>
      <c r="C21304">
        <v>0</v>
      </c>
      <c r="D21304" t="s">
        <v>106</v>
      </c>
      <c r="E21304">
        <v>0.96599999999999997</v>
      </c>
    </row>
    <row r="21305" spans="1:5">
      <c r="A21305" t="s">
        <v>47036</v>
      </c>
      <c r="B21305" t="s">
        <v>47046</v>
      </c>
      <c r="C21305">
        <f>0</f>
        <v>0</v>
      </c>
      <c r="D21305" t="s">
        <v>106</v>
      </c>
      <c r="E21305">
        <v>0.96599999999999997</v>
      </c>
    </row>
    <row r="21306" spans="1:5">
      <c r="A21306" t="s">
        <v>47036</v>
      </c>
      <c r="B21306" t="s">
        <v>47047</v>
      </c>
      <c r="C21306">
        <f>0</f>
        <v>0</v>
      </c>
      <c r="D21306" t="s">
        <v>106</v>
      </c>
      <c r="E21306">
        <v>0.96599999999999997</v>
      </c>
    </row>
    <row r="21307" spans="1:5">
      <c r="A21307" t="s">
        <v>47048</v>
      </c>
      <c r="B21307" t="s">
        <v>17967</v>
      </c>
      <c r="C21307">
        <f>0</f>
        <v>0</v>
      </c>
      <c r="D21307" t="s">
        <v>106</v>
      </c>
      <c r="E21307">
        <v>24</v>
      </c>
    </row>
    <row r="21308" spans="1:5">
      <c r="A21308" t="s">
        <v>47048</v>
      </c>
      <c r="B21308" t="s">
        <v>17969</v>
      </c>
      <c r="C21308">
        <f>0</f>
        <v>0</v>
      </c>
      <c r="D21308" t="s">
        <v>106</v>
      </c>
      <c r="E21308">
        <v>24</v>
      </c>
    </row>
    <row r="21309" spans="1:5">
      <c r="A21309" t="s">
        <v>47048</v>
      </c>
      <c r="B21309" t="s">
        <v>17970</v>
      </c>
      <c r="C21309">
        <f>0</f>
        <v>0</v>
      </c>
      <c r="D21309" t="s">
        <v>106</v>
      </c>
      <c r="E21309">
        <v>24</v>
      </c>
    </row>
    <row r="21310" spans="1:5">
      <c r="A21310" t="s">
        <v>47049</v>
      </c>
      <c r="B21310" t="s">
        <v>47050</v>
      </c>
      <c r="C21310">
        <f>0.490947785081</f>
        <v>0.49094778508100001</v>
      </c>
      <c r="D21310">
        <v>0.84685021791199999</v>
      </c>
      <c r="E21310">
        <v>12.048</v>
      </c>
    </row>
    <row r="21311" spans="1:5">
      <c r="A21311" t="s">
        <v>47049</v>
      </c>
      <c r="B21311" t="s">
        <v>47051</v>
      </c>
      <c r="C21311">
        <v>0.56005158037199998</v>
      </c>
      <c r="D21311">
        <v>0.84685021791199999</v>
      </c>
      <c r="E21311">
        <v>12.048</v>
      </c>
    </row>
    <row r="21312" spans="1:5">
      <c r="A21312" t="s">
        <v>47052</v>
      </c>
      <c r="B21312" t="s">
        <v>21581</v>
      </c>
      <c r="C21312">
        <f>0</f>
        <v>0</v>
      </c>
      <c r="D21312">
        <v>0.89575950691299999</v>
      </c>
      <c r="E21312">
        <v>0.87</v>
      </c>
    </row>
    <row r="21313" spans="1:5">
      <c r="A21313" t="s">
        <v>47052</v>
      </c>
      <c r="B21313" t="s">
        <v>21596</v>
      </c>
      <c r="C21313">
        <v>7.3042573833699997E-2</v>
      </c>
      <c r="D21313">
        <v>0.89575950691299999</v>
      </c>
      <c r="E21313">
        <v>0.87</v>
      </c>
    </row>
    <row r="21314" spans="1:5">
      <c r="A21314" t="s">
        <v>47052</v>
      </c>
      <c r="B21314" t="s">
        <v>21597</v>
      </c>
      <c r="C21314">
        <v>0</v>
      </c>
      <c r="D21314">
        <v>0.89575950691299999</v>
      </c>
      <c r="E21314">
        <v>0.87</v>
      </c>
    </row>
    <row r="21315" spans="1:5">
      <c r="A21315" t="s">
        <v>47052</v>
      </c>
      <c r="B21315" t="s">
        <v>47053</v>
      </c>
      <c r="C21315">
        <v>0</v>
      </c>
      <c r="D21315">
        <v>0.89575950691299999</v>
      </c>
      <c r="E21315">
        <v>0.87</v>
      </c>
    </row>
    <row r="21316" spans="1:5">
      <c r="A21316" t="s">
        <v>47052</v>
      </c>
      <c r="B21316" t="s">
        <v>21598</v>
      </c>
      <c r="C21316">
        <v>0.64876022236099995</v>
      </c>
      <c r="D21316">
        <v>0.89575950691299999</v>
      </c>
      <c r="E21316">
        <v>0.87</v>
      </c>
    </row>
    <row r="21317" spans="1:5">
      <c r="A21317" t="s">
        <v>47052</v>
      </c>
      <c r="B21317" t="s">
        <v>21599</v>
      </c>
      <c r="C21317">
        <v>0</v>
      </c>
      <c r="D21317">
        <v>0.89575950691299999</v>
      </c>
      <c r="E21317">
        <v>0.87</v>
      </c>
    </row>
    <row r="21318" spans="1:5">
      <c r="A21318" t="s">
        <v>47052</v>
      </c>
      <c r="B21318" t="s">
        <v>21582</v>
      </c>
      <c r="C21318">
        <f>0</f>
        <v>0</v>
      </c>
      <c r="D21318">
        <v>0.89575950691299999</v>
      </c>
      <c r="E21318">
        <v>0.87</v>
      </c>
    </row>
    <row r="21319" spans="1:5">
      <c r="A21319" t="s">
        <v>47054</v>
      </c>
      <c r="B21319" t="s">
        <v>19621</v>
      </c>
      <c r="C21319">
        <f>0</f>
        <v>0</v>
      </c>
      <c r="D21319" t="s">
        <v>106</v>
      </c>
      <c r="E21319">
        <v>13.818</v>
      </c>
    </row>
    <row r="21320" spans="1:5">
      <c r="A21320" t="s">
        <v>47054</v>
      </c>
      <c r="B21320" t="s">
        <v>19627</v>
      </c>
      <c r="C21320">
        <f>0</f>
        <v>0</v>
      </c>
      <c r="D21320" t="s">
        <v>106</v>
      </c>
      <c r="E21320">
        <v>13.818</v>
      </c>
    </row>
    <row r="21321" spans="1:5">
      <c r="A21321" t="s">
        <v>47054</v>
      </c>
      <c r="B21321" t="s">
        <v>19623</v>
      </c>
      <c r="C21321">
        <v>0</v>
      </c>
      <c r="D21321" t="s">
        <v>106</v>
      </c>
      <c r="E21321">
        <v>13.818</v>
      </c>
    </row>
    <row r="21322" spans="1:5">
      <c r="A21322" t="s">
        <v>47055</v>
      </c>
      <c r="B21322" t="s">
        <v>9434</v>
      </c>
      <c r="C21322">
        <v>0</v>
      </c>
      <c r="D21322" t="s">
        <v>106</v>
      </c>
      <c r="E21322">
        <v>0.318</v>
      </c>
    </row>
    <row r="21323" spans="1:5">
      <c r="A21323" t="s">
        <v>47055</v>
      </c>
      <c r="B21323" t="s">
        <v>9435</v>
      </c>
      <c r="C21323">
        <v>0</v>
      </c>
      <c r="D21323" t="s">
        <v>106</v>
      </c>
      <c r="E21323">
        <v>0.318</v>
      </c>
    </row>
    <row r="21324" spans="1:5">
      <c r="A21324" t="s">
        <v>47055</v>
      </c>
      <c r="B21324" t="s">
        <v>9441</v>
      </c>
      <c r="C21324">
        <v>0</v>
      </c>
      <c r="D21324" t="s">
        <v>106</v>
      </c>
      <c r="E21324">
        <v>0.318</v>
      </c>
    </row>
    <row r="21325" spans="1:5">
      <c r="A21325" t="s">
        <v>47055</v>
      </c>
      <c r="B21325" t="s">
        <v>9440</v>
      </c>
      <c r="C21325">
        <v>0</v>
      </c>
      <c r="D21325" t="s">
        <v>106</v>
      </c>
      <c r="E21325">
        <v>0.318</v>
      </c>
    </row>
    <row r="21326" spans="1:5">
      <c r="A21326" t="s">
        <v>47055</v>
      </c>
      <c r="B21326" t="s">
        <v>9438</v>
      </c>
      <c r="C21326">
        <f>0</f>
        <v>0</v>
      </c>
      <c r="D21326" t="s">
        <v>106</v>
      </c>
      <c r="E21326">
        <v>0.318</v>
      </c>
    </row>
    <row r="21327" spans="1:5">
      <c r="A21327" t="s">
        <v>47055</v>
      </c>
      <c r="B21327" t="s">
        <v>9443</v>
      </c>
      <c r="C21327">
        <v>0</v>
      </c>
      <c r="D21327" t="s">
        <v>106</v>
      </c>
      <c r="E21327">
        <v>0.318</v>
      </c>
    </row>
    <row r="21328" spans="1:5">
      <c r="A21328" t="s">
        <v>47055</v>
      </c>
      <c r="B21328" t="s">
        <v>9442</v>
      </c>
      <c r="C21328">
        <v>0</v>
      </c>
      <c r="D21328" t="s">
        <v>106</v>
      </c>
      <c r="E21328">
        <v>0.318</v>
      </c>
    </row>
    <row r="21329" spans="1:5">
      <c r="A21329" t="s">
        <v>47055</v>
      </c>
      <c r="B21329" t="s">
        <v>9437</v>
      </c>
      <c r="C21329">
        <v>0</v>
      </c>
      <c r="D21329" t="s">
        <v>106</v>
      </c>
      <c r="E21329">
        <v>0.318</v>
      </c>
    </row>
    <row r="21330" spans="1:5">
      <c r="A21330" t="s">
        <v>47055</v>
      </c>
      <c r="B21330" t="s">
        <v>47056</v>
      </c>
      <c r="C21330">
        <v>0</v>
      </c>
      <c r="D21330" t="s">
        <v>106</v>
      </c>
      <c r="E21330">
        <v>0.318</v>
      </c>
    </row>
    <row r="21331" spans="1:5">
      <c r="A21331" t="s">
        <v>47055</v>
      </c>
      <c r="B21331" t="s">
        <v>9439</v>
      </c>
      <c r="C21331">
        <f>0</f>
        <v>0</v>
      </c>
      <c r="D21331" t="s">
        <v>106</v>
      </c>
      <c r="E21331">
        <v>0.318</v>
      </c>
    </row>
    <row r="21332" spans="1:5">
      <c r="A21332" t="s">
        <v>47055</v>
      </c>
      <c r="B21332" t="s">
        <v>47057</v>
      </c>
      <c r="C21332">
        <f>0</f>
        <v>0</v>
      </c>
      <c r="D21332" t="s">
        <v>106</v>
      </c>
      <c r="E21332">
        <v>0.318</v>
      </c>
    </row>
    <row r="21333" spans="1:5">
      <c r="A21333" t="s">
        <v>47055</v>
      </c>
      <c r="B21333" t="s">
        <v>9436</v>
      </c>
      <c r="C21333">
        <v>0</v>
      </c>
      <c r="D21333" t="s">
        <v>106</v>
      </c>
      <c r="E21333">
        <v>0.318</v>
      </c>
    </row>
    <row r="21334" spans="1:5">
      <c r="A21334" t="s">
        <v>47058</v>
      </c>
      <c r="B21334" t="s">
        <v>33309</v>
      </c>
      <c r="C21334">
        <f>0</f>
        <v>0</v>
      </c>
      <c r="D21334" t="s">
        <v>106</v>
      </c>
      <c r="E21334">
        <v>18.984000000000002</v>
      </c>
    </row>
    <row r="21335" spans="1:5">
      <c r="A21335" t="s">
        <v>47058</v>
      </c>
      <c r="B21335" t="s">
        <v>33308</v>
      </c>
      <c r="C21335">
        <f>0</f>
        <v>0</v>
      </c>
      <c r="D21335" t="s">
        <v>106</v>
      </c>
      <c r="E21335">
        <v>18.984000000000002</v>
      </c>
    </row>
    <row r="21336" spans="1:5">
      <c r="A21336" t="s">
        <v>47058</v>
      </c>
      <c r="B21336" t="s">
        <v>33312</v>
      </c>
      <c r="C21336">
        <f>0</f>
        <v>0</v>
      </c>
      <c r="D21336" t="s">
        <v>106</v>
      </c>
      <c r="E21336">
        <v>18.984000000000002</v>
      </c>
    </row>
    <row r="21337" spans="1:5">
      <c r="A21337" t="s">
        <v>47058</v>
      </c>
      <c r="B21337" t="s">
        <v>33314</v>
      </c>
      <c r="C21337">
        <v>0</v>
      </c>
      <c r="D21337" t="s">
        <v>106</v>
      </c>
      <c r="E21337">
        <v>18.984000000000002</v>
      </c>
    </row>
    <row r="21338" spans="1:5">
      <c r="A21338" t="s">
        <v>47058</v>
      </c>
      <c r="B21338" t="s">
        <v>33311</v>
      </c>
      <c r="C21338">
        <f>0</f>
        <v>0</v>
      </c>
      <c r="D21338" t="s">
        <v>106</v>
      </c>
      <c r="E21338">
        <v>18.984000000000002</v>
      </c>
    </row>
    <row r="21339" spans="1:5">
      <c r="A21339" t="s">
        <v>47058</v>
      </c>
      <c r="B21339" t="s">
        <v>33313</v>
      </c>
      <c r="C21339">
        <v>0</v>
      </c>
      <c r="D21339" t="s">
        <v>106</v>
      </c>
      <c r="E21339">
        <v>18.984000000000002</v>
      </c>
    </row>
    <row r="21340" spans="1:5">
      <c r="A21340" t="s">
        <v>47059</v>
      </c>
      <c r="B21340" t="s">
        <v>47060</v>
      </c>
      <c r="C21340">
        <f>0</f>
        <v>0</v>
      </c>
      <c r="D21340" t="s">
        <v>106</v>
      </c>
      <c r="E21340">
        <v>24</v>
      </c>
    </row>
    <row r="21341" spans="1:5">
      <c r="A21341" t="s">
        <v>47059</v>
      </c>
      <c r="B21341" t="s">
        <v>47061</v>
      </c>
      <c r="C21341">
        <v>0</v>
      </c>
      <c r="D21341" t="s">
        <v>106</v>
      </c>
      <c r="E21341">
        <v>24</v>
      </c>
    </row>
    <row r="21342" spans="1:5">
      <c r="A21342" t="s">
        <v>47059</v>
      </c>
      <c r="B21342" t="s">
        <v>47062</v>
      </c>
      <c r="C21342">
        <v>0</v>
      </c>
      <c r="D21342" t="s">
        <v>106</v>
      </c>
      <c r="E21342">
        <v>24</v>
      </c>
    </row>
    <row r="21343" spans="1:5">
      <c r="A21343" t="s">
        <v>47059</v>
      </c>
      <c r="B21343" t="s">
        <v>47063</v>
      </c>
      <c r="C21343">
        <f>0</f>
        <v>0</v>
      </c>
      <c r="D21343" t="s">
        <v>106</v>
      </c>
      <c r="E21343">
        <v>24</v>
      </c>
    </row>
    <row r="21344" spans="1:5">
      <c r="A21344" t="s">
        <v>47064</v>
      </c>
      <c r="B21344" t="s">
        <v>6247</v>
      </c>
      <c r="C21344">
        <v>0.71190157340100002</v>
      </c>
      <c r="D21344">
        <v>0.88155087975699997</v>
      </c>
      <c r="E21344">
        <v>1.512</v>
      </c>
    </row>
    <row r="21345" spans="1:5">
      <c r="A21345" t="s">
        <v>47064</v>
      </c>
      <c r="B21345" t="s">
        <v>6248</v>
      </c>
      <c r="C21345">
        <v>0</v>
      </c>
      <c r="D21345">
        <v>0.88155087975699997</v>
      </c>
      <c r="E21345">
        <v>1.512</v>
      </c>
    </row>
    <row r="21346" spans="1:5">
      <c r="A21346" t="s">
        <v>47064</v>
      </c>
      <c r="B21346" t="s">
        <v>6249</v>
      </c>
      <c r="C21346">
        <v>1.4681417272099999E-2</v>
      </c>
      <c r="D21346">
        <v>0.88155087975699997</v>
      </c>
      <c r="E21346">
        <v>1.512</v>
      </c>
    </row>
    <row r="21347" spans="1:5">
      <c r="A21347" t="s">
        <v>47064</v>
      </c>
      <c r="B21347" t="s">
        <v>47065</v>
      </c>
      <c r="C21347">
        <f>0.00612886671228</f>
        <v>6.1288667122799999E-3</v>
      </c>
      <c r="D21347">
        <v>0.88155087975699997</v>
      </c>
      <c r="E21347">
        <v>1.512</v>
      </c>
    </row>
    <row r="21348" spans="1:5">
      <c r="A21348" t="s">
        <v>47064</v>
      </c>
      <c r="B21348" t="s">
        <v>6246</v>
      </c>
      <c r="C21348">
        <v>0</v>
      </c>
      <c r="D21348">
        <v>0.88155087975699997</v>
      </c>
      <c r="E21348">
        <v>1.512</v>
      </c>
    </row>
    <row r="21349" spans="1:5">
      <c r="A21349" t="s">
        <v>47066</v>
      </c>
      <c r="B21349" t="s">
        <v>47067</v>
      </c>
      <c r="C21349">
        <v>0</v>
      </c>
      <c r="D21349">
        <v>0.66292748750200003</v>
      </c>
      <c r="E21349">
        <v>0</v>
      </c>
    </row>
    <row r="21350" spans="1:5">
      <c r="A21350" t="s">
        <v>47066</v>
      </c>
      <c r="B21350" t="s">
        <v>47068</v>
      </c>
      <c r="C21350">
        <f>0</f>
        <v>0</v>
      </c>
      <c r="D21350">
        <v>0.66292748750200003</v>
      </c>
      <c r="E21350">
        <v>0</v>
      </c>
    </row>
    <row r="21351" spans="1:5">
      <c r="A21351" t="s">
        <v>47066</v>
      </c>
      <c r="B21351" t="s">
        <v>47069</v>
      </c>
      <c r="C21351">
        <f>0</f>
        <v>0</v>
      </c>
      <c r="D21351">
        <v>0.66292748750200003</v>
      </c>
      <c r="E21351">
        <v>0</v>
      </c>
    </row>
    <row r="21352" spans="1:5">
      <c r="A21352" t="s">
        <v>47066</v>
      </c>
      <c r="B21352" t="s">
        <v>47070</v>
      </c>
      <c r="C21352">
        <v>0</v>
      </c>
      <c r="D21352">
        <v>0.66292748750200003</v>
      </c>
      <c r="E21352">
        <v>0</v>
      </c>
    </row>
    <row r="21353" spans="1:5">
      <c r="A21353" t="s">
        <v>47066</v>
      </c>
      <c r="B21353" t="s">
        <v>47071</v>
      </c>
      <c r="C21353">
        <f>0.349317487502</f>
        <v>0.34931748750199998</v>
      </c>
      <c r="D21353">
        <v>0.66292748750200003</v>
      </c>
      <c r="E21353">
        <v>0</v>
      </c>
    </row>
    <row r="21354" spans="1:5">
      <c r="A21354" t="s">
        <v>47072</v>
      </c>
      <c r="B21354" t="s">
        <v>3614</v>
      </c>
      <c r="C21354">
        <v>0</v>
      </c>
      <c r="D21354" t="s">
        <v>106</v>
      </c>
      <c r="E21354">
        <v>1.512</v>
      </c>
    </row>
    <row r="21355" spans="1:5">
      <c r="A21355" t="s">
        <v>47072</v>
      </c>
      <c r="B21355" t="s">
        <v>3605</v>
      </c>
      <c r="C21355">
        <v>0</v>
      </c>
      <c r="D21355" t="s">
        <v>106</v>
      </c>
      <c r="E21355">
        <v>1.512</v>
      </c>
    </row>
    <row r="21356" spans="1:5">
      <c r="A21356" t="s">
        <v>47072</v>
      </c>
      <c r="B21356" t="s">
        <v>3611</v>
      </c>
      <c r="C21356">
        <v>0</v>
      </c>
      <c r="D21356" t="s">
        <v>106</v>
      </c>
      <c r="E21356">
        <v>1.512</v>
      </c>
    </row>
    <row r="21357" spans="1:5">
      <c r="A21357" t="s">
        <v>47072</v>
      </c>
      <c r="B21357" t="s">
        <v>3609</v>
      </c>
      <c r="C21357">
        <v>0</v>
      </c>
      <c r="D21357" t="s">
        <v>106</v>
      </c>
      <c r="E21357">
        <v>1.512</v>
      </c>
    </row>
    <row r="21358" spans="1:5">
      <c r="A21358" t="s">
        <v>47072</v>
      </c>
      <c r="B21358" t="s">
        <v>3612</v>
      </c>
      <c r="C21358">
        <v>0</v>
      </c>
      <c r="D21358" t="s">
        <v>106</v>
      </c>
      <c r="E21358">
        <v>1.512</v>
      </c>
    </row>
    <row r="21359" spans="1:5">
      <c r="A21359" t="s">
        <v>47073</v>
      </c>
      <c r="B21359" t="s">
        <v>47074</v>
      </c>
      <c r="C21359">
        <f>0</f>
        <v>0</v>
      </c>
      <c r="D21359">
        <v>0.88521797111699996</v>
      </c>
      <c r="E21359">
        <v>24</v>
      </c>
    </row>
    <row r="21360" spans="1:5">
      <c r="A21360" t="s">
        <v>47073</v>
      </c>
      <c r="B21360" t="s">
        <v>47075</v>
      </c>
      <c r="C21360">
        <v>0.27918532453299999</v>
      </c>
      <c r="D21360">
        <v>0.88521797111699996</v>
      </c>
      <c r="E21360">
        <v>24</v>
      </c>
    </row>
    <row r="21361" spans="1:5">
      <c r="A21361" t="s">
        <v>47073</v>
      </c>
      <c r="B21361" t="s">
        <v>47076</v>
      </c>
      <c r="C21361">
        <f>0.208311905073</f>
        <v>0.20831190507299999</v>
      </c>
      <c r="D21361">
        <v>0.88521797111699996</v>
      </c>
      <c r="E21361">
        <v>24</v>
      </c>
    </row>
    <row r="21362" spans="1:5">
      <c r="A21362" t="s">
        <v>47073</v>
      </c>
      <c r="B21362" t="s">
        <v>47077</v>
      </c>
      <c r="C21362">
        <f>0</f>
        <v>0</v>
      </c>
      <c r="D21362">
        <v>0.88521797111699996</v>
      </c>
      <c r="E21362">
        <v>24</v>
      </c>
    </row>
    <row r="21363" spans="1:5">
      <c r="A21363" t="s">
        <v>47073</v>
      </c>
      <c r="B21363" t="s">
        <v>47078</v>
      </c>
      <c r="C21363">
        <f>0.476911504819</f>
        <v>0.47691150481900002</v>
      </c>
      <c r="D21363">
        <v>0.88521797111699996</v>
      </c>
      <c r="E21363">
        <v>24</v>
      </c>
    </row>
    <row r="21364" spans="1:5">
      <c r="A21364" t="s">
        <v>47079</v>
      </c>
      <c r="B21364" t="s">
        <v>47080</v>
      </c>
      <c r="C21364">
        <f>0</f>
        <v>0</v>
      </c>
      <c r="D21364" t="s">
        <v>106</v>
      </c>
      <c r="E21364">
        <v>9.9239999999999995</v>
      </c>
    </row>
    <row r="21365" spans="1:5">
      <c r="A21365" t="s">
        <v>47079</v>
      </c>
      <c r="B21365" t="s">
        <v>47081</v>
      </c>
      <c r="C21365">
        <f>0</f>
        <v>0</v>
      </c>
      <c r="D21365" t="s">
        <v>106</v>
      </c>
      <c r="E21365">
        <v>9.9239999999999995</v>
      </c>
    </row>
    <row r="21366" spans="1:5">
      <c r="A21366" t="s">
        <v>47079</v>
      </c>
      <c r="B21366" t="s">
        <v>47082</v>
      </c>
      <c r="C21366">
        <f>0</f>
        <v>0</v>
      </c>
      <c r="D21366" t="s">
        <v>106</v>
      </c>
      <c r="E21366">
        <v>9.9239999999999995</v>
      </c>
    </row>
    <row r="21367" spans="1:5">
      <c r="A21367" t="s">
        <v>47079</v>
      </c>
      <c r="B21367" t="s">
        <v>47083</v>
      </c>
      <c r="C21367">
        <f>0</f>
        <v>0</v>
      </c>
      <c r="D21367" t="s">
        <v>106</v>
      </c>
      <c r="E21367">
        <v>9.9239999999999995</v>
      </c>
    </row>
    <row r="21368" spans="1:5">
      <c r="A21368" t="s">
        <v>47084</v>
      </c>
      <c r="B21368" t="s">
        <v>23061</v>
      </c>
      <c r="C21368">
        <v>0.86932329747000003</v>
      </c>
      <c r="D21368">
        <v>0.96877137040100003</v>
      </c>
      <c r="E21368">
        <v>12.39</v>
      </c>
    </row>
    <row r="21369" spans="1:5">
      <c r="A21369" t="s">
        <v>47084</v>
      </c>
      <c r="B21369" t="s">
        <v>23064</v>
      </c>
      <c r="C21369">
        <f>0.139143852572</f>
        <v>0.13914385257199999</v>
      </c>
      <c r="D21369">
        <v>0.96877137040100003</v>
      </c>
      <c r="E21369">
        <v>12.39</v>
      </c>
    </row>
    <row r="21370" spans="1:5">
      <c r="A21370" t="s">
        <v>47084</v>
      </c>
      <c r="B21370" t="s">
        <v>23065</v>
      </c>
      <c r="C21370">
        <v>0.28912850732000001</v>
      </c>
      <c r="D21370">
        <v>0.96877137040100003</v>
      </c>
      <c r="E21370">
        <v>12.39</v>
      </c>
    </row>
    <row r="21371" spans="1:5">
      <c r="A21371" t="s">
        <v>47084</v>
      </c>
      <c r="B21371" t="s">
        <v>23062</v>
      </c>
      <c r="C21371">
        <v>0.57319771860400004</v>
      </c>
      <c r="D21371">
        <v>0.96877137040100003</v>
      </c>
      <c r="E21371">
        <v>12.39</v>
      </c>
    </row>
    <row r="21372" spans="1:5">
      <c r="A21372" t="s">
        <v>47084</v>
      </c>
      <c r="B21372" t="s">
        <v>23063</v>
      </c>
      <c r="C21372">
        <f>0.348098400821</f>
        <v>0.34809840082100002</v>
      </c>
      <c r="D21372">
        <v>0.96877137040100003</v>
      </c>
      <c r="E21372">
        <v>12.39</v>
      </c>
    </row>
    <row r="21373" spans="1:5">
      <c r="A21373" t="s">
        <v>47085</v>
      </c>
      <c r="B21373" t="s">
        <v>7689</v>
      </c>
      <c r="C21373">
        <v>0.36625551292399999</v>
      </c>
      <c r="D21373">
        <v>0.82688354173400003</v>
      </c>
      <c r="E21373">
        <v>24</v>
      </c>
    </row>
    <row r="21374" spans="1:5">
      <c r="A21374" t="s">
        <v>47085</v>
      </c>
      <c r="B21374" t="s">
        <v>7693</v>
      </c>
      <c r="C21374">
        <v>0.28666947838500001</v>
      </c>
      <c r="D21374">
        <v>0.82688354173400003</v>
      </c>
      <c r="E21374">
        <v>24</v>
      </c>
    </row>
    <row r="21375" spans="1:5">
      <c r="A21375" t="s">
        <v>47085</v>
      </c>
      <c r="B21375" t="s">
        <v>7694</v>
      </c>
      <c r="C21375">
        <v>0</v>
      </c>
      <c r="D21375">
        <v>0.82688354173400003</v>
      </c>
      <c r="E21375">
        <v>24</v>
      </c>
    </row>
    <row r="21376" spans="1:5">
      <c r="A21376" t="s">
        <v>47086</v>
      </c>
      <c r="B21376" t="s">
        <v>47087</v>
      </c>
      <c r="C21376">
        <f>0</f>
        <v>0</v>
      </c>
      <c r="D21376">
        <v>0.90806274894299999</v>
      </c>
      <c r="E21376">
        <v>24</v>
      </c>
    </row>
    <row r="21377" spans="1:5">
      <c r="A21377" t="s">
        <v>47086</v>
      </c>
      <c r="B21377" t="s">
        <v>47088</v>
      </c>
      <c r="C21377">
        <f>0.560037165487</f>
        <v>0.560037165487</v>
      </c>
      <c r="D21377">
        <v>0.90806274894299999</v>
      </c>
      <c r="E21377">
        <v>24</v>
      </c>
    </row>
    <row r="21378" spans="1:5">
      <c r="A21378" t="s">
        <v>47086</v>
      </c>
      <c r="B21378" t="s">
        <v>47089</v>
      </c>
      <c r="C21378">
        <f>0.265779938695</f>
        <v>0.265779938695</v>
      </c>
      <c r="D21378">
        <v>0.90806274894299999</v>
      </c>
      <c r="E21378">
        <v>24</v>
      </c>
    </row>
    <row r="21379" spans="1:5">
      <c r="A21379" t="s">
        <v>47086</v>
      </c>
      <c r="B21379" t="s">
        <v>47090</v>
      </c>
      <c r="C21379">
        <v>0</v>
      </c>
      <c r="D21379">
        <v>0.90806274894299999</v>
      </c>
      <c r="E21379">
        <v>24</v>
      </c>
    </row>
    <row r="21380" spans="1:5">
      <c r="A21380" t="s">
        <v>47086</v>
      </c>
      <c r="B21380" t="s">
        <v>47091</v>
      </c>
      <c r="C21380">
        <v>0.151519871454</v>
      </c>
      <c r="D21380">
        <v>0.90806274894299999</v>
      </c>
      <c r="E21380">
        <v>24</v>
      </c>
    </row>
    <row r="21381" spans="1:5">
      <c r="A21381" t="s">
        <v>47086</v>
      </c>
      <c r="B21381" t="s">
        <v>47092</v>
      </c>
      <c r="C21381">
        <f>0</f>
        <v>0</v>
      </c>
      <c r="D21381">
        <v>0.90806274894299999</v>
      </c>
      <c r="E21381">
        <v>24</v>
      </c>
    </row>
    <row r="21382" spans="1:5">
      <c r="A21382" t="s">
        <v>47086</v>
      </c>
      <c r="B21382" t="s">
        <v>47093</v>
      </c>
      <c r="C21382">
        <f>0</f>
        <v>0</v>
      </c>
      <c r="D21382">
        <v>0.90806274894299999</v>
      </c>
      <c r="E21382">
        <v>24</v>
      </c>
    </row>
    <row r="21383" spans="1:5">
      <c r="A21383" t="s">
        <v>47094</v>
      </c>
      <c r="B21383" t="s">
        <v>12544</v>
      </c>
      <c r="C21383">
        <v>0.47632113249399999</v>
      </c>
      <c r="D21383">
        <v>0.91591999338999996</v>
      </c>
      <c r="E21383">
        <v>0.378</v>
      </c>
    </row>
    <row r="21384" spans="1:5">
      <c r="A21384" t="s">
        <v>47094</v>
      </c>
      <c r="B21384" t="s">
        <v>12545</v>
      </c>
      <c r="C21384">
        <v>0.72835151758100003</v>
      </c>
      <c r="D21384">
        <v>0.91591999338999996</v>
      </c>
      <c r="E21384">
        <v>0.378</v>
      </c>
    </row>
    <row r="21385" spans="1:5">
      <c r="A21385" t="s">
        <v>47095</v>
      </c>
      <c r="B21385" t="s">
        <v>4780</v>
      </c>
      <c r="C21385">
        <v>0</v>
      </c>
      <c r="D21385">
        <v>0.87063726978800005</v>
      </c>
      <c r="E21385">
        <v>5.82</v>
      </c>
    </row>
    <row r="21386" spans="1:5">
      <c r="A21386" t="s">
        <v>47095</v>
      </c>
      <c r="B21386" t="s">
        <v>4782</v>
      </c>
      <c r="C21386">
        <v>0</v>
      </c>
      <c r="D21386">
        <v>0.87063726978800005</v>
      </c>
      <c r="E21386">
        <v>5.82</v>
      </c>
    </row>
    <row r="21387" spans="1:5">
      <c r="A21387" t="s">
        <v>47095</v>
      </c>
      <c r="B21387" t="s">
        <v>4781</v>
      </c>
      <c r="C21387">
        <v>0.813027269788</v>
      </c>
      <c r="D21387">
        <v>0.87063726978800005</v>
      </c>
      <c r="E21387">
        <v>5.82</v>
      </c>
    </row>
    <row r="21388" spans="1:5">
      <c r="A21388" t="s">
        <v>47096</v>
      </c>
      <c r="B21388" t="s">
        <v>12106</v>
      </c>
      <c r="C21388">
        <v>0.55202203439700004</v>
      </c>
      <c r="D21388">
        <v>0.98790382395200005</v>
      </c>
      <c r="E21388">
        <v>5.1239999999999997</v>
      </c>
    </row>
    <row r="21389" spans="1:5">
      <c r="A21389" t="s">
        <v>47096</v>
      </c>
      <c r="B21389" t="s">
        <v>12103</v>
      </c>
      <c r="C21389">
        <f>0.27535408462</f>
        <v>0.27535408461999999</v>
      </c>
      <c r="D21389">
        <v>0.98790382395200005</v>
      </c>
      <c r="E21389">
        <v>5.1239999999999997</v>
      </c>
    </row>
    <row r="21390" spans="1:5">
      <c r="A21390" t="s">
        <v>47096</v>
      </c>
      <c r="B21390" t="s">
        <v>12105</v>
      </c>
      <c r="C21390">
        <f>0</f>
        <v>0</v>
      </c>
      <c r="D21390">
        <v>0.98790382395200005</v>
      </c>
      <c r="E21390">
        <v>5.1239999999999997</v>
      </c>
    </row>
    <row r="21391" spans="1:5">
      <c r="A21391" t="s">
        <v>47096</v>
      </c>
      <c r="B21391" t="s">
        <v>12104</v>
      </c>
      <c r="C21391">
        <v>3.9945447080200003E-3</v>
      </c>
      <c r="D21391">
        <v>0.98790382395200005</v>
      </c>
      <c r="E21391">
        <v>5.1239999999999997</v>
      </c>
    </row>
    <row r="21392" spans="1:5">
      <c r="A21392" t="s">
        <v>47096</v>
      </c>
      <c r="B21392" t="s">
        <v>12108</v>
      </c>
      <c r="C21392">
        <f>0.647082826757</f>
        <v>0.64708282675700002</v>
      </c>
      <c r="D21392">
        <v>0.98790382395200005</v>
      </c>
      <c r="E21392">
        <v>5.1239999999999997</v>
      </c>
    </row>
    <row r="21393" spans="1:5">
      <c r="A21393" t="s">
        <v>47096</v>
      </c>
      <c r="B21393" t="s">
        <v>12097</v>
      </c>
      <c r="C21393">
        <f>0.392405507058</f>
        <v>0.39240550705799998</v>
      </c>
      <c r="D21393">
        <v>0.98790382395200005</v>
      </c>
      <c r="E21393">
        <v>5.1239999999999997</v>
      </c>
    </row>
    <row r="21394" spans="1:5">
      <c r="A21394" t="s">
        <v>47096</v>
      </c>
      <c r="B21394" t="s">
        <v>12100</v>
      </c>
      <c r="C21394">
        <f>0</f>
        <v>0</v>
      </c>
      <c r="D21394">
        <v>0.98790382395200005</v>
      </c>
      <c r="E21394">
        <v>5.1239999999999997</v>
      </c>
    </row>
    <row r="21395" spans="1:5">
      <c r="A21395" t="s">
        <v>47097</v>
      </c>
      <c r="B21395" t="s">
        <v>47098</v>
      </c>
      <c r="C21395">
        <f>0</f>
        <v>0</v>
      </c>
      <c r="D21395" t="s">
        <v>106</v>
      </c>
      <c r="E21395">
        <v>24</v>
      </c>
    </row>
    <row r="21396" spans="1:5">
      <c r="A21396" t="s">
        <v>47097</v>
      </c>
      <c r="B21396" t="s">
        <v>47099</v>
      </c>
      <c r="C21396">
        <f>0</f>
        <v>0</v>
      </c>
      <c r="D21396" t="s">
        <v>106</v>
      </c>
      <c r="E21396">
        <v>24</v>
      </c>
    </row>
    <row r="21397" spans="1:5">
      <c r="A21397" t="s">
        <v>47097</v>
      </c>
      <c r="B21397" t="s">
        <v>47100</v>
      </c>
      <c r="C21397">
        <f>0</f>
        <v>0</v>
      </c>
      <c r="D21397" t="s">
        <v>106</v>
      </c>
      <c r="E21397">
        <v>24</v>
      </c>
    </row>
    <row r="21398" spans="1:5">
      <c r="A21398" t="s">
        <v>47101</v>
      </c>
      <c r="B21398" t="s">
        <v>47102</v>
      </c>
      <c r="C21398">
        <f>0</f>
        <v>0</v>
      </c>
      <c r="D21398">
        <v>0.71131993197599996</v>
      </c>
      <c r="E21398">
        <v>2.4E-2</v>
      </c>
    </row>
    <row r="21399" spans="1:5">
      <c r="A21399" t="s">
        <v>47101</v>
      </c>
      <c r="B21399" t="s">
        <v>47103</v>
      </c>
      <c r="C21399">
        <f>0.480909931976</f>
        <v>0.48090993197600002</v>
      </c>
      <c r="D21399">
        <v>0.71131993197599996</v>
      </c>
      <c r="E21399">
        <v>2.4E-2</v>
      </c>
    </row>
    <row r="21400" spans="1:5">
      <c r="A21400" t="s">
        <v>47101</v>
      </c>
      <c r="B21400" t="s">
        <v>47104</v>
      </c>
      <c r="C21400">
        <v>0</v>
      </c>
      <c r="D21400">
        <v>0.71131993197599996</v>
      </c>
      <c r="E21400">
        <v>2.4E-2</v>
      </c>
    </row>
    <row r="21401" spans="1:5">
      <c r="A21401" t="s">
        <v>47105</v>
      </c>
      <c r="B21401" t="s">
        <v>26403</v>
      </c>
      <c r="C21401">
        <v>0</v>
      </c>
      <c r="D21401">
        <v>0.723980621454</v>
      </c>
      <c r="E21401">
        <v>23.754000000000001</v>
      </c>
    </row>
    <row r="21402" spans="1:5">
      <c r="A21402" t="s">
        <v>47105</v>
      </c>
      <c r="B21402" t="s">
        <v>26400</v>
      </c>
      <c r="C21402">
        <f>0</f>
        <v>0</v>
      </c>
      <c r="D21402">
        <v>0.723980621454</v>
      </c>
      <c r="E21402">
        <v>23.754000000000001</v>
      </c>
    </row>
    <row r="21403" spans="1:5">
      <c r="A21403" t="s">
        <v>47105</v>
      </c>
      <c r="B21403" t="s">
        <v>26402</v>
      </c>
      <c r="C21403">
        <f>0.530370621454</f>
        <v>0.53037062145400005</v>
      </c>
      <c r="D21403">
        <v>0.723980621454</v>
      </c>
      <c r="E21403">
        <v>23.754000000000001</v>
      </c>
    </row>
    <row r="21404" spans="1:5">
      <c r="A21404" t="s">
        <v>47106</v>
      </c>
      <c r="B21404" t="s">
        <v>47107</v>
      </c>
      <c r="C21404">
        <v>0.106784188423</v>
      </c>
      <c r="D21404">
        <v>0.99744312032600002</v>
      </c>
      <c r="E21404">
        <v>14.933999999999999</v>
      </c>
    </row>
    <row r="21405" spans="1:5">
      <c r="A21405" t="s">
        <v>47106</v>
      </c>
      <c r="B21405" t="s">
        <v>47108</v>
      </c>
      <c r="C21405">
        <f>-1.37371565097</f>
        <v>-1.3737156509699999</v>
      </c>
      <c r="D21405">
        <v>0.99744312032600002</v>
      </c>
      <c r="E21405">
        <v>14.933999999999999</v>
      </c>
    </row>
    <row r="21406" spans="1:5">
      <c r="A21406" t="s">
        <v>47106</v>
      </c>
      <c r="B21406" t="s">
        <v>47109</v>
      </c>
      <c r="C21406">
        <v>0.27577383760000002</v>
      </c>
      <c r="D21406">
        <v>0.99744312032600002</v>
      </c>
      <c r="E21406">
        <v>14.933999999999999</v>
      </c>
    </row>
    <row r="21407" spans="1:5">
      <c r="A21407" t="s">
        <v>47106</v>
      </c>
      <c r="B21407" t="s">
        <v>47110</v>
      </c>
      <c r="C21407">
        <f>0.953145953735</f>
        <v>0.953145953735</v>
      </c>
      <c r="D21407">
        <v>0.99744312032600002</v>
      </c>
      <c r="E21407">
        <v>14.933999999999999</v>
      </c>
    </row>
    <row r="21408" spans="1:5">
      <c r="A21408" t="s">
        <v>47106</v>
      </c>
      <c r="B21408" t="s">
        <v>47111</v>
      </c>
      <c r="C21408">
        <v>2.25296826698</v>
      </c>
      <c r="D21408">
        <v>0.99744312032600002</v>
      </c>
      <c r="E21408">
        <v>14.933999999999999</v>
      </c>
    </row>
    <row r="21409" spans="1:5">
      <c r="A21409" t="s">
        <v>47106</v>
      </c>
      <c r="B21409" t="s">
        <v>47112</v>
      </c>
      <c r="C21409">
        <v>6.8108550336700005E-2</v>
      </c>
      <c r="D21409">
        <v>0.99744312032600002</v>
      </c>
      <c r="E21409">
        <v>14.933999999999999</v>
      </c>
    </row>
    <row r="21410" spans="1:5">
      <c r="A21410" t="s">
        <v>47106</v>
      </c>
      <c r="B21410" t="s">
        <v>47113</v>
      </c>
      <c r="C21410">
        <f>-1.96131660608</f>
        <v>-1.96131660608</v>
      </c>
      <c r="D21410">
        <v>0.99744312032600002</v>
      </c>
      <c r="E21410">
        <v>14.933999999999999</v>
      </c>
    </row>
    <row r="21411" spans="1:5">
      <c r="A21411" t="s">
        <v>47114</v>
      </c>
      <c r="B21411" t="s">
        <v>47115</v>
      </c>
      <c r="C21411">
        <f>0.24159427316</f>
        <v>0.24159427316000001</v>
      </c>
      <c r="D21411">
        <v>0.98450624639200002</v>
      </c>
      <c r="E21411">
        <v>2.25</v>
      </c>
    </row>
    <row r="21412" spans="1:5">
      <c r="A21412" t="s">
        <v>47114</v>
      </c>
      <c r="B21412" t="s">
        <v>47116</v>
      </c>
      <c r="C21412">
        <v>0.23395499912600001</v>
      </c>
      <c r="D21412">
        <v>0.98450624639200002</v>
      </c>
      <c r="E21412">
        <v>2.25</v>
      </c>
    </row>
    <row r="21413" spans="1:5">
      <c r="A21413" t="s">
        <v>47114</v>
      </c>
      <c r="B21413" t="s">
        <v>47117</v>
      </c>
      <c r="C21413">
        <v>0.79232282697300005</v>
      </c>
      <c r="D21413">
        <v>0.98450624639200002</v>
      </c>
      <c r="E21413">
        <v>2.25</v>
      </c>
    </row>
    <row r="21414" spans="1:5">
      <c r="A21414" t="s">
        <v>47114</v>
      </c>
      <c r="B21414" t="s">
        <v>47118</v>
      </c>
      <c r="C21414">
        <v>0.26204084795400001</v>
      </c>
      <c r="D21414">
        <v>0.98450624639200002</v>
      </c>
      <c r="E21414">
        <v>2.25</v>
      </c>
    </row>
    <row r="21415" spans="1:5">
      <c r="A21415" t="s">
        <v>47114</v>
      </c>
      <c r="B21415" t="s">
        <v>47119</v>
      </c>
      <c r="C21415">
        <f>0.0299771926622</f>
        <v>2.9977192662199999E-2</v>
      </c>
      <c r="D21415">
        <v>0.98450624639200002</v>
      </c>
      <c r="E21415">
        <v>2.25</v>
      </c>
    </row>
    <row r="21416" spans="1:5">
      <c r="A21416" t="s">
        <v>47120</v>
      </c>
      <c r="B21416" t="s">
        <v>5563</v>
      </c>
      <c r="C21416">
        <f>0.0943872522494</f>
        <v>9.4387252249400005E-2</v>
      </c>
      <c r="D21416">
        <v>0.91778342346099995</v>
      </c>
      <c r="E21416">
        <v>24</v>
      </c>
    </row>
    <row r="21417" spans="1:5">
      <c r="A21417" t="s">
        <v>47120</v>
      </c>
      <c r="B21417" t="s">
        <v>5570</v>
      </c>
      <c r="C21417">
        <v>0.30341377235099998</v>
      </c>
      <c r="D21417">
        <v>0.91778342346099995</v>
      </c>
      <c r="E21417">
        <v>24</v>
      </c>
    </row>
    <row r="21418" spans="1:5">
      <c r="A21418" t="s">
        <v>47120</v>
      </c>
      <c r="B21418" t="s">
        <v>5568</v>
      </c>
      <c r="C21418">
        <v>0.29256008127599997</v>
      </c>
      <c r="D21418">
        <v>0.91778342346099995</v>
      </c>
      <c r="E21418">
        <v>24</v>
      </c>
    </row>
    <row r="21419" spans="1:5">
      <c r="A21419" t="s">
        <v>47120</v>
      </c>
      <c r="B21419" t="s">
        <v>5566</v>
      </c>
      <c r="C21419">
        <v>0.63864076943100001</v>
      </c>
      <c r="D21419">
        <v>0.91778342346099995</v>
      </c>
      <c r="E21419">
        <v>24</v>
      </c>
    </row>
    <row r="21420" spans="1:5">
      <c r="A21420" t="s">
        <v>47121</v>
      </c>
      <c r="B21420" t="s">
        <v>32996</v>
      </c>
      <c r="C21420">
        <f>0.308629134552</f>
        <v>0.30862913455199997</v>
      </c>
      <c r="D21420">
        <v>0.99999999577599996</v>
      </c>
      <c r="E21420">
        <v>2.718</v>
      </c>
    </row>
    <row r="21421" spans="1:5">
      <c r="A21421" t="s">
        <v>47121</v>
      </c>
      <c r="B21421" t="s">
        <v>33000</v>
      </c>
      <c r="C21421">
        <v>0.71161646952400004</v>
      </c>
      <c r="D21421">
        <v>0.99999999577599996</v>
      </c>
      <c r="E21421">
        <v>2.718</v>
      </c>
    </row>
    <row r="21422" spans="1:5">
      <c r="A21422" t="s">
        <v>47121</v>
      </c>
      <c r="B21422" t="s">
        <v>33003</v>
      </c>
      <c r="C21422">
        <f>0.46160984007</f>
        <v>0.46160984007</v>
      </c>
      <c r="D21422">
        <v>0.99999999577599996</v>
      </c>
      <c r="E21422">
        <v>2.718</v>
      </c>
    </row>
    <row r="21423" spans="1:5">
      <c r="A21423" t="s">
        <v>47121</v>
      </c>
      <c r="B21423" t="s">
        <v>33004</v>
      </c>
      <c r="C21423">
        <v>0.31194890929899999</v>
      </c>
      <c r="D21423">
        <v>0.99999999577599996</v>
      </c>
      <c r="E21423">
        <v>2.718</v>
      </c>
    </row>
    <row r="21424" spans="1:5">
      <c r="A21424" t="s">
        <v>47121</v>
      </c>
      <c r="B21424" t="s">
        <v>32999</v>
      </c>
      <c r="C21424">
        <v>7.1390724935799996E-2</v>
      </c>
      <c r="D21424">
        <v>0.99999999577599996</v>
      </c>
      <c r="E21424">
        <v>2.718</v>
      </c>
    </row>
    <row r="21425" spans="1:5">
      <c r="A21425" t="s">
        <v>47121</v>
      </c>
      <c r="B21425" t="s">
        <v>33008</v>
      </c>
      <c r="C21425">
        <f>0.183872365397</f>
        <v>0.183872365397</v>
      </c>
      <c r="D21425">
        <v>0.99999999577599996</v>
      </c>
      <c r="E21425">
        <v>2.718</v>
      </c>
    </row>
    <row r="21426" spans="1:5">
      <c r="A21426" t="s">
        <v>47121</v>
      </c>
      <c r="B21426" t="s">
        <v>33001</v>
      </c>
      <c r="C21426">
        <f>0.00578831243773</f>
        <v>5.7883124377300001E-3</v>
      </c>
      <c r="D21426">
        <v>0.99999999577599996</v>
      </c>
      <c r="E21426">
        <v>2.718</v>
      </c>
    </row>
    <row r="21427" spans="1:5">
      <c r="A21427" t="s">
        <v>47121</v>
      </c>
      <c r="B21427" t="s">
        <v>32998</v>
      </c>
      <c r="C21427">
        <v>2.1641486916399999E-2</v>
      </c>
      <c r="D21427">
        <v>0.99999999577599996</v>
      </c>
      <c r="E21427">
        <v>2.718</v>
      </c>
    </row>
    <row r="21428" spans="1:5">
      <c r="A21428" t="s">
        <v>47121</v>
      </c>
      <c r="B21428" t="s">
        <v>33010</v>
      </c>
      <c r="C21428">
        <f>0.0144136087887</f>
        <v>1.4413608788700001E-2</v>
      </c>
      <c r="D21428">
        <v>0.99999999577599996</v>
      </c>
      <c r="E21428">
        <v>2.718</v>
      </c>
    </row>
    <row r="21429" spans="1:5">
      <c r="A21429" t="s">
        <v>47121</v>
      </c>
      <c r="B21429" t="s">
        <v>33007</v>
      </c>
      <c r="C21429">
        <v>9.7656954874699997E-2</v>
      </c>
      <c r="D21429">
        <v>0.99999999577599996</v>
      </c>
      <c r="E21429">
        <v>2.718</v>
      </c>
    </row>
    <row r="21430" spans="1:5">
      <c r="A21430" t="s">
        <v>47121</v>
      </c>
      <c r="B21430" t="s">
        <v>33013</v>
      </c>
      <c r="C21430">
        <f>0.0130142749771</f>
        <v>1.3014274977099999E-2</v>
      </c>
      <c r="D21430">
        <v>0.99999999577599996</v>
      </c>
      <c r="E21430">
        <v>2.718</v>
      </c>
    </row>
    <row r="21431" spans="1:5">
      <c r="A21431" t="s">
        <v>47122</v>
      </c>
      <c r="B21431" t="s">
        <v>25033</v>
      </c>
      <c r="C21431">
        <v>0</v>
      </c>
      <c r="D21431">
        <v>0.99817758423000003</v>
      </c>
      <c r="E21431">
        <v>8.1539999999999999</v>
      </c>
    </row>
    <row r="21432" spans="1:5">
      <c r="A21432" t="s">
        <v>47122</v>
      </c>
      <c r="B21432" t="s">
        <v>25034</v>
      </c>
      <c r="C21432">
        <v>0</v>
      </c>
      <c r="D21432">
        <v>0.99817758423000003</v>
      </c>
      <c r="E21432">
        <v>8.1539999999999999</v>
      </c>
    </row>
    <row r="21433" spans="1:5">
      <c r="A21433" t="s">
        <v>47122</v>
      </c>
      <c r="B21433" t="s">
        <v>25035</v>
      </c>
      <c r="C21433">
        <v>0.17016957634900001</v>
      </c>
      <c r="D21433">
        <v>0.99817758423000003</v>
      </c>
      <c r="E21433">
        <v>8.1539999999999999</v>
      </c>
    </row>
    <row r="21434" spans="1:5">
      <c r="A21434" t="s">
        <v>47122</v>
      </c>
      <c r="B21434" t="s">
        <v>25037</v>
      </c>
      <c r="C21434">
        <v>4.7571809169499997E-2</v>
      </c>
      <c r="D21434">
        <v>0.99817758423000003</v>
      </c>
      <c r="E21434">
        <v>8.1539999999999999</v>
      </c>
    </row>
    <row r="21435" spans="1:5">
      <c r="A21435" t="s">
        <v>47122</v>
      </c>
      <c r="B21435" t="s">
        <v>25036</v>
      </c>
      <c r="C21435">
        <v>0</v>
      </c>
      <c r="D21435">
        <v>0.99817758423000003</v>
      </c>
      <c r="E21435">
        <v>8.1539999999999999</v>
      </c>
    </row>
    <row r="21436" spans="1:5">
      <c r="A21436" t="s">
        <v>47122</v>
      </c>
      <c r="B21436" t="s">
        <v>25038</v>
      </c>
      <c r="C21436">
        <v>0.838465720937</v>
      </c>
      <c r="D21436">
        <v>0.99817758423000003</v>
      </c>
      <c r="E21436">
        <v>8.1539999999999999</v>
      </c>
    </row>
    <row r="21437" spans="1:5">
      <c r="A21437" t="s">
        <v>47122</v>
      </c>
      <c r="B21437" t="s">
        <v>25039</v>
      </c>
      <c r="C21437">
        <v>0</v>
      </c>
      <c r="D21437">
        <v>0.99817758423000003</v>
      </c>
      <c r="E21437">
        <v>8.1539999999999999</v>
      </c>
    </row>
    <row r="21438" spans="1:5">
      <c r="A21438" t="s">
        <v>47122</v>
      </c>
      <c r="B21438" t="s">
        <v>25040</v>
      </c>
      <c r="C21438">
        <v>0</v>
      </c>
      <c r="D21438">
        <v>0.99817758423000003</v>
      </c>
      <c r="E21438">
        <v>8.1539999999999999</v>
      </c>
    </row>
    <row r="21439" spans="1:5">
      <c r="A21439" t="s">
        <v>47123</v>
      </c>
      <c r="B21439" t="s">
        <v>20228</v>
      </c>
      <c r="C21439">
        <v>0.35148848998999999</v>
      </c>
      <c r="D21439">
        <v>0.999443153004</v>
      </c>
      <c r="E21439">
        <v>0</v>
      </c>
    </row>
    <row r="21440" spans="1:5">
      <c r="A21440" t="s">
        <v>47123</v>
      </c>
      <c r="B21440" t="s">
        <v>20232</v>
      </c>
      <c r="C21440">
        <f>0.164143878855</f>
        <v>0.16414387885500001</v>
      </c>
      <c r="D21440">
        <v>0.999443153004</v>
      </c>
      <c r="E21440">
        <v>0</v>
      </c>
    </row>
    <row r="21441" spans="1:5">
      <c r="A21441" t="s">
        <v>47123</v>
      </c>
      <c r="B21441" t="s">
        <v>20236</v>
      </c>
      <c r="C21441">
        <v>0.69702226296000003</v>
      </c>
      <c r="D21441">
        <v>0.999443153004</v>
      </c>
      <c r="E21441">
        <v>0</v>
      </c>
    </row>
    <row r="21442" spans="1:5">
      <c r="A21442" t="s">
        <v>47123</v>
      </c>
      <c r="B21442" t="s">
        <v>20230</v>
      </c>
      <c r="C21442">
        <v>0.34217258220000002</v>
      </c>
      <c r="D21442">
        <v>0.999443153004</v>
      </c>
      <c r="E21442">
        <v>0</v>
      </c>
    </row>
    <row r="21443" spans="1:5">
      <c r="A21443" t="s">
        <v>47123</v>
      </c>
      <c r="B21443" t="s">
        <v>20235</v>
      </c>
      <c r="C21443">
        <f>-1.29161594145</f>
        <v>-1.2916159414499999</v>
      </c>
      <c r="D21443">
        <v>0.999443153004</v>
      </c>
      <c r="E21443">
        <v>0</v>
      </c>
    </row>
    <row r="21444" spans="1:5">
      <c r="A21444" t="s">
        <v>47123</v>
      </c>
      <c r="B21444" t="s">
        <v>20234</v>
      </c>
      <c r="C21444">
        <v>1.5309139059200001</v>
      </c>
      <c r="D21444">
        <v>0.999443153004</v>
      </c>
      <c r="E21444">
        <v>0</v>
      </c>
    </row>
    <row r="21445" spans="1:5">
      <c r="A21445" t="s">
        <v>47123</v>
      </c>
      <c r="B21445" t="s">
        <v>20231</v>
      </c>
      <c r="C21445">
        <f>-1.30327946719</f>
        <v>-1.3032794671900001</v>
      </c>
      <c r="D21445">
        <v>0.999443153004</v>
      </c>
      <c r="E21445">
        <v>0</v>
      </c>
    </row>
    <row r="21446" spans="1:5">
      <c r="A21446" t="s">
        <v>47124</v>
      </c>
      <c r="B21446" t="s">
        <v>4592</v>
      </c>
      <c r="C21446">
        <f>0.772100594379</f>
        <v>0.77210059437900003</v>
      </c>
      <c r="D21446">
        <v>0.87451059437900003</v>
      </c>
      <c r="E21446">
        <v>1.3919999999999999</v>
      </c>
    </row>
    <row r="21447" spans="1:5">
      <c r="A21447" t="s">
        <v>47124</v>
      </c>
      <c r="B21447" t="s">
        <v>4588</v>
      </c>
      <c r="C21447">
        <v>0</v>
      </c>
      <c r="D21447">
        <v>0.87451059437900003</v>
      </c>
      <c r="E21447">
        <v>1.3919999999999999</v>
      </c>
    </row>
    <row r="21448" spans="1:5">
      <c r="A21448" t="s">
        <v>47124</v>
      </c>
      <c r="B21448" t="s">
        <v>4591</v>
      </c>
      <c r="C21448">
        <v>0</v>
      </c>
      <c r="D21448">
        <v>0.87451059437900003</v>
      </c>
      <c r="E21448">
        <v>1.3919999999999999</v>
      </c>
    </row>
    <row r="21449" spans="1:5">
      <c r="A21449" t="s">
        <v>47125</v>
      </c>
      <c r="B21449" t="s">
        <v>8014</v>
      </c>
      <c r="C21449">
        <v>0.28639400466999998</v>
      </c>
      <c r="D21449">
        <v>0.922922045922</v>
      </c>
      <c r="E21449">
        <v>24</v>
      </c>
    </row>
    <row r="21450" spans="1:5">
      <c r="A21450" t="s">
        <v>47125</v>
      </c>
      <c r="B21450" t="s">
        <v>8017</v>
      </c>
      <c r="C21450">
        <f>0.0130946854728</f>
        <v>1.3094685472800001E-2</v>
      </c>
      <c r="D21450">
        <v>0.922922045922</v>
      </c>
      <c r="E21450">
        <v>24</v>
      </c>
    </row>
    <row r="21451" spans="1:5">
      <c r="A21451" t="s">
        <v>47125</v>
      </c>
      <c r="B21451" t="s">
        <v>8016</v>
      </c>
      <c r="C21451">
        <v>0.53154514210600001</v>
      </c>
      <c r="D21451">
        <v>0.922922045922</v>
      </c>
      <c r="E21451">
        <v>24</v>
      </c>
    </row>
    <row r="21452" spans="1:5">
      <c r="A21452" t="s">
        <v>47125</v>
      </c>
      <c r="B21452" t="s">
        <v>8015</v>
      </c>
      <c r="C21452">
        <f>0</f>
        <v>0</v>
      </c>
      <c r="D21452">
        <v>0.922922045922</v>
      </c>
      <c r="E21452">
        <v>24</v>
      </c>
    </row>
    <row r="21453" spans="1:5">
      <c r="A21453" t="s">
        <v>47126</v>
      </c>
      <c r="B21453" t="s">
        <v>47127</v>
      </c>
      <c r="C21453">
        <f>0</f>
        <v>0</v>
      </c>
      <c r="D21453" t="s">
        <v>106</v>
      </c>
      <c r="E21453">
        <v>0.82799999999999996</v>
      </c>
    </row>
    <row r="21454" spans="1:5">
      <c r="A21454" t="s">
        <v>47126</v>
      </c>
      <c r="B21454" t="s">
        <v>47128</v>
      </c>
      <c r="C21454">
        <v>0</v>
      </c>
      <c r="D21454" t="s">
        <v>106</v>
      </c>
      <c r="E21454">
        <v>0.82799999999999996</v>
      </c>
    </row>
    <row r="21455" spans="1:5">
      <c r="A21455" t="s">
        <v>47129</v>
      </c>
      <c r="B21455" t="s">
        <v>47130</v>
      </c>
      <c r="C21455">
        <f>0.31957676606</f>
        <v>0.31957676606000002</v>
      </c>
      <c r="D21455">
        <v>0.58998676606</v>
      </c>
      <c r="E21455">
        <v>9.1679999999999993</v>
      </c>
    </row>
    <row r="21456" spans="1:5">
      <c r="A21456" t="s">
        <v>47129</v>
      </c>
      <c r="B21456" t="s">
        <v>47131</v>
      </c>
      <c r="C21456">
        <v>0</v>
      </c>
      <c r="D21456">
        <v>0.58998676606</v>
      </c>
      <c r="E21456">
        <v>9.1679999999999993</v>
      </c>
    </row>
    <row r="21457" spans="1:5">
      <c r="A21457" t="s">
        <v>47129</v>
      </c>
      <c r="B21457" t="s">
        <v>47132</v>
      </c>
      <c r="C21457">
        <f>0</f>
        <v>0</v>
      </c>
      <c r="D21457">
        <v>0.58998676606</v>
      </c>
      <c r="E21457">
        <v>9.1679999999999993</v>
      </c>
    </row>
    <row r="21458" spans="1:5">
      <c r="A21458" t="s">
        <v>47129</v>
      </c>
      <c r="B21458" t="s">
        <v>47133</v>
      </c>
      <c r="C21458">
        <v>0</v>
      </c>
      <c r="D21458">
        <v>0.58998676606</v>
      </c>
      <c r="E21458">
        <v>9.1679999999999993</v>
      </c>
    </row>
    <row r="21459" spans="1:5">
      <c r="A21459" t="s">
        <v>47134</v>
      </c>
      <c r="B21459" t="s">
        <v>47135</v>
      </c>
      <c r="C21459">
        <v>0.59036337757500001</v>
      </c>
      <c r="D21459">
        <v>0.89611585433899998</v>
      </c>
      <c r="E21459">
        <v>10.878</v>
      </c>
    </row>
    <row r="21460" spans="1:5">
      <c r="A21460" t="s">
        <v>47134</v>
      </c>
      <c r="B21460" t="s">
        <v>47136</v>
      </c>
      <c r="C21460">
        <v>0</v>
      </c>
      <c r="D21460">
        <v>0.89611585433899998</v>
      </c>
      <c r="E21460">
        <v>10.878</v>
      </c>
    </row>
    <row r="21461" spans="1:5">
      <c r="A21461" t="s">
        <v>47134</v>
      </c>
      <c r="B21461" t="s">
        <v>47137</v>
      </c>
      <c r="C21461">
        <v>0.555431869405</v>
      </c>
      <c r="D21461">
        <v>0.89611585433899998</v>
      </c>
      <c r="E21461">
        <v>10.878</v>
      </c>
    </row>
    <row r="21462" spans="1:5">
      <c r="A21462" t="s">
        <v>47138</v>
      </c>
      <c r="B21462" t="s">
        <v>30724</v>
      </c>
      <c r="C21462">
        <v>0</v>
      </c>
      <c r="D21462" t="s">
        <v>106</v>
      </c>
      <c r="E21462">
        <v>17.718</v>
      </c>
    </row>
    <row r="21463" spans="1:5">
      <c r="A21463" t="s">
        <v>47138</v>
      </c>
      <c r="B21463" t="s">
        <v>30726</v>
      </c>
      <c r="C21463">
        <v>0</v>
      </c>
      <c r="D21463" t="s">
        <v>106</v>
      </c>
      <c r="E21463">
        <v>17.718</v>
      </c>
    </row>
    <row r="21464" spans="1:5">
      <c r="A21464" t="s">
        <v>47138</v>
      </c>
      <c r="B21464" t="s">
        <v>47139</v>
      </c>
      <c r="C21464">
        <v>0</v>
      </c>
      <c r="D21464" t="s">
        <v>106</v>
      </c>
      <c r="E21464">
        <v>17.718</v>
      </c>
    </row>
    <row r="21465" spans="1:5">
      <c r="A21465" t="s">
        <v>47138</v>
      </c>
      <c r="B21465" t="s">
        <v>30722</v>
      </c>
      <c r="C21465">
        <v>0</v>
      </c>
      <c r="D21465" t="s">
        <v>106</v>
      </c>
      <c r="E21465">
        <v>17.718</v>
      </c>
    </row>
    <row r="21466" spans="1:5">
      <c r="A21466" t="s">
        <v>47138</v>
      </c>
      <c r="B21466" t="s">
        <v>30718</v>
      </c>
      <c r="C21466">
        <v>0</v>
      </c>
      <c r="D21466" t="s">
        <v>106</v>
      </c>
      <c r="E21466">
        <v>17.718</v>
      </c>
    </row>
    <row r="21467" spans="1:5">
      <c r="A21467" t="s">
        <v>47140</v>
      </c>
      <c r="B21467" t="s">
        <v>34343</v>
      </c>
      <c r="C21467">
        <v>0</v>
      </c>
      <c r="D21467" t="s">
        <v>106</v>
      </c>
      <c r="E21467">
        <v>0.54</v>
      </c>
    </row>
    <row r="21468" spans="1:5">
      <c r="A21468" t="s">
        <v>47140</v>
      </c>
      <c r="B21468" t="s">
        <v>34345</v>
      </c>
      <c r="C21468">
        <v>0</v>
      </c>
      <c r="D21468" t="s">
        <v>106</v>
      </c>
      <c r="E21468">
        <v>0.54</v>
      </c>
    </row>
    <row r="21469" spans="1:5">
      <c r="A21469" t="s">
        <v>47140</v>
      </c>
      <c r="B21469" t="s">
        <v>34341</v>
      </c>
      <c r="C21469">
        <v>0</v>
      </c>
      <c r="D21469" t="s">
        <v>106</v>
      </c>
      <c r="E21469">
        <v>0.54</v>
      </c>
    </row>
    <row r="21470" spans="1:5">
      <c r="A21470" t="s">
        <v>47141</v>
      </c>
      <c r="B21470" t="s">
        <v>47142</v>
      </c>
      <c r="C21470">
        <v>0</v>
      </c>
      <c r="D21470" t="s">
        <v>106</v>
      </c>
      <c r="E21470">
        <v>0.13200000000000001</v>
      </c>
    </row>
    <row r="21471" spans="1:5">
      <c r="A21471" t="s">
        <v>47141</v>
      </c>
      <c r="B21471" t="s">
        <v>47143</v>
      </c>
      <c r="C21471">
        <v>0</v>
      </c>
      <c r="D21471" t="s">
        <v>106</v>
      </c>
      <c r="E21471">
        <v>0.13200000000000001</v>
      </c>
    </row>
    <row r="21472" spans="1:5">
      <c r="A21472" t="s">
        <v>47141</v>
      </c>
      <c r="B21472" t="s">
        <v>47144</v>
      </c>
      <c r="C21472">
        <v>0</v>
      </c>
      <c r="D21472" t="s">
        <v>106</v>
      </c>
      <c r="E21472">
        <v>0.13200000000000001</v>
      </c>
    </row>
    <row r="21473" spans="1:5">
      <c r="A21473" t="s">
        <v>47141</v>
      </c>
      <c r="B21473" t="s">
        <v>47145</v>
      </c>
      <c r="C21473">
        <v>0</v>
      </c>
      <c r="D21473" t="s">
        <v>106</v>
      </c>
      <c r="E21473">
        <v>0.13200000000000001</v>
      </c>
    </row>
    <row r="21474" spans="1:5">
      <c r="A21474" t="s">
        <v>47146</v>
      </c>
      <c r="B21474" t="s">
        <v>12448</v>
      </c>
      <c r="C21474">
        <v>1.57293062584</v>
      </c>
      <c r="D21474">
        <v>0.85241579348999996</v>
      </c>
      <c r="E21474">
        <v>24</v>
      </c>
    </row>
    <row r="21475" spans="1:5">
      <c r="A21475" t="s">
        <v>47146</v>
      </c>
      <c r="B21475" t="s">
        <v>12451</v>
      </c>
      <c r="C21475">
        <v>0.94333136659600003</v>
      </c>
      <c r="D21475">
        <v>0.85241579348999996</v>
      </c>
      <c r="E21475">
        <v>24</v>
      </c>
    </row>
    <row r="21476" spans="1:5">
      <c r="A21476" t="s">
        <v>47147</v>
      </c>
      <c r="B21476" t="s">
        <v>47148</v>
      </c>
      <c r="C21476">
        <f>0</f>
        <v>0</v>
      </c>
      <c r="D21476" t="s">
        <v>106</v>
      </c>
      <c r="E21476">
        <v>24</v>
      </c>
    </row>
    <row r="21477" spans="1:5">
      <c r="A21477" t="s">
        <v>47147</v>
      </c>
      <c r="B21477" t="s">
        <v>47149</v>
      </c>
      <c r="C21477">
        <v>0</v>
      </c>
      <c r="D21477" t="s">
        <v>106</v>
      </c>
      <c r="E21477">
        <v>24</v>
      </c>
    </row>
    <row r="21478" spans="1:5">
      <c r="A21478" t="s">
        <v>47150</v>
      </c>
      <c r="B21478" t="s">
        <v>47151</v>
      </c>
      <c r="C21478">
        <v>0.71518765498500003</v>
      </c>
      <c r="D21478">
        <v>0.80883456663499997</v>
      </c>
      <c r="E21478">
        <v>10.554</v>
      </c>
    </row>
    <row r="21479" spans="1:5">
      <c r="A21479" t="s">
        <v>47150</v>
      </c>
      <c r="B21479" t="s">
        <v>47152</v>
      </c>
      <c r="C21479">
        <f>0.133344753471</f>
        <v>0.133344753471</v>
      </c>
      <c r="D21479">
        <v>0.80883456663499997</v>
      </c>
      <c r="E21479">
        <v>10.554</v>
      </c>
    </row>
    <row r="21480" spans="1:5">
      <c r="A21480" t="s">
        <v>47150</v>
      </c>
      <c r="B21480" t="s">
        <v>47153</v>
      </c>
      <c r="C21480">
        <v>0.395336188082</v>
      </c>
      <c r="D21480">
        <v>0.80883456663499997</v>
      </c>
      <c r="E21480">
        <v>10.554</v>
      </c>
    </row>
    <row r="21481" spans="1:5">
      <c r="A21481" t="s">
        <v>47154</v>
      </c>
      <c r="B21481" t="s">
        <v>10157</v>
      </c>
      <c r="C21481">
        <v>0.89243148906100001</v>
      </c>
      <c r="D21481">
        <v>0.91633403102400002</v>
      </c>
      <c r="E21481">
        <v>1.452</v>
      </c>
    </row>
    <row r="21482" spans="1:5">
      <c r="A21482" t="s">
        <v>47154</v>
      </c>
      <c r="B21482" t="s">
        <v>10152</v>
      </c>
      <c r="C21482">
        <f>0.15535873845</f>
        <v>0.15535873845000001</v>
      </c>
      <c r="D21482">
        <v>0.91633403102400002</v>
      </c>
      <c r="E21482">
        <v>1.452</v>
      </c>
    </row>
    <row r="21483" spans="1:5">
      <c r="A21483" t="s">
        <v>47155</v>
      </c>
      <c r="B21483" t="s">
        <v>47156</v>
      </c>
      <c r="C21483">
        <f>0</f>
        <v>0</v>
      </c>
      <c r="D21483" t="s">
        <v>106</v>
      </c>
      <c r="E21483">
        <v>3.4079999999999999</v>
      </c>
    </row>
    <row r="21484" spans="1:5">
      <c r="A21484" t="s">
        <v>47155</v>
      </c>
      <c r="B21484" t="s">
        <v>47157</v>
      </c>
      <c r="C21484">
        <f>0</f>
        <v>0</v>
      </c>
      <c r="D21484" t="s">
        <v>106</v>
      </c>
      <c r="E21484">
        <v>3.4079999999999999</v>
      </c>
    </row>
    <row r="21485" spans="1:5">
      <c r="A21485" t="s">
        <v>47158</v>
      </c>
      <c r="B21485" t="s">
        <v>34031</v>
      </c>
      <c r="C21485">
        <v>0</v>
      </c>
      <c r="D21485">
        <v>0.62780028350399997</v>
      </c>
      <c r="E21485">
        <v>8.2919999999999998</v>
      </c>
    </row>
    <row r="21486" spans="1:5">
      <c r="A21486" t="s">
        <v>47158</v>
      </c>
      <c r="B21486" t="s">
        <v>34033</v>
      </c>
      <c r="C21486">
        <f>0</f>
        <v>0</v>
      </c>
      <c r="D21486">
        <v>0.62780028350399997</v>
      </c>
      <c r="E21486">
        <v>8.2919999999999998</v>
      </c>
    </row>
    <row r="21487" spans="1:5">
      <c r="A21487" t="s">
        <v>47158</v>
      </c>
      <c r="B21487" t="s">
        <v>34032</v>
      </c>
      <c r="C21487">
        <v>0</v>
      </c>
      <c r="D21487">
        <v>0.62780028350399997</v>
      </c>
      <c r="E21487">
        <v>8.2919999999999998</v>
      </c>
    </row>
    <row r="21488" spans="1:5">
      <c r="A21488" t="s">
        <v>47158</v>
      </c>
      <c r="B21488" t="s">
        <v>34034</v>
      </c>
      <c r="C21488">
        <v>5.0190283504200003E-2</v>
      </c>
      <c r="D21488">
        <v>0.62780028350399997</v>
      </c>
      <c r="E21488">
        <v>8.2919999999999998</v>
      </c>
    </row>
    <row r="21489" spans="1:5">
      <c r="A21489" t="s">
        <v>47158</v>
      </c>
      <c r="B21489" t="s">
        <v>34035</v>
      </c>
      <c r="C21489">
        <v>0</v>
      </c>
      <c r="D21489">
        <v>0.62780028350399997</v>
      </c>
      <c r="E21489">
        <v>8.2919999999999998</v>
      </c>
    </row>
    <row r="21490" spans="1:5">
      <c r="A21490" t="s">
        <v>47159</v>
      </c>
      <c r="B21490" t="s">
        <v>47160</v>
      </c>
      <c r="C21490">
        <v>0</v>
      </c>
      <c r="D21490">
        <v>0.84789893970899999</v>
      </c>
      <c r="E21490">
        <v>6.06</v>
      </c>
    </row>
    <row r="21491" spans="1:5">
      <c r="A21491" t="s">
        <v>47159</v>
      </c>
      <c r="B21491" t="s">
        <v>47161</v>
      </c>
      <c r="C21491">
        <v>0.58437984577000002</v>
      </c>
      <c r="D21491">
        <v>0.84789893970899999</v>
      </c>
      <c r="E21491">
        <v>6.06</v>
      </c>
    </row>
    <row r="21492" spans="1:5">
      <c r="A21492" t="s">
        <v>47159</v>
      </c>
      <c r="B21492" t="s">
        <v>47162</v>
      </c>
      <c r="C21492">
        <v>4.3957947953499998E-2</v>
      </c>
      <c r="D21492">
        <v>0.84789893970899999</v>
      </c>
      <c r="E21492">
        <v>6.06</v>
      </c>
    </row>
    <row r="21493" spans="1:5">
      <c r="A21493" t="s">
        <v>47159</v>
      </c>
      <c r="B21493" t="s">
        <v>47163</v>
      </c>
      <c r="C21493">
        <f>0</f>
        <v>0</v>
      </c>
      <c r="D21493">
        <v>0.84789893970899999</v>
      </c>
      <c r="E21493">
        <v>6.06</v>
      </c>
    </row>
    <row r="21494" spans="1:5">
      <c r="A21494" t="s">
        <v>47164</v>
      </c>
      <c r="B21494" t="s">
        <v>18525</v>
      </c>
      <c r="C21494">
        <f>0.15173490119</f>
        <v>0.15173490118999999</v>
      </c>
      <c r="D21494">
        <v>0.38214490119</v>
      </c>
      <c r="E21494">
        <v>16.097999999999999</v>
      </c>
    </row>
    <row r="21495" spans="1:5">
      <c r="A21495" t="s">
        <v>47164</v>
      </c>
      <c r="B21495" t="s">
        <v>18527</v>
      </c>
      <c r="C21495">
        <v>0</v>
      </c>
      <c r="D21495">
        <v>0.38214490119</v>
      </c>
      <c r="E21495">
        <v>16.097999999999999</v>
      </c>
    </row>
    <row r="21496" spans="1:5">
      <c r="A21496" t="s">
        <v>47164</v>
      </c>
      <c r="B21496" t="s">
        <v>18528</v>
      </c>
      <c r="C21496">
        <v>0</v>
      </c>
      <c r="D21496">
        <v>0.38214490119</v>
      </c>
      <c r="E21496">
        <v>16.097999999999999</v>
      </c>
    </row>
    <row r="21497" spans="1:5">
      <c r="A21497" t="s">
        <v>47165</v>
      </c>
      <c r="B21497" t="s">
        <v>47166</v>
      </c>
      <c r="C21497">
        <v>0</v>
      </c>
      <c r="D21497" t="s">
        <v>106</v>
      </c>
      <c r="E21497">
        <v>17.303999999999998</v>
      </c>
    </row>
    <row r="21498" spans="1:5">
      <c r="A21498" t="s">
        <v>47165</v>
      </c>
      <c r="B21498" t="s">
        <v>47167</v>
      </c>
      <c r="C21498">
        <f>0</f>
        <v>0</v>
      </c>
      <c r="D21498" t="s">
        <v>106</v>
      </c>
      <c r="E21498">
        <v>17.303999999999998</v>
      </c>
    </row>
    <row r="21499" spans="1:5">
      <c r="A21499" t="s">
        <v>47165</v>
      </c>
      <c r="B21499" t="s">
        <v>47168</v>
      </c>
      <c r="C21499">
        <f>0</f>
        <v>0</v>
      </c>
      <c r="D21499" t="s">
        <v>106</v>
      </c>
      <c r="E21499">
        <v>17.303999999999998</v>
      </c>
    </row>
    <row r="21500" spans="1:5">
      <c r="A21500" t="s">
        <v>47165</v>
      </c>
      <c r="B21500" t="s">
        <v>47169</v>
      </c>
      <c r="C21500">
        <v>0</v>
      </c>
      <c r="D21500" t="s">
        <v>106</v>
      </c>
      <c r="E21500">
        <v>17.303999999999998</v>
      </c>
    </row>
    <row r="21501" spans="1:5">
      <c r="A21501" t="s">
        <v>47165</v>
      </c>
      <c r="B21501" t="s">
        <v>47170</v>
      </c>
      <c r="C21501">
        <f>0</f>
        <v>0</v>
      </c>
      <c r="D21501" t="s">
        <v>106</v>
      </c>
      <c r="E21501">
        <v>17.303999999999998</v>
      </c>
    </row>
    <row r="21502" spans="1:5">
      <c r="A21502" t="s">
        <v>47165</v>
      </c>
      <c r="B21502" t="s">
        <v>47171</v>
      </c>
      <c r="C21502">
        <v>0</v>
      </c>
      <c r="D21502" t="s">
        <v>106</v>
      </c>
      <c r="E21502">
        <v>17.303999999999998</v>
      </c>
    </row>
    <row r="21503" spans="1:5">
      <c r="A21503" t="s">
        <v>47165</v>
      </c>
      <c r="B21503" t="s">
        <v>47172</v>
      </c>
      <c r="C21503">
        <f>0</f>
        <v>0</v>
      </c>
      <c r="D21503" t="s">
        <v>106</v>
      </c>
      <c r="E21503">
        <v>17.303999999999998</v>
      </c>
    </row>
    <row r="21504" spans="1:5">
      <c r="A21504" t="s">
        <v>47173</v>
      </c>
      <c r="B21504" t="s">
        <v>25082</v>
      </c>
      <c r="C21504">
        <v>0.69296130257699995</v>
      </c>
      <c r="D21504">
        <v>0.91987690457399995</v>
      </c>
      <c r="E21504">
        <v>6.06</v>
      </c>
    </row>
    <row r="21505" spans="1:5">
      <c r="A21505" t="s">
        <v>47173</v>
      </c>
      <c r="B21505" t="s">
        <v>25079</v>
      </c>
      <c r="C21505">
        <v>0</v>
      </c>
      <c r="D21505">
        <v>0.91987690457399995</v>
      </c>
      <c r="E21505">
        <v>6.06</v>
      </c>
    </row>
    <row r="21506" spans="1:5">
      <c r="A21506" t="s">
        <v>47173</v>
      </c>
      <c r="B21506" t="s">
        <v>25080</v>
      </c>
      <c r="C21506">
        <f>0.917771864751</f>
        <v>0.91777186475100003</v>
      </c>
      <c r="D21506">
        <v>0.91987690457399995</v>
      </c>
      <c r="E21506">
        <v>6.06</v>
      </c>
    </row>
    <row r="21507" spans="1:5">
      <c r="A21507" t="s">
        <v>47174</v>
      </c>
      <c r="B21507" t="s">
        <v>47175</v>
      </c>
      <c r="C21507">
        <v>0</v>
      </c>
      <c r="D21507">
        <v>0.85591666904599994</v>
      </c>
      <c r="E21507">
        <v>5.9340000000000002</v>
      </c>
    </row>
    <row r="21508" spans="1:5">
      <c r="A21508" t="s">
        <v>47174</v>
      </c>
      <c r="B21508" t="s">
        <v>47176</v>
      </c>
      <c r="C21508">
        <v>0.72630666904600005</v>
      </c>
      <c r="D21508">
        <v>0.85591666904599994</v>
      </c>
      <c r="E21508">
        <v>5.9340000000000002</v>
      </c>
    </row>
    <row r="21509" spans="1:5">
      <c r="A21509" t="s">
        <v>47174</v>
      </c>
      <c r="B21509" t="s">
        <v>47177</v>
      </c>
      <c r="C21509">
        <v>0</v>
      </c>
      <c r="D21509">
        <v>0.85591666904599994</v>
      </c>
      <c r="E21509">
        <v>5.9340000000000002</v>
      </c>
    </row>
    <row r="21510" spans="1:5">
      <c r="A21510" t="s">
        <v>47174</v>
      </c>
      <c r="B21510" t="s">
        <v>47178</v>
      </c>
      <c r="C21510">
        <v>0</v>
      </c>
      <c r="D21510">
        <v>0.85591666904599994</v>
      </c>
      <c r="E21510">
        <v>5.9340000000000002</v>
      </c>
    </row>
    <row r="21511" spans="1:5">
      <c r="A21511" t="s">
        <v>47179</v>
      </c>
      <c r="B21511" t="s">
        <v>47180</v>
      </c>
      <c r="C21511">
        <f>0</f>
        <v>0</v>
      </c>
      <c r="D21511">
        <v>0.64299408024000004</v>
      </c>
      <c r="E21511">
        <v>24</v>
      </c>
    </row>
    <row r="21512" spans="1:5">
      <c r="A21512" t="s">
        <v>47179</v>
      </c>
      <c r="B21512" t="s">
        <v>47181</v>
      </c>
      <c r="C21512">
        <f>0.48298408024</f>
        <v>0.48298408024</v>
      </c>
      <c r="D21512">
        <v>0.64299408024000004</v>
      </c>
      <c r="E21512">
        <v>24</v>
      </c>
    </row>
    <row r="21513" spans="1:5">
      <c r="A21513" t="s">
        <v>47179</v>
      </c>
      <c r="B21513" t="s">
        <v>47182</v>
      </c>
      <c r="C21513">
        <v>0</v>
      </c>
      <c r="D21513">
        <v>0.64299408024000004</v>
      </c>
      <c r="E21513">
        <v>24</v>
      </c>
    </row>
    <row r="21514" spans="1:5">
      <c r="A21514" t="s">
        <v>47183</v>
      </c>
      <c r="B21514" t="s">
        <v>17018</v>
      </c>
      <c r="C21514">
        <f>0</f>
        <v>0</v>
      </c>
      <c r="D21514">
        <v>0.95378162133099997</v>
      </c>
      <c r="E21514">
        <v>24</v>
      </c>
    </row>
    <row r="21515" spans="1:5">
      <c r="A21515" t="s">
        <v>47183</v>
      </c>
      <c r="B21515" t="s">
        <v>17025</v>
      </c>
      <c r="C21515">
        <v>3.3777184614500001E-2</v>
      </c>
      <c r="D21515">
        <v>0.95378162133099997</v>
      </c>
      <c r="E21515">
        <v>24</v>
      </c>
    </row>
    <row r="21516" spans="1:5">
      <c r="A21516" t="s">
        <v>47183</v>
      </c>
      <c r="B21516" t="s">
        <v>17024</v>
      </c>
      <c r="C21516">
        <v>0.69226089414900005</v>
      </c>
      <c r="D21516">
        <v>0.95378162133099997</v>
      </c>
      <c r="E21516">
        <v>24</v>
      </c>
    </row>
    <row r="21517" spans="1:5">
      <c r="A21517" t="s">
        <v>47183</v>
      </c>
      <c r="B21517" t="s">
        <v>17022</v>
      </c>
      <c r="C21517">
        <f>-1.05449463028</f>
        <v>-1.05449463028</v>
      </c>
      <c r="D21517">
        <v>0.95378162133099997</v>
      </c>
      <c r="E21517">
        <v>24</v>
      </c>
    </row>
    <row r="21518" spans="1:5">
      <c r="A21518" t="s">
        <v>47183</v>
      </c>
      <c r="B21518" t="s">
        <v>47184</v>
      </c>
      <c r="C21518">
        <f>0.0671663817699</f>
        <v>6.7166381769900002E-2</v>
      </c>
      <c r="D21518">
        <v>0.95378162133099997</v>
      </c>
      <c r="E21518">
        <v>24</v>
      </c>
    </row>
    <row r="21519" spans="1:5">
      <c r="A21519" t="s">
        <v>47185</v>
      </c>
      <c r="B21519" t="s">
        <v>20325</v>
      </c>
      <c r="C21519">
        <v>0</v>
      </c>
      <c r="D21519" t="s">
        <v>106</v>
      </c>
      <c r="E21519">
        <v>3.972</v>
      </c>
    </row>
    <row r="21520" spans="1:5">
      <c r="A21520" t="s">
        <v>47185</v>
      </c>
      <c r="B21520" t="s">
        <v>47186</v>
      </c>
      <c r="C21520">
        <v>0</v>
      </c>
      <c r="D21520" t="s">
        <v>106</v>
      </c>
      <c r="E21520">
        <v>3.972</v>
      </c>
    </row>
    <row r="21521" spans="1:5">
      <c r="A21521" t="s">
        <v>47185</v>
      </c>
      <c r="B21521" t="s">
        <v>20323</v>
      </c>
      <c r="C21521">
        <f>0</f>
        <v>0</v>
      </c>
      <c r="D21521" t="s">
        <v>106</v>
      </c>
      <c r="E21521">
        <v>3.972</v>
      </c>
    </row>
    <row r="21522" spans="1:5">
      <c r="A21522" t="s">
        <v>47185</v>
      </c>
      <c r="B21522" t="s">
        <v>20321</v>
      </c>
      <c r="C21522">
        <v>0</v>
      </c>
      <c r="D21522" t="s">
        <v>106</v>
      </c>
      <c r="E21522">
        <v>3.972</v>
      </c>
    </row>
    <row r="21523" spans="1:5">
      <c r="A21523" t="s">
        <v>47185</v>
      </c>
      <c r="B21523" t="s">
        <v>20326</v>
      </c>
      <c r="C21523">
        <v>0</v>
      </c>
      <c r="D21523" t="s">
        <v>106</v>
      </c>
      <c r="E21523">
        <v>3.972</v>
      </c>
    </row>
    <row r="21524" spans="1:5">
      <c r="A21524" t="s">
        <v>47185</v>
      </c>
      <c r="B21524" t="s">
        <v>20322</v>
      </c>
      <c r="C21524">
        <f>0</f>
        <v>0</v>
      </c>
      <c r="D21524" t="s">
        <v>106</v>
      </c>
      <c r="E21524">
        <v>3.972</v>
      </c>
    </row>
    <row r="21525" spans="1:5">
      <c r="A21525" t="s">
        <v>47185</v>
      </c>
      <c r="B21525" t="s">
        <v>20331</v>
      </c>
      <c r="C21525">
        <f>0</f>
        <v>0</v>
      </c>
      <c r="D21525" t="s">
        <v>106</v>
      </c>
      <c r="E21525">
        <v>3.972</v>
      </c>
    </row>
    <row r="21526" spans="1:5">
      <c r="A21526" t="s">
        <v>47185</v>
      </c>
      <c r="B21526" t="s">
        <v>20328</v>
      </c>
      <c r="C21526">
        <f>0</f>
        <v>0</v>
      </c>
      <c r="D21526" t="s">
        <v>106</v>
      </c>
      <c r="E21526">
        <v>3.972</v>
      </c>
    </row>
    <row r="21527" spans="1:5">
      <c r="A21527" t="s">
        <v>47185</v>
      </c>
      <c r="B21527" t="s">
        <v>20324</v>
      </c>
      <c r="C21527">
        <v>0</v>
      </c>
      <c r="D21527" t="s">
        <v>106</v>
      </c>
      <c r="E21527">
        <v>3.972</v>
      </c>
    </row>
    <row r="21528" spans="1:5">
      <c r="A21528" t="s">
        <v>47185</v>
      </c>
      <c r="B21528" t="s">
        <v>20333</v>
      </c>
      <c r="C21528">
        <v>0</v>
      </c>
      <c r="D21528" t="s">
        <v>106</v>
      </c>
      <c r="E21528">
        <v>3.972</v>
      </c>
    </row>
    <row r="21529" spans="1:5">
      <c r="A21529" t="s">
        <v>47185</v>
      </c>
      <c r="B21529" t="s">
        <v>20327</v>
      </c>
      <c r="C21529">
        <f>0</f>
        <v>0</v>
      </c>
      <c r="D21529" t="s">
        <v>106</v>
      </c>
      <c r="E21529">
        <v>3.972</v>
      </c>
    </row>
    <row r="21530" spans="1:5">
      <c r="A21530" t="s">
        <v>47185</v>
      </c>
      <c r="B21530" t="s">
        <v>20329</v>
      </c>
      <c r="C21530">
        <f>0</f>
        <v>0</v>
      </c>
      <c r="D21530" t="s">
        <v>106</v>
      </c>
      <c r="E21530">
        <v>3.972</v>
      </c>
    </row>
    <row r="21531" spans="1:5">
      <c r="A21531" t="s">
        <v>47185</v>
      </c>
      <c r="B21531" t="s">
        <v>20320</v>
      </c>
      <c r="C21531">
        <v>0</v>
      </c>
      <c r="D21531" t="s">
        <v>106</v>
      </c>
      <c r="E21531">
        <v>3.972</v>
      </c>
    </row>
    <row r="21532" spans="1:5">
      <c r="A21532" t="s">
        <v>47187</v>
      </c>
      <c r="B21532" t="s">
        <v>12462</v>
      </c>
      <c r="C21532">
        <v>0</v>
      </c>
      <c r="D21532">
        <v>0.98011650599699995</v>
      </c>
      <c r="E21532">
        <v>24</v>
      </c>
    </row>
    <row r="21533" spans="1:5">
      <c r="A21533" t="s">
        <v>47187</v>
      </c>
      <c r="B21533" t="s">
        <v>12466</v>
      </c>
      <c r="C21533">
        <v>0.10233244067900001</v>
      </c>
      <c r="D21533">
        <v>0.98011650599699995</v>
      </c>
      <c r="E21533">
        <v>24</v>
      </c>
    </row>
    <row r="21534" spans="1:5">
      <c r="A21534" t="s">
        <v>47187</v>
      </c>
      <c r="B21534" t="s">
        <v>12461</v>
      </c>
      <c r="C21534">
        <v>0.31583183624700001</v>
      </c>
      <c r="D21534">
        <v>0.98011650599699995</v>
      </c>
      <c r="E21534">
        <v>24</v>
      </c>
    </row>
    <row r="21535" spans="1:5">
      <c r="A21535" t="s">
        <v>47187</v>
      </c>
      <c r="B21535" t="s">
        <v>12463</v>
      </c>
      <c r="C21535">
        <f>0</f>
        <v>0</v>
      </c>
      <c r="D21535">
        <v>0.98011650599699995</v>
      </c>
      <c r="E21535">
        <v>24</v>
      </c>
    </row>
    <row r="21536" spans="1:5">
      <c r="A21536" t="s">
        <v>47187</v>
      </c>
      <c r="B21536" t="s">
        <v>12464</v>
      </c>
      <c r="C21536">
        <f>0.135403617823</f>
        <v>0.13540361782300001</v>
      </c>
      <c r="D21536">
        <v>0.98011650599699995</v>
      </c>
      <c r="E21536">
        <v>24</v>
      </c>
    </row>
    <row r="21537" spans="1:5">
      <c r="A21537" t="s">
        <v>47187</v>
      </c>
      <c r="B21537" t="s">
        <v>12465</v>
      </c>
      <c r="C21537">
        <v>0.83892731759600003</v>
      </c>
      <c r="D21537">
        <v>0.98011650599699995</v>
      </c>
      <c r="E21537">
        <v>24</v>
      </c>
    </row>
    <row r="21538" spans="1:5">
      <c r="A21538" t="s">
        <v>47188</v>
      </c>
      <c r="B21538" t="s">
        <v>27748</v>
      </c>
      <c r="C21538">
        <v>0</v>
      </c>
      <c r="D21538">
        <v>0.74399419509099995</v>
      </c>
      <c r="E21538">
        <v>16.494</v>
      </c>
    </row>
    <row r="21539" spans="1:5">
      <c r="A21539" t="s">
        <v>47188</v>
      </c>
      <c r="B21539" t="s">
        <v>27747</v>
      </c>
      <c r="C21539">
        <v>0</v>
      </c>
      <c r="D21539">
        <v>0.74399419509099995</v>
      </c>
      <c r="E21539">
        <v>16.494</v>
      </c>
    </row>
    <row r="21540" spans="1:5">
      <c r="A21540" t="s">
        <v>47188</v>
      </c>
      <c r="B21540" t="s">
        <v>27750</v>
      </c>
      <c r="C21540">
        <f>0</f>
        <v>0</v>
      </c>
      <c r="D21540">
        <v>0.74399419509099995</v>
      </c>
      <c r="E21540">
        <v>16.494</v>
      </c>
    </row>
    <row r="21541" spans="1:5">
      <c r="A21541" t="s">
        <v>47188</v>
      </c>
      <c r="B21541" t="s">
        <v>27749</v>
      </c>
      <c r="C21541">
        <v>0.225584195091</v>
      </c>
      <c r="D21541">
        <v>0.74399419509099995</v>
      </c>
      <c r="E21541">
        <v>16.494</v>
      </c>
    </row>
    <row r="21542" spans="1:5">
      <c r="A21542" t="s">
        <v>47188</v>
      </c>
      <c r="B21542" t="s">
        <v>27751</v>
      </c>
      <c r="C21542">
        <v>0</v>
      </c>
      <c r="D21542">
        <v>0.74399419509099995</v>
      </c>
      <c r="E21542">
        <v>16.494</v>
      </c>
    </row>
    <row r="21543" spans="1:5">
      <c r="A21543" t="s">
        <v>47189</v>
      </c>
      <c r="B21543" t="s">
        <v>47190</v>
      </c>
      <c r="C21543">
        <v>0</v>
      </c>
      <c r="D21543" t="s">
        <v>106</v>
      </c>
      <c r="E21543">
        <v>24</v>
      </c>
    </row>
    <row r="21544" spans="1:5">
      <c r="A21544" t="s">
        <v>47189</v>
      </c>
      <c r="B21544" t="s">
        <v>47191</v>
      </c>
      <c r="C21544">
        <f>0</f>
        <v>0</v>
      </c>
      <c r="D21544" t="s">
        <v>106</v>
      </c>
      <c r="E21544">
        <v>24</v>
      </c>
    </row>
    <row r="21545" spans="1:5">
      <c r="A21545" t="s">
        <v>47192</v>
      </c>
      <c r="B21545" t="s">
        <v>27456</v>
      </c>
      <c r="C21545">
        <v>0</v>
      </c>
      <c r="D21545">
        <v>0.66065805648300002</v>
      </c>
      <c r="E21545">
        <v>23.754000000000001</v>
      </c>
    </row>
    <row r="21546" spans="1:5">
      <c r="A21546" t="s">
        <v>47192</v>
      </c>
      <c r="B21546" t="s">
        <v>27457</v>
      </c>
      <c r="C21546">
        <f>0</f>
        <v>0</v>
      </c>
      <c r="D21546">
        <v>0.66065805648300002</v>
      </c>
      <c r="E21546">
        <v>23.754000000000001</v>
      </c>
    </row>
    <row r="21547" spans="1:5">
      <c r="A21547" t="s">
        <v>47192</v>
      </c>
      <c r="B21547" t="s">
        <v>27454</v>
      </c>
      <c r="C21547">
        <f>0.390248056483</f>
        <v>0.39024805648299998</v>
      </c>
      <c r="D21547">
        <v>0.66065805648300002</v>
      </c>
      <c r="E21547">
        <v>23.754000000000001</v>
      </c>
    </row>
    <row r="21548" spans="1:5">
      <c r="A21548" t="s">
        <v>47193</v>
      </c>
      <c r="B21548" t="s">
        <v>30531</v>
      </c>
      <c r="C21548">
        <v>3.4826451767599999E-2</v>
      </c>
      <c r="D21548">
        <v>0.84162288904500004</v>
      </c>
      <c r="E21548">
        <v>6.18</v>
      </c>
    </row>
    <row r="21549" spans="1:5">
      <c r="A21549" t="s">
        <v>47193</v>
      </c>
      <c r="B21549" t="s">
        <v>30530</v>
      </c>
      <c r="C21549">
        <f>0.785820202232</f>
        <v>0.785820202232</v>
      </c>
      <c r="D21549">
        <v>0.84162288904500004</v>
      </c>
      <c r="E21549">
        <v>6.18</v>
      </c>
    </row>
    <row r="21550" spans="1:5">
      <c r="A21550" t="s">
        <v>47194</v>
      </c>
      <c r="B21550" t="s">
        <v>16641</v>
      </c>
      <c r="C21550">
        <v>0.17967030027600001</v>
      </c>
      <c r="D21550">
        <v>0.92332149790200002</v>
      </c>
      <c r="E21550">
        <v>0</v>
      </c>
    </row>
    <row r="21551" spans="1:5">
      <c r="A21551" t="s">
        <v>47194</v>
      </c>
      <c r="B21551" t="s">
        <v>16640</v>
      </c>
      <c r="C21551">
        <v>0.87110171206099996</v>
      </c>
      <c r="D21551">
        <v>0.92332149790200002</v>
      </c>
      <c r="E21551">
        <v>0</v>
      </c>
    </row>
    <row r="21552" spans="1:5">
      <c r="A21552" t="s">
        <v>47195</v>
      </c>
      <c r="B21552" t="s">
        <v>1907</v>
      </c>
      <c r="C21552">
        <v>0.512130722511</v>
      </c>
      <c r="D21552">
        <v>0.70574072251099995</v>
      </c>
      <c r="E21552">
        <v>24</v>
      </c>
    </row>
    <row r="21553" spans="1:5">
      <c r="A21553" t="s">
        <v>47195</v>
      </c>
      <c r="B21553" t="s">
        <v>1908</v>
      </c>
      <c r="C21553">
        <f>0</f>
        <v>0</v>
      </c>
      <c r="D21553">
        <v>0.70574072251099995</v>
      </c>
      <c r="E21553">
        <v>24</v>
      </c>
    </row>
    <row r="21554" spans="1:5">
      <c r="A21554" t="s">
        <v>47195</v>
      </c>
      <c r="B21554" t="s">
        <v>1906</v>
      </c>
      <c r="C21554">
        <v>0</v>
      </c>
      <c r="D21554">
        <v>0.70574072251099995</v>
      </c>
      <c r="E21554">
        <v>24</v>
      </c>
    </row>
    <row r="21555" spans="1:5">
      <c r="A21555" t="s">
        <v>47196</v>
      </c>
      <c r="B21555" t="s">
        <v>47197</v>
      </c>
      <c r="C21555">
        <v>0.38598483594600003</v>
      </c>
      <c r="D21555">
        <v>0.57959483594600003</v>
      </c>
      <c r="E21555">
        <v>24</v>
      </c>
    </row>
    <row r="21556" spans="1:5">
      <c r="A21556" t="s">
        <v>47196</v>
      </c>
      <c r="B21556" t="s">
        <v>47198</v>
      </c>
      <c r="C21556">
        <v>0</v>
      </c>
      <c r="D21556">
        <v>0.57959483594600003</v>
      </c>
      <c r="E21556">
        <v>24</v>
      </c>
    </row>
    <row r="21557" spans="1:5">
      <c r="A21557" t="s">
        <v>47196</v>
      </c>
      <c r="B21557" t="s">
        <v>47199</v>
      </c>
      <c r="C21557">
        <f>0</f>
        <v>0</v>
      </c>
      <c r="D21557">
        <v>0.57959483594600003</v>
      </c>
      <c r="E21557">
        <v>24</v>
      </c>
    </row>
    <row r="21558" spans="1:5">
      <c r="A21558" t="s">
        <v>47196</v>
      </c>
      <c r="B21558" t="s">
        <v>47200</v>
      </c>
      <c r="C21558">
        <f>0</f>
        <v>0</v>
      </c>
      <c r="D21558">
        <v>0.57959483594600003</v>
      </c>
      <c r="E21558">
        <v>24</v>
      </c>
    </row>
    <row r="21559" spans="1:5">
      <c r="A21559" t="s">
        <v>47196</v>
      </c>
      <c r="B21559" t="s">
        <v>47201</v>
      </c>
      <c r="C21559">
        <v>0</v>
      </c>
      <c r="D21559">
        <v>0.57959483594600003</v>
      </c>
      <c r="E21559">
        <v>24</v>
      </c>
    </row>
    <row r="21560" spans="1:5">
      <c r="A21560" t="s">
        <v>47202</v>
      </c>
      <c r="B21560" t="s">
        <v>440</v>
      </c>
      <c r="C21560">
        <v>0</v>
      </c>
      <c r="D21560" t="s">
        <v>106</v>
      </c>
      <c r="E21560">
        <v>0.96599999999999997</v>
      </c>
    </row>
    <row r="21561" spans="1:5">
      <c r="A21561" t="s">
        <v>47202</v>
      </c>
      <c r="B21561" t="s">
        <v>451</v>
      </c>
      <c r="C21561">
        <f>0</f>
        <v>0</v>
      </c>
      <c r="D21561" t="s">
        <v>106</v>
      </c>
      <c r="E21561">
        <v>0.96599999999999997</v>
      </c>
    </row>
    <row r="21562" spans="1:5">
      <c r="A21562" t="s">
        <v>47202</v>
      </c>
      <c r="B21562" t="s">
        <v>450</v>
      </c>
      <c r="C21562">
        <v>0</v>
      </c>
      <c r="D21562" t="s">
        <v>106</v>
      </c>
      <c r="E21562">
        <v>0.96599999999999997</v>
      </c>
    </row>
    <row r="21563" spans="1:5">
      <c r="A21563" t="s">
        <v>47202</v>
      </c>
      <c r="B21563" t="s">
        <v>446</v>
      </c>
      <c r="C21563">
        <f>0</f>
        <v>0</v>
      </c>
      <c r="D21563" t="s">
        <v>106</v>
      </c>
      <c r="E21563">
        <v>0.96599999999999997</v>
      </c>
    </row>
    <row r="21564" spans="1:5">
      <c r="A21564" t="s">
        <v>47202</v>
      </c>
      <c r="B21564" t="s">
        <v>452</v>
      </c>
      <c r="C21564">
        <f>0</f>
        <v>0</v>
      </c>
      <c r="D21564" t="s">
        <v>106</v>
      </c>
      <c r="E21564">
        <v>0.96599999999999997</v>
      </c>
    </row>
    <row r="21565" spans="1:5">
      <c r="A21565" t="s">
        <v>47202</v>
      </c>
      <c r="B21565" t="s">
        <v>443</v>
      </c>
      <c r="C21565">
        <v>0</v>
      </c>
      <c r="D21565" t="s">
        <v>106</v>
      </c>
      <c r="E21565">
        <v>0.96599999999999997</v>
      </c>
    </row>
    <row r="21566" spans="1:5">
      <c r="A21566" t="s">
        <v>47202</v>
      </c>
      <c r="B21566" t="s">
        <v>448</v>
      </c>
      <c r="C21566">
        <v>0</v>
      </c>
      <c r="D21566" t="s">
        <v>106</v>
      </c>
      <c r="E21566">
        <v>0.96599999999999997</v>
      </c>
    </row>
    <row r="21567" spans="1:5">
      <c r="A21567" t="s">
        <v>47202</v>
      </c>
      <c r="B21567" t="s">
        <v>444</v>
      </c>
      <c r="C21567">
        <v>0</v>
      </c>
      <c r="D21567" t="s">
        <v>106</v>
      </c>
      <c r="E21567">
        <v>0.96599999999999997</v>
      </c>
    </row>
    <row r="21568" spans="1:5">
      <c r="A21568" t="s">
        <v>47202</v>
      </c>
      <c r="B21568" t="s">
        <v>445</v>
      </c>
      <c r="C21568">
        <v>0</v>
      </c>
      <c r="D21568" t="s">
        <v>106</v>
      </c>
      <c r="E21568">
        <v>0.96599999999999997</v>
      </c>
    </row>
    <row r="21569" spans="1:5">
      <c r="A21569" t="s">
        <v>47202</v>
      </c>
      <c r="B21569" t="s">
        <v>439</v>
      </c>
      <c r="C21569">
        <f>0</f>
        <v>0</v>
      </c>
      <c r="D21569" t="s">
        <v>106</v>
      </c>
      <c r="E21569">
        <v>0.96599999999999997</v>
      </c>
    </row>
    <row r="21570" spans="1:5">
      <c r="A21570" t="s">
        <v>47203</v>
      </c>
      <c r="B21570" t="s">
        <v>31540</v>
      </c>
      <c r="C21570">
        <v>0</v>
      </c>
      <c r="D21570">
        <v>0.59983527183800001</v>
      </c>
      <c r="E21570">
        <v>0.96599999999999997</v>
      </c>
    </row>
    <row r="21571" spans="1:5">
      <c r="A21571" t="s">
        <v>47203</v>
      </c>
      <c r="B21571" t="s">
        <v>31542</v>
      </c>
      <c r="C21571">
        <v>0.43982527183800002</v>
      </c>
      <c r="D21571">
        <v>0.59983527183800001</v>
      </c>
      <c r="E21571">
        <v>0.96599999999999997</v>
      </c>
    </row>
    <row r="21572" spans="1:5">
      <c r="A21572" t="s">
        <v>47204</v>
      </c>
      <c r="B21572" t="s">
        <v>47205</v>
      </c>
      <c r="C21572">
        <f>0.858935324811</f>
        <v>0.85893532481099999</v>
      </c>
      <c r="D21572">
        <v>0.96065817319500002</v>
      </c>
      <c r="E21572">
        <v>10.715999999999999</v>
      </c>
    </row>
    <row r="21573" spans="1:5">
      <c r="A21573" t="s">
        <v>47204</v>
      </c>
      <c r="B21573" t="s">
        <v>47206</v>
      </c>
      <c r="C21573">
        <v>1.2259553627799999</v>
      </c>
      <c r="D21573">
        <v>0.96065817319500002</v>
      </c>
      <c r="E21573">
        <v>10.715999999999999</v>
      </c>
    </row>
    <row r="21574" spans="1:5">
      <c r="A21574" t="s">
        <v>47207</v>
      </c>
      <c r="B21574" t="s">
        <v>47208</v>
      </c>
      <c r="C21574">
        <f>0.161372807788</f>
        <v>0.16137280778800001</v>
      </c>
      <c r="D21574">
        <v>0.99184326233999998</v>
      </c>
      <c r="E21574">
        <v>22.806000000000001</v>
      </c>
    </row>
    <row r="21575" spans="1:5">
      <c r="A21575" t="s">
        <v>47207</v>
      </c>
      <c r="B21575" t="s">
        <v>47209</v>
      </c>
      <c r="C21575">
        <f>0.152091656175</f>
        <v>0.15209165617500001</v>
      </c>
      <c r="D21575">
        <v>0.99184326233999998</v>
      </c>
      <c r="E21575">
        <v>22.806000000000001</v>
      </c>
    </row>
    <row r="21576" spans="1:5">
      <c r="A21576" t="s">
        <v>47207</v>
      </c>
      <c r="B21576" t="s">
        <v>47210</v>
      </c>
      <c r="C21576">
        <f>0.610746740966</f>
        <v>0.61074674096600001</v>
      </c>
      <c r="D21576">
        <v>0.99184326233999998</v>
      </c>
      <c r="E21576">
        <v>22.806000000000001</v>
      </c>
    </row>
    <row r="21577" spans="1:5">
      <c r="A21577" t="s">
        <v>47207</v>
      </c>
      <c r="B21577" t="s">
        <v>47211</v>
      </c>
      <c r="C21577">
        <f>0.407252942954</f>
        <v>0.407252942954</v>
      </c>
      <c r="D21577">
        <v>0.99184326233999998</v>
      </c>
      <c r="E21577">
        <v>22.806000000000001</v>
      </c>
    </row>
    <row r="21578" spans="1:5">
      <c r="A21578" t="s">
        <v>47207</v>
      </c>
      <c r="B21578" t="s">
        <v>47212</v>
      </c>
      <c r="C21578">
        <v>0.20558749714300001</v>
      </c>
      <c r="D21578">
        <v>0.99184326233999998</v>
      </c>
      <c r="E21578">
        <v>22.806000000000001</v>
      </c>
    </row>
    <row r="21579" spans="1:5">
      <c r="A21579" t="s">
        <v>47213</v>
      </c>
      <c r="B21579" t="s">
        <v>47214</v>
      </c>
      <c r="C21579">
        <v>0</v>
      </c>
      <c r="D21579">
        <v>0.98331717534399998</v>
      </c>
      <c r="E21579">
        <v>22.103999999999999</v>
      </c>
    </row>
    <row r="21580" spans="1:5">
      <c r="A21580" t="s">
        <v>47213</v>
      </c>
      <c r="B21580" t="s">
        <v>47215</v>
      </c>
      <c r="C21580">
        <f>0</f>
        <v>0</v>
      </c>
      <c r="D21580">
        <v>0.98331717534399998</v>
      </c>
      <c r="E21580">
        <v>22.103999999999999</v>
      </c>
    </row>
    <row r="21581" spans="1:5">
      <c r="A21581" t="s">
        <v>47213</v>
      </c>
      <c r="B21581" t="s">
        <v>47216</v>
      </c>
      <c r="C21581">
        <v>0</v>
      </c>
      <c r="D21581">
        <v>0.98331717534399998</v>
      </c>
      <c r="E21581">
        <v>22.103999999999999</v>
      </c>
    </row>
    <row r="21582" spans="1:5">
      <c r="A21582" t="s">
        <v>47213</v>
      </c>
      <c r="B21582" t="s">
        <v>47217</v>
      </c>
      <c r="C21582">
        <f>0.409471640972</f>
        <v>0.40947164097200001</v>
      </c>
      <c r="D21582">
        <v>0.98331717534399998</v>
      </c>
      <c r="E21582">
        <v>22.103999999999999</v>
      </c>
    </row>
    <row r="21583" spans="1:5">
      <c r="A21583" t="s">
        <v>47213</v>
      </c>
      <c r="B21583" t="s">
        <v>47218</v>
      </c>
      <c r="C21583">
        <f>0.323651440089</f>
        <v>0.32365144008899999</v>
      </c>
      <c r="D21583">
        <v>0.98331717534399998</v>
      </c>
      <c r="E21583">
        <v>22.103999999999999</v>
      </c>
    </row>
    <row r="21584" spans="1:5">
      <c r="A21584" t="s">
        <v>47213</v>
      </c>
      <c r="B21584" t="s">
        <v>47219</v>
      </c>
      <c r="C21584">
        <v>0.54404806112600002</v>
      </c>
      <c r="D21584">
        <v>0.98331717534399998</v>
      </c>
      <c r="E21584">
        <v>22.103999999999999</v>
      </c>
    </row>
    <row r="21585" spans="1:5">
      <c r="A21585" t="s">
        <v>47213</v>
      </c>
      <c r="B21585" t="s">
        <v>47220</v>
      </c>
      <c r="C21585">
        <v>6.3095659348299998E-2</v>
      </c>
      <c r="D21585">
        <v>0.98331717534399998</v>
      </c>
      <c r="E21585">
        <v>22.103999999999999</v>
      </c>
    </row>
    <row r="21586" spans="1:5">
      <c r="A21586" t="s">
        <v>47221</v>
      </c>
      <c r="B21586" t="s">
        <v>47222</v>
      </c>
      <c r="C21586">
        <v>0</v>
      </c>
      <c r="D21586">
        <v>0.67334377134400003</v>
      </c>
      <c r="E21586">
        <v>24</v>
      </c>
    </row>
    <row r="21587" spans="1:5">
      <c r="A21587" t="s">
        <v>47221</v>
      </c>
      <c r="B21587" t="s">
        <v>47223</v>
      </c>
      <c r="C21587">
        <v>0.51333377134400004</v>
      </c>
      <c r="D21587">
        <v>0.67334377134400003</v>
      </c>
      <c r="E21587">
        <v>24</v>
      </c>
    </row>
    <row r="21588" spans="1:5">
      <c r="A21588" t="s">
        <v>47221</v>
      </c>
      <c r="B21588" t="s">
        <v>47224</v>
      </c>
      <c r="C21588">
        <v>0</v>
      </c>
      <c r="D21588">
        <v>0.67334377134400003</v>
      </c>
      <c r="E21588">
        <v>24</v>
      </c>
    </row>
    <row r="21589" spans="1:5">
      <c r="A21589" t="s">
        <v>47221</v>
      </c>
      <c r="B21589" t="s">
        <v>47225</v>
      </c>
      <c r="C21589">
        <v>0</v>
      </c>
      <c r="D21589">
        <v>0.67334377134400003</v>
      </c>
      <c r="E21589">
        <v>24</v>
      </c>
    </row>
    <row r="21590" spans="1:5">
      <c r="A21590" t="s">
        <v>47221</v>
      </c>
      <c r="B21590" t="s">
        <v>47226</v>
      </c>
      <c r="C21590">
        <v>0</v>
      </c>
      <c r="D21590">
        <v>0.67334377134400003</v>
      </c>
      <c r="E21590">
        <v>24</v>
      </c>
    </row>
    <row r="21591" spans="1:5">
      <c r="A21591" t="s">
        <v>47221</v>
      </c>
      <c r="B21591" t="s">
        <v>47227</v>
      </c>
      <c r="C21591">
        <v>0</v>
      </c>
      <c r="D21591">
        <v>0.67334377134400003</v>
      </c>
      <c r="E21591">
        <v>24</v>
      </c>
    </row>
    <row r="21592" spans="1:5">
      <c r="A21592" t="s">
        <v>47221</v>
      </c>
      <c r="B21592" t="s">
        <v>47228</v>
      </c>
      <c r="C21592">
        <v>0</v>
      </c>
      <c r="D21592">
        <v>0.67334377134400003</v>
      </c>
      <c r="E21592">
        <v>24</v>
      </c>
    </row>
    <row r="21593" spans="1:5">
      <c r="A21593" t="s">
        <v>47229</v>
      </c>
      <c r="B21593" t="s">
        <v>33974</v>
      </c>
      <c r="C21593">
        <f>0.28542492845</f>
        <v>0.28542492845</v>
      </c>
      <c r="D21593">
        <v>0.41503492845000001</v>
      </c>
      <c r="E21593">
        <v>0</v>
      </c>
    </row>
    <row r="21594" spans="1:5">
      <c r="A21594" t="s">
        <v>47229</v>
      </c>
      <c r="B21594" t="s">
        <v>33976</v>
      </c>
      <c r="C21594">
        <v>0</v>
      </c>
      <c r="D21594">
        <v>0.41503492845000001</v>
      </c>
      <c r="E21594">
        <v>0</v>
      </c>
    </row>
    <row r="21595" spans="1:5">
      <c r="A21595" t="s">
        <v>47230</v>
      </c>
      <c r="B21595" t="s">
        <v>24745</v>
      </c>
      <c r="C21595">
        <f>0</f>
        <v>0</v>
      </c>
      <c r="D21595">
        <v>0.793518313827</v>
      </c>
      <c r="E21595">
        <v>5.016</v>
      </c>
    </row>
    <row r="21596" spans="1:5">
      <c r="A21596" t="s">
        <v>47230</v>
      </c>
      <c r="B21596" t="s">
        <v>24749</v>
      </c>
      <c r="C21596">
        <v>0</v>
      </c>
      <c r="D21596">
        <v>0.793518313827</v>
      </c>
      <c r="E21596">
        <v>5.016</v>
      </c>
    </row>
    <row r="21597" spans="1:5">
      <c r="A21597" t="s">
        <v>47230</v>
      </c>
      <c r="B21597" t="s">
        <v>24748</v>
      </c>
      <c r="C21597">
        <f>0.564357232469</f>
        <v>0.56435723246900005</v>
      </c>
      <c r="D21597">
        <v>0.793518313827</v>
      </c>
      <c r="E21597">
        <v>5.016</v>
      </c>
    </row>
    <row r="21598" spans="1:5">
      <c r="A21598" t="s">
        <v>47230</v>
      </c>
      <c r="B21598" t="s">
        <v>24747</v>
      </c>
      <c r="C21598">
        <f>0.106890365926</f>
        <v>0.106890365926</v>
      </c>
      <c r="D21598">
        <v>0.793518313827</v>
      </c>
      <c r="E21598">
        <v>5.016</v>
      </c>
    </row>
    <row r="21599" spans="1:5">
      <c r="A21599" t="s">
        <v>47230</v>
      </c>
      <c r="B21599" t="s">
        <v>24746</v>
      </c>
      <c r="C21599">
        <f>0</f>
        <v>0</v>
      </c>
      <c r="D21599">
        <v>0.793518313827</v>
      </c>
      <c r="E21599">
        <v>5.016</v>
      </c>
    </row>
    <row r="21600" spans="1:5">
      <c r="A21600" t="s">
        <v>47231</v>
      </c>
      <c r="B21600" t="s">
        <v>2340</v>
      </c>
      <c r="C21600">
        <v>0</v>
      </c>
      <c r="D21600">
        <v>0.90196317629800005</v>
      </c>
      <c r="E21600">
        <v>0.65400000000000003</v>
      </c>
    </row>
    <row r="21601" spans="1:5">
      <c r="A21601" t="s">
        <v>47231</v>
      </c>
      <c r="B21601" t="s">
        <v>2341</v>
      </c>
      <c r="C21601">
        <v>0.87635317629800003</v>
      </c>
      <c r="D21601">
        <v>0.90196317629800005</v>
      </c>
      <c r="E21601">
        <v>0.65400000000000003</v>
      </c>
    </row>
    <row r="21602" spans="1:5">
      <c r="A21602" t="s">
        <v>47232</v>
      </c>
      <c r="B21602" t="s">
        <v>29501</v>
      </c>
      <c r="C21602">
        <v>0</v>
      </c>
      <c r="D21602" t="s">
        <v>106</v>
      </c>
      <c r="E21602">
        <v>22.806000000000001</v>
      </c>
    </row>
    <row r="21603" spans="1:5">
      <c r="A21603" t="s">
        <v>47232</v>
      </c>
      <c r="B21603" t="s">
        <v>29504</v>
      </c>
      <c r="C21603">
        <v>0</v>
      </c>
      <c r="D21603" t="s">
        <v>106</v>
      </c>
      <c r="E21603">
        <v>22.806000000000001</v>
      </c>
    </row>
    <row r="21604" spans="1:5">
      <c r="A21604" t="s">
        <v>47233</v>
      </c>
      <c r="B21604" t="s">
        <v>47234</v>
      </c>
      <c r="C21604">
        <f>0</f>
        <v>0</v>
      </c>
      <c r="D21604" t="s">
        <v>106</v>
      </c>
      <c r="E21604">
        <v>18.138000000000002</v>
      </c>
    </row>
    <row r="21605" spans="1:5">
      <c r="A21605" t="s">
        <v>47233</v>
      </c>
      <c r="B21605" t="s">
        <v>47235</v>
      </c>
      <c r="C21605">
        <v>0</v>
      </c>
      <c r="D21605" t="s">
        <v>106</v>
      </c>
      <c r="E21605">
        <v>18.138000000000002</v>
      </c>
    </row>
    <row r="21606" spans="1:5">
      <c r="A21606" t="s">
        <v>47233</v>
      </c>
      <c r="B21606" t="s">
        <v>47236</v>
      </c>
      <c r="C21606">
        <f>0</f>
        <v>0</v>
      </c>
      <c r="D21606" t="s">
        <v>106</v>
      </c>
      <c r="E21606">
        <v>18.138000000000002</v>
      </c>
    </row>
    <row r="21607" spans="1:5">
      <c r="A21607" t="s">
        <v>47237</v>
      </c>
      <c r="B21607" t="s">
        <v>2937</v>
      </c>
      <c r="C21607">
        <v>1.21707604194</v>
      </c>
      <c r="D21607">
        <v>0.87380404156799996</v>
      </c>
      <c r="E21607">
        <v>2.88</v>
      </c>
    </row>
    <row r="21608" spans="1:5">
      <c r="A21608" t="s">
        <v>47237</v>
      </c>
      <c r="B21608" t="s">
        <v>2938</v>
      </c>
      <c r="C21608">
        <f>0.420332312589</f>
        <v>0.420332312589</v>
      </c>
      <c r="D21608">
        <v>0.87380404156799996</v>
      </c>
      <c r="E21608">
        <v>2.88</v>
      </c>
    </row>
    <row r="21609" spans="1:5">
      <c r="A21609" t="s">
        <v>47238</v>
      </c>
      <c r="B21609" t="s">
        <v>47239</v>
      </c>
      <c r="C21609">
        <v>0.46595405373999998</v>
      </c>
      <c r="D21609">
        <v>0.76345618540299998</v>
      </c>
      <c r="E21609">
        <v>24</v>
      </c>
    </row>
    <row r="21610" spans="1:5">
      <c r="A21610" t="s">
        <v>47238</v>
      </c>
      <c r="B21610" t="s">
        <v>47240</v>
      </c>
      <c r="C21610">
        <f>0.345386991672</f>
        <v>0.34538699167199999</v>
      </c>
      <c r="D21610">
        <v>0.76345618540299998</v>
      </c>
      <c r="E21610">
        <v>24</v>
      </c>
    </row>
    <row r="21611" spans="1:5">
      <c r="A21611" t="s">
        <v>47238</v>
      </c>
      <c r="B21611" t="s">
        <v>47241</v>
      </c>
      <c r="C21611">
        <v>0</v>
      </c>
      <c r="D21611">
        <v>0.76345618540299998</v>
      </c>
      <c r="E21611">
        <v>24</v>
      </c>
    </row>
    <row r="21612" spans="1:5">
      <c r="A21612" t="s">
        <v>47242</v>
      </c>
      <c r="B21612" t="s">
        <v>15267</v>
      </c>
      <c r="C21612">
        <v>0</v>
      </c>
      <c r="D21612">
        <v>0.98637574152899998</v>
      </c>
      <c r="E21612">
        <v>9.7739999999999991</v>
      </c>
    </row>
    <row r="21613" spans="1:5">
      <c r="A21613" t="s">
        <v>47242</v>
      </c>
      <c r="B21613" t="s">
        <v>15271</v>
      </c>
      <c r="C21613">
        <v>0.108456136439</v>
      </c>
      <c r="D21613">
        <v>0.98637574152899998</v>
      </c>
      <c r="E21613">
        <v>9.7739999999999991</v>
      </c>
    </row>
    <row r="21614" spans="1:5">
      <c r="A21614" t="s">
        <v>47242</v>
      </c>
      <c r="B21614" t="s">
        <v>15265</v>
      </c>
      <c r="C21614">
        <f>0.0284950668247</f>
        <v>2.8495066824699999E-2</v>
      </c>
      <c r="D21614">
        <v>0.98637574152899998</v>
      </c>
      <c r="E21614">
        <v>9.7739999999999991</v>
      </c>
    </row>
    <row r="21615" spans="1:5">
      <c r="A21615" t="s">
        <v>47242</v>
      </c>
      <c r="B21615" t="s">
        <v>15264</v>
      </c>
      <c r="C21615">
        <f>0.125485121092</f>
        <v>0.125485121092</v>
      </c>
      <c r="D21615">
        <v>0.98637574152899998</v>
      </c>
      <c r="E21615">
        <v>9.7739999999999991</v>
      </c>
    </row>
    <row r="21616" spans="1:5">
      <c r="A21616" t="s">
        <v>47242</v>
      </c>
      <c r="B21616" t="s">
        <v>15256</v>
      </c>
      <c r="C21616">
        <v>0</v>
      </c>
      <c r="D21616">
        <v>0.98637574152899998</v>
      </c>
      <c r="E21616">
        <v>9.7739999999999991</v>
      </c>
    </row>
    <row r="21617" spans="1:5">
      <c r="A21617" t="s">
        <v>47242</v>
      </c>
      <c r="B21617" t="s">
        <v>15268</v>
      </c>
      <c r="C21617">
        <v>4.7506029304600003E-2</v>
      </c>
      <c r="D21617">
        <v>0.98637574152899998</v>
      </c>
      <c r="E21617">
        <v>9.7739999999999991</v>
      </c>
    </row>
    <row r="21618" spans="1:5">
      <c r="A21618" t="s">
        <v>47242</v>
      </c>
      <c r="B21618" t="s">
        <v>15270</v>
      </c>
      <c r="C21618">
        <f>0.168499583693</f>
        <v>0.168499583693</v>
      </c>
      <c r="D21618">
        <v>0.98637574152899998</v>
      </c>
      <c r="E21618">
        <v>9.7739999999999991</v>
      </c>
    </row>
    <row r="21619" spans="1:5">
      <c r="A21619" t="s">
        <v>47242</v>
      </c>
      <c r="B21619" t="s">
        <v>15262</v>
      </c>
      <c r="C21619">
        <v>0</v>
      </c>
      <c r="D21619">
        <v>0.98637574152899998</v>
      </c>
      <c r="E21619">
        <v>9.7739999999999991</v>
      </c>
    </row>
    <row r="21620" spans="1:5">
      <c r="A21620" t="s">
        <v>47242</v>
      </c>
      <c r="B21620" t="s">
        <v>15269</v>
      </c>
      <c r="C21620">
        <f>0.747024286026</f>
        <v>0.74702428602600002</v>
      </c>
      <c r="D21620">
        <v>0.98637574152899998</v>
      </c>
      <c r="E21620">
        <v>9.7739999999999991</v>
      </c>
    </row>
    <row r="21621" spans="1:5">
      <c r="A21621" t="s">
        <v>47242</v>
      </c>
      <c r="B21621" t="s">
        <v>15261</v>
      </c>
      <c r="C21621">
        <v>0</v>
      </c>
      <c r="D21621">
        <v>0.98637574152899998</v>
      </c>
      <c r="E21621">
        <v>9.7739999999999991</v>
      </c>
    </row>
    <row r="21622" spans="1:5">
      <c r="A21622" t="s">
        <v>47243</v>
      </c>
      <c r="B21622" t="s">
        <v>47244</v>
      </c>
      <c r="C21622">
        <v>0.100716014012</v>
      </c>
      <c r="D21622">
        <v>0.72486187690699999</v>
      </c>
      <c r="E21622">
        <v>1.512</v>
      </c>
    </row>
    <row r="21623" spans="1:5">
      <c r="A21623" t="s">
        <v>47243</v>
      </c>
      <c r="B21623" t="s">
        <v>47245</v>
      </c>
      <c r="C21623">
        <v>0.41063244956099998</v>
      </c>
      <c r="D21623">
        <v>0.72486187690699999</v>
      </c>
      <c r="E21623">
        <v>1.512</v>
      </c>
    </row>
    <row r="21624" spans="1:5">
      <c r="A21624" t="s">
        <v>47243</v>
      </c>
      <c r="B21624" t="s">
        <v>47246</v>
      </c>
      <c r="C21624">
        <f>0.527913088129</f>
        <v>0.52791308812899995</v>
      </c>
      <c r="D21624">
        <v>0.72486187690699999</v>
      </c>
      <c r="E21624">
        <v>1.512</v>
      </c>
    </row>
    <row r="21625" spans="1:5">
      <c r="A21625" t="s">
        <v>47247</v>
      </c>
      <c r="B21625" t="s">
        <v>47248</v>
      </c>
      <c r="C21625">
        <f>0</f>
        <v>0</v>
      </c>
      <c r="D21625">
        <v>0.85933936957599999</v>
      </c>
      <c r="E21625">
        <v>9.1679999999999993</v>
      </c>
    </row>
    <row r="21626" spans="1:5">
      <c r="A21626" t="s">
        <v>47247</v>
      </c>
      <c r="B21626" t="s">
        <v>47249</v>
      </c>
      <c r="C21626">
        <f>0</f>
        <v>0</v>
      </c>
      <c r="D21626">
        <v>0.85933936957599999</v>
      </c>
      <c r="E21626">
        <v>9.1679999999999993</v>
      </c>
    </row>
    <row r="21627" spans="1:5">
      <c r="A21627" t="s">
        <v>47247</v>
      </c>
      <c r="B21627" t="s">
        <v>47250</v>
      </c>
      <c r="C21627">
        <v>0.66572936957600004</v>
      </c>
      <c r="D21627">
        <v>0.85933936957599999</v>
      </c>
      <c r="E21627">
        <v>9.1679999999999993</v>
      </c>
    </row>
    <row r="21628" spans="1:5">
      <c r="A21628" t="s">
        <v>47247</v>
      </c>
      <c r="B21628" t="s">
        <v>47251</v>
      </c>
      <c r="C21628">
        <v>0</v>
      </c>
      <c r="D21628">
        <v>0.85933936957599999</v>
      </c>
      <c r="E21628">
        <v>9.1679999999999993</v>
      </c>
    </row>
    <row r="21629" spans="1:5">
      <c r="A21629" t="s">
        <v>47247</v>
      </c>
      <c r="B21629" t="s">
        <v>47252</v>
      </c>
      <c r="C21629">
        <f>0</f>
        <v>0</v>
      </c>
      <c r="D21629">
        <v>0.85933936957599999</v>
      </c>
      <c r="E21629">
        <v>9.1679999999999993</v>
      </c>
    </row>
    <row r="21630" spans="1:5">
      <c r="A21630" t="s">
        <v>47253</v>
      </c>
      <c r="B21630" t="s">
        <v>29991</v>
      </c>
      <c r="C21630">
        <f>0</f>
        <v>0</v>
      </c>
      <c r="D21630">
        <v>0.71618619834599995</v>
      </c>
      <c r="E21630">
        <v>22.571999999999999</v>
      </c>
    </row>
    <row r="21631" spans="1:5">
      <c r="A21631" t="s">
        <v>47253</v>
      </c>
      <c r="B21631" t="s">
        <v>29993</v>
      </c>
      <c r="C21631">
        <f>0.213107025999</f>
        <v>0.213107025999</v>
      </c>
      <c r="D21631">
        <v>0.71618619834599995</v>
      </c>
      <c r="E21631">
        <v>22.571999999999999</v>
      </c>
    </row>
    <row r="21632" spans="1:5">
      <c r="A21632" t="s">
        <v>47253</v>
      </c>
      <c r="B21632" t="s">
        <v>30001</v>
      </c>
      <c r="C21632">
        <f>0</f>
        <v>0</v>
      </c>
      <c r="D21632">
        <v>0.71618619834599995</v>
      </c>
      <c r="E21632">
        <v>22.571999999999999</v>
      </c>
    </row>
    <row r="21633" spans="1:5">
      <c r="A21633" t="s">
        <v>47253</v>
      </c>
      <c r="B21633" t="s">
        <v>29997</v>
      </c>
      <c r="C21633">
        <f>0</f>
        <v>0</v>
      </c>
      <c r="D21633">
        <v>0.71618619834599995</v>
      </c>
      <c r="E21633">
        <v>22.571999999999999</v>
      </c>
    </row>
    <row r="21634" spans="1:5">
      <c r="A21634" t="s">
        <v>47253</v>
      </c>
      <c r="B21634" t="s">
        <v>30000</v>
      </c>
      <c r="C21634">
        <v>0</v>
      </c>
      <c r="D21634">
        <v>0.71618619834599995</v>
      </c>
      <c r="E21634">
        <v>22.571999999999999</v>
      </c>
    </row>
    <row r="21635" spans="1:5">
      <c r="A21635" t="s">
        <v>47253</v>
      </c>
      <c r="B21635" t="s">
        <v>29998</v>
      </c>
      <c r="C21635">
        <f>0.190398540146</f>
        <v>0.19039854014599999</v>
      </c>
      <c r="D21635">
        <v>0.71618619834599995</v>
      </c>
      <c r="E21635">
        <v>22.571999999999999</v>
      </c>
    </row>
    <row r="21636" spans="1:5">
      <c r="A21636" t="s">
        <v>47253</v>
      </c>
      <c r="B21636" t="s">
        <v>29994</v>
      </c>
      <c r="C21636">
        <f>0</f>
        <v>0</v>
      </c>
      <c r="D21636">
        <v>0.71618619834599995</v>
      </c>
      <c r="E21636">
        <v>22.571999999999999</v>
      </c>
    </row>
    <row r="21637" spans="1:5">
      <c r="A21637" t="s">
        <v>47253</v>
      </c>
      <c r="B21637" t="s">
        <v>29992</v>
      </c>
      <c r="C21637">
        <f>0</f>
        <v>0</v>
      </c>
      <c r="D21637">
        <v>0.71618619834599995</v>
      </c>
      <c r="E21637">
        <v>22.571999999999999</v>
      </c>
    </row>
    <row r="21638" spans="1:5">
      <c r="A21638" t="s">
        <v>47254</v>
      </c>
      <c r="B21638" t="s">
        <v>47255</v>
      </c>
      <c r="C21638">
        <v>3.3220449678200002E-2</v>
      </c>
      <c r="D21638">
        <v>0.79358221493500003</v>
      </c>
      <c r="E21638">
        <v>1.0680000000000001</v>
      </c>
    </row>
    <row r="21639" spans="1:5">
      <c r="A21639" t="s">
        <v>47254</v>
      </c>
      <c r="B21639" t="s">
        <v>47256</v>
      </c>
      <c r="C21639">
        <v>0</v>
      </c>
      <c r="D21639">
        <v>0.79358221493500003</v>
      </c>
      <c r="E21639">
        <v>1.0680000000000001</v>
      </c>
    </row>
    <row r="21640" spans="1:5">
      <c r="A21640" t="s">
        <v>47254</v>
      </c>
      <c r="B21640" t="s">
        <v>47257</v>
      </c>
      <c r="C21640">
        <f>0.654002607656</f>
        <v>0.65400260765600005</v>
      </c>
      <c r="D21640">
        <v>0.79358221493500003</v>
      </c>
      <c r="E21640">
        <v>1.0680000000000001</v>
      </c>
    </row>
    <row r="21641" spans="1:5">
      <c r="A21641" t="s">
        <v>47258</v>
      </c>
      <c r="B21641" t="s">
        <v>1261</v>
      </c>
      <c r="C21641">
        <v>0.22310697699000001</v>
      </c>
      <c r="D21641">
        <v>0.87042521719199994</v>
      </c>
      <c r="E21641">
        <v>23.754000000000001</v>
      </c>
    </row>
    <row r="21642" spans="1:5">
      <c r="A21642" t="s">
        <v>47258</v>
      </c>
      <c r="B21642" t="s">
        <v>1255</v>
      </c>
      <c r="C21642">
        <v>0</v>
      </c>
      <c r="D21642">
        <v>0.87042521719199994</v>
      </c>
      <c r="E21642">
        <v>23.754000000000001</v>
      </c>
    </row>
    <row r="21643" spans="1:5">
      <c r="A21643" t="s">
        <v>47258</v>
      </c>
      <c r="B21643" t="s">
        <v>1262</v>
      </c>
      <c r="C21643">
        <v>0.206575319673</v>
      </c>
      <c r="D21643">
        <v>0.87042521719199994</v>
      </c>
      <c r="E21643">
        <v>23.754000000000001</v>
      </c>
    </row>
    <row r="21644" spans="1:5">
      <c r="A21644" t="s">
        <v>47258</v>
      </c>
      <c r="B21644" t="s">
        <v>1254</v>
      </c>
      <c r="C21644">
        <v>0.77967387775800001</v>
      </c>
      <c r="D21644">
        <v>0.87042521719199994</v>
      </c>
      <c r="E21644">
        <v>23.754000000000001</v>
      </c>
    </row>
    <row r="21645" spans="1:5">
      <c r="A21645" t="s">
        <v>47258</v>
      </c>
      <c r="B21645" t="s">
        <v>1259</v>
      </c>
      <c r="C21645">
        <v>0</v>
      </c>
      <c r="D21645">
        <v>0.87042521719199994</v>
      </c>
      <c r="E21645">
        <v>23.754000000000001</v>
      </c>
    </row>
    <row r="21646" spans="1:5">
      <c r="A21646" t="s">
        <v>47258</v>
      </c>
      <c r="B21646" t="s">
        <v>1256</v>
      </c>
      <c r="C21646">
        <v>9.5727928946400004E-2</v>
      </c>
      <c r="D21646">
        <v>0.87042521719199994</v>
      </c>
      <c r="E21646">
        <v>23.754000000000001</v>
      </c>
    </row>
    <row r="21647" spans="1:5">
      <c r="A21647" t="s">
        <v>47259</v>
      </c>
      <c r="B21647" t="s">
        <v>18795</v>
      </c>
      <c r="C21647">
        <v>0.40806715045199998</v>
      </c>
      <c r="D21647">
        <v>0.99987883697900004</v>
      </c>
      <c r="E21647">
        <v>11.208</v>
      </c>
    </row>
    <row r="21648" spans="1:5">
      <c r="A21648" t="s">
        <v>47259</v>
      </c>
      <c r="B21648" t="s">
        <v>18796</v>
      </c>
      <c r="C21648">
        <v>3.8674454905899998E-2</v>
      </c>
      <c r="D21648">
        <v>0.99987883697900004</v>
      </c>
      <c r="E21648">
        <v>11.208</v>
      </c>
    </row>
    <row r="21649" spans="1:5">
      <c r="A21649" t="s">
        <v>47259</v>
      </c>
      <c r="B21649" t="s">
        <v>18802</v>
      </c>
      <c r="C21649">
        <v>0.24421376366</v>
      </c>
      <c r="D21649">
        <v>0.99987883697900004</v>
      </c>
      <c r="E21649">
        <v>11.208</v>
      </c>
    </row>
    <row r="21650" spans="1:5">
      <c r="A21650" t="s">
        <v>47259</v>
      </c>
      <c r="B21650" t="s">
        <v>18798</v>
      </c>
      <c r="C21650">
        <v>0.85241487450999998</v>
      </c>
      <c r="D21650">
        <v>0.99987883697900004</v>
      </c>
      <c r="E21650">
        <v>11.208</v>
      </c>
    </row>
    <row r="21651" spans="1:5">
      <c r="A21651" t="s">
        <v>47259</v>
      </c>
      <c r="B21651" t="s">
        <v>18797</v>
      </c>
      <c r="C21651">
        <v>0.151060694829</v>
      </c>
      <c r="D21651">
        <v>0.99987883697900004</v>
      </c>
      <c r="E21651">
        <v>11.208</v>
      </c>
    </row>
    <row r="21652" spans="1:5">
      <c r="A21652" t="s">
        <v>47259</v>
      </c>
      <c r="B21652" t="s">
        <v>18804</v>
      </c>
      <c r="C21652">
        <v>0.17591989743799999</v>
      </c>
      <c r="D21652">
        <v>0.99987883697900004</v>
      </c>
      <c r="E21652">
        <v>11.208</v>
      </c>
    </row>
    <row r="21653" spans="1:5">
      <c r="A21653" t="s">
        <v>47259</v>
      </c>
      <c r="B21653" t="s">
        <v>18801</v>
      </c>
      <c r="C21653">
        <f>-1.03509010452</f>
        <v>-1.0350901045200001</v>
      </c>
      <c r="D21653">
        <v>0.99987883697900004</v>
      </c>
      <c r="E21653">
        <v>11.208</v>
      </c>
    </row>
    <row r="21654" spans="1:5">
      <c r="A21654" t="s">
        <v>47260</v>
      </c>
      <c r="B21654" t="s">
        <v>794</v>
      </c>
      <c r="C21654">
        <v>0.87964942468600005</v>
      </c>
      <c r="D21654">
        <v>0.97299260159699996</v>
      </c>
      <c r="E21654">
        <v>17.718</v>
      </c>
    </row>
    <row r="21655" spans="1:5">
      <c r="A21655" t="s">
        <v>47260</v>
      </c>
      <c r="B21655" t="s">
        <v>797</v>
      </c>
      <c r="C21655">
        <f>0.42956283874</f>
        <v>0.42956283874000001</v>
      </c>
      <c r="D21655">
        <v>0.97299260159699996</v>
      </c>
      <c r="E21655">
        <v>17.718</v>
      </c>
    </row>
    <row r="21656" spans="1:5">
      <c r="A21656" t="s">
        <v>47260</v>
      </c>
      <c r="B21656" t="s">
        <v>796</v>
      </c>
      <c r="C21656">
        <v>0.41164684537399998</v>
      </c>
      <c r="D21656">
        <v>0.97299260159699996</v>
      </c>
      <c r="E21656">
        <v>17.718</v>
      </c>
    </row>
    <row r="21657" spans="1:5">
      <c r="A21657" t="s">
        <v>47260</v>
      </c>
      <c r="B21657" t="s">
        <v>798</v>
      </c>
      <c r="C21657">
        <f>0.310189585976</f>
        <v>0.31018958597599999</v>
      </c>
      <c r="D21657">
        <v>0.97299260159699996</v>
      </c>
      <c r="E21657">
        <v>17.718</v>
      </c>
    </row>
    <row r="21658" spans="1:5">
      <c r="A21658" t="s">
        <v>47261</v>
      </c>
      <c r="B21658" t="s">
        <v>47262</v>
      </c>
      <c r="C21658">
        <f>0</f>
        <v>0</v>
      </c>
      <c r="D21658" t="s">
        <v>106</v>
      </c>
      <c r="E21658">
        <v>16.698</v>
      </c>
    </row>
    <row r="21659" spans="1:5">
      <c r="A21659" t="s">
        <v>47261</v>
      </c>
      <c r="B21659" t="s">
        <v>47263</v>
      </c>
      <c r="C21659">
        <v>0</v>
      </c>
      <c r="D21659" t="s">
        <v>106</v>
      </c>
      <c r="E21659">
        <v>16.698</v>
      </c>
    </row>
    <row r="21660" spans="1:5">
      <c r="A21660" t="s">
        <v>47261</v>
      </c>
      <c r="B21660" t="s">
        <v>47264</v>
      </c>
      <c r="C21660">
        <v>0</v>
      </c>
      <c r="D21660" t="s">
        <v>106</v>
      </c>
      <c r="E21660">
        <v>16.698</v>
      </c>
    </row>
    <row r="21661" spans="1:5">
      <c r="A21661" t="s">
        <v>47261</v>
      </c>
      <c r="B21661" t="s">
        <v>47265</v>
      </c>
      <c r="C21661">
        <f>0</f>
        <v>0</v>
      </c>
      <c r="D21661" t="s">
        <v>106</v>
      </c>
      <c r="E21661">
        <v>16.698</v>
      </c>
    </row>
    <row r="21662" spans="1:5">
      <c r="A21662" t="s">
        <v>47266</v>
      </c>
      <c r="B21662" t="s">
        <v>18783</v>
      </c>
      <c r="C21662">
        <f>0</f>
        <v>0</v>
      </c>
      <c r="D21662" t="s">
        <v>106</v>
      </c>
      <c r="E21662">
        <v>4.2720000000000002</v>
      </c>
    </row>
    <row r="21663" spans="1:5">
      <c r="A21663" t="s">
        <v>47266</v>
      </c>
      <c r="B21663" t="s">
        <v>18785</v>
      </c>
      <c r="C21663">
        <v>0</v>
      </c>
      <c r="D21663" t="s">
        <v>106</v>
      </c>
      <c r="E21663">
        <v>4.2720000000000002</v>
      </c>
    </row>
    <row r="21664" spans="1:5">
      <c r="A21664" t="s">
        <v>47266</v>
      </c>
      <c r="B21664" t="s">
        <v>18786</v>
      </c>
      <c r="C21664">
        <f>0</f>
        <v>0</v>
      </c>
      <c r="D21664" t="s">
        <v>106</v>
      </c>
      <c r="E21664">
        <v>4.2720000000000002</v>
      </c>
    </row>
    <row r="21665" spans="1:5">
      <c r="A21665" t="s">
        <v>47266</v>
      </c>
      <c r="B21665" t="s">
        <v>18787</v>
      </c>
      <c r="C21665">
        <f>0</f>
        <v>0</v>
      </c>
      <c r="D21665" t="s">
        <v>106</v>
      </c>
      <c r="E21665">
        <v>4.2720000000000002</v>
      </c>
    </row>
    <row r="21666" spans="1:5">
      <c r="A21666" t="s">
        <v>47267</v>
      </c>
      <c r="B21666" t="s">
        <v>12602</v>
      </c>
      <c r="C21666">
        <v>0</v>
      </c>
      <c r="D21666">
        <v>0.86664095394899998</v>
      </c>
      <c r="E21666">
        <v>1.224</v>
      </c>
    </row>
    <row r="21667" spans="1:5">
      <c r="A21667" t="s">
        <v>47267</v>
      </c>
      <c r="B21667" t="s">
        <v>12600</v>
      </c>
      <c r="C21667">
        <f>0</f>
        <v>0</v>
      </c>
      <c r="D21667">
        <v>0.86664095394899998</v>
      </c>
      <c r="E21667">
        <v>1.224</v>
      </c>
    </row>
    <row r="21668" spans="1:5">
      <c r="A21668" t="s">
        <v>47267</v>
      </c>
      <c r="B21668" t="s">
        <v>12603</v>
      </c>
      <c r="C21668">
        <f>0</f>
        <v>0</v>
      </c>
      <c r="D21668">
        <v>0.86664095394899998</v>
      </c>
      <c r="E21668">
        <v>1.224</v>
      </c>
    </row>
    <row r="21669" spans="1:5">
      <c r="A21669" t="s">
        <v>47267</v>
      </c>
      <c r="B21669" t="s">
        <v>12601</v>
      </c>
      <c r="C21669">
        <f>0.706630953949</f>
        <v>0.706630953949</v>
      </c>
      <c r="D21669">
        <v>0.86664095394899998</v>
      </c>
      <c r="E21669">
        <v>1.224</v>
      </c>
    </row>
    <row r="21670" spans="1:5">
      <c r="A21670" t="s">
        <v>47267</v>
      </c>
      <c r="B21670" t="s">
        <v>12599</v>
      </c>
      <c r="C21670">
        <v>0</v>
      </c>
      <c r="D21670">
        <v>0.86664095394899998</v>
      </c>
      <c r="E21670">
        <v>1.224</v>
      </c>
    </row>
    <row r="21671" spans="1:5">
      <c r="A21671" t="s">
        <v>47268</v>
      </c>
      <c r="B21671" t="s">
        <v>18474</v>
      </c>
      <c r="C21671">
        <v>0.84815300877300004</v>
      </c>
      <c r="D21671">
        <v>0.93921308175499996</v>
      </c>
      <c r="E21671">
        <v>0</v>
      </c>
    </row>
    <row r="21672" spans="1:5">
      <c r="A21672" t="s">
        <v>47268</v>
      </c>
      <c r="B21672" t="s">
        <v>18475</v>
      </c>
      <c r="C21672">
        <f>0.202938625856</f>
        <v>0.202938625856</v>
      </c>
      <c r="D21672">
        <v>0.93921308175499996</v>
      </c>
      <c r="E21672">
        <v>0</v>
      </c>
    </row>
    <row r="21673" spans="1:5">
      <c r="A21673" t="s">
        <v>47268</v>
      </c>
      <c r="B21673" t="s">
        <v>18476</v>
      </c>
      <c r="C21673">
        <v>0.412910219134</v>
      </c>
      <c r="D21673">
        <v>0.93921308175499996</v>
      </c>
      <c r="E21673">
        <v>0</v>
      </c>
    </row>
    <row r="21674" spans="1:5">
      <c r="A21674" t="s">
        <v>47269</v>
      </c>
      <c r="B21674" t="s">
        <v>47270</v>
      </c>
      <c r="C21674">
        <f>-1.56503343118</f>
        <v>-1.56503343118</v>
      </c>
      <c r="D21674">
        <v>0.99966214309699997</v>
      </c>
      <c r="E21674">
        <v>2.0339999999999998</v>
      </c>
    </row>
    <row r="21675" spans="1:5">
      <c r="A21675" t="s">
        <v>47269</v>
      </c>
      <c r="B21675" t="s">
        <v>47271</v>
      </c>
      <c r="C21675">
        <f>0.397366338212</f>
        <v>0.39736633821200001</v>
      </c>
      <c r="D21675">
        <v>0.99966214309699997</v>
      </c>
      <c r="E21675">
        <v>2.0339999999999998</v>
      </c>
    </row>
    <row r="21676" spans="1:5">
      <c r="A21676" t="s">
        <v>47269</v>
      </c>
      <c r="B21676" t="s">
        <v>47272</v>
      </c>
      <c r="C21676">
        <f>-1.87444163947</f>
        <v>-1.8744416394700001</v>
      </c>
      <c r="D21676">
        <v>0.99966214309699997</v>
      </c>
      <c r="E21676">
        <v>2.0339999999999998</v>
      </c>
    </row>
    <row r="21677" spans="1:5">
      <c r="A21677" t="s">
        <v>47269</v>
      </c>
      <c r="B21677" t="s">
        <v>47273</v>
      </c>
      <c r="C21677">
        <v>0.64399949590299999</v>
      </c>
      <c r="D21677">
        <v>0.99966214309699997</v>
      </c>
      <c r="E21677">
        <v>2.0339999999999998</v>
      </c>
    </row>
    <row r="21678" spans="1:5">
      <c r="A21678" t="s">
        <v>47269</v>
      </c>
      <c r="B21678" t="s">
        <v>47274</v>
      </c>
      <c r="C21678">
        <v>1.0381555600700001</v>
      </c>
      <c r="D21678">
        <v>0.99966214309699997</v>
      </c>
      <c r="E21678">
        <v>2.0339999999999998</v>
      </c>
    </row>
    <row r="21679" spans="1:5">
      <c r="A21679" t="s">
        <v>47269</v>
      </c>
      <c r="B21679" t="s">
        <v>47275</v>
      </c>
      <c r="C21679">
        <v>1.1899357210899999</v>
      </c>
      <c r="D21679">
        <v>0.99966214309699997</v>
      </c>
      <c r="E21679">
        <v>2.0339999999999998</v>
      </c>
    </row>
    <row r="21680" spans="1:5">
      <c r="A21680" t="s">
        <v>47276</v>
      </c>
      <c r="B21680" t="s">
        <v>9315</v>
      </c>
      <c r="C21680">
        <f>0</f>
        <v>0</v>
      </c>
      <c r="D21680" t="s">
        <v>106</v>
      </c>
      <c r="E21680">
        <v>5.3520000000000003</v>
      </c>
    </row>
    <row r="21681" spans="1:5">
      <c r="A21681" t="s">
        <v>47276</v>
      </c>
      <c r="B21681" t="s">
        <v>9317</v>
      </c>
      <c r="C21681">
        <f>0</f>
        <v>0</v>
      </c>
      <c r="D21681" t="s">
        <v>106</v>
      </c>
      <c r="E21681">
        <v>5.3520000000000003</v>
      </c>
    </row>
    <row r="21682" spans="1:5">
      <c r="A21682" t="s">
        <v>47276</v>
      </c>
      <c r="B21682" t="s">
        <v>9316</v>
      </c>
      <c r="C21682">
        <f>0</f>
        <v>0</v>
      </c>
      <c r="D21682" t="s">
        <v>106</v>
      </c>
      <c r="E21682">
        <v>5.3520000000000003</v>
      </c>
    </row>
    <row r="21683" spans="1:5">
      <c r="A21683" t="s">
        <v>47276</v>
      </c>
      <c r="B21683" t="s">
        <v>9320</v>
      </c>
      <c r="C21683">
        <f>0</f>
        <v>0</v>
      </c>
      <c r="D21683" t="s">
        <v>106</v>
      </c>
      <c r="E21683">
        <v>5.3520000000000003</v>
      </c>
    </row>
    <row r="21684" spans="1:5">
      <c r="A21684" t="s">
        <v>47276</v>
      </c>
      <c r="B21684" t="s">
        <v>9318</v>
      </c>
      <c r="C21684">
        <f>0</f>
        <v>0</v>
      </c>
      <c r="D21684" t="s">
        <v>106</v>
      </c>
      <c r="E21684">
        <v>5.3520000000000003</v>
      </c>
    </row>
    <row r="21685" spans="1:5">
      <c r="A21685" t="s">
        <v>47277</v>
      </c>
      <c r="B21685" t="s">
        <v>4093</v>
      </c>
      <c r="C21685">
        <f>0.331920369414</f>
        <v>0.33192036941399999</v>
      </c>
      <c r="D21685">
        <v>0.80138921210199998</v>
      </c>
      <c r="E21685">
        <v>0</v>
      </c>
    </row>
    <row r="21686" spans="1:5">
      <c r="A21686" t="s">
        <v>47277</v>
      </c>
      <c r="B21686" t="s">
        <v>4097</v>
      </c>
      <c r="C21686">
        <f>0</f>
        <v>0</v>
      </c>
      <c r="D21686">
        <v>0.80138921210199998</v>
      </c>
      <c r="E21686">
        <v>0</v>
      </c>
    </row>
    <row r="21687" spans="1:5">
      <c r="A21687" t="s">
        <v>47277</v>
      </c>
      <c r="B21687" t="s">
        <v>4099</v>
      </c>
      <c r="C21687">
        <v>0.19767096865</v>
      </c>
      <c r="D21687">
        <v>0.80138921210199998</v>
      </c>
      <c r="E21687">
        <v>0</v>
      </c>
    </row>
    <row r="21688" spans="1:5">
      <c r="A21688" t="s">
        <v>47277</v>
      </c>
      <c r="B21688" t="s">
        <v>4095</v>
      </c>
      <c r="C21688">
        <f>0</f>
        <v>0</v>
      </c>
      <c r="D21688">
        <v>0.80138921210199998</v>
      </c>
      <c r="E21688">
        <v>0</v>
      </c>
    </row>
    <row r="21689" spans="1:5">
      <c r="A21689" t="s">
        <v>47277</v>
      </c>
      <c r="B21689" t="s">
        <v>4098</v>
      </c>
      <c r="C21689">
        <v>0.56028673205099999</v>
      </c>
      <c r="D21689">
        <v>0.80138921210199998</v>
      </c>
      <c r="E21689">
        <v>0</v>
      </c>
    </row>
    <row r="21690" spans="1:5">
      <c r="A21690" t="s">
        <v>47278</v>
      </c>
      <c r="B21690" t="s">
        <v>47279</v>
      </c>
      <c r="C21690">
        <f>0</f>
        <v>0</v>
      </c>
      <c r="D21690">
        <v>0.967486807773</v>
      </c>
      <c r="E21690">
        <v>16.896000000000001</v>
      </c>
    </row>
    <row r="21691" spans="1:5">
      <c r="A21691" t="s">
        <v>47278</v>
      </c>
      <c r="B21691" t="s">
        <v>47280</v>
      </c>
      <c r="C21691">
        <v>0.39060274454499999</v>
      </c>
      <c r="D21691">
        <v>0.967486807773</v>
      </c>
      <c r="E21691">
        <v>16.896000000000001</v>
      </c>
    </row>
    <row r="21692" spans="1:5">
      <c r="A21692" t="s">
        <v>47278</v>
      </c>
      <c r="B21692" t="s">
        <v>47281</v>
      </c>
      <c r="C21692">
        <f>0.102358686419</f>
        <v>0.10235868641900001</v>
      </c>
      <c r="D21692">
        <v>0.967486807773</v>
      </c>
      <c r="E21692">
        <v>16.896000000000001</v>
      </c>
    </row>
    <row r="21693" spans="1:5">
      <c r="A21693" t="s">
        <v>47278</v>
      </c>
      <c r="B21693" t="s">
        <v>47282</v>
      </c>
      <c r="C21693">
        <v>0</v>
      </c>
      <c r="D21693">
        <v>0.967486807773</v>
      </c>
      <c r="E21693">
        <v>16.896000000000001</v>
      </c>
    </row>
    <row r="21694" spans="1:5">
      <c r="A21694" t="s">
        <v>47278</v>
      </c>
      <c r="B21694" t="s">
        <v>47283</v>
      </c>
      <c r="C21694">
        <v>0.187825815709</v>
      </c>
      <c r="D21694">
        <v>0.967486807773</v>
      </c>
      <c r="E21694">
        <v>16.896000000000001</v>
      </c>
    </row>
    <row r="21695" spans="1:5">
      <c r="A21695" t="s">
        <v>47278</v>
      </c>
      <c r="B21695" t="s">
        <v>47284</v>
      </c>
      <c r="C21695">
        <v>0.70594273409499997</v>
      </c>
      <c r="D21695">
        <v>0.967486807773</v>
      </c>
      <c r="E21695">
        <v>16.896000000000001</v>
      </c>
    </row>
    <row r="21696" spans="1:5">
      <c r="A21696" t="s">
        <v>47285</v>
      </c>
      <c r="B21696" t="s">
        <v>47286</v>
      </c>
      <c r="C21696">
        <v>0</v>
      </c>
      <c r="D21696">
        <v>0.79663361455199999</v>
      </c>
      <c r="E21696">
        <v>1.512</v>
      </c>
    </row>
    <row r="21697" spans="1:5">
      <c r="A21697" t="s">
        <v>47285</v>
      </c>
      <c r="B21697" t="s">
        <v>47287</v>
      </c>
      <c r="C21697">
        <f>0</f>
        <v>0</v>
      </c>
      <c r="D21697">
        <v>0.79663361455199999</v>
      </c>
      <c r="E21697">
        <v>1.512</v>
      </c>
    </row>
    <row r="21698" spans="1:5">
      <c r="A21698" t="s">
        <v>47285</v>
      </c>
      <c r="B21698" t="s">
        <v>47288</v>
      </c>
      <c r="C21698">
        <v>0</v>
      </c>
      <c r="D21698">
        <v>0.79663361455199999</v>
      </c>
      <c r="E21698">
        <v>1.512</v>
      </c>
    </row>
    <row r="21699" spans="1:5">
      <c r="A21699" t="s">
        <v>47285</v>
      </c>
      <c r="B21699" t="s">
        <v>47289</v>
      </c>
      <c r="C21699">
        <v>0</v>
      </c>
      <c r="D21699">
        <v>0.79663361455199999</v>
      </c>
      <c r="E21699">
        <v>1.512</v>
      </c>
    </row>
    <row r="21700" spans="1:5">
      <c r="A21700" t="s">
        <v>47285</v>
      </c>
      <c r="B21700" t="s">
        <v>47290</v>
      </c>
      <c r="C21700">
        <f>0</f>
        <v>0</v>
      </c>
      <c r="D21700">
        <v>0.79663361455199999</v>
      </c>
      <c r="E21700">
        <v>1.512</v>
      </c>
    </row>
    <row r="21701" spans="1:5">
      <c r="A21701" t="s">
        <v>47285</v>
      </c>
      <c r="B21701" t="s">
        <v>47291</v>
      </c>
      <c r="C21701">
        <v>0.56622361455199999</v>
      </c>
      <c r="D21701">
        <v>0.79663361455199999</v>
      </c>
      <c r="E21701">
        <v>1.512</v>
      </c>
    </row>
    <row r="21702" spans="1:5">
      <c r="A21702" t="s">
        <v>47292</v>
      </c>
      <c r="B21702" t="s">
        <v>25294</v>
      </c>
      <c r="C21702">
        <v>0.34751667952100002</v>
      </c>
      <c r="D21702">
        <v>0.87725879784299998</v>
      </c>
      <c r="E21702">
        <v>6.3</v>
      </c>
    </row>
    <row r="21703" spans="1:5">
      <c r="A21703" t="s">
        <v>47292</v>
      </c>
      <c r="B21703" t="s">
        <v>25295</v>
      </c>
      <c r="C21703">
        <v>0.50025799516400005</v>
      </c>
      <c r="D21703">
        <v>0.87725879784299998</v>
      </c>
      <c r="E21703">
        <v>6.3</v>
      </c>
    </row>
    <row r="21704" spans="1:5">
      <c r="A21704" t="s">
        <v>47292</v>
      </c>
      <c r="B21704" t="s">
        <v>25296</v>
      </c>
      <c r="C21704">
        <f>0.48195685304</f>
        <v>0.48195685304000002</v>
      </c>
      <c r="D21704">
        <v>0.87725879784299998</v>
      </c>
      <c r="E21704">
        <v>6.3</v>
      </c>
    </row>
    <row r="21705" spans="1:5">
      <c r="A21705" t="s">
        <v>47293</v>
      </c>
      <c r="B21705" t="s">
        <v>33219</v>
      </c>
      <c r="C21705">
        <v>0.742793214792</v>
      </c>
      <c r="D21705">
        <v>0.87746543752499995</v>
      </c>
      <c r="E21705">
        <v>1.6379999999999999</v>
      </c>
    </row>
    <row r="21706" spans="1:5">
      <c r="A21706" t="s">
        <v>47293</v>
      </c>
      <c r="B21706" t="s">
        <v>33221</v>
      </c>
      <c r="C21706">
        <v>0.41731894163900002</v>
      </c>
      <c r="D21706">
        <v>0.87746543752499995</v>
      </c>
      <c r="E21706">
        <v>1.6379999999999999</v>
      </c>
    </row>
    <row r="21707" spans="1:5">
      <c r="A21707" t="s">
        <v>47294</v>
      </c>
      <c r="B21707" t="s">
        <v>4482</v>
      </c>
      <c r="C21707">
        <f>-2.81377838406</f>
        <v>-2.8137783840599999</v>
      </c>
      <c r="D21707">
        <v>0.999855908091</v>
      </c>
      <c r="E21707">
        <v>10.242000000000001</v>
      </c>
    </row>
    <row r="21708" spans="1:5">
      <c r="A21708" t="s">
        <v>47294</v>
      </c>
      <c r="B21708" t="s">
        <v>4483</v>
      </c>
      <c r="C21708">
        <v>0.97202544869600005</v>
      </c>
      <c r="D21708">
        <v>0.999855908091</v>
      </c>
      <c r="E21708">
        <v>10.242000000000001</v>
      </c>
    </row>
    <row r="21709" spans="1:5">
      <c r="A21709" t="s">
        <v>47294</v>
      </c>
      <c r="B21709" t="s">
        <v>4478</v>
      </c>
      <c r="C21709">
        <v>1.34156614746</v>
      </c>
      <c r="D21709">
        <v>0.999855908091</v>
      </c>
      <c r="E21709">
        <v>10.242000000000001</v>
      </c>
    </row>
    <row r="21710" spans="1:5">
      <c r="A21710" t="s">
        <v>47294</v>
      </c>
      <c r="B21710" t="s">
        <v>4479</v>
      </c>
      <c r="C21710">
        <v>1.0195808668099999</v>
      </c>
      <c r="D21710">
        <v>0.999855908091</v>
      </c>
      <c r="E21710">
        <v>10.242000000000001</v>
      </c>
    </row>
    <row r="21711" spans="1:5">
      <c r="A21711" t="s">
        <v>47294</v>
      </c>
      <c r="B21711" t="s">
        <v>4477</v>
      </c>
      <c r="C21711">
        <v>1.2621908989400001E-2</v>
      </c>
      <c r="D21711">
        <v>0.999855908091</v>
      </c>
      <c r="E21711">
        <v>10.242000000000001</v>
      </c>
    </row>
    <row r="21712" spans="1:5">
      <c r="A21712" t="s">
        <v>47294</v>
      </c>
      <c r="B21712" t="s">
        <v>4480</v>
      </c>
      <c r="C21712">
        <f>0.803831044215</f>
        <v>0.80383104421499996</v>
      </c>
      <c r="D21712">
        <v>0.999855908091</v>
      </c>
      <c r="E21712">
        <v>10.242000000000001</v>
      </c>
    </row>
    <row r="21713" spans="1:5">
      <c r="A21713" t="s">
        <v>47294</v>
      </c>
      <c r="B21713" t="s">
        <v>4484</v>
      </c>
      <c r="C21713">
        <v>1.48152181159</v>
      </c>
      <c r="D21713">
        <v>0.999855908091</v>
      </c>
      <c r="E21713">
        <v>10.242000000000001</v>
      </c>
    </row>
    <row r="21714" spans="1:5">
      <c r="A21714" t="s">
        <v>47295</v>
      </c>
      <c r="B21714" t="s">
        <v>23146</v>
      </c>
      <c r="C21714">
        <v>0.32416259232799999</v>
      </c>
      <c r="D21714">
        <v>0.92885489066799998</v>
      </c>
      <c r="E21714">
        <v>1.6379999999999999</v>
      </c>
    </row>
    <row r="21715" spans="1:5">
      <c r="A21715" t="s">
        <v>47295</v>
      </c>
      <c r="B21715" t="s">
        <v>23143</v>
      </c>
      <c r="C21715">
        <v>7.0770437654500001E-2</v>
      </c>
      <c r="D21715">
        <v>0.92885489066799998</v>
      </c>
      <c r="E21715">
        <v>1.6379999999999999</v>
      </c>
    </row>
    <row r="21716" spans="1:5">
      <c r="A21716" t="s">
        <v>47295</v>
      </c>
      <c r="B21716" t="s">
        <v>23148</v>
      </c>
      <c r="C21716">
        <v>0</v>
      </c>
      <c r="D21716">
        <v>0.92885489066799998</v>
      </c>
      <c r="E21716">
        <v>1.6379999999999999</v>
      </c>
    </row>
    <row r="21717" spans="1:5">
      <c r="A21717" t="s">
        <v>47295</v>
      </c>
      <c r="B21717" t="s">
        <v>23145</v>
      </c>
      <c r="C21717">
        <v>0.49529450954600002</v>
      </c>
      <c r="D21717">
        <v>0.92885489066799998</v>
      </c>
      <c r="E21717">
        <v>1.6379999999999999</v>
      </c>
    </row>
    <row r="21718" spans="1:5">
      <c r="A21718" t="s">
        <v>47295</v>
      </c>
      <c r="B21718" t="s">
        <v>23144</v>
      </c>
      <c r="C21718">
        <v>0</v>
      </c>
      <c r="D21718">
        <v>0.92885489066799998</v>
      </c>
      <c r="E21718">
        <v>1.6379999999999999</v>
      </c>
    </row>
    <row r="21719" spans="1:5">
      <c r="A21719" t="s">
        <v>47296</v>
      </c>
      <c r="B21719" t="s">
        <v>47297</v>
      </c>
      <c r="C21719">
        <v>0.32566592327900001</v>
      </c>
      <c r="D21719">
        <v>0.99999362303200001</v>
      </c>
      <c r="E21719">
        <v>24</v>
      </c>
    </row>
    <row r="21720" spans="1:5">
      <c r="A21720" t="s">
        <v>47296</v>
      </c>
      <c r="B21720" t="s">
        <v>47298</v>
      </c>
      <c r="C21720">
        <v>0</v>
      </c>
      <c r="D21720">
        <v>0.99999362303200001</v>
      </c>
      <c r="E21720">
        <v>24</v>
      </c>
    </row>
    <row r="21721" spans="1:5">
      <c r="A21721" t="s">
        <v>47296</v>
      </c>
      <c r="B21721" t="s">
        <v>47299</v>
      </c>
      <c r="C21721">
        <f>0</f>
        <v>0</v>
      </c>
      <c r="D21721">
        <v>0.99999362303200001</v>
      </c>
      <c r="E21721">
        <v>24</v>
      </c>
    </row>
    <row r="21722" spans="1:5">
      <c r="A21722" t="s">
        <v>47296</v>
      </c>
      <c r="B21722" t="s">
        <v>47300</v>
      </c>
      <c r="C21722">
        <v>0.31336748996199998</v>
      </c>
      <c r="D21722">
        <v>0.99999362303200001</v>
      </c>
      <c r="E21722">
        <v>24</v>
      </c>
    </row>
    <row r="21723" spans="1:5">
      <c r="A21723" t="s">
        <v>47296</v>
      </c>
      <c r="B21723" t="s">
        <v>47301</v>
      </c>
      <c r="C21723">
        <f>0.408812474697</f>
        <v>0.40881247469699999</v>
      </c>
      <c r="D21723">
        <v>0.99999362303200001</v>
      </c>
      <c r="E21723">
        <v>24</v>
      </c>
    </row>
    <row r="21724" spans="1:5">
      <c r="A21724" t="s">
        <v>47296</v>
      </c>
      <c r="B21724" t="s">
        <v>47302</v>
      </c>
      <c r="C21724">
        <v>6.2519448973400005E-2</v>
      </c>
      <c r="D21724">
        <v>0.99999362303200001</v>
      </c>
      <c r="E21724">
        <v>24</v>
      </c>
    </row>
    <row r="21725" spans="1:5">
      <c r="A21725" t="s">
        <v>47296</v>
      </c>
      <c r="B21725" t="s">
        <v>47303</v>
      </c>
      <c r="C21725">
        <v>0.28734295033899998</v>
      </c>
      <c r="D21725">
        <v>0.99999362303200001</v>
      </c>
      <c r="E21725">
        <v>24</v>
      </c>
    </row>
    <row r="21726" spans="1:5">
      <c r="A21726" t="s">
        <v>47296</v>
      </c>
      <c r="B21726" t="s">
        <v>47304</v>
      </c>
      <c r="C21726">
        <f>0</f>
        <v>0</v>
      </c>
      <c r="D21726">
        <v>0.99999362303200001</v>
      </c>
      <c r="E21726">
        <v>24</v>
      </c>
    </row>
    <row r="21727" spans="1:5">
      <c r="A21727" t="s">
        <v>47296</v>
      </c>
      <c r="B21727" t="s">
        <v>47305</v>
      </c>
      <c r="C21727">
        <v>0.118757981737</v>
      </c>
      <c r="D21727">
        <v>0.99999362303200001</v>
      </c>
      <c r="E21727">
        <v>24</v>
      </c>
    </row>
    <row r="21728" spans="1:5">
      <c r="A21728" t="s">
        <v>47296</v>
      </c>
      <c r="B21728" t="s">
        <v>47306</v>
      </c>
      <c r="C21728">
        <v>4.6129138534399997E-2</v>
      </c>
      <c r="D21728">
        <v>0.99999362303200001</v>
      </c>
      <c r="E21728">
        <v>24</v>
      </c>
    </row>
    <row r="21729" spans="1:5">
      <c r="A21729" t="s">
        <v>47296</v>
      </c>
      <c r="B21729" t="s">
        <v>47307</v>
      </c>
      <c r="C21729">
        <f>0</f>
        <v>0</v>
      </c>
      <c r="D21729">
        <v>0.99999362303200001</v>
      </c>
      <c r="E21729">
        <v>24</v>
      </c>
    </row>
    <row r="21730" spans="1:5">
      <c r="A21730" t="s">
        <v>47296</v>
      </c>
      <c r="B21730" t="s">
        <v>47308</v>
      </c>
      <c r="C21730">
        <v>0.102532426587</v>
      </c>
      <c r="D21730">
        <v>0.99999362303200001</v>
      </c>
      <c r="E21730">
        <v>24</v>
      </c>
    </row>
    <row r="21731" spans="1:5">
      <c r="A21731" t="s">
        <v>47296</v>
      </c>
      <c r="B21731" t="s">
        <v>47309</v>
      </c>
      <c r="C21731">
        <v>0.200870359641</v>
      </c>
      <c r="D21731">
        <v>0.99999362303200001</v>
      </c>
      <c r="E21731">
        <v>24</v>
      </c>
    </row>
    <row r="21732" spans="1:5">
      <c r="A21732" t="s">
        <v>47296</v>
      </c>
      <c r="B21732" t="s">
        <v>47310</v>
      </c>
      <c r="C21732">
        <v>2.3260956354099999E-2</v>
      </c>
      <c r="D21732">
        <v>0.99999362303200001</v>
      </c>
      <c r="E21732">
        <v>24</v>
      </c>
    </row>
    <row r="21733" spans="1:5">
      <c r="A21733" t="s">
        <v>47296</v>
      </c>
      <c r="B21733" t="s">
        <v>47311</v>
      </c>
      <c r="C21733">
        <v>0</v>
      </c>
      <c r="D21733">
        <v>0.99999362303200001</v>
      </c>
      <c r="E21733">
        <v>24</v>
      </c>
    </row>
    <row r="21734" spans="1:5">
      <c r="A21734" t="s">
        <v>47312</v>
      </c>
      <c r="B21734" t="s">
        <v>2473</v>
      </c>
      <c r="C21734">
        <v>0</v>
      </c>
      <c r="D21734" t="s">
        <v>106</v>
      </c>
      <c r="E21734">
        <v>23.04</v>
      </c>
    </row>
    <row r="21735" spans="1:5">
      <c r="A21735" t="s">
        <v>47312</v>
      </c>
      <c r="B21735" t="s">
        <v>2481</v>
      </c>
      <c r="C21735">
        <v>0</v>
      </c>
      <c r="D21735" t="s">
        <v>106</v>
      </c>
      <c r="E21735">
        <v>23.04</v>
      </c>
    </row>
    <row r="21736" spans="1:5">
      <c r="A21736" t="s">
        <v>47312</v>
      </c>
      <c r="B21736" t="s">
        <v>2476</v>
      </c>
      <c r="C21736">
        <f>0</f>
        <v>0</v>
      </c>
      <c r="D21736" t="s">
        <v>106</v>
      </c>
      <c r="E21736">
        <v>23.04</v>
      </c>
    </row>
    <row r="21737" spans="1:5">
      <c r="A21737" t="s">
        <v>47312</v>
      </c>
      <c r="B21737" t="s">
        <v>2479</v>
      </c>
      <c r="C21737">
        <v>0</v>
      </c>
      <c r="D21737" t="s">
        <v>106</v>
      </c>
      <c r="E21737">
        <v>23.04</v>
      </c>
    </row>
    <row r="21738" spans="1:5">
      <c r="A21738" t="s">
        <v>47312</v>
      </c>
      <c r="B21738" t="s">
        <v>47313</v>
      </c>
      <c r="C21738">
        <v>0</v>
      </c>
      <c r="D21738" t="s">
        <v>106</v>
      </c>
      <c r="E21738">
        <v>23.04</v>
      </c>
    </row>
    <row r="21739" spans="1:5">
      <c r="A21739" t="s">
        <v>47312</v>
      </c>
      <c r="B21739" t="s">
        <v>2478</v>
      </c>
      <c r="C21739">
        <v>0</v>
      </c>
      <c r="D21739" t="s">
        <v>106</v>
      </c>
      <c r="E21739">
        <v>23.04</v>
      </c>
    </row>
    <row r="21740" spans="1:5">
      <c r="A21740" t="s">
        <v>47312</v>
      </c>
      <c r="B21740" t="s">
        <v>2474</v>
      </c>
      <c r="C21740">
        <v>0</v>
      </c>
      <c r="D21740" t="s">
        <v>106</v>
      </c>
      <c r="E21740">
        <v>23.04</v>
      </c>
    </row>
    <row r="21741" spans="1:5">
      <c r="A21741" t="s">
        <v>47314</v>
      </c>
      <c r="B21741" t="s">
        <v>12410</v>
      </c>
      <c r="C21741">
        <v>0.63761109284100004</v>
      </c>
      <c r="D21741">
        <v>0.81391075840899996</v>
      </c>
      <c r="E21741">
        <v>24</v>
      </c>
    </row>
    <row r="21742" spans="1:5">
      <c r="A21742" t="s">
        <v>47314</v>
      </c>
      <c r="B21742" t="s">
        <v>12411</v>
      </c>
      <c r="C21742">
        <v>0</v>
      </c>
      <c r="D21742">
        <v>0.81391075840899996</v>
      </c>
      <c r="E21742">
        <v>24</v>
      </c>
    </row>
    <row r="21743" spans="1:5">
      <c r="A21743" t="s">
        <v>47314</v>
      </c>
      <c r="B21743" t="s">
        <v>12409</v>
      </c>
      <c r="C21743">
        <f>0.200516852061</f>
        <v>0.20051685206100001</v>
      </c>
      <c r="D21743">
        <v>0.81391075840899996</v>
      </c>
      <c r="E21743">
        <v>24</v>
      </c>
    </row>
    <row r="21744" spans="1:5">
      <c r="A21744" t="s">
        <v>47315</v>
      </c>
      <c r="B21744" t="s">
        <v>4809</v>
      </c>
      <c r="C21744">
        <v>0.11792868642899999</v>
      </c>
      <c r="D21744">
        <v>0.91196846722400005</v>
      </c>
      <c r="E21744">
        <v>2.718</v>
      </c>
    </row>
    <row r="21745" spans="1:5">
      <c r="A21745" t="s">
        <v>47315</v>
      </c>
      <c r="B21745" t="s">
        <v>4812</v>
      </c>
      <c r="C21745">
        <v>0.218502959686</v>
      </c>
      <c r="D21745">
        <v>0.91196846722400005</v>
      </c>
      <c r="E21745">
        <v>2.718</v>
      </c>
    </row>
    <row r="21746" spans="1:5">
      <c r="A21746" t="s">
        <v>47315</v>
      </c>
      <c r="B21746" t="s">
        <v>4811</v>
      </c>
      <c r="C21746">
        <v>0.45856880977100001</v>
      </c>
      <c r="D21746">
        <v>0.91196846722400005</v>
      </c>
      <c r="E21746">
        <v>2.718</v>
      </c>
    </row>
    <row r="21747" spans="1:5">
      <c r="A21747" t="s">
        <v>47315</v>
      </c>
      <c r="B21747" t="s">
        <v>4810</v>
      </c>
      <c r="C21747">
        <v>0.27650808046999997</v>
      </c>
      <c r="D21747">
        <v>0.91196846722400005</v>
      </c>
      <c r="E21747">
        <v>2.718</v>
      </c>
    </row>
    <row r="21748" spans="1:5">
      <c r="A21748" t="s">
        <v>47315</v>
      </c>
      <c r="B21748" t="s">
        <v>4813</v>
      </c>
      <c r="C21748">
        <v>0</v>
      </c>
      <c r="D21748">
        <v>0.91196846722400005</v>
      </c>
      <c r="E21748">
        <v>2.718</v>
      </c>
    </row>
    <row r="21749" spans="1:5">
      <c r="A21749" t="s">
        <v>47316</v>
      </c>
      <c r="B21749" t="s">
        <v>47317</v>
      </c>
      <c r="C21749">
        <v>0</v>
      </c>
      <c r="D21749" t="s">
        <v>106</v>
      </c>
      <c r="E21749">
        <v>0</v>
      </c>
    </row>
    <row r="21750" spans="1:5">
      <c r="A21750" t="s">
        <v>47316</v>
      </c>
      <c r="B21750" t="s">
        <v>47318</v>
      </c>
      <c r="C21750">
        <f>0</f>
        <v>0</v>
      </c>
      <c r="D21750" t="s">
        <v>106</v>
      </c>
      <c r="E21750">
        <v>0</v>
      </c>
    </row>
    <row r="21751" spans="1:5">
      <c r="A21751" t="s">
        <v>47316</v>
      </c>
      <c r="B21751" t="s">
        <v>47319</v>
      </c>
      <c r="C21751">
        <f>0</f>
        <v>0</v>
      </c>
      <c r="D21751" t="s">
        <v>106</v>
      </c>
      <c r="E21751">
        <v>0</v>
      </c>
    </row>
    <row r="21752" spans="1:5">
      <c r="A21752" t="s">
        <v>47316</v>
      </c>
      <c r="B21752" t="s">
        <v>47320</v>
      </c>
      <c r="C21752">
        <v>0</v>
      </c>
      <c r="D21752" t="s">
        <v>106</v>
      </c>
      <c r="E21752">
        <v>0</v>
      </c>
    </row>
    <row r="21753" spans="1:5">
      <c r="A21753" t="s">
        <v>47321</v>
      </c>
      <c r="B21753" t="s">
        <v>3280</v>
      </c>
      <c r="C21753">
        <f>0</f>
        <v>0</v>
      </c>
      <c r="D21753" t="s">
        <v>106</v>
      </c>
      <c r="E21753">
        <v>24</v>
      </c>
    </row>
    <row r="21754" spans="1:5">
      <c r="A21754" t="s">
        <v>47321</v>
      </c>
      <c r="B21754" t="s">
        <v>3281</v>
      </c>
      <c r="C21754">
        <f>0</f>
        <v>0</v>
      </c>
      <c r="D21754" t="s">
        <v>106</v>
      </c>
      <c r="E21754">
        <v>24</v>
      </c>
    </row>
    <row r="21755" spans="1:5">
      <c r="A21755" t="s">
        <v>47321</v>
      </c>
      <c r="B21755" t="s">
        <v>3283</v>
      </c>
      <c r="C21755">
        <f>0</f>
        <v>0</v>
      </c>
      <c r="D21755" t="s">
        <v>106</v>
      </c>
      <c r="E21755">
        <v>24</v>
      </c>
    </row>
    <row r="21756" spans="1:5">
      <c r="A21756" t="s">
        <v>47322</v>
      </c>
      <c r="B21756" t="s">
        <v>47323</v>
      </c>
      <c r="C21756">
        <v>0.51279642997999997</v>
      </c>
      <c r="D21756">
        <v>0.70640642998000003</v>
      </c>
      <c r="E21756">
        <v>0.69599999999999995</v>
      </c>
    </row>
    <row r="21757" spans="1:5">
      <c r="A21757" t="s">
        <v>47322</v>
      </c>
      <c r="B21757" t="s">
        <v>47324</v>
      </c>
      <c r="C21757">
        <v>0</v>
      </c>
      <c r="D21757">
        <v>0.70640642998000003</v>
      </c>
      <c r="E21757">
        <v>0.69599999999999995</v>
      </c>
    </row>
    <row r="21758" spans="1:5">
      <c r="A21758" t="s">
        <v>47325</v>
      </c>
      <c r="B21758" t="s">
        <v>20790</v>
      </c>
      <c r="C21758">
        <f>0</f>
        <v>0</v>
      </c>
      <c r="D21758">
        <v>0.78016525578399998</v>
      </c>
      <c r="E21758">
        <v>2.718</v>
      </c>
    </row>
    <row r="21759" spans="1:5">
      <c r="A21759" t="s">
        <v>47325</v>
      </c>
      <c r="B21759" t="s">
        <v>47326</v>
      </c>
      <c r="C21759">
        <v>0.54975525578399997</v>
      </c>
      <c r="D21759">
        <v>0.78016525578399998</v>
      </c>
      <c r="E21759">
        <v>2.718</v>
      </c>
    </row>
    <row r="21760" spans="1:5">
      <c r="A21760" t="s">
        <v>47325</v>
      </c>
      <c r="B21760" t="s">
        <v>20791</v>
      </c>
      <c r="C21760">
        <v>0</v>
      </c>
      <c r="D21760">
        <v>0.78016525578399998</v>
      </c>
      <c r="E21760">
        <v>2.718</v>
      </c>
    </row>
    <row r="21761" spans="1:5">
      <c r="A21761" t="s">
        <v>47327</v>
      </c>
      <c r="B21761" t="s">
        <v>9754</v>
      </c>
      <c r="C21761">
        <v>0.56429915380499995</v>
      </c>
      <c r="D21761">
        <v>0.95672661420100003</v>
      </c>
      <c r="E21761">
        <v>0</v>
      </c>
    </row>
    <row r="21762" spans="1:5">
      <c r="A21762" t="s">
        <v>47327</v>
      </c>
      <c r="B21762" t="s">
        <v>9761</v>
      </c>
      <c r="C21762">
        <f>0.0249776798603</f>
        <v>2.4977679860300001E-2</v>
      </c>
      <c r="D21762">
        <v>0.95672661420100003</v>
      </c>
      <c r="E21762">
        <v>0</v>
      </c>
    </row>
    <row r="21763" spans="1:5">
      <c r="A21763" t="s">
        <v>47327</v>
      </c>
      <c r="B21763" t="s">
        <v>9758</v>
      </c>
      <c r="C21763">
        <v>0.103098476824</v>
      </c>
      <c r="D21763">
        <v>0.95672661420100003</v>
      </c>
      <c r="E21763">
        <v>0</v>
      </c>
    </row>
    <row r="21764" spans="1:5">
      <c r="A21764" t="s">
        <v>47327</v>
      </c>
      <c r="B21764" t="s">
        <v>9759</v>
      </c>
      <c r="C21764">
        <v>0</v>
      </c>
      <c r="D21764">
        <v>0.95672661420100003</v>
      </c>
      <c r="E21764">
        <v>0</v>
      </c>
    </row>
    <row r="21765" spans="1:5">
      <c r="A21765" t="s">
        <v>47327</v>
      </c>
      <c r="B21765" t="s">
        <v>9760</v>
      </c>
      <c r="C21765">
        <f>0</f>
        <v>0</v>
      </c>
      <c r="D21765">
        <v>0.95672661420100003</v>
      </c>
      <c r="E21765">
        <v>0</v>
      </c>
    </row>
    <row r="21766" spans="1:5">
      <c r="A21766" t="s">
        <v>47327</v>
      </c>
      <c r="B21766" t="s">
        <v>9762</v>
      </c>
      <c r="C21766">
        <v>0.49877732599899999</v>
      </c>
      <c r="D21766">
        <v>0.95672661420100003</v>
      </c>
      <c r="E21766">
        <v>0</v>
      </c>
    </row>
    <row r="21767" spans="1:5">
      <c r="A21767" t="s">
        <v>47328</v>
      </c>
      <c r="B21767" t="s">
        <v>26269</v>
      </c>
      <c r="C21767">
        <v>0</v>
      </c>
      <c r="D21767">
        <v>0.69587642645500003</v>
      </c>
      <c r="E21767">
        <v>4.3739999999999997</v>
      </c>
    </row>
    <row r="21768" spans="1:5">
      <c r="A21768" t="s">
        <v>47328</v>
      </c>
      <c r="B21768" t="s">
        <v>26262</v>
      </c>
      <c r="C21768">
        <v>0</v>
      </c>
      <c r="D21768">
        <v>0.69587642645500003</v>
      </c>
      <c r="E21768">
        <v>4.3739999999999997</v>
      </c>
    </row>
    <row r="21769" spans="1:5">
      <c r="A21769" t="s">
        <v>47328</v>
      </c>
      <c r="B21769" t="s">
        <v>26261</v>
      </c>
      <c r="C21769">
        <f>0</f>
        <v>0</v>
      </c>
      <c r="D21769">
        <v>0.69587642645500003</v>
      </c>
      <c r="E21769">
        <v>4.3739999999999997</v>
      </c>
    </row>
    <row r="21770" spans="1:5">
      <c r="A21770" t="s">
        <v>47328</v>
      </c>
      <c r="B21770" t="s">
        <v>26263</v>
      </c>
      <c r="C21770">
        <v>0</v>
      </c>
      <c r="D21770">
        <v>0.69587642645500003</v>
      </c>
      <c r="E21770">
        <v>4.3739999999999997</v>
      </c>
    </row>
    <row r="21771" spans="1:5">
      <c r="A21771" t="s">
        <v>47328</v>
      </c>
      <c r="B21771" t="s">
        <v>26266</v>
      </c>
      <c r="C21771">
        <v>9.7793249960899997E-2</v>
      </c>
      <c r="D21771">
        <v>0.69587642645500003</v>
      </c>
      <c r="E21771">
        <v>4.3739999999999997</v>
      </c>
    </row>
    <row r="21772" spans="1:5">
      <c r="A21772" t="s">
        <v>47328</v>
      </c>
      <c r="B21772" t="s">
        <v>26265</v>
      </c>
      <c r="C21772">
        <v>0.33987077215</v>
      </c>
      <c r="D21772">
        <v>0.69587642645500003</v>
      </c>
      <c r="E21772">
        <v>4.3739999999999997</v>
      </c>
    </row>
    <row r="21773" spans="1:5">
      <c r="A21773" t="s">
        <v>47329</v>
      </c>
      <c r="B21773" t="s">
        <v>47330</v>
      </c>
      <c r="C21773">
        <v>0</v>
      </c>
      <c r="D21773" t="s">
        <v>106</v>
      </c>
      <c r="E21773">
        <v>9.3179999999999996</v>
      </c>
    </row>
    <row r="21774" spans="1:5">
      <c r="A21774" t="s">
        <v>47329</v>
      </c>
      <c r="B21774" t="s">
        <v>47331</v>
      </c>
      <c r="C21774">
        <v>0</v>
      </c>
      <c r="D21774" t="s">
        <v>106</v>
      </c>
      <c r="E21774">
        <v>9.3179999999999996</v>
      </c>
    </row>
    <row r="21775" spans="1:5">
      <c r="A21775" t="s">
        <v>47329</v>
      </c>
      <c r="B21775" t="s">
        <v>47332</v>
      </c>
      <c r="C21775">
        <v>0</v>
      </c>
      <c r="D21775" t="s">
        <v>106</v>
      </c>
      <c r="E21775">
        <v>9.3179999999999996</v>
      </c>
    </row>
    <row r="21776" spans="1:5">
      <c r="A21776" t="s">
        <v>47329</v>
      </c>
      <c r="B21776" t="s">
        <v>47333</v>
      </c>
      <c r="C21776">
        <f>0</f>
        <v>0</v>
      </c>
      <c r="D21776" t="s">
        <v>106</v>
      </c>
      <c r="E21776">
        <v>9.3179999999999996</v>
      </c>
    </row>
    <row r="21777" spans="1:5">
      <c r="A21777" t="s">
        <v>47329</v>
      </c>
      <c r="B21777" t="s">
        <v>47334</v>
      </c>
      <c r="C21777">
        <v>0</v>
      </c>
      <c r="D21777" t="s">
        <v>106</v>
      </c>
      <c r="E21777">
        <v>9.3179999999999996</v>
      </c>
    </row>
    <row r="21778" spans="1:5">
      <c r="A21778" t="s">
        <v>47329</v>
      </c>
      <c r="B21778" t="s">
        <v>47335</v>
      </c>
      <c r="C21778">
        <v>0</v>
      </c>
      <c r="D21778" t="s">
        <v>106</v>
      </c>
      <c r="E21778">
        <v>9.3179999999999996</v>
      </c>
    </row>
    <row r="21779" spans="1:5">
      <c r="A21779" t="s">
        <v>47329</v>
      </c>
      <c r="B21779" t="s">
        <v>47336</v>
      </c>
      <c r="C21779">
        <v>0</v>
      </c>
      <c r="D21779" t="s">
        <v>106</v>
      </c>
      <c r="E21779">
        <v>9.3179999999999996</v>
      </c>
    </row>
    <row r="21780" spans="1:5">
      <c r="A21780" t="s">
        <v>47337</v>
      </c>
      <c r="B21780" t="s">
        <v>20875</v>
      </c>
      <c r="C21780">
        <f>0.775256089137</f>
        <v>0.77525608913699995</v>
      </c>
      <c r="D21780">
        <v>0.87300814188800002</v>
      </c>
      <c r="E21780">
        <v>24</v>
      </c>
    </row>
    <row r="21781" spans="1:5">
      <c r="A21781" t="s">
        <v>47337</v>
      </c>
      <c r="B21781" t="s">
        <v>20873</v>
      </c>
      <c r="C21781">
        <v>0.94268351691300001</v>
      </c>
      <c r="D21781">
        <v>0.87300814188800002</v>
      </c>
      <c r="E21781">
        <v>24</v>
      </c>
    </row>
    <row r="21782" spans="1:5">
      <c r="A21782" t="s">
        <v>47337</v>
      </c>
      <c r="B21782" t="s">
        <v>20874</v>
      </c>
      <c r="C21782">
        <f>0.452095496738</f>
        <v>0.45209549673799998</v>
      </c>
      <c r="D21782">
        <v>0.87300814188800002</v>
      </c>
      <c r="E21782">
        <v>24</v>
      </c>
    </row>
    <row r="21783" spans="1:5">
      <c r="A21783" t="s">
        <v>47338</v>
      </c>
      <c r="B21783" t="s">
        <v>17842</v>
      </c>
      <c r="C21783">
        <f>0</f>
        <v>0</v>
      </c>
      <c r="D21783" t="s">
        <v>106</v>
      </c>
      <c r="E21783">
        <v>1.764</v>
      </c>
    </row>
    <row r="21784" spans="1:5">
      <c r="A21784" t="s">
        <v>47338</v>
      </c>
      <c r="B21784" t="s">
        <v>17846</v>
      </c>
      <c r="C21784">
        <f>0</f>
        <v>0</v>
      </c>
      <c r="D21784" t="s">
        <v>106</v>
      </c>
      <c r="E21784">
        <v>1.764</v>
      </c>
    </row>
    <row r="21785" spans="1:5">
      <c r="A21785" t="s">
        <v>47338</v>
      </c>
      <c r="B21785" t="s">
        <v>17843</v>
      </c>
      <c r="C21785">
        <v>0</v>
      </c>
      <c r="D21785" t="s">
        <v>106</v>
      </c>
      <c r="E21785">
        <v>1.764</v>
      </c>
    </row>
    <row r="21786" spans="1:5">
      <c r="A21786" t="s">
        <v>47338</v>
      </c>
      <c r="B21786" t="s">
        <v>17844</v>
      </c>
      <c r="C21786">
        <v>0</v>
      </c>
      <c r="D21786" t="s">
        <v>106</v>
      </c>
      <c r="E21786">
        <v>1.764</v>
      </c>
    </row>
    <row r="21787" spans="1:5">
      <c r="A21787" t="s">
        <v>47339</v>
      </c>
      <c r="B21787" t="s">
        <v>47340</v>
      </c>
      <c r="C21787">
        <f>0.481618629234</f>
        <v>0.48161862923400001</v>
      </c>
      <c r="D21787">
        <v>0.68940942716300002</v>
      </c>
      <c r="E21787">
        <v>15.125999999999999</v>
      </c>
    </row>
    <row r="21788" spans="1:5">
      <c r="A21788" t="s">
        <v>47339</v>
      </c>
      <c r="B21788" t="s">
        <v>47341</v>
      </c>
      <c r="C21788">
        <v>7.2845778060099994E-2</v>
      </c>
      <c r="D21788">
        <v>0.68940942716300002</v>
      </c>
      <c r="E21788">
        <v>15.125999999999999</v>
      </c>
    </row>
    <row r="21789" spans="1:5">
      <c r="A21789" t="s">
        <v>47339</v>
      </c>
      <c r="B21789" t="s">
        <v>47342</v>
      </c>
      <c r="C21789">
        <v>0</v>
      </c>
      <c r="D21789">
        <v>0.68940942716300002</v>
      </c>
      <c r="E21789">
        <v>15.125999999999999</v>
      </c>
    </row>
    <row r="21790" spans="1:5">
      <c r="A21790" t="s">
        <v>47339</v>
      </c>
      <c r="B21790" t="s">
        <v>47343</v>
      </c>
      <c r="C21790">
        <f>0</f>
        <v>0</v>
      </c>
      <c r="D21790">
        <v>0.68940942716300002</v>
      </c>
      <c r="E21790">
        <v>15.125999999999999</v>
      </c>
    </row>
    <row r="21791" spans="1:5">
      <c r="A21791" t="s">
        <v>47344</v>
      </c>
      <c r="B21791" t="s">
        <v>47345</v>
      </c>
      <c r="C21791">
        <v>0</v>
      </c>
      <c r="D21791">
        <v>0.83188590585900002</v>
      </c>
      <c r="E21791">
        <v>0.54</v>
      </c>
    </row>
    <row r="21792" spans="1:5">
      <c r="A21792" t="s">
        <v>47344</v>
      </c>
      <c r="B21792" t="s">
        <v>47346</v>
      </c>
      <c r="C21792">
        <v>0.27274445225900001</v>
      </c>
      <c r="D21792">
        <v>0.83188590585900002</v>
      </c>
      <c r="E21792">
        <v>0.54</v>
      </c>
    </row>
    <row r="21793" spans="1:5">
      <c r="A21793" t="s">
        <v>47344</v>
      </c>
      <c r="B21793" t="s">
        <v>47347</v>
      </c>
      <c r="C21793">
        <v>0.25738357224300001</v>
      </c>
      <c r="D21793">
        <v>0.83188590585900002</v>
      </c>
      <c r="E21793">
        <v>0.54</v>
      </c>
    </row>
    <row r="21794" spans="1:5">
      <c r="A21794" t="s">
        <v>47344</v>
      </c>
      <c r="B21794" t="s">
        <v>47348</v>
      </c>
      <c r="C21794">
        <f>0</f>
        <v>0</v>
      </c>
      <c r="D21794">
        <v>0.83188590585900002</v>
      </c>
      <c r="E21794">
        <v>0.54</v>
      </c>
    </row>
    <row r="21795" spans="1:5">
      <c r="A21795" t="s">
        <v>47344</v>
      </c>
      <c r="B21795" t="s">
        <v>47349</v>
      </c>
      <c r="C21795">
        <f>0</f>
        <v>0</v>
      </c>
      <c r="D21795">
        <v>0.83188590585900002</v>
      </c>
      <c r="E21795">
        <v>0.54</v>
      </c>
    </row>
    <row r="21796" spans="1:5">
      <c r="A21796" t="s">
        <v>47344</v>
      </c>
      <c r="B21796" t="s">
        <v>47350</v>
      </c>
      <c r="C21796">
        <v>0.184721007952</v>
      </c>
      <c r="D21796">
        <v>0.83188590585900002</v>
      </c>
      <c r="E21796">
        <v>0.54</v>
      </c>
    </row>
    <row r="21797" spans="1:5">
      <c r="A21797" t="s">
        <v>47351</v>
      </c>
      <c r="B21797" t="s">
        <v>47352</v>
      </c>
      <c r="C21797">
        <v>0.84041416719600004</v>
      </c>
      <c r="D21797">
        <v>0.90517508128500002</v>
      </c>
      <c r="E21797">
        <v>21.42</v>
      </c>
    </row>
    <row r="21798" spans="1:5">
      <c r="A21798" t="s">
        <v>47351</v>
      </c>
      <c r="B21798" t="s">
        <v>47353</v>
      </c>
      <c r="C21798">
        <v>5.1791351331599997E-2</v>
      </c>
      <c r="D21798">
        <v>0.90517508128500002</v>
      </c>
      <c r="E21798">
        <v>21.42</v>
      </c>
    </row>
    <row r="21799" spans="1:5">
      <c r="A21799" t="s">
        <v>47351</v>
      </c>
      <c r="B21799" t="s">
        <v>47354</v>
      </c>
      <c r="C21799">
        <v>0.18096583281500001</v>
      </c>
      <c r="D21799">
        <v>0.90517508128500002</v>
      </c>
      <c r="E21799">
        <v>21.42</v>
      </c>
    </row>
    <row r="21800" spans="1:5">
      <c r="A21800" t="s">
        <v>47355</v>
      </c>
      <c r="B21800" t="s">
        <v>47356</v>
      </c>
      <c r="C21800">
        <v>0.92540807361599997</v>
      </c>
      <c r="D21800">
        <v>0.94169542551200003</v>
      </c>
      <c r="E21800">
        <v>7.2</v>
      </c>
    </row>
    <row r="21801" spans="1:5">
      <c r="A21801" t="s">
        <v>47355</v>
      </c>
      <c r="B21801" t="s">
        <v>47357</v>
      </c>
      <c r="C21801">
        <v>0.86125284369699995</v>
      </c>
      <c r="D21801">
        <v>0.94169542551200003</v>
      </c>
      <c r="E21801">
        <v>7.2</v>
      </c>
    </row>
    <row r="21802" spans="1:5">
      <c r="A21802" t="s">
        <v>47355</v>
      </c>
      <c r="B21802" t="s">
        <v>47358</v>
      </c>
      <c r="C21802">
        <v>9.8067418964799993E-2</v>
      </c>
      <c r="D21802">
        <v>0.94169542551200003</v>
      </c>
      <c r="E21802">
        <v>7.2</v>
      </c>
    </row>
    <row r="21803" spans="1:5">
      <c r="A21803" t="s">
        <v>47359</v>
      </c>
      <c r="B21803" t="s">
        <v>47360</v>
      </c>
      <c r="C21803">
        <v>0</v>
      </c>
      <c r="D21803">
        <v>0.982530355927</v>
      </c>
      <c r="E21803">
        <v>7.4640000000000004</v>
      </c>
    </row>
    <row r="21804" spans="1:5">
      <c r="A21804" t="s">
        <v>47359</v>
      </c>
      <c r="B21804" t="s">
        <v>47361</v>
      </c>
      <c r="C21804">
        <v>1.0461325136599999</v>
      </c>
      <c r="D21804">
        <v>0.982530355927</v>
      </c>
      <c r="E21804">
        <v>7.4640000000000004</v>
      </c>
    </row>
    <row r="21805" spans="1:5">
      <c r="A21805" t="s">
        <v>47359</v>
      </c>
      <c r="B21805" t="s">
        <v>47362</v>
      </c>
      <c r="C21805">
        <f>0.824658807566</f>
        <v>0.82465880756599996</v>
      </c>
      <c r="D21805">
        <v>0.982530355927</v>
      </c>
      <c r="E21805">
        <v>7.4640000000000004</v>
      </c>
    </row>
    <row r="21806" spans="1:5">
      <c r="A21806" t="s">
        <v>47359</v>
      </c>
      <c r="B21806" t="s">
        <v>47363</v>
      </c>
      <c r="C21806">
        <v>0</v>
      </c>
      <c r="D21806">
        <v>0.982530355927</v>
      </c>
      <c r="E21806">
        <v>7.4640000000000004</v>
      </c>
    </row>
    <row r="21807" spans="1:5">
      <c r="A21807" t="s">
        <v>47359</v>
      </c>
      <c r="B21807" t="s">
        <v>47364</v>
      </c>
      <c r="C21807">
        <v>0.15781803585699999</v>
      </c>
      <c r="D21807">
        <v>0.982530355927</v>
      </c>
      <c r="E21807">
        <v>7.4640000000000004</v>
      </c>
    </row>
    <row r="21808" spans="1:5">
      <c r="A21808" t="s">
        <v>47359</v>
      </c>
      <c r="B21808" t="s">
        <v>47365</v>
      </c>
      <c r="C21808">
        <f>0.412604437147</f>
        <v>0.41260443714700001</v>
      </c>
      <c r="D21808">
        <v>0.982530355927</v>
      </c>
      <c r="E21808">
        <v>7.4640000000000004</v>
      </c>
    </row>
    <row r="21809" spans="1:5">
      <c r="A21809" t="s">
        <v>47359</v>
      </c>
      <c r="B21809" t="s">
        <v>47366</v>
      </c>
      <c r="C21809">
        <v>0.10471597144399999</v>
      </c>
      <c r="D21809">
        <v>0.982530355927</v>
      </c>
      <c r="E21809">
        <v>7.4640000000000004</v>
      </c>
    </row>
    <row r="21810" spans="1:5">
      <c r="A21810" t="s">
        <v>47367</v>
      </c>
      <c r="B21810" t="s">
        <v>17737</v>
      </c>
      <c r="C21810">
        <f>0</f>
        <v>0</v>
      </c>
      <c r="D21810" t="s">
        <v>106</v>
      </c>
      <c r="E21810">
        <v>3.78</v>
      </c>
    </row>
    <row r="21811" spans="1:5">
      <c r="A21811" t="s">
        <v>47367</v>
      </c>
      <c r="B21811" t="s">
        <v>17736</v>
      </c>
      <c r="C21811">
        <f>0</f>
        <v>0</v>
      </c>
      <c r="D21811" t="s">
        <v>106</v>
      </c>
      <c r="E21811">
        <v>3.78</v>
      </c>
    </row>
    <row r="21812" spans="1:5">
      <c r="A21812" t="s">
        <v>47367</v>
      </c>
      <c r="B21812" t="s">
        <v>17738</v>
      </c>
      <c r="C21812">
        <f>0</f>
        <v>0</v>
      </c>
      <c r="D21812" t="s">
        <v>106</v>
      </c>
      <c r="E21812">
        <v>3.78</v>
      </c>
    </row>
    <row r="21813" spans="1:5">
      <c r="A21813" t="s">
        <v>47368</v>
      </c>
      <c r="B21813" t="s">
        <v>47369</v>
      </c>
      <c r="C21813">
        <f>0</f>
        <v>0</v>
      </c>
      <c r="D21813">
        <v>0.88266385255299995</v>
      </c>
      <c r="E21813">
        <v>23.754000000000001</v>
      </c>
    </row>
    <row r="21814" spans="1:5">
      <c r="A21814" t="s">
        <v>47368</v>
      </c>
      <c r="B21814" t="s">
        <v>47370</v>
      </c>
      <c r="C21814">
        <f>0.689053852553</f>
        <v>0.689053852553</v>
      </c>
      <c r="D21814">
        <v>0.88266385255299995</v>
      </c>
      <c r="E21814">
        <v>23.754000000000001</v>
      </c>
    </row>
    <row r="21815" spans="1:5">
      <c r="A21815" t="s">
        <v>47368</v>
      </c>
      <c r="B21815" t="s">
        <v>47371</v>
      </c>
      <c r="C21815">
        <f>0</f>
        <v>0</v>
      </c>
      <c r="D21815">
        <v>0.88266385255299995</v>
      </c>
      <c r="E21815">
        <v>23.754000000000001</v>
      </c>
    </row>
    <row r="21816" spans="1:5">
      <c r="A21816" t="s">
        <v>47368</v>
      </c>
      <c r="B21816" t="s">
        <v>47372</v>
      </c>
      <c r="C21816">
        <f>0</f>
        <v>0</v>
      </c>
      <c r="D21816">
        <v>0.88266385255299995</v>
      </c>
      <c r="E21816">
        <v>23.754000000000001</v>
      </c>
    </row>
    <row r="21817" spans="1:5">
      <c r="A21817" t="s">
        <v>47368</v>
      </c>
      <c r="B21817" t="s">
        <v>47373</v>
      </c>
      <c r="C21817">
        <f>0</f>
        <v>0</v>
      </c>
      <c r="D21817">
        <v>0.88266385255299995</v>
      </c>
      <c r="E21817">
        <v>23.754000000000001</v>
      </c>
    </row>
    <row r="21818" spans="1:5">
      <c r="A21818" t="s">
        <v>47374</v>
      </c>
      <c r="B21818" t="s">
        <v>17593</v>
      </c>
      <c r="C21818">
        <v>0</v>
      </c>
      <c r="D21818">
        <v>0.65172184299799996</v>
      </c>
      <c r="E21818">
        <v>18.138000000000002</v>
      </c>
    </row>
    <row r="21819" spans="1:5">
      <c r="A21819" t="s">
        <v>47374</v>
      </c>
      <c r="B21819" t="s">
        <v>17591</v>
      </c>
      <c r="C21819">
        <v>0</v>
      </c>
      <c r="D21819">
        <v>0.65172184299799996</v>
      </c>
      <c r="E21819">
        <v>18.138000000000002</v>
      </c>
    </row>
    <row r="21820" spans="1:5">
      <c r="A21820" t="s">
        <v>47374</v>
      </c>
      <c r="B21820" t="s">
        <v>17592</v>
      </c>
      <c r="C21820">
        <v>0</v>
      </c>
      <c r="D21820">
        <v>0.65172184299799996</v>
      </c>
      <c r="E21820">
        <v>18.138000000000002</v>
      </c>
    </row>
    <row r="21821" spans="1:5">
      <c r="A21821" t="s">
        <v>47374</v>
      </c>
      <c r="B21821" t="s">
        <v>17596</v>
      </c>
      <c r="C21821">
        <v>7.9414726453500006E-3</v>
      </c>
      <c r="D21821">
        <v>0.65172184299799996</v>
      </c>
      <c r="E21821">
        <v>18.138000000000002</v>
      </c>
    </row>
    <row r="21822" spans="1:5">
      <c r="A21822" t="s">
        <v>47374</v>
      </c>
      <c r="B21822" t="s">
        <v>17594</v>
      </c>
      <c r="C21822">
        <v>0.452843492174</v>
      </c>
      <c r="D21822">
        <v>0.65172184299799996</v>
      </c>
      <c r="E21822">
        <v>18.138000000000002</v>
      </c>
    </row>
    <row r="21823" spans="1:5">
      <c r="A21823" t="s">
        <v>47375</v>
      </c>
      <c r="B21823" t="s">
        <v>8210</v>
      </c>
      <c r="C21823">
        <f>0.0415300036347</f>
        <v>4.1530003634699997E-2</v>
      </c>
      <c r="D21823">
        <v>0.99995704466299995</v>
      </c>
      <c r="E21823">
        <v>10.554</v>
      </c>
    </row>
    <row r="21824" spans="1:5">
      <c r="A21824" t="s">
        <v>47375</v>
      </c>
      <c r="B21824" t="s">
        <v>8215</v>
      </c>
      <c r="C21824">
        <f>0.27661110881</f>
        <v>0.27661110881000001</v>
      </c>
      <c r="D21824">
        <v>0.99995704466299995</v>
      </c>
      <c r="E21824">
        <v>10.554</v>
      </c>
    </row>
    <row r="21825" spans="1:5">
      <c r="A21825" t="s">
        <v>47375</v>
      </c>
      <c r="B21825" t="s">
        <v>8217</v>
      </c>
      <c r="C21825">
        <f>0.825630760025</f>
        <v>0.82563076002500002</v>
      </c>
      <c r="D21825">
        <v>0.99995704466299995</v>
      </c>
      <c r="E21825">
        <v>10.554</v>
      </c>
    </row>
    <row r="21826" spans="1:5">
      <c r="A21826" t="s">
        <v>47375</v>
      </c>
      <c r="B21826" t="s">
        <v>8220</v>
      </c>
      <c r="C21826">
        <v>0.27631409891000003</v>
      </c>
      <c r="D21826">
        <v>0.99995704466299995</v>
      </c>
      <c r="E21826">
        <v>10.554</v>
      </c>
    </row>
    <row r="21827" spans="1:5">
      <c r="A21827" t="s">
        <v>47375</v>
      </c>
      <c r="B21827" t="s">
        <v>8219</v>
      </c>
      <c r="C21827">
        <f>0.327548867123</f>
        <v>0.32754886712300002</v>
      </c>
      <c r="D21827">
        <v>0.99995704466299995</v>
      </c>
      <c r="E21827">
        <v>10.554</v>
      </c>
    </row>
    <row r="21828" spans="1:5">
      <c r="A21828" t="s">
        <v>47375</v>
      </c>
      <c r="B21828" t="s">
        <v>8214</v>
      </c>
      <c r="C21828">
        <v>0.158310920883</v>
      </c>
      <c r="D21828">
        <v>0.99995704466299995</v>
      </c>
      <c r="E21828">
        <v>10.554</v>
      </c>
    </row>
    <row r="21829" spans="1:5">
      <c r="A21829" t="s">
        <v>47375</v>
      </c>
      <c r="B21829" t="s">
        <v>8213</v>
      </c>
      <c r="C21829">
        <f>0</f>
        <v>0</v>
      </c>
      <c r="D21829">
        <v>0.99995704466299995</v>
      </c>
      <c r="E21829">
        <v>10.554</v>
      </c>
    </row>
    <row r="21830" spans="1:5">
      <c r="A21830" t="s">
        <v>47375</v>
      </c>
      <c r="B21830" t="s">
        <v>8216</v>
      </c>
      <c r="C21830">
        <f>0.609058941184</f>
        <v>0.60905894118399995</v>
      </c>
      <c r="D21830">
        <v>0.99995704466299995</v>
      </c>
      <c r="E21830">
        <v>10.554</v>
      </c>
    </row>
    <row r="21831" spans="1:5">
      <c r="A21831" t="s">
        <v>47375</v>
      </c>
      <c r="B21831" t="s">
        <v>8212</v>
      </c>
      <c r="C21831">
        <v>1.15529902416E-3</v>
      </c>
      <c r="D21831">
        <v>0.99995704466299995</v>
      </c>
      <c r="E21831">
        <v>10.554</v>
      </c>
    </row>
    <row r="21832" spans="1:5">
      <c r="A21832" t="s">
        <v>47375</v>
      </c>
      <c r="B21832" t="s">
        <v>8211</v>
      </c>
      <c r="C21832">
        <f>0.762952720175</f>
        <v>0.76295272017500004</v>
      </c>
      <c r="D21832">
        <v>0.99995704466299995</v>
      </c>
      <c r="E21832">
        <v>10.554</v>
      </c>
    </row>
    <row r="21833" spans="1:5">
      <c r="A21833" t="s">
        <v>47376</v>
      </c>
      <c r="B21833" t="s">
        <v>47377</v>
      </c>
      <c r="C21833">
        <v>0.148714807019</v>
      </c>
      <c r="D21833">
        <v>0.71368195378099997</v>
      </c>
      <c r="E21833">
        <v>12.048</v>
      </c>
    </row>
    <row r="21834" spans="1:5">
      <c r="A21834" t="s">
        <v>47376</v>
      </c>
      <c r="B21834" t="s">
        <v>47378</v>
      </c>
      <c r="C21834">
        <v>0.36714447942799999</v>
      </c>
      <c r="D21834">
        <v>0.71368195378099997</v>
      </c>
      <c r="E21834">
        <v>12.048</v>
      </c>
    </row>
    <row r="21835" spans="1:5">
      <c r="A21835" t="s">
        <v>47376</v>
      </c>
      <c r="B21835" t="s">
        <v>47379</v>
      </c>
      <c r="C21835">
        <f>0</f>
        <v>0</v>
      </c>
      <c r="D21835">
        <v>0.71368195378099997</v>
      </c>
      <c r="E21835">
        <v>12.048</v>
      </c>
    </row>
    <row r="21836" spans="1:5">
      <c r="A21836" t="s">
        <v>47376</v>
      </c>
      <c r="B21836" t="s">
        <v>47380</v>
      </c>
      <c r="C21836">
        <f>0</f>
        <v>0</v>
      </c>
      <c r="D21836">
        <v>0.71368195378099997</v>
      </c>
      <c r="E21836">
        <v>12.048</v>
      </c>
    </row>
    <row r="21837" spans="1:5">
      <c r="A21837" t="s">
        <v>47381</v>
      </c>
      <c r="B21837" t="s">
        <v>47382</v>
      </c>
      <c r="C21837">
        <v>0</v>
      </c>
      <c r="D21837">
        <v>0.71477792392899997</v>
      </c>
      <c r="E21837">
        <v>24</v>
      </c>
    </row>
    <row r="21838" spans="1:5">
      <c r="A21838" t="s">
        <v>47381</v>
      </c>
      <c r="B21838" t="s">
        <v>47383</v>
      </c>
      <c r="C21838">
        <f>0</f>
        <v>0</v>
      </c>
      <c r="D21838">
        <v>0.71477792392899997</v>
      </c>
      <c r="E21838">
        <v>24</v>
      </c>
    </row>
    <row r="21839" spans="1:5">
      <c r="A21839" t="s">
        <v>47381</v>
      </c>
      <c r="B21839" t="s">
        <v>47384</v>
      </c>
      <c r="C21839">
        <v>0</v>
      </c>
      <c r="D21839">
        <v>0.71477792392899997</v>
      </c>
      <c r="E21839">
        <v>24</v>
      </c>
    </row>
    <row r="21840" spans="1:5">
      <c r="A21840" t="s">
        <v>47381</v>
      </c>
      <c r="B21840" t="s">
        <v>47385</v>
      </c>
      <c r="C21840">
        <f>0.401167923929</f>
        <v>0.40116792392900003</v>
      </c>
      <c r="D21840">
        <v>0.71477792392899997</v>
      </c>
      <c r="E21840">
        <v>24</v>
      </c>
    </row>
    <row r="21841" spans="1:5">
      <c r="A21841" t="s">
        <v>47386</v>
      </c>
      <c r="B21841" t="s">
        <v>47387</v>
      </c>
      <c r="C21841">
        <v>0</v>
      </c>
      <c r="D21841" t="s">
        <v>106</v>
      </c>
      <c r="E21841">
        <v>0</v>
      </c>
    </row>
    <row r="21842" spans="1:5">
      <c r="A21842" t="s">
        <v>47386</v>
      </c>
      <c r="B21842" t="s">
        <v>47388</v>
      </c>
      <c r="C21842">
        <f>0</f>
        <v>0</v>
      </c>
      <c r="D21842" t="s">
        <v>106</v>
      </c>
      <c r="E21842">
        <v>0</v>
      </c>
    </row>
    <row r="21843" spans="1:5">
      <c r="A21843" t="s">
        <v>47389</v>
      </c>
      <c r="B21843" t="s">
        <v>2952</v>
      </c>
      <c r="C21843">
        <f>0</f>
        <v>0</v>
      </c>
      <c r="D21843">
        <v>0.61165734196699995</v>
      </c>
      <c r="E21843">
        <v>15.51</v>
      </c>
    </row>
    <row r="21844" spans="1:5">
      <c r="A21844" t="s">
        <v>47389</v>
      </c>
      <c r="B21844" t="s">
        <v>2949</v>
      </c>
      <c r="C21844">
        <f>0</f>
        <v>0</v>
      </c>
      <c r="D21844">
        <v>0.61165734196699995</v>
      </c>
      <c r="E21844">
        <v>15.51</v>
      </c>
    </row>
    <row r="21845" spans="1:5">
      <c r="A21845" t="s">
        <v>47389</v>
      </c>
      <c r="B21845" t="s">
        <v>2950</v>
      </c>
      <c r="C21845">
        <v>0.482047341967</v>
      </c>
      <c r="D21845">
        <v>0.61165734196699995</v>
      </c>
      <c r="E21845">
        <v>15.51</v>
      </c>
    </row>
    <row r="21846" spans="1:5">
      <c r="A21846" t="s">
        <v>47390</v>
      </c>
      <c r="B21846" t="s">
        <v>24571</v>
      </c>
      <c r="C21846">
        <v>0</v>
      </c>
      <c r="D21846">
        <v>0.97522231596499998</v>
      </c>
      <c r="E21846">
        <v>0.91800000000000004</v>
      </c>
    </row>
    <row r="21847" spans="1:5">
      <c r="A21847" t="s">
        <v>47390</v>
      </c>
      <c r="B21847" t="s">
        <v>24580</v>
      </c>
      <c r="C21847">
        <f>0.0891731433617</f>
        <v>8.91731433617E-2</v>
      </c>
      <c r="D21847">
        <v>0.97522231596499998</v>
      </c>
      <c r="E21847">
        <v>0.91800000000000004</v>
      </c>
    </row>
    <row r="21848" spans="1:5">
      <c r="A21848" t="s">
        <v>47390</v>
      </c>
      <c r="B21848" t="s">
        <v>24579</v>
      </c>
      <c r="C21848">
        <f>0</f>
        <v>0</v>
      </c>
      <c r="D21848">
        <v>0.97522231596499998</v>
      </c>
      <c r="E21848">
        <v>0.91800000000000004</v>
      </c>
    </row>
    <row r="21849" spans="1:5">
      <c r="A21849" t="s">
        <v>47390</v>
      </c>
      <c r="B21849" t="s">
        <v>24576</v>
      </c>
      <c r="C21849">
        <v>0</v>
      </c>
      <c r="D21849">
        <v>0.97522231596499998</v>
      </c>
      <c r="E21849">
        <v>0.91800000000000004</v>
      </c>
    </row>
    <row r="21850" spans="1:5">
      <c r="A21850" t="s">
        <v>47390</v>
      </c>
      <c r="B21850" t="s">
        <v>24574</v>
      </c>
      <c r="C21850">
        <f>0</f>
        <v>0</v>
      </c>
      <c r="D21850">
        <v>0.97522231596499998</v>
      </c>
      <c r="E21850">
        <v>0.91800000000000004</v>
      </c>
    </row>
    <row r="21851" spans="1:5">
      <c r="A21851" t="s">
        <v>47390</v>
      </c>
      <c r="B21851" t="s">
        <v>24577</v>
      </c>
      <c r="C21851">
        <v>0</v>
      </c>
      <c r="D21851">
        <v>0.97522231596499998</v>
      </c>
      <c r="E21851">
        <v>0.91800000000000004</v>
      </c>
    </row>
    <row r="21852" spans="1:5">
      <c r="A21852" t="s">
        <v>47390</v>
      </c>
      <c r="B21852" t="s">
        <v>24581</v>
      </c>
      <c r="C21852">
        <f>0.856847626978</f>
        <v>0.85684762697799999</v>
      </c>
      <c r="D21852">
        <v>0.97522231596499998</v>
      </c>
      <c r="E21852">
        <v>0.91800000000000004</v>
      </c>
    </row>
    <row r="21853" spans="1:5">
      <c r="A21853" t="s">
        <v>47390</v>
      </c>
      <c r="B21853" t="s">
        <v>24575</v>
      </c>
      <c r="C21853">
        <f>0.0752562060303</f>
        <v>7.5256206030300005E-2</v>
      </c>
      <c r="D21853">
        <v>0.97522231596499998</v>
      </c>
      <c r="E21853">
        <v>0.91800000000000004</v>
      </c>
    </row>
    <row r="21854" spans="1:5">
      <c r="A21854" t="s">
        <v>47391</v>
      </c>
      <c r="B21854" t="s">
        <v>47392</v>
      </c>
      <c r="C21854">
        <f>0.293888095528</f>
        <v>0.29388809552799999</v>
      </c>
      <c r="D21854">
        <v>0.96880936846700005</v>
      </c>
      <c r="E21854">
        <v>0.26400000000000001</v>
      </c>
    </row>
    <row r="21855" spans="1:5">
      <c r="A21855" t="s">
        <v>47391</v>
      </c>
      <c r="B21855" t="s">
        <v>47393</v>
      </c>
      <c r="C21855">
        <v>0.18816356103699999</v>
      </c>
      <c r="D21855">
        <v>0.96880936846700005</v>
      </c>
      <c r="E21855">
        <v>0.26400000000000001</v>
      </c>
    </row>
    <row r="21856" spans="1:5">
      <c r="A21856" t="s">
        <v>47391</v>
      </c>
      <c r="B21856" t="s">
        <v>47394</v>
      </c>
      <c r="C21856">
        <v>0.59511926104699997</v>
      </c>
      <c r="D21856">
        <v>0.96880936846700005</v>
      </c>
      <c r="E21856">
        <v>0.26400000000000001</v>
      </c>
    </row>
    <row r="21857" spans="1:5">
      <c r="A21857" t="s">
        <v>47391</v>
      </c>
      <c r="B21857" t="s">
        <v>47395</v>
      </c>
      <c r="C21857">
        <f>0.241643632913</f>
        <v>0.24164363291300001</v>
      </c>
      <c r="D21857">
        <v>0.96880936846700005</v>
      </c>
      <c r="E21857">
        <v>0.26400000000000001</v>
      </c>
    </row>
    <row r="21858" spans="1:5">
      <c r="A21858" t="s">
        <v>47391</v>
      </c>
      <c r="B21858" t="s">
        <v>47396</v>
      </c>
      <c r="C21858">
        <f>0.454190331979</f>
        <v>0.45419033197899999</v>
      </c>
      <c r="D21858">
        <v>0.96880936846700005</v>
      </c>
      <c r="E21858">
        <v>0.26400000000000001</v>
      </c>
    </row>
    <row r="21859" spans="1:5">
      <c r="A21859" t="s">
        <v>47391</v>
      </c>
      <c r="B21859" t="s">
        <v>47397</v>
      </c>
      <c r="C21859">
        <f>0.396756478039</f>
        <v>0.39675647803899999</v>
      </c>
      <c r="D21859">
        <v>0.96880936846700005</v>
      </c>
      <c r="E21859">
        <v>0.26400000000000001</v>
      </c>
    </row>
    <row r="21860" spans="1:5">
      <c r="A21860" t="s">
        <v>47398</v>
      </c>
      <c r="B21860" t="s">
        <v>47399</v>
      </c>
      <c r="C21860">
        <v>0.66457490034400002</v>
      </c>
      <c r="D21860">
        <v>0.78532611456900003</v>
      </c>
      <c r="E21860">
        <v>4.3739999999999997</v>
      </c>
    </row>
    <row r="21861" spans="1:5">
      <c r="A21861" t="s">
        <v>47398</v>
      </c>
      <c r="B21861" t="s">
        <v>47400</v>
      </c>
      <c r="C21861">
        <v>0.121101130652</v>
      </c>
      <c r="D21861">
        <v>0.78532611456900003</v>
      </c>
      <c r="E21861">
        <v>4.3739999999999997</v>
      </c>
    </row>
    <row r="21862" spans="1:5">
      <c r="A21862" t="s">
        <v>47401</v>
      </c>
      <c r="B21862" t="s">
        <v>47402</v>
      </c>
      <c r="C21862">
        <f>0</f>
        <v>0</v>
      </c>
      <c r="D21862" t="s">
        <v>106</v>
      </c>
      <c r="E21862">
        <v>10.878</v>
      </c>
    </row>
    <row r="21863" spans="1:5">
      <c r="A21863" t="s">
        <v>47401</v>
      </c>
      <c r="B21863" t="s">
        <v>47403</v>
      </c>
      <c r="C21863">
        <f>0</f>
        <v>0</v>
      </c>
      <c r="D21863" t="s">
        <v>106</v>
      </c>
      <c r="E21863">
        <v>10.878</v>
      </c>
    </row>
    <row r="21864" spans="1:5">
      <c r="A21864" t="s">
        <v>47404</v>
      </c>
      <c r="B21864" t="s">
        <v>47405</v>
      </c>
      <c r="C21864">
        <v>0</v>
      </c>
      <c r="D21864">
        <v>0.97414296207899997</v>
      </c>
      <c r="E21864">
        <v>0</v>
      </c>
    </row>
    <row r="21865" spans="1:5">
      <c r="A21865" t="s">
        <v>47404</v>
      </c>
      <c r="B21865" t="s">
        <v>47406</v>
      </c>
      <c r="C21865">
        <v>0</v>
      </c>
      <c r="D21865">
        <v>0.97414296207899997</v>
      </c>
      <c r="E21865">
        <v>0</v>
      </c>
    </row>
    <row r="21866" spans="1:5">
      <c r="A21866" t="s">
        <v>47404</v>
      </c>
      <c r="B21866" t="s">
        <v>47407</v>
      </c>
      <c r="C21866">
        <v>0.36203098473200002</v>
      </c>
      <c r="D21866">
        <v>0.97414296207899997</v>
      </c>
      <c r="E21866">
        <v>0</v>
      </c>
    </row>
    <row r="21867" spans="1:5">
      <c r="A21867" t="s">
        <v>47404</v>
      </c>
      <c r="B21867" t="s">
        <v>47408</v>
      </c>
      <c r="C21867">
        <v>0.54408069085900002</v>
      </c>
      <c r="D21867">
        <v>0.97414296207899997</v>
      </c>
      <c r="E21867">
        <v>0</v>
      </c>
    </row>
    <row r="21868" spans="1:5">
      <c r="A21868" t="s">
        <v>47404</v>
      </c>
      <c r="B21868" t="s">
        <v>47409</v>
      </c>
      <c r="C21868">
        <v>0</v>
      </c>
      <c r="D21868">
        <v>0.97414296207899997</v>
      </c>
      <c r="E21868">
        <v>0</v>
      </c>
    </row>
    <row r="21869" spans="1:5">
      <c r="A21869" t="s">
        <v>47410</v>
      </c>
      <c r="B21869" t="s">
        <v>5836</v>
      </c>
      <c r="C21869">
        <v>0.68120649339600003</v>
      </c>
      <c r="D21869">
        <v>0.78361649339600004</v>
      </c>
      <c r="E21869">
        <v>4.8</v>
      </c>
    </row>
    <row r="21870" spans="1:5">
      <c r="A21870" t="s">
        <v>47410</v>
      </c>
      <c r="B21870" t="s">
        <v>5837</v>
      </c>
      <c r="C21870">
        <v>0</v>
      </c>
      <c r="D21870">
        <v>0.78361649339600004</v>
      </c>
      <c r="E21870">
        <v>4.8</v>
      </c>
    </row>
    <row r="21871" spans="1:5">
      <c r="A21871" t="s">
        <v>47410</v>
      </c>
      <c r="B21871" t="s">
        <v>5838</v>
      </c>
      <c r="C21871">
        <v>0</v>
      </c>
      <c r="D21871">
        <v>0.78361649339600004</v>
      </c>
      <c r="E21871">
        <v>4.8</v>
      </c>
    </row>
    <row r="21872" spans="1:5">
      <c r="A21872" t="s">
        <v>47411</v>
      </c>
      <c r="B21872" t="s">
        <v>12846</v>
      </c>
      <c r="C21872">
        <v>6.6891354314199999E-2</v>
      </c>
      <c r="D21872">
        <v>0.99999998924800004</v>
      </c>
      <c r="E21872">
        <v>16.295999999999999</v>
      </c>
    </row>
    <row r="21873" spans="1:5">
      <c r="A21873" t="s">
        <v>47411</v>
      </c>
      <c r="B21873" t="s">
        <v>12834</v>
      </c>
      <c r="C21873">
        <f>0.256226291327</f>
        <v>0.25622629132699998</v>
      </c>
      <c r="D21873">
        <v>0.99999998924800004</v>
      </c>
      <c r="E21873">
        <v>16.295999999999999</v>
      </c>
    </row>
    <row r="21874" spans="1:5">
      <c r="A21874" t="s">
        <v>47411</v>
      </c>
      <c r="B21874" t="s">
        <v>12854</v>
      </c>
      <c r="C21874">
        <v>0.64505965702000001</v>
      </c>
      <c r="D21874">
        <v>0.99999998924800004</v>
      </c>
      <c r="E21874">
        <v>16.295999999999999</v>
      </c>
    </row>
    <row r="21875" spans="1:5">
      <c r="A21875" t="s">
        <v>47411</v>
      </c>
      <c r="B21875" t="s">
        <v>12844</v>
      </c>
      <c r="C21875">
        <f>0.315335304897</f>
        <v>0.31533530489700001</v>
      </c>
      <c r="D21875">
        <v>0.99999998924800004</v>
      </c>
      <c r="E21875">
        <v>16.295999999999999</v>
      </c>
    </row>
    <row r="21876" spans="1:5">
      <c r="A21876" t="s">
        <v>47411</v>
      </c>
      <c r="B21876" t="s">
        <v>12830</v>
      </c>
      <c r="C21876">
        <v>0.217368912778</v>
      </c>
      <c r="D21876">
        <v>0.99999998924800004</v>
      </c>
      <c r="E21876">
        <v>16.295999999999999</v>
      </c>
    </row>
    <row r="21877" spans="1:5">
      <c r="A21877" t="s">
        <v>47411</v>
      </c>
      <c r="B21877" t="s">
        <v>12839</v>
      </c>
      <c r="C21877">
        <f>0.198460216986</f>
        <v>0.198460216986</v>
      </c>
      <c r="D21877">
        <v>0.99999998924800004</v>
      </c>
      <c r="E21877">
        <v>16.295999999999999</v>
      </c>
    </row>
    <row r="21878" spans="1:5">
      <c r="A21878" t="s">
        <v>47411</v>
      </c>
      <c r="B21878" t="s">
        <v>12845</v>
      </c>
      <c r="C21878">
        <v>0.40481551663499998</v>
      </c>
      <c r="D21878">
        <v>0.99999998924800004</v>
      </c>
      <c r="E21878">
        <v>16.295999999999999</v>
      </c>
    </row>
    <row r="21879" spans="1:5">
      <c r="A21879" t="s">
        <v>47411</v>
      </c>
      <c r="B21879" t="s">
        <v>12833</v>
      </c>
      <c r="C21879">
        <f>0.0743309794509</f>
        <v>7.4330979450900003E-2</v>
      </c>
      <c r="D21879">
        <v>0.99999998924800004</v>
      </c>
      <c r="E21879">
        <v>16.295999999999999</v>
      </c>
    </row>
    <row r="21880" spans="1:5">
      <c r="A21880" t="s">
        <v>47411</v>
      </c>
      <c r="B21880" t="s">
        <v>12848</v>
      </c>
      <c r="C21880">
        <f>0.0356309236499</f>
        <v>3.5630923649899997E-2</v>
      </c>
      <c r="D21880">
        <v>0.99999998924800004</v>
      </c>
      <c r="E21880">
        <v>16.295999999999999</v>
      </c>
    </row>
    <row r="21881" spans="1:5">
      <c r="A21881" t="s">
        <v>47411</v>
      </c>
      <c r="B21881" t="s">
        <v>12851</v>
      </c>
      <c r="C21881">
        <v>5.3921103126500003E-2</v>
      </c>
      <c r="D21881">
        <v>0.99999998924800004</v>
      </c>
      <c r="E21881">
        <v>16.295999999999999</v>
      </c>
    </row>
    <row r="21882" spans="1:5">
      <c r="A21882" t="s">
        <v>47411</v>
      </c>
      <c r="B21882" t="s">
        <v>12852</v>
      </c>
      <c r="C21882">
        <v>1.0151333277099999E-2</v>
      </c>
      <c r="D21882">
        <v>0.99999998924800004</v>
      </c>
      <c r="E21882">
        <v>16.295999999999999</v>
      </c>
    </row>
    <row r="21883" spans="1:5">
      <c r="A21883" t="s">
        <v>47411</v>
      </c>
      <c r="B21883" t="s">
        <v>12827</v>
      </c>
      <c r="C21883">
        <f>0.0112670874105</f>
        <v>1.1267087410500001E-2</v>
      </c>
      <c r="D21883">
        <v>0.99999998924800004</v>
      </c>
      <c r="E21883">
        <v>16.295999999999999</v>
      </c>
    </row>
    <row r="21884" spans="1:5">
      <c r="A21884" t="s">
        <v>47411</v>
      </c>
      <c r="B21884" t="s">
        <v>12841</v>
      </c>
      <c r="C21884">
        <f>0.00968356234162</f>
        <v>9.6835623416199994E-3</v>
      </c>
      <c r="D21884">
        <v>0.99999998924800004</v>
      </c>
      <c r="E21884">
        <v>16.295999999999999</v>
      </c>
    </row>
    <row r="21885" spans="1:5">
      <c r="A21885" t="s">
        <v>47411</v>
      </c>
      <c r="B21885" t="s">
        <v>12850</v>
      </c>
      <c r="C21885">
        <v>0.34840077714200002</v>
      </c>
      <c r="D21885">
        <v>0.99999998924800004</v>
      </c>
      <c r="E21885">
        <v>16.295999999999999</v>
      </c>
    </row>
    <row r="21886" spans="1:5">
      <c r="A21886" t="s">
        <v>47411</v>
      </c>
      <c r="B21886" t="s">
        <v>12838</v>
      </c>
      <c r="C21886">
        <v>0.22152738476</v>
      </c>
      <c r="D21886">
        <v>0.99999998924800004</v>
      </c>
      <c r="E21886">
        <v>16.295999999999999</v>
      </c>
    </row>
    <row r="21887" spans="1:5">
      <c r="A21887" t="s">
        <v>47411</v>
      </c>
      <c r="B21887" t="s">
        <v>12843</v>
      </c>
      <c r="C21887">
        <f>0.0550288809878</f>
        <v>5.5028880987799997E-2</v>
      </c>
      <c r="D21887">
        <v>0.99999998924800004</v>
      </c>
      <c r="E21887">
        <v>16.295999999999999</v>
      </c>
    </row>
    <row r="21888" spans="1:5">
      <c r="A21888" t="s">
        <v>47412</v>
      </c>
      <c r="B21888" t="s">
        <v>24217</v>
      </c>
      <c r="C21888">
        <f>0</f>
        <v>0</v>
      </c>
      <c r="D21888" t="s">
        <v>106</v>
      </c>
      <c r="E21888">
        <v>20.292000000000002</v>
      </c>
    </row>
    <row r="21889" spans="1:5">
      <c r="A21889" t="s">
        <v>47412</v>
      </c>
      <c r="B21889" t="s">
        <v>24219</v>
      </c>
      <c r="C21889">
        <v>0</v>
      </c>
      <c r="D21889" t="s">
        <v>106</v>
      </c>
      <c r="E21889">
        <v>20.292000000000002</v>
      </c>
    </row>
    <row r="21890" spans="1:5">
      <c r="A21890" t="s">
        <v>47413</v>
      </c>
      <c r="B21890" t="s">
        <v>24649</v>
      </c>
      <c r="C21890">
        <v>0</v>
      </c>
      <c r="D21890" t="s">
        <v>106</v>
      </c>
      <c r="E21890">
        <v>12.917999999999999</v>
      </c>
    </row>
    <row r="21891" spans="1:5">
      <c r="A21891" t="s">
        <v>47413</v>
      </c>
      <c r="B21891" t="s">
        <v>24651</v>
      </c>
      <c r="C21891">
        <v>0</v>
      </c>
      <c r="D21891" t="s">
        <v>106</v>
      </c>
      <c r="E21891">
        <v>12.917999999999999</v>
      </c>
    </row>
    <row r="21892" spans="1:5">
      <c r="A21892" t="s">
        <v>47413</v>
      </c>
      <c r="B21892" t="s">
        <v>24652</v>
      </c>
      <c r="C21892">
        <v>0</v>
      </c>
      <c r="D21892" t="s">
        <v>106</v>
      </c>
      <c r="E21892">
        <v>12.917999999999999</v>
      </c>
    </row>
    <row r="21893" spans="1:5">
      <c r="A21893" t="s">
        <v>47414</v>
      </c>
      <c r="B21893" t="s">
        <v>47415</v>
      </c>
      <c r="C21893">
        <v>0</v>
      </c>
      <c r="D21893">
        <v>0.93672758406099998</v>
      </c>
      <c r="E21893">
        <v>0</v>
      </c>
    </row>
    <row r="21894" spans="1:5">
      <c r="A21894" t="s">
        <v>47414</v>
      </c>
      <c r="B21894" t="s">
        <v>47416</v>
      </c>
      <c r="C21894">
        <f>0.626514144889</f>
        <v>0.62651414488900004</v>
      </c>
      <c r="D21894">
        <v>0.93672758406099998</v>
      </c>
      <c r="E21894">
        <v>0</v>
      </c>
    </row>
    <row r="21895" spans="1:5">
      <c r="A21895" t="s">
        <v>47414</v>
      </c>
      <c r="B21895" t="s">
        <v>47417</v>
      </c>
      <c r="C21895">
        <f>0</f>
        <v>0</v>
      </c>
      <c r="D21895">
        <v>0.93672758406099998</v>
      </c>
      <c r="E21895">
        <v>0</v>
      </c>
    </row>
    <row r="21896" spans="1:5">
      <c r="A21896" t="s">
        <v>47414</v>
      </c>
      <c r="B21896" t="s">
        <v>47418</v>
      </c>
      <c r="C21896">
        <v>0.30112165504299998</v>
      </c>
      <c r="D21896">
        <v>0.93672758406099998</v>
      </c>
      <c r="E21896">
        <v>0</v>
      </c>
    </row>
    <row r="21897" spans="1:5">
      <c r="A21897" t="s">
        <v>47414</v>
      </c>
      <c r="B21897" t="s">
        <v>47419</v>
      </c>
      <c r="C21897">
        <v>0</v>
      </c>
      <c r="D21897">
        <v>0.93672758406099998</v>
      </c>
      <c r="E21897">
        <v>0</v>
      </c>
    </row>
    <row r="21898" spans="1:5">
      <c r="A21898" t="s">
        <v>47414</v>
      </c>
      <c r="B21898" t="s">
        <v>47420</v>
      </c>
      <c r="C21898">
        <f>0.0625521771609</f>
        <v>6.2552177160900002E-2</v>
      </c>
      <c r="D21898">
        <v>0.93672758406099998</v>
      </c>
      <c r="E21898">
        <v>0</v>
      </c>
    </row>
    <row r="21899" spans="1:5">
      <c r="A21899" t="s">
        <v>47414</v>
      </c>
      <c r="B21899" t="s">
        <v>47421</v>
      </c>
      <c r="C21899">
        <f>0.253477484178</f>
        <v>0.25347748417799998</v>
      </c>
      <c r="D21899">
        <v>0.93672758406099998</v>
      </c>
      <c r="E21899">
        <v>0</v>
      </c>
    </row>
    <row r="21900" spans="1:5">
      <c r="A21900" t="s">
        <v>47414</v>
      </c>
      <c r="B21900" t="s">
        <v>47422</v>
      </c>
      <c r="C21900">
        <f>0</f>
        <v>0</v>
      </c>
      <c r="D21900">
        <v>0.93672758406099998</v>
      </c>
      <c r="E21900">
        <v>0</v>
      </c>
    </row>
    <row r="21901" spans="1:5">
      <c r="A21901" t="s">
        <v>47414</v>
      </c>
      <c r="B21901" t="s">
        <v>47423</v>
      </c>
      <c r="C21901">
        <v>0</v>
      </c>
      <c r="D21901">
        <v>0.93672758406099998</v>
      </c>
      <c r="E21901">
        <v>0</v>
      </c>
    </row>
    <row r="21902" spans="1:5">
      <c r="A21902" t="s">
        <v>47414</v>
      </c>
      <c r="B21902" t="s">
        <v>47424</v>
      </c>
      <c r="C21902">
        <v>0</v>
      </c>
      <c r="D21902">
        <v>0.93672758406099998</v>
      </c>
      <c r="E21902">
        <v>0</v>
      </c>
    </row>
    <row r="21903" spans="1:5">
      <c r="A21903" t="s">
        <v>47414</v>
      </c>
      <c r="B21903" t="s">
        <v>47425</v>
      </c>
      <c r="C21903">
        <v>0</v>
      </c>
      <c r="D21903">
        <v>0.93672758406099998</v>
      </c>
      <c r="E21903">
        <v>0</v>
      </c>
    </row>
    <row r="21904" spans="1:5">
      <c r="A21904" t="s">
        <v>47426</v>
      </c>
      <c r="B21904" t="s">
        <v>47427</v>
      </c>
      <c r="C21904">
        <v>0.54898244225399995</v>
      </c>
      <c r="D21904">
        <v>0.98793173256900002</v>
      </c>
      <c r="E21904">
        <v>0.40799999999999997</v>
      </c>
    </row>
    <row r="21905" spans="1:5">
      <c r="A21905" t="s">
        <v>47426</v>
      </c>
      <c r="B21905" t="s">
        <v>47428</v>
      </c>
      <c r="C21905">
        <v>0.37588392689099998</v>
      </c>
      <c r="D21905">
        <v>0.98793173256900002</v>
      </c>
      <c r="E21905">
        <v>0.40799999999999997</v>
      </c>
    </row>
    <row r="21906" spans="1:5">
      <c r="A21906" t="s">
        <v>47426</v>
      </c>
      <c r="B21906" t="s">
        <v>47429</v>
      </c>
      <c r="C21906">
        <f>0.165237284268</f>
        <v>0.165237284268</v>
      </c>
      <c r="D21906">
        <v>0.98793173256900002</v>
      </c>
      <c r="E21906">
        <v>0.40799999999999997</v>
      </c>
    </row>
    <row r="21907" spans="1:5">
      <c r="A21907" t="s">
        <v>47426</v>
      </c>
      <c r="B21907" t="s">
        <v>47430</v>
      </c>
      <c r="C21907">
        <f>0.440520837091</f>
        <v>0.44052083709099998</v>
      </c>
      <c r="D21907">
        <v>0.98793173256900002</v>
      </c>
      <c r="E21907">
        <v>0.40799999999999997</v>
      </c>
    </row>
    <row r="21908" spans="1:5">
      <c r="A21908" t="s">
        <v>47426</v>
      </c>
      <c r="B21908" t="s">
        <v>47431</v>
      </c>
      <c r="C21908">
        <f>0</f>
        <v>0</v>
      </c>
      <c r="D21908">
        <v>0.98793173256900002</v>
      </c>
      <c r="E21908">
        <v>0.40799999999999997</v>
      </c>
    </row>
    <row r="21909" spans="1:5">
      <c r="A21909" t="s">
        <v>47426</v>
      </c>
      <c r="B21909" t="s">
        <v>47432</v>
      </c>
      <c r="C21909">
        <f>0.056241100428</f>
        <v>5.6241100427999999E-2</v>
      </c>
      <c r="D21909">
        <v>0.98793173256900002</v>
      </c>
      <c r="E21909">
        <v>0.40799999999999997</v>
      </c>
    </row>
    <row r="21910" spans="1:5">
      <c r="A21910" t="s">
        <v>47433</v>
      </c>
      <c r="B21910" t="s">
        <v>47434</v>
      </c>
      <c r="C21910">
        <v>0</v>
      </c>
      <c r="D21910">
        <v>0.64481392268299997</v>
      </c>
      <c r="E21910">
        <v>6.06</v>
      </c>
    </row>
    <row r="21911" spans="1:5">
      <c r="A21911" t="s">
        <v>47433</v>
      </c>
      <c r="B21911" t="s">
        <v>47435</v>
      </c>
      <c r="C21911">
        <v>0.41440392268300003</v>
      </c>
      <c r="D21911">
        <v>0.64481392268299997</v>
      </c>
      <c r="E21911">
        <v>6.06</v>
      </c>
    </row>
    <row r="21912" spans="1:5">
      <c r="A21912" t="s">
        <v>47433</v>
      </c>
      <c r="B21912" t="s">
        <v>47436</v>
      </c>
      <c r="C21912">
        <v>0</v>
      </c>
      <c r="D21912">
        <v>0.64481392268299997</v>
      </c>
      <c r="E21912">
        <v>6.06</v>
      </c>
    </row>
    <row r="21913" spans="1:5">
      <c r="A21913" t="s">
        <v>47437</v>
      </c>
      <c r="B21913" t="s">
        <v>47438</v>
      </c>
      <c r="C21913">
        <v>0</v>
      </c>
      <c r="D21913" t="s">
        <v>106</v>
      </c>
      <c r="E21913">
        <v>23.754000000000001</v>
      </c>
    </row>
    <row r="21914" spans="1:5">
      <c r="A21914" t="s">
        <v>47437</v>
      </c>
      <c r="B21914" t="s">
        <v>47439</v>
      </c>
      <c r="C21914">
        <v>0</v>
      </c>
      <c r="D21914" t="s">
        <v>106</v>
      </c>
      <c r="E21914">
        <v>23.754000000000001</v>
      </c>
    </row>
    <row r="21915" spans="1:5">
      <c r="A21915" t="s">
        <v>47437</v>
      </c>
      <c r="B21915" t="s">
        <v>47440</v>
      </c>
      <c r="C21915">
        <v>0</v>
      </c>
      <c r="D21915" t="s">
        <v>106</v>
      </c>
      <c r="E21915">
        <v>23.754000000000001</v>
      </c>
    </row>
    <row r="21916" spans="1:5">
      <c r="A21916" t="s">
        <v>47441</v>
      </c>
      <c r="B21916" t="s">
        <v>47442</v>
      </c>
      <c r="C21916">
        <f>0</f>
        <v>0</v>
      </c>
      <c r="D21916" t="s">
        <v>106</v>
      </c>
      <c r="E21916">
        <v>2.556</v>
      </c>
    </row>
    <row r="21917" spans="1:5">
      <c r="A21917" t="s">
        <v>47441</v>
      </c>
      <c r="B21917" t="s">
        <v>47443</v>
      </c>
      <c r="C21917">
        <v>0</v>
      </c>
      <c r="D21917" t="s">
        <v>106</v>
      </c>
      <c r="E21917">
        <v>2.556</v>
      </c>
    </row>
    <row r="21918" spans="1:5">
      <c r="A21918" t="s">
        <v>47444</v>
      </c>
      <c r="B21918" t="s">
        <v>9031</v>
      </c>
      <c r="C21918">
        <f>0</f>
        <v>0</v>
      </c>
      <c r="D21918">
        <v>0.851136459081</v>
      </c>
      <c r="E21918">
        <v>1.8959999999999999</v>
      </c>
    </row>
    <row r="21919" spans="1:5">
      <c r="A21919" t="s">
        <v>47444</v>
      </c>
      <c r="B21919" t="s">
        <v>9033</v>
      </c>
      <c r="C21919">
        <v>0</v>
      </c>
      <c r="D21919">
        <v>0.851136459081</v>
      </c>
      <c r="E21919">
        <v>1.8959999999999999</v>
      </c>
    </row>
    <row r="21920" spans="1:5">
      <c r="A21920" t="s">
        <v>47444</v>
      </c>
      <c r="B21920" t="s">
        <v>9034</v>
      </c>
      <c r="C21920">
        <v>0</v>
      </c>
      <c r="D21920">
        <v>0.851136459081</v>
      </c>
      <c r="E21920">
        <v>1.8959999999999999</v>
      </c>
    </row>
    <row r="21921" spans="1:5">
      <c r="A21921" t="s">
        <v>47444</v>
      </c>
      <c r="B21921" t="s">
        <v>9032</v>
      </c>
      <c r="C21921">
        <f>0.704991214185</f>
        <v>0.70499121418499999</v>
      </c>
      <c r="D21921">
        <v>0.851136459081</v>
      </c>
      <c r="E21921">
        <v>1.8959999999999999</v>
      </c>
    </row>
    <row r="21922" spans="1:5">
      <c r="A21922" t="s">
        <v>47444</v>
      </c>
      <c r="B21922" t="s">
        <v>9035</v>
      </c>
      <c r="C21922">
        <v>0.20276963448099999</v>
      </c>
      <c r="D21922">
        <v>0.851136459081</v>
      </c>
      <c r="E21922">
        <v>1.8959999999999999</v>
      </c>
    </row>
    <row r="21923" spans="1:5">
      <c r="A21923" t="s">
        <v>47445</v>
      </c>
      <c r="B21923" t="s">
        <v>16697</v>
      </c>
      <c r="C21923">
        <v>0.60865923293199997</v>
      </c>
      <c r="D21923">
        <v>0.99993273032300001</v>
      </c>
      <c r="E21923">
        <v>24</v>
      </c>
    </row>
    <row r="21924" spans="1:5">
      <c r="A21924" t="s">
        <v>47445</v>
      </c>
      <c r="B21924" t="s">
        <v>16705</v>
      </c>
      <c r="C21924">
        <f>0.656361535773</f>
        <v>0.65636153577300005</v>
      </c>
      <c r="D21924">
        <v>0.99993273032300001</v>
      </c>
      <c r="E21924">
        <v>24</v>
      </c>
    </row>
    <row r="21925" spans="1:5">
      <c r="A21925" t="s">
        <v>47445</v>
      </c>
      <c r="B21925" t="s">
        <v>16703</v>
      </c>
      <c r="C21925">
        <v>0.12665604521000001</v>
      </c>
      <c r="D21925">
        <v>0.99993273032300001</v>
      </c>
      <c r="E21925">
        <v>24</v>
      </c>
    </row>
    <row r="21926" spans="1:5">
      <c r="A21926" t="s">
        <v>47445</v>
      </c>
      <c r="B21926" t="s">
        <v>16699</v>
      </c>
      <c r="C21926">
        <v>1.1952889363000001</v>
      </c>
      <c r="D21926">
        <v>0.99993273032300001</v>
      </c>
      <c r="E21926">
        <v>24</v>
      </c>
    </row>
    <row r="21927" spans="1:5">
      <c r="A21927" t="s">
        <v>47445</v>
      </c>
      <c r="B21927" t="s">
        <v>16698</v>
      </c>
      <c r="C21927">
        <v>0.12234283548700001</v>
      </c>
      <c r="D21927">
        <v>0.99993273032300001</v>
      </c>
      <c r="E21927">
        <v>24</v>
      </c>
    </row>
    <row r="21928" spans="1:5">
      <c r="A21928" t="s">
        <v>47445</v>
      </c>
      <c r="B21928" t="s">
        <v>16706</v>
      </c>
      <c r="C21928">
        <v>0.31874494048699997</v>
      </c>
      <c r="D21928">
        <v>0.99993273032300001</v>
      </c>
      <c r="E21928">
        <v>24</v>
      </c>
    </row>
    <row r="21929" spans="1:5">
      <c r="A21929" t="s">
        <v>47445</v>
      </c>
      <c r="B21929" t="s">
        <v>16704</v>
      </c>
      <c r="C21929">
        <f>0.120252910401</f>
        <v>0.120252910401</v>
      </c>
      <c r="D21929">
        <v>0.99993273032300001</v>
      </c>
      <c r="E21929">
        <v>24</v>
      </c>
    </row>
    <row r="21930" spans="1:5">
      <c r="A21930" t="s">
        <v>47446</v>
      </c>
      <c r="B21930" t="s">
        <v>47447</v>
      </c>
      <c r="C21930">
        <f>0.105410792374</f>
        <v>0.105410792374</v>
      </c>
      <c r="D21930">
        <v>0.515020792374</v>
      </c>
      <c r="E21930">
        <v>0.78</v>
      </c>
    </row>
    <row r="21931" spans="1:5">
      <c r="A21931" t="s">
        <v>47446</v>
      </c>
      <c r="B21931" t="s">
        <v>47448</v>
      </c>
      <c r="C21931">
        <v>0</v>
      </c>
      <c r="D21931">
        <v>0.515020792374</v>
      </c>
      <c r="E21931">
        <v>0.78</v>
      </c>
    </row>
    <row r="21932" spans="1:5">
      <c r="A21932" t="s">
        <v>47446</v>
      </c>
      <c r="B21932" t="s">
        <v>47449</v>
      </c>
      <c r="C21932">
        <f>0</f>
        <v>0</v>
      </c>
      <c r="D21932">
        <v>0.515020792374</v>
      </c>
      <c r="E21932">
        <v>0.78</v>
      </c>
    </row>
    <row r="21933" spans="1:5">
      <c r="A21933" t="s">
        <v>47450</v>
      </c>
      <c r="B21933" t="s">
        <v>47451</v>
      </c>
      <c r="C21933">
        <f>0.375644162218</f>
        <v>0.37564416221800001</v>
      </c>
      <c r="D21933">
        <v>0.99999249029799997</v>
      </c>
      <c r="E21933">
        <v>20.963999999999999</v>
      </c>
    </row>
    <row r="21934" spans="1:5">
      <c r="A21934" t="s">
        <v>47450</v>
      </c>
      <c r="B21934" t="s">
        <v>47452</v>
      </c>
      <c r="C21934">
        <f>0.88929716245</f>
        <v>0.88929716245000001</v>
      </c>
      <c r="D21934">
        <v>0.99999249029799997</v>
      </c>
      <c r="E21934">
        <v>20.963999999999999</v>
      </c>
    </row>
    <row r="21935" spans="1:5">
      <c r="A21935" t="s">
        <v>47450</v>
      </c>
      <c r="B21935" t="s">
        <v>47453</v>
      </c>
      <c r="C21935">
        <v>0.33315870724899999</v>
      </c>
      <c r="D21935">
        <v>0.99999249029799997</v>
      </c>
      <c r="E21935">
        <v>20.963999999999999</v>
      </c>
    </row>
    <row r="21936" spans="1:5">
      <c r="A21936" t="s">
        <v>47450</v>
      </c>
      <c r="B21936" t="s">
        <v>47454</v>
      </c>
      <c r="C21936">
        <v>0.146366532287</v>
      </c>
      <c r="D21936">
        <v>0.99999249029799997</v>
      </c>
      <c r="E21936">
        <v>20.963999999999999</v>
      </c>
    </row>
    <row r="21937" spans="1:5">
      <c r="A21937" t="s">
        <v>47450</v>
      </c>
      <c r="B21937" t="s">
        <v>47455</v>
      </c>
      <c r="C21937">
        <v>0.61822830533600004</v>
      </c>
      <c r="D21937">
        <v>0.99999249029799997</v>
      </c>
      <c r="E21937">
        <v>20.963999999999999</v>
      </c>
    </row>
    <row r="21938" spans="1:5">
      <c r="A21938" t="s">
        <v>47450</v>
      </c>
      <c r="B21938" t="s">
        <v>47456</v>
      </c>
      <c r="C21938">
        <f>0.28516083805</f>
        <v>0.28516083804999998</v>
      </c>
      <c r="D21938">
        <v>0.99999249029799997</v>
      </c>
      <c r="E21938">
        <v>20.963999999999999</v>
      </c>
    </row>
    <row r="21939" spans="1:5">
      <c r="A21939" t="s">
        <v>47450</v>
      </c>
      <c r="B21939" t="s">
        <v>47457</v>
      </c>
      <c r="C21939">
        <v>0.22693927580000001</v>
      </c>
      <c r="D21939">
        <v>0.99999249029799997</v>
      </c>
      <c r="E21939">
        <v>20.963999999999999</v>
      </c>
    </row>
    <row r="21940" spans="1:5">
      <c r="A21940" t="s">
        <v>47458</v>
      </c>
      <c r="B21940" t="s">
        <v>3629</v>
      </c>
      <c r="C21940">
        <f>0.331579361822</f>
        <v>0.33157936182199998</v>
      </c>
      <c r="D21940">
        <v>0.90208550686199995</v>
      </c>
      <c r="E21940">
        <v>0</v>
      </c>
    </row>
    <row r="21941" spans="1:5">
      <c r="A21941" t="s">
        <v>47458</v>
      </c>
      <c r="B21941" t="s">
        <v>3630</v>
      </c>
      <c r="C21941">
        <f>0.499818925398</f>
        <v>0.49981892539799999</v>
      </c>
      <c r="D21941">
        <v>0.90208550686199995</v>
      </c>
      <c r="E21941">
        <v>0</v>
      </c>
    </row>
    <row r="21942" spans="1:5">
      <c r="A21942" t="s">
        <v>47458</v>
      </c>
      <c r="B21942" t="s">
        <v>3632</v>
      </c>
      <c r="C21942">
        <v>0</v>
      </c>
      <c r="D21942">
        <v>0.90208550686199995</v>
      </c>
      <c r="E21942">
        <v>0</v>
      </c>
    </row>
    <row r="21943" spans="1:5">
      <c r="A21943" t="s">
        <v>47458</v>
      </c>
      <c r="B21943" t="s">
        <v>3631</v>
      </c>
      <c r="C21943">
        <f>0</f>
        <v>0</v>
      </c>
      <c r="D21943">
        <v>0.90208550686199995</v>
      </c>
      <c r="E21943">
        <v>0</v>
      </c>
    </row>
    <row r="21944" spans="1:5">
      <c r="A21944" t="s">
        <v>47459</v>
      </c>
      <c r="B21944" t="s">
        <v>19822</v>
      </c>
      <c r="C21944">
        <v>0</v>
      </c>
      <c r="D21944">
        <v>0.86590429130400004</v>
      </c>
      <c r="E21944">
        <v>1.17</v>
      </c>
    </row>
    <row r="21945" spans="1:5">
      <c r="A21945" t="s">
        <v>47459</v>
      </c>
      <c r="B21945" t="s">
        <v>19823</v>
      </c>
      <c r="C21945">
        <v>0</v>
      </c>
      <c r="D21945">
        <v>0.86590429130400004</v>
      </c>
      <c r="E21945">
        <v>1.17</v>
      </c>
    </row>
    <row r="21946" spans="1:5">
      <c r="A21946" t="s">
        <v>47459</v>
      </c>
      <c r="B21946" t="s">
        <v>19828</v>
      </c>
      <c r="C21946">
        <v>0.33771823180499999</v>
      </c>
      <c r="D21946">
        <v>0.86590429130400004</v>
      </c>
      <c r="E21946">
        <v>1.17</v>
      </c>
    </row>
    <row r="21947" spans="1:5">
      <c r="A21947" t="s">
        <v>47459</v>
      </c>
      <c r="B21947" t="s">
        <v>19827</v>
      </c>
      <c r="C21947">
        <v>9.7219386402300004E-3</v>
      </c>
      <c r="D21947">
        <v>0.86590429130400004</v>
      </c>
      <c r="E21947">
        <v>1.17</v>
      </c>
    </row>
    <row r="21948" spans="1:5">
      <c r="A21948" t="s">
        <v>47459</v>
      </c>
      <c r="B21948" t="s">
        <v>19824</v>
      </c>
      <c r="C21948">
        <v>0.144845833654</v>
      </c>
      <c r="D21948">
        <v>0.86590429130400004</v>
      </c>
      <c r="E21948">
        <v>1.17</v>
      </c>
    </row>
    <row r="21949" spans="1:5">
      <c r="A21949" t="s">
        <v>47459</v>
      </c>
      <c r="B21949" t="s">
        <v>19829</v>
      </c>
      <c r="C21949">
        <v>0.41002301167100003</v>
      </c>
      <c r="D21949">
        <v>0.86590429130400004</v>
      </c>
      <c r="E21949">
        <v>1.17</v>
      </c>
    </row>
    <row r="21950" spans="1:5">
      <c r="A21950" t="s">
        <v>47460</v>
      </c>
      <c r="B21950" t="s">
        <v>4435</v>
      </c>
      <c r="C21950">
        <v>0</v>
      </c>
      <c r="D21950">
        <v>0.96662557531299997</v>
      </c>
      <c r="E21950">
        <v>0.69599999999999995</v>
      </c>
    </row>
    <row r="21951" spans="1:5">
      <c r="A21951" t="s">
        <v>47460</v>
      </c>
      <c r="B21951" t="s">
        <v>4449</v>
      </c>
      <c r="C21951">
        <v>4.04072575999E-2</v>
      </c>
      <c r="D21951">
        <v>0.96662557531299997</v>
      </c>
      <c r="E21951">
        <v>0.69599999999999995</v>
      </c>
    </row>
    <row r="21952" spans="1:5">
      <c r="A21952" t="s">
        <v>47460</v>
      </c>
      <c r="B21952" t="s">
        <v>4437</v>
      </c>
      <c r="C21952">
        <f>0</f>
        <v>0</v>
      </c>
      <c r="D21952">
        <v>0.96662557531299997</v>
      </c>
      <c r="E21952">
        <v>0.69599999999999995</v>
      </c>
    </row>
    <row r="21953" spans="1:5">
      <c r="A21953" t="s">
        <v>47460</v>
      </c>
      <c r="B21953" t="s">
        <v>4440</v>
      </c>
      <c r="C21953">
        <f>0.208310641731</f>
        <v>0.208310641731</v>
      </c>
      <c r="D21953">
        <v>0.96662557531299997</v>
      </c>
      <c r="E21953">
        <v>0.69599999999999995</v>
      </c>
    </row>
    <row r="21954" spans="1:5">
      <c r="A21954" t="s">
        <v>47460</v>
      </c>
      <c r="B21954" t="s">
        <v>4438</v>
      </c>
      <c r="C21954">
        <v>0</v>
      </c>
      <c r="D21954">
        <v>0.96662557531299997</v>
      </c>
      <c r="E21954">
        <v>0.69599999999999995</v>
      </c>
    </row>
    <row r="21955" spans="1:5">
      <c r="A21955" t="s">
        <v>47460</v>
      </c>
      <c r="B21955" t="s">
        <v>4450</v>
      </c>
      <c r="C21955">
        <f>0.418325726004</f>
        <v>0.41832572600399998</v>
      </c>
      <c r="D21955">
        <v>0.96662557531299997</v>
      </c>
      <c r="E21955">
        <v>0.69599999999999995</v>
      </c>
    </row>
    <row r="21956" spans="1:5">
      <c r="A21956" t="s">
        <v>47460</v>
      </c>
      <c r="B21956" t="s">
        <v>4446</v>
      </c>
      <c r="C21956">
        <v>0.29259150262400002</v>
      </c>
      <c r="D21956">
        <v>0.96662557531299997</v>
      </c>
      <c r="E21956">
        <v>0.69599999999999995</v>
      </c>
    </row>
    <row r="21957" spans="1:5">
      <c r="A21957" t="s">
        <v>47460</v>
      </c>
      <c r="B21957" t="s">
        <v>4443</v>
      </c>
      <c r="C21957">
        <f>0.193345229514</f>
        <v>0.19334522951399999</v>
      </c>
      <c r="D21957">
        <v>0.96662557531299997</v>
      </c>
      <c r="E21957">
        <v>0.69599999999999995</v>
      </c>
    </row>
    <row r="21958" spans="1:5">
      <c r="A21958" t="s">
        <v>47460</v>
      </c>
      <c r="B21958" t="s">
        <v>4451</v>
      </c>
      <c r="C21958">
        <f>0</f>
        <v>0</v>
      </c>
      <c r="D21958">
        <v>0.96662557531299997</v>
      </c>
      <c r="E21958">
        <v>0.69599999999999995</v>
      </c>
    </row>
    <row r="21959" spans="1:5">
      <c r="A21959" t="s">
        <v>47460</v>
      </c>
      <c r="B21959" t="s">
        <v>4447</v>
      </c>
      <c r="C21959">
        <f>0</f>
        <v>0</v>
      </c>
      <c r="D21959">
        <v>0.96662557531299997</v>
      </c>
      <c r="E21959">
        <v>0.69599999999999995</v>
      </c>
    </row>
    <row r="21960" spans="1:5">
      <c r="A21960" t="s">
        <v>47461</v>
      </c>
      <c r="B21960" t="s">
        <v>32103</v>
      </c>
      <c r="C21960">
        <v>0.372717011519</v>
      </c>
      <c r="D21960">
        <v>0.69076657961200005</v>
      </c>
      <c r="E21960">
        <v>16.097999999999999</v>
      </c>
    </row>
    <row r="21961" spans="1:5">
      <c r="A21961" t="s">
        <v>47461</v>
      </c>
      <c r="B21961" t="s">
        <v>32105</v>
      </c>
      <c r="C21961">
        <v>0</v>
      </c>
      <c r="D21961">
        <v>0.69076657961200005</v>
      </c>
      <c r="E21961">
        <v>16.097999999999999</v>
      </c>
    </row>
    <row r="21962" spans="1:5">
      <c r="A21962" t="s">
        <v>47461</v>
      </c>
      <c r="B21962" t="s">
        <v>32107</v>
      </c>
      <c r="C21962">
        <v>0</v>
      </c>
      <c r="D21962">
        <v>0.69076657961200005</v>
      </c>
      <c r="E21962">
        <v>16.097999999999999</v>
      </c>
    </row>
    <row r="21963" spans="1:5">
      <c r="A21963" t="s">
        <v>47461</v>
      </c>
      <c r="B21963" t="s">
        <v>32106</v>
      </c>
      <c r="C21963">
        <f>0</f>
        <v>0</v>
      </c>
      <c r="D21963">
        <v>0.69076657961200005</v>
      </c>
      <c r="E21963">
        <v>16.097999999999999</v>
      </c>
    </row>
    <row r="21964" spans="1:5">
      <c r="A21964" t="s">
        <v>47461</v>
      </c>
      <c r="B21964" t="s">
        <v>32108</v>
      </c>
      <c r="C21964">
        <f>0.065848230794</f>
        <v>6.5848230793999998E-2</v>
      </c>
      <c r="D21964">
        <v>0.69076657961200005</v>
      </c>
      <c r="E21964">
        <v>16.097999999999999</v>
      </c>
    </row>
    <row r="21965" spans="1:5">
      <c r="A21965" t="s">
        <v>47462</v>
      </c>
      <c r="B21965" t="s">
        <v>47463</v>
      </c>
      <c r="C21965">
        <f>0.0240776672554</f>
        <v>2.40776672554E-2</v>
      </c>
      <c r="D21965">
        <v>0.95568637846299997</v>
      </c>
      <c r="E21965">
        <v>8.4359999999999999</v>
      </c>
    </row>
    <row r="21966" spans="1:5">
      <c r="A21966" t="s">
        <v>47462</v>
      </c>
      <c r="B21966" t="s">
        <v>47464</v>
      </c>
      <c r="C21966">
        <f>0</f>
        <v>0</v>
      </c>
      <c r="D21966">
        <v>0.95568637846299997</v>
      </c>
      <c r="E21966">
        <v>8.4359999999999999</v>
      </c>
    </row>
    <row r="21967" spans="1:5">
      <c r="A21967" t="s">
        <v>47462</v>
      </c>
      <c r="B21967" t="s">
        <v>47465</v>
      </c>
      <c r="C21967">
        <v>0.73425573982400005</v>
      </c>
      <c r="D21967">
        <v>0.95568637846299997</v>
      </c>
      <c r="E21967">
        <v>8.4359999999999999</v>
      </c>
    </row>
    <row r="21968" spans="1:5">
      <c r="A21968" t="s">
        <v>47462</v>
      </c>
      <c r="B21968" t="s">
        <v>47466</v>
      </c>
      <c r="C21968">
        <f>0.457875167422</f>
        <v>0.45787516742200002</v>
      </c>
      <c r="D21968">
        <v>0.95568637846299997</v>
      </c>
      <c r="E21968">
        <v>8.4359999999999999</v>
      </c>
    </row>
    <row r="21969" spans="1:5">
      <c r="A21969" t="s">
        <v>47462</v>
      </c>
      <c r="B21969" t="s">
        <v>47467</v>
      </c>
      <c r="C21969">
        <v>0.168515781231</v>
      </c>
      <c r="D21969">
        <v>0.95568637846299997</v>
      </c>
      <c r="E21969">
        <v>8.4359999999999999</v>
      </c>
    </row>
    <row r="21970" spans="1:5">
      <c r="A21970" t="s">
        <v>47468</v>
      </c>
      <c r="B21970" t="s">
        <v>3887</v>
      </c>
      <c r="C21970">
        <f>0.802425826693</f>
        <v>0.802425826693</v>
      </c>
      <c r="D21970">
        <v>0.92576240776300001</v>
      </c>
      <c r="E21970">
        <v>0</v>
      </c>
    </row>
    <row r="21971" spans="1:5">
      <c r="A21971" t="s">
        <v>47468</v>
      </c>
      <c r="B21971" t="s">
        <v>3894</v>
      </c>
      <c r="C21971">
        <f>0.768534240819</f>
        <v>0.76853424081900001</v>
      </c>
      <c r="D21971">
        <v>0.92576240776300001</v>
      </c>
      <c r="E21971">
        <v>0</v>
      </c>
    </row>
    <row r="21972" spans="1:5">
      <c r="A21972" t="s">
        <v>47468</v>
      </c>
      <c r="B21972" t="s">
        <v>3896</v>
      </c>
      <c r="C21972">
        <f>0.143824066039</f>
        <v>0.143824066039</v>
      </c>
      <c r="D21972">
        <v>0.92576240776300001</v>
      </c>
      <c r="E21972">
        <v>0</v>
      </c>
    </row>
    <row r="21973" spans="1:5">
      <c r="A21973" t="s">
        <v>47468</v>
      </c>
      <c r="B21973" t="s">
        <v>3897</v>
      </c>
      <c r="C21973">
        <v>0.32756553550500001</v>
      </c>
      <c r="D21973">
        <v>0.92576240776300001</v>
      </c>
      <c r="E21973">
        <v>0</v>
      </c>
    </row>
    <row r="21974" spans="1:5">
      <c r="A21974" t="s">
        <v>47469</v>
      </c>
      <c r="B21974" t="s">
        <v>120</v>
      </c>
      <c r="C21974">
        <v>0</v>
      </c>
      <c r="D21974" t="s">
        <v>106</v>
      </c>
      <c r="E21974">
        <v>12.048</v>
      </c>
    </row>
    <row r="21975" spans="1:5">
      <c r="A21975" t="s">
        <v>47469</v>
      </c>
      <c r="B21975" t="s">
        <v>122</v>
      </c>
      <c r="C21975">
        <v>0</v>
      </c>
      <c r="D21975" t="s">
        <v>106</v>
      </c>
      <c r="E21975">
        <v>12.048</v>
      </c>
    </row>
    <row r="21976" spans="1:5">
      <c r="A21976" t="s">
        <v>47470</v>
      </c>
      <c r="B21976" t="s">
        <v>16296</v>
      </c>
      <c r="C21976">
        <v>2.8267145341699999E-2</v>
      </c>
      <c r="D21976">
        <v>0.79968258963299998</v>
      </c>
      <c r="E21976">
        <v>6.06</v>
      </c>
    </row>
    <row r="21977" spans="1:5">
      <c r="A21977" t="s">
        <v>47470</v>
      </c>
      <c r="B21977" t="s">
        <v>16309</v>
      </c>
      <c r="C21977">
        <f>0</f>
        <v>0</v>
      </c>
      <c r="D21977">
        <v>0.79968258963299998</v>
      </c>
      <c r="E21977">
        <v>6.06</v>
      </c>
    </row>
    <row r="21978" spans="1:5">
      <c r="A21978" t="s">
        <v>47470</v>
      </c>
      <c r="B21978" t="s">
        <v>16299</v>
      </c>
      <c r="C21978">
        <f>0</f>
        <v>0</v>
      </c>
      <c r="D21978">
        <v>0.79968258963299998</v>
      </c>
      <c r="E21978">
        <v>6.06</v>
      </c>
    </row>
    <row r="21979" spans="1:5">
      <c r="A21979" t="s">
        <v>47470</v>
      </c>
      <c r="B21979" t="s">
        <v>16308</v>
      </c>
      <c r="C21979">
        <f>0.467433369922</f>
        <v>0.46743336992200002</v>
      </c>
      <c r="D21979">
        <v>0.79968258963299998</v>
      </c>
      <c r="E21979">
        <v>6.06</v>
      </c>
    </row>
    <row r="21980" spans="1:5">
      <c r="A21980" t="s">
        <v>47470</v>
      </c>
      <c r="B21980" t="s">
        <v>16298</v>
      </c>
      <c r="C21980">
        <f>0</f>
        <v>0</v>
      </c>
      <c r="D21980">
        <v>0.79968258963299998</v>
      </c>
      <c r="E21980">
        <v>6.06</v>
      </c>
    </row>
    <row r="21981" spans="1:5">
      <c r="A21981" t="s">
        <v>47470</v>
      </c>
      <c r="B21981" t="s">
        <v>16304</v>
      </c>
      <c r="C21981">
        <f>0.046759492458</f>
        <v>4.6759492457999999E-2</v>
      </c>
      <c r="D21981">
        <v>0.79968258963299998</v>
      </c>
      <c r="E21981">
        <v>6.06</v>
      </c>
    </row>
    <row r="21982" spans="1:5">
      <c r="A21982" t="s">
        <v>47470</v>
      </c>
      <c r="B21982" t="s">
        <v>16307</v>
      </c>
      <c r="C21982">
        <f>0</f>
        <v>0</v>
      </c>
      <c r="D21982">
        <v>0.79968258963299998</v>
      </c>
      <c r="E21982">
        <v>6.06</v>
      </c>
    </row>
    <row r="21983" spans="1:5">
      <c r="A21983" t="s">
        <v>47470</v>
      </c>
      <c r="B21983" t="s">
        <v>16301</v>
      </c>
      <c r="C21983">
        <f>0</f>
        <v>0</v>
      </c>
      <c r="D21983">
        <v>0.79968258963299998</v>
      </c>
      <c r="E21983">
        <v>6.06</v>
      </c>
    </row>
    <row r="21984" spans="1:5">
      <c r="A21984" t="s">
        <v>47470</v>
      </c>
      <c r="B21984" t="s">
        <v>16314</v>
      </c>
      <c r="C21984">
        <f>0</f>
        <v>0</v>
      </c>
      <c r="D21984">
        <v>0.79968258963299998</v>
      </c>
      <c r="E21984">
        <v>6.06</v>
      </c>
    </row>
    <row r="21985" spans="1:5">
      <c r="A21985" t="s">
        <v>47470</v>
      </c>
      <c r="B21985" t="s">
        <v>16300</v>
      </c>
      <c r="C21985">
        <f>0</f>
        <v>0</v>
      </c>
      <c r="D21985">
        <v>0.79968258963299998</v>
      </c>
      <c r="E21985">
        <v>6.06</v>
      </c>
    </row>
    <row r="21986" spans="1:5">
      <c r="A21986" t="s">
        <v>47470</v>
      </c>
      <c r="B21986" t="s">
        <v>16310</v>
      </c>
      <c r="C21986">
        <f>0</f>
        <v>0</v>
      </c>
      <c r="D21986">
        <v>0.79968258963299998</v>
      </c>
      <c r="E21986">
        <v>6.06</v>
      </c>
    </row>
    <row r="21987" spans="1:5">
      <c r="A21987" t="s">
        <v>47471</v>
      </c>
      <c r="B21987" t="s">
        <v>47472</v>
      </c>
      <c r="C21987">
        <f>0.44769437301</f>
        <v>0.44769437300999998</v>
      </c>
      <c r="D21987">
        <v>0.998928449798</v>
      </c>
      <c r="E21987">
        <v>24</v>
      </c>
    </row>
    <row r="21988" spans="1:5">
      <c r="A21988" t="s">
        <v>47471</v>
      </c>
      <c r="B21988" t="s">
        <v>47473</v>
      </c>
      <c r="C21988">
        <v>0.72961142829000003</v>
      </c>
      <c r="D21988">
        <v>0.998928449798</v>
      </c>
      <c r="E21988">
        <v>24</v>
      </c>
    </row>
    <row r="21989" spans="1:5">
      <c r="A21989" t="s">
        <v>47471</v>
      </c>
      <c r="B21989" t="s">
        <v>47474</v>
      </c>
      <c r="C21989">
        <v>0.18635482923800001</v>
      </c>
      <c r="D21989">
        <v>0.998928449798</v>
      </c>
      <c r="E21989">
        <v>24</v>
      </c>
    </row>
    <row r="21990" spans="1:5">
      <c r="A21990" t="s">
        <v>47471</v>
      </c>
      <c r="B21990" t="s">
        <v>47475</v>
      </c>
      <c r="C21990">
        <v>4.8426925570299997E-2</v>
      </c>
      <c r="D21990">
        <v>0.998928449798</v>
      </c>
      <c r="E21990">
        <v>24</v>
      </c>
    </row>
    <row r="21991" spans="1:5">
      <c r="A21991" t="s">
        <v>47471</v>
      </c>
      <c r="B21991" t="s">
        <v>47476</v>
      </c>
      <c r="C21991">
        <v>2.0444923235399998E-2</v>
      </c>
      <c r="D21991">
        <v>0.998928449798</v>
      </c>
      <c r="E21991">
        <v>24</v>
      </c>
    </row>
    <row r="21992" spans="1:5">
      <c r="A21992" t="s">
        <v>47471</v>
      </c>
      <c r="B21992" t="s">
        <v>47477</v>
      </c>
      <c r="C21992">
        <v>8.7283923951200001E-4</v>
      </c>
      <c r="D21992">
        <v>0.998928449798</v>
      </c>
      <c r="E21992">
        <v>24</v>
      </c>
    </row>
    <row r="21993" spans="1:5">
      <c r="A21993" t="s">
        <v>47471</v>
      </c>
      <c r="B21993" t="s">
        <v>47478</v>
      </c>
      <c r="C21993">
        <f>0.241261808498</f>
        <v>0.241261808498</v>
      </c>
      <c r="D21993">
        <v>0.998928449798</v>
      </c>
      <c r="E21993">
        <v>24</v>
      </c>
    </row>
    <row r="21994" spans="1:5">
      <c r="A21994" t="s">
        <v>47479</v>
      </c>
      <c r="B21994" t="s">
        <v>29038</v>
      </c>
      <c r="C21994">
        <v>0.79516645089000004</v>
      </c>
      <c r="D21994">
        <v>0.78893216738399996</v>
      </c>
      <c r="E21994">
        <v>5.9340000000000002</v>
      </c>
    </row>
    <row r="21995" spans="1:5">
      <c r="A21995" t="s">
        <v>47479</v>
      </c>
      <c r="B21995" t="s">
        <v>29044</v>
      </c>
      <c r="C21995">
        <v>1.00032799302</v>
      </c>
      <c r="D21995">
        <v>0.78893216738399996</v>
      </c>
      <c r="E21995">
        <v>5.9340000000000002</v>
      </c>
    </row>
    <row r="21996" spans="1:5">
      <c r="A21996" t="s">
        <v>47479</v>
      </c>
      <c r="B21996" t="s">
        <v>29041</v>
      </c>
      <c r="C21996">
        <v>0.53900948752300004</v>
      </c>
      <c r="D21996">
        <v>0.78893216738399996</v>
      </c>
      <c r="E21996">
        <v>5.9340000000000002</v>
      </c>
    </row>
    <row r="21997" spans="1:5">
      <c r="A21997" t="s">
        <v>47480</v>
      </c>
      <c r="B21997" t="s">
        <v>47481</v>
      </c>
      <c r="C21997">
        <f>0</f>
        <v>0</v>
      </c>
      <c r="D21997" t="s">
        <v>106</v>
      </c>
      <c r="E21997">
        <v>7.8719999999999999</v>
      </c>
    </row>
    <row r="21998" spans="1:5">
      <c r="A21998" t="s">
        <v>47480</v>
      </c>
      <c r="B21998" t="s">
        <v>47482</v>
      </c>
      <c r="C21998">
        <v>0</v>
      </c>
      <c r="D21998" t="s">
        <v>106</v>
      </c>
      <c r="E21998">
        <v>7.8719999999999999</v>
      </c>
    </row>
    <row r="21999" spans="1:5">
      <c r="A21999" t="s">
        <v>47480</v>
      </c>
      <c r="B21999" t="s">
        <v>47483</v>
      </c>
      <c r="C21999">
        <v>0</v>
      </c>
      <c r="D21999" t="s">
        <v>106</v>
      </c>
      <c r="E21999">
        <v>7.8719999999999999</v>
      </c>
    </row>
    <row r="22000" spans="1:5">
      <c r="A22000" t="s">
        <v>47480</v>
      </c>
      <c r="B22000" t="s">
        <v>47484</v>
      </c>
      <c r="C22000">
        <v>0</v>
      </c>
      <c r="D22000" t="s">
        <v>106</v>
      </c>
      <c r="E22000">
        <v>7.8719999999999999</v>
      </c>
    </row>
    <row r="22001" spans="1:5">
      <c r="A22001" t="s">
        <v>47480</v>
      </c>
      <c r="B22001" t="s">
        <v>47485</v>
      </c>
      <c r="C22001">
        <f>0</f>
        <v>0</v>
      </c>
      <c r="D22001" t="s">
        <v>106</v>
      </c>
      <c r="E22001">
        <v>7.8719999999999999</v>
      </c>
    </row>
    <row r="22002" spans="1:5">
      <c r="A22002" t="s">
        <v>47486</v>
      </c>
      <c r="B22002" t="s">
        <v>1292</v>
      </c>
      <c r="C22002">
        <f>0</f>
        <v>0</v>
      </c>
      <c r="D22002" t="s">
        <v>106</v>
      </c>
      <c r="E22002">
        <v>24</v>
      </c>
    </row>
    <row r="22003" spans="1:5">
      <c r="A22003" t="s">
        <v>47486</v>
      </c>
      <c r="B22003" t="s">
        <v>1297</v>
      </c>
      <c r="C22003">
        <v>0</v>
      </c>
      <c r="D22003" t="s">
        <v>106</v>
      </c>
      <c r="E22003">
        <v>24</v>
      </c>
    </row>
    <row r="22004" spans="1:5">
      <c r="A22004" t="s">
        <v>47487</v>
      </c>
      <c r="B22004" t="s">
        <v>1301</v>
      </c>
      <c r="C22004">
        <f>0.500914066595</f>
        <v>0.50091406659500004</v>
      </c>
      <c r="D22004">
        <v>0.94740181559299996</v>
      </c>
      <c r="E22004">
        <v>5.9340000000000002</v>
      </c>
    </row>
    <row r="22005" spans="1:5">
      <c r="A22005" t="s">
        <v>47487</v>
      </c>
      <c r="B22005" t="s">
        <v>1299</v>
      </c>
      <c r="C22005">
        <v>1.0829171092800001</v>
      </c>
      <c r="D22005">
        <v>0.94740181559299996</v>
      </c>
      <c r="E22005">
        <v>5.9340000000000002</v>
      </c>
    </row>
    <row r="22006" spans="1:5">
      <c r="A22006" t="s">
        <v>47487</v>
      </c>
      <c r="B22006" t="s">
        <v>1304</v>
      </c>
      <c r="C22006">
        <v>1.5973694323800001</v>
      </c>
      <c r="D22006">
        <v>0.94740181559299996</v>
      </c>
      <c r="E22006">
        <v>5.9340000000000002</v>
      </c>
    </row>
    <row r="22007" spans="1:5">
      <c r="A22007" t="s">
        <v>47487</v>
      </c>
      <c r="B22007" t="s">
        <v>1303</v>
      </c>
      <c r="C22007">
        <f>0.687642573233</f>
        <v>0.68764257323300004</v>
      </c>
      <c r="D22007">
        <v>0.94740181559299996</v>
      </c>
      <c r="E22007">
        <v>5.9340000000000002</v>
      </c>
    </row>
    <row r="22008" spans="1:5">
      <c r="A22008" t="s">
        <v>47488</v>
      </c>
      <c r="B22008" t="s">
        <v>33843</v>
      </c>
      <c r="C22008">
        <f>0.069313677943</f>
        <v>6.9313677943000002E-2</v>
      </c>
      <c r="D22008">
        <v>0.65092581441200004</v>
      </c>
      <c r="E22008">
        <v>20.513999999999999</v>
      </c>
    </row>
    <row r="22009" spans="1:5">
      <c r="A22009" t="s">
        <v>47488</v>
      </c>
      <c r="B22009" t="s">
        <v>33842</v>
      </c>
      <c r="C22009">
        <v>0</v>
      </c>
      <c r="D22009">
        <v>0.65092581441200004</v>
      </c>
      <c r="E22009">
        <v>20.513999999999999</v>
      </c>
    </row>
    <row r="22010" spans="1:5">
      <c r="A22010" t="s">
        <v>47488</v>
      </c>
      <c r="B22010" t="s">
        <v>33841</v>
      </c>
      <c r="C22010">
        <v>0.40956121262799999</v>
      </c>
      <c r="D22010">
        <v>0.65092581441200004</v>
      </c>
      <c r="E22010">
        <v>20.513999999999999</v>
      </c>
    </row>
    <row r="22011" spans="1:5">
      <c r="A22011" t="s">
        <v>47489</v>
      </c>
      <c r="B22011" t="s">
        <v>9901</v>
      </c>
      <c r="C22011">
        <f>0</f>
        <v>0</v>
      </c>
      <c r="D22011">
        <v>0.88800919695400005</v>
      </c>
      <c r="E22011">
        <v>3.2280000000000002</v>
      </c>
    </row>
    <row r="22012" spans="1:5">
      <c r="A22012" t="s">
        <v>47489</v>
      </c>
      <c r="B22012" t="s">
        <v>9902</v>
      </c>
      <c r="C22012">
        <v>0</v>
      </c>
      <c r="D22012">
        <v>0.88800919695400005</v>
      </c>
      <c r="E22012">
        <v>3.2280000000000002</v>
      </c>
    </row>
    <row r="22013" spans="1:5">
      <c r="A22013" t="s">
        <v>47489</v>
      </c>
      <c r="B22013" t="s">
        <v>9905</v>
      </c>
      <c r="C22013">
        <v>0.25299302488499997</v>
      </c>
      <c r="D22013">
        <v>0.88800919695400005</v>
      </c>
      <c r="E22013">
        <v>3.2280000000000002</v>
      </c>
    </row>
    <row r="22014" spans="1:5">
      <c r="A22014" t="s">
        <v>47489</v>
      </c>
      <c r="B22014" t="s">
        <v>9906</v>
      </c>
      <c r="C22014">
        <v>0</v>
      </c>
      <c r="D22014">
        <v>0.88800919695400005</v>
      </c>
      <c r="E22014">
        <v>3.2280000000000002</v>
      </c>
    </row>
    <row r="22015" spans="1:5">
      <c r="A22015" t="s">
        <v>47489</v>
      </c>
      <c r="B22015" t="s">
        <v>9910</v>
      </c>
      <c r="C22015">
        <f>0</f>
        <v>0</v>
      </c>
      <c r="D22015">
        <v>0.88800919695400005</v>
      </c>
      <c r="E22015">
        <v>3.2280000000000002</v>
      </c>
    </row>
    <row r="22016" spans="1:5">
      <c r="A22016" t="s">
        <v>47489</v>
      </c>
      <c r="B22016" t="s">
        <v>9903</v>
      </c>
      <c r="C22016">
        <f>0</f>
        <v>0</v>
      </c>
      <c r="D22016">
        <v>0.88800919695400005</v>
      </c>
      <c r="E22016">
        <v>3.2280000000000002</v>
      </c>
    </row>
    <row r="22017" spans="1:5">
      <c r="A22017" t="s">
        <v>47489</v>
      </c>
      <c r="B22017" t="s">
        <v>9911</v>
      </c>
      <c r="C22017">
        <f>0</f>
        <v>0</v>
      </c>
      <c r="D22017">
        <v>0.88800919695400005</v>
      </c>
      <c r="E22017">
        <v>3.2280000000000002</v>
      </c>
    </row>
    <row r="22018" spans="1:5">
      <c r="A22018" t="s">
        <v>47489</v>
      </c>
      <c r="B22018" t="s">
        <v>9907</v>
      </c>
      <c r="C22018">
        <f>0</f>
        <v>0</v>
      </c>
      <c r="D22018">
        <v>0.88800919695400005</v>
      </c>
      <c r="E22018">
        <v>3.2280000000000002</v>
      </c>
    </row>
    <row r="22019" spans="1:5">
      <c r="A22019" t="s">
        <v>47489</v>
      </c>
      <c r="B22019" t="s">
        <v>9912</v>
      </c>
      <c r="C22019">
        <v>0</v>
      </c>
      <c r="D22019">
        <v>0.88800919695400005</v>
      </c>
      <c r="E22019">
        <v>3.2280000000000002</v>
      </c>
    </row>
    <row r="22020" spans="1:5">
      <c r="A22020" t="s">
        <v>47489</v>
      </c>
      <c r="B22020" t="s">
        <v>9913</v>
      </c>
      <c r="C22020">
        <f>0</f>
        <v>0</v>
      </c>
      <c r="D22020">
        <v>0.88800919695400005</v>
      </c>
      <c r="E22020">
        <v>3.2280000000000002</v>
      </c>
    </row>
    <row r="22021" spans="1:5">
      <c r="A22021" t="s">
        <v>47489</v>
      </c>
      <c r="B22021" t="s">
        <v>9914</v>
      </c>
      <c r="C22021">
        <v>0.48542358306299999</v>
      </c>
      <c r="D22021">
        <v>0.88800919695400005</v>
      </c>
      <c r="E22021">
        <v>3.2280000000000002</v>
      </c>
    </row>
    <row r="22022" spans="1:5">
      <c r="A22022" t="s">
        <v>47489</v>
      </c>
      <c r="B22022" t="s">
        <v>9909</v>
      </c>
      <c r="C22022">
        <v>0</v>
      </c>
      <c r="D22022">
        <v>0.88800919695400005</v>
      </c>
      <c r="E22022">
        <v>3.2280000000000002</v>
      </c>
    </row>
    <row r="22023" spans="1:5">
      <c r="A22023" t="s">
        <v>47490</v>
      </c>
      <c r="B22023" t="s">
        <v>47491</v>
      </c>
      <c r="C22023">
        <v>0.48675278471</v>
      </c>
      <c r="D22023">
        <v>0.67367435530300002</v>
      </c>
      <c r="E22023">
        <v>24</v>
      </c>
    </row>
    <row r="22024" spans="1:5">
      <c r="A22024" t="s">
        <v>47490</v>
      </c>
      <c r="B22024" t="s">
        <v>47492</v>
      </c>
      <c r="C22024">
        <f>0.591439029794</f>
        <v>0.59143902979399998</v>
      </c>
      <c r="D22024">
        <v>0.67367435530300002</v>
      </c>
      <c r="E22024">
        <v>24</v>
      </c>
    </row>
    <row r="22025" spans="1:5">
      <c r="A22025" t="s">
        <v>47493</v>
      </c>
      <c r="B22025" t="s">
        <v>15722</v>
      </c>
      <c r="C22025">
        <f>0.629386375949</f>
        <v>0.62938637594900004</v>
      </c>
      <c r="D22025">
        <v>0.79033377714899999</v>
      </c>
      <c r="E22025">
        <v>10.554</v>
      </c>
    </row>
    <row r="22026" spans="1:5">
      <c r="A22026" t="s">
        <v>47493</v>
      </c>
      <c r="B22026" t="s">
        <v>15720</v>
      </c>
      <c r="C22026">
        <f>0.250277552456</f>
        <v>0.25027755245599997</v>
      </c>
      <c r="D22026">
        <v>0.79033377714899999</v>
      </c>
      <c r="E22026">
        <v>10.554</v>
      </c>
    </row>
    <row r="22027" spans="1:5">
      <c r="A22027" t="s">
        <v>47493</v>
      </c>
      <c r="B22027" t="s">
        <v>15723</v>
      </c>
      <c r="C22027">
        <f>0</f>
        <v>0</v>
      </c>
      <c r="D22027">
        <v>0.79033377714899999</v>
      </c>
      <c r="E22027">
        <v>10.554</v>
      </c>
    </row>
    <row r="22028" spans="1:5">
      <c r="A22028" t="s">
        <v>47493</v>
      </c>
      <c r="B22028" t="s">
        <v>15724</v>
      </c>
      <c r="C22028">
        <v>0.13751385054000001</v>
      </c>
      <c r="D22028">
        <v>0.79033377714899999</v>
      </c>
      <c r="E22028">
        <v>10.554</v>
      </c>
    </row>
    <row r="22029" spans="1:5">
      <c r="A22029" t="s">
        <v>47494</v>
      </c>
      <c r="B22029" t="s">
        <v>4344</v>
      </c>
      <c r="C22029">
        <v>0.35737414740599999</v>
      </c>
      <c r="D22029">
        <v>0.90331188861099998</v>
      </c>
      <c r="E22029">
        <v>23.754000000000001</v>
      </c>
    </row>
    <row r="22030" spans="1:5">
      <c r="A22030" t="s">
        <v>47494</v>
      </c>
      <c r="B22030" t="s">
        <v>4343</v>
      </c>
      <c r="C22030">
        <f>0.077704429439</f>
        <v>7.7704429438999995E-2</v>
      </c>
      <c r="D22030">
        <v>0.90331188861099998</v>
      </c>
      <c r="E22030">
        <v>23.754000000000001</v>
      </c>
    </row>
    <row r="22031" spans="1:5">
      <c r="A22031" t="s">
        <v>47494</v>
      </c>
      <c r="B22031" t="s">
        <v>4342</v>
      </c>
      <c r="C22031">
        <f>-1.51717944888</f>
        <v>-1.5171794488799999</v>
      </c>
      <c r="D22031">
        <v>0.90331188861099998</v>
      </c>
      <c r="E22031">
        <v>23.754000000000001</v>
      </c>
    </row>
    <row r="22032" spans="1:5">
      <c r="A22032" t="s">
        <v>47494</v>
      </c>
      <c r="B22032" t="s">
        <v>4340</v>
      </c>
      <c r="C22032">
        <v>0.81113659821100004</v>
      </c>
      <c r="D22032">
        <v>0.90331188861099998</v>
      </c>
      <c r="E22032">
        <v>23.754000000000001</v>
      </c>
    </row>
    <row r="22033" spans="1:5">
      <c r="A22033" t="s">
        <v>47495</v>
      </c>
      <c r="B22033" t="s">
        <v>1149</v>
      </c>
      <c r="C22033">
        <f>0.258204992127</f>
        <v>0.25820499212699999</v>
      </c>
      <c r="D22033">
        <v>0.89891658057099999</v>
      </c>
      <c r="E22033">
        <v>2.4780000000000002</v>
      </c>
    </row>
    <row r="22034" spans="1:5">
      <c r="A22034" t="s">
        <v>47495</v>
      </c>
      <c r="B22034" t="s">
        <v>1158</v>
      </c>
      <c r="C22034">
        <v>8.6128013170999995E-2</v>
      </c>
      <c r="D22034">
        <v>0.89891658057099999</v>
      </c>
      <c r="E22034">
        <v>2.4780000000000002</v>
      </c>
    </row>
    <row r="22035" spans="1:5">
      <c r="A22035" t="s">
        <v>47495</v>
      </c>
      <c r="B22035" t="s">
        <v>1155</v>
      </c>
      <c r="C22035">
        <f>0</f>
        <v>0</v>
      </c>
      <c r="D22035">
        <v>0.89891658057099999</v>
      </c>
      <c r="E22035">
        <v>2.4780000000000002</v>
      </c>
    </row>
    <row r="22036" spans="1:5">
      <c r="A22036" t="s">
        <v>47495</v>
      </c>
      <c r="B22036" t="s">
        <v>1154</v>
      </c>
      <c r="C22036">
        <f>0</f>
        <v>0</v>
      </c>
      <c r="D22036">
        <v>0.89891658057099999</v>
      </c>
      <c r="E22036">
        <v>2.4780000000000002</v>
      </c>
    </row>
    <row r="22037" spans="1:5">
      <c r="A22037" t="s">
        <v>47495</v>
      </c>
      <c r="B22037" t="s">
        <v>1157</v>
      </c>
      <c r="C22037">
        <v>0.38929215553000002</v>
      </c>
      <c r="D22037">
        <v>0.89891658057099999</v>
      </c>
      <c r="E22037">
        <v>2.4780000000000002</v>
      </c>
    </row>
    <row r="22038" spans="1:5">
      <c r="A22038" t="s">
        <v>47495</v>
      </c>
      <c r="B22038" t="s">
        <v>1153</v>
      </c>
      <c r="C22038">
        <f>0.205096916322</f>
        <v>0.205096916322</v>
      </c>
      <c r="D22038">
        <v>0.89891658057099999</v>
      </c>
      <c r="E22038">
        <v>2.4780000000000002</v>
      </c>
    </row>
    <row r="22039" spans="1:5">
      <c r="A22039" t="s">
        <v>47496</v>
      </c>
      <c r="B22039" t="s">
        <v>47497</v>
      </c>
      <c r="C22039">
        <f>0</f>
        <v>0</v>
      </c>
      <c r="D22039">
        <v>0.70920858503799999</v>
      </c>
      <c r="E22039">
        <v>11.37</v>
      </c>
    </row>
    <row r="22040" spans="1:5">
      <c r="A22040" t="s">
        <v>47496</v>
      </c>
      <c r="B22040" t="s">
        <v>47498</v>
      </c>
      <c r="C22040">
        <v>0.24679858503800001</v>
      </c>
      <c r="D22040">
        <v>0.70920858503799999</v>
      </c>
      <c r="E22040">
        <v>11.37</v>
      </c>
    </row>
    <row r="22041" spans="1:5">
      <c r="A22041" t="s">
        <v>47496</v>
      </c>
      <c r="B22041" t="s">
        <v>47499</v>
      </c>
      <c r="C22041">
        <v>0</v>
      </c>
      <c r="D22041">
        <v>0.70920858503799999</v>
      </c>
      <c r="E22041">
        <v>11.37</v>
      </c>
    </row>
    <row r="22042" spans="1:5">
      <c r="A22042" t="s">
        <v>47496</v>
      </c>
      <c r="B22042" t="s">
        <v>47500</v>
      </c>
      <c r="C22042">
        <v>0</v>
      </c>
      <c r="D22042">
        <v>0.70920858503799999</v>
      </c>
      <c r="E22042">
        <v>11.37</v>
      </c>
    </row>
    <row r="22043" spans="1:5">
      <c r="A22043" t="s">
        <v>47501</v>
      </c>
      <c r="B22043" t="s">
        <v>20974</v>
      </c>
      <c r="C22043">
        <v>0</v>
      </c>
      <c r="D22043" t="s">
        <v>106</v>
      </c>
      <c r="E22043">
        <v>24</v>
      </c>
    </row>
    <row r="22044" spans="1:5">
      <c r="A22044" t="s">
        <v>47501</v>
      </c>
      <c r="B22044" t="s">
        <v>20973</v>
      </c>
      <c r="C22044">
        <v>0</v>
      </c>
      <c r="D22044" t="s">
        <v>106</v>
      </c>
      <c r="E22044">
        <v>24</v>
      </c>
    </row>
    <row r="22045" spans="1:5">
      <c r="A22045" t="s">
        <v>47501</v>
      </c>
      <c r="B22045" t="s">
        <v>20971</v>
      </c>
      <c r="C22045">
        <v>0</v>
      </c>
      <c r="D22045" t="s">
        <v>106</v>
      </c>
      <c r="E22045">
        <v>24</v>
      </c>
    </row>
    <row r="22046" spans="1:5">
      <c r="A22046" t="s">
        <v>47501</v>
      </c>
      <c r="B22046" t="s">
        <v>20972</v>
      </c>
      <c r="C22046">
        <v>0</v>
      </c>
      <c r="D22046" t="s">
        <v>106</v>
      </c>
      <c r="E22046">
        <v>24</v>
      </c>
    </row>
    <row r="22047" spans="1:5">
      <c r="A22047" t="s">
        <v>47501</v>
      </c>
      <c r="B22047" t="s">
        <v>20975</v>
      </c>
      <c r="C22047">
        <v>0</v>
      </c>
      <c r="D22047" t="s">
        <v>106</v>
      </c>
      <c r="E22047">
        <v>24</v>
      </c>
    </row>
    <row r="22048" spans="1:5">
      <c r="A22048" t="s">
        <v>47502</v>
      </c>
      <c r="B22048" t="s">
        <v>33211</v>
      </c>
      <c r="C22048">
        <f>0.36679540179</f>
        <v>0.36679540178999998</v>
      </c>
      <c r="D22048">
        <v>0.70356064795499995</v>
      </c>
      <c r="E22048">
        <v>23.754000000000001</v>
      </c>
    </row>
    <row r="22049" spans="1:5">
      <c r="A22049" t="s">
        <v>47502</v>
      </c>
      <c r="B22049" t="s">
        <v>33214</v>
      </c>
      <c r="C22049">
        <f>0</f>
        <v>0</v>
      </c>
      <c r="D22049">
        <v>0.70356064795499995</v>
      </c>
      <c r="E22049">
        <v>23.754000000000001</v>
      </c>
    </row>
    <row r="22050" spans="1:5">
      <c r="A22050" t="s">
        <v>47502</v>
      </c>
      <c r="B22050" t="s">
        <v>33213</v>
      </c>
      <c r="C22050">
        <v>0</v>
      </c>
      <c r="D22050">
        <v>0.70356064795499995</v>
      </c>
      <c r="E22050">
        <v>23.754000000000001</v>
      </c>
    </row>
    <row r="22051" spans="1:5">
      <c r="A22051" t="s">
        <v>47502</v>
      </c>
      <c r="B22051" t="s">
        <v>33215</v>
      </c>
      <c r="C22051">
        <v>2.6839120036099999E-2</v>
      </c>
      <c r="D22051">
        <v>0.70356064795499995</v>
      </c>
      <c r="E22051">
        <v>23.754000000000001</v>
      </c>
    </row>
    <row r="22052" spans="1:5">
      <c r="A22052" t="s">
        <v>47503</v>
      </c>
      <c r="B22052" t="s">
        <v>30184</v>
      </c>
      <c r="C22052">
        <v>0</v>
      </c>
      <c r="D22052" t="s">
        <v>106</v>
      </c>
      <c r="E22052">
        <v>23.28</v>
      </c>
    </row>
    <row r="22053" spans="1:5">
      <c r="A22053" t="s">
        <v>47503</v>
      </c>
      <c r="B22053" t="s">
        <v>30190</v>
      </c>
      <c r="C22053">
        <f>0</f>
        <v>0</v>
      </c>
      <c r="D22053" t="s">
        <v>106</v>
      </c>
      <c r="E22053">
        <v>23.28</v>
      </c>
    </row>
    <row r="22054" spans="1:5">
      <c r="A22054" t="s">
        <v>47503</v>
      </c>
      <c r="B22054" t="s">
        <v>30183</v>
      </c>
      <c r="C22054">
        <f>0</f>
        <v>0</v>
      </c>
      <c r="D22054" t="s">
        <v>106</v>
      </c>
      <c r="E22054">
        <v>23.28</v>
      </c>
    </row>
    <row r="22055" spans="1:5">
      <c r="A22055" t="s">
        <v>47503</v>
      </c>
      <c r="B22055" t="s">
        <v>30187</v>
      </c>
      <c r="C22055">
        <f>0</f>
        <v>0</v>
      </c>
      <c r="D22055" t="s">
        <v>106</v>
      </c>
      <c r="E22055">
        <v>23.28</v>
      </c>
    </row>
    <row r="22056" spans="1:5">
      <c r="A22056" t="s">
        <v>47503</v>
      </c>
      <c r="B22056" t="s">
        <v>30191</v>
      </c>
      <c r="C22056">
        <f>0</f>
        <v>0</v>
      </c>
      <c r="D22056" t="s">
        <v>106</v>
      </c>
      <c r="E22056">
        <v>23.28</v>
      </c>
    </row>
    <row r="22057" spans="1:5">
      <c r="A22057" t="s">
        <v>47503</v>
      </c>
      <c r="B22057" t="s">
        <v>30192</v>
      </c>
      <c r="C22057">
        <f>0</f>
        <v>0</v>
      </c>
      <c r="D22057" t="s">
        <v>106</v>
      </c>
      <c r="E22057">
        <v>23.28</v>
      </c>
    </row>
    <row r="22058" spans="1:5">
      <c r="A22058" t="s">
        <v>47503</v>
      </c>
      <c r="B22058" t="s">
        <v>30193</v>
      </c>
      <c r="C22058">
        <f>0</f>
        <v>0</v>
      </c>
      <c r="D22058" t="s">
        <v>106</v>
      </c>
      <c r="E22058">
        <v>23.28</v>
      </c>
    </row>
    <row r="22059" spans="1:5">
      <c r="A22059" t="s">
        <v>47503</v>
      </c>
      <c r="B22059" t="s">
        <v>30195</v>
      </c>
      <c r="C22059">
        <f>0</f>
        <v>0</v>
      </c>
      <c r="D22059" t="s">
        <v>106</v>
      </c>
      <c r="E22059">
        <v>23.28</v>
      </c>
    </row>
    <row r="22060" spans="1:5">
      <c r="A22060" t="s">
        <v>47503</v>
      </c>
      <c r="B22060" t="s">
        <v>30196</v>
      </c>
      <c r="C22060">
        <f>0</f>
        <v>0</v>
      </c>
      <c r="D22060" t="s">
        <v>106</v>
      </c>
      <c r="E22060">
        <v>23.28</v>
      </c>
    </row>
    <row r="22061" spans="1:5">
      <c r="A22061" t="s">
        <v>47504</v>
      </c>
      <c r="B22061" t="s">
        <v>16513</v>
      </c>
      <c r="C22061">
        <v>0</v>
      </c>
      <c r="D22061" t="s">
        <v>106</v>
      </c>
      <c r="E22061">
        <v>8.8680000000000003</v>
      </c>
    </row>
    <row r="22062" spans="1:5">
      <c r="A22062" t="s">
        <v>47504</v>
      </c>
      <c r="B22062" t="s">
        <v>16516</v>
      </c>
      <c r="C22062">
        <v>0</v>
      </c>
      <c r="D22062" t="s">
        <v>106</v>
      </c>
      <c r="E22062">
        <v>8.8680000000000003</v>
      </c>
    </row>
    <row r="22063" spans="1:5">
      <c r="A22063" t="s">
        <v>47504</v>
      </c>
      <c r="B22063" t="s">
        <v>16514</v>
      </c>
      <c r="C22063">
        <v>0</v>
      </c>
      <c r="D22063" t="s">
        <v>106</v>
      </c>
      <c r="E22063">
        <v>8.8680000000000003</v>
      </c>
    </row>
    <row r="22064" spans="1:5">
      <c r="A22064" t="s">
        <v>47505</v>
      </c>
      <c r="B22064" t="s">
        <v>8865</v>
      </c>
      <c r="C22064">
        <v>0</v>
      </c>
      <c r="D22064" t="s">
        <v>106</v>
      </c>
      <c r="E22064">
        <v>0.438</v>
      </c>
    </row>
    <row r="22065" spans="1:5">
      <c r="A22065" t="s">
        <v>47505</v>
      </c>
      <c r="B22065" t="s">
        <v>8863</v>
      </c>
      <c r="C22065">
        <f>0</f>
        <v>0</v>
      </c>
      <c r="D22065" t="s">
        <v>106</v>
      </c>
      <c r="E22065">
        <v>0.438</v>
      </c>
    </row>
    <row r="22066" spans="1:5">
      <c r="A22066" t="s">
        <v>47505</v>
      </c>
      <c r="B22066" t="s">
        <v>8869</v>
      </c>
      <c r="C22066">
        <f>0</f>
        <v>0</v>
      </c>
      <c r="D22066" t="s">
        <v>106</v>
      </c>
      <c r="E22066">
        <v>0.438</v>
      </c>
    </row>
    <row r="22067" spans="1:5">
      <c r="A22067" t="s">
        <v>47505</v>
      </c>
      <c r="B22067" t="s">
        <v>8868</v>
      </c>
      <c r="C22067">
        <f>0</f>
        <v>0</v>
      </c>
      <c r="D22067" t="s">
        <v>106</v>
      </c>
      <c r="E22067">
        <v>0.438</v>
      </c>
    </row>
    <row r="22068" spans="1:5">
      <c r="A22068" t="s">
        <v>47506</v>
      </c>
      <c r="B22068" t="s">
        <v>47507</v>
      </c>
      <c r="C22068">
        <v>0</v>
      </c>
      <c r="D22068" t="s">
        <v>106</v>
      </c>
      <c r="E22068">
        <v>5.3520000000000003</v>
      </c>
    </row>
    <row r="22069" spans="1:5">
      <c r="A22069" t="s">
        <v>47506</v>
      </c>
      <c r="B22069" t="s">
        <v>47508</v>
      </c>
      <c r="C22069">
        <v>0</v>
      </c>
      <c r="D22069" t="s">
        <v>106</v>
      </c>
      <c r="E22069">
        <v>5.3520000000000003</v>
      </c>
    </row>
    <row r="22070" spans="1:5">
      <c r="A22070" t="s">
        <v>47506</v>
      </c>
      <c r="B22070" t="s">
        <v>47509</v>
      </c>
      <c r="C22070">
        <f>0</f>
        <v>0</v>
      </c>
      <c r="D22070" t="s">
        <v>106</v>
      </c>
      <c r="E22070">
        <v>5.3520000000000003</v>
      </c>
    </row>
    <row r="22071" spans="1:5">
      <c r="A22071" t="s">
        <v>47506</v>
      </c>
      <c r="B22071" t="s">
        <v>47510</v>
      </c>
      <c r="C22071">
        <v>0</v>
      </c>
      <c r="D22071" t="s">
        <v>106</v>
      </c>
      <c r="E22071">
        <v>5.3520000000000003</v>
      </c>
    </row>
    <row r="22072" spans="1:5">
      <c r="A22072" t="s">
        <v>47511</v>
      </c>
      <c r="B22072" t="s">
        <v>47512</v>
      </c>
      <c r="C22072">
        <f>0</f>
        <v>0</v>
      </c>
      <c r="D22072" t="s">
        <v>106</v>
      </c>
      <c r="E22072">
        <v>24</v>
      </c>
    </row>
    <row r="22073" spans="1:5">
      <c r="A22073" t="s">
        <v>47511</v>
      </c>
      <c r="B22073" t="s">
        <v>47513</v>
      </c>
      <c r="C22073">
        <f>0</f>
        <v>0</v>
      </c>
      <c r="D22073" t="s">
        <v>106</v>
      </c>
      <c r="E22073">
        <v>24</v>
      </c>
    </row>
    <row r="22074" spans="1:5">
      <c r="A22074" t="s">
        <v>47514</v>
      </c>
      <c r="B22074" t="s">
        <v>23133</v>
      </c>
      <c r="C22074">
        <v>0</v>
      </c>
      <c r="D22074">
        <v>0.77733195234999997</v>
      </c>
      <c r="E22074">
        <v>0</v>
      </c>
    </row>
    <row r="22075" spans="1:5">
      <c r="A22075" t="s">
        <v>47514</v>
      </c>
      <c r="B22075" t="s">
        <v>23134</v>
      </c>
      <c r="C22075">
        <v>0.58372195235000002</v>
      </c>
      <c r="D22075">
        <v>0.77733195234999997</v>
      </c>
      <c r="E22075">
        <v>0</v>
      </c>
    </row>
    <row r="22076" spans="1:5">
      <c r="A22076" t="s">
        <v>47515</v>
      </c>
      <c r="B22076" t="s">
        <v>12857</v>
      </c>
      <c r="C22076">
        <v>0.341378734573</v>
      </c>
      <c r="D22076">
        <v>0.95599558539100005</v>
      </c>
      <c r="E22076">
        <v>24</v>
      </c>
    </row>
    <row r="22077" spans="1:5">
      <c r="A22077" t="s">
        <v>47515</v>
      </c>
      <c r="B22077" t="s">
        <v>12858</v>
      </c>
      <c r="C22077">
        <v>0.34024162411999997</v>
      </c>
      <c r="D22077">
        <v>0.95599558539100005</v>
      </c>
      <c r="E22077">
        <v>24</v>
      </c>
    </row>
    <row r="22078" spans="1:5">
      <c r="A22078" t="s">
        <v>47515</v>
      </c>
      <c r="B22078" t="s">
        <v>12861</v>
      </c>
      <c r="C22078">
        <v>0</v>
      </c>
      <c r="D22078">
        <v>0.95599558539100005</v>
      </c>
      <c r="E22078">
        <v>24</v>
      </c>
    </row>
    <row r="22079" spans="1:5">
      <c r="A22079" t="s">
        <v>47515</v>
      </c>
      <c r="B22079" t="s">
        <v>12862</v>
      </c>
      <c r="C22079">
        <v>0.53726378221100002</v>
      </c>
      <c r="D22079">
        <v>0.95599558539100005</v>
      </c>
      <c r="E22079">
        <v>24</v>
      </c>
    </row>
    <row r="22080" spans="1:5">
      <c r="A22080" t="s">
        <v>47515</v>
      </c>
      <c r="B22080" t="s">
        <v>12859</v>
      </c>
      <c r="C22080">
        <v>0.451859770391</v>
      </c>
      <c r="D22080">
        <v>0.95599558539100005</v>
      </c>
      <c r="E22080">
        <v>24</v>
      </c>
    </row>
    <row r="22081" spans="1:5">
      <c r="A22081" t="s">
        <v>47516</v>
      </c>
      <c r="B22081" t="s">
        <v>27459</v>
      </c>
      <c r="C22081">
        <f>0</f>
        <v>0</v>
      </c>
      <c r="D22081" t="s">
        <v>106</v>
      </c>
      <c r="E22081">
        <v>11.04</v>
      </c>
    </row>
    <row r="22082" spans="1:5">
      <c r="A22082" t="s">
        <v>47516</v>
      </c>
      <c r="B22082" t="s">
        <v>27464</v>
      </c>
      <c r="C22082">
        <v>0</v>
      </c>
      <c r="D22082" t="s">
        <v>106</v>
      </c>
      <c r="E22082">
        <v>11.04</v>
      </c>
    </row>
    <row r="22083" spans="1:5">
      <c r="A22083" t="s">
        <v>47516</v>
      </c>
      <c r="B22083" t="s">
        <v>27462</v>
      </c>
      <c r="C22083">
        <v>0</v>
      </c>
      <c r="D22083" t="s">
        <v>106</v>
      </c>
      <c r="E22083">
        <v>11.04</v>
      </c>
    </row>
    <row r="22084" spans="1:5">
      <c r="A22084" t="s">
        <v>47516</v>
      </c>
      <c r="B22084" t="s">
        <v>27469</v>
      </c>
      <c r="C22084">
        <v>0</v>
      </c>
      <c r="D22084" t="s">
        <v>106</v>
      </c>
      <c r="E22084">
        <v>11.04</v>
      </c>
    </row>
    <row r="22085" spans="1:5">
      <c r="A22085" t="s">
        <v>47517</v>
      </c>
      <c r="B22085" t="s">
        <v>1174</v>
      </c>
      <c r="C22085">
        <f>0.0812875257486</f>
        <v>8.1287525748600001E-2</v>
      </c>
      <c r="D22085">
        <v>0.86732409771700003</v>
      </c>
      <c r="E22085">
        <v>23.754000000000001</v>
      </c>
    </row>
    <row r="22086" spans="1:5">
      <c r="A22086" t="s">
        <v>47517</v>
      </c>
      <c r="B22086" t="s">
        <v>1176</v>
      </c>
      <c r="C22086">
        <v>0.89582460016499998</v>
      </c>
      <c r="D22086">
        <v>0.86732409771700003</v>
      </c>
      <c r="E22086">
        <v>23.754000000000001</v>
      </c>
    </row>
    <row r="22087" spans="1:5">
      <c r="A22087" t="s">
        <v>47517</v>
      </c>
      <c r="B22087" t="s">
        <v>1175</v>
      </c>
      <c r="C22087">
        <f>0.216414338275</f>
        <v>0.21641433827500001</v>
      </c>
      <c r="D22087">
        <v>0.86732409771700003</v>
      </c>
      <c r="E22087">
        <v>23.754000000000001</v>
      </c>
    </row>
    <row r="22088" spans="1:5">
      <c r="A22088" t="s">
        <v>47518</v>
      </c>
      <c r="B22088" t="s">
        <v>7834</v>
      </c>
      <c r="C22088">
        <v>0</v>
      </c>
      <c r="D22088" t="s">
        <v>106</v>
      </c>
      <c r="E22088">
        <v>22.806000000000001</v>
      </c>
    </row>
    <row r="22089" spans="1:5">
      <c r="A22089" t="s">
        <v>47518</v>
      </c>
      <c r="B22089" t="s">
        <v>7833</v>
      </c>
      <c r="C22089">
        <v>0</v>
      </c>
      <c r="D22089" t="s">
        <v>106</v>
      </c>
      <c r="E22089">
        <v>22.806000000000001</v>
      </c>
    </row>
    <row r="22090" spans="1:5">
      <c r="A22090" t="s">
        <v>47518</v>
      </c>
      <c r="B22090" t="s">
        <v>7828</v>
      </c>
      <c r="C22090">
        <f>0</f>
        <v>0</v>
      </c>
      <c r="D22090" t="s">
        <v>106</v>
      </c>
      <c r="E22090">
        <v>22.806000000000001</v>
      </c>
    </row>
    <row r="22091" spans="1:5">
      <c r="A22091" t="s">
        <v>47518</v>
      </c>
      <c r="B22091" t="s">
        <v>7836</v>
      </c>
      <c r="C22091">
        <f>0</f>
        <v>0</v>
      </c>
      <c r="D22091" t="s">
        <v>106</v>
      </c>
      <c r="E22091">
        <v>22.806000000000001</v>
      </c>
    </row>
    <row r="22092" spans="1:5">
      <c r="A22092" t="s">
        <v>47518</v>
      </c>
      <c r="B22092" t="s">
        <v>7835</v>
      </c>
      <c r="C22092">
        <f>0</f>
        <v>0</v>
      </c>
      <c r="D22092" t="s">
        <v>106</v>
      </c>
      <c r="E22092">
        <v>22.806000000000001</v>
      </c>
    </row>
    <row r="22093" spans="1:5">
      <c r="A22093" t="s">
        <v>47519</v>
      </c>
      <c r="B22093" t="s">
        <v>25424</v>
      </c>
      <c r="C22093">
        <f>0.145642170902</f>
        <v>0.14564217090199999</v>
      </c>
      <c r="D22093">
        <v>0.58194173651000003</v>
      </c>
      <c r="E22093">
        <v>11.208</v>
      </c>
    </row>
    <row r="22094" spans="1:5">
      <c r="A22094" t="s">
        <v>47519</v>
      </c>
      <c r="B22094" t="s">
        <v>25425</v>
      </c>
      <c r="C22094">
        <f>0.0432055251931</f>
        <v>4.3205525193100003E-2</v>
      </c>
      <c r="D22094">
        <v>0.58194173651000003</v>
      </c>
      <c r="E22094">
        <v>11.208</v>
      </c>
    </row>
    <row r="22095" spans="1:5">
      <c r="A22095" t="s">
        <v>47520</v>
      </c>
      <c r="B22095" t="s">
        <v>47521</v>
      </c>
      <c r="C22095">
        <v>0.71914817882100002</v>
      </c>
      <c r="D22095">
        <v>0.87806142658999997</v>
      </c>
      <c r="E22095">
        <v>24</v>
      </c>
    </row>
    <row r="22096" spans="1:5">
      <c r="A22096" t="s">
        <v>47520</v>
      </c>
      <c r="B22096" t="s">
        <v>47522</v>
      </c>
      <c r="C22096">
        <f>0.19536613177</f>
        <v>0.19536613177000001</v>
      </c>
      <c r="D22096">
        <v>0.87806142658999997</v>
      </c>
      <c r="E22096">
        <v>24</v>
      </c>
    </row>
    <row r="22097" spans="1:5">
      <c r="A22097" t="s">
        <v>47523</v>
      </c>
      <c r="B22097" t="s">
        <v>47524</v>
      </c>
      <c r="C22097">
        <f>0</f>
        <v>0</v>
      </c>
      <c r="D22097" t="s">
        <v>106</v>
      </c>
      <c r="E22097">
        <v>0.87</v>
      </c>
    </row>
    <row r="22098" spans="1:5">
      <c r="A22098" t="s">
        <v>47523</v>
      </c>
      <c r="B22098" t="s">
        <v>47525</v>
      </c>
      <c r="C22098">
        <v>0</v>
      </c>
      <c r="D22098" t="s">
        <v>106</v>
      </c>
      <c r="E22098">
        <v>0.87</v>
      </c>
    </row>
    <row r="22099" spans="1:5">
      <c r="A22099" t="s">
        <v>47523</v>
      </c>
      <c r="B22099" t="s">
        <v>47526</v>
      </c>
      <c r="C22099">
        <v>0</v>
      </c>
      <c r="D22099" t="s">
        <v>106</v>
      </c>
      <c r="E22099">
        <v>0.87</v>
      </c>
    </row>
    <row r="22100" spans="1:5">
      <c r="A22100" t="s">
        <v>47527</v>
      </c>
      <c r="B22100" t="s">
        <v>24837</v>
      </c>
      <c r="C22100">
        <v>0.54527051780799995</v>
      </c>
      <c r="D22100">
        <v>0.94329941561899999</v>
      </c>
      <c r="E22100">
        <v>23.754000000000001</v>
      </c>
    </row>
    <row r="22101" spans="1:5">
      <c r="A22101" t="s">
        <v>47527</v>
      </c>
      <c r="B22101" t="s">
        <v>24834</v>
      </c>
      <c r="C22101">
        <f>0.10198386573</f>
        <v>0.10198386573</v>
      </c>
      <c r="D22101">
        <v>0.94329941561899999</v>
      </c>
      <c r="E22101">
        <v>23.754000000000001</v>
      </c>
    </row>
    <row r="22102" spans="1:5">
      <c r="A22102" t="s">
        <v>47527</v>
      </c>
      <c r="B22102" t="s">
        <v>24833</v>
      </c>
      <c r="C22102">
        <f>-1.01633518244</f>
        <v>-1.01633518244</v>
      </c>
      <c r="D22102">
        <v>0.94329941561899999</v>
      </c>
      <c r="E22102">
        <v>23.754000000000001</v>
      </c>
    </row>
    <row r="22103" spans="1:5">
      <c r="A22103" t="s">
        <v>47527</v>
      </c>
      <c r="B22103" t="s">
        <v>24832</v>
      </c>
      <c r="C22103">
        <v>2.9246019948E-2</v>
      </c>
      <c r="D22103">
        <v>0.94329941561899999</v>
      </c>
      <c r="E22103">
        <v>23.754000000000001</v>
      </c>
    </row>
    <row r="22104" spans="1:5">
      <c r="A22104" t="s">
        <v>47528</v>
      </c>
      <c r="B22104" t="s">
        <v>8775</v>
      </c>
      <c r="C22104">
        <v>0</v>
      </c>
      <c r="D22104" t="s">
        <v>106</v>
      </c>
      <c r="E22104">
        <v>24</v>
      </c>
    </row>
    <row r="22105" spans="1:5">
      <c r="A22105" t="s">
        <v>47528</v>
      </c>
      <c r="B22105" t="s">
        <v>8776</v>
      </c>
      <c r="C22105">
        <f>0</f>
        <v>0</v>
      </c>
      <c r="D22105" t="s">
        <v>106</v>
      </c>
      <c r="E22105">
        <v>24</v>
      </c>
    </row>
    <row r="22106" spans="1:5">
      <c r="A22106" t="s">
        <v>47528</v>
      </c>
      <c r="B22106" t="s">
        <v>8778</v>
      </c>
      <c r="C22106">
        <f>0</f>
        <v>0</v>
      </c>
      <c r="D22106" t="s">
        <v>106</v>
      </c>
      <c r="E22106">
        <v>24</v>
      </c>
    </row>
    <row r="22107" spans="1:5">
      <c r="A22107" t="s">
        <v>47528</v>
      </c>
      <c r="B22107" t="s">
        <v>8779</v>
      </c>
      <c r="C22107">
        <f>0</f>
        <v>0</v>
      </c>
      <c r="D22107" t="s">
        <v>106</v>
      </c>
      <c r="E22107">
        <v>24</v>
      </c>
    </row>
    <row r="22108" spans="1:5">
      <c r="A22108" t="s">
        <v>47528</v>
      </c>
      <c r="B22108" t="s">
        <v>8777</v>
      </c>
      <c r="C22108">
        <f>0</f>
        <v>0</v>
      </c>
      <c r="D22108" t="s">
        <v>106</v>
      </c>
      <c r="E22108">
        <v>24</v>
      </c>
    </row>
    <row r="22109" spans="1:5">
      <c r="A22109" t="s">
        <v>47529</v>
      </c>
      <c r="B22109" t="s">
        <v>24595</v>
      </c>
      <c r="C22109">
        <f>0.54381445041</f>
        <v>0.54381445040999998</v>
      </c>
      <c r="D22109">
        <v>0.93240494169599997</v>
      </c>
      <c r="E22109">
        <v>1.8959999999999999</v>
      </c>
    </row>
    <row r="22110" spans="1:5">
      <c r="A22110" t="s">
        <v>47529</v>
      </c>
      <c r="B22110" t="s">
        <v>24597</v>
      </c>
      <c r="C22110">
        <v>0.39797577799099998</v>
      </c>
      <c r="D22110">
        <v>0.93240494169599997</v>
      </c>
      <c r="E22110">
        <v>1.8959999999999999</v>
      </c>
    </row>
    <row r="22111" spans="1:5">
      <c r="A22111" t="s">
        <v>47529</v>
      </c>
      <c r="B22111" t="s">
        <v>24596</v>
      </c>
      <c r="C22111">
        <v>0.90482189908900001</v>
      </c>
      <c r="D22111">
        <v>0.93240494169599997</v>
      </c>
      <c r="E22111">
        <v>1.8959999999999999</v>
      </c>
    </row>
    <row r="22112" spans="1:5">
      <c r="A22112" t="s">
        <v>47530</v>
      </c>
      <c r="B22112" t="s">
        <v>29535</v>
      </c>
      <c r="C22112">
        <v>0.61577853829100004</v>
      </c>
      <c r="D22112">
        <v>0.85101300335300001</v>
      </c>
      <c r="E22112">
        <v>8.1539999999999999</v>
      </c>
    </row>
    <row r="22113" spans="1:5">
      <c r="A22113" t="s">
        <v>47530</v>
      </c>
      <c r="B22113" t="s">
        <v>29532</v>
      </c>
      <c r="C22113">
        <v>0.23121608336400001</v>
      </c>
      <c r="D22113">
        <v>0.85101300335300001</v>
      </c>
      <c r="E22113">
        <v>8.1539999999999999</v>
      </c>
    </row>
    <row r="22114" spans="1:5">
      <c r="A22114" t="s">
        <v>47530</v>
      </c>
      <c r="B22114" t="s">
        <v>29534</v>
      </c>
      <c r="C22114">
        <f>0</f>
        <v>0</v>
      </c>
      <c r="D22114">
        <v>0.85101300335300001</v>
      </c>
      <c r="E22114">
        <v>8.1539999999999999</v>
      </c>
    </row>
    <row r="22115" spans="1:5">
      <c r="A22115" t="s">
        <v>47531</v>
      </c>
      <c r="B22115" t="s">
        <v>47532</v>
      </c>
      <c r="C22115">
        <f>0</f>
        <v>0</v>
      </c>
      <c r="D22115" t="s">
        <v>106</v>
      </c>
      <c r="E22115">
        <v>23.754000000000001</v>
      </c>
    </row>
    <row r="22116" spans="1:5">
      <c r="A22116" t="s">
        <v>47531</v>
      </c>
      <c r="B22116" t="s">
        <v>47533</v>
      </c>
      <c r="C22116">
        <v>0</v>
      </c>
      <c r="D22116" t="s">
        <v>106</v>
      </c>
      <c r="E22116">
        <v>23.754000000000001</v>
      </c>
    </row>
    <row r="22117" spans="1:5">
      <c r="A22117" t="s">
        <v>47534</v>
      </c>
      <c r="B22117" t="s">
        <v>6982</v>
      </c>
      <c r="C22117">
        <v>0</v>
      </c>
      <c r="D22117">
        <v>0.86972423790499997</v>
      </c>
      <c r="E22117">
        <v>6.5519999999999996</v>
      </c>
    </row>
    <row r="22118" spans="1:5">
      <c r="A22118" t="s">
        <v>47534</v>
      </c>
      <c r="B22118" t="s">
        <v>6981</v>
      </c>
      <c r="C22118">
        <v>0</v>
      </c>
      <c r="D22118">
        <v>0.86972423790499997</v>
      </c>
      <c r="E22118">
        <v>6.5519999999999996</v>
      </c>
    </row>
    <row r="22119" spans="1:5">
      <c r="A22119" t="s">
        <v>47534</v>
      </c>
      <c r="B22119" t="s">
        <v>6983</v>
      </c>
      <c r="C22119">
        <v>0</v>
      </c>
      <c r="D22119">
        <v>0.86972423790499997</v>
      </c>
      <c r="E22119">
        <v>6.5519999999999996</v>
      </c>
    </row>
    <row r="22120" spans="1:5">
      <c r="A22120" t="s">
        <v>47534</v>
      </c>
      <c r="B22120" t="s">
        <v>6986</v>
      </c>
      <c r="C22120">
        <v>0</v>
      </c>
      <c r="D22120">
        <v>0.86972423790499997</v>
      </c>
      <c r="E22120">
        <v>6.5519999999999996</v>
      </c>
    </row>
    <row r="22121" spans="1:5">
      <c r="A22121" t="s">
        <v>47534</v>
      </c>
      <c r="B22121" t="s">
        <v>6987</v>
      </c>
      <c r="C22121">
        <v>0.33759070182599998</v>
      </c>
      <c r="D22121">
        <v>0.86972423790499997</v>
      </c>
      <c r="E22121">
        <v>6.5519999999999996</v>
      </c>
    </row>
    <row r="22122" spans="1:5">
      <c r="A22122" t="s">
        <v>47534</v>
      </c>
      <c r="B22122" t="s">
        <v>6984</v>
      </c>
      <c r="C22122">
        <v>0.32094993279299999</v>
      </c>
      <c r="D22122">
        <v>0.86972423790499997</v>
      </c>
      <c r="E22122">
        <v>6.5519999999999996</v>
      </c>
    </row>
    <row r="22123" spans="1:5">
      <c r="A22123" t="s">
        <v>47534</v>
      </c>
      <c r="B22123" t="s">
        <v>6985</v>
      </c>
      <c r="C22123">
        <v>0</v>
      </c>
      <c r="D22123">
        <v>0.86972423790499997</v>
      </c>
      <c r="E22123">
        <v>6.5519999999999996</v>
      </c>
    </row>
    <row r="22124" spans="1:5">
      <c r="A22124" t="s">
        <v>47535</v>
      </c>
      <c r="B22124" t="s">
        <v>4668</v>
      </c>
      <c r="C22124">
        <f>0</f>
        <v>0</v>
      </c>
      <c r="D22124">
        <v>0.99068439948300002</v>
      </c>
      <c r="E22124">
        <v>8.2919999999999998</v>
      </c>
    </row>
    <row r="22125" spans="1:5">
      <c r="A22125" t="s">
        <v>47535</v>
      </c>
      <c r="B22125" t="s">
        <v>4672</v>
      </c>
      <c r="C22125">
        <v>0.22719554289400001</v>
      </c>
      <c r="D22125">
        <v>0.99068439948300002</v>
      </c>
      <c r="E22125">
        <v>8.2919999999999998</v>
      </c>
    </row>
    <row r="22126" spans="1:5">
      <c r="A22126" t="s">
        <v>47535</v>
      </c>
      <c r="B22126" t="s">
        <v>4671</v>
      </c>
      <c r="C22126">
        <f>0.263473111652</f>
        <v>0.26347311165199999</v>
      </c>
      <c r="D22126">
        <v>0.99068439948300002</v>
      </c>
      <c r="E22126">
        <v>8.2919999999999998</v>
      </c>
    </row>
    <row r="22127" spans="1:5">
      <c r="A22127" t="s">
        <v>47535</v>
      </c>
      <c r="B22127" t="s">
        <v>4680</v>
      </c>
      <c r="C22127">
        <v>0.44627057651500002</v>
      </c>
      <c r="D22127">
        <v>0.99068439948300002</v>
      </c>
      <c r="E22127">
        <v>8.2919999999999998</v>
      </c>
    </row>
    <row r="22128" spans="1:5">
      <c r="A22128" t="s">
        <v>47535</v>
      </c>
      <c r="B22128" t="s">
        <v>4676</v>
      </c>
      <c r="C22128">
        <f>-1.0302386102</f>
        <v>-1.0302386102000001</v>
      </c>
      <c r="D22128">
        <v>0.99068439948300002</v>
      </c>
      <c r="E22128">
        <v>8.2919999999999998</v>
      </c>
    </row>
    <row r="22129" spans="1:5">
      <c r="A22129" t="s">
        <v>47535</v>
      </c>
      <c r="B22129" t="s">
        <v>4670</v>
      </c>
      <c r="C22129">
        <v>0.39424897521399999</v>
      </c>
      <c r="D22129">
        <v>0.99068439948300002</v>
      </c>
      <c r="E22129">
        <v>8.2919999999999998</v>
      </c>
    </row>
    <row r="22130" spans="1:5">
      <c r="A22130" t="s">
        <v>47536</v>
      </c>
      <c r="B22130" t="s">
        <v>2789</v>
      </c>
      <c r="C22130">
        <v>0</v>
      </c>
      <c r="D22130">
        <v>0.99995049525500002</v>
      </c>
      <c r="E22130">
        <v>24</v>
      </c>
    </row>
    <row r="22131" spans="1:5">
      <c r="A22131" t="s">
        <v>47536</v>
      </c>
      <c r="B22131" t="s">
        <v>2795</v>
      </c>
      <c r="C22131">
        <f>0.506308395538</f>
        <v>0.506308395538</v>
      </c>
      <c r="D22131">
        <v>0.99995049525500002</v>
      </c>
      <c r="E22131">
        <v>24</v>
      </c>
    </row>
    <row r="22132" spans="1:5">
      <c r="A22132" t="s">
        <v>47536</v>
      </c>
      <c r="B22132" t="s">
        <v>2799</v>
      </c>
      <c r="C22132">
        <f>0.830936928562</f>
        <v>0.83093692856199997</v>
      </c>
      <c r="D22132">
        <v>0.99995049525500002</v>
      </c>
      <c r="E22132">
        <v>24</v>
      </c>
    </row>
    <row r="22133" spans="1:5">
      <c r="A22133" t="s">
        <v>47536</v>
      </c>
      <c r="B22133" t="s">
        <v>2800</v>
      </c>
      <c r="C22133">
        <v>0.14144640839399999</v>
      </c>
      <c r="D22133">
        <v>0.99995049525500002</v>
      </c>
      <c r="E22133">
        <v>24</v>
      </c>
    </row>
    <row r="22134" spans="1:5">
      <c r="A22134" t="s">
        <v>47536</v>
      </c>
      <c r="B22134" t="s">
        <v>2797</v>
      </c>
      <c r="C22134">
        <v>0.63714772534499997</v>
      </c>
      <c r="D22134">
        <v>0.99995049525500002</v>
      </c>
      <c r="E22134">
        <v>24</v>
      </c>
    </row>
    <row r="22135" spans="1:5">
      <c r="A22135" t="s">
        <v>47536</v>
      </c>
      <c r="B22135" t="s">
        <v>2790</v>
      </c>
      <c r="C22135">
        <f>0.349885390825</f>
        <v>0.34988539082499998</v>
      </c>
      <c r="D22135">
        <v>0.99995049525500002</v>
      </c>
      <c r="E22135">
        <v>24</v>
      </c>
    </row>
    <row r="22136" spans="1:5">
      <c r="A22136" t="s">
        <v>47536</v>
      </c>
      <c r="B22136" t="s">
        <v>2792</v>
      </c>
      <c r="C22136">
        <v>0.31462639554100003</v>
      </c>
      <c r="D22136">
        <v>0.99995049525500002</v>
      </c>
      <c r="E22136">
        <v>24</v>
      </c>
    </row>
    <row r="22137" spans="1:5">
      <c r="A22137" t="s">
        <v>47536</v>
      </c>
      <c r="B22137" t="s">
        <v>2791</v>
      </c>
      <c r="C22137">
        <v>1.9314305937199999E-2</v>
      </c>
      <c r="D22137">
        <v>0.99995049525500002</v>
      </c>
      <c r="E22137">
        <v>24</v>
      </c>
    </row>
    <row r="22138" spans="1:5">
      <c r="A22138" t="s">
        <v>47536</v>
      </c>
      <c r="B22138" t="s">
        <v>2793</v>
      </c>
      <c r="C22138">
        <v>0.43594270161199999</v>
      </c>
      <c r="D22138">
        <v>0.99995049525500002</v>
      </c>
      <c r="E22138">
        <v>24</v>
      </c>
    </row>
    <row r="22139" spans="1:5">
      <c r="A22139" t="s">
        <v>47537</v>
      </c>
      <c r="B22139" t="s">
        <v>17413</v>
      </c>
      <c r="C22139">
        <v>0.79092498076999995</v>
      </c>
      <c r="D22139">
        <v>0.98565510794</v>
      </c>
      <c r="E22139">
        <v>1.512</v>
      </c>
    </row>
    <row r="22140" spans="1:5">
      <c r="A22140" t="s">
        <v>47537</v>
      </c>
      <c r="B22140" t="s">
        <v>17417</v>
      </c>
      <c r="C22140">
        <v>0.135379501076</v>
      </c>
      <c r="D22140">
        <v>0.98565510794</v>
      </c>
      <c r="E22140">
        <v>1.512</v>
      </c>
    </row>
    <row r="22141" spans="1:5">
      <c r="A22141" t="s">
        <v>47537</v>
      </c>
      <c r="B22141" t="s">
        <v>17418</v>
      </c>
      <c r="C22141">
        <v>0.18000712003300001</v>
      </c>
      <c r="D22141">
        <v>0.98565510794</v>
      </c>
      <c r="E22141">
        <v>1.512</v>
      </c>
    </row>
    <row r="22142" spans="1:5">
      <c r="A22142" t="s">
        <v>47537</v>
      </c>
      <c r="B22142" t="s">
        <v>17419</v>
      </c>
      <c r="C22142">
        <v>0.34149706999599999</v>
      </c>
      <c r="D22142">
        <v>0.98565510794</v>
      </c>
      <c r="E22142">
        <v>1.512</v>
      </c>
    </row>
    <row r="22143" spans="1:5">
      <c r="A22143" t="s">
        <v>47538</v>
      </c>
      <c r="B22143" t="s">
        <v>12224</v>
      </c>
      <c r="C22143">
        <f>0</f>
        <v>0</v>
      </c>
      <c r="D22143">
        <v>0.59371982298100001</v>
      </c>
      <c r="E22143">
        <v>0.47399999999999998</v>
      </c>
    </row>
    <row r="22144" spans="1:5">
      <c r="A22144" t="s">
        <v>47538</v>
      </c>
      <c r="B22144" t="s">
        <v>12221</v>
      </c>
      <c r="C22144">
        <v>0</v>
      </c>
      <c r="D22144">
        <v>0.59371982298100001</v>
      </c>
      <c r="E22144">
        <v>0.47399999999999998</v>
      </c>
    </row>
    <row r="22145" spans="1:5">
      <c r="A22145" t="s">
        <v>47538</v>
      </c>
      <c r="B22145" t="s">
        <v>12226</v>
      </c>
      <c r="C22145">
        <v>0</v>
      </c>
      <c r="D22145">
        <v>0.59371982298100001</v>
      </c>
      <c r="E22145">
        <v>0.47399999999999998</v>
      </c>
    </row>
    <row r="22146" spans="1:5">
      <c r="A22146" t="s">
        <v>47538</v>
      </c>
      <c r="B22146" t="s">
        <v>12222</v>
      </c>
      <c r="C22146">
        <v>0</v>
      </c>
      <c r="D22146">
        <v>0.59371982298100001</v>
      </c>
      <c r="E22146">
        <v>0.47399999999999998</v>
      </c>
    </row>
    <row r="22147" spans="1:5">
      <c r="A22147" t="s">
        <v>47538</v>
      </c>
      <c r="B22147" t="s">
        <v>12220</v>
      </c>
      <c r="C22147">
        <v>0.28010982298100001</v>
      </c>
      <c r="D22147">
        <v>0.59371982298100001</v>
      </c>
      <c r="E22147">
        <v>0.47399999999999998</v>
      </c>
    </row>
    <row r="22148" spans="1:5">
      <c r="A22148" t="s">
        <v>47539</v>
      </c>
      <c r="B22148" t="s">
        <v>47540</v>
      </c>
      <c r="C22148">
        <f>0.410817546394</f>
        <v>0.41081754639399998</v>
      </c>
      <c r="D22148">
        <v>0.99992421142099996</v>
      </c>
      <c r="E22148">
        <v>2.88</v>
      </c>
    </row>
    <row r="22149" spans="1:5">
      <c r="A22149" t="s">
        <v>47539</v>
      </c>
      <c r="B22149" t="s">
        <v>47541</v>
      </c>
      <c r="C22149">
        <f>-1.39317057662</f>
        <v>-1.39317057662</v>
      </c>
      <c r="D22149">
        <v>0.99992421142099996</v>
      </c>
      <c r="E22149">
        <v>2.88</v>
      </c>
    </row>
    <row r="22150" spans="1:5">
      <c r="A22150" t="s">
        <v>47539</v>
      </c>
      <c r="B22150" t="s">
        <v>47542</v>
      </c>
      <c r="C22150">
        <f>0.632474154142</f>
        <v>0.63247415414200003</v>
      </c>
      <c r="D22150">
        <v>0.99992421142099996</v>
      </c>
      <c r="E22150">
        <v>2.88</v>
      </c>
    </row>
    <row r="22151" spans="1:5">
      <c r="A22151" t="s">
        <v>47539</v>
      </c>
      <c r="B22151" t="s">
        <v>47543</v>
      </c>
      <c r="C22151">
        <v>0.95394090900200001</v>
      </c>
      <c r="D22151">
        <v>0.99992421142099996</v>
      </c>
      <c r="E22151">
        <v>2.88</v>
      </c>
    </row>
    <row r="22152" spans="1:5">
      <c r="A22152" t="s">
        <v>47539</v>
      </c>
      <c r="B22152" t="s">
        <v>47544</v>
      </c>
      <c r="C22152">
        <v>0.156538597059</v>
      </c>
      <c r="D22152">
        <v>0.99992421142099996</v>
      </c>
      <c r="E22152">
        <v>2.88</v>
      </c>
    </row>
    <row r="22153" spans="1:5">
      <c r="A22153" t="s">
        <v>47539</v>
      </c>
      <c r="B22153" t="s">
        <v>47545</v>
      </c>
      <c r="C22153">
        <f>0.0532061073194</f>
        <v>5.3206107319400002E-2</v>
      </c>
      <c r="D22153">
        <v>0.99992421142099996</v>
      </c>
      <c r="E22153">
        <v>2.88</v>
      </c>
    </row>
    <row r="22154" spans="1:5">
      <c r="A22154" t="s">
        <v>47539</v>
      </c>
      <c r="B22154" t="s">
        <v>47546</v>
      </c>
      <c r="C22154">
        <v>0.84032265018999996</v>
      </c>
      <c r="D22154">
        <v>0.99992421142099996</v>
      </c>
      <c r="E22154">
        <v>2.88</v>
      </c>
    </row>
    <row r="22155" spans="1:5">
      <c r="A22155" t="s">
        <v>47547</v>
      </c>
      <c r="B22155" t="s">
        <v>12323</v>
      </c>
      <c r="C22155">
        <f>0</f>
        <v>0</v>
      </c>
      <c r="D22155">
        <v>0.77824145928900001</v>
      </c>
      <c r="E22155">
        <v>23.754000000000001</v>
      </c>
    </row>
    <row r="22156" spans="1:5">
      <c r="A22156" t="s">
        <v>47547</v>
      </c>
      <c r="B22156" t="s">
        <v>12322</v>
      </c>
      <c r="C22156">
        <v>0</v>
      </c>
      <c r="D22156">
        <v>0.77824145928900001</v>
      </c>
      <c r="E22156">
        <v>23.754000000000001</v>
      </c>
    </row>
    <row r="22157" spans="1:5">
      <c r="A22157" t="s">
        <v>47547</v>
      </c>
      <c r="B22157" t="s">
        <v>12328</v>
      </c>
      <c r="C22157">
        <v>0</v>
      </c>
      <c r="D22157">
        <v>0.77824145928900001</v>
      </c>
      <c r="E22157">
        <v>23.754000000000001</v>
      </c>
    </row>
    <row r="22158" spans="1:5">
      <c r="A22158" t="s">
        <v>47547</v>
      </c>
      <c r="B22158" t="s">
        <v>12325</v>
      </c>
      <c r="C22158">
        <v>0</v>
      </c>
      <c r="D22158">
        <v>0.77824145928900001</v>
      </c>
      <c r="E22158">
        <v>23.754000000000001</v>
      </c>
    </row>
    <row r="22159" spans="1:5">
      <c r="A22159" t="s">
        <v>47547</v>
      </c>
      <c r="B22159" t="s">
        <v>12326</v>
      </c>
      <c r="C22159">
        <v>0.13823145928899999</v>
      </c>
      <c r="D22159">
        <v>0.77824145928900001</v>
      </c>
      <c r="E22159">
        <v>23.754000000000001</v>
      </c>
    </row>
    <row r="22160" spans="1:5">
      <c r="A22160" t="s">
        <v>47548</v>
      </c>
      <c r="B22160" t="s">
        <v>47549</v>
      </c>
      <c r="C22160">
        <f>0.242186743774</f>
        <v>0.24218674377400001</v>
      </c>
      <c r="D22160">
        <v>0.80783729605099996</v>
      </c>
      <c r="E22160">
        <v>7.1999999999999995E-2</v>
      </c>
    </row>
    <row r="22161" spans="1:5">
      <c r="A22161" t="s">
        <v>47548</v>
      </c>
      <c r="B22161" t="s">
        <v>47550</v>
      </c>
      <c r="C22161">
        <v>0.63857549723100004</v>
      </c>
      <c r="D22161">
        <v>0.80783729605099996</v>
      </c>
      <c r="E22161">
        <v>7.1999999999999995E-2</v>
      </c>
    </row>
    <row r="22162" spans="1:5">
      <c r="A22162" t="s">
        <v>47551</v>
      </c>
      <c r="B22162" t="s">
        <v>28192</v>
      </c>
      <c r="C22162">
        <v>2.3772519915400001E-2</v>
      </c>
      <c r="D22162">
        <v>0.99810871748100005</v>
      </c>
      <c r="E22162">
        <v>24</v>
      </c>
    </row>
    <row r="22163" spans="1:5">
      <c r="A22163" t="s">
        <v>47551</v>
      </c>
      <c r="B22163" t="s">
        <v>28190</v>
      </c>
      <c r="C22163">
        <f>-3.11207645803</f>
        <v>-3.1120764580300002</v>
      </c>
      <c r="D22163">
        <v>0.99810871748100005</v>
      </c>
      <c r="E22163">
        <v>24</v>
      </c>
    </row>
    <row r="22164" spans="1:5">
      <c r="A22164" t="s">
        <v>47551</v>
      </c>
      <c r="B22164" t="s">
        <v>28193</v>
      </c>
      <c r="C22164">
        <v>1.85475149021</v>
      </c>
      <c r="D22164">
        <v>0.99810871748100005</v>
      </c>
      <c r="E22164">
        <v>24</v>
      </c>
    </row>
    <row r="22165" spans="1:5">
      <c r="A22165" t="s">
        <v>47551</v>
      </c>
      <c r="B22165" t="s">
        <v>28188</v>
      </c>
      <c r="C22165">
        <v>1.1377768372199999</v>
      </c>
      <c r="D22165">
        <v>0.99810871748100005</v>
      </c>
      <c r="E22165">
        <v>24</v>
      </c>
    </row>
    <row r="22166" spans="1:5">
      <c r="A22166" t="s">
        <v>47551</v>
      </c>
      <c r="B22166" t="s">
        <v>28195</v>
      </c>
      <c r="C22166">
        <f>0.0890206774049</f>
        <v>8.9020677404899995E-2</v>
      </c>
      <c r="D22166">
        <v>0.99810871748100005</v>
      </c>
      <c r="E22166">
        <v>24</v>
      </c>
    </row>
    <row r="22167" spans="1:5">
      <c r="A22167" t="s">
        <v>47551</v>
      </c>
      <c r="B22167" t="s">
        <v>28194</v>
      </c>
      <c r="C22167">
        <v>2.1215826036499998</v>
      </c>
      <c r="D22167">
        <v>0.99810871748100005</v>
      </c>
      <c r="E22167">
        <v>24</v>
      </c>
    </row>
    <row r="22168" spans="1:5">
      <c r="A22168" t="s">
        <v>47551</v>
      </c>
      <c r="B22168" t="s">
        <v>28191</v>
      </c>
      <c r="C22168">
        <f>0.215203720819</f>
        <v>0.21520372081899999</v>
      </c>
      <c r="D22168">
        <v>0.99810871748100005</v>
      </c>
      <c r="E22168">
        <v>24</v>
      </c>
    </row>
    <row r="22169" spans="1:5">
      <c r="A22169" t="s">
        <v>47552</v>
      </c>
      <c r="B22169" t="s">
        <v>47553</v>
      </c>
      <c r="C22169">
        <v>0</v>
      </c>
      <c r="D22169">
        <v>0.81505268726500002</v>
      </c>
      <c r="E22169">
        <v>1.512</v>
      </c>
    </row>
    <row r="22170" spans="1:5">
      <c r="A22170" t="s">
        <v>47552</v>
      </c>
      <c r="B22170" t="s">
        <v>47554</v>
      </c>
      <c r="C22170">
        <v>0.65504268726500003</v>
      </c>
      <c r="D22170">
        <v>0.81505268726500002</v>
      </c>
      <c r="E22170">
        <v>1.512</v>
      </c>
    </row>
    <row r="22171" spans="1:5">
      <c r="A22171" t="s">
        <v>47555</v>
      </c>
      <c r="B22171" t="s">
        <v>13461</v>
      </c>
      <c r="C22171">
        <v>0.19463777173800001</v>
      </c>
      <c r="D22171">
        <v>0.99994061567400006</v>
      </c>
      <c r="E22171">
        <v>4.9080000000000004</v>
      </c>
    </row>
    <row r="22172" spans="1:5">
      <c r="A22172" t="s">
        <v>47555</v>
      </c>
      <c r="B22172" t="s">
        <v>13471</v>
      </c>
      <c r="C22172">
        <f>0.0706825800605</f>
        <v>7.0682580060500003E-2</v>
      </c>
      <c r="D22172">
        <v>0.99994061567400006</v>
      </c>
      <c r="E22172">
        <v>4.9080000000000004</v>
      </c>
    </row>
    <row r="22173" spans="1:5">
      <c r="A22173" t="s">
        <v>47555</v>
      </c>
      <c r="B22173" t="s">
        <v>13468</v>
      </c>
      <c r="C22173">
        <f>0.798615241916</f>
        <v>0.79861524191599997</v>
      </c>
      <c r="D22173">
        <v>0.99994061567400006</v>
      </c>
      <c r="E22173">
        <v>4.9080000000000004</v>
      </c>
    </row>
    <row r="22174" spans="1:5">
      <c r="A22174" t="s">
        <v>47555</v>
      </c>
      <c r="B22174" t="s">
        <v>13474</v>
      </c>
      <c r="C22174">
        <v>1.33712350307E-2</v>
      </c>
      <c r="D22174">
        <v>0.99994061567400006</v>
      </c>
      <c r="E22174">
        <v>4.9080000000000004</v>
      </c>
    </row>
    <row r="22175" spans="1:5">
      <c r="A22175" t="s">
        <v>47555</v>
      </c>
      <c r="B22175" t="s">
        <v>13473</v>
      </c>
      <c r="C22175">
        <f>0.235854067462</f>
        <v>0.23585406746199999</v>
      </c>
      <c r="D22175">
        <v>0.99994061567400006</v>
      </c>
      <c r="E22175">
        <v>4.9080000000000004</v>
      </c>
    </row>
    <row r="22176" spans="1:5">
      <c r="A22176" t="s">
        <v>47555</v>
      </c>
      <c r="B22176" t="s">
        <v>13470</v>
      </c>
      <c r="C22176">
        <f>0.0218149787141</f>
        <v>2.18149787141E-2</v>
      </c>
      <c r="D22176">
        <v>0.99994061567400006</v>
      </c>
      <c r="E22176">
        <v>4.9080000000000004</v>
      </c>
    </row>
    <row r="22177" spans="1:5">
      <c r="A22177" t="s">
        <v>47555</v>
      </c>
      <c r="B22177" t="s">
        <v>13465</v>
      </c>
      <c r="C22177">
        <v>0.61271999497499996</v>
      </c>
      <c r="D22177">
        <v>0.99994061567400006</v>
      </c>
      <c r="E22177">
        <v>4.9080000000000004</v>
      </c>
    </row>
    <row r="22178" spans="1:5">
      <c r="A22178" t="s">
        <v>47555</v>
      </c>
      <c r="B22178" t="s">
        <v>13463</v>
      </c>
      <c r="C22178">
        <v>0.15429975617</v>
      </c>
      <c r="D22178">
        <v>0.99994061567400006</v>
      </c>
      <c r="E22178">
        <v>4.9080000000000004</v>
      </c>
    </row>
    <row r="22179" spans="1:5">
      <c r="A22179" t="s">
        <v>47555</v>
      </c>
      <c r="B22179" t="s">
        <v>13467</v>
      </c>
      <c r="C22179">
        <v>0.56679607075100003</v>
      </c>
      <c r="D22179">
        <v>0.99994061567400006</v>
      </c>
      <c r="E22179">
        <v>4.9080000000000004</v>
      </c>
    </row>
    <row r="22180" spans="1:5">
      <c r="A22180" t="s">
        <v>47556</v>
      </c>
      <c r="B22180" t="s">
        <v>4848</v>
      </c>
      <c r="C22180">
        <f>0</f>
        <v>0</v>
      </c>
      <c r="D22180" t="s">
        <v>106</v>
      </c>
      <c r="E22180">
        <v>24</v>
      </c>
    </row>
    <row r="22181" spans="1:5">
      <c r="A22181" t="s">
        <v>47556</v>
      </c>
      <c r="B22181" t="s">
        <v>4849</v>
      </c>
      <c r="C22181">
        <f>0</f>
        <v>0</v>
      </c>
      <c r="D22181" t="s">
        <v>106</v>
      </c>
      <c r="E22181">
        <v>24</v>
      </c>
    </row>
    <row r="22182" spans="1:5">
      <c r="A22182" t="s">
        <v>47556</v>
      </c>
      <c r="B22182" t="s">
        <v>4863</v>
      </c>
      <c r="C22182">
        <v>0</v>
      </c>
      <c r="D22182" t="s">
        <v>106</v>
      </c>
      <c r="E22182">
        <v>24</v>
      </c>
    </row>
    <row r="22183" spans="1:5">
      <c r="A22183" t="s">
        <v>47556</v>
      </c>
      <c r="B22183" t="s">
        <v>4854</v>
      </c>
      <c r="C22183">
        <v>0</v>
      </c>
      <c r="D22183" t="s">
        <v>106</v>
      </c>
      <c r="E22183">
        <v>24</v>
      </c>
    </row>
    <row r="22184" spans="1:5">
      <c r="A22184" t="s">
        <v>47557</v>
      </c>
      <c r="B22184" t="s">
        <v>3014</v>
      </c>
      <c r="C22184">
        <v>0</v>
      </c>
      <c r="D22184">
        <v>0.91314235505899999</v>
      </c>
      <c r="E22184">
        <v>0.82799999999999996</v>
      </c>
    </row>
    <row r="22185" spans="1:5">
      <c r="A22185" t="s">
        <v>47557</v>
      </c>
      <c r="B22185" t="s">
        <v>3024</v>
      </c>
      <c r="C22185">
        <v>0</v>
      </c>
      <c r="D22185">
        <v>0.91314235505899999</v>
      </c>
      <c r="E22185">
        <v>0.82799999999999996</v>
      </c>
    </row>
    <row r="22186" spans="1:5">
      <c r="A22186" t="s">
        <v>47557</v>
      </c>
      <c r="B22186" t="s">
        <v>3023</v>
      </c>
      <c r="C22186">
        <v>0.35795832086700002</v>
      </c>
      <c r="D22186">
        <v>0.91314235505899999</v>
      </c>
      <c r="E22186">
        <v>0.82799999999999996</v>
      </c>
    </row>
    <row r="22187" spans="1:5">
      <c r="A22187" t="s">
        <v>47557</v>
      </c>
      <c r="B22187" t="s">
        <v>3015</v>
      </c>
      <c r="C22187">
        <v>0</v>
      </c>
      <c r="D22187">
        <v>0.91314235505899999</v>
      </c>
      <c r="E22187">
        <v>0.82799999999999996</v>
      </c>
    </row>
    <row r="22188" spans="1:5">
      <c r="A22188" t="s">
        <v>47557</v>
      </c>
      <c r="B22188" t="s">
        <v>3038</v>
      </c>
      <c r="C22188">
        <f>0</f>
        <v>0</v>
      </c>
      <c r="D22188">
        <v>0.91314235505899999</v>
      </c>
      <c r="E22188">
        <v>0.82799999999999996</v>
      </c>
    </row>
    <row r="22189" spans="1:5">
      <c r="A22189" t="s">
        <v>47557</v>
      </c>
      <c r="B22189" t="s">
        <v>3035</v>
      </c>
      <c r="C22189">
        <f>0</f>
        <v>0</v>
      </c>
      <c r="D22189">
        <v>0.91314235505899999</v>
      </c>
      <c r="E22189">
        <v>0.82799999999999996</v>
      </c>
    </row>
    <row r="22190" spans="1:5">
      <c r="A22190" t="s">
        <v>47557</v>
      </c>
      <c r="B22190" t="s">
        <v>3026</v>
      </c>
      <c r="C22190">
        <f>0</f>
        <v>0</v>
      </c>
      <c r="D22190">
        <v>0.91314235505899999</v>
      </c>
      <c r="E22190">
        <v>0.82799999999999996</v>
      </c>
    </row>
    <row r="22191" spans="1:5">
      <c r="A22191" t="s">
        <v>47557</v>
      </c>
      <c r="B22191" t="s">
        <v>3030</v>
      </c>
      <c r="C22191">
        <f>0.205490672492</f>
        <v>0.20549067249200001</v>
      </c>
      <c r="D22191">
        <v>0.91314235505899999</v>
      </c>
      <c r="E22191">
        <v>0.82799999999999996</v>
      </c>
    </row>
    <row r="22192" spans="1:5">
      <c r="A22192" t="s">
        <v>47557</v>
      </c>
      <c r="B22192" t="s">
        <v>3025</v>
      </c>
      <c r="C22192">
        <v>0</v>
      </c>
      <c r="D22192">
        <v>0.91314235505899999</v>
      </c>
      <c r="E22192">
        <v>0.82799999999999996</v>
      </c>
    </row>
    <row r="22193" spans="1:5">
      <c r="A22193" t="s">
        <v>47557</v>
      </c>
      <c r="B22193" t="s">
        <v>3031</v>
      </c>
      <c r="C22193">
        <f>0</f>
        <v>0</v>
      </c>
      <c r="D22193">
        <v>0.91314235505899999</v>
      </c>
      <c r="E22193">
        <v>0.82799999999999996</v>
      </c>
    </row>
    <row r="22194" spans="1:5">
      <c r="A22194" t="s">
        <v>47557</v>
      </c>
      <c r="B22194" t="s">
        <v>3018</v>
      </c>
      <c r="C22194">
        <v>0.20599084530799999</v>
      </c>
      <c r="D22194">
        <v>0.91314235505899999</v>
      </c>
      <c r="E22194">
        <v>0.82799999999999996</v>
      </c>
    </row>
    <row r="22195" spans="1:5">
      <c r="A22195" t="s">
        <v>47557</v>
      </c>
      <c r="B22195" t="s">
        <v>3033</v>
      </c>
      <c r="C22195">
        <v>0</v>
      </c>
      <c r="D22195">
        <v>0.91314235505899999</v>
      </c>
      <c r="E22195">
        <v>0.82799999999999996</v>
      </c>
    </row>
    <row r="22196" spans="1:5">
      <c r="A22196" t="s">
        <v>47557</v>
      </c>
      <c r="B22196" t="s">
        <v>3021</v>
      </c>
      <c r="C22196">
        <f>0</f>
        <v>0</v>
      </c>
      <c r="D22196">
        <v>0.91314235505899999</v>
      </c>
      <c r="E22196">
        <v>0.82799999999999996</v>
      </c>
    </row>
    <row r="22197" spans="1:5">
      <c r="A22197" t="s">
        <v>47557</v>
      </c>
      <c r="B22197" t="s">
        <v>3019</v>
      </c>
      <c r="C22197">
        <f>0.0302281611312</f>
        <v>3.0228161131199999E-2</v>
      </c>
      <c r="D22197">
        <v>0.91314235505899999</v>
      </c>
      <c r="E22197">
        <v>0.82799999999999996</v>
      </c>
    </row>
    <row r="22198" spans="1:5">
      <c r="A22198" t="s">
        <v>47558</v>
      </c>
      <c r="B22198" t="s">
        <v>26321</v>
      </c>
      <c r="C22198">
        <f>0</f>
        <v>0</v>
      </c>
      <c r="D22198">
        <v>0.88613070559200002</v>
      </c>
      <c r="E22198">
        <v>2.1059999999999999</v>
      </c>
    </row>
    <row r="22199" spans="1:5">
      <c r="A22199" t="s">
        <v>47558</v>
      </c>
      <c r="B22199" t="s">
        <v>47559</v>
      </c>
      <c r="C22199">
        <f>0.356980242429</f>
        <v>0.35698024242900001</v>
      </c>
      <c r="D22199">
        <v>0.88613070559200002</v>
      </c>
      <c r="E22199">
        <v>2.1059999999999999</v>
      </c>
    </row>
    <row r="22200" spans="1:5">
      <c r="A22200" t="s">
        <v>47558</v>
      </c>
      <c r="B22200" t="s">
        <v>47560</v>
      </c>
      <c r="C22200">
        <f>0</f>
        <v>0</v>
      </c>
      <c r="D22200">
        <v>0.88613070559200002</v>
      </c>
      <c r="E22200">
        <v>2.1059999999999999</v>
      </c>
    </row>
    <row r="22201" spans="1:5">
      <c r="A22201" t="s">
        <v>47558</v>
      </c>
      <c r="B22201" t="s">
        <v>26336</v>
      </c>
      <c r="C22201">
        <v>0</v>
      </c>
      <c r="D22201">
        <v>0.88613070559200002</v>
      </c>
      <c r="E22201">
        <v>2.1059999999999999</v>
      </c>
    </row>
    <row r="22202" spans="1:5">
      <c r="A22202" t="s">
        <v>47558</v>
      </c>
      <c r="B22202" t="s">
        <v>26337</v>
      </c>
      <c r="C22202">
        <v>0</v>
      </c>
      <c r="D22202">
        <v>0.88613070559200002</v>
      </c>
      <c r="E22202">
        <v>2.1059999999999999</v>
      </c>
    </row>
    <row r="22203" spans="1:5">
      <c r="A22203" t="s">
        <v>47558</v>
      </c>
      <c r="B22203" t="s">
        <v>26339</v>
      </c>
      <c r="C22203">
        <f>0</f>
        <v>0</v>
      </c>
      <c r="D22203">
        <v>0.88613070559200002</v>
      </c>
      <c r="E22203">
        <v>2.1059999999999999</v>
      </c>
    </row>
    <row r="22204" spans="1:5">
      <c r="A22204" t="s">
        <v>47558</v>
      </c>
      <c r="B22204" t="s">
        <v>26330</v>
      </c>
      <c r="C22204">
        <v>0</v>
      </c>
      <c r="D22204">
        <v>0.88613070559200002</v>
      </c>
      <c r="E22204">
        <v>2.1059999999999999</v>
      </c>
    </row>
    <row r="22205" spans="1:5">
      <c r="A22205" t="s">
        <v>47558</v>
      </c>
      <c r="B22205" t="s">
        <v>26338</v>
      </c>
      <c r="C22205">
        <v>6.3493658644199993E-2</v>
      </c>
      <c r="D22205">
        <v>0.88613070559200002</v>
      </c>
      <c r="E22205">
        <v>2.1059999999999999</v>
      </c>
    </row>
    <row r="22206" spans="1:5">
      <c r="A22206" t="s">
        <v>47558</v>
      </c>
      <c r="B22206" t="s">
        <v>26326</v>
      </c>
      <c r="C22206">
        <v>0.31625190437400003</v>
      </c>
      <c r="D22206">
        <v>0.88613070559200002</v>
      </c>
      <c r="E22206">
        <v>2.1059999999999999</v>
      </c>
    </row>
    <row r="22207" spans="1:5">
      <c r="A22207" t="s">
        <v>47558</v>
      </c>
      <c r="B22207" t="s">
        <v>26328</v>
      </c>
      <c r="C22207">
        <f>0</f>
        <v>0</v>
      </c>
      <c r="D22207">
        <v>0.88613070559200002</v>
      </c>
      <c r="E22207">
        <v>2.1059999999999999</v>
      </c>
    </row>
    <row r="22208" spans="1:5">
      <c r="A22208" t="s">
        <v>47558</v>
      </c>
      <c r="B22208" t="s">
        <v>26329</v>
      </c>
      <c r="C22208">
        <v>0</v>
      </c>
      <c r="D22208">
        <v>0.88613070559200002</v>
      </c>
      <c r="E22208">
        <v>2.1059999999999999</v>
      </c>
    </row>
    <row r="22209" spans="1:5">
      <c r="A22209" t="s">
        <v>47558</v>
      </c>
      <c r="B22209" t="s">
        <v>47561</v>
      </c>
      <c r="C22209">
        <v>0</v>
      </c>
      <c r="D22209">
        <v>0.88613070559200002</v>
      </c>
      <c r="E22209">
        <v>2.1059999999999999</v>
      </c>
    </row>
    <row r="22210" spans="1:5">
      <c r="A22210" t="s">
        <v>47558</v>
      </c>
      <c r="B22210" t="s">
        <v>26334</v>
      </c>
      <c r="C22210">
        <v>0</v>
      </c>
      <c r="D22210">
        <v>0.88613070559200002</v>
      </c>
      <c r="E22210">
        <v>2.1059999999999999</v>
      </c>
    </row>
    <row r="22211" spans="1:5">
      <c r="A22211" t="s">
        <v>47558</v>
      </c>
      <c r="B22211" t="s">
        <v>26324</v>
      </c>
      <c r="C22211">
        <v>0</v>
      </c>
      <c r="D22211">
        <v>0.88613070559200002</v>
      </c>
      <c r="E22211">
        <v>2.1059999999999999</v>
      </c>
    </row>
    <row r="22212" spans="1:5">
      <c r="A22212" t="s">
        <v>47558</v>
      </c>
      <c r="B22212" t="s">
        <v>26323</v>
      </c>
      <c r="C22212">
        <v>0</v>
      </c>
      <c r="D22212">
        <v>0.88613070559200002</v>
      </c>
      <c r="E22212">
        <v>2.1059999999999999</v>
      </c>
    </row>
    <row r="22213" spans="1:5">
      <c r="A22213" t="s">
        <v>47562</v>
      </c>
      <c r="B22213" t="s">
        <v>47563</v>
      </c>
      <c r="C22213">
        <v>0</v>
      </c>
      <c r="D22213">
        <v>0.85798581553300002</v>
      </c>
      <c r="E22213">
        <v>0.13200000000000001</v>
      </c>
    </row>
    <row r="22214" spans="1:5">
      <c r="A22214" t="s">
        <v>47562</v>
      </c>
      <c r="B22214" t="s">
        <v>47564</v>
      </c>
      <c r="C22214">
        <v>0.69797581553300003</v>
      </c>
      <c r="D22214">
        <v>0.85798581553300002</v>
      </c>
      <c r="E22214">
        <v>0.13200000000000001</v>
      </c>
    </row>
    <row r="22215" spans="1:5">
      <c r="A22215" t="s">
        <v>47565</v>
      </c>
      <c r="B22215" t="s">
        <v>25950</v>
      </c>
      <c r="C22215">
        <v>0</v>
      </c>
      <c r="D22215" t="s">
        <v>106</v>
      </c>
      <c r="E22215">
        <v>24</v>
      </c>
    </row>
    <row r="22216" spans="1:5">
      <c r="A22216" t="s">
        <v>47565</v>
      </c>
      <c r="B22216" t="s">
        <v>25952</v>
      </c>
      <c r="C22216">
        <v>0</v>
      </c>
      <c r="D22216" t="s">
        <v>106</v>
      </c>
      <c r="E22216">
        <v>24</v>
      </c>
    </row>
    <row r="22217" spans="1:5">
      <c r="A22217" t="s">
        <v>47566</v>
      </c>
      <c r="B22217" t="s">
        <v>33604</v>
      </c>
      <c r="C22217">
        <v>1.0181652477600001</v>
      </c>
      <c r="D22217">
        <v>0.81839078886100003</v>
      </c>
      <c r="E22217">
        <v>0</v>
      </c>
    </row>
    <row r="22218" spans="1:5">
      <c r="A22218" t="s">
        <v>47566</v>
      </c>
      <c r="B22218" t="s">
        <v>33607</v>
      </c>
      <c r="C22218">
        <f>0.529800339282</f>
        <v>0.52980033928199999</v>
      </c>
      <c r="D22218">
        <v>0.81839078886100003</v>
      </c>
      <c r="E22218">
        <v>0</v>
      </c>
    </row>
    <row r="22219" spans="1:5">
      <c r="A22219" t="s">
        <v>47566</v>
      </c>
      <c r="B22219" t="s">
        <v>33601</v>
      </c>
      <c r="C22219">
        <v>0.43180224978600001</v>
      </c>
      <c r="D22219">
        <v>0.81839078886100003</v>
      </c>
      <c r="E22219">
        <v>0</v>
      </c>
    </row>
    <row r="22220" spans="1:5">
      <c r="A22220" t="s">
        <v>47567</v>
      </c>
      <c r="B22220" t="s">
        <v>33947</v>
      </c>
      <c r="C22220">
        <v>0.218700640659</v>
      </c>
      <c r="D22220">
        <v>0.68111064065899996</v>
      </c>
      <c r="E22220">
        <v>5.016</v>
      </c>
    </row>
    <row r="22221" spans="1:5">
      <c r="A22221" t="s">
        <v>47567</v>
      </c>
      <c r="B22221" t="s">
        <v>33952</v>
      </c>
      <c r="C22221">
        <f>0</f>
        <v>0</v>
      </c>
      <c r="D22221">
        <v>0.68111064065899996</v>
      </c>
      <c r="E22221">
        <v>5.016</v>
      </c>
    </row>
    <row r="22222" spans="1:5">
      <c r="A22222" t="s">
        <v>47567</v>
      </c>
      <c r="B22222" t="s">
        <v>33948</v>
      </c>
      <c r="C22222">
        <v>0</v>
      </c>
      <c r="D22222">
        <v>0.68111064065899996</v>
      </c>
      <c r="E22222">
        <v>5.016</v>
      </c>
    </row>
    <row r="22223" spans="1:5">
      <c r="A22223" t="s">
        <v>47567</v>
      </c>
      <c r="B22223" t="s">
        <v>33949</v>
      </c>
      <c r="C22223">
        <v>0</v>
      </c>
      <c r="D22223">
        <v>0.68111064065899996</v>
      </c>
      <c r="E22223">
        <v>5.016</v>
      </c>
    </row>
    <row r="22224" spans="1:5">
      <c r="A22224" t="s">
        <v>47567</v>
      </c>
      <c r="B22224" t="s">
        <v>33950</v>
      </c>
      <c r="C22224">
        <v>0</v>
      </c>
      <c r="D22224">
        <v>0.68111064065899996</v>
      </c>
      <c r="E22224">
        <v>5.016</v>
      </c>
    </row>
    <row r="22225" spans="1:5">
      <c r="A22225" t="s">
        <v>47568</v>
      </c>
      <c r="B22225" t="s">
        <v>33487</v>
      </c>
      <c r="C22225">
        <f>0</f>
        <v>0</v>
      </c>
      <c r="D22225" t="s">
        <v>106</v>
      </c>
      <c r="E22225">
        <v>23.754000000000001</v>
      </c>
    </row>
    <row r="22226" spans="1:5">
      <c r="A22226" t="s">
        <v>47568</v>
      </c>
      <c r="B22226" t="s">
        <v>33494</v>
      </c>
      <c r="C22226">
        <f>0</f>
        <v>0</v>
      </c>
      <c r="D22226" t="s">
        <v>106</v>
      </c>
      <c r="E22226">
        <v>23.754000000000001</v>
      </c>
    </row>
    <row r="22227" spans="1:5">
      <c r="A22227" t="s">
        <v>47568</v>
      </c>
      <c r="B22227" t="s">
        <v>33489</v>
      </c>
      <c r="C22227">
        <v>0</v>
      </c>
      <c r="D22227" t="s">
        <v>106</v>
      </c>
      <c r="E22227">
        <v>23.754000000000001</v>
      </c>
    </row>
    <row r="22228" spans="1:5">
      <c r="A22228" t="s">
        <v>47568</v>
      </c>
      <c r="B22228" t="s">
        <v>33488</v>
      </c>
      <c r="C22228">
        <v>0</v>
      </c>
      <c r="D22228" t="s">
        <v>106</v>
      </c>
      <c r="E22228">
        <v>23.754000000000001</v>
      </c>
    </row>
    <row r="22229" spans="1:5">
      <c r="A22229" t="s">
        <v>47569</v>
      </c>
      <c r="B22229" t="s">
        <v>47570</v>
      </c>
      <c r="C22229">
        <v>2.91554755902E-2</v>
      </c>
      <c r="D22229">
        <v>0.99998273434600005</v>
      </c>
      <c r="E22229">
        <v>4.0739999999999998</v>
      </c>
    </row>
    <row r="22230" spans="1:5">
      <c r="A22230" t="s">
        <v>47569</v>
      </c>
      <c r="B22230" t="s">
        <v>47571</v>
      </c>
      <c r="C22230">
        <f>0</f>
        <v>0</v>
      </c>
      <c r="D22230">
        <v>0.99998273434600005</v>
      </c>
      <c r="E22230">
        <v>4.0739999999999998</v>
      </c>
    </row>
    <row r="22231" spans="1:5">
      <c r="A22231" t="s">
        <v>47569</v>
      </c>
      <c r="B22231" t="s">
        <v>47572</v>
      </c>
      <c r="C22231">
        <f>0</f>
        <v>0</v>
      </c>
      <c r="D22231">
        <v>0.99998273434600005</v>
      </c>
      <c r="E22231">
        <v>4.0739999999999998</v>
      </c>
    </row>
    <row r="22232" spans="1:5">
      <c r="A22232" t="s">
        <v>47569</v>
      </c>
      <c r="B22232" t="s">
        <v>47573</v>
      </c>
      <c r="C22232">
        <v>0.33604299428599999</v>
      </c>
      <c r="D22232">
        <v>0.99998273434600005</v>
      </c>
      <c r="E22232">
        <v>4.0739999999999998</v>
      </c>
    </row>
    <row r="22233" spans="1:5">
      <c r="A22233" t="s">
        <v>47569</v>
      </c>
      <c r="B22233" t="s">
        <v>47574</v>
      </c>
      <c r="C22233">
        <v>0.26648933084400001</v>
      </c>
      <c r="D22233">
        <v>0.99998273434600005</v>
      </c>
      <c r="E22233">
        <v>4.0739999999999998</v>
      </c>
    </row>
    <row r="22234" spans="1:5">
      <c r="A22234" t="s">
        <v>47569</v>
      </c>
      <c r="B22234" t="s">
        <v>47575</v>
      </c>
      <c r="C22234">
        <f>0.104262569651</f>
        <v>0.104262569651</v>
      </c>
      <c r="D22234">
        <v>0.99998273434600005</v>
      </c>
      <c r="E22234">
        <v>4.0739999999999998</v>
      </c>
    </row>
    <row r="22235" spans="1:5">
      <c r="A22235" t="s">
        <v>47569</v>
      </c>
      <c r="B22235" t="s">
        <v>47576</v>
      </c>
      <c r="C22235">
        <v>0.72756878088200005</v>
      </c>
      <c r="D22235">
        <v>0.99998273434600005</v>
      </c>
      <c r="E22235">
        <v>4.0739999999999998</v>
      </c>
    </row>
    <row r="22236" spans="1:5">
      <c r="A22236" t="s">
        <v>47569</v>
      </c>
      <c r="B22236" t="s">
        <v>47577</v>
      </c>
      <c r="C22236">
        <f>-1.01276209546</f>
        <v>-1.0127620954600001</v>
      </c>
      <c r="D22236">
        <v>0.99998273434600005</v>
      </c>
      <c r="E22236">
        <v>4.0739999999999998</v>
      </c>
    </row>
    <row r="22237" spans="1:5">
      <c r="A22237" t="s">
        <v>47569</v>
      </c>
      <c r="B22237" t="s">
        <v>47578</v>
      </c>
      <c r="C22237">
        <f>0.234779343071</f>
        <v>0.23477934307100001</v>
      </c>
      <c r="D22237">
        <v>0.99998273434600005</v>
      </c>
      <c r="E22237">
        <v>4.0739999999999998</v>
      </c>
    </row>
    <row r="22238" spans="1:5">
      <c r="A22238" t="s">
        <v>47569</v>
      </c>
      <c r="B22238" t="s">
        <v>47579</v>
      </c>
      <c r="C22238">
        <v>0.52376189631299996</v>
      </c>
      <c r="D22238">
        <v>0.99998273434600005</v>
      </c>
      <c r="E22238">
        <v>4.0739999999999998</v>
      </c>
    </row>
    <row r="22239" spans="1:5">
      <c r="A22239" t="s">
        <v>47580</v>
      </c>
      <c r="B22239" t="s">
        <v>47581</v>
      </c>
      <c r="C22239">
        <f>0</f>
        <v>0</v>
      </c>
      <c r="D22239" t="s">
        <v>106</v>
      </c>
      <c r="E22239">
        <v>0.87</v>
      </c>
    </row>
    <row r="22240" spans="1:5">
      <c r="A22240" t="s">
        <v>47580</v>
      </c>
      <c r="B22240" t="s">
        <v>47582</v>
      </c>
      <c r="C22240">
        <v>0</v>
      </c>
      <c r="D22240" t="s">
        <v>106</v>
      </c>
      <c r="E22240">
        <v>0.87</v>
      </c>
    </row>
    <row r="22241" spans="1:5">
      <c r="A22241" t="s">
        <v>47580</v>
      </c>
      <c r="B22241" t="s">
        <v>47583</v>
      </c>
      <c r="C22241">
        <f>0</f>
        <v>0</v>
      </c>
      <c r="D22241" t="s">
        <v>106</v>
      </c>
      <c r="E22241">
        <v>0.87</v>
      </c>
    </row>
    <row r="22242" spans="1:5">
      <c r="A22242" t="s">
        <v>47580</v>
      </c>
      <c r="B22242" t="s">
        <v>47584</v>
      </c>
      <c r="C22242">
        <f>0</f>
        <v>0</v>
      </c>
      <c r="D22242" t="s">
        <v>106</v>
      </c>
      <c r="E22242">
        <v>0.87</v>
      </c>
    </row>
    <row r="22243" spans="1:5">
      <c r="A22243" t="s">
        <v>47580</v>
      </c>
      <c r="B22243" t="s">
        <v>47585</v>
      </c>
      <c r="C22243">
        <f>0</f>
        <v>0</v>
      </c>
      <c r="D22243" t="s">
        <v>106</v>
      </c>
      <c r="E22243">
        <v>0.87</v>
      </c>
    </row>
    <row r="22244" spans="1:5">
      <c r="A22244" t="s">
        <v>47580</v>
      </c>
      <c r="B22244" t="s">
        <v>47586</v>
      </c>
      <c r="C22244">
        <f>0</f>
        <v>0</v>
      </c>
      <c r="D22244" t="s">
        <v>106</v>
      </c>
      <c r="E22244">
        <v>0.87</v>
      </c>
    </row>
    <row r="22245" spans="1:5">
      <c r="A22245" t="s">
        <v>47580</v>
      </c>
      <c r="B22245" t="s">
        <v>47587</v>
      </c>
      <c r="C22245">
        <f>0</f>
        <v>0</v>
      </c>
      <c r="D22245" t="s">
        <v>106</v>
      </c>
      <c r="E22245">
        <v>0.87</v>
      </c>
    </row>
    <row r="22246" spans="1:5">
      <c r="A22246" t="s">
        <v>47588</v>
      </c>
      <c r="B22246" t="s">
        <v>24226</v>
      </c>
      <c r="C22246">
        <v>0.12048236943899999</v>
      </c>
      <c r="D22246">
        <v>0.48049236943899998</v>
      </c>
      <c r="E22246">
        <v>3.78</v>
      </c>
    </row>
    <row r="22247" spans="1:5">
      <c r="A22247" t="s">
        <v>47588</v>
      </c>
      <c r="B22247" t="s">
        <v>24225</v>
      </c>
      <c r="C22247">
        <v>0</v>
      </c>
      <c r="D22247">
        <v>0.48049236943899998</v>
      </c>
      <c r="E22247">
        <v>3.78</v>
      </c>
    </row>
    <row r="22248" spans="1:5">
      <c r="A22248" t="s">
        <v>47589</v>
      </c>
      <c r="B22248" t="s">
        <v>16946</v>
      </c>
      <c r="C22248">
        <f>0.815909959929</f>
        <v>0.81590995992899995</v>
      </c>
      <c r="D22248">
        <v>0.818626554319</v>
      </c>
      <c r="E22248">
        <v>23.754000000000001</v>
      </c>
    </row>
    <row r="22249" spans="1:5">
      <c r="A22249" t="s">
        <v>47589</v>
      </c>
      <c r="B22249" t="s">
        <v>16947</v>
      </c>
      <c r="C22249">
        <v>0.16325056293699999</v>
      </c>
      <c r="D22249">
        <v>0.818626554319</v>
      </c>
      <c r="E22249">
        <v>23.754000000000001</v>
      </c>
    </row>
    <row r="22250" spans="1:5">
      <c r="A22250" t="s">
        <v>47590</v>
      </c>
      <c r="B22250" t="s">
        <v>26187</v>
      </c>
      <c r="C22250">
        <v>0</v>
      </c>
      <c r="D22250" t="s">
        <v>106</v>
      </c>
      <c r="E22250">
        <v>3.4980000000000002</v>
      </c>
    </row>
    <row r="22251" spans="1:5">
      <c r="A22251" t="s">
        <v>47590</v>
      </c>
      <c r="B22251" t="s">
        <v>26189</v>
      </c>
      <c r="C22251">
        <v>0</v>
      </c>
      <c r="D22251" t="s">
        <v>106</v>
      </c>
      <c r="E22251">
        <v>3.4980000000000002</v>
      </c>
    </row>
    <row r="22252" spans="1:5">
      <c r="A22252" t="s">
        <v>47590</v>
      </c>
      <c r="B22252" t="s">
        <v>26185</v>
      </c>
      <c r="C22252">
        <v>0</v>
      </c>
      <c r="D22252" t="s">
        <v>106</v>
      </c>
      <c r="E22252">
        <v>3.4980000000000002</v>
      </c>
    </row>
    <row r="22253" spans="1:5">
      <c r="A22253" t="s">
        <v>47590</v>
      </c>
      <c r="B22253" t="s">
        <v>26191</v>
      </c>
      <c r="C22253">
        <v>0</v>
      </c>
      <c r="D22253" t="s">
        <v>106</v>
      </c>
      <c r="E22253">
        <v>3.4980000000000002</v>
      </c>
    </row>
    <row r="22254" spans="1:5">
      <c r="A22254" t="s">
        <v>47590</v>
      </c>
      <c r="B22254" t="s">
        <v>26186</v>
      </c>
      <c r="C22254">
        <v>0</v>
      </c>
      <c r="D22254" t="s">
        <v>106</v>
      </c>
      <c r="E22254">
        <v>3.4980000000000002</v>
      </c>
    </row>
    <row r="22255" spans="1:5">
      <c r="A22255" t="s">
        <v>47590</v>
      </c>
      <c r="B22255" t="s">
        <v>26194</v>
      </c>
      <c r="C22255">
        <v>0</v>
      </c>
      <c r="D22255" t="s">
        <v>106</v>
      </c>
      <c r="E22255">
        <v>3.4980000000000002</v>
      </c>
    </row>
    <row r="22256" spans="1:5">
      <c r="A22256" t="s">
        <v>47590</v>
      </c>
      <c r="B22256" t="s">
        <v>26188</v>
      </c>
      <c r="C22256">
        <v>0</v>
      </c>
      <c r="D22256" t="s">
        <v>106</v>
      </c>
      <c r="E22256">
        <v>3.4980000000000002</v>
      </c>
    </row>
    <row r="22257" spans="1:5">
      <c r="A22257" t="s">
        <v>47590</v>
      </c>
      <c r="B22257" t="s">
        <v>26184</v>
      </c>
      <c r="C22257">
        <v>0</v>
      </c>
      <c r="D22257" t="s">
        <v>106</v>
      </c>
      <c r="E22257">
        <v>3.4980000000000002</v>
      </c>
    </row>
    <row r="22258" spans="1:5">
      <c r="A22258" t="s">
        <v>47590</v>
      </c>
      <c r="B22258" t="s">
        <v>26183</v>
      </c>
      <c r="C22258">
        <v>0</v>
      </c>
      <c r="D22258" t="s">
        <v>106</v>
      </c>
      <c r="E22258">
        <v>3.4980000000000002</v>
      </c>
    </row>
    <row r="22259" spans="1:5">
      <c r="A22259" t="s">
        <v>47591</v>
      </c>
      <c r="B22259" t="s">
        <v>47592</v>
      </c>
      <c r="C22259">
        <v>0.101634814509</v>
      </c>
      <c r="D22259">
        <v>0.97934276470299997</v>
      </c>
      <c r="E22259">
        <v>17.928000000000001</v>
      </c>
    </row>
    <row r="22260" spans="1:5">
      <c r="A22260" t="s">
        <v>47591</v>
      </c>
      <c r="B22260" t="s">
        <v>47593</v>
      </c>
      <c r="C22260">
        <v>0.35286018952199999</v>
      </c>
      <c r="D22260">
        <v>0.97934276470299997</v>
      </c>
      <c r="E22260">
        <v>17.928000000000001</v>
      </c>
    </row>
    <row r="22261" spans="1:5">
      <c r="A22261" t="s">
        <v>47591</v>
      </c>
      <c r="B22261" t="s">
        <v>47594</v>
      </c>
      <c r="C22261">
        <f>0</f>
        <v>0</v>
      </c>
      <c r="D22261">
        <v>0.97934276470299997</v>
      </c>
      <c r="E22261">
        <v>17.928000000000001</v>
      </c>
    </row>
    <row r="22262" spans="1:5">
      <c r="A22262" t="s">
        <v>47591</v>
      </c>
      <c r="B22262" t="s">
        <v>47595</v>
      </c>
      <c r="C22262">
        <v>0.36576229527999998</v>
      </c>
      <c r="D22262">
        <v>0.97934276470299997</v>
      </c>
      <c r="E22262">
        <v>17.928000000000001</v>
      </c>
    </row>
    <row r="22263" spans="1:5">
      <c r="A22263" t="s">
        <v>47591</v>
      </c>
      <c r="B22263" t="s">
        <v>47596</v>
      </c>
      <c r="C22263">
        <v>0.61605318875299997</v>
      </c>
      <c r="D22263">
        <v>0.97934276470299997</v>
      </c>
      <c r="E22263">
        <v>17.928000000000001</v>
      </c>
    </row>
    <row r="22264" spans="1:5">
      <c r="A22264" t="s">
        <v>47597</v>
      </c>
      <c r="B22264" t="s">
        <v>47598</v>
      </c>
      <c r="C22264">
        <v>0.73443801981300005</v>
      </c>
      <c r="D22264">
        <v>0.65854302493700001</v>
      </c>
      <c r="E22264">
        <v>24</v>
      </c>
    </row>
    <row r="22265" spans="1:5">
      <c r="A22265" t="s">
        <v>47597</v>
      </c>
      <c r="B22265" t="s">
        <v>47599</v>
      </c>
      <c r="C22265">
        <v>0.77367511096300001</v>
      </c>
      <c r="D22265">
        <v>0.65854302493700001</v>
      </c>
      <c r="E22265">
        <v>24</v>
      </c>
    </row>
    <row r="22266" spans="1:5">
      <c r="A22266" t="s">
        <v>47600</v>
      </c>
      <c r="B22266" t="s">
        <v>20418</v>
      </c>
      <c r="C22266">
        <f>0</f>
        <v>0</v>
      </c>
      <c r="D22266">
        <v>0.99998072644299996</v>
      </c>
      <c r="E22266">
        <v>4.6920000000000002</v>
      </c>
    </row>
    <row r="22267" spans="1:5">
      <c r="A22267" t="s">
        <v>47600</v>
      </c>
      <c r="B22267" t="s">
        <v>20425</v>
      </c>
      <c r="C22267">
        <f>0</f>
        <v>0</v>
      </c>
      <c r="D22267">
        <v>0.99998072644299996</v>
      </c>
      <c r="E22267">
        <v>4.6920000000000002</v>
      </c>
    </row>
    <row r="22268" spans="1:5">
      <c r="A22268" t="s">
        <v>47600</v>
      </c>
      <c r="B22268" t="s">
        <v>20444</v>
      </c>
      <c r="C22268">
        <f>0</f>
        <v>0</v>
      </c>
      <c r="D22268">
        <v>0.99998072644299996</v>
      </c>
      <c r="E22268">
        <v>4.6920000000000002</v>
      </c>
    </row>
    <row r="22269" spans="1:5">
      <c r="A22269" t="s">
        <v>47600</v>
      </c>
      <c r="B22269" t="s">
        <v>20417</v>
      </c>
      <c r="C22269">
        <v>0</v>
      </c>
      <c r="D22269">
        <v>0.99998072644299996</v>
      </c>
      <c r="E22269">
        <v>4.6920000000000002</v>
      </c>
    </row>
    <row r="22270" spans="1:5">
      <c r="A22270" t="s">
        <v>47600</v>
      </c>
      <c r="B22270" t="s">
        <v>20443</v>
      </c>
      <c r="C22270">
        <f>0.0975937978861</f>
        <v>9.7593797886099995E-2</v>
      </c>
      <c r="D22270">
        <v>0.99998072644299996</v>
      </c>
      <c r="E22270">
        <v>4.6920000000000002</v>
      </c>
    </row>
    <row r="22271" spans="1:5">
      <c r="A22271" t="s">
        <v>47600</v>
      </c>
      <c r="B22271" t="s">
        <v>20439</v>
      </c>
      <c r="C22271">
        <v>0.30312799526599998</v>
      </c>
      <c r="D22271">
        <v>0.99998072644299996</v>
      </c>
      <c r="E22271">
        <v>4.6920000000000002</v>
      </c>
    </row>
    <row r="22272" spans="1:5">
      <c r="A22272" t="s">
        <v>47600</v>
      </c>
      <c r="B22272" t="s">
        <v>20430</v>
      </c>
      <c r="C22272">
        <v>8.5784083533299998E-3</v>
      </c>
      <c r="D22272">
        <v>0.99998072644299996</v>
      </c>
      <c r="E22272">
        <v>4.6920000000000002</v>
      </c>
    </row>
    <row r="22273" spans="1:5">
      <c r="A22273" t="s">
        <v>47600</v>
      </c>
      <c r="B22273" t="s">
        <v>20438</v>
      </c>
      <c r="C22273">
        <f>0</f>
        <v>0</v>
      </c>
      <c r="D22273">
        <v>0.99998072644299996</v>
      </c>
      <c r="E22273">
        <v>4.6920000000000002</v>
      </c>
    </row>
    <row r="22274" spans="1:5">
      <c r="A22274" t="s">
        <v>47600</v>
      </c>
      <c r="B22274" t="s">
        <v>20450</v>
      </c>
      <c r="C22274">
        <f>0</f>
        <v>0</v>
      </c>
      <c r="D22274">
        <v>0.99998072644299996</v>
      </c>
      <c r="E22274">
        <v>4.6920000000000002</v>
      </c>
    </row>
    <row r="22275" spans="1:5">
      <c r="A22275" t="s">
        <v>47600</v>
      </c>
      <c r="B22275" t="s">
        <v>20426</v>
      </c>
      <c r="C22275">
        <v>0</v>
      </c>
      <c r="D22275">
        <v>0.99998072644299996</v>
      </c>
      <c r="E22275">
        <v>4.6920000000000002</v>
      </c>
    </row>
    <row r="22276" spans="1:5">
      <c r="A22276" t="s">
        <v>47600</v>
      </c>
      <c r="B22276" t="s">
        <v>20447</v>
      </c>
      <c r="C22276">
        <f>0</f>
        <v>0</v>
      </c>
      <c r="D22276">
        <v>0.99998072644299996</v>
      </c>
      <c r="E22276">
        <v>4.6920000000000002</v>
      </c>
    </row>
    <row r="22277" spans="1:5">
      <c r="A22277" t="s">
        <v>47600</v>
      </c>
      <c r="B22277" t="s">
        <v>20427</v>
      </c>
      <c r="C22277">
        <v>0</v>
      </c>
      <c r="D22277">
        <v>0.99998072644299996</v>
      </c>
      <c r="E22277">
        <v>4.6920000000000002</v>
      </c>
    </row>
    <row r="22278" spans="1:5">
      <c r="A22278" t="s">
        <v>47600</v>
      </c>
      <c r="B22278" t="s">
        <v>20428</v>
      </c>
      <c r="C22278">
        <v>0</v>
      </c>
      <c r="D22278">
        <v>0.99998072644299996</v>
      </c>
      <c r="E22278">
        <v>4.6920000000000002</v>
      </c>
    </row>
    <row r="22279" spans="1:5">
      <c r="A22279" t="s">
        <v>47600</v>
      </c>
      <c r="B22279" t="s">
        <v>20445</v>
      </c>
      <c r="C22279">
        <v>0</v>
      </c>
      <c r="D22279">
        <v>0.99998072644299996</v>
      </c>
      <c r="E22279">
        <v>4.6920000000000002</v>
      </c>
    </row>
    <row r="22280" spans="1:5">
      <c r="A22280" t="s">
        <v>47600</v>
      </c>
      <c r="B22280" t="s">
        <v>20422</v>
      </c>
      <c r="C22280">
        <v>0</v>
      </c>
      <c r="D22280">
        <v>0.99998072644299996</v>
      </c>
      <c r="E22280">
        <v>4.6920000000000002</v>
      </c>
    </row>
    <row r="22281" spans="1:5">
      <c r="A22281" t="s">
        <v>47600</v>
      </c>
      <c r="B22281" t="s">
        <v>20442</v>
      </c>
      <c r="C22281">
        <f>0</f>
        <v>0</v>
      </c>
      <c r="D22281">
        <v>0.99998072644299996</v>
      </c>
      <c r="E22281">
        <v>4.6920000000000002</v>
      </c>
    </row>
    <row r="22282" spans="1:5">
      <c r="A22282" t="s">
        <v>47600</v>
      </c>
      <c r="B22282" t="s">
        <v>20421</v>
      </c>
      <c r="C22282">
        <f>0</f>
        <v>0</v>
      </c>
      <c r="D22282">
        <v>0.99998072644299996</v>
      </c>
      <c r="E22282">
        <v>4.6920000000000002</v>
      </c>
    </row>
    <row r="22283" spans="1:5">
      <c r="A22283" t="s">
        <v>47600</v>
      </c>
      <c r="B22283" t="s">
        <v>47601</v>
      </c>
      <c r="C22283">
        <v>0</v>
      </c>
      <c r="D22283">
        <v>0.99998072644299996</v>
      </c>
      <c r="E22283">
        <v>4.6920000000000002</v>
      </c>
    </row>
    <row r="22284" spans="1:5">
      <c r="A22284" t="s">
        <v>47600</v>
      </c>
      <c r="B22284" t="s">
        <v>47602</v>
      </c>
      <c r="C22284">
        <f>0</f>
        <v>0</v>
      </c>
      <c r="D22284">
        <v>0.99998072644299996</v>
      </c>
      <c r="E22284">
        <v>4.6920000000000002</v>
      </c>
    </row>
    <row r="22285" spans="1:5">
      <c r="A22285" t="s">
        <v>47600</v>
      </c>
      <c r="B22285" t="s">
        <v>47603</v>
      </c>
      <c r="C22285">
        <f>0</f>
        <v>0</v>
      </c>
      <c r="D22285">
        <v>0.99998072644299996</v>
      </c>
      <c r="E22285">
        <v>4.6920000000000002</v>
      </c>
    </row>
    <row r="22286" spans="1:5">
      <c r="A22286" t="s">
        <v>47600</v>
      </c>
      <c r="B22286" t="s">
        <v>47604</v>
      </c>
      <c r="C22286">
        <v>2.8761918141100001E-2</v>
      </c>
      <c r="D22286">
        <v>0.99998072644299996</v>
      </c>
      <c r="E22286">
        <v>4.6920000000000002</v>
      </c>
    </row>
    <row r="22287" spans="1:5">
      <c r="A22287" t="s">
        <v>47600</v>
      </c>
      <c r="B22287" t="s">
        <v>47605</v>
      </c>
      <c r="C22287">
        <v>0.30993403580599999</v>
      </c>
      <c r="D22287">
        <v>0.99998072644299996</v>
      </c>
      <c r="E22287">
        <v>4.6920000000000002</v>
      </c>
    </row>
    <row r="22288" spans="1:5">
      <c r="A22288" t="s">
        <v>47600</v>
      </c>
      <c r="B22288" t="s">
        <v>47606</v>
      </c>
      <c r="C22288">
        <v>0</v>
      </c>
      <c r="D22288">
        <v>0.99998072644299996</v>
      </c>
      <c r="E22288">
        <v>4.6920000000000002</v>
      </c>
    </row>
    <row r="22289" spans="1:5">
      <c r="A22289" t="s">
        <v>47600</v>
      </c>
      <c r="B22289" t="s">
        <v>47607</v>
      </c>
      <c r="C22289">
        <v>0</v>
      </c>
      <c r="D22289">
        <v>0.99998072644299996</v>
      </c>
      <c r="E22289">
        <v>4.6920000000000002</v>
      </c>
    </row>
    <row r="22290" spans="1:5">
      <c r="A22290" t="s">
        <v>47600</v>
      </c>
      <c r="B22290" t="s">
        <v>47608</v>
      </c>
      <c r="C22290">
        <f>0</f>
        <v>0</v>
      </c>
      <c r="D22290">
        <v>0.99998072644299996</v>
      </c>
      <c r="E22290">
        <v>4.6920000000000002</v>
      </c>
    </row>
    <row r="22291" spans="1:5">
      <c r="A22291" t="s">
        <v>47600</v>
      </c>
      <c r="B22291" t="s">
        <v>47609</v>
      </c>
      <c r="C22291">
        <v>0</v>
      </c>
      <c r="D22291">
        <v>0.99998072644299996</v>
      </c>
      <c r="E22291">
        <v>4.6920000000000002</v>
      </c>
    </row>
    <row r="22292" spans="1:5">
      <c r="A22292" t="s">
        <v>47600</v>
      </c>
      <c r="B22292" t="s">
        <v>47610</v>
      </c>
      <c r="C22292">
        <v>0</v>
      </c>
      <c r="D22292">
        <v>0.99998072644299996</v>
      </c>
      <c r="E22292">
        <v>4.6920000000000002</v>
      </c>
    </row>
    <row r="22293" spans="1:5">
      <c r="A22293" t="s">
        <v>47600</v>
      </c>
      <c r="B22293" t="s">
        <v>47611</v>
      </c>
      <c r="C22293">
        <f>0</f>
        <v>0</v>
      </c>
      <c r="D22293">
        <v>0.99998072644299996</v>
      </c>
      <c r="E22293">
        <v>4.6920000000000002</v>
      </c>
    </row>
    <row r="22294" spans="1:5">
      <c r="A22294" t="s">
        <v>47600</v>
      </c>
      <c r="B22294" t="s">
        <v>47612</v>
      </c>
      <c r="C22294">
        <v>0</v>
      </c>
      <c r="D22294">
        <v>0.99998072644299996</v>
      </c>
      <c r="E22294">
        <v>4.6920000000000002</v>
      </c>
    </row>
    <row r="22295" spans="1:5">
      <c r="A22295" t="s">
        <v>47600</v>
      </c>
      <c r="B22295" t="s">
        <v>47613</v>
      </c>
      <c r="C22295">
        <v>0</v>
      </c>
      <c r="D22295">
        <v>0.99998072644299996</v>
      </c>
      <c r="E22295">
        <v>4.6920000000000002</v>
      </c>
    </row>
    <row r="22296" spans="1:5">
      <c r="A22296" t="s">
        <v>47600</v>
      </c>
      <c r="B22296" t="s">
        <v>47614</v>
      </c>
      <c r="C22296">
        <f>0</f>
        <v>0</v>
      </c>
      <c r="D22296">
        <v>0.99998072644299996</v>
      </c>
      <c r="E22296">
        <v>4.6920000000000002</v>
      </c>
    </row>
    <row r="22297" spans="1:5">
      <c r="A22297" t="s">
        <v>47600</v>
      </c>
      <c r="B22297" t="s">
        <v>47615</v>
      </c>
      <c r="C22297">
        <f>0</f>
        <v>0</v>
      </c>
      <c r="D22297">
        <v>0.99998072644299996</v>
      </c>
      <c r="E22297">
        <v>4.6920000000000002</v>
      </c>
    </row>
    <row r="22298" spans="1:5">
      <c r="A22298" t="s">
        <v>47600</v>
      </c>
      <c r="B22298" t="s">
        <v>47616</v>
      </c>
      <c r="C22298">
        <f>0</f>
        <v>0</v>
      </c>
      <c r="D22298">
        <v>0.99998072644299996</v>
      </c>
      <c r="E22298">
        <v>4.6920000000000002</v>
      </c>
    </row>
    <row r="22299" spans="1:5">
      <c r="A22299" t="s">
        <v>47600</v>
      </c>
      <c r="B22299" t="s">
        <v>47617</v>
      </c>
      <c r="C22299">
        <v>0</v>
      </c>
      <c r="D22299">
        <v>0.99998072644299996</v>
      </c>
      <c r="E22299">
        <v>4.6920000000000002</v>
      </c>
    </row>
    <row r="22300" spans="1:5">
      <c r="A22300" t="s">
        <v>47600</v>
      </c>
      <c r="B22300" t="s">
        <v>20416</v>
      </c>
      <c r="C22300">
        <f>0.297400753035</f>
        <v>0.29740075303500002</v>
      </c>
      <c r="D22300">
        <v>0.99998072644299996</v>
      </c>
      <c r="E22300">
        <v>4.6920000000000002</v>
      </c>
    </row>
    <row r="22301" spans="1:5">
      <c r="A22301" t="s">
        <v>47600</v>
      </c>
      <c r="B22301" t="s">
        <v>20419</v>
      </c>
      <c r="C22301">
        <f>0</f>
        <v>0</v>
      </c>
      <c r="D22301">
        <v>0.99998072644299996</v>
      </c>
      <c r="E22301">
        <v>4.6920000000000002</v>
      </c>
    </row>
    <row r="22302" spans="1:5">
      <c r="A22302" t="s">
        <v>47600</v>
      </c>
      <c r="B22302" t="s">
        <v>20437</v>
      </c>
      <c r="C22302">
        <f>0</f>
        <v>0</v>
      </c>
      <c r="D22302">
        <v>0.99998072644299996</v>
      </c>
      <c r="E22302">
        <v>4.6920000000000002</v>
      </c>
    </row>
    <row r="22303" spans="1:5">
      <c r="A22303" t="s">
        <v>47600</v>
      </c>
      <c r="B22303" t="s">
        <v>20452</v>
      </c>
      <c r="C22303">
        <f>0</f>
        <v>0</v>
      </c>
      <c r="D22303">
        <v>0.99998072644299996</v>
      </c>
      <c r="E22303">
        <v>4.6920000000000002</v>
      </c>
    </row>
    <row r="22304" spans="1:5">
      <c r="A22304" t="s">
        <v>47600</v>
      </c>
      <c r="B22304" t="s">
        <v>20454</v>
      </c>
      <c r="C22304">
        <v>0</v>
      </c>
      <c r="D22304">
        <v>0.99998072644299996</v>
      </c>
      <c r="E22304">
        <v>4.6920000000000002</v>
      </c>
    </row>
    <row r="22305" spans="1:5">
      <c r="A22305" t="s">
        <v>47600</v>
      </c>
      <c r="B22305" t="s">
        <v>20453</v>
      </c>
      <c r="C22305">
        <f>0</f>
        <v>0</v>
      </c>
      <c r="D22305">
        <v>0.99998072644299996</v>
      </c>
      <c r="E22305">
        <v>4.6920000000000002</v>
      </c>
    </row>
    <row r="22306" spans="1:5">
      <c r="A22306" t="s">
        <v>47600</v>
      </c>
      <c r="B22306" t="s">
        <v>20446</v>
      </c>
      <c r="C22306">
        <f>0.383148262222</f>
        <v>0.38314826222199999</v>
      </c>
      <c r="D22306">
        <v>0.99998072644299996</v>
      </c>
      <c r="E22306">
        <v>4.6920000000000002</v>
      </c>
    </row>
    <row r="22307" spans="1:5">
      <c r="A22307" t="s">
        <v>47600</v>
      </c>
      <c r="B22307" t="s">
        <v>20441</v>
      </c>
      <c r="C22307">
        <f>0.135181365713</f>
        <v>0.13518136571299999</v>
      </c>
      <c r="D22307">
        <v>0.99998072644299996</v>
      </c>
      <c r="E22307">
        <v>4.6920000000000002</v>
      </c>
    </row>
    <row r="22308" spans="1:5">
      <c r="A22308" t="s">
        <v>47600</v>
      </c>
      <c r="B22308" t="s">
        <v>20432</v>
      </c>
      <c r="C22308">
        <f>0</f>
        <v>0</v>
      </c>
      <c r="D22308">
        <v>0.99998072644299996</v>
      </c>
      <c r="E22308">
        <v>4.6920000000000002</v>
      </c>
    </row>
    <row r="22309" spans="1:5">
      <c r="A22309" t="s">
        <v>47600</v>
      </c>
      <c r="B22309" t="s">
        <v>20424</v>
      </c>
      <c r="C22309">
        <v>0</v>
      </c>
      <c r="D22309">
        <v>0.99998072644299996</v>
      </c>
      <c r="E22309">
        <v>4.6920000000000002</v>
      </c>
    </row>
    <row r="22310" spans="1:5">
      <c r="A22310" t="s">
        <v>47600</v>
      </c>
      <c r="B22310" t="s">
        <v>20434</v>
      </c>
      <c r="C22310">
        <v>0</v>
      </c>
      <c r="D22310">
        <v>0.99998072644299996</v>
      </c>
      <c r="E22310">
        <v>4.6920000000000002</v>
      </c>
    </row>
    <row r="22311" spans="1:5">
      <c r="A22311" t="s">
        <v>47600</v>
      </c>
      <c r="B22311" t="s">
        <v>20429</v>
      </c>
      <c r="C22311">
        <v>0</v>
      </c>
      <c r="D22311">
        <v>0.99998072644299996</v>
      </c>
      <c r="E22311">
        <v>4.6920000000000002</v>
      </c>
    </row>
    <row r="22312" spans="1:5">
      <c r="A22312" t="s">
        <v>47600</v>
      </c>
      <c r="B22312" t="s">
        <v>20455</v>
      </c>
      <c r="C22312">
        <f>0</f>
        <v>0</v>
      </c>
      <c r="D22312">
        <v>0.99998072644299996</v>
      </c>
      <c r="E22312">
        <v>4.6920000000000002</v>
      </c>
    </row>
    <row r="22313" spans="1:5">
      <c r="A22313" t="s">
        <v>47618</v>
      </c>
      <c r="B22313" t="s">
        <v>682</v>
      </c>
      <c r="C22313">
        <v>0.57670044925999997</v>
      </c>
      <c r="D22313">
        <v>0.87545598005799996</v>
      </c>
      <c r="E22313">
        <v>0.87</v>
      </c>
    </row>
    <row r="22314" spans="1:5">
      <c r="A22314" t="s">
        <v>47618</v>
      </c>
      <c r="B22314" t="s">
        <v>683</v>
      </c>
      <c r="C22314">
        <v>9.9119999302799994E-2</v>
      </c>
      <c r="D22314">
        <v>0.87545598005799996</v>
      </c>
      <c r="E22314">
        <v>0.87</v>
      </c>
    </row>
    <row r="22315" spans="1:5">
      <c r="A22315" t="s">
        <v>47618</v>
      </c>
      <c r="B22315" t="s">
        <v>685</v>
      </c>
      <c r="C22315">
        <f>0.995042722269</f>
        <v>0.99504272226900004</v>
      </c>
      <c r="D22315">
        <v>0.87545598005799996</v>
      </c>
      <c r="E22315">
        <v>0.87</v>
      </c>
    </row>
    <row r="22316" spans="1:5">
      <c r="A22316" t="s">
        <v>47619</v>
      </c>
      <c r="B22316" t="s">
        <v>28326</v>
      </c>
      <c r="C22316">
        <f>0.795349839871</f>
        <v>0.79534983987100005</v>
      </c>
      <c r="D22316">
        <v>0.87298522443000004</v>
      </c>
      <c r="E22316">
        <v>23.754000000000001</v>
      </c>
    </row>
    <row r="22317" spans="1:5">
      <c r="A22317" t="s">
        <v>47619</v>
      </c>
      <c r="B22317" t="s">
        <v>28325</v>
      </c>
      <c r="C22317">
        <v>6.7897336534600006E-2</v>
      </c>
      <c r="D22317">
        <v>0.87298522443000004</v>
      </c>
      <c r="E22317">
        <v>23.754000000000001</v>
      </c>
    </row>
    <row r="22318" spans="1:5">
      <c r="A22318" t="s">
        <v>47619</v>
      </c>
      <c r="B22318" t="s">
        <v>28328</v>
      </c>
      <c r="C22318">
        <v>0.80820363103299997</v>
      </c>
      <c r="D22318">
        <v>0.87298522443000004</v>
      </c>
      <c r="E22318">
        <v>23.754000000000001</v>
      </c>
    </row>
    <row r="22319" spans="1:5">
      <c r="A22319" t="s">
        <v>47620</v>
      </c>
      <c r="B22319" t="s">
        <v>27842</v>
      </c>
      <c r="C22319">
        <f>0</f>
        <v>0</v>
      </c>
      <c r="D22319">
        <v>0.97039630712799996</v>
      </c>
      <c r="E22319">
        <v>14.747999999999999</v>
      </c>
    </row>
    <row r="22320" spans="1:5">
      <c r="A22320" t="s">
        <v>47620</v>
      </c>
      <c r="B22320" t="s">
        <v>27841</v>
      </c>
      <c r="C22320">
        <v>0.57563284676199999</v>
      </c>
      <c r="D22320">
        <v>0.97039630712799996</v>
      </c>
      <c r="E22320">
        <v>14.747999999999999</v>
      </c>
    </row>
    <row r="22321" spans="1:5">
      <c r="A22321" t="s">
        <v>47620</v>
      </c>
      <c r="B22321" t="s">
        <v>27843</v>
      </c>
      <c r="C22321">
        <v>0.42187574755200002</v>
      </c>
      <c r="D22321">
        <v>0.97039630712799996</v>
      </c>
      <c r="E22321">
        <v>14.747999999999999</v>
      </c>
    </row>
    <row r="22322" spans="1:5">
      <c r="A22322" t="s">
        <v>47621</v>
      </c>
      <c r="B22322" t="s">
        <v>47622</v>
      </c>
      <c r="C22322">
        <f>0</f>
        <v>0</v>
      </c>
      <c r="D22322" t="s">
        <v>106</v>
      </c>
      <c r="E22322">
        <v>0.26400000000000001</v>
      </c>
    </row>
    <row r="22323" spans="1:5">
      <c r="A22323" t="s">
        <v>47621</v>
      </c>
      <c r="B22323" t="s">
        <v>47623</v>
      </c>
      <c r="C22323">
        <f>0</f>
        <v>0</v>
      </c>
      <c r="D22323" t="s">
        <v>106</v>
      </c>
      <c r="E22323">
        <v>0.26400000000000001</v>
      </c>
    </row>
    <row r="22324" spans="1:5">
      <c r="A22324" t="s">
        <v>47621</v>
      </c>
      <c r="B22324" t="s">
        <v>47624</v>
      </c>
      <c r="C22324">
        <f>0</f>
        <v>0</v>
      </c>
      <c r="D22324" t="s">
        <v>106</v>
      </c>
      <c r="E22324">
        <v>0.26400000000000001</v>
      </c>
    </row>
    <row r="22325" spans="1:5">
      <c r="A22325" t="s">
        <v>47621</v>
      </c>
      <c r="B22325" t="s">
        <v>47625</v>
      </c>
      <c r="C22325">
        <f>0</f>
        <v>0</v>
      </c>
      <c r="D22325" t="s">
        <v>106</v>
      </c>
      <c r="E22325">
        <v>0.26400000000000001</v>
      </c>
    </row>
    <row r="22326" spans="1:5">
      <c r="A22326" t="s">
        <v>47626</v>
      </c>
      <c r="B22326" t="s">
        <v>47627</v>
      </c>
      <c r="C22326">
        <f>0</f>
        <v>0</v>
      </c>
      <c r="D22326" t="s">
        <v>106</v>
      </c>
      <c r="E22326">
        <v>14.183999999999999</v>
      </c>
    </row>
    <row r="22327" spans="1:5">
      <c r="A22327" t="s">
        <v>47626</v>
      </c>
      <c r="B22327" t="s">
        <v>47628</v>
      </c>
      <c r="C22327">
        <f>0</f>
        <v>0</v>
      </c>
      <c r="D22327" t="s">
        <v>106</v>
      </c>
      <c r="E22327">
        <v>14.183999999999999</v>
      </c>
    </row>
    <row r="22328" spans="1:5">
      <c r="A22328" t="s">
        <v>47626</v>
      </c>
      <c r="B22328" t="s">
        <v>47629</v>
      </c>
      <c r="C22328">
        <f>0</f>
        <v>0</v>
      </c>
      <c r="D22328" t="s">
        <v>106</v>
      </c>
      <c r="E22328">
        <v>14.183999999999999</v>
      </c>
    </row>
    <row r="22329" spans="1:5">
      <c r="A22329" t="s">
        <v>47626</v>
      </c>
      <c r="B22329" t="s">
        <v>47630</v>
      </c>
      <c r="C22329">
        <f>0</f>
        <v>0</v>
      </c>
      <c r="D22329" t="s">
        <v>106</v>
      </c>
      <c r="E22329">
        <v>14.183999999999999</v>
      </c>
    </row>
    <row r="22330" spans="1:5">
      <c r="A22330" t="s">
        <v>47626</v>
      </c>
      <c r="B22330" t="s">
        <v>47631</v>
      </c>
      <c r="C22330">
        <f>0</f>
        <v>0</v>
      </c>
      <c r="D22330" t="s">
        <v>106</v>
      </c>
      <c r="E22330">
        <v>14.183999999999999</v>
      </c>
    </row>
    <row r="22331" spans="1:5">
      <c r="A22331" t="s">
        <v>47626</v>
      </c>
      <c r="B22331" t="s">
        <v>47632</v>
      </c>
      <c r="C22331">
        <v>0</v>
      </c>
      <c r="D22331" t="s">
        <v>106</v>
      </c>
      <c r="E22331">
        <v>14.183999999999999</v>
      </c>
    </row>
    <row r="22332" spans="1:5">
      <c r="A22332" t="s">
        <v>47633</v>
      </c>
      <c r="B22332" t="s">
        <v>12706</v>
      </c>
      <c r="C22332">
        <f>0</f>
        <v>0</v>
      </c>
      <c r="D22332">
        <v>0.61295040368700004</v>
      </c>
      <c r="E22332">
        <v>1.83</v>
      </c>
    </row>
    <row r="22333" spans="1:5">
      <c r="A22333" t="s">
        <v>47633</v>
      </c>
      <c r="B22333" t="s">
        <v>12708</v>
      </c>
      <c r="C22333">
        <v>0.38254040368699999</v>
      </c>
      <c r="D22333">
        <v>0.61295040368700004</v>
      </c>
      <c r="E22333">
        <v>1.83</v>
      </c>
    </row>
    <row r="22334" spans="1:5">
      <c r="A22334" t="s">
        <v>47634</v>
      </c>
      <c r="B22334" t="s">
        <v>12742</v>
      </c>
      <c r="C22334">
        <f>0.404668556465</f>
        <v>0.404668556465</v>
      </c>
      <c r="D22334">
        <v>0.99652841337300002</v>
      </c>
      <c r="E22334">
        <v>10.08</v>
      </c>
    </row>
    <row r="22335" spans="1:5">
      <c r="A22335" t="s">
        <v>47634</v>
      </c>
      <c r="B22335" t="s">
        <v>12754</v>
      </c>
      <c r="C22335">
        <v>1.23595026706</v>
      </c>
      <c r="D22335">
        <v>0.99652841337300002</v>
      </c>
      <c r="E22335">
        <v>10.08</v>
      </c>
    </row>
    <row r="22336" spans="1:5">
      <c r="A22336" t="s">
        <v>47634</v>
      </c>
      <c r="B22336" t="s">
        <v>12749</v>
      </c>
      <c r="C22336">
        <f>0.94293572632</f>
        <v>0.94293572632</v>
      </c>
      <c r="D22336">
        <v>0.99652841337300002</v>
      </c>
      <c r="E22336">
        <v>10.08</v>
      </c>
    </row>
    <row r="22337" spans="1:5">
      <c r="A22337" t="s">
        <v>47634</v>
      </c>
      <c r="B22337" t="s">
        <v>12745</v>
      </c>
      <c r="C22337">
        <v>0.14596671008500001</v>
      </c>
      <c r="D22337">
        <v>0.99652841337300002</v>
      </c>
      <c r="E22337">
        <v>10.08</v>
      </c>
    </row>
    <row r="22338" spans="1:5">
      <c r="A22338" t="s">
        <v>47634</v>
      </c>
      <c r="B22338" t="s">
        <v>12748</v>
      </c>
      <c r="C22338">
        <f>0.419803066233</f>
        <v>0.41980306623300001</v>
      </c>
      <c r="D22338">
        <v>0.99652841337300002</v>
      </c>
      <c r="E22338">
        <v>10.08</v>
      </c>
    </row>
    <row r="22339" spans="1:5">
      <c r="A22339" t="s">
        <v>47634</v>
      </c>
      <c r="B22339" t="s">
        <v>12743</v>
      </c>
      <c r="C22339">
        <f>0.484351943215</f>
        <v>0.48435194321500002</v>
      </c>
      <c r="D22339">
        <v>0.99652841337300002</v>
      </c>
      <c r="E22339">
        <v>10.08</v>
      </c>
    </row>
    <row r="22340" spans="1:5">
      <c r="A22340" t="s">
        <v>47634</v>
      </c>
      <c r="B22340" t="s">
        <v>12744</v>
      </c>
      <c r="C22340">
        <f>0</f>
        <v>0</v>
      </c>
      <c r="D22340">
        <v>0.99652841337300002</v>
      </c>
      <c r="E22340">
        <v>10.08</v>
      </c>
    </row>
    <row r="22341" spans="1:5">
      <c r="A22341" t="s">
        <v>47635</v>
      </c>
      <c r="B22341" t="s">
        <v>34241</v>
      </c>
      <c r="C22341">
        <v>0.57231056038899997</v>
      </c>
      <c r="D22341">
        <v>0.82417890184200004</v>
      </c>
      <c r="E22341">
        <v>3.1379999999999999</v>
      </c>
    </row>
    <row r="22342" spans="1:5">
      <c r="A22342" t="s">
        <v>47635</v>
      </c>
      <c r="B22342" t="s">
        <v>34243</v>
      </c>
      <c r="C22342">
        <v>0.25353344095199998</v>
      </c>
      <c r="D22342">
        <v>0.82417890184200004</v>
      </c>
      <c r="E22342">
        <v>3.1379999999999999</v>
      </c>
    </row>
    <row r="22343" spans="1:5">
      <c r="A22343" t="s">
        <v>47636</v>
      </c>
      <c r="B22343" t="s">
        <v>26069</v>
      </c>
      <c r="C22343">
        <v>0.45879930774099997</v>
      </c>
      <c r="D22343">
        <v>0.96016795303400004</v>
      </c>
      <c r="E22343">
        <v>6.06</v>
      </c>
    </row>
    <row r="22344" spans="1:5">
      <c r="A22344" t="s">
        <v>47636</v>
      </c>
      <c r="B22344" t="s">
        <v>26067</v>
      </c>
      <c r="C22344">
        <v>0.76378924073599996</v>
      </c>
      <c r="D22344">
        <v>0.96016795303400004</v>
      </c>
      <c r="E22344">
        <v>6.06</v>
      </c>
    </row>
    <row r="22345" spans="1:5">
      <c r="A22345" t="s">
        <v>47636</v>
      </c>
      <c r="B22345" t="s">
        <v>26066</v>
      </c>
      <c r="C22345">
        <v>0.33042551582500002</v>
      </c>
      <c r="D22345">
        <v>0.96016795303400004</v>
      </c>
      <c r="E22345">
        <v>6.06</v>
      </c>
    </row>
    <row r="22346" spans="1:5">
      <c r="A22346" t="s">
        <v>47637</v>
      </c>
      <c r="B22346" t="s">
        <v>4775</v>
      </c>
      <c r="C22346">
        <v>0.75725096091400002</v>
      </c>
      <c r="D22346">
        <v>0.835660960914</v>
      </c>
      <c r="E22346">
        <v>5.58</v>
      </c>
    </row>
    <row r="22347" spans="1:5">
      <c r="A22347" t="s">
        <v>47637</v>
      </c>
      <c r="B22347" t="s">
        <v>4777</v>
      </c>
      <c r="C22347">
        <v>0</v>
      </c>
      <c r="D22347">
        <v>0.835660960914</v>
      </c>
      <c r="E22347">
        <v>5.58</v>
      </c>
    </row>
    <row r="22348" spans="1:5">
      <c r="A22348" t="s">
        <v>47638</v>
      </c>
      <c r="B22348" t="s">
        <v>4344</v>
      </c>
      <c r="C22348">
        <f>0</f>
        <v>0</v>
      </c>
      <c r="D22348">
        <v>0.65241940884600003</v>
      </c>
      <c r="E22348">
        <v>13.272</v>
      </c>
    </row>
    <row r="22349" spans="1:5">
      <c r="A22349" t="s">
        <v>47638</v>
      </c>
      <c r="B22349" t="s">
        <v>4343</v>
      </c>
      <c r="C22349">
        <f>0</f>
        <v>0</v>
      </c>
      <c r="D22349">
        <v>0.65241940884600003</v>
      </c>
      <c r="E22349">
        <v>13.272</v>
      </c>
    </row>
    <row r="22350" spans="1:5">
      <c r="A22350" t="s">
        <v>47638</v>
      </c>
      <c r="B22350" t="s">
        <v>4342</v>
      </c>
      <c r="C22350">
        <f>0.292409408846</f>
        <v>0.29240940884599997</v>
      </c>
      <c r="D22350">
        <v>0.65241940884600003</v>
      </c>
      <c r="E22350">
        <v>13.272</v>
      </c>
    </row>
    <row r="22351" spans="1:5">
      <c r="A22351" t="s">
        <v>47638</v>
      </c>
      <c r="B22351" t="s">
        <v>4340</v>
      </c>
      <c r="C22351">
        <f>0</f>
        <v>0</v>
      </c>
      <c r="D22351">
        <v>0.65241940884600003</v>
      </c>
      <c r="E22351">
        <v>13.272</v>
      </c>
    </row>
    <row r="22352" spans="1:5">
      <c r="A22352" t="s">
        <v>47639</v>
      </c>
      <c r="B22352" t="s">
        <v>5254</v>
      </c>
      <c r="C22352">
        <v>0.83781825478399996</v>
      </c>
      <c r="D22352">
        <v>0.89542825478400001</v>
      </c>
      <c r="E22352">
        <v>1.452</v>
      </c>
    </row>
    <row r="22353" spans="1:5">
      <c r="A22353" t="s">
        <v>47639</v>
      </c>
      <c r="B22353" t="s">
        <v>5255</v>
      </c>
      <c r="C22353">
        <f>0</f>
        <v>0</v>
      </c>
      <c r="D22353">
        <v>0.89542825478400001</v>
      </c>
      <c r="E22353">
        <v>1.452</v>
      </c>
    </row>
    <row r="22354" spans="1:5">
      <c r="A22354" t="s">
        <v>47640</v>
      </c>
      <c r="B22354" t="s">
        <v>233</v>
      </c>
      <c r="C22354">
        <f>0</f>
        <v>0</v>
      </c>
      <c r="D22354">
        <v>0.81258378335400006</v>
      </c>
      <c r="E22354">
        <v>7.6020000000000003</v>
      </c>
    </row>
    <row r="22355" spans="1:5">
      <c r="A22355" t="s">
        <v>47640</v>
      </c>
      <c r="B22355" t="s">
        <v>244</v>
      </c>
      <c r="C22355">
        <f>0</f>
        <v>0</v>
      </c>
      <c r="D22355">
        <v>0.81258378335400006</v>
      </c>
      <c r="E22355">
        <v>7.6020000000000003</v>
      </c>
    </row>
    <row r="22356" spans="1:5">
      <c r="A22356" t="s">
        <v>47640</v>
      </c>
      <c r="B22356" t="s">
        <v>235</v>
      </c>
      <c r="C22356">
        <f>0</f>
        <v>0</v>
      </c>
      <c r="D22356">
        <v>0.81258378335400006</v>
      </c>
      <c r="E22356">
        <v>7.6020000000000003</v>
      </c>
    </row>
    <row r="22357" spans="1:5">
      <c r="A22357" t="s">
        <v>47640</v>
      </c>
      <c r="B22357" t="s">
        <v>239</v>
      </c>
      <c r="C22357">
        <f>0.184657565142</f>
        <v>0.18465756514199999</v>
      </c>
      <c r="D22357">
        <v>0.81258378335400006</v>
      </c>
      <c r="E22357">
        <v>7.6020000000000003</v>
      </c>
    </row>
    <row r="22358" spans="1:5">
      <c r="A22358" t="s">
        <v>47640</v>
      </c>
      <c r="B22358" t="s">
        <v>243</v>
      </c>
      <c r="C22358">
        <f>0.334836394641</f>
        <v>0.33483639464100001</v>
      </c>
      <c r="D22358">
        <v>0.81258378335400006</v>
      </c>
      <c r="E22358">
        <v>7.6020000000000003</v>
      </c>
    </row>
    <row r="22359" spans="1:5">
      <c r="A22359" t="s">
        <v>47640</v>
      </c>
      <c r="B22359" t="s">
        <v>242</v>
      </c>
      <c r="C22359">
        <v>0</v>
      </c>
      <c r="D22359">
        <v>0.81258378335400006</v>
      </c>
      <c r="E22359">
        <v>7.6020000000000003</v>
      </c>
    </row>
    <row r="22360" spans="1:5">
      <c r="A22360" t="s">
        <v>47640</v>
      </c>
      <c r="B22360" t="s">
        <v>234</v>
      </c>
      <c r="C22360">
        <f>0</f>
        <v>0</v>
      </c>
      <c r="D22360">
        <v>0.81258378335400006</v>
      </c>
      <c r="E22360">
        <v>7.6020000000000003</v>
      </c>
    </row>
    <row r="22361" spans="1:5">
      <c r="A22361" t="s">
        <v>47641</v>
      </c>
      <c r="B22361" t="s">
        <v>16467</v>
      </c>
      <c r="C22361">
        <v>1.2662600367400001</v>
      </c>
      <c r="D22361">
        <v>0.99998636012499997</v>
      </c>
      <c r="E22361">
        <v>11.04</v>
      </c>
    </row>
    <row r="22362" spans="1:5">
      <c r="A22362" t="s">
        <v>47641</v>
      </c>
      <c r="B22362" t="s">
        <v>16469</v>
      </c>
      <c r="C22362">
        <v>0.46244286583700001</v>
      </c>
      <c r="D22362">
        <v>0.99998636012499997</v>
      </c>
      <c r="E22362">
        <v>11.04</v>
      </c>
    </row>
    <row r="22363" spans="1:5">
      <c r="A22363" t="s">
        <v>47641</v>
      </c>
      <c r="B22363" t="s">
        <v>16476</v>
      </c>
      <c r="C22363">
        <v>0.32280855805800002</v>
      </c>
      <c r="D22363">
        <v>0.99998636012499997</v>
      </c>
      <c r="E22363">
        <v>11.04</v>
      </c>
    </row>
    <row r="22364" spans="1:5">
      <c r="A22364" t="s">
        <v>47641</v>
      </c>
      <c r="B22364" t="s">
        <v>16470</v>
      </c>
      <c r="C22364">
        <v>0.63233862149300002</v>
      </c>
      <c r="D22364">
        <v>0.99998636012499997</v>
      </c>
      <c r="E22364">
        <v>11.04</v>
      </c>
    </row>
    <row r="22365" spans="1:5">
      <c r="A22365" t="s">
        <v>47641</v>
      </c>
      <c r="B22365" t="s">
        <v>16477</v>
      </c>
      <c r="C22365">
        <f>0.534929382119</f>
        <v>0.53492938211899999</v>
      </c>
      <c r="D22365">
        <v>0.99998636012499997</v>
      </c>
      <c r="E22365">
        <v>11.04</v>
      </c>
    </row>
    <row r="22366" spans="1:5">
      <c r="A22366" t="s">
        <v>47641</v>
      </c>
      <c r="B22366" t="s">
        <v>16472</v>
      </c>
      <c r="C22366">
        <v>0.98591061116599998</v>
      </c>
      <c r="D22366">
        <v>0.99998636012499997</v>
      </c>
      <c r="E22366">
        <v>11.04</v>
      </c>
    </row>
    <row r="22367" spans="1:5">
      <c r="A22367" t="s">
        <v>47641</v>
      </c>
      <c r="B22367" t="s">
        <v>16473</v>
      </c>
      <c r="C22367">
        <v>0.58484003709400001</v>
      </c>
      <c r="D22367">
        <v>0.99998636012499997</v>
      </c>
      <c r="E22367">
        <v>11.04</v>
      </c>
    </row>
    <row r="22368" spans="1:5">
      <c r="A22368" t="s">
        <v>47641</v>
      </c>
      <c r="B22368" t="s">
        <v>16475</v>
      </c>
      <c r="C22368">
        <f>-1.86966600894</f>
        <v>-1.8696660089399999</v>
      </c>
      <c r="D22368">
        <v>0.99998636012499997</v>
      </c>
      <c r="E22368">
        <v>11.04</v>
      </c>
    </row>
    <row r="22369" spans="1:5">
      <c r="A22369" t="s">
        <v>47642</v>
      </c>
      <c r="B22369" t="s">
        <v>32753</v>
      </c>
      <c r="C22369">
        <v>0</v>
      </c>
      <c r="D22369" t="s">
        <v>106</v>
      </c>
      <c r="E22369">
        <v>1.83</v>
      </c>
    </row>
    <row r="22370" spans="1:5">
      <c r="A22370" t="s">
        <v>47642</v>
      </c>
      <c r="B22370" t="s">
        <v>32752</v>
      </c>
      <c r="C22370">
        <v>0</v>
      </c>
      <c r="D22370" t="s">
        <v>106</v>
      </c>
      <c r="E22370">
        <v>1.83</v>
      </c>
    </row>
    <row r="22371" spans="1:5">
      <c r="A22371" t="s">
        <v>47642</v>
      </c>
      <c r="B22371" t="s">
        <v>32754</v>
      </c>
      <c r="C22371">
        <v>0</v>
      </c>
      <c r="D22371" t="s">
        <v>106</v>
      </c>
      <c r="E22371">
        <v>1.83</v>
      </c>
    </row>
    <row r="22372" spans="1:5">
      <c r="A22372" t="s">
        <v>47643</v>
      </c>
      <c r="B22372" t="s">
        <v>13764</v>
      </c>
      <c r="C22372">
        <f>0</f>
        <v>0</v>
      </c>
      <c r="D22372">
        <v>0.51778910719600002</v>
      </c>
      <c r="E22372">
        <v>14.933999999999999</v>
      </c>
    </row>
    <row r="22373" spans="1:5">
      <c r="A22373" t="s">
        <v>47643</v>
      </c>
      <c r="B22373" t="s">
        <v>13766</v>
      </c>
      <c r="C22373">
        <f>0.157779107196</f>
        <v>0.157779107196</v>
      </c>
      <c r="D22373">
        <v>0.51778910719600002</v>
      </c>
      <c r="E22373">
        <v>14.933999999999999</v>
      </c>
    </row>
    <row r="22374" spans="1:5">
      <c r="A22374" t="s">
        <v>47643</v>
      </c>
      <c r="B22374" t="s">
        <v>13767</v>
      </c>
      <c r="C22374">
        <v>0</v>
      </c>
      <c r="D22374">
        <v>0.51778910719600002</v>
      </c>
      <c r="E22374">
        <v>14.933999999999999</v>
      </c>
    </row>
    <row r="22375" spans="1:5">
      <c r="A22375" t="s">
        <v>47644</v>
      </c>
      <c r="B22375" t="s">
        <v>9037</v>
      </c>
      <c r="C22375">
        <v>0</v>
      </c>
      <c r="D22375">
        <v>0.75954548741100003</v>
      </c>
      <c r="E22375">
        <v>9.7739999999999991</v>
      </c>
    </row>
    <row r="22376" spans="1:5">
      <c r="A22376" t="s">
        <v>47644</v>
      </c>
      <c r="B22376" t="s">
        <v>9040</v>
      </c>
      <c r="C22376">
        <v>0.39705319548599999</v>
      </c>
      <c r="D22376">
        <v>0.75954548741100003</v>
      </c>
      <c r="E22376">
        <v>9.7739999999999991</v>
      </c>
    </row>
    <row r="22377" spans="1:5">
      <c r="A22377" t="s">
        <v>47644</v>
      </c>
      <c r="B22377" t="s">
        <v>9038</v>
      </c>
      <c r="C22377">
        <v>7.6628634951400001E-2</v>
      </c>
      <c r="D22377">
        <v>0.75954548741100003</v>
      </c>
      <c r="E22377">
        <v>9.7739999999999991</v>
      </c>
    </row>
    <row r="22378" spans="1:5">
      <c r="A22378" t="s">
        <v>47644</v>
      </c>
      <c r="B22378" t="s">
        <v>9041</v>
      </c>
      <c r="C22378">
        <v>0.116893843636</v>
      </c>
      <c r="D22378">
        <v>0.75954548741100003</v>
      </c>
      <c r="E22378">
        <v>9.7739999999999991</v>
      </c>
    </row>
    <row r="22379" spans="1:5">
      <c r="A22379" t="s">
        <v>47644</v>
      </c>
      <c r="B22379" t="s">
        <v>9039</v>
      </c>
      <c r="C22379">
        <v>0</v>
      </c>
      <c r="D22379">
        <v>0.75954548741100003</v>
      </c>
      <c r="E22379">
        <v>9.7739999999999991</v>
      </c>
    </row>
    <row r="22380" spans="1:5">
      <c r="A22380" t="s">
        <v>47645</v>
      </c>
      <c r="B22380" t="s">
        <v>2124</v>
      </c>
      <c r="C22380">
        <v>0.23988000988399999</v>
      </c>
      <c r="D22380">
        <v>0.81275489239700005</v>
      </c>
      <c r="E22380">
        <v>13.272</v>
      </c>
    </row>
    <row r="22381" spans="1:5">
      <c r="A22381" t="s">
        <v>47645</v>
      </c>
      <c r="B22381" t="s">
        <v>2125</v>
      </c>
      <c r="C22381">
        <f>0.609223285146</f>
        <v>0.60922328514599999</v>
      </c>
      <c r="D22381">
        <v>0.81275489239700005</v>
      </c>
      <c r="E22381">
        <v>13.272</v>
      </c>
    </row>
    <row r="22382" spans="1:5">
      <c r="A22382" t="s">
        <v>47646</v>
      </c>
      <c r="B22382" t="s">
        <v>47647</v>
      </c>
      <c r="C22382">
        <f>0</f>
        <v>0</v>
      </c>
      <c r="D22382" t="s">
        <v>106</v>
      </c>
      <c r="E22382">
        <v>1.512</v>
      </c>
    </row>
    <row r="22383" spans="1:5">
      <c r="A22383" t="s">
        <v>47646</v>
      </c>
      <c r="B22383" t="s">
        <v>47648</v>
      </c>
      <c r="C22383">
        <f>0</f>
        <v>0</v>
      </c>
      <c r="D22383" t="s">
        <v>106</v>
      </c>
      <c r="E22383">
        <v>1.512</v>
      </c>
    </row>
    <row r="22384" spans="1:5">
      <c r="A22384" t="s">
        <v>47646</v>
      </c>
      <c r="B22384" t="s">
        <v>47649</v>
      </c>
      <c r="C22384">
        <v>0</v>
      </c>
      <c r="D22384" t="s">
        <v>106</v>
      </c>
      <c r="E22384">
        <v>1.512</v>
      </c>
    </row>
    <row r="22385" spans="1:5">
      <c r="A22385" t="s">
        <v>47646</v>
      </c>
      <c r="B22385" t="s">
        <v>47650</v>
      </c>
      <c r="C22385">
        <v>0</v>
      </c>
      <c r="D22385" t="s">
        <v>106</v>
      </c>
      <c r="E22385">
        <v>1.512</v>
      </c>
    </row>
    <row r="22386" spans="1:5">
      <c r="A22386" t="s">
        <v>47646</v>
      </c>
      <c r="B22386" t="s">
        <v>47651</v>
      </c>
      <c r="C22386">
        <v>0</v>
      </c>
      <c r="D22386" t="s">
        <v>106</v>
      </c>
      <c r="E22386">
        <v>1.512</v>
      </c>
    </row>
    <row r="22387" spans="1:5">
      <c r="A22387" t="s">
        <v>47646</v>
      </c>
      <c r="B22387" t="s">
        <v>47652</v>
      </c>
      <c r="C22387">
        <v>0</v>
      </c>
      <c r="D22387" t="s">
        <v>106</v>
      </c>
      <c r="E22387">
        <v>1.512</v>
      </c>
    </row>
    <row r="22388" spans="1:5">
      <c r="A22388" t="s">
        <v>47646</v>
      </c>
      <c r="B22388" t="s">
        <v>47653</v>
      </c>
      <c r="C22388">
        <f>0</f>
        <v>0</v>
      </c>
      <c r="D22388" t="s">
        <v>106</v>
      </c>
      <c r="E22388">
        <v>1.512</v>
      </c>
    </row>
    <row r="22389" spans="1:5">
      <c r="A22389" t="s">
        <v>47646</v>
      </c>
      <c r="B22389" t="s">
        <v>47654</v>
      </c>
      <c r="C22389">
        <f>0</f>
        <v>0</v>
      </c>
      <c r="D22389" t="s">
        <v>106</v>
      </c>
      <c r="E22389">
        <v>1.512</v>
      </c>
    </row>
    <row r="22390" spans="1:5">
      <c r="A22390" t="s">
        <v>47655</v>
      </c>
      <c r="B22390" t="s">
        <v>13884</v>
      </c>
      <c r="C22390">
        <v>0.64363411693000006</v>
      </c>
      <c r="D22390">
        <v>0.90815418624499999</v>
      </c>
      <c r="E22390">
        <v>0</v>
      </c>
    </row>
    <row r="22391" spans="1:5">
      <c r="A22391" t="s">
        <v>47655</v>
      </c>
      <c r="B22391" t="s">
        <v>13885</v>
      </c>
      <c r="C22391">
        <v>0.48374014825599998</v>
      </c>
      <c r="D22391">
        <v>0.90815418624499999</v>
      </c>
      <c r="E22391">
        <v>0</v>
      </c>
    </row>
    <row r="22392" spans="1:5">
      <c r="A22392" t="s">
        <v>47656</v>
      </c>
      <c r="B22392" t="s">
        <v>47657</v>
      </c>
      <c r="C22392">
        <v>0.153100017368</v>
      </c>
      <c r="D22392">
        <v>0.82457750070500002</v>
      </c>
      <c r="E22392">
        <v>3.4079999999999999</v>
      </c>
    </row>
    <row r="22393" spans="1:5">
      <c r="A22393" t="s">
        <v>47656</v>
      </c>
      <c r="B22393" t="s">
        <v>47658</v>
      </c>
      <c r="C22393">
        <v>0.69759434041900004</v>
      </c>
      <c r="D22393">
        <v>0.82457750070500002</v>
      </c>
      <c r="E22393">
        <v>3.4079999999999999</v>
      </c>
    </row>
    <row r="22394" spans="1:5">
      <c r="A22394" t="s">
        <v>47659</v>
      </c>
      <c r="B22394" t="s">
        <v>13890</v>
      </c>
      <c r="C22394">
        <f>0.313259164276</f>
        <v>0.31325916427599998</v>
      </c>
      <c r="D22394">
        <v>0.54366916427599998</v>
      </c>
      <c r="E22394">
        <v>0</v>
      </c>
    </row>
    <row r="22395" spans="1:5">
      <c r="A22395" t="s">
        <v>47659</v>
      </c>
      <c r="B22395" t="s">
        <v>13887</v>
      </c>
      <c r="C22395">
        <f>0</f>
        <v>0</v>
      </c>
      <c r="D22395">
        <v>0.54366916427599998</v>
      </c>
      <c r="E22395">
        <v>0</v>
      </c>
    </row>
    <row r="22396" spans="1:5">
      <c r="A22396" t="s">
        <v>47659</v>
      </c>
      <c r="B22396" t="s">
        <v>13888</v>
      </c>
      <c r="C22396">
        <f>0</f>
        <v>0</v>
      </c>
      <c r="D22396">
        <v>0.54366916427599998</v>
      </c>
      <c r="E22396">
        <v>0</v>
      </c>
    </row>
    <row r="22397" spans="1:5">
      <c r="A22397" t="s">
        <v>47659</v>
      </c>
      <c r="B22397" t="s">
        <v>13889</v>
      </c>
      <c r="C22397">
        <f>0</f>
        <v>0</v>
      </c>
      <c r="D22397">
        <v>0.54366916427599998</v>
      </c>
      <c r="E22397">
        <v>0</v>
      </c>
    </row>
    <row r="22398" spans="1:5">
      <c r="A22398" t="s">
        <v>47660</v>
      </c>
      <c r="B22398" t="s">
        <v>4344</v>
      </c>
      <c r="C22398">
        <f>0.169941439176</f>
        <v>0.16994143917599999</v>
      </c>
      <c r="D22398">
        <v>0.61898919508100003</v>
      </c>
      <c r="E22398">
        <v>0.114</v>
      </c>
    </row>
    <row r="22399" spans="1:5">
      <c r="A22399" t="s">
        <v>47660</v>
      </c>
      <c r="B22399" t="s">
        <v>4343</v>
      </c>
      <c r="C22399">
        <v>0</v>
      </c>
      <c r="D22399">
        <v>0.61898919508100003</v>
      </c>
      <c r="E22399">
        <v>0.114</v>
      </c>
    </row>
    <row r="22400" spans="1:5">
      <c r="A22400" t="s">
        <v>47660</v>
      </c>
      <c r="B22400" t="s">
        <v>4342</v>
      </c>
      <c r="C22400">
        <f>0.182196928581</f>
        <v>0.18219692858100001</v>
      </c>
      <c r="D22400">
        <v>0.61898919508100003</v>
      </c>
      <c r="E22400">
        <v>0.114</v>
      </c>
    </row>
    <row r="22401" spans="1:5">
      <c r="A22401" t="s">
        <v>47660</v>
      </c>
      <c r="B22401" t="s">
        <v>4340</v>
      </c>
      <c r="C22401">
        <v>0</v>
      </c>
      <c r="D22401">
        <v>0.61898919508100003</v>
      </c>
      <c r="E22401">
        <v>0.114</v>
      </c>
    </row>
    <row r="22402" spans="1:5">
      <c r="A22402" t="s">
        <v>47661</v>
      </c>
      <c r="B22402" t="s">
        <v>13761</v>
      </c>
      <c r="C22402">
        <v>0</v>
      </c>
      <c r="D22402" t="s">
        <v>106</v>
      </c>
      <c r="E22402">
        <v>24</v>
      </c>
    </row>
    <row r="22403" spans="1:5">
      <c r="A22403" t="s">
        <v>47661</v>
      </c>
      <c r="B22403" t="s">
        <v>13760</v>
      </c>
      <c r="C22403">
        <f>0</f>
        <v>0</v>
      </c>
      <c r="D22403" t="s">
        <v>106</v>
      </c>
      <c r="E22403">
        <v>24</v>
      </c>
    </row>
    <row r="22404" spans="1:5">
      <c r="A22404" t="s">
        <v>47661</v>
      </c>
      <c r="B22404" t="s">
        <v>13762</v>
      </c>
      <c r="C22404">
        <f>0</f>
        <v>0</v>
      </c>
      <c r="D22404" t="s">
        <v>106</v>
      </c>
      <c r="E22404">
        <v>24</v>
      </c>
    </row>
    <row r="22405" spans="1:5">
      <c r="A22405" t="s">
        <v>47662</v>
      </c>
      <c r="B22405" t="s">
        <v>7868</v>
      </c>
      <c r="C22405">
        <v>0.68171131817999997</v>
      </c>
      <c r="D22405">
        <v>0.89238722355900002</v>
      </c>
      <c r="E22405">
        <v>1.1160000000000001</v>
      </c>
    </row>
    <row r="22406" spans="1:5">
      <c r="A22406" t="s">
        <v>47662</v>
      </c>
      <c r="B22406" t="s">
        <v>7867</v>
      </c>
      <c r="C22406">
        <f>0.774132010702</f>
        <v>0.774132010702</v>
      </c>
      <c r="D22406">
        <v>0.89238722355900002</v>
      </c>
      <c r="E22406">
        <v>1.1160000000000001</v>
      </c>
    </row>
    <row r="22407" spans="1:5">
      <c r="A22407" t="s">
        <v>47662</v>
      </c>
      <c r="B22407" t="s">
        <v>7871</v>
      </c>
      <c r="C22407">
        <f>-1.11892446633</f>
        <v>-1.11892446633</v>
      </c>
      <c r="D22407">
        <v>0.89238722355900002</v>
      </c>
      <c r="E22407">
        <v>1.1160000000000001</v>
      </c>
    </row>
    <row r="22408" spans="1:5">
      <c r="A22408" t="s">
        <v>47662</v>
      </c>
      <c r="B22408" t="s">
        <v>7869</v>
      </c>
      <c r="C22408">
        <v>1.36501577989</v>
      </c>
      <c r="D22408">
        <v>0.89238722355900002</v>
      </c>
      <c r="E22408">
        <v>1.1160000000000001</v>
      </c>
    </row>
    <row r="22409" spans="1:5">
      <c r="A22409" t="s">
        <v>47663</v>
      </c>
      <c r="B22409" t="s">
        <v>21087</v>
      </c>
      <c r="C22409">
        <f>0.42694904057</f>
        <v>0.42694904056999999</v>
      </c>
      <c r="D22409">
        <v>0.90304062359500004</v>
      </c>
      <c r="E22409">
        <v>24</v>
      </c>
    </row>
    <row r="22410" spans="1:5">
      <c r="A22410" t="s">
        <v>47663</v>
      </c>
      <c r="B22410" t="s">
        <v>21085</v>
      </c>
      <c r="C22410">
        <f>0</f>
        <v>0</v>
      </c>
      <c r="D22410">
        <v>0.90304062359500004</v>
      </c>
      <c r="E22410">
        <v>24</v>
      </c>
    </row>
    <row r="22411" spans="1:5">
      <c r="A22411" t="s">
        <v>47663</v>
      </c>
      <c r="B22411" t="s">
        <v>21079</v>
      </c>
      <c r="C22411">
        <f>0.520987116655</f>
        <v>0.52098711665499997</v>
      </c>
      <c r="D22411">
        <v>0.90304062359500004</v>
      </c>
      <c r="E22411">
        <v>24</v>
      </c>
    </row>
    <row r="22412" spans="1:5">
      <c r="A22412" t="s">
        <v>47663</v>
      </c>
      <c r="B22412" t="s">
        <v>21084</v>
      </c>
      <c r="C22412">
        <v>0</v>
      </c>
      <c r="D22412">
        <v>0.90304062359500004</v>
      </c>
      <c r="E22412">
        <v>24</v>
      </c>
    </row>
    <row r="22413" spans="1:5">
      <c r="A22413" t="s">
        <v>47663</v>
      </c>
      <c r="B22413" t="s">
        <v>21086</v>
      </c>
      <c r="C22413">
        <v>0</v>
      </c>
      <c r="D22413">
        <v>0.90304062359500004</v>
      </c>
      <c r="E22413">
        <v>24</v>
      </c>
    </row>
    <row r="22414" spans="1:5">
      <c r="A22414" t="s">
        <v>47664</v>
      </c>
      <c r="B22414" t="s">
        <v>4083</v>
      </c>
      <c r="C22414">
        <f>0.202906090763</f>
        <v>0.20290609076300001</v>
      </c>
      <c r="D22414">
        <v>0.89173321960800001</v>
      </c>
      <c r="E22414">
        <v>4.4820000000000002</v>
      </c>
    </row>
    <row r="22415" spans="1:5">
      <c r="A22415" t="s">
        <v>47664</v>
      </c>
      <c r="B22415" t="s">
        <v>4084</v>
      </c>
      <c r="C22415">
        <v>0.14432280420499999</v>
      </c>
      <c r="D22415">
        <v>0.89173321960800001</v>
      </c>
      <c r="E22415">
        <v>4.4820000000000002</v>
      </c>
    </row>
    <row r="22416" spans="1:5">
      <c r="A22416" t="s">
        <v>47664</v>
      </c>
      <c r="B22416" t="s">
        <v>4085</v>
      </c>
      <c r="C22416">
        <v>0.91581058647799995</v>
      </c>
      <c r="D22416">
        <v>0.89173321960800001</v>
      </c>
      <c r="E22416">
        <v>4.4820000000000002</v>
      </c>
    </row>
    <row r="22417" spans="1:5">
      <c r="A22417" t="s">
        <v>47665</v>
      </c>
      <c r="B22417" t="s">
        <v>12897</v>
      </c>
      <c r="C22417">
        <f>0</f>
        <v>0</v>
      </c>
      <c r="D22417">
        <v>0.60000002073500003</v>
      </c>
      <c r="E22417">
        <v>21.192</v>
      </c>
    </row>
    <row r="22418" spans="1:5">
      <c r="A22418" t="s">
        <v>47665</v>
      </c>
      <c r="B22418" t="s">
        <v>12900</v>
      </c>
      <c r="C22418">
        <v>0.239990020735</v>
      </c>
      <c r="D22418">
        <v>0.60000002073500003</v>
      </c>
      <c r="E22418">
        <v>21.192</v>
      </c>
    </row>
    <row r="22419" spans="1:5">
      <c r="A22419" t="s">
        <v>47665</v>
      </c>
      <c r="B22419" t="s">
        <v>12899</v>
      </c>
      <c r="C22419">
        <v>0</v>
      </c>
      <c r="D22419">
        <v>0.60000002073500003</v>
      </c>
      <c r="E22419">
        <v>21.192</v>
      </c>
    </row>
    <row r="22420" spans="1:5">
      <c r="A22420" t="s">
        <v>47665</v>
      </c>
      <c r="B22420" t="s">
        <v>12902</v>
      </c>
      <c r="C22420">
        <v>0</v>
      </c>
      <c r="D22420">
        <v>0.60000002073500003</v>
      </c>
      <c r="E22420">
        <v>21.192</v>
      </c>
    </row>
    <row r="22421" spans="1:5">
      <c r="A22421" t="s">
        <v>47665</v>
      </c>
      <c r="B22421" t="s">
        <v>12901</v>
      </c>
      <c r="C22421">
        <v>0</v>
      </c>
      <c r="D22421">
        <v>0.60000002073500003</v>
      </c>
      <c r="E22421">
        <v>21.192</v>
      </c>
    </row>
    <row r="22422" spans="1:5">
      <c r="A22422" t="s">
        <v>47666</v>
      </c>
      <c r="B22422" t="s">
        <v>14347</v>
      </c>
      <c r="C22422">
        <v>0.23479656740499999</v>
      </c>
      <c r="D22422">
        <v>0.92304846789499995</v>
      </c>
      <c r="E22422">
        <v>20.513999999999999</v>
      </c>
    </row>
    <row r="22423" spans="1:5">
      <c r="A22423" t="s">
        <v>47666</v>
      </c>
      <c r="B22423" t="s">
        <v>14345</v>
      </c>
      <c r="C22423">
        <v>0.91252725720399996</v>
      </c>
      <c r="D22423">
        <v>0.92304846789499995</v>
      </c>
      <c r="E22423">
        <v>20.513999999999999</v>
      </c>
    </row>
    <row r="22424" spans="1:5">
      <c r="A22424" t="s">
        <v>47666</v>
      </c>
      <c r="B22424" t="s">
        <v>14344</v>
      </c>
      <c r="C22424">
        <v>1.86932647614E-2</v>
      </c>
      <c r="D22424">
        <v>0.92304846789499995</v>
      </c>
      <c r="E22424">
        <v>20.513999999999999</v>
      </c>
    </row>
    <row r="22425" spans="1:5">
      <c r="A22425" t="s">
        <v>47667</v>
      </c>
      <c r="B22425" t="s">
        <v>47668</v>
      </c>
      <c r="C22425">
        <v>0</v>
      </c>
      <c r="D22425" t="s">
        <v>106</v>
      </c>
      <c r="E22425">
        <v>0.58199999999999996</v>
      </c>
    </row>
    <row r="22426" spans="1:5">
      <c r="A22426" t="s">
        <v>47667</v>
      </c>
      <c r="B22426" t="s">
        <v>47669</v>
      </c>
      <c r="C22426">
        <v>0</v>
      </c>
      <c r="D22426" t="s">
        <v>106</v>
      </c>
      <c r="E22426">
        <v>0.58199999999999996</v>
      </c>
    </row>
    <row r="22427" spans="1:5">
      <c r="A22427" t="s">
        <v>47670</v>
      </c>
      <c r="B22427" t="s">
        <v>18541</v>
      </c>
      <c r="C22427">
        <v>0.39430880730399998</v>
      </c>
      <c r="D22427">
        <v>0.73028550869999997</v>
      </c>
      <c r="E22427">
        <v>24</v>
      </c>
    </row>
    <row r="22428" spans="1:5">
      <c r="A22428" t="s">
        <v>47670</v>
      </c>
      <c r="B22428" t="s">
        <v>18540</v>
      </c>
      <c r="C22428">
        <v>0.30079269041500001</v>
      </c>
      <c r="D22428">
        <v>0.73028550869999997</v>
      </c>
      <c r="E22428">
        <v>24</v>
      </c>
    </row>
    <row r="22429" spans="1:5">
      <c r="A22429" t="s">
        <v>47671</v>
      </c>
      <c r="B22429" t="s">
        <v>12313</v>
      </c>
      <c r="C22429">
        <v>3.8877200176500003E-2</v>
      </c>
      <c r="D22429">
        <v>0.99996048264299997</v>
      </c>
      <c r="E22429">
        <v>5.9340000000000002</v>
      </c>
    </row>
    <row r="22430" spans="1:5">
      <c r="A22430" t="s">
        <v>47671</v>
      </c>
      <c r="B22430" t="s">
        <v>12316</v>
      </c>
      <c r="C22430">
        <v>1.0441927874400001</v>
      </c>
      <c r="D22430">
        <v>0.99996048264299997</v>
      </c>
      <c r="E22430">
        <v>5.9340000000000002</v>
      </c>
    </row>
    <row r="22431" spans="1:5">
      <c r="A22431" t="s">
        <v>47671</v>
      </c>
      <c r="B22431" t="s">
        <v>12315</v>
      </c>
      <c r="C22431">
        <v>0.19879669401399999</v>
      </c>
      <c r="D22431">
        <v>0.99996048264299997</v>
      </c>
      <c r="E22431">
        <v>5.9340000000000002</v>
      </c>
    </row>
    <row r="22432" spans="1:5">
      <c r="A22432" t="s">
        <v>47671</v>
      </c>
      <c r="B22432" t="s">
        <v>12317</v>
      </c>
      <c r="C22432">
        <f>-1.87581494912</f>
        <v>-1.87581494912</v>
      </c>
      <c r="D22432">
        <v>0.99996048264299997</v>
      </c>
      <c r="E22432">
        <v>5.9340000000000002</v>
      </c>
    </row>
    <row r="22433" spans="1:5">
      <c r="A22433" t="s">
        <v>47671</v>
      </c>
      <c r="B22433" t="s">
        <v>12320</v>
      </c>
      <c r="C22433">
        <v>1.22249229343</v>
      </c>
      <c r="D22433">
        <v>0.99996048264299997</v>
      </c>
      <c r="E22433">
        <v>5.9340000000000002</v>
      </c>
    </row>
    <row r="22434" spans="1:5">
      <c r="A22434" t="s">
        <v>47671</v>
      </c>
      <c r="B22434" t="s">
        <v>12319</v>
      </c>
      <c r="C22434">
        <f>0.63144220443</f>
        <v>0.63144220442999999</v>
      </c>
      <c r="D22434">
        <v>0.99996048264299997</v>
      </c>
      <c r="E22434">
        <v>5.9340000000000002</v>
      </c>
    </row>
    <row r="22435" spans="1:5">
      <c r="A22435" t="s">
        <v>47671</v>
      </c>
      <c r="B22435" t="s">
        <v>12314</v>
      </c>
      <c r="C22435">
        <f>0.123310733078</f>
        <v>0.123310733078</v>
      </c>
      <c r="D22435">
        <v>0.99996048264299997</v>
      </c>
      <c r="E22435">
        <v>5.9340000000000002</v>
      </c>
    </row>
    <row r="22436" spans="1:5">
      <c r="A22436" t="s">
        <v>47671</v>
      </c>
      <c r="B22436" t="s">
        <v>12318</v>
      </c>
      <c r="C22436">
        <v>7.3954467441799995E-2</v>
      </c>
      <c r="D22436">
        <v>0.99996048264299997</v>
      </c>
      <c r="E22436">
        <v>5.9340000000000002</v>
      </c>
    </row>
    <row r="22437" spans="1:5">
      <c r="A22437" t="s">
        <v>47672</v>
      </c>
      <c r="B22437" t="s">
        <v>47673</v>
      </c>
      <c r="C22437">
        <f>0</f>
        <v>0</v>
      </c>
      <c r="D22437" t="s">
        <v>106</v>
      </c>
      <c r="E22437">
        <v>24</v>
      </c>
    </row>
    <row r="22438" spans="1:5">
      <c r="A22438" t="s">
        <v>47672</v>
      </c>
      <c r="B22438" t="s">
        <v>47674</v>
      </c>
      <c r="C22438">
        <f>0</f>
        <v>0</v>
      </c>
      <c r="D22438" t="s">
        <v>106</v>
      </c>
      <c r="E22438">
        <v>24</v>
      </c>
    </row>
    <row r="22439" spans="1:5">
      <c r="A22439" t="s">
        <v>47672</v>
      </c>
      <c r="B22439" t="s">
        <v>47675</v>
      </c>
      <c r="C22439">
        <v>0</v>
      </c>
      <c r="D22439" t="s">
        <v>106</v>
      </c>
      <c r="E22439">
        <v>24</v>
      </c>
    </row>
    <row r="22440" spans="1:5">
      <c r="A22440" t="s">
        <v>47672</v>
      </c>
      <c r="B22440" t="s">
        <v>47676</v>
      </c>
      <c r="C22440">
        <f>0</f>
        <v>0</v>
      </c>
      <c r="D22440" t="s">
        <v>106</v>
      </c>
      <c r="E22440">
        <v>24</v>
      </c>
    </row>
    <row r="22441" spans="1:5">
      <c r="A22441" t="s">
        <v>47672</v>
      </c>
      <c r="B22441" t="s">
        <v>47677</v>
      </c>
      <c r="C22441">
        <v>0</v>
      </c>
      <c r="D22441" t="s">
        <v>106</v>
      </c>
      <c r="E22441">
        <v>24</v>
      </c>
    </row>
    <row r="22442" spans="1:5">
      <c r="A22442" t="s">
        <v>47678</v>
      </c>
      <c r="B22442" t="s">
        <v>32598</v>
      </c>
      <c r="C22442">
        <f>0.371173934043</f>
        <v>0.37117393404299998</v>
      </c>
      <c r="D22442">
        <v>0.98766838394300005</v>
      </c>
      <c r="E22442">
        <v>23.754000000000001</v>
      </c>
    </row>
    <row r="22443" spans="1:5">
      <c r="A22443" t="s">
        <v>47678</v>
      </c>
      <c r="B22443" t="s">
        <v>32601</v>
      </c>
      <c r="C22443">
        <f>-2.0778012726</f>
        <v>-2.0778012725999999</v>
      </c>
      <c r="D22443">
        <v>0.98766838394300005</v>
      </c>
      <c r="E22443">
        <v>23.754000000000001</v>
      </c>
    </row>
    <row r="22444" spans="1:5">
      <c r="A22444" t="s">
        <v>47678</v>
      </c>
      <c r="B22444" t="s">
        <v>32600</v>
      </c>
      <c r="C22444">
        <v>2.2485014745399998</v>
      </c>
      <c r="D22444">
        <v>0.98766838394300005</v>
      </c>
      <c r="E22444">
        <v>23.754000000000001</v>
      </c>
    </row>
    <row r="22445" spans="1:5">
      <c r="A22445" t="s">
        <v>47678</v>
      </c>
      <c r="B22445" t="s">
        <v>32599</v>
      </c>
      <c r="C22445">
        <f>0.642738109422</f>
        <v>0.64273810942200005</v>
      </c>
      <c r="D22445">
        <v>0.98766838394300005</v>
      </c>
      <c r="E22445">
        <v>23.754000000000001</v>
      </c>
    </row>
    <row r="22446" spans="1:5">
      <c r="A22446" t="s">
        <v>47679</v>
      </c>
      <c r="B22446" t="s">
        <v>8825</v>
      </c>
      <c r="C22446">
        <f>-1.67544083966</f>
        <v>-1.67544083966</v>
      </c>
      <c r="D22446">
        <v>0.97520414552000001</v>
      </c>
      <c r="E22446">
        <v>2.964</v>
      </c>
    </row>
    <row r="22447" spans="1:5">
      <c r="A22447" t="s">
        <v>47679</v>
      </c>
      <c r="B22447" t="s">
        <v>8827</v>
      </c>
      <c r="C22447">
        <v>2.4013285549500001</v>
      </c>
      <c r="D22447">
        <v>0.97520414552000001</v>
      </c>
      <c r="E22447">
        <v>2.964</v>
      </c>
    </row>
    <row r="22448" spans="1:5">
      <c r="A22448" t="s">
        <v>47679</v>
      </c>
      <c r="B22448" t="s">
        <v>8828</v>
      </c>
      <c r="C22448">
        <f>0.826241476349</f>
        <v>0.82624147634900003</v>
      </c>
      <c r="D22448">
        <v>0.97520414552000001</v>
      </c>
      <c r="E22448">
        <v>2.964</v>
      </c>
    </row>
    <row r="22449" spans="1:5">
      <c r="A22449" t="s">
        <v>47679</v>
      </c>
      <c r="B22449" t="s">
        <v>8829</v>
      </c>
      <c r="C22449">
        <v>0.16923102745499999</v>
      </c>
      <c r="D22449">
        <v>0.97520414552000001</v>
      </c>
      <c r="E22449">
        <v>2.964</v>
      </c>
    </row>
    <row r="22450" spans="1:5">
      <c r="A22450" t="s">
        <v>47679</v>
      </c>
      <c r="B22450" t="s">
        <v>8826</v>
      </c>
      <c r="C22450">
        <f>0.638981232526</f>
        <v>0.63898123252600003</v>
      </c>
      <c r="D22450">
        <v>0.97520414552000001</v>
      </c>
      <c r="E22450">
        <v>2.964</v>
      </c>
    </row>
    <row r="22451" spans="1:5">
      <c r="A22451" t="s">
        <v>47680</v>
      </c>
      <c r="B22451" t="s">
        <v>21984</v>
      </c>
      <c r="C22451">
        <f>0</f>
        <v>0</v>
      </c>
      <c r="D22451">
        <v>0.68962912522099995</v>
      </c>
      <c r="E22451">
        <v>0</v>
      </c>
    </row>
    <row r="22452" spans="1:5">
      <c r="A22452" t="s">
        <v>47680</v>
      </c>
      <c r="B22452" t="s">
        <v>21986</v>
      </c>
      <c r="C22452">
        <v>0</v>
      </c>
      <c r="D22452">
        <v>0.68962912522099995</v>
      </c>
      <c r="E22452">
        <v>0</v>
      </c>
    </row>
    <row r="22453" spans="1:5">
      <c r="A22453" t="s">
        <v>47680</v>
      </c>
      <c r="B22453" t="s">
        <v>21990</v>
      </c>
      <c r="C22453">
        <f>0.587219125221</f>
        <v>0.58721912522099995</v>
      </c>
      <c r="D22453">
        <v>0.68962912522099995</v>
      </c>
      <c r="E22453">
        <v>0</v>
      </c>
    </row>
    <row r="22454" spans="1:5">
      <c r="A22454" t="s">
        <v>47680</v>
      </c>
      <c r="B22454" t="s">
        <v>21989</v>
      </c>
      <c r="C22454">
        <f>0</f>
        <v>0</v>
      </c>
      <c r="D22454">
        <v>0.68962912522099995</v>
      </c>
      <c r="E22454">
        <v>0</v>
      </c>
    </row>
    <row r="22455" spans="1:5">
      <c r="A22455" t="s">
        <v>47681</v>
      </c>
      <c r="B22455" t="s">
        <v>47682</v>
      </c>
      <c r="C22455">
        <f>0</f>
        <v>0</v>
      </c>
      <c r="D22455" t="s">
        <v>106</v>
      </c>
      <c r="E22455">
        <v>11.874000000000001</v>
      </c>
    </row>
    <row r="22456" spans="1:5">
      <c r="A22456" t="s">
        <v>47681</v>
      </c>
      <c r="B22456" t="s">
        <v>47683</v>
      </c>
      <c r="C22456">
        <v>0</v>
      </c>
      <c r="D22456" t="s">
        <v>106</v>
      </c>
      <c r="E22456">
        <v>11.874000000000001</v>
      </c>
    </row>
    <row r="22457" spans="1:5">
      <c r="A22457" t="s">
        <v>47681</v>
      </c>
      <c r="B22457" t="s">
        <v>47684</v>
      </c>
      <c r="C22457">
        <f>0</f>
        <v>0</v>
      </c>
      <c r="D22457" t="s">
        <v>106</v>
      </c>
      <c r="E22457">
        <v>11.874000000000001</v>
      </c>
    </row>
    <row r="22458" spans="1:5">
      <c r="A22458" t="s">
        <v>47685</v>
      </c>
      <c r="B22458" t="s">
        <v>4704</v>
      </c>
      <c r="C22458">
        <f>0</f>
        <v>0</v>
      </c>
      <c r="D22458" t="s">
        <v>106</v>
      </c>
      <c r="E22458">
        <v>23.754000000000001</v>
      </c>
    </row>
    <row r="22459" spans="1:5">
      <c r="A22459" t="s">
        <v>47685</v>
      </c>
      <c r="B22459" t="s">
        <v>4703</v>
      </c>
      <c r="C22459">
        <f>0</f>
        <v>0</v>
      </c>
      <c r="D22459" t="s">
        <v>106</v>
      </c>
      <c r="E22459">
        <v>23.754000000000001</v>
      </c>
    </row>
    <row r="22460" spans="1:5">
      <c r="A22460" t="s">
        <v>47686</v>
      </c>
      <c r="B22460" t="s">
        <v>31303</v>
      </c>
      <c r="C22460">
        <v>0.81654174608200003</v>
      </c>
      <c r="D22460">
        <v>0.939500018198</v>
      </c>
      <c r="E22460">
        <v>23.754000000000001</v>
      </c>
    </row>
    <row r="22461" spans="1:5">
      <c r="A22461" t="s">
        <v>47686</v>
      </c>
      <c r="B22461" t="s">
        <v>31299</v>
      </c>
      <c r="C22461">
        <v>0</v>
      </c>
      <c r="D22461">
        <v>0.939500018198</v>
      </c>
      <c r="E22461">
        <v>23.754000000000001</v>
      </c>
    </row>
    <row r="22462" spans="1:5">
      <c r="A22462" t="s">
        <v>47686</v>
      </c>
      <c r="B22462" t="s">
        <v>31301</v>
      </c>
      <c r="C22462">
        <f>0</f>
        <v>0</v>
      </c>
      <c r="D22462">
        <v>0.939500018198</v>
      </c>
      <c r="E22462">
        <v>23.754000000000001</v>
      </c>
    </row>
    <row r="22463" spans="1:5">
      <c r="A22463" t="s">
        <v>47686</v>
      </c>
      <c r="B22463" t="s">
        <v>31300</v>
      </c>
      <c r="C22463">
        <v>0.55788040825999996</v>
      </c>
      <c r="D22463">
        <v>0.939500018198</v>
      </c>
      <c r="E22463">
        <v>23.754000000000001</v>
      </c>
    </row>
    <row r="22464" spans="1:5">
      <c r="A22464" t="s">
        <v>47687</v>
      </c>
      <c r="B22464" t="s">
        <v>6613</v>
      </c>
      <c r="C22464">
        <v>1.2411904889800001</v>
      </c>
      <c r="D22464">
        <v>0.99074260399199998</v>
      </c>
      <c r="E22464">
        <v>7.2</v>
      </c>
    </row>
    <row r="22465" spans="1:5">
      <c r="A22465" t="s">
        <v>47687</v>
      </c>
      <c r="B22465" t="s">
        <v>6619</v>
      </c>
      <c r="C22465">
        <v>1.1741320954700001</v>
      </c>
      <c r="D22465">
        <v>0.99074260399199998</v>
      </c>
      <c r="E22465">
        <v>7.2</v>
      </c>
    </row>
    <row r="22466" spans="1:5">
      <c r="A22466" t="s">
        <v>47687</v>
      </c>
      <c r="B22466" t="s">
        <v>6618</v>
      </c>
      <c r="C22466">
        <f>-1.13969889941</f>
        <v>-1.1396988994099999</v>
      </c>
      <c r="D22466">
        <v>0.99074260399199998</v>
      </c>
      <c r="E22466">
        <v>7.2</v>
      </c>
    </row>
    <row r="22467" spans="1:5">
      <c r="A22467" t="s">
        <v>47687</v>
      </c>
      <c r="B22467" t="s">
        <v>6615</v>
      </c>
      <c r="C22467">
        <v>0.151863938876</v>
      </c>
      <c r="D22467">
        <v>0.99074260399199998</v>
      </c>
      <c r="E22467">
        <v>7.2</v>
      </c>
    </row>
    <row r="22468" spans="1:5">
      <c r="A22468" t="s">
        <v>47687</v>
      </c>
      <c r="B22468" t="s">
        <v>6617</v>
      </c>
      <c r="C22468">
        <f>0.349122932952</f>
        <v>0.34912293295199998</v>
      </c>
      <c r="D22468">
        <v>0.99074260399199998</v>
      </c>
      <c r="E22468">
        <v>7.2</v>
      </c>
    </row>
    <row r="22469" spans="1:5">
      <c r="A22469" t="s">
        <v>47687</v>
      </c>
      <c r="B22469" t="s">
        <v>6614</v>
      </c>
      <c r="C22469">
        <v>6.1539168581400003E-2</v>
      </c>
      <c r="D22469">
        <v>0.99074260399199998</v>
      </c>
      <c r="E22469">
        <v>7.2</v>
      </c>
    </row>
    <row r="22470" spans="1:5">
      <c r="A22470" t="s">
        <v>47688</v>
      </c>
      <c r="B22470" t="s">
        <v>12548</v>
      </c>
      <c r="C22470">
        <f>0</f>
        <v>0</v>
      </c>
      <c r="D22470" t="s">
        <v>106</v>
      </c>
      <c r="E22470">
        <v>20.736000000000001</v>
      </c>
    </row>
    <row r="22471" spans="1:5">
      <c r="A22471" t="s">
        <v>47688</v>
      </c>
      <c r="B22471" t="s">
        <v>12550</v>
      </c>
      <c r="C22471">
        <f>0</f>
        <v>0</v>
      </c>
      <c r="D22471" t="s">
        <v>106</v>
      </c>
      <c r="E22471">
        <v>20.736000000000001</v>
      </c>
    </row>
    <row r="22472" spans="1:5">
      <c r="A22472" t="s">
        <v>47688</v>
      </c>
      <c r="B22472" t="s">
        <v>12549</v>
      </c>
      <c r="C22472">
        <v>0</v>
      </c>
      <c r="D22472" t="s">
        <v>106</v>
      </c>
      <c r="E22472">
        <v>20.736000000000001</v>
      </c>
    </row>
    <row r="22473" spans="1:5">
      <c r="A22473" t="s">
        <v>47688</v>
      </c>
      <c r="B22473" t="s">
        <v>12547</v>
      </c>
      <c r="C22473">
        <f>0</f>
        <v>0</v>
      </c>
      <c r="D22473" t="s">
        <v>106</v>
      </c>
      <c r="E22473">
        <v>20.736000000000001</v>
      </c>
    </row>
    <row r="22474" spans="1:5">
      <c r="A22474" t="s">
        <v>47689</v>
      </c>
      <c r="B22474" t="s">
        <v>2445</v>
      </c>
      <c r="C22474">
        <v>0.66410130165900005</v>
      </c>
      <c r="D22474">
        <v>0.82411130165900004</v>
      </c>
      <c r="E22474">
        <v>0.06</v>
      </c>
    </row>
    <row r="22475" spans="1:5">
      <c r="A22475" t="s">
        <v>47689</v>
      </c>
      <c r="B22475" t="s">
        <v>2444</v>
      </c>
      <c r="C22475">
        <f>0</f>
        <v>0</v>
      </c>
      <c r="D22475">
        <v>0.82411130165900004</v>
      </c>
      <c r="E22475">
        <v>0.06</v>
      </c>
    </row>
    <row r="22476" spans="1:5">
      <c r="A22476" t="s">
        <v>47689</v>
      </c>
      <c r="B22476" t="s">
        <v>2442</v>
      </c>
      <c r="C22476">
        <f>0</f>
        <v>0</v>
      </c>
      <c r="D22476">
        <v>0.82411130165900004</v>
      </c>
      <c r="E22476">
        <v>0.06</v>
      </c>
    </row>
    <row r="22477" spans="1:5">
      <c r="A22477" t="s">
        <v>47690</v>
      </c>
      <c r="B22477" t="s">
        <v>23640</v>
      </c>
      <c r="C22477">
        <f>0</f>
        <v>0</v>
      </c>
      <c r="D22477" t="s">
        <v>106</v>
      </c>
      <c r="E22477">
        <v>24</v>
      </c>
    </row>
    <row r="22478" spans="1:5">
      <c r="A22478" t="s">
        <v>47690</v>
      </c>
      <c r="B22478" t="s">
        <v>23641</v>
      </c>
      <c r="C22478">
        <f>0</f>
        <v>0</v>
      </c>
      <c r="D22478" t="s">
        <v>106</v>
      </c>
      <c r="E22478">
        <v>24</v>
      </c>
    </row>
    <row r="22479" spans="1:5">
      <c r="A22479" t="s">
        <v>47691</v>
      </c>
      <c r="B22479" t="s">
        <v>8107</v>
      </c>
      <c r="C22479">
        <f>0.183408618915</f>
        <v>0.18340861891499999</v>
      </c>
      <c r="D22479">
        <v>0.84038542798000004</v>
      </c>
      <c r="E22479">
        <v>3.4980000000000002</v>
      </c>
    </row>
    <row r="22480" spans="1:5">
      <c r="A22480" t="s">
        <v>47691</v>
      </c>
      <c r="B22480" t="s">
        <v>8114</v>
      </c>
      <c r="C22480">
        <v>0</v>
      </c>
      <c r="D22480">
        <v>0.84038542798000004</v>
      </c>
      <c r="E22480">
        <v>3.4980000000000002</v>
      </c>
    </row>
    <row r="22481" spans="1:5">
      <c r="A22481" t="s">
        <v>47691</v>
      </c>
      <c r="B22481" t="s">
        <v>8112</v>
      </c>
      <c r="C22481">
        <v>0</v>
      </c>
      <c r="D22481">
        <v>0.84038542798000004</v>
      </c>
      <c r="E22481">
        <v>3.4980000000000002</v>
      </c>
    </row>
    <row r="22482" spans="1:5">
      <c r="A22482" t="s">
        <v>47691</v>
      </c>
      <c r="B22482" t="s">
        <v>8104</v>
      </c>
      <c r="C22482">
        <f>0</f>
        <v>0</v>
      </c>
      <c r="D22482">
        <v>0.84038542798000004</v>
      </c>
      <c r="E22482">
        <v>3.4980000000000002</v>
      </c>
    </row>
    <row r="22483" spans="1:5">
      <c r="A22483" t="s">
        <v>47691</v>
      </c>
      <c r="B22483" t="s">
        <v>8111</v>
      </c>
      <c r="C22483">
        <v>0</v>
      </c>
      <c r="D22483">
        <v>0.84038542798000004</v>
      </c>
      <c r="E22483">
        <v>3.4980000000000002</v>
      </c>
    </row>
    <row r="22484" spans="1:5">
      <c r="A22484" t="s">
        <v>47691</v>
      </c>
      <c r="B22484" t="s">
        <v>8115</v>
      </c>
      <c r="C22484">
        <f>0</f>
        <v>0</v>
      </c>
      <c r="D22484">
        <v>0.84038542798000004</v>
      </c>
      <c r="E22484">
        <v>3.4980000000000002</v>
      </c>
    </row>
    <row r="22485" spans="1:5">
      <c r="A22485" t="s">
        <v>47691</v>
      </c>
      <c r="B22485" t="s">
        <v>8109</v>
      </c>
      <c r="C22485">
        <v>0</v>
      </c>
      <c r="D22485">
        <v>0.84038542798000004</v>
      </c>
      <c r="E22485">
        <v>3.4980000000000002</v>
      </c>
    </row>
    <row r="22486" spans="1:5">
      <c r="A22486" t="s">
        <v>47691</v>
      </c>
      <c r="B22486" t="s">
        <v>8102</v>
      </c>
      <c r="C22486">
        <v>0.50540889980100001</v>
      </c>
      <c r="D22486">
        <v>0.84038542798000004</v>
      </c>
      <c r="E22486">
        <v>3.4980000000000002</v>
      </c>
    </row>
    <row r="22487" spans="1:5">
      <c r="A22487" t="s">
        <v>47692</v>
      </c>
      <c r="B22487" t="s">
        <v>5956</v>
      </c>
      <c r="C22487">
        <f>0.357906202477</f>
        <v>0.357906202477</v>
      </c>
      <c r="D22487">
        <v>0.88309100894899994</v>
      </c>
      <c r="E22487">
        <v>12.048</v>
      </c>
    </row>
    <row r="22488" spans="1:5">
      <c r="A22488" t="s">
        <v>47692</v>
      </c>
      <c r="B22488" t="s">
        <v>5955</v>
      </c>
      <c r="C22488">
        <f>0.341355588319</f>
        <v>0.34135558831899998</v>
      </c>
      <c r="D22488">
        <v>0.88309100894899994</v>
      </c>
      <c r="E22488">
        <v>12.048</v>
      </c>
    </row>
    <row r="22489" spans="1:5">
      <c r="A22489" t="s">
        <v>47692</v>
      </c>
      <c r="B22489" t="s">
        <v>5958</v>
      </c>
      <c r="C22489">
        <f>0.190745202533</f>
        <v>0.19074520253300001</v>
      </c>
      <c r="D22489">
        <v>0.88309100894899994</v>
      </c>
      <c r="E22489">
        <v>12.048</v>
      </c>
    </row>
    <row r="22490" spans="1:5">
      <c r="A22490" t="s">
        <v>47692</v>
      </c>
      <c r="B22490" t="s">
        <v>5957</v>
      </c>
      <c r="C22490">
        <v>0</v>
      </c>
      <c r="D22490">
        <v>0.88309100894899994</v>
      </c>
      <c r="E22490">
        <v>12.048</v>
      </c>
    </row>
    <row r="22491" spans="1:5">
      <c r="A22491" t="s">
        <v>47693</v>
      </c>
      <c r="B22491" t="s">
        <v>4250</v>
      </c>
      <c r="C22491">
        <v>0.43119459800299997</v>
      </c>
      <c r="D22491">
        <v>0.86020177952900001</v>
      </c>
      <c r="E22491">
        <v>19.2</v>
      </c>
    </row>
    <row r="22492" spans="1:5">
      <c r="A22492" t="s">
        <v>47693</v>
      </c>
      <c r="B22492" t="s">
        <v>4251</v>
      </c>
      <c r="C22492">
        <f>0</f>
        <v>0</v>
      </c>
      <c r="D22492">
        <v>0.86020177952900001</v>
      </c>
      <c r="E22492">
        <v>19.2</v>
      </c>
    </row>
    <row r="22493" spans="1:5">
      <c r="A22493" t="s">
        <v>47693</v>
      </c>
      <c r="B22493" t="s">
        <v>4247</v>
      </c>
      <c r="C22493">
        <v>0</v>
      </c>
      <c r="D22493">
        <v>0.86020177952900001</v>
      </c>
      <c r="E22493">
        <v>19.2</v>
      </c>
    </row>
    <row r="22494" spans="1:5">
      <c r="A22494" t="s">
        <v>47693</v>
      </c>
      <c r="B22494" t="s">
        <v>4248</v>
      </c>
      <c r="C22494">
        <v>0.25326563983400002</v>
      </c>
      <c r="D22494">
        <v>0.86020177952900001</v>
      </c>
      <c r="E22494">
        <v>19.2</v>
      </c>
    </row>
    <row r="22495" spans="1:5">
      <c r="A22495" t="s">
        <v>47693</v>
      </c>
      <c r="B22495" t="s">
        <v>4252</v>
      </c>
      <c r="C22495">
        <v>0.20641475079900001</v>
      </c>
      <c r="D22495">
        <v>0.86020177952900001</v>
      </c>
      <c r="E22495">
        <v>19.2</v>
      </c>
    </row>
    <row r="22496" spans="1:5">
      <c r="A22496" t="s">
        <v>47693</v>
      </c>
      <c r="B22496" t="s">
        <v>4249</v>
      </c>
      <c r="C22496">
        <f>0.0572208747721</f>
        <v>5.72208747721E-2</v>
      </c>
      <c r="D22496">
        <v>0.86020177952900001</v>
      </c>
      <c r="E22496">
        <v>19.2</v>
      </c>
    </row>
    <row r="22497" spans="1:5">
      <c r="A22497" t="s">
        <v>47694</v>
      </c>
      <c r="B22497" t="s">
        <v>26953</v>
      </c>
      <c r="C22497">
        <v>0.82709077617799998</v>
      </c>
      <c r="D22497">
        <v>0.95691662707699998</v>
      </c>
      <c r="E22497">
        <v>5.4660000000000002</v>
      </c>
    </row>
    <row r="22498" spans="1:5">
      <c r="A22498" t="s">
        <v>47694</v>
      </c>
      <c r="B22498" t="s">
        <v>26954</v>
      </c>
      <c r="C22498">
        <v>0.16765007652800001</v>
      </c>
      <c r="D22498">
        <v>0.95691662707699998</v>
      </c>
      <c r="E22498">
        <v>5.4660000000000002</v>
      </c>
    </row>
    <row r="22499" spans="1:5">
      <c r="A22499" t="s">
        <v>47694</v>
      </c>
      <c r="B22499" t="s">
        <v>26957</v>
      </c>
      <c r="C22499">
        <v>0</v>
      </c>
      <c r="D22499">
        <v>0.95691662707699998</v>
      </c>
      <c r="E22499">
        <v>5.4660000000000002</v>
      </c>
    </row>
    <row r="22500" spans="1:5">
      <c r="A22500" t="s">
        <v>47695</v>
      </c>
      <c r="B22500" t="s">
        <v>47696</v>
      </c>
      <c r="C22500">
        <v>0</v>
      </c>
      <c r="D22500" t="s">
        <v>106</v>
      </c>
      <c r="E22500">
        <v>7.1999999999999995E-2</v>
      </c>
    </row>
    <row r="22501" spans="1:5">
      <c r="A22501" t="s">
        <v>47695</v>
      </c>
      <c r="B22501" t="s">
        <v>47697</v>
      </c>
      <c r="C22501">
        <v>0</v>
      </c>
      <c r="D22501" t="s">
        <v>106</v>
      </c>
      <c r="E22501">
        <v>7.1999999999999995E-2</v>
      </c>
    </row>
    <row r="22502" spans="1:5">
      <c r="A22502" t="s">
        <v>47695</v>
      </c>
      <c r="B22502" t="s">
        <v>47698</v>
      </c>
      <c r="C22502">
        <f>0</f>
        <v>0</v>
      </c>
      <c r="D22502" t="s">
        <v>106</v>
      </c>
      <c r="E22502">
        <v>7.1999999999999995E-2</v>
      </c>
    </row>
    <row r="22503" spans="1:5">
      <c r="A22503" t="s">
        <v>47699</v>
      </c>
      <c r="B22503" t="s">
        <v>47700</v>
      </c>
      <c r="C22503">
        <v>0.38552345031000002</v>
      </c>
      <c r="D22503">
        <v>0.78802727645399995</v>
      </c>
      <c r="E22503">
        <v>12.048</v>
      </c>
    </row>
    <row r="22504" spans="1:5">
      <c r="A22504" t="s">
        <v>47699</v>
      </c>
      <c r="B22504" t="s">
        <v>47701</v>
      </c>
      <c r="C22504">
        <v>0.51577730028299995</v>
      </c>
      <c r="D22504">
        <v>0.78802727645399995</v>
      </c>
      <c r="E22504">
        <v>12.048</v>
      </c>
    </row>
    <row r="22505" spans="1:5">
      <c r="A22505" t="s">
        <v>47702</v>
      </c>
      <c r="B22505" t="s">
        <v>25599</v>
      </c>
      <c r="C22505">
        <f>0</f>
        <v>0</v>
      </c>
      <c r="D22505">
        <v>0.79176100789699999</v>
      </c>
      <c r="E22505">
        <v>7.2</v>
      </c>
    </row>
    <row r="22506" spans="1:5">
      <c r="A22506" t="s">
        <v>47702</v>
      </c>
      <c r="B22506" t="s">
        <v>25605</v>
      </c>
      <c r="C22506">
        <f>0.403914997588</f>
        <v>0.40391499758799998</v>
      </c>
      <c r="D22506">
        <v>0.79176100789699999</v>
      </c>
      <c r="E22506">
        <v>7.2</v>
      </c>
    </row>
    <row r="22507" spans="1:5">
      <c r="A22507" t="s">
        <v>47702</v>
      </c>
      <c r="B22507" t="s">
        <v>25603</v>
      </c>
      <c r="C22507">
        <f>0</f>
        <v>0</v>
      </c>
      <c r="D22507">
        <v>0.79176100789699999</v>
      </c>
      <c r="E22507">
        <v>7.2</v>
      </c>
    </row>
    <row r="22508" spans="1:5">
      <c r="A22508" t="s">
        <v>47702</v>
      </c>
      <c r="B22508" t="s">
        <v>25600</v>
      </c>
      <c r="C22508">
        <f>0.0884191371476</f>
        <v>8.8419137147599997E-2</v>
      </c>
      <c r="D22508">
        <v>0.79176100789699999</v>
      </c>
      <c r="E22508">
        <v>7.2</v>
      </c>
    </row>
    <row r="22509" spans="1:5">
      <c r="A22509" t="s">
        <v>47702</v>
      </c>
      <c r="B22509" t="s">
        <v>25601</v>
      </c>
      <c r="C22509">
        <f>0</f>
        <v>0</v>
      </c>
      <c r="D22509">
        <v>0.79176100789699999</v>
      </c>
      <c r="E22509">
        <v>7.2</v>
      </c>
    </row>
    <row r="22510" spans="1:5">
      <c r="A22510" t="s">
        <v>47703</v>
      </c>
      <c r="B22510" t="s">
        <v>47704</v>
      </c>
      <c r="C22510">
        <f>0.97635957826</f>
        <v>0.97635957825999997</v>
      </c>
      <c r="D22510">
        <v>0.99992439241099995</v>
      </c>
      <c r="E22510">
        <v>0.114</v>
      </c>
    </row>
    <row r="22511" spans="1:5">
      <c r="A22511" t="s">
        <v>47703</v>
      </c>
      <c r="B22511" t="s">
        <v>47705</v>
      </c>
      <c r="C22511">
        <v>0.89447613821299998</v>
      </c>
      <c r="D22511">
        <v>0.99992439241099995</v>
      </c>
      <c r="E22511">
        <v>0.114</v>
      </c>
    </row>
    <row r="22512" spans="1:5">
      <c r="A22512" t="s">
        <v>47703</v>
      </c>
      <c r="B22512" t="s">
        <v>47706</v>
      </c>
      <c r="C22512">
        <v>0.31574358885699999</v>
      </c>
      <c r="D22512">
        <v>0.99992439241099995</v>
      </c>
      <c r="E22512">
        <v>0.114</v>
      </c>
    </row>
    <row r="22513" spans="1:5">
      <c r="A22513" t="s">
        <v>47703</v>
      </c>
      <c r="B22513" t="s">
        <v>47707</v>
      </c>
      <c r="C22513">
        <f>0.967221591163</f>
        <v>0.96722159116299999</v>
      </c>
      <c r="D22513">
        <v>0.99992439241099995</v>
      </c>
      <c r="E22513">
        <v>0.114</v>
      </c>
    </row>
    <row r="22514" spans="1:5">
      <c r="A22514" t="s">
        <v>47703</v>
      </c>
      <c r="B22514" t="s">
        <v>47708</v>
      </c>
      <c r="C22514">
        <v>0.47160542176199999</v>
      </c>
      <c r="D22514">
        <v>0.99992439241099995</v>
      </c>
      <c r="E22514">
        <v>0.114</v>
      </c>
    </row>
    <row r="22515" spans="1:5">
      <c r="A22515" t="s">
        <v>47703</v>
      </c>
      <c r="B22515" t="s">
        <v>47709</v>
      </c>
      <c r="C22515">
        <v>0.42327081051499998</v>
      </c>
      <c r="D22515">
        <v>0.99992439241099995</v>
      </c>
      <c r="E22515">
        <v>0.114</v>
      </c>
    </row>
    <row r="22516" spans="1:5">
      <c r="A22516" t="s">
        <v>47710</v>
      </c>
      <c r="B22516" t="s">
        <v>29416</v>
      </c>
      <c r="C22516">
        <v>0.86343407615599999</v>
      </c>
      <c r="D22516">
        <v>0.997738270373</v>
      </c>
      <c r="E22516">
        <v>6.5519999999999996</v>
      </c>
    </row>
    <row r="22517" spans="1:5">
      <c r="A22517" t="s">
        <v>47710</v>
      </c>
      <c r="B22517" t="s">
        <v>29418</v>
      </c>
      <c r="C22517">
        <f>0.318527209922</f>
        <v>0.31852720992200001</v>
      </c>
      <c r="D22517">
        <v>0.997738270373</v>
      </c>
      <c r="E22517">
        <v>6.5519999999999996</v>
      </c>
    </row>
    <row r="22518" spans="1:5">
      <c r="A22518" t="s">
        <v>47710</v>
      </c>
      <c r="B22518" t="s">
        <v>29421</v>
      </c>
      <c r="C22518">
        <v>0.25517754405300003</v>
      </c>
      <c r="D22518">
        <v>0.997738270373</v>
      </c>
      <c r="E22518">
        <v>6.5519999999999996</v>
      </c>
    </row>
    <row r="22519" spans="1:5">
      <c r="A22519" t="s">
        <v>47710</v>
      </c>
      <c r="B22519" t="s">
        <v>29420</v>
      </c>
      <c r="C22519">
        <v>1.45853515318E-2</v>
      </c>
      <c r="D22519">
        <v>0.997738270373</v>
      </c>
      <c r="E22519">
        <v>6.5519999999999996</v>
      </c>
    </row>
    <row r="22520" spans="1:5">
      <c r="A22520" t="s">
        <v>47710</v>
      </c>
      <c r="B22520" t="s">
        <v>29417</v>
      </c>
      <c r="C22520">
        <v>8.4765432187600007E-2</v>
      </c>
      <c r="D22520">
        <v>0.997738270373</v>
      </c>
      <c r="E22520">
        <v>6.5519999999999996</v>
      </c>
    </row>
    <row r="22521" spans="1:5">
      <c r="A22521" t="s">
        <v>47711</v>
      </c>
      <c r="B22521" t="s">
        <v>19496</v>
      </c>
      <c r="C22521">
        <f>0</f>
        <v>0</v>
      </c>
      <c r="D22521" t="s">
        <v>106</v>
      </c>
      <c r="E22521">
        <v>0</v>
      </c>
    </row>
    <row r="22522" spans="1:5">
      <c r="A22522" t="s">
        <v>47711</v>
      </c>
      <c r="B22522" t="s">
        <v>19497</v>
      </c>
      <c r="C22522">
        <f>0</f>
        <v>0</v>
      </c>
      <c r="D22522" t="s">
        <v>106</v>
      </c>
      <c r="E22522">
        <v>0</v>
      </c>
    </row>
    <row r="22523" spans="1:5">
      <c r="A22523" t="s">
        <v>47711</v>
      </c>
      <c r="B22523" t="s">
        <v>19501</v>
      </c>
      <c r="C22523">
        <v>0</v>
      </c>
      <c r="D22523" t="s">
        <v>106</v>
      </c>
      <c r="E22523">
        <v>0</v>
      </c>
    </row>
    <row r="22524" spans="1:5">
      <c r="A22524" t="s">
        <v>47711</v>
      </c>
      <c r="B22524" t="s">
        <v>19500</v>
      </c>
      <c r="C22524">
        <v>0</v>
      </c>
      <c r="D22524" t="s">
        <v>106</v>
      </c>
      <c r="E22524">
        <v>0</v>
      </c>
    </row>
    <row r="22525" spans="1:5">
      <c r="A22525" t="s">
        <v>47712</v>
      </c>
      <c r="B22525" t="s">
        <v>8144</v>
      </c>
      <c r="C22525">
        <v>0</v>
      </c>
      <c r="D22525" t="s">
        <v>106</v>
      </c>
      <c r="E22525">
        <v>1.6379999999999999</v>
      </c>
    </row>
    <row r="22526" spans="1:5">
      <c r="A22526" t="s">
        <v>47712</v>
      </c>
      <c r="B22526" t="s">
        <v>8146</v>
      </c>
      <c r="C22526">
        <v>0</v>
      </c>
      <c r="D22526" t="s">
        <v>106</v>
      </c>
      <c r="E22526">
        <v>1.6379999999999999</v>
      </c>
    </row>
    <row r="22527" spans="1:5">
      <c r="A22527" t="s">
        <v>47712</v>
      </c>
      <c r="B22527" t="s">
        <v>8143</v>
      </c>
      <c r="C22527">
        <v>0</v>
      </c>
      <c r="D22527" t="s">
        <v>106</v>
      </c>
      <c r="E22527">
        <v>1.6379999999999999</v>
      </c>
    </row>
    <row r="22528" spans="1:5">
      <c r="A22528" t="s">
        <v>47712</v>
      </c>
      <c r="B22528" t="s">
        <v>8148</v>
      </c>
      <c r="C22528">
        <f>0</f>
        <v>0</v>
      </c>
      <c r="D22528" t="s">
        <v>106</v>
      </c>
      <c r="E22528">
        <v>1.6379999999999999</v>
      </c>
    </row>
    <row r="22529" spans="1:5">
      <c r="A22529" t="s">
        <v>47712</v>
      </c>
      <c r="B22529" t="s">
        <v>8145</v>
      </c>
      <c r="C22529">
        <f>0</f>
        <v>0</v>
      </c>
      <c r="D22529" t="s">
        <v>106</v>
      </c>
      <c r="E22529">
        <v>1.6379999999999999</v>
      </c>
    </row>
    <row r="22530" spans="1:5">
      <c r="A22530" t="s">
        <v>47713</v>
      </c>
      <c r="B22530" t="s">
        <v>17214</v>
      </c>
      <c r="C22530">
        <v>1.4078774596000001</v>
      </c>
      <c r="D22530">
        <v>0.92265811683099996</v>
      </c>
      <c r="E22530">
        <v>5.4660000000000002</v>
      </c>
    </row>
    <row r="22531" spans="1:5">
      <c r="A22531" t="s">
        <v>47713</v>
      </c>
      <c r="B22531" t="s">
        <v>17215</v>
      </c>
      <c r="C22531">
        <f>0.798721295233</f>
        <v>0.79872129523299995</v>
      </c>
      <c r="D22531">
        <v>0.92265811683099996</v>
      </c>
      <c r="E22531">
        <v>5.4660000000000002</v>
      </c>
    </row>
    <row r="22532" spans="1:5">
      <c r="A22532" t="s">
        <v>47714</v>
      </c>
      <c r="B22532" t="s">
        <v>28359</v>
      </c>
      <c r="C22532">
        <f>0</f>
        <v>0</v>
      </c>
      <c r="D22532">
        <v>0.80284507770000002</v>
      </c>
      <c r="E22532">
        <v>21.42</v>
      </c>
    </row>
    <row r="22533" spans="1:5">
      <c r="A22533" t="s">
        <v>47714</v>
      </c>
      <c r="B22533" t="s">
        <v>28366</v>
      </c>
      <c r="C22533">
        <f>0.4428350777</f>
        <v>0.44283507770000002</v>
      </c>
      <c r="D22533">
        <v>0.80284507770000002</v>
      </c>
      <c r="E22533">
        <v>21.42</v>
      </c>
    </row>
    <row r="22534" spans="1:5">
      <c r="A22534" t="s">
        <v>47714</v>
      </c>
      <c r="B22534" t="s">
        <v>28362</v>
      </c>
      <c r="C22534">
        <f>0</f>
        <v>0</v>
      </c>
      <c r="D22534">
        <v>0.80284507770000002</v>
      </c>
      <c r="E22534">
        <v>21.42</v>
      </c>
    </row>
    <row r="22535" spans="1:5">
      <c r="A22535" t="s">
        <v>47714</v>
      </c>
      <c r="B22535" t="s">
        <v>28365</v>
      </c>
      <c r="C22535">
        <v>0</v>
      </c>
      <c r="D22535">
        <v>0.80284507770000002</v>
      </c>
      <c r="E22535">
        <v>21.42</v>
      </c>
    </row>
    <row r="22536" spans="1:5">
      <c r="A22536" t="s">
        <v>47714</v>
      </c>
      <c r="B22536" t="s">
        <v>28363</v>
      </c>
      <c r="C22536">
        <f>0</f>
        <v>0</v>
      </c>
      <c r="D22536">
        <v>0.80284507770000002</v>
      </c>
      <c r="E22536">
        <v>21.42</v>
      </c>
    </row>
    <row r="22537" spans="1:5">
      <c r="A22537" t="s">
        <v>47714</v>
      </c>
      <c r="B22537" t="s">
        <v>28367</v>
      </c>
      <c r="C22537">
        <f>0</f>
        <v>0</v>
      </c>
      <c r="D22537">
        <v>0.80284507770000002</v>
      </c>
      <c r="E22537">
        <v>21.42</v>
      </c>
    </row>
    <row r="22538" spans="1:5">
      <c r="A22538" t="s">
        <v>47714</v>
      </c>
      <c r="B22538" t="s">
        <v>28370</v>
      </c>
      <c r="C22538">
        <v>0</v>
      </c>
      <c r="D22538">
        <v>0.80284507770000002</v>
      </c>
      <c r="E22538">
        <v>21.42</v>
      </c>
    </row>
    <row r="22539" spans="1:5">
      <c r="A22539" t="s">
        <v>47714</v>
      </c>
      <c r="B22539" t="s">
        <v>28368</v>
      </c>
      <c r="C22539">
        <f>0</f>
        <v>0</v>
      </c>
      <c r="D22539">
        <v>0.80284507770000002</v>
      </c>
      <c r="E22539">
        <v>21.42</v>
      </c>
    </row>
    <row r="22540" spans="1:5">
      <c r="A22540" t="s">
        <v>47715</v>
      </c>
      <c r="B22540" t="s">
        <v>32646</v>
      </c>
      <c r="C22540">
        <f>0</f>
        <v>0</v>
      </c>
      <c r="D22540" t="s">
        <v>106</v>
      </c>
      <c r="E22540">
        <v>3.3180000000000001</v>
      </c>
    </row>
    <row r="22541" spans="1:5">
      <c r="A22541" t="s">
        <v>47715</v>
      </c>
      <c r="B22541" t="s">
        <v>32647</v>
      </c>
      <c r="C22541">
        <v>0</v>
      </c>
      <c r="D22541" t="s">
        <v>106</v>
      </c>
      <c r="E22541">
        <v>3.3180000000000001</v>
      </c>
    </row>
    <row r="22542" spans="1:5">
      <c r="A22542" t="s">
        <v>47715</v>
      </c>
      <c r="B22542" t="s">
        <v>32649</v>
      </c>
      <c r="C22542">
        <v>0</v>
      </c>
      <c r="D22542" t="s">
        <v>106</v>
      </c>
      <c r="E22542">
        <v>3.3180000000000001</v>
      </c>
    </row>
    <row r="22543" spans="1:5">
      <c r="A22543" t="s">
        <v>47716</v>
      </c>
      <c r="B22543" t="s">
        <v>47717</v>
      </c>
      <c r="C22543">
        <v>0.64796170712300005</v>
      </c>
      <c r="D22543">
        <v>0.64767091192699999</v>
      </c>
      <c r="E22543">
        <v>8.8680000000000003</v>
      </c>
    </row>
    <row r="22544" spans="1:5">
      <c r="A22544" t="s">
        <v>47716</v>
      </c>
      <c r="B22544" t="s">
        <v>47718</v>
      </c>
      <c r="C22544">
        <v>0.593753806695</v>
      </c>
      <c r="D22544">
        <v>0.64767091192699999</v>
      </c>
      <c r="E22544">
        <v>8.8680000000000003</v>
      </c>
    </row>
    <row r="22545" spans="1:5">
      <c r="A22545" t="s">
        <v>47719</v>
      </c>
      <c r="B22545" t="s">
        <v>13227</v>
      </c>
      <c r="C22545">
        <f>0</f>
        <v>0</v>
      </c>
      <c r="D22545">
        <v>0.94594738317399996</v>
      </c>
      <c r="E22545">
        <v>24</v>
      </c>
    </row>
    <row r="22546" spans="1:5">
      <c r="A22546" t="s">
        <v>47719</v>
      </c>
      <c r="B22546" t="s">
        <v>13233</v>
      </c>
      <c r="C22546">
        <f>0.142019286327</f>
        <v>0.142019286327</v>
      </c>
      <c r="D22546">
        <v>0.94594738317399996</v>
      </c>
      <c r="E22546">
        <v>24</v>
      </c>
    </row>
    <row r="22547" spans="1:5">
      <c r="A22547" t="s">
        <v>47719</v>
      </c>
      <c r="B22547" t="s">
        <v>13226</v>
      </c>
      <c r="C22547">
        <f>0.111040932323</f>
        <v>0.111040932323</v>
      </c>
      <c r="D22547">
        <v>0.94594738317399996</v>
      </c>
      <c r="E22547">
        <v>24</v>
      </c>
    </row>
    <row r="22548" spans="1:5">
      <c r="A22548" t="s">
        <v>47719</v>
      </c>
      <c r="B22548" t="s">
        <v>13232</v>
      </c>
      <c r="C22548">
        <v>0</v>
      </c>
      <c r="D22548">
        <v>0.94594738317399996</v>
      </c>
      <c r="E22548">
        <v>24</v>
      </c>
    </row>
    <row r="22549" spans="1:5">
      <c r="A22549" t="s">
        <v>47719</v>
      </c>
      <c r="B22549" t="s">
        <v>13228</v>
      </c>
      <c r="C22549">
        <f>0</f>
        <v>0</v>
      </c>
      <c r="D22549">
        <v>0.94594738317399996</v>
      </c>
      <c r="E22549">
        <v>24</v>
      </c>
    </row>
    <row r="22550" spans="1:5">
      <c r="A22550" t="s">
        <v>47719</v>
      </c>
      <c r="B22550" t="s">
        <v>13225</v>
      </c>
      <c r="C22550">
        <v>0</v>
      </c>
      <c r="D22550">
        <v>0.94594738317399996</v>
      </c>
      <c r="E22550">
        <v>24</v>
      </c>
    </row>
    <row r="22551" spans="1:5">
      <c r="A22551" t="s">
        <v>47719</v>
      </c>
      <c r="B22551" t="s">
        <v>13229</v>
      </c>
      <c r="C22551">
        <v>0.62370888745099995</v>
      </c>
      <c r="D22551">
        <v>0.94594738317399996</v>
      </c>
      <c r="E22551">
        <v>24</v>
      </c>
    </row>
    <row r="22552" spans="1:5">
      <c r="A22552" t="s">
        <v>47719</v>
      </c>
      <c r="B22552" t="s">
        <v>13231</v>
      </c>
      <c r="C22552">
        <v>0.19211023935900001</v>
      </c>
      <c r="D22552">
        <v>0.94594738317399996</v>
      </c>
      <c r="E22552">
        <v>24</v>
      </c>
    </row>
    <row r="22553" spans="1:5">
      <c r="A22553" t="s">
        <v>47720</v>
      </c>
      <c r="B22553" t="s">
        <v>11754</v>
      </c>
      <c r="C22553">
        <f>0</f>
        <v>0</v>
      </c>
      <c r="D22553" t="s">
        <v>106</v>
      </c>
      <c r="E22553">
        <v>0.34799999999999998</v>
      </c>
    </row>
    <row r="22554" spans="1:5">
      <c r="A22554" t="s">
        <v>47720</v>
      </c>
      <c r="B22554" t="s">
        <v>11747</v>
      </c>
      <c r="C22554">
        <f>0</f>
        <v>0</v>
      </c>
      <c r="D22554" t="s">
        <v>106</v>
      </c>
      <c r="E22554">
        <v>0.34799999999999998</v>
      </c>
    </row>
    <row r="22555" spans="1:5">
      <c r="A22555" t="s">
        <v>47720</v>
      </c>
      <c r="B22555" t="s">
        <v>11752</v>
      </c>
      <c r="C22555">
        <v>0</v>
      </c>
      <c r="D22555" t="s">
        <v>106</v>
      </c>
      <c r="E22555">
        <v>0.34799999999999998</v>
      </c>
    </row>
    <row r="22556" spans="1:5">
      <c r="A22556" t="s">
        <v>47720</v>
      </c>
      <c r="B22556" t="s">
        <v>11748</v>
      </c>
      <c r="C22556">
        <f>0</f>
        <v>0</v>
      </c>
      <c r="D22556" t="s">
        <v>106</v>
      </c>
      <c r="E22556">
        <v>0.34799999999999998</v>
      </c>
    </row>
    <row r="22557" spans="1:5">
      <c r="A22557" t="s">
        <v>47720</v>
      </c>
      <c r="B22557" t="s">
        <v>11751</v>
      </c>
      <c r="C22557">
        <v>0</v>
      </c>
      <c r="D22557" t="s">
        <v>106</v>
      </c>
      <c r="E22557">
        <v>0.34799999999999998</v>
      </c>
    </row>
    <row r="22558" spans="1:5">
      <c r="A22558" t="s">
        <v>47721</v>
      </c>
      <c r="B22558" t="s">
        <v>23631</v>
      </c>
      <c r="C22558">
        <f>0</f>
        <v>0</v>
      </c>
      <c r="D22558" t="s">
        <v>106</v>
      </c>
      <c r="E22558">
        <v>1.698</v>
      </c>
    </row>
    <row r="22559" spans="1:5">
      <c r="A22559" t="s">
        <v>47721</v>
      </c>
      <c r="B22559" t="s">
        <v>23633</v>
      </c>
      <c r="C22559">
        <v>0</v>
      </c>
      <c r="D22559" t="s">
        <v>106</v>
      </c>
      <c r="E22559">
        <v>1.698</v>
      </c>
    </row>
    <row r="22560" spans="1:5">
      <c r="A22560" t="s">
        <v>47721</v>
      </c>
      <c r="B22560" t="s">
        <v>23634</v>
      </c>
      <c r="C22560">
        <v>0</v>
      </c>
      <c r="D22560" t="s">
        <v>106</v>
      </c>
      <c r="E22560">
        <v>1.698</v>
      </c>
    </row>
    <row r="22561" spans="1:5">
      <c r="A22561" t="s">
        <v>47722</v>
      </c>
      <c r="B22561" t="s">
        <v>9804</v>
      </c>
      <c r="C22561">
        <f>-1.00432706442</f>
        <v>-1.00432706442</v>
      </c>
      <c r="D22561">
        <v>0.98871959246600005</v>
      </c>
      <c r="E22561">
        <v>0.78</v>
      </c>
    </row>
    <row r="22562" spans="1:5">
      <c r="A22562" t="s">
        <v>47722</v>
      </c>
      <c r="B22562" t="s">
        <v>9799</v>
      </c>
      <c r="C22562">
        <v>1.82519573328</v>
      </c>
      <c r="D22562">
        <v>0.98871959246600005</v>
      </c>
      <c r="E22562">
        <v>0.78</v>
      </c>
    </row>
    <row r="22563" spans="1:5">
      <c r="A22563" t="s">
        <v>47722</v>
      </c>
      <c r="B22563" t="s">
        <v>9800</v>
      </c>
      <c r="C22563">
        <f>0.397235205209</f>
        <v>0.39723520520900002</v>
      </c>
      <c r="D22563">
        <v>0.98871959246600005</v>
      </c>
      <c r="E22563">
        <v>0.78</v>
      </c>
    </row>
    <row r="22564" spans="1:5">
      <c r="A22564" t="s">
        <v>47722</v>
      </c>
      <c r="B22564" t="s">
        <v>9805</v>
      </c>
      <c r="C22564">
        <v>0.43946352870799998</v>
      </c>
      <c r="D22564">
        <v>0.98871959246600005</v>
      </c>
      <c r="E22564">
        <v>0.78</v>
      </c>
    </row>
    <row r="22565" spans="1:5">
      <c r="A22565" t="s">
        <v>47723</v>
      </c>
      <c r="B22565" t="s">
        <v>47724</v>
      </c>
      <c r="C22565">
        <f>0</f>
        <v>0</v>
      </c>
      <c r="D22565" t="s">
        <v>106</v>
      </c>
      <c r="E22565">
        <v>3.5999999999999997E-2</v>
      </c>
    </row>
    <row r="22566" spans="1:5">
      <c r="A22566" t="s">
        <v>47723</v>
      </c>
      <c r="B22566" t="s">
        <v>47725</v>
      </c>
      <c r="C22566">
        <f>0</f>
        <v>0</v>
      </c>
      <c r="D22566" t="s">
        <v>106</v>
      </c>
      <c r="E22566">
        <v>3.5999999999999997E-2</v>
      </c>
    </row>
    <row r="22567" spans="1:5">
      <c r="A22567" t="s">
        <v>47726</v>
      </c>
      <c r="B22567" t="s">
        <v>16279</v>
      </c>
      <c r="C22567">
        <v>0.147141998188</v>
      </c>
      <c r="D22567">
        <v>0.98068579480999996</v>
      </c>
      <c r="E22567">
        <v>23.754000000000001</v>
      </c>
    </row>
    <row r="22568" spans="1:5">
      <c r="A22568" t="s">
        <v>47726</v>
      </c>
      <c r="B22568" t="s">
        <v>16282</v>
      </c>
      <c r="C22568">
        <v>0.61760295034500001</v>
      </c>
      <c r="D22568">
        <v>0.98068579480999996</v>
      </c>
      <c r="E22568">
        <v>23.754000000000001</v>
      </c>
    </row>
    <row r="22569" spans="1:5">
      <c r="A22569" t="s">
        <v>47726</v>
      </c>
      <c r="B22569" t="s">
        <v>16280</v>
      </c>
      <c r="C22569">
        <f>0.174740967481</f>
        <v>0.17474096748099999</v>
      </c>
      <c r="D22569">
        <v>0.98068579480999996</v>
      </c>
      <c r="E22569">
        <v>23.754000000000001</v>
      </c>
    </row>
    <row r="22570" spans="1:5">
      <c r="A22570" t="s">
        <v>47726</v>
      </c>
      <c r="B22570" t="s">
        <v>16281</v>
      </c>
      <c r="C22570">
        <v>0.49468928222199998</v>
      </c>
      <c r="D22570">
        <v>0.98068579480999996</v>
      </c>
      <c r="E22570">
        <v>23.754000000000001</v>
      </c>
    </row>
    <row r="22571" spans="1:5">
      <c r="A22571" t="s">
        <v>47727</v>
      </c>
      <c r="B22571" t="s">
        <v>9322</v>
      </c>
      <c r="C22571">
        <f>0.627896541802</f>
        <v>0.62789654180200005</v>
      </c>
      <c r="D22571">
        <v>0.99999998768099996</v>
      </c>
      <c r="E22571">
        <v>1.7999999999999999E-2</v>
      </c>
    </row>
    <row r="22572" spans="1:5">
      <c r="A22572" t="s">
        <v>47727</v>
      </c>
      <c r="B22572" t="s">
        <v>9336</v>
      </c>
      <c r="C22572">
        <f>0.0866026727428</f>
        <v>8.6602672742799994E-2</v>
      </c>
      <c r="D22572">
        <v>0.99999998768099996</v>
      </c>
      <c r="E22572">
        <v>1.7999999999999999E-2</v>
      </c>
    </row>
    <row r="22573" spans="1:5">
      <c r="A22573" t="s">
        <v>47727</v>
      </c>
      <c r="B22573" t="s">
        <v>9328</v>
      </c>
      <c r="C22573">
        <f>0.592204158668</f>
        <v>0.59220415866800002</v>
      </c>
      <c r="D22573">
        <v>0.99999998768099996</v>
      </c>
      <c r="E22573">
        <v>1.7999999999999999E-2</v>
      </c>
    </row>
    <row r="22574" spans="1:5">
      <c r="A22574" t="s">
        <v>47727</v>
      </c>
      <c r="B22574" t="s">
        <v>9330</v>
      </c>
      <c r="C22574">
        <f>0.00327737572577</f>
        <v>3.27737572577E-3</v>
      </c>
      <c r="D22574">
        <v>0.99999998768099996</v>
      </c>
      <c r="E22574">
        <v>1.7999999999999999E-2</v>
      </c>
    </row>
    <row r="22575" spans="1:5">
      <c r="A22575" t="s">
        <v>47727</v>
      </c>
      <c r="B22575" t="s">
        <v>9325</v>
      </c>
      <c r="C22575">
        <v>0.14333723147899999</v>
      </c>
      <c r="D22575">
        <v>0.99999998768099996</v>
      </c>
      <c r="E22575">
        <v>1.7999999999999999E-2</v>
      </c>
    </row>
    <row r="22576" spans="1:5">
      <c r="A22576" t="s">
        <v>47727</v>
      </c>
      <c r="B22576" t="s">
        <v>9335</v>
      </c>
      <c r="C22576">
        <f>0.194718520777</f>
        <v>0.194718520777</v>
      </c>
      <c r="D22576">
        <v>0.99999998768099996</v>
      </c>
      <c r="E22576">
        <v>1.7999999999999999E-2</v>
      </c>
    </row>
    <row r="22577" spans="1:5">
      <c r="A22577" t="s">
        <v>47727</v>
      </c>
      <c r="B22577" t="s">
        <v>9332</v>
      </c>
      <c r="C22577">
        <f>0.0634585943848</f>
        <v>6.3458594384800004E-2</v>
      </c>
      <c r="D22577">
        <v>0.99999998768099996</v>
      </c>
      <c r="E22577">
        <v>1.7999999999999999E-2</v>
      </c>
    </row>
    <row r="22578" spans="1:5">
      <c r="A22578" t="s">
        <v>47727</v>
      </c>
      <c r="B22578" t="s">
        <v>9324</v>
      </c>
      <c r="C22578">
        <f>0.174260156933</f>
        <v>0.17426015693300001</v>
      </c>
      <c r="D22578">
        <v>0.99999998768099996</v>
      </c>
      <c r="E22578">
        <v>1.7999999999999999E-2</v>
      </c>
    </row>
    <row r="22579" spans="1:5">
      <c r="A22579" t="s">
        <v>47727</v>
      </c>
      <c r="B22579" t="s">
        <v>9337</v>
      </c>
      <c r="C22579">
        <f>0.0724243178044</f>
        <v>7.2424317804400007E-2</v>
      </c>
      <c r="D22579">
        <v>0.99999998768099996</v>
      </c>
      <c r="E22579">
        <v>1.7999999999999999E-2</v>
      </c>
    </row>
    <row r="22580" spans="1:5">
      <c r="A22580" t="s">
        <v>47727</v>
      </c>
      <c r="B22580" t="s">
        <v>9327</v>
      </c>
      <c r="C22580">
        <v>2.6702367072100001E-2</v>
      </c>
      <c r="D22580">
        <v>0.99999998768099996</v>
      </c>
      <c r="E22580">
        <v>1.7999999999999999E-2</v>
      </c>
    </row>
    <row r="22581" spans="1:5">
      <c r="A22581" t="s">
        <v>47727</v>
      </c>
      <c r="B22581" t="s">
        <v>9331</v>
      </c>
      <c r="C22581">
        <f>0.252704080164</f>
        <v>0.25270408016399998</v>
      </c>
      <c r="D22581">
        <v>0.99999998768099996</v>
      </c>
      <c r="E22581">
        <v>1.7999999999999999E-2</v>
      </c>
    </row>
    <row r="22582" spans="1:5">
      <c r="A22582" t="s">
        <v>47727</v>
      </c>
      <c r="B22582" t="s">
        <v>9334</v>
      </c>
      <c r="C22582">
        <f>0.0108214091587</f>
        <v>1.08214091587E-2</v>
      </c>
      <c r="D22582">
        <v>0.99999998768099996</v>
      </c>
      <c r="E22582">
        <v>1.7999999999999999E-2</v>
      </c>
    </row>
    <row r="22583" spans="1:5">
      <c r="A22583" t="s">
        <v>47727</v>
      </c>
      <c r="B22583" t="s">
        <v>9333</v>
      </c>
      <c r="C22583">
        <v>0.116549259584</v>
      </c>
      <c r="D22583">
        <v>0.99999998768099996</v>
      </c>
      <c r="E22583">
        <v>1.7999999999999999E-2</v>
      </c>
    </row>
    <row r="22584" spans="1:5">
      <c r="A22584" t="s">
        <v>47728</v>
      </c>
      <c r="B22584" t="s">
        <v>30797</v>
      </c>
      <c r="C22584">
        <f>0</f>
        <v>0</v>
      </c>
      <c r="D22584">
        <v>0.75468700698299995</v>
      </c>
      <c r="E22584">
        <v>8.1539999999999999</v>
      </c>
    </row>
    <row r="22585" spans="1:5">
      <c r="A22585" t="s">
        <v>47728</v>
      </c>
      <c r="B22585" t="s">
        <v>30811</v>
      </c>
      <c r="C22585">
        <v>0</v>
      </c>
      <c r="D22585">
        <v>0.75468700698299995</v>
      </c>
      <c r="E22585">
        <v>8.1539999999999999</v>
      </c>
    </row>
    <row r="22586" spans="1:5">
      <c r="A22586" t="s">
        <v>47728</v>
      </c>
      <c r="B22586" t="s">
        <v>30798</v>
      </c>
      <c r="C22586">
        <f>0</f>
        <v>0</v>
      </c>
      <c r="D22586">
        <v>0.75468700698299995</v>
      </c>
      <c r="E22586">
        <v>8.1539999999999999</v>
      </c>
    </row>
    <row r="22587" spans="1:5">
      <c r="A22587" t="s">
        <v>47728</v>
      </c>
      <c r="B22587" t="s">
        <v>30810</v>
      </c>
      <c r="C22587">
        <v>0.34507700698299998</v>
      </c>
      <c r="D22587">
        <v>0.75468700698299995</v>
      </c>
      <c r="E22587">
        <v>8.1539999999999999</v>
      </c>
    </row>
    <row r="22588" spans="1:5">
      <c r="A22588" t="s">
        <v>47728</v>
      </c>
      <c r="B22588" t="s">
        <v>30803</v>
      </c>
      <c r="C22588">
        <v>0</v>
      </c>
      <c r="D22588">
        <v>0.75468700698299995</v>
      </c>
      <c r="E22588">
        <v>8.1539999999999999</v>
      </c>
    </row>
    <row r="22589" spans="1:5">
      <c r="A22589" t="s">
        <v>47728</v>
      </c>
      <c r="B22589" t="s">
        <v>30813</v>
      </c>
      <c r="C22589">
        <v>0</v>
      </c>
      <c r="D22589">
        <v>0.75468700698299995</v>
      </c>
      <c r="E22589">
        <v>8.1539999999999999</v>
      </c>
    </row>
    <row r="22590" spans="1:5">
      <c r="A22590" t="s">
        <v>47728</v>
      </c>
      <c r="B22590" t="s">
        <v>30805</v>
      </c>
      <c r="C22590">
        <v>0</v>
      </c>
      <c r="D22590">
        <v>0.75468700698299995</v>
      </c>
      <c r="E22590">
        <v>8.1539999999999999</v>
      </c>
    </row>
    <row r="22591" spans="1:5">
      <c r="A22591" t="s">
        <v>47728</v>
      </c>
      <c r="B22591" t="s">
        <v>30808</v>
      </c>
      <c r="C22591">
        <v>0</v>
      </c>
      <c r="D22591">
        <v>0.75468700698299995</v>
      </c>
      <c r="E22591">
        <v>8.1539999999999999</v>
      </c>
    </row>
    <row r="22592" spans="1:5">
      <c r="A22592" t="s">
        <v>47729</v>
      </c>
      <c r="B22592" t="s">
        <v>29598</v>
      </c>
      <c r="C22592">
        <v>0.58691848774599997</v>
      </c>
      <c r="D22592">
        <v>0.69601647981799997</v>
      </c>
      <c r="E22592">
        <v>0</v>
      </c>
    </row>
    <row r="22593" spans="1:5">
      <c r="A22593" t="s">
        <v>47729</v>
      </c>
      <c r="B22593" t="s">
        <v>29600</v>
      </c>
      <c r="C22593">
        <f>0</f>
        <v>0</v>
      </c>
      <c r="D22593">
        <v>0.69601647981799997</v>
      </c>
      <c r="E22593">
        <v>0</v>
      </c>
    </row>
    <row r="22594" spans="1:5">
      <c r="A22594" t="s">
        <v>47729</v>
      </c>
      <c r="B22594" t="s">
        <v>29601</v>
      </c>
      <c r="C22594">
        <f>0.144373366893</f>
        <v>0.14437336689300001</v>
      </c>
      <c r="D22594">
        <v>0.69601647981799997</v>
      </c>
      <c r="E22594">
        <v>0</v>
      </c>
    </row>
    <row r="22595" spans="1:5">
      <c r="A22595" t="s">
        <v>47730</v>
      </c>
      <c r="B22595" t="s">
        <v>11653</v>
      </c>
      <c r="C22595">
        <v>0.79764362870700001</v>
      </c>
      <c r="D22595">
        <v>0.89209144146200003</v>
      </c>
      <c r="E22595">
        <v>10.878</v>
      </c>
    </row>
    <row r="22596" spans="1:5">
      <c r="A22596" t="s">
        <v>47730</v>
      </c>
      <c r="B22596" t="s">
        <v>11654</v>
      </c>
      <c r="C22596">
        <f>0.715169237317</f>
        <v>0.715169237317</v>
      </c>
      <c r="D22596">
        <v>0.89209144146200003</v>
      </c>
      <c r="E22596">
        <v>10.878</v>
      </c>
    </row>
    <row r="22597" spans="1:5">
      <c r="A22597" t="s">
        <v>47730</v>
      </c>
      <c r="B22597" t="s">
        <v>11658</v>
      </c>
      <c r="C22597">
        <v>8.4414095749200002E-2</v>
      </c>
      <c r="D22597">
        <v>0.89209144146200003</v>
      </c>
      <c r="E22597">
        <v>10.878</v>
      </c>
    </row>
    <row r="22598" spans="1:5">
      <c r="A22598" t="s">
        <v>47730</v>
      </c>
      <c r="B22598" t="s">
        <v>11655</v>
      </c>
      <c r="C22598">
        <f>0.612035538238</f>
        <v>0.61203553823800005</v>
      </c>
      <c r="D22598">
        <v>0.89209144146200003</v>
      </c>
      <c r="E22598">
        <v>10.878</v>
      </c>
    </row>
    <row r="22599" spans="1:5">
      <c r="A22599" t="s">
        <v>47730</v>
      </c>
      <c r="B22599" t="s">
        <v>11656</v>
      </c>
      <c r="C22599">
        <f>0</f>
        <v>0</v>
      </c>
      <c r="D22599">
        <v>0.89209144146200003</v>
      </c>
      <c r="E22599">
        <v>10.878</v>
      </c>
    </row>
    <row r="22600" spans="1:5">
      <c r="A22600" t="s">
        <v>47730</v>
      </c>
      <c r="B22600" t="s">
        <v>11659</v>
      </c>
      <c r="C22600">
        <v>0.19153272074</v>
      </c>
      <c r="D22600">
        <v>0.89209144146200003</v>
      </c>
      <c r="E22600">
        <v>10.878</v>
      </c>
    </row>
    <row r="22601" spans="1:5">
      <c r="A22601" t="s">
        <v>47731</v>
      </c>
      <c r="B22601" t="s">
        <v>27573</v>
      </c>
      <c r="C22601">
        <v>0.636368260272</v>
      </c>
      <c r="D22601">
        <v>0.92446531089399997</v>
      </c>
      <c r="E22601">
        <v>2.802</v>
      </c>
    </row>
    <row r="22602" spans="1:5">
      <c r="A22602" t="s">
        <v>47731</v>
      </c>
      <c r="B22602" t="s">
        <v>27576</v>
      </c>
      <c r="C22602">
        <f>-1.35166928743</f>
        <v>-1.35166928743</v>
      </c>
      <c r="D22602">
        <v>0.92446531089399997</v>
      </c>
      <c r="E22602">
        <v>2.802</v>
      </c>
    </row>
    <row r="22603" spans="1:5">
      <c r="A22603" t="s">
        <v>47731</v>
      </c>
      <c r="B22603" t="s">
        <v>27577</v>
      </c>
      <c r="C22603">
        <v>0.70042685139000005</v>
      </c>
      <c r="D22603">
        <v>0.92446531089399997</v>
      </c>
      <c r="E22603">
        <v>2.802</v>
      </c>
    </row>
    <row r="22604" spans="1:5">
      <c r="A22604" t="s">
        <v>47731</v>
      </c>
      <c r="B22604" t="s">
        <v>27575</v>
      </c>
      <c r="C22604">
        <v>0.34268610850499998</v>
      </c>
      <c r="D22604">
        <v>0.92446531089399997</v>
      </c>
      <c r="E22604">
        <v>2.802</v>
      </c>
    </row>
    <row r="22605" spans="1:5">
      <c r="A22605" t="s">
        <v>47732</v>
      </c>
      <c r="B22605" t="s">
        <v>1662</v>
      </c>
      <c r="C22605">
        <f>0.233953433476</f>
        <v>0.23395343347600001</v>
      </c>
      <c r="D22605">
        <v>0.83790088846800004</v>
      </c>
      <c r="E22605">
        <v>24</v>
      </c>
    </row>
    <row r="22606" spans="1:5">
      <c r="A22606" t="s">
        <v>47732</v>
      </c>
      <c r="B22606" t="s">
        <v>1667</v>
      </c>
      <c r="C22606">
        <v>0.190473838245</v>
      </c>
      <c r="D22606">
        <v>0.83790088846800004</v>
      </c>
      <c r="E22606">
        <v>24</v>
      </c>
    </row>
    <row r="22607" spans="1:5">
      <c r="A22607" t="s">
        <v>47732</v>
      </c>
      <c r="B22607" t="s">
        <v>1666</v>
      </c>
      <c r="C22607">
        <v>0.60748132696400003</v>
      </c>
      <c r="D22607">
        <v>0.83790088846800004</v>
      </c>
      <c r="E22607">
        <v>24</v>
      </c>
    </row>
    <row r="22608" spans="1:5">
      <c r="A22608" t="s">
        <v>47733</v>
      </c>
      <c r="B22608" t="s">
        <v>7798</v>
      </c>
      <c r="C22608">
        <f>0.0216900480131</f>
        <v>2.16900480131E-2</v>
      </c>
      <c r="D22608">
        <v>0.55262101395200003</v>
      </c>
      <c r="E22608">
        <v>21.876000000000001</v>
      </c>
    </row>
    <row r="22609" spans="1:5">
      <c r="A22609" t="s">
        <v>47733</v>
      </c>
      <c r="B22609" t="s">
        <v>7797</v>
      </c>
      <c r="C22609">
        <f>0.0281242129213</f>
        <v>2.8124212921300001E-2</v>
      </c>
      <c r="D22609">
        <v>0.55262101395200003</v>
      </c>
      <c r="E22609">
        <v>21.876000000000001</v>
      </c>
    </row>
    <row r="22610" spans="1:5">
      <c r="A22610" t="s">
        <v>47733</v>
      </c>
      <c r="B22610" t="s">
        <v>7799</v>
      </c>
      <c r="C22610">
        <f>0.177271785888</f>
        <v>0.17727178588799999</v>
      </c>
      <c r="D22610">
        <v>0.55262101395200003</v>
      </c>
      <c r="E22610">
        <v>21.876000000000001</v>
      </c>
    </row>
    <row r="22611" spans="1:5">
      <c r="A22611" t="s">
        <v>47734</v>
      </c>
      <c r="B22611" t="s">
        <v>47735</v>
      </c>
      <c r="C22611">
        <v>0</v>
      </c>
      <c r="D22611" t="s">
        <v>106</v>
      </c>
      <c r="E22611">
        <v>23.52</v>
      </c>
    </row>
    <row r="22612" spans="1:5">
      <c r="A22612" t="s">
        <v>47734</v>
      </c>
      <c r="B22612" t="s">
        <v>47736</v>
      </c>
      <c r="C22612">
        <f>0</f>
        <v>0</v>
      </c>
      <c r="D22612" t="s">
        <v>106</v>
      </c>
      <c r="E22612">
        <v>23.52</v>
      </c>
    </row>
    <row r="22613" spans="1:5">
      <c r="A22613" t="s">
        <v>47734</v>
      </c>
      <c r="B22613" t="s">
        <v>47737</v>
      </c>
      <c r="C22613">
        <v>0</v>
      </c>
      <c r="D22613" t="s">
        <v>106</v>
      </c>
      <c r="E22613">
        <v>23.52</v>
      </c>
    </row>
    <row r="22614" spans="1:5">
      <c r="A22614" t="s">
        <v>47734</v>
      </c>
      <c r="B22614" t="s">
        <v>47738</v>
      </c>
      <c r="C22614">
        <f>0</f>
        <v>0</v>
      </c>
      <c r="D22614" t="s">
        <v>106</v>
      </c>
      <c r="E22614">
        <v>23.52</v>
      </c>
    </row>
    <row r="22615" spans="1:5">
      <c r="A22615" t="s">
        <v>47739</v>
      </c>
      <c r="B22615" t="s">
        <v>23925</v>
      </c>
      <c r="C22615">
        <v>0</v>
      </c>
      <c r="D22615" t="s">
        <v>106</v>
      </c>
      <c r="E22615">
        <v>13.818</v>
      </c>
    </row>
    <row r="22616" spans="1:5">
      <c r="A22616" t="s">
        <v>47739</v>
      </c>
      <c r="B22616" t="s">
        <v>23926</v>
      </c>
      <c r="C22616">
        <v>0</v>
      </c>
      <c r="D22616" t="s">
        <v>106</v>
      </c>
      <c r="E22616">
        <v>13.818</v>
      </c>
    </row>
    <row r="22617" spans="1:5">
      <c r="A22617" t="s">
        <v>47739</v>
      </c>
      <c r="B22617" t="s">
        <v>23927</v>
      </c>
      <c r="C22617">
        <f>0</f>
        <v>0</v>
      </c>
      <c r="D22617" t="s">
        <v>106</v>
      </c>
      <c r="E22617">
        <v>13.818</v>
      </c>
    </row>
    <row r="22618" spans="1:5">
      <c r="A22618" t="s">
        <v>47740</v>
      </c>
      <c r="B22618" t="s">
        <v>47741</v>
      </c>
      <c r="C22618">
        <v>0</v>
      </c>
      <c r="D22618">
        <v>0.97394762360300002</v>
      </c>
      <c r="E22618">
        <v>3.78</v>
      </c>
    </row>
    <row r="22619" spans="1:5">
      <c r="A22619" t="s">
        <v>47740</v>
      </c>
      <c r="B22619" t="s">
        <v>47742</v>
      </c>
      <c r="C22619">
        <v>0</v>
      </c>
      <c r="D22619">
        <v>0.97394762360300002</v>
      </c>
      <c r="E22619">
        <v>3.78</v>
      </c>
    </row>
    <row r="22620" spans="1:5">
      <c r="A22620" t="s">
        <v>47740</v>
      </c>
      <c r="B22620" t="s">
        <v>47743</v>
      </c>
      <c r="C22620">
        <f>0</f>
        <v>0</v>
      </c>
      <c r="D22620">
        <v>0.97394762360300002</v>
      </c>
      <c r="E22620">
        <v>3.78</v>
      </c>
    </row>
    <row r="22621" spans="1:5">
      <c r="A22621" t="s">
        <v>47740</v>
      </c>
      <c r="B22621" t="s">
        <v>47744</v>
      </c>
      <c r="C22621">
        <f>0</f>
        <v>0</v>
      </c>
      <c r="D22621">
        <v>0.97394762360300002</v>
      </c>
      <c r="E22621">
        <v>3.78</v>
      </c>
    </row>
    <row r="22622" spans="1:5">
      <c r="A22622" t="s">
        <v>47740</v>
      </c>
      <c r="B22622" t="s">
        <v>47745</v>
      </c>
      <c r="C22622">
        <f>0.0660970769279</f>
        <v>6.6097076927899998E-2</v>
      </c>
      <c r="D22622">
        <v>0.97394762360300002</v>
      </c>
      <c r="E22622">
        <v>3.78</v>
      </c>
    </row>
    <row r="22623" spans="1:5">
      <c r="A22623" t="s">
        <v>47740</v>
      </c>
      <c r="B22623" t="s">
        <v>47746</v>
      </c>
      <c r="C22623">
        <v>0</v>
      </c>
      <c r="D22623">
        <v>0.97394762360300002</v>
      </c>
      <c r="E22623">
        <v>3.78</v>
      </c>
    </row>
    <row r="22624" spans="1:5">
      <c r="A22624" t="s">
        <v>47740</v>
      </c>
      <c r="B22624" t="s">
        <v>47747</v>
      </c>
      <c r="C22624">
        <v>2.5462827769499999E-2</v>
      </c>
      <c r="D22624">
        <v>0.97394762360300002</v>
      </c>
      <c r="E22624">
        <v>3.78</v>
      </c>
    </row>
    <row r="22625" spans="1:5">
      <c r="A22625" t="s">
        <v>47740</v>
      </c>
      <c r="B22625" t="s">
        <v>47748</v>
      </c>
      <c r="C22625">
        <v>0.40603083464200002</v>
      </c>
      <c r="D22625">
        <v>0.97394762360300002</v>
      </c>
      <c r="E22625">
        <v>3.78</v>
      </c>
    </row>
    <row r="22626" spans="1:5">
      <c r="A22626" t="s">
        <v>47740</v>
      </c>
      <c r="B22626" t="s">
        <v>47749</v>
      </c>
      <c r="C22626">
        <v>0</v>
      </c>
      <c r="D22626">
        <v>0.97394762360300002</v>
      </c>
      <c r="E22626">
        <v>3.78</v>
      </c>
    </row>
    <row r="22627" spans="1:5">
      <c r="A22627" t="s">
        <v>47740</v>
      </c>
      <c r="B22627" t="s">
        <v>47750</v>
      </c>
      <c r="C22627">
        <v>0</v>
      </c>
      <c r="D22627">
        <v>0.97394762360300002</v>
      </c>
      <c r="E22627">
        <v>3.78</v>
      </c>
    </row>
    <row r="22628" spans="1:5">
      <c r="A22628" t="s">
        <v>47740</v>
      </c>
      <c r="B22628" t="s">
        <v>47751</v>
      </c>
      <c r="C22628">
        <v>0</v>
      </c>
      <c r="D22628">
        <v>0.97394762360300002</v>
      </c>
      <c r="E22628">
        <v>3.78</v>
      </c>
    </row>
    <row r="22629" spans="1:5">
      <c r="A22629" t="s">
        <v>47740</v>
      </c>
      <c r="B22629" t="s">
        <v>47752</v>
      </c>
      <c r="C22629">
        <f>0.0894779085048</f>
        <v>8.9477908504800002E-2</v>
      </c>
      <c r="D22629">
        <v>0.97394762360300002</v>
      </c>
      <c r="E22629">
        <v>3.78</v>
      </c>
    </row>
    <row r="22630" spans="1:5">
      <c r="A22630" t="s">
        <v>47740</v>
      </c>
      <c r="B22630" t="s">
        <v>47753</v>
      </c>
      <c r="C22630">
        <v>0</v>
      </c>
      <c r="D22630">
        <v>0.97394762360300002</v>
      </c>
      <c r="E22630">
        <v>3.78</v>
      </c>
    </row>
    <row r="22631" spans="1:5">
      <c r="A22631" t="s">
        <v>47740</v>
      </c>
      <c r="B22631" t="s">
        <v>47754</v>
      </c>
      <c r="C22631">
        <v>0</v>
      </c>
      <c r="D22631">
        <v>0.97394762360300002</v>
      </c>
      <c r="E22631">
        <v>3.78</v>
      </c>
    </row>
    <row r="22632" spans="1:5">
      <c r="A22632" t="s">
        <v>47740</v>
      </c>
      <c r="B22632" t="s">
        <v>47755</v>
      </c>
      <c r="C22632">
        <f>0</f>
        <v>0</v>
      </c>
      <c r="D22632">
        <v>0.97394762360300002</v>
      </c>
      <c r="E22632">
        <v>3.78</v>
      </c>
    </row>
    <row r="22633" spans="1:5">
      <c r="A22633" t="s">
        <v>47740</v>
      </c>
      <c r="B22633" t="s">
        <v>47756</v>
      </c>
      <c r="C22633">
        <v>0</v>
      </c>
      <c r="D22633">
        <v>0.97394762360300002</v>
      </c>
      <c r="E22633">
        <v>3.78</v>
      </c>
    </row>
    <row r="22634" spans="1:5">
      <c r="A22634" t="s">
        <v>47740</v>
      </c>
      <c r="B22634" t="s">
        <v>47757</v>
      </c>
      <c r="C22634">
        <v>0</v>
      </c>
      <c r="D22634">
        <v>0.97394762360300002</v>
      </c>
      <c r="E22634">
        <v>3.78</v>
      </c>
    </row>
    <row r="22635" spans="1:5">
      <c r="A22635" t="s">
        <v>47740</v>
      </c>
      <c r="B22635" t="s">
        <v>47758</v>
      </c>
      <c r="C22635">
        <v>0</v>
      </c>
      <c r="D22635">
        <v>0.97394762360300002</v>
      </c>
      <c r="E22635">
        <v>3.78</v>
      </c>
    </row>
    <row r="22636" spans="1:5">
      <c r="A22636" t="s">
        <v>47740</v>
      </c>
      <c r="B22636" t="s">
        <v>47759</v>
      </c>
      <c r="C22636">
        <v>0.49491527754499998</v>
      </c>
      <c r="D22636">
        <v>0.97394762360300002</v>
      </c>
      <c r="E22636">
        <v>3.78</v>
      </c>
    </row>
    <row r="22637" spans="1:5">
      <c r="A22637" t="s">
        <v>47740</v>
      </c>
      <c r="B22637" t="s">
        <v>47760</v>
      </c>
      <c r="C22637">
        <v>0</v>
      </c>
      <c r="D22637">
        <v>0.97394762360300002</v>
      </c>
      <c r="E22637">
        <v>3.78</v>
      </c>
    </row>
    <row r="22638" spans="1:5">
      <c r="A22638" t="s">
        <v>47740</v>
      </c>
      <c r="B22638" t="s">
        <v>47761</v>
      </c>
      <c r="C22638">
        <v>0</v>
      </c>
      <c r="D22638">
        <v>0.97394762360300002</v>
      </c>
      <c r="E22638">
        <v>3.78</v>
      </c>
    </row>
    <row r="22639" spans="1:5">
      <c r="A22639" t="s">
        <v>47740</v>
      </c>
      <c r="B22639" t="s">
        <v>47762</v>
      </c>
      <c r="C22639">
        <v>0</v>
      </c>
      <c r="D22639">
        <v>0.97394762360300002</v>
      </c>
      <c r="E22639">
        <v>3.78</v>
      </c>
    </row>
    <row r="22640" spans="1:5">
      <c r="A22640" t="s">
        <v>47740</v>
      </c>
      <c r="B22640" t="s">
        <v>47763</v>
      </c>
      <c r="C22640">
        <v>0</v>
      </c>
      <c r="D22640">
        <v>0.97394762360300002</v>
      </c>
      <c r="E22640">
        <v>3.78</v>
      </c>
    </row>
    <row r="22641" spans="1:5">
      <c r="A22641" t="s">
        <v>47764</v>
      </c>
      <c r="B22641" t="s">
        <v>3866</v>
      </c>
      <c r="C22641">
        <v>0</v>
      </c>
      <c r="D22641" t="s">
        <v>106</v>
      </c>
      <c r="E22641">
        <v>4.5839999999999996</v>
      </c>
    </row>
    <row r="22642" spans="1:5">
      <c r="A22642" t="s">
        <v>47764</v>
      </c>
      <c r="B22642" t="s">
        <v>3869</v>
      </c>
      <c r="C22642">
        <f>0</f>
        <v>0</v>
      </c>
      <c r="D22642" t="s">
        <v>106</v>
      </c>
      <c r="E22642">
        <v>4.5839999999999996</v>
      </c>
    </row>
    <row r="22643" spans="1:5">
      <c r="A22643" t="s">
        <v>47764</v>
      </c>
      <c r="B22643" t="s">
        <v>3868</v>
      </c>
      <c r="C22643">
        <f>0</f>
        <v>0</v>
      </c>
      <c r="D22643" t="s">
        <v>106</v>
      </c>
      <c r="E22643">
        <v>4.5839999999999996</v>
      </c>
    </row>
    <row r="22644" spans="1:5">
      <c r="A22644" t="s">
        <v>47765</v>
      </c>
      <c r="B22644" t="s">
        <v>5258</v>
      </c>
      <c r="C22644">
        <f>0</f>
        <v>0</v>
      </c>
      <c r="D22644" t="s">
        <v>106</v>
      </c>
      <c r="E22644">
        <v>13.452</v>
      </c>
    </row>
    <row r="22645" spans="1:5">
      <c r="A22645" t="s">
        <v>47765</v>
      </c>
      <c r="B22645" t="s">
        <v>5261</v>
      </c>
      <c r="C22645">
        <f>0</f>
        <v>0</v>
      </c>
      <c r="D22645" t="s">
        <v>106</v>
      </c>
      <c r="E22645">
        <v>13.452</v>
      </c>
    </row>
    <row r="22646" spans="1:5">
      <c r="A22646" t="s">
        <v>47766</v>
      </c>
      <c r="B22646" t="s">
        <v>13174</v>
      </c>
      <c r="C22646">
        <f>0.792714004882</f>
        <v>0.79271400488199995</v>
      </c>
      <c r="D22646">
        <v>0.92752932240800001</v>
      </c>
      <c r="E22646">
        <v>24</v>
      </c>
    </row>
    <row r="22647" spans="1:5">
      <c r="A22647" t="s">
        <v>47766</v>
      </c>
      <c r="B22647" t="s">
        <v>13175</v>
      </c>
      <c r="C22647">
        <v>0.16066313790299999</v>
      </c>
      <c r="D22647">
        <v>0.92752932240800001</v>
      </c>
      <c r="E22647">
        <v>24</v>
      </c>
    </row>
    <row r="22648" spans="1:5">
      <c r="A22648" t="s">
        <v>47766</v>
      </c>
      <c r="B22648" t="s">
        <v>13176</v>
      </c>
      <c r="C22648">
        <v>0.19270516086700001</v>
      </c>
      <c r="D22648">
        <v>0.92752932240800001</v>
      </c>
      <c r="E22648">
        <v>24</v>
      </c>
    </row>
    <row r="22649" spans="1:5">
      <c r="A22649" t="s">
        <v>47767</v>
      </c>
      <c r="B22649" t="s">
        <v>47768</v>
      </c>
      <c r="C22649">
        <f>0.72403813766</f>
        <v>0.72403813766000003</v>
      </c>
      <c r="D22649">
        <v>0.86846555083499999</v>
      </c>
      <c r="E22649">
        <v>24</v>
      </c>
    </row>
    <row r="22650" spans="1:5">
      <c r="A22650" t="s">
        <v>47767</v>
      </c>
      <c r="B22650" t="s">
        <v>47769</v>
      </c>
      <c r="C22650">
        <v>0.26054598410300001</v>
      </c>
      <c r="D22650">
        <v>0.86846555083499999</v>
      </c>
      <c r="E22650">
        <v>24</v>
      </c>
    </row>
    <row r="22651" spans="1:5">
      <c r="A22651" t="s">
        <v>47767</v>
      </c>
      <c r="B22651" t="s">
        <v>47770</v>
      </c>
      <c r="C22651">
        <f>0</f>
        <v>0</v>
      </c>
      <c r="D22651">
        <v>0.86846555083499999</v>
      </c>
      <c r="E22651">
        <v>24</v>
      </c>
    </row>
    <row r="22652" spans="1:5">
      <c r="A22652" t="s">
        <v>47767</v>
      </c>
      <c r="B22652" t="s">
        <v>47771</v>
      </c>
      <c r="C22652">
        <f>0.358748857143</f>
        <v>0.35874885714299998</v>
      </c>
      <c r="D22652">
        <v>0.86846555083499999</v>
      </c>
      <c r="E22652">
        <v>24</v>
      </c>
    </row>
    <row r="22653" spans="1:5">
      <c r="A22653" t="s">
        <v>47772</v>
      </c>
      <c r="B22653" t="s">
        <v>47773</v>
      </c>
      <c r="C22653">
        <f>0</f>
        <v>0</v>
      </c>
      <c r="D22653" t="s">
        <v>106</v>
      </c>
      <c r="E22653">
        <v>24</v>
      </c>
    </row>
    <row r="22654" spans="1:5">
      <c r="A22654" t="s">
        <v>47772</v>
      </c>
      <c r="B22654" t="s">
        <v>47774</v>
      </c>
      <c r="C22654">
        <f>0</f>
        <v>0</v>
      </c>
      <c r="D22654" t="s">
        <v>106</v>
      </c>
      <c r="E22654">
        <v>24</v>
      </c>
    </row>
    <row r="22655" spans="1:5">
      <c r="A22655" t="s">
        <v>47772</v>
      </c>
      <c r="B22655" t="s">
        <v>47775</v>
      </c>
      <c r="C22655">
        <f>0</f>
        <v>0</v>
      </c>
      <c r="D22655" t="s">
        <v>106</v>
      </c>
      <c r="E22655">
        <v>24</v>
      </c>
    </row>
    <row r="22656" spans="1:5">
      <c r="A22656" t="s">
        <v>47772</v>
      </c>
      <c r="B22656" t="s">
        <v>47776</v>
      </c>
      <c r="C22656">
        <v>0</v>
      </c>
      <c r="D22656" t="s">
        <v>106</v>
      </c>
      <c r="E22656">
        <v>24</v>
      </c>
    </row>
    <row r="22657" spans="1:5">
      <c r="A22657" t="s">
        <v>47772</v>
      </c>
      <c r="B22657" t="s">
        <v>47777</v>
      </c>
      <c r="C22657">
        <f>0</f>
        <v>0</v>
      </c>
      <c r="D22657" t="s">
        <v>106</v>
      </c>
      <c r="E22657">
        <v>24</v>
      </c>
    </row>
    <row r="22658" spans="1:5">
      <c r="A22658" t="s">
        <v>47778</v>
      </c>
      <c r="B22658" t="s">
        <v>47779</v>
      </c>
      <c r="C22658">
        <f>0</f>
        <v>0</v>
      </c>
      <c r="D22658">
        <v>0.50877918229800001</v>
      </c>
      <c r="E22658">
        <v>23.754000000000001</v>
      </c>
    </row>
    <row r="22659" spans="1:5">
      <c r="A22659" t="s">
        <v>47778</v>
      </c>
      <c r="B22659" t="s">
        <v>47780</v>
      </c>
      <c r="C22659">
        <v>0.19516918229800001</v>
      </c>
      <c r="D22659">
        <v>0.50877918229800001</v>
      </c>
      <c r="E22659">
        <v>23.754000000000001</v>
      </c>
    </row>
    <row r="22660" spans="1:5">
      <c r="A22660" t="s">
        <v>47778</v>
      </c>
      <c r="B22660" t="s">
        <v>47781</v>
      </c>
      <c r="C22660">
        <v>0</v>
      </c>
      <c r="D22660">
        <v>0.50877918229800001</v>
      </c>
      <c r="E22660">
        <v>23.754000000000001</v>
      </c>
    </row>
    <row r="22661" spans="1:5">
      <c r="A22661" t="s">
        <v>47782</v>
      </c>
      <c r="B22661" t="s">
        <v>8989</v>
      </c>
      <c r="C22661">
        <v>0.44756146202899999</v>
      </c>
      <c r="D22661">
        <v>0.87506632698700004</v>
      </c>
      <c r="E22661">
        <v>11.04</v>
      </c>
    </row>
    <row r="22662" spans="1:5">
      <c r="A22662" t="s">
        <v>47782</v>
      </c>
      <c r="B22662" t="s">
        <v>8985</v>
      </c>
      <c r="C22662">
        <f>0.227282976634</f>
        <v>0.22728297663399999</v>
      </c>
      <c r="D22662">
        <v>0.87506632698700004</v>
      </c>
      <c r="E22662">
        <v>11.04</v>
      </c>
    </row>
    <row r="22663" spans="1:5">
      <c r="A22663" t="s">
        <v>47782</v>
      </c>
      <c r="B22663" t="s">
        <v>8987</v>
      </c>
      <c r="C22663">
        <f>0.210328111982</f>
        <v>0.21032811198199999</v>
      </c>
      <c r="D22663">
        <v>0.87506632698700004</v>
      </c>
      <c r="E22663">
        <v>11.04</v>
      </c>
    </row>
    <row r="22664" spans="1:5">
      <c r="A22664" t="s">
        <v>47782</v>
      </c>
      <c r="B22664" t="s">
        <v>8988</v>
      </c>
      <c r="C22664">
        <f>0.210534740992</f>
        <v>0.21053474099200001</v>
      </c>
      <c r="D22664">
        <v>0.87506632698700004</v>
      </c>
      <c r="E22664">
        <v>11.04</v>
      </c>
    </row>
    <row r="22665" spans="1:5">
      <c r="A22665" t="s">
        <v>47783</v>
      </c>
      <c r="B22665" t="s">
        <v>21329</v>
      </c>
      <c r="C22665">
        <v>0</v>
      </c>
      <c r="D22665" t="s">
        <v>106</v>
      </c>
      <c r="E22665">
        <v>2.4E-2</v>
      </c>
    </row>
    <row r="22666" spans="1:5">
      <c r="A22666" t="s">
        <v>47783</v>
      </c>
      <c r="B22666" t="s">
        <v>21334</v>
      </c>
      <c r="C22666">
        <f>0</f>
        <v>0</v>
      </c>
      <c r="D22666" t="s">
        <v>106</v>
      </c>
      <c r="E22666">
        <v>2.4E-2</v>
      </c>
    </row>
    <row r="22667" spans="1:5">
      <c r="A22667" t="s">
        <v>47784</v>
      </c>
      <c r="B22667" t="s">
        <v>30210</v>
      </c>
      <c r="C22667">
        <v>0</v>
      </c>
      <c r="D22667" t="s">
        <v>106</v>
      </c>
      <c r="E22667">
        <v>24</v>
      </c>
    </row>
    <row r="22668" spans="1:5">
      <c r="A22668" t="s">
        <v>47784</v>
      </c>
      <c r="B22668" t="s">
        <v>30209</v>
      </c>
      <c r="C22668">
        <v>0</v>
      </c>
      <c r="D22668" t="s">
        <v>106</v>
      </c>
      <c r="E22668">
        <v>24</v>
      </c>
    </row>
    <row r="22669" spans="1:5">
      <c r="A22669" t="s">
        <v>47785</v>
      </c>
      <c r="B22669" t="s">
        <v>14848</v>
      </c>
      <c r="C22669">
        <v>0.12051422425199999</v>
      </c>
      <c r="D22669">
        <v>0.94265987257799999</v>
      </c>
      <c r="E22669">
        <v>4.8</v>
      </c>
    </row>
    <row r="22670" spans="1:5">
      <c r="A22670" t="s">
        <v>47785</v>
      </c>
      <c r="B22670" t="s">
        <v>14847</v>
      </c>
      <c r="C22670">
        <f>0.574398477703</f>
        <v>0.57439847770300001</v>
      </c>
      <c r="D22670">
        <v>0.94265987257799999</v>
      </c>
      <c r="E22670">
        <v>4.8</v>
      </c>
    </row>
    <row r="22671" spans="1:5">
      <c r="A22671" t="s">
        <v>47785</v>
      </c>
      <c r="B22671" t="s">
        <v>14853</v>
      </c>
      <c r="C22671">
        <v>0.51510900905900003</v>
      </c>
      <c r="D22671">
        <v>0.94265987257799999</v>
      </c>
      <c r="E22671">
        <v>4.8</v>
      </c>
    </row>
    <row r="22672" spans="1:5">
      <c r="A22672" t="s">
        <v>47785</v>
      </c>
      <c r="B22672" t="s">
        <v>14854</v>
      </c>
      <c r="C22672">
        <f>0.161496887077</f>
        <v>0.161496887077</v>
      </c>
      <c r="D22672">
        <v>0.94265987257799999</v>
      </c>
      <c r="E22672">
        <v>4.8</v>
      </c>
    </row>
    <row r="22673" spans="1:5">
      <c r="A22673" t="s">
        <v>47785</v>
      </c>
      <c r="B22673" t="s">
        <v>14850</v>
      </c>
      <c r="C22673">
        <v>0.36400336161399999</v>
      </c>
      <c r="D22673">
        <v>0.94265987257799999</v>
      </c>
      <c r="E22673">
        <v>4.8</v>
      </c>
    </row>
    <row r="22674" spans="1:5">
      <c r="A22674" t="s">
        <v>47785</v>
      </c>
      <c r="B22674" t="s">
        <v>14851</v>
      </c>
      <c r="C22674">
        <f>0</f>
        <v>0</v>
      </c>
      <c r="D22674">
        <v>0.94265987257799999</v>
      </c>
      <c r="E22674">
        <v>4.8</v>
      </c>
    </row>
    <row r="22675" spans="1:5">
      <c r="A22675" t="s">
        <v>47785</v>
      </c>
      <c r="B22675" t="s">
        <v>14849</v>
      </c>
      <c r="C22675">
        <v>0.128647523698</v>
      </c>
      <c r="D22675">
        <v>0.94265987257799999</v>
      </c>
      <c r="E22675">
        <v>4.8</v>
      </c>
    </row>
    <row r="22676" spans="1:5">
      <c r="A22676" t="s">
        <v>47786</v>
      </c>
      <c r="B22676" t="s">
        <v>23707</v>
      </c>
      <c r="C22676">
        <v>0</v>
      </c>
      <c r="D22676">
        <v>0.868204005083</v>
      </c>
      <c r="E22676">
        <v>5.58</v>
      </c>
    </row>
    <row r="22677" spans="1:5">
      <c r="A22677" t="s">
        <v>47786</v>
      </c>
      <c r="B22677" t="s">
        <v>23713</v>
      </c>
      <c r="C22677">
        <v>0.765794005083</v>
      </c>
      <c r="D22677">
        <v>0.868204005083</v>
      </c>
      <c r="E22677">
        <v>5.58</v>
      </c>
    </row>
    <row r="22678" spans="1:5">
      <c r="A22678" t="s">
        <v>47786</v>
      </c>
      <c r="B22678" t="s">
        <v>23715</v>
      </c>
      <c r="C22678">
        <v>0</v>
      </c>
      <c r="D22678">
        <v>0.868204005083</v>
      </c>
      <c r="E22678">
        <v>5.58</v>
      </c>
    </row>
    <row r="22679" spans="1:5">
      <c r="A22679" t="s">
        <v>47787</v>
      </c>
      <c r="B22679" t="s">
        <v>25057</v>
      </c>
      <c r="C22679">
        <f>0</f>
        <v>0</v>
      </c>
      <c r="D22679" t="s">
        <v>106</v>
      </c>
      <c r="E22679">
        <v>0.47399999999999998</v>
      </c>
    </row>
    <row r="22680" spans="1:5">
      <c r="A22680" t="s">
        <v>47787</v>
      </c>
      <c r="B22680" t="s">
        <v>25059</v>
      </c>
      <c r="C22680">
        <v>0</v>
      </c>
      <c r="D22680" t="s">
        <v>106</v>
      </c>
      <c r="E22680">
        <v>0.47399999999999998</v>
      </c>
    </row>
    <row r="22681" spans="1:5">
      <c r="A22681" t="s">
        <v>47787</v>
      </c>
      <c r="B22681" t="s">
        <v>25058</v>
      </c>
      <c r="C22681">
        <v>0</v>
      </c>
      <c r="D22681" t="s">
        <v>106</v>
      </c>
      <c r="E22681">
        <v>0.47399999999999998</v>
      </c>
    </row>
    <row r="22682" spans="1:5">
      <c r="A22682" t="s">
        <v>47788</v>
      </c>
      <c r="B22682" t="s">
        <v>18442</v>
      </c>
      <c r="C22682">
        <v>0</v>
      </c>
      <c r="D22682" t="s">
        <v>106</v>
      </c>
      <c r="E22682">
        <v>24</v>
      </c>
    </row>
    <row r="22683" spans="1:5">
      <c r="A22683" t="s">
        <v>47788</v>
      </c>
      <c r="B22683" t="s">
        <v>18443</v>
      </c>
      <c r="C22683">
        <v>0</v>
      </c>
      <c r="D22683" t="s">
        <v>106</v>
      </c>
      <c r="E22683">
        <v>24</v>
      </c>
    </row>
    <row r="22684" spans="1:5">
      <c r="A22684" t="s">
        <v>47789</v>
      </c>
      <c r="B22684" t="s">
        <v>5668</v>
      </c>
      <c r="C22684">
        <v>0.46745234356299997</v>
      </c>
      <c r="D22684">
        <v>0.62746234356300001</v>
      </c>
      <c r="E22684">
        <v>4.5839999999999996</v>
      </c>
    </row>
    <row r="22685" spans="1:5">
      <c r="A22685" t="s">
        <v>47789</v>
      </c>
      <c r="B22685" t="s">
        <v>5669</v>
      </c>
      <c r="C22685">
        <f>0</f>
        <v>0</v>
      </c>
      <c r="D22685">
        <v>0.62746234356300001</v>
      </c>
      <c r="E22685">
        <v>4.5839999999999996</v>
      </c>
    </row>
    <row r="22686" spans="1:5">
      <c r="A22686" t="s">
        <v>47789</v>
      </c>
      <c r="B22686" t="s">
        <v>5673</v>
      </c>
      <c r="C22686">
        <v>0</v>
      </c>
      <c r="D22686">
        <v>0.62746234356300001</v>
      </c>
      <c r="E22686">
        <v>4.5839999999999996</v>
      </c>
    </row>
    <row r="22687" spans="1:5">
      <c r="A22687" t="s">
        <v>47790</v>
      </c>
      <c r="B22687" t="s">
        <v>2608</v>
      </c>
      <c r="C22687">
        <v>0.63773762281299995</v>
      </c>
      <c r="D22687">
        <v>0.99987874066600002</v>
      </c>
      <c r="E22687">
        <v>0.91800000000000004</v>
      </c>
    </row>
    <row r="22688" spans="1:5">
      <c r="A22688" t="s">
        <v>47790</v>
      </c>
      <c r="B22688" t="s">
        <v>2617</v>
      </c>
      <c r="C22688">
        <v>0.10824339968</v>
      </c>
      <c r="D22688">
        <v>0.99987874066600002</v>
      </c>
      <c r="E22688">
        <v>0.91800000000000004</v>
      </c>
    </row>
    <row r="22689" spans="1:5">
      <c r="A22689" t="s">
        <v>47790</v>
      </c>
      <c r="B22689" t="s">
        <v>2616</v>
      </c>
      <c r="C22689">
        <f>0.544449645206</f>
        <v>0.54444964520600003</v>
      </c>
      <c r="D22689">
        <v>0.99987874066600002</v>
      </c>
      <c r="E22689">
        <v>0.91800000000000004</v>
      </c>
    </row>
    <row r="22690" spans="1:5">
      <c r="A22690" t="s">
        <v>47790</v>
      </c>
      <c r="B22690" t="s">
        <v>2613</v>
      </c>
      <c r="C22690">
        <f>0.514670655487</f>
        <v>0.51467065548699997</v>
      </c>
      <c r="D22690">
        <v>0.99987874066600002</v>
      </c>
      <c r="E22690">
        <v>0.91800000000000004</v>
      </c>
    </row>
    <row r="22691" spans="1:5">
      <c r="A22691" t="s">
        <v>47790</v>
      </c>
      <c r="B22691" t="s">
        <v>2612</v>
      </c>
      <c r="C22691">
        <f>0.344063949837</f>
        <v>0.344063949837</v>
      </c>
      <c r="D22691">
        <v>0.99987874066600002</v>
      </c>
      <c r="E22691">
        <v>0.91800000000000004</v>
      </c>
    </row>
    <row r="22692" spans="1:5">
      <c r="A22692" t="s">
        <v>47790</v>
      </c>
      <c r="B22692" t="s">
        <v>2610</v>
      </c>
      <c r="C22692">
        <v>1.4362933570900001</v>
      </c>
      <c r="D22692">
        <v>0.99987874066600002</v>
      </c>
      <c r="E22692">
        <v>0.91800000000000004</v>
      </c>
    </row>
    <row r="22693" spans="1:5">
      <c r="A22693" t="s">
        <v>47790</v>
      </c>
      <c r="B22693" t="s">
        <v>2615</v>
      </c>
      <c r="C22693">
        <f>0.445154823075</f>
        <v>0.44515482307499998</v>
      </c>
      <c r="D22693">
        <v>0.99987874066600002</v>
      </c>
      <c r="E22693">
        <v>0.91800000000000004</v>
      </c>
    </row>
    <row r="22694" spans="1:5">
      <c r="A22694" t="s">
        <v>47791</v>
      </c>
      <c r="B22694" t="s">
        <v>47792</v>
      </c>
      <c r="C22694">
        <v>4.5593902350599998E-4</v>
      </c>
      <c r="D22694">
        <v>0.99992971462699998</v>
      </c>
      <c r="E22694">
        <v>7.1999999999999995E-2</v>
      </c>
    </row>
    <row r="22695" spans="1:5">
      <c r="A22695" t="s">
        <v>47791</v>
      </c>
      <c r="B22695" t="s">
        <v>13092</v>
      </c>
      <c r="C22695">
        <f>0.296282554103</f>
        <v>0.29628255410299997</v>
      </c>
      <c r="D22695">
        <v>0.99992971462699998</v>
      </c>
      <c r="E22695">
        <v>7.1999999999999995E-2</v>
      </c>
    </row>
    <row r="22696" spans="1:5">
      <c r="A22696" t="s">
        <v>47791</v>
      </c>
      <c r="B22696" t="s">
        <v>13090</v>
      </c>
      <c r="C22696">
        <v>0.39623489159899999</v>
      </c>
      <c r="D22696">
        <v>0.99992971462699998</v>
      </c>
      <c r="E22696">
        <v>7.1999999999999995E-2</v>
      </c>
    </row>
    <row r="22697" spans="1:5">
      <c r="A22697" t="s">
        <v>47791</v>
      </c>
      <c r="B22697" t="s">
        <v>13093</v>
      </c>
      <c r="C22697">
        <f>0.0468054488827</f>
        <v>4.6805448882700003E-2</v>
      </c>
      <c r="D22697">
        <v>0.99992971462699998</v>
      </c>
      <c r="E22697">
        <v>7.1999999999999995E-2</v>
      </c>
    </row>
    <row r="22698" spans="1:5">
      <c r="A22698" t="s">
        <v>47791</v>
      </c>
      <c r="B22698" t="s">
        <v>13089</v>
      </c>
      <c r="C22698">
        <f>0.00922781622788</f>
        <v>9.2278162278799994E-3</v>
      </c>
      <c r="D22698">
        <v>0.99992971462699998</v>
      </c>
      <c r="E22698">
        <v>7.1999999999999995E-2</v>
      </c>
    </row>
    <row r="22699" spans="1:5">
      <c r="A22699" t="s">
        <v>47791</v>
      </c>
      <c r="B22699" t="s">
        <v>13096</v>
      </c>
      <c r="C22699">
        <v>1.5911961832600002E-2</v>
      </c>
      <c r="D22699">
        <v>0.99992971462699998</v>
      </c>
      <c r="E22699">
        <v>7.1999999999999995E-2</v>
      </c>
    </row>
    <row r="22700" spans="1:5">
      <c r="A22700" t="s">
        <v>47791</v>
      </c>
      <c r="B22700" t="s">
        <v>13095</v>
      </c>
      <c r="C22700">
        <f>0.223651814384</f>
        <v>0.223651814384</v>
      </c>
      <c r="D22700">
        <v>0.99992971462699998</v>
      </c>
      <c r="E22700">
        <v>7.1999999999999995E-2</v>
      </c>
    </row>
    <row r="22701" spans="1:5">
      <c r="A22701" t="s">
        <v>47791</v>
      </c>
      <c r="B22701" t="s">
        <v>13091</v>
      </c>
      <c r="C22701">
        <f>0.949395944337</f>
        <v>0.94939594433700003</v>
      </c>
      <c r="D22701">
        <v>0.99992971462699998</v>
      </c>
      <c r="E22701">
        <v>7.1999999999999995E-2</v>
      </c>
    </row>
    <row r="22702" spans="1:5">
      <c r="A22702" t="s">
        <v>47793</v>
      </c>
      <c r="B22702" t="s">
        <v>47794</v>
      </c>
      <c r="C22702">
        <v>0.71079834427400002</v>
      </c>
      <c r="D22702">
        <v>0.59820909141699996</v>
      </c>
      <c r="E22702">
        <v>21.648</v>
      </c>
    </row>
    <row r="22703" spans="1:5">
      <c r="A22703" t="s">
        <v>47793</v>
      </c>
      <c r="B22703" t="s">
        <v>47795</v>
      </c>
      <c r="C22703">
        <f>0.324783753044</f>
        <v>0.32478375304399998</v>
      </c>
      <c r="D22703">
        <v>0.59820909141699996</v>
      </c>
      <c r="E22703">
        <v>21.648</v>
      </c>
    </row>
    <row r="22704" spans="1:5">
      <c r="A22704" t="s">
        <v>47796</v>
      </c>
      <c r="B22704" t="s">
        <v>24241</v>
      </c>
      <c r="C22704">
        <v>0</v>
      </c>
      <c r="D22704" t="s">
        <v>106</v>
      </c>
      <c r="E22704">
        <v>14.555999999999999</v>
      </c>
    </row>
    <row r="22705" spans="1:5">
      <c r="A22705" t="s">
        <v>47796</v>
      </c>
      <c r="B22705" t="s">
        <v>24243</v>
      </c>
      <c r="C22705">
        <v>0</v>
      </c>
      <c r="D22705" t="s">
        <v>106</v>
      </c>
      <c r="E22705">
        <v>14.555999999999999</v>
      </c>
    </row>
    <row r="22706" spans="1:5">
      <c r="A22706" t="s">
        <v>47796</v>
      </c>
      <c r="B22706" t="s">
        <v>24246</v>
      </c>
      <c r="C22706">
        <v>0</v>
      </c>
      <c r="D22706" t="s">
        <v>106</v>
      </c>
      <c r="E22706">
        <v>14.555999999999999</v>
      </c>
    </row>
    <row r="22707" spans="1:5">
      <c r="A22707" t="s">
        <v>47797</v>
      </c>
      <c r="B22707" t="s">
        <v>27517</v>
      </c>
      <c r="C22707">
        <v>0.52133730535099998</v>
      </c>
      <c r="D22707">
        <v>0.81182842923200005</v>
      </c>
      <c r="E22707">
        <v>0.82799999999999996</v>
      </c>
    </row>
    <row r="22708" spans="1:5">
      <c r="A22708" t="s">
        <v>47797</v>
      </c>
      <c r="B22708" t="s">
        <v>27524</v>
      </c>
      <c r="C22708">
        <v>0</v>
      </c>
      <c r="D22708">
        <v>0.81182842923200005</v>
      </c>
      <c r="E22708">
        <v>0.82799999999999996</v>
      </c>
    </row>
    <row r="22709" spans="1:5">
      <c r="A22709" t="s">
        <v>47797</v>
      </c>
      <c r="B22709" t="s">
        <v>27518</v>
      </c>
      <c r="C22709">
        <v>0</v>
      </c>
      <c r="D22709">
        <v>0.81182842923200005</v>
      </c>
      <c r="E22709">
        <v>0.82799999999999996</v>
      </c>
    </row>
    <row r="22710" spans="1:5">
      <c r="A22710" t="s">
        <v>47797</v>
      </c>
      <c r="B22710" t="s">
        <v>27523</v>
      </c>
      <c r="C22710">
        <f>0.349856967205</f>
        <v>0.34985696720499998</v>
      </c>
      <c r="D22710">
        <v>0.81182842923200005</v>
      </c>
      <c r="E22710">
        <v>0.82799999999999996</v>
      </c>
    </row>
    <row r="22711" spans="1:5">
      <c r="A22711" t="s">
        <v>47797</v>
      </c>
      <c r="B22711" t="s">
        <v>27519</v>
      </c>
      <c r="C22711">
        <v>0</v>
      </c>
      <c r="D22711">
        <v>0.81182842923200005</v>
      </c>
      <c r="E22711">
        <v>0.82799999999999996</v>
      </c>
    </row>
    <row r="22712" spans="1:5">
      <c r="A22712" t="s">
        <v>47798</v>
      </c>
      <c r="B22712" t="s">
        <v>7650</v>
      </c>
      <c r="C22712">
        <f>0.704076875138</f>
        <v>0.70407687513799999</v>
      </c>
      <c r="D22712">
        <v>0.80648687513799999</v>
      </c>
      <c r="E22712">
        <v>8.4000000000000005E-2</v>
      </c>
    </row>
    <row r="22713" spans="1:5">
      <c r="A22713" t="s">
        <v>47798</v>
      </c>
      <c r="B22713" t="s">
        <v>7652</v>
      </c>
      <c r="C22713">
        <f>0</f>
        <v>0</v>
      </c>
      <c r="D22713">
        <v>0.80648687513799999</v>
      </c>
      <c r="E22713">
        <v>8.4000000000000005E-2</v>
      </c>
    </row>
    <row r="22714" spans="1:5">
      <c r="A22714" t="s">
        <v>47799</v>
      </c>
      <c r="B22714" t="s">
        <v>47800</v>
      </c>
      <c r="C22714">
        <f>0</f>
        <v>0</v>
      </c>
      <c r="D22714" t="s">
        <v>106</v>
      </c>
      <c r="E22714">
        <v>3.5999999999999997E-2</v>
      </c>
    </row>
    <row r="22715" spans="1:5">
      <c r="A22715" t="s">
        <v>47799</v>
      </c>
      <c r="B22715" t="s">
        <v>47801</v>
      </c>
      <c r="C22715">
        <v>0</v>
      </c>
      <c r="D22715" t="s">
        <v>106</v>
      </c>
      <c r="E22715">
        <v>3.5999999999999997E-2</v>
      </c>
    </row>
    <row r="22716" spans="1:5">
      <c r="A22716" t="s">
        <v>47802</v>
      </c>
      <c r="B22716" t="s">
        <v>40838</v>
      </c>
      <c r="C22716">
        <f>0</f>
        <v>0</v>
      </c>
      <c r="D22716">
        <v>0.99820975730399997</v>
      </c>
      <c r="E22716">
        <v>0.24</v>
      </c>
    </row>
    <row r="22717" spans="1:5">
      <c r="A22717" t="s">
        <v>47802</v>
      </c>
      <c r="B22717" t="s">
        <v>40839</v>
      </c>
      <c r="C22717">
        <f>0</f>
        <v>0</v>
      </c>
      <c r="D22717">
        <v>0.99820975730399997</v>
      </c>
      <c r="E22717">
        <v>0.24</v>
      </c>
    </row>
    <row r="22718" spans="1:5">
      <c r="A22718" t="s">
        <v>47802</v>
      </c>
      <c r="B22718" t="s">
        <v>40840</v>
      </c>
      <c r="C22718">
        <f>0</f>
        <v>0</v>
      </c>
      <c r="D22718">
        <v>0.99820975730399997</v>
      </c>
      <c r="E22718">
        <v>0.24</v>
      </c>
    </row>
    <row r="22719" spans="1:5">
      <c r="A22719" t="s">
        <v>47802</v>
      </c>
      <c r="B22719" t="s">
        <v>40841</v>
      </c>
      <c r="C22719">
        <v>0</v>
      </c>
      <c r="D22719">
        <v>0.99820975730399997</v>
      </c>
      <c r="E22719">
        <v>0.24</v>
      </c>
    </row>
    <row r="22720" spans="1:5">
      <c r="A22720" t="s">
        <v>47802</v>
      </c>
      <c r="B22720" t="s">
        <v>40842</v>
      </c>
      <c r="C22720">
        <f>0.327793585421</f>
        <v>0.32779358542100001</v>
      </c>
      <c r="D22720">
        <v>0.99820975730399997</v>
      </c>
      <c r="E22720">
        <v>0.24</v>
      </c>
    </row>
    <row r="22721" spans="1:5">
      <c r="A22721" t="s">
        <v>47802</v>
      </c>
      <c r="B22721" t="s">
        <v>40843</v>
      </c>
      <c r="C22721">
        <f>0</f>
        <v>0</v>
      </c>
      <c r="D22721">
        <v>0.99820975730399997</v>
      </c>
      <c r="E22721">
        <v>0.24</v>
      </c>
    </row>
    <row r="22722" spans="1:5">
      <c r="A22722" t="s">
        <v>47802</v>
      </c>
      <c r="B22722" t="s">
        <v>40844</v>
      </c>
      <c r="C22722">
        <f>0.748816827726</f>
        <v>0.748816827726</v>
      </c>
      <c r="D22722">
        <v>0.99820975730399997</v>
      </c>
      <c r="E22722">
        <v>0.24</v>
      </c>
    </row>
    <row r="22723" spans="1:5">
      <c r="A22723" t="s">
        <v>47802</v>
      </c>
      <c r="B22723" t="s">
        <v>40845</v>
      </c>
      <c r="C22723">
        <f>0.104931973957</f>
        <v>0.104931973957</v>
      </c>
      <c r="D22723">
        <v>0.99820975730399997</v>
      </c>
      <c r="E22723">
        <v>0.24</v>
      </c>
    </row>
    <row r="22724" spans="1:5">
      <c r="A22724" t="s">
        <v>47802</v>
      </c>
      <c r="B22724" t="s">
        <v>40846</v>
      </c>
      <c r="C22724">
        <f>0</f>
        <v>0</v>
      </c>
      <c r="D22724">
        <v>0.99820975730399997</v>
      </c>
      <c r="E22724">
        <v>0.24</v>
      </c>
    </row>
    <row r="22725" spans="1:5">
      <c r="A22725" t="s">
        <v>47802</v>
      </c>
      <c r="B22725" t="s">
        <v>40847</v>
      </c>
      <c r="C22725">
        <v>0</v>
      </c>
      <c r="D22725">
        <v>0.99820975730399997</v>
      </c>
      <c r="E22725">
        <v>0.24</v>
      </c>
    </row>
    <row r="22726" spans="1:5">
      <c r="A22726" t="s">
        <v>47802</v>
      </c>
      <c r="B22726" t="s">
        <v>40848</v>
      </c>
      <c r="C22726">
        <f>0</f>
        <v>0</v>
      </c>
      <c r="D22726">
        <v>0.99820975730399997</v>
      </c>
      <c r="E22726">
        <v>0.24</v>
      </c>
    </row>
    <row r="22727" spans="1:5">
      <c r="A22727" t="s">
        <v>47802</v>
      </c>
      <c r="B22727" t="s">
        <v>40849</v>
      </c>
      <c r="C22727">
        <f>0</f>
        <v>0</v>
      </c>
      <c r="D22727">
        <v>0.99820975730399997</v>
      </c>
      <c r="E22727">
        <v>0.24</v>
      </c>
    </row>
    <row r="22728" spans="1:5">
      <c r="A22728" t="s">
        <v>47802</v>
      </c>
      <c r="B22728" t="s">
        <v>40850</v>
      </c>
      <c r="C22728">
        <f>0.0601625191935</f>
        <v>6.0162519193499998E-2</v>
      </c>
      <c r="D22728">
        <v>0.99820975730399997</v>
      </c>
      <c r="E22728">
        <v>0.24</v>
      </c>
    </row>
    <row r="22729" spans="1:5">
      <c r="A22729" t="s">
        <v>47802</v>
      </c>
      <c r="B22729" t="s">
        <v>40851</v>
      </c>
      <c r="C22729">
        <f>0</f>
        <v>0</v>
      </c>
      <c r="D22729">
        <v>0.99820975730399997</v>
      </c>
      <c r="E22729">
        <v>0.24</v>
      </c>
    </row>
    <row r="22730" spans="1:5">
      <c r="A22730" t="s">
        <v>47802</v>
      </c>
      <c r="B22730" t="s">
        <v>40852</v>
      </c>
      <c r="C22730">
        <v>0.26665529941299998</v>
      </c>
      <c r="D22730">
        <v>0.99820975730399997</v>
      </c>
      <c r="E22730">
        <v>0.24</v>
      </c>
    </row>
    <row r="22731" spans="1:5">
      <c r="A22731" t="s">
        <v>47802</v>
      </c>
      <c r="B22731" t="s">
        <v>40853</v>
      </c>
      <c r="C22731">
        <f>0.0564655268271</f>
        <v>5.6465526827100002E-2</v>
      </c>
      <c r="D22731">
        <v>0.99820975730399997</v>
      </c>
      <c r="E22731">
        <v>0.24</v>
      </c>
    </row>
    <row r="22732" spans="1:5">
      <c r="A22732" t="s">
        <v>47802</v>
      </c>
      <c r="B22732" t="s">
        <v>40854</v>
      </c>
      <c r="C22732">
        <v>0</v>
      </c>
      <c r="D22732">
        <v>0.99820975730399997</v>
      </c>
      <c r="E22732">
        <v>0.24</v>
      </c>
    </row>
    <row r="22733" spans="1:5">
      <c r="A22733" t="s">
        <v>47802</v>
      </c>
      <c r="B22733" t="s">
        <v>40855</v>
      </c>
      <c r="C22733">
        <f>0</f>
        <v>0</v>
      </c>
      <c r="D22733">
        <v>0.99820975730399997</v>
      </c>
      <c r="E22733">
        <v>0.24</v>
      </c>
    </row>
    <row r="22734" spans="1:5">
      <c r="A22734" t="s">
        <v>47802</v>
      </c>
      <c r="B22734" t="s">
        <v>40856</v>
      </c>
      <c r="C22734">
        <f>0</f>
        <v>0</v>
      </c>
      <c r="D22734">
        <v>0.99820975730399997</v>
      </c>
      <c r="E22734">
        <v>0.24</v>
      </c>
    </row>
    <row r="22735" spans="1:5">
      <c r="A22735" t="s">
        <v>47803</v>
      </c>
      <c r="B22735" t="s">
        <v>47804</v>
      </c>
      <c r="C22735">
        <v>0</v>
      </c>
      <c r="D22735">
        <v>0.76962798960300005</v>
      </c>
      <c r="E22735">
        <v>0.26400000000000001</v>
      </c>
    </row>
    <row r="22736" spans="1:5">
      <c r="A22736" t="s">
        <v>47803</v>
      </c>
      <c r="B22736" t="s">
        <v>47805</v>
      </c>
      <c r="C22736">
        <v>0.49921798960300001</v>
      </c>
      <c r="D22736">
        <v>0.76962798960300005</v>
      </c>
      <c r="E22736">
        <v>0.26400000000000001</v>
      </c>
    </row>
    <row r="22737" spans="1:5">
      <c r="A22737" t="s">
        <v>47803</v>
      </c>
      <c r="B22737" t="s">
        <v>47806</v>
      </c>
      <c r="C22737">
        <v>0</v>
      </c>
      <c r="D22737">
        <v>0.76962798960300005</v>
      </c>
      <c r="E22737">
        <v>0.26400000000000001</v>
      </c>
    </row>
    <row r="22738" spans="1:5">
      <c r="A22738" t="s">
        <v>47803</v>
      </c>
      <c r="B22738" t="s">
        <v>47807</v>
      </c>
      <c r="C22738">
        <v>0</v>
      </c>
      <c r="D22738">
        <v>0.76962798960300005</v>
      </c>
      <c r="E22738">
        <v>0.26400000000000001</v>
      </c>
    </row>
    <row r="22739" spans="1:5">
      <c r="A22739" t="s">
        <v>47808</v>
      </c>
      <c r="B22739" t="s">
        <v>47809</v>
      </c>
      <c r="C22739">
        <v>0</v>
      </c>
      <c r="D22739" t="s">
        <v>106</v>
      </c>
      <c r="E22739">
        <v>24</v>
      </c>
    </row>
    <row r="22740" spans="1:5">
      <c r="A22740" t="s">
        <v>47808</v>
      </c>
      <c r="B22740" t="s">
        <v>47810</v>
      </c>
      <c r="C22740">
        <v>0</v>
      </c>
      <c r="D22740" t="s">
        <v>106</v>
      </c>
      <c r="E22740">
        <v>24</v>
      </c>
    </row>
    <row r="22741" spans="1:5">
      <c r="A22741" t="s">
        <v>47808</v>
      </c>
      <c r="B22741" t="s">
        <v>47811</v>
      </c>
      <c r="C22741">
        <f>0</f>
        <v>0</v>
      </c>
      <c r="D22741" t="s">
        <v>106</v>
      </c>
      <c r="E22741">
        <v>24</v>
      </c>
    </row>
    <row r="22742" spans="1:5">
      <c r="A22742" t="s">
        <v>47808</v>
      </c>
      <c r="B22742" t="s">
        <v>47812</v>
      </c>
      <c r="C22742">
        <v>0</v>
      </c>
      <c r="D22742" t="s">
        <v>106</v>
      </c>
      <c r="E22742">
        <v>24</v>
      </c>
    </row>
    <row r="22743" spans="1:5">
      <c r="A22743" t="s">
        <v>47813</v>
      </c>
      <c r="B22743" t="s">
        <v>47814</v>
      </c>
      <c r="C22743">
        <v>0</v>
      </c>
      <c r="D22743" t="s">
        <v>106</v>
      </c>
      <c r="E22743">
        <v>11.874000000000001</v>
      </c>
    </row>
    <row r="22744" spans="1:5">
      <c r="A22744" t="s">
        <v>47813</v>
      </c>
      <c r="B22744" t="s">
        <v>47815</v>
      </c>
      <c r="C22744">
        <f>0</f>
        <v>0</v>
      </c>
      <c r="D22744" t="s">
        <v>106</v>
      </c>
      <c r="E22744">
        <v>11.874000000000001</v>
      </c>
    </row>
    <row r="22745" spans="1:5">
      <c r="A22745" t="s">
        <v>47816</v>
      </c>
      <c r="B22745" t="s">
        <v>47817</v>
      </c>
      <c r="C22745">
        <v>0.42967706797799998</v>
      </c>
      <c r="D22745">
        <v>0.69993923292899995</v>
      </c>
      <c r="E22745">
        <v>2.964</v>
      </c>
    </row>
    <row r="22746" spans="1:5">
      <c r="A22746" t="s">
        <v>47816</v>
      </c>
      <c r="B22746" t="s">
        <v>47818</v>
      </c>
      <c r="C22746">
        <f>0.758968202729</f>
        <v>0.75896820272900001</v>
      </c>
      <c r="D22746">
        <v>0.69993923292899995</v>
      </c>
      <c r="E22746">
        <v>2.964</v>
      </c>
    </row>
    <row r="22747" spans="1:5">
      <c r="A22747" t="s">
        <v>47816</v>
      </c>
      <c r="B22747" t="s">
        <v>47819</v>
      </c>
      <c r="C22747">
        <v>0.13913145945800001</v>
      </c>
      <c r="D22747">
        <v>0.69993923292899995</v>
      </c>
      <c r="E22747">
        <v>2.964</v>
      </c>
    </row>
    <row r="22748" spans="1:5">
      <c r="A22748" t="s">
        <v>47820</v>
      </c>
      <c r="B22748" t="s">
        <v>47821</v>
      </c>
      <c r="C22748">
        <v>0</v>
      </c>
      <c r="D22748" t="s">
        <v>106</v>
      </c>
      <c r="E22748">
        <v>7.734</v>
      </c>
    </row>
    <row r="22749" spans="1:5">
      <c r="A22749" t="s">
        <v>47820</v>
      </c>
      <c r="B22749" t="s">
        <v>47822</v>
      </c>
      <c r="C22749">
        <f>0</f>
        <v>0</v>
      </c>
      <c r="D22749" t="s">
        <v>106</v>
      </c>
      <c r="E22749">
        <v>7.734</v>
      </c>
    </row>
    <row r="22750" spans="1:5">
      <c r="A22750" t="s">
        <v>47820</v>
      </c>
      <c r="B22750" t="s">
        <v>47823</v>
      </c>
      <c r="C22750">
        <v>0</v>
      </c>
      <c r="D22750" t="s">
        <v>106</v>
      </c>
      <c r="E22750">
        <v>7.734</v>
      </c>
    </row>
    <row r="22751" spans="1:5">
      <c r="A22751" t="s">
        <v>47820</v>
      </c>
      <c r="B22751" t="s">
        <v>47824</v>
      </c>
      <c r="C22751">
        <v>0</v>
      </c>
      <c r="D22751" t="s">
        <v>106</v>
      </c>
      <c r="E22751">
        <v>7.734</v>
      </c>
    </row>
    <row r="22752" spans="1:5">
      <c r="A22752" t="s">
        <v>47820</v>
      </c>
      <c r="B22752" t="s">
        <v>47825</v>
      </c>
      <c r="C22752">
        <f>0</f>
        <v>0</v>
      </c>
      <c r="D22752" t="s">
        <v>106</v>
      </c>
      <c r="E22752">
        <v>7.734</v>
      </c>
    </row>
    <row r="22753" spans="1:5">
      <c r="A22753" t="s">
        <v>47820</v>
      </c>
      <c r="B22753" t="s">
        <v>47826</v>
      </c>
      <c r="C22753">
        <v>0</v>
      </c>
      <c r="D22753" t="s">
        <v>106</v>
      </c>
      <c r="E22753">
        <v>7.734</v>
      </c>
    </row>
    <row r="22754" spans="1:5">
      <c r="A22754" t="s">
        <v>47827</v>
      </c>
      <c r="B22754" t="s">
        <v>10063</v>
      </c>
      <c r="C22754">
        <v>0</v>
      </c>
      <c r="D22754" t="s">
        <v>106</v>
      </c>
      <c r="E22754">
        <v>9.0180000000000007</v>
      </c>
    </row>
    <row r="22755" spans="1:5">
      <c r="A22755" t="s">
        <v>47827</v>
      </c>
      <c r="B22755" t="s">
        <v>10065</v>
      </c>
      <c r="C22755">
        <v>0</v>
      </c>
      <c r="D22755" t="s">
        <v>106</v>
      </c>
      <c r="E22755">
        <v>9.0180000000000007</v>
      </c>
    </row>
    <row r="22756" spans="1:5">
      <c r="A22756" t="s">
        <v>47828</v>
      </c>
      <c r="B22756" t="s">
        <v>33176</v>
      </c>
      <c r="C22756">
        <v>0</v>
      </c>
      <c r="D22756" t="s">
        <v>106</v>
      </c>
      <c r="E22756">
        <v>8.4000000000000005E-2</v>
      </c>
    </row>
    <row r="22757" spans="1:5">
      <c r="A22757" t="s">
        <v>47828</v>
      </c>
      <c r="B22757" t="s">
        <v>33173</v>
      </c>
      <c r="C22757">
        <v>0</v>
      </c>
      <c r="D22757" t="s">
        <v>106</v>
      </c>
      <c r="E22757">
        <v>8.4000000000000005E-2</v>
      </c>
    </row>
    <row r="22758" spans="1:5">
      <c r="A22758" t="s">
        <v>47828</v>
      </c>
      <c r="B22758" t="s">
        <v>33179</v>
      </c>
      <c r="C22758">
        <v>0</v>
      </c>
      <c r="D22758" t="s">
        <v>106</v>
      </c>
      <c r="E22758">
        <v>8.4000000000000005E-2</v>
      </c>
    </row>
    <row r="22759" spans="1:5">
      <c r="A22759" t="s">
        <v>47828</v>
      </c>
      <c r="B22759" t="s">
        <v>33178</v>
      </c>
      <c r="C22759">
        <f>0</f>
        <v>0</v>
      </c>
      <c r="D22759" t="s">
        <v>106</v>
      </c>
      <c r="E22759">
        <v>8.4000000000000005E-2</v>
      </c>
    </row>
    <row r="22760" spans="1:5">
      <c r="A22760" t="s">
        <v>47828</v>
      </c>
      <c r="B22760" t="s">
        <v>33174</v>
      </c>
      <c r="C22760">
        <v>0</v>
      </c>
      <c r="D22760" t="s">
        <v>106</v>
      </c>
      <c r="E22760">
        <v>8.4000000000000005E-2</v>
      </c>
    </row>
    <row r="22761" spans="1:5">
      <c r="A22761" t="s">
        <v>47829</v>
      </c>
      <c r="B22761" t="s">
        <v>22837</v>
      </c>
      <c r="C22761">
        <f>0</f>
        <v>0</v>
      </c>
      <c r="D22761">
        <v>0.76696178567600004</v>
      </c>
      <c r="E22761">
        <v>2.4780000000000002</v>
      </c>
    </row>
    <row r="22762" spans="1:5">
      <c r="A22762" t="s">
        <v>47829</v>
      </c>
      <c r="B22762" t="s">
        <v>22842</v>
      </c>
      <c r="C22762">
        <v>0</v>
      </c>
      <c r="D22762">
        <v>0.76696178567600004</v>
      </c>
      <c r="E22762">
        <v>2.4780000000000002</v>
      </c>
    </row>
    <row r="22763" spans="1:5">
      <c r="A22763" t="s">
        <v>47829</v>
      </c>
      <c r="B22763" t="s">
        <v>22836</v>
      </c>
      <c r="C22763">
        <f>0.248551785676</f>
        <v>0.248551785676</v>
      </c>
      <c r="D22763">
        <v>0.76696178567600004</v>
      </c>
      <c r="E22763">
        <v>2.4780000000000002</v>
      </c>
    </row>
    <row r="22764" spans="1:5">
      <c r="A22764" t="s">
        <v>47829</v>
      </c>
      <c r="B22764" t="s">
        <v>22840</v>
      </c>
      <c r="C22764">
        <v>0</v>
      </c>
      <c r="D22764">
        <v>0.76696178567600004</v>
      </c>
      <c r="E22764">
        <v>2.4780000000000002</v>
      </c>
    </row>
    <row r="22765" spans="1:5">
      <c r="A22765" t="s">
        <v>47829</v>
      </c>
      <c r="B22765" t="s">
        <v>22841</v>
      </c>
      <c r="C22765">
        <f>0</f>
        <v>0</v>
      </c>
      <c r="D22765">
        <v>0.76696178567600004</v>
      </c>
      <c r="E22765">
        <v>2.4780000000000002</v>
      </c>
    </row>
    <row r="22766" spans="1:5">
      <c r="A22766" t="s">
        <v>47829</v>
      </c>
      <c r="B22766" t="s">
        <v>22834</v>
      </c>
      <c r="C22766">
        <v>0</v>
      </c>
      <c r="D22766">
        <v>0.76696178567600004</v>
      </c>
      <c r="E22766">
        <v>2.4780000000000002</v>
      </c>
    </row>
    <row r="22767" spans="1:5">
      <c r="A22767" t="s">
        <v>47830</v>
      </c>
      <c r="B22767" t="s">
        <v>20761</v>
      </c>
      <c r="C22767">
        <v>0</v>
      </c>
      <c r="D22767" t="s">
        <v>106</v>
      </c>
      <c r="E22767">
        <v>3.4079999999999999</v>
      </c>
    </row>
    <row r="22768" spans="1:5">
      <c r="A22768" t="s">
        <v>47830</v>
      </c>
      <c r="B22768" t="s">
        <v>20762</v>
      </c>
      <c r="C22768">
        <v>0</v>
      </c>
      <c r="D22768" t="s">
        <v>106</v>
      </c>
      <c r="E22768">
        <v>3.4079999999999999</v>
      </c>
    </row>
    <row r="22769" spans="1:5">
      <c r="A22769" t="s">
        <v>47830</v>
      </c>
      <c r="B22769" t="s">
        <v>20764</v>
      </c>
      <c r="C22769">
        <v>0</v>
      </c>
      <c r="D22769" t="s">
        <v>106</v>
      </c>
      <c r="E22769">
        <v>3.4079999999999999</v>
      </c>
    </row>
    <row r="22770" spans="1:5">
      <c r="A22770" t="s">
        <v>47830</v>
      </c>
      <c r="B22770" t="s">
        <v>20766</v>
      </c>
      <c r="C22770">
        <v>0</v>
      </c>
      <c r="D22770" t="s">
        <v>106</v>
      </c>
      <c r="E22770">
        <v>3.4079999999999999</v>
      </c>
    </row>
    <row r="22771" spans="1:5">
      <c r="A22771" t="s">
        <v>47830</v>
      </c>
      <c r="B22771" t="s">
        <v>20760</v>
      </c>
      <c r="C22771">
        <f>0</f>
        <v>0</v>
      </c>
      <c r="D22771" t="s">
        <v>106</v>
      </c>
      <c r="E22771">
        <v>3.4079999999999999</v>
      </c>
    </row>
    <row r="22772" spans="1:5">
      <c r="A22772" t="s">
        <v>47830</v>
      </c>
      <c r="B22772" t="s">
        <v>20767</v>
      </c>
      <c r="C22772">
        <v>0</v>
      </c>
      <c r="D22772" t="s">
        <v>106</v>
      </c>
      <c r="E22772">
        <v>3.4079999999999999</v>
      </c>
    </row>
    <row r="22773" spans="1:5">
      <c r="A22773" t="s">
        <v>47831</v>
      </c>
      <c r="B22773" t="s">
        <v>1171</v>
      </c>
      <c r="C22773">
        <f>0.0103893744287</f>
        <v>1.0389374428700001E-2</v>
      </c>
      <c r="D22773">
        <v>0.77657675042999996</v>
      </c>
      <c r="E22773">
        <v>24</v>
      </c>
    </row>
    <row r="22774" spans="1:5">
      <c r="A22774" t="s">
        <v>47831</v>
      </c>
      <c r="B22774" t="s">
        <v>1165</v>
      </c>
      <c r="C22774">
        <f>0.168410898861</f>
        <v>0.168410898861</v>
      </c>
      <c r="D22774">
        <v>0.77657675042999996</v>
      </c>
      <c r="E22774">
        <v>24</v>
      </c>
    </row>
    <row r="22775" spans="1:5">
      <c r="A22775" t="s">
        <v>47831</v>
      </c>
      <c r="B22775" t="s">
        <v>1172</v>
      </c>
      <c r="C22775">
        <f>0.474061635761</f>
        <v>0.47406163576100002</v>
      </c>
      <c r="D22775">
        <v>0.77657675042999996</v>
      </c>
      <c r="E22775">
        <v>24</v>
      </c>
    </row>
    <row r="22776" spans="1:5">
      <c r="A22776" t="s">
        <v>47831</v>
      </c>
      <c r="B22776" t="s">
        <v>1168</v>
      </c>
      <c r="C22776">
        <f>0.575167406805</f>
        <v>0.575167406805</v>
      </c>
      <c r="D22776">
        <v>0.77657675042999996</v>
      </c>
      <c r="E22776">
        <v>24</v>
      </c>
    </row>
    <row r="22777" spans="1:5">
      <c r="A22777" t="s">
        <v>47832</v>
      </c>
      <c r="B22777" t="s">
        <v>21835</v>
      </c>
      <c r="C22777">
        <f>0.522784025711</f>
        <v>0.52278402571100002</v>
      </c>
      <c r="D22777">
        <v>0.91870600891200005</v>
      </c>
      <c r="E22777">
        <v>1.512</v>
      </c>
    </row>
    <row r="22778" spans="1:5">
      <c r="A22778" t="s">
        <v>47832</v>
      </c>
      <c r="B22778" t="s">
        <v>21834</v>
      </c>
      <c r="C22778">
        <v>1.1282199791800001</v>
      </c>
      <c r="D22778">
        <v>0.91870600891200005</v>
      </c>
      <c r="E22778">
        <v>1.512</v>
      </c>
    </row>
    <row r="22779" spans="1:5">
      <c r="A22779" t="s">
        <v>47832</v>
      </c>
      <c r="B22779" t="s">
        <v>21837</v>
      </c>
      <c r="C22779">
        <f>0.0451426888917</f>
        <v>4.5142688891699999E-2</v>
      </c>
      <c r="D22779">
        <v>0.91870600891200005</v>
      </c>
      <c r="E22779">
        <v>1.512</v>
      </c>
    </row>
    <row r="22780" spans="1:5">
      <c r="A22780" t="s">
        <v>47832</v>
      </c>
      <c r="B22780" t="s">
        <v>21836</v>
      </c>
      <c r="C22780">
        <f>0</f>
        <v>0</v>
      </c>
      <c r="D22780">
        <v>0.91870600891200005</v>
      </c>
      <c r="E22780">
        <v>1.512</v>
      </c>
    </row>
    <row r="22781" spans="1:5">
      <c r="A22781" t="s">
        <v>47833</v>
      </c>
      <c r="B22781" t="s">
        <v>28436</v>
      </c>
      <c r="C22781">
        <v>2.21703401759E-2</v>
      </c>
      <c r="D22781">
        <v>0.68345975428899997</v>
      </c>
      <c r="E22781">
        <v>7.0679999999999996</v>
      </c>
    </row>
    <row r="22782" spans="1:5">
      <c r="A22782" t="s">
        <v>47833</v>
      </c>
      <c r="B22782" t="s">
        <v>28438</v>
      </c>
      <c r="C22782">
        <v>0.25738391057900001</v>
      </c>
      <c r="D22782">
        <v>0.68345975428899997</v>
      </c>
      <c r="E22782">
        <v>7.0679999999999996</v>
      </c>
    </row>
    <row r="22783" spans="1:5">
      <c r="A22783" t="s">
        <v>47833</v>
      </c>
      <c r="B22783" t="s">
        <v>28437</v>
      </c>
      <c r="C22783">
        <v>0.49448874004499999</v>
      </c>
      <c r="D22783">
        <v>0.68345975428899997</v>
      </c>
      <c r="E22783">
        <v>7.0679999999999996</v>
      </c>
    </row>
    <row r="22784" spans="1:5">
      <c r="A22784" t="s">
        <v>47834</v>
      </c>
      <c r="B22784" t="s">
        <v>47821</v>
      </c>
      <c r="C22784">
        <v>3.0355628110400001E-2</v>
      </c>
      <c r="D22784">
        <v>0.80789707819900003</v>
      </c>
      <c r="E22784">
        <v>24</v>
      </c>
    </row>
    <row r="22785" spans="1:5">
      <c r="A22785" t="s">
        <v>47834</v>
      </c>
      <c r="B22785" t="s">
        <v>47822</v>
      </c>
      <c r="C22785">
        <f>0</f>
        <v>0</v>
      </c>
      <c r="D22785">
        <v>0.80789707819900003</v>
      </c>
      <c r="E22785">
        <v>24</v>
      </c>
    </row>
    <row r="22786" spans="1:5">
      <c r="A22786" t="s">
        <v>47834</v>
      </c>
      <c r="B22786" t="s">
        <v>47823</v>
      </c>
      <c r="C22786">
        <v>0</v>
      </c>
      <c r="D22786">
        <v>0.80789707819900003</v>
      </c>
      <c r="E22786">
        <v>24</v>
      </c>
    </row>
    <row r="22787" spans="1:5">
      <c r="A22787" t="s">
        <v>47834</v>
      </c>
      <c r="B22787" t="s">
        <v>47824</v>
      </c>
      <c r="C22787">
        <f>0.540510675121</f>
        <v>0.54051067512100004</v>
      </c>
      <c r="D22787">
        <v>0.80789707819900003</v>
      </c>
      <c r="E22787">
        <v>24</v>
      </c>
    </row>
    <row r="22788" spans="1:5">
      <c r="A22788" t="s">
        <v>47834</v>
      </c>
      <c r="B22788" t="s">
        <v>47825</v>
      </c>
      <c r="C22788">
        <f>0.263789901214</f>
        <v>0.26378990121399998</v>
      </c>
      <c r="D22788">
        <v>0.80789707819900003</v>
      </c>
      <c r="E22788">
        <v>24</v>
      </c>
    </row>
    <row r="22789" spans="1:5">
      <c r="A22789" t="s">
        <v>47834</v>
      </c>
      <c r="B22789" t="s">
        <v>47826</v>
      </c>
      <c r="C22789">
        <f>0</f>
        <v>0</v>
      </c>
      <c r="D22789">
        <v>0.80789707819900003</v>
      </c>
      <c r="E22789">
        <v>24</v>
      </c>
    </row>
    <row r="22790" spans="1:5">
      <c r="A22790" t="s">
        <v>47835</v>
      </c>
      <c r="B22790" t="s">
        <v>47836</v>
      </c>
      <c r="C22790">
        <v>0.179177739626</v>
      </c>
      <c r="D22790">
        <v>0.96622160647999999</v>
      </c>
      <c r="E22790">
        <v>9.468</v>
      </c>
    </row>
    <row r="22791" spans="1:5">
      <c r="A22791" t="s">
        <v>47835</v>
      </c>
      <c r="B22791" t="s">
        <v>47837</v>
      </c>
      <c r="C22791">
        <f>0.260299471493</f>
        <v>0.26029947149299998</v>
      </c>
      <c r="D22791">
        <v>0.96622160647999999</v>
      </c>
      <c r="E22791">
        <v>9.468</v>
      </c>
    </row>
    <row r="22792" spans="1:5">
      <c r="A22792" t="s">
        <v>47835</v>
      </c>
      <c r="B22792" t="s">
        <v>47838</v>
      </c>
      <c r="C22792">
        <v>0.53706899735299996</v>
      </c>
      <c r="D22792">
        <v>0.96622160647999999</v>
      </c>
      <c r="E22792">
        <v>9.468</v>
      </c>
    </row>
    <row r="22793" spans="1:5">
      <c r="A22793" t="s">
        <v>47835</v>
      </c>
      <c r="B22793" t="s">
        <v>47839</v>
      </c>
      <c r="C22793">
        <v>0.32578977659699998</v>
      </c>
      <c r="D22793">
        <v>0.96622160647999999</v>
      </c>
      <c r="E22793">
        <v>9.468</v>
      </c>
    </row>
    <row r="22794" spans="1:5">
      <c r="A22794" t="s">
        <v>47835</v>
      </c>
      <c r="B22794" t="s">
        <v>47840</v>
      </c>
      <c r="C22794">
        <v>0</v>
      </c>
      <c r="D22794">
        <v>0.96622160647999999</v>
      </c>
      <c r="E22794">
        <v>9.468</v>
      </c>
    </row>
    <row r="22795" spans="1:5">
      <c r="A22795" t="s">
        <v>47835</v>
      </c>
      <c r="B22795" t="s">
        <v>47841</v>
      </c>
      <c r="C22795">
        <v>0</v>
      </c>
      <c r="D22795">
        <v>0.96622160647999999</v>
      </c>
      <c r="E22795">
        <v>9.468</v>
      </c>
    </row>
    <row r="22796" spans="1:5">
      <c r="A22796" t="s">
        <v>47835</v>
      </c>
      <c r="B22796" t="s">
        <v>47842</v>
      </c>
      <c r="C22796">
        <v>4.43036152653E-3</v>
      </c>
      <c r="D22796">
        <v>0.96622160647999999</v>
      </c>
      <c r="E22796">
        <v>9.468</v>
      </c>
    </row>
    <row r="22797" spans="1:5">
      <c r="A22797" t="s">
        <v>47835</v>
      </c>
      <c r="B22797" t="s">
        <v>47843</v>
      </c>
      <c r="C22797">
        <v>0</v>
      </c>
      <c r="D22797">
        <v>0.96622160647999999</v>
      </c>
      <c r="E22797">
        <v>9.468</v>
      </c>
    </row>
    <row r="22798" spans="1:5">
      <c r="A22798" t="s">
        <v>47835</v>
      </c>
      <c r="B22798" t="s">
        <v>47844</v>
      </c>
      <c r="C22798">
        <v>7.21660219224E-2</v>
      </c>
      <c r="D22798">
        <v>0.96622160647999999</v>
      </c>
      <c r="E22798">
        <v>9.468</v>
      </c>
    </row>
    <row r="22799" spans="1:5">
      <c r="A22799" t="s">
        <v>47845</v>
      </c>
      <c r="B22799" t="s">
        <v>941</v>
      </c>
      <c r="C22799">
        <f>0.794021167992</f>
        <v>0.79402116799199995</v>
      </c>
      <c r="D22799">
        <v>0.94862351386400001</v>
      </c>
      <c r="E22799">
        <v>10.554</v>
      </c>
    </row>
    <row r="22800" spans="1:5">
      <c r="A22800" t="s">
        <v>47845</v>
      </c>
      <c r="B22800" t="s">
        <v>942</v>
      </c>
      <c r="C22800">
        <v>0.35777538754999999</v>
      </c>
      <c r="D22800">
        <v>0.94862351386400001</v>
      </c>
      <c r="E22800">
        <v>10.554</v>
      </c>
    </row>
    <row r="22801" spans="1:5">
      <c r="A22801" t="s">
        <v>47845</v>
      </c>
      <c r="B22801" t="s">
        <v>947</v>
      </c>
      <c r="C22801">
        <f>0.297746083817</f>
        <v>0.29774608381700002</v>
      </c>
      <c r="D22801">
        <v>0.94862351386400001</v>
      </c>
      <c r="E22801">
        <v>10.554</v>
      </c>
    </row>
    <row r="22802" spans="1:5">
      <c r="A22802" t="s">
        <v>47845</v>
      </c>
      <c r="B22802" t="s">
        <v>943</v>
      </c>
      <c r="C22802">
        <f>0</f>
        <v>0</v>
      </c>
      <c r="D22802">
        <v>0.94862351386400001</v>
      </c>
      <c r="E22802">
        <v>10.554</v>
      </c>
    </row>
    <row r="22803" spans="1:5">
      <c r="A22803" t="s">
        <v>47845</v>
      </c>
      <c r="B22803" t="s">
        <v>946</v>
      </c>
      <c r="C22803">
        <f>0.932371306463</f>
        <v>0.93237130646300004</v>
      </c>
      <c r="D22803">
        <v>0.94862351386400001</v>
      </c>
      <c r="E22803">
        <v>10.554</v>
      </c>
    </row>
    <row r="22804" spans="1:5">
      <c r="A22804" t="s">
        <v>47846</v>
      </c>
      <c r="B22804" t="s">
        <v>34103</v>
      </c>
      <c r="C22804">
        <f>0</f>
        <v>0</v>
      </c>
      <c r="D22804">
        <v>0.654519715103</v>
      </c>
      <c r="E22804">
        <v>0</v>
      </c>
    </row>
    <row r="22805" spans="1:5">
      <c r="A22805" t="s">
        <v>47846</v>
      </c>
      <c r="B22805" t="s">
        <v>34105</v>
      </c>
      <c r="C22805">
        <v>0.424109715103</v>
      </c>
      <c r="D22805">
        <v>0.654519715103</v>
      </c>
      <c r="E22805">
        <v>0</v>
      </c>
    </row>
    <row r="22806" spans="1:5">
      <c r="A22806" t="s">
        <v>47846</v>
      </c>
      <c r="B22806" t="s">
        <v>34104</v>
      </c>
      <c r="C22806">
        <f>0</f>
        <v>0</v>
      </c>
      <c r="D22806">
        <v>0.654519715103</v>
      </c>
      <c r="E22806">
        <v>0</v>
      </c>
    </row>
    <row r="22807" spans="1:5">
      <c r="A22807" t="s">
        <v>47847</v>
      </c>
      <c r="B22807" t="s">
        <v>6643</v>
      </c>
      <c r="C22807">
        <f>0</f>
        <v>0</v>
      </c>
      <c r="D22807">
        <v>0.93854673323600002</v>
      </c>
      <c r="E22807">
        <v>1.452</v>
      </c>
    </row>
    <row r="22808" spans="1:5">
      <c r="A22808" t="s">
        <v>47847</v>
      </c>
      <c r="B22808" t="s">
        <v>6630</v>
      </c>
      <c r="C22808">
        <f>0</f>
        <v>0</v>
      </c>
      <c r="D22808">
        <v>0.93854673323600002</v>
      </c>
      <c r="E22808">
        <v>1.452</v>
      </c>
    </row>
    <row r="22809" spans="1:5">
      <c r="A22809" t="s">
        <v>47847</v>
      </c>
      <c r="B22809" t="s">
        <v>6629</v>
      </c>
      <c r="C22809">
        <v>0.21752491403800001</v>
      </c>
      <c r="D22809">
        <v>0.93854673323600002</v>
      </c>
      <c r="E22809">
        <v>1.452</v>
      </c>
    </row>
    <row r="22810" spans="1:5">
      <c r="A22810" t="s">
        <v>47847</v>
      </c>
      <c r="B22810" t="s">
        <v>6633</v>
      </c>
      <c r="C22810">
        <f>0</f>
        <v>0</v>
      </c>
      <c r="D22810">
        <v>0.93854673323600002</v>
      </c>
      <c r="E22810">
        <v>1.452</v>
      </c>
    </row>
    <row r="22811" spans="1:5">
      <c r="A22811" t="s">
        <v>47847</v>
      </c>
      <c r="B22811" t="s">
        <v>6632</v>
      </c>
      <c r="C22811">
        <f>0.253599179958</f>
        <v>0.25359917995800002</v>
      </c>
      <c r="D22811">
        <v>0.93854673323600002</v>
      </c>
      <c r="E22811">
        <v>1.452</v>
      </c>
    </row>
    <row r="22812" spans="1:5">
      <c r="A22812" t="s">
        <v>47847</v>
      </c>
      <c r="B22812" t="s">
        <v>6627</v>
      </c>
      <c r="C22812">
        <v>0.406492469277</v>
      </c>
      <c r="D22812">
        <v>0.93854673323600002</v>
      </c>
      <c r="E22812">
        <v>1.452</v>
      </c>
    </row>
    <row r="22813" spans="1:5">
      <c r="A22813" t="s">
        <v>47847</v>
      </c>
      <c r="B22813" t="s">
        <v>6638</v>
      </c>
      <c r="C22813">
        <f>0.184422386221</f>
        <v>0.18442238622099999</v>
      </c>
      <c r="D22813">
        <v>0.93854673323600002</v>
      </c>
      <c r="E22813">
        <v>1.452</v>
      </c>
    </row>
    <row r="22814" spans="1:5">
      <c r="A22814" t="s">
        <v>47847</v>
      </c>
      <c r="B22814" t="s">
        <v>6635</v>
      </c>
      <c r="C22814">
        <f>0</f>
        <v>0</v>
      </c>
      <c r="D22814">
        <v>0.93854673323600002</v>
      </c>
      <c r="E22814">
        <v>1.452</v>
      </c>
    </row>
    <row r="22815" spans="1:5">
      <c r="A22815" t="s">
        <v>47847</v>
      </c>
      <c r="B22815" t="s">
        <v>47848</v>
      </c>
      <c r="C22815">
        <v>0</v>
      </c>
      <c r="D22815">
        <v>0.93854673323600002</v>
      </c>
      <c r="E22815">
        <v>1.452</v>
      </c>
    </row>
    <row r="22816" spans="1:5">
      <c r="A22816" t="s">
        <v>47847</v>
      </c>
      <c r="B22816" t="s">
        <v>6641</v>
      </c>
      <c r="C22816">
        <f>0</f>
        <v>0</v>
      </c>
      <c r="D22816">
        <v>0.93854673323600002</v>
      </c>
      <c r="E22816">
        <v>1.452</v>
      </c>
    </row>
    <row r="22817" spans="1:5">
      <c r="A22817" t="s">
        <v>47847</v>
      </c>
      <c r="B22817" t="s">
        <v>6634</v>
      </c>
      <c r="C22817">
        <f>0.226750617752</f>
        <v>0.22675061775200001</v>
      </c>
      <c r="D22817">
        <v>0.93854673323600002</v>
      </c>
      <c r="E22817">
        <v>1.452</v>
      </c>
    </row>
    <row r="22818" spans="1:5">
      <c r="A22818" t="s">
        <v>47847</v>
      </c>
      <c r="B22818" t="s">
        <v>6640</v>
      </c>
      <c r="C22818">
        <v>0</v>
      </c>
      <c r="D22818">
        <v>0.93854673323600002</v>
      </c>
      <c r="E22818">
        <v>1.452</v>
      </c>
    </row>
    <row r="22819" spans="1:5">
      <c r="A22819" t="s">
        <v>47847</v>
      </c>
      <c r="B22819" t="s">
        <v>6631</v>
      </c>
      <c r="C22819">
        <f>0</f>
        <v>0</v>
      </c>
      <c r="D22819">
        <v>0.93854673323600002</v>
      </c>
      <c r="E22819">
        <v>1.452</v>
      </c>
    </row>
    <row r="22820" spans="1:5">
      <c r="A22820" t="s">
        <v>47847</v>
      </c>
      <c r="B22820" t="s">
        <v>6639</v>
      </c>
      <c r="C22820">
        <f>0</f>
        <v>0</v>
      </c>
      <c r="D22820">
        <v>0.93854673323600002</v>
      </c>
      <c r="E22820">
        <v>1.452</v>
      </c>
    </row>
    <row r="22821" spans="1:5">
      <c r="A22821" t="s">
        <v>47847</v>
      </c>
      <c r="B22821" t="s">
        <v>6628</v>
      </c>
      <c r="C22821">
        <f>0</f>
        <v>0</v>
      </c>
      <c r="D22821">
        <v>0.93854673323600002</v>
      </c>
      <c r="E22821">
        <v>1.452</v>
      </c>
    </row>
    <row r="22822" spans="1:5">
      <c r="A22822" t="s">
        <v>47847</v>
      </c>
      <c r="B22822" t="s">
        <v>6636</v>
      </c>
      <c r="C22822">
        <f>0</f>
        <v>0</v>
      </c>
      <c r="D22822">
        <v>0.93854673323600002</v>
      </c>
      <c r="E22822">
        <v>1.452</v>
      </c>
    </row>
    <row r="22823" spans="1:5">
      <c r="A22823" t="s">
        <v>47847</v>
      </c>
      <c r="B22823" t="s">
        <v>6625</v>
      </c>
      <c r="C22823">
        <f>0</f>
        <v>0</v>
      </c>
      <c r="D22823">
        <v>0.93854673323600002</v>
      </c>
      <c r="E22823">
        <v>1.452</v>
      </c>
    </row>
    <row r="22824" spans="1:5">
      <c r="A22824" t="s">
        <v>47849</v>
      </c>
      <c r="B22824" t="s">
        <v>28484</v>
      </c>
      <c r="C22824">
        <v>0.41591897799499999</v>
      </c>
      <c r="D22824">
        <v>0.65048156501900001</v>
      </c>
      <c r="E22824">
        <v>0</v>
      </c>
    </row>
    <row r="22825" spans="1:5">
      <c r="A22825" t="s">
        <v>47849</v>
      </c>
      <c r="B22825" t="s">
        <v>28483</v>
      </c>
      <c r="C22825">
        <v>0</v>
      </c>
      <c r="D22825">
        <v>0.65048156501900001</v>
      </c>
      <c r="E22825">
        <v>0</v>
      </c>
    </row>
    <row r="22826" spans="1:5">
      <c r="A22826" t="s">
        <v>47849</v>
      </c>
      <c r="B22826" t="s">
        <v>28482</v>
      </c>
      <c r="C22826">
        <v>4.2079631235100001E-2</v>
      </c>
      <c r="D22826">
        <v>0.65048156501900001</v>
      </c>
      <c r="E22826">
        <v>0</v>
      </c>
    </row>
    <row r="22827" spans="1:5">
      <c r="A22827" t="s">
        <v>47850</v>
      </c>
      <c r="B22827" t="s">
        <v>47851</v>
      </c>
      <c r="C22827">
        <f>0</f>
        <v>0</v>
      </c>
      <c r="D22827" t="s">
        <v>106</v>
      </c>
      <c r="E22827">
        <v>24</v>
      </c>
    </row>
    <row r="22828" spans="1:5">
      <c r="A22828" t="s">
        <v>47850</v>
      </c>
      <c r="B22828" t="s">
        <v>47852</v>
      </c>
      <c r="C22828">
        <f>0</f>
        <v>0</v>
      </c>
      <c r="D22828" t="s">
        <v>106</v>
      </c>
      <c r="E22828">
        <v>24</v>
      </c>
    </row>
    <row r="22829" spans="1:5">
      <c r="A22829" t="s">
        <v>47850</v>
      </c>
      <c r="B22829" t="s">
        <v>47853</v>
      </c>
      <c r="C22829">
        <v>0</v>
      </c>
      <c r="D22829" t="s">
        <v>106</v>
      </c>
      <c r="E22829">
        <v>24</v>
      </c>
    </row>
    <row r="22830" spans="1:5">
      <c r="A22830" t="s">
        <v>47850</v>
      </c>
      <c r="B22830" t="s">
        <v>47854</v>
      </c>
      <c r="C22830">
        <v>0</v>
      </c>
      <c r="D22830" t="s">
        <v>106</v>
      </c>
      <c r="E22830">
        <v>24</v>
      </c>
    </row>
    <row r="22831" spans="1:5">
      <c r="A22831" t="s">
        <v>47850</v>
      </c>
      <c r="B22831" t="s">
        <v>47855</v>
      </c>
      <c r="C22831">
        <f>0</f>
        <v>0</v>
      </c>
      <c r="D22831" t="s">
        <v>106</v>
      </c>
      <c r="E22831">
        <v>24</v>
      </c>
    </row>
    <row r="22832" spans="1:5">
      <c r="A22832" t="s">
        <v>47856</v>
      </c>
      <c r="B22832" t="s">
        <v>26906</v>
      </c>
      <c r="C22832">
        <v>0</v>
      </c>
      <c r="D22832">
        <v>0.64745525171700002</v>
      </c>
      <c r="E22832">
        <v>11.04</v>
      </c>
    </row>
    <row r="22833" spans="1:5">
      <c r="A22833" t="s">
        <v>47856</v>
      </c>
      <c r="B22833" t="s">
        <v>26909</v>
      </c>
      <c r="C22833">
        <v>0</v>
      </c>
      <c r="D22833">
        <v>0.64745525171700002</v>
      </c>
      <c r="E22833">
        <v>11.04</v>
      </c>
    </row>
    <row r="22834" spans="1:5">
      <c r="A22834" t="s">
        <v>47856</v>
      </c>
      <c r="B22834" t="s">
        <v>26908</v>
      </c>
      <c r="C22834">
        <v>0</v>
      </c>
      <c r="D22834">
        <v>0.64745525171700002</v>
      </c>
      <c r="E22834">
        <v>11.04</v>
      </c>
    </row>
    <row r="22835" spans="1:5">
      <c r="A22835" t="s">
        <v>47856</v>
      </c>
      <c r="B22835" t="s">
        <v>26895</v>
      </c>
      <c r="C22835">
        <v>0.12904525171699999</v>
      </c>
      <c r="D22835">
        <v>0.64745525171700002</v>
      </c>
      <c r="E22835">
        <v>11.04</v>
      </c>
    </row>
    <row r="22836" spans="1:5">
      <c r="A22836" t="s">
        <v>47856</v>
      </c>
      <c r="B22836" t="s">
        <v>26900</v>
      </c>
      <c r="C22836">
        <v>0</v>
      </c>
      <c r="D22836">
        <v>0.64745525171700002</v>
      </c>
      <c r="E22836">
        <v>11.04</v>
      </c>
    </row>
    <row r="22837" spans="1:5">
      <c r="A22837" t="s">
        <v>47856</v>
      </c>
      <c r="B22837" t="s">
        <v>26904</v>
      </c>
      <c r="C22837">
        <v>0</v>
      </c>
      <c r="D22837">
        <v>0.64745525171700002</v>
      </c>
      <c r="E22837">
        <v>11.04</v>
      </c>
    </row>
    <row r="22838" spans="1:5">
      <c r="A22838" t="s">
        <v>47856</v>
      </c>
      <c r="B22838" t="s">
        <v>26898</v>
      </c>
      <c r="C22838">
        <v>0</v>
      </c>
      <c r="D22838">
        <v>0.64745525171700002</v>
      </c>
      <c r="E22838">
        <v>11.04</v>
      </c>
    </row>
    <row r="22839" spans="1:5">
      <c r="A22839" t="s">
        <v>47856</v>
      </c>
      <c r="B22839" t="s">
        <v>26901</v>
      </c>
      <c r="C22839">
        <v>0</v>
      </c>
      <c r="D22839">
        <v>0.64745525171700002</v>
      </c>
      <c r="E22839">
        <v>11.04</v>
      </c>
    </row>
    <row r="22840" spans="1:5">
      <c r="A22840" t="s">
        <v>47856</v>
      </c>
      <c r="B22840" t="s">
        <v>26905</v>
      </c>
      <c r="C22840">
        <v>0</v>
      </c>
      <c r="D22840">
        <v>0.64745525171700002</v>
      </c>
      <c r="E22840">
        <v>11.04</v>
      </c>
    </row>
    <row r="22841" spans="1:5">
      <c r="A22841" t="s">
        <v>47857</v>
      </c>
      <c r="B22841" t="s">
        <v>47858</v>
      </c>
      <c r="C22841">
        <f>0</f>
        <v>0</v>
      </c>
      <c r="D22841">
        <v>0.72855756749199996</v>
      </c>
      <c r="E22841">
        <v>1.0680000000000001</v>
      </c>
    </row>
    <row r="22842" spans="1:5">
      <c r="A22842" t="s">
        <v>47857</v>
      </c>
      <c r="B22842" t="s">
        <v>47859</v>
      </c>
      <c r="C22842">
        <f>0</f>
        <v>0</v>
      </c>
      <c r="D22842">
        <v>0.72855756749199996</v>
      </c>
      <c r="E22842">
        <v>1.0680000000000001</v>
      </c>
    </row>
    <row r="22843" spans="1:5">
      <c r="A22843" t="s">
        <v>47857</v>
      </c>
      <c r="B22843" t="s">
        <v>47860</v>
      </c>
      <c r="C22843">
        <v>0.56854756749199997</v>
      </c>
      <c r="D22843">
        <v>0.72855756749199996</v>
      </c>
      <c r="E22843">
        <v>1.0680000000000001</v>
      </c>
    </row>
    <row r="22844" spans="1:5">
      <c r="A22844" t="s">
        <v>47861</v>
      </c>
      <c r="B22844" t="s">
        <v>3497</v>
      </c>
      <c r="C22844">
        <f>0</f>
        <v>0</v>
      </c>
      <c r="D22844" t="s">
        <v>106</v>
      </c>
      <c r="E22844">
        <v>24</v>
      </c>
    </row>
    <row r="22845" spans="1:5">
      <c r="A22845" t="s">
        <v>47861</v>
      </c>
      <c r="B22845" t="s">
        <v>3500</v>
      </c>
      <c r="C22845">
        <f>0</f>
        <v>0</v>
      </c>
      <c r="D22845" t="s">
        <v>106</v>
      </c>
      <c r="E22845">
        <v>24</v>
      </c>
    </row>
    <row r="22846" spans="1:5">
      <c r="A22846" t="s">
        <v>47862</v>
      </c>
      <c r="B22846" t="s">
        <v>47863</v>
      </c>
      <c r="C22846">
        <f>0</f>
        <v>0</v>
      </c>
      <c r="D22846">
        <v>0.758612622648</v>
      </c>
      <c r="E22846">
        <v>0.438</v>
      </c>
    </row>
    <row r="22847" spans="1:5">
      <c r="A22847" t="s">
        <v>47862</v>
      </c>
      <c r="B22847" t="s">
        <v>47864</v>
      </c>
      <c r="C22847">
        <v>0</v>
      </c>
      <c r="D22847">
        <v>0.758612622648</v>
      </c>
      <c r="E22847">
        <v>0.438</v>
      </c>
    </row>
    <row r="22848" spans="1:5">
      <c r="A22848" t="s">
        <v>47862</v>
      </c>
      <c r="B22848" t="s">
        <v>47865</v>
      </c>
      <c r="C22848">
        <v>0.56500262264800005</v>
      </c>
      <c r="D22848">
        <v>0.758612622648</v>
      </c>
      <c r="E22848">
        <v>0.438</v>
      </c>
    </row>
    <row r="22849" spans="1:5">
      <c r="A22849" t="s">
        <v>47866</v>
      </c>
      <c r="B22849" t="s">
        <v>32732</v>
      </c>
      <c r="C22849">
        <v>0.434399473526</v>
      </c>
      <c r="D22849">
        <v>0.71178999496200002</v>
      </c>
      <c r="E22849">
        <v>9.0180000000000007</v>
      </c>
    </row>
    <row r="22850" spans="1:5">
      <c r="A22850" t="s">
        <v>47866</v>
      </c>
      <c r="B22850" t="s">
        <v>32730</v>
      </c>
      <c r="C22850">
        <v>0.23799381135799999</v>
      </c>
      <c r="D22850">
        <v>0.71178999496200002</v>
      </c>
      <c r="E22850">
        <v>9.0180000000000007</v>
      </c>
    </row>
    <row r="22851" spans="1:5">
      <c r="A22851" t="s">
        <v>47866</v>
      </c>
      <c r="B22851" t="s">
        <v>32731</v>
      </c>
      <c r="C22851">
        <v>4.7762692210500002E-2</v>
      </c>
      <c r="D22851">
        <v>0.71178999496200002</v>
      </c>
      <c r="E22851">
        <v>9.0180000000000007</v>
      </c>
    </row>
    <row r="22852" spans="1:5">
      <c r="A22852" t="s">
        <v>47867</v>
      </c>
      <c r="B22852" t="s">
        <v>177</v>
      </c>
      <c r="C22852">
        <v>0</v>
      </c>
      <c r="D22852" t="s">
        <v>106</v>
      </c>
      <c r="E22852">
        <v>23.754000000000001</v>
      </c>
    </row>
    <row r="22853" spans="1:5">
      <c r="A22853" t="s">
        <v>47867</v>
      </c>
      <c r="B22853" t="s">
        <v>178</v>
      </c>
      <c r="C22853">
        <v>0</v>
      </c>
      <c r="D22853" t="s">
        <v>106</v>
      </c>
      <c r="E22853">
        <v>23.754000000000001</v>
      </c>
    </row>
    <row r="22854" spans="1:5">
      <c r="A22854" t="s">
        <v>47867</v>
      </c>
      <c r="B22854" t="s">
        <v>175</v>
      </c>
      <c r="C22854">
        <f>0</f>
        <v>0</v>
      </c>
      <c r="D22854" t="s">
        <v>106</v>
      </c>
      <c r="E22854">
        <v>23.754000000000001</v>
      </c>
    </row>
    <row r="22855" spans="1:5">
      <c r="A22855" t="s">
        <v>47868</v>
      </c>
      <c r="B22855" t="s">
        <v>11666</v>
      </c>
      <c r="C22855">
        <f>0</f>
        <v>0</v>
      </c>
      <c r="D22855" t="s">
        <v>106</v>
      </c>
      <c r="E22855">
        <v>0</v>
      </c>
    </row>
    <row r="22856" spans="1:5">
      <c r="A22856" t="s">
        <v>47868</v>
      </c>
      <c r="B22856" t="s">
        <v>11665</v>
      </c>
      <c r="C22856">
        <v>0</v>
      </c>
      <c r="D22856" t="s">
        <v>106</v>
      </c>
      <c r="E22856">
        <v>0</v>
      </c>
    </row>
    <row r="22857" spans="1:5">
      <c r="A22857" t="s">
        <v>47868</v>
      </c>
      <c r="B22857" t="s">
        <v>11664</v>
      </c>
      <c r="C22857">
        <v>0</v>
      </c>
      <c r="D22857" t="s">
        <v>106</v>
      </c>
      <c r="E22857">
        <v>0</v>
      </c>
    </row>
    <row r="22858" spans="1:5">
      <c r="A22858" t="s">
        <v>47869</v>
      </c>
      <c r="B22858" t="s">
        <v>30411</v>
      </c>
      <c r="C22858">
        <f>0.318843632986</f>
        <v>0.31884363298599999</v>
      </c>
      <c r="D22858">
        <v>0.995749531957</v>
      </c>
      <c r="E22858">
        <v>24</v>
      </c>
    </row>
    <row r="22859" spans="1:5">
      <c r="A22859" t="s">
        <v>47869</v>
      </c>
      <c r="B22859" t="s">
        <v>30417</v>
      </c>
      <c r="C22859">
        <f>-1.01144738503</f>
        <v>-1.0114473850300001</v>
      </c>
      <c r="D22859">
        <v>0.995749531957</v>
      </c>
      <c r="E22859">
        <v>24</v>
      </c>
    </row>
    <row r="22860" spans="1:5">
      <c r="A22860" t="s">
        <v>47869</v>
      </c>
      <c r="B22860" t="s">
        <v>30413</v>
      </c>
      <c r="C22860">
        <f>0.10489433836</f>
        <v>0.10489433836000001</v>
      </c>
      <c r="D22860">
        <v>0.995749531957</v>
      </c>
      <c r="E22860">
        <v>24</v>
      </c>
    </row>
    <row r="22861" spans="1:5">
      <c r="A22861" t="s">
        <v>47869</v>
      </c>
      <c r="B22861" t="s">
        <v>30415</v>
      </c>
      <c r="C22861">
        <v>4.4451297887000001</v>
      </c>
      <c r="D22861">
        <v>0.995749531957</v>
      </c>
      <c r="E22861">
        <v>24</v>
      </c>
    </row>
    <row r="22862" spans="1:5">
      <c r="A22862" t="s">
        <v>47869</v>
      </c>
      <c r="B22862" t="s">
        <v>30421</v>
      </c>
      <c r="C22862">
        <f>-3.03813168147</f>
        <v>-3.0381316814699999</v>
      </c>
      <c r="D22862">
        <v>0.995749531957</v>
      </c>
      <c r="E22862">
        <v>24</v>
      </c>
    </row>
    <row r="22863" spans="1:5">
      <c r="A22863" t="s">
        <v>47869</v>
      </c>
      <c r="B22863" t="s">
        <v>30420</v>
      </c>
      <c r="C22863">
        <v>0.24338347511799999</v>
      </c>
      <c r="D22863">
        <v>0.995749531957</v>
      </c>
      <c r="E22863">
        <v>24</v>
      </c>
    </row>
    <row r="22864" spans="1:5">
      <c r="A22864" t="s">
        <v>47870</v>
      </c>
      <c r="B22864" t="s">
        <v>47871</v>
      </c>
      <c r="C22864">
        <f>0.253418271833</f>
        <v>0.25341827183299998</v>
      </c>
      <c r="D22864">
        <v>0.75903619267599998</v>
      </c>
      <c r="E22864">
        <v>0</v>
      </c>
    </row>
    <row r="22865" spans="1:5">
      <c r="A22865" t="s">
        <v>47870</v>
      </c>
      <c r="B22865" t="s">
        <v>47872</v>
      </c>
      <c r="C22865">
        <f>0</f>
        <v>0</v>
      </c>
      <c r="D22865">
        <v>0.75903619267599998</v>
      </c>
      <c r="E22865">
        <v>0</v>
      </c>
    </row>
    <row r="22866" spans="1:5">
      <c r="A22866" t="s">
        <v>47870</v>
      </c>
      <c r="B22866" t="s">
        <v>47873</v>
      </c>
      <c r="C22866">
        <v>0</v>
      </c>
      <c r="D22866">
        <v>0.75903619267599998</v>
      </c>
      <c r="E22866">
        <v>0</v>
      </c>
    </row>
    <row r="22867" spans="1:5">
      <c r="A22867" t="s">
        <v>47870</v>
      </c>
      <c r="B22867" t="s">
        <v>47874</v>
      </c>
      <c r="C22867">
        <v>0.27500502531400001</v>
      </c>
      <c r="D22867">
        <v>0.75903619267599998</v>
      </c>
      <c r="E22867">
        <v>0</v>
      </c>
    </row>
    <row r="22868" spans="1:5">
      <c r="A22868" t="s">
        <v>47870</v>
      </c>
      <c r="B22868" t="s">
        <v>47875</v>
      </c>
      <c r="C22868">
        <f>0</f>
        <v>0</v>
      </c>
      <c r="D22868">
        <v>0.75903619267599998</v>
      </c>
      <c r="E22868">
        <v>0</v>
      </c>
    </row>
    <row r="22869" spans="1:5">
      <c r="A22869" t="s">
        <v>47870</v>
      </c>
      <c r="B22869" t="s">
        <v>47876</v>
      </c>
      <c r="C22869">
        <v>0</v>
      </c>
      <c r="D22869">
        <v>0.75903619267599998</v>
      </c>
      <c r="E22869">
        <v>0</v>
      </c>
    </row>
    <row r="22870" spans="1:5">
      <c r="A22870" t="s">
        <v>47870</v>
      </c>
      <c r="B22870" t="s">
        <v>47877</v>
      </c>
      <c r="C22870">
        <v>4.2259337371199999E-3</v>
      </c>
      <c r="D22870">
        <v>0.75903619267599998</v>
      </c>
      <c r="E22870">
        <v>0</v>
      </c>
    </row>
    <row r="22871" spans="1:5">
      <c r="A22871" t="s">
        <v>47870</v>
      </c>
      <c r="B22871" t="s">
        <v>47878</v>
      </c>
      <c r="C22871">
        <v>0</v>
      </c>
      <c r="D22871">
        <v>0.75903619267599998</v>
      </c>
      <c r="E22871">
        <v>0</v>
      </c>
    </row>
    <row r="22872" spans="1:5">
      <c r="A22872" t="s">
        <v>47870</v>
      </c>
      <c r="B22872" t="s">
        <v>47879</v>
      </c>
      <c r="C22872">
        <v>0</v>
      </c>
      <c r="D22872">
        <v>0.75903619267599998</v>
      </c>
      <c r="E22872">
        <v>0</v>
      </c>
    </row>
    <row r="22873" spans="1:5">
      <c r="A22873" t="s">
        <v>47870</v>
      </c>
      <c r="B22873" t="s">
        <v>47880</v>
      </c>
      <c r="C22873">
        <v>0</v>
      </c>
      <c r="D22873">
        <v>0.75903619267599998</v>
      </c>
      <c r="E22873">
        <v>0</v>
      </c>
    </row>
    <row r="22874" spans="1:5">
      <c r="A22874" t="s">
        <v>47881</v>
      </c>
      <c r="B22874" t="s">
        <v>12144</v>
      </c>
      <c r="C22874">
        <v>1.15177489271</v>
      </c>
      <c r="D22874">
        <v>0.99819590972500005</v>
      </c>
      <c r="E22874">
        <v>24</v>
      </c>
    </row>
    <row r="22875" spans="1:5">
      <c r="A22875" t="s">
        <v>47881</v>
      </c>
      <c r="B22875" t="s">
        <v>12146</v>
      </c>
      <c r="C22875">
        <f>-1.36027300227</f>
        <v>-1.36027300227</v>
      </c>
      <c r="D22875">
        <v>0.99819590972500005</v>
      </c>
      <c r="E22875">
        <v>24</v>
      </c>
    </row>
    <row r="22876" spans="1:5">
      <c r="A22876" t="s">
        <v>47881</v>
      </c>
      <c r="B22876" t="s">
        <v>12148</v>
      </c>
      <c r="C22876">
        <f>-1.23303775858</f>
        <v>-1.2330377585800001</v>
      </c>
      <c r="D22876">
        <v>0.99819590972500005</v>
      </c>
      <c r="E22876">
        <v>24</v>
      </c>
    </row>
    <row r="22877" spans="1:5">
      <c r="A22877" t="s">
        <v>47881</v>
      </c>
      <c r="B22877" t="s">
        <v>12142</v>
      </c>
      <c r="C22877">
        <v>1.91412809614</v>
      </c>
      <c r="D22877">
        <v>0.99819590972500005</v>
      </c>
      <c r="E22877">
        <v>24</v>
      </c>
    </row>
    <row r="22878" spans="1:5">
      <c r="A22878" t="s">
        <v>47881</v>
      </c>
      <c r="B22878" t="s">
        <v>12151</v>
      </c>
      <c r="C22878">
        <f>0.38374312468</f>
        <v>0.38374312467999999</v>
      </c>
      <c r="D22878">
        <v>0.99819590972500005</v>
      </c>
      <c r="E22878">
        <v>24</v>
      </c>
    </row>
    <row r="22879" spans="1:5">
      <c r="A22879" t="s">
        <v>47881</v>
      </c>
      <c r="B22879" t="s">
        <v>12143</v>
      </c>
      <c r="C22879">
        <v>0.37980767357900003</v>
      </c>
      <c r="D22879">
        <v>0.99819590972500005</v>
      </c>
      <c r="E22879">
        <v>24</v>
      </c>
    </row>
    <row r="22880" spans="1:5">
      <c r="A22880" t="s">
        <v>47882</v>
      </c>
      <c r="B22880" t="s">
        <v>27928</v>
      </c>
      <c r="C22880">
        <f>0</f>
        <v>0</v>
      </c>
      <c r="D22880">
        <v>0.58761279400499999</v>
      </c>
      <c r="E22880">
        <v>11.538</v>
      </c>
    </row>
    <row r="22881" spans="1:5">
      <c r="A22881" t="s">
        <v>47882</v>
      </c>
      <c r="B22881" t="s">
        <v>27929</v>
      </c>
      <c r="C22881">
        <f>0.178002794005</f>
        <v>0.17800279400499999</v>
      </c>
      <c r="D22881">
        <v>0.58761279400499999</v>
      </c>
      <c r="E22881">
        <v>11.538</v>
      </c>
    </row>
    <row r="22882" spans="1:5">
      <c r="A22882" t="s">
        <v>47882</v>
      </c>
      <c r="B22882" t="s">
        <v>27927</v>
      </c>
      <c r="C22882">
        <f>0</f>
        <v>0</v>
      </c>
      <c r="D22882">
        <v>0.58761279400499999</v>
      </c>
      <c r="E22882">
        <v>11.538</v>
      </c>
    </row>
    <row r="22883" spans="1:5">
      <c r="A22883" t="s">
        <v>47882</v>
      </c>
      <c r="B22883" t="s">
        <v>27923</v>
      </c>
      <c r="C22883">
        <f>0</f>
        <v>0</v>
      </c>
      <c r="D22883">
        <v>0.58761279400499999</v>
      </c>
      <c r="E22883">
        <v>11.538</v>
      </c>
    </row>
    <row r="22884" spans="1:5">
      <c r="A22884" t="s">
        <v>47883</v>
      </c>
      <c r="B22884" t="s">
        <v>47884</v>
      </c>
      <c r="C22884">
        <f>0</f>
        <v>0</v>
      </c>
      <c r="D22884">
        <v>0.97120315542699998</v>
      </c>
      <c r="E22884">
        <v>1.7999999999999999E-2</v>
      </c>
    </row>
    <row r="22885" spans="1:5">
      <c r="A22885" t="s">
        <v>47883</v>
      </c>
      <c r="B22885" t="s">
        <v>47885</v>
      </c>
      <c r="C22885">
        <v>0</v>
      </c>
      <c r="D22885">
        <v>0.97120315542699998</v>
      </c>
      <c r="E22885">
        <v>1.7999999999999999E-2</v>
      </c>
    </row>
    <row r="22886" spans="1:5">
      <c r="A22886" t="s">
        <v>47883</v>
      </c>
      <c r="B22886" t="s">
        <v>47886</v>
      </c>
      <c r="C22886">
        <v>0.30043100777699999</v>
      </c>
      <c r="D22886">
        <v>0.97120315542699998</v>
      </c>
      <c r="E22886">
        <v>1.7999999999999999E-2</v>
      </c>
    </row>
    <row r="22887" spans="1:5">
      <c r="A22887" t="s">
        <v>47883</v>
      </c>
      <c r="B22887" t="s">
        <v>47887</v>
      </c>
      <c r="C22887">
        <v>0</v>
      </c>
      <c r="D22887">
        <v>0.97120315542699998</v>
      </c>
      <c r="E22887">
        <v>1.7999999999999999E-2</v>
      </c>
    </row>
    <row r="22888" spans="1:5">
      <c r="A22888" t="s">
        <v>47883</v>
      </c>
      <c r="B22888" t="s">
        <v>47888</v>
      </c>
      <c r="C22888">
        <f>0</f>
        <v>0</v>
      </c>
      <c r="D22888">
        <v>0.97120315542699998</v>
      </c>
      <c r="E22888">
        <v>1.7999999999999999E-2</v>
      </c>
    </row>
    <row r="22889" spans="1:5">
      <c r="A22889" t="s">
        <v>47883</v>
      </c>
      <c r="B22889" t="s">
        <v>47889</v>
      </c>
      <c r="C22889">
        <v>0.159784796008</v>
      </c>
      <c r="D22889">
        <v>0.97120315542699998</v>
      </c>
      <c r="E22889">
        <v>1.7999999999999999E-2</v>
      </c>
    </row>
    <row r="22890" spans="1:5">
      <c r="A22890" t="s">
        <v>47883</v>
      </c>
      <c r="B22890" t="s">
        <v>47890</v>
      </c>
      <c r="C22890">
        <f>0</f>
        <v>0</v>
      </c>
      <c r="D22890">
        <v>0.97120315542699998</v>
      </c>
      <c r="E22890">
        <v>1.7999999999999999E-2</v>
      </c>
    </row>
    <row r="22891" spans="1:5">
      <c r="A22891" t="s">
        <v>47883</v>
      </c>
      <c r="B22891" t="s">
        <v>47891</v>
      </c>
      <c r="C22891">
        <v>7.0488465740000006E-2</v>
      </c>
      <c r="D22891">
        <v>0.97120315542699998</v>
      </c>
      <c r="E22891">
        <v>1.7999999999999999E-2</v>
      </c>
    </row>
    <row r="22892" spans="1:5">
      <c r="A22892" t="s">
        <v>47883</v>
      </c>
      <c r="B22892" t="s">
        <v>47892</v>
      </c>
      <c r="C22892">
        <v>0</v>
      </c>
      <c r="D22892">
        <v>0.97120315542699998</v>
      </c>
      <c r="E22892">
        <v>1.7999999999999999E-2</v>
      </c>
    </row>
    <row r="22893" spans="1:5">
      <c r="A22893" t="s">
        <v>47883</v>
      </c>
      <c r="B22893" t="s">
        <v>47893</v>
      </c>
      <c r="C22893">
        <v>0.420799223916</v>
      </c>
      <c r="D22893">
        <v>0.97120315542699998</v>
      </c>
      <c r="E22893">
        <v>1.7999999999999999E-2</v>
      </c>
    </row>
    <row r="22894" spans="1:5">
      <c r="A22894" t="s">
        <v>47883</v>
      </c>
      <c r="B22894" t="s">
        <v>47894</v>
      </c>
      <c r="C22894">
        <v>0.335879134069</v>
      </c>
      <c r="D22894">
        <v>0.97120315542699998</v>
      </c>
      <c r="E22894">
        <v>1.7999999999999999E-2</v>
      </c>
    </row>
    <row r="22895" spans="1:5">
      <c r="A22895" t="s">
        <v>47883</v>
      </c>
      <c r="B22895" t="s">
        <v>47895</v>
      </c>
      <c r="C22895">
        <f>0</f>
        <v>0</v>
      </c>
      <c r="D22895">
        <v>0.97120315542699998</v>
      </c>
      <c r="E22895">
        <v>1.7999999999999999E-2</v>
      </c>
    </row>
    <row r="22896" spans="1:5">
      <c r="A22896" t="s">
        <v>47896</v>
      </c>
      <c r="B22896" t="s">
        <v>26812</v>
      </c>
      <c r="C22896">
        <f>0</f>
        <v>0</v>
      </c>
      <c r="D22896" t="s">
        <v>106</v>
      </c>
      <c r="E22896">
        <v>1.1160000000000001</v>
      </c>
    </row>
    <row r="22897" spans="1:5">
      <c r="A22897" t="s">
        <v>47896</v>
      </c>
      <c r="B22897" t="s">
        <v>26808</v>
      </c>
      <c r="C22897">
        <v>0</v>
      </c>
      <c r="D22897" t="s">
        <v>106</v>
      </c>
      <c r="E22897">
        <v>1.1160000000000001</v>
      </c>
    </row>
    <row r="22898" spans="1:5">
      <c r="A22898" t="s">
        <v>47897</v>
      </c>
      <c r="B22898" t="s">
        <v>29361</v>
      </c>
      <c r="C22898">
        <v>0</v>
      </c>
      <c r="D22898">
        <v>0.726306164664</v>
      </c>
      <c r="E22898">
        <v>1.5720000000000001</v>
      </c>
    </row>
    <row r="22899" spans="1:5">
      <c r="A22899" t="s">
        <v>47897</v>
      </c>
      <c r="B22899" t="s">
        <v>29364</v>
      </c>
      <c r="C22899">
        <v>0</v>
      </c>
      <c r="D22899">
        <v>0.726306164664</v>
      </c>
      <c r="E22899">
        <v>1.5720000000000001</v>
      </c>
    </row>
    <row r="22900" spans="1:5">
      <c r="A22900" t="s">
        <v>47897</v>
      </c>
      <c r="B22900" t="s">
        <v>29368</v>
      </c>
      <c r="C22900">
        <v>0.26389616466400001</v>
      </c>
      <c r="D22900">
        <v>0.726306164664</v>
      </c>
      <c r="E22900">
        <v>1.5720000000000001</v>
      </c>
    </row>
    <row r="22901" spans="1:5">
      <c r="A22901" t="s">
        <v>47897</v>
      </c>
      <c r="B22901" t="s">
        <v>29374</v>
      </c>
      <c r="C22901">
        <v>0</v>
      </c>
      <c r="D22901">
        <v>0.726306164664</v>
      </c>
      <c r="E22901">
        <v>1.5720000000000001</v>
      </c>
    </row>
    <row r="22902" spans="1:5">
      <c r="A22902" t="s">
        <v>47898</v>
      </c>
      <c r="B22902" t="s">
        <v>47899</v>
      </c>
      <c r="C22902">
        <v>1.05341933119E-2</v>
      </c>
      <c r="D22902">
        <v>0.99997948137199999</v>
      </c>
      <c r="E22902">
        <v>0.192</v>
      </c>
    </row>
    <row r="22903" spans="1:5">
      <c r="A22903" t="s">
        <v>47898</v>
      </c>
      <c r="B22903" t="s">
        <v>47900</v>
      </c>
      <c r="C22903">
        <v>0.15243847132499999</v>
      </c>
      <c r="D22903">
        <v>0.99997948137199999</v>
      </c>
      <c r="E22903">
        <v>0.192</v>
      </c>
    </row>
    <row r="22904" spans="1:5">
      <c r="A22904" t="s">
        <v>47898</v>
      </c>
      <c r="B22904" t="s">
        <v>47901</v>
      </c>
      <c r="C22904">
        <v>0</v>
      </c>
      <c r="D22904">
        <v>0.99997948137199999</v>
      </c>
      <c r="E22904">
        <v>0.192</v>
      </c>
    </row>
    <row r="22905" spans="1:5">
      <c r="A22905" t="s">
        <v>47898</v>
      </c>
      <c r="B22905" t="s">
        <v>47902</v>
      </c>
      <c r="C22905">
        <f>0.0470922103344</f>
        <v>4.7092210334400003E-2</v>
      </c>
      <c r="D22905">
        <v>0.99997948137199999</v>
      </c>
      <c r="E22905">
        <v>0.192</v>
      </c>
    </row>
    <row r="22906" spans="1:5">
      <c r="A22906" t="s">
        <v>47898</v>
      </c>
      <c r="B22906" t="s">
        <v>47903</v>
      </c>
      <c r="C22906">
        <v>0.12266259048100001</v>
      </c>
      <c r="D22906">
        <v>0.99997948137199999</v>
      </c>
      <c r="E22906">
        <v>0.192</v>
      </c>
    </row>
    <row r="22907" spans="1:5">
      <c r="A22907" t="s">
        <v>47898</v>
      </c>
      <c r="B22907" t="s">
        <v>47904</v>
      </c>
      <c r="C22907">
        <f>0.98114758597</f>
        <v>0.98114758596999996</v>
      </c>
      <c r="D22907">
        <v>0.99997948137199999</v>
      </c>
      <c r="E22907">
        <v>0.192</v>
      </c>
    </row>
    <row r="22908" spans="1:5">
      <c r="A22908" t="s">
        <v>47898</v>
      </c>
      <c r="B22908" t="s">
        <v>47905</v>
      </c>
      <c r="C22908">
        <v>0.56634066264000005</v>
      </c>
      <c r="D22908">
        <v>0.99997948137199999</v>
      </c>
      <c r="E22908">
        <v>0.192</v>
      </c>
    </row>
    <row r="22909" spans="1:5">
      <c r="A22909" t="s">
        <v>47898</v>
      </c>
      <c r="B22909" t="s">
        <v>47906</v>
      </c>
      <c r="C22909">
        <f>0.304628434247</f>
        <v>0.30462843424699998</v>
      </c>
      <c r="D22909">
        <v>0.99997948137199999</v>
      </c>
      <c r="E22909">
        <v>0.192</v>
      </c>
    </row>
    <row r="22910" spans="1:5">
      <c r="A22910" t="s">
        <v>47898</v>
      </c>
      <c r="B22910" t="s">
        <v>47907</v>
      </c>
      <c r="C22910">
        <f>0.00722222615316</f>
        <v>7.2222261531600003E-3</v>
      </c>
      <c r="D22910">
        <v>0.99997948137199999</v>
      </c>
      <c r="E22910">
        <v>0.192</v>
      </c>
    </row>
    <row r="22911" spans="1:5">
      <c r="A22911" t="s">
        <v>47898</v>
      </c>
      <c r="B22911" t="s">
        <v>47908</v>
      </c>
      <c r="C22911">
        <v>0.160370247504</v>
      </c>
      <c r="D22911">
        <v>0.99997948137199999</v>
      </c>
      <c r="E22911">
        <v>0.192</v>
      </c>
    </row>
    <row r="22912" spans="1:5">
      <c r="A22912" t="s">
        <v>47909</v>
      </c>
      <c r="B22912" t="s">
        <v>47910</v>
      </c>
      <c r="C22912">
        <f>0.283605889559</f>
        <v>0.28360588955900001</v>
      </c>
      <c r="D22912">
        <v>0.88997781634600004</v>
      </c>
      <c r="E22912">
        <v>24</v>
      </c>
    </row>
    <row r="22913" spans="1:5">
      <c r="A22913" t="s">
        <v>47909</v>
      </c>
      <c r="B22913" t="s">
        <v>47911</v>
      </c>
      <c r="C22913">
        <v>0.86293983457699996</v>
      </c>
      <c r="D22913">
        <v>0.88997781634600004</v>
      </c>
      <c r="E22913">
        <v>24</v>
      </c>
    </row>
    <row r="22914" spans="1:5">
      <c r="A22914" t="s">
        <v>47912</v>
      </c>
      <c r="B22914" t="s">
        <v>22404</v>
      </c>
      <c r="C22914">
        <f>0</f>
        <v>0</v>
      </c>
      <c r="D22914" t="s">
        <v>106</v>
      </c>
      <c r="E22914">
        <v>24</v>
      </c>
    </row>
    <row r="22915" spans="1:5">
      <c r="A22915" t="s">
        <v>47912</v>
      </c>
      <c r="B22915" t="s">
        <v>22409</v>
      </c>
      <c r="C22915">
        <f>0</f>
        <v>0</v>
      </c>
      <c r="D22915" t="s">
        <v>106</v>
      </c>
      <c r="E22915">
        <v>24</v>
      </c>
    </row>
    <row r="22916" spans="1:5">
      <c r="A22916" t="s">
        <v>47912</v>
      </c>
      <c r="B22916" t="s">
        <v>22408</v>
      </c>
      <c r="C22916">
        <v>0</v>
      </c>
      <c r="D22916" t="s">
        <v>106</v>
      </c>
      <c r="E22916">
        <v>24</v>
      </c>
    </row>
    <row r="22917" spans="1:5">
      <c r="A22917" t="s">
        <v>47913</v>
      </c>
      <c r="B22917" t="s">
        <v>15580</v>
      </c>
      <c r="C22917">
        <v>0.27112771085800003</v>
      </c>
      <c r="D22917">
        <v>0.85720725168</v>
      </c>
      <c r="E22917">
        <v>24</v>
      </c>
    </row>
    <row r="22918" spans="1:5">
      <c r="A22918" t="s">
        <v>47913</v>
      </c>
      <c r="B22918" t="s">
        <v>15583</v>
      </c>
      <c r="C22918">
        <f>0.804585582868</f>
        <v>0.80458558286799997</v>
      </c>
      <c r="D22918">
        <v>0.85720725168</v>
      </c>
      <c r="E22918">
        <v>24</v>
      </c>
    </row>
    <row r="22919" spans="1:5">
      <c r="A22919" t="s">
        <v>47914</v>
      </c>
      <c r="B22919" t="s">
        <v>47915</v>
      </c>
      <c r="C22919">
        <f>0</f>
        <v>0</v>
      </c>
      <c r="D22919">
        <v>0.37423093971600002</v>
      </c>
      <c r="E22919">
        <v>0</v>
      </c>
    </row>
    <row r="22920" spans="1:5">
      <c r="A22920" t="s">
        <v>47914</v>
      </c>
      <c r="B22920" t="s">
        <v>47916</v>
      </c>
      <c r="C22920">
        <f>0.214220939716</f>
        <v>0.21422093971600001</v>
      </c>
      <c r="D22920">
        <v>0.37423093971600002</v>
      </c>
      <c r="E22920">
        <v>0</v>
      </c>
    </row>
    <row r="22921" spans="1:5">
      <c r="A22921" t="s">
        <v>47917</v>
      </c>
      <c r="B22921" t="s">
        <v>9676</v>
      </c>
      <c r="C22921">
        <v>0.41697370376600001</v>
      </c>
      <c r="D22921">
        <v>0.98695408836700005</v>
      </c>
      <c r="E22921">
        <v>24</v>
      </c>
    </row>
    <row r="22922" spans="1:5">
      <c r="A22922" t="s">
        <v>47917</v>
      </c>
      <c r="B22922" t="s">
        <v>9686</v>
      </c>
      <c r="C22922">
        <v>4.7406797876099999E-2</v>
      </c>
      <c r="D22922">
        <v>0.98695408836700005</v>
      </c>
      <c r="E22922">
        <v>24</v>
      </c>
    </row>
    <row r="22923" spans="1:5">
      <c r="A22923" t="s">
        <v>47917</v>
      </c>
      <c r="B22923" t="s">
        <v>9681</v>
      </c>
      <c r="C22923">
        <f>0.372373755691</f>
        <v>0.37237375569100001</v>
      </c>
      <c r="D22923">
        <v>0.98695408836700005</v>
      </c>
      <c r="E22923">
        <v>24</v>
      </c>
    </row>
    <row r="22924" spans="1:5">
      <c r="A22924" t="s">
        <v>47917</v>
      </c>
      <c r="B22924" t="s">
        <v>9678</v>
      </c>
      <c r="C22924">
        <v>5.00686399105E-2</v>
      </c>
      <c r="D22924">
        <v>0.98695408836700005</v>
      </c>
      <c r="E22924">
        <v>24</v>
      </c>
    </row>
    <row r="22925" spans="1:5">
      <c r="A22925" t="s">
        <v>47917</v>
      </c>
      <c r="B22925" t="s">
        <v>9680</v>
      </c>
      <c r="C22925">
        <v>2.2733948586399998E-2</v>
      </c>
      <c r="D22925">
        <v>0.98695408836700005</v>
      </c>
      <c r="E22925">
        <v>24</v>
      </c>
    </row>
    <row r="22926" spans="1:5">
      <c r="A22926" t="s">
        <v>47917</v>
      </c>
      <c r="B22926" t="s">
        <v>9683</v>
      </c>
      <c r="C22926">
        <v>0</v>
      </c>
      <c r="D22926">
        <v>0.98695408836700005</v>
      </c>
      <c r="E22926">
        <v>24</v>
      </c>
    </row>
    <row r="22927" spans="1:5">
      <c r="A22927" t="s">
        <v>47917</v>
      </c>
      <c r="B22927" t="s">
        <v>9677</v>
      </c>
      <c r="C22927">
        <f>0</f>
        <v>0</v>
      </c>
      <c r="D22927">
        <v>0.98695408836700005</v>
      </c>
      <c r="E22927">
        <v>24</v>
      </c>
    </row>
    <row r="22928" spans="1:5">
      <c r="A22928" t="s">
        <v>47917</v>
      </c>
      <c r="B22928" t="s">
        <v>9687</v>
      </c>
      <c r="C22928">
        <v>0</v>
      </c>
      <c r="D22928">
        <v>0.98695408836700005</v>
      </c>
      <c r="E22928">
        <v>24</v>
      </c>
    </row>
    <row r="22929" spans="1:5">
      <c r="A22929" t="s">
        <v>47917</v>
      </c>
      <c r="B22929" t="s">
        <v>9679</v>
      </c>
      <c r="C22929">
        <v>0.79418047987100004</v>
      </c>
      <c r="D22929">
        <v>0.98695408836700005</v>
      </c>
      <c r="E22929">
        <v>24</v>
      </c>
    </row>
    <row r="22930" spans="1:5">
      <c r="A22930" t="s">
        <v>47917</v>
      </c>
      <c r="B22930" t="s">
        <v>9685</v>
      </c>
      <c r="C22930">
        <v>0</v>
      </c>
      <c r="D22930">
        <v>0.98695408836700005</v>
      </c>
      <c r="E22930">
        <v>24</v>
      </c>
    </row>
    <row r="22931" spans="1:5">
      <c r="A22931" t="s">
        <v>47917</v>
      </c>
      <c r="B22931" t="s">
        <v>9682</v>
      </c>
      <c r="C22931">
        <v>0</v>
      </c>
      <c r="D22931">
        <v>0.98695408836700005</v>
      </c>
      <c r="E22931">
        <v>24</v>
      </c>
    </row>
    <row r="22932" spans="1:5">
      <c r="A22932" t="s">
        <v>47918</v>
      </c>
      <c r="B22932" t="s">
        <v>24638</v>
      </c>
      <c r="C22932">
        <f>0</f>
        <v>0</v>
      </c>
      <c r="D22932" t="s">
        <v>106</v>
      </c>
      <c r="E22932">
        <v>8.1539999999999999</v>
      </c>
    </row>
    <row r="22933" spans="1:5">
      <c r="A22933" t="s">
        <v>47918</v>
      </c>
      <c r="B22933" t="s">
        <v>24639</v>
      </c>
      <c r="C22933">
        <f>0</f>
        <v>0</v>
      </c>
      <c r="D22933" t="s">
        <v>106</v>
      </c>
      <c r="E22933">
        <v>8.1539999999999999</v>
      </c>
    </row>
    <row r="22934" spans="1:5">
      <c r="A22934" t="s">
        <v>47919</v>
      </c>
      <c r="B22934" t="s">
        <v>13643</v>
      </c>
      <c r="C22934">
        <v>0</v>
      </c>
      <c r="D22934" t="s">
        <v>106</v>
      </c>
      <c r="E22934">
        <v>0.24</v>
      </c>
    </row>
    <row r="22935" spans="1:5">
      <c r="A22935" t="s">
        <v>47919</v>
      </c>
      <c r="B22935" t="s">
        <v>13642</v>
      </c>
      <c r="C22935">
        <f>0</f>
        <v>0</v>
      </c>
      <c r="D22935" t="s">
        <v>106</v>
      </c>
      <c r="E22935">
        <v>0.24</v>
      </c>
    </row>
    <row r="22936" spans="1:5">
      <c r="A22936" t="s">
        <v>47919</v>
      </c>
      <c r="B22936" t="s">
        <v>13644</v>
      </c>
      <c r="C22936">
        <v>0</v>
      </c>
      <c r="D22936" t="s">
        <v>106</v>
      </c>
      <c r="E22936">
        <v>0.24</v>
      </c>
    </row>
    <row r="22937" spans="1:5">
      <c r="A22937" t="s">
        <v>47919</v>
      </c>
      <c r="B22937" t="s">
        <v>13640</v>
      </c>
      <c r="C22937">
        <v>0</v>
      </c>
      <c r="D22937" t="s">
        <v>106</v>
      </c>
      <c r="E22937">
        <v>0.24</v>
      </c>
    </row>
    <row r="22938" spans="1:5">
      <c r="A22938" t="s">
        <v>47919</v>
      </c>
      <c r="B22938" t="s">
        <v>13645</v>
      </c>
      <c r="C22938">
        <v>0</v>
      </c>
      <c r="D22938" t="s">
        <v>106</v>
      </c>
      <c r="E22938">
        <v>0.24</v>
      </c>
    </row>
    <row r="22939" spans="1:5">
      <c r="A22939" t="s">
        <v>47920</v>
      </c>
      <c r="B22939" t="s">
        <v>33430</v>
      </c>
      <c r="C22939">
        <v>0.31633341022200001</v>
      </c>
      <c r="D22939">
        <v>0.78827208579999997</v>
      </c>
      <c r="E22939">
        <v>7.6020000000000003</v>
      </c>
    </row>
    <row r="22940" spans="1:5">
      <c r="A22940" t="s">
        <v>47920</v>
      </c>
      <c r="B22940" t="s">
        <v>33432</v>
      </c>
      <c r="C22940">
        <v>0.46735519018600002</v>
      </c>
      <c r="D22940">
        <v>0.78827208579999997</v>
      </c>
      <c r="E22940">
        <v>7.6020000000000003</v>
      </c>
    </row>
    <row r="22941" spans="1:5">
      <c r="A22941" t="s">
        <v>47921</v>
      </c>
      <c r="B22941" t="s">
        <v>24135</v>
      </c>
      <c r="C22941">
        <f>0</f>
        <v>0</v>
      </c>
      <c r="D22941" t="s">
        <v>106</v>
      </c>
      <c r="E22941">
        <v>21.192</v>
      </c>
    </row>
    <row r="22942" spans="1:5">
      <c r="A22942" t="s">
        <v>47921</v>
      </c>
      <c r="B22942" t="s">
        <v>24138</v>
      </c>
      <c r="C22942">
        <v>0</v>
      </c>
      <c r="D22942" t="s">
        <v>106</v>
      </c>
      <c r="E22942">
        <v>21.192</v>
      </c>
    </row>
    <row r="22943" spans="1:5">
      <c r="A22943" t="s">
        <v>47921</v>
      </c>
      <c r="B22943" t="s">
        <v>24137</v>
      </c>
      <c r="C22943">
        <f>0</f>
        <v>0</v>
      </c>
      <c r="D22943" t="s">
        <v>106</v>
      </c>
      <c r="E22943">
        <v>21.192</v>
      </c>
    </row>
    <row r="22944" spans="1:5">
      <c r="A22944" t="s">
        <v>47921</v>
      </c>
      <c r="B22944" t="s">
        <v>24143</v>
      </c>
      <c r="C22944">
        <f>0</f>
        <v>0</v>
      </c>
      <c r="D22944" t="s">
        <v>106</v>
      </c>
      <c r="E22944">
        <v>21.192</v>
      </c>
    </row>
    <row r="22945" spans="1:5">
      <c r="A22945" t="s">
        <v>47921</v>
      </c>
      <c r="B22945" t="s">
        <v>24139</v>
      </c>
      <c r="C22945">
        <v>0</v>
      </c>
      <c r="D22945" t="s">
        <v>106</v>
      </c>
      <c r="E22945">
        <v>21.192</v>
      </c>
    </row>
    <row r="22946" spans="1:5">
      <c r="A22946" t="s">
        <v>47922</v>
      </c>
      <c r="B22946" t="s">
        <v>47923</v>
      </c>
      <c r="C22946">
        <f>0.525931426989</f>
        <v>0.52593142698899997</v>
      </c>
      <c r="D22946">
        <v>0.99070608943100003</v>
      </c>
      <c r="E22946">
        <v>23.754000000000001</v>
      </c>
    </row>
    <row r="22947" spans="1:5">
      <c r="A22947" t="s">
        <v>47922</v>
      </c>
      <c r="B22947" t="s">
        <v>47924</v>
      </c>
      <c r="C22947">
        <f>0.538119569783</f>
        <v>0.53811956978300002</v>
      </c>
      <c r="D22947">
        <v>0.99070608943100003</v>
      </c>
      <c r="E22947">
        <v>23.754000000000001</v>
      </c>
    </row>
    <row r="22948" spans="1:5">
      <c r="A22948" t="s">
        <v>47922</v>
      </c>
      <c r="B22948" t="s">
        <v>47925</v>
      </c>
      <c r="C22948">
        <f>0.309145258469</f>
        <v>0.30914525846899998</v>
      </c>
      <c r="D22948">
        <v>0.99070608943100003</v>
      </c>
      <c r="E22948">
        <v>23.754000000000001</v>
      </c>
    </row>
    <row r="22949" spans="1:5">
      <c r="A22949" t="s">
        <v>47922</v>
      </c>
      <c r="B22949" t="s">
        <v>47926</v>
      </c>
      <c r="C22949">
        <v>4.3965159175800003E-2</v>
      </c>
      <c r="D22949">
        <v>0.99070608943100003</v>
      </c>
      <c r="E22949">
        <v>23.754000000000001</v>
      </c>
    </row>
    <row r="22950" spans="1:5">
      <c r="A22950" t="s">
        <v>47927</v>
      </c>
      <c r="B22950" t="s">
        <v>13483</v>
      </c>
      <c r="C22950">
        <f>0</f>
        <v>0</v>
      </c>
      <c r="D22950">
        <v>0.71105072288000004</v>
      </c>
      <c r="E22950">
        <v>6.18</v>
      </c>
    </row>
    <row r="22951" spans="1:5">
      <c r="A22951" t="s">
        <v>47927</v>
      </c>
      <c r="B22951" t="s">
        <v>13485</v>
      </c>
      <c r="C22951">
        <v>0</v>
      </c>
      <c r="D22951">
        <v>0.71105072288000004</v>
      </c>
      <c r="E22951">
        <v>6.18</v>
      </c>
    </row>
    <row r="22952" spans="1:5">
      <c r="A22952" t="s">
        <v>47927</v>
      </c>
      <c r="B22952" t="s">
        <v>13479</v>
      </c>
      <c r="C22952">
        <f>0</f>
        <v>0</v>
      </c>
      <c r="D22952">
        <v>0.71105072288000004</v>
      </c>
      <c r="E22952">
        <v>6.18</v>
      </c>
    </row>
    <row r="22953" spans="1:5">
      <c r="A22953" t="s">
        <v>47927</v>
      </c>
      <c r="B22953" t="s">
        <v>13481</v>
      </c>
      <c r="C22953">
        <f>0</f>
        <v>0</v>
      </c>
      <c r="D22953">
        <v>0.71105072288000004</v>
      </c>
      <c r="E22953">
        <v>6.18</v>
      </c>
    </row>
    <row r="22954" spans="1:5">
      <c r="A22954" t="s">
        <v>47927</v>
      </c>
      <c r="B22954" t="s">
        <v>13484</v>
      </c>
      <c r="C22954">
        <f>0</f>
        <v>0</v>
      </c>
      <c r="D22954">
        <v>0.71105072288000004</v>
      </c>
      <c r="E22954">
        <v>6.18</v>
      </c>
    </row>
    <row r="22955" spans="1:5">
      <c r="A22955" t="s">
        <v>47927</v>
      </c>
      <c r="B22955" t="s">
        <v>13477</v>
      </c>
      <c r="C22955">
        <f>0</f>
        <v>0</v>
      </c>
      <c r="D22955">
        <v>0.71105072288000004</v>
      </c>
      <c r="E22955">
        <v>6.18</v>
      </c>
    </row>
    <row r="22956" spans="1:5">
      <c r="A22956" t="s">
        <v>47927</v>
      </c>
      <c r="B22956" t="s">
        <v>13476</v>
      </c>
      <c r="C22956">
        <f>0</f>
        <v>0</v>
      </c>
      <c r="D22956">
        <v>0.71105072288000004</v>
      </c>
      <c r="E22956">
        <v>6.18</v>
      </c>
    </row>
    <row r="22957" spans="1:5">
      <c r="A22957" t="s">
        <v>47927</v>
      </c>
      <c r="B22957" t="s">
        <v>13480</v>
      </c>
      <c r="C22957">
        <v>0</v>
      </c>
      <c r="D22957">
        <v>0.71105072288000004</v>
      </c>
      <c r="E22957">
        <v>6.18</v>
      </c>
    </row>
    <row r="22958" spans="1:5">
      <c r="A22958" t="s">
        <v>47927</v>
      </c>
      <c r="B22958" t="s">
        <v>13486</v>
      </c>
      <c r="C22958">
        <v>0</v>
      </c>
      <c r="D22958">
        <v>0.71105072288000004</v>
      </c>
      <c r="E22958">
        <v>6.18</v>
      </c>
    </row>
    <row r="22959" spans="1:5">
      <c r="A22959" t="s">
        <v>47927</v>
      </c>
      <c r="B22959" t="s">
        <v>13482</v>
      </c>
      <c r="C22959">
        <v>0</v>
      </c>
      <c r="D22959">
        <v>0.71105072288000004</v>
      </c>
      <c r="E22959">
        <v>6.18</v>
      </c>
    </row>
    <row r="22960" spans="1:5">
      <c r="A22960" t="s">
        <v>47927</v>
      </c>
      <c r="B22960" t="s">
        <v>13478</v>
      </c>
      <c r="C22960">
        <v>0.30144072288000001</v>
      </c>
      <c r="D22960">
        <v>0.71105072288000004</v>
      </c>
      <c r="E22960">
        <v>6.18</v>
      </c>
    </row>
    <row r="22961" spans="1:5">
      <c r="A22961" t="s">
        <v>47928</v>
      </c>
      <c r="B22961" t="s">
        <v>47929</v>
      </c>
      <c r="C22961">
        <v>0</v>
      </c>
      <c r="D22961" t="s">
        <v>106</v>
      </c>
      <c r="E22961">
        <v>2.964</v>
      </c>
    </row>
    <row r="22962" spans="1:5">
      <c r="A22962" t="s">
        <v>47928</v>
      </c>
      <c r="B22962" t="s">
        <v>47930</v>
      </c>
      <c r="C22962">
        <v>0</v>
      </c>
      <c r="D22962" t="s">
        <v>106</v>
      </c>
      <c r="E22962">
        <v>2.964</v>
      </c>
    </row>
    <row r="22963" spans="1:5">
      <c r="A22963" t="s">
        <v>47928</v>
      </c>
      <c r="B22963" t="s">
        <v>47931</v>
      </c>
      <c r="C22963">
        <v>0</v>
      </c>
      <c r="D22963" t="s">
        <v>106</v>
      </c>
      <c r="E22963">
        <v>2.964</v>
      </c>
    </row>
    <row r="22964" spans="1:5">
      <c r="A22964" t="s">
        <v>47932</v>
      </c>
      <c r="B22964" t="s">
        <v>2564</v>
      </c>
      <c r="C22964">
        <v>0.66711750582499996</v>
      </c>
      <c r="D22964">
        <v>0.84215579254299999</v>
      </c>
      <c r="E22964">
        <v>24</v>
      </c>
    </row>
    <row r="22965" spans="1:5">
      <c r="A22965" t="s">
        <v>47932</v>
      </c>
      <c r="B22965" t="s">
        <v>2565</v>
      </c>
      <c r="C22965">
        <f>0.450049255946</f>
        <v>0.45004925594599998</v>
      </c>
      <c r="D22965">
        <v>0.84215579254299999</v>
      </c>
      <c r="E22965">
        <v>24</v>
      </c>
    </row>
    <row r="22966" spans="1:5">
      <c r="A22966" t="s">
        <v>47933</v>
      </c>
      <c r="B22966" t="s">
        <v>17463</v>
      </c>
      <c r="C22966">
        <v>0</v>
      </c>
      <c r="D22966" t="s">
        <v>106</v>
      </c>
      <c r="E22966">
        <v>18.138000000000002</v>
      </c>
    </row>
    <row r="22967" spans="1:5">
      <c r="A22967" t="s">
        <v>47933</v>
      </c>
      <c r="B22967" t="s">
        <v>17465</v>
      </c>
      <c r="C22967">
        <f>0</f>
        <v>0</v>
      </c>
      <c r="D22967" t="s">
        <v>106</v>
      </c>
      <c r="E22967">
        <v>18.138000000000002</v>
      </c>
    </row>
    <row r="22968" spans="1:5">
      <c r="A22968" t="s">
        <v>47934</v>
      </c>
      <c r="B22968" t="s">
        <v>5758</v>
      </c>
      <c r="C22968">
        <v>0</v>
      </c>
      <c r="D22968" t="s">
        <v>106</v>
      </c>
      <c r="E22968">
        <v>13.632</v>
      </c>
    </row>
    <row r="22969" spans="1:5">
      <c r="A22969" t="s">
        <v>47934</v>
      </c>
      <c r="B22969" t="s">
        <v>5745</v>
      </c>
      <c r="C22969">
        <f>0</f>
        <v>0</v>
      </c>
      <c r="D22969" t="s">
        <v>106</v>
      </c>
      <c r="E22969">
        <v>13.632</v>
      </c>
    </row>
    <row r="22970" spans="1:5">
      <c r="A22970" t="s">
        <v>47934</v>
      </c>
      <c r="B22970" t="s">
        <v>5743</v>
      </c>
      <c r="C22970">
        <v>0</v>
      </c>
      <c r="D22970" t="s">
        <v>106</v>
      </c>
      <c r="E22970">
        <v>13.632</v>
      </c>
    </row>
    <row r="22971" spans="1:5">
      <c r="A22971" t="s">
        <v>47934</v>
      </c>
      <c r="B22971" t="s">
        <v>5748</v>
      </c>
      <c r="C22971">
        <v>0</v>
      </c>
      <c r="D22971" t="s">
        <v>106</v>
      </c>
      <c r="E22971">
        <v>13.632</v>
      </c>
    </row>
    <row r="22972" spans="1:5">
      <c r="A22972" t="s">
        <v>47934</v>
      </c>
      <c r="B22972" t="s">
        <v>5749</v>
      </c>
      <c r="C22972">
        <v>0</v>
      </c>
      <c r="D22972" t="s">
        <v>106</v>
      </c>
      <c r="E22972">
        <v>13.632</v>
      </c>
    </row>
    <row r="22973" spans="1:5">
      <c r="A22973" t="s">
        <v>47934</v>
      </c>
      <c r="B22973" t="s">
        <v>5754</v>
      </c>
      <c r="C22973">
        <v>0</v>
      </c>
      <c r="D22973" t="s">
        <v>106</v>
      </c>
      <c r="E22973">
        <v>13.632</v>
      </c>
    </row>
    <row r="22974" spans="1:5">
      <c r="A22974" t="s">
        <v>47934</v>
      </c>
      <c r="B22974" t="s">
        <v>5746</v>
      </c>
      <c r="C22974">
        <v>0</v>
      </c>
      <c r="D22974" t="s">
        <v>106</v>
      </c>
      <c r="E22974">
        <v>13.632</v>
      </c>
    </row>
    <row r="22975" spans="1:5">
      <c r="A22975" t="s">
        <v>47934</v>
      </c>
      <c r="B22975" t="s">
        <v>5742</v>
      </c>
      <c r="C22975">
        <v>0</v>
      </c>
      <c r="D22975" t="s">
        <v>106</v>
      </c>
      <c r="E22975">
        <v>13.632</v>
      </c>
    </row>
    <row r="22976" spans="1:5">
      <c r="A22976" t="s">
        <v>47934</v>
      </c>
      <c r="B22976" t="s">
        <v>5747</v>
      </c>
      <c r="C22976">
        <f>0</f>
        <v>0</v>
      </c>
      <c r="D22976" t="s">
        <v>106</v>
      </c>
      <c r="E22976">
        <v>13.632</v>
      </c>
    </row>
    <row r="22977" spans="1:5">
      <c r="A22977" t="s">
        <v>47934</v>
      </c>
      <c r="B22977" t="s">
        <v>5751</v>
      </c>
      <c r="C22977">
        <f>0</f>
        <v>0</v>
      </c>
      <c r="D22977" t="s">
        <v>106</v>
      </c>
      <c r="E22977">
        <v>13.632</v>
      </c>
    </row>
    <row r="22978" spans="1:5">
      <c r="A22978" t="s">
        <v>47934</v>
      </c>
      <c r="B22978" t="s">
        <v>5757</v>
      </c>
      <c r="C22978">
        <v>0</v>
      </c>
      <c r="D22978" t="s">
        <v>106</v>
      </c>
      <c r="E22978">
        <v>13.632</v>
      </c>
    </row>
    <row r="22979" spans="1:5">
      <c r="A22979" t="s">
        <v>47934</v>
      </c>
      <c r="B22979" t="s">
        <v>5744</v>
      </c>
      <c r="C22979">
        <f>0</f>
        <v>0</v>
      </c>
      <c r="D22979" t="s">
        <v>106</v>
      </c>
      <c r="E22979">
        <v>13.632</v>
      </c>
    </row>
    <row r="22980" spans="1:5">
      <c r="A22980" t="s">
        <v>47935</v>
      </c>
      <c r="B22980" t="s">
        <v>9614</v>
      </c>
      <c r="C22980">
        <v>0</v>
      </c>
      <c r="D22980" t="s">
        <v>106</v>
      </c>
      <c r="E22980">
        <v>13.272</v>
      </c>
    </row>
    <row r="22981" spans="1:5">
      <c r="A22981" t="s">
        <v>47935</v>
      </c>
      <c r="B22981" t="s">
        <v>9615</v>
      </c>
      <c r="C22981">
        <f>0</f>
        <v>0</v>
      </c>
      <c r="D22981" t="s">
        <v>106</v>
      </c>
      <c r="E22981">
        <v>13.272</v>
      </c>
    </row>
    <row r="22982" spans="1:5">
      <c r="A22982" t="s">
        <v>47935</v>
      </c>
      <c r="B22982" t="s">
        <v>9616</v>
      </c>
      <c r="C22982">
        <f>0</f>
        <v>0</v>
      </c>
      <c r="D22982" t="s">
        <v>106</v>
      </c>
      <c r="E22982">
        <v>13.272</v>
      </c>
    </row>
    <row r="22983" spans="1:5">
      <c r="A22983" t="s">
        <v>47936</v>
      </c>
      <c r="B22983" t="s">
        <v>29592</v>
      </c>
      <c r="C22983">
        <f>0.335012679203</f>
        <v>0.33501267920299999</v>
      </c>
      <c r="D22983">
        <v>0.94906244527700001</v>
      </c>
      <c r="E22983">
        <v>20.513999999999999</v>
      </c>
    </row>
    <row r="22984" spans="1:5">
      <c r="A22984" t="s">
        <v>47936</v>
      </c>
      <c r="B22984" t="s">
        <v>29591</v>
      </c>
      <c r="C22984">
        <v>0.43749887502000001</v>
      </c>
      <c r="D22984">
        <v>0.94906244527700001</v>
      </c>
      <c r="E22984">
        <v>20.513999999999999</v>
      </c>
    </row>
    <row r="22985" spans="1:5">
      <c r="A22985" t="s">
        <v>47936</v>
      </c>
      <c r="B22985" t="s">
        <v>29593</v>
      </c>
      <c r="C22985">
        <f>0.353901014466</f>
        <v>0.35390101446599997</v>
      </c>
      <c r="D22985">
        <v>0.94906244527700001</v>
      </c>
      <c r="E22985">
        <v>20.513999999999999</v>
      </c>
    </row>
    <row r="22986" spans="1:5">
      <c r="A22986" t="s">
        <v>47936</v>
      </c>
      <c r="B22986" t="s">
        <v>29594</v>
      </c>
      <c r="C22986">
        <f>0.338243075482</f>
        <v>0.338243075482</v>
      </c>
      <c r="D22986">
        <v>0.94906244527700001</v>
      </c>
      <c r="E22986">
        <v>20.513999999999999</v>
      </c>
    </row>
    <row r="22987" spans="1:5">
      <c r="A22987" t="s">
        <v>47937</v>
      </c>
      <c r="B22987" t="s">
        <v>23150</v>
      </c>
      <c r="C22987">
        <f>0</f>
        <v>0</v>
      </c>
      <c r="D22987" t="s">
        <v>106</v>
      </c>
      <c r="E22987">
        <v>0</v>
      </c>
    </row>
    <row r="22988" spans="1:5">
      <c r="A22988" t="s">
        <v>47937</v>
      </c>
      <c r="B22988" t="s">
        <v>23153</v>
      </c>
      <c r="C22988">
        <v>0</v>
      </c>
      <c r="D22988" t="s">
        <v>106</v>
      </c>
      <c r="E22988">
        <v>0</v>
      </c>
    </row>
    <row r="22989" spans="1:5">
      <c r="A22989" t="s">
        <v>47937</v>
      </c>
      <c r="B22989" t="s">
        <v>23152</v>
      </c>
      <c r="C22989">
        <f>0</f>
        <v>0</v>
      </c>
      <c r="D22989" t="s">
        <v>106</v>
      </c>
      <c r="E22989">
        <v>0</v>
      </c>
    </row>
    <row r="22990" spans="1:5">
      <c r="A22990" t="s">
        <v>47938</v>
      </c>
      <c r="B22990" t="s">
        <v>16781</v>
      </c>
      <c r="C22990">
        <f>0</f>
        <v>0</v>
      </c>
      <c r="D22990" t="s">
        <v>106</v>
      </c>
      <c r="E22990">
        <v>4.6920000000000002</v>
      </c>
    </row>
    <row r="22991" spans="1:5">
      <c r="A22991" t="s">
        <v>47938</v>
      </c>
      <c r="B22991" t="s">
        <v>16780</v>
      </c>
      <c r="C22991">
        <f>0</f>
        <v>0</v>
      </c>
      <c r="D22991" t="s">
        <v>106</v>
      </c>
      <c r="E22991">
        <v>4.6920000000000002</v>
      </c>
    </row>
    <row r="22992" spans="1:5">
      <c r="A22992" t="s">
        <v>47938</v>
      </c>
      <c r="B22992" t="s">
        <v>16785</v>
      </c>
      <c r="C22992">
        <v>0</v>
      </c>
      <c r="D22992" t="s">
        <v>106</v>
      </c>
      <c r="E22992">
        <v>4.6920000000000002</v>
      </c>
    </row>
    <row r="22993" spans="1:5">
      <c r="A22993" t="s">
        <v>47938</v>
      </c>
      <c r="B22993" t="s">
        <v>16778</v>
      </c>
      <c r="C22993">
        <v>0</v>
      </c>
      <c r="D22993" t="s">
        <v>106</v>
      </c>
      <c r="E22993">
        <v>4.6920000000000002</v>
      </c>
    </row>
    <row r="22994" spans="1:5">
      <c r="A22994" t="s">
        <v>47938</v>
      </c>
      <c r="B22994" t="s">
        <v>16779</v>
      </c>
      <c r="C22994">
        <f>0</f>
        <v>0</v>
      </c>
      <c r="D22994" t="s">
        <v>106</v>
      </c>
      <c r="E22994">
        <v>4.6920000000000002</v>
      </c>
    </row>
    <row r="22995" spans="1:5">
      <c r="A22995" t="s">
        <v>47939</v>
      </c>
      <c r="B22995" t="s">
        <v>47940</v>
      </c>
      <c r="C22995">
        <v>0.71828313009900002</v>
      </c>
      <c r="D22995">
        <v>0.84789313009900003</v>
      </c>
      <c r="E22995">
        <v>10.554</v>
      </c>
    </row>
    <row r="22996" spans="1:5">
      <c r="A22996" t="s">
        <v>47939</v>
      </c>
      <c r="B22996" t="s">
        <v>47941</v>
      </c>
      <c r="C22996">
        <v>0</v>
      </c>
      <c r="D22996">
        <v>0.84789313009900003</v>
      </c>
      <c r="E22996">
        <v>10.554</v>
      </c>
    </row>
    <row r="22997" spans="1:5">
      <c r="A22997" t="s">
        <v>47939</v>
      </c>
      <c r="B22997" t="s">
        <v>47942</v>
      </c>
      <c r="C22997">
        <f>0</f>
        <v>0</v>
      </c>
      <c r="D22997">
        <v>0.84789313009900003</v>
      </c>
      <c r="E22997">
        <v>10.554</v>
      </c>
    </row>
    <row r="22998" spans="1:5">
      <c r="A22998" t="s">
        <v>47943</v>
      </c>
      <c r="B22998" t="s">
        <v>47944</v>
      </c>
      <c r="C22998">
        <v>0.47221188883199999</v>
      </c>
      <c r="D22998">
        <v>0.61765357956699996</v>
      </c>
      <c r="E22998">
        <v>6.3</v>
      </c>
    </row>
    <row r="22999" spans="1:5">
      <c r="A22999" t="s">
        <v>47943</v>
      </c>
      <c r="B22999" t="s">
        <v>21826</v>
      </c>
      <c r="C22999">
        <v>0.23738638862299999</v>
      </c>
      <c r="D22999">
        <v>0.61765357956699996</v>
      </c>
      <c r="E22999">
        <v>6.3</v>
      </c>
    </row>
    <row r="23000" spans="1:5">
      <c r="A23000" t="s">
        <v>47945</v>
      </c>
      <c r="B23000" t="s">
        <v>5916</v>
      </c>
      <c r="C23000">
        <v>0.65738768577899998</v>
      </c>
      <c r="D23000">
        <v>0.93454816573300004</v>
      </c>
      <c r="E23000">
        <v>17.928000000000001</v>
      </c>
    </row>
    <row r="23001" spans="1:5">
      <c r="A23001" t="s">
        <v>47945</v>
      </c>
      <c r="B23001" t="s">
        <v>5917</v>
      </c>
      <c r="C23001">
        <v>0.20193986993099999</v>
      </c>
      <c r="D23001">
        <v>0.93454816573300004</v>
      </c>
      <c r="E23001">
        <v>17.928000000000001</v>
      </c>
    </row>
    <row r="23002" spans="1:5">
      <c r="A23002" t="s">
        <v>47945</v>
      </c>
      <c r="B23002" t="s">
        <v>5918</v>
      </c>
      <c r="C23002">
        <v>0</v>
      </c>
      <c r="D23002">
        <v>0.93454816573300004</v>
      </c>
      <c r="E23002">
        <v>17.928000000000001</v>
      </c>
    </row>
    <row r="23003" spans="1:5">
      <c r="A23003" t="s">
        <v>47946</v>
      </c>
      <c r="B23003" t="s">
        <v>30863</v>
      </c>
      <c r="C23003">
        <f>0</f>
        <v>0</v>
      </c>
      <c r="D23003">
        <v>0.69830161552500003</v>
      </c>
      <c r="E23003">
        <v>9.0180000000000007</v>
      </c>
    </row>
    <row r="23004" spans="1:5">
      <c r="A23004" t="s">
        <v>47946</v>
      </c>
      <c r="B23004" t="s">
        <v>30866</v>
      </c>
      <c r="C23004">
        <v>0</v>
      </c>
      <c r="D23004">
        <v>0.69830161552500003</v>
      </c>
      <c r="E23004">
        <v>9.0180000000000007</v>
      </c>
    </row>
    <row r="23005" spans="1:5">
      <c r="A23005" t="s">
        <v>47946</v>
      </c>
      <c r="B23005" t="s">
        <v>47947</v>
      </c>
      <c r="C23005">
        <f>0</f>
        <v>0</v>
      </c>
      <c r="D23005">
        <v>0.69830161552500003</v>
      </c>
      <c r="E23005">
        <v>9.0180000000000007</v>
      </c>
    </row>
    <row r="23006" spans="1:5">
      <c r="A23006" t="s">
        <v>47946</v>
      </c>
      <c r="B23006" t="s">
        <v>30865</v>
      </c>
      <c r="C23006">
        <v>0.37538014033599998</v>
      </c>
      <c r="D23006">
        <v>0.69830161552500003</v>
      </c>
      <c r="E23006">
        <v>9.0180000000000007</v>
      </c>
    </row>
    <row r="23007" spans="1:5">
      <c r="A23007" t="s">
        <v>47946</v>
      </c>
      <c r="B23007" t="s">
        <v>30869</v>
      </c>
      <c r="C23007">
        <v>9.8490356422399998E-3</v>
      </c>
      <c r="D23007">
        <v>0.69830161552500003</v>
      </c>
      <c r="E23007">
        <v>9.0180000000000007</v>
      </c>
    </row>
    <row r="23008" spans="1:5">
      <c r="A23008" t="s">
        <v>47948</v>
      </c>
      <c r="B23008" t="s">
        <v>47949</v>
      </c>
      <c r="C23008">
        <f>0</f>
        <v>0</v>
      </c>
      <c r="D23008">
        <v>0.69023122648500002</v>
      </c>
      <c r="E23008">
        <v>6.8040000000000003</v>
      </c>
    </row>
    <row r="23009" spans="1:5">
      <c r="A23009" t="s">
        <v>47948</v>
      </c>
      <c r="B23009" t="s">
        <v>47950</v>
      </c>
      <c r="C23009">
        <f>0</f>
        <v>0</v>
      </c>
      <c r="D23009">
        <v>0.69023122648500002</v>
      </c>
      <c r="E23009">
        <v>6.8040000000000003</v>
      </c>
    </row>
    <row r="23010" spans="1:5">
      <c r="A23010" t="s">
        <v>47948</v>
      </c>
      <c r="B23010" t="s">
        <v>47951</v>
      </c>
      <c r="C23010">
        <f>0</f>
        <v>0</v>
      </c>
      <c r="D23010">
        <v>0.69023122648500002</v>
      </c>
      <c r="E23010">
        <v>6.8040000000000003</v>
      </c>
    </row>
    <row r="23011" spans="1:5">
      <c r="A23011" t="s">
        <v>47948</v>
      </c>
      <c r="B23011" t="s">
        <v>47952</v>
      </c>
      <c r="C23011">
        <f>0</f>
        <v>0</v>
      </c>
      <c r="D23011">
        <v>0.69023122648500002</v>
      </c>
      <c r="E23011">
        <v>6.8040000000000003</v>
      </c>
    </row>
    <row r="23012" spans="1:5">
      <c r="A23012" t="s">
        <v>47948</v>
      </c>
      <c r="B23012" t="s">
        <v>47953</v>
      </c>
      <c r="C23012">
        <f>0</f>
        <v>0</v>
      </c>
      <c r="D23012">
        <v>0.69023122648500002</v>
      </c>
      <c r="E23012">
        <v>6.8040000000000003</v>
      </c>
    </row>
    <row r="23013" spans="1:5">
      <c r="A23013" t="s">
        <v>47948</v>
      </c>
      <c r="B23013" t="s">
        <v>47954</v>
      </c>
      <c r="C23013">
        <f>0</f>
        <v>0</v>
      </c>
      <c r="D23013">
        <v>0.69023122648500002</v>
      </c>
      <c r="E23013">
        <v>6.8040000000000003</v>
      </c>
    </row>
    <row r="23014" spans="1:5">
      <c r="A23014" t="s">
        <v>47948</v>
      </c>
      <c r="B23014" t="s">
        <v>47955</v>
      </c>
      <c r="C23014">
        <f>0.419821226485</f>
        <v>0.41982122648499998</v>
      </c>
      <c r="D23014">
        <v>0.69023122648500002</v>
      </c>
      <c r="E23014">
        <v>6.8040000000000003</v>
      </c>
    </row>
    <row r="23015" spans="1:5">
      <c r="A23015" t="s">
        <v>47948</v>
      </c>
      <c r="B23015" t="s">
        <v>47956</v>
      </c>
      <c r="C23015">
        <f>0</f>
        <v>0</v>
      </c>
      <c r="D23015">
        <v>0.69023122648500002</v>
      </c>
      <c r="E23015">
        <v>6.8040000000000003</v>
      </c>
    </row>
    <row r="23016" spans="1:5">
      <c r="A23016" t="s">
        <v>47948</v>
      </c>
      <c r="B23016" t="s">
        <v>47957</v>
      </c>
      <c r="C23016">
        <f>0</f>
        <v>0</v>
      </c>
      <c r="D23016">
        <v>0.69023122648500002</v>
      </c>
      <c r="E23016">
        <v>6.8040000000000003</v>
      </c>
    </row>
    <row r="23017" spans="1:5">
      <c r="A23017" t="s">
        <v>47958</v>
      </c>
      <c r="B23017" t="s">
        <v>10447</v>
      </c>
      <c r="C23017">
        <f>0</f>
        <v>0</v>
      </c>
      <c r="D23017">
        <v>0.76130960261299996</v>
      </c>
      <c r="E23017">
        <v>24</v>
      </c>
    </row>
    <row r="23018" spans="1:5">
      <c r="A23018" t="s">
        <v>47958</v>
      </c>
      <c r="B23018" t="s">
        <v>10444</v>
      </c>
      <c r="C23018">
        <v>0.20564770679200001</v>
      </c>
      <c r="D23018">
        <v>0.76130960261299996</v>
      </c>
      <c r="E23018">
        <v>24</v>
      </c>
    </row>
    <row r="23019" spans="1:5">
      <c r="A23019" t="s">
        <v>47958</v>
      </c>
      <c r="B23019" t="s">
        <v>10448</v>
      </c>
      <c r="C23019">
        <v>0.44078064956700003</v>
      </c>
      <c r="D23019">
        <v>0.76130960261299996</v>
      </c>
      <c r="E23019">
        <v>24</v>
      </c>
    </row>
    <row r="23020" spans="1:5">
      <c r="A23020" t="s">
        <v>47958</v>
      </c>
      <c r="B23020" t="s">
        <v>10445</v>
      </c>
      <c r="C23020">
        <f>0</f>
        <v>0</v>
      </c>
      <c r="D23020">
        <v>0.76130960261299996</v>
      </c>
      <c r="E23020">
        <v>24</v>
      </c>
    </row>
    <row r="23021" spans="1:5">
      <c r="A23021" t="s">
        <v>47959</v>
      </c>
      <c r="B23021" t="s">
        <v>8122</v>
      </c>
      <c r="C23021">
        <v>0.77420048079699999</v>
      </c>
      <c r="D23021">
        <v>0.808034206827</v>
      </c>
      <c r="E23021">
        <v>2.25</v>
      </c>
    </row>
    <row r="23022" spans="1:5">
      <c r="A23022" t="s">
        <v>47959</v>
      </c>
      <c r="B23022" t="s">
        <v>8119</v>
      </c>
      <c r="C23022">
        <v>0.15813747704</v>
      </c>
      <c r="D23022">
        <v>0.808034206827</v>
      </c>
      <c r="E23022">
        <v>2.25</v>
      </c>
    </row>
    <row r="23023" spans="1:5">
      <c r="A23023" t="s">
        <v>47959</v>
      </c>
      <c r="B23023" t="s">
        <v>8121</v>
      </c>
      <c r="C23023">
        <v>0.54025076245100001</v>
      </c>
      <c r="D23023">
        <v>0.808034206827</v>
      </c>
      <c r="E23023">
        <v>2.25</v>
      </c>
    </row>
    <row r="23024" spans="1:5">
      <c r="A23024" t="s">
        <v>47960</v>
      </c>
      <c r="B23024" t="s">
        <v>25437</v>
      </c>
      <c r="C23024">
        <v>2.41560666542E-2</v>
      </c>
      <c r="D23024">
        <v>0.90043273341300001</v>
      </c>
      <c r="E23024">
        <v>1.17</v>
      </c>
    </row>
    <row r="23025" spans="1:5">
      <c r="A23025" t="s">
        <v>47960</v>
      </c>
      <c r="B23025" t="s">
        <v>25443</v>
      </c>
      <c r="C23025">
        <v>0</v>
      </c>
      <c r="D23025">
        <v>0.90043273341300001</v>
      </c>
      <c r="E23025">
        <v>1.17</v>
      </c>
    </row>
    <row r="23026" spans="1:5">
      <c r="A23026" t="s">
        <v>47960</v>
      </c>
      <c r="B23026" t="s">
        <v>25438</v>
      </c>
      <c r="C23026">
        <f>0</f>
        <v>0</v>
      </c>
      <c r="D23026">
        <v>0.90043273341300001</v>
      </c>
      <c r="E23026">
        <v>1.17</v>
      </c>
    </row>
    <row r="23027" spans="1:5">
      <c r="A23027" t="s">
        <v>47960</v>
      </c>
      <c r="B23027" t="s">
        <v>25444</v>
      </c>
      <c r="C23027">
        <f>0</f>
        <v>0</v>
      </c>
      <c r="D23027">
        <v>0.90043273341300001</v>
      </c>
      <c r="E23027">
        <v>1.17</v>
      </c>
    </row>
    <row r="23028" spans="1:5">
      <c r="A23028" t="s">
        <v>47960</v>
      </c>
      <c r="B23028" t="s">
        <v>25441</v>
      </c>
      <c r="C23028">
        <v>0.74920366339900002</v>
      </c>
      <c r="D23028">
        <v>0.90043273341300001</v>
      </c>
      <c r="E23028">
        <v>1.17</v>
      </c>
    </row>
    <row r="23029" spans="1:5">
      <c r="A23029" t="s">
        <v>47960</v>
      </c>
      <c r="B23029" t="s">
        <v>25442</v>
      </c>
      <c r="C23029">
        <v>0</v>
      </c>
      <c r="D23029">
        <v>0.90043273341300001</v>
      </c>
      <c r="E23029">
        <v>1.17</v>
      </c>
    </row>
    <row r="23030" spans="1:5">
      <c r="A23030" t="s">
        <v>47960</v>
      </c>
      <c r="B23030" t="s">
        <v>25439</v>
      </c>
      <c r="C23030">
        <v>0</v>
      </c>
      <c r="D23030">
        <v>0.90043273341300001</v>
      </c>
      <c r="E23030">
        <v>1.17</v>
      </c>
    </row>
    <row r="23031" spans="1:5">
      <c r="A23031" t="s">
        <v>47961</v>
      </c>
      <c r="B23031" t="s">
        <v>47962</v>
      </c>
      <c r="C23031">
        <v>0</v>
      </c>
      <c r="D23031" t="s">
        <v>106</v>
      </c>
      <c r="E23031">
        <v>24</v>
      </c>
    </row>
    <row r="23032" spans="1:5">
      <c r="A23032" t="s">
        <v>47961</v>
      </c>
      <c r="B23032" t="s">
        <v>47963</v>
      </c>
      <c r="C23032">
        <f>0</f>
        <v>0</v>
      </c>
      <c r="D23032" t="s">
        <v>106</v>
      </c>
      <c r="E23032">
        <v>24</v>
      </c>
    </row>
    <row r="23033" spans="1:5">
      <c r="A23033" t="s">
        <v>47961</v>
      </c>
      <c r="B23033" t="s">
        <v>47964</v>
      </c>
      <c r="C23033">
        <f>0</f>
        <v>0</v>
      </c>
      <c r="D23033" t="s">
        <v>106</v>
      </c>
      <c r="E23033">
        <v>24</v>
      </c>
    </row>
    <row r="23034" spans="1:5">
      <c r="A23034" t="s">
        <v>47961</v>
      </c>
      <c r="B23034" t="s">
        <v>47965</v>
      </c>
      <c r="C23034">
        <f>0</f>
        <v>0</v>
      </c>
      <c r="D23034" t="s">
        <v>106</v>
      </c>
      <c r="E23034">
        <v>24</v>
      </c>
    </row>
    <row r="23035" spans="1:5">
      <c r="A23035" t="s">
        <v>47966</v>
      </c>
      <c r="B23035" t="s">
        <v>47967</v>
      </c>
      <c r="C23035">
        <v>0</v>
      </c>
      <c r="D23035" t="s">
        <v>106</v>
      </c>
      <c r="E23035">
        <v>0.96599999999999997</v>
      </c>
    </row>
    <row r="23036" spans="1:5">
      <c r="A23036" t="s">
        <v>47966</v>
      </c>
      <c r="B23036" t="s">
        <v>47968</v>
      </c>
      <c r="C23036">
        <f>0</f>
        <v>0</v>
      </c>
      <c r="D23036" t="s">
        <v>106</v>
      </c>
      <c r="E23036">
        <v>0.96599999999999997</v>
      </c>
    </row>
    <row r="23037" spans="1:5">
      <c r="A23037" t="s">
        <v>47966</v>
      </c>
      <c r="B23037" t="s">
        <v>47969</v>
      </c>
      <c r="C23037">
        <f>0</f>
        <v>0</v>
      </c>
      <c r="D23037" t="s">
        <v>106</v>
      </c>
      <c r="E23037">
        <v>0.96599999999999997</v>
      </c>
    </row>
    <row r="23038" spans="1:5">
      <c r="A23038" t="s">
        <v>47966</v>
      </c>
      <c r="B23038" t="s">
        <v>47970</v>
      </c>
      <c r="C23038">
        <f>0</f>
        <v>0</v>
      </c>
      <c r="D23038" t="s">
        <v>106</v>
      </c>
      <c r="E23038">
        <v>0.96599999999999997</v>
      </c>
    </row>
    <row r="23039" spans="1:5">
      <c r="A23039" t="s">
        <v>47966</v>
      </c>
      <c r="B23039" t="s">
        <v>47971</v>
      </c>
      <c r="C23039">
        <v>0</v>
      </c>
      <c r="D23039" t="s">
        <v>106</v>
      </c>
      <c r="E23039">
        <v>0.96599999999999997</v>
      </c>
    </row>
    <row r="23040" spans="1:5">
      <c r="A23040" t="s">
        <v>47966</v>
      </c>
      <c r="B23040" t="s">
        <v>47972</v>
      </c>
      <c r="C23040">
        <v>0</v>
      </c>
      <c r="D23040" t="s">
        <v>106</v>
      </c>
      <c r="E23040">
        <v>0.96599999999999997</v>
      </c>
    </row>
    <row r="23041" spans="1:5">
      <c r="A23041" t="s">
        <v>47966</v>
      </c>
      <c r="B23041" t="s">
        <v>47973</v>
      </c>
      <c r="C23041">
        <v>0</v>
      </c>
      <c r="D23041" t="s">
        <v>106</v>
      </c>
      <c r="E23041">
        <v>0.96599999999999997</v>
      </c>
    </row>
    <row r="23042" spans="1:5">
      <c r="A23042" t="s">
        <v>47974</v>
      </c>
      <c r="B23042" t="s">
        <v>13163</v>
      </c>
      <c r="C23042">
        <v>0</v>
      </c>
      <c r="D23042" t="s">
        <v>106</v>
      </c>
      <c r="E23042">
        <v>24</v>
      </c>
    </row>
    <row r="23043" spans="1:5">
      <c r="A23043" t="s">
        <v>47974</v>
      </c>
      <c r="B23043" t="s">
        <v>13164</v>
      </c>
      <c r="C23043">
        <v>0</v>
      </c>
      <c r="D23043" t="s">
        <v>106</v>
      </c>
      <c r="E23043">
        <v>24</v>
      </c>
    </row>
    <row r="23044" spans="1:5">
      <c r="A23044" t="s">
        <v>47975</v>
      </c>
      <c r="B23044" t="s">
        <v>47976</v>
      </c>
      <c r="C23044">
        <f>0</f>
        <v>0</v>
      </c>
      <c r="D23044" t="s">
        <v>106</v>
      </c>
      <c r="E23044">
        <v>4.8000000000000001E-2</v>
      </c>
    </row>
    <row r="23045" spans="1:5">
      <c r="A23045" t="s">
        <v>47975</v>
      </c>
      <c r="B23045" t="s">
        <v>47977</v>
      </c>
      <c r="C23045">
        <f>0</f>
        <v>0</v>
      </c>
      <c r="D23045" t="s">
        <v>106</v>
      </c>
      <c r="E23045">
        <v>4.8000000000000001E-2</v>
      </c>
    </row>
    <row r="23046" spans="1:5">
      <c r="A23046" t="s">
        <v>47975</v>
      </c>
      <c r="B23046" t="s">
        <v>47978</v>
      </c>
      <c r="C23046">
        <f>0</f>
        <v>0</v>
      </c>
      <c r="D23046" t="s">
        <v>106</v>
      </c>
      <c r="E23046">
        <v>4.8000000000000001E-2</v>
      </c>
    </row>
    <row r="23047" spans="1:5">
      <c r="A23047" t="s">
        <v>47979</v>
      </c>
      <c r="B23047" t="s">
        <v>11707</v>
      </c>
      <c r="C23047">
        <v>0</v>
      </c>
      <c r="D23047" t="s">
        <v>106</v>
      </c>
      <c r="E23047">
        <v>1.3380000000000001</v>
      </c>
    </row>
    <row r="23048" spans="1:5">
      <c r="A23048" t="s">
        <v>47979</v>
      </c>
      <c r="B23048" t="s">
        <v>11712</v>
      </c>
      <c r="C23048">
        <v>0</v>
      </c>
      <c r="D23048" t="s">
        <v>106</v>
      </c>
      <c r="E23048">
        <v>1.3380000000000001</v>
      </c>
    </row>
    <row r="23049" spans="1:5">
      <c r="A23049" t="s">
        <v>47979</v>
      </c>
      <c r="B23049" t="s">
        <v>11709</v>
      </c>
      <c r="C23049">
        <v>0</v>
      </c>
      <c r="D23049" t="s">
        <v>106</v>
      </c>
      <c r="E23049">
        <v>1.3380000000000001</v>
      </c>
    </row>
    <row r="23050" spans="1:5">
      <c r="A23050" t="s">
        <v>47979</v>
      </c>
      <c r="B23050" t="s">
        <v>11713</v>
      </c>
      <c r="C23050">
        <v>0</v>
      </c>
      <c r="D23050" t="s">
        <v>106</v>
      </c>
      <c r="E23050">
        <v>1.3380000000000001</v>
      </c>
    </row>
    <row r="23051" spans="1:5">
      <c r="A23051" t="s">
        <v>47980</v>
      </c>
      <c r="B23051" t="s">
        <v>47981</v>
      </c>
      <c r="C23051">
        <f>0.0125389963519</f>
        <v>1.2538996351900001E-2</v>
      </c>
      <c r="D23051">
        <v>0.99988478753700005</v>
      </c>
      <c r="E23051">
        <v>2.4</v>
      </c>
    </row>
    <row r="23052" spans="1:5">
      <c r="A23052" t="s">
        <v>47980</v>
      </c>
      <c r="B23052" t="s">
        <v>47982</v>
      </c>
      <c r="C23052">
        <f>0</f>
        <v>0</v>
      </c>
      <c r="D23052">
        <v>0.99988478753700005</v>
      </c>
      <c r="E23052">
        <v>2.4</v>
      </c>
    </row>
    <row r="23053" spans="1:5">
      <c r="A23053" t="s">
        <v>47980</v>
      </c>
      <c r="B23053" t="s">
        <v>47983</v>
      </c>
      <c r="C23053">
        <v>0.68230170146900004</v>
      </c>
      <c r="D23053">
        <v>0.99988478753700005</v>
      </c>
      <c r="E23053">
        <v>2.4</v>
      </c>
    </row>
    <row r="23054" spans="1:5">
      <c r="A23054" t="s">
        <v>47980</v>
      </c>
      <c r="B23054" t="s">
        <v>47984</v>
      </c>
      <c r="C23054">
        <v>0.40102632201900001</v>
      </c>
      <c r="D23054">
        <v>0.99988478753700005</v>
      </c>
      <c r="E23054">
        <v>2.4</v>
      </c>
    </row>
    <row r="23055" spans="1:5">
      <c r="A23055" t="s">
        <v>47980</v>
      </c>
      <c r="B23055" t="s">
        <v>47985</v>
      </c>
      <c r="C23055">
        <f>0.581716839696</f>
        <v>0.58171683969599997</v>
      </c>
      <c r="D23055">
        <v>0.99988478753700005</v>
      </c>
      <c r="E23055">
        <v>2.4</v>
      </c>
    </row>
    <row r="23056" spans="1:5">
      <c r="A23056" t="s">
        <v>47980</v>
      </c>
      <c r="B23056" t="s">
        <v>47986</v>
      </c>
      <c r="C23056">
        <f>0.0589296214694</f>
        <v>5.89296214694E-2</v>
      </c>
      <c r="D23056">
        <v>0.99988478753700005</v>
      </c>
      <c r="E23056">
        <v>2.4</v>
      </c>
    </row>
    <row r="23057" spans="1:5">
      <c r="A23057" t="s">
        <v>47980</v>
      </c>
      <c r="B23057" t="s">
        <v>47987</v>
      </c>
      <c r="C23057">
        <f>0.0373833477972</f>
        <v>3.7383347797199998E-2</v>
      </c>
      <c r="D23057">
        <v>0.99988478753700005</v>
      </c>
      <c r="E23057">
        <v>2.4</v>
      </c>
    </row>
    <row r="23058" spans="1:5">
      <c r="A23058" t="s">
        <v>47980</v>
      </c>
      <c r="B23058" t="s">
        <v>47988</v>
      </c>
      <c r="C23058">
        <v>0.63216530646799995</v>
      </c>
      <c r="D23058">
        <v>0.99988478753700005</v>
      </c>
      <c r="E23058">
        <v>2.4</v>
      </c>
    </row>
    <row r="23059" spans="1:5">
      <c r="A23059" t="s">
        <v>47980</v>
      </c>
      <c r="B23059" t="s">
        <v>47989</v>
      </c>
      <c r="C23059">
        <v>1.31811265621E-2</v>
      </c>
      <c r="D23059">
        <v>0.99988478753700005</v>
      </c>
      <c r="E23059">
        <v>2.4</v>
      </c>
    </row>
    <row r="23060" spans="1:5">
      <c r="A23060" t="s">
        <v>47990</v>
      </c>
      <c r="B23060" t="s">
        <v>47991</v>
      </c>
      <c r="C23060">
        <f>0</f>
        <v>0</v>
      </c>
      <c r="D23060">
        <v>0.74404522001899998</v>
      </c>
      <c r="E23060">
        <v>6.06</v>
      </c>
    </row>
    <row r="23061" spans="1:5">
      <c r="A23061" t="s">
        <v>47990</v>
      </c>
      <c r="B23061" t="s">
        <v>47992</v>
      </c>
      <c r="C23061">
        <v>0.58403522001899999</v>
      </c>
      <c r="D23061">
        <v>0.74404522001899998</v>
      </c>
      <c r="E23061">
        <v>6.06</v>
      </c>
    </row>
    <row r="23062" spans="1:5">
      <c r="A23062" t="s">
        <v>47993</v>
      </c>
      <c r="B23062" t="s">
        <v>12415</v>
      </c>
      <c r="C23062">
        <v>0.20591065161899999</v>
      </c>
      <c r="D23062">
        <v>0.98390522747499998</v>
      </c>
      <c r="E23062">
        <v>20.292000000000002</v>
      </c>
    </row>
    <row r="23063" spans="1:5">
      <c r="A23063" t="s">
        <v>47993</v>
      </c>
      <c r="B23063" t="s">
        <v>12416</v>
      </c>
      <c r="C23063">
        <v>0.81036557892600003</v>
      </c>
      <c r="D23063">
        <v>0.98390522747499998</v>
      </c>
      <c r="E23063">
        <v>20.292000000000002</v>
      </c>
    </row>
    <row r="23064" spans="1:5">
      <c r="A23064" t="s">
        <v>47993</v>
      </c>
      <c r="B23064" t="s">
        <v>12418</v>
      </c>
      <c r="C23064">
        <v>9.6285056235600006E-2</v>
      </c>
      <c r="D23064">
        <v>0.98390522747499998</v>
      </c>
      <c r="E23064">
        <v>20.292000000000002</v>
      </c>
    </row>
    <row r="23065" spans="1:5">
      <c r="A23065" t="s">
        <v>47993</v>
      </c>
      <c r="B23065" t="s">
        <v>12419</v>
      </c>
      <c r="C23065">
        <v>0.14527704960099999</v>
      </c>
      <c r="D23065">
        <v>0.98390522747499998</v>
      </c>
      <c r="E23065">
        <v>20.292000000000002</v>
      </c>
    </row>
    <row r="23066" spans="1:5">
      <c r="A23066" t="s">
        <v>47993</v>
      </c>
      <c r="B23066" t="s">
        <v>12420</v>
      </c>
      <c r="C23066">
        <v>0</v>
      </c>
      <c r="D23066">
        <v>0.98390522747499998</v>
      </c>
      <c r="E23066">
        <v>20.292000000000002</v>
      </c>
    </row>
    <row r="23067" spans="1:5">
      <c r="A23067" t="s">
        <v>47994</v>
      </c>
      <c r="B23067" t="s">
        <v>9463</v>
      </c>
      <c r="C23067">
        <v>0</v>
      </c>
      <c r="D23067">
        <v>0.99962318979800002</v>
      </c>
      <c r="E23067">
        <v>13.632</v>
      </c>
    </row>
    <row r="23068" spans="1:5">
      <c r="A23068" t="s">
        <v>47994</v>
      </c>
      <c r="B23068" t="s">
        <v>9476</v>
      </c>
      <c r="C23068">
        <v>0.114834687088</v>
      </c>
      <c r="D23068">
        <v>0.99962318979800002</v>
      </c>
      <c r="E23068">
        <v>13.632</v>
      </c>
    </row>
    <row r="23069" spans="1:5">
      <c r="A23069" t="s">
        <v>47994</v>
      </c>
      <c r="B23069" t="s">
        <v>9475</v>
      </c>
      <c r="C23069">
        <v>0</v>
      </c>
      <c r="D23069">
        <v>0.99962318979800002</v>
      </c>
      <c r="E23069">
        <v>13.632</v>
      </c>
    </row>
    <row r="23070" spans="1:5">
      <c r="A23070" t="s">
        <v>47994</v>
      </c>
      <c r="B23070" t="s">
        <v>9467</v>
      </c>
      <c r="C23070">
        <f>0.0219644211961</f>
        <v>2.1964421196099999E-2</v>
      </c>
      <c r="D23070">
        <v>0.99962318979800002</v>
      </c>
      <c r="E23070">
        <v>13.632</v>
      </c>
    </row>
    <row r="23071" spans="1:5">
      <c r="A23071" t="s">
        <v>47994</v>
      </c>
      <c r="B23071" t="s">
        <v>9473</v>
      </c>
      <c r="C23071">
        <f>0</f>
        <v>0</v>
      </c>
      <c r="D23071">
        <v>0.99962318979800002</v>
      </c>
      <c r="E23071">
        <v>13.632</v>
      </c>
    </row>
    <row r="23072" spans="1:5">
      <c r="A23072" t="s">
        <v>47994</v>
      </c>
      <c r="B23072" t="s">
        <v>47995</v>
      </c>
      <c r="C23072">
        <f>0.0024322421132</f>
        <v>2.4322421132E-3</v>
      </c>
      <c r="D23072">
        <v>0.99962318979800002</v>
      </c>
      <c r="E23072">
        <v>13.632</v>
      </c>
    </row>
    <row r="23073" spans="1:5">
      <c r="A23073" t="s">
        <v>47994</v>
      </c>
      <c r="B23073" t="s">
        <v>9480</v>
      </c>
      <c r="C23073">
        <f>0</f>
        <v>0</v>
      </c>
      <c r="D23073">
        <v>0.99962318979800002</v>
      </c>
      <c r="E23073">
        <v>13.632</v>
      </c>
    </row>
    <row r="23074" spans="1:5">
      <c r="A23074" t="s">
        <v>47994</v>
      </c>
      <c r="B23074" t="s">
        <v>9477</v>
      </c>
      <c r="C23074">
        <f>0.318428192431</f>
        <v>0.31842819243100001</v>
      </c>
      <c r="D23074">
        <v>0.99962318979800002</v>
      </c>
      <c r="E23074">
        <v>13.632</v>
      </c>
    </row>
    <row r="23075" spans="1:5">
      <c r="A23075" t="s">
        <v>47994</v>
      </c>
      <c r="B23075" t="s">
        <v>9469</v>
      </c>
      <c r="C23075">
        <v>0</v>
      </c>
      <c r="D23075">
        <v>0.99962318979800002</v>
      </c>
      <c r="E23075">
        <v>13.632</v>
      </c>
    </row>
    <row r="23076" spans="1:5">
      <c r="A23076" t="s">
        <v>47994</v>
      </c>
      <c r="B23076" t="s">
        <v>9472</v>
      </c>
      <c r="C23076">
        <f>0.663408811241</f>
        <v>0.66340881124100004</v>
      </c>
      <c r="D23076">
        <v>0.99962318979800002</v>
      </c>
      <c r="E23076">
        <v>13.632</v>
      </c>
    </row>
    <row r="23077" spans="1:5">
      <c r="A23077" t="s">
        <v>47994</v>
      </c>
      <c r="B23077" t="s">
        <v>9464</v>
      </c>
      <c r="C23077">
        <f>0</f>
        <v>0</v>
      </c>
      <c r="D23077">
        <v>0.99962318979800002</v>
      </c>
      <c r="E23077">
        <v>13.632</v>
      </c>
    </row>
    <row r="23078" spans="1:5">
      <c r="A23078" t="s">
        <v>47994</v>
      </c>
      <c r="B23078" t="s">
        <v>9466</v>
      </c>
      <c r="C23078">
        <v>0.35689445640700002</v>
      </c>
      <c r="D23078">
        <v>0.99962318979800002</v>
      </c>
      <c r="E23078">
        <v>13.632</v>
      </c>
    </row>
    <row r="23079" spans="1:5">
      <c r="A23079" t="s">
        <v>47994</v>
      </c>
      <c r="B23079" t="s">
        <v>9462</v>
      </c>
      <c r="C23079">
        <v>0.204411118216</v>
      </c>
      <c r="D23079">
        <v>0.99962318979800002</v>
      </c>
      <c r="E23079">
        <v>13.632</v>
      </c>
    </row>
    <row r="23080" spans="1:5">
      <c r="A23080" t="s">
        <v>47996</v>
      </c>
      <c r="B23080" t="s">
        <v>2907</v>
      </c>
      <c r="C23080">
        <v>0</v>
      </c>
      <c r="D23080" t="s">
        <v>106</v>
      </c>
      <c r="E23080">
        <v>12.048</v>
      </c>
    </row>
    <row r="23081" spans="1:5">
      <c r="A23081" t="s">
        <v>47996</v>
      </c>
      <c r="B23081" t="s">
        <v>2908</v>
      </c>
      <c r="C23081">
        <v>0</v>
      </c>
      <c r="D23081" t="s">
        <v>106</v>
      </c>
      <c r="E23081">
        <v>12.048</v>
      </c>
    </row>
    <row r="23082" spans="1:5">
      <c r="A23082" t="s">
        <v>47997</v>
      </c>
      <c r="B23082" t="s">
        <v>3580</v>
      </c>
      <c r="C23082">
        <v>0.13889362612299999</v>
      </c>
      <c r="D23082">
        <v>0.90247218871799995</v>
      </c>
      <c r="E23082">
        <v>24</v>
      </c>
    </row>
    <row r="23083" spans="1:5">
      <c r="A23083" t="s">
        <v>47997</v>
      </c>
      <c r="B23083" t="s">
        <v>3589</v>
      </c>
      <c r="C23083">
        <f>0.0204873823035</f>
        <v>2.0487382303500001E-2</v>
      </c>
      <c r="D23083">
        <v>0.90247218871799995</v>
      </c>
      <c r="E23083">
        <v>24</v>
      </c>
    </row>
    <row r="23084" spans="1:5">
      <c r="A23084" t="s">
        <v>47997</v>
      </c>
      <c r="B23084" t="s">
        <v>3590</v>
      </c>
      <c r="C23084">
        <v>0.74922837486299998</v>
      </c>
      <c r="D23084">
        <v>0.90247218871799995</v>
      </c>
      <c r="E23084">
        <v>24</v>
      </c>
    </row>
    <row r="23085" spans="1:5">
      <c r="A23085" t="s">
        <v>47997</v>
      </c>
      <c r="B23085" t="s">
        <v>3586</v>
      </c>
      <c r="C23085">
        <f>0</f>
        <v>0</v>
      </c>
      <c r="D23085">
        <v>0.90247218871799995</v>
      </c>
      <c r="E23085">
        <v>24</v>
      </c>
    </row>
    <row r="23086" spans="1:5">
      <c r="A23086" t="s">
        <v>47997</v>
      </c>
      <c r="B23086" t="s">
        <v>3583</v>
      </c>
      <c r="C23086">
        <f>0.399918884692</f>
        <v>0.39991888469199999</v>
      </c>
      <c r="D23086">
        <v>0.90247218871799995</v>
      </c>
      <c r="E23086">
        <v>24</v>
      </c>
    </row>
    <row r="23087" spans="1:5">
      <c r="A23087" t="s">
        <v>47997</v>
      </c>
      <c r="B23087" t="s">
        <v>3591</v>
      </c>
      <c r="C23087">
        <v>6.6074673567599997E-3</v>
      </c>
      <c r="D23087">
        <v>0.90247218871799995</v>
      </c>
      <c r="E23087">
        <v>24</v>
      </c>
    </row>
    <row r="23088" spans="1:5">
      <c r="A23088" t="s">
        <v>47998</v>
      </c>
      <c r="B23088" t="s">
        <v>31328</v>
      </c>
      <c r="C23088">
        <v>0</v>
      </c>
      <c r="D23088" t="s">
        <v>106</v>
      </c>
      <c r="E23088">
        <v>24</v>
      </c>
    </row>
    <row r="23089" spans="1:5">
      <c r="A23089" t="s">
        <v>47998</v>
      </c>
      <c r="B23089" t="s">
        <v>31327</v>
      </c>
      <c r="C23089">
        <v>0</v>
      </c>
      <c r="D23089" t="s">
        <v>106</v>
      </c>
      <c r="E23089">
        <v>24</v>
      </c>
    </row>
    <row r="23090" spans="1:5">
      <c r="A23090" t="s">
        <v>47999</v>
      </c>
      <c r="B23090" t="s">
        <v>48000</v>
      </c>
      <c r="C23090">
        <f>0</f>
        <v>0</v>
      </c>
      <c r="D23090" t="s">
        <v>106</v>
      </c>
      <c r="E23090">
        <v>8.1539999999999999</v>
      </c>
    </row>
    <row r="23091" spans="1:5">
      <c r="A23091" t="s">
        <v>47999</v>
      </c>
      <c r="B23091" t="s">
        <v>48001</v>
      </c>
      <c r="C23091">
        <f>0</f>
        <v>0</v>
      </c>
      <c r="D23091" t="s">
        <v>106</v>
      </c>
      <c r="E23091">
        <v>8.1539999999999999</v>
      </c>
    </row>
    <row r="23092" spans="1:5">
      <c r="A23092" t="s">
        <v>47999</v>
      </c>
      <c r="B23092" t="s">
        <v>48002</v>
      </c>
      <c r="C23092">
        <v>0</v>
      </c>
      <c r="D23092" t="s">
        <v>106</v>
      </c>
      <c r="E23092">
        <v>8.1539999999999999</v>
      </c>
    </row>
    <row r="23093" spans="1:5">
      <c r="A23093" t="s">
        <v>47999</v>
      </c>
      <c r="B23093" t="s">
        <v>48003</v>
      </c>
      <c r="C23093">
        <f>0</f>
        <v>0</v>
      </c>
      <c r="D23093" t="s">
        <v>106</v>
      </c>
      <c r="E23093">
        <v>8.1539999999999999</v>
      </c>
    </row>
    <row r="23094" spans="1:5">
      <c r="A23094" t="s">
        <v>47999</v>
      </c>
      <c r="B23094" t="s">
        <v>48004</v>
      </c>
      <c r="C23094">
        <f>0</f>
        <v>0</v>
      </c>
      <c r="D23094" t="s">
        <v>106</v>
      </c>
      <c r="E23094">
        <v>8.1539999999999999</v>
      </c>
    </row>
    <row r="23095" spans="1:5">
      <c r="A23095" t="s">
        <v>48005</v>
      </c>
      <c r="B23095" t="s">
        <v>48006</v>
      </c>
      <c r="C23095">
        <v>0</v>
      </c>
      <c r="D23095" t="s">
        <v>106</v>
      </c>
      <c r="E23095">
        <v>24</v>
      </c>
    </row>
    <row r="23096" spans="1:5">
      <c r="A23096" t="s">
        <v>48005</v>
      </c>
      <c r="B23096" t="s">
        <v>48007</v>
      </c>
      <c r="C23096">
        <f>0</f>
        <v>0</v>
      </c>
      <c r="D23096" t="s">
        <v>106</v>
      </c>
      <c r="E23096">
        <v>24</v>
      </c>
    </row>
    <row r="23097" spans="1:5">
      <c r="A23097" t="s">
        <v>48005</v>
      </c>
      <c r="B23097" t="s">
        <v>48008</v>
      </c>
      <c r="C23097">
        <f>0</f>
        <v>0</v>
      </c>
      <c r="D23097" t="s">
        <v>106</v>
      </c>
      <c r="E23097">
        <v>24</v>
      </c>
    </row>
    <row r="23098" spans="1:5">
      <c r="A23098" t="s">
        <v>48005</v>
      </c>
      <c r="B23098" t="s">
        <v>48009</v>
      </c>
      <c r="C23098">
        <f>0</f>
        <v>0</v>
      </c>
      <c r="D23098" t="s">
        <v>106</v>
      </c>
      <c r="E23098">
        <v>24</v>
      </c>
    </row>
    <row r="23099" spans="1:5">
      <c r="A23099" t="s">
        <v>48005</v>
      </c>
      <c r="B23099" t="s">
        <v>48010</v>
      </c>
      <c r="C23099">
        <f>0</f>
        <v>0</v>
      </c>
      <c r="D23099" t="s">
        <v>106</v>
      </c>
      <c r="E23099">
        <v>24</v>
      </c>
    </row>
    <row r="23100" spans="1:5">
      <c r="A23100" t="s">
        <v>48005</v>
      </c>
      <c r="B23100" t="s">
        <v>48011</v>
      </c>
      <c r="C23100">
        <f>0</f>
        <v>0</v>
      </c>
      <c r="D23100" t="s">
        <v>106</v>
      </c>
      <c r="E23100">
        <v>24</v>
      </c>
    </row>
    <row r="23101" spans="1:5">
      <c r="A23101" t="s">
        <v>48005</v>
      </c>
      <c r="B23101" t="s">
        <v>48012</v>
      </c>
      <c r="C23101">
        <v>0</v>
      </c>
      <c r="D23101" t="s">
        <v>106</v>
      </c>
      <c r="E23101">
        <v>24</v>
      </c>
    </row>
    <row r="23102" spans="1:5">
      <c r="A23102" t="s">
        <v>48005</v>
      </c>
      <c r="B23102" t="s">
        <v>48013</v>
      </c>
      <c r="C23102">
        <f>0</f>
        <v>0</v>
      </c>
      <c r="D23102" t="s">
        <v>106</v>
      </c>
      <c r="E23102">
        <v>24</v>
      </c>
    </row>
    <row r="23103" spans="1:5">
      <c r="A23103" t="s">
        <v>48014</v>
      </c>
      <c r="B23103" t="s">
        <v>24781</v>
      </c>
      <c r="C23103">
        <v>0.46380027169100002</v>
      </c>
      <c r="D23103">
        <v>0.93036097574999999</v>
      </c>
      <c r="E23103">
        <v>9.6180000000000003</v>
      </c>
    </row>
    <row r="23104" spans="1:5">
      <c r="A23104" t="s">
        <v>48014</v>
      </c>
      <c r="B23104" t="s">
        <v>24782</v>
      </c>
      <c r="C23104">
        <f>0</f>
        <v>0</v>
      </c>
      <c r="D23104">
        <v>0.93036097574999999</v>
      </c>
      <c r="E23104">
        <v>9.6180000000000003</v>
      </c>
    </row>
    <row r="23105" spans="1:5">
      <c r="A23105" t="s">
        <v>48014</v>
      </c>
      <c r="B23105" t="s">
        <v>24783</v>
      </c>
      <c r="C23105">
        <v>0.44412310054100002</v>
      </c>
      <c r="D23105">
        <v>0.93036097574999999</v>
      </c>
      <c r="E23105">
        <v>9.6180000000000003</v>
      </c>
    </row>
    <row r="23106" spans="1:5">
      <c r="A23106" t="s">
        <v>48015</v>
      </c>
      <c r="B23106" t="s">
        <v>11137</v>
      </c>
      <c r="C23106">
        <f>0</f>
        <v>0</v>
      </c>
      <c r="D23106" t="s">
        <v>106</v>
      </c>
      <c r="E23106">
        <v>21.648</v>
      </c>
    </row>
    <row r="23107" spans="1:5">
      <c r="A23107" t="s">
        <v>48015</v>
      </c>
      <c r="B23107" t="s">
        <v>11139</v>
      </c>
      <c r="C23107">
        <v>0</v>
      </c>
      <c r="D23107" t="s">
        <v>106</v>
      </c>
      <c r="E23107">
        <v>21.648</v>
      </c>
    </row>
    <row r="23108" spans="1:5">
      <c r="A23108" t="s">
        <v>48015</v>
      </c>
      <c r="B23108" t="s">
        <v>11138</v>
      </c>
      <c r="C23108">
        <v>0</v>
      </c>
      <c r="D23108" t="s">
        <v>106</v>
      </c>
      <c r="E23108">
        <v>21.648</v>
      </c>
    </row>
    <row r="23109" spans="1:5">
      <c r="A23109" t="s">
        <v>48016</v>
      </c>
      <c r="B23109" t="s">
        <v>33980</v>
      </c>
      <c r="C23109">
        <v>0.27788299549700002</v>
      </c>
      <c r="D23109">
        <v>0.88322321861200004</v>
      </c>
      <c r="E23109">
        <v>24</v>
      </c>
    </row>
    <row r="23110" spans="1:5">
      <c r="A23110" t="s">
        <v>48016</v>
      </c>
      <c r="B23110" t="s">
        <v>33983</v>
      </c>
      <c r="C23110">
        <f>0</f>
        <v>0</v>
      </c>
      <c r="D23110">
        <v>0.88322321861200004</v>
      </c>
      <c r="E23110">
        <v>24</v>
      </c>
    </row>
    <row r="23111" spans="1:5">
      <c r="A23111" t="s">
        <v>48016</v>
      </c>
      <c r="B23111" t="s">
        <v>33981</v>
      </c>
      <c r="C23111">
        <v>0.426117317434</v>
      </c>
      <c r="D23111">
        <v>0.88322321861200004</v>
      </c>
      <c r="E23111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72EB5-2ABF-4437-934D-6BA490A11C1F}">
  <dimension ref="A1:F5064"/>
  <sheetViews>
    <sheetView workbookViewId="0">
      <selection activeCell="C5" sqref="C5"/>
    </sheetView>
  </sheetViews>
  <sheetFormatPr defaultRowHeight="15"/>
  <cols>
    <col min="1" max="1" width="10.5703125" bestFit="1" customWidth="1"/>
    <col min="2" max="2" width="20.140625" bestFit="1" customWidth="1"/>
    <col min="3" max="3" width="12.42578125" bestFit="1" customWidth="1"/>
    <col min="4" max="5" width="11.85546875" bestFit="1" customWidth="1"/>
    <col min="6" max="6" width="16.7109375" bestFit="1" customWidth="1"/>
  </cols>
  <sheetData>
    <row r="1" spans="1:6">
      <c r="A1" s="2" t="s">
        <v>5</v>
      </c>
      <c r="B1" s="2" t="s">
        <v>6</v>
      </c>
      <c r="C1" s="2" t="s">
        <v>7</v>
      </c>
      <c r="D1" s="2" t="s">
        <v>34501</v>
      </c>
      <c r="E1" s="2" t="s">
        <v>8</v>
      </c>
      <c r="F1" s="2" t="s">
        <v>9</v>
      </c>
    </row>
    <row r="2" spans="1:6">
      <c r="A2" t="s">
        <v>48017</v>
      </c>
      <c r="B2" t="s">
        <v>48018</v>
      </c>
      <c r="C2">
        <v>0</v>
      </c>
      <c r="D2">
        <v>0.565316026554742</v>
      </c>
      <c r="E2">
        <v>0.88113466762075399</v>
      </c>
      <c r="F2">
        <v>9.56314406950899</v>
      </c>
    </row>
    <row r="3" spans="1:6">
      <c r="A3" t="s">
        <v>48017</v>
      </c>
      <c r="B3" t="s">
        <v>48019</v>
      </c>
      <c r="C3">
        <v>0.64273466762075404</v>
      </c>
      <c r="D3">
        <v>0.565316026554742</v>
      </c>
      <c r="E3">
        <v>0.88113466762075399</v>
      </c>
      <c r="F3">
        <v>9.56314406950899</v>
      </c>
    </row>
    <row r="4" spans="1:6">
      <c r="A4" t="s">
        <v>48017</v>
      </c>
      <c r="B4" t="s">
        <v>48020</v>
      </c>
      <c r="C4">
        <v>0</v>
      </c>
      <c r="D4">
        <v>0.565316026554742</v>
      </c>
      <c r="E4">
        <v>0.88113466762075399</v>
      </c>
      <c r="F4">
        <v>9.56314406950899</v>
      </c>
    </row>
    <row r="5" spans="1:6">
      <c r="A5" t="s">
        <v>48017</v>
      </c>
      <c r="B5" t="s">
        <v>48021</v>
      </c>
      <c r="C5">
        <v>0</v>
      </c>
      <c r="D5">
        <v>0.565316026554742</v>
      </c>
      <c r="E5">
        <v>0.88113466762075399</v>
      </c>
      <c r="F5">
        <v>9.56314406950899</v>
      </c>
    </row>
    <row r="6" spans="1:6">
      <c r="A6" t="s">
        <v>48022</v>
      </c>
      <c r="B6" t="s">
        <v>48023</v>
      </c>
      <c r="C6">
        <v>0</v>
      </c>
      <c r="D6">
        <v>0.17186941979164999</v>
      </c>
      <c r="E6">
        <v>0.98101554885777797</v>
      </c>
      <c r="F6">
        <v>12.3418872499494</v>
      </c>
    </row>
    <row r="7" spans="1:6">
      <c r="A7" t="s">
        <v>48022</v>
      </c>
      <c r="B7" t="s">
        <v>48024</v>
      </c>
      <c r="C7">
        <v>0.40350683161780299</v>
      </c>
      <c r="D7">
        <v>0.17186941979164999</v>
      </c>
      <c r="E7">
        <v>0.98101554885777797</v>
      </c>
      <c r="F7">
        <v>12.3418872499494</v>
      </c>
    </row>
    <row r="8" spans="1:6">
      <c r="A8" t="s">
        <v>48022</v>
      </c>
      <c r="B8" t="s">
        <v>48025</v>
      </c>
      <c r="C8">
        <v>0</v>
      </c>
      <c r="D8">
        <v>0.17186941979164999</v>
      </c>
      <c r="E8">
        <v>0.98101554885777797</v>
      </c>
      <c r="F8">
        <v>12.3418872499494</v>
      </c>
    </row>
    <row r="9" spans="1:6">
      <c r="A9" t="s">
        <v>48022</v>
      </c>
      <c r="B9" t="s">
        <v>48026</v>
      </c>
      <c r="C9">
        <v>0.50724321587565901</v>
      </c>
      <c r="D9">
        <v>0.17186941979164999</v>
      </c>
      <c r="E9">
        <v>0.98101554885777797</v>
      </c>
      <c r="F9">
        <v>12.3418872499494</v>
      </c>
    </row>
    <row r="10" spans="1:6">
      <c r="A10" t="s">
        <v>48022</v>
      </c>
      <c r="B10" t="s">
        <v>48027</v>
      </c>
      <c r="C10">
        <v>0</v>
      </c>
      <c r="D10">
        <v>0.17186941979164999</v>
      </c>
      <c r="E10">
        <v>0.98101554885777797</v>
      </c>
      <c r="F10">
        <v>12.3418872499494</v>
      </c>
    </row>
    <row r="11" spans="1:6">
      <c r="A11" t="s">
        <v>48022</v>
      </c>
      <c r="B11" t="s">
        <v>48028</v>
      </c>
      <c r="C11">
        <v>0</v>
      </c>
      <c r="D11">
        <v>0.17186941979164999</v>
      </c>
      <c r="E11">
        <v>0.98101554885777797</v>
      </c>
      <c r="F11">
        <v>12.3418872499494</v>
      </c>
    </row>
    <row r="12" spans="1:6">
      <c r="A12" t="s">
        <v>48029</v>
      </c>
      <c r="B12" t="s">
        <v>48030</v>
      </c>
      <c r="C12">
        <v>0.30438212517624402</v>
      </c>
      <c r="D12">
        <v>0.71531392417449302</v>
      </c>
      <c r="E12">
        <v>0.99938146628855895</v>
      </c>
      <c r="F12">
        <v>2.5847645989088699</v>
      </c>
    </row>
    <row r="13" spans="1:6">
      <c r="A13" t="s">
        <v>48029</v>
      </c>
      <c r="B13" t="s">
        <v>48031</v>
      </c>
      <c r="C13">
        <v>0.77035568223464801</v>
      </c>
      <c r="D13">
        <v>0.71531392417449302</v>
      </c>
      <c r="E13">
        <v>0.99938146628855895</v>
      </c>
      <c r="F13">
        <v>2.5847645989088699</v>
      </c>
    </row>
    <row r="14" spans="1:6">
      <c r="A14" t="s">
        <v>48029</v>
      </c>
      <c r="B14" t="s">
        <v>48032</v>
      </c>
      <c r="C14">
        <v>0</v>
      </c>
      <c r="D14">
        <v>0.71531392417449302</v>
      </c>
      <c r="E14">
        <v>0.99938146628855895</v>
      </c>
      <c r="F14">
        <v>2.5847645989088699</v>
      </c>
    </row>
    <row r="15" spans="1:6">
      <c r="A15" t="s">
        <v>48029</v>
      </c>
      <c r="B15" t="s">
        <v>48033</v>
      </c>
      <c r="C15">
        <v>0</v>
      </c>
      <c r="D15">
        <v>0.71531392417449302</v>
      </c>
      <c r="E15">
        <v>0.99938146628855895</v>
      </c>
      <c r="F15">
        <v>2.5847645989088699</v>
      </c>
    </row>
    <row r="16" spans="1:6">
      <c r="A16" t="s">
        <v>48034</v>
      </c>
      <c r="B16" t="s">
        <v>48035</v>
      </c>
      <c r="C16">
        <v>0.89049355777635497</v>
      </c>
      <c r="D16">
        <v>0.19510538043460099</v>
      </c>
      <c r="E16">
        <v>0.93232974307967897</v>
      </c>
      <c r="F16">
        <v>1.9397858153162199E-2</v>
      </c>
    </row>
    <row r="17" spans="1:6">
      <c r="A17" t="s">
        <v>48034</v>
      </c>
      <c r="B17" t="s">
        <v>48036</v>
      </c>
      <c r="C17">
        <v>0</v>
      </c>
      <c r="D17">
        <v>0.19510538043460099</v>
      </c>
      <c r="E17">
        <v>0.93232974307967897</v>
      </c>
      <c r="F17">
        <v>1.9397858153162199E-2</v>
      </c>
    </row>
    <row r="18" spans="1:6">
      <c r="A18" t="s">
        <v>48034</v>
      </c>
      <c r="B18" t="s">
        <v>48037</v>
      </c>
      <c r="C18">
        <v>0.84070504720658501</v>
      </c>
      <c r="D18">
        <v>0.19510538043460099</v>
      </c>
      <c r="E18">
        <v>0.93232974307967897</v>
      </c>
      <c r="F18">
        <v>1.9397858153162199E-2</v>
      </c>
    </row>
    <row r="19" spans="1:6">
      <c r="A19" t="s">
        <v>48034</v>
      </c>
      <c r="B19" t="s">
        <v>48038</v>
      </c>
      <c r="C19">
        <v>0</v>
      </c>
      <c r="D19">
        <v>0.19510538043460099</v>
      </c>
      <c r="E19">
        <v>0.93232974307967897</v>
      </c>
      <c r="F19">
        <v>1.9397858153162199E-2</v>
      </c>
    </row>
    <row r="20" spans="1:6">
      <c r="A20" t="s">
        <v>48034</v>
      </c>
      <c r="B20" t="s">
        <v>48039</v>
      </c>
      <c r="C20">
        <v>0</v>
      </c>
      <c r="D20">
        <v>0.19510538043460099</v>
      </c>
      <c r="E20">
        <v>0.93232974307967897</v>
      </c>
      <c r="F20">
        <v>1.9397858153162199E-2</v>
      </c>
    </row>
    <row r="21" spans="1:6">
      <c r="A21" t="s">
        <v>48040</v>
      </c>
      <c r="B21" t="s">
        <v>48041</v>
      </c>
      <c r="C21">
        <v>0</v>
      </c>
      <c r="D21">
        <v>0.462372904496134</v>
      </c>
      <c r="E21" t="s">
        <v>106</v>
      </c>
      <c r="F21">
        <v>1.5275813295615199</v>
      </c>
    </row>
    <row r="22" spans="1:6">
      <c r="A22" t="s">
        <v>48040</v>
      </c>
      <c r="B22" t="s">
        <v>48042</v>
      </c>
      <c r="C22">
        <v>0</v>
      </c>
      <c r="D22">
        <v>0.462372904496134</v>
      </c>
      <c r="E22" t="s">
        <v>106</v>
      </c>
      <c r="F22">
        <v>1.5275813295615199</v>
      </c>
    </row>
    <row r="23" spans="1:6">
      <c r="A23" t="s">
        <v>48040</v>
      </c>
      <c r="B23" t="s">
        <v>48043</v>
      </c>
      <c r="C23">
        <v>0</v>
      </c>
      <c r="D23">
        <v>0.462372904496134</v>
      </c>
      <c r="E23" t="s">
        <v>106</v>
      </c>
      <c r="F23">
        <v>1.5275813295615199</v>
      </c>
    </row>
    <row r="24" spans="1:6">
      <c r="A24" t="s">
        <v>48040</v>
      </c>
      <c r="B24" t="s">
        <v>48044</v>
      </c>
      <c r="C24">
        <v>0</v>
      </c>
      <c r="D24">
        <v>0.462372904496134</v>
      </c>
      <c r="E24" t="s">
        <v>106</v>
      </c>
      <c r="F24">
        <v>1.5275813295615199</v>
      </c>
    </row>
    <row r="25" spans="1:6">
      <c r="A25" t="s">
        <v>48040</v>
      </c>
      <c r="B25" t="s">
        <v>48045</v>
      </c>
      <c r="C25">
        <v>0</v>
      </c>
      <c r="D25">
        <v>0.462372904496134</v>
      </c>
      <c r="E25" t="s">
        <v>106</v>
      </c>
      <c r="F25">
        <v>1.5275813295615199</v>
      </c>
    </row>
    <row r="26" spans="1:6">
      <c r="A26" t="s">
        <v>48040</v>
      </c>
      <c r="B26" t="s">
        <v>48046</v>
      </c>
      <c r="C26">
        <v>0</v>
      </c>
      <c r="D26">
        <v>0.462372904496134</v>
      </c>
      <c r="E26" t="s">
        <v>106</v>
      </c>
      <c r="F26">
        <v>1.5275813295615199</v>
      </c>
    </row>
    <row r="27" spans="1:6">
      <c r="A27" t="s">
        <v>48040</v>
      </c>
      <c r="B27" t="s">
        <v>48047</v>
      </c>
      <c r="C27">
        <v>0</v>
      </c>
      <c r="D27">
        <v>0.462372904496134</v>
      </c>
      <c r="E27" t="s">
        <v>106</v>
      </c>
      <c r="F27">
        <v>1.5275813295615199</v>
      </c>
    </row>
    <row r="28" spans="1:6">
      <c r="A28" t="s">
        <v>48040</v>
      </c>
      <c r="B28" t="s">
        <v>48048</v>
      </c>
      <c r="C28">
        <v>0</v>
      </c>
      <c r="D28">
        <v>0.462372904496134</v>
      </c>
      <c r="E28" t="s">
        <v>106</v>
      </c>
      <c r="F28">
        <v>1.5275813295615199</v>
      </c>
    </row>
    <row r="29" spans="1:6">
      <c r="A29" t="s">
        <v>48040</v>
      </c>
      <c r="B29" t="s">
        <v>48049</v>
      </c>
      <c r="C29">
        <v>0</v>
      </c>
      <c r="D29">
        <v>0.462372904496134</v>
      </c>
      <c r="E29" t="s">
        <v>106</v>
      </c>
      <c r="F29">
        <v>1.5275813295615199</v>
      </c>
    </row>
    <row r="30" spans="1:6">
      <c r="A30" t="s">
        <v>48040</v>
      </c>
      <c r="B30" t="s">
        <v>48050</v>
      </c>
      <c r="C30">
        <v>0</v>
      </c>
      <c r="D30">
        <v>0.462372904496134</v>
      </c>
      <c r="E30" t="s">
        <v>106</v>
      </c>
      <c r="F30">
        <v>1.5275813295615199</v>
      </c>
    </row>
    <row r="31" spans="1:6">
      <c r="A31" t="s">
        <v>48040</v>
      </c>
      <c r="B31" t="s">
        <v>48051</v>
      </c>
      <c r="C31">
        <v>0</v>
      </c>
      <c r="D31">
        <v>0.462372904496134</v>
      </c>
      <c r="E31" t="s">
        <v>106</v>
      </c>
      <c r="F31">
        <v>1.5275813295615199</v>
      </c>
    </row>
    <row r="32" spans="1:6">
      <c r="A32" t="s">
        <v>48052</v>
      </c>
      <c r="B32" t="s">
        <v>48053</v>
      </c>
      <c r="C32">
        <v>0</v>
      </c>
      <c r="D32">
        <v>0.20167919730428499</v>
      </c>
      <c r="E32">
        <v>0.982049815526847</v>
      </c>
      <c r="F32">
        <v>3.4431198221863002</v>
      </c>
    </row>
    <row r="33" spans="1:6">
      <c r="A33" t="s">
        <v>48052</v>
      </c>
      <c r="B33" t="s">
        <v>48054</v>
      </c>
      <c r="C33">
        <v>0.27581631842545201</v>
      </c>
      <c r="D33">
        <v>0.20167919730428499</v>
      </c>
      <c r="E33">
        <v>0.982049815526847</v>
      </c>
      <c r="F33">
        <v>3.4431198221863002</v>
      </c>
    </row>
    <row r="34" spans="1:6">
      <c r="A34" t="s">
        <v>48052</v>
      </c>
      <c r="B34" t="s">
        <v>48055</v>
      </c>
      <c r="C34">
        <v>0</v>
      </c>
      <c r="D34">
        <v>0.20167919730428499</v>
      </c>
      <c r="E34">
        <v>0.982049815526847</v>
      </c>
      <c r="F34">
        <v>3.4431198221863002</v>
      </c>
    </row>
    <row r="35" spans="1:6">
      <c r="A35" t="s">
        <v>48052</v>
      </c>
      <c r="B35" t="s">
        <v>48056</v>
      </c>
      <c r="C35">
        <v>0</v>
      </c>
      <c r="D35">
        <v>0.20167919730428499</v>
      </c>
      <c r="E35">
        <v>0.982049815526847</v>
      </c>
      <c r="F35">
        <v>3.4431198221863002</v>
      </c>
    </row>
    <row r="36" spans="1:6">
      <c r="A36" t="s">
        <v>48052</v>
      </c>
      <c r="B36" t="s">
        <v>48057</v>
      </c>
      <c r="C36">
        <v>0</v>
      </c>
      <c r="D36">
        <v>0.20167919730428499</v>
      </c>
      <c r="E36">
        <v>0.982049815526847</v>
      </c>
      <c r="F36">
        <v>3.4431198221863002</v>
      </c>
    </row>
    <row r="37" spans="1:6">
      <c r="A37" t="s">
        <v>48052</v>
      </c>
      <c r="B37" t="s">
        <v>48058</v>
      </c>
      <c r="C37">
        <v>0.43048909755647102</v>
      </c>
      <c r="D37">
        <v>0.20167919730428499</v>
      </c>
      <c r="E37">
        <v>0.982049815526847</v>
      </c>
      <c r="F37">
        <v>3.4431198221863002</v>
      </c>
    </row>
    <row r="38" spans="1:6">
      <c r="A38" t="s">
        <v>48052</v>
      </c>
      <c r="B38" t="s">
        <v>48059</v>
      </c>
      <c r="C38">
        <v>0</v>
      </c>
      <c r="D38">
        <v>0.20167919730428499</v>
      </c>
      <c r="E38">
        <v>0.982049815526847</v>
      </c>
      <c r="F38">
        <v>3.4431198221863002</v>
      </c>
    </row>
    <row r="39" spans="1:6">
      <c r="A39" t="s">
        <v>48052</v>
      </c>
      <c r="B39" t="s">
        <v>48060</v>
      </c>
      <c r="C39">
        <v>0</v>
      </c>
      <c r="D39">
        <v>0.20167919730428499</v>
      </c>
      <c r="E39">
        <v>0.982049815526847</v>
      </c>
      <c r="F39">
        <v>3.4431198221863002</v>
      </c>
    </row>
    <row r="40" spans="1:6">
      <c r="A40" t="s">
        <v>48052</v>
      </c>
      <c r="B40" t="s">
        <v>48061</v>
      </c>
      <c r="C40">
        <v>0</v>
      </c>
      <c r="D40">
        <v>0.20167919730428499</v>
      </c>
      <c r="E40">
        <v>0.982049815526847</v>
      </c>
      <c r="F40">
        <v>3.4431198221863002</v>
      </c>
    </row>
    <row r="41" spans="1:6">
      <c r="A41" t="s">
        <v>48052</v>
      </c>
      <c r="B41" t="s">
        <v>48062</v>
      </c>
      <c r="C41">
        <v>0</v>
      </c>
      <c r="D41">
        <v>0.20167919730428499</v>
      </c>
      <c r="E41">
        <v>0.982049815526847</v>
      </c>
      <c r="F41">
        <v>3.4431198221863002</v>
      </c>
    </row>
    <row r="42" spans="1:6">
      <c r="A42" t="s">
        <v>48052</v>
      </c>
      <c r="B42" t="s">
        <v>48063</v>
      </c>
      <c r="C42">
        <v>0</v>
      </c>
      <c r="D42">
        <v>0.20167919730428499</v>
      </c>
      <c r="E42">
        <v>0.982049815526847</v>
      </c>
      <c r="F42">
        <v>3.4431198221863002</v>
      </c>
    </row>
    <row r="43" spans="1:6">
      <c r="A43" t="s">
        <v>48064</v>
      </c>
      <c r="B43" t="s">
        <v>48065</v>
      </c>
      <c r="C43">
        <v>0</v>
      </c>
      <c r="D43">
        <v>0.88268088960749802</v>
      </c>
      <c r="E43">
        <v>0.96847262156954395</v>
      </c>
      <c r="F43">
        <v>10.8288543140028</v>
      </c>
    </row>
    <row r="44" spans="1:6">
      <c r="A44" t="s">
        <v>48064</v>
      </c>
      <c r="B44" t="s">
        <v>48066</v>
      </c>
      <c r="C44">
        <v>0.25457999469471698</v>
      </c>
      <c r="D44">
        <v>0.88268088960749802</v>
      </c>
      <c r="E44">
        <v>0.96847262156954395</v>
      </c>
      <c r="F44">
        <v>10.8288543140028</v>
      </c>
    </row>
    <row r="45" spans="1:6">
      <c r="A45" t="s">
        <v>48064</v>
      </c>
      <c r="B45" t="s">
        <v>48067</v>
      </c>
      <c r="C45">
        <v>0</v>
      </c>
      <c r="D45">
        <v>0.88268088960749802</v>
      </c>
      <c r="E45">
        <v>0.96847262156954395</v>
      </c>
      <c r="F45">
        <v>10.8288543140028</v>
      </c>
    </row>
    <row r="46" spans="1:6">
      <c r="A46" t="s">
        <v>48064</v>
      </c>
      <c r="B46" t="s">
        <v>48068</v>
      </c>
      <c r="C46">
        <v>0</v>
      </c>
      <c r="D46">
        <v>0.88268088960749802</v>
      </c>
      <c r="E46">
        <v>0.96847262156954395</v>
      </c>
      <c r="F46">
        <v>10.8288543140028</v>
      </c>
    </row>
    <row r="47" spans="1:6">
      <c r="A47" t="s">
        <v>48064</v>
      </c>
      <c r="B47" t="s">
        <v>48069</v>
      </c>
      <c r="C47">
        <v>0</v>
      </c>
      <c r="D47">
        <v>0.88268088960749802</v>
      </c>
      <c r="E47">
        <v>0.96847262156954395</v>
      </c>
      <c r="F47">
        <v>10.8288543140028</v>
      </c>
    </row>
    <row r="48" spans="1:6">
      <c r="A48" t="s">
        <v>48064</v>
      </c>
      <c r="B48" t="s">
        <v>48070</v>
      </c>
      <c r="C48">
        <v>0.48574406127987002</v>
      </c>
      <c r="D48">
        <v>0.88268088960749802</v>
      </c>
      <c r="E48">
        <v>0.96847262156954395</v>
      </c>
      <c r="F48">
        <v>10.8288543140028</v>
      </c>
    </row>
    <row r="49" spans="1:6">
      <c r="A49" t="s">
        <v>48064</v>
      </c>
      <c r="B49" t="s">
        <v>48071</v>
      </c>
      <c r="C49">
        <v>0</v>
      </c>
      <c r="D49">
        <v>0.88268088960749802</v>
      </c>
      <c r="E49">
        <v>0.96847262156954395</v>
      </c>
      <c r="F49">
        <v>10.8288543140028</v>
      </c>
    </row>
    <row r="50" spans="1:6">
      <c r="A50" t="s">
        <v>48064</v>
      </c>
      <c r="B50" t="s">
        <v>48072</v>
      </c>
      <c r="C50">
        <v>0</v>
      </c>
      <c r="D50">
        <v>0.88268088960749802</v>
      </c>
      <c r="E50">
        <v>0.96847262156954395</v>
      </c>
      <c r="F50">
        <v>10.8288543140028</v>
      </c>
    </row>
    <row r="51" spans="1:6">
      <c r="A51" t="s">
        <v>48064</v>
      </c>
      <c r="B51" t="s">
        <v>48073</v>
      </c>
      <c r="C51">
        <v>0</v>
      </c>
      <c r="D51">
        <v>0.88268088960749802</v>
      </c>
      <c r="E51">
        <v>0.96847262156954395</v>
      </c>
      <c r="F51">
        <v>10.8288543140028</v>
      </c>
    </row>
    <row r="52" spans="1:6">
      <c r="A52" t="s">
        <v>48064</v>
      </c>
      <c r="B52" t="s">
        <v>48074</v>
      </c>
      <c r="C52">
        <v>0</v>
      </c>
      <c r="D52">
        <v>0.88268088960749802</v>
      </c>
      <c r="E52">
        <v>0.96847262156954395</v>
      </c>
      <c r="F52">
        <v>10.8288543140028</v>
      </c>
    </row>
    <row r="53" spans="1:6">
      <c r="A53" t="s">
        <v>48064</v>
      </c>
      <c r="B53" t="s">
        <v>48075</v>
      </c>
      <c r="C53">
        <v>0</v>
      </c>
      <c r="D53">
        <v>0.88268088960749802</v>
      </c>
      <c r="E53">
        <v>0.96847262156954395</v>
      </c>
      <c r="F53">
        <v>10.8288543140028</v>
      </c>
    </row>
    <row r="54" spans="1:6">
      <c r="A54" t="s">
        <v>48064</v>
      </c>
      <c r="B54" t="s">
        <v>48076</v>
      </c>
      <c r="C54">
        <v>0</v>
      </c>
      <c r="D54">
        <v>0.88268088960749802</v>
      </c>
      <c r="E54">
        <v>0.96847262156954395</v>
      </c>
      <c r="F54">
        <v>10.8288543140028</v>
      </c>
    </row>
    <row r="55" spans="1:6">
      <c r="A55" t="s">
        <v>48077</v>
      </c>
      <c r="B55" t="s">
        <v>48078</v>
      </c>
      <c r="C55">
        <v>0</v>
      </c>
      <c r="D55">
        <v>0.62404257161960297</v>
      </c>
      <c r="E55">
        <v>0.845268844373676</v>
      </c>
      <c r="F55">
        <v>11.4883814912103</v>
      </c>
    </row>
    <row r="56" spans="1:6">
      <c r="A56" t="s">
        <v>48077</v>
      </c>
      <c r="B56" t="s">
        <v>48079</v>
      </c>
      <c r="C56">
        <v>0</v>
      </c>
      <c r="D56">
        <v>0.62404257161960297</v>
      </c>
      <c r="E56">
        <v>0.845268844373676</v>
      </c>
      <c r="F56">
        <v>11.4883814912103</v>
      </c>
    </row>
    <row r="57" spans="1:6">
      <c r="A57" t="s">
        <v>48077</v>
      </c>
      <c r="B57" t="s">
        <v>48080</v>
      </c>
      <c r="C57">
        <v>0</v>
      </c>
      <c r="D57">
        <v>0.62404257161960297</v>
      </c>
      <c r="E57">
        <v>0.845268844373676</v>
      </c>
      <c r="F57">
        <v>11.4883814912103</v>
      </c>
    </row>
    <row r="58" spans="1:6">
      <c r="A58" t="s">
        <v>48077</v>
      </c>
      <c r="B58" t="s">
        <v>48081</v>
      </c>
      <c r="C58">
        <v>0</v>
      </c>
      <c r="D58">
        <v>0.62404257161960297</v>
      </c>
      <c r="E58">
        <v>0.845268844373676</v>
      </c>
      <c r="F58">
        <v>11.4883814912103</v>
      </c>
    </row>
    <row r="59" spans="1:6">
      <c r="A59" t="s">
        <v>48077</v>
      </c>
      <c r="B59" t="s">
        <v>48082</v>
      </c>
      <c r="C59">
        <v>0</v>
      </c>
      <c r="D59">
        <v>0.62404257161960297</v>
      </c>
      <c r="E59">
        <v>0.845268844373676</v>
      </c>
      <c r="F59">
        <v>11.4883814912103</v>
      </c>
    </row>
    <row r="60" spans="1:6">
      <c r="A60" t="s">
        <v>48077</v>
      </c>
      <c r="B60" t="s">
        <v>48083</v>
      </c>
      <c r="C60">
        <v>0</v>
      </c>
      <c r="D60">
        <v>0.62404257161960297</v>
      </c>
      <c r="E60">
        <v>0.845268844373676</v>
      </c>
      <c r="F60">
        <v>11.4883814912103</v>
      </c>
    </row>
    <row r="61" spans="1:6">
      <c r="A61" t="s">
        <v>48077</v>
      </c>
      <c r="B61" t="s">
        <v>48084</v>
      </c>
      <c r="C61">
        <v>0</v>
      </c>
      <c r="D61">
        <v>0.62404257161960297</v>
      </c>
      <c r="E61">
        <v>0.845268844373676</v>
      </c>
      <c r="F61">
        <v>11.4883814912103</v>
      </c>
    </row>
    <row r="62" spans="1:6">
      <c r="A62" t="s">
        <v>48077</v>
      </c>
      <c r="B62" t="s">
        <v>48085</v>
      </c>
      <c r="C62">
        <v>0.235673701225384</v>
      </c>
      <c r="D62">
        <v>0.62404257161960297</v>
      </c>
      <c r="E62">
        <v>0.845268844373676</v>
      </c>
      <c r="F62">
        <v>11.4883814912103</v>
      </c>
    </row>
    <row r="63" spans="1:6">
      <c r="A63" t="s">
        <v>48077</v>
      </c>
      <c r="B63" t="s">
        <v>48086</v>
      </c>
      <c r="C63">
        <v>0</v>
      </c>
      <c r="D63">
        <v>0.62404257161960297</v>
      </c>
      <c r="E63">
        <v>0.845268844373676</v>
      </c>
      <c r="F63">
        <v>11.4883814912103</v>
      </c>
    </row>
    <row r="64" spans="1:6">
      <c r="A64" t="s">
        <v>48077</v>
      </c>
      <c r="B64" t="s">
        <v>48087</v>
      </c>
      <c r="C64">
        <v>0</v>
      </c>
      <c r="D64">
        <v>0.62404257161960297</v>
      </c>
      <c r="E64">
        <v>0.845268844373676</v>
      </c>
      <c r="F64">
        <v>11.4883814912103</v>
      </c>
    </row>
    <row r="65" spans="1:6">
      <c r="A65" t="s">
        <v>48077</v>
      </c>
      <c r="B65" t="s">
        <v>48088</v>
      </c>
      <c r="C65">
        <v>0.134989550384151</v>
      </c>
      <c r="D65">
        <v>0.62404257161960297</v>
      </c>
      <c r="E65">
        <v>0.845268844373676</v>
      </c>
      <c r="F65">
        <v>11.4883814912103</v>
      </c>
    </row>
    <row r="66" spans="1:6">
      <c r="A66" t="s">
        <v>48077</v>
      </c>
      <c r="B66" t="s">
        <v>48089</v>
      </c>
      <c r="C66">
        <v>0</v>
      </c>
      <c r="D66">
        <v>0.62404257161960297</v>
      </c>
      <c r="E66">
        <v>0.845268844373676</v>
      </c>
      <c r="F66">
        <v>11.4883814912103</v>
      </c>
    </row>
    <row r="67" spans="1:6">
      <c r="A67" t="s">
        <v>48090</v>
      </c>
      <c r="B67" t="s">
        <v>48091</v>
      </c>
      <c r="C67">
        <v>0</v>
      </c>
      <c r="D67">
        <v>0.39725432504257002</v>
      </c>
      <c r="E67">
        <v>0.99966081479339897</v>
      </c>
      <c r="F67">
        <v>7.95312184279652</v>
      </c>
    </row>
    <row r="68" spans="1:6">
      <c r="A68" t="s">
        <v>48090</v>
      </c>
      <c r="B68" t="s">
        <v>48092</v>
      </c>
      <c r="C68">
        <v>0</v>
      </c>
      <c r="D68">
        <v>0.39725432504257002</v>
      </c>
      <c r="E68">
        <v>0.99966081479339897</v>
      </c>
      <c r="F68">
        <v>7.95312184279652</v>
      </c>
    </row>
    <row r="69" spans="1:6">
      <c r="A69" t="s">
        <v>48090</v>
      </c>
      <c r="B69" t="s">
        <v>48093</v>
      </c>
      <c r="C69">
        <v>0</v>
      </c>
      <c r="D69">
        <v>0.39725432504257002</v>
      </c>
      <c r="E69">
        <v>0.99966081479339897</v>
      </c>
      <c r="F69">
        <v>7.95312184279652</v>
      </c>
    </row>
    <row r="70" spans="1:6">
      <c r="A70" t="s">
        <v>48090</v>
      </c>
      <c r="B70" t="s">
        <v>48094</v>
      </c>
      <c r="C70">
        <v>0.29554250448664399</v>
      </c>
      <c r="D70">
        <v>0.39725432504257002</v>
      </c>
      <c r="E70">
        <v>0.99966081479339897</v>
      </c>
      <c r="F70">
        <v>7.95312184279652</v>
      </c>
    </row>
    <row r="71" spans="1:6">
      <c r="A71" t="s">
        <v>48090</v>
      </c>
      <c r="B71" t="s">
        <v>48095</v>
      </c>
      <c r="C71">
        <v>0</v>
      </c>
      <c r="D71">
        <v>0.39725432504257002</v>
      </c>
      <c r="E71">
        <v>0.99966081479339897</v>
      </c>
      <c r="F71">
        <v>7.95312184279652</v>
      </c>
    </row>
    <row r="72" spans="1:6">
      <c r="A72" t="s">
        <v>48090</v>
      </c>
      <c r="B72" t="s">
        <v>48096</v>
      </c>
      <c r="C72">
        <v>0</v>
      </c>
      <c r="D72">
        <v>0.39725432504257002</v>
      </c>
      <c r="E72">
        <v>0.99966081479339897</v>
      </c>
      <c r="F72">
        <v>7.95312184279652</v>
      </c>
    </row>
    <row r="73" spans="1:6">
      <c r="A73" t="s">
        <v>48090</v>
      </c>
      <c r="B73" t="s">
        <v>48097</v>
      </c>
      <c r="C73">
        <v>0</v>
      </c>
      <c r="D73">
        <v>0.39725432504257002</v>
      </c>
      <c r="E73">
        <v>0.99966081479339897</v>
      </c>
      <c r="F73">
        <v>7.95312184279652</v>
      </c>
    </row>
    <row r="74" spans="1:6">
      <c r="A74" t="s">
        <v>48090</v>
      </c>
      <c r="B74" t="s">
        <v>48098</v>
      </c>
      <c r="C74">
        <v>0</v>
      </c>
      <c r="D74">
        <v>0.39725432504257002</v>
      </c>
      <c r="E74">
        <v>0.99966081479339897</v>
      </c>
      <c r="F74">
        <v>7.95312184279652</v>
      </c>
    </row>
    <row r="75" spans="1:6">
      <c r="A75" t="s">
        <v>48090</v>
      </c>
      <c r="B75" t="s">
        <v>48099</v>
      </c>
      <c r="C75">
        <v>0</v>
      </c>
      <c r="D75">
        <v>0.39725432504257002</v>
      </c>
      <c r="E75">
        <v>0.99966081479339897</v>
      </c>
      <c r="F75">
        <v>7.95312184279652</v>
      </c>
    </row>
    <row r="76" spans="1:6">
      <c r="A76" t="s">
        <v>48090</v>
      </c>
      <c r="B76" t="s">
        <v>48100</v>
      </c>
      <c r="C76">
        <v>0</v>
      </c>
      <c r="D76">
        <v>0.39725432504257002</v>
      </c>
      <c r="E76">
        <v>0.99966081479339897</v>
      </c>
      <c r="F76">
        <v>7.95312184279652</v>
      </c>
    </row>
    <row r="77" spans="1:6">
      <c r="A77" t="s">
        <v>48090</v>
      </c>
      <c r="B77" t="s">
        <v>48101</v>
      </c>
      <c r="C77">
        <v>0</v>
      </c>
      <c r="D77">
        <v>0.39725432504257002</v>
      </c>
      <c r="E77">
        <v>0.99966081479339897</v>
      </c>
      <c r="F77">
        <v>7.95312184279652</v>
      </c>
    </row>
    <row r="78" spans="1:6">
      <c r="A78" t="s">
        <v>48090</v>
      </c>
      <c r="B78" t="s">
        <v>48102</v>
      </c>
      <c r="C78">
        <v>0</v>
      </c>
      <c r="D78">
        <v>0.39725432504257002</v>
      </c>
      <c r="E78">
        <v>0.99966081479339897</v>
      </c>
      <c r="F78">
        <v>7.95312184279652</v>
      </c>
    </row>
    <row r="79" spans="1:6">
      <c r="A79" t="s">
        <v>48090</v>
      </c>
      <c r="B79" t="s">
        <v>48103</v>
      </c>
      <c r="C79">
        <v>0.819270317596556</v>
      </c>
      <c r="D79">
        <v>0.39725432504257002</v>
      </c>
      <c r="E79">
        <v>0.99966081479339897</v>
      </c>
      <c r="F79">
        <v>7.95312184279652</v>
      </c>
    </row>
    <row r="80" spans="1:6">
      <c r="A80" t="s">
        <v>48104</v>
      </c>
      <c r="B80" t="s">
        <v>48105</v>
      </c>
      <c r="C80">
        <v>0.90919206801140495</v>
      </c>
      <c r="D80">
        <v>0.87512122397306102</v>
      </c>
      <c r="E80">
        <v>0.94919206801140599</v>
      </c>
      <c r="F80">
        <v>17.690846635683901</v>
      </c>
    </row>
    <row r="81" spans="1:6">
      <c r="A81" t="s">
        <v>48104</v>
      </c>
      <c r="B81" t="s">
        <v>48106</v>
      </c>
      <c r="C81">
        <v>0</v>
      </c>
      <c r="D81">
        <v>0.87512122397306102</v>
      </c>
      <c r="E81">
        <v>0.94919206801140599</v>
      </c>
      <c r="F81">
        <v>17.690846635683901</v>
      </c>
    </row>
    <row r="82" spans="1:6">
      <c r="A82" t="s">
        <v>48107</v>
      </c>
      <c r="B82" t="s">
        <v>48108</v>
      </c>
      <c r="C82">
        <v>0.25471054644034102</v>
      </c>
      <c r="D82">
        <v>0.31685467158650499</v>
      </c>
      <c r="E82">
        <v>0.72361574147893504</v>
      </c>
      <c r="F82">
        <v>2.05617296423519</v>
      </c>
    </row>
    <row r="83" spans="1:6">
      <c r="A83" t="s">
        <v>48107</v>
      </c>
      <c r="B83" t="s">
        <v>48109</v>
      </c>
      <c r="C83">
        <v>0.30200979529253302</v>
      </c>
      <c r="D83">
        <v>0.31685467158650499</v>
      </c>
      <c r="E83">
        <v>0.72361574147893504</v>
      </c>
      <c r="F83">
        <v>2.05617296423519</v>
      </c>
    </row>
    <row r="84" spans="1:6">
      <c r="A84" t="s">
        <v>48107</v>
      </c>
      <c r="B84" t="s">
        <v>48110</v>
      </c>
      <c r="C84">
        <v>0</v>
      </c>
      <c r="D84">
        <v>0.31685467158650499</v>
      </c>
      <c r="E84">
        <v>0.72361574147893504</v>
      </c>
      <c r="F84">
        <v>2.05617296423519</v>
      </c>
    </row>
    <row r="85" spans="1:6">
      <c r="A85" t="s">
        <v>48111</v>
      </c>
      <c r="B85" t="s">
        <v>48112</v>
      </c>
      <c r="C85">
        <v>0.63577291170616401</v>
      </c>
      <c r="D85">
        <v>2.78742286500792E-2</v>
      </c>
      <c r="E85">
        <v>0.98165316477581799</v>
      </c>
      <c r="F85">
        <v>4.0153566377045804</v>
      </c>
    </row>
    <row r="86" spans="1:6">
      <c r="A86" t="s">
        <v>48111</v>
      </c>
      <c r="B86" t="s">
        <v>48113</v>
      </c>
      <c r="C86">
        <v>0</v>
      </c>
      <c r="D86">
        <v>2.78742286500792E-2</v>
      </c>
      <c r="E86">
        <v>0.98165316477581799</v>
      </c>
      <c r="F86">
        <v>4.0153566377045804</v>
      </c>
    </row>
    <row r="87" spans="1:6">
      <c r="A87" t="s">
        <v>48111</v>
      </c>
      <c r="B87" t="s">
        <v>48114</v>
      </c>
      <c r="C87">
        <v>0</v>
      </c>
      <c r="D87">
        <v>2.78742286500792E-2</v>
      </c>
      <c r="E87">
        <v>0.98165316477581799</v>
      </c>
      <c r="F87">
        <v>4.0153566377045804</v>
      </c>
    </row>
    <row r="88" spans="1:6">
      <c r="A88" t="s">
        <v>48111</v>
      </c>
      <c r="B88" t="s">
        <v>48115</v>
      </c>
      <c r="C88">
        <v>0.42135203134959998</v>
      </c>
      <c r="D88">
        <v>2.78742286500792E-2</v>
      </c>
      <c r="E88">
        <v>0.98165316477581799</v>
      </c>
      <c r="F88">
        <v>4.0153566377045804</v>
      </c>
    </row>
    <row r="89" spans="1:6">
      <c r="A89" t="s">
        <v>48116</v>
      </c>
      <c r="B89" t="s">
        <v>48117</v>
      </c>
      <c r="C89">
        <v>0.43007695911889399</v>
      </c>
      <c r="D89">
        <v>0.285889557273317</v>
      </c>
      <c r="E89">
        <v>0.96836406790161</v>
      </c>
      <c r="F89">
        <v>9.7183269347342893</v>
      </c>
    </row>
    <row r="90" spans="1:6">
      <c r="A90" t="s">
        <v>48116</v>
      </c>
      <c r="B90" t="s">
        <v>48118</v>
      </c>
      <c r="C90">
        <v>0</v>
      </c>
      <c r="D90">
        <v>0.285889557273317</v>
      </c>
      <c r="E90">
        <v>0.96836406790161</v>
      </c>
      <c r="F90">
        <v>9.7183269347342893</v>
      </c>
    </row>
    <row r="91" spans="1:6">
      <c r="A91" t="s">
        <v>48116</v>
      </c>
      <c r="B91" t="s">
        <v>48119</v>
      </c>
      <c r="C91">
        <v>0.52104350917141795</v>
      </c>
      <c r="D91">
        <v>0.285889557273317</v>
      </c>
      <c r="E91">
        <v>0.96836406790161</v>
      </c>
      <c r="F91">
        <v>9.7183269347342893</v>
      </c>
    </row>
    <row r="92" spans="1:6">
      <c r="A92" t="s">
        <v>48120</v>
      </c>
      <c r="B92" t="s">
        <v>48121</v>
      </c>
      <c r="C92">
        <v>0</v>
      </c>
      <c r="D92">
        <v>0.67771168772577395</v>
      </c>
      <c r="E92" t="s">
        <v>106</v>
      </c>
      <c r="F92">
        <v>16.871287128712801</v>
      </c>
    </row>
    <row r="93" spans="1:6">
      <c r="A93" t="s">
        <v>48120</v>
      </c>
      <c r="B93" t="s">
        <v>48122</v>
      </c>
      <c r="C93">
        <v>0</v>
      </c>
      <c r="D93">
        <v>0.67771168772577395</v>
      </c>
      <c r="E93" t="s">
        <v>106</v>
      </c>
      <c r="F93">
        <v>16.871287128712801</v>
      </c>
    </row>
    <row r="94" spans="1:6">
      <c r="A94" t="s">
        <v>48120</v>
      </c>
      <c r="B94" t="s">
        <v>48123</v>
      </c>
      <c r="C94">
        <v>0</v>
      </c>
      <c r="D94">
        <v>0.67771168772577395</v>
      </c>
      <c r="E94" t="s">
        <v>106</v>
      </c>
      <c r="F94">
        <v>16.871287128712801</v>
      </c>
    </row>
    <row r="95" spans="1:6">
      <c r="A95" t="s">
        <v>48120</v>
      </c>
      <c r="B95" t="s">
        <v>48124</v>
      </c>
      <c r="C95">
        <v>0</v>
      </c>
      <c r="D95">
        <v>0.67771168772577395</v>
      </c>
      <c r="E95" t="s">
        <v>106</v>
      </c>
      <c r="F95">
        <v>16.871287128712801</v>
      </c>
    </row>
    <row r="96" spans="1:6">
      <c r="A96" t="s">
        <v>48120</v>
      </c>
      <c r="B96" t="s">
        <v>48125</v>
      </c>
      <c r="C96">
        <v>0</v>
      </c>
      <c r="D96">
        <v>0.67771168772577395</v>
      </c>
      <c r="E96" t="s">
        <v>106</v>
      </c>
      <c r="F96">
        <v>16.871287128712801</v>
      </c>
    </row>
    <row r="97" spans="1:6">
      <c r="A97" t="s">
        <v>48120</v>
      </c>
      <c r="B97" t="s">
        <v>48126</v>
      </c>
      <c r="C97">
        <v>0</v>
      </c>
      <c r="D97">
        <v>0.67771168772577395</v>
      </c>
      <c r="E97" t="s">
        <v>106</v>
      </c>
      <c r="F97">
        <v>16.871287128712801</v>
      </c>
    </row>
    <row r="98" spans="1:6">
      <c r="A98" t="s">
        <v>48120</v>
      </c>
      <c r="B98" t="s">
        <v>48127</v>
      </c>
      <c r="C98">
        <v>0</v>
      </c>
      <c r="D98">
        <v>0.67771168772577395</v>
      </c>
      <c r="E98" t="s">
        <v>106</v>
      </c>
      <c r="F98">
        <v>16.871287128712801</v>
      </c>
    </row>
    <row r="99" spans="1:6">
      <c r="A99" t="s">
        <v>48120</v>
      </c>
      <c r="B99" t="s">
        <v>48128</v>
      </c>
      <c r="C99">
        <v>0</v>
      </c>
      <c r="D99">
        <v>0.67771168772577395</v>
      </c>
      <c r="E99" t="s">
        <v>106</v>
      </c>
      <c r="F99">
        <v>16.871287128712801</v>
      </c>
    </row>
    <row r="100" spans="1:6">
      <c r="A100" t="s">
        <v>48120</v>
      </c>
      <c r="B100" t="s">
        <v>48129</v>
      </c>
      <c r="C100">
        <v>0</v>
      </c>
      <c r="D100">
        <v>0.67771168772577395</v>
      </c>
      <c r="E100" t="s">
        <v>106</v>
      </c>
      <c r="F100">
        <v>16.871287128712801</v>
      </c>
    </row>
    <row r="101" spans="1:6">
      <c r="A101" t="s">
        <v>48120</v>
      </c>
      <c r="B101" t="s">
        <v>48130</v>
      </c>
      <c r="C101">
        <v>0</v>
      </c>
      <c r="D101">
        <v>0.67771168772577395</v>
      </c>
      <c r="E101" t="s">
        <v>106</v>
      </c>
      <c r="F101">
        <v>16.871287128712801</v>
      </c>
    </row>
    <row r="102" spans="1:6">
      <c r="A102" t="s">
        <v>48131</v>
      </c>
      <c r="B102" t="s">
        <v>48132</v>
      </c>
      <c r="C102">
        <v>0</v>
      </c>
      <c r="D102">
        <v>0.75060637812856201</v>
      </c>
      <c r="E102">
        <v>0.99681548977162804</v>
      </c>
      <c r="F102">
        <v>13.049909072539901</v>
      </c>
    </row>
    <row r="103" spans="1:6">
      <c r="A103" t="s">
        <v>48131</v>
      </c>
      <c r="B103" t="s">
        <v>48133</v>
      </c>
      <c r="C103">
        <v>0.42250789718745302</v>
      </c>
      <c r="D103">
        <v>0.75060637812856201</v>
      </c>
      <c r="E103">
        <v>0.99681548977162804</v>
      </c>
      <c r="F103">
        <v>13.049909072539901</v>
      </c>
    </row>
    <row r="104" spans="1:6">
      <c r="A104" t="s">
        <v>48131</v>
      </c>
      <c r="B104" t="s">
        <v>48134</v>
      </c>
      <c r="C104">
        <v>0.67890569350220598</v>
      </c>
      <c r="D104">
        <v>0.75060637812856201</v>
      </c>
      <c r="E104">
        <v>0.99681548977162804</v>
      </c>
      <c r="F104">
        <v>13.049909072539901</v>
      </c>
    </row>
    <row r="105" spans="1:6">
      <c r="A105" t="s">
        <v>48131</v>
      </c>
      <c r="B105" t="s">
        <v>48135</v>
      </c>
      <c r="C105">
        <v>0</v>
      </c>
      <c r="D105">
        <v>0.75060637812856201</v>
      </c>
      <c r="E105">
        <v>0.99681548977162804</v>
      </c>
      <c r="F105">
        <v>13.049909072539901</v>
      </c>
    </row>
    <row r="106" spans="1:6">
      <c r="A106" t="s">
        <v>48131</v>
      </c>
      <c r="B106" t="s">
        <v>48136</v>
      </c>
      <c r="C106">
        <v>0</v>
      </c>
      <c r="D106">
        <v>0.75060637812856201</v>
      </c>
      <c r="E106">
        <v>0.99681548977162804</v>
      </c>
      <c r="F106">
        <v>13.049909072539901</v>
      </c>
    </row>
    <row r="107" spans="1:6">
      <c r="A107" t="s">
        <v>48131</v>
      </c>
      <c r="B107" t="s">
        <v>48137</v>
      </c>
      <c r="C107">
        <v>0</v>
      </c>
      <c r="D107">
        <v>0.75060637812856201</v>
      </c>
      <c r="E107">
        <v>0.99681548977162804</v>
      </c>
      <c r="F107">
        <v>13.049909072539901</v>
      </c>
    </row>
    <row r="108" spans="1:6">
      <c r="A108" t="s">
        <v>48131</v>
      </c>
      <c r="B108" t="s">
        <v>48138</v>
      </c>
      <c r="C108">
        <v>0</v>
      </c>
      <c r="D108">
        <v>0.75060637812856201</v>
      </c>
      <c r="E108">
        <v>0.99681548977162804</v>
      </c>
      <c r="F108">
        <v>13.049909072539901</v>
      </c>
    </row>
    <row r="109" spans="1:6">
      <c r="A109" t="s">
        <v>48139</v>
      </c>
      <c r="B109" t="s">
        <v>48140</v>
      </c>
      <c r="C109">
        <v>0.66605463184184799</v>
      </c>
      <c r="D109">
        <v>0.70231957727467997</v>
      </c>
      <c r="E109">
        <v>0.960981283336099</v>
      </c>
      <c r="F109">
        <v>15.867447969286699</v>
      </c>
    </row>
    <row r="110" spans="1:6">
      <c r="A110" t="s">
        <v>48139</v>
      </c>
      <c r="B110" t="s">
        <v>48141</v>
      </c>
      <c r="C110">
        <v>0</v>
      </c>
      <c r="D110">
        <v>0.70231957727467997</v>
      </c>
      <c r="E110">
        <v>0.960981283336099</v>
      </c>
      <c r="F110">
        <v>15.867447969286699</v>
      </c>
    </row>
    <row r="111" spans="1:6">
      <c r="A111" t="s">
        <v>48139</v>
      </c>
      <c r="B111" t="s">
        <v>48142</v>
      </c>
      <c r="C111">
        <v>0</v>
      </c>
      <c r="D111">
        <v>0.70231957727467997</v>
      </c>
      <c r="E111">
        <v>0.960981283336099</v>
      </c>
      <c r="F111">
        <v>15.867447969286699</v>
      </c>
    </row>
    <row r="112" spans="1:6">
      <c r="A112" t="s">
        <v>48139</v>
      </c>
      <c r="B112" t="s">
        <v>48143</v>
      </c>
      <c r="C112">
        <v>0</v>
      </c>
      <c r="D112">
        <v>0.70231957727467997</v>
      </c>
      <c r="E112">
        <v>0.960981283336099</v>
      </c>
      <c r="F112">
        <v>15.867447969286699</v>
      </c>
    </row>
    <row r="113" spans="1:6">
      <c r="A113" t="s">
        <v>48139</v>
      </c>
      <c r="B113" t="s">
        <v>48144</v>
      </c>
      <c r="C113">
        <v>0.163927555071715</v>
      </c>
      <c r="D113">
        <v>0.70231957727467997</v>
      </c>
      <c r="E113">
        <v>0.960981283336099</v>
      </c>
      <c r="F113">
        <v>15.867447969286699</v>
      </c>
    </row>
    <row r="114" spans="1:6">
      <c r="A114" t="s">
        <v>48139</v>
      </c>
      <c r="B114" t="s">
        <v>48145</v>
      </c>
      <c r="C114">
        <v>0</v>
      </c>
      <c r="D114">
        <v>0.70231957727467997</v>
      </c>
      <c r="E114">
        <v>0.960981283336099</v>
      </c>
      <c r="F114">
        <v>15.867447969286699</v>
      </c>
    </row>
    <row r="115" spans="1:6">
      <c r="A115" t="s">
        <v>48146</v>
      </c>
      <c r="B115" t="s">
        <v>48147</v>
      </c>
      <c r="C115">
        <v>0.53030678455839497</v>
      </c>
      <c r="D115">
        <v>0.33361746902607398</v>
      </c>
      <c r="E115">
        <v>0.690306784558395</v>
      </c>
      <c r="F115">
        <v>4.8494645382905601E-3</v>
      </c>
    </row>
    <row r="116" spans="1:6">
      <c r="A116" t="s">
        <v>48146</v>
      </c>
      <c r="B116" t="s">
        <v>48148</v>
      </c>
      <c r="C116">
        <v>0</v>
      </c>
      <c r="D116">
        <v>0.33361746902607398</v>
      </c>
      <c r="E116">
        <v>0.690306784558395</v>
      </c>
      <c r="F116">
        <v>4.8494645382905601E-3</v>
      </c>
    </row>
    <row r="117" spans="1:6">
      <c r="A117" t="s">
        <v>48149</v>
      </c>
      <c r="B117" t="s">
        <v>48150</v>
      </c>
      <c r="C117">
        <v>0.95504277295597795</v>
      </c>
      <c r="D117">
        <v>0.63847484051793002</v>
      </c>
      <c r="E117">
        <v>0.97938736192045694</v>
      </c>
      <c r="F117">
        <v>9.6989290765811201E-3</v>
      </c>
    </row>
    <row r="118" spans="1:6">
      <c r="A118" t="s">
        <v>48149</v>
      </c>
      <c r="B118" t="s">
        <v>48151</v>
      </c>
      <c r="C118">
        <v>0.76474248957076796</v>
      </c>
      <c r="D118">
        <v>0.63847484051793002</v>
      </c>
      <c r="E118">
        <v>0.97938736192045694</v>
      </c>
      <c r="F118">
        <v>9.6989290765811201E-3</v>
      </c>
    </row>
    <row r="119" spans="1:6">
      <c r="A119" t="s">
        <v>48152</v>
      </c>
      <c r="B119" t="s">
        <v>48153</v>
      </c>
      <c r="C119">
        <v>0</v>
      </c>
      <c r="D119">
        <v>5.6741050203586697E-2</v>
      </c>
      <c r="E119" t="s">
        <v>106</v>
      </c>
      <c r="F119">
        <v>24</v>
      </c>
    </row>
    <row r="120" spans="1:6">
      <c r="A120" t="s">
        <v>48152</v>
      </c>
      <c r="B120" t="s">
        <v>48154</v>
      </c>
      <c r="C120">
        <v>0</v>
      </c>
      <c r="D120">
        <v>5.6741050203586697E-2</v>
      </c>
      <c r="E120" t="s">
        <v>106</v>
      </c>
      <c r="F120">
        <v>24</v>
      </c>
    </row>
    <row r="121" spans="1:6">
      <c r="A121" t="s">
        <v>48152</v>
      </c>
      <c r="B121" t="s">
        <v>48155</v>
      </c>
      <c r="C121">
        <v>0</v>
      </c>
      <c r="D121">
        <v>5.6741050203586697E-2</v>
      </c>
      <c r="E121" t="s">
        <v>106</v>
      </c>
      <c r="F121">
        <v>24</v>
      </c>
    </row>
    <row r="122" spans="1:6">
      <c r="A122" t="s">
        <v>48152</v>
      </c>
      <c r="B122" t="s">
        <v>48156</v>
      </c>
      <c r="C122">
        <v>0</v>
      </c>
      <c r="D122">
        <v>5.6741050203586697E-2</v>
      </c>
      <c r="E122" t="s">
        <v>106</v>
      </c>
      <c r="F122">
        <v>24</v>
      </c>
    </row>
    <row r="123" spans="1:6">
      <c r="A123" t="s">
        <v>48152</v>
      </c>
      <c r="B123" t="s">
        <v>48157</v>
      </c>
      <c r="C123">
        <v>0</v>
      </c>
      <c r="D123">
        <v>5.6741050203586697E-2</v>
      </c>
      <c r="E123" t="s">
        <v>106</v>
      </c>
      <c r="F123">
        <v>24</v>
      </c>
    </row>
    <row r="124" spans="1:6">
      <c r="A124" t="s">
        <v>48152</v>
      </c>
      <c r="B124" t="s">
        <v>48158</v>
      </c>
      <c r="C124">
        <v>0</v>
      </c>
      <c r="D124">
        <v>5.6741050203586697E-2</v>
      </c>
      <c r="E124" t="s">
        <v>106</v>
      </c>
      <c r="F124">
        <v>24</v>
      </c>
    </row>
    <row r="125" spans="1:6">
      <c r="A125" t="s">
        <v>48152</v>
      </c>
      <c r="B125" t="s">
        <v>48159</v>
      </c>
      <c r="C125">
        <v>0</v>
      </c>
      <c r="D125">
        <v>5.6741050203586697E-2</v>
      </c>
      <c r="E125" t="s">
        <v>106</v>
      </c>
      <c r="F125">
        <v>24</v>
      </c>
    </row>
    <row r="126" spans="1:6">
      <c r="A126" t="s">
        <v>48152</v>
      </c>
      <c r="B126" t="s">
        <v>48160</v>
      </c>
      <c r="C126">
        <v>0</v>
      </c>
      <c r="D126">
        <v>5.6741050203586697E-2</v>
      </c>
      <c r="E126" t="s">
        <v>106</v>
      </c>
      <c r="F126">
        <v>24</v>
      </c>
    </row>
    <row r="127" spans="1:6">
      <c r="A127" t="s">
        <v>48152</v>
      </c>
      <c r="B127" t="s">
        <v>48161</v>
      </c>
      <c r="C127">
        <v>0</v>
      </c>
      <c r="D127">
        <v>5.6741050203586697E-2</v>
      </c>
      <c r="E127" t="s">
        <v>106</v>
      </c>
      <c r="F127">
        <v>24</v>
      </c>
    </row>
    <row r="128" spans="1:6">
      <c r="A128" t="s">
        <v>48162</v>
      </c>
      <c r="B128" t="s">
        <v>48163</v>
      </c>
      <c r="C128">
        <v>0</v>
      </c>
      <c r="D128">
        <v>0.35074105160625801</v>
      </c>
      <c r="E128">
        <v>0.99568294758998799</v>
      </c>
      <c r="F128">
        <v>14.145888058193499</v>
      </c>
    </row>
    <row r="129" spans="1:6">
      <c r="A129" t="s">
        <v>48162</v>
      </c>
      <c r="B129" t="s">
        <v>48164</v>
      </c>
      <c r="C129">
        <v>0.14461490519808601</v>
      </c>
      <c r="D129">
        <v>0.35074105160625801</v>
      </c>
      <c r="E129">
        <v>0.99568294758998799</v>
      </c>
      <c r="F129">
        <v>14.145888058193499</v>
      </c>
    </row>
    <row r="130" spans="1:6">
      <c r="A130" t="s">
        <v>48162</v>
      </c>
      <c r="B130" t="s">
        <v>48165</v>
      </c>
      <c r="C130">
        <v>0</v>
      </c>
      <c r="D130">
        <v>0.35074105160625801</v>
      </c>
      <c r="E130">
        <v>0.99568294758998799</v>
      </c>
      <c r="F130">
        <v>14.145888058193499</v>
      </c>
    </row>
    <row r="131" spans="1:6">
      <c r="A131" t="s">
        <v>48162</v>
      </c>
      <c r="B131" t="s">
        <v>48166</v>
      </c>
      <c r="C131">
        <v>0</v>
      </c>
      <c r="D131">
        <v>0.35074105160625801</v>
      </c>
      <c r="E131">
        <v>0.99568294758998799</v>
      </c>
      <c r="F131">
        <v>14.145888058193499</v>
      </c>
    </row>
    <row r="132" spans="1:6">
      <c r="A132" t="s">
        <v>48162</v>
      </c>
      <c r="B132" t="s">
        <v>48167</v>
      </c>
      <c r="C132">
        <v>0</v>
      </c>
      <c r="D132">
        <v>0.35074105160625801</v>
      </c>
      <c r="E132">
        <v>0.99568294758998799</v>
      </c>
      <c r="F132">
        <v>14.145888058193499</v>
      </c>
    </row>
    <row r="133" spans="1:6">
      <c r="A133" t="s">
        <v>48162</v>
      </c>
      <c r="B133" t="s">
        <v>48168</v>
      </c>
      <c r="C133">
        <v>0.81213953139075901</v>
      </c>
      <c r="D133">
        <v>0.35074105160625801</v>
      </c>
      <c r="E133">
        <v>0.99568294758998799</v>
      </c>
      <c r="F133">
        <v>14.145888058193499</v>
      </c>
    </row>
    <row r="134" spans="1:6">
      <c r="A134" t="s">
        <v>48162</v>
      </c>
      <c r="B134" t="s">
        <v>48169</v>
      </c>
      <c r="C134">
        <v>0</v>
      </c>
      <c r="D134">
        <v>0.35074105160625801</v>
      </c>
      <c r="E134">
        <v>0.99568294758998799</v>
      </c>
      <c r="F134">
        <v>14.145888058193499</v>
      </c>
    </row>
    <row r="135" spans="1:6">
      <c r="A135" t="s">
        <v>48170</v>
      </c>
      <c r="B135" t="s">
        <v>48171</v>
      </c>
      <c r="C135">
        <v>0.85796842676845897</v>
      </c>
      <c r="D135">
        <v>0.68442321790509097</v>
      </c>
      <c r="E135">
        <v>0.998307064760109</v>
      </c>
      <c r="F135">
        <v>15.280662760153501</v>
      </c>
    </row>
    <row r="136" spans="1:6">
      <c r="A136" t="s">
        <v>48170</v>
      </c>
      <c r="B136" t="s">
        <v>48172</v>
      </c>
      <c r="C136">
        <v>0.34736122065528302</v>
      </c>
      <c r="D136">
        <v>0.68442321790509097</v>
      </c>
      <c r="E136">
        <v>0.998307064760109</v>
      </c>
      <c r="F136">
        <v>15.280662760153501</v>
      </c>
    </row>
    <row r="137" spans="1:6">
      <c r="A137" t="s">
        <v>48170</v>
      </c>
      <c r="B137" t="s">
        <v>48173</v>
      </c>
      <c r="C137">
        <v>0</v>
      </c>
      <c r="D137">
        <v>0.68442321790509097</v>
      </c>
      <c r="E137">
        <v>0.998307064760109</v>
      </c>
      <c r="F137">
        <v>15.280662760153501</v>
      </c>
    </row>
    <row r="138" spans="1:6">
      <c r="A138" t="s">
        <v>48170</v>
      </c>
      <c r="B138" t="s">
        <v>48174</v>
      </c>
      <c r="C138">
        <v>0</v>
      </c>
      <c r="D138">
        <v>0.68442321790509097</v>
      </c>
      <c r="E138">
        <v>0.998307064760109</v>
      </c>
      <c r="F138">
        <v>15.280662760153501</v>
      </c>
    </row>
    <row r="139" spans="1:6">
      <c r="A139" t="s">
        <v>48170</v>
      </c>
      <c r="B139" t="s">
        <v>48175</v>
      </c>
      <c r="C139">
        <v>0</v>
      </c>
      <c r="D139">
        <v>0.68442321790509097</v>
      </c>
      <c r="E139">
        <v>0.998307064760109</v>
      </c>
      <c r="F139">
        <v>15.280662760153501</v>
      </c>
    </row>
    <row r="140" spans="1:6">
      <c r="A140" t="s">
        <v>48170</v>
      </c>
      <c r="B140" t="s">
        <v>48176</v>
      </c>
      <c r="C140">
        <v>0</v>
      </c>
      <c r="D140">
        <v>0.68442321790509097</v>
      </c>
      <c r="E140">
        <v>0.998307064760109</v>
      </c>
      <c r="F140">
        <v>15.280662760153501</v>
      </c>
    </row>
    <row r="141" spans="1:6">
      <c r="A141" t="s">
        <v>48177</v>
      </c>
      <c r="B141" t="s">
        <v>48178</v>
      </c>
      <c r="C141">
        <v>-1.1514196532849701</v>
      </c>
      <c r="D141">
        <v>0.53427819400469501</v>
      </c>
      <c r="E141">
        <v>0.95134217211421901</v>
      </c>
      <c r="F141">
        <v>1.8476459890887</v>
      </c>
    </row>
    <row r="142" spans="1:6">
      <c r="A142" t="s">
        <v>48177</v>
      </c>
      <c r="B142" t="s">
        <v>48179</v>
      </c>
      <c r="C142">
        <v>0</v>
      </c>
      <c r="D142">
        <v>0.53427819400469501</v>
      </c>
      <c r="E142">
        <v>0.95134217211421901</v>
      </c>
      <c r="F142">
        <v>1.8476459890887</v>
      </c>
    </row>
    <row r="143" spans="1:6">
      <c r="A143" t="s">
        <v>48177</v>
      </c>
      <c r="B143" t="s">
        <v>48180</v>
      </c>
      <c r="C143">
        <v>0.57113087880668301</v>
      </c>
      <c r="D143">
        <v>0.53427819400469501</v>
      </c>
      <c r="E143">
        <v>0.95134217211421901</v>
      </c>
      <c r="F143">
        <v>1.8476459890887</v>
      </c>
    </row>
    <row r="144" spans="1:6">
      <c r="A144" t="s">
        <v>48181</v>
      </c>
      <c r="B144" t="s">
        <v>48182</v>
      </c>
      <c r="C144">
        <v>0</v>
      </c>
      <c r="D144">
        <v>0.16780498055676801</v>
      </c>
      <c r="E144">
        <v>0.85503549400881595</v>
      </c>
      <c r="F144">
        <v>6.7504546373004599</v>
      </c>
    </row>
    <row r="145" spans="1:6">
      <c r="A145" t="s">
        <v>48181</v>
      </c>
      <c r="B145" t="s">
        <v>48183</v>
      </c>
      <c r="C145">
        <v>0</v>
      </c>
      <c r="D145">
        <v>0.16780498055676801</v>
      </c>
      <c r="E145">
        <v>0.85503549400881595</v>
      </c>
      <c r="F145">
        <v>6.7504546373004599</v>
      </c>
    </row>
    <row r="146" spans="1:6">
      <c r="A146" t="s">
        <v>48181</v>
      </c>
      <c r="B146" t="s">
        <v>48184</v>
      </c>
      <c r="C146">
        <v>0</v>
      </c>
      <c r="D146">
        <v>0.16780498055676801</v>
      </c>
      <c r="E146">
        <v>0.85503549400881595</v>
      </c>
      <c r="F146">
        <v>6.7504546373004599</v>
      </c>
    </row>
    <row r="147" spans="1:6">
      <c r="A147" t="s">
        <v>48181</v>
      </c>
      <c r="B147" t="s">
        <v>48185</v>
      </c>
      <c r="C147">
        <v>0</v>
      </c>
      <c r="D147">
        <v>0.16780498055676801</v>
      </c>
      <c r="E147">
        <v>0.85503549400881595</v>
      </c>
      <c r="F147">
        <v>6.7504546373004599</v>
      </c>
    </row>
    <row r="148" spans="1:6">
      <c r="A148" t="s">
        <v>48181</v>
      </c>
      <c r="B148" t="s">
        <v>48186</v>
      </c>
      <c r="C148">
        <v>0</v>
      </c>
      <c r="D148">
        <v>0.16780498055676801</v>
      </c>
      <c r="E148">
        <v>0.85503549400881595</v>
      </c>
      <c r="F148">
        <v>6.7504546373004599</v>
      </c>
    </row>
    <row r="149" spans="1:6">
      <c r="A149" t="s">
        <v>48181</v>
      </c>
      <c r="B149" t="s">
        <v>48187</v>
      </c>
      <c r="C149">
        <v>0</v>
      </c>
      <c r="D149">
        <v>0.16780498055676801</v>
      </c>
      <c r="E149">
        <v>0.85503549400881595</v>
      </c>
      <c r="F149">
        <v>6.7504546373004599</v>
      </c>
    </row>
    <row r="150" spans="1:6">
      <c r="A150" t="s">
        <v>48181</v>
      </c>
      <c r="B150" t="s">
        <v>48188</v>
      </c>
      <c r="C150">
        <v>0.50143549400881604</v>
      </c>
      <c r="D150">
        <v>0.16780498055676801</v>
      </c>
      <c r="E150">
        <v>0.85503549400881595</v>
      </c>
      <c r="F150">
        <v>6.7504546373004599</v>
      </c>
    </row>
    <row r="151" spans="1:6">
      <c r="A151" t="s">
        <v>48181</v>
      </c>
      <c r="B151" t="s">
        <v>48189</v>
      </c>
      <c r="C151">
        <v>0</v>
      </c>
      <c r="D151">
        <v>0.16780498055676801</v>
      </c>
      <c r="E151">
        <v>0.85503549400881595</v>
      </c>
      <c r="F151">
        <v>6.7504546373004599</v>
      </c>
    </row>
    <row r="152" spans="1:6">
      <c r="A152" t="s">
        <v>48190</v>
      </c>
      <c r="B152" t="s">
        <v>48191</v>
      </c>
      <c r="C152">
        <v>0.83215484741609802</v>
      </c>
      <c r="D152">
        <v>0.10027811216650701</v>
      </c>
      <c r="E152">
        <v>0.966827154646832</v>
      </c>
      <c r="F152">
        <v>11.827844008890599</v>
      </c>
    </row>
    <row r="153" spans="1:6">
      <c r="A153" t="s">
        <v>48190</v>
      </c>
      <c r="B153" t="s">
        <v>48192</v>
      </c>
      <c r="C153">
        <v>9.6649291858109596E-2</v>
      </c>
      <c r="D153">
        <v>0.10027811216650701</v>
      </c>
      <c r="E153">
        <v>0.966827154646832</v>
      </c>
      <c r="F153">
        <v>11.827844008890599</v>
      </c>
    </row>
    <row r="154" spans="1:6">
      <c r="A154" t="s">
        <v>48190</v>
      </c>
      <c r="B154" t="s">
        <v>48193</v>
      </c>
      <c r="C154">
        <v>0</v>
      </c>
      <c r="D154">
        <v>0.10027811216650701</v>
      </c>
      <c r="E154">
        <v>0.966827154646832</v>
      </c>
      <c r="F154">
        <v>11.827844008890599</v>
      </c>
    </row>
    <row r="155" spans="1:6">
      <c r="A155" t="s">
        <v>48190</v>
      </c>
      <c r="B155" t="s">
        <v>48194</v>
      </c>
      <c r="C155">
        <v>0</v>
      </c>
      <c r="D155">
        <v>0.10027811216650701</v>
      </c>
      <c r="E155">
        <v>0.966827154646832</v>
      </c>
      <c r="F155">
        <v>11.827844008890599</v>
      </c>
    </row>
    <row r="156" spans="1:6">
      <c r="A156" t="s">
        <v>48190</v>
      </c>
      <c r="B156" t="s">
        <v>48195</v>
      </c>
      <c r="C156">
        <v>0</v>
      </c>
      <c r="D156">
        <v>0.10027811216650701</v>
      </c>
      <c r="E156">
        <v>0.966827154646832</v>
      </c>
      <c r="F156">
        <v>11.827844008890599</v>
      </c>
    </row>
    <row r="157" spans="1:6">
      <c r="A157" t="s">
        <v>48190</v>
      </c>
      <c r="B157" t="s">
        <v>48196</v>
      </c>
      <c r="C157">
        <v>0</v>
      </c>
      <c r="D157">
        <v>0.10027811216650701</v>
      </c>
      <c r="E157">
        <v>0.966827154646832</v>
      </c>
      <c r="F157">
        <v>11.827844008890599</v>
      </c>
    </row>
    <row r="158" spans="1:6">
      <c r="A158" t="s">
        <v>48190</v>
      </c>
      <c r="B158" t="s">
        <v>48197</v>
      </c>
      <c r="C158">
        <v>0</v>
      </c>
      <c r="D158">
        <v>0.10027811216650701</v>
      </c>
      <c r="E158">
        <v>0.966827154646832</v>
      </c>
      <c r="F158">
        <v>11.827844008890599</v>
      </c>
    </row>
    <row r="159" spans="1:6">
      <c r="A159" t="s">
        <v>48198</v>
      </c>
      <c r="B159" t="s">
        <v>48199</v>
      </c>
      <c r="C159">
        <v>0.427100734487667</v>
      </c>
      <c r="D159">
        <v>0.19797361752217299</v>
      </c>
      <c r="E159">
        <v>0.95411080637729295</v>
      </c>
      <c r="F159">
        <v>9.8735097999595798</v>
      </c>
    </row>
    <row r="160" spans="1:6">
      <c r="A160" t="s">
        <v>48198</v>
      </c>
      <c r="B160" t="s">
        <v>48200</v>
      </c>
      <c r="C160">
        <v>0</v>
      </c>
      <c r="D160">
        <v>0.19797361752217299</v>
      </c>
      <c r="E160">
        <v>0.95411080637729295</v>
      </c>
      <c r="F160">
        <v>9.8735097999595798</v>
      </c>
    </row>
    <row r="161" spans="1:6">
      <c r="A161" t="s">
        <v>48198</v>
      </c>
      <c r="B161" t="s">
        <v>48201</v>
      </c>
      <c r="C161">
        <v>0</v>
      </c>
      <c r="D161">
        <v>0.19797361752217299</v>
      </c>
      <c r="E161">
        <v>0.95411080637729295</v>
      </c>
      <c r="F161">
        <v>9.8735097999595798</v>
      </c>
    </row>
    <row r="162" spans="1:6">
      <c r="A162" t="s">
        <v>48198</v>
      </c>
      <c r="B162" t="s">
        <v>48202</v>
      </c>
      <c r="C162">
        <v>0</v>
      </c>
      <c r="D162">
        <v>0.19797361752217299</v>
      </c>
      <c r="E162">
        <v>0.95411080637729295</v>
      </c>
      <c r="F162">
        <v>9.8735097999595798</v>
      </c>
    </row>
    <row r="163" spans="1:6">
      <c r="A163" t="s">
        <v>48198</v>
      </c>
      <c r="B163" t="s">
        <v>48203</v>
      </c>
      <c r="C163">
        <v>0</v>
      </c>
      <c r="D163">
        <v>0.19797361752217299</v>
      </c>
      <c r="E163">
        <v>0.95411080637729295</v>
      </c>
      <c r="F163">
        <v>9.8735097999595798</v>
      </c>
    </row>
    <row r="164" spans="1:6">
      <c r="A164" t="s">
        <v>48198</v>
      </c>
      <c r="B164" t="s">
        <v>48204</v>
      </c>
      <c r="C164">
        <v>0</v>
      </c>
      <c r="D164">
        <v>0.19797361752217299</v>
      </c>
      <c r="E164">
        <v>0.95411080637729295</v>
      </c>
      <c r="F164">
        <v>9.8735097999595798</v>
      </c>
    </row>
    <row r="165" spans="1:6">
      <c r="A165" t="s">
        <v>48198</v>
      </c>
      <c r="B165" t="s">
        <v>48205</v>
      </c>
      <c r="C165">
        <v>0</v>
      </c>
      <c r="D165">
        <v>0.19797361752217299</v>
      </c>
      <c r="E165">
        <v>0.95411080637729295</v>
      </c>
      <c r="F165">
        <v>9.8735097999595798</v>
      </c>
    </row>
    <row r="166" spans="1:6">
      <c r="A166" t="s">
        <v>48198</v>
      </c>
      <c r="B166" t="s">
        <v>48206</v>
      </c>
      <c r="C166">
        <v>0.380869037993601</v>
      </c>
      <c r="D166">
        <v>0.19797361752217299</v>
      </c>
      <c r="E166">
        <v>0.95411080637729295</v>
      </c>
      <c r="F166">
        <v>9.8735097999595798</v>
      </c>
    </row>
    <row r="167" spans="1:6">
      <c r="A167" t="s">
        <v>48198</v>
      </c>
      <c r="B167" t="s">
        <v>48207</v>
      </c>
      <c r="C167">
        <v>0</v>
      </c>
      <c r="D167">
        <v>0.19797361752217299</v>
      </c>
      <c r="E167">
        <v>0.95411080637729295</v>
      </c>
      <c r="F167">
        <v>9.8735097999595798</v>
      </c>
    </row>
    <row r="168" spans="1:6">
      <c r="A168" t="s">
        <v>48198</v>
      </c>
      <c r="B168" t="s">
        <v>48208</v>
      </c>
      <c r="C168">
        <v>0</v>
      </c>
      <c r="D168">
        <v>0.19797361752217299</v>
      </c>
      <c r="E168">
        <v>0.95411080637729295</v>
      </c>
      <c r="F168">
        <v>9.8735097999595798</v>
      </c>
    </row>
    <row r="169" spans="1:6">
      <c r="A169" t="s">
        <v>48209</v>
      </c>
      <c r="B169" t="s">
        <v>48210</v>
      </c>
      <c r="C169">
        <v>0</v>
      </c>
      <c r="D169">
        <v>0.62286141561953601</v>
      </c>
      <c r="E169">
        <v>0.987055919531038</v>
      </c>
      <c r="F169">
        <v>12.6958981612446</v>
      </c>
    </row>
    <row r="170" spans="1:6">
      <c r="A170" t="s">
        <v>48209</v>
      </c>
      <c r="B170" t="s">
        <v>48211</v>
      </c>
      <c r="C170">
        <v>0.61004468754449803</v>
      </c>
      <c r="D170">
        <v>0.62286141561953601</v>
      </c>
      <c r="E170">
        <v>0.987055919531038</v>
      </c>
      <c r="F170">
        <v>12.6958981612446</v>
      </c>
    </row>
    <row r="171" spans="1:6">
      <c r="A171" t="s">
        <v>48209</v>
      </c>
      <c r="B171" t="s">
        <v>48212</v>
      </c>
      <c r="C171">
        <v>0</v>
      </c>
      <c r="D171">
        <v>0.62286141561953601</v>
      </c>
      <c r="E171">
        <v>0.987055919531038</v>
      </c>
      <c r="F171">
        <v>12.6958981612446</v>
      </c>
    </row>
    <row r="172" spans="1:6">
      <c r="A172" t="s">
        <v>48209</v>
      </c>
      <c r="B172" t="s">
        <v>48213</v>
      </c>
      <c r="C172">
        <v>0</v>
      </c>
      <c r="D172">
        <v>0.62286141561953601</v>
      </c>
      <c r="E172">
        <v>0.987055919531038</v>
      </c>
      <c r="F172">
        <v>12.6958981612446</v>
      </c>
    </row>
    <row r="173" spans="1:6">
      <c r="A173" t="s">
        <v>48209</v>
      </c>
      <c r="B173" t="s">
        <v>48214</v>
      </c>
      <c r="C173">
        <v>0.37631590563230999</v>
      </c>
      <c r="D173">
        <v>0.62286141561953601</v>
      </c>
      <c r="E173">
        <v>0.987055919531038</v>
      </c>
      <c r="F173">
        <v>12.6958981612446</v>
      </c>
    </row>
    <row r="174" spans="1:6">
      <c r="A174" t="s">
        <v>48209</v>
      </c>
      <c r="B174" t="s">
        <v>48215</v>
      </c>
      <c r="C174">
        <v>0</v>
      </c>
      <c r="D174">
        <v>0.62286141561953601</v>
      </c>
      <c r="E174">
        <v>0.987055919531038</v>
      </c>
      <c r="F174">
        <v>12.6958981612446</v>
      </c>
    </row>
    <row r="175" spans="1:6">
      <c r="A175" t="s">
        <v>48209</v>
      </c>
      <c r="B175" t="s">
        <v>48216</v>
      </c>
      <c r="C175">
        <v>0</v>
      </c>
      <c r="D175">
        <v>0.62286141561953601</v>
      </c>
      <c r="E175">
        <v>0.987055919531038</v>
      </c>
      <c r="F175">
        <v>12.6958981612446</v>
      </c>
    </row>
    <row r="176" spans="1:6">
      <c r="A176" t="s">
        <v>48209</v>
      </c>
      <c r="B176" t="s">
        <v>48217</v>
      </c>
      <c r="C176">
        <v>0</v>
      </c>
      <c r="D176">
        <v>0.62286141561953601</v>
      </c>
      <c r="E176">
        <v>0.987055919531038</v>
      </c>
      <c r="F176">
        <v>12.6958981612446</v>
      </c>
    </row>
    <row r="177" spans="1:6">
      <c r="A177" t="s">
        <v>48209</v>
      </c>
      <c r="B177" t="s">
        <v>48218</v>
      </c>
      <c r="C177">
        <v>0</v>
      </c>
      <c r="D177">
        <v>0.62286141561953601</v>
      </c>
      <c r="E177">
        <v>0.987055919531038</v>
      </c>
      <c r="F177">
        <v>12.6958981612446</v>
      </c>
    </row>
    <row r="178" spans="1:6">
      <c r="A178" t="s">
        <v>48219</v>
      </c>
      <c r="B178" t="s">
        <v>48220</v>
      </c>
      <c r="C178">
        <v>0</v>
      </c>
      <c r="D178">
        <v>0.69704004850861201</v>
      </c>
      <c r="E178" t="s">
        <v>106</v>
      </c>
      <c r="F178">
        <v>5.5235401091129503</v>
      </c>
    </row>
    <row r="179" spans="1:6">
      <c r="A179" t="s">
        <v>48219</v>
      </c>
      <c r="B179" t="s">
        <v>48221</v>
      </c>
      <c r="C179">
        <v>0</v>
      </c>
      <c r="D179">
        <v>0.69704004850861201</v>
      </c>
      <c r="E179" t="s">
        <v>106</v>
      </c>
      <c r="F179">
        <v>5.5235401091129503</v>
      </c>
    </row>
    <row r="180" spans="1:6">
      <c r="A180" t="s">
        <v>48219</v>
      </c>
      <c r="B180" t="s">
        <v>48222</v>
      </c>
      <c r="C180">
        <v>0</v>
      </c>
      <c r="D180">
        <v>0.69704004850861201</v>
      </c>
      <c r="E180" t="s">
        <v>106</v>
      </c>
      <c r="F180">
        <v>5.5235401091129503</v>
      </c>
    </row>
    <row r="181" spans="1:6">
      <c r="A181" t="s">
        <v>48219</v>
      </c>
      <c r="B181" t="s">
        <v>48223</v>
      </c>
      <c r="C181">
        <v>0</v>
      </c>
      <c r="D181">
        <v>0.69704004850861201</v>
      </c>
      <c r="E181" t="s">
        <v>106</v>
      </c>
      <c r="F181">
        <v>5.5235401091129503</v>
      </c>
    </row>
    <row r="182" spans="1:6">
      <c r="A182" t="s">
        <v>48219</v>
      </c>
      <c r="B182" t="s">
        <v>48224</v>
      </c>
      <c r="C182">
        <v>0</v>
      </c>
      <c r="D182">
        <v>0.69704004850861201</v>
      </c>
      <c r="E182" t="s">
        <v>106</v>
      </c>
      <c r="F182">
        <v>5.5235401091129503</v>
      </c>
    </row>
    <row r="183" spans="1:6">
      <c r="A183" t="s">
        <v>48219</v>
      </c>
      <c r="B183" t="s">
        <v>48225</v>
      </c>
      <c r="C183">
        <v>0</v>
      </c>
      <c r="D183">
        <v>0.69704004850861201</v>
      </c>
      <c r="E183" t="s">
        <v>106</v>
      </c>
      <c r="F183">
        <v>5.5235401091129503</v>
      </c>
    </row>
    <row r="184" spans="1:6">
      <c r="A184" t="s">
        <v>48219</v>
      </c>
      <c r="B184" t="s">
        <v>48226</v>
      </c>
      <c r="C184">
        <v>0</v>
      </c>
      <c r="D184">
        <v>0.69704004850861201</v>
      </c>
      <c r="E184" t="s">
        <v>106</v>
      </c>
      <c r="F184">
        <v>5.5235401091129503</v>
      </c>
    </row>
    <row r="185" spans="1:6">
      <c r="A185" t="s">
        <v>48219</v>
      </c>
      <c r="B185" t="s">
        <v>48227</v>
      </c>
      <c r="C185">
        <v>0</v>
      </c>
      <c r="D185">
        <v>0.69704004850861201</v>
      </c>
      <c r="E185" t="s">
        <v>106</v>
      </c>
      <c r="F185">
        <v>5.5235401091129503</v>
      </c>
    </row>
    <row r="186" spans="1:6">
      <c r="A186" t="s">
        <v>48219</v>
      </c>
      <c r="B186" t="s">
        <v>48228</v>
      </c>
      <c r="C186">
        <v>0</v>
      </c>
      <c r="D186">
        <v>0.69704004850861201</v>
      </c>
      <c r="E186" t="s">
        <v>106</v>
      </c>
      <c r="F186">
        <v>5.5235401091129503</v>
      </c>
    </row>
    <row r="187" spans="1:6">
      <c r="A187" t="s">
        <v>48219</v>
      </c>
      <c r="B187" t="s">
        <v>48229</v>
      </c>
      <c r="C187">
        <v>0</v>
      </c>
      <c r="D187">
        <v>0.69704004850861201</v>
      </c>
      <c r="E187" t="s">
        <v>106</v>
      </c>
      <c r="F187">
        <v>5.5235401091129503</v>
      </c>
    </row>
    <row r="188" spans="1:6">
      <c r="A188" t="s">
        <v>48219</v>
      </c>
      <c r="B188" t="s">
        <v>48230</v>
      </c>
      <c r="C188">
        <v>0</v>
      </c>
      <c r="D188">
        <v>0.69704004850861201</v>
      </c>
      <c r="E188" t="s">
        <v>106</v>
      </c>
      <c r="F188">
        <v>5.5235401091129503</v>
      </c>
    </row>
    <row r="189" spans="1:6">
      <c r="A189" t="s">
        <v>48231</v>
      </c>
      <c r="B189" t="s">
        <v>48232</v>
      </c>
      <c r="C189">
        <v>0</v>
      </c>
      <c r="D189">
        <v>0.19200225096575799</v>
      </c>
      <c r="E189">
        <v>0.83595050015429395</v>
      </c>
      <c r="F189">
        <v>1.46938775510204</v>
      </c>
    </row>
    <row r="190" spans="1:6">
      <c r="A190" t="s">
        <v>48231</v>
      </c>
      <c r="B190" t="s">
        <v>48233</v>
      </c>
      <c r="C190">
        <v>0</v>
      </c>
      <c r="D190">
        <v>0.19200225096575799</v>
      </c>
      <c r="E190">
        <v>0.83595050015429395</v>
      </c>
      <c r="F190">
        <v>1.46938775510204</v>
      </c>
    </row>
    <row r="191" spans="1:6">
      <c r="A191" t="s">
        <v>48231</v>
      </c>
      <c r="B191" t="s">
        <v>48234</v>
      </c>
      <c r="C191">
        <v>0</v>
      </c>
      <c r="D191">
        <v>0.19200225096575799</v>
      </c>
      <c r="E191">
        <v>0.83595050015429395</v>
      </c>
      <c r="F191">
        <v>1.46938775510204</v>
      </c>
    </row>
    <row r="192" spans="1:6">
      <c r="A192" t="s">
        <v>48231</v>
      </c>
      <c r="B192" t="s">
        <v>48235</v>
      </c>
      <c r="C192">
        <v>0</v>
      </c>
      <c r="D192">
        <v>0.19200225096575799</v>
      </c>
      <c r="E192">
        <v>0.83595050015429395</v>
      </c>
      <c r="F192">
        <v>1.46938775510204</v>
      </c>
    </row>
    <row r="193" spans="1:6">
      <c r="A193" t="s">
        <v>48231</v>
      </c>
      <c r="B193" t="s">
        <v>48236</v>
      </c>
      <c r="C193">
        <v>0</v>
      </c>
      <c r="D193">
        <v>0.19200225096575799</v>
      </c>
      <c r="E193">
        <v>0.83595050015429395</v>
      </c>
      <c r="F193">
        <v>1.46938775510204</v>
      </c>
    </row>
    <row r="194" spans="1:6">
      <c r="A194" t="s">
        <v>48231</v>
      </c>
      <c r="B194" t="s">
        <v>48237</v>
      </c>
      <c r="C194">
        <v>0</v>
      </c>
      <c r="D194">
        <v>0.19200225096575799</v>
      </c>
      <c r="E194">
        <v>0.83595050015429395</v>
      </c>
      <c r="F194">
        <v>1.46938775510204</v>
      </c>
    </row>
    <row r="195" spans="1:6">
      <c r="A195" t="s">
        <v>48231</v>
      </c>
      <c r="B195" t="s">
        <v>48238</v>
      </c>
      <c r="C195">
        <v>0.213550500154294</v>
      </c>
      <c r="D195">
        <v>0.19200225096575799</v>
      </c>
      <c r="E195">
        <v>0.83595050015429395</v>
      </c>
      <c r="F195">
        <v>1.46938775510204</v>
      </c>
    </row>
    <row r="196" spans="1:6">
      <c r="A196" t="s">
        <v>48239</v>
      </c>
      <c r="B196" t="s">
        <v>48240</v>
      </c>
      <c r="C196">
        <v>0</v>
      </c>
      <c r="D196">
        <v>0.19381196398443401</v>
      </c>
      <c r="E196" t="s">
        <v>106</v>
      </c>
      <c r="F196">
        <v>0.66437664174580702</v>
      </c>
    </row>
    <row r="197" spans="1:6">
      <c r="A197" t="s">
        <v>48239</v>
      </c>
      <c r="B197" t="s">
        <v>48241</v>
      </c>
      <c r="C197">
        <v>0</v>
      </c>
      <c r="D197">
        <v>0.19381196398443401</v>
      </c>
      <c r="E197" t="s">
        <v>106</v>
      </c>
      <c r="F197">
        <v>0.66437664174580702</v>
      </c>
    </row>
    <row r="198" spans="1:6">
      <c r="A198" t="s">
        <v>48239</v>
      </c>
      <c r="B198" t="s">
        <v>48242</v>
      </c>
      <c r="C198">
        <v>0</v>
      </c>
      <c r="D198">
        <v>0.19381196398443401</v>
      </c>
      <c r="E198" t="s">
        <v>106</v>
      </c>
      <c r="F198">
        <v>0.66437664174580702</v>
      </c>
    </row>
    <row r="199" spans="1:6">
      <c r="A199" t="s">
        <v>48243</v>
      </c>
      <c r="B199" t="s">
        <v>48244</v>
      </c>
      <c r="C199">
        <v>0</v>
      </c>
      <c r="D199">
        <v>2.2849346342599299E-2</v>
      </c>
      <c r="E199">
        <v>0.99928247510823698</v>
      </c>
      <c r="F199">
        <v>8.3798747221660896</v>
      </c>
    </row>
    <row r="200" spans="1:6">
      <c r="A200" t="s">
        <v>48243</v>
      </c>
      <c r="B200" t="s">
        <v>48245</v>
      </c>
      <c r="C200">
        <v>0</v>
      </c>
      <c r="D200">
        <v>2.2849346342599299E-2</v>
      </c>
      <c r="E200">
        <v>0.99928247510823698</v>
      </c>
      <c r="F200">
        <v>8.3798747221660896</v>
      </c>
    </row>
    <row r="201" spans="1:6">
      <c r="A201" t="s">
        <v>48243</v>
      </c>
      <c r="B201" t="s">
        <v>48246</v>
      </c>
      <c r="C201">
        <v>0</v>
      </c>
      <c r="D201">
        <v>2.2849346342599299E-2</v>
      </c>
      <c r="E201">
        <v>0.99928247510823698</v>
      </c>
      <c r="F201">
        <v>8.3798747221660896</v>
      </c>
    </row>
    <row r="202" spans="1:6">
      <c r="A202" t="s">
        <v>48243</v>
      </c>
      <c r="B202" t="s">
        <v>48247</v>
      </c>
      <c r="C202">
        <v>0</v>
      </c>
      <c r="D202">
        <v>2.2849346342599299E-2</v>
      </c>
      <c r="E202">
        <v>0.99928247510823698</v>
      </c>
      <c r="F202">
        <v>8.3798747221660896</v>
      </c>
    </row>
    <row r="203" spans="1:6">
      <c r="A203" t="s">
        <v>48243</v>
      </c>
      <c r="B203" t="s">
        <v>48248</v>
      </c>
      <c r="C203">
        <v>0</v>
      </c>
      <c r="D203">
        <v>2.2849346342599299E-2</v>
      </c>
      <c r="E203">
        <v>0.99928247510823698</v>
      </c>
      <c r="F203">
        <v>8.3798747221660896</v>
      </c>
    </row>
    <row r="204" spans="1:6">
      <c r="A204" t="s">
        <v>48243</v>
      </c>
      <c r="B204" t="s">
        <v>48249</v>
      </c>
      <c r="C204">
        <v>0</v>
      </c>
      <c r="D204">
        <v>2.2849346342599299E-2</v>
      </c>
      <c r="E204">
        <v>0.99928247510823698</v>
      </c>
      <c r="F204">
        <v>8.3798747221660896</v>
      </c>
    </row>
    <row r="205" spans="1:6">
      <c r="A205" t="s">
        <v>48243</v>
      </c>
      <c r="B205" t="s">
        <v>48250</v>
      </c>
      <c r="C205">
        <v>0</v>
      </c>
      <c r="D205">
        <v>2.2849346342599299E-2</v>
      </c>
      <c r="E205">
        <v>0.99928247510823698</v>
      </c>
      <c r="F205">
        <v>8.3798747221660896</v>
      </c>
    </row>
    <row r="206" spans="1:6">
      <c r="A206" t="s">
        <v>48243</v>
      </c>
      <c r="B206" t="s">
        <v>48251</v>
      </c>
      <c r="C206">
        <v>0.454408086214312</v>
      </c>
      <c r="D206">
        <v>2.2849346342599299E-2</v>
      </c>
      <c r="E206">
        <v>0.99928247510823698</v>
      </c>
      <c r="F206">
        <v>8.3798747221660896</v>
      </c>
    </row>
    <row r="207" spans="1:6">
      <c r="A207" t="s">
        <v>48243</v>
      </c>
      <c r="B207" t="s">
        <v>48252</v>
      </c>
      <c r="C207">
        <v>0</v>
      </c>
      <c r="D207">
        <v>2.2849346342599299E-2</v>
      </c>
      <c r="E207">
        <v>0.99928247510823698</v>
      </c>
      <c r="F207">
        <v>8.3798747221660896</v>
      </c>
    </row>
    <row r="208" spans="1:6">
      <c r="A208" t="s">
        <v>48243</v>
      </c>
      <c r="B208" t="s">
        <v>48253</v>
      </c>
      <c r="C208">
        <v>0</v>
      </c>
      <c r="D208">
        <v>2.2849346342599299E-2</v>
      </c>
      <c r="E208">
        <v>0.99928247510823698</v>
      </c>
      <c r="F208">
        <v>8.3798747221660896</v>
      </c>
    </row>
    <row r="209" spans="1:6">
      <c r="A209" t="s">
        <v>48243</v>
      </c>
      <c r="B209" t="s">
        <v>48254</v>
      </c>
      <c r="C209">
        <v>0</v>
      </c>
      <c r="D209">
        <v>2.2849346342599299E-2</v>
      </c>
      <c r="E209">
        <v>0.99928247510823698</v>
      </c>
      <c r="F209">
        <v>8.3798747221660896</v>
      </c>
    </row>
    <row r="210" spans="1:6">
      <c r="A210" t="s">
        <v>48243</v>
      </c>
      <c r="B210" t="s">
        <v>48255</v>
      </c>
      <c r="C210">
        <v>0</v>
      </c>
      <c r="D210">
        <v>2.2849346342599299E-2</v>
      </c>
      <c r="E210">
        <v>0.99928247510823698</v>
      </c>
      <c r="F210">
        <v>8.3798747221660896</v>
      </c>
    </row>
    <row r="211" spans="1:6">
      <c r="A211" t="s">
        <v>48243</v>
      </c>
      <c r="B211" t="s">
        <v>48256</v>
      </c>
      <c r="C211">
        <v>0.58190311126000405</v>
      </c>
      <c r="D211">
        <v>2.2849346342599299E-2</v>
      </c>
      <c r="E211">
        <v>0.99928247510823698</v>
      </c>
      <c r="F211">
        <v>8.3798747221660896</v>
      </c>
    </row>
    <row r="212" spans="1:6">
      <c r="A212" t="s">
        <v>48243</v>
      </c>
      <c r="B212" t="s">
        <v>48257</v>
      </c>
      <c r="C212">
        <v>0</v>
      </c>
      <c r="D212">
        <v>2.2849346342599299E-2</v>
      </c>
      <c r="E212">
        <v>0.99928247510823698</v>
      </c>
      <c r="F212">
        <v>8.3798747221660896</v>
      </c>
    </row>
    <row r="213" spans="1:6">
      <c r="A213" t="s">
        <v>48243</v>
      </c>
      <c r="B213" t="s">
        <v>48258</v>
      </c>
      <c r="C213">
        <v>0</v>
      </c>
      <c r="D213">
        <v>2.2849346342599299E-2</v>
      </c>
      <c r="E213">
        <v>0.99928247510823698</v>
      </c>
      <c r="F213">
        <v>8.3798747221660896</v>
      </c>
    </row>
    <row r="214" spans="1:6">
      <c r="A214" t="s">
        <v>48243</v>
      </c>
      <c r="B214" t="s">
        <v>48259</v>
      </c>
      <c r="C214">
        <v>0</v>
      </c>
      <c r="D214">
        <v>2.2849346342599299E-2</v>
      </c>
      <c r="E214">
        <v>0.99928247510823698</v>
      </c>
      <c r="F214">
        <v>8.3798747221660896</v>
      </c>
    </row>
    <row r="215" spans="1:6">
      <c r="A215" t="s">
        <v>48260</v>
      </c>
      <c r="B215" t="s">
        <v>48261</v>
      </c>
      <c r="C215">
        <v>0.85778939252332398</v>
      </c>
      <c r="D215">
        <v>2.09518791777208E-2</v>
      </c>
      <c r="E215">
        <v>0.95334115219805105</v>
      </c>
      <c r="F215">
        <v>11.658112750050501</v>
      </c>
    </row>
    <row r="216" spans="1:6">
      <c r="A216" t="s">
        <v>48260</v>
      </c>
      <c r="B216" t="s">
        <v>48262</v>
      </c>
      <c r="C216">
        <v>0.147627918254645</v>
      </c>
      <c r="D216">
        <v>2.09518791777208E-2</v>
      </c>
      <c r="E216">
        <v>0.95334115219805105</v>
      </c>
      <c r="F216">
        <v>11.658112750050501</v>
      </c>
    </row>
    <row r="217" spans="1:6">
      <c r="A217" t="s">
        <v>48263</v>
      </c>
      <c r="B217" t="s">
        <v>48264</v>
      </c>
      <c r="C217">
        <v>0</v>
      </c>
      <c r="D217">
        <v>0.53378832822486</v>
      </c>
      <c r="E217">
        <v>0.96461913463249405</v>
      </c>
      <c r="F217">
        <v>15.091533643160201</v>
      </c>
    </row>
    <row r="218" spans="1:6">
      <c r="A218" t="s">
        <v>48263</v>
      </c>
      <c r="B218" t="s">
        <v>48265</v>
      </c>
      <c r="C218">
        <v>0.20175656442832199</v>
      </c>
      <c r="D218">
        <v>0.53378832822486</v>
      </c>
      <c r="E218">
        <v>0.96461913463249405</v>
      </c>
      <c r="F218">
        <v>15.091533643160201</v>
      </c>
    </row>
    <row r="219" spans="1:6">
      <c r="A219" t="s">
        <v>48263</v>
      </c>
      <c r="B219" t="s">
        <v>48266</v>
      </c>
      <c r="C219">
        <v>0</v>
      </c>
      <c r="D219">
        <v>0.53378832822486</v>
      </c>
      <c r="E219">
        <v>0.96461913463249405</v>
      </c>
      <c r="F219">
        <v>15.091533643160201</v>
      </c>
    </row>
    <row r="220" spans="1:6">
      <c r="A220" t="s">
        <v>48263</v>
      </c>
      <c r="B220" t="s">
        <v>48267</v>
      </c>
      <c r="C220">
        <v>0</v>
      </c>
      <c r="D220">
        <v>0.53378832822486</v>
      </c>
      <c r="E220">
        <v>0.96461913463249405</v>
      </c>
      <c r="F220">
        <v>15.091533643160201</v>
      </c>
    </row>
    <row r="221" spans="1:6">
      <c r="A221" t="s">
        <v>48263</v>
      </c>
      <c r="B221" t="s">
        <v>48268</v>
      </c>
      <c r="C221">
        <v>0</v>
      </c>
      <c r="D221">
        <v>0.53378832822486</v>
      </c>
      <c r="E221">
        <v>0.96461913463249405</v>
      </c>
      <c r="F221">
        <v>15.091533643160201</v>
      </c>
    </row>
    <row r="222" spans="1:6">
      <c r="A222" t="s">
        <v>48263</v>
      </c>
      <c r="B222" t="s">
        <v>48269</v>
      </c>
      <c r="C222">
        <v>0</v>
      </c>
      <c r="D222">
        <v>0.53378832822486</v>
      </c>
      <c r="E222">
        <v>0.96461913463249405</v>
      </c>
      <c r="F222">
        <v>15.091533643160201</v>
      </c>
    </row>
    <row r="223" spans="1:6">
      <c r="A223" t="s">
        <v>48263</v>
      </c>
      <c r="B223" t="s">
        <v>48270</v>
      </c>
      <c r="C223">
        <v>0.57348593228864697</v>
      </c>
      <c r="D223">
        <v>0.53378832822486</v>
      </c>
      <c r="E223">
        <v>0.96461913463249405</v>
      </c>
      <c r="F223">
        <v>15.091533643160201</v>
      </c>
    </row>
    <row r="224" spans="1:6">
      <c r="A224" t="s">
        <v>48263</v>
      </c>
      <c r="B224" t="s">
        <v>48271</v>
      </c>
      <c r="C224">
        <v>0</v>
      </c>
      <c r="D224">
        <v>0.53378832822486</v>
      </c>
      <c r="E224">
        <v>0.96461913463249405</v>
      </c>
      <c r="F224">
        <v>15.091533643160201</v>
      </c>
    </row>
    <row r="225" spans="1:6">
      <c r="A225" t="s">
        <v>48272</v>
      </c>
      <c r="B225" t="s">
        <v>48273</v>
      </c>
      <c r="C225">
        <v>0</v>
      </c>
      <c r="D225">
        <v>0.32306082938980002</v>
      </c>
      <c r="E225">
        <v>0.92762064685923196</v>
      </c>
      <c r="F225">
        <v>10.9937361083047</v>
      </c>
    </row>
    <row r="226" spans="1:6">
      <c r="A226" t="s">
        <v>48272</v>
      </c>
      <c r="B226" t="s">
        <v>48274</v>
      </c>
      <c r="C226">
        <v>0.51674779948447003</v>
      </c>
      <c r="D226">
        <v>0.32306082938980002</v>
      </c>
      <c r="E226">
        <v>0.92762064685923196</v>
      </c>
      <c r="F226">
        <v>10.9937361083047</v>
      </c>
    </row>
    <row r="227" spans="1:6">
      <c r="A227" t="s">
        <v>48272</v>
      </c>
      <c r="B227" t="s">
        <v>48275</v>
      </c>
      <c r="C227">
        <v>8.1989861422250496E-2</v>
      </c>
      <c r="D227">
        <v>0.32306082938980002</v>
      </c>
      <c r="E227">
        <v>0.92762064685923196</v>
      </c>
      <c r="F227">
        <v>10.9937361083047</v>
      </c>
    </row>
    <row r="228" spans="1:6">
      <c r="A228" t="s">
        <v>48272</v>
      </c>
      <c r="B228" t="s">
        <v>48276</v>
      </c>
      <c r="C228">
        <v>0</v>
      </c>
      <c r="D228">
        <v>0.32306082938980002</v>
      </c>
      <c r="E228">
        <v>0.92762064685923196</v>
      </c>
      <c r="F228">
        <v>10.9937361083047</v>
      </c>
    </row>
    <row r="229" spans="1:6">
      <c r="A229" t="s">
        <v>48272</v>
      </c>
      <c r="B229" t="s">
        <v>48277</v>
      </c>
      <c r="C229">
        <v>0</v>
      </c>
      <c r="D229">
        <v>0.32306082938980002</v>
      </c>
      <c r="E229">
        <v>0.92762064685923196</v>
      </c>
      <c r="F229">
        <v>10.9937361083047</v>
      </c>
    </row>
    <row r="230" spans="1:6">
      <c r="A230" t="s">
        <v>48278</v>
      </c>
      <c r="B230" t="s">
        <v>48279</v>
      </c>
      <c r="C230">
        <v>0.20663746097381799</v>
      </c>
      <c r="D230">
        <v>0.29457532340421799</v>
      </c>
      <c r="E230">
        <v>0.979244239581334</v>
      </c>
      <c r="F230">
        <v>23.5199030107092</v>
      </c>
    </row>
    <row r="231" spans="1:6">
      <c r="A231" t="s">
        <v>48278</v>
      </c>
      <c r="B231" t="s">
        <v>48280</v>
      </c>
      <c r="C231">
        <v>0</v>
      </c>
      <c r="D231">
        <v>0.29457532340421799</v>
      </c>
      <c r="E231">
        <v>0.979244239581334</v>
      </c>
      <c r="F231">
        <v>23.5199030107092</v>
      </c>
    </row>
    <row r="232" spans="1:6">
      <c r="A232" t="s">
        <v>48278</v>
      </c>
      <c r="B232" t="s">
        <v>48281</v>
      </c>
      <c r="C232">
        <v>0.62108592758552394</v>
      </c>
      <c r="D232">
        <v>0.29457532340421799</v>
      </c>
      <c r="E232">
        <v>0.979244239581334</v>
      </c>
      <c r="F232">
        <v>23.5199030107092</v>
      </c>
    </row>
    <row r="233" spans="1:6">
      <c r="A233" t="s">
        <v>48282</v>
      </c>
      <c r="B233" t="s">
        <v>48283</v>
      </c>
      <c r="C233">
        <v>0</v>
      </c>
      <c r="D233">
        <v>0.28850311247789601</v>
      </c>
      <c r="E233" t="s">
        <v>106</v>
      </c>
      <c r="F233">
        <v>17.278642149929201</v>
      </c>
    </row>
    <row r="234" spans="1:6">
      <c r="A234" t="s">
        <v>48282</v>
      </c>
      <c r="B234" t="s">
        <v>48284</v>
      </c>
      <c r="C234">
        <v>0</v>
      </c>
      <c r="D234">
        <v>0.28850311247789601</v>
      </c>
      <c r="E234" t="s">
        <v>106</v>
      </c>
      <c r="F234">
        <v>17.278642149929201</v>
      </c>
    </row>
    <row r="235" spans="1:6">
      <c r="A235" t="s">
        <v>48282</v>
      </c>
      <c r="B235" t="s">
        <v>48285</v>
      </c>
      <c r="C235">
        <v>0</v>
      </c>
      <c r="D235">
        <v>0.28850311247789601</v>
      </c>
      <c r="E235" t="s">
        <v>106</v>
      </c>
      <c r="F235">
        <v>17.278642149929201</v>
      </c>
    </row>
    <row r="236" spans="1:6">
      <c r="A236" t="s">
        <v>48282</v>
      </c>
      <c r="B236" t="s">
        <v>48286</v>
      </c>
      <c r="C236">
        <v>0</v>
      </c>
      <c r="D236">
        <v>0.28850311247789601</v>
      </c>
      <c r="E236" t="s">
        <v>106</v>
      </c>
      <c r="F236">
        <v>17.278642149929201</v>
      </c>
    </row>
    <row r="237" spans="1:6">
      <c r="A237" t="s">
        <v>48282</v>
      </c>
      <c r="B237" t="s">
        <v>48287</v>
      </c>
      <c r="C237">
        <v>0</v>
      </c>
      <c r="D237">
        <v>0.28850311247789601</v>
      </c>
      <c r="E237" t="s">
        <v>106</v>
      </c>
      <c r="F237">
        <v>17.278642149929201</v>
      </c>
    </row>
    <row r="238" spans="1:6">
      <c r="A238" t="s">
        <v>48282</v>
      </c>
      <c r="B238" t="s">
        <v>48288</v>
      </c>
      <c r="C238">
        <v>0</v>
      </c>
      <c r="D238">
        <v>0.28850311247789601</v>
      </c>
      <c r="E238" t="s">
        <v>106</v>
      </c>
      <c r="F238">
        <v>17.278642149929201</v>
      </c>
    </row>
    <row r="239" spans="1:6">
      <c r="A239" t="s">
        <v>48289</v>
      </c>
      <c r="B239" t="s">
        <v>48290</v>
      </c>
      <c r="C239">
        <v>0.73223401158467605</v>
      </c>
      <c r="D239">
        <v>0.44129485450463202</v>
      </c>
      <c r="E239">
        <v>0.83463401158467598</v>
      </c>
      <c r="F239">
        <v>2.05617296423519</v>
      </c>
    </row>
    <row r="240" spans="1:6">
      <c r="A240" t="s">
        <v>48289</v>
      </c>
      <c r="B240" t="s">
        <v>48291</v>
      </c>
      <c r="C240">
        <v>0</v>
      </c>
      <c r="D240">
        <v>0.44129485450463202</v>
      </c>
      <c r="E240">
        <v>0.83463401158467598</v>
      </c>
      <c r="F240">
        <v>2.05617296423519</v>
      </c>
    </row>
    <row r="241" spans="1:6">
      <c r="A241" t="s">
        <v>48292</v>
      </c>
      <c r="B241" t="s">
        <v>48293</v>
      </c>
      <c r="C241">
        <v>0</v>
      </c>
      <c r="D241">
        <v>0.45887873374313998</v>
      </c>
      <c r="E241">
        <v>0.96559879428319095</v>
      </c>
      <c r="F241">
        <v>9.8735097999595798</v>
      </c>
    </row>
    <row r="242" spans="1:6">
      <c r="A242" t="s">
        <v>48292</v>
      </c>
      <c r="B242" t="s">
        <v>48294</v>
      </c>
      <c r="C242">
        <v>0</v>
      </c>
      <c r="D242">
        <v>0.45887873374313998</v>
      </c>
      <c r="E242">
        <v>0.96559879428319095</v>
      </c>
      <c r="F242">
        <v>9.8735097999595798</v>
      </c>
    </row>
    <row r="243" spans="1:6">
      <c r="A243" t="s">
        <v>48292</v>
      </c>
      <c r="B243" t="s">
        <v>48295</v>
      </c>
      <c r="C243">
        <v>0.46479879428319099</v>
      </c>
      <c r="D243">
        <v>0.45887873374313998</v>
      </c>
      <c r="E243">
        <v>0.96559879428319095</v>
      </c>
      <c r="F243">
        <v>9.8735097999595798</v>
      </c>
    </row>
    <row r="244" spans="1:6">
      <c r="A244" t="s">
        <v>48292</v>
      </c>
      <c r="B244" t="s">
        <v>48296</v>
      </c>
      <c r="C244">
        <v>0</v>
      </c>
      <c r="D244">
        <v>0.45887873374313998</v>
      </c>
      <c r="E244">
        <v>0.96559879428319095</v>
      </c>
      <c r="F244">
        <v>9.8735097999595798</v>
      </c>
    </row>
    <row r="245" spans="1:6">
      <c r="A245" t="s">
        <v>48292</v>
      </c>
      <c r="B245" t="s">
        <v>48297</v>
      </c>
      <c r="C245">
        <v>0</v>
      </c>
      <c r="D245">
        <v>0.45887873374313998</v>
      </c>
      <c r="E245">
        <v>0.96559879428319095</v>
      </c>
      <c r="F245">
        <v>9.8735097999595798</v>
      </c>
    </row>
    <row r="246" spans="1:6">
      <c r="A246" t="s">
        <v>48292</v>
      </c>
      <c r="B246" t="s">
        <v>48298</v>
      </c>
      <c r="C246">
        <v>0</v>
      </c>
      <c r="D246">
        <v>0.45887873374313998</v>
      </c>
      <c r="E246">
        <v>0.96559879428319095</v>
      </c>
      <c r="F246">
        <v>9.8735097999595798</v>
      </c>
    </row>
    <row r="247" spans="1:6">
      <c r="A247" t="s">
        <v>48299</v>
      </c>
      <c r="B247" t="s">
        <v>48300</v>
      </c>
      <c r="C247">
        <v>0</v>
      </c>
      <c r="D247">
        <v>0.19748373612128201</v>
      </c>
      <c r="E247" t="s">
        <v>106</v>
      </c>
      <c r="F247">
        <v>0.37825823398666297</v>
      </c>
    </row>
    <row r="248" spans="1:6">
      <c r="A248" t="s">
        <v>48299</v>
      </c>
      <c r="B248" t="s">
        <v>48301</v>
      </c>
      <c r="C248">
        <v>0</v>
      </c>
      <c r="D248">
        <v>0.19748373612128201</v>
      </c>
      <c r="E248" t="s">
        <v>106</v>
      </c>
      <c r="F248">
        <v>0.37825823398666297</v>
      </c>
    </row>
    <row r="249" spans="1:6">
      <c r="A249" t="s">
        <v>48302</v>
      </c>
      <c r="B249" t="s">
        <v>48303</v>
      </c>
      <c r="C249">
        <v>0.33191370120237601</v>
      </c>
      <c r="D249">
        <v>0.22377464550856599</v>
      </c>
      <c r="E249">
        <v>0.84053079251868301</v>
      </c>
      <c r="F249">
        <v>10.028692665184799</v>
      </c>
    </row>
    <row r="250" spans="1:6">
      <c r="A250" t="s">
        <v>48302</v>
      </c>
      <c r="B250" t="s">
        <v>48304</v>
      </c>
      <c r="C250">
        <v>0.28423937119124798</v>
      </c>
      <c r="D250">
        <v>0.22377464550856599</v>
      </c>
      <c r="E250">
        <v>0.84053079251868301</v>
      </c>
      <c r="F250">
        <v>10.028692665184799</v>
      </c>
    </row>
    <row r="251" spans="1:6">
      <c r="A251" t="s">
        <v>48302</v>
      </c>
      <c r="B251" t="s">
        <v>48305</v>
      </c>
      <c r="C251">
        <v>0</v>
      </c>
      <c r="D251">
        <v>0.22377464550856599</v>
      </c>
      <c r="E251">
        <v>0.84053079251868301</v>
      </c>
      <c r="F251">
        <v>10.028692665184799</v>
      </c>
    </row>
    <row r="252" spans="1:6">
      <c r="A252" t="s">
        <v>48302</v>
      </c>
      <c r="B252" t="s">
        <v>48306</v>
      </c>
      <c r="C252">
        <v>0</v>
      </c>
      <c r="D252">
        <v>0.22377464550856599</v>
      </c>
      <c r="E252">
        <v>0.84053079251868301</v>
      </c>
      <c r="F252">
        <v>10.028692665184799</v>
      </c>
    </row>
    <row r="253" spans="1:6">
      <c r="A253" t="s">
        <v>48307</v>
      </c>
      <c r="B253" t="s">
        <v>48308</v>
      </c>
      <c r="C253">
        <v>0.73463531516979197</v>
      </c>
      <c r="D253">
        <v>0.29892735340696402</v>
      </c>
      <c r="E253">
        <v>0.76142665685575495</v>
      </c>
      <c r="F253">
        <v>1.8476459890887</v>
      </c>
    </row>
    <row r="254" spans="1:6">
      <c r="A254" t="s">
        <v>48307</v>
      </c>
      <c r="B254" t="s">
        <v>48309</v>
      </c>
      <c r="C254">
        <v>9.5202070725277199E-2</v>
      </c>
      <c r="D254">
        <v>0.29892735340696402</v>
      </c>
      <c r="E254">
        <v>0.76142665685575495</v>
      </c>
      <c r="F254">
        <v>1.8476459890887</v>
      </c>
    </row>
    <row r="255" spans="1:6">
      <c r="A255" t="s">
        <v>48310</v>
      </c>
      <c r="B255" t="s">
        <v>48311</v>
      </c>
      <c r="C255">
        <v>0</v>
      </c>
      <c r="D255">
        <v>0.178404299208168</v>
      </c>
      <c r="E255" t="s">
        <v>106</v>
      </c>
      <c r="F255">
        <v>3.2588401697312501</v>
      </c>
    </row>
    <row r="256" spans="1:6">
      <c r="A256" t="s">
        <v>48310</v>
      </c>
      <c r="B256" t="s">
        <v>48312</v>
      </c>
      <c r="C256">
        <v>0</v>
      </c>
      <c r="D256">
        <v>0.178404299208168</v>
      </c>
      <c r="E256" t="s">
        <v>106</v>
      </c>
      <c r="F256">
        <v>3.2588401697312501</v>
      </c>
    </row>
    <row r="257" spans="1:6">
      <c r="A257" t="s">
        <v>48310</v>
      </c>
      <c r="B257" t="s">
        <v>48313</v>
      </c>
      <c r="C257">
        <v>0</v>
      </c>
      <c r="D257">
        <v>0.178404299208168</v>
      </c>
      <c r="E257" t="s">
        <v>106</v>
      </c>
      <c r="F257">
        <v>3.2588401697312501</v>
      </c>
    </row>
    <row r="258" spans="1:6">
      <c r="A258" t="s">
        <v>48310</v>
      </c>
      <c r="B258" t="s">
        <v>48314</v>
      </c>
      <c r="C258">
        <v>0</v>
      </c>
      <c r="D258">
        <v>0.178404299208168</v>
      </c>
      <c r="E258" t="s">
        <v>106</v>
      </c>
      <c r="F258">
        <v>3.2588401697312501</v>
      </c>
    </row>
    <row r="259" spans="1:6">
      <c r="A259" t="s">
        <v>48310</v>
      </c>
      <c r="B259" t="s">
        <v>48315</v>
      </c>
      <c r="C259">
        <v>0</v>
      </c>
      <c r="D259">
        <v>0.178404299208168</v>
      </c>
      <c r="E259" t="s">
        <v>106</v>
      </c>
      <c r="F259">
        <v>3.2588401697312501</v>
      </c>
    </row>
    <row r="260" spans="1:6">
      <c r="A260" t="s">
        <v>48316</v>
      </c>
      <c r="B260" t="s">
        <v>48317</v>
      </c>
      <c r="C260">
        <v>0</v>
      </c>
      <c r="D260">
        <v>0.80346401791423805</v>
      </c>
      <c r="E260">
        <v>0.95148461832833198</v>
      </c>
      <c r="F260">
        <v>1.34815114164477</v>
      </c>
    </row>
    <row r="261" spans="1:6">
      <c r="A261" t="s">
        <v>48316</v>
      </c>
      <c r="B261" t="s">
        <v>48318</v>
      </c>
      <c r="C261">
        <v>0</v>
      </c>
      <c r="D261">
        <v>0.80346401791423805</v>
      </c>
      <c r="E261">
        <v>0.95148461832833198</v>
      </c>
      <c r="F261">
        <v>1.34815114164477</v>
      </c>
    </row>
    <row r="262" spans="1:6">
      <c r="A262" t="s">
        <v>48316</v>
      </c>
      <c r="B262" t="s">
        <v>48319</v>
      </c>
      <c r="C262">
        <v>0.83209916473587497</v>
      </c>
      <c r="D262">
        <v>0.80346401791423805</v>
      </c>
      <c r="E262">
        <v>0.95148461832833198</v>
      </c>
      <c r="F262">
        <v>1.34815114164477</v>
      </c>
    </row>
    <row r="263" spans="1:6">
      <c r="A263" t="s">
        <v>48316</v>
      </c>
      <c r="B263" t="s">
        <v>48320</v>
      </c>
      <c r="C263">
        <v>0</v>
      </c>
      <c r="D263">
        <v>0.80346401791423805</v>
      </c>
      <c r="E263">
        <v>0.95148461832833198</v>
      </c>
      <c r="F263">
        <v>1.34815114164477</v>
      </c>
    </row>
    <row r="264" spans="1:6">
      <c r="A264" t="s">
        <v>48316</v>
      </c>
      <c r="B264" t="s">
        <v>48321</v>
      </c>
      <c r="C264">
        <v>0</v>
      </c>
      <c r="D264">
        <v>0.80346401791423805</v>
      </c>
      <c r="E264">
        <v>0.95148461832833198</v>
      </c>
      <c r="F264">
        <v>1.34815114164477</v>
      </c>
    </row>
    <row r="265" spans="1:6">
      <c r="A265" t="s">
        <v>48316</v>
      </c>
      <c r="B265" t="s">
        <v>48322</v>
      </c>
      <c r="C265">
        <v>0</v>
      </c>
      <c r="D265">
        <v>0.80346401791423805</v>
      </c>
      <c r="E265">
        <v>0.95148461832833198</v>
      </c>
      <c r="F265">
        <v>1.34815114164477</v>
      </c>
    </row>
    <row r="266" spans="1:6">
      <c r="A266" t="s">
        <v>48316</v>
      </c>
      <c r="B266" t="s">
        <v>48323</v>
      </c>
      <c r="C266">
        <v>0.46224650763500202</v>
      </c>
      <c r="D266">
        <v>0.80346401791423805</v>
      </c>
      <c r="E266">
        <v>0.95148461832833198</v>
      </c>
      <c r="F266">
        <v>1.34815114164477</v>
      </c>
    </row>
    <row r="267" spans="1:6">
      <c r="A267" t="s">
        <v>48324</v>
      </c>
      <c r="B267" t="s">
        <v>48325</v>
      </c>
      <c r="C267">
        <v>0.74141638671107901</v>
      </c>
      <c r="D267">
        <v>0.38748040973022801</v>
      </c>
      <c r="E267">
        <v>0.95464295321798898</v>
      </c>
      <c r="F267">
        <v>18.321277025661701</v>
      </c>
    </row>
    <row r="268" spans="1:6">
      <c r="A268" t="s">
        <v>48324</v>
      </c>
      <c r="B268" t="s">
        <v>48326</v>
      </c>
      <c r="C268">
        <v>0</v>
      </c>
      <c r="D268">
        <v>0.38748040973022801</v>
      </c>
      <c r="E268">
        <v>0.95464295321798898</v>
      </c>
      <c r="F268">
        <v>18.321277025661701</v>
      </c>
    </row>
    <row r="269" spans="1:6">
      <c r="A269" t="s">
        <v>48324</v>
      </c>
      <c r="B269" t="s">
        <v>48327</v>
      </c>
      <c r="C269">
        <v>0</v>
      </c>
      <c r="D269">
        <v>0.38748040973022801</v>
      </c>
      <c r="E269">
        <v>0.95464295321798898</v>
      </c>
      <c r="F269">
        <v>18.321277025661701</v>
      </c>
    </row>
    <row r="270" spans="1:6">
      <c r="A270" t="s">
        <v>48324</v>
      </c>
      <c r="B270" t="s">
        <v>48328</v>
      </c>
      <c r="C270">
        <v>0.22125932036651</v>
      </c>
      <c r="D270">
        <v>0.38748040973022801</v>
      </c>
      <c r="E270">
        <v>0.95464295321798898</v>
      </c>
      <c r="F270">
        <v>18.321277025661701</v>
      </c>
    </row>
    <row r="271" spans="1:6">
      <c r="A271" t="s">
        <v>48329</v>
      </c>
      <c r="B271" t="s">
        <v>48330</v>
      </c>
      <c r="C271">
        <v>0</v>
      </c>
      <c r="D271">
        <v>0.27676422084779501</v>
      </c>
      <c r="E271">
        <v>0.83710630035703504</v>
      </c>
      <c r="F271">
        <v>1.98828046069913</v>
      </c>
    </row>
    <row r="272" spans="1:6">
      <c r="A272" t="s">
        <v>48329</v>
      </c>
      <c r="B272" t="s">
        <v>48331</v>
      </c>
      <c r="C272">
        <v>0</v>
      </c>
      <c r="D272">
        <v>0.27676422084779501</v>
      </c>
      <c r="E272">
        <v>0.83710630035703504</v>
      </c>
      <c r="F272">
        <v>1.98828046069913</v>
      </c>
    </row>
    <row r="273" spans="1:6">
      <c r="A273" t="s">
        <v>48329</v>
      </c>
      <c r="B273" t="s">
        <v>48332</v>
      </c>
      <c r="C273">
        <v>0.56510630035703502</v>
      </c>
      <c r="D273">
        <v>0.27676422084779501</v>
      </c>
      <c r="E273">
        <v>0.83710630035703504</v>
      </c>
      <c r="F273">
        <v>1.98828046069913</v>
      </c>
    </row>
    <row r="274" spans="1:6">
      <c r="A274" t="s">
        <v>48329</v>
      </c>
      <c r="B274" t="s">
        <v>48333</v>
      </c>
      <c r="C274">
        <v>0</v>
      </c>
      <c r="D274">
        <v>0.27676422084779501</v>
      </c>
      <c r="E274">
        <v>0.83710630035703504</v>
      </c>
      <c r="F274">
        <v>1.98828046069913</v>
      </c>
    </row>
    <row r="275" spans="1:6">
      <c r="A275" t="s">
        <v>48329</v>
      </c>
      <c r="B275" t="s">
        <v>48334</v>
      </c>
      <c r="C275">
        <v>0</v>
      </c>
      <c r="D275">
        <v>0.27676422084779501</v>
      </c>
      <c r="E275">
        <v>0.83710630035703504</v>
      </c>
      <c r="F275">
        <v>1.98828046069913</v>
      </c>
    </row>
    <row r="276" spans="1:6">
      <c r="A276" t="s">
        <v>48329</v>
      </c>
      <c r="B276" t="s">
        <v>48335</v>
      </c>
      <c r="C276">
        <v>0</v>
      </c>
      <c r="D276">
        <v>0.27676422084779501</v>
      </c>
      <c r="E276">
        <v>0.83710630035703504</v>
      </c>
      <c r="F276">
        <v>1.98828046069913</v>
      </c>
    </row>
    <row r="277" spans="1:6">
      <c r="A277" t="s">
        <v>48329</v>
      </c>
      <c r="B277" t="s">
        <v>48336</v>
      </c>
      <c r="C277">
        <v>0</v>
      </c>
      <c r="D277">
        <v>0.27676422084779501</v>
      </c>
      <c r="E277">
        <v>0.83710630035703504</v>
      </c>
      <c r="F277">
        <v>1.98828046069913</v>
      </c>
    </row>
    <row r="278" spans="1:6">
      <c r="A278" t="s">
        <v>48337</v>
      </c>
      <c r="B278" t="s">
        <v>48338</v>
      </c>
      <c r="C278">
        <v>0</v>
      </c>
      <c r="D278">
        <v>0.211074201893897</v>
      </c>
      <c r="E278">
        <v>0.96882176199967995</v>
      </c>
      <c r="F278">
        <v>13.772479288745201</v>
      </c>
    </row>
    <row r="279" spans="1:6">
      <c r="A279" t="s">
        <v>48337</v>
      </c>
      <c r="B279" t="s">
        <v>48339</v>
      </c>
      <c r="C279">
        <v>0</v>
      </c>
      <c r="D279">
        <v>0.211074201893897</v>
      </c>
      <c r="E279">
        <v>0.96882176199967995</v>
      </c>
      <c r="F279">
        <v>13.772479288745201</v>
      </c>
    </row>
    <row r="280" spans="1:6">
      <c r="A280" t="s">
        <v>48337</v>
      </c>
      <c r="B280" t="s">
        <v>48340</v>
      </c>
      <c r="C280">
        <v>0</v>
      </c>
      <c r="D280">
        <v>0.211074201893897</v>
      </c>
      <c r="E280">
        <v>0.96882176199967995</v>
      </c>
      <c r="F280">
        <v>13.772479288745201</v>
      </c>
    </row>
    <row r="281" spans="1:6">
      <c r="A281" t="s">
        <v>48337</v>
      </c>
      <c r="B281" t="s">
        <v>48341</v>
      </c>
      <c r="C281">
        <v>0</v>
      </c>
      <c r="D281">
        <v>0.211074201893897</v>
      </c>
      <c r="E281">
        <v>0.96882176199967995</v>
      </c>
      <c r="F281">
        <v>13.772479288745201</v>
      </c>
    </row>
    <row r="282" spans="1:6">
      <c r="A282" t="s">
        <v>48337</v>
      </c>
      <c r="B282" t="s">
        <v>48342</v>
      </c>
      <c r="C282">
        <v>0</v>
      </c>
      <c r="D282">
        <v>0.211074201893897</v>
      </c>
      <c r="E282">
        <v>0.96882176199967995</v>
      </c>
      <c r="F282">
        <v>13.772479288745201</v>
      </c>
    </row>
    <row r="283" spans="1:6">
      <c r="A283" t="s">
        <v>48337</v>
      </c>
      <c r="B283" t="s">
        <v>48343</v>
      </c>
      <c r="C283">
        <v>0.45846961751509602</v>
      </c>
      <c r="D283">
        <v>0.211074201893897</v>
      </c>
      <c r="E283">
        <v>0.96882176199967995</v>
      </c>
      <c r="F283">
        <v>13.772479288745201</v>
      </c>
    </row>
    <row r="284" spans="1:6">
      <c r="A284" t="s">
        <v>48337</v>
      </c>
      <c r="B284" t="s">
        <v>48344</v>
      </c>
      <c r="C284">
        <v>0.19066648198957201</v>
      </c>
      <c r="D284">
        <v>0.211074201893897</v>
      </c>
      <c r="E284">
        <v>0.96882176199967995</v>
      </c>
      <c r="F284">
        <v>13.772479288745201</v>
      </c>
    </row>
    <row r="285" spans="1:6">
      <c r="A285" t="s">
        <v>48345</v>
      </c>
      <c r="B285" t="s">
        <v>48346</v>
      </c>
      <c r="C285">
        <v>0.36687361983630601</v>
      </c>
      <c r="D285">
        <v>0.14897090862863499</v>
      </c>
      <c r="E285">
        <v>0.85339663144081901</v>
      </c>
      <c r="F285">
        <v>3.9183673469387701</v>
      </c>
    </row>
    <row r="286" spans="1:6">
      <c r="A286" t="s">
        <v>48345</v>
      </c>
      <c r="B286" t="s">
        <v>48347</v>
      </c>
      <c r="C286">
        <v>0.19522279014239299</v>
      </c>
      <c r="D286">
        <v>0.14897090862863499</v>
      </c>
      <c r="E286">
        <v>0.85339663144081901</v>
      </c>
      <c r="F286">
        <v>3.9183673469387701</v>
      </c>
    </row>
    <row r="287" spans="1:6">
      <c r="A287" t="s">
        <v>48345</v>
      </c>
      <c r="B287" t="s">
        <v>48348</v>
      </c>
      <c r="C287">
        <v>0</v>
      </c>
      <c r="D287">
        <v>0.14897090862863499</v>
      </c>
      <c r="E287">
        <v>0.85339663144081901</v>
      </c>
      <c r="F287">
        <v>3.9183673469387701</v>
      </c>
    </row>
    <row r="288" spans="1:6">
      <c r="A288" t="s">
        <v>48349</v>
      </c>
      <c r="B288" t="s">
        <v>48350</v>
      </c>
      <c r="C288">
        <v>0</v>
      </c>
      <c r="D288">
        <v>3.3747956735374202E-2</v>
      </c>
      <c r="E288">
        <v>0.91290190591855802</v>
      </c>
      <c r="F288">
        <v>4.63123863406748</v>
      </c>
    </row>
    <row r="289" spans="1:6">
      <c r="A289" t="s">
        <v>48349</v>
      </c>
      <c r="B289" t="s">
        <v>48351</v>
      </c>
      <c r="C289">
        <v>0</v>
      </c>
      <c r="D289">
        <v>3.3747956735374202E-2</v>
      </c>
      <c r="E289">
        <v>0.91290190591855802</v>
      </c>
      <c r="F289">
        <v>4.63123863406748</v>
      </c>
    </row>
    <row r="290" spans="1:6">
      <c r="A290" t="s">
        <v>48349</v>
      </c>
      <c r="B290" t="s">
        <v>48352</v>
      </c>
      <c r="C290">
        <v>0.55411760417754297</v>
      </c>
      <c r="D290">
        <v>3.3747956735374202E-2</v>
      </c>
      <c r="E290">
        <v>0.91290190591855802</v>
      </c>
      <c r="F290">
        <v>4.63123863406748</v>
      </c>
    </row>
    <row r="291" spans="1:6">
      <c r="A291" t="s">
        <v>48349</v>
      </c>
      <c r="B291" t="s">
        <v>48353</v>
      </c>
      <c r="C291">
        <v>0</v>
      </c>
      <c r="D291">
        <v>3.3747956735374202E-2</v>
      </c>
      <c r="E291">
        <v>0.91290190591855802</v>
      </c>
      <c r="F291">
        <v>4.63123863406748</v>
      </c>
    </row>
    <row r="292" spans="1:6">
      <c r="A292" t="s">
        <v>48349</v>
      </c>
      <c r="B292" t="s">
        <v>48354</v>
      </c>
      <c r="C292">
        <v>0.196545675247254</v>
      </c>
      <c r="D292">
        <v>3.3747956735374202E-2</v>
      </c>
      <c r="E292">
        <v>0.91290190591855802</v>
      </c>
      <c r="F292">
        <v>4.63123863406748</v>
      </c>
    </row>
    <row r="293" spans="1:6">
      <c r="A293" t="s">
        <v>48355</v>
      </c>
      <c r="B293" t="s">
        <v>48356</v>
      </c>
      <c r="C293">
        <v>7.9760250958898798E-2</v>
      </c>
      <c r="D293">
        <v>0.572579218080425</v>
      </c>
      <c r="E293">
        <v>0.99911290529903196</v>
      </c>
      <c r="F293">
        <v>2.6623560315215098</v>
      </c>
    </row>
    <row r="294" spans="1:6">
      <c r="A294" t="s">
        <v>48355</v>
      </c>
      <c r="B294" t="s">
        <v>48357</v>
      </c>
      <c r="C294">
        <v>0</v>
      </c>
      <c r="D294">
        <v>0.572579218080425</v>
      </c>
      <c r="E294">
        <v>0.99911290529903196</v>
      </c>
      <c r="F294">
        <v>2.6623560315215098</v>
      </c>
    </row>
    <row r="295" spans="1:6">
      <c r="A295" t="s">
        <v>48355</v>
      </c>
      <c r="B295" t="s">
        <v>48358</v>
      </c>
      <c r="C295">
        <v>0.94133165460486601</v>
      </c>
      <c r="D295">
        <v>0.572579218080425</v>
      </c>
      <c r="E295">
        <v>0.99911290529903196</v>
      </c>
      <c r="F295">
        <v>2.6623560315215098</v>
      </c>
    </row>
    <row r="296" spans="1:6">
      <c r="A296" t="s">
        <v>48355</v>
      </c>
      <c r="B296" t="s">
        <v>48359</v>
      </c>
      <c r="C296">
        <v>0</v>
      </c>
      <c r="D296">
        <v>0.572579218080425</v>
      </c>
      <c r="E296">
        <v>0.99911290529903196</v>
      </c>
      <c r="F296">
        <v>2.6623560315215098</v>
      </c>
    </row>
    <row r="297" spans="1:6">
      <c r="A297" t="s">
        <v>48360</v>
      </c>
      <c r="B297" t="s">
        <v>48361</v>
      </c>
      <c r="C297">
        <v>0</v>
      </c>
      <c r="D297">
        <v>0.45031685031184598</v>
      </c>
      <c r="E297" t="s">
        <v>106</v>
      </c>
      <c r="F297">
        <v>0.475247524752475</v>
      </c>
    </row>
    <row r="298" spans="1:6">
      <c r="A298" t="s">
        <v>48360</v>
      </c>
      <c r="B298" t="s">
        <v>48362</v>
      </c>
      <c r="C298">
        <v>0</v>
      </c>
      <c r="D298">
        <v>0.45031685031184598</v>
      </c>
      <c r="E298" t="s">
        <v>106</v>
      </c>
      <c r="F298">
        <v>0.475247524752475</v>
      </c>
    </row>
    <row r="299" spans="1:6">
      <c r="A299" t="s">
        <v>48363</v>
      </c>
      <c r="B299" t="s">
        <v>48364</v>
      </c>
      <c r="C299">
        <v>0</v>
      </c>
      <c r="D299">
        <v>0.34619222658348697</v>
      </c>
      <c r="E299" t="s">
        <v>106</v>
      </c>
      <c r="F299">
        <v>23.5199030107092</v>
      </c>
    </row>
    <row r="300" spans="1:6">
      <c r="A300" t="s">
        <v>48363</v>
      </c>
      <c r="B300" t="s">
        <v>48365</v>
      </c>
      <c r="C300">
        <v>0</v>
      </c>
      <c r="D300">
        <v>0.34619222658348697</v>
      </c>
      <c r="E300" t="s">
        <v>106</v>
      </c>
      <c r="F300">
        <v>23.5199030107092</v>
      </c>
    </row>
    <row r="301" spans="1:6">
      <c r="A301" t="s">
        <v>48363</v>
      </c>
      <c r="B301" t="s">
        <v>48366</v>
      </c>
      <c r="C301">
        <v>0</v>
      </c>
      <c r="D301">
        <v>0.34619222658348697</v>
      </c>
      <c r="E301" t="s">
        <v>106</v>
      </c>
      <c r="F301">
        <v>23.5199030107092</v>
      </c>
    </row>
    <row r="302" spans="1:6">
      <c r="A302" t="s">
        <v>48363</v>
      </c>
      <c r="B302" t="s">
        <v>48367</v>
      </c>
      <c r="C302">
        <v>0</v>
      </c>
      <c r="D302">
        <v>0.34619222658348697</v>
      </c>
      <c r="E302" t="s">
        <v>106</v>
      </c>
      <c r="F302">
        <v>23.5199030107092</v>
      </c>
    </row>
    <row r="303" spans="1:6">
      <c r="A303" t="s">
        <v>48363</v>
      </c>
      <c r="B303" t="s">
        <v>48368</v>
      </c>
      <c r="C303">
        <v>0</v>
      </c>
      <c r="D303">
        <v>0.34619222658348697</v>
      </c>
      <c r="E303" t="s">
        <v>106</v>
      </c>
      <c r="F303">
        <v>23.5199030107092</v>
      </c>
    </row>
    <row r="304" spans="1:6">
      <c r="A304" t="s">
        <v>48363</v>
      </c>
      <c r="B304" t="s">
        <v>48369</v>
      </c>
      <c r="C304">
        <v>0</v>
      </c>
      <c r="D304">
        <v>0.34619222658348697</v>
      </c>
      <c r="E304" t="s">
        <v>106</v>
      </c>
      <c r="F304">
        <v>23.5199030107092</v>
      </c>
    </row>
    <row r="305" spans="1:6">
      <c r="A305" t="s">
        <v>48363</v>
      </c>
      <c r="B305" t="s">
        <v>48370</v>
      </c>
      <c r="C305">
        <v>0</v>
      </c>
      <c r="D305">
        <v>0.34619222658348697</v>
      </c>
      <c r="E305" t="s">
        <v>106</v>
      </c>
      <c r="F305">
        <v>23.5199030107092</v>
      </c>
    </row>
    <row r="306" spans="1:6">
      <c r="A306" t="s">
        <v>48371</v>
      </c>
      <c r="B306" t="s">
        <v>48372</v>
      </c>
      <c r="C306">
        <v>0</v>
      </c>
      <c r="D306">
        <v>0.27525289722247798</v>
      </c>
      <c r="E306">
        <v>0.957498399122371</v>
      </c>
      <c r="F306">
        <v>24</v>
      </c>
    </row>
    <row r="307" spans="1:6">
      <c r="A307" t="s">
        <v>48371</v>
      </c>
      <c r="B307" t="s">
        <v>48373</v>
      </c>
      <c r="C307">
        <v>0.23330327930528599</v>
      </c>
      <c r="D307">
        <v>0.27525289722247798</v>
      </c>
      <c r="E307">
        <v>0.957498399122371</v>
      </c>
      <c r="F307">
        <v>24</v>
      </c>
    </row>
    <row r="308" spans="1:6">
      <c r="A308" t="s">
        <v>48371</v>
      </c>
      <c r="B308" t="s">
        <v>48374</v>
      </c>
      <c r="C308">
        <v>0.81763363050145399</v>
      </c>
      <c r="D308">
        <v>0.27525289722247798</v>
      </c>
      <c r="E308">
        <v>0.957498399122371</v>
      </c>
      <c r="F308">
        <v>24</v>
      </c>
    </row>
    <row r="309" spans="1:6">
      <c r="A309" t="s">
        <v>48371</v>
      </c>
      <c r="B309" t="s">
        <v>48375</v>
      </c>
      <c r="C309">
        <v>0</v>
      </c>
      <c r="D309">
        <v>0.27525289722247798</v>
      </c>
      <c r="E309">
        <v>0.957498399122371</v>
      </c>
      <c r="F309">
        <v>24</v>
      </c>
    </row>
    <row r="310" spans="1:6">
      <c r="A310" t="s">
        <v>48376</v>
      </c>
      <c r="B310" t="s">
        <v>48377</v>
      </c>
      <c r="C310">
        <v>0.82645838122794901</v>
      </c>
      <c r="D310">
        <v>0.92451915559224496</v>
      </c>
      <c r="E310">
        <v>0.92706801177461895</v>
      </c>
      <c r="F310">
        <v>10.028692665184799</v>
      </c>
    </row>
    <row r="311" spans="1:6">
      <c r="A311" t="s">
        <v>48376</v>
      </c>
      <c r="B311" t="s">
        <v>48378</v>
      </c>
      <c r="C311">
        <v>6.7697182238480799E-2</v>
      </c>
      <c r="D311">
        <v>0.92451915559224496</v>
      </c>
      <c r="E311">
        <v>0.92706801177461895</v>
      </c>
      <c r="F311">
        <v>10.028692665184799</v>
      </c>
    </row>
    <row r="312" spans="1:6">
      <c r="A312" t="s">
        <v>48379</v>
      </c>
      <c r="B312" t="s">
        <v>48380</v>
      </c>
      <c r="C312">
        <v>0.39491749642304402</v>
      </c>
      <c r="D312">
        <v>0.132109611240043</v>
      </c>
      <c r="E312">
        <v>0.88063344240182295</v>
      </c>
      <c r="F312">
        <v>4.0153566377045804</v>
      </c>
    </row>
    <row r="313" spans="1:6">
      <c r="A313" t="s">
        <v>48379</v>
      </c>
      <c r="B313" t="s">
        <v>48381</v>
      </c>
      <c r="C313">
        <v>0</v>
      </c>
      <c r="D313">
        <v>0.132109611240043</v>
      </c>
      <c r="E313">
        <v>0.88063344240182295</v>
      </c>
      <c r="F313">
        <v>4.0153566377045804</v>
      </c>
    </row>
    <row r="314" spans="1:6">
      <c r="A314" t="s">
        <v>48379</v>
      </c>
      <c r="B314" t="s">
        <v>48382</v>
      </c>
      <c r="C314">
        <v>0.447560850174263</v>
      </c>
      <c r="D314">
        <v>0.132109611240043</v>
      </c>
      <c r="E314">
        <v>0.88063344240182295</v>
      </c>
      <c r="F314">
        <v>4.0153566377045804</v>
      </c>
    </row>
    <row r="315" spans="1:6">
      <c r="A315" t="s">
        <v>48383</v>
      </c>
      <c r="B315" t="s">
        <v>48384</v>
      </c>
      <c r="C315">
        <v>0</v>
      </c>
      <c r="D315">
        <v>0.254599452287811</v>
      </c>
      <c r="E315">
        <v>0.98273910451556001</v>
      </c>
      <c r="F315">
        <v>2.5071731662962198</v>
      </c>
    </row>
    <row r="316" spans="1:6">
      <c r="A316" t="s">
        <v>48383</v>
      </c>
      <c r="B316" t="s">
        <v>48385</v>
      </c>
      <c r="C316">
        <v>0.46219733961183801</v>
      </c>
      <c r="D316">
        <v>0.254599452287811</v>
      </c>
      <c r="E316">
        <v>0.98273910451556001</v>
      </c>
      <c r="F316">
        <v>2.5071731662962198</v>
      </c>
    </row>
    <row r="317" spans="1:6">
      <c r="A317" t="s">
        <v>48383</v>
      </c>
      <c r="B317" t="s">
        <v>48386</v>
      </c>
      <c r="C317">
        <v>0</v>
      </c>
      <c r="D317">
        <v>0.254599452287811</v>
      </c>
      <c r="E317">
        <v>0.98273910451556001</v>
      </c>
      <c r="F317">
        <v>2.5071731662962198</v>
      </c>
    </row>
    <row r="318" spans="1:6">
      <c r="A318" t="s">
        <v>48383</v>
      </c>
      <c r="B318" t="s">
        <v>48387</v>
      </c>
      <c r="C318">
        <v>0</v>
      </c>
      <c r="D318">
        <v>0.254599452287811</v>
      </c>
      <c r="E318">
        <v>0.98273910451556001</v>
      </c>
      <c r="F318">
        <v>2.5071731662962198</v>
      </c>
    </row>
    <row r="319" spans="1:6">
      <c r="A319" t="s">
        <v>48383</v>
      </c>
      <c r="B319" t="s">
        <v>48388</v>
      </c>
      <c r="C319">
        <v>0</v>
      </c>
      <c r="D319">
        <v>0.254599452287811</v>
      </c>
      <c r="E319">
        <v>0.98273910451556001</v>
      </c>
      <c r="F319">
        <v>2.5071731662962198</v>
      </c>
    </row>
    <row r="320" spans="1:6">
      <c r="A320" t="s">
        <v>48383</v>
      </c>
      <c r="B320" t="s">
        <v>48389</v>
      </c>
      <c r="C320">
        <v>0</v>
      </c>
      <c r="D320">
        <v>0.254599452287811</v>
      </c>
      <c r="E320">
        <v>0.98273910451556001</v>
      </c>
      <c r="F320">
        <v>2.5071731662962198</v>
      </c>
    </row>
    <row r="321" spans="1:6">
      <c r="A321" t="s">
        <v>48383</v>
      </c>
      <c r="B321" t="s">
        <v>48390</v>
      </c>
      <c r="C321">
        <v>0.28360071813139198</v>
      </c>
      <c r="D321">
        <v>0.254599452287811</v>
      </c>
      <c r="E321">
        <v>0.98273910451556001</v>
      </c>
      <c r="F321">
        <v>2.5071731662962198</v>
      </c>
    </row>
    <row r="322" spans="1:6">
      <c r="A322" t="s">
        <v>48383</v>
      </c>
      <c r="B322" t="s">
        <v>48391</v>
      </c>
      <c r="C322">
        <v>0</v>
      </c>
      <c r="D322">
        <v>0.254599452287811</v>
      </c>
      <c r="E322">
        <v>0.98273910451556001</v>
      </c>
      <c r="F322">
        <v>2.5071731662962198</v>
      </c>
    </row>
    <row r="323" spans="1:6">
      <c r="A323" t="s">
        <v>48383</v>
      </c>
      <c r="B323" t="s">
        <v>48392</v>
      </c>
      <c r="C323">
        <v>0</v>
      </c>
      <c r="D323">
        <v>0.254599452287811</v>
      </c>
      <c r="E323">
        <v>0.98273910451556001</v>
      </c>
      <c r="F323">
        <v>2.5071731662962198</v>
      </c>
    </row>
    <row r="324" spans="1:6">
      <c r="A324" t="s">
        <v>48383</v>
      </c>
      <c r="B324" t="s">
        <v>48393</v>
      </c>
      <c r="C324">
        <v>0</v>
      </c>
      <c r="D324">
        <v>0.254599452287811</v>
      </c>
      <c r="E324">
        <v>0.98273910451556001</v>
      </c>
      <c r="F324">
        <v>2.5071731662962198</v>
      </c>
    </row>
    <row r="325" spans="1:6">
      <c r="A325" t="s">
        <v>48383</v>
      </c>
      <c r="B325" t="s">
        <v>48394</v>
      </c>
      <c r="C325">
        <v>0</v>
      </c>
      <c r="D325">
        <v>0.254599452287811</v>
      </c>
      <c r="E325">
        <v>0.98273910451556001</v>
      </c>
      <c r="F325">
        <v>2.5071731662962198</v>
      </c>
    </row>
    <row r="326" spans="1:6">
      <c r="A326" t="s">
        <v>48395</v>
      </c>
      <c r="B326" t="s">
        <v>48396</v>
      </c>
      <c r="C326">
        <v>0</v>
      </c>
      <c r="D326">
        <v>0.70575632370678398</v>
      </c>
      <c r="E326">
        <v>0.92641078423724299</v>
      </c>
      <c r="F326">
        <v>16.0662760153566</v>
      </c>
    </row>
    <row r="327" spans="1:6">
      <c r="A327" t="s">
        <v>48395</v>
      </c>
      <c r="B327" t="s">
        <v>48397</v>
      </c>
      <c r="C327">
        <v>0</v>
      </c>
      <c r="D327">
        <v>0.70575632370678398</v>
      </c>
      <c r="E327">
        <v>0.92641078423724299</v>
      </c>
      <c r="F327">
        <v>16.0662760153566</v>
      </c>
    </row>
    <row r="328" spans="1:6">
      <c r="A328" t="s">
        <v>48395</v>
      </c>
      <c r="B328" t="s">
        <v>48398</v>
      </c>
      <c r="C328">
        <v>0</v>
      </c>
      <c r="D328">
        <v>0.70575632370678398</v>
      </c>
      <c r="E328">
        <v>0.92641078423724299</v>
      </c>
      <c r="F328">
        <v>16.0662760153566</v>
      </c>
    </row>
    <row r="329" spans="1:6">
      <c r="A329" t="s">
        <v>48395</v>
      </c>
      <c r="B329" t="s">
        <v>48399</v>
      </c>
      <c r="C329">
        <v>0</v>
      </c>
      <c r="D329">
        <v>0.70575632370678398</v>
      </c>
      <c r="E329">
        <v>0.92641078423724299</v>
      </c>
      <c r="F329">
        <v>16.0662760153566</v>
      </c>
    </row>
    <row r="330" spans="1:6">
      <c r="A330" t="s">
        <v>48395</v>
      </c>
      <c r="B330" t="s">
        <v>48400</v>
      </c>
      <c r="C330">
        <v>0</v>
      </c>
      <c r="D330">
        <v>0.70575632370678398</v>
      </c>
      <c r="E330">
        <v>0.92641078423724299</v>
      </c>
      <c r="F330">
        <v>16.0662760153566</v>
      </c>
    </row>
    <row r="331" spans="1:6">
      <c r="A331" t="s">
        <v>48395</v>
      </c>
      <c r="B331" t="s">
        <v>48401</v>
      </c>
      <c r="C331">
        <v>0</v>
      </c>
      <c r="D331">
        <v>0.70575632370678398</v>
      </c>
      <c r="E331">
        <v>0.92641078423724299</v>
      </c>
      <c r="F331">
        <v>16.0662760153566</v>
      </c>
    </row>
    <row r="332" spans="1:6">
      <c r="A332" t="s">
        <v>48395</v>
      </c>
      <c r="B332" t="s">
        <v>48402</v>
      </c>
      <c r="C332">
        <v>0.33029273363432998</v>
      </c>
      <c r="D332">
        <v>0.70575632370678398</v>
      </c>
      <c r="E332">
        <v>0.92641078423724299</v>
      </c>
      <c r="F332">
        <v>16.0662760153566</v>
      </c>
    </row>
    <row r="333" spans="1:6">
      <c r="A333" t="s">
        <v>48395</v>
      </c>
      <c r="B333" t="s">
        <v>48403</v>
      </c>
      <c r="C333">
        <v>0.29191036005498</v>
      </c>
      <c r="D333">
        <v>0.70575632370678398</v>
      </c>
      <c r="E333">
        <v>0.92641078423724299</v>
      </c>
      <c r="F333">
        <v>16.0662760153566</v>
      </c>
    </row>
    <row r="334" spans="1:6">
      <c r="A334" t="s">
        <v>48404</v>
      </c>
      <c r="B334" t="s">
        <v>48405</v>
      </c>
      <c r="C334">
        <v>0.44705306993567301</v>
      </c>
      <c r="D334">
        <v>0.30850750298164897</v>
      </c>
      <c r="E334">
        <v>0.97490914938852802</v>
      </c>
      <c r="F334">
        <v>14.7084259446352</v>
      </c>
    </row>
    <row r="335" spans="1:6">
      <c r="A335" t="s">
        <v>48404</v>
      </c>
      <c r="B335" t="s">
        <v>48406</v>
      </c>
      <c r="C335">
        <v>0</v>
      </c>
      <c r="D335">
        <v>0.30850750298164897</v>
      </c>
      <c r="E335">
        <v>0.97490914938852802</v>
      </c>
      <c r="F335">
        <v>14.7084259446352</v>
      </c>
    </row>
    <row r="336" spans="1:6">
      <c r="A336" t="s">
        <v>48404</v>
      </c>
      <c r="B336" t="s">
        <v>48407</v>
      </c>
      <c r="C336">
        <v>0</v>
      </c>
      <c r="D336">
        <v>0.30850750298164897</v>
      </c>
      <c r="E336">
        <v>0.97490914938852802</v>
      </c>
      <c r="F336">
        <v>14.7084259446352</v>
      </c>
    </row>
    <row r="337" spans="1:6">
      <c r="A337" t="s">
        <v>48404</v>
      </c>
      <c r="B337" t="s">
        <v>48408</v>
      </c>
      <c r="C337">
        <v>0</v>
      </c>
      <c r="D337">
        <v>0.30850750298164897</v>
      </c>
      <c r="E337">
        <v>0.97490914938852802</v>
      </c>
      <c r="F337">
        <v>14.7084259446352</v>
      </c>
    </row>
    <row r="338" spans="1:6">
      <c r="A338" t="s">
        <v>48404</v>
      </c>
      <c r="B338" t="s">
        <v>48409</v>
      </c>
      <c r="C338">
        <v>0.449357350186254</v>
      </c>
      <c r="D338">
        <v>0.30850750298164897</v>
      </c>
      <c r="E338">
        <v>0.97490914938852802</v>
      </c>
      <c r="F338">
        <v>14.7084259446352</v>
      </c>
    </row>
    <row r="339" spans="1:6">
      <c r="A339" t="s">
        <v>48404</v>
      </c>
      <c r="B339" t="s">
        <v>48410</v>
      </c>
      <c r="C339">
        <v>0</v>
      </c>
      <c r="D339">
        <v>0.30850750298164897</v>
      </c>
      <c r="E339">
        <v>0.97490914938852802</v>
      </c>
      <c r="F339">
        <v>14.7084259446352</v>
      </c>
    </row>
    <row r="340" spans="1:6">
      <c r="A340" t="s">
        <v>48411</v>
      </c>
      <c r="B340" t="s">
        <v>48412</v>
      </c>
      <c r="C340">
        <v>0</v>
      </c>
      <c r="D340">
        <v>0.60532064911705796</v>
      </c>
      <c r="E340">
        <v>0.85124938520954496</v>
      </c>
      <c r="F340">
        <v>13.4087694483734</v>
      </c>
    </row>
    <row r="341" spans="1:6">
      <c r="A341" t="s">
        <v>48411</v>
      </c>
      <c r="B341" t="s">
        <v>48413</v>
      </c>
      <c r="C341">
        <v>0</v>
      </c>
      <c r="D341">
        <v>0.60532064911705796</v>
      </c>
      <c r="E341">
        <v>0.85124938520954496</v>
      </c>
      <c r="F341">
        <v>13.4087694483734</v>
      </c>
    </row>
    <row r="342" spans="1:6">
      <c r="A342" t="s">
        <v>48411</v>
      </c>
      <c r="B342" t="s">
        <v>48414</v>
      </c>
      <c r="C342">
        <v>0.63364938520954495</v>
      </c>
      <c r="D342">
        <v>0.60532064911705796</v>
      </c>
      <c r="E342">
        <v>0.85124938520954496</v>
      </c>
      <c r="F342">
        <v>13.4087694483734</v>
      </c>
    </row>
    <row r="343" spans="1:6">
      <c r="A343" t="s">
        <v>48415</v>
      </c>
      <c r="B343" t="s">
        <v>48416</v>
      </c>
      <c r="C343">
        <v>0</v>
      </c>
      <c r="D343">
        <v>0.27882753782546998</v>
      </c>
      <c r="E343">
        <v>0.97110726705398198</v>
      </c>
      <c r="F343">
        <v>1.0280864821175899</v>
      </c>
    </row>
    <row r="344" spans="1:6">
      <c r="A344" t="s">
        <v>48415</v>
      </c>
      <c r="B344" t="s">
        <v>48417</v>
      </c>
      <c r="C344">
        <v>0</v>
      </c>
      <c r="D344">
        <v>0.27882753782546998</v>
      </c>
      <c r="E344">
        <v>0.97110726705398198</v>
      </c>
      <c r="F344">
        <v>1.0280864821175899</v>
      </c>
    </row>
    <row r="345" spans="1:6">
      <c r="A345" t="s">
        <v>48415</v>
      </c>
      <c r="B345" t="s">
        <v>48418</v>
      </c>
      <c r="C345">
        <v>0</v>
      </c>
      <c r="D345">
        <v>0.27882753782546998</v>
      </c>
      <c r="E345">
        <v>0.97110726705398198</v>
      </c>
      <c r="F345">
        <v>1.0280864821175899</v>
      </c>
    </row>
    <row r="346" spans="1:6">
      <c r="A346" t="s">
        <v>48415</v>
      </c>
      <c r="B346" t="s">
        <v>48419</v>
      </c>
      <c r="C346">
        <v>0.55524521569607999</v>
      </c>
      <c r="D346">
        <v>0.27882753782546998</v>
      </c>
      <c r="E346">
        <v>0.97110726705398198</v>
      </c>
      <c r="F346">
        <v>1.0280864821175899</v>
      </c>
    </row>
    <row r="347" spans="1:6">
      <c r="A347" t="s">
        <v>48415</v>
      </c>
      <c r="B347" t="s">
        <v>48420</v>
      </c>
      <c r="C347">
        <v>0.19328968709054101</v>
      </c>
      <c r="D347">
        <v>0.27882753782546998</v>
      </c>
      <c r="E347">
        <v>0.97110726705398198</v>
      </c>
      <c r="F347">
        <v>1.0280864821175899</v>
      </c>
    </row>
    <row r="348" spans="1:6">
      <c r="A348" t="s">
        <v>48415</v>
      </c>
      <c r="B348" t="s">
        <v>48421</v>
      </c>
      <c r="C348">
        <v>0</v>
      </c>
      <c r="D348">
        <v>0.27882753782546998</v>
      </c>
      <c r="E348">
        <v>0.97110726705398198</v>
      </c>
      <c r="F348">
        <v>1.0280864821175899</v>
      </c>
    </row>
    <row r="349" spans="1:6">
      <c r="A349" t="s">
        <v>48415</v>
      </c>
      <c r="B349" t="s">
        <v>48422</v>
      </c>
      <c r="C349">
        <v>0</v>
      </c>
      <c r="D349">
        <v>0.27882753782546998</v>
      </c>
      <c r="E349">
        <v>0.97110726705398198</v>
      </c>
      <c r="F349">
        <v>1.0280864821175899</v>
      </c>
    </row>
    <row r="350" spans="1:6">
      <c r="A350" t="s">
        <v>48415</v>
      </c>
      <c r="B350" t="s">
        <v>48423</v>
      </c>
      <c r="C350">
        <v>0</v>
      </c>
      <c r="D350">
        <v>0.27882753782546998</v>
      </c>
      <c r="E350">
        <v>0.97110726705398198</v>
      </c>
      <c r="F350">
        <v>1.0280864821175899</v>
      </c>
    </row>
    <row r="351" spans="1:6">
      <c r="A351" t="s">
        <v>48415</v>
      </c>
      <c r="B351" t="s">
        <v>48424</v>
      </c>
      <c r="C351">
        <v>0</v>
      </c>
      <c r="D351">
        <v>0.27882753782546998</v>
      </c>
      <c r="E351">
        <v>0.97110726705398198</v>
      </c>
      <c r="F351">
        <v>1.0280864821175899</v>
      </c>
    </row>
    <row r="352" spans="1:6">
      <c r="A352" t="s">
        <v>48425</v>
      </c>
      <c r="B352" t="s">
        <v>48426</v>
      </c>
      <c r="C352">
        <v>0</v>
      </c>
      <c r="D352">
        <v>0.720143762220536</v>
      </c>
      <c r="E352">
        <v>0.92593096562200605</v>
      </c>
      <c r="F352">
        <v>3.5352596484138199</v>
      </c>
    </row>
    <row r="353" spans="1:6">
      <c r="A353" t="s">
        <v>48425</v>
      </c>
      <c r="B353" t="s">
        <v>48427</v>
      </c>
      <c r="C353">
        <v>0</v>
      </c>
      <c r="D353">
        <v>0.720143762220536</v>
      </c>
      <c r="E353">
        <v>0.92593096562200605</v>
      </c>
      <c r="F353">
        <v>3.5352596484138199</v>
      </c>
    </row>
    <row r="354" spans="1:6">
      <c r="A354" t="s">
        <v>48425</v>
      </c>
      <c r="B354" t="s">
        <v>48428</v>
      </c>
      <c r="C354">
        <v>0</v>
      </c>
      <c r="D354">
        <v>0.720143762220536</v>
      </c>
      <c r="E354">
        <v>0.92593096562200605</v>
      </c>
      <c r="F354">
        <v>3.5352596484138199</v>
      </c>
    </row>
    <row r="355" spans="1:6">
      <c r="A355" t="s">
        <v>48425</v>
      </c>
      <c r="B355" t="s">
        <v>48429</v>
      </c>
      <c r="C355">
        <v>0</v>
      </c>
      <c r="D355">
        <v>0.720143762220536</v>
      </c>
      <c r="E355">
        <v>0.92593096562200605</v>
      </c>
      <c r="F355">
        <v>3.5352596484138199</v>
      </c>
    </row>
    <row r="356" spans="1:6">
      <c r="A356" t="s">
        <v>48425</v>
      </c>
      <c r="B356" t="s">
        <v>48430</v>
      </c>
      <c r="C356">
        <v>0</v>
      </c>
      <c r="D356">
        <v>0.720143762220536</v>
      </c>
      <c r="E356">
        <v>0.92593096562200605</v>
      </c>
      <c r="F356">
        <v>3.5352596484138199</v>
      </c>
    </row>
    <row r="357" spans="1:6">
      <c r="A357" t="s">
        <v>48425</v>
      </c>
      <c r="B357" t="s">
        <v>48431</v>
      </c>
      <c r="C357">
        <v>0</v>
      </c>
      <c r="D357">
        <v>0.720143762220536</v>
      </c>
      <c r="E357">
        <v>0.92593096562200605</v>
      </c>
      <c r="F357">
        <v>3.5352596484138199</v>
      </c>
    </row>
    <row r="358" spans="1:6">
      <c r="A358" t="s">
        <v>48425</v>
      </c>
      <c r="B358" t="s">
        <v>48432</v>
      </c>
      <c r="C358">
        <v>0</v>
      </c>
      <c r="D358">
        <v>0.720143762220536</v>
      </c>
      <c r="E358">
        <v>0.92593096562200605</v>
      </c>
      <c r="F358">
        <v>3.5352596484138199</v>
      </c>
    </row>
    <row r="359" spans="1:6">
      <c r="A359" t="s">
        <v>48425</v>
      </c>
      <c r="B359" t="s">
        <v>48433</v>
      </c>
      <c r="C359">
        <v>0</v>
      </c>
      <c r="D359">
        <v>0.720143762220536</v>
      </c>
      <c r="E359">
        <v>0.92593096562200605</v>
      </c>
      <c r="F359">
        <v>3.5352596484138199</v>
      </c>
    </row>
    <row r="360" spans="1:6">
      <c r="A360" t="s">
        <v>48425</v>
      </c>
      <c r="B360" t="s">
        <v>48434</v>
      </c>
      <c r="C360">
        <v>0</v>
      </c>
      <c r="D360">
        <v>0.720143762220536</v>
      </c>
      <c r="E360">
        <v>0.92593096562200605</v>
      </c>
      <c r="F360">
        <v>3.5352596484138199</v>
      </c>
    </row>
    <row r="361" spans="1:6">
      <c r="A361" t="s">
        <v>48425</v>
      </c>
      <c r="B361" t="s">
        <v>48435</v>
      </c>
      <c r="C361">
        <v>0</v>
      </c>
      <c r="D361">
        <v>0.720143762220536</v>
      </c>
      <c r="E361">
        <v>0.92593096562200605</v>
      </c>
      <c r="F361">
        <v>3.5352596484138199</v>
      </c>
    </row>
    <row r="362" spans="1:6">
      <c r="A362" t="s">
        <v>48425</v>
      </c>
      <c r="B362" t="s">
        <v>48436</v>
      </c>
      <c r="C362">
        <v>0</v>
      </c>
      <c r="D362">
        <v>0.720143762220536</v>
      </c>
      <c r="E362">
        <v>0.92593096562200605</v>
      </c>
      <c r="F362">
        <v>3.5352596484138199</v>
      </c>
    </row>
    <row r="363" spans="1:6">
      <c r="A363" t="s">
        <v>48425</v>
      </c>
      <c r="B363" t="s">
        <v>48437</v>
      </c>
      <c r="C363">
        <v>0.60593096562200599</v>
      </c>
      <c r="D363">
        <v>0.720143762220536</v>
      </c>
      <c r="E363">
        <v>0.92593096562200605</v>
      </c>
      <c r="F363">
        <v>3.5352596484138199</v>
      </c>
    </row>
    <row r="364" spans="1:6">
      <c r="A364" t="s">
        <v>48425</v>
      </c>
      <c r="B364" t="s">
        <v>48438</v>
      </c>
      <c r="C364">
        <v>0</v>
      </c>
      <c r="D364">
        <v>0.720143762220536</v>
      </c>
      <c r="E364">
        <v>0.92593096562200605</v>
      </c>
      <c r="F364">
        <v>3.5352596484138199</v>
      </c>
    </row>
    <row r="365" spans="1:6">
      <c r="A365" t="s">
        <v>48425</v>
      </c>
      <c r="B365" t="s">
        <v>48439</v>
      </c>
      <c r="C365">
        <v>0</v>
      </c>
      <c r="D365">
        <v>0.720143762220536</v>
      </c>
      <c r="E365">
        <v>0.92593096562200605</v>
      </c>
      <c r="F365">
        <v>3.5352596484138199</v>
      </c>
    </row>
    <row r="366" spans="1:6">
      <c r="A366" t="s">
        <v>48425</v>
      </c>
      <c r="B366" t="s">
        <v>48440</v>
      </c>
      <c r="C366">
        <v>0</v>
      </c>
      <c r="D366">
        <v>0.720143762220536</v>
      </c>
      <c r="E366">
        <v>0.92593096562200605</v>
      </c>
      <c r="F366">
        <v>3.5352596484138199</v>
      </c>
    </row>
    <row r="367" spans="1:6">
      <c r="A367" t="s">
        <v>48441</v>
      </c>
      <c r="B367" t="s">
        <v>48442</v>
      </c>
      <c r="C367">
        <v>5.7386906944744496E-3</v>
      </c>
      <c r="D367">
        <v>0.41814138969825299</v>
      </c>
      <c r="E367">
        <v>0.97410687619754699</v>
      </c>
      <c r="F367">
        <v>1.6536674075570801</v>
      </c>
    </row>
    <row r="368" spans="1:6">
      <c r="A368" t="s">
        <v>48441</v>
      </c>
      <c r="B368" t="s">
        <v>48443</v>
      </c>
      <c r="C368">
        <v>0</v>
      </c>
      <c r="D368">
        <v>0.41814138969825299</v>
      </c>
      <c r="E368">
        <v>0.97410687619754699</v>
      </c>
      <c r="F368">
        <v>1.6536674075570801</v>
      </c>
    </row>
    <row r="369" spans="1:6">
      <c r="A369" t="s">
        <v>48441</v>
      </c>
      <c r="B369" t="s">
        <v>48444</v>
      </c>
      <c r="C369">
        <v>0</v>
      </c>
      <c r="D369">
        <v>0.41814138969825299</v>
      </c>
      <c r="E369">
        <v>0.97410687619754699</v>
      </c>
      <c r="F369">
        <v>1.6536674075570801</v>
      </c>
    </row>
    <row r="370" spans="1:6">
      <c r="A370" t="s">
        <v>48441</v>
      </c>
      <c r="B370" t="s">
        <v>48445</v>
      </c>
      <c r="C370">
        <v>0</v>
      </c>
      <c r="D370">
        <v>0.41814138969825299</v>
      </c>
      <c r="E370">
        <v>0.97410687619754699</v>
      </c>
      <c r="F370">
        <v>1.6536674075570801</v>
      </c>
    </row>
    <row r="371" spans="1:6">
      <c r="A371" t="s">
        <v>48441</v>
      </c>
      <c r="B371" t="s">
        <v>48446</v>
      </c>
      <c r="C371">
        <v>0.80995742852377295</v>
      </c>
      <c r="D371">
        <v>0.41814138969825299</v>
      </c>
      <c r="E371">
        <v>0.97410687619754699</v>
      </c>
      <c r="F371">
        <v>1.6536674075570801</v>
      </c>
    </row>
    <row r="372" spans="1:6">
      <c r="A372" t="s">
        <v>48447</v>
      </c>
      <c r="B372" t="s">
        <v>48448</v>
      </c>
      <c r="C372">
        <v>0</v>
      </c>
      <c r="D372">
        <v>0.48723639905423399</v>
      </c>
      <c r="E372">
        <v>0.96793766600398601</v>
      </c>
      <c r="F372">
        <v>10.9937361083047</v>
      </c>
    </row>
    <row r="373" spans="1:6">
      <c r="A373" t="s">
        <v>48447</v>
      </c>
      <c r="B373" t="s">
        <v>48449</v>
      </c>
      <c r="C373">
        <v>1.0021516542573199E-3</v>
      </c>
      <c r="D373">
        <v>0.48723639905423399</v>
      </c>
      <c r="E373">
        <v>0.96793766600398601</v>
      </c>
      <c r="F373">
        <v>10.9937361083047</v>
      </c>
    </row>
    <row r="374" spans="1:6">
      <c r="A374" t="s">
        <v>48447</v>
      </c>
      <c r="B374" t="s">
        <v>48450</v>
      </c>
      <c r="C374">
        <v>0</v>
      </c>
      <c r="D374">
        <v>0.48723639905423399</v>
      </c>
      <c r="E374">
        <v>0.96793766600398601</v>
      </c>
      <c r="F374">
        <v>10.9937361083047</v>
      </c>
    </row>
    <row r="375" spans="1:6">
      <c r="A375" t="s">
        <v>48447</v>
      </c>
      <c r="B375" t="s">
        <v>48451</v>
      </c>
      <c r="C375">
        <v>0</v>
      </c>
      <c r="D375">
        <v>0.48723639905423399</v>
      </c>
      <c r="E375">
        <v>0.96793766600398601</v>
      </c>
      <c r="F375">
        <v>10.9937361083047</v>
      </c>
    </row>
    <row r="376" spans="1:6">
      <c r="A376" t="s">
        <v>48447</v>
      </c>
      <c r="B376" t="s">
        <v>48452</v>
      </c>
      <c r="C376">
        <v>0</v>
      </c>
      <c r="D376">
        <v>0.48723639905423399</v>
      </c>
      <c r="E376">
        <v>0.96793766600398601</v>
      </c>
      <c r="F376">
        <v>10.9937361083047</v>
      </c>
    </row>
    <row r="377" spans="1:6">
      <c r="A377" t="s">
        <v>48447</v>
      </c>
      <c r="B377" t="s">
        <v>48453</v>
      </c>
      <c r="C377">
        <v>0</v>
      </c>
      <c r="D377">
        <v>0.48723639905423399</v>
      </c>
      <c r="E377">
        <v>0.96793766600398601</v>
      </c>
      <c r="F377">
        <v>10.9937361083047</v>
      </c>
    </row>
    <row r="378" spans="1:6">
      <c r="A378" t="s">
        <v>48447</v>
      </c>
      <c r="B378" t="s">
        <v>48454</v>
      </c>
      <c r="C378">
        <v>0.83808212458888198</v>
      </c>
      <c r="D378">
        <v>0.48723639905423399</v>
      </c>
      <c r="E378">
        <v>0.96793766600398601</v>
      </c>
      <c r="F378">
        <v>10.9937361083047</v>
      </c>
    </row>
    <row r="379" spans="1:6">
      <c r="A379" t="s">
        <v>48447</v>
      </c>
      <c r="B379" t="s">
        <v>48455</v>
      </c>
      <c r="C379">
        <v>0</v>
      </c>
      <c r="D379">
        <v>0.48723639905423399</v>
      </c>
      <c r="E379">
        <v>0.96793766600398601</v>
      </c>
      <c r="F379">
        <v>10.9937361083047</v>
      </c>
    </row>
    <row r="380" spans="1:6">
      <c r="A380" t="s">
        <v>48447</v>
      </c>
      <c r="B380" t="s">
        <v>48456</v>
      </c>
      <c r="C380">
        <v>0</v>
      </c>
      <c r="D380">
        <v>0.48723639905423399</v>
      </c>
      <c r="E380">
        <v>0.96793766600398601</v>
      </c>
      <c r="F380">
        <v>10.9937361083047</v>
      </c>
    </row>
    <row r="381" spans="1:6">
      <c r="A381" t="s">
        <v>48447</v>
      </c>
      <c r="B381" t="s">
        <v>48457</v>
      </c>
      <c r="C381">
        <v>0</v>
      </c>
      <c r="D381">
        <v>0.48723639905423399</v>
      </c>
      <c r="E381">
        <v>0.96793766600398601</v>
      </c>
      <c r="F381">
        <v>10.9937361083047</v>
      </c>
    </row>
    <row r="382" spans="1:6">
      <c r="A382" t="s">
        <v>48458</v>
      </c>
      <c r="B382" t="s">
        <v>48459</v>
      </c>
      <c r="C382">
        <v>0.26433081310098799</v>
      </c>
      <c r="D382">
        <v>0.67325398769594802</v>
      </c>
      <c r="E382">
        <v>0.99150352414375797</v>
      </c>
      <c r="F382">
        <v>0.41220448575469698</v>
      </c>
    </row>
    <row r="383" spans="1:6">
      <c r="A383" t="s">
        <v>48458</v>
      </c>
      <c r="B383" t="s">
        <v>48460</v>
      </c>
      <c r="C383">
        <v>0</v>
      </c>
      <c r="D383">
        <v>0.67325398769594802</v>
      </c>
      <c r="E383">
        <v>0.99150352414375797</v>
      </c>
      <c r="F383">
        <v>0.41220448575469698</v>
      </c>
    </row>
    <row r="384" spans="1:6">
      <c r="A384" t="s">
        <v>48458</v>
      </c>
      <c r="B384" t="s">
        <v>48461</v>
      </c>
      <c r="C384">
        <v>0</v>
      </c>
      <c r="D384">
        <v>0.67325398769594802</v>
      </c>
      <c r="E384">
        <v>0.99150352414375797</v>
      </c>
      <c r="F384">
        <v>0.41220448575469698</v>
      </c>
    </row>
    <row r="385" spans="1:6">
      <c r="A385" t="s">
        <v>48458</v>
      </c>
      <c r="B385" t="s">
        <v>48462</v>
      </c>
      <c r="C385">
        <v>0.59750596487933805</v>
      </c>
      <c r="D385">
        <v>0.67325398769594802</v>
      </c>
      <c r="E385">
        <v>0.99150352414375797</v>
      </c>
      <c r="F385">
        <v>0.41220448575469698</v>
      </c>
    </row>
    <row r="386" spans="1:6">
      <c r="A386" t="s">
        <v>48458</v>
      </c>
      <c r="B386" t="s">
        <v>48463</v>
      </c>
      <c r="C386">
        <v>0</v>
      </c>
      <c r="D386">
        <v>0.67325398769594802</v>
      </c>
      <c r="E386">
        <v>0.99150352414375797</v>
      </c>
      <c r="F386">
        <v>0.41220448575469698</v>
      </c>
    </row>
    <row r="387" spans="1:6">
      <c r="A387" t="s">
        <v>48458</v>
      </c>
      <c r="B387" t="s">
        <v>48464</v>
      </c>
      <c r="C387">
        <v>0</v>
      </c>
      <c r="D387">
        <v>0.67325398769594802</v>
      </c>
      <c r="E387">
        <v>0.99150352414375797</v>
      </c>
      <c r="F387">
        <v>0.41220448575469698</v>
      </c>
    </row>
    <row r="388" spans="1:6">
      <c r="A388" t="s">
        <v>48458</v>
      </c>
      <c r="B388" t="s">
        <v>48465</v>
      </c>
      <c r="C388">
        <v>0</v>
      </c>
      <c r="D388">
        <v>0.67325398769594802</v>
      </c>
      <c r="E388">
        <v>0.99150352414375797</v>
      </c>
      <c r="F388">
        <v>0.41220448575469698</v>
      </c>
    </row>
    <row r="389" spans="1:6">
      <c r="A389" t="s">
        <v>48466</v>
      </c>
      <c r="B389" t="s">
        <v>48467</v>
      </c>
      <c r="C389">
        <v>0</v>
      </c>
      <c r="D389">
        <v>0.66206767984913295</v>
      </c>
      <c r="E389">
        <v>0.99327011836049794</v>
      </c>
      <c r="F389">
        <v>8.0937563144069493</v>
      </c>
    </row>
    <row r="390" spans="1:6">
      <c r="A390" t="s">
        <v>48466</v>
      </c>
      <c r="B390" t="s">
        <v>48468</v>
      </c>
      <c r="C390">
        <v>0</v>
      </c>
      <c r="D390">
        <v>0.66206767984913295</v>
      </c>
      <c r="E390">
        <v>0.99327011836049794</v>
      </c>
      <c r="F390">
        <v>8.0937563144069493</v>
      </c>
    </row>
    <row r="391" spans="1:6">
      <c r="A391" t="s">
        <v>48466</v>
      </c>
      <c r="B391" t="s">
        <v>48469</v>
      </c>
      <c r="C391">
        <v>0.50383713215435499</v>
      </c>
      <c r="D391">
        <v>0.66206767984913295</v>
      </c>
      <c r="E391">
        <v>0.99327011836049794</v>
      </c>
      <c r="F391">
        <v>8.0937563144069493</v>
      </c>
    </row>
    <row r="392" spans="1:6">
      <c r="A392" t="s">
        <v>48466</v>
      </c>
      <c r="B392" t="s">
        <v>48470</v>
      </c>
      <c r="C392">
        <v>0.46176543204250797</v>
      </c>
      <c r="D392">
        <v>0.66206767984913295</v>
      </c>
      <c r="E392">
        <v>0.99327011836049794</v>
      </c>
      <c r="F392">
        <v>8.0937563144069493</v>
      </c>
    </row>
    <row r="393" spans="1:6">
      <c r="A393" t="s">
        <v>48466</v>
      </c>
      <c r="B393" t="s">
        <v>48471</v>
      </c>
      <c r="C393">
        <v>0</v>
      </c>
      <c r="D393">
        <v>0.66206767984913295</v>
      </c>
      <c r="E393">
        <v>0.99327011836049794</v>
      </c>
      <c r="F393">
        <v>8.0937563144069493</v>
      </c>
    </row>
    <row r="394" spans="1:6">
      <c r="A394" t="s">
        <v>48466</v>
      </c>
      <c r="B394" t="s">
        <v>48472</v>
      </c>
      <c r="C394">
        <v>0</v>
      </c>
      <c r="D394">
        <v>0.66206767984913295</v>
      </c>
      <c r="E394">
        <v>0.99327011836049794</v>
      </c>
      <c r="F394">
        <v>8.0937563144069493</v>
      </c>
    </row>
    <row r="395" spans="1:6">
      <c r="A395" t="s">
        <v>48466</v>
      </c>
      <c r="B395" t="s">
        <v>48473</v>
      </c>
      <c r="C395">
        <v>0</v>
      </c>
      <c r="D395">
        <v>0.66206767984913295</v>
      </c>
      <c r="E395">
        <v>0.99327011836049794</v>
      </c>
      <c r="F395">
        <v>8.0937563144069493</v>
      </c>
    </row>
    <row r="396" spans="1:6">
      <c r="A396" t="s">
        <v>48466</v>
      </c>
      <c r="B396" t="s">
        <v>48474</v>
      </c>
      <c r="C396">
        <v>0</v>
      </c>
      <c r="D396">
        <v>0.66206767984913295</v>
      </c>
      <c r="E396">
        <v>0.99327011836049794</v>
      </c>
      <c r="F396">
        <v>8.0937563144069493</v>
      </c>
    </row>
    <row r="397" spans="1:6">
      <c r="A397" t="s">
        <v>48475</v>
      </c>
      <c r="B397" t="s">
        <v>48476</v>
      </c>
      <c r="C397">
        <v>0.74414380132412195</v>
      </c>
      <c r="D397">
        <v>0.164104800742915</v>
      </c>
      <c r="E397">
        <v>0.93369716682097303</v>
      </c>
      <c r="F397">
        <v>18.112750050515199</v>
      </c>
    </row>
    <row r="398" spans="1:6">
      <c r="A398" t="s">
        <v>48475</v>
      </c>
      <c r="B398" t="s">
        <v>48477</v>
      </c>
      <c r="C398">
        <v>6.0576926837913901E-2</v>
      </c>
      <c r="D398">
        <v>0.164104800742915</v>
      </c>
      <c r="E398">
        <v>0.93369716682097303</v>
      </c>
      <c r="F398">
        <v>18.112750050515199</v>
      </c>
    </row>
    <row r="399" spans="1:6">
      <c r="A399" t="s">
        <v>48475</v>
      </c>
      <c r="B399" t="s">
        <v>48478</v>
      </c>
      <c r="C399">
        <v>0</v>
      </c>
      <c r="D399">
        <v>0.164104800742915</v>
      </c>
      <c r="E399">
        <v>0.93369716682097303</v>
      </c>
      <c r="F399">
        <v>18.112750050515199</v>
      </c>
    </row>
    <row r="400" spans="1:6">
      <c r="A400" t="s">
        <v>48479</v>
      </c>
      <c r="B400" t="s">
        <v>48480</v>
      </c>
      <c r="C400">
        <v>0</v>
      </c>
      <c r="D400">
        <v>0.70980882168888504</v>
      </c>
      <c r="E400">
        <v>0.99374703107403095</v>
      </c>
      <c r="F400">
        <v>4.5245504142250903</v>
      </c>
    </row>
    <row r="401" spans="1:6">
      <c r="A401" t="s">
        <v>48479</v>
      </c>
      <c r="B401" t="s">
        <v>48481</v>
      </c>
      <c r="C401">
        <v>0.74310128212837501</v>
      </c>
      <c r="D401">
        <v>0.70980882168888504</v>
      </c>
      <c r="E401">
        <v>0.99374703107403095</v>
      </c>
      <c r="F401">
        <v>4.5245504142250903</v>
      </c>
    </row>
    <row r="402" spans="1:6">
      <c r="A402" t="s">
        <v>48479</v>
      </c>
      <c r="B402" t="s">
        <v>48482</v>
      </c>
      <c r="C402">
        <v>0</v>
      </c>
      <c r="D402">
        <v>0.70980882168888504</v>
      </c>
      <c r="E402">
        <v>0.99374703107403095</v>
      </c>
      <c r="F402">
        <v>4.5245504142250903</v>
      </c>
    </row>
    <row r="403" spans="1:6">
      <c r="A403" t="s">
        <v>48479</v>
      </c>
      <c r="B403" t="s">
        <v>48483</v>
      </c>
      <c r="C403">
        <v>0.65608492336931101</v>
      </c>
      <c r="D403">
        <v>0.70980882168888504</v>
      </c>
      <c r="E403">
        <v>0.99374703107403095</v>
      </c>
      <c r="F403">
        <v>4.5245504142250903</v>
      </c>
    </row>
    <row r="404" spans="1:6">
      <c r="A404" t="s">
        <v>48484</v>
      </c>
      <c r="B404" t="s">
        <v>48485</v>
      </c>
      <c r="C404">
        <v>0</v>
      </c>
      <c r="D404">
        <v>0.81127990526836802</v>
      </c>
      <c r="E404">
        <v>0.98236374833781404</v>
      </c>
      <c r="F404">
        <v>0.70317235805213096</v>
      </c>
    </row>
    <row r="405" spans="1:6">
      <c r="A405" t="s">
        <v>48484</v>
      </c>
      <c r="B405" t="s">
        <v>48486</v>
      </c>
      <c r="C405">
        <v>0.409822196718862</v>
      </c>
      <c r="D405">
        <v>0.81127990526836802</v>
      </c>
      <c r="E405">
        <v>0.98236374833781404</v>
      </c>
      <c r="F405">
        <v>0.70317235805213096</v>
      </c>
    </row>
    <row r="406" spans="1:6">
      <c r="A406" t="s">
        <v>48484</v>
      </c>
      <c r="B406" t="s">
        <v>48487</v>
      </c>
      <c r="C406">
        <v>0.31541098479992602</v>
      </c>
      <c r="D406">
        <v>0.81127990526836802</v>
      </c>
      <c r="E406">
        <v>0.98236374833781404</v>
      </c>
      <c r="F406">
        <v>0.70317235805213096</v>
      </c>
    </row>
    <row r="407" spans="1:6">
      <c r="A407" t="s">
        <v>48484</v>
      </c>
      <c r="B407" t="s">
        <v>48488</v>
      </c>
      <c r="C407">
        <v>0</v>
      </c>
      <c r="D407">
        <v>0.81127990526836802</v>
      </c>
      <c r="E407">
        <v>0.98236374833781404</v>
      </c>
      <c r="F407">
        <v>0.70317235805213096</v>
      </c>
    </row>
    <row r="408" spans="1:6">
      <c r="A408" t="s">
        <v>48484</v>
      </c>
      <c r="B408" t="s">
        <v>48489</v>
      </c>
      <c r="C408">
        <v>0</v>
      </c>
      <c r="D408">
        <v>0.81127990526836802</v>
      </c>
      <c r="E408">
        <v>0.98236374833781404</v>
      </c>
      <c r="F408">
        <v>0.70317235805213096</v>
      </c>
    </row>
    <row r="409" spans="1:6">
      <c r="A409" t="s">
        <v>48484</v>
      </c>
      <c r="B409" t="s">
        <v>48490</v>
      </c>
      <c r="C409">
        <v>0</v>
      </c>
      <c r="D409">
        <v>0.81127990526836802</v>
      </c>
      <c r="E409">
        <v>0.98236374833781404</v>
      </c>
      <c r="F409">
        <v>0.70317235805213096</v>
      </c>
    </row>
    <row r="410" spans="1:6">
      <c r="A410" t="s">
        <v>48484</v>
      </c>
      <c r="B410" t="s">
        <v>48491</v>
      </c>
      <c r="C410">
        <v>0</v>
      </c>
      <c r="D410">
        <v>0.81127990526836802</v>
      </c>
      <c r="E410">
        <v>0.98236374833781404</v>
      </c>
      <c r="F410">
        <v>0.70317235805213096</v>
      </c>
    </row>
    <row r="411" spans="1:6">
      <c r="A411" t="s">
        <v>48484</v>
      </c>
      <c r="B411" t="s">
        <v>48492</v>
      </c>
      <c r="C411">
        <v>0</v>
      </c>
      <c r="D411">
        <v>0.81127990526836802</v>
      </c>
      <c r="E411">
        <v>0.98236374833781404</v>
      </c>
      <c r="F411">
        <v>0.70317235805213096</v>
      </c>
    </row>
    <row r="412" spans="1:6">
      <c r="A412" t="s">
        <v>48484</v>
      </c>
      <c r="B412" t="s">
        <v>48493</v>
      </c>
      <c r="C412">
        <v>0</v>
      </c>
      <c r="D412">
        <v>0.81127990526836802</v>
      </c>
      <c r="E412">
        <v>0.98236374833781404</v>
      </c>
      <c r="F412">
        <v>0.70317235805213096</v>
      </c>
    </row>
    <row r="413" spans="1:6">
      <c r="A413" t="s">
        <v>48484</v>
      </c>
      <c r="B413" t="s">
        <v>48494</v>
      </c>
      <c r="C413">
        <v>0</v>
      </c>
      <c r="D413">
        <v>0.81127990526836802</v>
      </c>
      <c r="E413">
        <v>0.98236374833781404</v>
      </c>
      <c r="F413">
        <v>0.70317235805213096</v>
      </c>
    </row>
    <row r="414" spans="1:6">
      <c r="A414" t="s">
        <v>48495</v>
      </c>
      <c r="B414" t="s">
        <v>48496</v>
      </c>
      <c r="C414">
        <v>0</v>
      </c>
      <c r="D414">
        <v>2.4302050088317401E-2</v>
      </c>
      <c r="E414">
        <v>0.74567646194093795</v>
      </c>
      <c r="F414">
        <v>5.6399272580319204</v>
      </c>
    </row>
    <row r="415" spans="1:6">
      <c r="A415" t="s">
        <v>48495</v>
      </c>
      <c r="B415" t="s">
        <v>48497</v>
      </c>
      <c r="C415">
        <v>0.28327646194093797</v>
      </c>
      <c r="D415">
        <v>2.4302050088317401E-2</v>
      </c>
      <c r="E415">
        <v>0.74567646194093795</v>
      </c>
      <c r="F415">
        <v>5.6399272580319204</v>
      </c>
    </row>
    <row r="416" spans="1:6">
      <c r="A416" t="s">
        <v>48498</v>
      </c>
      <c r="B416" t="s">
        <v>48499</v>
      </c>
      <c r="C416">
        <v>0.279613540395176</v>
      </c>
      <c r="D416">
        <v>8.7321121302945795E-2</v>
      </c>
      <c r="E416">
        <v>0.97954906361205096</v>
      </c>
      <c r="F416">
        <v>13.5930491008284</v>
      </c>
    </row>
    <row r="417" spans="1:6">
      <c r="A417" t="s">
        <v>48498</v>
      </c>
      <c r="B417" t="s">
        <v>48500</v>
      </c>
      <c r="C417">
        <v>0.79877231527910397</v>
      </c>
      <c r="D417">
        <v>8.7321121302945795E-2</v>
      </c>
      <c r="E417">
        <v>0.97954906361205096</v>
      </c>
      <c r="F417">
        <v>13.5930491008284</v>
      </c>
    </row>
    <row r="418" spans="1:6">
      <c r="A418" t="s">
        <v>48501</v>
      </c>
      <c r="B418" t="s">
        <v>48502</v>
      </c>
      <c r="C418">
        <v>0</v>
      </c>
      <c r="D418">
        <v>0.87157531393200705</v>
      </c>
      <c r="E418">
        <v>0.98289166646330095</v>
      </c>
      <c r="F418">
        <v>23.762376237623702</v>
      </c>
    </row>
    <row r="419" spans="1:6">
      <c r="A419" t="s">
        <v>48501</v>
      </c>
      <c r="B419" t="s">
        <v>48503</v>
      </c>
      <c r="C419">
        <v>0.54781215462509503</v>
      </c>
      <c r="D419">
        <v>0.87157531393200705</v>
      </c>
      <c r="E419">
        <v>0.98289166646330095</v>
      </c>
      <c r="F419">
        <v>23.762376237623702</v>
      </c>
    </row>
    <row r="420" spans="1:6">
      <c r="A420" t="s">
        <v>48501</v>
      </c>
      <c r="B420" t="s">
        <v>48504</v>
      </c>
      <c r="C420">
        <v>0.39447660522535699</v>
      </c>
      <c r="D420">
        <v>0.87157531393200705</v>
      </c>
      <c r="E420">
        <v>0.98289166646330095</v>
      </c>
      <c r="F420">
        <v>23.762376237623702</v>
      </c>
    </row>
    <row r="421" spans="1:6">
      <c r="A421" t="s">
        <v>48501</v>
      </c>
      <c r="B421" t="s">
        <v>48505</v>
      </c>
      <c r="C421">
        <v>0</v>
      </c>
      <c r="D421">
        <v>0.87157531393200705</v>
      </c>
      <c r="E421">
        <v>0.98289166646330095</v>
      </c>
      <c r="F421">
        <v>23.762376237623702</v>
      </c>
    </row>
    <row r="422" spans="1:6">
      <c r="A422" t="s">
        <v>48501</v>
      </c>
      <c r="B422" t="s">
        <v>48506</v>
      </c>
      <c r="C422">
        <v>0</v>
      </c>
      <c r="D422">
        <v>0.87157531393200705</v>
      </c>
      <c r="E422">
        <v>0.98289166646330095</v>
      </c>
      <c r="F422">
        <v>23.762376237623702</v>
      </c>
    </row>
    <row r="423" spans="1:6">
      <c r="A423" t="s">
        <v>48501</v>
      </c>
      <c r="B423" t="s">
        <v>48507</v>
      </c>
      <c r="C423">
        <v>0</v>
      </c>
      <c r="D423">
        <v>0.87157531393200705</v>
      </c>
      <c r="E423">
        <v>0.98289166646330095</v>
      </c>
      <c r="F423">
        <v>23.762376237623702</v>
      </c>
    </row>
    <row r="424" spans="1:6">
      <c r="A424" t="s">
        <v>48508</v>
      </c>
      <c r="B424" t="s">
        <v>48509</v>
      </c>
      <c r="C424">
        <v>0</v>
      </c>
      <c r="D424">
        <v>0.67415406753401197</v>
      </c>
      <c r="E424">
        <v>0.950660804000385</v>
      </c>
      <c r="F424">
        <v>17.899373610830398</v>
      </c>
    </row>
    <row r="425" spans="1:6">
      <c r="A425" t="s">
        <v>48508</v>
      </c>
      <c r="B425" t="s">
        <v>48510</v>
      </c>
      <c r="C425">
        <v>0</v>
      </c>
      <c r="D425">
        <v>0.67415406753401197</v>
      </c>
      <c r="E425">
        <v>0.950660804000385</v>
      </c>
      <c r="F425">
        <v>17.899373610830398</v>
      </c>
    </row>
    <row r="426" spans="1:6">
      <c r="A426" t="s">
        <v>48508</v>
      </c>
      <c r="B426" t="s">
        <v>48511</v>
      </c>
      <c r="C426">
        <v>0.84416714715887398</v>
      </c>
      <c r="D426">
        <v>0.67415406753401197</v>
      </c>
      <c r="E426">
        <v>0.950660804000385</v>
      </c>
      <c r="F426">
        <v>17.899373610830398</v>
      </c>
    </row>
    <row r="427" spans="1:6">
      <c r="A427" t="s">
        <v>48508</v>
      </c>
      <c r="B427" t="s">
        <v>48512</v>
      </c>
      <c r="C427">
        <v>3.7350357123271803E-2</v>
      </c>
      <c r="D427">
        <v>0.67415406753401197</v>
      </c>
      <c r="E427">
        <v>0.950660804000385</v>
      </c>
      <c r="F427">
        <v>17.899373610830398</v>
      </c>
    </row>
    <row r="428" spans="1:6">
      <c r="A428" t="s">
        <v>48513</v>
      </c>
      <c r="B428" t="s">
        <v>48514</v>
      </c>
      <c r="C428">
        <v>0</v>
      </c>
      <c r="D428">
        <v>0.901739779833996</v>
      </c>
      <c r="E428">
        <v>0.98725983079486301</v>
      </c>
      <c r="F428">
        <v>15.280662760153501</v>
      </c>
    </row>
    <row r="429" spans="1:6">
      <c r="A429" t="s">
        <v>48513</v>
      </c>
      <c r="B429" t="s">
        <v>48515</v>
      </c>
      <c r="C429">
        <v>0</v>
      </c>
      <c r="D429">
        <v>0.901739779833996</v>
      </c>
      <c r="E429">
        <v>0.98725983079486301</v>
      </c>
      <c r="F429">
        <v>15.280662760153501</v>
      </c>
    </row>
    <row r="430" spans="1:6">
      <c r="A430" t="s">
        <v>48513</v>
      </c>
      <c r="B430" t="s">
        <v>48516</v>
      </c>
      <c r="C430">
        <v>0.92965983079486303</v>
      </c>
      <c r="D430">
        <v>0.901739779833996</v>
      </c>
      <c r="E430">
        <v>0.98725983079486301</v>
      </c>
      <c r="F430">
        <v>15.280662760153501</v>
      </c>
    </row>
    <row r="431" spans="1:6">
      <c r="A431" t="s">
        <v>48513</v>
      </c>
      <c r="B431" t="s">
        <v>48517</v>
      </c>
      <c r="C431">
        <v>0</v>
      </c>
      <c r="D431">
        <v>0.901739779833996</v>
      </c>
      <c r="E431">
        <v>0.98725983079486301</v>
      </c>
      <c r="F431">
        <v>15.280662760153501</v>
      </c>
    </row>
    <row r="432" spans="1:6">
      <c r="A432" t="s">
        <v>48518</v>
      </c>
      <c r="B432" t="s">
        <v>48519</v>
      </c>
      <c r="C432">
        <v>0</v>
      </c>
      <c r="D432">
        <v>0.931456286940614</v>
      </c>
      <c r="E432">
        <v>0.99201351601764298</v>
      </c>
      <c r="F432">
        <v>5.8193574459486697E-2</v>
      </c>
    </row>
    <row r="433" spans="1:6">
      <c r="A433" t="s">
        <v>48518</v>
      </c>
      <c r="B433" t="s">
        <v>48520</v>
      </c>
      <c r="C433">
        <v>0</v>
      </c>
      <c r="D433">
        <v>0.931456286940614</v>
      </c>
      <c r="E433">
        <v>0.99201351601764298</v>
      </c>
      <c r="F433">
        <v>5.8193574459486697E-2</v>
      </c>
    </row>
    <row r="434" spans="1:6">
      <c r="A434" t="s">
        <v>48518</v>
      </c>
      <c r="B434" t="s">
        <v>48521</v>
      </c>
      <c r="C434">
        <v>0.69477009976110804</v>
      </c>
      <c r="D434">
        <v>0.931456286940614</v>
      </c>
      <c r="E434">
        <v>0.99201351601764298</v>
      </c>
      <c r="F434">
        <v>5.8193574459486697E-2</v>
      </c>
    </row>
    <row r="435" spans="1:6">
      <c r="A435" t="s">
        <v>48518</v>
      </c>
      <c r="B435" t="s">
        <v>48522</v>
      </c>
      <c r="C435">
        <v>0</v>
      </c>
      <c r="D435">
        <v>0.931456286940614</v>
      </c>
      <c r="E435">
        <v>0.99201351601764298</v>
      </c>
      <c r="F435">
        <v>5.8193574459486697E-2</v>
      </c>
    </row>
    <row r="436" spans="1:6">
      <c r="A436" t="s">
        <v>48518</v>
      </c>
      <c r="B436" t="s">
        <v>48523</v>
      </c>
      <c r="C436">
        <v>0</v>
      </c>
      <c r="D436">
        <v>0.931456286940614</v>
      </c>
      <c r="E436">
        <v>0.99201351601764298</v>
      </c>
      <c r="F436">
        <v>5.8193574459486697E-2</v>
      </c>
    </row>
    <row r="437" spans="1:6">
      <c r="A437" t="s">
        <v>48518</v>
      </c>
      <c r="B437" t="s">
        <v>48524</v>
      </c>
      <c r="C437">
        <v>0</v>
      </c>
      <c r="D437">
        <v>0.931456286940614</v>
      </c>
      <c r="E437">
        <v>0.99201351601764298</v>
      </c>
      <c r="F437">
        <v>5.8193574459486697E-2</v>
      </c>
    </row>
    <row r="438" spans="1:6">
      <c r="A438" t="s">
        <v>48518</v>
      </c>
      <c r="B438" t="s">
        <v>48525</v>
      </c>
      <c r="C438">
        <v>0.31191101670133198</v>
      </c>
      <c r="D438">
        <v>0.931456286940614</v>
      </c>
      <c r="E438">
        <v>0.99201351601764298</v>
      </c>
      <c r="F438">
        <v>5.8193574459486697E-2</v>
      </c>
    </row>
    <row r="439" spans="1:6">
      <c r="A439" t="s">
        <v>48526</v>
      </c>
      <c r="B439" t="s">
        <v>48527</v>
      </c>
      <c r="C439">
        <v>0.59779738995841103</v>
      </c>
      <c r="D439">
        <v>0.641419475993803</v>
      </c>
      <c r="E439">
        <v>0.97138057033647096</v>
      </c>
      <c r="F439">
        <v>1.1832693473428899</v>
      </c>
    </row>
    <row r="440" spans="1:6">
      <c r="A440" t="s">
        <v>48526</v>
      </c>
      <c r="B440" t="s">
        <v>48528</v>
      </c>
      <c r="C440">
        <v>0</v>
      </c>
      <c r="D440">
        <v>0.641419475993803</v>
      </c>
      <c r="E440">
        <v>0.97138057033647096</v>
      </c>
      <c r="F440">
        <v>1.1832693473428899</v>
      </c>
    </row>
    <row r="441" spans="1:6">
      <c r="A441" t="s">
        <v>48526</v>
      </c>
      <c r="B441" t="s">
        <v>48529</v>
      </c>
      <c r="C441">
        <v>0.45761830355837502</v>
      </c>
      <c r="D441">
        <v>0.641419475993803</v>
      </c>
      <c r="E441">
        <v>0.97138057033647096</v>
      </c>
      <c r="F441">
        <v>1.1832693473428899</v>
      </c>
    </row>
    <row r="442" spans="1:6">
      <c r="A442" t="s">
        <v>48526</v>
      </c>
      <c r="B442" t="s">
        <v>48530</v>
      </c>
      <c r="C442">
        <v>0</v>
      </c>
      <c r="D442">
        <v>0.641419475993803</v>
      </c>
      <c r="E442">
        <v>0.97138057033647096</v>
      </c>
      <c r="F442">
        <v>1.1832693473428899</v>
      </c>
    </row>
    <row r="443" spans="1:6">
      <c r="A443" t="s">
        <v>48526</v>
      </c>
      <c r="B443" t="s">
        <v>48531</v>
      </c>
      <c r="C443">
        <v>0</v>
      </c>
      <c r="D443">
        <v>0.641419475993803</v>
      </c>
      <c r="E443">
        <v>0.97138057033647096</v>
      </c>
      <c r="F443">
        <v>1.1832693473428899</v>
      </c>
    </row>
    <row r="444" spans="1:6">
      <c r="A444" t="s">
        <v>48532</v>
      </c>
      <c r="B444" t="s">
        <v>48533</v>
      </c>
      <c r="C444">
        <v>0</v>
      </c>
      <c r="D444">
        <v>0.14876609937490101</v>
      </c>
      <c r="E444">
        <v>0.84306178189308301</v>
      </c>
      <c r="F444">
        <v>16.265104061426499</v>
      </c>
    </row>
    <row r="445" spans="1:6">
      <c r="A445" t="s">
        <v>48532</v>
      </c>
      <c r="B445" t="s">
        <v>48534</v>
      </c>
      <c r="C445">
        <v>0.61035224056636594</v>
      </c>
      <c r="D445">
        <v>0.14876609937490101</v>
      </c>
      <c r="E445">
        <v>0.84306178189308301</v>
      </c>
      <c r="F445">
        <v>16.265104061426499</v>
      </c>
    </row>
    <row r="446" spans="1:6">
      <c r="A446" t="s">
        <v>48532</v>
      </c>
      <c r="B446" t="s">
        <v>48535</v>
      </c>
      <c r="C446">
        <v>9.6553339156028395E-4</v>
      </c>
      <c r="D446">
        <v>0.14876609937490101</v>
      </c>
      <c r="E446">
        <v>0.84306178189308301</v>
      </c>
      <c r="F446">
        <v>16.265104061426499</v>
      </c>
    </row>
    <row r="447" spans="1:6">
      <c r="A447" t="s">
        <v>48532</v>
      </c>
      <c r="B447" t="s">
        <v>48536</v>
      </c>
      <c r="C447">
        <v>0</v>
      </c>
      <c r="D447">
        <v>0.14876609937490101</v>
      </c>
      <c r="E447">
        <v>0.84306178189308301</v>
      </c>
      <c r="F447">
        <v>16.265104061426499</v>
      </c>
    </row>
    <row r="448" spans="1:6">
      <c r="A448" t="s">
        <v>48537</v>
      </c>
      <c r="B448" t="s">
        <v>48538</v>
      </c>
      <c r="C448">
        <v>0.82807369162370104</v>
      </c>
      <c r="D448">
        <v>0.116333653883262</v>
      </c>
      <c r="E448">
        <v>0.96978133910022302</v>
      </c>
      <c r="F448">
        <v>18.321277025661701</v>
      </c>
    </row>
    <row r="449" spans="1:6">
      <c r="A449" t="s">
        <v>48537</v>
      </c>
      <c r="B449" t="s">
        <v>48539</v>
      </c>
      <c r="C449">
        <v>0</v>
      </c>
      <c r="D449">
        <v>0.116333653883262</v>
      </c>
      <c r="E449">
        <v>0.96978133910022302</v>
      </c>
      <c r="F449">
        <v>18.321277025661701</v>
      </c>
    </row>
    <row r="450" spans="1:6">
      <c r="A450" t="s">
        <v>48537</v>
      </c>
      <c r="B450" t="s">
        <v>48540</v>
      </c>
      <c r="C450">
        <v>0</v>
      </c>
      <c r="D450">
        <v>0.116333653883262</v>
      </c>
      <c r="E450">
        <v>0.96978133910022302</v>
      </c>
      <c r="F450">
        <v>18.321277025661701</v>
      </c>
    </row>
    <row r="451" spans="1:6">
      <c r="A451" t="s">
        <v>48537</v>
      </c>
      <c r="B451" t="s">
        <v>48541</v>
      </c>
      <c r="C451">
        <v>0</v>
      </c>
      <c r="D451">
        <v>0.116333653883262</v>
      </c>
      <c r="E451">
        <v>0.96978133910022302</v>
      </c>
      <c r="F451">
        <v>18.321277025661701</v>
      </c>
    </row>
    <row r="452" spans="1:6">
      <c r="A452" t="s">
        <v>48537</v>
      </c>
      <c r="B452" t="s">
        <v>48542</v>
      </c>
      <c r="C452">
        <v>0</v>
      </c>
      <c r="D452">
        <v>0.116333653883262</v>
      </c>
      <c r="E452">
        <v>0.96978133910022302</v>
      </c>
      <c r="F452">
        <v>18.321277025661701</v>
      </c>
    </row>
    <row r="453" spans="1:6">
      <c r="A453" t="s">
        <v>48537</v>
      </c>
      <c r="B453" t="s">
        <v>48543</v>
      </c>
      <c r="C453">
        <v>5.7658640253194704E-3</v>
      </c>
      <c r="D453">
        <v>0.116333653883262</v>
      </c>
      <c r="E453">
        <v>0.96978133910022302</v>
      </c>
      <c r="F453">
        <v>18.321277025661701</v>
      </c>
    </row>
    <row r="454" spans="1:6">
      <c r="A454" t="s">
        <v>48537</v>
      </c>
      <c r="B454" t="s">
        <v>48544</v>
      </c>
      <c r="C454">
        <v>0</v>
      </c>
      <c r="D454">
        <v>0.116333653883262</v>
      </c>
      <c r="E454">
        <v>0.96978133910022302</v>
      </c>
      <c r="F454">
        <v>18.321277025661701</v>
      </c>
    </row>
    <row r="455" spans="1:6">
      <c r="A455" t="s">
        <v>48545</v>
      </c>
      <c r="B455" t="s">
        <v>48546</v>
      </c>
      <c r="C455">
        <v>0</v>
      </c>
      <c r="D455">
        <v>7.4293121862972197E-2</v>
      </c>
      <c r="E455">
        <v>0.99866967213557201</v>
      </c>
      <c r="F455">
        <v>13.772479288745201</v>
      </c>
    </row>
    <row r="456" spans="1:6">
      <c r="A456" t="s">
        <v>48545</v>
      </c>
      <c r="B456" t="s">
        <v>48547</v>
      </c>
      <c r="C456">
        <v>0</v>
      </c>
      <c r="D456">
        <v>7.4293121862972197E-2</v>
      </c>
      <c r="E456">
        <v>0.99866967213557201</v>
      </c>
      <c r="F456">
        <v>13.772479288745201</v>
      </c>
    </row>
    <row r="457" spans="1:6">
      <c r="A457" t="s">
        <v>48545</v>
      </c>
      <c r="B457" t="s">
        <v>48548</v>
      </c>
      <c r="C457">
        <v>0</v>
      </c>
      <c r="D457">
        <v>7.4293121862972197E-2</v>
      </c>
      <c r="E457">
        <v>0.99866967213557201</v>
      </c>
      <c r="F457">
        <v>13.772479288745201</v>
      </c>
    </row>
    <row r="458" spans="1:6">
      <c r="A458" t="s">
        <v>48545</v>
      </c>
      <c r="B458" t="s">
        <v>48549</v>
      </c>
      <c r="C458">
        <v>0</v>
      </c>
      <c r="D458">
        <v>7.4293121862972197E-2</v>
      </c>
      <c r="E458">
        <v>0.99866967213557201</v>
      </c>
      <c r="F458">
        <v>13.772479288745201</v>
      </c>
    </row>
    <row r="459" spans="1:6">
      <c r="A459" t="s">
        <v>48545</v>
      </c>
      <c r="B459" t="s">
        <v>48550</v>
      </c>
      <c r="C459">
        <v>5.1536944388140202E-3</v>
      </c>
      <c r="D459">
        <v>7.4293121862972197E-2</v>
      </c>
      <c r="E459">
        <v>0.99866967213557201</v>
      </c>
      <c r="F459">
        <v>13.772479288745201</v>
      </c>
    </row>
    <row r="460" spans="1:6">
      <c r="A460" t="s">
        <v>48545</v>
      </c>
      <c r="B460" t="s">
        <v>48551</v>
      </c>
      <c r="C460">
        <v>0</v>
      </c>
      <c r="D460">
        <v>7.4293121862972197E-2</v>
      </c>
      <c r="E460">
        <v>0.99866967213557201</v>
      </c>
      <c r="F460">
        <v>13.772479288745201</v>
      </c>
    </row>
    <row r="461" spans="1:6">
      <c r="A461" t="s">
        <v>48545</v>
      </c>
      <c r="B461" t="s">
        <v>48552</v>
      </c>
      <c r="C461">
        <v>0.96707376106993403</v>
      </c>
      <c r="D461">
        <v>7.4293121862972197E-2</v>
      </c>
      <c r="E461">
        <v>0.99866967213557201</v>
      </c>
      <c r="F461">
        <v>13.772479288745201</v>
      </c>
    </row>
    <row r="462" spans="1:6">
      <c r="A462" t="s">
        <v>48545</v>
      </c>
      <c r="B462" t="s">
        <v>48553</v>
      </c>
      <c r="C462">
        <v>0</v>
      </c>
      <c r="D462">
        <v>7.4293121862972197E-2</v>
      </c>
      <c r="E462">
        <v>0.99866967213557201</v>
      </c>
      <c r="F462">
        <v>13.772479288745201</v>
      </c>
    </row>
    <row r="463" spans="1:6">
      <c r="A463" t="s">
        <v>48554</v>
      </c>
      <c r="B463" t="s">
        <v>48555</v>
      </c>
      <c r="C463">
        <v>0.84828645025895999</v>
      </c>
      <c r="D463">
        <v>0.431701654994325</v>
      </c>
      <c r="E463">
        <v>0.95068645025896004</v>
      </c>
      <c r="F463">
        <v>18.112750050515199</v>
      </c>
    </row>
    <row r="464" spans="1:6">
      <c r="A464" t="s">
        <v>48554</v>
      </c>
      <c r="B464" t="s">
        <v>48556</v>
      </c>
      <c r="C464">
        <v>0</v>
      </c>
      <c r="D464">
        <v>0.431701654994325</v>
      </c>
      <c r="E464">
        <v>0.95068645025896004</v>
      </c>
      <c r="F464">
        <v>18.112750050515199</v>
      </c>
    </row>
    <row r="465" spans="1:6">
      <c r="A465" t="s">
        <v>48557</v>
      </c>
      <c r="B465" t="s">
        <v>48558</v>
      </c>
      <c r="C465">
        <v>0</v>
      </c>
      <c r="D465">
        <v>0.51999475913618898</v>
      </c>
      <c r="E465">
        <v>0.95814683930842803</v>
      </c>
      <c r="F465">
        <v>21.638310769852399</v>
      </c>
    </row>
    <row r="466" spans="1:6">
      <c r="A466" t="s">
        <v>48557</v>
      </c>
      <c r="B466" t="s">
        <v>48559</v>
      </c>
      <c r="C466">
        <v>0.87974683930842801</v>
      </c>
      <c r="D466">
        <v>0.51999475913618898</v>
      </c>
      <c r="E466">
        <v>0.95814683930842803</v>
      </c>
      <c r="F466">
        <v>21.638310769852399</v>
      </c>
    </row>
    <row r="467" spans="1:6">
      <c r="A467" t="s">
        <v>48560</v>
      </c>
      <c r="B467" t="s">
        <v>48561</v>
      </c>
      <c r="C467">
        <v>0.204248239733133</v>
      </c>
      <c r="D467">
        <v>9.5781416693424007E-2</v>
      </c>
      <c r="E467">
        <v>0.95278740060685196</v>
      </c>
      <c r="F467">
        <v>13.5930491008284</v>
      </c>
    </row>
    <row r="468" spans="1:6">
      <c r="A468" t="s">
        <v>48560</v>
      </c>
      <c r="B468" t="s">
        <v>48562</v>
      </c>
      <c r="C468">
        <v>0.47718427840663702</v>
      </c>
      <c r="D468">
        <v>9.5781416693424007E-2</v>
      </c>
      <c r="E468">
        <v>0.95278740060685196</v>
      </c>
      <c r="F468">
        <v>13.5930491008284</v>
      </c>
    </row>
    <row r="469" spans="1:6">
      <c r="A469" t="s">
        <v>48560</v>
      </c>
      <c r="B469" t="s">
        <v>48563</v>
      </c>
      <c r="C469">
        <v>0</v>
      </c>
      <c r="D469">
        <v>9.5781416693424007E-2</v>
      </c>
      <c r="E469">
        <v>0.95278740060685196</v>
      </c>
      <c r="F469">
        <v>13.5930491008284</v>
      </c>
    </row>
    <row r="470" spans="1:6">
      <c r="A470" t="s">
        <v>48560</v>
      </c>
      <c r="B470" t="s">
        <v>48564</v>
      </c>
      <c r="C470">
        <v>0</v>
      </c>
      <c r="D470">
        <v>9.5781416693424007E-2</v>
      </c>
      <c r="E470">
        <v>0.95278740060685196</v>
      </c>
      <c r="F470">
        <v>13.5930491008284</v>
      </c>
    </row>
    <row r="471" spans="1:6">
      <c r="A471" t="s">
        <v>48560</v>
      </c>
      <c r="B471" t="s">
        <v>48565</v>
      </c>
      <c r="C471">
        <v>0</v>
      </c>
      <c r="D471">
        <v>9.5781416693424007E-2</v>
      </c>
      <c r="E471">
        <v>0.95278740060685196</v>
      </c>
      <c r="F471">
        <v>13.5930491008284</v>
      </c>
    </row>
    <row r="472" spans="1:6">
      <c r="A472" t="s">
        <v>48560</v>
      </c>
      <c r="B472" t="s">
        <v>48566</v>
      </c>
      <c r="C472">
        <v>0</v>
      </c>
      <c r="D472">
        <v>9.5781416693424007E-2</v>
      </c>
      <c r="E472">
        <v>0.95278740060685196</v>
      </c>
      <c r="F472">
        <v>13.5930491008284</v>
      </c>
    </row>
    <row r="473" spans="1:6">
      <c r="A473" t="s">
        <v>48560</v>
      </c>
      <c r="B473" t="s">
        <v>48567</v>
      </c>
      <c r="C473">
        <v>0</v>
      </c>
      <c r="D473">
        <v>9.5781416693424007E-2</v>
      </c>
      <c r="E473">
        <v>0.95278740060685196</v>
      </c>
      <c r="F473">
        <v>13.5930491008284</v>
      </c>
    </row>
    <row r="474" spans="1:6">
      <c r="A474" t="s">
        <v>48560</v>
      </c>
      <c r="B474" t="s">
        <v>48568</v>
      </c>
      <c r="C474">
        <v>0</v>
      </c>
      <c r="D474">
        <v>9.5781416693424007E-2</v>
      </c>
      <c r="E474">
        <v>0.95278740060685196</v>
      </c>
      <c r="F474">
        <v>13.5930491008284</v>
      </c>
    </row>
    <row r="475" spans="1:6">
      <c r="A475" t="s">
        <v>48569</v>
      </c>
      <c r="B475" t="s">
        <v>48570</v>
      </c>
      <c r="C475">
        <v>0.75847128001991604</v>
      </c>
      <c r="D475">
        <v>0.48421513738489602</v>
      </c>
      <c r="E475">
        <v>0.99552018040503398</v>
      </c>
      <c r="F475">
        <v>17.074964639320999</v>
      </c>
    </row>
    <row r="476" spans="1:6">
      <c r="A476" t="s">
        <v>48569</v>
      </c>
      <c r="B476" t="s">
        <v>48571</v>
      </c>
      <c r="C476">
        <v>0</v>
      </c>
      <c r="D476">
        <v>0.48421513738489602</v>
      </c>
      <c r="E476">
        <v>0.99552018040503398</v>
      </c>
      <c r="F476">
        <v>17.074964639320999</v>
      </c>
    </row>
    <row r="477" spans="1:6">
      <c r="A477" t="s">
        <v>48569</v>
      </c>
      <c r="B477" t="s">
        <v>48572</v>
      </c>
      <c r="C477">
        <v>0</v>
      </c>
      <c r="D477">
        <v>0.48421513738489602</v>
      </c>
      <c r="E477">
        <v>0.99552018040503398</v>
      </c>
      <c r="F477">
        <v>17.074964639320999</v>
      </c>
    </row>
    <row r="478" spans="1:6">
      <c r="A478" t="s">
        <v>48569</v>
      </c>
      <c r="B478" t="s">
        <v>48573</v>
      </c>
      <c r="C478">
        <v>0</v>
      </c>
      <c r="D478">
        <v>0.48421513738489602</v>
      </c>
      <c r="E478">
        <v>0.99552018040503398</v>
      </c>
      <c r="F478">
        <v>17.074964639320999</v>
      </c>
    </row>
    <row r="479" spans="1:6">
      <c r="A479" t="s">
        <v>48569</v>
      </c>
      <c r="B479" t="s">
        <v>48574</v>
      </c>
      <c r="C479">
        <v>0</v>
      </c>
      <c r="D479">
        <v>0.48421513738489602</v>
      </c>
      <c r="E479">
        <v>0.99552018040503398</v>
      </c>
      <c r="F479">
        <v>17.074964639320999</v>
      </c>
    </row>
    <row r="480" spans="1:6">
      <c r="A480" t="s">
        <v>48569</v>
      </c>
      <c r="B480" t="s">
        <v>48575</v>
      </c>
      <c r="C480">
        <v>0.19510540995064299</v>
      </c>
      <c r="D480">
        <v>0.48421513738489602</v>
      </c>
      <c r="E480">
        <v>0.99552018040503398</v>
      </c>
      <c r="F480">
        <v>17.074964639320999</v>
      </c>
    </row>
    <row r="481" spans="1:6">
      <c r="A481" t="s">
        <v>48576</v>
      </c>
      <c r="B481" t="s">
        <v>48577</v>
      </c>
      <c r="C481">
        <v>0.650021456677358</v>
      </c>
      <c r="D481">
        <v>0.81702374993275995</v>
      </c>
      <c r="E481">
        <v>0.96159449700038202</v>
      </c>
      <c r="F481">
        <v>14.7084259446352</v>
      </c>
    </row>
    <row r="482" spans="1:6">
      <c r="A482" t="s">
        <v>48576</v>
      </c>
      <c r="B482" t="s">
        <v>48578</v>
      </c>
      <c r="C482">
        <v>0</v>
      </c>
      <c r="D482">
        <v>0.81702374993275995</v>
      </c>
      <c r="E482">
        <v>0.96159449700038202</v>
      </c>
      <c r="F482">
        <v>14.7084259446352</v>
      </c>
    </row>
    <row r="483" spans="1:6">
      <c r="A483" t="s">
        <v>48576</v>
      </c>
      <c r="B483" t="s">
        <v>48579</v>
      </c>
      <c r="C483">
        <v>9.9449202515098603E-2</v>
      </c>
      <c r="D483">
        <v>0.81702374993275995</v>
      </c>
      <c r="E483">
        <v>0.96159449700038202</v>
      </c>
      <c r="F483">
        <v>14.7084259446352</v>
      </c>
    </row>
    <row r="484" spans="1:6">
      <c r="A484" t="s">
        <v>48580</v>
      </c>
      <c r="B484" t="s">
        <v>48581</v>
      </c>
      <c r="C484">
        <v>0</v>
      </c>
      <c r="D484">
        <v>0.75092846690271697</v>
      </c>
      <c r="E484">
        <v>0.90543566599577296</v>
      </c>
      <c r="F484">
        <v>14.8975550616286</v>
      </c>
    </row>
    <row r="485" spans="1:6">
      <c r="A485" t="s">
        <v>48580</v>
      </c>
      <c r="B485" t="s">
        <v>48582</v>
      </c>
      <c r="C485">
        <v>0</v>
      </c>
      <c r="D485">
        <v>0.75092846690271697</v>
      </c>
      <c r="E485">
        <v>0.90543566599577296</v>
      </c>
      <c r="F485">
        <v>14.8975550616286</v>
      </c>
    </row>
    <row r="486" spans="1:6">
      <c r="A486" t="s">
        <v>48580</v>
      </c>
      <c r="B486" t="s">
        <v>48583</v>
      </c>
      <c r="C486">
        <v>0</v>
      </c>
      <c r="D486">
        <v>0.75092846690271697</v>
      </c>
      <c r="E486">
        <v>0.90543566599577296</v>
      </c>
      <c r="F486">
        <v>14.8975550616286</v>
      </c>
    </row>
    <row r="487" spans="1:6">
      <c r="A487" t="s">
        <v>48580</v>
      </c>
      <c r="B487" t="s">
        <v>48584</v>
      </c>
      <c r="C487">
        <v>0.48943566599577298</v>
      </c>
      <c r="D487">
        <v>0.75092846690271697</v>
      </c>
      <c r="E487">
        <v>0.90543566599577296</v>
      </c>
      <c r="F487">
        <v>14.8975550616286</v>
      </c>
    </row>
    <row r="488" spans="1:6">
      <c r="A488" t="s">
        <v>48580</v>
      </c>
      <c r="B488" t="s">
        <v>48585</v>
      </c>
      <c r="C488">
        <v>0</v>
      </c>
      <c r="D488">
        <v>0.75092846690271697</v>
      </c>
      <c r="E488">
        <v>0.90543566599577296</v>
      </c>
      <c r="F488">
        <v>14.8975550616286</v>
      </c>
    </row>
    <row r="489" spans="1:6">
      <c r="A489" t="s">
        <v>48580</v>
      </c>
      <c r="B489" t="s">
        <v>48586</v>
      </c>
      <c r="C489">
        <v>0</v>
      </c>
      <c r="D489">
        <v>0.75092846690271697</v>
      </c>
      <c r="E489">
        <v>0.90543566599577296</v>
      </c>
      <c r="F489">
        <v>14.8975550616286</v>
      </c>
    </row>
    <row r="490" spans="1:6">
      <c r="A490" t="s">
        <v>48587</v>
      </c>
      <c r="B490" t="s">
        <v>48588</v>
      </c>
      <c r="C490">
        <v>0.54340566704722904</v>
      </c>
      <c r="D490">
        <v>0.779066410602134</v>
      </c>
      <c r="E490">
        <v>0.93834639023280597</v>
      </c>
      <c r="F490">
        <v>10.028692665184799</v>
      </c>
    </row>
    <row r="491" spans="1:6">
      <c r="A491" t="s">
        <v>48587</v>
      </c>
      <c r="B491" t="s">
        <v>48589</v>
      </c>
      <c r="C491">
        <v>0.98750912316774597</v>
      </c>
      <c r="D491">
        <v>0.779066410602134</v>
      </c>
      <c r="E491">
        <v>0.93834639023280597</v>
      </c>
      <c r="F491">
        <v>10.028692665184799</v>
      </c>
    </row>
    <row r="492" spans="1:6">
      <c r="A492" t="s">
        <v>48590</v>
      </c>
      <c r="B492" t="s">
        <v>48591</v>
      </c>
      <c r="C492">
        <v>0.53151097542579495</v>
      </c>
      <c r="D492">
        <v>7.1280164791775805E-2</v>
      </c>
      <c r="E492">
        <v>0.97416648020562202</v>
      </c>
      <c r="F492">
        <v>9.56314406950899</v>
      </c>
    </row>
    <row r="493" spans="1:6">
      <c r="A493" t="s">
        <v>48590</v>
      </c>
      <c r="B493" t="s">
        <v>48592</v>
      </c>
      <c r="C493">
        <v>0.13202798796378701</v>
      </c>
      <c r="D493">
        <v>7.1280164791775805E-2</v>
      </c>
      <c r="E493">
        <v>0.97416648020562202</v>
      </c>
      <c r="F493">
        <v>9.56314406950899</v>
      </c>
    </row>
    <row r="494" spans="1:6">
      <c r="A494" t="s">
        <v>48590</v>
      </c>
      <c r="B494" t="s">
        <v>48593</v>
      </c>
      <c r="C494">
        <v>0</v>
      </c>
      <c r="D494">
        <v>7.1280164791775805E-2</v>
      </c>
      <c r="E494">
        <v>0.97416648020562202</v>
      </c>
      <c r="F494">
        <v>9.56314406950899</v>
      </c>
    </row>
    <row r="495" spans="1:6">
      <c r="A495" t="s">
        <v>48594</v>
      </c>
      <c r="B495" t="s">
        <v>48595</v>
      </c>
      <c r="C495">
        <v>0</v>
      </c>
      <c r="D495">
        <v>0.77524181172566298</v>
      </c>
      <c r="E495">
        <v>0.98996785475135396</v>
      </c>
      <c r="F495">
        <v>5.9987876338654198</v>
      </c>
    </row>
    <row r="496" spans="1:6">
      <c r="A496" t="s">
        <v>48594</v>
      </c>
      <c r="B496" t="s">
        <v>48596</v>
      </c>
      <c r="C496">
        <v>0</v>
      </c>
      <c r="D496">
        <v>0.77524181172566298</v>
      </c>
      <c r="E496">
        <v>0.98996785475135396</v>
      </c>
      <c r="F496">
        <v>5.9987876338654198</v>
      </c>
    </row>
    <row r="497" spans="1:6">
      <c r="A497" t="s">
        <v>48594</v>
      </c>
      <c r="B497" t="s">
        <v>48597</v>
      </c>
      <c r="C497">
        <v>0.31305550991431202</v>
      </c>
      <c r="D497">
        <v>0.77524181172566298</v>
      </c>
      <c r="E497">
        <v>0.98996785475135396</v>
      </c>
      <c r="F497">
        <v>5.9987876338654198</v>
      </c>
    </row>
    <row r="498" spans="1:6">
      <c r="A498" t="s">
        <v>48594</v>
      </c>
      <c r="B498" t="s">
        <v>48598</v>
      </c>
      <c r="C498">
        <v>0</v>
      </c>
      <c r="D498">
        <v>0.77524181172566298</v>
      </c>
      <c r="E498">
        <v>0.98996785475135396</v>
      </c>
      <c r="F498">
        <v>5.9987876338654198</v>
      </c>
    </row>
    <row r="499" spans="1:6">
      <c r="A499" t="s">
        <v>48594</v>
      </c>
      <c r="B499" t="s">
        <v>48599</v>
      </c>
      <c r="C499">
        <v>0.506027719081248</v>
      </c>
      <c r="D499">
        <v>0.77524181172566298</v>
      </c>
      <c r="E499">
        <v>0.98996785475135396</v>
      </c>
      <c r="F499">
        <v>5.9987876338654198</v>
      </c>
    </row>
    <row r="500" spans="1:6">
      <c r="A500" t="s">
        <v>48600</v>
      </c>
      <c r="B500" t="s">
        <v>48601</v>
      </c>
      <c r="C500">
        <v>0</v>
      </c>
      <c r="D500">
        <v>0.35937997620533202</v>
      </c>
      <c r="E500">
        <v>0.99185322584317404</v>
      </c>
      <c r="F500">
        <v>9.8735097999595798</v>
      </c>
    </row>
    <row r="501" spans="1:6">
      <c r="A501" t="s">
        <v>48600</v>
      </c>
      <c r="B501" t="s">
        <v>48602</v>
      </c>
      <c r="C501">
        <v>3.8109115972869603E-2</v>
      </c>
      <c r="D501">
        <v>0.35937997620533202</v>
      </c>
      <c r="E501">
        <v>0.99185322584317404</v>
      </c>
      <c r="F501">
        <v>9.8735097999595798</v>
      </c>
    </row>
    <row r="502" spans="1:6">
      <c r="A502" t="s">
        <v>48600</v>
      </c>
      <c r="B502" t="s">
        <v>48603</v>
      </c>
      <c r="C502">
        <v>0</v>
      </c>
      <c r="D502">
        <v>0.35937997620533202</v>
      </c>
      <c r="E502">
        <v>0.99185322584317404</v>
      </c>
      <c r="F502">
        <v>9.8735097999595798</v>
      </c>
    </row>
    <row r="503" spans="1:6">
      <c r="A503" t="s">
        <v>48600</v>
      </c>
      <c r="B503" t="s">
        <v>48604</v>
      </c>
      <c r="C503">
        <v>0</v>
      </c>
      <c r="D503">
        <v>0.35937997620533202</v>
      </c>
      <c r="E503">
        <v>0.99185322584317404</v>
      </c>
      <c r="F503">
        <v>9.8735097999595798</v>
      </c>
    </row>
    <row r="504" spans="1:6">
      <c r="A504" t="s">
        <v>48600</v>
      </c>
      <c r="B504" t="s">
        <v>48605</v>
      </c>
      <c r="C504">
        <v>0</v>
      </c>
      <c r="D504">
        <v>0.35937997620533202</v>
      </c>
      <c r="E504">
        <v>0.99185322584317404</v>
      </c>
      <c r="F504">
        <v>9.8735097999595798</v>
      </c>
    </row>
    <row r="505" spans="1:6">
      <c r="A505" t="s">
        <v>48600</v>
      </c>
      <c r="B505" t="s">
        <v>48606</v>
      </c>
      <c r="C505">
        <v>0.94972295956557395</v>
      </c>
      <c r="D505">
        <v>0.35937997620533202</v>
      </c>
      <c r="E505">
        <v>0.99185322584317404</v>
      </c>
      <c r="F505">
        <v>9.8735097999595798</v>
      </c>
    </row>
    <row r="506" spans="1:6">
      <c r="A506" t="s">
        <v>48600</v>
      </c>
      <c r="B506" t="s">
        <v>48607</v>
      </c>
      <c r="C506">
        <v>0</v>
      </c>
      <c r="D506">
        <v>0.35937997620533202</v>
      </c>
      <c r="E506">
        <v>0.99185322584317404</v>
      </c>
      <c r="F506">
        <v>9.8735097999595798</v>
      </c>
    </row>
    <row r="507" spans="1:6">
      <c r="A507" t="s">
        <v>48608</v>
      </c>
      <c r="B507" t="s">
        <v>48609</v>
      </c>
      <c r="C507">
        <v>0</v>
      </c>
      <c r="D507">
        <v>0.30628144781105698</v>
      </c>
      <c r="E507">
        <v>0.99312870895085303</v>
      </c>
      <c r="F507">
        <v>7.67670236411396</v>
      </c>
    </row>
    <row r="508" spans="1:6">
      <c r="A508" t="s">
        <v>48608</v>
      </c>
      <c r="B508" t="s">
        <v>48610</v>
      </c>
      <c r="C508">
        <v>0</v>
      </c>
      <c r="D508">
        <v>0.30628144781105698</v>
      </c>
      <c r="E508">
        <v>0.99312870895085303</v>
      </c>
      <c r="F508">
        <v>7.67670236411396</v>
      </c>
    </row>
    <row r="509" spans="1:6">
      <c r="A509" t="s">
        <v>48608</v>
      </c>
      <c r="B509" t="s">
        <v>48611</v>
      </c>
      <c r="C509">
        <v>0</v>
      </c>
      <c r="D509">
        <v>0.30628144781105698</v>
      </c>
      <c r="E509">
        <v>0.99312870895085303</v>
      </c>
      <c r="F509">
        <v>7.67670236411396</v>
      </c>
    </row>
    <row r="510" spans="1:6">
      <c r="A510" t="s">
        <v>48608</v>
      </c>
      <c r="B510" t="s">
        <v>48612</v>
      </c>
      <c r="C510">
        <v>0</v>
      </c>
      <c r="D510">
        <v>0.30628144781105698</v>
      </c>
      <c r="E510">
        <v>0.99312870895085303</v>
      </c>
      <c r="F510">
        <v>7.67670236411396</v>
      </c>
    </row>
    <row r="511" spans="1:6">
      <c r="A511" t="s">
        <v>48608</v>
      </c>
      <c r="B511" t="s">
        <v>48613</v>
      </c>
      <c r="C511">
        <v>0</v>
      </c>
      <c r="D511">
        <v>0.30628144781105698</v>
      </c>
      <c r="E511">
        <v>0.99312870895085303</v>
      </c>
      <c r="F511">
        <v>7.67670236411396</v>
      </c>
    </row>
    <row r="512" spans="1:6">
      <c r="A512" t="s">
        <v>48608</v>
      </c>
      <c r="B512" t="s">
        <v>48614</v>
      </c>
      <c r="C512">
        <v>0</v>
      </c>
      <c r="D512">
        <v>0.30628144781105698</v>
      </c>
      <c r="E512">
        <v>0.99312870895085303</v>
      </c>
      <c r="F512">
        <v>7.67670236411396</v>
      </c>
    </row>
    <row r="513" spans="1:6">
      <c r="A513" t="s">
        <v>48608</v>
      </c>
      <c r="B513" t="s">
        <v>48615</v>
      </c>
      <c r="C513">
        <v>0</v>
      </c>
      <c r="D513">
        <v>0.30628144781105698</v>
      </c>
      <c r="E513">
        <v>0.99312870895085303</v>
      </c>
      <c r="F513">
        <v>7.67670236411396</v>
      </c>
    </row>
    <row r="514" spans="1:6">
      <c r="A514" t="s">
        <v>48608</v>
      </c>
      <c r="B514" t="s">
        <v>48616</v>
      </c>
      <c r="C514">
        <v>0</v>
      </c>
      <c r="D514">
        <v>0.30628144781105698</v>
      </c>
      <c r="E514">
        <v>0.99312870895085303</v>
      </c>
      <c r="F514">
        <v>7.67670236411396</v>
      </c>
    </row>
    <row r="515" spans="1:6">
      <c r="A515" t="s">
        <v>48608</v>
      </c>
      <c r="B515" t="s">
        <v>48617</v>
      </c>
      <c r="C515">
        <v>0</v>
      </c>
      <c r="D515">
        <v>0.30628144781105698</v>
      </c>
      <c r="E515">
        <v>0.99312870895085303</v>
      </c>
      <c r="F515">
        <v>7.67670236411396</v>
      </c>
    </row>
    <row r="516" spans="1:6">
      <c r="A516" t="s">
        <v>48608</v>
      </c>
      <c r="B516" t="s">
        <v>48618</v>
      </c>
      <c r="C516">
        <v>0</v>
      </c>
      <c r="D516">
        <v>0.30628144781105698</v>
      </c>
      <c r="E516">
        <v>0.99312870895085303</v>
      </c>
      <c r="F516">
        <v>7.67670236411396</v>
      </c>
    </row>
    <row r="517" spans="1:6">
      <c r="A517" t="s">
        <v>48608</v>
      </c>
      <c r="B517" t="s">
        <v>48619</v>
      </c>
      <c r="C517">
        <v>0</v>
      </c>
      <c r="D517">
        <v>0.30628144781105698</v>
      </c>
      <c r="E517">
        <v>0.99312870895085303</v>
      </c>
      <c r="F517">
        <v>7.67670236411396</v>
      </c>
    </row>
    <row r="518" spans="1:6">
      <c r="A518" t="s">
        <v>48608</v>
      </c>
      <c r="B518" t="s">
        <v>48620</v>
      </c>
      <c r="C518">
        <v>0</v>
      </c>
      <c r="D518">
        <v>0.30628144781105698</v>
      </c>
      <c r="E518">
        <v>0.99312870895085303</v>
      </c>
      <c r="F518">
        <v>7.67670236411396</v>
      </c>
    </row>
    <row r="519" spans="1:6">
      <c r="A519" t="s">
        <v>48608</v>
      </c>
      <c r="B519" t="s">
        <v>48621</v>
      </c>
      <c r="C519">
        <v>5.0569329334219301E-2</v>
      </c>
      <c r="D519">
        <v>0.30628144781105698</v>
      </c>
      <c r="E519">
        <v>0.99312870895085303</v>
      </c>
      <c r="F519">
        <v>7.67670236411396</v>
      </c>
    </row>
    <row r="520" spans="1:6">
      <c r="A520" t="s">
        <v>48608</v>
      </c>
      <c r="B520" t="s">
        <v>48622</v>
      </c>
      <c r="C520">
        <v>0</v>
      </c>
      <c r="D520">
        <v>0.30628144781105698</v>
      </c>
      <c r="E520">
        <v>0.99312870895085303</v>
      </c>
      <c r="F520">
        <v>7.67670236411396</v>
      </c>
    </row>
    <row r="521" spans="1:6">
      <c r="A521" t="s">
        <v>48608</v>
      </c>
      <c r="B521" t="s">
        <v>48623</v>
      </c>
      <c r="C521">
        <v>0</v>
      </c>
      <c r="D521">
        <v>0.30628144781105698</v>
      </c>
      <c r="E521">
        <v>0.99312870895085303</v>
      </c>
      <c r="F521">
        <v>7.67670236411396</v>
      </c>
    </row>
    <row r="522" spans="1:6">
      <c r="A522" t="s">
        <v>48608</v>
      </c>
      <c r="B522" t="s">
        <v>48624</v>
      </c>
      <c r="C522">
        <v>0</v>
      </c>
      <c r="D522">
        <v>0.30628144781105698</v>
      </c>
      <c r="E522">
        <v>0.99312870895085303</v>
      </c>
      <c r="F522">
        <v>7.67670236411396</v>
      </c>
    </row>
    <row r="523" spans="1:6">
      <c r="A523" t="s">
        <v>48608</v>
      </c>
      <c r="B523" t="s">
        <v>48625</v>
      </c>
      <c r="C523">
        <v>0</v>
      </c>
      <c r="D523">
        <v>0.30628144781105698</v>
      </c>
      <c r="E523">
        <v>0.99312870895085303</v>
      </c>
      <c r="F523">
        <v>7.67670236411396</v>
      </c>
    </row>
    <row r="524" spans="1:6">
      <c r="A524" t="s">
        <v>48608</v>
      </c>
      <c r="B524" t="s">
        <v>48626</v>
      </c>
      <c r="C524">
        <v>0</v>
      </c>
      <c r="D524">
        <v>0.30628144781105698</v>
      </c>
      <c r="E524">
        <v>0.99312870895085303</v>
      </c>
      <c r="F524">
        <v>7.67670236411396</v>
      </c>
    </row>
    <row r="525" spans="1:6">
      <c r="A525" t="s">
        <v>48608</v>
      </c>
      <c r="B525" t="s">
        <v>48627</v>
      </c>
      <c r="C525">
        <v>0</v>
      </c>
      <c r="D525">
        <v>0.30628144781105698</v>
      </c>
      <c r="E525">
        <v>0.99312870895085303</v>
      </c>
      <c r="F525">
        <v>7.67670236411396</v>
      </c>
    </row>
    <row r="526" spans="1:6">
      <c r="A526" t="s">
        <v>48608</v>
      </c>
      <c r="B526" t="s">
        <v>48628</v>
      </c>
      <c r="C526">
        <v>0</v>
      </c>
      <c r="D526">
        <v>0.30628144781105698</v>
      </c>
      <c r="E526">
        <v>0.99312870895085303</v>
      </c>
      <c r="F526">
        <v>7.67670236411396</v>
      </c>
    </row>
    <row r="527" spans="1:6">
      <c r="A527" t="s">
        <v>48608</v>
      </c>
      <c r="B527" t="s">
        <v>48629</v>
      </c>
      <c r="C527">
        <v>0</v>
      </c>
      <c r="D527">
        <v>0.30628144781105698</v>
      </c>
      <c r="E527">
        <v>0.99312870895085303</v>
      </c>
      <c r="F527">
        <v>7.67670236411396</v>
      </c>
    </row>
    <row r="528" spans="1:6">
      <c r="A528" t="s">
        <v>48608</v>
      </c>
      <c r="B528" t="s">
        <v>48630</v>
      </c>
      <c r="C528">
        <v>0.78920982835030495</v>
      </c>
      <c r="D528">
        <v>0.30628144781105698</v>
      </c>
      <c r="E528">
        <v>0.99312870895085303</v>
      </c>
      <c r="F528">
        <v>7.67670236411396</v>
      </c>
    </row>
    <row r="529" spans="1:6">
      <c r="A529" t="s">
        <v>48608</v>
      </c>
      <c r="B529" t="s">
        <v>48631</v>
      </c>
      <c r="C529">
        <v>0</v>
      </c>
      <c r="D529">
        <v>0.30628144781105698</v>
      </c>
      <c r="E529">
        <v>0.99312870895085303</v>
      </c>
      <c r="F529">
        <v>7.67670236411396</v>
      </c>
    </row>
    <row r="530" spans="1:6">
      <c r="A530" t="s">
        <v>48608</v>
      </c>
      <c r="B530" t="s">
        <v>48632</v>
      </c>
      <c r="C530">
        <v>0</v>
      </c>
      <c r="D530">
        <v>0.30628144781105698</v>
      </c>
      <c r="E530">
        <v>0.99312870895085303</v>
      </c>
      <c r="F530">
        <v>7.67670236411396</v>
      </c>
    </row>
    <row r="531" spans="1:6">
      <c r="A531" t="s">
        <v>48633</v>
      </c>
      <c r="B531" t="s">
        <v>48634</v>
      </c>
      <c r="C531">
        <v>0.131521333906434</v>
      </c>
      <c r="D531">
        <v>0.55644101243916799</v>
      </c>
      <c r="E531">
        <v>0.99212670332542197</v>
      </c>
      <c r="F531">
        <v>8.8163265306122405</v>
      </c>
    </row>
    <row r="532" spans="1:6">
      <c r="A532" t="s">
        <v>48633</v>
      </c>
      <c r="B532" t="s">
        <v>48635</v>
      </c>
      <c r="C532">
        <v>0.87289824267330396</v>
      </c>
      <c r="D532">
        <v>0.55644101243916799</v>
      </c>
      <c r="E532">
        <v>0.99212670332542197</v>
      </c>
      <c r="F532">
        <v>8.8163265306122405</v>
      </c>
    </row>
    <row r="533" spans="1:6">
      <c r="A533" t="s">
        <v>48636</v>
      </c>
      <c r="B533" t="s">
        <v>48637</v>
      </c>
      <c r="C533">
        <v>0.43428536269763701</v>
      </c>
      <c r="D533">
        <v>0.184292636252474</v>
      </c>
      <c r="E533">
        <v>0.70468536269763704</v>
      </c>
      <c r="F533">
        <v>4.0153566377045804</v>
      </c>
    </row>
    <row r="534" spans="1:6">
      <c r="A534" t="s">
        <v>48636</v>
      </c>
      <c r="B534" t="s">
        <v>48638</v>
      </c>
      <c r="C534">
        <v>0</v>
      </c>
      <c r="D534">
        <v>0.184292636252474</v>
      </c>
      <c r="E534">
        <v>0.70468536269763704</v>
      </c>
      <c r="F534">
        <v>4.0153566377045804</v>
      </c>
    </row>
    <row r="535" spans="1:6">
      <c r="A535" t="s">
        <v>48639</v>
      </c>
      <c r="B535" t="s">
        <v>48640</v>
      </c>
      <c r="C535">
        <v>0</v>
      </c>
      <c r="D535">
        <v>0.50238372025030298</v>
      </c>
      <c r="E535">
        <v>0.96752797011430702</v>
      </c>
      <c r="F535">
        <v>16.265104061426499</v>
      </c>
    </row>
    <row r="536" spans="1:6">
      <c r="A536" t="s">
        <v>48639</v>
      </c>
      <c r="B536" t="s">
        <v>48641</v>
      </c>
      <c r="C536">
        <v>0.889127970114307</v>
      </c>
      <c r="D536">
        <v>0.50238372025030298</v>
      </c>
      <c r="E536">
        <v>0.96752797011430702</v>
      </c>
      <c r="F536">
        <v>16.265104061426499</v>
      </c>
    </row>
    <row r="537" spans="1:6">
      <c r="A537" t="s">
        <v>48642</v>
      </c>
      <c r="B537" t="s">
        <v>48643</v>
      </c>
      <c r="C537">
        <v>0</v>
      </c>
      <c r="D537">
        <v>0.54536817572604401</v>
      </c>
      <c r="E537">
        <v>0.74462328811893697</v>
      </c>
      <c r="F537">
        <v>1.1299252374216999</v>
      </c>
    </row>
    <row r="538" spans="1:6">
      <c r="A538" t="s">
        <v>48642</v>
      </c>
      <c r="B538" t="s">
        <v>48644</v>
      </c>
      <c r="C538">
        <v>0.52702328811893695</v>
      </c>
      <c r="D538">
        <v>0.54536817572604401</v>
      </c>
      <c r="E538">
        <v>0.74462328811893697</v>
      </c>
      <c r="F538">
        <v>1.1299252374216999</v>
      </c>
    </row>
    <row r="539" spans="1:6">
      <c r="A539" t="s">
        <v>48642</v>
      </c>
      <c r="B539" t="s">
        <v>48645</v>
      </c>
      <c r="C539">
        <v>0</v>
      </c>
      <c r="D539">
        <v>0.54536817572604401</v>
      </c>
      <c r="E539">
        <v>0.74462328811893697</v>
      </c>
      <c r="F539">
        <v>1.1299252374216999</v>
      </c>
    </row>
    <row r="540" spans="1:6">
      <c r="A540" t="s">
        <v>48646</v>
      </c>
      <c r="B540" t="s">
        <v>48647</v>
      </c>
      <c r="C540">
        <v>0.65670439706400197</v>
      </c>
      <c r="D540">
        <v>0.65348596241021295</v>
      </c>
      <c r="E540">
        <v>0.80492053968997801</v>
      </c>
      <c r="F540">
        <v>10.1887249949484</v>
      </c>
    </row>
    <row r="541" spans="1:6">
      <c r="A541" t="s">
        <v>48646</v>
      </c>
      <c r="B541" t="s">
        <v>48648</v>
      </c>
      <c r="C541">
        <v>6.38533576583655E-2</v>
      </c>
      <c r="D541">
        <v>0.65348596241021295</v>
      </c>
      <c r="E541">
        <v>0.80492053968997801</v>
      </c>
      <c r="F541">
        <v>10.1887249949484</v>
      </c>
    </row>
    <row r="542" spans="1:6">
      <c r="A542" t="s">
        <v>48646</v>
      </c>
      <c r="B542" t="s">
        <v>48649</v>
      </c>
      <c r="C542">
        <v>0</v>
      </c>
      <c r="D542">
        <v>0.65348596241021295</v>
      </c>
      <c r="E542">
        <v>0.80492053968997801</v>
      </c>
      <c r="F542">
        <v>10.1887249949484</v>
      </c>
    </row>
    <row r="543" spans="1:6">
      <c r="A543" t="s">
        <v>48650</v>
      </c>
      <c r="B543" t="s">
        <v>48651</v>
      </c>
      <c r="C543">
        <v>0.18024242015542499</v>
      </c>
      <c r="D543">
        <v>0.78894546201359095</v>
      </c>
      <c r="E543">
        <v>0.94509288075440101</v>
      </c>
      <c r="F543">
        <v>0.62558092543948196</v>
      </c>
    </row>
    <row r="544" spans="1:6">
      <c r="A544" t="s">
        <v>48650</v>
      </c>
      <c r="B544" t="s">
        <v>48652</v>
      </c>
      <c r="C544">
        <v>0</v>
      </c>
      <c r="D544">
        <v>0.78894546201359095</v>
      </c>
      <c r="E544">
        <v>0.94509288075440101</v>
      </c>
      <c r="F544">
        <v>0.62558092543948196</v>
      </c>
    </row>
    <row r="545" spans="1:6">
      <c r="A545" t="s">
        <v>48650</v>
      </c>
      <c r="B545" t="s">
        <v>48653</v>
      </c>
      <c r="C545">
        <v>0</v>
      </c>
      <c r="D545">
        <v>0.78894546201359095</v>
      </c>
      <c r="E545">
        <v>0.94509288075440101</v>
      </c>
      <c r="F545">
        <v>0.62558092543948196</v>
      </c>
    </row>
    <row r="546" spans="1:6">
      <c r="A546" t="s">
        <v>48650</v>
      </c>
      <c r="B546" t="s">
        <v>48654</v>
      </c>
      <c r="C546">
        <v>0.41887770878275099</v>
      </c>
      <c r="D546">
        <v>0.78894546201359095</v>
      </c>
      <c r="E546">
        <v>0.94509288075440101</v>
      </c>
      <c r="F546">
        <v>0.62558092543948196</v>
      </c>
    </row>
    <row r="547" spans="1:6">
      <c r="A547" t="s">
        <v>48650</v>
      </c>
      <c r="B547" t="s">
        <v>48655</v>
      </c>
      <c r="C547">
        <v>0</v>
      </c>
      <c r="D547">
        <v>0.78894546201359095</v>
      </c>
      <c r="E547">
        <v>0.94509288075440101</v>
      </c>
      <c r="F547">
        <v>0.62558092543948196</v>
      </c>
    </row>
    <row r="548" spans="1:6">
      <c r="A548" t="s">
        <v>48650</v>
      </c>
      <c r="B548" t="s">
        <v>48656</v>
      </c>
      <c r="C548">
        <v>0</v>
      </c>
      <c r="D548">
        <v>0.78894546201359095</v>
      </c>
      <c r="E548">
        <v>0.94509288075440101</v>
      </c>
      <c r="F548">
        <v>0.62558092543948196</v>
      </c>
    </row>
    <row r="549" spans="1:6">
      <c r="A549" t="s">
        <v>48650</v>
      </c>
      <c r="B549" t="s">
        <v>48657</v>
      </c>
      <c r="C549">
        <v>0</v>
      </c>
      <c r="D549">
        <v>0.78894546201359095</v>
      </c>
      <c r="E549">
        <v>0.94509288075440101</v>
      </c>
      <c r="F549">
        <v>0.62558092543948196</v>
      </c>
    </row>
    <row r="550" spans="1:6">
      <c r="A550" t="s">
        <v>48658</v>
      </c>
      <c r="B550" t="s">
        <v>48659</v>
      </c>
      <c r="C550">
        <v>0</v>
      </c>
      <c r="D550">
        <v>0.21988614272991899</v>
      </c>
      <c r="E550">
        <v>0.80354754119681804</v>
      </c>
      <c r="F550">
        <v>10.1887249949484</v>
      </c>
    </row>
    <row r="551" spans="1:6">
      <c r="A551" t="s">
        <v>48658</v>
      </c>
      <c r="B551" t="s">
        <v>48660</v>
      </c>
      <c r="C551">
        <v>0</v>
      </c>
      <c r="D551">
        <v>0.21988614272991899</v>
      </c>
      <c r="E551">
        <v>0.80354754119681804</v>
      </c>
      <c r="F551">
        <v>10.1887249949484</v>
      </c>
    </row>
    <row r="552" spans="1:6">
      <c r="A552" t="s">
        <v>48658</v>
      </c>
      <c r="B552" t="s">
        <v>48661</v>
      </c>
      <c r="C552">
        <v>0</v>
      </c>
      <c r="D552">
        <v>0.21988614272991899</v>
      </c>
      <c r="E552">
        <v>0.80354754119681804</v>
      </c>
      <c r="F552">
        <v>10.1887249949484</v>
      </c>
    </row>
    <row r="553" spans="1:6">
      <c r="A553" t="s">
        <v>48658</v>
      </c>
      <c r="B553" t="s">
        <v>48662</v>
      </c>
      <c r="C553">
        <v>0</v>
      </c>
      <c r="D553">
        <v>0.21988614272991899</v>
      </c>
      <c r="E553">
        <v>0.80354754119681804</v>
      </c>
      <c r="F553">
        <v>10.1887249949484</v>
      </c>
    </row>
    <row r="554" spans="1:6">
      <c r="A554" t="s">
        <v>48658</v>
      </c>
      <c r="B554" t="s">
        <v>48663</v>
      </c>
      <c r="C554">
        <v>0</v>
      </c>
      <c r="D554">
        <v>0.21988614272991899</v>
      </c>
      <c r="E554">
        <v>0.80354754119681804</v>
      </c>
      <c r="F554">
        <v>10.1887249949484</v>
      </c>
    </row>
    <row r="555" spans="1:6">
      <c r="A555" t="s">
        <v>48658</v>
      </c>
      <c r="B555" t="s">
        <v>48664</v>
      </c>
      <c r="C555">
        <v>0</v>
      </c>
      <c r="D555">
        <v>0.21988614272991899</v>
      </c>
      <c r="E555">
        <v>0.80354754119681804</v>
      </c>
      <c r="F555">
        <v>10.1887249949484</v>
      </c>
    </row>
    <row r="556" spans="1:6">
      <c r="A556" t="s">
        <v>48658</v>
      </c>
      <c r="B556" t="s">
        <v>48665</v>
      </c>
      <c r="C556">
        <v>0</v>
      </c>
      <c r="D556">
        <v>0.21988614272991899</v>
      </c>
      <c r="E556">
        <v>0.80354754119681804</v>
      </c>
      <c r="F556">
        <v>10.1887249949484</v>
      </c>
    </row>
    <row r="557" spans="1:6">
      <c r="A557" t="s">
        <v>48658</v>
      </c>
      <c r="B557" t="s">
        <v>48666</v>
      </c>
      <c r="C557">
        <v>0.200347541196819</v>
      </c>
      <c r="D557">
        <v>0.21988614272991899</v>
      </c>
      <c r="E557">
        <v>0.80354754119681804</v>
      </c>
      <c r="F557">
        <v>10.1887249949484</v>
      </c>
    </row>
    <row r="558" spans="1:6">
      <c r="A558" t="s">
        <v>48667</v>
      </c>
      <c r="B558" t="s">
        <v>48668</v>
      </c>
      <c r="C558">
        <v>0</v>
      </c>
      <c r="D558">
        <v>0.12800152407328699</v>
      </c>
      <c r="E558" t="s">
        <v>106</v>
      </c>
      <c r="F558">
        <v>11.323499696908399</v>
      </c>
    </row>
    <row r="559" spans="1:6">
      <c r="A559" t="s">
        <v>48667</v>
      </c>
      <c r="B559" t="s">
        <v>48669</v>
      </c>
      <c r="C559">
        <v>0</v>
      </c>
      <c r="D559">
        <v>0.12800152407328699</v>
      </c>
      <c r="E559" t="s">
        <v>106</v>
      </c>
      <c r="F559">
        <v>11.323499696908399</v>
      </c>
    </row>
    <row r="560" spans="1:6">
      <c r="A560" t="s">
        <v>48670</v>
      </c>
      <c r="B560" t="s">
        <v>48671</v>
      </c>
      <c r="C560">
        <v>0</v>
      </c>
      <c r="D560">
        <v>0.17983378524733701</v>
      </c>
      <c r="E560">
        <v>0.98767204923887397</v>
      </c>
      <c r="F560">
        <v>5.2956152758132902</v>
      </c>
    </row>
    <row r="561" spans="1:6">
      <c r="A561" t="s">
        <v>48670</v>
      </c>
      <c r="B561" t="s">
        <v>48672</v>
      </c>
      <c r="C561">
        <v>0</v>
      </c>
      <c r="D561">
        <v>0.17983378524733701</v>
      </c>
      <c r="E561">
        <v>0.98767204923887397</v>
      </c>
      <c r="F561">
        <v>5.2956152758132902</v>
      </c>
    </row>
    <row r="562" spans="1:6">
      <c r="A562" t="s">
        <v>48670</v>
      </c>
      <c r="B562" t="s">
        <v>48673</v>
      </c>
      <c r="C562">
        <v>0.56260861492993797</v>
      </c>
      <c r="D562">
        <v>0.17983378524733701</v>
      </c>
      <c r="E562">
        <v>0.98767204923887397</v>
      </c>
      <c r="F562">
        <v>5.2956152758132902</v>
      </c>
    </row>
    <row r="563" spans="1:6">
      <c r="A563" t="s">
        <v>48670</v>
      </c>
      <c r="B563" t="s">
        <v>48674</v>
      </c>
      <c r="C563">
        <v>0</v>
      </c>
      <c r="D563">
        <v>0.17983378524733701</v>
      </c>
      <c r="E563">
        <v>0.98767204923887397</v>
      </c>
      <c r="F563">
        <v>5.2956152758132902</v>
      </c>
    </row>
    <row r="564" spans="1:6">
      <c r="A564" t="s">
        <v>48670</v>
      </c>
      <c r="B564" t="s">
        <v>48675</v>
      </c>
      <c r="C564">
        <v>0</v>
      </c>
      <c r="D564">
        <v>0.17983378524733701</v>
      </c>
      <c r="E564">
        <v>0.98767204923887397</v>
      </c>
      <c r="F564">
        <v>5.2956152758132902</v>
      </c>
    </row>
    <row r="565" spans="1:6">
      <c r="A565" t="s">
        <v>48670</v>
      </c>
      <c r="B565" t="s">
        <v>48676</v>
      </c>
      <c r="C565">
        <v>0</v>
      </c>
      <c r="D565">
        <v>0.17983378524733701</v>
      </c>
      <c r="E565">
        <v>0.98767204923887397</v>
      </c>
      <c r="F565">
        <v>5.2956152758132902</v>
      </c>
    </row>
    <row r="566" spans="1:6">
      <c r="A566" t="s">
        <v>48670</v>
      </c>
      <c r="B566" t="s">
        <v>48677</v>
      </c>
      <c r="C566">
        <v>0</v>
      </c>
      <c r="D566">
        <v>0.17983378524733701</v>
      </c>
      <c r="E566">
        <v>0.98767204923887397</v>
      </c>
      <c r="F566">
        <v>5.2956152758132902</v>
      </c>
    </row>
    <row r="567" spans="1:6">
      <c r="A567" t="s">
        <v>48670</v>
      </c>
      <c r="B567" t="s">
        <v>48678</v>
      </c>
      <c r="C567">
        <v>0.16894336509794999</v>
      </c>
      <c r="D567">
        <v>0.17983378524733701</v>
      </c>
      <c r="E567">
        <v>0.98767204923887397</v>
      </c>
      <c r="F567">
        <v>5.2956152758132902</v>
      </c>
    </row>
    <row r="568" spans="1:6">
      <c r="A568" t="s">
        <v>48670</v>
      </c>
      <c r="B568" t="s">
        <v>48679</v>
      </c>
      <c r="C568">
        <v>0</v>
      </c>
      <c r="D568">
        <v>0.17983378524733701</v>
      </c>
      <c r="E568">
        <v>0.98767204923887397</v>
      </c>
      <c r="F568">
        <v>5.2956152758132902</v>
      </c>
    </row>
    <row r="569" spans="1:6">
      <c r="A569" t="s">
        <v>48670</v>
      </c>
      <c r="B569" t="s">
        <v>48680</v>
      </c>
      <c r="C569">
        <v>0</v>
      </c>
      <c r="D569">
        <v>0.17983378524733701</v>
      </c>
      <c r="E569">
        <v>0.98767204923887397</v>
      </c>
      <c r="F569">
        <v>5.2956152758132902</v>
      </c>
    </row>
    <row r="570" spans="1:6">
      <c r="A570" t="s">
        <v>48681</v>
      </c>
      <c r="B570" t="s">
        <v>48682</v>
      </c>
      <c r="C570">
        <v>0</v>
      </c>
      <c r="D570">
        <v>0.406168040693488</v>
      </c>
      <c r="E570">
        <v>0.96937454250158295</v>
      </c>
      <c r="F570">
        <v>13.772479288745201</v>
      </c>
    </row>
    <row r="571" spans="1:6">
      <c r="A571" t="s">
        <v>48681</v>
      </c>
      <c r="B571" t="s">
        <v>48683</v>
      </c>
      <c r="C571">
        <v>0</v>
      </c>
      <c r="D571">
        <v>0.406168040693488</v>
      </c>
      <c r="E571">
        <v>0.96937454250158295</v>
      </c>
      <c r="F571">
        <v>13.772479288745201</v>
      </c>
    </row>
    <row r="572" spans="1:6">
      <c r="A572" t="s">
        <v>48681</v>
      </c>
      <c r="B572" t="s">
        <v>48684</v>
      </c>
      <c r="C572">
        <v>0.57186073797452996</v>
      </c>
      <c r="D572">
        <v>0.406168040693488</v>
      </c>
      <c r="E572">
        <v>0.96937454250158295</v>
      </c>
      <c r="F572">
        <v>13.772479288745201</v>
      </c>
    </row>
    <row r="573" spans="1:6">
      <c r="A573" t="s">
        <v>48681</v>
      </c>
      <c r="B573" t="s">
        <v>48685</v>
      </c>
      <c r="C573">
        <v>0</v>
      </c>
      <c r="D573">
        <v>0.406168040693488</v>
      </c>
      <c r="E573">
        <v>0.96937454250158295</v>
      </c>
      <c r="F573">
        <v>13.772479288745201</v>
      </c>
    </row>
    <row r="574" spans="1:6">
      <c r="A574" t="s">
        <v>48681</v>
      </c>
      <c r="B574" t="s">
        <v>48686</v>
      </c>
      <c r="C574">
        <v>0</v>
      </c>
      <c r="D574">
        <v>0.406168040693488</v>
      </c>
      <c r="E574">
        <v>0.96937454250158295</v>
      </c>
      <c r="F574">
        <v>13.772479288745201</v>
      </c>
    </row>
    <row r="575" spans="1:6">
      <c r="A575" t="s">
        <v>48681</v>
      </c>
      <c r="B575" t="s">
        <v>48687</v>
      </c>
      <c r="C575">
        <v>0</v>
      </c>
      <c r="D575">
        <v>0.406168040693488</v>
      </c>
      <c r="E575">
        <v>0.96937454250158295</v>
      </c>
      <c r="F575">
        <v>13.772479288745201</v>
      </c>
    </row>
    <row r="576" spans="1:6">
      <c r="A576" t="s">
        <v>48681</v>
      </c>
      <c r="B576" t="s">
        <v>48688</v>
      </c>
      <c r="C576">
        <v>0.33115968945455299</v>
      </c>
      <c r="D576">
        <v>0.406168040693488</v>
      </c>
      <c r="E576">
        <v>0.96937454250158295</v>
      </c>
      <c r="F576">
        <v>13.772479288745201</v>
      </c>
    </row>
    <row r="577" spans="1:6">
      <c r="A577" t="s">
        <v>48689</v>
      </c>
      <c r="B577" t="s">
        <v>48690</v>
      </c>
      <c r="C577">
        <v>0.74040453154375296</v>
      </c>
      <c r="D577">
        <v>0.49162797198664998</v>
      </c>
      <c r="E577">
        <v>0.86821495763658596</v>
      </c>
      <c r="F577">
        <v>1.78460295009092</v>
      </c>
    </row>
    <row r="578" spans="1:6">
      <c r="A578" t="s">
        <v>48689</v>
      </c>
      <c r="B578" t="s">
        <v>48691</v>
      </c>
      <c r="C578">
        <v>0.35889723722521599</v>
      </c>
      <c r="D578">
        <v>0.49162797198664998</v>
      </c>
      <c r="E578">
        <v>0.86821495763658596</v>
      </c>
      <c r="F578">
        <v>1.78460295009092</v>
      </c>
    </row>
    <row r="579" spans="1:6">
      <c r="A579" t="s">
        <v>48689</v>
      </c>
      <c r="B579" t="s">
        <v>48692</v>
      </c>
      <c r="C579">
        <v>0</v>
      </c>
      <c r="D579">
        <v>0.49162797198664998</v>
      </c>
      <c r="E579">
        <v>0.86821495763658596</v>
      </c>
      <c r="F579">
        <v>1.78460295009092</v>
      </c>
    </row>
    <row r="580" spans="1:6">
      <c r="A580" t="s">
        <v>48693</v>
      </c>
      <c r="B580" t="s">
        <v>48694</v>
      </c>
      <c r="C580">
        <v>0.648068165077198</v>
      </c>
      <c r="D580">
        <v>0.301231806142428</v>
      </c>
      <c r="E580">
        <v>0.98271284676165205</v>
      </c>
      <c r="F580">
        <v>19.616084057385301</v>
      </c>
    </row>
    <row r="581" spans="1:6">
      <c r="A581" t="s">
        <v>48693</v>
      </c>
      <c r="B581" t="s">
        <v>48695</v>
      </c>
      <c r="C581">
        <v>0.34461629565859803</v>
      </c>
      <c r="D581">
        <v>0.301231806142428</v>
      </c>
      <c r="E581">
        <v>0.98271284676165205</v>
      </c>
      <c r="F581">
        <v>19.616084057385301</v>
      </c>
    </row>
    <row r="582" spans="1:6">
      <c r="A582" t="s">
        <v>48696</v>
      </c>
      <c r="B582" t="s">
        <v>48697</v>
      </c>
      <c r="C582">
        <v>0.52527016973269403</v>
      </c>
      <c r="D582">
        <v>3.4138040830724498E-2</v>
      </c>
      <c r="E582">
        <v>0.99392926521316405</v>
      </c>
      <c r="F582">
        <v>17.074964639320999</v>
      </c>
    </row>
    <row r="583" spans="1:6">
      <c r="A583" t="s">
        <v>48696</v>
      </c>
      <c r="B583" t="s">
        <v>48698</v>
      </c>
      <c r="C583">
        <v>1.06870426043761</v>
      </c>
      <c r="D583">
        <v>3.4138040830724498E-2</v>
      </c>
      <c r="E583">
        <v>0.99392926521316405</v>
      </c>
      <c r="F583">
        <v>17.074964639320999</v>
      </c>
    </row>
    <row r="584" spans="1:6">
      <c r="A584" t="s">
        <v>48699</v>
      </c>
      <c r="B584" t="s">
        <v>48700</v>
      </c>
      <c r="C584">
        <v>0</v>
      </c>
      <c r="D584">
        <v>0.45387761376547098</v>
      </c>
      <c r="E584">
        <v>0.73530572186618604</v>
      </c>
      <c r="F584">
        <v>14.330167710648601</v>
      </c>
    </row>
    <row r="585" spans="1:6">
      <c r="A585" t="s">
        <v>48699</v>
      </c>
      <c r="B585" t="s">
        <v>48701</v>
      </c>
      <c r="C585">
        <v>0</v>
      </c>
      <c r="D585">
        <v>0.45387761376547098</v>
      </c>
      <c r="E585">
        <v>0.73530572186618604</v>
      </c>
      <c r="F585">
        <v>14.330167710648601</v>
      </c>
    </row>
    <row r="586" spans="1:6">
      <c r="A586" t="s">
        <v>48699</v>
      </c>
      <c r="B586" t="s">
        <v>48702</v>
      </c>
      <c r="C586">
        <v>0</v>
      </c>
      <c r="D586">
        <v>0.45387761376547098</v>
      </c>
      <c r="E586">
        <v>0.73530572186618604</v>
      </c>
      <c r="F586">
        <v>14.330167710648601</v>
      </c>
    </row>
    <row r="587" spans="1:6">
      <c r="A587" t="s">
        <v>48699</v>
      </c>
      <c r="B587" t="s">
        <v>48703</v>
      </c>
      <c r="C587">
        <v>0.44570572186618601</v>
      </c>
      <c r="D587">
        <v>0.45387761376547098</v>
      </c>
      <c r="E587">
        <v>0.73530572186618604</v>
      </c>
      <c r="F587">
        <v>14.330167710648601</v>
      </c>
    </row>
    <row r="588" spans="1:6">
      <c r="A588" t="s">
        <v>48699</v>
      </c>
      <c r="B588" t="s">
        <v>48704</v>
      </c>
      <c r="C588">
        <v>0</v>
      </c>
      <c r="D588">
        <v>0.45387761376547098</v>
      </c>
      <c r="E588">
        <v>0.73530572186618604</v>
      </c>
      <c r="F588">
        <v>14.330167710648601</v>
      </c>
    </row>
    <row r="589" spans="1:6">
      <c r="A589" t="s">
        <v>48699</v>
      </c>
      <c r="B589" t="s">
        <v>48705</v>
      </c>
      <c r="C589">
        <v>0</v>
      </c>
      <c r="D589">
        <v>0.45387761376547098</v>
      </c>
      <c r="E589">
        <v>0.73530572186618604</v>
      </c>
      <c r="F589">
        <v>14.330167710648601</v>
      </c>
    </row>
    <row r="590" spans="1:6">
      <c r="A590" t="s">
        <v>48706</v>
      </c>
      <c r="B590" t="s">
        <v>48707</v>
      </c>
      <c r="C590">
        <v>1.0096178171154599</v>
      </c>
      <c r="D590">
        <v>0.30012826061567099</v>
      </c>
      <c r="E590">
        <v>0.99093563930857897</v>
      </c>
      <c r="F590">
        <v>7.13841180036371</v>
      </c>
    </row>
    <row r="591" spans="1:6">
      <c r="A591" t="s">
        <v>48706</v>
      </c>
      <c r="B591" t="s">
        <v>48708</v>
      </c>
      <c r="C591">
        <v>0</v>
      </c>
      <c r="D591">
        <v>0.30012826061567099</v>
      </c>
      <c r="E591">
        <v>0.99093563930857897</v>
      </c>
      <c r="F591">
        <v>7.13841180036371</v>
      </c>
    </row>
    <row r="592" spans="1:6">
      <c r="A592" t="s">
        <v>48706</v>
      </c>
      <c r="B592" t="s">
        <v>48709</v>
      </c>
      <c r="C592">
        <v>-1.20247385564422</v>
      </c>
      <c r="D592">
        <v>0.30012826061567099</v>
      </c>
      <c r="E592">
        <v>0.99093563930857897</v>
      </c>
      <c r="F592">
        <v>7.13841180036371</v>
      </c>
    </row>
    <row r="593" spans="1:6">
      <c r="A593" t="s">
        <v>48710</v>
      </c>
      <c r="B593" t="s">
        <v>48711</v>
      </c>
      <c r="C593">
        <v>0.77379716708124302</v>
      </c>
      <c r="D593">
        <v>0.23357616614813601</v>
      </c>
      <c r="E593">
        <v>0.99913779668226599</v>
      </c>
      <c r="F593">
        <v>8.2343907860173697</v>
      </c>
    </row>
    <row r="594" spans="1:6">
      <c r="A594" t="s">
        <v>48710</v>
      </c>
      <c r="B594" t="s">
        <v>48712</v>
      </c>
      <c r="C594">
        <v>0</v>
      </c>
      <c r="D594">
        <v>0.23357616614813601</v>
      </c>
      <c r="E594">
        <v>0.99913779668226599</v>
      </c>
      <c r="F594">
        <v>8.2343907860173697</v>
      </c>
    </row>
    <row r="595" spans="1:6">
      <c r="A595" t="s">
        <v>48710</v>
      </c>
      <c r="B595" t="s">
        <v>48713</v>
      </c>
      <c r="C595">
        <v>0</v>
      </c>
      <c r="D595">
        <v>0.23357616614813601</v>
      </c>
      <c r="E595">
        <v>0.99913779668226599</v>
      </c>
      <c r="F595">
        <v>8.2343907860173697</v>
      </c>
    </row>
    <row r="596" spans="1:6">
      <c r="A596" t="s">
        <v>48710</v>
      </c>
      <c r="B596" t="s">
        <v>48714</v>
      </c>
      <c r="C596">
        <v>0</v>
      </c>
      <c r="D596">
        <v>0.23357616614813601</v>
      </c>
      <c r="E596">
        <v>0.99913779668226599</v>
      </c>
      <c r="F596">
        <v>8.2343907860173697</v>
      </c>
    </row>
    <row r="597" spans="1:6">
      <c r="A597" t="s">
        <v>48710</v>
      </c>
      <c r="B597" t="s">
        <v>48715</v>
      </c>
      <c r="C597">
        <v>0.21453741755696101</v>
      </c>
      <c r="D597">
        <v>0.23357616614813601</v>
      </c>
      <c r="E597">
        <v>0.99913779668226599</v>
      </c>
      <c r="F597">
        <v>8.2343907860173697</v>
      </c>
    </row>
    <row r="598" spans="1:6">
      <c r="A598" t="s">
        <v>48710</v>
      </c>
      <c r="B598" t="s">
        <v>48716</v>
      </c>
      <c r="C598">
        <v>0</v>
      </c>
      <c r="D598">
        <v>0.23357616614813601</v>
      </c>
      <c r="E598">
        <v>0.99913779668226599</v>
      </c>
      <c r="F598">
        <v>8.2343907860173697</v>
      </c>
    </row>
    <row r="599" spans="1:6">
      <c r="A599" t="s">
        <v>48717</v>
      </c>
      <c r="B599" t="s">
        <v>48718</v>
      </c>
      <c r="C599">
        <v>0.46145795655942601</v>
      </c>
      <c r="D599">
        <v>0.114420422255126</v>
      </c>
      <c r="E599">
        <v>0.75024388823471999</v>
      </c>
      <c r="F599">
        <v>2.5847645989088699</v>
      </c>
    </row>
    <row r="600" spans="1:6">
      <c r="A600" t="s">
        <v>48717</v>
      </c>
      <c r="B600" t="s">
        <v>48719</v>
      </c>
      <c r="C600">
        <v>4.4761677311156302E-2</v>
      </c>
      <c r="D600">
        <v>0.114420422255126</v>
      </c>
      <c r="E600">
        <v>0.75024388823471999</v>
      </c>
      <c r="F600">
        <v>2.5847645989088699</v>
      </c>
    </row>
    <row r="601" spans="1:6">
      <c r="A601" t="s">
        <v>48717</v>
      </c>
      <c r="B601" t="s">
        <v>48720</v>
      </c>
      <c r="C601">
        <v>0</v>
      </c>
      <c r="D601">
        <v>0.114420422255126</v>
      </c>
      <c r="E601">
        <v>0.75024388823471999</v>
      </c>
      <c r="F601">
        <v>2.5847645989088699</v>
      </c>
    </row>
    <row r="602" spans="1:6">
      <c r="A602" t="s">
        <v>48721</v>
      </c>
      <c r="B602" t="s">
        <v>48722</v>
      </c>
      <c r="C602">
        <v>0.37759146887196998</v>
      </c>
      <c r="D602">
        <v>0.18409005220148</v>
      </c>
      <c r="E602">
        <v>0.73119146887196995</v>
      </c>
      <c r="F602">
        <v>9.56314406950899</v>
      </c>
    </row>
    <row r="603" spans="1:6">
      <c r="A603" t="s">
        <v>48721</v>
      </c>
      <c r="B603" t="s">
        <v>48723</v>
      </c>
      <c r="C603">
        <v>0</v>
      </c>
      <c r="D603">
        <v>0.18409005220148</v>
      </c>
      <c r="E603">
        <v>0.73119146887196995</v>
      </c>
      <c r="F603">
        <v>9.56314406950899</v>
      </c>
    </row>
    <row r="604" spans="1:6">
      <c r="A604" t="s">
        <v>48721</v>
      </c>
      <c r="B604" t="s">
        <v>48724</v>
      </c>
      <c r="C604">
        <v>0</v>
      </c>
      <c r="D604">
        <v>0.18409005220148</v>
      </c>
      <c r="E604">
        <v>0.73119146887196995</v>
      </c>
      <c r="F604">
        <v>9.56314406950899</v>
      </c>
    </row>
    <row r="605" spans="1:6">
      <c r="A605" t="s">
        <v>48721</v>
      </c>
      <c r="B605" t="s">
        <v>48725</v>
      </c>
      <c r="C605">
        <v>0</v>
      </c>
      <c r="D605">
        <v>0.18409005220148</v>
      </c>
      <c r="E605">
        <v>0.73119146887196995</v>
      </c>
      <c r="F605">
        <v>9.56314406950899</v>
      </c>
    </row>
    <row r="606" spans="1:6">
      <c r="A606" t="s">
        <v>48726</v>
      </c>
      <c r="B606" t="s">
        <v>48727</v>
      </c>
      <c r="C606">
        <v>0.13380853286588101</v>
      </c>
      <c r="D606">
        <v>0.105625828112593</v>
      </c>
      <c r="E606">
        <v>0.96013132217684904</v>
      </c>
      <c r="F606">
        <v>7.13841180036371</v>
      </c>
    </row>
    <row r="607" spans="1:6">
      <c r="A607" t="s">
        <v>48726</v>
      </c>
      <c r="B607" t="s">
        <v>48728</v>
      </c>
      <c r="C607">
        <v>0</v>
      </c>
      <c r="D607">
        <v>0.105625828112593</v>
      </c>
      <c r="E607">
        <v>0.96013132217684904</v>
      </c>
      <c r="F607">
        <v>7.13841180036371</v>
      </c>
    </row>
    <row r="608" spans="1:6">
      <c r="A608" t="s">
        <v>48726</v>
      </c>
      <c r="B608" t="s">
        <v>48729</v>
      </c>
      <c r="C608">
        <v>0</v>
      </c>
      <c r="D608">
        <v>0.105625828112593</v>
      </c>
      <c r="E608">
        <v>0.96013132217684904</v>
      </c>
      <c r="F608">
        <v>7.13841180036371</v>
      </c>
    </row>
    <row r="609" spans="1:6">
      <c r="A609" t="s">
        <v>48726</v>
      </c>
      <c r="B609" t="s">
        <v>48730</v>
      </c>
      <c r="C609">
        <v>0.74834867776262703</v>
      </c>
      <c r="D609">
        <v>0.105625828112593</v>
      </c>
      <c r="E609">
        <v>0.96013132217684904</v>
      </c>
      <c r="F609">
        <v>7.13841180036371</v>
      </c>
    </row>
    <row r="610" spans="1:6">
      <c r="A610" t="s">
        <v>48726</v>
      </c>
      <c r="B610" t="s">
        <v>48731</v>
      </c>
      <c r="C610">
        <v>0</v>
      </c>
      <c r="D610">
        <v>0.105625828112593</v>
      </c>
      <c r="E610">
        <v>0.96013132217684904</v>
      </c>
      <c r="F610">
        <v>7.13841180036371</v>
      </c>
    </row>
    <row r="611" spans="1:6">
      <c r="A611" t="s">
        <v>48732</v>
      </c>
      <c r="B611" t="s">
        <v>48733</v>
      </c>
      <c r="C611">
        <v>0</v>
      </c>
      <c r="D611">
        <v>0.272784734035597</v>
      </c>
      <c r="E611" t="s">
        <v>106</v>
      </c>
      <c r="F611">
        <v>14.519296827641901</v>
      </c>
    </row>
    <row r="612" spans="1:6">
      <c r="A612" t="s">
        <v>48732</v>
      </c>
      <c r="B612" t="s">
        <v>48734</v>
      </c>
      <c r="C612">
        <v>0</v>
      </c>
      <c r="D612">
        <v>0.272784734035597</v>
      </c>
      <c r="E612" t="s">
        <v>106</v>
      </c>
      <c r="F612">
        <v>14.519296827641901</v>
      </c>
    </row>
    <row r="613" spans="1:6">
      <c r="A613" t="s">
        <v>48735</v>
      </c>
      <c r="B613" t="s">
        <v>48736</v>
      </c>
      <c r="C613">
        <v>0</v>
      </c>
      <c r="D613">
        <v>0.61852485866925599</v>
      </c>
      <c r="E613">
        <v>0.91594935207348804</v>
      </c>
      <c r="F613">
        <v>5.9987876338654198</v>
      </c>
    </row>
    <row r="614" spans="1:6">
      <c r="A614" t="s">
        <v>48735</v>
      </c>
      <c r="B614" t="s">
        <v>48737</v>
      </c>
      <c r="C614">
        <v>0</v>
      </c>
      <c r="D614">
        <v>0.61852485866925599</v>
      </c>
      <c r="E614">
        <v>0.91594935207348804</v>
      </c>
      <c r="F614">
        <v>5.9987876338654198</v>
      </c>
    </row>
    <row r="615" spans="1:6">
      <c r="A615" t="s">
        <v>48735</v>
      </c>
      <c r="B615" t="s">
        <v>48738</v>
      </c>
      <c r="C615">
        <v>0.73034935207348795</v>
      </c>
      <c r="D615">
        <v>0.61852485866925599</v>
      </c>
      <c r="E615">
        <v>0.91594935207348804</v>
      </c>
      <c r="F615">
        <v>5.9987876338654198</v>
      </c>
    </row>
    <row r="616" spans="1:6">
      <c r="A616" t="s">
        <v>48735</v>
      </c>
      <c r="B616" t="s">
        <v>48739</v>
      </c>
      <c r="C616">
        <v>0</v>
      </c>
      <c r="D616">
        <v>0.61852485866925599</v>
      </c>
      <c r="E616">
        <v>0.91594935207348804</v>
      </c>
      <c r="F616">
        <v>5.9987876338654198</v>
      </c>
    </row>
    <row r="617" spans="1:6">
      <c r="A617" t="s">
        <v>48740</v>
      </c>
      <c r="B617" t="s">
        <v>48741</v>
      </c>
      <c r="C617">
        <v>0.76377165005729097</v>
      </c>
      <c r="D617">
        <v>0.86174364988531504</v>
      </c>
      <c r="E617">
        <v>0.97361616205045298</v>
      </c>
      <c r="F617">
        <v>20.503536067892501</v>
      </c>
    </row>
    <row r="618" spans="1:6">
      <c r="A618" t="s">
        <v>48740</v>
      </c>
      <c r="B618" t="s">
        <v>48742</v>
      </c>
      <c r="C618">
        <v>0.29349022295955801</v>
      </c>
      <c r="D618">
        <v>0.86174364988531504</v>
      </c>
      <c r="E618">
        <v>0.97361616205045298</v>
      </c>
      <c r="F618">
        <v>20.503536067892501</v>
      </c>
    </row>
    <row r="619" spans="1:6">
      <c r="A619" t="s">
        <v>48743</v>
      </c>
      <c r="B619" t="s">
        <v>48744</v>
      </c>
      <c r="C619">
        <v>0.36380309362546598</v>
      </c>
      <c r="D619">
        <v>0.57760126971237702</v>
      </c>
      <c r="E619">
        <v>0.78224907222407103</v>
      </c>
      <c r="F619">
        <v>14.145888058193499</v>
      </c>
    </row>
    <row r="620" spans="1:6">
      <c r="A620" t="s">
        <v>48743</v>
      </c>
      <c r="B620" t="s">
        <v>48745</v>
      </c>
      <c r="C620">
        <v>0.25897960092247702</v>
      </c>
      <c r="D620">
        <v>0.57760126971237702</v>
      </c>
      <c r="E620">
        <v>0.78224907222407103</v>
      </c>
      <c r="F620">
        <v>14.145888058193499</v>
      </c>
    </row>
    <row r="621" spans="1:6">
      <c r="A621" t="s">
        <v>48743</v>
      </c>
      <c r="B621" t="s">
        <v>48746</v>
      </c>
      <c r="C621">
        <v>0</v>
      </c>
      <c r="D621">
        <v>0.57760126971237702</v>
      </c>
      <c r="E621">
        <v>0.78224907222407103</v>
      </c>
      <c r="F621">
        <v>14.145888058193499</v>
      </c>
    </row>
    <row r="622" spans="1:6">
      <c r="A622" t="s">
        <v>48747</v>
      </c>
      <c r="B622" t="s">
        <v>48748</v>
      </c>
      <c r="C622">
        <v>0.52899343577496705</v>
      </c>
      <c r="D622">
        <v>0.30368822665272199</v>
      </c>
      <c r="E622">
        <v>0.63139343577496698</v>
      </c>
      <c r="F622">
        <v>1.98828046069913</v>
      </c>
    </row>
    <row r="623" spans="1:6">
      <c r="A623" t="s">
        <v>48747</v>
      </c>
      <c r="B623" t="s">
        <v>48749</v>
      </c>
      <c r="C623">
        <v>0</v>
      </c>
      <c r="D623">
        <v>0.30368822665272199</v>
      </c>
      <c r="E623">
        <v>0.63139343577496698</v>
      </c>
      <c r="F623">
        <v>1.98828046069913</v>
      </c>
    </row>
    <row r="624" spans="1:6">
      <c r="A624" t="s">
        <v>48750</v>
      </c>
      <c r="B624" t="s">
        <v>48751</v>
      </c>
      <c r="C624">
        <v>0</v>
      </c>
      <c r="D624">
        <v>0.61963512026848899</v>
      </c>
      <c r="E624">
        <v>0.942486878147209</v>
      </c>
      <c r="F624">
        <v>0.218225904223075</v>
      </c>
    </row>
    <row r="625" spans="1:6">
      <c r="A625" t="s">
        <v>48750</v>
      </c>
      <c r="B625" t="s">
        <v>48752</v>
      </c>
      <c r="C625">
        <v>0</v>
      </c>
      <c r="D625">
        <v>0.61963512026848899</v>
      </c>
      <c r="E625">
        <v>0.942486878147209</v>
      </c>
      <c r="F625">
        <v>0.218225904223075</v>
      </c>
    </row>
    <row r="626" spans="1:6">
      <c r="A626" t="s">
        <v>48750</v>
      </c>
      <c r="B626" t="s">
        <v>48753</v>
      </c>
      <c r="C626">
        <v>0</v>
      </c>
      <c r="D626">
        <v>0.61963512026848899</v>
      </c>
      <c r="E626">
        <v>0.942486878147209</v>
      </c>
      <c r="F626">
        <v>0.218225904223075</v>
      </c>
    </row>
    <row r="627" spans="1:6">
      <c r="A627" t="s">
        <v>48750</v>
      </c>
      <c r="B627" t="s">
        <v>48754</v>
      </c>
      <c r="C627">
        <v>1.8964659281244901E-2</v>
      </c>
      <c r="D627">
        <v>0.61963512026848899</v>
      </c>
      <c r="E627">
        <v>0.942486878147209</v>
      </c>
      <c r="F627">
        <v>0.218225904223075</v>
      </c>
    </row>
    <row r="628" spans="1:6">
      <c r="A628" t="s">
        <v>48750</v>
      </c>
      <c r="B628" t="s">
        <v>48755</v>
      </c>
      <c r="C628">
        <v>0</v>
      </c>
      <c r="D628">
        <v>0.61963512026848899</v>
      </c>
      <c r="E628">
        <v>0.942486878147209</v>
      </c>
      <c r="F628">
        <v>0.218225904223075</v>
      </c>
    </row>
    <row r="629" spans="1:6">
      <c r="A629" t="s">
        <v>48750</v>
      </c>
      <c r="B629" t="s">
        <v>48756</v>
      </c>
      <c r="C629">
        <v>0</v>
      </c>
      <c r="D629">
        <v>0.61963512026848899</v>
      </c>
      <c r="E629">
        <v>0.942486878147209</v>
      </c>
      <c r="F629">
        <v>0.218225904223075</v>
      </c>
    </row>
    <row r="630" spans="1:6">
      <c r="A630" t="s">
        <v>48750</v>
      </c>
      <c r="B630" t="s">
        <v>48757</v>
      </c>
      <c r="C630">
        <v>0</v>
      </c>
      <c r="D630">
        <v>0.61963512026848899</v>
      </c>
      <c r="E630">
        <v>0.942486878147209</v>
      </c>
      <c r="F630">
        <v>0.218225904223075</v>
      </c>
    </row>
    <row r="631" spans="1:6">
      <c r="A631" t="s">
        <v>48750</v>
      </c>
      <c r="B631" t="s">
        <v>48758</v>
      </c>
      <c r="C631">
        <v>0</v>
      </c>
      <c r="D631">
        <v>0.61963512026848899</v>
      </c>
      <c r="E631">
        <v>0.942486878147209</v>
      </c>
      <c r="F631">
        <v>0.218225904223075</v>
      </c>
    </row>
    <row r="632" spans="1:6">
      <c r="A632" t="s">
        <v>48750</v>
      </c>
      <c r="B632" t="s">
        <v>48759</v>
      </c>
      <c r="C632">
        <v>0</v>
      </c>
      <c r="D632">
        <v>0.61963512026848899</v>
      </c>
      <c r="E632">
        <v>0.942486878147209</v>
      </c>
      <c r="F632">
        <v>0.218225904223075</v>
      </c>
    </row>
    <row r="633" spans="1:6">
      <c r="A633" t="s">
        <v>48750</v>
      </c>
      <c r="B633" t="s">
        <v>48760</v>
      </c>
      <c r="C633">
        <v>0</v>
      </c>
      <c r="D633">
        <v>0.61963512026848899</v>
      </c>
      <c r="E633">
        <v>0.942486878147209</v>
      </c>
      <c r="F633">
        <v>0.218225904223075</v>
      </c>
    </row>
    <row r="634" spans="1:6">
      <c r="A634" t="s">
        <v>48750</v>
      </c>
      <c r="B634" t="s">
        <v>48761</v>
      </c>
      <c r="C634">
        <v>0.56700393938152105</v>
      </c>
      <c r="D634">
        <v>0.61963512026848899</v>
      </c>
      <c r="E634">
        <v>0.942486878147209</v>
      </c>
      <c r="F634">
        <v>0.218225904223075</v>
      </c>
    </row>
    <row r="635" spans="1:6">
      <c r="A635" t="s">
        <v>48750</v>
      </c>
      <c r="B635" t="s">
        <v>48762</v>
      </c>
      <c r="C635">
        <v>0</v>
      </c>
      <c r="D635">
        <v>0.61963512026848899</v>
      </c>
      <c r="E635">
        <v>0.942486878147209</v>
      </c>
      <c r="F635">
        <v>0.218225904223075</v>
      </c>
    </row>
    <row r="636" spans="1:6">
      <c r="A636" t="s">
        <v>48763</v>
      </c>
      <c r="B636" t="s">
        <v>48764</v>
      </c>
      <c r="C636">
        <v>0</v>
      </c>
      <c r="D636">
        <v>0.29443782954025399</v>
      </c>
      <c r="E636">
        <v>0.99705640485709202</v>
      </c>
      <c r="F636">
        <v>14.145888058193499</v>
      </c>
    </row>
    <row r="637" spans="1:6">
      <c r="A637" t="s">
        <v>48763</v>
      </c>
      <c r="B637" t="s">
        <v>48765</v>
      </c>
      <c r="C637">
        <v>0.83737026386203905</v>
      </c>
      <c r="D637">
        <v>0.29443782954025399</v>
      </c>
      <c r="E637">
        <v>0.99705640485709202</v>
      </c>
      <c r="F637">
        <v>14.145888058193499</v>
      </c>
    </row>
    <row r="638" spans="1:6">
      <c r="A638" t="s">
        <v>48763</v>
      </c>
      <c r="B638" t="s">
        <v>48766</v>
      </c>
      <c r="C638">
        <v>0</v>
      </c>
      <c r="D638">
        <v>0.29443782954025399</v>
      </c>
      <c r="E638">
        <v>0.99705640485709202</v>
      </c>
      <c r="F638">
        <v>14.145888058193499</v>
      </c>
    </row>
    <row r="639" spans="1:6">
      <c r="A639" t="s">
        <v>48763</v>
      </c>
      <c r="B639" t="s">
        <v>48767</v>
      </c>
      <c r="C639">
        <v>0.12121676140968</v>
      </c>
      <c r="D639">
        <v>0.29443782954025399</v>
      </c>
      <c r="E639">
        <v>0.99705640485709202</v>
      </c>
      <c r="F639">
        <v>14.145888058193499</v>
      </c>
    </row>
    <row r="640" spans="1:6">
      <c r="A640" t="s">
        <v>48768</v>
      </c>
      <c r="B640" t="s">
        <v>48769</v>
      </c>
      <c r="C640">
        <v>0</v>
      </c>
      <c r="D640">
        <v>0.339310960198978</v>
      </c>
      <c r="E640">
        <v>0.99754760025851397</v>
      </c>
      <c r="F640">
        <v>6.1200242473226902</v>
      </c>
    </row>
    <row r="641" spans="1:6">
      <c r="A641" t="s">
        <v>48768</v>
      </c>
      <c r="B641" t="s">
        <v>48770</v>
      </c>
      <c r="C641">
        <v>0</v>
      </c>
      <c r="D641">
        <v>0.339310960198978</v>
      </c>
      <c r="E641">
        <v>0.99754760025851397</v>
      </c>
      <c r="F641">
        <v>6.1200242473226902</v>
      </c>
    </row>
    <row r="642" spans="1:6">
      <c r="A642" t="s">
        <v>48768</v>
      </c>
      <c r="B642" t="s">
        <v>48771</v>
      </c>
      <c r="C642">
        <v>0</v>
      </c>
      <c r="D642">
        <v>0.339310960198978</v>
      </c>
      <c r="E642">
        <v>0.99754760025851397</v>
      </c>
      <c r="F642">
        <v>6.1200242473226902</v>
      </c>
    </row>
    <row r="643" spans="1:6">
      <c r="A643" t="s">
        <v>48768</v>
      </c>
      <c r="B643" t="s">
        <v>48772</v>
      </c>
      <c r="C643">
        <v>0.66246447191528401</v>
      </c>
      <c r="D643">
        <v>0.339310960198978</v>
      </c>
      <c r="E643">
        <v>0.99754760025851397</v>
      </c>
      <c r="F643">
        <v>6.1200242473226902</v>
      </c>
    </row>
    <row r="644" spans="1:6">
      <c r="A644" t="s">
        <v>48768</v>
      </c>
      <c r="B644" t="s">
        <v>48773</v>
      </c>
      <c r="C644">
        <v>0.32413115206559501</v>
      </c>
      <c r="D644">
        <v>0.339310960198978</v>
      </c>
      <c r="E644">
        <v>0.99754760025851397</v>
      </c>
      <c r="F644">
        <v>6.1200242473226902</v>
      </c>
    </row>
    <row r="645" spans="1:6">
      <c r="A645" t="s">
        <v>48768</v>
      </c>
      <c r="B645" t="s">
        <v>48774</v>
      </c>
      <c r="C645">
        <v>0</v>
      </c>
      <c r="D645">
        <v>0.339310960198978</v>
      </c>
      <c r="E645">
        <v>0.99754760025851397</v>
      </c>
      <c r="F645">
        <v>6.1200242473226902</v>
      </c>
    </row>
    <row r="646" spans="1:6">
      <c r="A646" t="s">
        <v>48768</v>
      </c>
      <c r="B646" t="s">
        <v>48775</v>
      </c>
      <c r="C646">
        <v>0</v>
      </c>
      <c r="D646">
        <v>0.339310960198978</v>
      </c>
      <c r="E646">
        <v>0.99754760025851397</v>
      </c>
      <c r="F646">
        <v>6.1200242473226902</v>
      </c>
    </row>
    <row r="647" spans="1:6">
      <c r="A647" t="s">
        <v>48776</v>
      </c>
      <c r="B647" t="s">
        <v>48777</v>
      </c>
      <c r="C647">
        <v>0</v>
      </c>
      <c r="D647">
        <v>0.82345816098902103</v>
      </c>
      <c r="E647">
        <v>0.98662691046751805</v>
      </c>
      <c r="F647">
        <v>10.5039401899373</v>
      </c>
    </row>
    <row r="648" spans="1:6">
      <c r="A648" t="s">
        <v>48776</v>
      </c>
      <c r="B648" t="s">
        <v>48778</v>
      </c>
      <c r="C648">
        <v>0</v>
      </c>
      <c r="D648">
        <v>0.82345816098902103</v>
      </c>
      <c r="E648">
        <v>0.98662691046751805</v>
      </c>
      <c r="F648">
        <v>10.5039401899373</v>
      </c>
    </row>
    <row r="649" spans="1:6">
      <c r="A649" t="s">
        <v>48776</v>
      </c>
      <c r="B649" t="s">
        <v>48779</v>
      </c>
      <c r="C649">
        <v>0.40841221956581802</v>
      </c>
      <c r="D649">
        <v>0.82345816098902103</v>
      </c>
      <c r="E649">
        <v>0.98662691046751805</v>
      </c>
      <c r="F649">
        <v>10.5039401899373</v>
      </c>
    </row>
    <row r="650" spans="1:6">
      <c r="A650" t="s">
        <v>48776</v>
      </c>
      <c r="B650" t="s">
        <v>48780</v>
      </c>
      <c r="C650">
        <v>0</v>
      </c>
      <c r="D650">
        <v>0.82345816098902103</v>
      </c>
      <c r="E650">
        <v>0.98662691046751805</v>
      </c>
      <c r="F650">
        <v>10.5039401899373</v>
      </c>
    </row>
    <row r="651" spans="1:6">
      <c r="A651" t="s">
        <v>48776</v>
      </c>
      <c r="B651" t="s">
        <v>48781</v>
      </c>
      <c r="C651">
        <v>0</v>
      </c>
      <c r="D651">
        <v>0.82345816098902103</v>
      </c>
      <c r="E651">
        <v>0.98662691046751805</v>
      </c>
      <c r="F651">
        <v>10.5039401899373</v>
      </c>
    </row>
    <row r="652" spans="1:6">
      <c r="A652" t="s">
        <v>48776</v>
      </c>
      <c r="B652" t="s">
        <v>48782</v>
      </c>
      <c r="C652">
        <v>0.25145302417221499</v>
      </c>
      <c r="D652">
        <v>0.82345816098902103</v>
      </c>
      <c r="E652">
        <v>0.98662691046751805</v>
      </c>
      <c r="F652">
        <v>10.5039401899373</v>
      </c>
    </row>
    <row r="653" spans="1:6">
      <c r="A653" t="s">
        <v>48776</v>
      </c>
      <c r="B653" t="s">
        <v>48783</v>
      </c>
      <c r="C653">
        <v>0</v>
      </c>
      <c r="D653">
        <v>0.82345816098902103</v>
      </c>
      <c r="E653">
        <v>0.98662691046751805</v>
      </c>
      <c r="F653">
        <v>10.5039401899373</v>
      </c>
    </row>
    <row r="654" spans="1:6">
      <c r="A654" t="s">
        <v>48776</v>
      </c>
      <c r="B654" t="s">
        <v>48784</v>
      </c>
      <c r="C654">
        <v>0</v>
      </c>
      <c r="D654">
        <v>0.82345816098902103</v>
      </c>
      <c r="E654">
        <v>0.98662691046751805</v>
      </c>
      <c r="F654">
        <v>10.5039401899373</v>
      </c>
    </row>
    <row r="655" spans="1:6">
      <c r="A655" t="s">
        <v>48776</v>
      </c>
      <c r="B655" t="s">
        <v>48785</v>
      </c>
      <c r="C655">
        <v>0</v>
      </c>
      <c r="D655">
        <v>0.82345816098902103</v>
      </c>
      <c r="E655">
        <v>0.98662691046751805</v>
      </c>
      <c r="F655">
        <v>10.5039401899373</v>
      </c>
    </row>
    <row r="656" spans="1:6">
      <c r="A656" t="s">
        <v>48776</v>
      </c>
      <c r="B656" t="s">
        <v>48786</v>
      </c>
      <c r="C656">
        <v>0</v>
      </c>
      <c r="D656">
        <v>0.82345816098902103</v>
      </c>
      <c r="E656">
        <v>0.98662691046751805</v>
      </c>
      <c r="F656">
        <v>10.5039401899373</v>
      </c>
    </row>
    <row r="657" spans="1:6">
      <c r="A657" t="s">
        <v>48776</v>
      </c>
      <c r="B657" t="s">
        <v>48787</v>
      </c>
      <c r="C657">
        <v>0</v>
      </c>
      <c r="D657">
        <v>0.82345816098902103</v>
      </c>
      <c r="E657">
        <v>0.98662691046751805</v>
      </c>
      <c r="F657">
        <v>10.5039401899373</v>
      </c>
    </row>
    <row r="658" spans="1:6">
      <c r="A658" t="s">
        <v>48788</v>
      </c>
      <c r="B658" t="s">
        <v>48789</v>
      </c>
      <c r="C658">
        <v>0</v>
      </c>
      <c r="D658">
        <v>0.42892730737507101</v>
      </c>
      <c r="E658">
        <v>0.76785009485362199</v>
      </c>
      <c r="F658">
        <v>10.9937361083047</v>
      </c>
    </row>
    <row r="659" spans="1:6">
      <c r="A659" t="s">
        <v>48788</v>
      </c>
      <c r="B659" t="s">
        <v>48790</v>
      </c>
      <c r="C659">
        <v>0.42813469687474398</v>
      </c>
      <c r="D659">
        <v>0.42892730737507101</v>
      </c>
      <c r="E659">
        <v>0.76785009485362199</v>
      </c>
      <c r="F659">
        <v>10.9937361083047</v>
      </c>
    </row>
    <row r="660" spans="1:6">
      <c r="A660" t="s">
        <v>48788</v>
      </c>
      <c r="B660" t="s">
        <v>48791</v>
      </c>
      <c r="C660">
        <v>0</v>
      </c>
      <c r="D660">
        <v>0.42892730737507101</v>
      </c>
      <c r="E660">
        <v>0.76785009485362199</v>
      </c>
      <c r="F660">
        <v>10.9937361083047</v>
      </c>
    </row>
    <row r="661" spans="1:6">
      <c r="A661" t="s">
        <v>48788</v>
      </c>
      <c r="B661" t="s">
        <v>48792</v>
      </c>
      <c r="C661">
        <v>0</v>
      </c>
      <c r="D661">
        <v>0.42892730737507101</v>
      </c>
      <c r="E661">
        <v>0.76785009485362199</v>
      </c>
      <c r="F661">
        <v>10.9937361083047</v>
      </c>
    </row>
    <row r="662" spans="1:6">
      <c r="A662" t="s">
        <v>48788</v>
      </c>
      <c r="B662" t="s">
        <v>48793</v>
      </c>
      <c r="C662">
        <v>2.1938501253674199E-2</v>
      </c>
      <c r="D662">
        <v>0.42892730737507101</v>
      </c>
      <c r="E662">
        <v>0.76785009485362199</v>
      </c>
      <c r="F662">
        <v>10.9937361083047</v>
      </c>
    </row>
    <row r="663" spans="1:6">
      <c r="A663" t="s">
        <v>48794</v>
      </c>
      <c r="B663" t="s">
        <v>48795</v>
      </c>
      <c r="C663">
        <v>0</v>
      </c>
      <c r="D663">
        <v>0.61396781569745396</v>
      </c>
      <c r="E663">
        <v>0.96700689409723495</v>
      </c>
      <c r="F663">
        <v>10.1887249949484</v>
      </c>
    </row>
    <row r="664" spans="1:6">
      <c r="A664" t="s">
        <v>48794</v>
      </c>
      <c r="B664" t="s">
        <v>48796</v>
      </c>
      <c r="C664">
        <v>0.69373641719130497</v>
      </c>
      <c r="D664">
        <v>0.61396781569745396</v>
      </c>
      <c r="E664">
        <v>0.96700689409723495</v>
      </c>
      <c r="F664">
        <v>10.1887249949484</v>
      </c>
    </row>
    <row r="665" spans="1:6">
      <c r="A665" t="s">
        <v>48794</v>
      </c>
      <c r="B665" t="s">
        <v>48797</v>
      </c>
      <c r="C665">
        <v>0</v>
      </c>
      <c r="D665">
        <v>0.61396781569745396</v>
      </c>
      <c r="E665">
        <v>0.96700689409723495</v>
      </c>
      <c r="F665">
        <v>10.1887249949484</v>
      </c>
    </row>
    <row r="666" spans="1:6">
      <c r="A666" t="s">
        <v>48794</v>
      </c>
      <c r="B666" t="s">
        <v>48798</v>
      </c>
      <c r="C666">
        <v>0.123011087353164</v>
      </c>
      <c r="D666">
        <v>0.61396781569745396</v>
      </c>
      <c r="E666">
        <v>0.96700689409723495</v>
      </c>
      <c r="F666">
        <v>10.1887249949484</v>
      </c>
    </row>
    <row r="667" spans="1:6">
      <c r="A667" t="s">
        <v>48794</v>
      </c>
      <c r="B667" t="s">
        <v>48799</v>
      </c>
      <c r="C667">
        <v>0</v>
      </c>
      <c r="D667">
        <v>0.61396781569745396</v>
      </c>
      <c r="E667">
        <v>0.96700689409723495</v>
      </c>
      <c r="F667">
        <v>10.1887249949484</v>
      </c>
    </row>
    <row r="668" spans="1:6">
      <c r="A668" t="s">
        <v>48800</v>
      </c>
      <c r="B668" t="s">
        <v>48801</v>
      </c>
      <c r="C668">
        <v>0</v>
      </c>
      <c r="D668">
        <v>0.40869594486583999</v>
      </c>
      <c r="E668">
        <v>0.984825017282973</v>
      </c>
      <c r="F668">
        <v>0</v>
      </c>
    </row>
    <row r="669" spans="1:6">
      <c r="A669" t="s">
        <v>48800</v>
      </c>
      <c r="B669" t="s">
        <v>48802</v>
      </c>
      <c r="C669">
        <v>0</v>
      </c>
      <c r="D669">
        <v>0.40869594486583999</v>
      </c>
      <c r="E669">
        <v>0.984825017282973</v>
      </c>
      <c r="F669">
        <v>0</v>
      </c>
    </row>
    <row r="670" spans="1:6">
      <c r="A670" t="s">
        <v>48800</v>
      </c>
      <c r="B670" t="s">
        <v>48803</v>
      </c>
      <c r="C670">
        <v>0.32784348974990701</v>
      </c>
      <c r="D670">
        <v>0.40869594486583999</v>
      </c>
      <c r="E670">
        <v>0.984825017282973</v>
      </c>
      <c r="F670">
        <v>0</v>
      </c>
    </row>
    <row r="671" spans="1:6">
      <c r="A671" t="s">
        <v>48800</v>
      </c>
      <c r="B671" t="s">
        <v>48804</v>
      </c>
      <c r="C671">
        <v>0.74603433291858201</v>
      </c>
      <c r="D671">
        <v>0.40869594486583999</v>
      </c>
      <c r="E671">
        <v>0.984825017282973</v>
      </c>
      <c r="F671">
        <v>0</v>
      </c>
    </row>
    <row r="672" spans="1:6">
      <c r="A672" t="s">
        <v>48800</v>
      </c>
      <c r="B672" t="s">
        <v>48805</v>
      </c>
      <c r="C672">
        <v>0</v>
      </c>
      <c r="D672">
        <v>0.40869594486583999</v>
      </c>
      <c r="E672">
        <v>0.984825017282973</v>
      </c>
      <c r="F672">
        <v>0</v>
      </c>
    </row>
    <row r="673" spans="1:6">
      <c r="A673" t="s">
        <v>48806</v>
      </c>
      <c r="B673" t="s">
        <v>48807</v>
      </c>
      <c r="C673">
        <v>0</v>
      </c>
      <c r="D673">
        <v>0.88049505977480103</v>
      </c>
      <c r="E673">
        <v>0.98181015763724599</v>
      </c>
      <c r="F673">
        <v>9.56314406950899</v>
      </c>
    </row>
    <row r="674" spans="1:6">
      <c r="A674" t="s">
        <v>48806</v>
      </c>
      <c r="B674" t="s">
        <v>48808</v>
      </c>
      <c r="C674">
        <v>0</v>
      </c>
      <c r="D674">
        <v>0.88049505977480103</v>
      </c>
      <c r="E674">
        <v>0.98181015763724599</v>
      </c>
      <c r="F674">
        <v>9.56314406950899</v>
      </c>
    </row>
    <row r="675" spans="1:6">
      <c r="A675" t="s">
        <v>48806</v>
      </c>
      <c r="B675" t="s">
        <v>48809</v>
      </c>
      <c r="C675">
        <v>0.87781015763724701</v>
      </c>
      <c r="D675">
        <v>0.88049505977480103</v>
      </c>
      <c r="E675">
        <v>0.98181015763724599</v>
      </c>
      <c r="F675">
        <v>9.56314406950899</v>
      </c>
    </row>
    <row r="676" spans="1:6">
      <c r="A676" t="s">
        <v>48806</v>
      </c>
      <c r="B676" t="s">
        <v>48810</v>
      </c>
      <c r="C676">
        <v>0</v>
      </c>
      <c r="D676">
        <v>0.88049505977480103</v>
      </c>
      <c r="E676">
        <v>0.98181015763724599</v>
      </c>
      <c r="F676">
        <v>9.56314406950899</v>
      </c>
    </row>
    <row r="677" spans="1:6">
      <c r="A677" t="s">
        <v>48811</v>
      </c>
      <c r="B677" t="s">
        <v>48812</v>
      </c>
      <c r="C677">
        <v>0.78228820479161298</v>
      </c>
      <c r="D677">
        <v>0.36034390711250802</v>
      </c>
      <c r="E677">
        <v>0.97785222960595797</v>
      </c>
      <c r="F677">
        <v>16.463932107496401</v>
      </c>
    </row>
    <row r="678" spans="1:6">
      <c r="A678" t="s">
        <v>48811</v>
      </c>
      <c r="B678" t="s">
        <v>48813</v>
      </c>
      <c r="C678">
        <v>0.115905729537282</v>
      </c>
      <c r="D678">
        <v>0.36034390711250802</v>
      </c>
      <c r="E678">
        <v>0.97785222960595797</v>
      </c>
      <c r="F678">
        <v>16.463932107496401</v>
      </c>
    </row>
    <row r="679" spans="1:6">
      <c r="A679" t="s">
        <v>48811</v>
      </c>
      <c r="B679" t="s">
        <v>48814</v>
      </c>
      <c r="C679">
        <v>0</v>
      </c>
      <c r="D679">
        <v>0.36034390711250802</v>
      </c>
      <c r="E679">
        <v>0.97785222960595797</v>
      </c>
      <c r="F679">
        <v>16.463932107496401</v>
      </c>
    </row>
    <row r="680" spans="1:6">
      <c r="A680" t="s">
        <v>48815</v>
      </c>
      <c r="B680" t="s">
        <v>48816</v>
      </c>
      <c r="C680">
        <v>0</v>
      </c>
      <c r="D680">
        <v>0.419005816183876</v>
      </c>
      <c r="E680">
        <v>0.86739554048697498</v>
      </c>
      <c r="F680">
        <v>18.112750050515199</v>
      </c>
    </row>
    <row r="681" spans="1:6">
      <c r="A681" t="s">
        <v>48815</v>
      </c>
      <c r="B681" t="s">
        <v>48817</v>
      </c>
      <c r="C681">
        <v>0</v>
      </c>
      <c r="D681">
        <v>0.419005816183876</v>
      </c>
      <c r="E681">
        <v>0.86739554048697498</v>
      </c>
      <c r="F681">
        <v>18.112750050515199</v>
      </c>
    </row>
    <row r="682" spans="1:6">
      <c r="A682" t="s">
        <v>48815</v>
      </c>
      <c r="B682" t="s">
        <v>48818</v>
      </c>
      <c r="C682">
        <v>0</v>
      </c>
      <c r="D682">
        <v>0.419005816183876</v>
      </c>
      <c r="E682">
        <v>0.86739554048697498</v>
      </c>
      <c r="F682">
        <v>18.112750050515199</v>
      </c>
    </row>
    <row r="683" spans="1:6">
      <c r="A683" t="s">
        <v>48815</v>
      </c>
      <c r="B683" t="s">
        <v>48819</v>
      </c>
      <c r="C683">
        <v>0</v>
      </c>
      <c r="D683">
        <v>0.419005816183876</v>
      </c>
      <c r="E683">
        <v>0.86739554048697498</v>
      </c>
      <c r="F683">
        <v>18.112750050515199</v>
      </c>
    </row>
    <row r="684" spans="1:6">
      <c r="A684" t="s">
        <v>48815</v>
      </c>
      <c r="B684" t="s">
        <v>48820</v>
      </c>
      <c r="C684">
        <v>0.64819554048697503</v>
      </c>
      <c r="D684">
        <v>0.419005816183876</v>
      </c>
      <c r="E684">
        <v>0.86739554048697498</v>
      </c>
      <c r="F684">
        <v>18.112750050515199</v>
      </c>
    </row>
    <row r="685" spans="1:6">
      <c r="A685" t="s">
        <v>48815</v>
      </c>
      <c r="B685" t="s">
        <v>48821</v>
      </c>
      <c r="C685">
        <v>0</v>
      </c>
      <c r="D685">
        <v>0.419005816183876</v>
      </c>
      <c r="E685">
        <v>0.86739554048697498</v>
      </c>
      <c r="F685">
        <v>18.112750050515199</v>
      </c>
    </row>
    <row r="686" spans="1:6">
      <c r="A686" t="s">
        <v>48822</v>
      </c>
      <c r="B686" t="s">
        <v>48823</v>
      </c>
      <c r="C686">
        <v>0</v>
      </c>
      <c r="D686">
        <v>0.81541269503582103</v>
      </c>
      <c r="E686">
        <v>0.95385293264359805</v>
      </c>
      <c r="F686">
        <v>1.98828046069913</v>
      </c>
    </row>
    <row r="687" spans="1:6">
      <c r="A687" t="s">
        <v>48822</v>
      </c>
      <c r="B687" t="s">
        <v>48824</v>
      </c>
      <c r="C687">
        <v>0.28506836808812802</v>
      </c>
      <c r="D687">
        <v>0.81541269503582103</v>
      </c>
      <c r="E687">
        <v>0.95385293264359805</v>
      </c>
      <c r="F687">
        <v>1.98828046069913</v>
      </c>
    </row>
    <row r="688" spans="1:6">
      <c r="A688" t="s">
        <v>48822</v>
      </c>
      <c r="B688" t="s">
        <v>48825</v>
      </c>
      <c r="C688">
        <v>0</v>
      </c>
      <c r="D688">
        <v>0.81541269503582103</v>
      </c>
      <c r="E688">
        <v>0.95385293264359805</v>
      </c>
      <c r="F688">
        <v>1.98828046069913</v>
      </c>
    </row>
    <row r="689" spans="1:6">
      <c r="A689" t="s">
        <v>48822</v>
      </c>
      <c r="B689" t="s">
        <v>48826</v>
      </c>
      <c r="C689">
        <v>0</v>
      </c>
      <c r="D689">
        <v>0.81541269503582103</v>
      </c>
      <c r="E689">
        <v>0.95385293264359805</v>
      </c>
      <c r="F689">
        <v>1.98828046069913</v>
      </c>
    </row>
    <row r="690" spans="1:6">
      <c r="A690" t="s">
        <v>48822</v>
      </c>
      <c r="B690" t="s">
        <v>48827</v>
      </c>
      <c r="C690">
        <v>0.60316173739300305</v>
      </c>
      <c r="D690">
        <v>0.81541269503582103</v>
      </c>
      <c r="E690">
        <v>0.95385293264359805</v>
      </c>
      <c r="F690">
        <v>1.98828046069913</v>
      </c>
    </row>
    <row r="691" spans="1:6">
      <c r="A691" t="s">
        <v>48828</v>
      </c>
      <c r="B691" t="s">
        <v>48829</v>
      </c>
      <c r="C691">
        <v>-1.3260971511886499</v>
      </c>
      <c r="D691">
        <v>0.227806074500286</v>
      </c>
      <c r="E691">
        <v>0.84739468437517096</v>
      </c>
      <c r="F691">
        <v>4.63123863406748</v>
      </c>
    </row>
    <row r="692" spans="1:6">
      <c r="A692" t="s">
        <v>48828</v>
      </c>
      <c r="B692" t="s">
        <v>48830</v>
      </c>
      <c r="C692">
        <v>0</v>
      </c>
      <c r="D692">
        <v>0.227806074500286</v>
      </c>
      <c r="E692">
        <v>0.84739468437517096</v>
      </c>
      <c r="F692">
        <v>4.63123863406748</v>
      </c>
    </row>
    <row r="693" spans="1:6">
      <c r="A693" t="s">
        <v>48828</v>
      </c>
      <c r="B693" t="s">
        <v>48831</v>
      </c>
      <c r="C693">
        <v>0.74047064076813895</v>
      </c>
      <c r="D693">
        <v>0.227806074500286</v>
      </c>
      <c r="E693">
        <v>0.84739468437517096</v>
      </c>
      <c r="F693">
        <v>4.63123863406748</v>
      </c>
    </row>
    <row r="694" spans="1:6">
      <c r="A694" t="s">
        <v>48832</v>
      </c>
      <c r="B694" t="s">
        <v>48833</v>
      </c>
      <c r="C694">
        <v>0.163786977244917</v>
      </c>
      <c r="D694">
        <v>0.25352371151526398</v>
      </c>
      <c r="E694">
        <v>0.99409905060900305</v>
      </c>
      <c r="F694">
        <v>2.12891493230955</v>
      </c>
    </row>
    <row r="695" spans="1:6">
      <c r="A695" t="s">
        <v>48832</v>
      </c>
      <c r="B695" t="s">
        <v>48834</v>
      </c>
      <c r="C695">
        <v>0</v>
      </c>
      <c r="D695">
        <v>0.25352371151526398</v>
      </c>
      <c r="E695">
        <v>0.99409905060900305</v>
      </c>
      <c r="F695">
        <v>2.12891493230955</v>
      </c>
    </row>
    <row r="696" spans="1:6">
      <c r="A696" t="s">
        <v>48832</v>
      </c>
      <c r="B696" t="s">
        <v>48835</v>
      </c>
      <c r="C696">
        <v>0</v>
      </c>
      <c r="D696">
        <v>0.25352371151526398</v>
      </c>
      <c r="E696">
        <v>0.99409905060900305</v>
      </c>
      <c r="F696">
        <v>2.12891493230955</v>
      </c>
    </row>
    <row r="697" spans="1:6">
      <c r="A697" t="s">
        <v>48832</v>
      </c>
      <c r="B697" t="s">
        <v>48836</v>
      </c>
      <c r="C697">
        <v>0.92373878080148997</v>
      </c>
      <c r="D697">
        <v>0.25352371151526398</v>
      </c>
      <c r="E697">
        <v>0.99409905060900305</v>
      </c>
      <c r="F697">
        <v>2.12891493230955</v>
      </c>
    </row>
    <row r="698" spans="1:6">
      <c r="A698" t="s">
        <v>48832</v>
      </c>
      <c r="B698" t="s">
        <v>48837</v>
      </c>
      <c r="C698">
        <v>0</v>
      </c>
      <c r="D698">
        <v>0.25352371151526398</v>
      </c>
      <c r="E698">
        <v>0.99409905060900305</v>
      </c>
      <c r="F698">
        <v>2.12891493230955</v>
      </c>
    </row>
    <row r="699" spans="1:6">
      <c r="A699" t="s">
        <v>48832</v>
      </c>
      <c r="B699" t="s">
        <v>48838</v>
      </c>
      <c r="C699">
        <v>0</v>
      </c>
      <c r="D699">
        <v>0.25352371151526398</v>
      </c>
      <c r="E699">
        <v>0.99409905060900305</v>
      </c>
      <c r="F699">
        <v>2.12891493230955</v>
      </c>
    </row>
    <row r="700" spans="1:6">
      <c r="A700" t="s">
        <v>48832</v>
      </c>
      <c r="B700" t="s">
        <v>48839</v>
      </c>
      <c r="C700">
        <v>0</v>
      </c>
      <c r="D700">
        <v>0.25352371151526398</v>
      </c>
      <c r="E700">
        <v>0.99409905060900305</v>
      </c>
      <c r="F700">
        <v>2.12891493230955</v>
      </c>
    </row>
    <row r="701" spans="1:6">
      <c r="A701" t="s">
        <v>48840</v>
      </c>
      <c r="B701" t="s">
        <v>48841</v>
      </c>
      <c r="C701">
        <v>0</v>
      </c>
      <c r="D701">
        <v>0.39742884304267501</v>
      </c>
      <c r="E701">
        <v>0.97521365402020299</v>
      </c>
      <c r="F701">
        <v>2.05617296423519</v>
      </c>
    </row>
    <row r="702" spans="1:6">
      <c r="A702" t="s">
        <v>48840</v>
      </c>
      <c r="B702" t="s">
        <v>48842</v>
      </c>
      <c r="C702">
        <v>0</v>
      </c>
      <c r="D702">
        <v>0.39742884304267501</v>
      </c>
      <c r="E702">
        <v>0.97521365402020299</v>
      </c>
      <c r="F702">
        <v>2.05617296423519</v>
      </c>
    </row>
    <row r="703" spans="1:6">
      <c r="A703" t="s">
        <v>48840</v>
      </c>
      <c r="B703" t="s">
        <v>48843</v>
      </c>
      <c r="C703">
        <v>0</v>
      </c>
      <c r="D703">
        <v>0.39742884304267501</v>
      </c>
      <c r="E703">
        <v>0.97521365402020299</v>
      </c>
      <c r="F703">
        <v>2.05617296423519</v>
      </c>
    </row>
    <row r="704" spans="1:6">
      <c r="A704" t="s">
        <v>48840</v>
      </c>
      <c r="B704" t="s">
        <v>48844</v>
      </c>
      <c r="C704">
        <v>0</v>
      </c>
      <c r="D704">
        <v>0.39742884304267501</v>
      </c>
      <c r="E704">
        <v>0.97521365402020299</v>
      </c>
      <c r="F704">
        <v>2.05617296423519</v>
      </c>
    </row>
    <row r="705" spans="1:6">
      <c r="A705" t="s">
        <v>48840</v>
      </c>
      <c r="B705" t="s">
        <v>48845</v>
      </c>
      <c r="C705">
        <v>0</v>
      </c>
      <c r="D705">
        <v>0.39742884304267501</v>
      </c>
      <c r="E705">
        <v>0.97521365402020299</v>
      </c>
      <c r="F705">
        <v>2.05617296423519</v>
      </c>
    </row>
    <row r="706" spans="1:6">
      <c r="A706" t="s">
        <v>48840</v>
      </c>
      <c r="B706" t="s">
        <v>48846</v>
      </c>
      <c r="C706">
        <v>0.52038310838708401</v>
      </c>
      <c r="D706">
        <v>0.39742884304267501</v>
      </c>
      <c r="E706">
        <v>0.97521365402020299</v>
      </c>
      <c r="F706">
        <v>2.05617296423519</v>
      </c>
    </row>
    <row r="707" spans="1:6">
      <c r="A707" t="s">
        <v>48840</v>
      </c>
      <c r="B707" t="s">
        <v>48847</v>
      </c>
      <c r="C707">
        <v>0.190392394089901</v>
      </c>
      <c r="D707">
        <v>0.39742884304267501</v>
      </c>
      <c r="E707">
        <v>0.97521365402020299</v>
      </c>
      <c r="F707">
        <v>2.05617296423519</v>
      </c>
    </row>
    <row r="708" spans="1:6">
      <c r="A708" t="s">
        <v>48840</v>
      </c>
      <c r="B708" t="s">
        <v>48848</v>
      </c>
      <c r="C708">
        <v>0</v>
      </c>
      <c r="D708">
        <v>0.39742884304267501</v>
      </c>
      <c r="E708">
        <v>0.97521365402020299</v>
      </c>
      <c r="F708">
        <v>2.05617296423519</v>
      </c>
    </row>
    <row r="709" spans="1:6">
      <c r="A709" t="s">
        <v>48849</v>
      </c>
      <c r="B709" t="s">
        <v>48850</v>
      </c>
      <c r="C709">
        <v>0.70849861403330205</v>
      </c>
      <c r="D709">
        <v>0.55082244214805398</v>
      </c>
      <c r="E709">
        <v>0.98140061250546495</v>
      </c>
      <c r="F709">
        <v>2.35199030107092</v>
      </c>
    </row>
    <row r="710" spans="1:6">
      <c r="A710" t="s">
        <v>48849</v>
      </c>
      <c r="B710" t="s">
        <v>48851</v>
      </c>
      <c r="C710">
        <v>0.24692650151818299</v>
      </c>
      <c r="D710">
        <v>0.55082244214805398</v>
      </c>
      <c r="E710">
        <v>0.98140061250546495</v>
      </c>
      <c r="F710">
        <v>2.35199030107092</v>
      </c>
    </row>
    <row r="711" spans="1:6">
      <c r="A711" t="s">
        <v>48849</v>
      </c>
      <c r="B711" t="s">
        <v>48852</v>
      </c>
      <c r="C711">
        <v>0</v>
      </c>
      <c r="D711">
        <v>0.55082244214805398</v>
      </c>
      <c r="E711">
        <v>0.98140061250546495</v>
      </c>
      <c r="F711">
        <v>2.35199030107092</v>
      </c>
    </row>
    <row r="712" spans="1:6">
      <c r="A712" t="s">
        <v>48849</v>
      </c>
      <c r="B712" t="s">
        <v>48853</v>
      </c>
      <c r="C712">
        <v>0</v>
      </c>
      <c r="D712">
        <v>0.55082244214805398</v>
      </c>
      <c r="E712">
        <v>0.98140061250546495</v>
      </c>
      <c r="F712">
        <v>2.35199030107092</v>
      </c>
    </row>
    <row r="713" spans="1:6">
      <c r="A713" t="s">
        <v>48849</v>
      </c>
      <c r="B713" t="s">
        <v>48854</v>
      </c>
      <c r="C713">
        <v>0</v>
      </c>
      <c r="D713">
        <v>0.55082244214805398</v>
      </c>
      <c r="E713">
        <v>0.98140061250546495</v>
      </c>
      <c r="F713">
        <v>2.35199030107092</v>
      </c>
    </row>
    <row r="714" spans="1:6">
      <c r="A714" t="s">
        <v>48855</v>
      </c>
      <c r="B714" t="s">
        <v>48856</v>
      </c>
      <c r="C714">
        <v>0.61566520219623599</v>
      </c>
      <c r="D714">
        <v>0.43810700236676298</v>
      </c>
      <c r="E714">
        <v>0.964715703411267</v>
      </c>
      <c r="F714">
        <v>11.658112750050501</v>
      </c>
    </row>
    <row r="715" spans="1:6">
      <c r="A715" t="s">
        <v>48855</v>
      </c>
      <c r="B715" t="s">
        <v>48857</v>
      </c>
      <c r="C715">
        <v>0.464377533849192</v>
      </c>
      <c r="D715">
        <v>0.43810700236676298</v>
      </c>
      <c r="E715">
        <v>0.964715703411267</v>
      </c>
      <c r="F715">
        <v>11.658112750050501</v>
      </c>
    </row>
    <row r="716" spans="1:6">
      <c r="A716" t="s">
        <v>48855</v>
      </c>
      <c r="B716" t="s">
        <v>48858</v>
      </c>
      <c r="C716">
        <v>0</v>
      </c>
      <c r="D716">
        <v>0.43810700236676298</v>
      </c>
      <c r="E716">
        <v>0.964715703411267</v>
      </c>
      <c r="F716">
        <v>11.658112750050501</v>
      </c>
    </row>
    <row r="717" spans="1:6">
      <c r="A717" t="s">
        <v>48859</v>
      </c>
      <c r="B717" t="s">
        <v>48860</v>
      </c>
      <c r="C717">
        <v>0</v>
      </c>
      <c r="D717">
        <v>0.80052724503328299</v>
      </c>
      <c r="E717">
        <v>0.89882758437485599</v>
      </c>
      <c r="F717">
        <v>7.4051323499696897</v>
      </c>
    </row>
    <row r="718" spans="1:6">
      <c r="A718" t="s">
        <v>48859</v>
      </c>
      <c r="B718" t="s">
        <v>48861</v>
      </c>
      <c r="C718">
        <v>0</v>
      </c>
      <c r="D718">
        <v>0.80052724503328299</v>
      </c>
      <c r="E718">
        <v>0.89882758437485599</v>
      </c>
      <c r="F718">
        <v>7.4051323499696897</v>
      </c>
    </row>
    <row r="719" spans="1:6">
      <c r="A719" t="s">
        <v>48859</v>
      </c>
      <c r="B719" t="s">
        <v>48862</v>
      </c>
      <c r="C719">
        <v>0.326683069048613</v>
      </c>
      <c r="D719">
        <v>0.80052724503328299</v>
      </c>
      <c r="E719">
        <v>0.89882758437485599</v>
      </c>
      <c r="F719">
        <v>7.4051323499696897</v>
      </c>
    </row>
    <row r="720" spans="1:6">
      <c r="A720" t="s">
        <v>48859</v>
      </c>
      <c r="B720" t="s">
        <v>48863</v>
      </c>
      <c r="C720">
        <v>0.29255545170367497</v>
      </c>
      <c r="D720">
        <v>0.80052724503328299</v>
      </c>
      <c r="E720">
        <v>0.89882758437485599</v>
      </c>
      <c r="F720">
        <v>7.4051323499696897</v>
      </c>
    </row>
    <row r="721" spans="1:6">
      <c r="A721" t="s">
        <v>48859</v>
      </c>
      <c r="B721" t="s">
        <v>48864</v>
      </c>
      <c r="C721">
        <v>0</v>
      </c>
      <c r="D721">
        <v>0.80052724503328299</v>
      </c>
      <c r="E721">
        <v>0.89882758437485599</v>
      </c>
      <c r="F721">
        <v>7.4051323499696897</v>
      </c>
    </row>
    <row r="722" spans="1:6">
      <c r="A722" t="s">
        <v>48865</v>
      </c>
      <c r="B722" t="s">
        <v>48866</v>
      </c>
      <c r="C722">
        <v>0.77310486223796204</v>
      </c>
      <c r="D722">
        <v>0.35218928472401101</v>
      </c>
      <c r="E722">
        <v>0.972026882916741</v>
      </c>
      <c r="F722">
        <v>16.0662760153566</v>
      </c>
    </row>
    <row r="723" spans="1:6">
      <c r="A723" t="s">
        <v>48865</v>
      </c>
      <c r="B723" t="s">
        <v>48867</v>
      </c>
      <c r="C723">
        <v>0</v>
      </c>
      <c r="D723">
        <v>0.35218928472401101</v>
      </c>
      <c r="E723">
        <v>0.972026882916741</v>
      </c>
      <c r="F723">
        <v>16.0662760153566</v>
      </c>
    </row>
    <row r="724" spans="1:6">
      <c r="A724" t="s">
        <v>48865</v>
      </c>
      <c r="B724" t="s">
        <v>48868</v>
      </c>
      <c r="C724">
        <v>0</v>
      </c>
      <c r="D724">
        <v>0.35218928472401101</v>
      </c>
      <c r="E724">
        <v>0.972026882916741</v>
      </c>
      <c r="F724">
        <v>16.0662760153566</v>
      </c>
    </row>
    <row r="725" spans="1:6">
      <c r="A725" t="s">
        <v>48865</v>
      </c>
      <c r="B725" t="s">
        <v>48869</v>
      </c>
      <c r="C725">
        <v>0</v>
      </c>
      <c r="D725">
        <v>0.35218928472401101</v>
      </c>
      <c r="E725">
        <v>0.972026882916741</v>
      </c>
      <c r="F725">
        <v>16.0662760153566</v>
      </c>
    </row>
    <row r="726" spans="1:6">
      <c r="A726" t="s">
        <v>48865</v>
      </c>
      <c r="B726" t="s">
        <v>48870</v>
      </c>
      <c r="C726">
        <v>0</v>
      </c>
      <c r="D726">
        <v>0.35218928472401101</v>
      </c>
      <c r="E726">
        <v>0.972026882916741</v>
      </c>
      <c r="F726">
        <v>16.0662760153566</v>
      </c>
    </row>
    <row r="727" spans="1:6">
      <c r="A727" t="s">
        <v>48865</v>
      </c>
      <c r="B727" t="s">
        <v>48871</v>
      </c>
      <c r="C727">
        <v>0</v>
      </c>
      <c r="D727">
        <v>0.35218928472401101</v>
      </c>
      <c r="E727">
        <v>0.972026882916741</v>
      </c>
      <c r="F727">
        <v>16.0662760153566</v>
      </c>
    </row>
    <row r="728" spans="1:6">
      <c r="A728" t="s">
        <v>48865</v>
      </c>
      <c r="B728" t="s">
        <v>48872</v>
      </c>
      <c r="C728">
        <v>0</v>
      </c>
      <c r="D728">
        <v>0.35218928472401101</v>
      </c>
      <c r="E728">
        <v>0.972026882916741</v>
      </c>
      <c r="F728">
        <v>16.0662760153566</v>
      </c>
    </row>
    <row r="729" spans="1:6">
      <c r="A729" t="s">
        <v>48865</v>
      </c>
      <c r="B729" t="s">
        <v>48873</v>
      </c>
      <c r="C729">
        <v>0</v>
      </c>
      <c r="D729">
        <v>0.35218928472401101</v>
      </c>
      <c r="E729">
        <v>0.972026882916741</v>
      </c>
      <c r="F729">
        <v>16.0662760153566</v>
      </c>
    </row>
    <row r="730" spans="1:6">
      <c r="A730" t="s">
        <v>48865</v>
      </c>
      <c r="B730" t="s">
        <v>48874</v>
      </c>
      <c r="C730">
        <v>0</v>
      </c>
      <c r="D730">
        <v>0.35218928472401101</v>
      </c>
      <c r="E730">
        <v>0.972026882916741</v>
      </c>
      <c r="F730">
        <v>16.0662760153566</v>
      </c>
    </row>
    <row r="731" spans="1:6">
      <c r="A731" t="s">
        <v>48865</v>
      </c>
      <c r="B731" t="s">
        <v>48875</v>
      </c>
      <c r="C731">
        <v>0</v>
      </c>
      <c r="D731">
        <v>0.35218928472401101</v>
      </c>
      <c r="E731">
        <v>0.972026882916741</v>
      </c>
      <c r="F731">
        <v>16.0662760153566</v>
      </c>
    </row>
    <row r="732" spans="1:6">
      <c r="A732" t="s">
        <v>48865</v>
      </c>
      <c r="B732" t="s">
        <v>48876</v>
      </c>
      <c r="C732">
        <v>0</v>
      </c>
      <c r="D732">
        <v>0.35218928472401101</v>
      </c>
      <c r="E732">
        <v>0.972026882916741</v>
      </c>
      <c r="F732">
        <v>16.0662760153566</v>
      </c>
    </row>
    <row r="733" spans="1:6">
      <c r="A733" t="s">
        <v>48865</v>
      </c>
      <c r="B733" t="s">
        <v>48877</v>
      </c>
      <c r="C733">
        <v>0</v>
      </c>
      <c r="D733">
        <v>0.35218928472401101</v>
      </c>
      <c r="E733">
        <v>0.972026882916741</v>
      </c>
      <c r="F733">
        <v>16.0662760153566</v>
      </c>
    </row>
    <row r="734" spans="1:6">
      <c r="A734" t="s">
        <v>48865</v>
      </c>
      <c r="B734" t="s">
        <v>48878</v>
      </c>
      <c r="C734">
        <v>1.7203946934162499E-2</v>
      </c>
      <c r="D734">
        <v>0.35218928472401101</v>
      </c>
      <c r="E734">
        <v>0.972026882916741</v>
      </c>
      <c r="F734">
        <v>16.0662760153566</v>
      </c>
    </row>
    <row r="735" spans="1:6">
      <c r="A735" t="s">
        <v>48865</v>
      </c>
      <c r="B735" t="s">
        <v>48879</v>
      </c>
      <c r="C735">
        <v>0</v>
      </c>
      <c r="D735">
        <v>0.35218928472401101</v>
      </c>
      <c r="E735">
        <v>0.972026882916741</v>
      </c>
      <c r="F735">
        <v>16.0662760153566</v>
      </c>
    </row>
    <row r="736" spans="1:6">
      <c r="A736" t="s">
        <v>48865</v>
      </c>
      <c r="B736" t="s">
        <v>48880</v>
      </c>
      <c r="C736">
        <v>0</v>
      </c>
      <c r="D736">
        <v>0.35218928472401101</v>
      </c>
      <c r="E736">
        <v>0.972026882916741</v>
      </c>
      <c r="F736">
        <v>16.0662760153566</v>
      </c>
    </row>
    <row r="737" spans="1:6">
      <c r="A737" t="s">
        <v>48865</v>
      </c>
      <c r="B737" t="s">
        <v>48881</v>
      </c>
      <c r="C737">
        <v>0</v>
      </c>
      <c r="D737">
        <v>0.35218928472401101</v>
      </c>
      <c r="E737">
        <v>0.972026882916741</v>
      </c>
      <c r="F737">
        <v>16.0662760153566</v>
      </c>
    </row>
    <row r="738" spans="1:6">
      <c r="A738" t="s">
        <v>48882</v>
      </c>
      <c r="B738" t="s">
        <v>48883</v>
      </c>
      <c r="C738">
        <v>0</v>
      </c>
      <c r="D738">
        <v>0.50363749613085995</v>
      </c>
      <c r="E738">
        <v>0.99964164267448996</v>
      </c>
      <c r="F738">
        <v>1.46938775510204</v>
      </c>
    </row>
    <row r="739" spans="1:6">
      <c r="A739" t="s">
        <v>48882</v>
      </c>
      <c r="B739" t="s">
        <v>48884</v>
      </c>
      <c r="C739">
        <v>0</v>
      </c>
      <c r="D739">
        <v>0.50363749613085995</v>
      </c>
      <c r="E739">
        <v>0.99964164267448996</v>
      </c>
      <c r="F739">
        <v>1.46938775510204</v>
      </c>
    </row>
    <row r="740" spans="1:6">
      <c r="A740" t="s">
        <v>48882</v>
      </c>
      <c r="B740" t="s">
        <v>48885</v>
      </c>
      <c r="C740">
        <v>0</v>
      </c>
      <c r="D740">
        <v>0.50363749613085995</v>
      </c>
      <c r="E740">
        <v>0.99964164267448996</v>
      </c>
      <c r="F740">
        <v>1.46938775510204</v>
      </c>
    </row>
    <row r="741" spans="1:6">
      <c r="A741" t="s">
        <v>48882</v>
      </c>
      <c r="B741" t="s">
        <v>48886</v>
      </c>
      <c r="C741">
        <v>0</v>
      </c>
      <c r="D741">
        <v>0.50363749613085995</v>
      </c>
      <c r="E741">
        <v>0.99964164267448996</v>
      </c>
      <c r="F741">
        <v>1.46938775510204</v>
      </c>
    </row>
    <row r="742" spans="1:6">
      <c r="A742" t="s">
        <v>48882</v>
      </c>
      <c r="B742" t="s">
        <v>48887</v>
      </c>
      <c r="C742">
        <v>0.52953756761220205</v>
      </c>
      <c r="D742">
        <v>0.50363749613085995</v>
      </c>
      <c r="E742">
        <v>0.99964164267448996</v>
      </c>
      <c r="F742">
        <v>1.46938775510204</v>
      </c>
    </row>
    <row r="743" spans="1:6">
      <c r="A743" t="s">
        <v>48882</v>
      </c>
      <c r="B743" t="s">
        <v>48888</v>
      </c>
      <c r="C743">
        <v>0.87106213896094897</v>
      </c>
      <c r="D743">
        <v>0.50363749613085995</v>
      </c>
      <c r="E743">
        <v>0.99964164267448996</v>
      </c>
      <c r="F743">
        <v>1.46938775510204</v>
      </c>
    </row>
    <row r="744" spans="1:6">
      <c r="A744" t="s">
        <v>48889</v>
      </c>
      <c r="B744" t="s">
        <v>48890</v>
      </c>
      <c r="C744">
        <v>0.61946744915635599</v>
      </c>
      <c r="D744">
        <v>0.37436465482003201</v>
      </c>
      <c r="E744">
        <v>0.98647089511713004</v>
      </c>
      <c r="F744">
        <v>5.1792281268943201</v>
      </c>
    </row>
    <row r="745" spans="1:6">
      <c r="A745" t="s">
        <v>48889</v>
      </c>
      <c r="B745" t="s">
        <v>48891</v>
      </c>
      <c r="C745">
        <v>0</v>
      </c>
      <c r="D745">
        <v>0.37436465482003201</v>
      </c>
      <c r="E745">
        <v>0.98647089511713004</v>
      </c>
      <c r="F745">
        <v>5.1792281268943201</v>
      </c>
    </row>
    <row r="746" spans="1:6">
      <c r="A746" t="s">
        <v>48889</v>
      </c>
      <c r="B746" t="s">
        <v>48892</v>
      </c>
      <c r="C746">
        <v>0.53377002110621596</v>
      </c>
      <c r="D746">
        <v>0.37436465482003201</v>
      </c>
      <c r="E746">
        <v>0.98647089511713004</v>
      </c>
      <c r="F746">
        <v>5.1792281268943201</v>
      </c>
    </row>
    <row r="747" spans="1:6">
      <c r="A747" t="s">
        <v>48893</v>
      </c>
      <c r="B747" t="s">
        <v>48894</v>
      </c>
      <c r="C747">
        <v>0.56249067101841099</v>
      </c>
      <c r="D747">
        <v>0.170514063102603</v>
      </c>
      <c r="E747">
        <v>0.685191216416284</v>
      </c>
      <c r="F747">
        <v>9.4128106688219795</v>
      </c>
    </row>
    <row r="748" spans="1:6">
      <c r="A748" t="s">
        <v>48893</v>
      </c>
      <c r="B748" t="s">
        <v>48895</v>
      </c>
      <c r="C748">
        <v>0.103077625592989</v>
      </c>
      <c r="D748">
        <v>0.170514063102603</v>
      </c>
      <c r="E748">
        <v>0.685191216416284</v>
      </c>
      <c r="F748">
        <v>9.4128106688219795</v>
      </c>
    </row>
    <row r="749" spans="1:6">
      <c r="A749" t="s">
        <v>48896</v>
      </c>
      <c r="B749" t="s">
        <v>48897</v>
      </c>
      <c r="C749">
        <v>0</v>
      </c>
      <c r="D749">
        <v>0.56567432744260704</v>
      </c>
      <c r="E749">
        <v>0.99300638445086398</v>
      </c>
      <c r="F749">
        <v>10.5039401899373</v>
      </c>
    </row>
    <row r="750" spans="1:6">
      <c r="A750" t="s">
        <v>48896</v>
      </c>
      <c r="B750" t="s">
        <v>48898</v>
      </c>
      <c r="C750">
        <v>0</v>
      </c>
      <c r="D750">
        <v>0.56567432744260704</v>
      </c>
      <c r="E750">
        <v>0.99300638445086398</v>
      </c>
      <c r="F750">
        <v>10.5039401899373</v>
      </c>
    </row>
    <row r="751" spans="1:6">
      <c r="A751" t="s">
        <v>48896</v>
      </c>
      <c r="B751" t="s">
        <v>48899</v>
      </c>
      <c r="C751">
        <v>0</v>
      </c>
      <c r="D751">
        <v>0.56567432744260704</v>
      </c>
      <c r="E751">
        <v>0.99300638445086398</v>
      </c>
      <c r="F751">
        <v>10.5039401899373</v>
      </c>
    </row>
    <row r="752" spans="1:6">
      <c r="A752" t="s">
        <v>48896</v>
      </c>
      <c r="B752" t="s">
        <v>48900</v>
      </c>
      <c r="C752">
        <v>0.41161926666306298</v>
      </c>
      <c r="D752">
        <v>0.56567432744260704</v>
      </c>
      <c r="E752">
        <v>0.99300638445086398</v>
      </c>
      <c r="F752">
        <v>10.5039401899373</v>
      </c>
    </row>
    <row r="753" spans="1:6">
      <c r="A753" t="s">
        <v>48896</v>
      </c>
      <c r="B753" t="s">
        <v>48901</v>
      </c>
      <c r="C753">
        <v>0</v>
      </c>
      <c r="D753">
        <v>0.56567432744260704</v>
      </c>
      <c r="E753">
        <v>0.99300638445086398</v>
      </c>
      <c r="F753">
        <v>10.5039401899373</v>
      </c>
    </row>
    <row r="754" spans="1:6">
      <c r="A754" t="s">
        <v>48896</v>
      </c>
      <c r="B754" t="s">
        <v>48902</v>
      </c>
      <c r="C754">
        <v>0.46651918256788399</v>
      </c>
      <c r="D754">
        <v>0.56567432744260704</v>
      </c>
      <c r="E754">
        <v>0.99300638445086398</v>
      </c>
      <c r="F754">
        <v>10.5039401899373</v>
      </c>
    </row>
    <row r="755" spans="1:6">
      <c r="A755" t="s">
        <v>48896</v>
      </c>
      <c r="B755" t="s">
        <v>48903</v>
      </c>
      <c r="C755">
        <v>0</v>
      </c>
      <c r="D755">
        <v>0.56567432744260704</v>
      </c>
      <c r="E755">
        <v>0.99300638445086398</v>
      </c>
      <c r="F755">
        <v>10.5039401899373</v>
      </c>
    </row>
    <row r="756" spans="1:6">
      <c r="A756" t="s">
        <v>48904</v>
      </c>
      <c r="B756" t="s">
        <v>48905</v>
      </c>
      <c r="C756">
        <v>0</v>
      </c>
      <c r="D756">
        <v>0.50409406031684301</v>
      </c>
      <c r="E756">
        <v>0.943759704321534</v>
      </c>
      <c r="F756">
        <v>11.658112750050501</v>
      </c>
    </row>
    <row r="757" spans="1:6">
      <c r="A757" t="s">
        <v>48904</v>
      </c>
      <c r="B757" t="s">
        <v>48906</v>
      </c>
      <c r="C757">
        <v>0.70414098454741603</v>
      </c>
      <c r="D757">
        <v>0.50409406031684301</v>
      </c>
      <c r="E757">
        <v>0.943759704321534</v>
      </c>
      <c r="F757">
        <v>11.658112750050501</v>
      </c>
    </row>
    <row r="758" spans="1:6">
      <c r="A758" t="s">
        <v>48904</v>
      </c>
      <c r="B758" t="s">
        <v>48907</v>
      </c>
      <c r="C758">
        <v>0.20609248539903399</v>
      </c>
      <c r="D758">
        <v>0.50409406031684301</v>
      </c>
      <c r="E758">
        <v>0.943759704321534</v>
      </c>
      <c r="F758">
        <v>11.658112750050501</v>
      </c>
    </row>
    <row r="759" spans="1:6">
      <c r="A759" t="s">
        <v>48908</v>
      </c>
      <c r="B759" t="s">
        <v>48909</v>
      </c>
      <c r="C759">
        <v>0.56262385432955397</v>
      </c>
      <c r="D759">
        <v>0.58339791968452004</v>
      </c>
      <c r="E759">
        <v>0.98852218868698305</v>
      </c>
      <c r="F759">
        <v>10.028692665184799</v>
      </c>
    </row>
    <row r="760" spans="1:6">
      <c r="A760" t="s">
        <v>48908</v>
      </c>
      <c r="B760" t="s">
        <v>48910</v>
      </c>
      <c r="C760">
        <v>0.58617286129094703</v>
      </c>
      <c r="D760">
        <v>0.58339791968452004</v>
      </c>
      <c r="E760">
        <v>0.98852218868698305</v>
      </c>
      <c r="F760">
        <v>10.028692665184799</v>
      </c>
    </row>
    <row r="761" spans="1:6">
      <c r="A761" t="s">
        <v>48908</v>
      </c>
      <c r="B761" t="s">
        <v>48911</v>
      </c>
      <c r="C761">
        <v>0</v>
      </c>
      <c r="D761">
        <v>0.58339791968452004</v>
      </c>
      <c r="E761">
        <v>0.98852218868698305</v>
      </c>
      <c r="F761">
        <v>10.028692665184799</v>
      </c>
    </row>
    <row r="762" spans="1:6">
      <c r="A762" t="s">
        <v>48908</v>
      </c>
      <c r="B762" t="s">
        <v>48912</v>
      </c>
      <c r="C762">
        <v>0</v>
      </c>
      <c r="D762">
        <v>0.58339791968452004</v>
      </c>
      <c r="E762">
        <v>0.98852218868698305</v>
      </c>
      <c r="F762">
        <v>10.028692665184799</v>
      </c>
    </row>
    <row r="763" spans="1:6">
      <c r="A763" t="s">
        <v>48908</v>
      </c>
      <c r="B763" t="s">
        <v>48913</v>
      </c>
      <c r="C763">
        <v>0</v>
      </c>
      <c r="D763">
        <v>0.58339791968452004</v>
      </c>
      <c r="E763">
        <v>0.98852218868698305</v>
      </c>
      <c r="F763">
        <v>10.028692665184799</v>
      </c>
    </row>
    <row r="764" spans="1:6">
      <c r="A764" t="s">
        <v>48914</v>
      </c>
      <c r="B764" t="s">
        <v>48915</v>
      </c>
      <c r="C764">
        <v>0</v>
      </c>
      <c r="D764">
        <v>0.102164329209275</v>
      </c>
      <c r="E764">
        <v>0.922404681776678</v>
      </c>
      <c r="F764">
        <v>14.145888058193499</v>
      </c>
    </row>
    <row r="765" spans="1:6">
      <c r="A765" t="s">
        <v>48914</v>
      </c>
      <c r="B765" t="s">
        <v>48916</v>
      </c>
      <c r="C765">
        <v>0.18721962466397499</v>
      </c>
      <c r="D765">
        <v>0.102164329209275</v>
      </c>
      <c r="E765">
        <v>0.922404681776678</v>
      </c>
      <c r="F765">
        <v>14.145888058193499</v>
      </c>
    </row>
    <row r="766" spans="1:6">
      <c r="A766" t="s">
        <v>48914</v>
      </c>
      <c r="B766" t="s">
        <v>48917</v>
      </c>
      <c r="C766">
        <v>0.38945306180332301</v>
      </c>
      <c r="D766">
        <v>0.102164329209275</v>
      </c>
      <c r="E766">
        <v>0.922404681776678</v>
      </c>
      <c r="F766">
        <v>14.145888058193499</v>
      </c>
    </row>
    <row r="767" spans="1:6">
      <c r="A767" t="s">
        <v>48914</v>
      </c>
      <c r="B767" t="s">
        <v>48918</v>
      </c>
      <c r="C767">
        <v>0</v>
      </c>
      <c r="D767">
        <v>0.102164329209275</v>
      </c>
      <c r="E767">
        <v>0.922404681776678</v>
      </c>
      <c r="F767">
        <v>14.145888058193499</v>
      </c>
    </row>
    <row r="768" spans="1:6">
      <c r="A768" t="s">
        <v>48914</v>
      </c>
      <c r="B768" t="s">
        <v>48919</v>
      </c>
      <c r="C768">
        <v>0</v>
      </c>
      <c r="D768">
        <v>0.102164329209275</v>
      </c>
      <c r="E768">
        <v>0.922404681776678</v>
      </c>
      <c r="F768">
        <v>14.145888058193499</v>
      </c>
    </row>
    <row r="769" spans="1:6">
      <c r="A769" t="s">
        <v>48914</v>
      </c>
      <c r="B769" t="s">
        <v>48920</v>
      </c>
      <c r="C769">
        <v>0</v>
      </c>
      <c r="D769">
        <v>0.102164329209275</v>
      </c>
      <c r="E769">
        <v>0.922404681776678</v>
      </c>
      <c r="F769">
        <v>14.145888058193499</v>
      </c>
    </row>
    <row r="770" spans="1:6">
      <c r="A770" t="s">
        <v>48914</v>
      </c>
      <c r="B770" t="s">
        <v>48921</v>
      </c>
      <c r="C770">
        <v>0</v>
      </c>
      <c r="D770">
        <v>0.102164329209275</v>
      </c>
      <c r="E770">
        <v>0.922404681776678</v>
      </c>
      <c r="F770">
        <v>14.145888058193499</v>
      </c>
    </row>
    <row r="771" spans="1:6">
      <c r="A771" t="s">
        <v>48914</v>
      </c>
      <c r="B771" t="s">
        <v>48922</v>
      </c>
      <c r="C771">
        <v>0</v>
      </c>
      <c r="D771">
        <v>0.102164329209275</v>
      </c>
      <c r="E771">
        <v>0.922404681776678</v>
      </c>
      <c r="F771">
        <v>14.145888058193499</v>
      </c>
    </row>
    <row r="772" spans="1:6">
      <c r="A772" t="s">
        <v>48923</v>
      </c>
      <c r="B772" t="s">
        <v>48924</v>
      </c>
      <c r="C772">
        <v>0.185456336474148</v>
      </c>
      <c r="D772">
        <v>0.76038148283589302</v>
      </c>
      <c r="E772">
        <v>0.98420123046680397</v>
      </c>
      <c r="F772">
        <v>15.280662760153501</v>
      </c>
    </row>
    <row r="773" spans="1:6">
      <c r="A773" t="s">
        <v>48923</v>
      </c>
      <c r="B773" t="s">
        <v>48925</v>
      </c>
      <c r="C773">
        <v>0</v>
      </c>
      <c r="D773">
        <v>0.76038148283589302</v>
      </c>
      <c r="E773">
        <v>0.98420123046680397</v>
      </c>
      <c r="F773">
        <v>15.280662760153501</v>
      </c>
    </row>
    <row r="774" spans="1:6">
      <c r="A774" t="s">
        <v>48923</v>
      </c>
      <c r="B774" t="s">
        <v>48926</v>
      </c>
      <c r="C774">
        <v>-1.04053217308789</v>
      </c>
      <c r="D774">
        <v>0.76038148283589302</v>
      </c>
      <c r="E774">
        <v>0.98420123046680397</v>
      </c>
      <c r="F774">
        <v>15.280662760153501</v>
      </c>
    </row>
    <row r="775" spans="1:6">
      <c r="A775" t="s">
        <v>48927</v>
      </c>
      <c r="B775" t="s">
        <v>48928</v>
      </c>
      <c r="C775">
        <v>8.31700698698985E-2</v>
      </c>
      <c r="D775">
        <v>0.65366036356116397</v>
      </c>
      <c r="E775">
        <v>0.93904196706051202</v>
      </c>
      <c r="F775">
        <v>10.1887249949484</v>
      </c>
    </row>
    <row r="776" spans="1:6">
      <c r="A776" t="s">
        <v>48927</v>
      </c>
      <c r="B776" t="s">
        <v>48929</v>
      </c>
      <c r="C776">
        <v>0</v>
      </c>
      <c r="D776">
        <v>0.65366036356116397</v>
      </c>
      <c r="E776">
        <v>0.93904196706051202</v>
      </c>
      <c r="F776">
        <v>10.1887249949484</v>
      </c>
    </row>
    <row r="777" spans="1:6">
      <c r="A777" t="s">
        <v>48927</v>
      </c>
      <c r="B777" t="s">
        <v>48930</v>
      </c>
      <c r="C777">
        <v>0</v>
      </c>
      <c r="D777">
        <v>0.65366036356116397</v>
      </c>
      <c r="E777">
        <v>0.93904196706051202</v>
      </c>
      <c r="F777">
        <v>10.1887249949484</v>
      </c>
    </row>
    <row r="778" spans="1:6">
      <c r="A778" t="s">
        <v>48927</v>
      </c>
      <c r="B778" t="s">
        <v>48931</v>
      </c>
      <c r="C778">
        <v>0</v>
      </c>
      <c r="D778">
        <v>0.65366036356116397</v>
      </c>
      <c r="E778">
        <v>0.93904196706051202</v>
      </c>
      <c r="F778">
        <v>10.1887249949484</v>
      </c>
    </row>
    <row r="779" spans="1:6">
      <c r="A779" t="s">
        <v>48927</v>
      </c>
      <c r="B779" t="s">
        <v>48932</v>
      </c>
      <c r="C779">
        <v>0</v>
      </c>
      <c r="D779">
        <v>0.65366036356116397</v>
      </c>
      <c r="E779">
        <v>0.93904196706051202</v>
      </c>
      <c r="F779">
        <v>10.1887249949484</v>
      </c>
    </row>
    <row r="780" spans="1:6">
      <c r="A780" t="s">
        <v>48927</v>
      </c>
      <c r="B780" t="s">
        <v>48933</v>
      </c>
      <c r="C780">
        <v>0.79203975330382803</v>
      </c>
      <c r="D780">
        <v>0.65366036356116397</v>
      </c>
      <c r="E780">
        <v>0.93904196706051202</v>
      </c>
      <c r="F780">
        <v>10.1887249949484</v>
      </c>
    </row>
    <row r="781" spans="1:6">
      <c r="A781" t="s">
        <v>48934</v>
      </c>
      <c r="B781" t="s">
        <v>48935</v>
      </c>
      <c r="C781">
        <v>0.911914567704179</v>
      </c>
      <c r="D781">
        <v>0.59238807600939103</v>
      </c>
      <c r="E781">
        <v>0.96951456770417899</v>
      </c>
      <c r="F781">
        <v>10.028692665184799</v>
      </c>
    </row>
    <row r="782" spans="1:6">
      <c r="A782" t="s">
        <v>48934</v>
      </c>
      <c r="B782" t="s">
        <v>48936</v>
      </c>
      <c r="C782">
        <v>0</v>
      </c>
      <c r="D782">
        <v>0.59238807600939103</v>
      </c>
      <c r="E782">
        <v>0.96951456770417899</v>
      </c>
      <c r="F782">
        <v>10.028692665184799</v>
      </c>
    </row>
    <row r="783" spans="1:6">
      <c r="A783" t="s">
        <v>48937</v>
      </c>
      <c r="B783" t="s">
        <v>48938</v>
      </c>
      <c r="C783">
        <v>0.38763027934062699</v>
      </c>
      <c r="D783">
        <v>7.3450771724009795E-2</v>
      </c>
      <c r="E783">
        <v>0.92106483485470403</v>
      </c>
      <c r="F783">
        <v>2.7447969286724501</v>
      </c>
    </row>
    <row r="784" spans="1:6">
      <c r="A784" t="s">
        <v>48937</v>
      </c>
      <c r="B784" t="s">
        <v>48939</v>
      </c>
      <c r="C784">
        <v>0.601010659121748</v>
      </c>
      <c r="D784">
        <v>7.3450771724009795E-2</v>
      </c>
      <c r="E784">
        <v>0.92106483485470403</v>
      </c>
      <c r="F784">
        <v>2.7447969286724501</v>
      </c>
    </row>
    <row r="785" spans="1:6">
      <c r="A785" t="s">
        <v>48937</v>
      </c>
      <c r="B785" t="s">
        <v>48940</v>
      </c>
      <c r="C785">
        <v>0</v>
      </c>
      <c r="D785">
        <v>7.3450771724009795E-2</v>
      </c>
      <c r="E785">
        <v>0.92106483485470403</v>
      </c>
      <c r="F785">
        <v>2.7447969286724501</v>
      </c>
    </row>
    <row r="786" spans="1:6">
      <c r="A786" t="s">
        <v>48941</v>
      </c>
      <c r="B786" t="s">
        <v>48942</v>
      </c>
      <c r="C786">
        <v>0</v>
      </c>
      <c r="D786">
        <v>0.67045797563554299</v>
      </c>
      <c r="E786">
        <v>0.66017232860879904</v>
      </c>
      <c r="F786">
        <v>0</v>
      </c>
    </row>
    <row r="787" spans="1:6">
      <c r="A787" t="s">
        <v>48941</v>
      </c>
      <c r="B787" t="s">
        <v>48943</v>
      </c>
      <c r="C787">
        <v>0.140172328608799</v>
      </c>
      <c r="D787">
        <v>0.67045797563554299</v>
      </c>
      <c r="E787">
        <v>0.66017232860879904</v>
      </c>
      <c r="F787">
        <v>0</v>
      </c>
    </row>
    <row r="788" spans="1:6">
      <c r="A788" t="s">
        <v>48941</v>
      </c>
      <c r="B788" t="s">
        <v>48944</v>
      </c>
      <c r="C788">
        <v>0</v>
      </c>
      <c r="D788">
        <v>0.67045797563554299</v>
      </c>
      <c r="E788">
        <v>0.66017232860879904</v>
      </c>
      <c r="F788">
        <v>0</v>
      </c>
    </row>
    <row r="789" spans="1:6">
      <c r="A789" t="s">
        <v>48945</v>
      </c>
      <c r="B789" t="s">
        <v>48946</v>
      </c>
      <c r="C789">
        <v>0.338422297273831</v>
      </c>
      <c r="D789">
        <v>0.25510117666398702</v>
      </c>
      <c r="E789">
        <v>0.96507973887148102</v>
      </c>
      <c r="F789">
        <v>14.145888058193499</v>
      </c>
    </row>
    <row r="790" spans="1:6">
      <c r="A790" t="s">
        <v>48945</v>
      </c>
      <c r="B790" t="s">
        <v>48947</v>
      </c>
      <c r="C790">
        <v>0</v>
      </c>
      <c r="D790">
        <v>0.25510117666398702</v>
      </c>
      <c r="E790">
        <v>0.96507973887148102</v>
      </c>
      <c r="F790">
        <v>14.145888058193499</v>
      </c>
    </row>
    <row r="791" spans="1:6">
      <c r="A791" t="s">
        <v>48945</v>
      </c>
      <c r="B791" t="s">
        <v>48948</v>
      </c>
      <c r="C791">
        <v>0</v>
      </c>
      <c r="D791">
        <v>0.25510117666398702</v>
      </c>
      <c r="E791">
        <v>0.96507973887148102</v>
      </c>
      <c r="F791">
        <v>14.145888058193499</v>
      </c>
    </row>
    <row r="792" spans="1:6">
      <c r="A792" t="s">
        <v>48945</v>
      </c>
      <c r="B792" t="s">
        <v>48949</v>
      </c>
      <c r="C792">
        <v>0.85596123177285199</v>
      </c>
      <c r="D792">
        <v>0.25510117666398702</v>
      </c>
      <c r="E792">
        <v>0.96507973887148102</v>
      </c>
      <c r="F792">
        <v>14.145888058193499</v>
      </c>
    </row>
    <row r="793" spans="1:6">
      <c r="A793" t="s">
        <v>48945</v>
      </c>
      <c r="B793" t="s">
        <v>48950</v>
      </c>
      <c r="C793">
        <v>0</v>
      </c>
      <c r="D793">
        <v>0.25510117666398702</v>
      </c>
      <c r="E793">
        <v>0.96507973887148102</v>
      </c>
      <c r="F793">
        <v>14.145888058193499</v>
      </c>
    </row>
    <row r="794" spans="1:6">
      <c r="A794" t="s">
        <v>48951</v>
      </c>
      <c r="B794" t="s">
        <v>48952</v>
      </c>
      <c r="C794">
        <v>0.30401195695254701</v>
      </c>
      <c r="D794">
        <v>0.68272951072233201</v>
      </c>
      <c r="E794">
        <v>0.73441195695254702</v>
      </c>
      <c r="F794">
        <v>0.37825823398666297</v>
      </c>
    </row>
    <row r="795" spans="1:6">
      <c r="A795" t="s">
        <v>48951</v>
      </c>
      <c r="B795" t="s">
        <v>48953</v>
      </c>
      <c r="C795">
        <v>0</v>
      </c>
      <c r="D795">
        <v>0.68272951072233201</v>
      </c>
      <c r="E795">
        <v>0.73441195695254702</v>
      </c>
      <c r="F795">
        <v>0.37825823398666297</v>
      </c>
    </row>
    <row r="796" spans="1:6">
      <c r="A796" t="s">
        <v>48951</v>
      </c>
      <c r="B796" t="s">
        <v>48954</v>
      </c>
      <c r="C796">
        <v>0</v>
      </c>
      <c r="D796">
        <v>0.68272951072233201</v>
      </c>
      <c r="E796">
        <v>0.73441195695254702</v>
      </c>
      <c r="F796">
        <v>0.37825823398666297</v>
      </c>
    </row>
    <row r="797" spans="1:6">
      <c r="A797" t="s">
        <v>48951</v>
      </c>
      <c r="B797" t="s">
        <v>48955</v>
      </c>
      <c r="C797">
        <v>0</v>
      </c>
      <c r="D797">
        <v>0.68272951072233201</v>
      </c>
      <c r="E797">
        <v>0.73441195695254702</v>
      </c>
      <c r="F797">
        <v>0.37825823398666297</v>
      </c>
    </row>
    <row r="798" spans="1:6">
      <c r="A798" t="s">
        <v>48951</v>
      </c>
      <c r="B798" t="s">
        <v>48956</v>
      </c>
      <c r="C798">
        <v>0</v>
      </c>
      <c r="D798">
        <v>0.68272951072233201</v>
      </c>
      <c r="E798">
        <v>0.73441195695254702</v>
      </c>
      <c r="F798">
        <v>0.37825823398666297</v>
      </c>
    </row>
    <row r="799" spans="1:6">
      <c r="A799" t="s">
        <v>48957</v>
      </c>
      <c r="B799" t="s">
        <v>48958</v>
      </c>
      <c r="C799">
        <v>0.55233914282118801</v>
      </c>
      <c r="D799">
        <v>0.65541226744712</v>
      </c>
      <c r="E799">
        <v>0.81473914282118898</v>
      </c>
      <c r="F799">
        <v>14.330167710648601</v>
      </c>
    </row>
    <row r="800" spans="1:6">
      <c r="A800" t="s">
        <v>48957</v>
      </c>
      <c r="B800" t="s">
        <v>48959</v>
      </c>
      <c r="C800">
        <v>0</v>
      </c>
      <c r="D800">
        <v>0.65541226744712</v>
      </c>
      <c r="E800">
        <v>0.81473914282118898</v>
      </c>
      <c r="F800">
        <v>14.330167710648601</v>
      </c>
    </row>
    <row r="801" spans="1:6">
      <c r="A801" t="s">
        <v>48957</v>
      </c>
      <c r="B801" t="s">
        <v>48960</v>
      </c>
      <c r="C801">
        <v>0</v>
      </c>
      <c r="D801">
        <v>0.65541226744712</v>
      </c>
      <c r="E801">
        <v>0.81473914282118898</v>
      </c>
      <c r="F801">
        <v>14.330167710648601</v>
      </c>
    </row>
    <row r="802" spans="1:6">
      <c r="A802" t="s">
        <v>48957</v>
      </c>
      <c r="B802" t="s">
        <v>48961</v>
      </c>
      <c r="C802">
        <v>0</v>
      </c>
      <c r="D802">
        <v>0.65541226744712</v>
      </c>
      <c r="E802">
        <v>0.81473914282118898</v>
      </c>
      <c r="F802">
        <v>14.330167710648601</v>
      </c>
    </row>
    <row r="803" spans="1:6">
      <c r="A803" t="s">
        <v>48962</v>
      </c>
      <c r="B803" t="s">
        <v>48963</v>
      </c>
      <c r="C803">
        <v>0</v>
      </c>
      <c r="D803">
        <v>0.43645881401192299</v>
      </c>
      <c r="E803">
        <v>0.97099372682767005</v>
      </c>
      <c r="F803">
        <v>4.7379268539098804</v>
      </c>
    </row>
    <row r="804" spans="1:6">
      <c r="A804" t="s">
        <v>48962</v>
      </c>
      <c r="B804" t="s">
        <v>48964</v>
      </c>
      <c r="C804">
        <v>0</v>
      </c>
      <c r="D804">
        <v>0.43645881401192299</v>
      </c>
      <c r="E804">
        <v>0.97099372682767005</v>
      </c>
      <c r="F804">
        <v>4.7379268539098804</v>
      </c>
    </row>
    <row r="805" spans="1:6">
      <c r="A805" t="s">
        <v>48962</v>
      </c>
      <c r="B805" t="s">
        <v>48965</v>
      </c>
      <c r="C805">
        <v>0</v>
      </c>
      <c r="D805">
        <v>0.43645881401192299</v>
      </c>
      <c r="E805">
        <v>0.97099372682767005</v>
      </c>
      <c r="F805">
        <v>4.7379268539098804</v>
      </c>
    </row>
    <row r="806" spans="1:6">
      <c r="A806" t="s">
        <v>48962</v>
      </c>
      <c r="B806" t="s">
        <v>48966</v>
      </c>
      <c r="C806">
        <v>0</v>
      </c>
      <c r="D806">
        <v>0.43645881401192299</v>
      </c>
      <c r="E806">
        <v>0.97099372682767005</v>
      </c>
      <c r="F806">
        <v>4.7379268539098804</v>
      </c>
    </row>
    <row r="807" spans="1:6">
      <c r="A807" t="s">
        <v>48962</v>
      </c>
      <c r="B807" t="s">
        <v>48967</v>
      </c>
      <c r="C807">
        <v>0</v>
      </c>
      <c r="D807">
        <v>0.43645881401192299</v>
      </c>
      <c r="E807">
        <v>0.97099372682767005</v>
      </c>
      <c r="F807">
        <v>4.7379268539098804</v>
      </c>
    </row>
    <row r="808" spans="1:6">
      <c r="A808" t="s">
        <v>48962</v>
      </c>
      <c r="B808" t="s">
        <v>48968</v>
      </c>
      <c r="C808">
        <v>0</v>
      </c>
      <c r="D808">
        <v>0.43645881401192299</v>
      </c>
      <c r="E808">
        <v>0.97099372682767005</v>
      </c>
      <c r="F808">
        <v>4.7379268539098804</v>
      </c>
    </row>
    <row r="809" spans="1:6">
      <c r="A809" t="s">
        <v>48962</v>
      </c>
      <c r="B809" t="s">
        <v>48969</v>
      </c>
      <c r="C809">
        <v>0</v>
      </c>
      <c r="D809">
        <v>0.43645881401192299</v>
      </c>
      <c r="E809">
        <v>0.97099372682767005</v>
      </c>
      <c r="F809">
        <v>4.7379268539098804</v>
      </c>
    </row>
    <row r="810" spans="1:6">
      <c r="A810" t="s">
        <v>48962</v>
      </c>
      <c r="B810" t="s">
        <v>48970</v>
      </c>
      <c r="C810">
        <v>0.51154911232893097</v>
      </c>
      <c r="D810">
        <v>0.43645881401192299</v>
      </c>
      <c r="E810">
        <v>0.97099372682767005</v>
      </c>
      <c r="F810">
        <v>4.7379268539098804</v>
      </c>
    </row>
    <row r="811" spans="1:6">
      <c r="A811" t="s">
        <v>48962</v>
      </c>
      <c r="B811" t="s">
        <v>48971</v>
      </c>
      <c r="C811">
        <v>0.27718339648315998</v>
      </c>
      <c r="D811">
        <v>0.43645881401192299</v>
      </c>
      <c r="E811">
        <v>0.97099372682767005</v>
      </c>
      <c r="F811">
        <v>4.7379268539098804</v>
      </c>
    </row>
    <row r="812" spans="1:6">
      <c r="A812" t="s">
        <v>48962</v>
      </c>
      <c r="B812" t="s">
        <v>48972</v>
      </c>
      <c r="C812">
        <v>0</v>
      </c>
      <c r="D812">
        <v>0.43645881401192299</v>
      </c>
      <c r="E812">
        <v>0.97099372682767005</v>
      </c>
      <c r="F812">
        <v>4.7379268539098804</v>
      </c>
    </row>
    <row r="813" spans="1:6">
      <c r="A813" t="s">
        <v>48973</v>
      </c>
      <c r="B813" t="s">
        <v>48974</v>
      </c>
      <c r="C813">
        <v>0</v>
      </c>
      <c r="D813">
        <v>0.18135957776324699</v>
      </c>
      <c r="E813">
        <v>0.97726842788326296</v>
      </c>
      <c r="F813">
        <v>14.519296827641901</v>
      </c>
    </row>
    <row r="814" spans="1:6">
      <c r="A814" t="s">
        <v>48973</v>
      </c>
      <c r="B814" t="s">
        <v>48975</v>
      </c>
      <c r="C814">
        <v>0.41791283392143902</v>
      </c>
      <c r="D814">
        <v>0.18135957776324699</v>
      </c>
      <c r="E814">
        <v>0.97726842788326296</v>
      </c>
      <c r="F814">
        <v>14.519296827641901</v>
      </c>
    </row>
    <row r="815" spans="1:6">
      <c r="A815" t="s">
        <v>48973</v>
      </c>
      <c r="B815" t="s">
        <v>48976</v>
      </c>
      <c r="C815">
        <v>0</v>
      </c>
      <c r="D815">
        <v>0.18135957776324699</v>
      </c>
      <c r="E815">
        <v>0.97726842788326296</v>
      </c>
      <c r="F815">
        <v>14.519296827641901</v>
      </c>
    </row>
    <row r="816" spans="1:6">
      <c r="A816" t="s">
        <v>48973</v>
      </c>
      <c r="B816" t="s">
        <v>48977</v>
      </c>
      <c r="C816">
        <v>0.59532247668403604</v>
      </c>
      <c r="D816">
        <v>0.18135957776324699</v>
      </c>
      <c r="E816">
        <v>0.97726842788326296</v>
      </c>
      <c r="F816">
        <v>14.519296827641901</v>
      </c>
    </row>
    <row r="817" spans="1:6">
      <c r="A817" t="s">
        <v>48978</v>
      </c>
      <c r="B817" t="s">
        <v>48979</v>
      </c>
      <c r="C817">
        <v>0.826398780373237</v>
      </c>
      <c r="D817">
        <v>0.40631341665280102</v>
      </c>
      <c r="E817">
        <v>0.93029561030108199</v>
      </c>
      <c r="F817">
        <v>1.5906243685593</v>
      </c>
    </row>
    <row r="818" spans="1:6">
      <c r="A818" t="s">
        <v>48978</v>
      </c>
      <c r="B818" t="s">
        <v>48980</v>
      </c>
      <c r="C818">
        <v>0.110860231029105</v>
      </c>
      <c r="D818">
        <v>0.40631341665280102</v>
      </c>
      <c r="E818">
        <v>0.93029561030108199</v>
      </c>
      <c r="F818">
        <v>1.5906243685593</v>
      </c>
    </row>
    <row r="819" spans="1:6">
      <c r="A819" t="s">
        <v>48981</v>
      </c>
      <c r="B819" t="s">
        <v>48982</v>
      </c>
      <c r="C819">
        <v>0</v>
      </c>
      <c r="D819">
        <v>0.50791454292223004</v>
      </c>
      <c r="E819">
        <v>0.94372873542931301</v>
      </c>
      <c r="F819">
        <v>8.8163265306122405</v>
      </c>
    </row>
    <row r="820" spans="1:6">
      <c r="A820" t="s">
        <v>48981</v>
      </c>
      <c r="B820" t="s">
        <v>48983</v>
      </c>
      <c r="C820">
        <v>0</v>
      </c>
      <c r="D820">
        <v>0.50791454292223004</v>
      </c>
      <c r="E820">
        <v>0.94372873542931301</v>
      </c>
      <c r="F820">
        <v>8.8163265306122405</v>
      </c>
    </row>
    <row r="821" spans="1:6">
      <c r="A821" t="s">
        <v>48981</v>
      </c>
      <c r="B821" t="s">
        <v>48984</v>
      </c>
      <c r="C821">
        <v>0.62988100928330504</v>
      </c>
      <c r="D821">
        <v>0.50791454292223004</v>
      </c>
      <c r="E821">
        <v>0.94372873542931301</v>
      </c>
      <c r="F821">
        <v>8.8163265306122405</v>
      </c>
    </row>
    <row r="822" spans="1:6">
      <c r="A822" t="s">
        <v>48981</v>
      </c>
      <c r="B822" t="s">
        <v>48985</v>
      </c>
      <c r="C822">
        <v>0</v>
      </c>
      <c r="D822">
        <v>0.50791454292223004</v>
      </c>
      <c r="E822">
        <v>0.94372873542931301</v>
      </c>
      <c r="F822">
        <v>8.8163265306122405</v>
      </c>
    </row>
    <row r="823" spans="1:6">
      <c r="A823" t="s">
        <v>48981</v>
      </c>
      <c r="B823" t="s">
        <v>48986</v>
      </c>
      <c r="C823">
        <v>3.7546136895897698E-4</v>
      </c>
      <c r="D823">
        <v>0.50791454292223004</v>
      </c>
      <c r="E823">
        <v>0.94372873542931301</v>
      </c>
      <c r="F823">
        <v>8.8163265306122405</v>
      </c>
    </row>
    <row r="824" spans="1:6">
      <c r="A824" t="s">
        <v>48987</v>
      </c>
      <c r="B824" t="s">
        <v>48988</v>
      </c>
      <c r="C824">
        <v>0.60596785821320898</v>
      </c>
      <c r="D824">
        <v>0.47397889409072802</v>
      </c>
      <c r="E824">
        <v>0.92816953856006501</v>
      </c>
      <c r="F824">
        <v>10.8288543140028</v>
      </c>
    </row>
    <row r="825" spans="1:6">
      <c r="A825" t="s">
        <v>48987</v>
      </c>
      <c r="B825" t="s">
        <v>48989</v>
      </c>
      <c r="C825">
        <v>0</v>
      </c>
      <c r="D825">
        <v>0.47397889409072802</v>
      </c>
      <c r="E825">
        <v>0.92816953856006501</v>
      </c>
      <c r="F825">
        <v>10.8288543140028</v>
      </c>
    </row>
    <row r="826" spans="1:6">
      <c r="A826" t="s">
        <v>48987</v>
      </c>
      <c r="B826" t="s">
        <v>48990</v>
      </c>
      <c r="C826">
        <v>0.13294359443779</v>
      </c>
      <c r="D826">
        <v>0.47397889409072802</v>
      </c>
      <c r="E826">
        <v>0.92816953856006501</v>
      </c>
      <c r="F826">
        <v>10.8288543140028</v>
      </c>
    </row>
    <row r="827" spans="1:6">
      <c r="A827" t="s">
        <v>48987</v>
      </c>
      <c r="B827" t="s">
        <v>48991</v>
      </c>
      <c r="C827">
        <v>0</v>
      </c>
      <c r="D827">
        <v>0.47397889409072802</v>
      </c>
      <c r="E827">
        <v>0.92816953856006501</v>
      </c>
      <c r="F827">
        <v>10.8288543140028</v>
      </c>
    </row>
    <row r="828" spans="1:6">
      <c r="A828" t="s">
        <v>48992</v>
      </c>
      <c r="B828" t="s">
        <v>48993</v>
      </c>
      <c r="C828">
        <v>-1.03849640877826</v>
      </c>
      <c r="D828">
        <v>0.32040467833359498</v>
      </c>
      <c r="E828">
        <v>0.98180708974852504</v>
      </c>
      <c r="F828">
        <v>1.5906243685593</v>
      </c>
    </row>
    <row r="829" spans="1:6">
      <c r="A829" t="s">
        <v>48992</v>
      </c>
      <c r="B829" t="s">
        <v>48994</v>
      </c>
      <c r="C829">
        <v>0</v>
      </c>
      <c r="D829">
        <v>0.32040467833359498</v>
      </c>
      <c r="E829">
        <v>0.98180708974852504</v>
      </c>
      <c r="F829">
        <v>1.5906243685593</v>
      </c>
    </row>
    <row r="830" spans="1:6">
      <c r="A830" t="s">
        <v>48992</v>
      </c>
      <c r="B830" t="s">
        <v>48995</v>
      </c>
      <c r="C830">
        <v>0</v>
      </c>
      <c r="D830">
        <v>0.32040467833359498</v>
      </c>
      <c r="E830">
        <v>0.98180708974852504</v>
      </c>
      <c r="F830">
        <v>1.5906243685593</v>
      </c>
    </row>
    <row r="831" spans="1:6">
      <c r="A831" t="s">
        <v>48992</v>
      </c>
      <c r="B831" t="s">
        <v>48996</v>
      </c>
      <c r="C831">
        <v>0</v>
      </c>
      <c r="D831">
        <v>0.32040467833359498</v>
      </c>
      <c r="E831">
        <v>0.98180708974852504</v>
      </c>
      <c r="F831">
        <v>1.5906243685593</v>
      </c>
    </row>
    <row r="832" spans="1:6">
      <c r="A832" t="s">
        <v>48992</v>
      </c>
      <c r="B832" t="s">
        <v>48997</v>
      </c>
      <c r="C832">
        <v>0</v>
      </c>
      <c r="D832">
        <v>0.32040467833359498</v>
      </c>
      <c r="E832">
        <v>0.98180708974852504</v>
      </c>
      <c r="F832">
        <v>1.5906243685593</v>
      </c>
    </row>
    <row r="833" spans="1:6">
      <c r="A833" t="s">
        <v>48992</v>
      </c>
      <c r="B833" t="s">
        <v>48998</v>
      </c>
      <c r="C833">
        <v>0.46238915471707198</v>
      </c>
      <c r="D833">
        <v>0.32040467833359498</v>
      </c>
      <c r="E833">
        <v>0.98180708974852504</v>
      </c>
      <c r="F833">
        <v>1.5906243685593</v>
      </c>
    </row>
    <row r="834" spans="1:6">
      <c r="A834" t="s">
        <v>48992</v>
      </c>
      <c r="B834" t="s">
        <v>48999</v>
      </c>
      <c r="C834">
        <v>0</v>
      </c>
      <c r="D834">
        <v>0.32040467833359498</v>
      </c>
      <c r="E834">
        <v>0.98180708974852504</v>
      </c>
      <c r="F834">
        <v>1.5906243685593</v>
      </c>
    </row>
    <row r="835" spans="1:6">
      <c r="A835" t="s">
        <v>48992</v>
      </c>
      <c r="B835" t="s">
        <v>49000</v>
      </c>
      <c r="C835">
        <v>0</v>
      </c>
      <c r="D835">
        <v>0.32040467833359498</v>
      </c>
      <c r="E835">
        <v>0.98180708974852504</v>
      </c>
      <c r="F835">
        <v>1.5906243685593</v>
      </c>
    </row>
    <row r="836" spans="1:6">
      <c r="A836" t="s">
        <v>49001</v>
      </c>
      <c r="B836" t="s">
        <v>49002</v>
      </c>
      <c r="C836">
        <v>1.3394673194087601E-3</v>
      </c>
      <c r="D836">
        <v>0.66586754200236797</v>
      </c>
      <c r="E836">
        <v>0.96953503310603695</v>
      </c>
      <c r="F836">
        <v>23.762376237623702</v>
      </c>
    </row>
    <row r="837" spans="1:6">
      <c r="A837" t="s">
        <v>49001</v>
      </c>
      <c r="B837" t="s">
        <v>49003</v>
      </c>
      <c r="C837">
        <v>0</v>
      </c>
      <c r="D837">
        <v>0.66586754200236797</v>
      </c>
      <c r="E837">
        <v>0.96953503310603695</v>
      </c>
      <c r="F837">
        <v>23.762376237623702</v>
      </c>
    </row>
    <row r="838" spans="1:6">
      <c r="A838" t="s">
        <v>49001</v>
      </c>
      <c r="B838" t="s">
        <v>49004</v>
      </c>
      <c r="C838">
        <v>0.90424106615061195</v>
      </c>
      <c r="D838">
        <v>0.66586754200236797</v>
      </c>
      <c r="E838">
        <v>0.96953503310603695</v>
      </c>
      <c r="F838">
        <v>23.762376237623702</v>
      </c>
    </row>
    <row r="839" spans="1:6">
      <c r="A839" t="s">
        <v>49005</v>
      </c>
      <c r="B839" t="s">
        <v>49006</v>
      </c>
      <c r="C839">
        <v>0.75622934836533295</v>
      </c>
      <c r="D839">
        <v>0.32309630894624702</v>
      </c>
      <c r="E839">
        <v>0.95406220004813502</v>
      </c>
      <c r="F839">
        <v>15.280662760153501</v>
      </c>
    </row>
    <row r="840" spans="1:6">
      <c r="A840" t="s">
        <v>49005</v>
      </c>
      <c r="B840" t="s">
        <v>49007</v>
      </c>
      <c r="C840">
        <v>0</v>
      </c>
      <c r="D840">
        <v>0.32309630894624702</v>
      </c>
      <c r="E840">
        <v>0.95406220004813502</v>
      </c>
      <c r="F840">
        <v>15.280662760153501</v>
      </c>
    </row>
    <row r="841" spans="1:6">
      <c r="A841" t="s">
        <v>49005</v>
      </c>
      <c r="B841" t="s">
        <v>49008</v>
      </c>
      <c r="C841">
        <v>0.17887343441107101</v>
      </c>
      <c r="D841">
        <v>0.32309630894624702</v>
      </c>
      <c r="E841">
        <v>0.95406220004813502</v>
      </c>
      <c r="F841">
        <v>15.280662760153501</v>
      </c>
    </row>
    <row r="842" spans="1:6">
      <c r="A842" t="s">
        <v>49005</v>
      </c>
      <c r="B842" t="s">
        <v>49009</v>
      </c>
      <c r="C842">
        <v>0</v>
      </c>
      <c r="D842">
        <v>0.32309630894624702</v>
      </c>
      <c r="E842">
        <v>0.95406220004813502</v>
      </c>
      <c r="F842">
        <v>15.280662760153501</v>
      </c>
    </row>
    <row r="843" spans="1:6">
      <c r="A843" t="s">
        <v>49005</v>
      </c>
      <c r="B843" t="s">
        <v>49010</v>
      </c>
      <c r="C843">
        <v>0</v>
      </c>
      <c r="D843">
        <v>0.32309630894624702</v>
      </c>
      <c r="E843">
        <v>0.95406220004813502</v>
      </c>
      <c r="F843">
        <v>15.280662760153501</v>
      </c>
    </row>
    <row r="844" spans="1:6">
      <c r="A844" t="s">
        <v>49011</v>
      </c>
      <c r="B844" t="s">
        <v>49012</v>
      </c>
      <c r="C844">
        <v>0</v>
      </c>
      <c r="D844">
        <v>0.48510011066633002</v>
      </c>
      <c r="E844">
        <v>0.76977497467403799</v>
      </c>
      <c r="F844">
        <v>13.4087694483734</v>
      </c>
    </row>
    <row r="845" spans="1:6">
      <c r="A845" t="s">
        <v>49011</v>
      </c>
      <c r="B845" t="s">
        <v>49013</v>
      </c>
      <c r="C845">
        <v>0</v>
      </c>
      <c r="D845">
        <v>0.48510011066633002</v>
      </c>
      <c r="E845">
        <v>0.76977497467403799</v>
      </c>
      <c r="F845">
        <v>13.4087694483734</v>
      </c>
    </row>
    <row r="846" spans="1:6">
      <c r="A846" t="s">
        <v>49011</v>
      </c>
      <c r="B846" t="s">
        <v>49014</v>
      </c>
      <c r="C846">
        <v>0.53777497467403801</v>
      </c>
      <c r="D846">
        <v>0.48510011066633002</v>
      </c>
      <c r="E846">
        <v>0.76977497467403799</v>
      </c>
      <c r="F846">
        <v>13.4087694483734</v>
      </c>
    </row>
    <row r="847" spans="1:6">
      <c r="A847" t="s">
        <v>49011</v>
      </c>
      <c r="B847" t="s">
        <v>49015</v>
      </c>
      <c r="C847">
        <v>0</v>
      </c>
      <c r="D847">
        <v>0.48510011066633002</v>
      </c>
      <c r="E847">
        <v>0.76977497467403799</v>
      </c>
      <c r="F847">
        <v>13.4087694483734</v>
      </c>
    </row>
    <row r="848" spans="1:6">
      <c r="A848" t="s">
        <v>49016</v>
      </c>
      <c r="B848" t="s">
        <v>49017</v>
      </c>
      <c r="C848">
        <v>0.72659367426734101</v>
      </c>
      <c r="D848">
        <v>0.78632723028114004</v>
      </c>
      <c r="E848">
        <v>0.93656573370868601</v>
      </c>
      <c r="F848">
        <v>3.4431198221863002</v>
      </c>
    </row>
    <row r="849" spans="1:6">
      <c r="A849" t="s">
        <v>49016</v>
      </c>
      <c r="B849" t="s">
        <v>49018</v>
      </c>
      <c r="C849">
        <v>0.58911716054785201</v>
      </c>
      <c r="D849">
        <v>0.78632723028114004</v>
      </c>
      <c r="E849">
        <v>0.93656573370868601</v>
      </c>
      <c r="F849">
        <v>3.4431198221863002</v>
      </c>
    </row>
    <row r="850" spans="1:6">
      <c r="A850" t="s">
        <v>49019</v>
      </c>
      <c r="B850" t="s">
        <v>49020</v>
      </c>
      <c r="C850">
        <v>0</v>
      </c>
      <c r="D850">
        <v>0.43952652050673802</v>
      </c>
      <c r="E850">
        <v>0.86428780734907795</v>
      </c>
      <c r="F850">
        <v>7.13841180036371</v>
      </c>
    </row>
    <row r="851" spans="1:6">
      <c r="A851" t="s">
        <v>49019</v>
      </c>
      <c r="B851" t="s">
        <v>49021</v>
      </c>
      <c r="C851">
        <v>0.60188780734907799</v>
      </c>
      <c r="D851">
        <v>0.43952652050673802</v>
      </c>
      <c r="E851">
        <v>0.86428780734907795</v>
      </c>
      <c r="F851">
        <v>7.13841180036371</v>
      </c>
    </row>
    <row r="852" spans="1:6">
      <c r="A852" t="s">
        <v>49019</v>
      </c>
      <c r="B852" t="s">
        <v>49022</v>
      </c>
      <c r="C852">
        <v>0</v>
      </c>
      <c r="D852">
        <v>0.43952652050673802</v>
      </c>
      <c r="E852">
        <v>0.86428780734907795</v>
      </c>
      <c r="F852">
        <v>7.13841180036371</v>
      </c>
    </row>
    <row r="853" spans="1:6">
      <c r="A853" t="s">
        <v>49019</v>
      </c>
      <c r="B853" t="s">
        <v>49023</v>
      </c>
      <c r="C853">
        <v>0</v>
      </c>
      <c r="D853">
        <v>0.43952652050673802</v>
      </c>
      <c r="E853">
        <v>0.86428780734907795</v>
      </c>
      <c r="F853">
        <v>7.13841180036371</v>
      </c>
    </row>
    <row r="854" spans="1:6">
      <c r="A854" t="s">
        <v>49024</v>
      </c>
      <c r="B854" t="s">
        <v>49025</v>
      </c>
      <c r="C854">
        <v>0</v>
      </c>
      <c r="D854">
        <v>0.39607992023246502</v>
      </c>
      <c r="E854">
        <v>0.99413785248663999</v>
      </c>
      <c r="F854">
        <v>9.4128106688219795</v>
      </c>
    </row>
    <row r="855" spans="1:6">
      <c r="A855" t="s">
        <v>49024</v>
      </c>
      <c r="B855" t="s">
        <v>49026</v>
      </c>
      <c r="C855">
        <v>6.7442917873623803E-2</v>
      </c>
      <c r="D855">
        <v>0.39607992023246502</v>
      </c>
      <c r="E855">
        <v>0.99413785248663999</v>
      </c>
      <c r="F855">
        <v>9.4128106688219795</v>
      </c>
    </row>
    <row r="856" spans="1:6">
      <c r="A856" t="s">
        <v>49024</v>
      </c>
      <c r="B856" t="s">
        <v>49027</v>
      </c>
      <c r="C856">
        <v>0</v>
      </c>
      <c r="D856">
        <v>0.39607992023246502</v>
      </c>
      <c r="E856">
        <v>0.99413785248663999</v>
      </c>
      <c r="F856">
        <v>9.4128106688219795</v>
      </c>
    </row>
    <row r="857" spans="1:6">
      <c r="A857" t="s">
        <v>49024</v>
      </c>
      <c r="B857" t="s">
        <v>49028</v>
      </c>
      <c r="C857">
        <v>0.878422094626226</v>
      </c>
      <c r="D857">
        <v>0.39607992023246502</v>
      </c>
      <c r="E857">
        <v>0.99413785248663999</v>
      </c>
      <c r="F857">
        <v>9.4128106688219795</v>
      </c>
    </row>
    <row r="858" spans="1:6">
      <c r="A858" t="s">
        <v>49024</v>
      </c>
      <c r="B858" t="s">
        <v>49029</v>
      </c>
      <c r="C858">
        <v>0</v>
      </c>
      <c r="D858">
        <v>0.39607992023246502</v>
      </c>
      <c r="E858">
        <v>0.99413785248663999</v>
      </c>
      <c r="F858">
        <v>9.4128106688219795</v>
      </c>
    </row>
    <row r="859" spans="1:6">
      <c r="A859" t="s">
        <v>49024</v>
      </c>
      <c r="B859" t="s">
        <v>49030</v>
      </c>
      <c r="C859">
        <v>0</v>
      </c>
      <c r="D859">
        <v>0.39607992023246502</v>
      </c>
      <c r="E859">
        <v>0.99413785248663999</v>
      </c>
      <c r="F859">
        <v>9.4128106688219795</v>
      </c>
    </row>
    <row r="860" spans="1:6">
      <c r="A860" t="s">
        <v>49031</v>
      </c>
      <c r="B860" t="s">
        <v>49032</v>
      </c>
      <c r="C860">
        <v>0</v>
      </c>
      <c r="D860">
        <v>0.41176911715264197</v>
      </c>
      <c r="E860">
        <v>0.97492931496553503</v>
      </c>
      <c r="F860">
        <v>1.0765811275004999</v>
      </c>
    </row>
    <row r="861" spans="1:6">
      <c r="A861" t="s">
        <v>49031</v>
      </c>
      <c r="B861" t="s">
        <v>49033</v>
      </c>
      <c r="C861">
        <v>1.0029002410264201</v>
      </c>
      <c r="D861">
        <v>0.41176911715264197</v>
      </c>
      <c r="E861">
        <v>0.97492931496553503</v>
      </c>
      <c r="F861">
        <v>1.0765811275004999</v>
      </c>
    </row>
    <row r="862" spans="1:6">
      <c r="A862" t="s">
        <v>49031</v>
      </c>
      <c r="B862" t="s">
        <v>49034</v>
      </c>
      <c r="C862">
        <v>0.37978638135871101</v>
      </c>
      <c r="D862">
        <v>0.41176911715264197</v>
      </c>
      <c r="E862">
        <v>0.97492931496553503</v>
      </c>
      <c r="F862">
        <v>1.0765811275004999</v>
      </c>
    </row>
    <row r="863" spans="1:6">
      <c r="A863" t="s">
        <v>49031</v>
      </c>
      <c r="B863" t="s">
        <v>49035</v>
      </c>
      <c r="C863">
        <v>0</v>
      </c>
      <c r="D863">
        <v>0.41176911715264197</v>
      </c>
      <c r="E863">
        <v>0.97492931496553503</v>
      </c>
      <c r="F863">
        <v>1.0765811275004999</v>
      </c>
    </row>
    <row r="864" spans="1:6">
      <c r="A864" t="s">
        <v>49031</v>
      </c>
      <c r="B864" t="s">
        <v>49036</v>
      </c>
      <c r="C864">
        <v>0</v>
      </c>
      <c r="D864">
        <v>0.41176911715264197</v>
      </c>
      <c r="E864">
        <v>0.97492931496553503</v>
      </c>
      <c r="F864">
        <v>1.0765811275004999</v>
      </c>
    </row>
    <row r="865" spans="1:6">
      <c r="A865" t="s">
        <v>49031</v>
      </c>
      <c r="B865" t="s">
        <v>49037</v>
      </c>
      <c r="C865">
        <v>0</v>
      </c>
      <c r="D865">
        <v>0.41176911715264197</v>
      </c>
      <c r="E865">
        <v>0.97492931496553503</v>
      </c>
      <c r="F865">
        <v>1.0765811275004999</v>
      </c>
    </row>
    <row r="866" spans="1:6">
      <c r="A866" t="s">
        <v>49031</v>
      </c>
      <c r="B866" t="s">
        <v>49038</v>
      </c>
      <c r="C866">
        <v>0</v>
      </c>
      <c r="D866">
        <v>0.41176911715264197</v>
      </c>
      <c r="E866">
        <v>0.97492931496553503</v>
      </c>
      <c r="F866">
        <v>1.0765811275004999</v>
      </c>
    </row>
    <row r="867" spans="1:6">
      <c r="A867" t="s">
        <v>49039</v>
      </c>
      <c r="B867" t="s">
        <v>49040</v>
      </c>
      <c r="C867">
        <v>0.21391040352478199</v>
      </c>
      <c r="D867">
        <v>0.75490601078893405</v>
      </c>
      <c r="E867">
        <v>0.91748322642699798</v>
      </c>
      <c r="F867">
        <v>18.321277025661701</v>
      </c>
    </row>
    <row r="868" spans="1:6">
      <c r="A868" t="s">
        <v>49039</v>
      </c>
      <c r="B868" t="s">
        <v>49041</v>
      </c>
      <c r="C868">
        <v>0.533562601103584</v>
      </c>
      <c r="D868">
        <v>0.75490601078893405</v>
      </c>
      <c r="E868">
        <v>0.91748322642699798</v>
      </c>
      <c r="F868">
        <v>18.321277025661701</v>
      </c>
    </row>
    <row r="869" spans="1:6">
      <c r="A869" t="s">
        <v>49039</v>
      </c>
      <c r="B869" t="s">
        <v>49042</v>
      </c>
      <c r="C869">
        <v>0</v>
      </c>
      <c r="D869">
        <v>0.75490601078893405</v>
      </c>
      <c r="E869">
        <v>0.91748322642699798</v>
      </c>
      <c r="F869">
        <v>18.321277025661701</v>
      </c>
    </row>
    <row r="870" spans="1:6">
      <c r="A870" t="s">
        <v>49039</v>
      </c>
      <c r="B870" t="s">
        <v>49043</v>
      </c>
      <c r="C870">
        <v>0</v>
      </c>
      <c r="D870">
        <v>0.75490601078893405</v>
      </c>
      <c r="E870">
        <v>0.91748322642699798</v>
      </c>
      <c r="F870">
        <v>18.321277025661701</v>
      </c>
    </row>
    <row r="871" spans="1:6">
      <c r="A871" t="s">
        <v>49039</v>
      </c>
      <c r="B871" t="s">
        <v>49044</v>
      </c>
      <c r="C871">
        <v>0</v>
      </c>
      <c r="D871">
        <v>0.75490601078893405</v>
      </c>
      <c r="E871">
        <v>0.91748322642699798</v>
      </c>
      <c r="F871">
        <v>18.321277025661701</v>
      </c>
    </row>
    <row r="872" spans="1:6">
      <c r="A872" t="s">
        <v>49039</v>
      </c>
      <c r="B872" t="s">
        <v>49045</v>
      </c>
      <c r="C872">
        <v>0</v>
      </c>
      <c r="D872">
        <v>0.75490601078893405</v>
      </c>
      <c r="E872">
        <v>0.91748322642699798</v>
      </c>
      <c r="F872">
        <v>18.321277025661701</v>
      </c>
    </row>
    <row r="873" spans="1:6">
      <c r="A873" t="s">
        <v>49046</v>
      </c>
      <c r="B873" t="s">
        <v>49047</v>
      </c>
      <c r="C873">
        <v>5.1680110557586603E-2</v>
      </c>
      <c r="D873">
        <v>0.67807597829926203</v>
      </c>
      <c r="E873">
        <v>0.82768011055758595</v>
      </c>
      <c r="F873">
        <v>4.9561527581329496</v>
      </c>
    </row>
    <row r="874" spans="1:6">
      <c r="A874" t="s">
        <v>49046</v>
      </c>
      <c r="B874" t="s">
        <v>49048</v>
      </c>
      <c r="C874">
        <v>0</v>
      </c>
      <c r="D874">
        <v>0.67807597829926203</v>
      </c>
      <c r="E874">
        <v>0.82768011055758595</v>
      </c>
      <c r="F874">
        <v>4.9561527581329496</v>
      </c>
    </row>
    <row r="875" spans="1:6">
      <c r="A875" t="s">
        <v>49046</v>
      </c>
      <c r="B875" t="s">
        <v>49049</v>
      </c>
      <c r="C875">
        <v>0</v>
      </c>
      <c r="D875">
        <v>0.67807597829926203</v>
      </c>
      <c r="E875">
        <v>0.82768011055758595</v>
      </c>
      <c r="F875">
        <v>4.9561527581329496</v>
      </c>
    </row>
    <row r="876" spans="1:6">
      <c r="A876" t="s">
        <v>49046</v>
      </c>
      <c r="B876" t="s">
        <v>49050</v>
      </c>
      <c r="C876">
        <v>0</v>
      </c>
      <c r="D876">
        <v>0.67807597829926203</v>
      </c>
      <c r="E876">
        <v>0.82768011055758595</v>
      </c>
      <c r="F876">
        <v>4.9561527581329496</v>
      </c>
    </row>
    <row r="877" spans="1:6">
      <c r="A877" t="s">
        <v>49046</v>
      </c>
      <c r="B877" t="s">
        <v>49051</v>
      </c>
      <c r="C877">
        <v>0</v>
      </c>
      <c r="D877">
        <v>0.67807597829926203</v>
      </c>
      <c r="E877">
        <v>0.82768011055758595</v>
      </c>
      <c r="F877">
        <v>4.9561527581329496</v>
      </c>
    </row>
    <row r="878" spans="1:6">
      <c r="A878" t="s">
        <v>49046</v>
      </c>
      <c r="B878" t="s">
        <v>49052</v>
      </c>
      <c r="C878">
        <v>0</v>
      </c>
      <c r="D878">
        <v>0.67807597829926203</v>
      </c>
      <c r="E878">
        <v>0.82768011055758595</v>
      </c>
      <c r="F878">
        <v>4.9561527581329496</v>
      </c>
    </row>
    <row r="879" spans="1:6">
      <c r="A879" t="s">
        <v>49046</v>
      </c>
      <c r="B879" t="s">
        <v>49053</v>
      </c>
      <c r="C879">
        <v>0</v>
      </c>
      <c r="D879">
        <v>0.67807597829926203</v>
      </c>
      <c r="E879">
        <v>0.82768011055758595</v>
      </c>
      <c r="F879">
        <v>4.9561527581329496</v>
      </c>
    </row>
    <row r="880" spans="1:6">
      <c r="A880" t="s">
        <v>49054</v>
      </c>
      <c r="B880" t="s">
        <v>49055</v>
      </c>
      <c r="C880">
        <v>0</v>
      </c>
      <c r="D880">
        <v>1.22721504229626E-2</v>
      </c>
      <c r="E880">
        <v>0.96945264306280798</v>
      </c>
      <c r="F880">
        <v>9.56314406950899</v>
      </c>
    </row>
    <row r="881" spans="1:6">
      <c r="A881" t="s">
        <v>49054</v>
      </c>
      <c r="B881" t="s">
        <v>49056</v>
      </c>
      <c r="C881">
        <v>0</v>
      </c>
      <c r="D881">
        <v>1.22721504229626E-2</v>
      </c>
      <c r="E881">
        <v>0.96945264306280798</v>
      </c>
      <c r="F881">
        <v>9.56314406950899</v>
      </c>
    </row>
    <row r="882" spans="1:6">
      <c r="A882" t="s">
        <v>49054</v>
      </c>
      <c r="B882" t="s">
        <v>49057</v>
      </c>
      <c r="C882">
        <v>0.21350842029519301</v>
      </c>
      <c r="D882">
        <v>1.22721504229626E-2</v>
      </c>
      <c r="E882">
        <v>0.96945264306280798</v>
      </c>
      <c r="F882">
        <v>9.56314406950899</v>
      </c>
    </row>
    <row r="883" spans="1:6">
      <c r="A883" t="s">
        <v>49054</v>
      </c>
      <c r="B883" t="s">
        <v>49058</v>
      </c>
      <c r="C883">
        <v>0.52532888726691096</v>
      </c>
      <c r="D883">
        <v>1.22721504229626E-2</v>
      </c>
      <c r="E883">
        <v>0.96945264306280798</v>
      </c>
      <c r="F883">
        <v>9.56314406950899</v>
      </c>
    </row>
    <row r="884" spans="1:6">
      <c r="A884" t="s">
        <v>49059</v>
      </c>
      <c r="B884" t="s">
        <v>49060</v>
      </c>
      <c r="C884">
        <v>0</v>
      </c>
      <c r="D884">
        <v>0.213493146973005</v>
      </c>
      <c r="E884">
        <v>0.77762604944605096</v>
      </c>
      <c r="F884">
        <v>18.321277025661701</v>
      </c>
    </row>
    <row r="885" spans="1:6">
      <c r="A885" t="s">
        <v>49059</v>
      </c>
      <c r="B885" t="s">
        <v>49061</v>
      </c>
      <c r="C885">
        <v>0</v>
      </c>
      <c r="D885">
        <v>0.213493146973005</v>
      </c>
      <c r="E885">
        <v>0.77762604944605096</v>
      </c>
      <c r="F885">
        <v>18.321277025661701</v>
      </c>
    </row>
    <row r="886" spans="1:6">
      <c r="A886" t="s">
        <v>49059</v>
      </c>
      <c r="B886" t="s">
        <v>49062</v>
      </c>
      <c r="C886">
        <v>0</v>
      </c>
      <c r="D886">
        <v>0.213493146973005</v>
      </c>
      <c r="E886">
        <v>0.77762604944605096</v>
      </c>
      <c r="F886">
        <v>18.321277025661701</v>
      </c>
    </row>
    <row r="887" spans="1:6">
      <c r="A887" t="s">
        <v>49059</v>
      </c>
      <c r="B887" t="s">
        <v>49063</v>
      </c>
      <c r="C887">
        <v>0.48162604944605097</v>
      </c>
      <c r="D887">
        <v>0.213493146973005</v>
      </c>
      <c r="E887">
        <v>0.77762604944605096</v>
      </c>
      <c r="F887">
        <v>18.321277025661701</v>
      </c>
    </row>
    <row r="888" spans="1:6">
      <c r="A888" t="s">
        <v>49059</v>
      </c>
      <c r="B888" t="s">
        <v>49064</v>
      </c>
      <c r="C888">
        <v>0</v>
      </c>
      <c r="D888">
        <v>0.213493146973005</v>
      </c>
      <c r="E888">
        <v>0.77762604944605096</v>
      </c>
      <c r="F888">
        <v>18.321277025661701</v>
      </c>
    </row>
    <row r="889" spans="1:6">
      <c r="A889" t="s">
        <v>49065</v>
      </c>
      <c r="B889" t="s">
        <v>49066</v>
      </c>
      <c r="C889">
        <v>0.13399601545927101</v>
      </c>
      <c r="D889">
        <v>0.122108663780072</v>
      </c>
      <c r="E889">
        <v>0.93685091844927004</v>
      </c>
      <c r="F889">
        <v>16.0662760153566</v>
      </c>
    </row>
    <row r="890" spans="1:6">
      <c r="A890" t="s">
        <v>49065</v>
      </c>
      <c r="B890" t="s">
        <v>49067</v>
      </c>
      <c r="C890">
        <v>0</v>
      </c>
      <c r="D890">
        <v>0.122108663780072</v>
      </c>
      <c r="E890">
        <v>0.93685091844927004</v>
      </c>
      <c r="F890">
        <v>16.0662760153566</v>
      </c>
    </row>
    <row r="891" spans="1:6">
      <c r="A891" t="s">
        <v>49065</v>
      </c>
      <c r="B891" t="s">
        <v>49068</v>
      </c>
      <c r="C891">
        <v>0.158899099794097</v>
      </c>
      <c r="D891">
        <v>0.122108663780072</v>
      </c>
      <c r="E891">
        <v>0.93685091844927004</v>
      </c>
      <c r="F891">
        <v>16.0662760153566</v>
      </c>
    </row>
    <row r="892" spans="1:6">
      <c r="A892" t="s">
        <v>49065</v>
      </c>
      <c r="B892" t="s">
        <v>49069</v>
      </c>
      <c r="C892">
        <v>0</v>
      </c>
      <c r="D892">
        <v>0.122108663780072</v>
      </c>
      <c r="E892">
        <v>0.93685091844927004</v>
      </c>
      <c r="F892">
        <v>16.0662760153566</v>
      </c>
    </row>
    <row r="893" spans="1:6">
      <c r="A893" t="s">
        <v>49065</v>
      </c>
      <c r="B893" t="s">
        <v>49070</v>
      </c>
      <c r="C893">
        <v>0</v>
      </c>
      <c r="D893">
        <v>0.122108663780072</v>
      </c>
      <c r="E893">
        <v>0.93685091844927004</v>
      </c>
      <c r="F893">
        <v>16.0662760153566</v>
      </c>
    </row>
    <row r="894" spans="1:6">
      <c r="A894" t="s">
        <v>49071</v>
      </c>
      <c r="B894" t="s">
        <v>49072</v>
      </c>
      <c r="C894">
        <v>0.61353924923560799</v>
      </c>
      <c r="D894">
        <v>0.46061820517145202</v>
      </c>
      <c r="E894">
        <v>0.91278619898807101</v>
      </c>
      <c r="F894">
        <v>1.8476459890887</v>
      </c>
    </row>
    <row r="895" spans="1:6">
      <c r="A895" t="s">
        <v>49071</v>
      </c>
      <c r="B895" t="s">
        <v>49073</v>
      </c>
      <c r="C895">
        <v>0</v>
      </c>
      <c r="D895">
        <v>0.46061820517145202</v>
      </c>
      <c r="E895">
        <v>0.91278619898807101</v>
      </c>
      <c r="F895">
        <v>1.8476459890887</v>
      </c>
    </row>
    <row r="896" spans="1:6">
      <c r="A896" t="s">
        <v>49071</v>
      </c>
      <c r="B896" t="s">
        <v>49074</v>
      </c>
      <c r="C896">
        <v>0</v>
      </c>
      <c r="D896">
        <v>0.46061820517145202</v>
      </c>
      <c r="E896">
        <v>0.91278619898807101</v>
      </c>
      <c r="F896">
        <v>1.8476459890887</v>
      </c>
    </row>
    <row r="897" spans="1:6">
      <c r="A897" t="s">
        <v>49071</v>
      </c>
      <c r="B897" t="s">
        <v>49075</v>
      </c>
      <c r="C897">
        <v>0.278522924345115</v>
      </c>
      <c r="D897">
        <v>0.46061820517145202</v>
      </c>
      <c r="E897">
        <v>0.91278619898807101</v>
      </c>
      <c r="F897">
        <v>1.8476459890887</v>
      </c>
    </row>
    <row r="898" spans="1:6">
      <c r="A898" t="s">
        <v>49076</v>
      </c>
      <c r="B898" t="s">
        <v>49077</v>
      </c>
      <c r="C898">
        <v>0</v>
      </c>
      <c r="D898">
        <v>0.45687891337391001</v>
      </c>
      <c r="E898">
        <v>0.99568341340060695</v>
      </c>
      <c r="F898">
        <v>0</v>
      </c>
    </row>
    <row r="899" spans="1:6">
      <c r="A899" t="s">
        <v>49076</v>
      </c>
      <c r="B899" t="s">
        <v>49078</v>
      </c>
      <c r="C899">
        <v>0</v>
      </c>
      <c r="D899">
        <v>0.45687891337391001</v>
      </c>
      <c r="E899">
        <v>0.99568341340060695</v>
      </c>
      <c r="F899">
        <v>0</v>
      </c>
    </row>
    <row r="900" spans="1:6">
      <c r="A900" t="s">
        <v>49076</v>
      </c>
      <c r="B900" t="s">
        <v>49079</v>
      </c>
      <c r="C900">
        <v>0</v>
      </c>
      <c r="D900">
        <v>0.45687891337391001</v>
      </c>
      <c r="E900">
        <v>0.99568341340060695</v>
      </c>
      <c r="F900">
        <v>0</v>
      </c>
    </row>
    <row r="901" spans="1:6">
      <c r="A901" t="s">
        <v>49076</v>
      </c>
      <c r="B901" t="s">
        <v>49080</v>
      </c>
      <c r="C901">
        <v>7.1073926173621696E-2</v>
      </c>
      <c r="D901">
        <v>0.45687891337391001</v>
      </c>
      <c r="E901">
        <v>0.99568341340060695</v>
      </c>
      <c r="F901">
        <v>0</v>
      </c>
    </row>
    <row r="902" spans="1:6">
      <c r="A902" t="s">
        <v>49076</v>
      </c>
      <c r="B902" t="s">
        <v>49081</v>
      </c>
      <c r="C902">
        <v>0</v>
      </c>
      <c r="D902">
        <v>0.45687891337391001</v>
      </c>
      <c r="E902">
        <v>0.99568341340060695</v>
      </c>
      <c r="F902">
        <v>0</v>
      </c>
    </row>
    <row r="903" spans="1:6">
      <c r="A903" t="s">
        <v>49076</v>
      </c>
      <c r="B903" t="s">
        <v>49082</v>
      </c>
      <c r="C903">
        <v>0.94305176977875904</v>
      </c>
      <c r="D903">
        <v>0.45687891337391001</v>
      </c>
      <c r="E903">
        <v>0.99568341340060695</v>
      </c>
      <c r="F903">
        <v>0</v>
      </c>
    </row>
    <row r="904" spans="1:6">
      <c r="A904" t="s">
        <v>49083</v>
      </c>
      <c r="B904" t="s">
        <v>49084</v>
      </c>
      <c r="C904">
        <v>0.93045331551183097</v>
      </c>
      <c r="D904">
        <v>0.71562105821545896</v>
      </c>
      <c r="E904">
        <v>0.98187454703069299</v>
      </c>
      <c r="F904">
        <v>0</v>
      </c>
    </row>
    <row r="905" spans="1:6">
      <c r="A905" t="s">
        <v>49083</v>
      </c>
      <c r="B905" t="s">
        <v>49085</v>
      </c>
      <c r="C905">
        <v>0.76157111884747697</v>
      </c>
      <c r="D905">
        <v>0.71562105821545896</v>
      </c>
      <c r="E905">
        <v>0.98187454703069299</v>
      </c>
      <c r="F905">
        <v>0</v>
      </c>
    </row>
    <row r="906" spans="1:6">
      <c r="A906" t="s">
        <v>49086</v>
      </c>
      <c r="B906" t="s">
        <v>49087</v>
      </c>
      <c r="C906">
        <v>0</v>
      </c>
      <c r="D906">
        <v>0.57604697212322398</v>
      </c>
      <c r="E906">
        <v>0.93764023220312098</v>
      </c>
      <c r="F906">
        <v>15.6734693877551</v>
      </c>
    </row>
    <row r="907" spans="1:6">
      <c r="A907" t="s">
        <v>49086</v>
      </c>
      <c r="B907" t="s">
        <v>49088</v>
      </c>
      <c r="C907">
        <v>0.73846003661928605</v>
      </c>
      <c r="D907">
        <v>0.57604697212322398</v>
      </c>
      <c r="E907">
        <v>0.93764023220312098</v>
      </c>
      <c r="F907">
        <v>15.6734693877551</v>
      </c>
    </row>
    <row r="908" spans="1:6">
      <c r="A908" t="s">
        <v>49086</v>
      </c>
      <c r="B908" t="s">
        <v>49089</v>
      </c>
      <c r="C908">
        <v>3.4418739521899902E-2</v>
      </c>
      <c r="D908">
        <v>0.57604697212322398</v>
      </c>
      <c r="E908">
        <v>0.93764023220312098</v>
      </c>
      <c r="F908">
        <v>15.6734693877551</v>
      </c>
    </row>
    <row r="909" spans="1:6">
      <c r="A909" t="s">
        <v>49086</v>
      </c>
      <c r="B909" t="s">
        <v>49090</v>
      </c>
      <c r="C909">
        <v>0</v>
      </c>
      <c r="D909">
        <v>0.57604697212322398</v>
      </c>
      <c r="E909">
        <v>0.93764023220312098</v>
      </c>
      <c r="F909">
        <v>15.6734693877551</v>
      </c>
    </row>
    <row r="910" spans="1:6">
      <c r="A910" t="s">
        <v>49091</v>
      </c>
      <c r="B910" t="s">
        <v>49092</v>
      </c>
      <c r="C910">
        <v>0.66331264703305404</v>
      </c>
      <c r="D910">
        <v>0.85865120856513799</v>
      </c>
      <c r="E910">
        <v>0.85691264703305403</v>
      </c>
      <c r="F910">
        <v>5.8193574459486697E-2</v>
      </c>
    </row>
    <row r="911" spans="1:6">
      <c r="A911" t="s">
        <v>49091</v>
      </c>
      <c r="B911" t="s">
        <v>49093</v>
      </c>
      <c r="C911">
        <v>0</v>
      </c>
      <c r="D911">
        <v>0.85865120856513799</v>
      </c>
      <c r="E911">
        <v>0.85691264703305403</v>
      </c>
      <c r="F911">
        <v>5.8193574459486697E-2</v>
      </c>
    </row>
    <row r="912" spans="1:6">
      <c r="A912" t="s">
        <v>49094</v>
      </c>
      <c r="B912" t="s">
        <v>49095</v>
      </c>
      <c r="C912">
        <v>0</v>
      </c>
      <c r="D912">
        <v>0.13949750605337</v>
      </c>
      <c r="E912">
        <v>0.96845799423341405</v>
      </c>
      <c r="F912">
        <v>9.4128106688219795</v>
      </c>
    </row>
    <row r="913" spans="1:6">
      <c r="A913" t="s">
        <v>49094</v>
      </c>
      <c r="B913" t="s">
        <v>49096</v>
      </c>
      <c r="C913">
        <v>0.986562210387809</v>
      </c>
      <c r="D913">
        <v>0.13949750605337</v>
      </c>
      <c r="E913">
        <v>0.96845799423341405</v>
      </c>
      <c r="F913">
        <v>9.4128106688219795</v>
      </c>
    </row>
    <row r="914" spans="1:6">
      <c r="A914" t="s">
        <v>49094</v>
      </c>
      <c r="B914" t="s">
        <v>49097</v>
      </c>
      <c r="C914">
        <v>0.37959958663673199</v>
      </c>
      <c r="D914">
        <v>0.13949750605337</v>
      </c>
      <c r="E914">
        <v>0.96845799423341405</v>
      </c>
      <c r="F914">
        <v>9.4128106688219795</v>
      </c>
    </row>
    <row r="915" spans="1:6">
      <c r="A915" t="s">
        <v>49094</v>
      </c>
      <c r="B915" t="s">
        <v>49098</v>
      </c>
      <c r="C915">
        <v>0</v>
      </c>
      <c r="D915">
        <v>0.13949750605337</v>
      </c>
      <c r="E915">
        <v>0.96845799423341405</v>
      </c>
      <c r="F915">
        <v>9.4128106688219795</v>
      </c>
    </row>
    <row r="916" spans="1:6">
      <c r="A916" t="s">
        <v>49099</v>
      </c>
      <c r="B916" t="s">
        <v>49100</v>
      </c>
      <c r="C916">
        <v>0.61792247910842002</v>
      </c>
      <c r="D916">
        <v>0.42309639121431197</v>
      </c>
      <c r="E916">
        <v>0.97562447236750904</v>
      </c>
      <c r="F916">
        <v>8.66599312992523</v>
      </c>
    </row>
    <row r="917" spans="1:6">
      <c r="A917" t="s">
        <v>49099</v>
      </c>
      <c r="B917" t="s">
        <v>49101</v>
      </c>
      <c r="C917">
        <v>0.32786538093245698</v>
      </c>
      <c r="D917">
        <v>0.42309639121431197</v>
      </c>
      <c r="E917">
        <v>0.97562447236750904</v>
      </c>
      <c r="F917">
        <v>8.66599312992523</v>
      </c>
    </row>
    <row r="918" spans="1:6">
      <c r="A918" t="s">
        <v>49099</v>
      </c>
      <c r="B918" t="s">
        <v>49102</v>
      </c>
      <c r="C918">
        <v>0</v>
      </c>
      <c r="D918">
        <v>0.42309639121431197</v>
      </c>
      <c r="E918">
        <v>0.97562447236750904</v>
      </c>
      <c r="F918">
        <v>8.66599312992523</v>
      </c>
    </row>
    <row r="919" spans="1:6">
      <c r="A919" t="s">
        <v>49099</v>
      </c>
      <c r="B919" t="s">
        <v>49103</v>
      </c>
      <c r="C919">
        <v>0</v>
      </c>
      <c r="D919">
        <v>0.42309639121431197</v>
      </c>
      <c r="E919">
        <v>0.97562447236750904</v>
      </c>
      <c r="F919">
        <v>8.66599312992523</v>
      </c>
    </row>
    <row r="920" spans="1:6">
      <c r="A920" t="s">
        <v>49099</v>
      </c>
      <c r="B920" t="s">
        <v>49104</v>
      </c>
      <c r="C920">
        <v>0</v>
      </c>
      <c r="D920">
        <v>0.42309639121431197</v>
      </c>
      <c r="E920">
        <v>0.97562447236750904</v>
      </c>
      <c r="F920">
        <v>8.66599312992523</v>
      </c>
    </row>
    <row r="921" spans="1:6">
      <c r="A921" t="s">
        <v>49105</v>
      </c>
      <c r="B921" t="s">
        <v>49106</v>
      </c>
      <c r="C921">
        <v>6.9719829273356501E-2</v>
      </c>
      <c r="D921">
        <v>0.327280848430057</v>
      </c>
      <c r="E921">
        <v>0.94605059653274604</v>
      </c>
      <c r="F921">
        <v>14.145888058193499</v>
      </c>
    </row>
    <row r="922" spans="1:6">
      <c r="A922" t="s">
        <v>49105</v>
      </c>
      <c r="B922" t="s">
        <v>49107</v>
      </c>
      <c r="C922">
        <v>0</v>
      </c>
      <c r="D922">
        <v>0.327280848430057</v>
      </c>
      <c r="E922">
        <v>0.94605059653274604</v>
      </c>
      <c r="F922">
        <v>14.145888058193499</v>
      </c>
    </row>
    <row r="923" spans="1:6">
      <c r="A923" t="s">
        <v>49105</v>
      </c>
      <c r="B923" t="s">
        <v>49108</v>
      </c>
      <c r="C923">
        <v>0</v>
      </c>
      <c r="D923">
        <v>0.327280848430057</v>
      </c>
      <c r="E923">
        <v>0.94605059653274604</v>
      </c>
      <c r="F923">
        <v>14.145888058193499</v>
      </c>
    </row>
    <row r="924" spans="1:6">
      <c r="A924" t="s">
        <v>49105</v>
      </c>
      <c r="B924" t="s">
        <v>49109</v>
      </c>
      <c r="C924">
        <v>0</v>
      </c>
      <c r="D924">
        <v>0.327280848430057</v>
      </c>
      <c r="E924">
        <v>0.94605059653274604</v>
      </c>
      <c r="F924">
        <v>14.145888058193499</v>
      </c>
    </row>
    <row r="925" spans="1:6">
      <c r="A925" t="s">
        <v>49105</v>
      </c>
      <c r="B925" t="s">
        <v>49110</v>
      </c>
      <c r="C925">
        <v>0.80030586056807895</v>
      </c>
      <c r="D925">
        <v>0.327280848430057</v>
      </c>
      <c r="E925">
        <v>0.94605059653274604</v>
      </c>
      <c r="F925">
        <v>14.145888058193499</v>
      </c>
    </row>
    <row r="926" spans="1:6">
      <c r="A926" t="s">
        <v>49105</v>
      </c>
      <c r="B926" t="s">
        <v>49111</v>
      </c>
      <c r="C926">
        <v>0</v>
      </c>
      <c r="D926">
        <v>0.327280848430057</v>
      </c>
      <c r="E926">
        <v>0.94605059653274604</v>
      </c>
      <c r="F926">
        <v>14.145888058193499</v>
      </c>
    </row>
    <row r="927" spans="1:6">
      <c r="A927" t="s">
        <v>49112</v>
      </c>
      <c r="B927" t="s">
        <v>49113</v>
      </c>
      <c r="C927">
        <v>0</v>
      </c>
      <c r="D927">
        <v>0.52936122899679405</v>
      </c>
      <c r="E927">
        <v>0.94944606549981403</v>
      </c>
      <c r="F927">
        <v>9.8735097999595798</v>
      </c>
    </row>
    <row r="928" spans="1:6">
      <c r="A928" t="s">
        <v>49112</v>
      </c>
      <c r="B928" t="s">
        <v>49114</v>
      </c>
      <c r="C928">
        <v>0</v>
      </c>
      <c r="D928">
        <v>0.52936122899679405</v>
      </c>
      <c r="E928">
        <v>0.94944606549981403</v>
      </c>
      <c r="F928">
        <v>9.8735097999595798</v>
      </c>
    </row>
    <row r="929" spans="1:6">
      <c r="A929" t="s">
        <v>49112</v>
      </c>
      <c r="B929" t="s">
        <v>49115</v>
      </c>
      <c r="C929">
        <v>0</v>
      </c>
      <c r="D929">
        <v>0.52936122899679405</v>
      </c>
      <c r="E929">
        <v>0.94944606549981403</v>
      </c>
      <c r="F929">
        <v>9.8735097999595798</v>
      </c>
    </row>
    <row r="930" spans="1:6">
      <c r="A930" t="s">
        <v>49112</v>
      </c>
      <c r="B930" t="s">
        <v>49116</v>
      </c>
      <c r="C930">
        <v>0.618547930158999</v>
      </c>
      <c r="D930">
        <v>0.52936122899679405</v>
      </c>
      <c r="E930">
        <v>0.94944606549981403</v>
      </c>
      <c r="F930">
        <v>9.8735097999595798</v>
      </c>
    </row>
    <row r="931" spans="1:6">
      <c r="A931" t="s">
        <v>49112</v>
      </c>
      <c r="B931" t="s">
        <v>49117</v>
      </c>
      <c r="C931">
        <v>0</v>
      </c>
      <c r="D931">
        <v>0.52936122899679405</v>
      </c>
      <c r="E931">
        <v>0.94944606549981403</v>
      </c>
      <c r="F931">
        <v>9.8735097999595798</v>
      </c>
    </row>
    <row r="932" spans="1:6">
      <c r="A932" t="s">
        <v>49112</v>
      </c>
      <c r="B932" t="s">
        <v>49118</v>
      </c>
      <c r="C932">
        <v>0.30627653144813699</v>
      </c>
      <c r="D932">
        <v>0.52936122899679405</v>
      </c>
      <c r="E932">
        <v>0.94944606549981403</v>
      </c>
      <c r="F932">
        <v>9.8735097999595798</v>
      </c>
    </row>
    <row r="933" spans="1:6">
      <c r="A933" t="s">
        <v>49112</v>
      </c>
      <c r="B933" t="s">
        <v>49119</v>
      </c>
      <c r="C933">
        <v>0</v>
      </c>
      <c r="D933">
        <v>0.52936122899679405</v>
      </c>
      <c r="E933">
        <v>0.94944606549981403</v>
      </c>
      <c r="F933">
        <v>9.8735097999595798</v>
      </c>
    </row>
    <row r="934" spans="1:6">
      <c r="A934" t="s">
        <v>49120</v>
      </c>
      <c r="B934" t="s">
        <v>49121</v>
      </c>
      <c r="C934">
        <v>0</v>
      </c>
      <c r="D934">
        <v>0.45842757393202999</v>
      </c>
      <c r="E934" t="s">
        <v>106</v>
      </c>
      <c r="F934">
        <v>12.516467973327901</v>
      </c>
    </row>
    <row r="935" spans="1:6">
      <c r="A935" t="s">
        <v>49120</v>
      </c>
      <c r="B935" t="s">
        <v>49122</v>
      </c>
      <c r="C935">
        <v>0</v>
      </c>
      <c r="D935">
        <v>0.45842757393202999</v>
      </c>
      <c r="E935" t="s">
        <v>106</v>
      </c>
      <c r="F935">
        <v>12.516467973327901</v>
      </c>
    </row>
    <row r="936" spans="1:6">
      <c r="A936" t="s">
        <v>49120</v>
      </c>
      <c r="B936" t="s">
        <v>49123</v>
      </c>
      <c r="C936">
        <v>0</v>
      </c>
      <c r="D936">
        <v>0.45842757393202999</v>
      </c>
      <c r="E936" t="s">
        <v>106</v>
      </c>
      <c r="F936">
        <v>12.516467973327901</v>
      </c>
    </row>
    <row r="937" spans="1:6">
      <c r="A937" t="s">
        <v>49120</v>
      </c>
      <c r="B937" t="s">
        <v>49124</v>
      </c>
      <c r="C937">
        <v>0</v>
      </c>
      <c r="D937">
        <v>0.45842757393202999</v>
      </c>
      <c r="E937" t="s">
        <v>106</v>
      </c>
      <c r="F937">
        <v>12.516467973327901</v>
      </c>
    </row>
    <row r="938" spans="1:6">
      <c r="A938" t="s">
        <v>49125</v>
      </c>
      <c r="B938" t="s">
        <v>49126</v>
      </c>
      <c r="C938">
        <v>0</v>
      </c>
      <c r="D938">
        <v>0.57094439556501797</v>
      </c>
      <c r="E938">
        <v>0.96491601352771705</v>
      </c>
      <c r="F938">
        <v>9.4128106688219795</v>
      </c>
    </row>
    <row r="939" spans="1:6">
      <c r="A939" t="s">
        <v>49125</v>
      </c>
      <c r="B939" t="s">
        <v>49127</v>
      </c>
      <c r="C939">
        <v>0</v>
      </c>
      <c r="D939">
        <v>0.57094439556501797</v>
      </c>
      <c r="E939">
        <v>0.96491601352771705</v>
      </c>
      <c r="F939">
        <v>9.4128106688219795</v>
      </c>
    </row>
    <row r="940" spans="1:6">
      <c r="A940" t="s">
        <v>49125</v>
      </c>
      <c r="B940" t="s">
        <v>49128</v>
      </c>
      <c r="C940">
        <v>0</v>
      </c>
      <c r="D940">
        <v>0.57094439556501797</v>
      </c>
      <c r="E940">
        <v>0.96491601352771705</v>
      </c>
      <c r="F940">
        <v>9.4128106688219795</v>
      </c>
    </row>
    <row r="941" spans="1:6">
      <c r="A941" t="s">
        <v>49125</v>
      </c>
      <c r="B941" t="s">
        <v>49129</v>
      </c>
      <c r="C941">
        <v>0</v>
      </c>
      <c r="D941">
        <v>0.57094439556501797</v>
      </c>
      <c r="E941">
        <v>0.96491601352771705</v>
      </c>
      <c r="F941">
        <v>9.4128106688219795</v>
      </c>
    </row>
    <row r="942" spans="1:6">
      <c r="A942" t="s">
        <v>49125</v>
      </c>
      <c r="B942" t="s">
        <v>49130</v>
      </c>
      <c r="C942">
        <v>0.60214560913473802</v>
      </c>
      <c r="D942">
        <v>0.57094439556501797</v>
      </c>
      <c r="E942">
        <v>0.96491601352771705</v>
      </c>
      <c r="F942">
        <v>9.4128106688219795</v>
      </c>
    </row>
    <row r="943" spans="1:6">
      <c r="A943" t="s">
        <v>49125</v>
      </c>
      <c r="B943" t="s">
        <v>49131</v>
      </c>
      <c r="C943">
        <v>0.193871168488676</v>
      </c>
      <c r="D943">
        <v>0.57094439556501797</v>
      </c>
      <c r="E943">
        <v>0.96491601352771705</v>
      </c>
      <c r="F943">
        <v>9.4128106688219795</v>
      </c>
    </row>
    <row r="944" spans="1:6">
      <c r="A944" t="s">
        <v>49125</v>
      </c>
      <c r="B944" t="s">
        <v>49132</v>
      </c>
      <c r="C944">
        <v>0</v>
      </c>
      <c r="D944">
        <v>0.57094439556501797</v>
      </c>
      <c r="E944">
        <v>0.96491601352771705</v>
      </c>
      <c r="F944">
        <v>9.4128106688219795</v>
      </c>
    </row>
    <row r="945" spans="1:6">
      <c r="A945" t="s">
        <v>49125</v>
      </c>
      <c r="B945" t="s">
        <v>49133</v>
      </c>
      <c r="C945">
        <v>0</v>
      </c>
      <c r="D945">
        <v>0.57094439556501797</v>
      </c>
      <c r="E945">
        <v>0.96491601352771705</v>
      </c>
      <c r="F945">
        <v>9.4128106688219795</v>
      </c>
    </row>
    <row r="946" spans="1:6">
      <c r="A946" t="s">
        <v>49125</v>
      </c>
      <c r="B946" t="s">
        <v>49134</v>
      </c>
      <c r="C946">
        <v>0</v>
      </c>
      <c r="D946">
        <v>0.57094439556501797</v>
      </c>
      <c r="E946">
        <v>0.96491601352771705</v>
      </c>
      <c r="F946">
        <v>9.4128106688219795</v>
      </c>
    </row>
    <row r="947" spans="1:6">
      <c r="A947" t="s">
        <v>49125</v>
      </c>
      <c r="B947" t="s">
        <v>49135</v>
      </c>
      <c r="C947">
        <v>0</v>
      </c>
      <c r="D947">
        <v>0.57094439556501797</v>
      </c>
      <c r="E947">
        <v>0.96491601352771705</v>
      </c>
      <c r="F947">
        <v>9.4128106688219795</v>
      </c>
    </row>
    <row r="948" spans="1:6">
      <c r="A948" t="s">
        <v>49136</v>
      </c>
      <c r="B948" t="s">
        <v>49137</v>
      </c>
      <c r="C948">
        <v>0</v>
      </c>
      <c r="D948">
        <v>0.30089014116649998</v>
      </c>
      <c r="E948">
        <v>0.97375353934308695</v>
      </c>
      <c r="F948">
        <v>10.6639725197009</v>
      </c>
    </row>
    <row r="949" spans="1:6">
      <c r="A949" t="s">
        <v>49136</v>
      </c>
      <c r="B949" t="s">
        <v>49138</v>
      </c>
      <c r="C949">
        <v>0.66071895584158402</v>
      </c>
      <c r="D949">
        <v>0.30089014116649998</v>
      </c>
      <c r="E949">
        <v>0.97375353934308695</v>
      </c>
      <c r="F949">
        <v>10.6639725197009</v>
      </c>
    </row>
    <row r="950" spans="1:6">
      <c r="A950" t="s">
        <v>49136</v>
      </c>
      <c r="B950" t="s">
        <v>49139</v>
      </c>
      <c r="C950">
        <v>0</v>
      </c>
      <c r="D950">
        <v>0.30089014116649998</v>
      </c>
      <c r="E950">
        <v>0.97375353934308695</v>
      </c>
      <c r="F950">
        <v>10.6639725197009</v>
      </c>
    </row>
    <row r="951" spans="1:6">
      <c r="A951" t="s">
        <v>49136</v>
      </c>
      <c r="B951" t="s">
        <v>49140</v>
      </c>
      <c r="C951">
        <v>0.138135228494283</v>
      </c>
      <c r="D951">
        <v>0.30089014116649998</v>
      </c>
      <c r="E951">
        <v>0.97375353934308695</v>
      </c>
      <c r="F951">
        <v>10.6639725197009</v>
      </c>
    </row>
    <row r="952" spans="1:6">
      <c r="A952" t="s">
        <v>49141</v>
      </c>
      <c r="B952" t="s">
        <v>49142</v>
      </c>
      <c r="C952">
        <v>0</v>
      </c>
      <c r="D952">
        <v>0.72458014266653703</v>
      </c>
      <c r="E952">
        <v>0.94021270309496896</v>
      </c>
      <c r="F952">
        <v>1.0765811275004999</v>
      </c>
    </row>
    <row r="953" spans="1:6">
      <c r="A953" t="s">
        <v>49141</v>
      </c>
      <c r="B953" t="s">
        <v>49143</v>
      </c>
      <c r="C953">
        <v>0</v>
      </c>
      <c r="D953">
        <v>0.72458014266653703</v>
      </c>
      <c r="E953">
        <v>0.94021270309496896</v>
      </c>
      <c r="F953">
        <v>1.0765811275004999</v>
      </c>
    </row>
    <row r="954" spans="1:6">
      <c r="A954" t="s">
        <v>49141</v>
      </c>
      <c r="B954" t="s">
        <v>49144</v>
      </c>
      <c r="C954">
        <v>0.49529408589469098</v>
      </c>
      <c r="D954">
        <v>0.72458014266653703</v>
      </c>
      <c r="E954">
        <v>0.94021270309496896</v>
      </c>
      <c r="F954">
        <v>1.0765811275004999</v>
      </c>
    </row>
    <row r="955" spans="1:6">
      <c r="A955" t="s">
        <v>49141</v>
      </c>
      <c r="B955" t="s">
        <v>49145</v>
      </c>
      <c r="C955">
        <v>0</v>
      </c>
      <c r="D955">
        <v>0.72458014266653703</v>
      </c>
      <c r="E955">
        <v>0.94021270309496896</v>
      </c>
      <c r="F955">
        <v>1.0765811275004999</v>
      </c>
    </row>
    <row r="956" spans="1:6">
      <c r="A956" t="s">
        <v>49141</v>
      </c>
      <c r="B956" t="s">
        <v>49146</v>
      </c>
      <c r="C956">
        <v>0</v>
      </c>
      <c r="D956">
        <v>0.72458014266653703</v>
      </c>
      <c r="E956">
        <v>0.94021270309496896</v>
      </c>
      <c r="F956">
        <v>1.0765811275004999</v>
      </c>
    </row>
    <row r="957" spans="1:6">
      <c r="A957" t="s">
        <v>49141</v>
      </c>
      <c r="B957" t="s">
        <v>49147</v>
      </c>
      <c r="C957">
        <v>0.25836261508963798</v>
      </c>
      <c r="D957">
        <v>0.72458014266653703</v>
      </c>
      <c r="E957">
        <v>0.94021270309496896</v>
      </c>
      <c r="F957">
        <v>1.0765811275004999</v>
      </c>
    </row>
    <row r="958" spans="1:6">
      <c r="A958" t="s">
        <v>49141</v>
      </c>
      <c r="B958" t="s">
        <v>49148</v>
      </c>
      <c r="C958">
        <v>0</v>
      </c>
      <c r="D958">
        <v>0.72458014266653703</v>
      </c>
      <c r="E958">
        <v>0.94021270309496896</v>
      </c>
      <c r="F958">
        <v>1.0765811275004999</v>
      </c>
    </row>
    <row r="959" spans="1:6">
      <c r="A959" t="s">
        <v>49149</v>
      </c>
      <c r="B959" t="s">
        <v>49150</v>
      </c>
      <c r="C959">
        <v>0.80264439388025499</v>
      </c>
      <c r="D959">
        <v>0.27776834198109901</v>
      </c>
      <c r="E959">
        <v>0.95865295750803803</v>
      </c>
      <c r="F959">
        <v>8.3798747221660896</v>
      </c>
    </row>
    <row r="960" spans="1:6">
      <c r="A960" t="s">
        <v>49149</v>
      </c>
      <c r="B960" t="s">
        <v>49151</v>
      </c>
      <c r="C960">
        <v>0</v>
      </c>
      <c r="D960">
        <v>0.27776834198109901</v>
      </c>
      <c r="E960">
        <v>0.95865295750803803</v>
      </c>
      <c r="F960">
        <v>8.3798747221660896</v>
      </c>
    </row>
    <row r="961" spans="1:6">
      <c r="A961" t="s">
        <v>49149</v>
      </c>
      <c r="B961" t="s">
        <v>49152</v>
      </c>
      <c r="C961">
        <v>0.30214268185288501</v>
      </c>
      <c r="D961">
        <v>0.27776834198109901</v>
      </c>
      <c r="E961">
        <v>0.95865295750803803</v>
      </c>
      <c r="F961">
        <v>8.3798747221660896</v>
      </c>
    </row>
    <row r="962" spans="1:6">
      <c r="A962" t="s">
        <v>49153</v>
      </c>
      <c r="B962" t="s">
        <v>49154</v>
      </c>
      <c r="C962">
        <v>0.70629223449319301</v>
      </c>
      <c r="D962">
        <v>0.60764460049783897</v>
      </c>
      <c r="E962">
        <v>0.97504646505557202</v>
      </c>
      <c r="F962">
        <v>3.4431198221863002</v>
      </c>
    </row>
    <row r="963" spans="1:6">
      <c r="A963" t="s">
        <v>49153</v>
      </c>
      <c r="B963" t="s">
        <v>49155</v>
      </c>
      <c r="C963">
        <v>0</v>
      </c>
      <c r="D963">
        <v>0.60764460049783897</v>
      </c>
      <c r="E963">
        <v>0.97504646505557202</v>
      </c>
      <c r="F963">
        <v>3.4431198221863002</v>
      </c>
    </row>
    <row r="964" spans="1:6">
      <c r="A964" t="s">
        <v>49153</v>
      </c>
      <c r="B964" t="s">
        <v>49156</v>
      </c>
      <c r="C964">
        <v>0</v>
      </c>
      <c r="D964">
        <v>0.60764460049783897</v>
      </c>
      <c r="E964">
        <v>0.97504646505557202</v>
      </c>
      <c r="F964">
        <v>3.4431198221863002</v>
      </c>
    </row>
    <row r="965" spans="1:6">
      <c r="A965" t="s">
        <v>49153</v>
      </c>
      <c r="B965" t="s">
        <v>49157</v>
      </c>
      <c r="C965">
        <v>0.318609228441532</v>
      </c>
      <c r="D965">
        <v>0.60764460049783897</v>
      </c>
      <c r="E965">
        <v>0.97504646505557202</v>
      </c>
      <c r="F965">
        <v>3.4431198221863002</v>
      </c>
    </row>
    <row r="966" spans="1:6">
      <c r="A966" t="s">
        <v>49158</v>
      </c>
      <c r="B966" t="s">
        <v>49159</v>
      </c>
      <c r="C966">
        <v>0</v>
      </c>
      <c r="D966">
        <v>0.729519107706598</v>
      </c>
      <c r="E966">
        <v>0.999498220255021</v>
      </c>
      <c r="F966">
        <v>2.9145281875126199</v>
      </c>
    </row>
    <row r="967" spans="1:6">
      <c r="A967" t="s">
        <v>49158</v>
      </c>
      <c r="B967" t="s">
        <v>49160</v>
      </c>
      <c r="C967">
        <v>0.97732183042676202</v>
      </c>
      <c r="D967">
        <v>0.729519107706598</v>
      </c>
      <c r="E967">
        <v>0.999498220255021</v>
      </c>
      <c r="F967">
        <v>2.9145281875126199</v>
      </c>
    </row>
    <row r="968" spans="1:6">
      <c r="A968" t="s">
        <v>49158</v>
      </c>
      <c r="B968" t="s">
        <v>49161</v>
      </c>
      <c r="C968">
        <v>-1.50286253024171</v>
      </c>
      <c r="D968">
        <v>0.729519107706598</v>
      </c>
      <c r="E968">
        <v>0.999498220255021</v>
      </c>
      <c r="F968">
        <v>2.9145281875126199</v>
      </c>
    </row>
    <row r="969" spans="1:6">
      <c r="A969" t="s">
        <v>49158</v>
      </c>
      <c r="B969" t="s">
        <v>49162</v>
      </c>
      <c r="C969">
        <v>0</v>
      </c>
      <c r="D969">
        <v>0.729519107706598</v>
      </c>
      <c r="E969">
        <v>0.999498220255021</v>
      </c>
      <c r="F969">
        <v>2.9145281875126199</v>
      </c>
    </row>
    <row r="970" spans="1:6">
      <c r="A970" t="s">
        <v>49163</v>
      </c>
      <c r="B970" t="s">
        <v>49164</v>
      </c>
      <c r="C970">
        <v>0</v>
      </c>
      <c r="D970">
        <v>0.69978383996242399</v>
      </c>
      <c r="E970" t="s">
        <v>106</v>
      </c>
      <c r="F970">
        <v>1.8476459890887</v>
      </c>
    </row>
    <row r="971" spans="1:6">
      <c r="A971" t="s">
        <v>49163</v>
      </c>
      <c r="B971" t="s">
        <v>49165</v>
      </c>
      <c r="C971">
        <v>0</v>
      </c>
      <c r="D971">
        <v>0.69978383996242399</v>
      </c>
      <c r="E971" t="s">
        <v>106</v>
      </c>
      <c r="F971">
        <v>1.8476459890887</v>
      </c>
    </row>
    <row r="972" spans="1:6">
      <c r="A972" t="s">
        <v>49163</v>
      </c>
      <c r="B972" t="s">
        <v>49166</v>
      </c>
      <c r="C972">
        <v>0</v>
      </c>
      <c r="D972">
        <v>0.69978383996242399</v>
      </c>
      <c r="E972" t="s">
        <v>106</v>
      </c>
      <c r="F972">
        <v>1.8476459890887</v>
      </c>
    </row>
    <row r="973" spans="1:6">
      <c r="A973" t="s">
        <v>49163</v>
      </c>
      <c r="B973" t="s">
        <v>49167</v>
      </c>
      <c r="C973">
        <v>0</v>
      </c>
      <c r="D973">
        <v>0.69978383996242399</v>
      </c>
      <c r="E973" t="s">
        <v>106</v>
      </c>
      <c r="F973">
        <v>1.8476459890887</v>
      </c>
    </row>
    <row r="974" spans="1:6">
      <c r="A974" t="s">
        <v>49168</v>
      </c>
      <c r="B974" t="s">
        <v>49169</v>
      </c>
      <c r="C974">
        <v>0</v>
      </c>
      <c r="D974">
        <v>0.281454945429639</v>
      </c>
      <c r="E974">
        <v>0.982772716356897</v>
      </c>
      <c r="F974">
        <v>1.45483936148716E-2</v>
      </c>
    </row>
    <row r="975" spans="1:6">
      <c r="A975" t="s">
        <v>49168</v>
      </c>
      <c r="B975" t="s">
        <v>49170</v>
      </c>
      <c r="C975">
        <v>0</v>
      </c>
      <c r="D975">
        <v>0.281454945429639</v>
      </c>
      <c r="E975">
        <v>0.982772716356897</v>
      </c>
      <c r="F975">
        <v>1.45483936148716E-2</v>
      </c>
    </row>
    <row r="976" spans="1:6">
      <c r="A976" t="s">
        <v>49168</v>
      </c>
      <c r="B976" t="s">
        <v>49171</v>
      </c>
      <c r="C976">
        <v>0</v>
      </c>
      <c r="D976">
        <v>0.281454945429639</v>
      </c>
      <c r="E976">
        <v>0.982772716356897</v>
      </c>
      <c r="F976">
        <v>1.45483936148716E-2</v>
      </c>
    </row>
    <row r="977" spans="1:6">
      <c r="A977" t="s">
        <v>49168</v>
      </c>
      <c r="B977" t="s">
        <v>49172</v>
      </c>
      <c r="C977">
        <v>0</v>
      </c>
      <c r="D977">
        <v>0.281454945429639</v>
      </c>
      <c r="E977">
        <v>0.982772716356897</v>
      </c>
      <c r="F977">
        <v>1.45483936148716E-2</v>
      </c>
    </row>
    <row r="978" spans="1:6">
      <c r="A978" t="s">
        <v>49168</v>
      </c>
      <c r="B978" t="s">
        <v>49173</v>
      </c>
      <c r="C978">
        <v>0</v>
      </c>
      <c r="D978">
        <v>0.281454945429639</v>
      </c>
      <c r="E978">
        <v>0.982772716356897</v>
      </c>
      <c r="F978">
        <v>1.45483936148716E-2</v>
      </c>
    </row>
    <row r="979" spans="1:6">
      <c r="A979" t="s">
        <v>49168</v>
      </c>
      <c r="B979" t="s">
        <v>49174</v>
      </c>
      <c r="C979">
        <v>0</v>
      </c>
      <c r="D979">
        <v>0.281454945429639</v>
      </c>
      <c r="E979">
        <v>0.982772716356897</v>
      </c>
      <c r="F979">
        <v>1.45483936148716E-2</v>
      </c>
    </row>
    <row r="980" spans="1:6">
      <c r="A980" t="s">
        <v>49168</v>
      </c>
      <c r="B980" t="s">
        <v>49175</v>
      </c>
      <c r="C980">
        <v>0</v>
      </c>
      <c r="D980">
        <v>0.281454945429639</v>
      </c>
      <c r="E980">
        <v>0.982772716356897</v>
      </c>
      <c r="F980">
        <v>1.45483936148716E-2</v>
      </c>
    </row>
    <row r="981" spans="1:6">
      <c r="A981" t="s">
        <v>49168</v>
      </c>
      <c r="B981" t="s">
        <v>49176</v>
      </c>
      <c r="C981">
        <v>0</v>
      </c>
      <c r="D981">
        <v>0.281454945429639</v>
      </c>
      <c r="E981">
        <v>0.982772716356897</v>
      </c>
      <c r="F981">
        <v>1.45483936148716E-2</v>
      </c>
    </row>
    <row r="982" spans="1:6">
      <c r="A982" t="s">
        <v>49168</v>
      </c>
      <c r="B982" t="s">
        <v>49177</v>
      </c>
      <c r="C982">
        <v>0</v>
      </c>
      <c r="D982">
        <v>0.281454945429639</v>
      </c>
      <c r="E982">
        <v>0.982772716356897</v>
      </c>
      <c r="F982">
        <v>1.45483936148716E-2</v>
      </c>
    </row>
    <row r="983" spans="1:6">
      <c r="A983" t="s">
        <v>49168</v>
      </c>
      <c r="B983" t="s">
        <v>49178</v>
      </c>
      <c r="C983">
        <v>0</v>
      </c>
      <c r="D983">
        <v>0.281454945429639</v>
      </c>
      <c r="E983">
        <v>0.982772716356897</v>
      </c>
      <c r="F983">
        <v>1.45483936148716E-2</v>
      </c>
    </row>
    <row r="984" spans="1:6">
      <c r="A984" t="s">
        <v>49168</v>
      </c>
      <c r="B984" t="s">
        <v>49179</v>
      </c>
      <c r="C984">
        <v>0</v>
      </c>
      <c r="D984">
        <v>0.281454945429639</v>
      </c>
      <c r="E984">
        <v>0.982772716356897</v>
      </c>
      <c r="F984">
        <v>1.45483936148716E-2</v>
      </c>
    </row>
    <row r="985" spans="1:6">
      <c r="A985" t="s">
        <v>49168</v>
      </c>
      <c r="B985" t="s">
        <v>49180</v>
      </c>
      <c r="C985">
        <v>0</v>
      </c>
      <c r="D985">
        <v>0.281454945429639</v>
      </c>
      <c r="E985">
        <v>0.982772716356897</v>
      </c>
      <c r="F985">
        <v>1.45483936148716E-2</v>
      </c>
    </row>
    <row r="986" spans="1:6">
      <c r="A986" t="s">
        <v>49168</v>
      </c>
      <c r="B986" t="s">
        <v>49181</v>
      </c>
      <c r="C986">
        <v>0.63702683104190705</v>
      </c>
      <c r="D986">
        <v>0.281454945429639</v>
      </c>
      <c r="E986">
        <v>0.982772716356897</v>
      </c>
      <c r="F986">
        <v>1.45483936148716E-2</v>
      </c>
    </row>
    <row r="987" spans="1:6">
      <c r="A987" t="s">
        <v>49168</v>
      </c>
      <c r="B987" t="s">
        <v>49182</v>
      </c>
      <c r="C987">
        <v>0</v>
      </c>
      <c r="D987">
        <v>0.281454945429639</v>
      </c>
      <c r="E987">
        <v>0.982772716356897</v>
      </c>
      <c r="F987">
        <v>1.45483936148716E-2</v>
      </c>
    </row>
    <row r="988" spans="1:6">
      <c r="A988" t="s">
        <v>49168</v>
      </c>
      <c r="B988" t="s">
        <v>49183</v>
      </c>
      <c r="C988">
        <v>0.217481975891193</v>
      </c>
      <c r="D988">
        <v>0.281454945429639</v>
      </c>
      <c r="E988">
        <v>0.982772716356897</v>
      </c>
      <c r="F988">
        <v>1.45483936148716E-2</v>
      </c>
    </row>
    <row r="989" spans="1:6">
      <c r="A989" t="s">
        <v>49184</v>
      </c>
      <c r="B989" t="s">
        <v>49185</v>
      </c>
      <c r="C989">
        <v>0</v>
      </c>
      <c r="D989">
        <v>0.49156700005910398</v>
      </c>
      <c r="E989">
        <v>0.95784316056212804</v>
      </c>
      <c r="F989">
        <v>23.5199030107092</v>
      </c>
    </row>
    <row r="990" spans="1:6">
      <c r="A990" t="s">
        <v>49184</v>
      </c>
      <c r="B990" t="s">
        <v>49186</v>
      </c>
      <c r="C990">
        <v>0</v>
      </c>
      <c r="D990">
        <v>0.49156700005910398</v>
      </c>
      <c r="E990">
        <v>0.95784316056212804</v>
      </c>
      <c r="F990">
        <v>23.5199030107092</v>
      </c>
    </row>
    <row r="991" spans="1:6">
      <c r="A991" t="s">
        <v>49184</v>
      </c>
      <c r="B991" t="s">
        <v>49187</v>
      </c>
      <c r="C991">
        <v>0</v>
      </c>
      <c r="D991">
        <v>0.49156700005910398</v>
      </c>
      <c r="E991">
        <v>0.95784316056212804</v>
      </c>
      <c r="F991">
        <v>23.5199030107092</v>
      </c>
    </row>
    <row r="992" spans="1:6">
      <c r="A992" t="s">
        <v>49184</v>
      </c>
      <c r="B992" t="s">
        <v>49188</v>
      </c>
      <c r="C992">
        <v>0</v>
      </c>
      <c r="D992">
        <v>0.49156700005910398</v>
      </c>
      <c r="E992">
        <v>0.95784316056212804</v>
      </c>
      <c r="F992">
        <v>23.5199030107092</v>
      </c>
    </row>
    <row r="993" spans="1:6">
      <c r="A993" t="s">
        <v>49184</v>
      </c>
      <c r="B993" t="s">
        <v>49189</v>
      </c>
      <c r="C993">
        <v>0.75784316056212797</v>
      </c>
      <c r="D993">
        <v>0.49156700005910398</v>
      </c>
      <c r="E993">
        <v>0.95784316056212804</v>
      </c>
      <c r="F993">
        <v>23.5199030107092</v>
      </c>
    </row>
    <row r="994" spans="1:6">
      <c r="A994" t="s">
        <v>49184</v>
      </c>
      <c r="B994" t="s">
        <v>49190</v>
      </c>
      <c r="C994">
        <v>0</v>
      </c>
      <c r="D994">
        <v>0.49156700005910398</v>
      </c>
      <c r="E994">
        <v>0.95784316056212804</v>
      </c>
      <c r="F994">
        <v>23.5199030107092</v>
      </c>
    </row>
    <row r="995" spans="1:6">
      <c r="A995" t="s">
        <v>49191</v>
      </c>
      <c r="B995" t="s">
        <v>49192</v>
      </c>
      <c r="C995">
        <v>0</v>
      </c>
      <c r="D995">
        <v>0.64357517429187505</v>
      </c>
      <c r="E995">
        <v>0.49370843606493497</v>
      </c>
      <c r="F995">
        <v>3.0842594463527901</v>
      </c>
    </row>
    <row r="996" spans="1:6">
      <c r="A996" t="s">
        <v>49191</v>
      </c>
      <c r="B996" t="s">
        <v>49193</v>
      </c>
      <c r="C996">
        <v>0.333708436064935</v>
      </c>
      <c r="D996">
        <v>0.64357517429187505</v>
      </c>
      <c r="E996">
        <v>0.49370843606493497</v>
      </c>
      <c r="F996">
        <v>3.0842594463527901</v>
      </c>
    </row>
    <row r="997" spans="1:6">
      <c r="A997" t="s">
        <v>49194</v>
      </c>
      <c r="B997" t="s">
        <v>49195</v>
      </c>
      <c r="C997">
        <v>0</v>
      </c>
      <c r="D997">
        <v>0.54329937294132802</v>
      </c>
      <c r="E997">
        <v>0.99167417140434799</v>
      </c>
      <c r="F997">
        <v>9.2624772681349707</v>
      </c>
    </row>
    <row r="998" spans="1:6">
      <c r="A998" t="s">
        <v>49194</v>
      </c>
      <c r="B998" t="s">
        <v>49196</v>
      </c>
      <c r="C998">
        <v>0</v>
      </c>
      <c r="D998">
        <v>0.54329937294132802</v>
      </c>
      <c r="E998">
        <v>0.99167417140434799</v>
      </c>
      <c r="F998">
        <v>9.2624772681349707</v>
      </c>
    </row>
    <row r="999" spans="1:6">
      <c r="A999" t="s">
        <v>49194</v>
      </c>
      <c r="B999" t="s">
        <v>49197</v>
      </c>
      <c r="C999">
        <v>0.18784774018841299</v>
      </c>
      <c r="D999">
        <v>0.54329937294132802</v>
      </c>
      <c r="E999">
        <v>0.99167417140434799</v>
      </c>
      <c r="F999">
        <v>9.2624772681349707</v>
      </c>
    </row>
    <row r="1000" spans="1:6">
      <c r="A1000" t="s">
        <v>49194</v>
      </c>
      <c r="B1000" t="s">
        <v>49198</v>
      </c>
      <c r="C1000">
        <v>0</v>
      </c>
      <c r="D1000">
        <v>0.54329937294132802</v>
      </c>
      <c r="E1000">
        <v>0.99167417140434799</v>
      </c>
      <c r="F1000">
        <v>9.2624772681349707</v>
      </c>
    </row>
    <row r="1001" spans="1:6">
      <c r="A1001" t="s">
        <v>49194</v>
      </c>
      <c r="B1001" t="s">
        <v>49199</v>
      </c>
      <c r="C1001">
        <v>0.73757810749553498</v>
      </c>
      <c r="D1001">
        <v>0.54329937294132802</v>
      </c>
      <c r="E1001">
        <v>0.99167417140434799</v>
      </c>
      <c r="F1001">
        <v>9.2624772681349707</v>
      </c>
    </row>
    <row r="1002" spans="1:6">
      <c r="A1002" t="s">
        <v>49194</v>
      </c>
      <c r="B1002" t="s">
        <v>49200</v>
      </c>
      <c r="C1002">
        <v>0</v>
      </c>
      <c r="D1002">
        <v>0.54329937294132802</v>
      </c>
      <c r="E1002">
        <v>0.99167417140434799</v>
      </c>
      <c r="F1002">
        <v>9.2624772681349707</v>
      </c>
    </row>
    <row r="1003" spans="1:6">
      <c r="A1003" t="s">
        <v>49194</v>
      </c>
      <c r="B1003" t="s">
        <v>49201</v>
      </c>
      <c r="C1003">
        <v>0</v>
      </c>
      <c r="D1003">
        <v>0.54329937294132802</v>
      </c>
      <c r="E1003">
        <v>0.99167417140434799</v>
      </c>
      <c r="F1003">
        <v>9.2624772681349707</v>
      </c>
    </row>
    <row r="1004" spans="1:6">
      <c r="A1004" t="s">
        <v>49194</v>
      </c>
      <c r="B1004" t="s">
        <v>49202</v>
      </c>
      <c r="C1004">
        <v>0</v>
      </c>
      <c r="D1004">
        <v>0.54329937294132802</v>
      </c>
      <c r="E1004">
        <v>0.99167417140434799</v>
      </c>
      <c r="F1004">
        <v>9.2624772681349707</v>
      </c>
    </row>
    <row r="1005" spans="1:6">
      <c r="A1005" t="s">
        <v>49203</v>
      </c>
      <c r="B1005" t="s">
        <v>49204</v>
      </c>
      <c r="C1005">
        <v>0</v>
      </c>
      <c r="D1005">
        <v>0.22469103926052</v>
      </c>
      <c r="E1005" t="s">
        <v>106</v>
      </c>
      <c r="F1005">
        <v>11.658112750050501</v>
      </c>
    </row>
    <row r="1006" spans="1:6">
      <c r="A1006" t="s">
        <v>49203</v>
      </c>
      <c r="B1006" t="s">
        <v>49205</v>
      </c>
      <c r="C1006">
        <v>0</v>
      </c>
      <c r="D1006">
        <v>0.22469103926052</v>
      </c>
      <c r="E1006" t="s">
        <v>106</v>
      </c>
      <c r="F1006">
        <v>11.658112750050501</v>
      </c>
    </row>
    <row r="1007" spans="1:6">
      <c r="A1007" t="s">
        <v>49203</v>
      </c>
      <c r="B1007" t="s">
        <v>49206</v>
      </c>
      <c r="C1007">
        <v>0</v>
      </c>
      <c r="D1007">
        <v>0.22469103926052</v>
      </c>
      <c r="E1007" t="s">
        <v>106</v>
      </c>
      <c r="F1007">
        <v>11.658112750050501</v>
      </c>
    </row>
    <row r="1008" spans="1:6">
      <c r="A1008" t="s">
        <v>49203</v>
      </c>
      <c r="B1008" t="s">
        <v>49207</v>
      </c>
      <c r="C1008">
        <v>0</v>
      </c>
      <c r="D1008">
        <v>0.22469103926052</v>
      </c>
      <c r="E1008" t="s">
        <v>106</v>
      </c>
      <c r="F1008">
        <v>11.658112750050501</v>
      </c>
    </row>
    <row r="1009" spans="1:6">
      <c r="A1009" t="s">
        <v>49208</v>
      </c>
      <c r="B1009" t="s">
        <v>49209</v>
      </c>
      <c r="C1009">
        <v>0</v>
      </c>
      <c r="D1009">
        <v>0.54489384183984502</v>
      </c>
      <c r="E1009">
        <v>0.911812185685418</v>
      </c>
      <c r="F1009">
        <v>5.9987876338654198</v>
      </c>
    </row>
    <row r="1010" spans="1:6">
      <c r="A1010" t="s">
        <v>49208</v>
      </c>
      <c r="B1010" t="s">
        <v>49210</v>
      </c>
      <c r="C1010">
        <v>0</v>
      </c>
      <c r="D1010">
        <v>0.54489384183984502</v>
      </c>
      <c r="E1010">
        <v>0.911812185685418</v>
      </c>
      <c r="F1010">
        <v>5.9987876338654198</v>
      </c>
    </row>
    <row r="1011" spans="1:6">
      <c r="A1011" t="s">
        <v>49208</v>
      </c>
      <c r="B1011" t="s">
        <v>49211</v>
      </c>
      <c r="C1011">
        <v>0</v>
      </c>
      <c r="D1011">
        <v>0.54489384183984502</v>
      </c>
      <c r="E1011">
        <v>0.911812185685418</v>
      </c>
      <c r="F1011">
        <v>5.9987876338654198</v>
      </c>
    </row>
    <row r="1012" spans="1:6">
      <c r="A1012" t="s">
        <v>49208</v>
      </c>
      <c r="B1012" t="s">
        <v>49212</v>
      </c>
      <c r="C1012">
        <v>0.75181218568541797</v>
      </c>
      <c r="D1012">
        <v>0.54489384183984502</v>
      </c>
      <c r="E1012">
        <v>0.911812185685418</v>
      </c>
      <c r="F1012">
        <v>5.9987876338654198</v>
      </c>
    </row>
    <row r="1013" spans="1:6">
      <c r="A1013" t="s">
        <v>49208</v>
      </c>
      <c r="B1013" t="s">
        <v>49213</v>
      </c>
      <c r="C1013">
        <v>0</v>
      </c>
      <c r="D1013">
        <v>0.54489384183984502</v>
      </c>
      <c r="E1013">
        <v>0.911812185685418</v>
      </c>
      <c r="F1013">
        <v>5.9987876338654198</v>
      </c>
    </row>
    <row r="1014" spans="1:6">
      <c r="A1014" t="s">
        <v>49208</v>
      </c>
      <c r="B1014" t="s">
        <v>49214</v>
      </c>
      <c r="C1014">
        <v>0</v>
      </c>
      <c r="D1014">
        <v>0.54489384183984502</v>
      </c>
      <c r="E1014">
        <v>0.911812185685418</v>
      </c>
      <c r="F1014">
        <v>5.9987876338654198</v>
      </c>
    </row>
    <row r="1015" spans="1:6">
      <c r="A1015" t="s">
        <v>49215</v>
      </c>
      <c r="B1015" t="s">
        <v>49216</v>
      </c>
      <c r="C1015">
        <v>0.60289510909716404</v>
      </c>
      <c r="D1015">
        <v>0.82470020209620998</v>
      </c>
      <c r="E1015">
        <v>0.98993467611127695</v>
      </c>
      <c r="F1015">
        <v>1.5275813295615199</v>
      </c>
    </row>
    <row r="1016" spans="1:6">
      <c r="A1016" t="s">
        <v>49215</v>
      </c>
      <c r="B1016" t="s">
        <v>49217</v>
      </c>
      <c r="C1016">
        <v>0</v>
      </c>
      <c r="D1016">
        <v>0.82470020209620998</v>
      </c>
      <c r="E1016">
        <v>0.98993467611127695</v>
      </c>
      <c r="F1016">
        <v>1.5275813295615199</v>
      </c>
    </row>
    <row r="1017" spans="1:6">
      <c r="A1017" t="s">
        <v>49215</v>
      </c>
      <c r="B1017" t="s">
        <v>49218</v>
      </c>
      <c r="C1017">
        <v>0</v>
      </c>
      <c r="D1017">
        <v>0.82470020209620998</v>
      </c>
      <c r="E1017">
        <v>0.98993467611127695</v>
      </c>
      <c r="F1017">
        <v>1.5275813295615199</v>
      </c>
    </row>
    <row r="1018" spans="1:6">
      <c r="A1018" t="s">
        <v>49215</v>
      </c>
      <c r="B1018" t="s">
        <v>49219</v>
      </c>
      <c r="C1018">
        <v>0</v>
      </c>
      <c r="D1018">
        <v>0.82470020209620998</v>
      </c>
      <c r="E1018">
        <v>0.98993467611127695</v>
      </c>
      <c r="F1018">
        <v>1.5275813295615199</v>
      </c>
    </row>
    <row r="1019" spans="1:6">
      <c r="A1019" t="s">
        <v>49215</v>
      </c>
      <c r="B1019" t="s">
        <v>49220</v>
      </c>
      <c r="C1019">
        <v>0</v>
      </c>
      <c r="D1019">
        <v>0.82470020209620998</v>
      </c>
      <c r="E1019">
        <v>0.98993467611127695</v>
      </c>
      <c r="F1019">
        <v>1.5275813295615199</v>
      </c>
    </row>
    <row r="1020" spans="1:6">
      <c r="A1020" t="s">
        <v>49215</v>
      </c>
      <c r="B1020" t="s">
        <v>49221</v>
      </c>
      <c r="C1020">
        <v>0.38100373466410198</v>
      </c>
      <c r="D1020">
        <v>0.82470020209620998</v>
      </c>
      <c r="E1020">
        <v>0.98993467611127695</v>
      </c>
      <c r="F1020">
        <v>1.5275813295615199</v>
      </c>
    </row>
    <row r="1021" spans="1:6">
      <c r="A1021" t="s">
        <v>49215</v>
      </c>
      <c r="B1021" t="s">
        <v>49222</v>
      </c>
      <c r="C1021">
        <v>0</v>
      </c>
      <c r="D1021">
        <v>0.82470020209620998</v>
      </c>
      <c r="E1021">
        <v>0.98993467611127695</v>
      </c>
      <c r="F1021">
        <v>1.5275813295615199</v>
      </c>
    </row>
    <row r="1022" spans="1:6">
      <c r="A1022" t="s">
        <v>49215</v>
      </c>
      <c r="B1022" t="s">
        <v>49223</v>
      </c>
      <c r="C1022">
        <v>0</v>
      </c>
      <c r="D1022">
        <v>0.82470020209620998</v>
      </c>
      <c r="E1022">
        <v>0.98993467611127695</v>
      </c>
      <c r="F1022">
        <v>1.5275813295615199</v>
      </c>
    </row>
    <row r="1023" spans="1:6">
      <c r="A1023" t="s">
        <v>49224</v>
      </c>
      <c r="B1023" t="s">
        <v>49225</v>
      </c>
      <c r="C1023">
        <v>0</v>
      </c>
      <c r="D1023">
        <v>0.25587132992551598</v>
      </c>
      <c r="E1023">
        <v>0.93145893254787504</v>
      </c>
      <c r="F1023">
        <v>1.34815114164477</v>
      </c>
    </row>
    <row r="1024" spans="1:6">
      <c r="A1024" t="s">
        <v>49224</v>
      </c>
      <c r="B1024" t="s">
        <v>49226</v>
      </c>
      <c r="C1024">
        <v>0.60783690362535503</v>
      </c>
      <c r="D1024">
        <v>0.25587132992551598</v>
      </c>
      <c r="E1024">
        <v>0.93145893254787504</v>
      </c>
      <c r="F1024">
        <v>1.34815114164477</v>
      </c>
    </row>
    <row r="1025" spans="1:6">
      <c r="A1025" t="s">
        <v>49224</v>
      </c>
      <c r="B1025" t="s">
        <v>49227</v>
      </c>
      <c r="C1025">
        <v>0.81019236670597305</v>
      </c>
      <c r="D1025">
        <v>0.25587132992551598</v>
      </c>
      <c r="E1025">
        <v>0.93145893254787504</v>
      </c>
      <c r="F1025">
        <v>1.34815114164477</v>
      </c>
    </row>
    <row r="1026" spans="1:6">
      <c r="A1026" t="s">
        <v>49228</v>
      </c>
      <c r="B1026" t="s">
        <v>49229</v>
      </c>
      <c r="C1026">
        <v>0</v>
      </c>
      <c r="D1026">
        <v>0.25566244136476401</v>
      </c>
      <c r="E1026">
        <v>0.92862059003184905</v>
      </c>
      <c r="F1026">
        <v>5.5235401091129503</v>
      </c>
    </row>
    <row r="1027" spans="1:6">
      <c r="A1027" t="s">
        <v>49228</v>
      </c>
      <c r="B1027" t="s">
        <v>49230</v>
      </c>
      <c r="C1027">
        <v>0</v>
      </c>
      <c r="D1027">
        <v>0.25566244136476401</v>
      </c>
      <c r="E1027">
        <v>0.92862059003184905</v>
      </c>
      <c r="F1027">
        <v>5.5235401091129503</v>
      </c>
    </row>
    <row r="1028" spans="1:6">
      <c r="A1028" t="s">
        <v>49228</v>
      </c>
      <c r="B1028" t="s">
        <v>49231</v>
      </c>
      <c r="C1028">
        <v>0.64382059003184899</v>
      </c>
      <c r="D1028">
        <v>0.25566244136476401</v>
      </c>
      <c r="E1028">
        <v>0.92862059003184905</v>
      </c>
      <c r="F1028">
        <v>5.5235401091129503</v>
      </c>
    </row>
    <row r="1029" spans="1:6">
      <c r="A1029" t="s">
        <v>49228</v>
      </c>
      <c r="B1029" t="s">
        <v>49232</v>
      </c>
      <c r="C1029">
        <v>0</v>
      </c>
      <c r="D1029">
        <v>0.25566244136476401</v>
      </c>
      <c r="E1029">
        <v>0.92862059003184905</v>
      </c>
      <c r="F1029">
        <v>5.5235401091129503</v>
      </c>
    </row>
    <row r="1030" spans="1:6">
      <c r="A1030" t="s">
        <v>49228</v>
      </c>
      <c r="B1030" t="s">
        <v>49233</v>
      </c>
      <c r="C1030">
        <v>0</v>
      </c>
      <c r="D1030">
        <v>0.25566244136476401</v>
      </c>
      <c r="E1030">
        <v>0.92862059003184905</v>
      </c>
      <c r="F1030">
        <v>5.5235401091129503</v>
      </c>
    </row>
    <row r="1031" spans="1:6">
      <c r="A1031" t="s">
        <v>49228</v>
      </c>
      <c r="B1031" t="s">
        <v>49234</v>
      </c>
      <c r="C1031">
        <v>0</v>
      </c>
      <c r="D1031">
        <v>0.25566244136476401</v>
      </c>
      <c r="E1031">
        <v>0.92862059003184905</v>
      </c>
      <c r="F1031">
        <v>5.5235401091129503</v>
      </c>
    </row>
    <row r="1032" spans="1:6">
      <c r="A1032" t="s">
        <v>49228</v>
      </c>
      <c r="B1032" t="s">
        <v>49235</v>
      </c>
      <c r="C1032">
        <v>0</v>
      </c>
      <c r="D1032">
        <v>0.25566244136476401</v>
      </c>
      <c r="E1032">
        <v>0.92862059003184905</v>
      </c>
      <c r="F1032">
        <v>5.5235401091129503</v>
      </c>
    </row>
    <row r="1033" spans="1:6">
      <c r="A1033" t="s">
        <v>49228</v>
      </c>
      <c r="B1033" t="s">
        <v>49236</v>
      </c>
      <c r="C1033">
        <v>0</v>
      </c>
      <c r="D1033">
        <v>0.25566244136476401</v>
      </c>
      <c r="E1033">
        <v>0.92862059003184905</v>
      </c>
      <c r="F1033">
        <v>5.5235401091129503</v>
      </c>
    </row>
    <row r="1034" spans="1:6">
      <c r="A1034" t="s">
        <v>49237</v>
      </c>
      <c r="B1034" t="s">
        <v>49238</v>
      </c>
      <c r="C1034">
        <v>0.65910239394216996</v>
      </c>
      <c r="D1034">
        <v>0.32223955910066399</v>
      </c>
      <c r="E1034">
        <v>0.99538057022083204</v>
      </c>
      <c r="F1034">
        <v>1.78460295009092</v>
      </c>
    </row>
    <row r="1035" spans="1:6">
      <c r="A1035" t="s">
        <v>49237</v>
      </c>
      <c r="B1035" t="s">
        <v>49239</v>
      </c>
      <c r="C1035">
        <v>0.41052816521084701</v>
      </c>
      <c r="D1035">
        <v>0.32223955910066399</v>
      </c>
      <c r="E1035">
        <v>0.99538057022083204</v>
      </c>
      <c r="F1035">
        <v>1.78460295009092</v>
      </c>
    </row>
    <row r="1036" spans="1:6">
      <c r="A1036" t="s">
        <v>49237</v>
      </c>
      <c r="B1036" t="s">
        <v>49240</v>
      </c>
      <c r="C1036">
        <v>0</v>
      </c>
      <c r="D1036">
        <v>0.32223955910066399</v>
      </c>
      <c r="E1036">
        <v>0.99538057022083204</v>
      </c>
      <c r="F1036">
        <v>1.78460295009092</v>
      </c>
    </row>
    <row r="1037" spans="1:6">
      <c r="A1037" t="s">
        <v>49237</v>
      </c>
      <c r="B1037" t="s">
        <v>49241</v>
      </c>
      <c r="C1037">
        <v>0</v>
      </c>
      <c r="D1037">
        <v>0.32223955910066399</v>
      </c>
      <c r="E1037">
        <v>0.99538057022083204</v>
      </c>
      <c r="F1037">
        <v>1.78460295009092</v>
      </c>
    </row>
    <row r="1038" spans="1:6">
      <c r="A1038" t="s">
        <v>49242</v>
      </c>
      <c r="B1038" t="s">
        <v>49243</v>
      </c>
      <c r="C1038">
        <v>0</v>
      </c>
      <c r="D1038">
        <v>0.116665969237115</v>
      </c>
      <c r="E1038">
        <v>0.86074968841036703</v>
      </c>
      <c r="F1038">
        <v>0.37825823398666297</v>
      </c>
    </row>
    <row r="1039" spans="1:6">
      <c r="A1039" t="s">
        <v>49242</v>
      </c>
      <c r="B1039" t="s">
        <v>49244</v>
      </c>
      <c r="C1039">
        <v>0.62992890205497598</v>
      </c>
      <c r="D1039">
        <v>0.116665969237115</v>
      </c>
      <c r="E1039">
        <v>0.86074968841036703</v>
      </c>
      <c r="F1039">
        <v>0.37825823398666297</v>
      </c>
    </row>
    <row r="1040" spans="1:6">
      <c r="A1040" t="s">
        <v>49242</v>
      </c>
      <c r="B1040" t="s">
        <v>49245</v>
      </c>
      <c r="C1040">
        <v>0</v>
      </c>
      <c r="D1040">
        <v>0.116665969237115</v>
      </c>
      <c r="E1040">
        <v>0.86074968841036703</v>
      </c>
      <c r="F1040">
        <v>0.37825823398666297</v>
      </c>
    </row>
    <row r="1041" spans="1:6">
      <c r="A1041" t="s">
        <v>49242</v>
      </c>
      <c r="B1041" t="s">
        <v>49246</v>
      </c>
      <c r="C1041">
        <v>8.3239102430567105E-3</v>
      </c>
      <c r="D1041">
        <v>0.116665969237115</v>
      </c>
      <c r="E1041">
        <v>0.86074968841036703</v>
      </c>
      <c r="F1041">
        <v>0.37825823398666297</v>
      </c>
    </row>
    <row r="1042" spans="1:6">
      <c r="A1042" t="s">
        <v>49242</v>
      </c>
      <c r="B1042" t="s">
        <v>49247</v>
      </c>
      <c r="C1042">
        <v>0</v>
      </c>
      <c r="D1042">
        <v>0.116665969237115</v>
      </c>
      <c r="E1042">
        <v>0.86074968841036703</v>
      </c>
      <c r="F1042">
        <v>0.37825823398666297</v>
      </c>
    </row>
    <row r="1043" spans="1:6">
      <c r="A1043" t="s">
        <v>49242</v>
      </c>
      <c r="B1043" t="s">
        <v>49248</v>
      </c>
      <c r="C1043">
        <v>0</v>
      </c>
      <c r="D1043">
        <v>0.116665969237115</v>
      </c>
      <c r="E1043">
        <v>0.86074968841036703</v>
      </c>
      <c r="F1043">
        <v>0.37825823398666297</v>
      </c>
    </row>
    <row r="1044" spans="1:6">
      <c r="A1044" t="s">
        <v>49249</v>
      </c>
      <c r="B1044" t="s">
        <v>49250</v>
      </c>
      <c r="C1044">
        <v>0.59843560327872702</v>
      </c>
      <c r="D1044">
        <v>0.37329150010116202</v>
      </c>
      <c r="E1044">
        <v>0.94993046970839901</v>
      </c>
      <c r="F1044">
        <v>10.028692665184799</v>
      </c>
    </row>
    <row r="1045" spans="1:6">
      <c r="A1045" t="s">
        <v>49249</v>
      </c>
      <c r="B1045" t="s">
        <v>49251</v>
      </c>
      <c r="C1045">
        <v>0.53250663416468003</v>
      </c>
      <c r="D1045">
        <v>0.37329150010116202</v>
      </c>
      <c r="E1045">
        <v>0.94993046970839901</v>
      </c>
      <c r="F1045">
        <v>10.028692665184799</v>
      </c>
    </row>
    <row r="1046" spans="1:6">
      <c r="A1046" t="s">
        <v>49252</v>
      </c>
      <c r="B1046" t="s">
        <v>49253</v>
      </c>
      <c r="C1046">
        <v>0</v>
      </c>
      <c r="D1046">
        <v>0.58420078903907902</v>
      </c>
      <c r="E1046">
        <v>0.96219576048634803</v>
      </c>
      <c r="F1046">
        <v>6.8765407152960103</v>
      </c>
    </row>
    <row r="1047" spans="1:6">
      <c r="A1047" t="s">
        <v>49252</v>
      </c>
      <c r="B1047" t="s">
        <v>49254</v>
      </c>
      <c r="C1047">
        <v>0</v>
      </c>
      <c r="D1047">
        <v>0.58420078903907902</v>
      </c>
      <c r="E1047">
        <v>0.96219576048634803</v>
      </c>
      <c r="F1047">
        <v>6.8765407152960103</v>
      </c>
    </row>
    <row r="1048" spans="1:6">
      <c r="A1048" t="s">
        <v>49252</v>
      </c>
      <c r="B1048" t="s">
        <v>49255</v>
      </c>
      <c r="C1048">
        <v>0</v>
      </c>
      <c r="D1048">
        <v>0.58420078903907902</v>
      </c>
      <c r="E1048">
        <v>0.96219576048634803</v>
      </c>
      <c r="F1048">
        <v>6.8765407152960103</v>
      </c>
    </row>
    <row r="1049" spans="1:6">
      <c r="A1049" t="s">
        <v>49252</v>
      </c>
      <c r="B1049" t="s">
        <v>49256</v>
      </c>
      <c r="C1049">
        <v>0</v>
      </c>
      <c r="D1049">
        <v>0.58420078903907902</v>
      </c>
      <c r="E1049">
        <v>0.96219576048634803</v>
      </c>
      <c r="F1049">
        <v>6.8765407152960103</v>
      </c>
    </row>
    <row r="1050" spans="1:6">
      <c r="A1050" t="s">
        <v>49252</v>
      </c>
      <c r="B1050" t="s">
        <v>49257</v>
      </c>
      <c r="C1050">
        <v>0.14748677457668</v>
      </c>
      <c r="D1050">
        <v>0.58420078903907902</v>
      </c>
      <c r="E1050">
        <v>0.96219576048634803</v>
      </c>
      <c r="F1050">
        <v>6.8765407152960103</v>
      </c>
    </row>
    <row r="1051" spans="1:6">
      <c r="A1051" t="s">
        <v>49252</v>
      </c>
      <c r="B1051" t="s">
        <v>49258</v>
      </c>
      <c r="C1051">
        <v>0.230897372864489</v>
      </c>
      <c r="D1051">
        <v>0.58420078903907902</v>
      </c>
      <c r="E1051">
        <v>0.96219576048634803</v>
      </c>
      <c r="F1051">
        <v>6.8765407152960103</v>
      </c>
    </row>
    <row r="1052" spans="1:6">
      <c r="A1052" t="s">
        <v>49259</v>
      </c>
      <c r="B1052" t="s">
        <v>49260</v>
      </c>
      <c r="C1052">
        <v>0.90773339888765803</v>
      </c>
      <c r="D1052">
        <v>0.44848340909178203</v>
      </c>
      <c r="E1052">
        <v>0.98523972700516704</v>
      </c>
      <c r="F1052">
        <v>3.3509799959587698</v>
      </c>
    </row>
    <row r="1053" spans="1:6">
      <c r="A1053" t="s">
        <v>49259</v>
      </c>
      <c r="B1053" t="s">
        <v>49261</v>
      </c>
      <c r="C1053">
        <v>0</v>
      </c>
      <c r="D1053">
        <v>0.44848340909178203</v>
      </c>
      <c r="E1053">
        <v>0.98523972700516704</v>
      </c>
      <c r="F1053">
        <v>3.3509799959587698</v>
      </c>
    </row>
    <row r="1054" spans="1:6">
      <c r="A1054" t="s">
        <v>49259</v>
      </c>
      <c r="B1054" t="s">
        <v>49262</v>
      </c>
      <c r="C1054">
        <v>0</v>
      </c>
      <c r="D1054">
        <v>0.44848340909178203</v>
      </c>
      <c r="E1054">
        <v>0.98523972700516704</v>
      </c>
      <c r="F1054">
        <v>3.3509799959587698</v>
      </c>
    </row>
    <row r="1055" spans="1:6">
      <c r="A1055" t="s">
        <v>49259</v>
      </c>
      <c r="B1055" t="s">
        <v>49263</v>
      </c>
      <c r="C1055">
        <v>6.8274806771063304E-2</v>
      </c>
      <c r="D1055">
        <v>0.44848340909178203</v>
      </c>
      <c r="E1055">
        <v>0.98523972700516704</v>
      </c>
      <c r="F1055">
        <v>3.3509799959587698</v>
      </c>
    </row>
    <row r="1056" spans="1:6">
      <c r="A1056" t="s">
        <v>49264</v>
      </c>
      <c r="B1056" t="s">
        <v>49265</v>
      </c>
      <c r="C1056">
        <v>0</v>
      </c>
      <c r="D1056">
        <v>0.901780244206278</v>
      </c>
      <c r="E1056">
        <v>0.95288052072754004</v>
      </c>
      <c r="F1056">
        <v>1.1299252374216999</v>
      </c>
    </row>
    <row r="1057" spans="1:6">
      <c r="A1057" t="s">
        <v>49264</v>
      </c>
      <c r="B1057" t="s">
        <v>49266</v>
      </c>
      <c r="C1057">
        <v>0</v>
      </c>
      <c r="D1057">
        <v>0.901780244206278</v>
      </c>
      <c r="E1057">
        <v>0.95288052072754004</v>
      </c>
      <c r="F1057">
        <v>1.1299252374216999</v>
      </c>
    </row>
    <row r="1058" spans="1:6">
      <c r="A1058" t="s">
        <v>49264</v>
      </c>
      <c r="B1058" t="s">
        <v>49267</v>
      </c>
      <c r="C1058">
        <v>0.54760436420738501</v>
      </c>
      <c r="D1058">
        <v>0.901780244206278</v>
      </c>
      <c r="E1058">
        <v>0.95288052072754004</v>
      </c>
      <c r="F1058">
        <v>1.1299252374216999</v>
      </c>
    </row>
    <row r="1059" spans="1:6">
      <c r="A1059" t="s">
        <v>49264</v>
      </c>
      <c r="B1059" t="s">
        <v>49268</v>
      </c>
      <c r="C1059">
        <v>9.2168491152433502E-2</v>
      </c>
      <c r="D1059">
        <v>0.901780244206278</v>
      </c>
      <c r="E1059">
        <v>0.95288052072754004</v>
      </c>
      <c r="F1059">
        <v>1.1299252374216999</v>
      </c>
    </row>
    <row r="1060" spans="1:6">
      <c r="A1060" t="s">
        <v>49269</v>
      </c>
      <c r="B1060" t="s">
        <v>49270</v>
      </c>
      <c r="C1060">
        <v>0</v>
      </c>
      <c r="D1060">
        <v>0.26492773875165798</v>
      </c>
      <c r="E1060" t="s">
        <v>106</v>
      </c>
      <c r="F1060">
        <v>4.8494645382905599</v>
      </c>
    </row>
    <row r="1061" spans="1:6">
      <c r="A1061" t="s">
        <v>49269</v>
      </c>
      <c r="B1061" t="s">
        <v>49271</v>
      </c>
      <c r="C1061">
        <v>0</v>
      </c>
      <c r="D1061">
        <v>0.26492773875165798</v>
      </c>
      <c r="E1061" t="s">
        <v>106</v>
      </c>
      <c r="F1061">
        <v>4.8494645382905599</v>
      </c>
    </row>
    <row r="1062" spans="1:6">
      <c r="A1062" t="s">
        <v>49269</v>
      </c>
      <c r="B1062" t="s">
        <v>49272</v>
      </c>
      <c r="C1062">
        <v>0</v>
      </c>
      <c r="D1062">
        <v>0.26492773875165798</v>
      </c>
      <c r="E1062" t="s">
        <v>106</v>
      </c>
      <c r="F1062">
        <v>4.8494645382905599</v>
      </c>
    </row>
    <row r="1063" spans="1:6">
      <c r="A1063" t="s">
        <v>49269</v>
      </c>
      <c r="B1063" t="s">
        <v>49273</v>
      </c>
      <c r="C1063">
        <v>0</v>
      </c>
      <c r="D1063">
        <v>0.26492773875165798</v>
      </c>
      <c r="E1063" t="s">
        <v>106</v>
      </c>
      <c r="F1063">
        <v>4.8494645382905599</v>
      </c>
    </row>
    <row r="1064" spans="1:6">
      <c r="A1064" t="s">
        <v>49269</v>
      </c>
      <c r="B1064" t="s">
        <v>49274</v>
      </c>
      <c r="C1064">
        <v>0</v>
      </c>
      <c r="D1064">
        <v>0.26492773875165798</v>
      </c>
      <c r="E1064" t="s">
        <v>106</v>
      </c>
      <c r="F1064">
        <v>4.8494645382905599</v>
      </c>
    </row>
    <row r="1065" spans="1:6">
      <c r="A1065" t="s">
        <v>49269</v>
      </c>
      <c r="B1065" t="s">
        <v>49275</v>
      </c>
      <c r="C1065">
        <v>0</v>
      </c>
      <c r="D1065">
        <v>0.26492773875165798</v>
      </c>
      <c r="E1065" t="s">
        <v>106</v>
      </c>
      <c r="F1065">
        <v>4.8494645382905599</v>
      </c>
    </row>
    <row r="1066" spans="1:6">
      <c r="A1066" t="s">
        <v>49269</v>
      </c>
      <c r="B1066" t="s">
        <v>49276</v>
      </c>
      <c r="C1066">
        <v>0</v>
      </c>
      <c r="D1066">
        <v>0.26492773875165798</v>
      </c>
      <c r="E1066" t="s">
        <v>106</v>
      </c>
      <c r="F1066">
        <v>4.8494645382905599</v>
      </c>
    </row>
    <row r="1067" spans="1:6">
      <c r="A1067" t="s">
        <v>49269</v>
      </c>
      <c r="B1067" t="s">
        <v>49277</v>
      </c>
      <c r="C1067">
        <v>0</v>
      </c>
      <c r="D1067">
        <v>0.26492773875165798</v>
      </c>
      <c r="E1067" t="s">
        <v>106</v>
      </c>
      <c r="F1067">
        <v>4.8494645382905599</v>
      </c>
    </row>
    <row r="1068" spans="1:6">
      <c r="A1068" t="s">
        <v>49278</v>
      </c>
      <c r="B1068" t="s">
        <v>49279</v>
      </c>
      <c r="C1068">
        <v>0.38749681416227</v>
      </c>
      <c r="D1068">
        <v>0.114223064397752</v>
      </c>
      <c r="E1068">
        <v>0.85114191409669704</v>
      </c>
      <c r="F1068">
        <v>16.667609618104599</v>
      </c>
    </row>
    <row r="1069" spans="1:6">
      <c r="A1069" t="s">
        <v>49278</v>
      </c>
      <c r="B1069" t="s">
        <v>49280</v>
      </c>
      <c r="C1069">
        <v>0.28447805791227498</v>
      </c>
      <c r="D1069">
        <v>0.114223064397752</v>
      </c>
      <c r="E1069">
        <v>0.85114191409669704</v>
      </c>
      <c r="F1069">
        <v>16.667609618104599</v>
      </c>
    </row>
    <row r="1070" spans="1:6">
      <c r="A1070" t="s">
        <v>49278</v>
      </c>
      <c r="B1070" t="s">
        <v>49281</v>
      </c>
      <c r="C1070">
        <v>0</v>
      </c>
      <c r="D1070">
        <v>0.114223064397752</v>
      </c>
      <c r="E1070">
        <v>0.85114191409669704</v>
      </c>
      <c r="F1070">
        <v>16.667609618104599</v>
      </c>
    </row>
    <row r="1071" spans="1:6">
      <c r="A1071" t="s">
        <v>49282</v>
      </c>
      <c r="B1071" t="s">
        <v>49283</v>
      </c>
      <c r="C1071">
        <v>0</v>
      </c>
      <c r="D1071">
        <v>0.69157470793361198</v>
      </c>
      <c r="E1071">
        <v>0.94125710598183898</v>
      </c>
      <c r="F1071">
        <v>16.463932107496401</v>
      </c>
    </row>
    <row r="1072" spans="1:6">
      <c r="A1072" t="s">
        <v>49282</v>
      </c>
      <c r="B1072" t="s">
        <v>49284</v>
      </c>
      <c r="C1072">
        <v>0</v>
      </c>
      <c r="D1072">
        <v>0.69157470793361198</v>
      </c>
      <c r="E1072">
        <v>0.94125710598183898</v>
      </c>
      <c r="F1072">
        <v>16.463932107496401</v>
      </c>
    </row>
    <row r="1073" spans="1:6">
      <c r="A1073" t="s">
        <v>49282</v>
      </c>
      <c r="B1073" t="s">
        <v>49285</v>
      </c>
      <c r="C1073">
        <v>0.76045710598183902</v>
      </c>
      <c r="D1073">
        <v>0.69157470793361198</v>
      </c>
      <c r="E1073">
        <v>0.94125710598183898</v>
      </c>
      <c r="F1073">
        <v>16.463932107496401</v>
      </c>
    </row>
    <row r="1074" spans="1:6">
      <c r="A1074" t="s">
        <v>49282</v>
      </c>
      <c r="B1074" t="s">
        <v>49286</v>
      </c>
      <c r="C1074">
        <v>0</v>
      </c>
      <c r="D1074">
        <v>0.69157470793361198</v>
      </c>
      <c r="E1074">
        <v>0.94125710598183898</v>
      </c>
      <c r="F1074">
        <v>16.463932107496401</v>
      </c>
    </row>
    <row r="1075" spans="1:6">
      <c r="A1075" t="s">
        <v>49282</v>
      </c>
      <c r="B1075" t="s">
        <v>49287</v>
      </c>
      <c r="C1075">
        <v>0</v>
      </c>
      <c r="D1075">
        <v>0.69157470793361198</v>
      </c>
      <c r="E1075">
        <v>0.94125710598183898</v>
      </c>
      <c r="F1075">
        <v>16.463932107496401</v>
      </c>
    </row>
    <row r="1076" spans="1:6">
      <c r="A1076" t="s">
        <v>49282</v>
      </c>
      <c r="B1076" t="s">
        <v>49288</v>
      </c>
      <c r="C1076">
        <v>0</v>
      </c>
      <c r="D1076">
        <v>0.69157470793361198</v>
      </c>
      <c r="E1076">
        <v>0.94125710598183898</v>
      </c>
      <c r="F1076">
        <v>16.463932107496401</v>
      </c>
    </row>
    <row r="1077" spans="1:6">
      <c r="A1077" t="s">
        <v>49282</v>
      </c>
      <c r="B1077" t="s">
        <v>49289</v>
      </c>
      <c r="C1077">
        <v>0</v>
      </c>
      <c r="D1077">
        <v>0.69157470793361198</v>
      </c>
      <c r="E1077">
        <v>0.94125710598183898</v>
      </c>
      <c r="F1077">
        <v>16.463932107496401</v>
      </c>
    </row>
    <row r="1078" spans="1:6">
      <c r="A1078" t="s">
        <v>49282</v>
      </c>
      <c r="B1078" t="s">
        <v>49290</v>
      </c>
      <c r="C1078">
        <v>0</v>
      </c>
      <c r="D1078">
        <v>0.69157470793361198</v>
      </c>
      <c r="E1078">
        <v>0.94125710598183898</v>
      </c>
      <c r="F1078">
        <v>16.463932107496401</v>
      </c>
    </row>
    <row r="1079" spans="1:6">
      <c r="A1079" t="s">
        <v>49291</v>
      </c>
      <c r="B1079" t="s">
        <v>49292</v>
      </c>
      <c r="C1079">
        <v>0.30154801505618101</v>
      </c>
      <c r="D1079">
        <v>0.39180430877855499</v>
      </c>
      <c r="E1079">
        <v>0.92084597271695001</v>
      </c>
      <c r="F1079">
        <v>15.4746413416851</v>
      </c>
    </row>
    <row r="1080" spans="1:6">
      <c r="A1080" t="s">
        <v>49291</v>
      </c>
      <c r="B1080" t="s">
        <v>49293</v>
      </c>
      <c r="C1080">
        <v>0.59105274785940698</v>
      </c>
      <c r="D1080">
        <v>0.39180430877855499</v>
      </c>
      <c r="E1080">
        <v>0.92084597271695001</v>
      </c>
      <c r="F1080">
        <v>15.4746413416851</v>
      </c>
    </row>
    <row r="1081" spans="1:6">
      <c r="A1081" t="s">
        <v>49294</v>
      </c>
      <c r="B1081" t="s">
        <v>49295</v>
      </c>
      <c r="C1081">
        <v>0</v>
      </c>
      <c r="D1081">
        <v>0.182556772157425</v>
      </c>
      <c r="E1081" t="s">
        <v>106</v>
      </c>
      <c r="F1081">
        <v>2.5847645989088699</v>
      </c>
    </row>
    <row r="1082" spans="1:6">
      <c r="A1082" t="s">
        <v>49294</v>
      </c>
      <c r="B1082" t="s">
        <v>49296</v>
      </c>
      <c r="C1082">
        <v>0</v>
      </c>
      <c r="D1082">
        <v>0.182556772157425</v>
      </c>
      <c r="E1082" t="s">
        <v>106</v>
      </c>
      <c r="F1082">
        <v>2.5847645989088699</v>
      </c>
    </row>
    <row r="1083" spans="1:6">
      <c r="A1083" t="s">
        <v>49294</v>
      </c>
      <c r="B1083" t="s">
        <v>49297</v>
      </c>
      <c r="C1083">
        <v>0</v>
      </c>
      <c r="D1083">
        <v>0.182556772157425</v>
      </c>
      <c r="E1083" t="s">
        <v>106</v>
      </c>
      <c r="F1083">
        <v>2.5847645989088699</v>
      </c>
    </row>
    <row r="1084" spans="1:6">
      <c r="A1084" t="s">
        <v>49294</v>
      </c>
      <c r="B1084" t="s">
        <v>49298</v>
      </c>
      <c r="C1084">
        <v>0</v>
      </c>
      <c r="D1084">
        <v>0.182556772157425</v>
      </c>
      <c r="E1084" t="s">
        <v>106</v>
      </c>
      <c r="F1084">
        <v>2.5847645989088699</v>
      </c>
    </row>
    <row r="1085" spans="1:6">
      <c r="A1085" t="s">
        <v>49294</v>
      </c>
      <c r="B1085" t="s">
        <v>49299</v>
      </c>
      <c r="C1085">
        <v>0</v>
      </c>
      <c r="D1085">
        <v>0.182556772157425</v>
      </c>
      <c r="E1085" t="s">
        <v>106</v>
      </c>
      <c r="F1085">
        <v>2.5847645989088699</v>
      </c>
    </row>
    <row r="1086" spans="1:6">
      <c r="A1086" t="s">
        <v>49294</v>
      </c>
      <c r="B1086" t="s">
        <v>49300</v>
      </c>
      <c r="C1086">
        <v>0</v>
      </c>
      <c r="D1086">
        <v>0.182556772157425</v>
      </c>
      <c r="E1086" t="s">
        <v>106</v>
      </c>
      <c r="F1086">
        <v>2.5847645989088699</v>
      </c>
    </row>
    <row r="1087" spans="1:6">
      <c r="A1087" t="s">
        <v>49301</v>
      </c>
      <c r="B1087" t="s">
        <v>49302</v>
      </c>
      <c r="C1087">
        <v>0</v>
      </c>
      <c r="D1087">
        <v>0.84376004085338296</v>
      </c>
      <c r="E1087">
        <v>0.80120139523692002</v>
      </c>
      <c r="F1087">
        <v>13.956758941200199</v>
      </c>
    </row>
    <row r="1088" spans="1:6">
      <c r="A1088" t="s">
        <v>49301</v>
      </c>
      <c r="B1088" t="s">
        <v>49303</v>
      </c>
      <c r="C1088">
        <v>0.54038572987690903</v>
      </c>
      <c r="D1088">
        <v>0.84376004085338296</v>
      </c>
      <c r="E1088">
        <v>0.80120139523692002</v>
      </c>
      <c r="F1088">
        <v>13.956758941200199</v>
      </c>
    </row>
    <row r="1089" spans="1:6">
      <c r="A1089" t="s">
        <v>49301</v>
      </c>
      <c r="B1089" t="s">
        <v>49304</v>
      </c>
      <c r="C1089">
        <v>0.13503720875870501</v>
      </c>
      <c r="D1089">
        <v>0.84376004085338296</v>
      </c>
      <c r="E1089">
        <v>0.80120139523692002</v>
      </c>
      <c r="F1089">
        <v>13.956758941200199</v>
      </c>
    </row>
    <row r="1090" spans="1:6">
      <c r="A1090" t="s">
        <v>49301</v>
      </c>
      <c r="B1090" t="s">
        <v>49305</v>
      </c>
      <c r="C1090">
        <v>0</v>
      </c>
      <c r="D1090">
        <v>0.84376004085338296</v>
      </c>
      <c r="E1090">
        <v>0.80120139523692002</v>
      </c>
      <c r="F1090">
        <v>13.956758941200199</v>
      </c>
    </row>
    <row r="1091" spans="1:6">
      <c r="A1091" t="s">
        <v>49306</v>
      </c>
      <c r="B1091" t="s">
        <v>49307</v>
      </c>
      <c r="C1091">
        <v>0</v>
      </c>
      <c r="D1091">
        <v>0.310566799858561</v>
      </c>
      <c r="E1091">
        <v>0.96026459581726398</v>
      </c>
      <c r="F1091">
        <v>7.67670236411396</v>
      </c>
    </row>
    <row r="1092" spans="1:6">
      <c r="A1092" t="s">
        <v>49306</v>
      </c>
      <c r="B1092" t="s">
        <v>49308</v>
      </c>
      <c r="C1092">
        <v>0</v>
      </c>
      <c r="D1092">
        <v>0.310566799858561</v>
      </c>
      <c r="E1092">
        <v>0.96026459581726398</v>
      </c>
      <c r="F1092">
        <v>7.67670236411396</v>
      </c>
    </row>
    <row r="1093" spans="1:6">
      <c r="A1093" t="s">
        <v>49306</v>
      </c>
      <c r="B1093" t="s">
        <v>49309</v>
      </c>
      <c r="C1093">
        <v>0</v>
      </c>
      <c r="D1093">
        <v>0.310566799858561</v>
      </c>
      <c r="E1093">
        <v>0.96026459581726398</v>
      </c>
      <c r="F1093">
        <v>7.67670236411396</v>
      </c>
    </row>
    <row r="1094" spans="1:6">
      <c r="A1094" t="s">
        <v>49306</v>
      </c>
      <c r="B1094" t="s">
        <v>49310</v>
      </c>
      <c r="C1094">
        <v>6.6633706749132E-3</v>
      </c>
      <c r="D1094">
        <v>0.310566799858561</v>
      </c>
      <c r="E1094">
        <v>0.96026459581726398</v>
      </c>
      <c r="F1094">
        <v>7.67670236411396</v>
      </c>
    </row>
    <row r="1095" spans="1:6">
      <c r="A1095" t="s">
        <v>49306</v>
      </c>
      <c r="B1095" t="s">
        <v>49311</v>
      </c>
      <c r="C1095">
        <v>0.85169610460496004</v>
      </c>
      <c r="D1095">
        <v>0.310566799858561</v>
      </c>
      <c r="E1095">
        <v>0.96026459581726398</v>
      </c>
      <c r="F1095">
        <v>7.67670236411396</v>
      </c>
    </row>
    <row r="1096" spans="1:6">
      <c r="A1096" t="s">
        <v>49312</v>
      </c>
      <c r="B1096" t="s">
        <v>49313</v>
      </c>
      <c r="C1096">
        <v>0</v>
      </c>
      <c r="D1096">
        <v>0.154712311389718</v>
      </c>
      <c r="E1096">
        <v>0.95149067671626997</v>
      </c>
      <c r="F1096">
        <v>17.487169125075699</v>
      </c>
    </row>
    <row r="1097" spans="1:6">
      <c r="A1097" t="s">
        <v>49312</v>
      </c>
      <c r="B1097" t="s">
        <v>49314</v>
      </c>
      <c r="C1097">
        <v>0.59867297688897103</v>
      </c>
      <c r="D1097">
        <v>0.154712311389718</v>
      </c>
      <c r="E1097">
        <v>0.95149067671626997</v>
      </c>
      <c r="F1097">
        <v>17.487169125075699</v>
      </c>
    </row>
    <row r="1098" spans="1:6">
      <c r="A1098" t="s">
        <v>49312</v>
      </c>
      <c r="B1098" t="s">
        <v>49315</v>
      </c>
      <c r="C1098">
        <v>0.242505849451361</v>
      </c>
      <c r="D1098">
        <v>0.154712311389718</v>
      </c>
      <c r="E1098">
        <v>0.95149067671626997</v>
      </c>
      <c r="F1098">
        <v>17.487169125075699</v>
      </c>
    </row>
    <row r="1099" spans="1:6">
      <c r="A1099" t="s">
        <v>49316</v>
      </c>
      <c r="B1099" t="s">
        <v>49317</v>
      </c>
      <c r="C1099">
        <v>0.35601204957522797</v>
      </c>
      <c r="D1099">
        <v>0.26192423117601898</v>
      </c>
      <c r="E1099">
        <v>0.86405323808610002</v>
      </c>
      <c r="F1099">
        <v>11.827844008890599</v>
      </c>
    </row>
    <row r="1100" spans="1:6">
      <c r="A1100" t="s">
        <v>49316</v>
      </c>
      <c r="B1100" t="s">
        <v>49318</v>
      </c>
      <c r="C1100">
        <v>0.56964893151505303</v>
      </c>
      <c r="D1100">
        <v>0.26192423117601898</v>
      </c>
      <c r="E1100">
        <v>0.86405323808610002</v>
      </c>
      <c r="F1100">
        <v>11.827844008890599</v>
      </c>
    </row>
    <row r="1101" spans="1:6">
      <c r="A1101" t="s">
        <v>49319</v>
      </c>
      <c r="B1101" t="s">
        <v>49320</v>
      </c>
      <c r="C1101">
        <v>0.84795963884310499</v>
      </c>
      <c r="D1101">
        <v>0.25232713696072001</v>
      </c>
      <c r="E1101">
        <v>0.89106416919764497</v>
      </c>
      <c r="F1101">
        <v>12.1721559911093</v>
      </c>
    </row>
    <row r="1102" spans="1:6">
      <c r="A1102" t="s">
        <v>49319</v>
      </c>
      <c r="B1102" t="s">
        <v>49321</v>
      </c>
      <c r="C1102">
        <v>4.3155008431536301E-2</v>
      </c>
      <c r="D1102">
        <v>0.25232713696072001</v>
      </c>
      <c r="E1102">
        <v>0.89106416919764497</v>
      </c>
      <c r="F1102">
        <v>12.1721559911093</v>
      </c>
    </row>
    <row r="1103" spans="1:6">
      <c r="A1103" t="s">
        <v>49322</v>
      </c>
      <c r="B1103" t="s">
        <v>49323</v>
      </c>
      <c r="C1103">
        <v>0.97852242223270502</v>
      </c>
      <c r="D1103">
        <v>0.84942096614128504</v>
      </c>
      <c r="E1103">
        <v>0.99959130304882604</v>
      </c>
      <c r="F1103">
        <v>4.0153566377045804</v>
      </c>
    </row>
    <row r="1104" spans="1:6">
      <c r="A1104" t="s">
        <v>49322</v>
      </c>
      <c r="B1104" t="s">
        <v>49324</v>
      </c>
      <c r="C1104">
        <v>0</v>
      </c>
      <c r="D1104">
        <v>0.84942096614128504</v>
      </c>
      <c r="E1104">
        <v>0.99959130304882604</v>
      </c>
      <c r="F1104">
        <v>4.0153566377045804</v>
      </c>
    </row>
    <row r="1105" spans="1:6">
      <c r="A1105" t="s">
        <v>49322</v>
      </c>
      <c r="B1105" t="s">
        <v>49325</v>
      </c>
      <c r="C1105">
        <v>0</v>
      </c>
      <c r="D1105">
        <v>0.84942096614128504</v>
      </c>
      <c r="E1105">
        <v>0.99959130304882604</v>
      </c>
      <c r="F1105">
        <v>4.0153566377045804</v>
      </c>
    </row>
    <row r="1106" spans="1:6">
      <c r="A1106" t="s">
        <v>49322</v>
      </c>
      <c r="B1106" t="s">
        <v>49326</v>
      </c>
      <c r="C1106">
        <v>0</v>
      </c>
      <c r="D1106">
        <v>0.84942096614128504</v>
      </c>
      <c r="E1106">
        <v>0.99959130304882604</v>
      </c>
      <c r="F1106">
        <v>4.0153566377045804</v>
      </c>
    </row>
    <row r="1107" spans="1:6">
      <c r="A1107" t="s">
        <v>49322</v>
      </c>
      <c r="B1107" t="s">
        <v>49327</v>
      </c>
      <c r="C1107">
        <v>0</v>
      </c>
      <c r="D1107">
        <v>0.84942096614128504</v>
      </c>
      <c r="E1107">
        <v>0.99959130304882604</v>
      </c>
      <c r="F1107">
        <v>4.0153566377045804</v>
      </c>
    </row>
    <row r="1108" spans="1:6">
      <c r="A1108" t="s">
        <v>49322</v>
      </c>
      <c r="B1108" t="s">
        <v>49328</v>
      </c>
      <c r="C1108">
        <v>7.4570913644247602E-3</v>
      </c>
      <c r="D1108">
        <v>0.84942096614128504</v>
      </c>
      <c r="E1108">
        <v>0.99959130304882604</v>
      </c>
      <c r="F1108">
        <v>4.0153566377045804</v>
      </c>
    </row>
    <row r="1109" spans="1:6">
      <c r="A1109" t="s">
        <v>49322</v>
      </c>
      <c r="B1109" t="s">
        <v>49329</v>
      </c>
      <c r="C1109">
        <v>0</v>
      </c>
      <c r="D1109">
        <v>0.84942096614128504</v>
      </c>
      <c r="E1109">
        <v>0.99959130304882604</v>
      </c>
      <c r="F1109">
        <v>4.0153566377045804</v>
      </c>
    </row>
    <row r="1110" spans="1:6">
      <c r="A1110" t="s">
        <v>49330</v>
      </c>
      <c r="B1110" t="s">
        <v>49331</v>
      </c>
      <c r="C1110">
        <v>0</v>
      </c>
      <c r="D1110">
        <v>0.69452145012676902</v>
      </c>
      <c r="E1110">
        <v>0.982581259545383</v>
      </c>
      <c r="F1110">
        <v>10.9937361083047</v>
      </c>
    </row>
    <row r="1111" spans="1:6">
      <c r="A1111" t="s">
        <v>49330</v>
      </c>
      <c r="B1111" t="s">
        <v>49332</v>
      </c>
      <c r="C1111">
        <v>0</v>
      </c>
      <c r="D1111">
        <v>0.69452145012676902</v>
      </c>
      <c r="E1111">
        <v>0.982581259545383</v>
      </c>
      <c r="F1111">
        <v>10.9937361083047</v>
      </c>
    </row>
    <row r="1112" spans="1:6">
      <c r="A1112" t="s">
        <v>49330</v>
      </c>
      <c r="B1112" t="s">
        <v>49333</v>
      </c>
      <c r="C1112">
        <v>0</v>
      </c>
      <c r="D1112">
        <v>0.69452145012676902</v>
      </c>
      <c r="E1112">
        <v>0.982581259545383</v>
      </c>
      <c r="F1112">
        <v>10.9937361083047</v>
      </c>
    </row>
    <row r="1113" spans="1:6">
      <c r="A1113" t="s">
        <v>49330</v>
      </c>
      <c r="B1113" t="s">
        <v>49334</v>
      </c>
      <c r="C1113">
        <v>0</v>
      </c>
      <c r="D1113">
        <v>0.69452145012676902</v>
      </c>
      <c r="E1113">
        <v>0.982581259545383</v>
      </c>
      <c r="F1113">
        <v>10.9937361083047</v>
      </c>
    </row>
    <row r="1114" spans="1:6">
      <c r="A1114" t="s">
        <v>49330</v>
      </c>
      <c r="B1114" t="s">
        <v>49335</v>
      </c>
      <c r="C1114">
        <v>0</v>
      </c>
      <c r="D1114">
        <v>0.69452145012676902</v>
      </c>
      <c r="E1114">
        <v>0.982581259545383</v>
      </c>
      <c r="F1114">
        <v>10.9937361083047</v>
      </c>
    </row>
    <row r="1115" spans="1:6">
      <c r="A1115" t="s">
        <v>49330</v>
      </c>
      <c r="B1115" t="s">
        <v>49336</v>
      </c>
      <c r="C1115">
        <v>0</v>
      </c>
      <c r="D1115">
        <v>0.69452145012676902</v>
      </c>
      <c r="E1115">
        <v>0.982581259545383</v>
      </c>
      <c r="F1115">
        <v>10.9937361083047</v>
      </c>
    </row>
    <row r="1116" spans="1:6">
      <c r="A1116" t="s">
        <v>49330</v>
      </c>
      <c r="B1116" t="s">
        <v>49337</v>
      </c>
      <c r="C1116">
        <v>0.49125057802328798</v>
      </c>
      <c r="D1116">
        <v>0.69452145012676902</v>
      </c>
      <c r="E1116">
        <v>0.982581259545383</v>
      </c>
      <c r="F1116">
        <v>10.9937361083047</v>
      </c>
    </row>
    <row r="1117" spans="1:6">
      <c r="A1117" t="s">
        <v>49330</v>
      </c>
      <c r="B1117" t="s">
        <v>49338</v>
      </c>
      <c r="C1117">
        <v>0.16261862733589399</v>
      </c>
      <c r="D1117">
        <v>0.69452145012676902</v>
      </c>
      <c r="E1117">
        <v>0.982581259545383</v>
      </c>
      <c r="F1117">
        <v>10.9937361083047</v>
      </c>
    </row>
    <row r="1118" spans="1:6">
      <c r="A1118" t="s">
        <v>49330</v>
      </c>
      <c r="B1118" t="s">
        <v>49339</v>
      </c>
      <c r="C1118">
        <v>0</v>
      </c>
      <c r="D1118">
        <v>0.69452145012676902</v>
      </c>
      <c r="E1118">
        <v>0.982581259545383</v>
      </c>
      <c r="F1118">
        <v>10.9937361083047</v>
      </c>
    </row>
    <row r="1119" spans="1:6">
      <c r="A1119" t="s">
        <v>49340</v>
      </c>
      <c r="B1119" t="s">
        <v>49341</v>
      </c>
      <c r="C1119">
        <v>0.24015730156020801</v>
      </c>
      <c r="D1119">
        <v>4.0024874342711597E-3</v>
      </c>
      <c r="E1119">
        <v>0.57295730156020896</v>
      </c>
      <c r="F1119">
        <v>10.6639725197009</v>
      </c>
    </row>
    <row r="1120" spans="1:6">
      <c r="A1120" t="s">
        <v>49340</v>
      </c>
      <c r="B1120" t="s">
        <v>49342</v>
      </c>
      <c r="C1120">
        <v>0</v>
      </c>
      <c r="D1120">
        <v>4.0024874342711597E-3</v>
      </c>
      <c r="E1120">
        <v>0.57295730156020896</v>
      </c>
      <c r="F1120">
        <v>10.6639725197009</v>
      </c>
    </row>
    <row r="1121" spans="1:6">
      <c r="A1121" t="s">
        <v>49340</v>
      </c>
      <c r="B1121" t="s">
        <v>49343</v>
      </c>
      <c r="C1121">
        <v>0</v>
      </c>
      <c r="D1121">
        <v>4.0024874342711597E-3</v>
      </c>
      <c r="E1121">
        <v>0.57295730156020896</v>
      </c>
      <c r="F1121">
        <v>10.6639725197009</v>
      </c>
    </row>
    <row r="1122" spans="1:6">
      <c r="A1122" t="s">
        <v>49340</v>
      </c>
      <c r="B1122" t="s">
        <v>49344</v>
      </c>
      <c r="C1122">
        <v>0</v>
      </c>
      <c r="D1122">
        <v>4.0024874342711597E-3</v>
      </c>
      <c r="E1122">
        <v>0.57295730156020896</v>
      </c>
      <c r="F1122">
        <v>10.6639725197009</v>
      </c>
    </row>
    <row r="1123" spans="1:6">
      <c r="A1123" t="s">
        <v>49345</v>
      </c>
      <c r="B1123" t="s">
        <v>49346</v>
      </c>
      <c r="C1123">
        <v>0.648078476065023</v>
      </c>
      <c r="D1123">
        <v>1.47464859654863E-2</v>
      </c>
      <c r="E1123">
        <v>0.96831450692882204</v>
      </c>
      <c r="F1123">
        <v>17.690846635683901</v>
      </c>
    </row>
    <row r="1124" spans="1:6">
      <c r="A1124" t="s">
        <v>49345</v>
      </c>
      <c r="B1124" t="s">
        <v>49347</v>
      </c>
      <c r="C1124">
        <v>0.14732019567382801</v>
      </c>
      <c r="D1124">
        <v>1.47464859654863E-2</v>
      </c>
      <c r="E1124">
        <v>0.96831450692882204</v>
      </c>
      <c r="F1124">
        <v>17.690846635683901</v>
      </c>
    </row>
    <row r="1125" spans="1:6">
      <c r="A1125" t="s">
        <v>49345</v>
      </c>
      <c r="B1125" t="s">
        <v>49348</v>
      </c>
      <c r="C1125">
        <v>0</v>
      </c>
      <c r="D1125">
        <v>1.47464859654863E-2</v>
      </c>
      <c r="E1125">
        <v>0.96831450692882204</v>
      </c>
      <c r="F1125">
        <v>17.690846635683901</v>
      </c>
    </row>
    <row r="1126" spans="1:6">
      <c r="A1126" t="s">
        <v>49345</v>
      </c>
      <c r="B1126" t="s">
        <v>49349</v>
      </c>
      <c r="C1126">
        <v>0</v>
      </c>
      <c r="D1126">
        <v>1.47464859654863E-2</v>
      </c>
      <c r="E1126">
        <v>0.96831450692882204</v>
      </c>
      <c r="F1126">
        <v>17.690846635683901</v>
      </c>
    </row>
    <row r="1127" spans="1:6">
      <c r="A1127" t="s">
        <v>49345</v>
      </c>
      <c r="B1127" t="s">
        <v>49350</v>
      </c>
      <c r="C1127">
        <v>0</v>
      </c>
      <c r="D1127">
        <v>1.47464859654863E-2</v>
      </c>
      <c r="E1127">
        <v>0.96831450692882204</v>
      </c>
      <c r="F1127">
        <v>17.690846635683901</v>
      </c>
    </row>
    <row r="1128" spans="1:6">
      <c r="A1128" t="s">
        <v>49345</v>
      </c>
      <c r="B1128" t="s">
        <v>49351</v>
      </c>
      <c r="C1128">
        <v>0</v>
      </c>
      <c r="D1128">
        <v>1.47464859654863E-2</v>
      </c>
      <c r="E1128">
        <v>0.96831450692882204</v>
      </c>
      <c r="F1128">
        <v>17.690846635683901</v>
      </c>
    </row>
    <row r="1129" spans="1:6">
      <c r="A1129" t="s">
        <v>49345</v>
      </c>
      <c r="B1129" t="s">
        <v>49352</v>
      </c>
      <c r="C1129">
        <v>0</v>
      </c>
      <c r="D1129">
        <v>1.47464859654863E-2</v>
      </c>
      <c r="E1129">
        <v>0.96831450692882204</v>
      </c>
      <c r="F1129">
        <v>17.690846635683901</v>
      </c>
    </row>
    <row r="1130" spans="1:6">
      <c r="A1130" t="s">
        <v>49353</v>
      </c>
      <c r="B1130" t="s">
        <v>49354</v>
      </c>
      <c r="C1130">
        <v>0</v>
      </c>
      <c r="D1130">
        <v>7.3283545506351494E-2</v>
      </c>
      <c r="E1130">
        <v>0.97634864724766701</v>
      </c>
      <c r="F1130">
        <v>9.2624772681349707</v>
      </c>
    </row>
    <row r="1131" spans="1:6">
      <c r="A1131" t="s">
        <v>49353</v>
      </c>
      <c r="B1131" t="s">
        <v>49355</v>
      </c>
      <c r="C1131">
        <v>0.84834864724766701</v>
      </c>
      <c r="D1131">
        <v>7.3283545506351494E-2</v>
      </c>
      <c r="E1131">
        <v>0.97634864724766701</v>
      </c>
      <c r="F1131">
        <v>9.2624772681349707</v>
      </c>
    </row>
    <row r="1132" spans="1:6">
      <c r="A1132" t="s">
        <v>49353</v>
      </c>
      <c r="B1132" t="s">
        <v>49356</v>
      </c>
      <c r="C1132">
        <v>0</v>
      </c>
      <c r="D1132">
        <v>7.3283545506351494E-2</v>
      </c>
      <c r="E1132">
        <v>0.97634864724766701</v>
      </c>
      <c r="F1132">
        <v>9.2624772681349707</v>
      </c>
    </row>
    <row r="1133" spans="1:6">
      <c r="A1133" t="s">
        <v>49353</v>
      </c>
      <c r="B1133" t="s">
        <v>49357</v>
      </c>
      <c r="C1133">
        <v>0</v>
      </c>
      <c r="D1133">
        <v>7.3283545506351494E-2</v>
      </c>
      <c r="E1133">
        <v>0.97634864724766701</v>
      </c>
      <c r="F1133">
        <v>9.2624772681349707</v>
      </c>
    </row>
    <row r="1134" spans="1:6">
      <c r="A1134" t="s">
        <v>49353</v>
      </c>
      <c r="B1134" t="s">
        <v>49358</v>
      </c>
      <c r="C1134">
        <v>0</v>
      </c>
      <c r="D1134">
        <v>7.3283545506351494E-2</v>
      </c>
      <c r="E1134">
        <v>0.97634864724766701</v>
      </c>
      <c r="F1134">
        <v>9.2624772681349707</v>
      </c>
    </row>
    <row r="1135" spans="1:6">
      <c r="A1135" t="s">
        <v>49359</v>
      </c>
      <c r="B1135" t="s">
        <v>49360</v>
      </c>
      <c r="C1135">
        <v>1.2091059921288999E-2</v>
      </c>
      <c r="D1135">
        <v>0.40030148334457899</v>
      </c>
      <c r="E1135">
        <v>0.91170115072101399</v>
      </c>
      <c r="F1135">
        <v>16.0662760153566</v>
      </c>
    </row>
    <row r="1136" spans="1:6">
      <c r="A1136" t="s">
        <v>49359</v>
      </c>
      <c r="B1136" t="s">
        <v>49361</v>
      </c>
      <c r="C1136">
        <v>0.79622482375654702</v>
      </c>
      <c r="D1136">
        <v>0.40030148334457899</v>
      </c>
      <c r="E1136">
        <v>0.91170115072101399</v>
      </c>
      <c r="F1136">
        <v>16.0662760153566</v>
      </c>
    </row>
    <row r="1137" spans="1:6">
      <c r="A1137" t="s">
        <v>49359</v>
      </c>
      <c r="B1137" t="s">
        <v>49362</v>
      </c>
      <c r="C1137">
        <v>0</v>
      </c>
      <c r="D1137">
        <v>0.40030148334457899</v>
      </c>
      <c r="E1137">
        <v>0.91170115072101399</v>
      </c>
      <c r="F1137">
        <v>16.0662760153566</v>
      </c>
    </row>
    <row r="1138" spans="1:6">
      <c r="A1138" t="s">
        <v>49363</v>
      </c>
      <c r="B1138" t="s">
        <v>49364</v>
      </c>
      <c r="C1138">
        <v>0</v>
      </c>
      <c r="D1138">
        <v>0.73476093582903002</v>
      </c>
      <c r="E1138">
        <v>0.73978791695338997</v>
      </c>
      <c r="F1138">
        <v>7.4051323499696897</v>
      </c>
    </row>
    <row r="1139" spans="1:6">
      <c r="A1139" t="s">
        <v>49363</v>
      </c>
      <c r="B1139" t="s">
        <v>49365</v>
      </c>
      <c r="C1139">
        <v>0.48858791695338999</v>
      </c>
      <c r="D1139">
        <v>0.73476093582903002</v>
      </c>
      <c r="E1139">
        <v>0.73978791695338997</v>
      </c>
      <c r="F1139">
        <v>7.4051323499696897</v>
      </c>
    </row>
    <row r="1140" spans="1:6">
      <c r="A1140" t="s">
        <v>49363</v>
      </c>
      <c r="B1140" t="s">
        <v>49366</v>
      </c>
      <c r="C1140">
        <v>0</v>
      </c>
      <c r="D1140">
        <v>0.73476093582903002</v>
      </c>
      <c r="E1140">
        <v>0.73978791695338997</v>
      </c>
      <c r="F1140">
        <v>7.4051323499696897</v>
      </c>
    </row>
    <row r="1141" spans="1:6">
      <c r="A1141" t="s">
        <v>49367</v>
      </c>
      <c r="B1141" t="s">
        <v>49368</v>
      </c>
      <c r="C1141">
        <v>0</v>
      </c>
      <c r="D1141">
        <v>0.79357594285403699</v>
      </c>
      <c r="E1141">
        <v>0.97785191292965201</v>
      </c>
      <c r="F1141">
        <v>15.867447969286699</v>
      </c>
    </row>
    <row r="1142" spans="1:6">
      <c r="A1142" t="s">
        <v>49367</v>
      </c>
      <c r="B1142" t="s">
        <v>49369</v>
      </c>
      <c r="C1142">
        <v>0.64799389248457195</v>
      </c>
      <c r="D1142">
        <v>0.79357594285403699</v>
      </c>
      <c r="E1142">
        <v>0.97785191292965201</v>
      </c>
      <c r="F1142">
        <v>15.867447969286699</v>
      </c>
    </row>
    <row r="1143" spans="1:6">
      <c r="A1143" t="s">
        <v>49367</v>
      </c>
      <c r="B1143" t="s">
        <v>49370</v>
      </c>
      <c r="C1143">
        <v>0</v>
      </c>
      <c r="D1143">
        <v>0.79357594285403699</v>
      </c>
      <c r="E1143">
        <v>0.97785191292965201</v>
      </c>
      <c r="F1143">
        <v>15.867447969286699</v>
      </c>
    </row>
    <row r="1144" spans="1:6">
      <c r="A1144" t="s">
        <v>49367</v>
      </c>
      <c r="B1144" t="s">
        <v>49371</v>
      </c>
      <c r="C1144">
        <v>0</v>
      </c>
      <c r="D1144">
        <v>0.79357594285403699</v>
      </c>
      <c r="E1144">
        <v>0.97785191292965201</v>
      </c>
      <c r="F1144">
        <v>15.867447969286699</v>
      </c>
    </row>
    <row r="1145" spans="1:6">
      <c r="A1145" t="s">
        <v>49367</v>
      </c>
      <c r="B1145" t="s">
        <v>49372</v>
      </c>
      <c r="C1145">
        <v>0</v>
      </c>
      <c r="D1145">
        <v>0.79357594285403699</v>
      </c>
      <c r="E1145">
        <v>0.97785191292965201</v>
      </c>
      <c r="F1145">
        <v>15.867447969286699</v>
      </c>
    </row>
    <row r="1146" spans="1:6">
      <c r="A1146" t="s">
        <v>49367</v>
      </c>
      <c r="B1146" t="s">
        <v>49373</v>
      </c>
      <c r="C1146">
        <v>0</v>
      </c>
      <c r="D1146">
        <v>0.79357594285403699</v>
      </c>
      <c r="E1146">
        <v>0.97785191292965201</v>
      </c>
      <c r="F1146">
        <v>15.867447969286699</v>
      </c>
    </row>
    <row r="1147" spans="1:6">
      <c r="A1147" t="s">
        <v>49367</v>
      </c>
      <c r="B1147" t="s">
        <v>49374</v>
      </c>
      <c r="C1147">
        <v>0</v>
      </c>
      <c r="D1147">
        <v>0.79357594285403699</v>
      </c>
      <c r="E1147">
        <v>0.97785191292965201</v>
      </c>
      <c r="F1147">
        <v>15.867447969286699</v>
      </c>
    </row>
    <row r="1148" spans="1:6">
      <c r="A1148" t="s">
        <v>49367</v>
      </c>
      <c r="B1148" t="s">
        <v>49375</v>
      </c>
      <c r="C1148">
        <v>0.173122906125458</v>
      </c>
      <c r="D1148">
        <v>0.79357594285403699</v>
      </c>
      <c r="E1148">
        <v>0.97785191292965201</v>
      </c>
      <c r="F1148">
        <v>15.867447969286699</v>
      </c>
    </row>
    <row r="1149" spans="1:6">
      <c r="A1149" t="s">
        <v>49367</v>
      </c>
      <c r="B1149" t="s">
        <v>49376</v>
      </c>
      <c r="C1149">
        <v>0</v>
      </c>
      <c r="D1149">
        <v>0.79357594285403699</v>
      </c>
      <c r="E1149">
        <v>0.97785191292965201</v>
      </c>
      <c r="F1149">
        <v>15.867447969286699</v>
      </c>
    </row>
    <row r="1150" spans="1:6">
      <c r="A1150" t="s">
        <v>49367</v>
      </c>
      <c r="B1150" t="s">
        <v>49377</v>
      </c>
      <c r="C1150">
        <v>0</v>
      </c>
      <c r="D1150">
        <v>0.79357594285403699</v>
      </c>
      <c r="E1150">
        <v>0.97785191292965201</v>
      </c>
      <c r="F1150">
        <v>15.867447969286699</v>
      </c>
    </row>
    <row r="1151" spans="1:6">
      <c r="A1151" t="s">
        <v>49378</v>
      </c>
      <c r="B1151" t="s">
        <v>49379</v>
      </c>
      <c r="C1151">
        <v>0</v>
      </c>
      <c r="D1151">
        <v>0.50734700727341298</v>
      </c>
      <c r="E1151">
        <v>0.93748897210690596</v>
      </c>
      <c r="F1151">
        <v>15.4746413416851</v>
      </c>
    </row>
    <row r="1152" spans="1:6">
      <c r="A1152" t="s">
        <v>49378</v>
      </c>
      <c r="B1152" t="s">
        <v>49380</v>
      </c>
      <c r="C1152">
        <v>0.298176554925833</v>
      </c>
      <c r="D1152">
        <v>0.50734700727341298</v>
      </c>
      <c r="E1152">
        <v>0.93748897210690596</v>
      </c>
      <c r="F1152">
        <v>15.4746413416851</v>
      </c>
    </row>
    <row r="1153" spans="1:6">
      <c r="A1153" t="s">
        <v>49378</v>
      </c>
      <c r="B1153" t="s">
        <v>49381</v>
      </c>
      <c r="C1153">
        <v>0.74110269822376895</v>
      </c>
      <c r="D1153">
        <v>0.50734700727341298</v>
      </c>
      <c r="E1153">
        <v>0.93748897210690596</v>
      </c>
      <c r="F1153">
        <v>15.4746413416851</v>
      </c>
    </row>
    <row r="1154" spans="1:6">
      <c r="A1154" t="s">
        <v>49382</v>
      </c>
      <c r="B1154" t="s">
        <v>49383</v>
      </c>
      <c r="C1154">
        <v>0.604164199064812</v>
      </c>
      <c r="D1154">
        <v>0.48346067123944703</v>
      </c>
      <c r="E1154">
        <v>0.94660842945105494</v>
      </c>
      <c r="F1154">
        <v>16.667609618104599</v>
      </c>
    </row>
    <row r="1155" spans="1:6">
      <c r="A1155" t="s">
        <v>49382</v>
      </c>
      <c r="B1155" t="s">
        <v>49384</v>
      </c>
      <c r="C1155">
        <v>0.213917157824558</v>
      </c>
      <c r="D1155">
        <v>0.48346067123944703</v>
      </c>
      <c r="E1155">
        <v>0.94660842945105494</v>
      </c>
      <c r="F1155">
        <v>16.667609618104599</v>
      </c>
    </row>
    <row r="1156" spans="1:6">
      <c r="A1156" t="s">
        <v>49382</v>
      </c>
      <c r="B1156" t="s">
        <v>49385</v>
      </c>
      <c r="C1156">
        <v>0</v>
      </c>
      <c r="D1156">
        <v>0.48346067123944703</v>
      </c>
      <c r="E1156">
        <v>0.94660842945105494</v>
      </c>
      <c r="F1156">
        <v>16.667609618104599</v>
      </c>
    </row>
    <row r="1157" spans="1:6">
      <c r="A1157" t="s">
        <v>49382</v>
      </c>
      <c r="B1157" t="s">
        <v>49386</v>
      </c>
      <c r="C1157">
        <v>0</v>
      </c>
      <c r="D1157">
        <v>0.48346067123944703</v>
      </c>
      <c r="E1157">
        <v>0.94660842945105494</v>
      </c>
      <c r="F1157">
        <v>16.667609618104599</v>
      </c>
    </row>
    <row r="1158" spans="1:6">
      <c r="A1158" t="s">
        <v>49382</v>
      </c>
      <c r="B1158" t="s">
        <v>49387</v>
      </c>
      <c r="C1158">
        <v>0</v>
      </c>
      <c r="D1158">
        <v>0.48346067123944703</v>
      </c>
      <c r="E1158">
        <v>0.94660842945105494</v>
      </c>
      <c r="F1158">
        <v>16.667609618104599</v>
      </c>
    </row>
    <row r="1159" spans="1:6">
      <c r="A1159" t="s">
        <v>49382</v>
      </c>
      <c r="B1159" t="s">
        <v>49388</v>
      </c>
      <c r="C1159">
        <v>0</v>
      </c>
      <c r="D1159">
        <v>0.48346067123944703</v>
      </c>
      <c r="E1159">
        <v>0.94660842945105494</v>
      </c>
      <c r="F1159">
        <v>16.667609618104599</v>
      </c>
    </row>
    <row r="1160" spans="1:6">
      <c r="A1160" t="s">
        <v>49389</v>
      </c>
      <c r="B1160" t="s">
        <v>49390</v>
      </c>
      <c r="C1160">
        <v>0</v>
      </c>
      <c r="D1160">
        <v>0.61576351243612704</v>
      </c>
      <c r="E1160">
        <v>0.98385361681746997</v>
      </c>
      <c r="F1160">
        <v>0</v>
      </c>
    </row>
    <row r="1161" spans="1:6">
      <c r="A1161" t="s">
        <v>49389</v>
      </c>
      <c r="B1161" t="s">
        <v>49391</v>
      </c>
      <c r="C1161">
        <v>3.31865248950131E-2</v>
      </c>
      <c r="D1161">
        <v>0.61576351243612704</v>
      </c>
      <c r="E1161">
        <v>0.98385361681746997</v>
      </c>
      <c r="F1161">
        <v>0</v>
      </c>
    </row>
    <row r="1162" spans="1:6">
      <c r="A1162" t="s">
        <v>49389</v>
      </c>
      <c r="B1162" t="s">
        <v>49392</v>
      </c>
      <c r="C1162">
        <v>0.88547181803700303</v>
      </c>
      <c r="D1162">
        <v>0.61576351243612704</v>
      </c>
      <c r="E1162">
        <v>0.98385361681746997</v>
      </c>
      <c r="F1162">
        <v>0</v>
      </c>
    </row>
    <row r="1163" spans="1:6">
      <c r="A1163" t="s">
        <v>49393</v>
      </c>
      <c r="B1163" t="s">
        <v>49394</v>
      </c>
      <c r="C1163">
        <v>0</v>
      </c>
      <c r="D1163">
        <v>0.52891532172079403</v>
      </c>
      <c r="E1163">
        <v>0.99067641198569301</v>
      </c>
      <c r="F1163">
        <v>0.51404324105879895</v>
      </c>
    </row>
    <row r="1164" spans="1:6">
      <c r="A1164" t="s">
        <v>49393</v>
      </c>
      <c r="B1164" t="s">
        <v>49395</v>
      </c>
      <c r="C1164">
        <v>0</v>
      </c>
      <c r="D1164">
        <v>0.52891532172079403</v>
      </c>
      <c r="E1164">
        <v>0.99067641198569301</v>
      </c>
      <c r="F1164">
        <v>0.51404324105879895</v>
      </c>
    </row>
    <row r="1165" spans="1:6">
      <c r="A1165" t="s">
        <v>49393</v>
      </c>
      <c r="B1165" t="s">
        <v>49396</v>
      </c>
      <c r="C1165">
        <v>0.28700583539077701</v>
      </c>
      <c r="D1165">
        <v>0.52891532172079403</v>
      </c>
      <c r="E1165">
        <v>0.99067641198569301</v>
      </c>
      <c r="F1165">
        <v>0.51404324105879895</v>
      </c>
    </row>
    <row r="1166" spans="1:6">
      <c r="A1166" t="s">
        <v>49393</v>
      </c>
      <c r="B1166" t="s">
        <v>49397</v>
      </c>
      <c r="C1166">
        <v>0.65807968557559804</v>
      </c>
      <c r="D1166">
        <v>0.52891532172079403</v>
      </c>
      <c r="E1166">
        <v>0.99067641198569301</v>
      </c>
      <c r="F1166">
        <v>0.51404324105879895</v>
      </c>
    </row>
    <row r="1167" spans="1:6">
      <c r="A1167" t="s">
        <v>49393</v>
      </c>
      <c r="B1167" t="s">
        <v>49398</v>
      </c>
      <c r="C1167">
        <v>0</v>
      </c>
      <c r="D1167">
        <v>0.52891532172079403</v>
      </c>
      <c r="E1167">
        <v>0.99067641198569301</v>
      </c>
      <c r="F1167">
        <v>0.51404324105879895</v>
      </c>
    </row>
    <row r="1168" spans="1:6">
      <c r="A1168" t="s">
        <v>49393</v>
      </c>
      <c r="B1168" t="s">
        <v>49399</v>
      </c>
      <c r="C1168">
        <v>0</v>
      </c>
      <c r="D1168">
        <v>0.52891532172079403</v>
      </c>
      <c r="E1168">
        <v>0.99067641198569301</v>
      </c>
      <c r="F1168">
        <v>0.51404324105879895</v>
      </c>
    </row>
    <row r="1169" spans="1:6">
      <c r="A1169" t="s">
        <v>49393</v>
      </c>
      <c r="B1169" t="s">
        <v>49400</v>
      </c>
      <c r="C1169">
        <v>0</v>
      </c>
      <c r="D1169">
        <v>0.52891532172079403</v>
      </c>
      <c r="E1169">
        <v>0.99067641198569301</v>
      </c>
      <c r="F1169">
        <v>0.51404324105879895</v>
      </c>
    </row>
    <row r="1170" spans="1:6">
      <c r="A1170" t="s">
        <v>49401</v>
      </c>
      <c r="B1170" t="s">
        <v>49402</v>
      </c>
      <c r="C1170">
        <v>0.89554145488264503</v>
      </c>
      <c r="D1170">
        <v>0.44189369528890698</v>
      </c>
      <c r="E1170">
        <v>0.93554145488264495</v>
      </c>
      <c r="F1170">
        <v>10.028692665184799</v>
      </c>
    </row>
    <row r="1171" spans="1:6">
      <c r="A1171" t="s">
        <v>49401</v>
      </c>
      <c r="B1171" t="s">
        <v>49403</v>
      </c>
      <c r="C1171">
        <v>0</v>
      </c>
      <c r="D1171">
        <v>0.44189369528890698</v>
      </c>
      <c r="E1171">
        <v>0.93554145488264495</v>
      </c>
      <c r="F1171">
        <v>10.028692665184799</v>
      </c>
    </row>
    <row r="1172" spans="1:6">
      <c r="A1172" t="s">
        <v>49404</v>
      </c>
      <c r="B1172" t="s">
        <v>49405</v>
      </c>
      <c r="C1172">
        <v>0</v>
      </c>
      <c r="D1172">
        <v>0.733888253082151</v>
      </c>
      <c r="E1172">
        <v>0.85367611917339004</v>
      </c>
      <c r="F1172">
        <v>2.12891493230955</v>
      </c>
    </row>
    <row r="1173" spans="1:6">
      <c r="A1173" t="s">
        <v>49404</v>
      </c>
      <c r="B1173" t="s">
        <v>49406</v>
      </c>
      <c r="C1173">
        <v>0</v>
      </c>
      <c r="D1173">
        <v>0.733888253082151</v>
      </c>
      <c r="E1173">
        <v>0.85367611917339004</v>
      </c>
      <c r="F1173">
        <v>2.12891493230955</v>
      </c>
    </row>
    <row r="1174" spans="1:6">
      <c r="A1174" t="s">
        <v>49404</v>
      </c>
      <c r="B1174" t="s">
        <v>49407</v>
      </c>
      <c r="C1174">
        <v>0.40407611917338998</v>
      </c>
      <c r="D1174">
        <v>0.733888253082151</v>
      </c>
      <c r="E1174">
        <v>0.85367611917339004</v>
      </c>
      <c r="F1174">
        <v>2.12891493230955</v>
      </c>
    </row>
    <row r="1175" spans="1:6">
      <c r="A1175" t="s">
        <v>49408</v>
      </c>
      <c r="B1175" t="s">
        <v>49409</v>
      </c>
      <c r="C1175">
        <v>0</v>
      </c>
      <c r="D1175">
        <v>0.31254088191345902</v>
      </c>
      <c r="E1175">
        <v>0.88498134143058804</v>
      </c>
      <c r="F1175">
        <v>1.9155384926247701</v>
      </c>
    </row>
    <row r="1176" spans="1:6">
      <c r="A1176" t="s">
        <v>49408</v>
      </c>
      <c r="B1176" t="s">
        <v>49410</v>
      </c>
      <c r="C1176">
        <v>0</v>
      </c>
      <c r="D1176">
        <v>0.31254088191345902</v>
      </c>
      <c r="E1176">
        <v>0.88498134143058804</v>
      </c>
      <c r="F1176">
        <v>1.9155384926247701</v>
      </c>
    </row>
    <row r="1177" spans="1:6">
      <c r="A1177" t="s">
        <v>49408</v>
      </c>
      <c r="B1177" t="s">
        <v>49411</v>
      </c>
      <c r="C1177">
        <v>0</v>
      </c>
      <c r="D1177">
        <v>0.31254088191345902</v>
      </c>
      <c r="E1177">
        <v>0.88498134143058804</v>
      </c>
      <c r="F1177">
        <v>1.9155384926247701</v>
      </c>
    </row>
    <row r="1178" spans="1:6">
      <c r="A1178" t="s">
        <v>49408</v>
      </c>
      <c r="B1178" t="s">
        <v>49412</v>
      </c>
      <c r="C1178">
        <v>0</v>
      </c>
      <c r="D1178">
        <v>0.31254088191345902</v>
      </c>
      <c r="E1178">
        <v>0.88498134143058804</v>
      </c>
      <c r="F1178">
        <v>1.9155384926247701</v>
      </c>
    </row>
    <row r="1179" spans="1:6">
      <c r="A1179" t="s">
        <v>49408</v>
      </c>
      <c r="B1179" t="s">
        <v>49413</v>
      </c>
      <c r="C1179">
        <v>0</v>
      </c>
      <c r="D1179">
        <v>0.31254088191345902</v>
      </c>
      <c r="E1179">
        <v>0.88498134143058804</v>
      </c>
      <c r="F1179">
        <v>1.9155384926247701</v>
      </c>
    </row>
    <row r="1180" spans="1:6">
      <c r="A1180" t="s">
        <v>49408</v>
      </c>
      <c r="B1180" t="s">
        <v>49414</v>
      </c>
      <c r="C1180">
        <v>0.65298134143058795</v>
      </c>
      <c r="D1180">
        <v>0.31254088191345902</v>
      </c>
      <c r="E1180">
        <v>0.88498134143058804</v>
      </c>
      <c r="F1180">
        <v>1.9155384926247701</v>
      </c>
    </row>
    <row r="1181" spans="1:6">
      <c r="A1181" t="s">
        <v>49415</v>
      </c>
      <c r="B1181" t="s">
        <v>49416</v>
      </c>
      <c r="C1181">
        <v>0</v>
      </c>
      <c r="D1181">
        <v>0.59781975037100898</v>
      </c>
      <c r="E1181" t="s">
        <v>106</v>
      </c>
      <c r="F1181">
        <v>1.5906243685593</v>
      </c>
    </row>
    <row r="1182" spans="1:6">
      <c r="A1182" t="s">
        <v>49415</v>
      </c>
      <c r="B1182" t="s">
        <v>49417</v>
      </c>
      <c r="C1182">
        <v>0</v>
      </c>
      <c r="D1182">
        <v>0.59781975037100898</v>
      </c>
      <c r="E1182" t="s">
        <v>106</v>
      </c>
      <c r="F1182">
        <v>1.5906243685593</v>
      </c>
    </row>
    <row r="1183" spans="1:6">
      <c r="A1183" t="s">
        <v>49415</v>
      </c>
      <c r="B1183" t="s">
        <v>49418</v>
      </c>
      <c r="C1183">
        <v>0</v>
      </c>
      <c r="D1183">
        <v>0.59781975037100898</v>
      </c>
      <c r="E1183" t="s">
        <v>106</v>
      </c>
      <c r="F1183">
        <v>1.5906243685593</v>
      </c>
    </row>
    <row r="1184" spans="1:6">
      <c r="A1184" t="s">
        <v>49415</v>
      </c>
      <c r="B1184" t="s">
        <v>49419</v>
      </c>
      <c r="C1184">
        <v>0</v>
      </c>
      <c r="D1184">
        <v>0.59781975037100898</v>
      </c>
      <c r="E1184" t="s">
        <v>106</v>
      </c>
      <c r="F1184">
        <v>1.5906243685593</v>
      </c>
    </row>
    <row r="1185" spans="1:6">
      <c r="A1185" t="s">
        <v>49415</v>
      </c>
      <c r="B1185" t="s">
        <v>49420</v>
      </c>
      <c r="C1185">
        <v>0</v>
      </c>
      <c r="D1185">
        <v>0.59781975037100898</v>
      </c>
      <c r="E1185" t="s">
        <v>106</v>
      </c>
      <c r="F1185">
        <v>1.5906243685593</v>
      </c>
    </row>
    <row r="1186" spans="1:6">
      <c r="A1186" t="s">
        <v>49421</v>
      </c>
      <c r="B1186" t="s">
        <v>49422</v>
      </c>
      <c r="C1186">
        <v>0</v>
      </c>
      <c r="D1186">
        <v>0.80573929110324904</v>
      </c>
      <c r="E1186">
        <v>0.98670432590449997</v>
      </c>
      <c r="F1186">
        <v>1.0280864821175899</v>
      </c>
    </row>
    <row r="1187" spans="1:6">
      <c r="A1187" t="s">
        <v>49421</v>
      </c>
      <c r="B1187" t="s">
        <v>49423</v>
      </c>
      <c r="C1187">
        <v>0.79109248677645005</v>
      </c>
      <c r="D1187">
        <v>0.80573929110324904</v>
      </c>
      <c r="E1187">
        <v>0.98670432590449997</v>
      </c>
      <c r="F1187">
        <v>1.0280864821175899</v>
      </c>
    </row>
    <row r="1188" spans="1:6">
      <c r="A1188" t="s">
        <v>49421</v>
      </c>
      <c r="B1188" t="s">
        <v>49424</v>
      </c>
      <c r="C1188">
        <v>0</v>
      </c>
      <c r="D1188">
        <v>0.80573929110324904</v>
      </c>
      <c r="E1188">
        <v>0.98670432590449997</v>
      </c>
      <c r="F1188">
        <v>1.0280864821175899</v>
      </c>
    </row>
    <row r="1189" spans="1:6">
      <c r="A1189" t="s">
        <v>49421</v>
      </c>
      <c r="B1189" t="s">
        <v>49425</v>
      </c>
      <c r="C1189">
        <v>0</v>
      </c>
      <c r="D1189">
        <v>0.80573929110324904</v>
      </c>
      <c r="E1189">
        <v>0.98670432590449997</v>
      </c>
      <c r="F1189">
        <v>1.0280864821175899</v>
      </c>
    </row>
    <row r="1190" spans="1:6">
      <c r="A1190" t="s">
        <v>49421</v>
      </c>
      <c r="B1190" t="s">
        <v>49426</v>
      </c>
      <c r="C1190">
        <v>0.35339112887721302</v>
      </c>
      <c r="D1190">
        <v>0.80573929110324904</v>
      </c>
      <c r="E1190">
        <v>0.98670432590449997</v>
      </c>
      <c r="F1190">
        <v>1.0280864821175899</v>
      </c>
    </row>
    <row r="1191" spans="1:6">
      <c r="A1191" t="s">
        <v>49427</v>
      </c>
      <c r="B1191" t="s">
        <v>49428</v>
      </c>
      <c r="C1191">
        <v>0.70386415213314202</v>
      </c>
      <c r="D1191">
        <v>9.1622532442268201E-2</v>
      </c>
      <c r="E1191">
        <v>0.99087070514797804</v>
      </c>
      <c r="F1191">
        <v>16.463932107496401</v>
      </c>
    </row>
    <row r="1192" spans="1:6">
      <c r="A1192" t="s">
        <v>49427</v>
      </c>
      <c r="B1192" t="s">
        <v>49429</v>
      </c>
      <c r="C1192">
        <v>0</v>
      </c>
      <c r="D1192">
        <v>9.1622532442268201E-2</v>
      </c>
      <c r="E1192">
        <v>0.99087070514797804</v>
      </c>
      <c r="F1192">
        <v>16.463932107496401</v>
      </c>
    </row>
    <row r="1193" spans="1:6">
      <c r="A1193" t="s">
        <v>49427</v>
      </c>
      <c r="B1193" t="s">
        <v>49430</v>
      </c>
      <c r="C1193">
        <v>0.26967360759924602</v>
      </c>
      <c r="D1193">
        <v>9.1622532442268201E-2</v>
      </c>
      <c r="E1193">
        <v>0.99087070514797804</v>
      </c>
      <c r="F1193">
        <v>16.463932107496401</v>
      </c>
    </row>
    <row r="1194" spans="1:6">
      <c r="A1194" t="s">
        <v>49427</v>
      </c>
      <c r="B1194" t="s">
        <v>49431</v>
      </c>
      <c r="C1194">
        <v>0</v>
      </c>
      <c r="D1194">
        <v>9.1622532442268201E-2</v>
      </c>
      <c r="E1194">
        <v>0.99087070514797804</v>
      </c>
      <c r="F1194">
        <v>16.463932107496401</v>
      </c>
    </row>
    <row r="1195" spans="1:6">
      <c r="A1195" t="s">
        <v>49432</v>
      </c>
      <c r="B1195" t="s">
        <v>49433</v>
      </c>
      <c r="C1195">
        <v>0.20773628984870199</v>
      </c>
      <c r="D1195">
        <v>0.73344407690963798</v>
      </c>
      <c r="E1195">
        <v>0.97857175250245199</v>
      </c>
      <c r="F1195">
        <v>15.280662760153501</v>
      </c>
    </row>
    <row r="1196" spans="1:6">
      <c r="A1196" t="s">
        <v>49432</v>
      </c>
      <c r="B1196" t="s">
        <v>49434</v>
      </c>
      <c r="C1196">
        <v>0.57095086323057398</v>
      </c>
      <c r="D1196">
        <v>0.73344407690963798</v>
      </c>
      <c r="E1196">
        <v>0.97857175250245199</v>
      </c>
      <c r="F1196">
        <v>15.280662760153501</v>
      </c>
    </row>
    <row r="1197" spans="1:6">
      <c r="A1197" t="s">
        <v>49432</v>
      </c>
      <c r="B1197" t="s">
        <v>49435</v>
      </c>
      <c r="C1197">
        <v>0</v>
      </c>
      <c r="D1197">
        <v>0.73344407690963798</v>
      </c>
      <c r="E1197">
        <v>0.97857175250245199</v>
      </c>
      <c r="F1197">
        <v>15.280662760153501</v>
      </c>
    </row>
    <row r="1198" spans="1:6">
      <c r="A1198" t="s">
        <v>49432</v>
      </c>
      <c r="B1198" t="s">
        <v>49436</v>
      </c>
      <c r="C1198">
        <v>0</v>
      </c>
      <c r="D1198">
        <v>0.73344407690963798</v>
      </c>
      <c r="E1198">
        <v>0.97857175250245199</v>
      </c>
      <c r="F1198">
        <v>15.280662760153501</v>
      </c>
    </row>
    <row r="1199" spans="1:6">
      <c r="A1199" t="s">
        <v>49432</v>
      </c>
      <c r="B1199" t="s">
        <v>49437</v>
      </c>
      <c r="C1199">
        <v>0</v>
      </c>
      <c r="D1199">
        <v>0.73344407690963798</v>
      </c>
      <c r="E1199">
        <v>0.97857175250245199</v>
      </c>
      <c r="F1199">
        <v>15.280662760153501</v>
      </c>
    </row>
    <row r="1200" spans="1:6">
      <c r="A1200" t="s">
        <v>49438</v>
      </c>
      <c r="B1200" t="s">
        <v>49439</v>
      </c>
      <c r="C1200">
        <v>0</v>
      </c>
      <c r="D1200">
        <v>0.49588067961101601</v>
      </c>
      <c r="E1200">
        <v>0.99531062294685302</v>
      </c>
      <c r="F1200">
        <v>16.265104061426499</v>
      </c>
    </row>
    <row r="1201" spans="1:6">
      <c r="A1201" t="s">
        <v>49438</v>
      </c>
      <c r="B1201" t="s">
        <v>49440</v>
      </c>
      <c r="C1201">
        <v>0.35124617872604202</v>
      </c>
      <c r="D1201">
        <v>0.49588067961101601</v>
      </c>
      <c r="E1201">
        <v>0.99531062294685302</v>
      </c>
      <c r="F1201">
        <v>16.265104061426499</v>
      </c>
    </row>
    <row r="1202" spans="1:6">
      <c r="A1202" t="s">
        <v>49438</v>
      </c>
      <c r="B1202" t="s">
        <v>49441</v>
      </c>
      <c r="C1202">
        <v>0</v>
      </c>
      <c r="D1202">
        <v>0.49588067961101601</v>
      </c>
      <c r="E1202">
        <v>0.99531062294685302</v>
      </c>
      <c r="F1202">
        <v>16.265104061426499</v>
      </c>
    </row>
    <row r="1203" spans="1:6">
      <c r="A1203" t="s">
        <v>49438</v>
      </c>
      <c r="B1203" t="s">
        <v>49442</v>
      </c>
      <c r="C1203">
        <v>0.68186910969144099</v>
      </c>
      <c r="D1203">
        <v>0.49588067961101601</v>
      </c>
      <c r="E1203">
        <v>0.99531062294685302</v>
      </c>
      <c r="F1203">
        <v>16.265104061426499</v>
      </c>
    </row>
    <row r="1204" spans="1:6">
      <c r="A1204" t="s">
        <v>49438</v>
      </c>
      <c r="B1204" t="s">
        <v>49443</v>
      </c>
      <c r="C1204">
        <v>0</v>
      </c>
      <c r="D1204">
        <v>0.49588067961101601</v>
      </c>
      <c r="E1204">
        <v>0.99531062294685302</v>
      </c>
      <c r="F1204">
        <v>16.265104061426499</v>
      </c>
    </row>
    <row r="1205" spans="1:6">
      <c r="A1205" t="s">
        <v>49438</v>
      </c>
      <c r="B1205" t="s">
        <v>49444</v>
      </c>
      <c r="C1205">
        <v>0</v>
      </c>
      <c r="D1205">
        <v>0.49588067961101601</v>
      </c>
      <c r="E1205">
        <v>0.99531062294685302</v>
      </c>
      <c r="F1205">
        <v>16.265104061426499</v>
      </c>
    </row>
    <row r="1206" spans="1:6">
      <c r="A1206" t="s">
        <v>49438</v>
      </c>
      <c r="B1206" t="s">
        <v>49445</v>
      </c>
      <c r="C1206">
        <v>0</v>
      </c>
      <c r="D1206">
        <v>0.49588067961101601</v>
      </c>
      <c r="E1206">
        <v>0.99531062294685302</v>
      </c>
      <c r="F1206">
        <v>16.265104061426499</v>
      </c>
    </row>
    <row r="1207" spans="1:6">
      <c r="A1207" t="s">
        <v>49446</v>
      </c>
      <c r="B1207" t="s">
        <v>49447</v>
      </c>
      <c r="C1207">
        <v>0.98302583716644398</v>
      </c>
      <c r="D1207">
        <v>0.84154365998729197</v>
      </c>
      <c r="E1207">
        <v>0.98265405665743299</v>
      </c>
      <c r="F1207">
        <v>23.282279248332902</v>
      </c>
    </row>
    <row r="1208" spans="1:6">
      <c r="A1208" t="s">
        <v>49446</v>
      </c>
      <c r="B1208" t="s">
        <v>49448</v>
      </c>
      <c r="C1208">
        <v>0</v>
      </c>
      <c r="D1208">
        <v>0.84154365998729197</v>
      </c>
      <c r="E1208">
        <v>0.98265405665743299</v>
      </c>
      <c r="F1208">
        <v>23.282279248332902</v>
      </c>
    </row>
    <row r="1209" spans="1:6">
      <c r="A1209" t="s">
        <v>49446</v>
      </c>
      <c r="B1209" t="s">
        <v>49449</v>
      </c>
      <c r="C1209">
        <v>0.45480451831100899</v>
      </c>
      <c r="D1209">
        <v>0.84154365998729197</v>
      </c>
      <c r="E1209">
        <v>0.98265405665743299</v>
      </c>
      <c r="F1209">
        <v>23.282279248332902</v>
      </c>
    </row>
    <row r="1210" spans="1:6">
      <c r="A1210" t="s">
        <v>49450</v>
      </c>
      <c r="B1210" t="s">
        <v>49451</v>
      </c>
      <c r="C1210">
        <v>0.42500454786730901</v>
      </c>
      <c r="D1210">
        <v>0.25118914723777203</v>
      </c>
      <c r="E1210">
        <v>0.97680463914053095</v>
      </c>
      <c r="F1210">
        <v>10.028692665184799</v>
      </c>
    </row>
    <row r="1211" spans="1:6">
      <c r="A1211" t="s">
        <v>49450</v>
      </c>
      <c r="B1211" t="s">
        <v>49452</v>
      </c>
      <c r="C1211">
        <v>0</v>
      </c>
      <c r="D1211">
        <v>0.25118914723777203</v>
      </c>
      <c r="E1211">
        <v>0.97680463914053095</v>
      </c>
      <c r="F1211">
        <v>10.028692665184799</v>
      </c>
    </row>
    <row r="1212" spans="1:6">
      <c r="A1212" t="s">
        <v>49450</v>
      </c>
      <c r="B1212" t="s">
        <v>49453</v>
      </c>
      <c r="C1212">
        <v>0</v>
      </c>
      <c r="D1212">
        <v>0.25118914723777203</v>
      </c>
      <c r="E1212">
        <v>0.97680463914053095</v>
      </c>
      <c r="F1212">
        <v>10.028692665184799</v>
      </c>
    </row>
    <row r="1213" spans="1:6">
      <c r="A1213" t="s">
        <v>49450</v>
      </c>
      <c r="B1213" t="s">
        <v>49454</v>
      </c>
      <c r="C1213">
        <v>0</v>
      </c>
      <c r="D1213">
        <v>0.25118914723777203</v>
      </c>
      <c r="E1213">
        <v>0.97680463914053095</v>
      </c>
      <c r="F1213">
        <v>10.028692665184799</v>
      </c>
    </row>
    <row r="1214" spans="1:6">
      <c r="A1214" t="s">
        <v>49450</v>
      </c>
      <c r="B1214" t="s">
        <v>49455</v>
      </c>
      <c r="C1214">
        <v>0.5935800250844</v>
      </c>
      <c r="D1214">
        <v>0.25118914723777203</v>
      </c>
      <c r="E1214">
        <v>0.97680463914053095</v>
      </c>
      <c r="F1214">
        <v>10.028692665184799</v>
      </c>
    </row>
    <row r="1215" spans="1:6">
      <c r="A1215" t="s">
        <v>49456</v>
      </c>
      <c r="B1215" t="s">
        <v>49457</v>
      </c>
      <c r="C1215">
        <v>0.72957837527731495</v>
      </c>
      <c r="D1215">
        <v>0.160507286192205</v>
      </c>
      <c r="E1215">
        <v>0.998084562966572</v>
      </c>
      <c r="F1215">
        <v>14.8975550616286</v>
      </c>
    </row>
    <row r="1216" spans="1:6">
      <c r="A1216" t="s">
        <v>49456</v>
      </c>
      <c r="B1216" t="s">
        <v>49458</v>
      </c>
      <c r="C1216">
        <v>0.37644471845197702</v>
      </c>
      <c r="D1216">
        <v>0.160507286192205</v>
      </c>
      <c r="E1216">
        <v>0.998084562966572</v>
      </c>
      <c r="F1216">
        <v>14.8975550616286</v>
      </c>
    </row>
    <row r="1217" spans="1:6">
      <c r="A1217" t="s">
        <v>49456</v>
      </c>
      <c r="B1217" t="s">
        <v>49459</v>
      </c>
      <c r="C1217">
        <v>0</v>
      </c>
      <c r="D1217">
        <v>0.160507286192205</v>
      </c>
      <c r="E1217">
        <v>0.998084562966572</v>
      </c>
      <c r="F1217">
        <v>14.8975550616286</v>
      </c>
    </row>
    <row r="1218" spans="1:6">
      <c r="A1218" t="s">
        <v>49456</v>
      </c>
      <c r="B1218" t="s">
        <v>49460</v>
      </c>
      <c r="C1218">
        <v>0</v>
      </c>
      <c r="D1218">
        <v>0.160507286192205</v>
      </c>
      <c r="E1218">
        <v>0.998084562966572</v>
      </c>
      <c r="F1218">
        <v>14.8975550616286</v>
      </c>
    </row>
    <row r="1219" spans="1:6">
      <c r="A1219" t="s">
        <v>49456</v>
      </c>
      <c r="B1219" t="s">
        <v>49461</v>
      </c>
      <c r="C1219">
        <v>0</v>
      </c>
      <c r="D1219">
        <v>0.160507286192205</v>
      </c>
      <c r="E1219">
        <v>0.998084562966572</v>
      </c>
      <c r="F1219">
        <v>14.8975550616286</v>
      </c>
    </row>
    <row r="1220" spans="1:6">
      <c r="A1220" t="s">
        <v>49456</v>
      </c>
      <c r="B1220" t="s">
        <v>49462</v>
      </c>
      <c r="C1220">
        <v>0</v>
      </c>
      <c r="D1220">
        <v>0.160507286192205</v>
      </c>
      <c r="E1220">
        <v>0.998084562966572</v>
      </c>
      <c r="F1220">
        <v>14.8975550616286</v>
      </c>
    </row>
    <row r="1221" spans="1:6">
      <c r="A1221" t="s">
        <v>49456</v>
      </c>
      <c r="B1221" t="s">
        <v>49463</v>
      </c>
      <c r="C1221">
        <v>0</v>
      </c>
      <c r="D1221">
        <v>0.160507286192205</v>
      </c>
      <c r="E1221">
        <v>0.998084562966572</v>
      </c>
      <c r="F1221">
        <v>14.8975550616286</v>
      </c>
    </row>
    <row r="1222" spans="1:6">
      <c r="A1222" t="s">
        <v>49456</v>
      </c>
      <c r="B1222" t="s">
        <v>49464</v>
      </c>
      <c r="C1222">
        <v>0</v>
      </c>
      <c r="D1222">
        <v>0.160507286192205</v>
      </c>
      <c r="E1222">
        <v>0.998084562966572</v>
      </c>
      <c r="F1222">
        <v>14.8975550616286</v>
      </c>
    </row>
    <row r="1223" spans="1:6">
      <c r="A1223" t="s">
        <v>49465</v>
      </c>
      <c r="B1223" t="s">
        <v>49466</v>
      </c>
      <c r="C1223">
        <v>0.74308037294629004</v>
      </c>
      <c r="D1223">
        <v>0.45254160159867102</v>
      </c>
      <c r="E1223">
        <v>0.90308037294628996</v>
      </c>
      <c r="F1223">
        <v>2.6623560315215098</v>
      </c>
    </row>
    <row r="1224" spans="1:6">
      <c r="A1224" t="s">
        <v>49465</v>
      </c>
      <c r="B1224" t="s">
        <v>49467</v>
      </c>
      <c r="C1224">
        <v>0</v>
      </c>
      <c r="D1224">
        <v>0.45254160159867102</v>
      </c>
      <c r="E1224">
        <v>0.90308037294628996</v>
      </c>
      <c r="F1224">
        <v>2.6623560315215098</v>
      </c>
    </row>
    <row r="1225" spans="1:6">
      <c r="A1225" t="s">
        <v>49468</v>
      </c>
      <c r="B1225" t="s">
        <v>49469</v>
      </c>
      <c r="C1225">
        <v>0</v>
      </c>
      <c r="D1225">
        <v>0.69179496705514498</v>
      </c>
      <c r="E1225" t="s">
        <v>106</v>
      </c>
      <c r="F1225">
        <v>0.93109719135178803</v>
      </c>
    </row>
    <row r="1226" spans="1:6">
      <c r="A1226" t="s">
        <v>49468</v>
      </c>
      <c r="B1226" t="s">
        <v>49470</v>
      </c>
      <c r="C1226">
        <v>0</v>
      </c>
      <c r="D1226">
        <v>0.69179496705514498</v>
      </c>
      <c r="E1226" t="s">
        <v>106</v>
      </c>
      <c r="F1226">
        <v>0.93109719135178803</v>
      </c>
    </row>
    <row r="1227" spans="1:6">
      <c r="A1227" t="s">
        <v>49468</v>
      </c>
      <c r="B1227" t="s">
        <v>49471</v>
      </c>
      <c r="C1227">
        <v>0</v>
      </c>
      <c r="D1227">
        <v>0.69179496705514498</v>
      </c>
      <c r="E1227" t="s">
        <v>106</v>
      </c>
      <c r="F1227">
        <v>0.93109719135178803</v>
      </c>
    </row>
    <row r="1228" spans="1:6">
      <c r="A1228" t="s">
        <v>49468</v>
      </c>
      <c r="B1228" t="s">
        <v>49472</v>
      </c>
      <c r="C1228">
        <v>0</v>
      </c>
      <c r="D1228">
        <v>0.69179496705514498</v>
      </c>
      <c r="E1228" t="s">
        <v>106</v>
      </c>
      <c r="F1228">
        <v>0.93109719135178803</v>
      </c>
    </row>
    <row r="1229" spans="1:6">
      <c r="A1229" t="s">
        <v>49468</v>
      </c>
      <c r="B1229" t="s">
        <v>49473</v>
      </c>
      <c r="C1229">
        <v>0</v>
      </c>
      <c r="D1229">
        <v>0.69179496705514498</v>
      </c>
      <c r="E1229" t="s">
        <v>106</v>
      </c>
      <c r="F1229">
        <v>0.93109719135178803</v>
      </c>
    </row>
    <row r="1230" spans="1:6">
      <c r="A1230" t="s">
        <v>49474</v>
      </c>
      <c r="B1230" t="s">
        <v>49475</v>
      </c>
      <c r="C1230">
        <v>0</v>
      </c>
      <c r="D1230">
        <v>1.6016734419802699E-3</v>
      </c>
      <c r="E1230">
        <v>0.97645717366066098</v>
      </c>
      <c r="F1230">
        <v>4.3160234390785996</v>
      </c>
    </row>
    <row r="1231" spans="1:6">
      <c r="A1231" t="s">
        <v>49474</v>
      </c>
      <c r="B1231" t="s">
        <v>49476</v>
      </c>
      <c r="C1231">
        <v>0.594726853531239</v>
      </c>
      <c r="D1231">
        <v>1.6016734419802699E-3</v>
      </c>
      <c r="E1231">
        <v>0.97645717366066098</v>
      </c>
      <c r="F1231">
        <v>4.3160234390785996</v>
      </c>
    </row>
    <row r="1232" spans="1:6">
      <c r="A1232" t="s">
        <v>49474</v>
      </c>
      <c r="B1232" t="s">
        <v>49477</v>
      </c>
      <c r="C1232">
        <v>0.497824389917009</v>
      </c>
      <c r="D1232">
        <v>1.6016734419802699E-3</v>
      </c>
      <c r="E1232">
        <v>0.97645717366066098</v>
      </c>
      <c r="F1232">
        <v>4.3160234390785996</v>
      </c>
    </row>
    <row r="1233" spans="1:6">
      <c r="A1233" t="s">
        <v>49474</v>
      </c>
      <c r="B1233" t="s">
        <v>49478</v>
      </c>
      <c r="C1233">
        <v>0</v>
      </c>
      <c r="D1233">
        <v>1.6016734419802699E-3</v>
      </c>
      <c r="E1233">
        <v>0.97645717366066098</v>
      </c>
      <c r="F1233">
        <v>4.3160234390785996</v>
      </c>
    </row>
    <row r="1234" spans="1:6">
      <c r="A1234" t="s">
        <v>49474</v>
      </c>
      <c r="B1234" t="s">
        <v>49479</v>
      </c>
      <c r="C1234">
        <v>0</v>
      </c>
      <c r="D1234">
        <v>1.6016734419802699E-3</v>
      </c>
      <c r="E1234">
        <v>0.97645717366066098</v>
      </c>
      <c r="F1234">
        <v>4.3160234390785996</v>
      </c>
    </row>
    <row r="1235" spans="1:6">
      <c r="A1235" t="s">
        <v>49474</v>
      </c>
      <c r="B1235" t="s">
        <v>49480</v>
      </c>
      <c r="C1235">
        <v>0</v>
      </c>
      <c r="D1235">
        <v>1.6016734419802699E-3</v>
      </c>
      <c r="E1235">
        <v>0.97645717366066098</v>
      </c>
      <c r="F1235">
        <v>4.3160234390785996</v>
      </c>
    </row>
    <row r="1236" spans="1:6">
      <c r="A1236" t="s">
        <v>49474</v>
      </c>
      <c r="B1236" t="s">
        <v>49481</v>
      </c>
      <c r="C1236">
        <v>0</v>
      </c>
      <c r="D1236">
        <v>1.6016734419802699E-3</v>
      </c>
      <c r="E1236">
        <v>0.97645717366066098</v>
      </c>
      <c r="F1236">
        <v>4.3160234390785996</v>
      </c>
    </row>
    <row r="1237" spans="1:6">
      <c r="A1237" t="s">
        <v>49474</v>
      </c>
      <c r="B1237" t="s">
        <v>49482</v>
      </c>
      <c r="C1237">
        <v>0</v>
      </c>
      <c r="D1237">
        <v>1.6016734419802699E-3</v>
      </c>
      <c r="E1237">
        <v>0.97645717366066098</v>
      </c>
      <c r="F1237">
        <v>4.3160234390785996</v>
      </c>
    </row>
    <row r="1238" spans="1:6">
      <c r="A1238" t="s">
        <v>49483</v>
      </c>
      <c r="B1238" t="s">
        <v>49484</v>
      </c>
      <c r="C1238">
        <v>0</v>
      </c>
      <c r="D1238">
        <v>0.24553977005754199</v>
      </c>
      <c r="E1238">
        <v>0.94480715769456902</v>
      </c>
      <c r="F1238">
        <v>2.9969690846635602</v>
      </c>
    </row>
    <row r="1239" spans="1:6">
      <c r="A1239" t="s">
        <v>49483</v>
      </c>
      <c r="B1239" t="s">
        <v>49485</v>
      </c>
      <c r="C1239">
        <v>0</v>
      </c>
      <c r="D1239">
        <v>0.24553977005754199</v>
      </c>
      <c r="E1239">
        <v>0.94480715769456902</v>
      </c>
      <c r="F1239">
        <v>2.9969690846635602</v>
      </c>
    </row>
    <row r="1240" spans="1:6">
      <c r="A1240" t="s">
        <v>49483</v>
      </c>
      <c r="B1240" t="s">
        <v>49486</v>
      </c>
      <c r="C1240">
        <v>0.72963825426499795</v>
      </c>
      <c r="D1240">
        <v>0.24553977005754199</v>
      </c>
      <c r="E1240">
        <v>0.94480715769456902</v>
      </c>
      <c r="F1240">
        <v>2.9969690846635602</v>
      </c>
    </row>
    <row r="1241" spans="1:6">
      <c r="A1241" t="s">
        <v>49483</v>
      </c>
      <c r="B1241" t="s">
        <v>49487</v>
      </c>
      <c r="C1241">
        <v>0.144429549010054</v>
      </c>
      <c r="D1241">
        <v>0.24553977005754199</v>
      </c>
      <c r="E1241">
        <v>0.94480715769456902</v>
      </c>
      <c r="F1241">
        <v>2.9969690846635602</v>
      </c>
    </row>
    <row r="1242" spans="1:6">
      <c r="A1242" t="s">
        <v>49483</v>
      </c>
      <c r="B1242" t="s">
        <v>49488</v>
      </c>
      <c r="C1242">
        <v>0</v>
      </c>
      <c r="D1242">
        <v>0.24553977005754199</v>
      </c>
      <c r="E1242">
        <v>0.94480715769456902</v>
      </c>
      <c r="F1242">
        <v>2.9969690846635602</v>
      </c>
    </row>
    <row r="1243" spans="1:6">
      <c r="A1243" t="s">
        <v>49483</v>
      </c>
      <c r="B1243" t="s">
        <v>49489</v>
      </c>
      <c r="C1243">
        <v>0</v>
      </c>
      <c r="D1243">
        <v>0.24553977005754199</v>
      </c>
      <c r="E1243">
        <v>0.94480715769456902</v>
      </c>
      <c r="F1243">
        <v>2.9969690846635602</v>
      </c>
    </row>
    <row r="1244" spans="1:6">
      <c r="A1244" t="s">
        <v>49483</v>
      </c>
      <c r="B1244" t="s">
        <v>49490</v>
      </c>
      <c r="C1244">
        <v>0</v>
      </c>
      <c r="D1244">
        <v>0.24553977005754199</v>
      </c>
      <c r="E1244">
        <v>0.94480715769456902</v>
      </c>
      <c r="F1244">
        <v>2.9969690846635602</v>
      </c>
    </row>
    <row r="1245" spans="1:6">
      <c r="A1245" t="s">
        <v>49483</v>
      </c>
      <c r="B1245" t="s">
        <v>49491</v>
      </c>
      <c r="C1245">
        <v>0</v>
      </c>
      <c r="D1245">
        <v>0.24553977005754199</v>
      </c>
      <c r="E1245">
        <v>0.94480715769456902</v>
      </c>
      <c r="F1245">
        <v>2.9969690846635602</v>
      </c>
    </row>
    <row r="1246" spans="1:6">
      <c r="A1246" t="s">
        <v>49483</v>
      </c>
      <c r="B1246" t="s">
        <v>49492</v>
      </c>
      <c r="C1246">
        <v>0</v>
      </c>
      <c r="D1246">
        <v>0.24553977005754199</v>
      </c>
      <c r="E1246">
        <v>0.94480715769456902</v>
      </c>
      <c r="F1246">
        <v>2.9969690846635602</v>
      </c>
    </row>
    <row r="1247" spans="1:6">
      <c r="A1247" t="s">
        <v>49493</v>
      </c>
      <c r="B1247" t="s">
        <v>49494</v>
      </c>
      <c r="C1247">
        <v>0</v>
      </c>
      <c r="D1247">
        <v>0.79798447755949797</v>
      </c>
      <c r="E1247">
        <v>0.99503812987213602</v>
      </c>
      <c r="F1247">
        <v>6.6195190947666198</v>
      </c>
    </row>
    <row r="1248" spans="1:6">
      <c r="A1248" t="s">
        <v>49493</v>
      </c>
      <c r="B1248" t="s">
        <v>49495</v>
      </c>
      <c r="C1248">
        <v>0</v>
      </c>
      <c r="D1248">
        <v>0.79798447755949797</v>
      </c>
      <c r="E1248">
        <v>0.99503812987213602</v>
      </c>
      <c r="F1248">
        <v>6.6195190947666198</v>
      </c>
    </row>
    <row r="1249" spans="1:6">
      <c r="A1249" t="s">
        <v>49493</v>
      </c>
      <c r="B1249" t="s">
        <v>49496</v>
      </c>
      <c r="C1249">
        <v>0</v>
      </c>
      <c r="D1249">
        <v>0.79798447755949797</v>
      </c>
      <c r="E1249">
        <v>0.99503812987213602</v>
      </c>
      <c r="F1249">
        <v>6.6195190947666198</v>
      </c>
    </row>
    <row r="1250" spans="1:6">
      <c r="A1250" t="s">
        <v>49493</v>
      </c>
      <c r="B1250" t="s">
        <v>49497</v>
      </c>
      <c r="C1250">
        <v>0</v>
      </c>
      <c r="D1250">
        <v>0.79798447755949797</v>
      </c>
      <c r="E1250">
        <v>0.99503812987213602</v>
      </c>
      <c r="F1250">
        <v>6.6195190947666198</v>
      </c>
    </row>
    <row r="1251" spans="1:6">
      <c r="A1251" t="s">
        <v>49493</v>
      </c>
      <c r="B1251" t="s">
        <v>49498</v>
      </c>
      <c r="C1251">
        <v>0.70394796138981097</v>
      </c>
      <c r="D1251">
        <v>0.79798447755949797</v>
      </c>
      <c r="E1251">
        <v>0.99503812987213602</v>
      </c>
      <c r="F1251">
        <v>6.6195190947666198</v>
      </c>
    </row>
    <row r="1252" spans="1:6">
      <c r="A1252" t="s">
        <v>49493</v>
      </c>
      <c r="B1252" t="s">
        <v>49499</v>
      </c>
      <c r="C1252">
        <v>0</v>
      </c>
      <c r="D1252">
        <v>0.79798447755949797</v>
      </c>
      <c r="E1252">
        <v>0.99503812987213602</v>
      </c>
      <c r="F1252">
        <v>6.6195190947666198</v>
      </c>
    </row>
    <row r="1253" spans="1:6">
      <c r="A1253" t="s">
        <v>49493</v>
      </c>
      <c r="B1253" t="s">
        <v>49500</v>
      </c>
      <c r="C1253">
        <v>0.54685672752032399</v>
      </c>
      <c r="D1253">
        <v>0.79798447755949797</v>
      </c>
      <c r="E1253">
        <v>0.99503812987213602</v>
      </c>
      <c r="F1253">
        <v>6.6195190947666198</v>
      </c>
    </row>
    <row r="1254" spans="1:6">
      <c r="A1254" t="s">
        <v>49501</v>
      </c>
      <c r="B1254" t="s">
        <v>49502</v>
      </c>
      <c r="C1254">
        <v>0</v>
      </c>
      <c r="D1254">
        <v>0.22572048898701699</v>
      </c>
      <c r="E1254">
        <v>0.98158229961339005</v>
      </c>
      <c r="F1254">
        <v>14.519296827641901</v>
      </c>
    </row>
    <row r="1255" spans="1:6">
      <c r="A1255" t="s">
        <v>49501</v>
      </c>
      <c r="B1255" t="s">
        <v>49503</v>
      </c>
      <c r="C1255">
        <v>0</v>
      </c>
      <c r="D1255">
        <v>0.22572048898701699</v>
      </c>
      <c r="E1255">
        <v>0.98158229961339005</v>
      </c>
      <c r="F1255">
        <v>14.519296827641901</v>
      </c>
    </row>
    <row r="1256" spans="1:6">
      <c r="A1256" t="s">
        <v>49501</v>
      </c>
      <c r="B1256" t="s">
        <v>49504</v>
      </c>
      <c r="C1256">
        <v>0</v>
      </c>
      <c r="D1256">
        <v>0.22572048898701699</v>
      </c>
      <c r="E1256">
        <v>0.98158229961339005</v>
      </c>
      <c r="F1256">
        <v>14.519296827641901</v>
      </c>
    </row>
    <row r="1257" spans="1:6">
      <c r="A1257" t="s">
        <v>49501</v>
      </c>
      <c r="B1257" t="s">
        <v>49505</v>
      </c>
      <c r="C1257">
        <v>0.315058888915906</v>
      </c>
      <c r="D1257">
        <v>0.22572048898701699</v>
      </c>
      <c r="E1257">
        <v>0.98158229961339005</v>
      </c>
      <c r="F1257">
        <v>14.519296827641901</v>
      </c>
    </row>
    <row r="1258" spans="1:6">
      <c r="A1258" t="s">
        <v>49501</v>
      </c>
      <c r="B1258" t="s">
        <v>49506</v>
      </c>
      <c r="C1258">
        <v>0</v>
      </c>
      <c r="D1258">
        <v>0.22572048898701699</v>
      </c>
      <c r="E1258">
        <v>0.98158229961339005</v>
      </c>
      <c r="F1258">
        <v>14.519296827641901</v>
      </c>
    </row>
    <row r="1259" spans="1:6">
      <c r="A1259" t="s">
        <v>49501</v>
      </c>
      <c r="B1259" t="s">
        <v>49507</v>
      </c>
      <c r="C1259">
        <v>0.204310178028972</v>
      </c>
      <c r="D1259">
        <v>0.22572048898701699</v>
      </c>
      <c r="E1259">
        <v>0.98158229961339005</v>
      </c>
      <c r="F1259">
        <v>14.519296827641901</v>
      </c>
    </row>
    <row r="1260" spans="1:6">
      <c r="A1260" t="s">
        <v>49501</v>
      </c>
      <c r="B1260" t="s">
        <v>49508</v>
      </c>
      <c r="C1260">
        <v>0</v>
      </c>
      <c r="D1260">
        <v>0.22572048898701699</v>
      </c>
      <c r="E1260">
        <v>0.98158229961339005</v>
      </c>
      <c r="F1260">
        <v>14.519296827641901</v>
      </c>
    </row>
    <row r="1261" spans="1:6">
      <c r="A1261" t="s">
        <v>49501</v>
      </c>
      <c r="B1261" t="s">
        <v>49509</v>
      </c>
      <c r="C1261">
        <v>0</v>
      </c>
      <c r="D1261">
        <v>0.22572048898701699</v>
      </c>
      <c r="E1261">
        <v>0.98158229961339005</v>
      </c>
      <c r="F1261">
        <v>14.519296827641901</v>
      </c>
    </row>
    <row r="1262" spans="1:6">
      <c r="A1262" t="s">
        <v>49501</v>
      </c>
      <c r="B1262" t="s">
        <v>49510</v>
      </c>
      <c r="C1262">
        <v>0</v>
      </c>
      <c r="D1262">
        <v>0.22572048898701699</v>
      </c>
      <c r="E1262">
        <v>0.98158229961339005</v>
      </c>
      <c r="F1262">
        <v>14.519296827641901</v>
      </c>
    </row>
    <row r="1263" spans="1:6">
      <c r="A1263" t="s">
        <v>49501</v>
      </c>
      <c r="B1263" t="s">
        <v>49511</v>
      </c>
      <c r="C1263">
        <v>0</v>
      </c>
      <c r="D1263">
        <v>0.22572048898701699</v>
      </c>
      <c r="E1263">
        <v>0.98158229961339005</v>
      </c>
      <c r="F1263">
        <v>14.519296827641901</v>
      </c>
    </row>
    <row r="1264" spans="1:6">
      <c r="A1264" t="s">
        <v>49501</v>
      </c>
      <c r="B1264" t="s">
        <v>49512</v>
      </c>
      <c r="C1264">
        <v>0</v>
      </c>
      <c r="D1264">
        <v>0.22572048898701699</v>
      </c>
      <c r="E1264">
        <v>0.98158229961339005</v>
      </c>
      <c r="F1264">
        <v>14.519296827641901</v>
      </c>
    </row>
    <row r="1265" spans="1:6">
      <c r="A1265" t="s">
        <v>49501</v>
      </c>
      <c r="B1265" t="s">
        <v>49513</v>
      </c>
      <c r="C1265">
        <v>0</v>
      </c>
      <c r="D1265">
        <v>0.22572048898701699</v>
      </c>
      <c r="E1265">
        <v>0.98158229961339005</v>
      </c>
      <c r="F1265">
        <v>14.519296827641901</v>
      </c>
    </row>
    <row r="1266" spans="1:6">
      <c r="A1266" t="s">
        <v>49514</v>
      </c>
      <c r="B1266" t="s">
        <v>49515</v>
      </c>
      <c r="C1266">
        <v>0</v>
      </c>
      <c r="D1266">
        <v>0.505550886972016</v>
      </c>
      <c r="E1266">
        <v>0.98878090937481899</v>
      </c>
      <c r="F1266">
        <v>6.7504546373004599</v>
      </c>
    </row>
    <row r="1267" spans="1:6">
      <c r="A1267" t="s">
        <v>49514</v>
      </c>
      <c r="B1267" t="s">
        <v>49516</v>
      </c>
      <c r="C1267">
        <v>5.5550513521582502E-2</v>
      </c>
      <c r="D1267">
        <v>0.505550886972016</v>
      </c>
      <c r="E1267">
        <v>0.98878090937481899</v>
      </c>
      <c r="F1267">
        <v>6.7504546373004599</v>
      </c>
    </row>
    <row r="1268" spans="1:6">
      <c r="A1268" t="s">
        <v>49514</v>
      </c>
      <c r="B1268" t="s">
        <v>49517</v>
      </c>
      <c r="C1268">
        <v>0</v>
      </c>
      <c r="D1268">
        <v>0.505550886972016</v>
      </c>
      <c r="E1268">
        <v>0.98878090937481899</v>
      </c>
      <c r="F1268">
        <v>6.7504546373004599</v>
      </c>
    </row>
    <row r="1269" spans="1:6">
      <c r="A1269" t="s">
        <v>49514</v>
      </c>
      <c r="B1269" t="s">
        <v>49518</v>
      </c>
      <c r="C1269">
        <v>0</v>
      </c>
      <c r="D1269">
        <v>0.505550886972016</v>
      </c>
      <c r="E1269">
        <v>0.98878090937481899</v>
      </c>
      <c r="F1269">
        <v>6.7504546373004599</v>
      </c>
    </row>
    <row r="1270" spans="1:6">
      <c r="A1270" t="s">
        <v>49514</v>
      </c>
      <c r="B1270" t="s">
        <v>49519</v>
      </c>
      <c r="C1270">
        <v>0.81102154566476303</v>
      </c>
      <c r="D1270">
        <v>0.505550886972016</v>
      </c>
      <c r="E1270">
        <v>0.98878090937481899</v>
      </c>
      <c r="F1270">
        <v>6.7504546373004599</v>
      </c>
    </row>
    <row r="1271" spans="1:6">
      <c r="A1271" t="s">
        <v>49514</v>
      </c>
      <c r="B1271" t="s">
        <v>49520</v>
      </c>
      <c r="C1271">
        <v>0</v>
      </c>
      <c r="D1271">
        <v>0.505550886972016</v>
      </c>
      <c r="E1271">
        <v>0.98878090937481899</v>
      </c>
      <c r="F1271">
        <v>6.7504546373004599</v>
      </c>
    </row>
    <row r="1272" spans="1:6">
      <c r="A1272" t="s">
        <v>49514</v>
      </c>
      <c r="B1272" t="s">
        <v>49521</v>
      </c>
      <c r="C1272">
        <v>0</v>
      </c>
      <c r="D1272">
        <v>0.505550886972016</v>
      </c>
      <c r="E1272">
        <v>0.98878090937481899</v>
      </c>
      <c r="F1272">
        <v>6.7504546373004599</v>
      </c>
    </row>
    <row r="1273" spans="1:6">
      <c r="A1273" t="s">
        <v>49514</v>
      </c>
      <c r="B1273" t="s">
        <v>49522</v>
      </c>
      <c r="C1273">
        <v>0</v>
      </c>
      <c r="D1273">
        <v>0.505550886972016</v>
      </c>
      <c r="E1273">
        <v>0.98878090937481899</v>
      </c>
      <c r="F1273">
        <v>6.7504546373004599</v>
      </c>
    </row>
    <row r="1274" spans="1:6">
      <c r="A1274" t="s">
        <v>49514</v>
      </c>
      <c r="B1274" t="s">
        <v>49523</v>
      </c>
      <c r="C1274">
        <v>0</v>
      </c>
      <c r="D1274">
        <v>0.505550886972016</v>
      </c>
      <c r="E1274">
        <v>0.98878090937481899</v>
      </c>
      <c r="F1274">
        <v>6.7504546373004599</v>
      </c>
    </row>
    <row r="1275" spans="1:6">
      <c r="A1275" t="s">
        <v>49514</v>
      </c>
      <c r="B1275" t="s">
        <v>49524</v>
      </c>
      <c r="C1275">
        <v>0</v>
      </c>
      <c r="D1275">
        <v>0.505550886972016</v>
      </c>
      <c r="E1275">
        <v>0.98878090937481899</v>
      </c>
      <c r="F1275">
        <v>6.7504546373004599</v>
      </c>
    </row>
    <row r="1276" spans="1:6">
      <c r="A1276" t="s">
        <v>49514</v>
      </c>
      <c r="B1276" t="s">
        <v>49525</v>
      </c>
      <c r="C1276">
        <v>0</v>
      </c>
      <c r="D1276">
        <v>0.505550886972016</v>
      </c>
      <c r="E1276">
        <v>0.98878090937481899</v>
      </c>
      <c r="F1276">
        <v>6.7504546373004599</v>
      </c>
    </row>
    <row r="1277" spans="1:6">
      <c r="A1277" t="s">
        <v>49526</v>
      </c>
      <c r="B1277" t="s">
        <v>49527</v>
      </c>
      <c r="C1277">
        <v>0</v>
      </c>
      <c r="D1277">
        <v>0.48355449444387899</v>
      </c>
      <c r="E1277">
        <v>0.95019806275616803</v>
      </c>
      <c r="F1277">
        <v>8.8163265306122405</v>
      </c>
    </row>
    <row r="1278" spans="1:6">
      <c r="A1278" t="s">
        <v>49526</v>
      </c>
      <c r="B1278" t="s">
        <v>49528</v>
      </c>
      <c r="C1278">
        <v>0.68298501344000995</v>
      </c>
      <c r="D1278">
        <v>0.48355449444387899</v>
      </c>
      <c r="E1278">
        <v>0.95019806275616803</v>
      </c>
      <c r="F1278">
        <v>8.8163265306122405</v>
      </c>
    </row>
    <row r="1279" spans="1:6">
      <c r="A1279" t="s">
        <v>49526</v>
      </c>
      <c r="B1279" t="s">
        <v>49529</v>
      </c>
      <c r="C1279">
        <v>7.2716354550843104E-2</v>
      </c>
      <c r="D1279">
        <v>0.48355449444387899</v>
      </c>
      <c r="E1279">
        <v>0.95019806275616803</v>
      </c>
      <c r="F1279">
        <v>8.8163265306122405</v>
      </c>
    </row>
    <row r="1280" spans="1:6">
      <c r="A1280" t="s">
        <v>49526</v>
      </c>
      <c r="B1280" t="s">
        <v>49530</v>
      </c>
      <c r="C1280">
        <v>0</v>
      </c>
      <c r="D1280">
        <v>0.48355449444387899</v>
      </c>
      <c r="E1280">
        <v>0.95019806275616803</v>
      </c>
      <c r="F1280">
        <v>8.8163265306122405</v>
      </c>
    </row>
    <row r="1281" spans="1:6">
      <c r="A1281" t="s">
        <v>49526</v>
      </c>
      <c r="B1281" t="s">
        <v>49531</v>
      </c>
      <c r="C1281">
        <v>0</v>
      </c>
      <c r="D1281">
        <v>0.48355449444387899</v>
      </c>
      <c r="E1281">
        <v>0.95019806275616803</v>
      </c>
      <c r="F1281">
        <v>8.8163265306122405</v>
      </c>
    </row>
    <row r="1282" spans="1:6">
      <c r="A1282" t="s">
        <v>49526</v>
      </c>
      <c r="B1282" t="s">
        <v>49532</v>
      </c>
      <c r="C1282">
        <v>0</v>
      </c>
      <c r="D1282">
        <v>0.48355449444387899</v>
      </c>
      <c r="E1282">
        <v>0.95019806275616803</v>
      </c>
      <c r="F1282">
        <v>8.8163265306122405</v>
      </c>
    </row>
    <row r="1283" spans="1:6">
      <c r="A1283" t="s">
        <v>49526</v>
      </c>
      <c r="B1283" t="s">
        <v>49533</v>
      </c>
      <c r="C1283">
        <v>0</v>
      </c>
      <c r="D1283">
        <v>0.48355449444387899</v>
      </c>
      <c r="E1283">
        <v>0.95019806275616803</v>
      </c>
      <c r="F1283">
        <v>8.8163265306122405</v>
      </c>
    </row>
    <row r="1284" spans="1:6">
      <c r="A1284" t="s">
        <v>49526</v>
      </c>
      <c r="B1284" t="s">
        <v>49534</v>
      </c>
      <c r="C1284">
        <v>0</v>
      </c>
      <c r="D1284">
        <v>0.48355449444387899</v>
      </c>
      <c r="E1284">
        <v>0.95019806275616803</v>
      </c>
      <c r="F1284">
        <v>8.8163265306122405</v>
      </c>
    </row>
    <row r="1285" spans="1:6">
      <c r="A1285" t="s">
        <v>49526</v>
      </c>
      <c r="B1285" t="s">
        <v>49535</v>
      </c>
      <c r="C1285">
        <v>0</v>
      </c>
      <c r="D1285">
        <v>0.48355449444387899</v>
      </c>
      <c r="E1285">
        <v>0.95019806275616803</v>
      </c>
      <c r="F1285">
        <v>8.8163265306122405</v>
      </c>
    </row>
    <row r="1286" spans="1:6">
      <c r="A1286" t="s">
        <v>49526</v>
      </c>
      <c r="B1286" t="s">
        <v>49536</v>
      </c>
      <c r="C1286">
        <v>0</v>
      </c>
      <c r="D1286">
        <v>0.48355449444387899</v>
      </c>
      <c r="E1286">
        <v>0.95019806275616803</v>
      </c>
      <c r="F1286">
        <v>8.8163265306122405</v>
      </c>
    </row>
    <row r="1287" spans="1:6">
      <c r="A1287" t="s">
        <v>49526</v>
      </c>
      <c r="B1287" t="s">
        <v>49537</v>
      </c>
      <c r="C1287">
        <v>0</v>
      </c>
      <c r="D1287">
        <v>0.48355449444387899</v>
      </c>
      <c r="E1287">
        <v>0.95019806275616803</v>
      </c>
      <c r="F1287">
        <v>8.8163265306122405</v>
      </c>
    </row>
    <row r="1288" spans="1:6">
      <c r="A1288" t="s">
        <v>49526</v>
      </c>
      <c r="B1288" t="s">
        <v>49538</v>
      </c>
      <c r="C1288">
        <v>0</v>
      </c>
      <c r="D1288">
        <v>0.48355449444387899</v>
      </c>
      <c r="E1288">
        <v>0.95019806275616803</v>
      </c>
      <c r="F1288">
        <v>8.8163265306122405</v>
      </c>
    </row>
    <row r="1289" spans="1:6">
      <c r="A1289" t="s">
        <v>49526</v>
      </c>
      <c r="B1289" t="s">
        <v>49539</v>
      </c>
      <c r="C1289">
        <v>0</v>
      </c>
      <c r="D1289">
        <v>0.48355449444387899</v>
      </c>
      <c r="E1289">
        <v>0.95019806275616803</v>
      </c>
      <c r="F1289">
        <v>8.8163265306122405</v>
      </c>
    </row>
    <row r="1290" spans="1:6">
      <c r="A1290" t="s">
        <v>49526</v>
      </c>
      <c r="B1290" t="s">
        <v>49540</v>
      </c>
      <c r="C1290">
        <v>0</v>
      </c>
      <c r="D1290">
        <v>0.48355449444387899</v>
      </c>
      <c r="E1290">
        <v>0.95019806275616803</v>
      </c>
      <c r="F1290">
        <v>8.8163265306122405</v>
      </c>
    </row>
    <row r="1291" spans="1:6">
      <c r="A1291" t="s">
        <v>49526</v>
      </c>
      <c r="B1291" t="s">
        <v>49541</v>
      </c>
      <c r="C1291">
        <v>0</v>
      </c>
      <c r="D1291">
        <v>0.48355449444387899</v>
      </c>
      <c r="E1291">
        <v>0.95019806275616803</v>
      </c>
      <c r="F1291">
        <v>8.8163265306122405</v>
      </c>
    </row>
    <row r="1292" spans="1:6">
      <c r="A1292" t="s">
        <v>49526</v>
      </c>
      <c r="B1292" t="s">
        <v>49542</v>
      </c>
      <c r="C1292">
        <v>0</v>
      </c>
      <c r="D1292">
        <v>0.48355449444387899</v>
      </c>
      <c r="E1292">
        <v>0.95019806275616803</v>
      </c>
      <c r="F1292">
        <v>8.8163265306122405</v>
      </c>
    </row>
    <row r="1293" spans="1:6">
      <c r="A1293" t="s">
        <v>49526</v>
      </c>
      <c r="B1293" t="s">
        <v>49543</v>
      </c>
      <c r="C1293">
        <v>0</v>
      </c>
      <c r="D1293">
        <v>0.48355449444387899</v>
      </c>
      <c r="E1293">
        <v>0.95019806275616803</v>
      </c>
      <c r="F1293">
        <v>8.8163265306122405</v>
      </c>
    </row>
    <row r="1294" spans="1:6">
      <c r="A1294" t="s">
        <v>49544</v>
      </c>
      <c r="B1294" t="s">
        <v>49545</v>
      </c>
      <c r="C1294">
        <v>0</v>
      </c>
      <c r="D1294">
        <v>0.67837042352824395</v>
      </c>
      <c r="E1294">
        <v>0.831627154816174</v>
      </c>
      <c r="F1294">
        <v>9.56314406950899</v>
      </c>
    </row>
    <row r="1295" spans="1:6">
      <c r="A1295" t="s">
        <v>49544</v>
      </c>
      <c r="B1295" t="s">
        <v>49546</v>
      </c>
      <c r="C1295">
        <v>0</v>
      </c>
      <c r="D1295">
        <v>0.67837042352824395</v>
      </c>
      <c r="E1295">
        <v>0.831627154816174</v>
      </c>
      <c r="F1295">
        <v>9.56314406950899</v>
      </c>
    </row>
    <row r="1296" spans="1:6">
      <c r="A1296" t="s">
        <v>49544</v>
      </c>
      <c r="B1296" t="s">
        <v>49547</v>
      </c>
      <c r="C1296">
        <v>0</v>
      </c>
      <c r="D1296">
        <v>0.67837042352824395</v>
      </c>
      <c r="E1296">
        <v>0.831627154816174</v>
      </c>
      <c r="F1296">
        <v>9.56314406950899</v>
      </c>
    </row>
    <row r="1297" spans="1:6">
      <c r="A1297" t="s">
        <v>49544</v>
      </c>
      <c r="B1297" t="s">
        <v>49548</v>
      </c>
      <c r="C1297">
        <v>0</v>
      </c>
      <c r="D1297">
        <v>0.67837042352824395</v>
      </c>
      <c r="E1297">
        <v>0.831627154816174</v>
      </c>
      <c r="F1297">
        <v>9.56314406950899</v>
      </c>
    </row>
    <row r="1298" spans="1:6">
      <c r="A1298" t="s">
        <v>49544</v>
      </c>
      <c r="B1298" t="s">
        <v>49549</v>
      </c>
      <c r="C1298">
        <v>0</v>
      </c>
      <c r="D1298">
        <v>0.67837042352824395</v>
      </c>
      <c r="E1298">
        <v>0.831627154816174</v>
      </c>
      <c r="F1298">
        <v>9.56314406950899</v>
      </c>
    </row>
    <row r="1299" spans="1:6">
      <c r="A1299" t="s">
        <v>49544</v>
      </c>
      <c r="B1299" t="s">
        <v>49550</v>
      </c>
      <c r="C1299">
        <v>0</v>
      </c>
      <c r="D1299">
        <v>0.67837042352824395</v>
      </c>
      <c r="E1299">
        <v>0.831627154816174</v>
      </c>
      <c r="F1299">
        <v>9.56314406950899</v>
      </c>
    </row>
    <row r="1300" spans="1:6">
      <c r="A1300" t="s">
        <v>49544</v>
      </c>
      <c r="B1300" t="s">
        <v>49551</v>
      </c>
      <c r="C1300">
        <v>0.457240992690292</v>
      </c>
      <c r="D1300">
        <v>0.67837042352824395</v>
      </c>
      <c r="E1300">
        <v>0.831627154816174</v>
      </c>
      <c r="F1300">
        <v>9.56314406950899</v>
      </c>
    </row>
    <row r="1301" spans="1:6">
      <c r="A1301" t="s">
        <v>49544</v>
      </c>
      <c r="B1301" t="s">
        <v>49552</v>
      </c>
      <c r="C1301">
        <v>2.55554367769423E-2</v>
      </c>
      <c r="D1301">
        <v>0.67837042352824395</v>
      </c>
      <c r="E1301">
        <v>0.831627154816174</v>
      </c>
      <c r="F1301">
        <v>9.56314406950899</v>
      </c>
    </row>
    <row r="1302" spans="1:6">
      <c r="A1302" t="s">
        <v>49553</v>
      </c>
      <c r="B1302" t="s">
        <v>49554</v>
      </c>
      <c r="C1302">
        <v>0.44686045144094499</v>
      </c>
      <c r="D1302">
        <v>9.8009847571682601E-2</v>
      </c>
      <c r="E1302">
        <v>0.91164198907423999</v>
      </c>
      <c r="F1302">
        <v>16.265104061426499</v>
      </c>
    </row>
    <row r="1303" spans="1:6">
      <c r="A1303" t="s">
        <v>49553</v>
      </c>
      <c r="B1303" t="s">
        <v>49555</v>
      </c>
      <c r="C1303">
        <v>0.111579316583722</v>
      </c>
      <c r="D1303">
        <v>9.8009847571682601E-2</v>
      </c>
      <c r="E1303">
        <v>0.91164198907423999</v>
      </c>
      <c r="F1303">
        <v>16.265104061426499</v>
      </c>
    </row>
    <row r="1304" spans="1:6">
      <c r="A1304" t="s">
        <v>49553</v>
      </c>
      <c r="B1304" t="s">
        <v>49556</v>
      </c>
      <c r="C1304">
        <v>0</v>
      </c>
      <c r="D1304">
        <v>9.8009847571682601E-2</v>
      </c>
      <c r="E1304">
        <v>0.91164198907423999</v>
      </c>
      <c r="F1304">
        <v>16.265104061426499</v>
      </c>
    </row>
    <row r="1305" spans="1:6">
      <c r="A1305" t="s">
        <v>49553</v>
      </c>
      <c r="B1305" t="s">
        <v>49557</v>
      </c>
      <c r="C1305">
        <v>0</v>
      </c>
      <c r="D1305">
        <v>9.8009847571682601E-2</v>
      </c>
      <c r="E1305">
        <v>0.91164198907423999</v>
      </c>
      <c r="F1305">
        <v>16.265104061426499</v>
      </c>
    </row>
    <row r="1306" spans="1:6">
      <c r="A1306" t="s">
        <v>49553</v>
      </c>
      <c r="B1306" t="s">
        <v>49558</v>
      </c>
      <c r="C1306">
        <v>0</v>
      </c>
      <c r="D1306">
        <v>9.8009847571682601E-2</v>
      </c>
      <c r="E1306">
        <v>0.91164198907423999</v>
      </c>
      <c r="F1306">
        <v>16.265104061426499</v>
      </c>
    </row>
    <row r="1307" spans="1:6">
      <c r="A1307" t="s">
        <v>49553</v>
      </c>
      <c r="B1307" t="s">
        <v>49559</v>
      </c>
      <c r="C1307">
        <v>0</v>
      </c>
      <c r="D1307">
        <v>9.8009847571682601E-2</v>
      </c>
      <c r="E1307">
        <v>0.91164198907423999</v>
      </c>
      <c r="F1307">
        <v>16.265104061426499</v>
      </c>
    </row>
    <row r="1308" spans="1:6">
      <c r="A1308" t="s">
        <v>49560</v>
      </c>
      <c r="B1308" t="s">
        <v>49561</v>
      </c>
      <c r="C1308">
        <v>0.58401560143634801</v>
      </c>
      <c r="D1308">
        <v>4.6008077903245903E-2</v>
      </c>
      <c r="E1308">
        <v>0.82614931211906995</v>
      </c>
      <c r="F1308">
        <v>5.9987876338654198</v>
      </c>
    </row>
    <row r="1309" spans="1:6">
      <c r="A1309" t="s">
        <v>49560</v>
      </c>
      <c r="B1309" t="s">
        <v>49562</v>
      </c>
      <c r="C1309">
        <v>6.49192017524204E-2</v>
      </c>
      <c r="D1309">
        <v>4.6008077903245903E-2</v>
      </c>
      <c r="E1309">
        <v>0.82614931211906995</v>
      </c>
      <c r="F1309">
        <v>5.9987876338654198</v>
      </c>
    </row>
    <row r="1310" spans="1:6">
      <c r="A1310" t="s">
        <v>49560</v>
      </c>
      <c r="B1310" t="s">
        <v>49563</v>
      </c>
      <c r="C1310">
        <v>0</v>
      </c>
      <c r="D1310">
        <v>4.6008077903245903E-2</v>
      </c>
      <c r="E1310">
        <v>0.82614931211906995</v>
      </c>
      <c r="F1310">
        <v>5.9987876338654198</v>
      </c>
    </row>
    <row r="1311" spans="1:6">
      <c r="A1311" t="s">
        <v>49560</v>
      </c>
      <c r="B1311" t="s">
        <v>49564</v>
      </c>
      <c r="C1311">
        <v>0</v>
      </c>
      <c r="D1311">
        <v>4.6008077903245903E-2</v>
      </c>
      <c r="E1311">
        <v>0.82614931211906995</v>
      </c>
      <c r="F1311">
        <v>5.9987876338654198</v>
      </c>
    </row>
    <row r="1312" spans="1:6">
      <c r="A1312" t="s">
        <v>49565</v>
      </c>
      <c r="B1312" t="s">
        <v>49566</v>
      </c>
      <c r="C1312">
        <v>0</v>
      </c>
      <c r="D1312">
        <v>0.390037210397084</v>
      </c>
      <c r="E1312">
        <v>0.99885091190425301</v>
      </c>
      <c r="F1312">
        <v>1.0765811275004999</v>
      </c>
    </row>
    <row r="1313" spans="1:6">
      <c r="A1313" t="s">
        <v>49565</v>
      </c>
      <c r="B1313" t="s">
        <v>49567</v>
      </c>
      <c r="C1313">
        <v>0</v>
      </c>
      <c r="D1313">
        <v>0.390037210397084</v>
      </c>
      <c r="E1313">
        <v>0.99885091190425301</v>
      </c>
      <c r="F1313">
        <v>1.0765811275004999</v>
      </c>
    </row>
    <row r="1314" spans="1:6">
      <c r="A1314" t="s">
        <v>49565</v>
      </c>
      <c r="B1314" t="s">
        <v>49568</v>
      </c>
      <c r="C1314">
        <v>0</v>
      </c>
      <c r="D1314">
        <v>0.390037210397084</v>
      </c>
      <c r="E1314">
        <v>0.99885091190425301</v>
      </c>
      <c r="F1314">
        <v>1.0765811275004999</v>
      </c>
    </row>
    <row r="1315" spans="1:6">
      <c r="A1315" t="s">
        <v>49565</v>
      </c>
      <c r="B1315" t="s">
        <v>49569</v>
      </c>
      <c r="C1315">
        <v>0</v>
      </c>
      <c r="D1315">
        <v>0.390037210397084</v>
      </c>
      <c r="E1315">
        <v>0.99885091190425301</v>
      </c>
      <c r="F1315">
        <v>1.0765811275004999</v>
      </c>
    </row>
    <row r="1316" spans="1:6">
      <c r="A1316" t="s">
        <v>49565</v>
      </c>
      <c r="B1316" t="s">
        <v>49570</v>
      </c>
      <c r="C1316">
        <v>0</v>
      </c>
      <c r="D1316">
        <v>0.390037210397084</v>
      </c>
      <c r="E1316">
        <v>0.99885091190425301</v>
      </c>
      <c r="F1316">
        <v>1.0765811275004999</v>
      </c>
    </row>
    <row r="1317" spans="1:6">
      <c r="A1317" t="s">
        <v>49565</v>
      </c>
      <c r="B1317" t="s">
        <v>49571</v>
      </c>
      <c r="C1317">
        <v>0</v>
      </c>
      <c r="D1317">
        <v>0.390037210397084</v>
      </c>
      <c r="E1317">
        <v>0.99885091190425301</v>
      </c>
      <c r="F1317">
        <v>1.0765811275004999</v>
      </c>
    </row>
    <row r="1318" spans="1:6">
      <c r="A1318" t="s">
        <v>49565</v>
      </c>
      <c r="B1318" t="s">
        <v>49572</v>
      </c>
      <c r="C1318">
        <v>0</v>
      </c>
      <c r="D1318">
        <v>0.390037210397084</v>
      </c>
      <c r="E1318">
        <v>0.99885091190425301</v>
      </c>
      <c r="F1318">
        <v>1.0765811275004999</v>
      </c>
    </row>
    <row r="1319" spans="1:6">
      <c r="A1319" t="s">
        <v>49565</v>
      </c>
      <c r="B1319" t="s">
        <v>49573</v>
      </c>
      <c r="C1319">
        <v>0</v>
      </c>
      <c r="D1319">
        <v>0.390037210397084</v>
      </c>
      <c r="E1319">
        <v>0.99885091190425301</v>
      </c>
      <c r="F1319">
        <v>1.0765811275004999</v>
      </c>
    </row>
    <row r="1320" spans="1:6">
      <c r="A1320" t="s">
        <v>49565</v>
      </c>
      <c r="B1320" t="s">
        <v>49574</v>
      </c>
      <c r="C1320">
        <v>0</v>
      </c>
      <c r="D1320">
        <v>0.390037210397084</v>
      </c>
      <c r="E1320">
        <v>0.99885091190425301</v>
      </c>
      <c r="F1320">
        <v>1.0765811275004999</v>
      </c>
    </row>
    <row r="1321" spans="1:6">
      <c r="A1321" t="s">
        <v>49565</v>
      </c>
      <c r="B1321" t="s">
        <v>49575</v>
      </c>
      <c r="C1321">
        <v>0.28806941352504301</v>
      </c>
      <c r="D1321">
        <v>0.390037210397084</v>
      </c>
      <c r="E1321">
        <v>0.99885091190425301</v>
      </c>
      <c r="F1321">
        <v>1.0765811275004999</v>
      </c>
    </row>
    <row r="1322" spans="1:6">
      <c r="A1322" t="s">
        <v>49565</v>
      </c>
      <c r="B1322" t="s">
        <v>49576</v>
      </c>
      <c r="C1322">
        <v>0</v>
      </c>
      <c r="D1322">
        <v>0.390037210397084</v>
      </c>
      <c r="E1322">
        <v>0.99885091190425301</v>
      </c>
      <c r="F1322">
        <v>1.0765811275004999</v>
      </c>
    </row>
    <row r="1323" spans="1:6">
      <c r="A1323" t="s">
        <v>49565</v>
      </c>
      <c r="B1323" t="s">
        <v>49577</v>
      </c>
      <c r="C1323">
        <v>0</v>
      </c>
      <c r="D1323">
        <v>0.390037210397084</v>
      </c>
      <c r="E1323">
        <v>0.99885091190425301</v>
      </c>
      <c r="F1323">
        <v>1.0765811275004999</v>
      </c>
    </row>
    <row r="1324" spans="1:6">
      <c r="A1324" t="s">
        <v>49565</v>
      </c>
      <c r="B1324" t="s">
        <v>49578</v>
      </c>
      <c r="C1324">
        <v>0</v>
      </c>
      <c r="D1324">
        <v>0.390037210397084</v>
      </c>
      <c r="E1324">
        <v>0.99885091190425301</v>
      </c>
      <c r="F1324">
        <v>1.0765811275004999</v>
      </c>
    </row>
    <row r="1325" spans="1:6">
      <c r="A1325" t="s">
        <v>49565</v>
      </c>
      <c r="B1325" t="s">
        <v>49579</v>
      </c>
      <c r="C1325">
        <v>0</v>
      </c>
      <c r="D1325">
        <v>0.390037210397084</v>
      </c>
      <c r="E1325">
        <v>0.99885091190425301</v>
      </c>
      <c r="F1325">
        <v>1.0765811275004999</v>
      </c>
    </row>
    <row r="1326" spans="1:6">
      <c r="A1326" t="s">
        <v>49565</v>
      </c>
      <c r="B1326" t="s">
        <v>49580</v>
      </c>
      <c r="C1326">
        <v>0</v>
      </c>
      <c r="D1326">
        <v>0.390037210397084</v>
      </c>
      <c r="E1326">
        <v>0.99885091190425301</v>
      </c>
      <c r="F1326">
        <v>1.0765811275004999</v>
      </c>
    </row>
    <row r="1327" spans="1:6">
      <c r="A1327" t="s">
        <v>49565</v>
      </c>
      <c r="B1327" t="s">
        <v>49581</v>
      </c>
      <c r="C1327">
        <v>0</v>
      </c>
      <c r="D1327">
        <v>0.390037210397084</v>
      </c>
      <c r="E1327">
        <v>0.99885091190425301</v>
      </c>
      <c r="F1327">
        <v>1.0765811275004999</v>
      </c>
    </row>
    <row r="1328" spans="1:6">
      <c r="A1328" t="s">
        <v>49565</v>
      </c>
      <c r="B1328" t="s">
        <v>49582</v>
      </c>
      <c r="C1328">
        <v>0</v>
      </c>
      <c r="D1328">
        <v>0.390037210397084</v>
      </c>
      <c r="E1328">
        <v>0.99885091190425301</v>
      </c>
      <c r="F1328">
        <v>1.0765811275004999</v>
      </c>
    </row>
    <row r="1329" spans="1:6">
      <c r="A1329" t="s">
        <v>49565</v>
      </c>
      <c r="B1329" t="s">
        <v>49583</v>
      </c>
      <c r="C1329">
        <v>0</v>
      </c>
      <c r="D1329">
        <v>0.390037210397084</v>
      </c>
      <c r="E1329">
        <v>0.99885091190425301</v>
      </c>
      <c r="F1329">
        <v>1.0765811275004999</v>
      </c>
    </row>
    <row r="1330" spans="1:6">
      <c r="A1330" t="s">
        <v>49565</v>
      </c>
      <c r="B1330" t="s">
        <v>49584</v>
      </c>
      <c r="C1330">
        <v>0</v>
      </c>
      <c r="D1330">
        <v>0.390037210397084</v>
      </c>
      <c r="E1330">
        <v>0.99885091190425301</v>
      </c>
      <c r="F1330">
        <v>1.0765811275004999</v>
      </c>
    </row>
    <row r="1331" spans="1:6">
      <c r="A1331" t="s">
        <v>49565</v>
      </c>
      <c r="B1331" t="s">
        <v>49585</v>
      </c>
      <c r="C1331">
        <v>0</v>
      </c>
      <c r="D1331">
        <v>0.390037210397084</v>
      </c>
      <c r="E1331">
        <v>0.99885091190425301</v>
      </c>
      <c r="F1331">
        <v>1.0765811275004999</v>
      </c>
    </row>
    <row r="1332" spans="1:6">
      <c r="A1332" t="s">
        <v>49565</v>
      </c>
      <c r="B1332" t="s">
        <v>49586</v>
      </c>
      <c r="C1332">
        <v>0.72300644734054698</v>
      </c>
      <c r="D1332">
        <v>0.390037210397084</v>
      </c>
      <c r="E1332">
        <v>0.99885091190425301</v>
      </c>
      <c r="F1332">
        <v>1.0765811275004999</v>
      </c>
    </row>
    <row r="1333" spans="1:6">
      <c r="A1333" t="s">
        <v>49565</v>
      </c>
      <c r="B1333" t="s">
        <v>49587</v>
      </c>
      <c r="C1333">
        <v>0</v>
      </c>
      <c r="D1333">
        <v>0.390037210397084</v>
      </c>
      <c r="E1333">
        <v>0.99885091190425301</v>
      </c>
      <c r="F1333">
        <v>1.0765811275004999</v>
      </c>
    </row>
    <row r="1334" spans="1:6">
      <c r="A1334" t="s">
        <v>49565</v>
      </c>
      <c r="B1334" t="s">
        <v>49588</v>
      </c>
      <c r="C1334">
        <v>0</v>
      </c>
      <c r="D1334">
        <v>0.390037210397084</v>
      </c>
      <c r="E1334">
        <v>0.99885091190425301</v>
      </c>
      <c r="F1334">
        <v>1.0765811275004999</v>
      </c>
    </row>
    <row r="1335" spans="1:6">
      <c r="A1335" t="s">
        <v>49565</v>
      </c>
      <c r="B1335" t="s">
        <v>49589</v>
      </c>
      <c r="C1335">
        <v>0</v>
      </c>
      <c r="D1335">
        <v>0.390037210397084</v>
      </c>
      <c r="E1335">
        <v>0.99885091190425301</v>
      </c>
      <c r="F1335">
        <v>1.0765811275004999</v>
      </c>
    </row>
    <row r="1336" spans="1:6">
      <c r="A1336" t="s">
        <v>49565</v>
      </c>
      <c r="B1336" t="s">
        <v>49590</v>
      </c>
      <c r="C1336">
        <v>0</v>
      </c>
      <c r="D1336">
        <v>0.390037210397084</v>
      </c>
      <c r="E1336">
        <v>0.99885091190425301</v>
      </c>
      <c r="F1336">
        <v>1.0765811275004999</v>
      </c>
    </row>
    <row r="1337" spans="1:6">
      <c r="A1337" t="s">
        <v>49565</v>
      </c>
      <c r="B1337" t="s">
        <v>49591</v>
      </c>
      <c r="C1337">
        <v>0</v>
      </c>
      <c r="D1337">
        <v>0.390037210397084</v>
      </c>
      <c r="E1337">
        <v>0.99885091190425301</v>
      </c>
      <c r="F1337">
        <v>1.0765811275004999</v>
      </c>
    </row>
    <row r="1338" spans="1:6">
      <c r="A1338" t="s">
        <v>49565</v>
      </c>
      <c r="B1338" t="s">
        <v>49592</v>
      </c>
      <c r="C1338">
        <v>0</v>
      </c>
      <c r="D1338">
        <v>0.390037210397084</v>
      </c>
      <c r="E1338">
        <v>0.99885091190425301</v>
      </c>
      <c r="F1338">
        <v>1.0765811275004999</v>
      </c>
    </row>
    <row r="1339" spans="1:6">
      <c r="A1339" t="s">
        <v>49565</v>
      </c>
      <c r="B1339" t="s">
        <v>49593</v>
      </c>
      <c r="C1339">
        <v>0</v>
      </c>
      <c r="D1339">
        <v>0.390037210397084</v>
      </c>
      <c r="E1339">
        <v>0.99885091190425301</v>
      </c>
      <c r="F1339">
        <v>1.0765811275004999</v>
      </c>
    </row>
    <row r="1340" spans="1:6">
      <c r="A1340" t="s">
        <v>49594</v>
      </c>
      <c r="B1340" t="s">
        <v>49595</v>
      </c>
      <c r="C1340">
        <v>0</v>
      </c>
      <c r="D1340">
        <v>0.433030432110102</v>
      </c>
      <c r="E1340">
        <v>0.98952269765952106</v>
      </c>
      <c r="F1340">
        <v>1.0280864821175899</v>
      </c>
    </row>
    <row r="1341" spans="1:6">
      <c r="A1341" t="s">
        <v>49594</v>
      </c>
      <c r="B1341" t="s">
        <v>49596</v>
      </c>
      <c r="C1341">
        <v>0</v>
      </c>
      <c r="D1341">
        <v>0.433030432110102</v>
      </c>
      <c r="E1341">
        <v>0.98952269765952106</v>
      </c>
      <c r="F1341">
        <v>1.0280864821175899</v>
      </c>
    </row>
    <row r="1342" spans="1:6">
      <c r="A1342" t="s">
        <v>49594</v>
      </c>
      <c r="B1342" t="s">
        <v>49597</v>
      </c>
      <c r="C1342">
        <v>0</v>
      </c>
      <c r="D1342">
        <v>0.433030432110102</v>
      </c>
      <c r="E1342">
        <v>0.98952269765952106</v>
      </c>
      <c r="F1342">
        <v>1.0280864821175899</v>
      </c>
    </row>
    <row r="1343" spans="1:6">
      <c r="A1343" t="s">
        <v>49594</v>
      </c>
      <c r="B1343" t="s">
        <v>49598</v>
      </c>
      <c r="C1343">
        <v>0</v>
      </c>
      <c r="D1343">
        <v>0.433030432110102</v>
      </c>
      <c r="E1343">
        <v>0.98952269765952106</v>
      </c>
      <c r="F1343">
        <v>1.0280864821175899</v>
      </c>
    </row>
    <row r="1344" spans="1:6">
      <c r="A1344" t="s">
        <v>49594</v>
      </c>
      <c r="B1344" t="s">
        <v>49599</v>
      </c>
      <c r="C1344">
        <v>0</v>
      </c>
      <c r="D1344">
        <v>0.433030432110102</v>
      </c>
      <c r="E1344">
        <v>0.98952269765952106</v>
      </c>
      <c r="F1344">
        <v>1.0280864821175899</v>
      </c>
    </row>
    <row r="1345" spans="1:6">
      <c r="A1345" t="s">
        <v>49594</v>
      </c>
      <c r="B1345" t="s">
        <v>49600</v>
      </c>
      <c r="C1345">
        <v>0.21054583645046501</v>
      </c>
      <c r="D1345">
        <v>0.433030432110102</v>
      </c>
      <c r="E1345">
        <v>0.98952269765952106</v>
      </c>
      <c r="F1345">
        <v>1.0280864821175899</v>
      </c>
    </row>
    <row r="1346" spans="1:6">
      <c r="A1346" t="s">
        <v>49594</v>
      </c>
      <c r="B1346" t="s">
        <v>49601</v>
      </c>
      <c r="C1346">
        <v>0.693180104792395</v>
      </c>
      <c r="D1346">
        <v>0.433030432110102</v>
      </c>
      <c r="E1346">
        <v>0.98952269765952106</v>
      </c>
      <c r="F1346">
        <v>1.0280864821175899</v>
      </c>
    </row>
    <row r="1347" spans="1:6">
      <c r="A1347" t="s">
        <v>49602</v>
      </c>
      <c r="B1347" t="s">
        <v>49603</v>
      </c>
      <c r="C1347">
        <v>-2.5191584018025099</v>
      </c>
      <c r="D1347">
        <v>3.0068156137089901E-2</v>
      </c>
      <c r="E1347">
        <v>0.93791000001165403</v>
      </c>
      <c r="F1347">
        <v>1.5906243685593</v>
      </c>
    </row>
    <row r="1348" spans="1:6">
      <c r="A1348" t="s">
        <v>49602</v>
      </c>
      <c r="B1348" t="s">
        <v>49604</v>
      </c>
      <c r="C1348">
        <v>1.9805762088385599</v>
      </c>
      <c r="D1348">
        <v>3.0068156137089901E-2</v>
      </c>
      <c r="E1348">
        <v>0.93791000001165403</v>
      </c>
      <c r="F1348">
        <v>1.5906243685593</v>
      </c>
    </row>
    <row r="1349" spans="1:6">
      <c r="A1349" t="s">
        <v>49605</v>
      </c>
      <c r="B1349" t="s">
        <v>49606</v>
      </c>
      <c r="C1349">
        <v>0</v>
      </c>
      <c r="D1349">
        <v>0.27425340559134798</v>
      </c>
      <c r="E1349">
        <v>0.99521501081858799</v>
      </c>
      <c r="F1349">
        <v>10.8288543140028</v>
      </c>
    </row>
    <row r="1350" spans="1:6">
      <c r="A1350" t="s">
        <v>49605</v>
      </c>
      <c r="B1350" t="s">
        <v>49607</v>
      </c>
      <c r="C1350">
        <v>0.60937090566989505</v>
      </c>
      <c r="D1350">
        <v>0.27425340559134798</v>
      </c>
      <c r="E1350">
        <v>0.99521501081858799</v>
      </c>
      <c r="F1350">
        <v>10.8288543140028</v>
      </c>
    </row>
    <row r="1351" spans="1:6">
      <c r="A1351" t="s">
        <v>49605</v>
      </c>
      <c r="B1351" t="s">
        <v>49608</v>
      </c>
      <c r="C1351">
        <v>0.744455119843493</v>
      </c>
      <c r="D1351">
        <v>0.27425340559134798</v>
      </c>
      <c r="E1351">
        <v>0.99521501081858799</v>
      </c>
      <c r="F1351">
        <v>10.8288543140028</v>
      </c>
    </row>
    <row r="1352" spans="1:6">
      <c r="A1352" t="s">
        <v>49605</v>
      </c>
      <c r="B1352" t="s">
        <v>49609</v>
      </c>
      <c r="C1352">
        <v>0</v>
      </c>
      <c r="D1352">
        <v>0.27425340559134798</v>
      </c>
      <c r="E1352">
        <v>0.99521501081858799</v>
      </c>
      <c r="F1352">
        <v>10.8288543140028</v>
      </c>
    </row>
    <row r="1353" spans="1:6">
      <c r="A1353" t="s">
        <v>49610</v>
      </c>
      <c r="B1353" t="s">
        <v>49611</v>
      </c>
      <c r="C1353">
        <v>0</v>
      </c>
      <c r="D1353">
        <v>2.3390542363198898E-2</v>
      </c>
      <c r="E1353">
        <v>0.96788881754064904</v>
      </c>
      <c r="F1353">
        <v>6.4934330167710597</v>
      </c>
    </row>
    <row r="1354" spans="1:6">
      <c r="A1354" t="s">
        <v>49610</v>
      </c>
      <c r="B1354" t="s">
        <v>49612</v>
      </c>
      <c r="C1354">
        <v>0.73528021201669602</v>
      </c>
      <c r="D1354">
        <v>2.3390542363198898E-2</v>
      </c>
      <c r="E1354">
        <v>0.96788881754064904</v>
      </c>
      <c r="F1354">
        <v>6.4934330167710597</v>
      </c>
    </row>
    <row r="1355" spans="1:6">
      <c r="A1355" t="s">
        <v>49610</v>
      </c>
      <c r="B1355" t="s">
        <v>49613</v>
      </c>
      <c r="C1355">
        <v>0</v>
      </c>
      <c r="D1355">
        <v>2.3390542363198898E-2</v>
      </c>
      <c r="E1355">
        <v>0.96788881754064904</v>
      </c>
      <c r="F1355">
        <v>6.4934330167710597</v>
      </c>
    </row>
    <row r="1356" spans="1:6">
      <c r="A1356" t="s">
        <v>49610</v>
      </c>
      <c r="B1356" t="s">
        <v>49614</v>
      </c>
      <c r="C1356">
        <v>0.52981295585796895</v>
      </c>
      <c r="D1356">
        <v>2.3390542363198898E-2</v>
      </c>
      <c r="E1356">
        <v>0.96788881754064904</v>
      </c>
      <c r="F1356">
        <v>6.4934330167710597</v>
      </c>
    </row>
    <row r="1357" spans="1:6">
      <c r="A1357" t="s">
        <v>49615</v>
      </c>
      <c r="B1357" t="s">
        <v>49616</v>
      </c>
      <c r="C1357">
        <v>0.35556562091160698</v>
      </c>
      <c r="D1357">
        <v>0.31391084500802602</v>
      </c>
      <c r="E1357">
        <v>0.97492245378057896</v>
      </c>
      <c r="F1357">
        <v>7.2741968074358399</v>
      </c>
    </row>
    <row r="1358" spans="1:6">
      <c r="A1358" t="s">
        <v>49615</v>
      </c>
      <c r="B1358" t="s">
        <v>49617</v>
      </c>
      <c r="C1358">
        <v>0.72465014613725398</v>
      </c>
      <c r="D1358">
        <v>0.31391084500802602</v>
      </c>
      <c r="E1358">
        <v>0.97492245378057896</v>
      </c>
      <c r="F1358">
        <v>7.2741968074358399</v>
      </c>
    </row>
    <row r="1359" spans="1:6">
      <c r="A1359" t="s">
        <v>49618</v>
      </c>
      <c r="B1359" t="s">
        <v>49619</v>
      </c>
      <c r="C1359">
        <v>0</v>
      </c>
      <c r="D1359">
        <v>0.39998553883624199</v>
      </c>
      <c r="E1359">
        <v>0.99050362992558505</v>
      </c>
      <c r="F1359">
        <v>5.6399272580319204</v>
      </c>
    </row>
    <row r="1360" spans="1:6">
      <c r="A1360" t="s">
        <v>49618</v>
      </c>
      <c r="B1360" t="s">
        <v>49620</v>
      </c>
      <c r="C1360">
        <v>0</v>
      </c>
      <c r="D1360">
        <v>0.39998553883624199</v>
      </c>
      <c r="E1360">
        <v>0.99050362992558505</v>
      </c>
      <c r="F1360">
        <v>5.6399272580319204</v>
      </c>
    </row>
    <row r="1361" spans="1:6">
      <c r="A1361" t="s">
        <v>49618</v>
      </c>
      <c r="B1361" t="s">
        <v>49621</v>
      </c>
      <c r="C1361">
        <v>0.222575901823691</v>
      </c>
      <c r="D1361">
        <v>0.39998553883624199</v>
      </c>
      <c r="E1361">
        <v>0.99050362992558505</v>
      </c>
      <c r="F1361">
        <v>5.6399272580319204</v>
      </c>
    </row>
    <row r="1362" spans="1:6">
      <c r="A1362" t="s">
        <v>49618</v>
      </c>
      <c r="B1362" t="s">
        <v>49622</v>
      </c>
      <c r="C1362">
        <v>0</v>
      </c>
      <c r="D1362">
        <v>0.39998553883624199</v>
      </c>
      <c r="E1362">
        <v>0.99050362992558505</v>
      </c>
      <c r="F1362">
        <v>5.6399272580319204</v>
      </c>
    </row>
    <row r="1363" spans="1:6">
      <c r="A1363" t="s">
        <v>49618</v>
      </c>
      <c r="B1363" t="s">
        <v>49623</v>
      </c>
      <c r="C1363">
        <v>0.69593322284089199</v>
      </c>
      <c r="D1363">
        <v>0.39998553883624199</v>
      </c>
      <c r="E1363">
        <v>0.99050362992558505</v>
      </c>
      <c r="F1363">
        <v>5.6399272580319204</v>
      </c>
    </row>
    <row r="1364" spans="1:6">
      <c r="A1364" t="s">
        <v>49618</v>
      </c>
      <c r="B1364" t="s">
        <v>49624</v>
      </c>
      <c r="C1364">
        <v>0</v>
      </c>
      <c r="D1364">
        <v>0.39998553883624199</v>
      </c>
      <c r="E1364">
        <v>0.99050362992558505</v>
      </c>
      <c r="F1364">
        <v>5.6399272580319204</v>
      </c>
    </row>
    <row r="1365" spans="1:6">
      <c r="A1365" t="s">
        <v>49618</v>
      </c>
      <c r="B1365" t="s">
        <v>49625</v>
      </c>
      <c r="C1365">
        <v>0</v>
      </c>
      <c r="D1365">
        <v>0.39998553883624199</v>
      </c>
      <c r="E1365">
        <v>0.99050362992558505</v>
      </c>
      <c r="F1365">
        <v>5.6399272580319204</v>
      </c>
    </row>
    <row r="1366" spans="1:6">
      <c r="A1366" t="s">
        <v>49626</v>
      </c>
      <c r="B1366" t="s">
        <v>49627</v>
      </c>
      <c r="C1366">
        <v>0.77429597698673802</v>
      </c>
      <c r="D1366">
        <v>7.4226514660887505E-2</v>
      </c>
      <c r="E1366">
        <v>0.89157506348337401</v>
      </c>
      <c r="F1366">
        <v>1.78460295009092</v>
      </c>
    </row>
    <row r="1367" spans="1:6">
      <c r="A1367" t="s">
        <v>49626</v>
      </c>
      <c r="B1367" t="s">
        <v>49628</v>
      </c>
      <c r="C1367">
        <v>4.7740650073905197E-2</v>
      </c>
      <c r="D1367">
        <v>7.4226514660887505E-2</v>
      </c>
      <c r="E1367">
        <v>0.89157506348337401</v>
      </c>
      <c r="F1367">
        <v>1.78460295009092</v>
      </c>
    </row>
    <row r="1368" spans="1:6">
      <c r="A1368" t="s">
        <v>49629</v>
      </c>
      <c r="B1368" t="s">
        <v>49630</v>
      </c>
      <c r="C1368">
        <v>0.39755008981399498</v>
      </c>
      <c r="D1368">
        <v>0.18332345638460601</v>
      </c>
      <c r="E1368">
        <v>0.987834183978893</v>
      </c>
      <c r="F1368">
        <v>7.8173368357243804</v>
      </c>
    </row>
    <row r="1369" spans="1:6">
      <c r="A1369" t="s">
        <v>49629</v>
      </c>
      <c r="B1369" t="s">
        <v>49631</v>
      </c>
      <c r="C1369">
        <v>1.1150064826842501</v>
      </c>
      <c r="D1369">
        <v>0.18332345638460601</v>
      </c>
      <c r="E1369">
        <v>0.987834183978893</v>
      </c>
      <c r="F1369">
        <v>7.8173368357243804</v>
      </c>
    </row>
    <row r="1370" spans="1:6">
      <c r="A1370" t="s">
        <v>49632</v>
      </c>
      <c r="B1370" t="s">
        <v>49633</v>
      </c>
      <c r="C1370">
        <v>0</v>
      </c>
      <c r="D1370">
        <v>0.87774529571853399</v>
      </c>
      <c r="E1370">
        <v>0.83560523883240501</v>
      </c>
      <c r="F1370">
        <v>0.83410790058597695</v>
      </c>
    </row>
    <row r="1371" spans="1:6">
      <c r="A1371" t="s">
        <v>49632</v>
      </c>
      <c r="B1371" t="s">
        <v>49634</v>
      </c>
      <c r="C1371">
        <v>0</v>
      </c>
      <c r="D1371">
        <v>0.87774529571853399</v>
      </c>
      <c r="E1371">
        <v>0.83560523883240501</v>
      </c>
      <c r="F1371">
        <v>0.83410790058597695</v>
      </c>
    </row>
    <row r="1372" spans="1:6">
      <c r="A1372" t="s">
        <v>49632</v>
      </c>
      <c r="B1372" t="s">
        <v>49635</v>
      </c>
      <c r="C1372">
        <v>0.50760523883240505</v>
      </c>
      <c r="D1372">
        <v>0.87774529571853399</v>
      </c>
      <c r="E1372">
        <v>0.83560523883240501</v>
      </c>
      <c r="F1372">
        <v>0.83410790058597695</v>
      </c>
    </row>
    <row r="1373" spans="1:6">
      <c r="A1373" t="s">
        <v>49632</v>
      </c>
      <c r="B1373" t="s">
        <v>49636</v>
      </c>
      <c r="C1373">
        <v>0</v>
      </c>
      <c r="D1373">
        <v>0.87774529571853399</v>
      </c>
      <c r="E1373">
        <v>0.83560523883240501</v>
      </c>
      <c r="F1373">
        <v>0.83410790058597695</v>
      </c>
    </row>
    <row r="1374" spans="1:6">
      <c r="A1374" t="s">
        <v>49637</v>
      </c>
      <c r="B1374" t="s">
        <v>49638</v>
      </c>
      <c r="C1374">
        <v>0</v>
      </c>
      <c r="D1374">
        <v>0.27077405139683902</v>
      </c>
      <c r="E1374">
        <v>0.93970117419135502</v>
      </c>
      <c r="F1374">
        <v>12.1721559911093</v>
      </c>
    </row>
    <row r="1375" spans="1:6">
      <c r="A1375" t="s">
        <v>49637</v>
      </c>
      <c r="B1375" t="s">
        <v>49639</v>
      </c>
      <c r="C1375">
        <v>0</v>
      </c>
      <c r="D1375">
        <v>0.27077405139683902</v>
      </c>
      <c r="E1375">
        <v>0.93970117419135502</v>
      </c>
      <c r="F1375">
        <v>12.1721559911093</v>
      </c>
    </row>
    <row r="1376" spans="1:6">
      <c r="A1376" t="s">
        <v>49637</v>
      </c>
      <c r="B1376" t="s">
        <v>49640</v>
      </c>
      <c r="C1376">
        <v>0.118446989487672</v>
      </c>
      <c r="D1376">
        <v>0.27077405139683902</v>
      </c>
      <c r="E1376">
        <v>0.93970117419135502</v>
      </c>
      <c r="F1376">
        <v>12.1721559911093</v>
      </c>
    </row>
    <row r="1377" spans="1:6">
      <c r="A1377" t="s">
        <v>49637</v>
      </c>
      <c r="B1377" t="s">
        <v>49641</v>
      </c>
      <c r="C1377">
        <v>0</v>
      </c>
      <c r="D1377">
        <v>0.27077405139683902</v>
      </c>
      <c r="E1377">
        <v>0.93970117419135502</v>
      </c>
      <c r="F1377">
        <v>12.1721559911093</v>
      </c>
    </row>
    <row r="1378" spans="1:6">
      <c r="A1378" t="s">
        <v>49637</v>
      </c>
      <c r="B1378" t="s">
        <v>49642</v>
      </c>
      <c r="C1378">
        <v>0.415828738556065</v>
      </c>
      <c r="D1378">
        <v>0.27077405139683902</v>
      </c>
      <c r="E1378">
        <v>0.93970117419135502</v>
      </c>
      <c r="F1378">
        <v>12.1721559911093</v>
      </c>
    </row>
    <row r="1379" spans="1:6">
      <c r="A1379" t="s">
        <v>49637</v>
      </c>
      <c r="B1379" t="s">
        <v>49643</v>
      </c>
      <c r="C1379">
        <v>0</v>
      </c>
      <c r="D1379">
        <v>0.27077405139683902</v>
      </c>
      <c r="E1379">
        <v>0.93970117419135502</v>
      </c>
      <c r="F1379">
        <v>12.1721559911093</v>
      </c>
    </row>
    <row r="1380" spans="1:6">
      <c r="A1380" t="s">
        <v>49637</v>
      </c>
      <c r="B1380" t="s">
        <v>49644</v>
      </c>
      <c r="C1380">
        <v>0</v>
      </c>
      <c r="D1380">
        <v>0.27077405139683902</v>
      </c>
      <c r="E1380">
        <v>0.93970117419135502</v>
      </c>
      <c r="F1380">
        <v>12.1721559911093</v>
      </c>
    </row>
    <row r="1381" spans="1:6">
      <c r="A1381" t="s">
        <v>49637</v>
      </c>
      <c r="B1381" t="s">
        <v>49645</v>
      </c>
      <c r="C1381">
        <v>0</v>
      </c>
      <c r="D1381">
        <v>0.27077405139683902</v>
      </c>
      <c r="E1381">
        <v>0.93970117419135502</v>
      </c>
      <c r="F1381">
        <v>12.1721559911093</v>
      </c>
    </row>
    <row r="1382" spans="1:6">
      <c r="A1382" t="s">
        <v>49637</v>
      </c>
      <c r="B1382" t="s">
        <v>49646</v>
      </c>
      <c r="C1382">
        <v>0</v>
      </c>
      <c r="D1382">
        <v>0.27077405139683902</v>
      </c>
      <c r="E1382">
        <v>0.93970117419135502</v>
      </c>
      <c r="F1382">
        <v>12.1721559911093</v>
      </c>
    </row>
    <row r="1383" spans="1:6">
      <c r="A1383" t="s">
        <v>49637</v>
      </c>
      <c r="B1383" t="s">
        <v>49647</v>
      </c>
      <c r="C1383">
        <v>0</v>
      </c>
      <c r="D1383">
        <v>0.27077405139683902</v>
      </c>
      <c r="E1383">
        <v>0.93970117419135502</v>
      </c>
      <c r="F1383">
        <v>12.1721559911093</v>
      </c>
    </row>
    <row r="1384" spans="1:6">
      <c r="A1384" t="s">
        <v>49637</v>
      </c>
      <c r="B1384" t="s">
        <v>49648</v>
      </c>
      <c r="C1384">
        <v>0</v>
      </c>
      <c r="D1384">
        <v>0.27077405139683902</v>
      </c>
      <c r="E1384">
        <v>0.93970117419135502</v>
      </c>
      <c r="F1384">
        <v>12.1721559911093</v>
      </c>
    </row>
    <row r="1385" spans="1:6">
      <c r="A1385" t="s">
        <v>49637</v>
      </c>
      <c r="B1385" t="s">
        <v>49649</v>
      </c>
      <c r="C1385">
        <v>0</v>
      </c>
      <c r="D1385">
        <v>0.27077405139683902</v>
      </c>
      <c r="E1385">
        <v>0.93970117419135502</v>
      </c>
      <c r="F1385">
        <v>12.1721559911093</v>
      </c>
    </row>
    <row r="1386" spans="1:6">
      <c r="A1386" t="s">
        <v>49650</v>
      </c>
      <c r="B1386" t="s">
        <v>49651</v>
      </c>
      <c r="C1386">
        <v>0</v>
      </c>
      <c r="D1386">
        <v>0.18012909712953601</v>
      </c>
      <c r="E1386" t="s">
        <v>106</v>
      </c>
      <c r="F1386">
        <v>4.8494645382905601E-3</v>
      </c>
    </row>
    <row r="1387" spans="1:6">
      <c r="A1387" t="s">
        <v>49650</v>
      </c>
      <c r="B1387" t="s">
        <v>49652</v>
      </c>
      <c r="C1387">
        <v>0</v>
      </c>
      <c r="D1387">
        <v>0.18012909712953601</v>
      </c>
      <c r="E1387" t="s">
        <v>106</v>
      </c>
      <c r="F1387">
        <v>4.8494645382905601E-3</v>
      </c>
    </row>
    <row r="1388" spans="1:6">
      <c r="A1388" t="s">
        <v>49650</v>
      </c>
      <c r="B1388" t="s">
        <v>49653</v>
      </c>
      <c r="C1388">
        <v>0</v>
      </c>
      <c r="D1388">
        <v>0.18012909712953601</v>
      </c>
      <c r="E1388" t="s">
        <v>106</v>
      </c>
      <c r="F1388">
        <v>4.8494645382905601E-3</v>
      </c>
    </row>
    <row r="1389" spans="1:6">
      <c r="A1389" t="s">
        <v>49654</v>
      </c>
      <c r="B1389" t="s">
        <v>49655</v>
      </c>
      <c r="C1389">
        <v>0</v>
      </c>
      <c r="D1389">
        <v>3.1448310512464397E-2</v>
      </c>
      <c r="E1389">
        <v>0.874099151949706</v>
      </c>
      <c r="F1389">
        <v>6.3673469387755102</v>
      </c>
    </row>
    <row r="1390" spans="1:6">
      <c r="A1390" t="s">
        <v>49654</v>
      </c>
      <c r="B1390" t="s">
        <v>49656</v>
      </c>
      <c r="C1390">
        <v>0</v>
      </c>
      <c r="D1390">
        <v>3.1448310512464397E-2</v>
      </c>
      <c r="E1390">
        <v>0.874099151949706</v>
      </c>
      <c r="F1390">
        <v>6.3673469387755102</v>
      </c>
    </row>
    <row r="1391" spans="1:6">
      <c r="A1391" t="s">
        <v>49654</v>
      </c>
      <c r="B1391" t="s">
        <v>49657</v>
      </c>
      <c r="C1391">
        <v>8.2436450891915897E-2</v>
      </c>
      <c r="D1391">
        <v>3.1448310512464397E-2</v>
      </c>
      <c r="E1391">
        <v>0.874099151949706</v>
      </c>
      <c r="F1391">
        <v>6.3673469387755102</v>
      </c>
    </row>
    <row r="1392" spans="1:6">
      <c r="A1392" t="s">
        <v>49654</v>
      </c>
      <c r="B1392" t="s">
        <v>49658</v>
      </c>
      <c r="C1392">
        <v>0</v>
      </c>
      <c r="D1392">
        <v>3.1448310512464397E-2</v>
      </c>
      <c r="E1392">
        <v>0.874099151949706</v>
      </c>
      <c r="F1392">
        <v>6.3673469387755102</v>
      </c>
    </row>
    <row r="1393" spans="1:6">
      <c r="A1393" t="s">
        <v>49654</v>
      </c>
      <c r="B1393" t="s">
        <v>49659</v>
      </c>
      <c r="C1393">
        <v>0</v>
      </c>
      <c r="D1393">
        <v>3.1448310512464397E-2</v>
      </c>
      <c r="E1393">
        <v>0.874099151949706</v>
      </c>
      <c r="F1393">
        <v>6.3673469387755102</v>
      </c>
    </row>
    <row r="1394" spans="1:6">
      <c r="A1394" t="s">
        <v>49654</v>
      </c>
      <c r="B1394" t="s">
        <v>49660</v>
      </c>
      <c r="C1394">
        <v>0.299424029379247</v>
      </c>
      <c r="D1394">
        <v>3.1448310512464397E-2</v>
      </c>
      <c r="E1394">
        <v>0.874099151949706</v>
      </c>
      <c r="F1394">
        <v>6.3673469387755102</v>
      </c>
    </row>
    <row r="1395" spans="1:6">
      <c r="A1395" t="s">
        <v>49654</v>
      </c>
      <c r="B1395" t="s">
        <v>49661</v>
      </c>
      <c r="C1395">
        <v>0</v>
      </c>
      <c r="D1395">
        <v>3.1448310512464397E-2</v>
      </c>
      <c r="E1395">
        <v>0.874099151949706</v>
      </c>
      <c r="F1395">
        <v>6.3673469387755102</v>
      </c>
    </row>
    <row r="1396" spans="1:6">
      <c r="A1396" t="s">
        <v>49662</v>
      </c>
      <c r="B1396" t="s">
        <v>49663</v>
      </c>
      <c r="C1396">
        <v>0</v>
      </c>
      <c r="D1396">
        <v>0.54295775303979699</v>
      </c>
      <c r="E1396">
        <v>0.99542561422676001</v>
      </c>
      <c r="F1396">
        <v>7.8173368357243804</v>
      </c>
    </row>
    <row r="1397" spans="1:6">
      <c r="A1397" t="s">
        <v>49662</v>
      </c>
      <c r="B1397" t="s">
        <v>49664</v>
      </c>
      <c r="C1397">
        <v>1.0910551139670299</v>
      </c>
      <c r="D1397">
        <v>0.54295775303979699</v>
      </c>
      <c r="E1397">
        <v>0.99542561422676001</v>
      </c>
      <c r="F1397">
        <v>7.8173368357243804</v>
      </c>
    </row>
    <row r="1398" spans="1:6">
      <c r="A1398" t="s">
        <v>49662</v>
      </c>
      <c r="B1398" t="s">
        <v>49665</v>
      </c>
      <c r="C1398">
        <v>0.218098394813662</v>
      </c>
      <c r="D1398">
        <v>0.54295775303979699</v>
      </c>
      <c r="E1398">
        <v>0.99542561422676001</v>
      </c>
      <c r="F1398">
        <v>7.8173368357243804</v>
      </c>
    </row>
    <row r="1399" spans="1:6">
      <c r="A1399" t="s">
        <v>49666</v>
      </c>
      <c r="B1399" t="s">
        <v>49667</v>
      </c>
      <c r="C1399">
        <v>0.85370660280558797</v>
      </c>
      <c r="D1399">
        <v>0.28756091070301798</v>
      </c>
      <c r="E1399">
        <v>0.94060022870414095</v>
      </c>
      <c r="F1399">
        <v>18.321277025661701</v>
      </c>
    </row>
    <row r="1400" spans="1:6">
      <c r="A1400" t="s">
        <v>49666</v>
      </c>
      <c r="B1400" t="s">
        <v>49668</v>
      </c>
      <c r="C1400">
        <v>0.44743931159005401</v>
      </c>
      <c r="D1400">
        <v>0.28756091070301798</v>
      </c>
      <c r="E1400">
        <v>0.94060022870414095</v>
      </c>
      <c r="F1400">
        <v>18.321277025661701</v>
      </c>
    </row>
    <row r="1401" spans="1:6">
      <c r="A1401" t="s">
        <v>49669</v>
      </c>
      <c r="B1401" t="s">
        <v>49670</v>
      </c>
      <c r="C1401">
        <v>0</v>
      </c>
      <c r="D1401">
        <v>0.21128230143554899</v>
      </c>
      <c r="E1401">
        <v>0.97561903137730299</v>
      </c>
      <c r="F1401">
        <v>2.8272378258233899</v>
      </c>
    </row>
    <row r="1402" spans="1:6">
      <c r="A1402" t="s">
        <v>49669</v>
      </c>
      <c r="B1402" t="s">
        <v>49671</v>
      </c>
      <c r="C1402">
        <v>0.87801903137730397</v>
      </c>
      <c r="D1402">
        <v>0.21128230143554899</v>
      </c>
      <c r="E1402">
        <v>0.97561903137730299</v>
      </c>
      <c r="F1402">
        <v>2.8272378258233899</v>
      </c>
    </row>
    <row r="1403" spans="1:6">
      <c r="A1403" t="s">
        <v>49669</v>
      </c>
      <c r="B1403" t="s">
        <v>49672</v>
      </c>
      <c r="C1403">
        <v>0</v>
      </c>
      <c r="D1403">
        <v>0.21128230143554899</v>
      </c>
      <c r="E1403">
        <v>0.97561903137730299</v>
      </c>
      <c r="F1403">
        <v>2.8272378258233899</v>
      </c>
    </row>
    <row r="1404" spans="1:6">
      <c r="A1404" t="s">
        <v>49669</v>
      </c>
      <c r="B1404" t="s">
        <v>49673</v>
      </c>
      <c r="C1404">
        <v>0</v>
      </c>
      <c r="D1404">
        <v>0.21128230143554899</v>
      </c>
      <c r="E1404">
        <v>0.97561903137730299</v>
      </c>
      <c r="F1404">
        <v>2.8272378258233899</v>
      </c>
    </row>
    <row r="1405" spans="1:6">
      <c r="A1405" t="s">
        <v>49669</v>
      </c>
      <c r="B1405" t="s">
        <v>49674</v>
      </c>
      <c r="C1405">
        <v>0</v>
      </c>
      <c r="D1405">
        <v>0.21128230143554899</v>
      </c>
      <c r="E1405">
        <v>0.97561903137730299</v>
      </c>
      <c r="F1405">
        <v>2.8272378258233899</v>
      </c>
    </row>
    <row r="1406" spans="1:6">
      <c r="A1406" t="s">
        <v>49669</v>
      </c>
      <c r="B1406" t="s">
        <v>49675</v>
      </c>
      <c r="C1406">
        <v>0</v>
      </c>
      <c r="D1406">
        <v>0.21128230143554899</v>
      </c>
      <c r="E1406">
        <v>0.97561903137730299</v>
      </c>
      <c r="F1406">
        <v>2.8272378258233899</v>
      </c>
    </row>
    <row r="1407" spans="1:6">
      <c r="A1407" t="s">
        <v>49676</v>
      </c>
      <c r="B1407" t="s">
        <v>49677</v>
      </c>
      <c r="C1407">
        <v>0</v>
      </c>
      <c r="D1407">
        <v>0.57742806905539501</v>
      </c>
      <c r="E1407">
        <v>0.99934969169108601</v>
      </c>
      <c r="F1407">
        <v>4.9561527581329496</v>
      </c>
    </row>
    <row r="1408" spans="1:6">
      <c r="A1408" t="s">
        <v>49676</v>
      </c>
      <c r="B1408" t="s">
        <v>49678</v>
      </c>
      <c r="C1408">
        <v>0.26129126772334399</v>
      </c>
      <c r="D1408">
        <v>0.57742806905539501</v>
      </c>
      <c r="E1408">
        <v>0.99934969169108601</v>
      </c>
      <c r="F1408">
        <v>4.9561527581329496</v>
      </c>
    </row>
    <row r="1409" spans="1:6">
      <c r="A1409" t="s">
        <v>49676</v>
      </c>
      <c r="B1409" t="s">
        <v>49679</v>
      </c>
      <c r="C1409">
        <v>0</v>
      </c>
      <c r="D1409">
        <v>0.57742806905539501</v>
      </c>
      <c r="E1409">
        <v>0.99934969169108601</v>
      </c>
      <c r="F1409">
        <v>4.9561527581329496</v>
      </c>
    </row>
    <row r="1410" spans="1:6">
      <c r="A1410" t="s">
        <v>49676</v>
      </c>
      <c r="B1410" t="s">
        <v>49680</v>
      </c>
      <c r="C1410">
        <v>0</v>
      </c>
      <c r="D1410">
        <v>0.57742806905539501</v>
      </c>
      <c r="E1410">
        <v>0.99934969169108601</v>
      </c>
      <c r="F1410">
        <v>4.9561527581329496</v>
      </c>
    </row>
    <row r="1411" spans="1:6">
      <c r="A1411" t="s">
        <v>49676</v>
      </c>
      <c r="B1411" t="s">
        <v>49681</v>
      </c>
      <c r="C1411">
        <v>0.76407063012893495</v>
      </c>
      <c r="D1411">
        <v>0.57742806905539501</v>
      </c>
      <c r="E1411">
        <v>0.99934969169108601</v>
      </c>
      <c r="F1411">
        <v>4.9561527581329496</v>
      </c>
    </row>
    <row r="1412" spans="1:6">
      <c r="A1412" t="s">
        <v>49682</v>
      </c>
      <c r="B1412" t="s">
        <v>49683</v>
      </c>
      <c r="C1412">
        <v>1.40023872344949</v>
      </c>
      <c r="D1412">
        <v>0.34189948820169702</v>
      </c>
      <c r="E1412">
        <v>0.94925572504251499</v>
      </c>
      <c r="F1412">
        <v>7.13841180036371</v>
      </c>
    </row>
    <row r="1413" spans="1:6">
      <c r="A1413" t="s">
        <v>49682</v>
      </c>
      <c r="B1413" t="s">
        <v>49684</v>
      </c>
      <c r="C1413">
        <v>-2.0248880606452002</v>
      </c>
      <c r="D1413">
        <v>0.34189948820169702</v>
      </c>
      <c r="E1413">
        <v>0.94925572504251499</v>
      </c>
      <c r="F1413">
        <v>7.13841180036371</v>
      </c>
    </row>
    <row r="1414" spans="1:6">
      <c r="A1414" t="s">
        <v>49685</v>
      </c>
      <c r="B1414" t="s">
        <v>49686</v>
      </c>
      <c r="C1414">
        <v>0</v>
      </c>
      <c r="D1414">
        <v>0.50251116842110299</v>
      </c>
      <c r="E1414">
        <v>0.96491847566968703</v>
      </c>
      <c r="F1414">
        <v>14.145888058193499</v>
      </c>
    </row>
    <row r="1415" spans="1:6">
      <c r="A1415" t="s">
        <v>49685</v>
      </c>
      <c r="B1415" t="s">
        <v>49687</v>
      </c>
      <c r="C1415">
        <v>0.60957586095517802</v>
      </c>
      <c r="D1415">
        <v>0.50251116842110299</v>
      </c>
      <c r="E1415">
        <v>0.96491847566968703</v>
      </c>
      <c r="F1415">
        <v>14.145888058193499</v>
      </c>
    </row>
    <row r="1416" spans="1:6">
      <c r="A1416" t="s">
        <v>49685</v>
      </c>
      <c r="B1416" t="s">
        <v>49688</v>
      </c>
      <c r="C1416">
        <v>0.59207573118185697</v>
      </c>
      <c r="D1416">
        <v>0.50251116842110299</v>
      </c>
      <c r="E1416">
        <v>0.96491847566968703</v>
      </c>
      <c r="F1416">
        <v>14.145888058193499</v>
      </c>
    </row>
    <row r="1417" spans="1:6">
      <c r="A1417" t="s">
        <v>49685</v>
      </c>
      <c r="B1417" t="s">
        <v>49689</v>
      </c>
      <c r="C1417">
        <v>0</v>
      </c>
      <c r="D1417">
        <v>0.50251116842110299</v>
      </c>
      <c r="E1417">
        <v>0.96491847566968703</v>
      </c>
      <c r="F1417">
        <v>14.145888058193499</v>
      </c>
    </row>
    <row r="1418" spans="1:6">
      <c r="A1418" t="s">
        <v>49685</v>
      </c>
      <c r="B1418" t="s">
        <v>49690</v>
      </c>
      <c r="C1418">
        <v>0</v>
      </c>
      <c r="D1418">
        <v>0.50251116842110299</v>
      </c>
      <c r="E1418">
        <v>0.96491847566968703</v>
      </c>
      <c r="F1418">
        <v>14.145888058193499</v>
      </c>
    </row>
    <row r="1419" spans="1:6">
      <c r="A1419" t="s">
        <v>49691</v>
      </c>
      <c r="B1419" t="s">
        <v>49692</v>
      </c>
      <c r="C1419">
        <v>0</v>
      </c>
      <c r="D1419">
        <v>4.8615600578563498E-2</v>
      </c>
      <c r="E1419" t="s">
        <v>106</v>
      </c>
      <c r="F1419">
        <v>3.5352596484138199</v>
      </c>
    </row>
    <row r="1420" spans="1:6">
      <c r="A1420" t="s">
        <v>49691</v>
      </c>
      <c r="B1420" t="s">
        <v>49693</v>
      </c>
      <c r="C1420">
        <v>0</v>
      </c>
      <c r="D1420">
        <v>4.8615600578563498E-2</v>
      </c>
      <c r="E1420" t="s">
        <v>106</v>
      </c>
      <c r="F1420">
        <v>3.5352596484138199</v>
      </c>
    </row>
    <row r="1421" spans="1:6">
      <c r="A1421" t="s">
        <v>49691</v>
      </c>
      <c r="B1421" t="s">
        <v>49694</v>
      </c>
      <c r="C1421">
        <v>0</v>
      </c>
      <c r="D1421">
        <v>4.8615600578563498E-2</v>
      </c>
      <c r="E1421" t="s">
        <v>106</v>
      </c>
      <c r="F1421">
        <v>3.5352596484138199</v>
      </c>
    </row>
    <row r="1422" spans="1:6">
      <c r="A1422" t="s">
        <v>49691</v>
      </c>
      <c r="B1422" t="s">
        <v>49695</v>
      </c>
      <c r="C1422">
        <v>0</v>
      </c>
      <c r="D1422">
        <v>4.8615600578563498E-2</v>
      </c>
      <c r="E1422" t="s">
        <v>106</v>
      </c>
      <c r="F1422">
        <v>3.5352596484138199</v>
      </c>
    </row>
    <row r="1423" spans="1:6">
      <c r="A1423" t="s">
        <v>49691</v>
      </c>
      <c r="B1423" t="s">
        <v>49696</v>
      </c>
      <c r="C1423">
        <v>0</v>
      </c>
      <c r="D1423">
        <v>4.8615600578563498E-2</v>
      </c>
      <c r="E1423" t="s">
        <v>106</v>
      </c>
      <c r="F1423">
        <v>3.5352596484138199</v>
      </c>
    </row>
    <row r="1424" spans="1:6">
      <c r="A1424" t="s">
        <v>49691</v>
      </c>
      <c r="B1424" t="s">
        <v>49697</v>
      </c>
      <c r="C1424">
        <v>0</v>
      </c>
      <c r="D1424">
        <v>4.8615600578563498E-2</v>
      </c>
      <c r="E1424" t="s">
        <v>106</v>
      </c>
      <c r="F1424">
        <v>3.5352596484138199</v>
      </c>
    </row>
    <row r="1425" spans="1:6">
      <c r="A1425" t="s">
        <v>49691</v>
      </c>
      <c r="B1425" t="s">
        <v>49698</v>
      </c>
      <c r="C1425">
        <v>0</v>
      </c>
      <c r="D1425">
        <v>4.8615600578563498E-2</v>
      </c>
      <c r="E1425" t="s">
        <v>106</v>
      </c>
      <c r="F1425">
        <v>3.5352596484138199</v>
      </c>
    </row>
    <row r="1426" spans="1:6">
      <c r="A1426" t="s">
        <v>49691</v>
      </c>
      <c r="B1426" t="s">
        <v>49699</v>
      </c>
      <c r="C1426">
        <v>0</v>
      </c>
      <c r="D1426">
        <v>4.8615600578563498E-2</v>
      </c>
      <c r="E1426" t="s">
        <v>106</v>
      </c>
      <c r="F1426">
        <v>3.5352596484138199</v>
      </c>
    </row>
    <row r="1427" spans="1:6">
      <c r="A1427" t="s">
        <v>49691</v>
      </c>
      <c r="B1427" t="s">
        <v>49700</v>
      </c>
      <c r="C1427">
        <v>0</v>
      </c>
      <c r="D1427">
        <v>4.8615600578563498E-2</v>
      </c>
      <c r="E1427" t="s">
        <v>106</v>
      </c>
      <c r="F1427">
        <v>3.5352596484138199</v>
      </c>
    </row>
    <row r="1428" spans="1:6">
      <c r="A1428" t="s">
        <v>49701</v>
      </c>
      <c r="B1428" t="s">
        <v>49702</v>
      </c>
      <c r="C1428">
        <v>0</v>
      </c>
      <c r="D1428">
        <v>0.13712709341945101</v>
      </c>
      <c r="E1428" t="s">
        <v>106</v>
      </c>
      <c r="F1428">
        <v>12.1721559911093</v>
      </c>
    </row>
    <row r="1429" spans="1:6">
      <c r="A1429" t="s">
        <v>49701</v>
      </c>
      <c r="B1429" t="s">
        <v>49703</v>
      </c>
      <c r="C1429">
        <v>0</v>
      </c>
      <c r="D1429">
        <v>0.13712709341945101</v>
      </c>
      <c r="E1429" t="s">
        <v>106</v>
      </c>
      <c r="F1429">
        <v>12.1721559911093</v>
      </c>
    </row>
    <row r="1430" spans="1:6">
      <c r="A1430" t="s">
        <v>49701</v>
      </c>
      <c r="B1430" t="s">
        <v>49704</v>
      </c>
      <c r="C1430">
        <v>0</v>
      </c>
      <c r="D1430">
        <v>0.13712709341945101</v>
      </c>
      <c r="E1430" t="s">
        <v>106</v>
      </c>
      <c r="F1430">
        <v>12.1721559911093</v>
      </c>
    </row>
    <row r="1431" spans="1:6">
      <c r="A1431" t="s">
        <v>49705</v>
      </c>
      <c r="B1431" t="s">
        <v>49706</v>
      </c>
      <c r="C1431">
        <v>0.80324371629644897</v>
      </c>
      <c r="D1431">
        <v>0.233058885544846</v>
      </c>
      <c r="E1431">
        <v>0.94564371629644906</v>
      </c>
      <c r="F1431">
        <v>6.8765407152960103</v>
      </c>
    </row>
    <row r="1432" spans="1:6">
      <c r="A1432" t="s">
        <v>49705</v>
      </c>
      <c r="B1432" t="s">
        <v>49707</v>
      </c>
      <c r="C1432">
        <v>0</v>
      </c>
      <c r="D1432">
        <v>0.233058885544846</v>
      </c>
      <c r="E1432">
        <v>0.94564371629644906</v>
      </c>
      <c r="F1432">
        <v>6.8765407152960103</v>
      </c>
    </row>
    <row r="1433" spans="1:6">
      <c r="A1433" t="s">
        <v>49705</v>
      </c>
      <c r="B1433" t="s">
        <v>49708</v>
      </c>
      <c r="C1433">
        <v>0</v>
      </c>
      <c r="D1433">
        <v>0.233058885544846</v>
      </c>
      <c r="E1433">
        <v>0.94564371629644906</v>
      </c>
      <c r="F1433">
        <v>6.8765407152960103</v>
      </c>
    </row>
    <row r="1434" spans="1:6">
      <c r="A1434" t="s">
        <v>49705</v>
      </c>
      <c r="B1434" t="s">
        <v>49709</v>
      </c>
      <c r="C1434">
        <v>0</v>
      </c>
      <c r="D1434">
        <v>0.233058885544846</v>
      </c>
      <c r="E1434">
        <v>0.94564371629644906</v>
      </c>
      <c r="F1434">
        <v>6.8765407152960103</v>
      </c>
    </row>
    <row r="1435" spans="1:6">
      <c r="A1435" t="s">
        <v>49705</v>
      </c>
      <c r="B1435" t="s">
        <v>49710</v>
      </c>
      <c r="C1435">
        <v>0</v>
      </c>
      <c r="D1435">
        <v>0.233058885544846</v>
      </c>
      <c r="E1435">
        <v>0.94564371629644906</v>
      </c>
      <c r="F1435">
        <v>6.8765407152960103</v>
      </c>
    </row>
    <row r="1436" spans="1:6">
      <c r="A1436" t="s">
        <v>49705</v>
      </c>
      <c r="B1436" t="s">
        <v>49711</v>
      </c>
      <c r="C1436">
        <v>0</v>
      </c>
      <c r="D1436">
        <v>0.233058885544846</v>
      </c>
      <c r="E1436">
        <v>0.94564371629644906</v>
      </c>
      <c r="F1436">
        <v>6.8765407152960103</v>
      </c>
    </row>
    <row r="1437" spans="1:6">
      <c r="A1437" t="s">
        <v>49712</v>
      </c>
      <c r="B1437" t="s">
        <v>49713</v>
      </c>
      <c r="C1437">
        <v>0</v>
      </c>
      <c r="D1437">
        <v>0.28047719315460401</v>
      </c>
      <c r="E1437">
        <v>0.97586764543567195</v>
      </c>
      <c r="F1437">
        <v>8.8163265306122405</v>
      </c>
    </row>
    <row r="1438" spans="1:6">
      <c r="A1438" t="s">
        <v>49712</v>
      </c>
      <c r="B1438" t="s">
        <v>49714</v>
      </c>
      <c r="C1438">
        <v>0</v>
      </c>
      <c r="D1438">
        <v>0.28047719315460401</v>
      </c>
      <c r="E1438">
        <v>0.97586764543567195</v>
      </c>
      <c r="F1438">
        <v>8.8163265306122405</v>
      </c>
    </row>
    <row r="1439" spans="1:6">
      <c r="A1439" t="s">
        <v>49712</v>
      </c>
      <c r="B1439" t="s">
        <v>49715</v>
      </c>
      <c r="C1439">
        <v>0</v>
      </c>
      <c r="D1439">
        <v>0.28047719315460401</v>
      </c>
      <c r="E1439">
        <v>0.97586764543567195</v>
      </c>
      <c r="F1439">
        <v>8.8163265306122405</v>
      </c>
    </row>
    <row r="1440" spans="1:6">
      <c r="A1440" t="s">
        <v>49712</v>
      </c>
      <c r="B1440" t="s">
        <v>49716</v>
      </c>
      <c r="C1440">
        <v>0</v>
      </c>
      <c r="D1440">
        <v>0.28047719315460401</v>
      </c>
      <c r="E1440">
        <v>0.97586764543567195</v>
      </c>
      <c r="F1440">
        <v>8.8163265306122405</v>
      </c>
    </row>
    <row r="1441" spans="1:6">
      <c r="A1441" t="s">
        <v>49712</v>
      </c>
      <c r="B1441" t="s">
        <v>49717</v>
      </c>
      <c r="C1441">
        <v>0</v>
      </c>
      <c r="D1441">
        <v>0.28047719315460401</v>
      </c>
      <c r="E1441">
        <v>0.97586764543567195</v>
      </c>
      <c r="F1441">
        <v>8.8163265306122405</v>
      </c>
    </row>
    <row r="1442" spans="1:6">
      <c r="A1442" t="s">
        <v>49712</v>
      </c>
      <c r="B1442" t="s">
        <v>49718</v>
      </c>
      <c r="C1442">
        <v>0</v>
      </c>
      <c r="D1442">
        <v>0.28047719315460401</v>
      </c>
      <c r="E1442">
        <v>0.97586764543567195</v>
      </c>
      <c r="F1442">
        <v>8.8163265306122405</v>
      </c>
    </row>
    <row r="1443" spans="1:6">
      <c r="A1443" t="s">
        <v>49712</v>
      </c>
      <c r="B1443" t="s">
        <v>49719</v>
      </c>
      <c r="C1443">
        <v>0</v>
      </c>
      <c r="D1443">
        <v>0.28047719315460401</v>
      </c>
      <c r="E1443">
        <v>0.97586764543567195</v>
      </c>
      <c r="F1443">
        <v>8.8163265306122405</v>
      </c>
    </row>
    <row r="1444" spans="1:6">
      <c r="A1444" t="s">
        <v>49712</v>
      </c>
      <c r="B1444" t="s">
        <v>49720</v>
      </c>
      <c r="C1444">
        <v>0</v>
      </c>
      <c r="D1444">
        <v>0.28047719315460401</v>
      </c>
      <c r="E1444">
        <v>0.97586764543567195</v>
      </c>
      <c r="F1444">
        <v>8.8163265306122405</v>
      </c>
    </row>
    <row r="1445" spans="1:6">
      <c r="A1445" t="s">
        <v>49712</v>
      </c>
      <c r="B1445" t="s">
        <v>49721</v>
      </c>
      <c r="C1445">
        <v>0</v>
      </c>
      <c r="D1445">
        <v>0.28047719315460401</v>
      </c>
      <c r="E1445">
        <v>0.97586764543567195</v>
      </c>
      <c r="F1445">
        <v>8.8163265306122405</v>
      </c>
    </row>
    <row r="1446" spans="1:6">
      <c r="A1446" t="s">
        <v>49712</v>
      </c>
      <c r="B1446" t="s">
        <v>49722</v>
      </c>
      <c r="C1446">
        <v>0</v>
      </c>
      <c r="D1446">
        <v>0.28047719315460401</v>
      </c>
      <c r="E1446">
        <v>0.97586764543567195</v>
      </c>
      <c r="F1446">
        <v>8.8163265306122405</v>
      </c>
    </row>
    <row r="1447" spans="1:6">
      <c r="A1447" t="s">
        <v>49712</v>
      </c>
      <c r="B1447" t="s">
        <v>49723</v>
      </c>
      <c r="C1447">
        <v>0</v>
      </c>
      <c r="D1447">
        <v>0.28047719315460401</v>
      </c>
      <c r="E1447">
        <v>0.97586764543567195</v>
      </c>
      <c r="F1447">
        <v>8.8163265306122405</v>
      </c>
    </row>
    <row r="1448" spans="1:6">
      <c r="A1448" t="s">
        <v>49712</v>
      </c>
      <c r="B1448" t="s">
        <v>49724</v>
      </c>
      <c r="C1448">
        <v>0</v>
      </c>
      <c r="D1448">
        <v>0.28047719315460401</v>
      </c>
      <c r="E1448">
        <v>0.97586764543567195</v>
      </c>
      <c r="F1448">
        <v>8.8163265306122405</v>
      </c>
    </row>
    <row r="1449" spans="1:6">
      <c r="A1449" t="s">
        <v>49712</v>
      </c>
      <c r="B1449" t="s">
        <v>49725</v>
      </c>
      <c r="C1449">
        <v>0</v>
      </c>
      <c r="D1449">
        <v>0.28047719315460401</v>
      </c>
      <c r="E1449">
        <v>0.97586764543567195</v>
      </c>
      <c r="F1449">
        <v>8.8163265306122405</v>
      </c>
    </row>
    <row r="1450" spans="1:6">
      <c r="A1450" t="s">
        <v>49712</v>
      </c>
      <c r="B1450" t="s">
        <v>49726</v>
      </c>
      <c r="C1450">
        <v>0</v>
      </c>
      <c r="D1450">
        <v>0.28047719315460401</v>
      </c>
      <c r="E1450">
        <v>0.97586764543567195</v>
      </c>
      <c r="F1450">
        <v>8.8163265306122405</v>
      </c>
    </row>
    <row r="1451" spans="1:6">
      <c r="A1451" t="s">
        <v>49712</v>
      </c>
      <c r="B1451" t="s">
        <v>49727</v>
      </c>
      <c r="C1451">
        <v>0</v>
      </c>
      <c r="D1451">
        <v>0.28047719315460401</v>
      </c>
      <c r="E1451">
        <v>0.97586764543567195</v>
      </c>
      <c r="F1451">
        <v>8.8163265306122405</v>
      </c>
    </row>
    <row r="1452" spans="1:6">
      <c r="A1452" t="s">
        <v>49712</v>
      </c>
      <c r="B1452" t="s">
        <v>49728</v>
      </c>
      <c r="C1452">
        <v>0</v>
      </c>
      <c r="D1452">
        <v>0.28047719315460401</v>
      </c>
      <c r="E1452">
        <v>0.97586764543567195</v>
      </c>
      <c r="F1452">
        <v>8.8163265306122405</v>
      </c>
    </row>
    <row r="1453" spans="1:6">
      <c r="A1453" t="s">
        <v>49712</v>
      </c>
      <c r="B1453" t="s">
        <v>49729</v>
      </c>
      <c r="C1453">
        <v>7.4093677974069794E-2</v>
      </c>
      <c r="D1453">
        <v>0.28047719315460401</v>
      </c>
      <c r="E1453">
        <v>0.97586764543567195</v>
      </c>
      <c r="F1453">
        <v>8.8163265306122405</v>
      </c>
    </row>
    <row r="1454" spans="1:6">
      <c r="A1454" t="s">
        <v>49712</v>
      </c>
      <c r="B1454" t="s">
        <v>49730</v>
      </c>
      <c r="C1454">
        <v>0</v>
      </c>
      <c r="D1454">
        <v>0.28047719315460401</v>
      </c>
      <c r="E1454">
        <v>0.97586764543567195</v>
      </c>
      <c r="F1454">
        <v>8.8163265306122405</v>
      </c>
    </row>
    <row r="1455" spans="1:6">
      <c r="A1455" t="s">
        <v>49712</v>
      </c>
      <c r="B1455" t="s">
        <v>49731</v>
      </c>
      <c r="C1455">
        <v>0</v>
      </c>
      <c r="D1455">
        <v>0.28047719315460401</v>
      </c>
      <c r="E1455">
        <v>0.97586764543567195</v>
      </c>
      <c r="F1455">
        <v>8.8163265306122405</v>
      </c>
    </row>
    <row r="1456" spans="1:6">
      <c r="A1456" t="s">
        <v>49712</v>
      </c>
      <c r="B1456" t="s">
        <v>49732</v>
      </c>
      <c r="C1456">
        <v>2.6473810453225902E-2</v>
      </c>
      <c r="D1456">
        <v>0.28047719315460401</v>
      </c>
      <c r="E1456">
        <v>0.97586764543567195</v>
      </c>
      <c r="F1456">
        <v>8.8163265306122405</v>
      </c>
    </row>
    <row r="1457" spans="1:6">
      <c r="A1457" t="s">
        <v>49733</v>
      </c>
      <c r="B1457" t="s">
        <v>49734</v>
      </c>
      <c r="C1457">
        <v>0</v>
      </c>
      <c r="D1457">
        <v>4.20661646535819E-2</v>
      </c>
      <c r="E1457">
        <v>0.84348265335745498</v>
      </c>
      <c r="F1457">
        <v>10.9937361083047</v>
      </c>
    </row>
    <row r="1458" spans="1:6">
      <c r="A1458" t="s">
        <v>49733</v>
      </c>
      <c r="B1458" t="s">
        <v>49735</v>
      </c>
      <c r="C1458">
        <v>0</v>
      </c>
      <c r="D1458">
        <v>4.20661646535819E-2</v>
      </c>
      <c r="E1458">
        <v>0.84348265335745498</v>
      </c>
      <c r="F1458">
        <v>10.9937361083047</v>
      </c>
    </row>
    <row r="1459" spans="1:6">
      <c r="A1459" t="s">
        <v>49733</v>
      </c>
      <c r="B1459" t="s">
        <v>49736</v>
      </c>
      <c r="C1459">
        <v>0</v>
      </c>
      <c r="D1459">
        <v>4.20661646535819E-2</v>
      </c>
      <c r="E1459">
        <v>0.84348265335745498</v>
      </c>
      <c r="F1459">
        <v>10.9937361083047</v>
      </c>
    </row>
    <row r="1460" spans="1:6">
      <c r="A1460" t="s">
        <v>49733</v>
      </c>
      <c r="B1460" t="s">
        <v>49737</v>
      </c>
      <c r="C1460">
        <v>0.584282653357455</v>
      </c>
      <c r="D1460">
        <v>4.20661646535819E-2</v>
      </c>
      <c r="E1460">
        <v>0.84348265335745498</v>
      </c>
      <c r="F1460">
        <v>10.9937361083047</v>
      </c>
    </row>
    <row r="1461" spans="1:6">
      <c r="A1461" t="s">
        <v>49738</v>
      </c>
      <c r="B1461" t="s">
        <v>49739</v>
      </c>
      <c r="C1461">
        <v>0</v>
      </c>
      <c r="D1461">
        <v>0.39431023651580699</v>
      </c>
      <c r="E1461">
        <v>0.943916852897703</v>
      </c>
      <c r="F1461">
        <v>13.5930491008284</v>
      </c>
    </row>
    <row r="1462" spans="1:6">
      <c r="A1462" t="s">
        <v>49738</v>
      </c>
      <c r="B1462" t="s">
        <v>49740</v>
      </c>
      <c r="C1462">
        <v>0</v>
      </c>
      <c r="D1462">
        <v>0.39431023651580699</v>
      </c>
      <c r="E1462">
        <v>0.943916852897703</v>
      </c>
      <c r="F1462">
        <v>13.5930491008284</v>
      </c>
    </row>
    <row r="1463" spans="1:6">
      <c r="A1463" t="s">
        <v>49738</v>
      </c>
      <c r="B1463" t="s">
        <v>49741</v>
      </c>
      <c r="C1463">
        <v>0.47011605590080002</v>
      </c>
      <c r="D1463">
        <v>0.39431023651580699</v>
      </c>
      <c r="E1463">
        <v>0.943916852897703</v>
      </c>
      <c r="F1463">
        <v>13.5930491008284</v>
      </c>
    </row>
    <row r="1464" spans="1:6">
      <c r="A1464" t="s">
        <v>49738</v>
      </c>
      <c r="B1464" t="s">
        <v>49742</v>
      </c>
      <c r="C1464">
        <v>0.43037620733666099</v>
      </c>
      <c r="D1464">
        <v>0.39431023651580699</v>
      </c>
      <c r="E1464">
        <v>0.943916852897703</v>
      </c>
      <c r="F1464">
        <v>13.5930491008284</v>
      </c>
    </row>
    <row r="1465" spans="1:6">
      <c r="A1465" t="s">
        <v>49743</v>
      </c>
      <c r="B1465" t="s">
        <v>49744</v>
      </c>
      <c r="C1465">
        <v>0.62120696299293099</v>
      </c>
      <c r="D1465">
        <v>0.12693462535505101</v>
      </c>
      <c r="E1465">
        <v>0.82118872106909402</v>
      </c>
      <c r="F1465">
        <v>15.867447969286699</v>
      </c>
    </row>
    <row r="1466" spans="1:6">
      <c r="A1466" t="s">
        <v>49743</v>
      </c>
      <c r="B1466" t="s">
        <v>49745</v>
      </c>
      <c r="C1466">
        <v>0.15065494001459601</v>
      </c>
      <c r="D1466">
        <v>0.12693462535505101</v>
      </c>
      <c r="E1466">
        <v>0.82118872106909402</v>
      </c>
      <c r="F1466">
        <v>15.867447969286699</v>
      </c>
    </row>
    <row r="1467" spans="1:6">
      <c r="A1467" t="s">
        <v>49746</v>
      </c>
      <c r="B1467" t="s">
        <v>49747</v>
      </c>
      <c r="C1467">
        <v>0</v>
      </c>
      <c r="D1467">
        <v>0.18861853173078599</v>
      </c>
      <c r="E1467">
        <v>0.95549277393818199</v>
      </c>
      <c r="F1467">
        <v>2.05617296423519</v>
      </c>
    </row>
    <row r="1468" spans="1:6">
      <c r="A1468" t="s">
        <v>49746</v>
      </c>
      <c r="B1468" t="s">
        <v>49748</v>
      </c>
      <c r="C1468">
        <v>0</v>
      </c>
      <c r="D1468">
        <v>0.18861853173078599</v>
      </c>
      <c r="E1468">
        <v>0.95549277393818199</v>
      </c>
      <c r="F1468">
        <v>2.05617296423519</v>
      </c>
    </row>
    <row r="1469" spans="1:6">
      <c r="A1469" t="s">
        <v>49746</v>
      </c>
      <c r="B1469" t="s">
        <v>49749</v>
      </c>
      <c r="C1469">
        <v>0</v>
      </c>
      <c r="D1469">
        <v>0.18861853173078599</v>
      </c>
      <c r="E1469">
        <v>0.95549277393818199</v>
      </c>
      <c r="F1469">
        <v>2.05617296423519</v>
      </c>
    </row>
    <row r="1470" spans="1:6">
      <c r="A1470" t="s">
        <v>49746</v>
      </c>
      <c r="B1470" t="s">
        <v>49750</v>
      </c>
      <c r="C1470">
        <v>0</v>
      </c>
      <c r="D1470">
        <v>0.18861853173078599</v>
      </c>
      <c r="E1470">
        <v>0.95549277393818199</v>
      </c>
      <c r="F1470">
        <v>2.05617296423519</v>
      </c>
    </row>
    <row r="1471" spans="1:6">
      <c r="A1471" t="s">
        <v>49746</v>
      </c>
      <c r="B1471" t="s">
        <v>49751</v>
      </c>
      <c r="C1471">
        <v>0</v>
      </c>
      <c r="D1471">
        <v>0.18861853173078599</v>
      </c>
      <c r="E1471">
        <v>0.95549277393818199</v>
      </c>
      <c r="F1471">
        <v>2.05617296423519</v>
      </c>
    </row>
    <row r="1472" spans="1:6">
      <c r="A1472" t="s">
        <v>49746</v>
      </c>
      <c r="B1472" t="s">
        <v>49752</v>
      </c>
      <c r="C1472">
        <v>0</v>
      </c>
      <c r="D1472">
        <v>0.18861853173078599</v>
      </c>
      <c r="E1472">
        <v>0.95549277393818199</v>
      </c>
      <c r="F1472">
        <v>2.05617296423519</v>
      </c>
    </row>
    <row r="1473" spans="1:6">
      <c r="A1473" t="s">
        <v>49746</v>
      </c>
      <c r="B1473" t="s">
        <v>49753</v>
      </c>
      <c r="C1473">
        <v>0.394166889527648</v>
      </c>
      <c r="D1473">
        <v>0.18861853173078599</v>
      </c>
      <c r="E1473">
        <v>0.95549277393818199</v>
      </c>
      <c r="F1473">
        <v>2.05617296423519</v>
      </c>
    </row>
    <row r="1474" spans="1:6">
      <c r="A1474" t="s">
        <v>49746</v>
      </c>
      <c r="B1474" t="s">
        <v>49754</v>
      </c>
      <c r="C1474">
        <v>0</v>
      </c>
      <c r="D1474">
        <v>0.18861853173078599</v>
      </c>
      <c r="E1474">
        <v>0.95549277393818199</v>
      </c>
      <c r="F1474">
        <v>2.05617296423519</v>
      </c>
    </row>
    <row r="1475" spans="1:6">
      <c r="A1475" t="s">
        <v>49746</v>
      </c>
      <c r="B1475" t="s">
        <v>49755</v>
      </c>
      <c r="C1475">
        <v>0</v>
      </c>
      <c r="D1475">
        <v>0.18861853173078599</v>
      </c>
      <c r="E1475">
        <v>0.95549277393818199</v>
      </c>
      <c r="F1475">
        <v>2.05617296423519</v>
      </c>
    </row>
    <row r="1476" spans="1:6">
      <c r="A1476" t="s">
        <v>49746</v>
      </c>
      <c r="B1476" t="s">
        <v>49756</v>
      </c>
      <c r="C1476">
        <v>0.22079564084475001</v>
      </c>
      <c r="D1476">
        <v>0.18861853173078599</v>
      </c>
      <c r="E1476">
        <v>0.95549277393818199</v>
      </c>
      <c r="F1476">
        <v>2.05617296423519</v>
      </c>
    </row>
    <row r="1477" spans="1:6">
      <c r="A1477" t="s">
        <v>49757</v>
      </c>
      <c r="B1477" t="s">
        <v>49758</v>
      </c>
      <c r="C1477">
        <v>0</v>
      </c>
      <c r="D1477">
        <v>0.21305752316908899</v>
      </c>
      <c r="E1477">
        <v>0.99233845690122302</v>
      </c>
      <c r="F1477">
        <v>10.028692665184799</v>
      </c>
    </row>
    <row r="1478" spans="1:6">
      <c r="A1478" t="s">
        <v>49757</v>
      </c>
      <c r="B1478" t="s">
        <v>49759</v>
      </c>
      <c r="C1478">
        <v>0</v>
      </c>
      <c r="D1478">
        <v>0.21305752316908899</v>
      </c>
      <c r="E1478">
        <v>0.99233845690122302</v>
      </c>
      <c r="F1478">
        <v>10.028692665184799</v>
      </c>
    </row>
    <row r="1479" spans="1:6">
      <c r="A1479" t="s">
        <v>49757</v>
      </c>
      <c r="B1479" t="s">
        <v>49760</v>
      </c>
      <c r="C1479">
        <v>0.29611819933960198</v>
      </c>
      <c r="D1479">
        <v>0.21305752316908899</v>
      </c>
      <c r="E1479">
        <v>0.99233845690122302</v>
      </c>
      <c r="F1479">
        <v>10.028692665184799</v>
      </c>
    </row>
    <row r="1480" spans="1:6">
      <c r="A1480" t="s">
        <v>49757</v>
      </c>
      <c r="B1480" t="s">
        <v>49761</v>
      </c>
      <c r="C1480">
        <v>0</v>
      </c>
      <c r="D1480">
        <v>0.21305752316908899</v>
      </c>
      <c r="E1480">
        <v>0.99233845690122302</v>
      </c>
      <c r="F1480">
        <v>10.028692665184799</v>
      </c>
    </row>
    <row r="1481" spans="1:6">
      <c r="A1481" t="s">
        <v>49757</v>
      </c>
      <c r="B1481" t="s">
        <v>49762</v>
      </c>
      <c r="C1481">
        <v>0</v>
      </c>
      <c r="D1481">
        <v>0.21305752316908899</v>
      </c>
      <c r="E1481">
        <v>0.99233845690122302</v>
      </c>
      <c r="F1481">
        <v>10.028692665184799</v>
      </c>
    </row>
    <row r="1482" spans="1:6">
      <c r="A1482" t="s">
        <v>49757</v>
      </c>
      <c r="B1482" t="s">
        <v>49763</v>
      </c>
      <c r="C1482">
        <v>0.68323868099178697</v>
      </c>
      <c r="D1482">
        <v>0.21305752316908899</v>
      </c>
      <c r="E1482">
        <v>0.99233845690122302</v>
      </c>
      <c r="F1482">
        <v>10.028692665184799</v>
      </c>
    </row>
    <row r="1483" spans="1:6">
      <c r="A1483" t="s">
        <v>49764</v>
      </c>
      <c r="B1483" t="s">
        <v>49765</v>
      </c>
      <c r="C1483">
        <v>0</v>
      </c>
      <c r="D1483">
        <v>0.31545431658515199</v>
      </c>
      <c r="E1483">
        <v>0.95162793054783701</v>
      </c>
      <c r="F1483">
        <v>16.463932107496401</v>
      </c>
    </row>
    <row r="1484" spans="1:6">
      <c r="A1484" t="s">
        <v>49764</v>
      </c>
      <c r="B1484" t="s">
        <v>49766</v>
      </c>
      <c r="C1484">
        <v>0.73912612746904904</v>
      </c>
      <c r="D1484">
        <v>0.31545431658515199</v>
      </c>
      <c r="E1484">
        <v>0.95162793054783701</v>
      </c>
      <c r="F1484">
        <v>16.463932107496401</v>
      </c>
    </row>
    <row r="1485" spans="1:6">
      <c r="A1485" t="s">
        <v>49764</v>
      </c>
      <c r="B1485" t="s">
        <v>49767</v>
      </c>
      <c r="C1485">
        <v>0</v>
      </c>
      <c r="D1485">
        <v>0.31545431658515199</v>
      </c>
      <c r="E1485">
        <v>0.95162793054783701</v>
      </c>
      <c r="F1485">
        <v>16.463932107496401</v>
      </c>
    </row>
    <row r="1486" spans="1:6">
      <c r="A1486" t="s">
        <v>49764</v>
      </c>
      <c r="B1486" t="s">
        <v>49768</v>
      </c>
      <c r="C1486">
        <v>0</v>
      </c>
      <c r="D1486">
        <v>0.31545431658515199</v>
      </c>
      <c r="E1486">
        <v>0.95162793054783701</v>
      </c>
      <c r="F1486">
        <v>16.463932107496401</v>
      </c>
    </row>
    <row r="1487" spans="1:6">
      <c r="A1487" t="s">
        <v>49764</v>
      </c>
      <c r="B1487" t="s">
        <v>49769</v>
      </c>
      <c r="C1487">
        <v>0</v>
      </c>
      <c r="D1487">
        <v>0.31545431658515199</v>
      </c>
      <c r="E1487">
        <v>0.95162793054783701</v>
      </c>
      <c r="F1487">
        <v>16.463932107496401</v>
      </c>
    </row>
    <row r="1488" spans="1:6">
      <c r="A1488" t="s">
        <v>49764</v>
      </c>
      <c r="B1488" t="s">
        <v>49770</v>
      </c>
      <c r="C1488">
        <v>0</v>
      </c>
      <c r="D1488">
        <v>0.31545431658515199</v>
      </c>
      <c r="E1488">
        <v>0.95162793054783701</v>
      </c>
      <c r="F1488">
        <v>16.463932107496401</v>
      </c>
    </row>
    <row r="1489" spans="1:6">
      <c r="A1489" t="s">
        <v>49764</v>
      </c>
      <c r="B1489" t="s">
        <v>49771</v>
      </c>
      <c r="C1489">
        <v>3.9990257206410897E-2</v>
      </c>
      <c r="D1489">
        <v>0.31545431658515199</v>
      </c>
      <c r="E1489">
        <v>0.95162793054783701</v>
      </c>
      <c r="F1489">
        <v>16.463932107496401</v>
      </c>
    </row>
    <row r="1490" spans="1:6">
      <c r="A1490" t="s">
        <v>49772</v>
      </c>
      <c r="B1490" t="s">
        <v>49773</v>
      </c>
      <c r="C1490">
        <v>0.119490257439123</v>
      </c>
      <c r="D1490">
        <v>0.519626882259418</v>
      </c>
      <c r="E1490">
        <v>0.98613762416955497</v>
      </c>
      <c r="F1490">
        <v>4.3160234390785996</v>
      </c>
    </row>
    <row r="1491" spans="1:6">
      <c r="A1491" t="s">
        <v>49772</v>
      </c>
      <c r="B1491" t="s">
        <v>49774</v>
      </c>
      <c r="C1491">
        <v>0</v>
      </c>
      <c r="D1491">
        <v>0.519626882259418</v>
      </c>
      <c r="E1491">
        <v>0.98613762416955497</v>
      </c>
      <c r="F1491">
        <v>4.3160234390785996</v>
      </c>
    </row>
    <row r="1492" spans="1:6">
      <c r="A1492" t="s">
        <v>49772</v>
      </c>
      <c r="B1492" t="s">
        <v>49775</v>
      </c>
      <c r="C1492">
        <v>0</v>
      </c>
      <c r="D1492">
        <v>0.519626882259418</v>
      </c>
      <c r="E1492">
        <v>0.98613762416955497</v>
      </c>
      <c r="F1492">
        <v>4.3160234390785996</v>
      </c>
    </row>
    <row r="1493" spans="1:6">
      <c r="A1493" t="s">
        <v>49772</v>
      </c>
      <c r="B1493" t="s">
        <v>49776</v>
      </c>
      <c r="C1493">
        <v>0.90581966582058204</v>
      </c>
      <c r="D1493">
        <v>0.519626882259418</v>
      </c>
      <c r="E1493">
        <v>0.98613762416955497</v>
      </c>
      <c r="F1493">
        <v>4.3160234390785996</v>
      </c>
    </row>
    <row r="1494" spans="1:6">
      <c r="A1494" t="s">
        <v>49777</v>
      </c>
      <c r="B1494" t="s">
        <v>49778</v>
      </c>
      <c r="C1494">
        <v>0</v>
      </c>
      <c r="D1494">
        <v>0.312758295545216</v>
      </c>
      <c r="E1494">
        <v>0.95622513933488695</v>
      </c>
      <c r="F1494">
        <v>8.5253586583148095</v>
      </c>
    </row>
    <row r="1495" spans="1:6">
      <c r="A1495" t="s">
        <v>49777</v>
      </c>
      <c r="B1495" t="s">
        <v>49779</v>
      </c>
      <c r="C1495">
        <v>0</v>
      </c>
      <c r="D1495">
        <v>0.312758295545216</v>
      </c>
      <c r="E1495">
        <v>0.95622513933488695</v>
      </c>
      <c r="F1495">
        <v>8.5253586583148095</v>
      </c>
    </row>
    <row r="1496" spans="1:6">
      <c r="A1496" t="s">
        <v>49777</v>
      </c>
      <c r="B1496" t="s">
        <v>49780</v>
      </c>
      <c r="C1496">
        <v>0.98717656823480304</v>
      </c>
      <c r="D1496">
        <v>0.312758295545216</v>
      </c>
      <c r="E1496">
        <v>0.95622513933488695</v>
      </c>
      <c r="F1496">
        <v>8.5253586583148095</v>
      </c>
    </row>
    <row r="1497" spans="1:6">
      <c r="A1497" t="s">
        <v>49777</v>
      </c>
      <c r="B1497" t="s">
        <v>49781</v>
      </c>
      <c r="C1497">
        <v>0</v>
      </c>
      <c r="D1497">
        <v>0.312758295545216</v>
      </c>
      <c r="E1497">
        <v>0.95622513933488695</v>
      </c>
      <c r="F1497">
        <v>8.5253586583148095</v>
      </c>
    </row>
    <row r="1498" spans="1:6">
      <c r="A1498" t="s">
        <v>49777</v>
      </c>
      <c r="B1498" t="s">
        <v>49782</v>
      </c>
      <c r="C1498">
        <v>0</v>
      </c>
      <c r="D1498">
        <v>0.312758295545216</v>
      </c>
      <c r="E1498">
        <v>0.95622513933488695</v>
      </c>
      <c r="F1498">
        <v>8.5253586583148095</v>
      </c>
    </row>
    <row r="1499" spans="1:6">
      <c r="A1499" t="s">
        <v>49777</v>
      </c>
      <c r="B1499" t="s">
        <v>49783</v>
      </c>
      <c r="C1499">
        <v>0.77461437175371395</v>
      </c>
      <c r="D1499">
        <v>0.312758295545216</v>
      </c>
      <c r="E1499">
        <v>0.95622513933488695</v>
      </c>
      <c r="F1499">
        <v>8.5253586583148095</v>
      </c>
    </row>
    <row r="1500" spans="1:6">
      <c r="A1500" t="s">
        <v>49784</v>
      </c>
      <c r="B1500" t="s">
        <v>49785</v>
      </c>
      <c r="C1500">
        <v>0</v>
      </c>
      <c r="D1500">
        <v>0.63884289428730201</v>
      </c>
      <c r="E1500">
        <v>0.92993426235832299</v>
      </c>
      <c r="F1500">
        <v>6.4934330167710597</v>
      </c>
    </row>
    <row r="1501" spans="1:6">
      <c r="A1501" t="s">
        <v>49784</v>
      </c>
      <c r="B1501" t="s">
        <v>49786</v>
      </c>
      <c r="C1501">
        <v>4.8674759215771503E-2</v>
      </c>
      <c r="D1501">
        <v>0.63884289428730201</v>
      </c>
      <c r="E1501">
        <v>0.92993426235832299</v>
      </c>
      <c r="F1501">
        <v>6.4934330167710597</v>
      </c>
    </row>
    <row r="1502" spans="1:6">
      <c r="A1502" t="s">
        <v>49784</v>
      </c>
      <c r="B1502" t="s">
        <v>49787</v>
      </c>
      <c r="C1502">
        <v>0</v>
      </c>
      <c r="D1502">
        <v>0.63884289428730201</v>
      </c>
      <c r="E1502">
        <v>0.92993426235832299</v>
      </c>
      <c r="F1502">
        <v>6.4934330167710597</v>
      </c>
    </row>
    <row r="1503" spans="1:6">
      <c r="A1503" t="s">
        <v>49784</v>
      </c>
      <c r="B1503" t="s">
        <v>49788</v>
      </c>
      <c r="C1503">
        <v>0</v>
      </c>
      <c r="D1503">
        <v>0.63884289428730201</v>
      </c>
      <c r="E1503">
        <v>0.92993426235832299</v>
      </c>
      <c r="F1503">
        <v>6.4934330167710597</v>
      </c>
    </row>
    <row r="1504" spans="1:6">
      <c r="A1504" t="s">
        <v>49784</v>
      </c>
      <c r="B1504" t="s">
        <v>49789</v>
      </c>
      <c r="C1504">
        <v>0</v>
      </c>
      <c r="D1504">
        <v>0.63884289428730201</v>
      </c>
      <c r="E1504">
        <v>0.92993426235832299</v>
      </c>
      <c r="F1504">
        <v>6.4934330167710597</v>
      </c>
    </row>
    <row r="1505" spans="1:6">
      <c r="A1505" t="s">
        <v>49784</v>
      </c>
      <c r="B1505" t="s">
        <v>49790</v>
      </c>
      <c r="C1505">
        <v>0</v>
      </c>
      <c r="D1505">
        <v>0.63884289428730201</v>
      </c>
      <c r="E1505">
        <v>0.92993426235832299</v>
      </c>
      <c r="F1505">
        <v>6.4934330167710597</v>
      </c>
    </row>
    <row r="1506" spans="1:6">
      <c r="A1506" t="s">
        <v>49784</v>
      </c>
      <c r="B1506" t="s">
        <v>49791</v>
      </c>
      <c r="C1506">
        <v>0</v>
      </c>
      <c r="D1506">
        <v>0.63884289428730201</v>
      </c>
      <c r="E1506">
        <v>0.92993426235832299</v>
      </c>
      <c r="F1506">
        <v>6.4934330167710597</v>
      </c>
    </row>
    <row r="1507" spans="1:6">
      <c r="A1507" t="s">
        <v>49784</v>
      </c>
      <c r="B1507" t="s">
        <v>49792</v>
      </c>
      <c r="C1507">
        <v>0.62904801862385995</v>
      </c>
      <c r="D1507">
        <v>0.63884289428730201</v>
      </c>
      <c r="E1507">
        <v>0.92993426235832299</v>
      </c>
      <c r="F1507">
        <v>6.4934330167710597</v>
      </c>
    </row>
    <row r="1508" spans="1:6">
      <c r="A1508" t="s">
        <v>49784</v>
      </c>
      <c r="B1508" t="s">
        <v>49793</v>
      </c>
      <c r="C1508">
        <v>0</v>
      </c>
      <c r="D1508">
        <v>0.63884289428730201</v>
      </c>
      <c r="E1508">
        <v>0.92993426235832299</v>
      </c>
      <c r="F1508">
        <v>6.4934330167710597</v>
      </c>
    </row>
    <row r="1509" spans="1:6">
      <c r="A1509" t="s">
        <v>49784</v>
      </c>
      <c r="B1509" t="s">
        <v>49794</v>
      </c>
      <c r="C1509">
        <v>0</v>
      </c>
      <c r="D1509">
        <v>0.63884289428730201</v>
      </c>
      <c r="E1509">
        <v>0.92993426235832299</v>
      </c>
      <c r="F1509">
        <v>6.4934330167710597</v>
      </c>
    </row>
    <row r="1510" spans="1:6">
      <c r="A1510" t="s">
        <v>49795</v>
      </c>
      <c r="B1510" t="s">
        <v>49796</v>
      </c>
      <c r="C1510">
        <v>0</v>
      </c>
      <c r="D1510">
        <v>0.24650276549021499</v>
      </c>
      <c r="E1510">
        <v>0.83997854706796105</v>
      </c>
      <c r="F1510">
        <v>12.1721559911093</v>
      </c>
    </row>
    <row r="1511" spans="1:6">
      <c r="A1511" t="s">
        <v>49795</v>
      </c>
      <c r="B1511" t="s">
        <v>49797</v>
      </c>
      <c r="C1511">
        <v>0.80128091887748398</v>
      </c>
      <c r="D1511">
        <v>0.24650276549021499</v>
      </c>
      <c r="E1511">
        <v>0.83997854706796105</v>
      </c>
      <c r="F1511">
        <v>12.1721559911093</v>
      </c>
    </row>
    <row r="1512" spans="1:6">
      <c r="A1512" t="s">
        <v>49795</v>
      </c>
      <c r="B1512" t="s">
        <v>49798</v>
      </c>
      <c r="C1512">
        <v>0.16098687396240199</v>
      </c>
      <c r="D1512">
        <v>0.24650276549021499</v>
      </c>
      <c r="E1512">
        <v>0.83997854706796105</v>
      </c>
      <c r="F1512">
        <v>12.1721559911093</v>
      </c>
    </row>
    <row r="1513" spans="1:6">
      <c r="A1513" t="s">
        <v>49795</v>
      </c>
      <c r="B1513" t="s">
        <v>49799</v>
      </c>
      <c r="C1513">
        <v>0</v>
      </c>
      <c r="D1513">
        <v>0.24650276549021499</v>
      </c>
      <c r="E1513">
        <v>0.83997854706796105</v>
      </c>
      <c r="F1513">
        <v>12.1721559911093</v>
      </c>
    </row>
    <row r="1514" spans="1:6">
      <c r="A1514" t="s">
        <v>49800</v>
      </c>
      <c r="B1514" t="s">
        <v>49801</v>
      </c>
      <c r="C1514">
        <v>1.3671181859411099</v>
      </c>
      <c r="D1514">
        <v>0.80483186235220405</v>
      </c>
      <c r="E1514">
        <v>0.85153297144788398</v>
      </c>
      <c r="F1514">
        <v>4.63123863406748</v>
      </c>
    </row>
    <row r="1515" spans="1:6">
      <c r="A1515" t="s">
        <v>49800</v>
      </c>
      <c r="B1515" t="s">
        <v>49802</v>
      </c>
      <c r="C1515">
        <v>-1.51593354034115</v>
      </c>
      <c r="D1515">
        <v>0.80483186235220405</v>
      </c>
      <c r="E1515">
        <v>0.85153297144788398</v>
      </c>
      <c r="F1515">
        <v>4.63123863406748</v>
      </c>
    </row>
    <row r="1516" spans="1:6">
      <c r="A1516" t="s">
        <v>49803</v>
      </c>
      <c r="B1516" t="s">
        <v>49804</v>
      </c>
      <c r="C1516">
        <v>0</v>
      </c>
      <c r="D1516">
        <v>0.61472876611642902</v>
      </c>
      <c r="E1516">
        <v>0.94509384815830899</v>
      </c>
      <c r="F1516">
        <v>4.3160234390785996</v>
      </c>
    </row>
    <row r="1517" spans="1:6">
      <c r="A1517" t="s">
        <v>49803</v>
      </c>
      <c r="B1517" t="s">
        <v>49805</v>
      </c>
      <c r="C1517">
        <v>0</v>
      </c>
      <c r="D1517">
        <v>0.61472876611642902</v>
      </c>
      <c r="E1517">
        <v>0.94509384815830899</v>
      </c>
      <c r="F1517">
        <v>4.3160234390785996</v>
      </c>
    </row>
    <row r="1518" spans="1:6">
      <c r="A1518" t="s">
        <v>49803</v>
      </c>
      <c r="B1518" t="s">
        <v>49806</v>
      </c>
      <c r="C1518">
        <v>0</v>
      </c>
      <c r="D1518">
        <v>0.61472876611642902</v>
      </c>
      <c r="E1518">
        <v>0.94509384815830899</v>
      </c>
      <c r="F1518">
        <v>4.3160234390785996</v>
      </c>
    </row>
    <row r="1519" spans="1:6">
      <c r="A1519" t="s">
        <v>49803</v>
      </c>
      <c r="B1519" t="s">
        <v>49807</v>
      </c>
      <c r="C1519">
        <v>0</v>
      </c>
      <c r="D1519">
        <v>0.61472876611642902</v>
      </c>
      <c r="E1519">
        <v>0.94509384815830899</v>
      </c>
      <c r="F1519">
        <v>4.3160234390785996</v>
      </c>
    </row>
    <row r="1520" spans="1:6">
      <c r="A1520" t="s">
        <v>49803</v>
      </c>
      <c r="B1520" t="s">
        <v>49808</v>
      </c>
      <c r="C1520">
        <v>6.9212564155603604E-2</v>
      </c>
      <c r="D1520">
        <v>0.61472876611642902</v>
      </c>
      <c r="E1520">
        <v>0.94509384815830899</v>
      </c>
      <c r="F1520">
        <v>4.3160234390785996</v>
      </c>
    </row>
    <row r="1521" spans="1:6">
      <c r="A1521" t="s">
        <v>49803</v>
      </c>
      <c r="B1521" t="s">
        <v>49809</v>
      </c>
      <c r="C1521">
        <v>0.52243675440225001</v>
      </c>
      <c r="D1521">
        <v>0.61472876611642902</v>
      </c>
      <c r="E1521">
        <v>0.94509384815830899</v>
      </c>
      <c r="F1521">
        <v>4.3160234390785996</v>
      </c>
    </row>
    <row r="1522" spans="1:6">
      <c r="A1522" t="s">
        <v>49803</v>
      </c>
      <c r="B1522" t="s">
        <v>49810</v>
      </c>
      <c r="C1522">
        <v>0</v>
      </c>
      <c r="D1522">
        <v>0.61472876611642902</v>
      </c>
      <c r="E1522">
        <v>0.94509384815830899</v>
      </c>
      <c r="F1522">
        <v>4.3160234390785996</v>
      </c>
    </row>
    <row r="1523" spans="1:6">
      <c r="A1523" t="s">
        <v>49811</v>
      </c>
      <c r="B1523" t="s">
        <v>49812</v>
      </c>
      <c r="C1523">
        <v>0</v>
      </c>
      <c r="D1523">
        <v>0.67270671358907896</v>
      </c>
      <c r="E1523" t="s">
        <v>106</v>
      </c>
      <c r="F1523">
        <v>1.29480703172358</v>
      </c>
    </row>
    <row r="1524" spans="1:6">
      <c r="A1524" t="s">
        <v>49811</v>
      </c>
      <c r="B1524" t="s">
        <v>49813</v>
      </c>
      <c r="C1524">
        <v>0</v>
      </c>
      <c r="D1524">
        <v>0.67270671358907896</v>
      </c>
      <c r="E1524" t="s">
        <v>106</v>
      </c>
      <c r="F1524">
        <v>1.29480703172358</v>
      </c>
    </row>
    <row r="1525" spans="1:6">
      <c r="A1525" t="s">
        <v>49811</v>
      </c>
      <c r="B1525" t="s">
        <v>49814</v>
      </c>
      <c r="C1525">
        <v>0</v>
      </c>
      <c r="D1525">
        <v>0.67270671358907896</v>
      </c>
      <c r="E1525" t="s">
        <v>106</v>
      </c>
      <c r="F1525">
        <v>1.29480703172358</v>
      </c>
    </row>
    <row r="1526" spans="1:6">
      <c r="A1526" t="s">
        <v>49815</v>
      </c>
      <c r="B1526" t="s">
        <v>49816</v>
      </c>
      <c r="C1526">
        <v>1.85320015474435</v>
      </c>
      <c r="D1526">
        <v>0.19652448964419</v>
      </c>
      <c r="E1526">
        <v>0.989345911896506</v>
      </c>
      <c r="F1526">
        <v>3.8795716306324501E-2</v>
      </c>
    </row>
    <row r="1527" spans="1:6">
      <c r="A1527" t="s">
        <v>49815</v>
      </c>
      <c r="B1527" t="s">
        <v>49817</v>
      </c>
      <c r="C1527">
        <v>0</v>
      </c>
      <c r="D1527">
        <v>0.19652448964419</v>
      </c>
      <c r="E1527">
        <v>0.989345911896506</v>
      </c>
      <c r="F1527">
        <v>3.8795716306324501E-2</v>
      </c>
    </row>
    <row r="1528" spans="1:6">
      <c r="A1528" t="s">
        <v>49815</v>
      </c>
      <c r="B1528" t="s">
        <v>49818</v>
      </c>
      <c r="C1528">
        <v>-1.4156873376485299</v>
      </c>
      <c r="D1528">
        <v>0.19652448964419</v>
      </c>
      <c r="E1528">
        <v>0.989345911896506</v>
      </c>
      <c r="F1528">
        <v>3.8795716306324501E-2</v>
      </c>
    </row>
    <row r="1529" spans="1:6">
      <c r="A1529" t="s">
        <v>49819</v>
      </c>
      <c r="B1529" t="s">
        <v>49820</v>
      </c>
      <c r="C1529">
        <v>0</v>
      </c>
      <c r="D1529">
        <v>6.1127615217411398E-2</v>
      </c>
      <c r="E1529">
        <v>0.65299847451597504</v>
      </c>
      <c r="F1529">
        <v>3.9183673469387701</v>
      </c>
    </row>
    <row r="1530" spans="1:6">
      <c r="A1530" t="s">
        <v>49819</v>
      </c>
      <c r="B1530" t="s">
        <v>49821</v>
      </c>
      <c r="C1530">
        <v>0.52291104189920701</v>
      </c>
      <c r="D1530">
        <v>6.1127615217411398E-2</v>
      </c>
      <c r="E1530">
        <v>0.65299847451597504</v>
      </c>
      <c r="F1530">
        <v>3.9183673469387701</v>
      </c>
    </row>
    <row r="1531" spans="1:6">
      <c r="A1531" t="s">
        <v>49819</v>
      </c>
      <c r="B1531" t="s">
        <v>49822</v>
      </c>
      <c r="C1531">
        <v>0</v>
      </c>
      <c r="D1531">
        <v>6.1127615217411398E-2</v>
      </c>
      <c r="E1531">
        <v>0.65299847451597504</v>
      </c>
      <c r="F1531">
        <v>3.9183673469387701</v>
      </c>
    </row>
    <row r="1532" spans="1:6">
      <c r="A1532" t="s">
        <v>49819</v>
      </c>
      <c r="B1532" t="s">
        <v>49823</v>
      </c>
      <c r="C1532">
        <v>5.87874521968198E-2</v>
      </c>
      <c r="D1532">
        <v>6.1127615217411398E-2</v>
      </c>
      <c r="E1532">
        <v>0.65299847451597504</v>
      </c>
      <c r="F1532">
        <v>3.9183673469387701</v>
      </c>
    </row>
    <row r="1533" spans="1:6">
      <c r="A1533" t="s">
        <v>49824</v>
      </c>
      <c r="B1533" t="s">
        <v>49825</v>
      </c>
      <c r="C1533">
        <v>0</v>
      </c>
      <c r="D1533">
        <v>0.57801763465723699</v>
      </c>
      <c r="E1533">
        <v>0.67567755267406004</v>
      </c>
      <c r="F1533">
        <v>0</v>
      </c>
    </row>
    <row r="1534" spans="1:6">
      <c r="A1534" t="s">
        <v>49824</v>
      </c>
      <c r="B1534" t="s">
        <v>49826</v>
      </c>
      <c r="C1534">
        <v>0</v>
      </c>
      <c r="D1534">
        <v>0.57801763465723699</v>
      </c>
      <c r="E1534">
        <v>0.67567755267406004</v>
      </c>
      <c r="F1534">
        <v>0</v>
      </c>
    </row>
    <row r="1535" spans="1:6">
      <c r="A1535" t="s">
        <v>49824</v>
      </c>
      <c r="B1535" t="s">
        <v>49827</v>
      </c>
      <c r="C1535">
        <v>0</v>
      </c>
      <c r="D1535">
        <v>0.57801763465723699</v>
      </c>
      <c r="E1535">
        <v>0.67567755267406004</v>
      </c>
      <c r="F1535">
        <v>0</v>
      </c>
    </row>
    <row r="1536" spans="1:6">
      <c r="A1536" t="s">
        <v>49824</v>
      </c>
      <c r="B1536" t="s">
        <v>49828</v>
      </c>
      <c r="C1536">
        <v>0</v>
      </c>
      <c r="D1536">
        <v>0.57801763465723699</v>
      </c>
      <c r="E1536">
        <v>0.67567755267406004</v>
      </c>
      <c r="F1536">
        <v>0</v>
      </c>
    </row>
    <row r="1537" spans="1:6">
      <c r="A1537" t="s">
        <v>49824</v>
      </c>
      <c r="B1537" t="s">
        <v>49829</v>
      </c>
      <c r="C1537">
        <v>0</v>
      </c>
      <c r="D1537">
        <v>0.57801763465723699</v>
      </c>
      <c r="E1537">
        <v>0.67567755267406004</v>
      </c>
      <c r="F1537">
        <v>0</v>
      </c>
    </row>
    <row r="1538" spans="1:6">
      <c r="A1538" t="s">
        <v>49824</v>
      </c>
      <c r="B1538" t="s">
        <v>49830</v>
      </c>
      <c r="C1538">
        <v>0.55727755267405998</v>
      </c>
      <c r="D1538">
        <v>0.57801763465723699</v>
      </c>
      <c r="E1538">
        <v>0.67567755267406004</v>
      </c>
      <c r="F1538">
        <v>0</v>
      </c>
    </row>
    <row r="1539" spans="1:6">
      <c r="A1539" t="s">
        <v>49824</v>
      </c>
      <c r="B1539" t="s">
        <v>49831</v>
      </c>
      <c r="C1539">
        <v>0</v>
      </c>
      <c r="D1539">
        <v>0.57801763465723699</v>
      </c>
      <c r="E1539">
        <v>0.67567755267406004</v>
      </c>
      <c r="F1539">
        <v>0</v>
      </c>
    </row>
    <row r="1540" spans="1:6">
      <c r="A1540" t="s">
        <v>49824</v>
      </c>
      <c r="B1540" t="s">
        <v>49832</v>
      </c>
      <c r="C1540">
        <v>0</v>
      </c>
      <c r="D1540">
        <v>0.57801763465723699</v>
      </c>
      <c r="E1540">
        <v>0.67567755267406004</v>
      </c>
      <c r="F1540">
        <v>0</v>
      </c>
    </row>
    <row r="1541" spans="1:6">
      <c r="A1541" t="s">
        <v>49824</v>
      </c>
      <c r="B1541" t="s">
        <v>49833</v>
      </c>
      <c r="C1541">
        <v>0</v>
      </c>
      <c r="D1541">
        <v>0.57801763465723699</v>
      </c>
      <c r="E1541">
        <v>0.67567755267406004</v>
      </c>
      <c r="F1541">
        <v>0</v>
      </c>
    </row>
    <row r="1542" spans="1:6">
      <c r="A1542" t="s">
        <v>49824</v>
      </c>
      <c r="B1542" t="s">
        <v>49834</v>
      </c>
      <c r="C1542">
        <v>0</v>
      </c>
      <c r="D1542">
        <v>0.57801763465723699</v>
      </c>
      <c r="E1542">
        <v>0.67567755267406004</v>
      </c>
      <c r="F1542">
        <v>0</v>
      </c>
    </row>
    <row r="1543" spans="1:6">
      <c r="A1543" t="s">
        <v>49824</v>
      </c>
      <c r="B1543" t="s">
        <v>49835</v>
      </c>
      <c r="C1543">
        <v>0</v>
      </c>
      <c r="D1543">
        <v>0.57801763465723699</v>
      </c>
      <c r="E1543">
        <v>0.67567755267406004</v>
      </c>
      <c r="F1543">
        <v>0</v>
      </c>
    </row>
    <row r="1544" spans="1:6">
      <c r="A1544" t="s">
        <v>49824</v>
      </c>
      <c r="B1544" t="s">
        <v>49836</v>
      </c>
      <c r="C1544">
        <v>0</v>
      </c>
      <c r="D1544">
        <v>0.57801763465723699</v>
      </c>
      <c r="E1544">
        <v>0.67567755267406004</v>
      </c>
      <c r="F1544">
        <v>0</v>
      </c>
    </row>
    <row r="1545" spans="1:6">
      <c r="A1545" t="s">
        <v>49824</v>
      </c>
      <c r="B1545" t="s">
        <v>49837</v>
      </c>
      <c r="C1545">
        <v>0</v>
      </c>
      <c r="D1545">
        <v>0.57801763465723699</v>
      </c>
      <c r="E1545">
        <v>0.67567755267406004</v>
      </c>
      <c r="F1545">
        <v>0</v>
      </c>
    </row>
    <row r="1546" spans="1:6">
      <c r="A1546" t="s">
        <v>49838</v>
      </c>
      <c r="B1546" t="s">
        <v>49839</v>
      </c>
      <c r="C1546">
        <v>0.218020683103956</v>
      </c>
      <c r="D1546">
        <v>0.40819815450962399</v>
      </c>
      <c r="E1546">
        <v>0.96674276542747495</v>
      </c>
      <c r="F1546">
        <v>0.79046271974136095</v>
      </c>
    </row>
    <row r="1547" spans="1:6">
      <c r="A1547" t="s">
        <v>49838</v>
      </c>
      <c r="B1547" t="s">
        <v>49840</v>
      </c>
      <c r="C1547">
        <v>0</v>
      </c>
      <c r="D1547">
        <v>0.40819815450962399</v>
      </c>
      <c r="E1547">
        <v>0.96674276542747495</v>
      </c>
      <c r="F1547">
        <v>0.79046271974136095</v>
      </c>
    </row>
    <row r="1548" spans="1:6">
      <c r="A1548" t="s">
        <v>49838</v>
      </c>
      <c r="B1548" t="s">
        <v>49841</v>
      </c>
      <c r="C1548">
        <v>0.69270483587599396</v>
      </c>
      <c r="D1548">
        <v>0.40819815450962399</v>
      </c>
      <c r="E1548">
        <v>0.96674276542747495</v>
      </c>
      <c r="F1548">
        <v>0.79046271974136095</v>
      </c>
    </row>
    <row r="1549" spans="1:6">
      <c r="A1549" t="s">
        <v>49838</v>
      </c>
      <c r="B1549" t="s">
        <v>49842</v>
      </c>
      <c r="C1549">
        <v>0</v>
      </c>
      <c r="D1549">
        <v>0.40819815450962399</v>
      </c>
      <c r="E1549">
        <v>0.96674276542747495</v>
      </c>
      <c r="F1549">
        <v>0.79046271974136095</v>
      </c>
    </row>
    <row r="1550" spans="1:6">
      <c r="A1550" t="s">
        <v>49843</v>
      </c>
      <c r="B1550" t="s">
        <v>49844</v>
      </c>
      <c r="C1550">
        <v>0.53402821507431197</v>
      </c>
      <c r="D1550">
        <v>0.121994652257212</v>
      </c>
      <c r="E1550">
        <v>0.96839453433703304</v>
      </c>
      <c r="F1550">
        <v>16.0662760153566</v>
      </c>
    </row>
    <row r="1551" spans="1:6">
      <c r="A1551" t="s">
        <v>49843</v>
      </c>
      <c r="B1551" t="s">
        <v>49845</v>
      </c>
      <c r="C1551">
        <v>0.34525776060164598</v>
      </c>
      <c r="D1551">
        <v>0.121994652257212</v>
      </c>
      <c r="E1551">
        <v>0.96839453433703304</v>
      </c>
      <c r="F1551">
        <v>16.0662760153566</v>
      </c>
    </row>
    <row r="1552" spans="1:6">
      <c r="A1552" t="s">
        <v>49843</v>
      </c>
      <c r="B1552" t="s">
        <v>49846</v>
      </c>
      <c r="C1552">
        <v>0</v>
      </c>
      <c r="D1552">
        <v>0.121994652257212</v>
      </c>
      <c r="E1552">
        <v>0.96839453433703304</v>
      </c>
      <c r="F1552">
        <v>16.0662760153566</v>
      </c>
    </row>
    <row r="1553" spans="1:6">
      <c r="A1553" t="s">
        <v>49847</v>
      </c>
      <c r="B1553" t="s">
        <v>49848</v>
      </c>
      <c r="C1553">
        <v>0</v>
      </c>
      <c r="D1553">
        <v>0.62971052072740596</v>
      </c>
      <c r="E1553">
        <v>0.824922811863529</v>
      </c>
      <c r="F1553">
        <v>12.3418872499494</v>
      </c>
    </row>
    <row r="1554" spans="1:6">
      <c r="A1554" t="s">
        <v>49847</v>
      </c>
      <c r="B1554" t="s">
        <v>49849</v>
      </c>
      <c r="C1554">
        <v>0</v>
      </c>
      <c r="D1554">
        <v>0.62971052072740596</v>
      </c>
      <c r="E1554">
        <v>0.824922811863529</v>
      </c>
      <c r="F1554">
        <v>12.3418872499494</v>
      </c>
    </row>
    <row r="1555" spans="1:6">
      <c r="A1555" t="s">
        <v>49847</v>
      </c>
      <c r="B1555" t="s">
        <v>49850</v>
      </c>
      <c r="C1555">
        <v>0.58652281186352895</v>
      </c>
      <c r="D1555">
        <v>0.62971052072740596</v>
      </c>
      <c r="E1555">
        <v>0.824922811863529</v>
      </c>
      <c r="F1555">
        <v>12.3418872499494</v>
      </c>
    </row>
    <row r="1556" spans="1:6">
      <c r="A1556" t="s">
        <v>49847</v>
      </c>
      <c r="B1556" t="s">
        <v>49851</v>
      </c>
      <c r="C1556">
        <v>0</v>
      </c>
      <c r="D1556">
        <v>0.62971052072740596</v>
      </c>
      <c r="E1556">
        <v>0.824922811863529</v>
      </c>
      <c r="F1556">
        <v>12.3418872499494</v>
      </c>
    </row>
    <row r="1557" spans="1:6">
      <c r="A1557" t="s">
        <v>49847</v>
      </c>
      <c r="B1557" t="s">
        <v>49852</v>
      </c>
      <c r="C1557">
        <v>0</v>
      </c>
      <c r="D1557">
        <v>0.62971052072740596</v>
      </c>
      <c r="E1557">
        <v>0.824922811863529</v>
      </c>
      <c r="F1557">
        <v>12.3418872499494</v>
      </c>
    </row>
    <row r="1558" spans="1:6">
      <c r="A1558" t="s">
        <v>49853</v>
      </c>
      <c r="B1558" t="s">
        <v>49854</v>
      </c>
      <c r="C1558">
        <v>7.1096751250682599E-2</v>
      </c>
      <c r="D1558">
        <v>0.597160556725017</v>
      </c>
      <c r="E1558">
        <v>0.93841149128036205</v>
      </c>
      <c r="F1558">
        <v>5.6399272580319204</v>
      </c>
    </row>
    <row r="1559" spans="1:6">
      <c r="A1559" t="s">
        <v>49853</v>
      </c>
      <c r="B1559" t="s">
        <v>49855</v>
      </c>
      <c r="C1559">
        <v>0.85424921658981001</v>
      </c>
      <c r="D1559">
        <v>0.597160556725017</v>
      </c>
      <c r="E1559">
        <v>0.93841149128036205</v>
      </c>
      <c r="F1559">
        <v>5.6399272580319204</v>
      </c>
    </row>
    <row r="1560" spans="1:6">
      <c r="A1560" t="s">
        <v>49856</v>
      </c>
      <c r="B1560" t="s">
        <v>49857</v>
      </c>
      <c r="C1560">
        <v>0.76084870508084601</v>
      </c>
      <c r="D1560">
        <v>0.49475599986011698</v>
      </c>
      <c r="E1560">
        <v>0.92084870508084604</v>
      </c>
      <c r="F1560">
        <v>15.4746413416851</v>
      </c>
    </row>
    <row r="1561" spans="1:6">
      <c r="A1561" t="s">
        <v>49856</v>
      </c>
      <c r="B1561" t="s">
        <v>49858</v>
      </c>
      <c r="C1561">
        <v>0</v>
      </c>
      <c r="D1561">
        <v>0.49475599986011698</v>
      </c>
      <c r="E1561">
        <v>0.92084870508084604</v>
      </c>
      <c r="F1561">
        <v>15.4746413416851</v>
      </c>
    </row>
    <row r="1562" spans="1:6">
      <c r="A1562" t="s">
        <v>49859</v>
      </c>
      <c r="B1562" t="s">
        <v>49860</v>
      </c>
      <c r="C1562">
        <v>0.16776308400013301</v>
      </c>
      <c r="D1562">
        <v>0.48654482837099799</v>
      </c>
      <c r="E1562">
        <v>0.95497900233617905</v>
      </c>
      <c r="F1562">
        <v>13.5930491008284</v>
      </c>
    </row>
    <row r="1563" spans="1:6">
      <c r="A1563" t="s">
        <v>49859</v>
      </c>
      <c r="B1563" t="s">
        <v>49861</v>
      </c>
      <c r="C1563">
        <v>0</v>
      </c>
      <c r="D1563">
        <v>0.48654482837099799</v>
      </c>
      <c r="E1563">
        <v>0.95497900233617905</v>
      </c>
      <c r="F1563">
        <v>13.5930491008284</v>
      </c>
    </row>
    <row r="1564" spans="1:6">
      <c r="A1564" t="s">
        <v>49859</v>
      </c>
      <c r="B1564" t="s">
        <v>49862</v>
      </c>
      <c r="C1564">
        <v>0</v>
      </c>
      <c r="D1564">
        <v>0.48654482837099799</v>
      </c>
      <c r="E1564">
        <v>0.95497900233617905</v>
      </c>
      <c r="F1564">
        <v>13.5930491008284</v>
      </c>
    </row>
    <row r="1565" spans="1:6">
      <c r="A1565" t="s">
        <v>49859</v>
      </c>
      <c r="B1565" t="s">
        <v>49863</v>
      </c>
      <c r="C1565">
        <v>0</v>
      </c>
      <c r="D1565">
        <v>0.48654482837099799</v>
      </c>
      <c r="E1565">
        <v>0.95497900233617905</v>
      </c>
      <c r="F1565">
        <v>13.5930491008284</v>
      </c>
    </row>
    <row r="1566" spans="1:6">
      <c r="A1566" t="s">
        <v>49859</v>
      </c>
      <c r="B1566" t="s">
        <v>49864</v>
      </c>
      <c r="C1566">
        <v>0.72430930199715204</v>
      </c>
      <c r="D1566">
        <v>0.48654482837099799</v>
      </c>
      <c r="E1566">
        <v>0.95497900233617905</v>
      </c>
      <c r="F1566">
        <v>13.5930491008284</v>
      </c>
    </row>
    <row r="1567" spans="1:6">
      <c r="A1567" t="s">
        <v>49859</v>
      </c>
      <c r="B1567" t="s">
        <v>49865</v>
      </c>
      <c r="C1567">
        <v>0</v>
      </c>
      <c r="D1567">
        <v>0.48654482837099799</v>
      </c>
      <c r="E1567">
        <v>0.95497900233617905</v>
      </c>
      <c r="F1567">
        <v>13.5930491008284</v>
      </c>
    </row>
    <row r="1568" spans="1:6">
      <c r="A1568" t="s">
        <v>49866</v>
      </c>
      <c r="B1568" t="s">
        <v>49867</v>
      </c>
      <c r="C1568">
        <v>0</v>
      </c>
      <c r="D1568">
        <v>0.42408088468541599</v>
      </c>
      <c r="E1568">
        <v>0.93231521241919002</v>
      </c>
      <c r="F1568">
        <v>17.074964639320999</v>
      </c>
    </row>
    <row r="1569" spans="1:6">
      <c r="A1569" t="s">
        <v>49866</v>
      </c>
      <c r="B1569" t="s">
        <v>49868</v>
      </c>
      <c r="C1569">
        <v>9.5706027707395405E-2</v>
      </c>
      <c r="D1569">
        <v>0.42408088468541599</v>
      </c>
      <c r="E1569">
        <v>0.93231521241919002</v>
      </c>
      <c r="F1569">
        <v>17.074964639320999</v>
      </c>
    </row>
    <row r="1570" spans="1:6">
      <c r="A1570" t="s">
        <v>49866</v>
      </c>
      <c r="B1570" t="s">
        <v>49869</v>
      </c>
      <c r="C1570">
        <v>0.72333747504435497</v>
      </c>
      <c r="D1570">
        <v>0.42408088468541599</v>
      </c>
      <c r="E1570">
        <v>0.93231521241919002</v>
      </c>
      <c r="F1570">
        <v>17.074964639320999</v>
      </c>
    </row>
    <row r="1571" spans="1:6">
      <c r="A1571" t="s">
        <v>49866</v>
      </c>
      <c r="B1571" t="s">
        <v>49870</v>
      </c>
      <c r="C1571">
        <v>0</v>
      </c>
      <c r="D1571">
        <v>0.42408088468541599</v>
      </c>
      <c r="E1571">
        <v>0.93231521241919002</v>
      </c>
      <c r="F1571">
        <v>17.074964639320999</v>
      </c>
    </row>
    <row r="1572" spans="1:6">
      <c r="A1572" t="s">
        <v>49866</v>
      </c>
      <c r="B1572" t="s">
        <v>49871</v>
      </c>
      <c r="C1572">
        <v>0</v>
      </c>
      <c r="D1572">
        <v>0.42408088468541599</v>
      </c>
      <c r="E1572">
        <v>0.93231521241919002</v>
      </c>
      <c r="F1572">
        <v>17.074964639320999</v>
      </c>
    </row>
    <row r="1573" spans="1:6">
      <c r="A1573" t="s">
        <v>49866</v>
      </c>
      <c r="B1573" t="s">
        <v>49872</v>
      </c>
      <c r="C1573">
        <v>0</v>
      </c>
      <c r="D1573">
        <v>0.42408088468541599</v>
      </c>
      <c r="E1573">
        <v>0.93231521241919002</v>
      </c>
      <c r="F1573">
        <v>17.074964639320999</v>
      </c>
    </row>
    <row r="1574" spans="1:6">
      <c r="A1574" t="s">
        <v>49866</v>
      </c>
      <c r="B1574" t="s">
        <v>49873</v>
      </c>
      <c r="C1574">
        <v>0</v>
      </c>
      <c r="D1574">
        <v>0.42408088468541599</v>
      </c>
      <c r="E1574">
        <v>0.93231521241919002</v>
      </c>
      <c r="F1574">
        <v>17.074964639320999</v>
      </c>
    </row>
    <row r="1575" spans="1:6">
      <c r="A1575" t="s">
        <v>49866</v>
      </c>
      <c r="B1575" t="s">
        <v>49874</v>
      </c>
      <c r="C1575">
        <v>0</v>
      </c>
      <c r="D1575">
        <v>0.42408088468541599</v>
      </c>
      <c r="E1575">
        <v>0.93231521241919002</v>
      </c>
      <c r="F1575">
        <v>17.074964639320999</v>
      </c>
    </row>
    <row r="1576" spans="1:6">
      <c r="A1576" t="s">
        <v>49875</v>
      </c>
      <c r="B1576" t="s">
        <v>49876</v>
      </c>
      <c r="C1576">
        <v>0</v>
      </c>
      <c r="D1576">
        <v>0.56479333617447902</v>
      </c>
      <c r="E1576">
        <v>0.98421548153836103</v>
      </c>
      <c r="F1576">
        <v>0.51404324105879895</v>
      </c>
    </row>
    <row r="1577" spans="1:6">
      <c r="A1577" t="s">
        <v>49875</v>
      </c>
      <c r="B1577" t="s">
        <v>49877</v>
      </c>
      <c r="C1577">
        <v>0</v>
      </c>
      <c r="D1577">
        <v>0.56479333617447902</v>
      </c>
      <c r="E1577">
        <v>0.98421548153836103</v>
      </c>
      <c r="F1577">
        <v>0.51404324105879895</v>
      </c>
    </row>
    <row r="1578" spans="1:6">
      <c r="A1578" t="s">
        <v>49875</v>
      </c>
      <c r="B1578" t="s">
        <v>49878</v>
      </c>
      <c r="C1578">
        <v>0</v>
      </c>
      <c r="D1578">
        <v>0.56479333617447902</v>
      </c>
      <c r="E1578">
        <v>0.98421548153836103</v>
      </c>
      <c r="F1578">
        <v>0.51404324105879895</v>
      </c>
    </row>
    <row r="1579" spans="1:6">
      <c r="A1579" t="s">
        <v>49875</v>
      </c>
      <c r="B1579" t="s">
        <v>49879</v>
      </c>
      <c r="C1579">
        <v>0</v>
      </c>
      <c r="D1579">
        <v>0.56479333617447902</v>
      </c>
      <c r="E1579">
        <v>0.98421548153836103</v>
      </c>
      <c r="F1579">
        <v>0.51404324105879895</v>
      </c>
    </row>
    <row r="1580" spans="1:6">
      <c r="A1580" t="s">
        <v>49875</v>
      </c>
      <c r="B1580" t="s">
        <v>49880</v>
      </c>
      <c r="C1580">
        <v>0</v>
      </c>
      <c r="D1580">
        <v>0.56479333617447902</v>
      </c>
      <c r="E1580">
        <v>0.98421548153836103</v>
      </c>
      <c r="F1580">
        <v>0.51404324105879895</v>
      </c>
    </row>
    <row r="1581" spans="1:6">
      <c r="A1581" t="s">
        <v>49875</v>
      </c>
      <c r="B1581" t="s">
        <v>49881</v>
      </c>
      <c r="C1581">
        <v>0.18816458412711201</v>
      </c>
      <c r="D1581">
        <v>0.56479333617447902</v>
      </c>
      <c r="E1581">
        <v>0.98421548153836103</v>
      </c>
      <c r="F1581">
        <v>0.51404324105879895</v>
      </c>
    </row>
    <row r="1582" spans="1:6">
      <c r="A1582" t="s">
        <v>49875</v>
      </c>
      <c r="B1582" t="s">
        <v>49882</v>
      </c>
      <c r="C1582">
        <v>0</v>
      </c>
      <c r="D1582">
        <v>0.56479333617447902</v>
      </c>
      <c r="E1582">
        <v>0.98421548153836103</v>
      </c>
      <c r="F1582">
        <v>0.51404324105879895</v>
      </c>
    </row>
    <row r="1583" spans="1:6">
      <c r="A1583" t="s">
        <v>49875</v>
      </c>
      <c r="B1583" t="s">
        <v>49883</v>
      </c>
      <c r="C1583">
        <v>0</v>
      </c>
      <c r="D1583">
        <v>0.56479333617447902</v>
      </c>
      <c r="E1583">
        <v>0.98421548153836103</v>
      </c>
      <c r="F1583">
        <v>0.51404324105879895</v>
      </c>
    </row>
    <row r="1584" spans="1:6">
      <c r="A1584" t="s">
        <v>49875</v>
      </c>
      <c r="B1584" t="s">
        <v>49884</v>
      </c>
      <c r="C1584">
        <v>0</v>
      </c>
      <c r="D1584">
        <v>0.56479333617447902</v>
      </c>
      <c r="E1584">
        <v>0.98421548153836103</v>
      </c>
      <c r="F1584">
        <v>0.51404324105879895</v>
      </c>
    </row>
    <row r="1585" spans="1:6">
      <c r="A1585" t="s">
        <v>49875</v>
      </c>
      <c r="B1585" t="s">
        <v>49885</v>
      </c>
      <c r="C1585">
        <v>0.47139219333705001</v>
      </c>
      <c r="D1585">
        <v>0.56479333617447902</v>
      </c>
      <c r="E1585">
        <v>0.98421548153836103</v>
      </c>
      <c r="F1585">
        <v>0.51404324105879895</v>
      </c>
    </row>
    <row r="1586" spans="1:6">
      <c r="A1586" t="s">
        <v>49875</v>
      </c>
      <c r="B1586" t="s">
        <v>49886</v>
      </c>
      <c r="C1586">
        <v>0</v>
      </c>
      <c r="D1586">
        <v>0.56479333617447902</v>
      </c>
      <c r="E1586">
        <v>0.98421548153836103</v>
      </c>
      <c r="F1586">
        <v>0.51404324105879895</v>
      </c>
    </row>
    <row r="1587" spans="1:6">
      <c r="A1587" t="s">
        <v>49887</v>
      </c>
      <c r="B1587" t="s">
        <v>49888</v>
      </c>
      <c r="C1587">
        <v>0</v>
      </c>
      <c r="D1587">
        <v>0.36525081387564501</v>
      </c>
      <c r="E1587">
        <v>0.78525242128235095</v>
      </c>
      <c r="F1587">
        <v>12.3418872499494</v>
      </c>
    </row>
    <row r="1588" spans="1:6">
      <c r="A1588" t="s">
        <v>49887</v>
      </c>
      <c r="B1588" t="s">
        <v>49889</v>
      </c>
      <c r="C1588">
        <v>0.20017448615174699</v>
      </c>
      <c r="D1588">
        <v>0.36525081387564501</v>
      </c>
      <c r="E1588">
        <v>0.78525242128235095</v>
      </c>
      <c r="F1588">
        <v>12.3418872499494</v>
      </c>
    </row>
    <row r="1589" spans="1:6">
      <c r="A1589" t="s">
        <v>49887</v>
      </c>
      <c r="B1589" t="s">
        <v>49890</v>
      </c>
      <c r="C1589">
        <v>0.16503694913799399</v>
      </c>
      <c r="D1589">
        <v>0.36525081387564501</v>
      </c>
      <c r="E1589">
        <v>0.78525242128235095</v>
      </c>
      <c r="F1589">
        <v>12.3418872499494</v>
      </c>
    </row>
    <row r="1590" spans="1:6">
      <c r="A1590" t="s">
        <v>49887</v>
      </c>
      <c r="B1590" t="s">
        <v>49891</v>
      </c>
      <c r="C1590">
        <v>0</v>
      </c>
      <c r="D1590">
        <v>0.36525081387564501</v>
      </c>
      <c r="E1590">
        <v>0.78525242128235095</v>
      </c>
      <c r="F1590">
        <v>12.3418872499494</v>
      </c>
    </row>
    <row r="1591" spans="1:6">
      <c r="A1591" t="s">
        <v>49887</v>
      </c>
      <c r="B1591" t="s">
        <v>49892</v>
      </c>
      <c r="C1591">
        <v>0</v>
      </c>
      <c r="D1591">
        <v>0.36525081387564501</v>
      </c>
      <c r="E1591">
        <v>0.78525242128235095</v>
      </c>
      <c r="F1591">
        <v>12.3418872499494</v>
      </c>
    </row>
    <row r="1592" spans="1:6">
      <c r="A1592" t="s">
        <v>49887</v>
      </c>
      <c r="B1592" t="s">
        <v>49893</v>
      </c>
      <c r="C1592">
        <v>0</v>
      </c>
      <c r="D1592">
        <v>0.36525081387564501</v>
      </c>
      <c r="E1592">
        <v>0.78525242128235095</v>
      </c>
      <c r="F1592">
        <v>12.3418872499494</v>
      </c>
    </row>
    <row r="1593" spans="1:6">
      <c r="A1593" t="s">
        <v>49894</v>
      </c>
      <c r="B1593" t="s">
        <v>49895</v>
      </c>
      <c r="C1593">
        <v>3.1273616519028997E-2</v>
      </c>
      <c r="D1593">
        <v>1.7462305274230001E-2</v>
      </c>
      <c r="E1593">
        <v>0.82500082244904704</v>
      </c>
      <c r="F1593">
        <v>6.3673469387755102</v>
      </c>
    </row>
    <row r="1594" spans="1:6">
      <c r="A1594" t="s">
        <v>49894</v>
      </c>
      <c r="B1594" t="s">
        <v>49896</v>
      </c>
      <c r="C1594">
        <v>0.64403065472820298</v>
      </c>
      <c r="D1594">
        <v>1.7462305274230001E-2</v>
      </c>
      <c r="E1594">
        <v>0.82500082244904704</v>
      </c>
      <c r="F1594">
        <v>6.3673469387755102</v>
      </c>
    </row>
    <row r="1595" spans="1:6">
      <c r="A1595" t="s">
        <v>49897</v>
      </c>
      <c r="B1595" t="s">
        <v>49898</v>
      </c>
      <c r="C1595">
        <v>0</v>
      </c>
      <c r="D1595">
        <v>6.5437946900879104E-2</v>
      </c>
      <c r="E1595">
        <v>0.83238519146948897</v>
      </c>
      <c r="F1595">
        <v>9.2624772681349707</v>
      </c>
    </row>
    <row r="1596" spans="1:6">
      <c r="A1596" t="s">
        <v>49897</v>
      </c>
      <c r="B1596" t="s">
        <v>49899</v>
      </c>
      <c r="C1596">
        <v>0</v>
      </c>
      <c r="D1596">
        <v>6.5437946900879104E-2</v>
      </c>
      <c r="E1596">
        <v>0.83238519146948897</v>
      </c>
      <c r="F1596">
        <v>9.2624772681349707</v>
      </c>
    </row>
    <row r="1597" spans="1:6">
      <c r="A1597" t="s">
        <v>49897</v>
      </c>
      <c r="B1597" t="s">
        <v>49900</v>
      </c>
      <c r="C1597">
        <v>0.62758519146948799</v>
      </c>
      <c r="D1597">
        <v>6.5437946900879104E-2</v>
      </c>
      <c r="E1597">
        <v>0.83238519146948897</v>
      </c>
      <c r="F1597">
        <v>9.2624772681349707</v>
      </c>
    </row>
    <row r="1598" spans="1:6">
      <c r="A1598" t="s">
        <v>49897</v>
      </c>
      <c r="B1598" t="s">
        <v>49901</v>
      </c>
      <c r="C1598">
        <v>0</v>
      </c>
      <c r="D1598">
        <v>6.5437946900879104E-2</v>
      </c>
      <c r="E1598">
        <v>0.83238519146948897</v>
      </c>
      <c r="F1598">
        <v>9.2624772681349707</v>
      </c>
    </row>
    <row r="1599" spans="1:6">
      <c r="A1599" t="s">
        <v>49897</v>
      </c>
      <c r="B1599" t="s">
        <v>49902</v>
      </c>
      <c r="C1599">
        <v>0</v>
      </c>
      <c r="D1599">
        <v>6.5437946900879104E-2</v>
      </c>
      <c r="E1599">
        <v>0.83238519146948897</v>
      </c>
      <c r="F1599">
        <v>9.2624772681349707</v>
      </c>
    </row>
    <row r="1600" spans="1:6">
      <c r="A1600" t="s">
        <v>49903</v>
      </c>
      <c r="B1600" t="s">
        <v>49904</v>
      </c>
      <c r="C1600">
        <v>0</v>
      </c>
      <c r="D1600">
        <v>0.56936899207803804</v>
      </c>
      <c r="E1600">
        <v>0.86238689650537803</v>
      </c>
      <c r="F1600">
        <v>10.028692665184799</v>
      </c>
    </row>
    <row r="1601" spans="1:6">
      <c r="A1601" t="s">
        <v>49903</v>
      </c>
      <c r="B1601" t="s">
        <v>49905</v>
      </c>
      <c r="C1601">
        <v>0.17470422210220499</v>
      </c>
      <c r="D1601">
        <v>0.56936899207803804</v>
      </c>
      <c r="E1601">
        <v>0.86238689650537803</v>
      </c>
      <c r="F1601">
        <v>10.028692665184799</v>
      </c>
    </row>
    <row r="1602" spans="1:6">
      <c r="A1602" t="s">
        <v>49903</v>
      </c>
      <c r="B1602" t="s">
        <v>49906</v>
      </c>
      <c r="C1602">
        <v>0</v>
      </c>
      <c r="D1602">
        <v>0.56936899207803804</v>
      </c>
      <c r="E1602">
        <v>0.86238689650537803</v>
      </c>
      <c r="F1602">
        <v>10.028692665184799</v>
      </c>
    </row>
    <row r="1603" spans="1:6">
      <c r="A1603" t="s">
        <v>49903</v>
      </c>
      <c r="B1603" t="s">
        <v>49907</v>
      </c>
      <c r="C1603">
        <v>0.75408827190310901</v>
      </c>
      <c r="D1603">
        <v>0.56936899207803804</v>
      </c>
      <c r="E1603">
        <v>0.86238689650537803</v>
      </c>
      <c r="F1603">
        <v>10.028692665184799</v>
      </c>
    </row>
    <row r="1604" spans="1:6">
      <c r="A1604" t="s">
        <v>49908</v>
      </c>
      <c r="B1604" t="s">
        <v>49909</v>
      </c>
      <c r="C1604">
        <v>0.49385750558346703</v>
      </c>
      <c r="D1604">
        <v>0.725057243328459</v>
      </c>
      <c r="E1604">
        <v>0.87639667828048196</v>
      </c>
      <c r="F1604">
        <v>8.9618104667609604</v>
      </c>
    </row>
    <row r="1605" spans="1:6">
      <c r="A1605" t="s">
        <v>49908</v>
      </c>
      <c r="B1605" t="s">
        <v>49910</v>
      </c>
      <c r="C1605">
        <v>0.399758950734177</v>
      </c>
      <c r="D1605">
        <v>0.725057243328459</v>
      </c>
      <c r="E1605">
        <v>0.87639667828048196</v>
      </c>
      <c r="F1605">
        <v>8.9618104667609604</v>
      </c>
    </row>
    <row r="1606" spans="1:6">
      <c r="A1606" t="s">
        <v>49911</v>
      </c>
      <c r="B1606" t="s">
        <v>49912</v>
      </c>
      <c r="C1606">
        <v>0.56999930977061197</v>
      </c>
      <c r="D1606">
        <v>0.35939563686148601</v>
      </c>
      <c r="E1606">
        <v>0.98072995952452202</v>
      </c>
      <c r="F1606">
        <v>5.9987876338654198</v>
      </c>
    </row>
    <row r="1607" spans="1:6">
      <c r="A1607" t="s">
        <v>49911</v>
      </c>
      <c r="B1607" t="s">
        <v>49913</v>
      </c>
      <c r="C1607">
        <v>0.58565472595650403</v>
      </c>
      <c r="D1607">
        <v>0.35939563686148601</v>
      </c>
      <c r="E1607">
        <v>0.98072995952452202</v>
      </c>
      <c r="F1607">
        <v>5.9987876338654198</v>
      </c>
    </row>
    <row r="1608" spans="1:6">
      <c r="A1608" t="s">
        <v>49911</v>
      </c>
      <c r="B1608" t="s">
        <v>49914</v>
      </c>
      <c r="C1608">
        <v>0</v>
      </c>
      <c r="D1608">
        <v>0.35939563686148601</v>
      </c>
      <c r="E1608">
        <v>0.98072995952452202</v>
      </c>
      <c r="F1608">
        <v>5.9987876338654198</v>
      </c>
    </row>
    <row r="1609" spans="1:6">
      <c r="A1609" t="s">
        <v>49911</v>
      </c>
      <c r="B1609" t="s">
        <v>49915</v>
      </c>
      <c r="C1609">
        <v>0</v>
      </c>
      <c r="D1609">
        <v>0.35939563686148601</v>
      </c>
      <c r="E1609">
        <v>0.98072995952452202</v>
      </c>
      <c r="F1609">
        <v>5.9987876338654198</v>
      </c>
    </row>
    <row r="1610" spans="1:6">
      <c r="A1610" t="s">
        <v>49911</v>
      </c>
      <c r="B1610" t="s">
        <v>49916</v>
      </c>
      <c r="C1610">
        <v>0</v>
      </c>
      <c r="D1610">
        <v>0.35939563686148601</v>
      </c>
      <c r="E1610">
        <v>0.98072995952452202</v>
      </c>
      <c r="F1610">
        <v>5.9987876338654198</v>
      </c>
    </row>
    <row r="1611" spans="1:6">
      <c r="A1611" t="s">
        <v>49911</v>
      </c>
      <c r="B1611" t="s">
        <v>49917</v>
      </c>
      <c r="C1611">
        <v>0</v>
      </c>
      <c r="D1611">
        <v>0.35939563686148601</v>
      </c>
      <c r="E1611">
        <v>0.98072995952452202</v>
      </c>
      <c r="F1611">
        <v>5.9987876338654198</v>
      </c>
    </row>
    <row r="1612" spans="1:6">
      <c r="A1612" t="s">
        <v>49911</v>
      </c>
      <c r="B1612" t="s">
        <v>49918</v>
      </c>
      <c r="C1612">
        <v>0</v>
      </c>
      <c r="D1612">
        <v>0.35939563686148601</v>
      </c>
      <c r="E1612">
        <v>0.98072995952452202</v>
      </c>
      <c r="F1612">
        <v>5.9987876338654198</v>
      </c>
    </row>
    <row r="1613" spans="1:6">
      <c r="A1613" t="s">
        <v>49919</v>
      </c>
      <c r="B1613" t="s">
        <v>49920</v>
      </c>
      <c r="C1613">
        <v>0</v>
      </c>
      <c r="D1613">
        <v>0.25693025305817502</v>
      </c>
      <c r="E1613" t="s">
        <v>106</v>
      </c>
      <c r="F1613">
        <v>10.343907860173699</v>
      </c>
    </row>
    <row r="1614" spans="1:6">
      <c r="A1614" t="s">
        <v>49919</v>
      </c>
      <c r="B1614" t="s">
        <v>49921</v>
      </c>
      <c r="C1614">
        <v>0</v>
      </c>
      <c r="D1614">
        <v>0.25693025305817502</v>
      </c>
      <c r="E1614" t="s">
        <v>106</v>
      </c>
      <c r="F1614">
        <v>10.343907860173699</v>
      </c>
    </row>
    <row r="1615" spans="1:6">
      <c r="A1615" t="s">
        <v>49919</v>
      </c>
      <c r="B1615" t="s">
        <v>49922</v>
      </c>
      <c r="C1615">
        <v>0</v>
      </c>
      <c r="D1615">
        <v>0.25693025305817502</v>
      </c>
      <c r="E1615" t="s">
        <v>106</v>
      </c>
      <c r="F1615">
        <v>10.343907860173699</v>
      </c>
    </row>
    <row r="1616" spans="1:6">
      <c r="A1616" t="s">
        <v>49919</v>
      </c>
      <c r="B1616" t="s">
        <v>49923</v>
      </c>
      <c r="C1616">
        <v>0</v>
      </c>
      <c r="D1616">
        <v>0.25693025305817502</v>
      </c>
      <c r="E1616" t="s">
        <v>106</v>
      </c>
      <c r="F1616">
        <v>10.343907860173699</v>
      </c>
    </row>
    <row r="1617" spans="1:6">
      <c r="A1617" t="s">
        <v>49924</v>
      </c>
      <c r="B1617" t="s">
        <v>49925</v>
      </c>
      <c r="C1617">
        <v>0</v>
      </c>
      <c r="D1617">
        <v>0.69023223969122505</v>
      </c>
      <c r="E1617">
        <v>0.80427699825549404</v>
      </c>
      <c r="F1617">
        <v>1.1832693473428899</v>
      </c>
    </row>
    <row r="1618" spans="1:6">
      <c r="A1618" t="s">
        <v>49924</v>
      </c>
      <c r="B1618" t="s">
        <v>49926</v>
      </c>
      <c r="C1618">
        <v>0</v>
      </c>
      <c r="D1618">
        <v>0.69023223969122505</v>
      </c>
      <c r="E1618">
        <v>0.80427699825549404</v>
      </c>
      <c r="F1618">
        <v>1.1832693473428899</v>
      </c>
    </row>
    <row r="1619" spans="1:6">
      <c r="A1619" t="s">
        <v>49924</v>
      </c>
      <c r="B1619" t="s">
        <v>49927</v>
      </c>
      <c r="C1619">
        <v>0.79080381711355496</v>
      </c>
      <c r="D1619">
        <v>0.69023223969122505</v>
      </c>
      <c r="E1619">
        <v>0.80427699825549404</v>
      </c>
      <c r="F1619">
        <v>1.1832693473428899</v>
      </c>
    </row>
    <row r="1620" spans="1:6">
      <c r="A1620" t="s">
        <v>49924</v>
      </c>
      <c r="B1620" t="s">
        <v>49928</v>
      </c>
      <c r="C1620">
        <v>0</v>
      </c>
      <c r="D1620">
        <v>0.69023223969122505</v>
      </c>
      <c r="E1620">
        <v>0.80427699825549404</v>
      </c>
      <c r="F1620">
        <v>1.1832693473428899</v>
      </c>
    </row>
    <row r="1621" spans="1:6">
      <c r="A1621" t="s">
        <v>49924</v>
      </c>
      <c r="B1621" t="s">
        <v>49929</v>
      </c>
      <c r="C1621">
        <v>0.17053990731977201</v>
      </c>
      <c r="D1621">
        <v>0.69023223969122505</v>
      </c>
      <c r="E1621">
        <v>0.80427699825549404</v>
      </c>
      <c r="F1621">
        <v>1.1832693473428899</v>
      </c>
    </row>
    <row r="1622" spans="1:6">
      <c r="A1622" t="s">
        <v>49930</v>
      </c>
      <c r="B1622" t="s">
        <v>49931</v>
      </c>
      <c r="C1622">
        <v>0</v>
      </c>
      <c r="D1622">
        <v>0.144203919842808</v>
      </c>
      <c r="E1622">
        <v>0.86771014063195295</v>
      </c>
      <c r="F1622">
        <v>5.5235401091129503</v>
      </c>
    </row>
    <row r="1623" spans="1:6">
      <c r="A1623" t="s">
        <v>49930</v>
      </c>
      <c r="B1623" t="s">
        <v>49932</v>
      </c>
      <c r="C1623">
        <v>0.44371014063195302</v>
      </c>
      <c r="D1623">
        <v>0.144203919842808</v>
      </c>
      <c r="E1623">
        <v>0.86771014063195295</v>
      </c>
      <c r="F1623">
        <v>5.5235401091129503</v>
      </c>
    </row>
    <row r="1624" spans="1:6">
      <c r="A1624" t="s">
        <v>49930</v>
      </c>
      <c r="B1624" t="s">
        <v>49933</v>
      </c>
      <c r="C1624">
        <v>0</v>
      </c>
      <c r="D1624">
        <v>0.144203919842808</v>
      </c>
      <c r="E1624">
        <v>0.86771014063195295</v>
      </c>
      <c r="F1624">
        <v>5.5235401091129503</v>
      </c>
    </row>
    <row r="1625" spans="1:6">
      <c r="A1625" t="s">
        <v>49930</v>
      </c>
      <c r="B1625" t="s">
        <v>49934</v>
      </c>
      <c r="C1625">
        <v>0</v>
      </c>
      <c r="D1625">
        <v>0.144203919842808</v>
      </c>
      <c r="E1625">
        <v>0.86771014063195295</v>
      </c>
      <c r="F1625">
        <v>5.5235401091129503</v>
      </c>
    </row>
    <row r="1626" spans="1:6">
      <c r="A1626" t="s">
        <v>49930</v>
      </c>
      <c r="B1626" t="s">
        <v>49935</v>
      </c>
      <c r="C1626">
        <v>0</v>
      </c>
      <c r="D1626">
        <v>0.144203919842808</v>
      </c>
      <c r="E1626">
        <v>0.86771014063195295</v>
      </c>
      <c r="F1626">
        <v>5.5235401091129503</v>
      </c>
    </row>
    <row r="1627" spans="1:6">
      <c r="A1627" t="s">
        <v>49930</v>
      </c>
      <c r="B1627" t="s">
        <v>49936</v>
      </c>
      <c r="C1627">
        <v>0</v>
      </c>
      <c r="D1627">
        <v>0.144203919842808</v>
      </c>
      <c r="E1627">
        <v>0.86771014063195295</v>
      </c>
      <c r="F1627">
        <v>5.5235401091129503</v>
      </c>
    </row>
    <row r="1628" spans="1:6">
      <c r="A1628" t="s">
        <v>49937</v>
      </c>
      <c r="B1628" t="s">
        <v>49938</v>
      </c>
      <c r="C1628">
        <v>0.60852646494085605</v>
      </c>
      <c r="D1628">
        <v>0.34258670878255099</v>
      </c>
      <c r="E1628">
        <v>0.85332646494085695</v>
      </c>
      <c r="F1628">
        <v>4.0153566377045804</v>
      </c>
    </row>
    <row r="1629" spans="1:6">
      <c r="A1629" t="s">
        <v>49937</v>
      </c>
      <c r="B1629" t="s">
        <v>49939</v>
      </c>
      <c r="C1629">
        <v>0</v>
      </c>
      <c r="D1629">
        <v>0.34258670878255099</v>
      </c>
      <c r="E1629">
        <v>0.85332646494085695</v>
      </c>
      <c r="F1629">
        <v>4.0153566377045804</v>
      </c>
    </row>
    <row r="1630" spans="1:6">
      <c r="A1630" t="s">
        <v>49937</v>
      </c>
      <c r="B1630" t="s">
        <v>49940</v>
      </c>
      <c r="C1630">
        <v>0</v>
      </c>
      <c r="D1630">
        <v>0.34258670878255099</v>
      </c>
      <c r="E1630">
        <v>0.85332646494085695</v>
      </c>
      <c r="F1630">
        <v>4.0153566377045804</v>
      </c>
    </row>
    <row r="1631" spans="1:6">
      <c r="A1631" t="s">
        <v>49941</v>
      </c>
      <c r="B1631" t="s">
        <v>49942</v>
      </c>
      <c r="C1631">
        <v>0</v>
      </c>
      <c r="D1631">
        <v>0.73303511287799805</v>
      </c>
      <c r="E1631">
        <v>0.93001226537752801</v>
      </c>
      <c r="F1631">
        <v>15.280662760153501</v>
      </c>
    </row>
    <row r="1632" spans="1:6">
      <c r="A1632" t="s">
        <v>49941</v>
      </c>
      <c r="B1632" t="s">
        <v>49943</v>
      </c>
      <c r="C1632">
        <v>0.36738915719603699</v>
      </c>
      <c r="D1632">
        <v>0.73303511287799805</v>
      </c>
      <c r="E1632">
        <v>0.93001226537752801</v>
      </c>
      <c r="F1632">
        <v>15.280662760153501</v>
      </c>
    </row>
    <row r="1633" spans="1:6">
      <c r="A1633" t="s">
        <v>49941</v>
      </c>
      <c r="B1633" t="s">
        <v>49944</v>
      </c>
      <c r="C1633">
        <v>0</v>
      </c>
      <c r="D1633">
        <v>0.73303511287799805</v>
      </c>
      <c r="E1633">
        <v>0.93001226537752801</v>
      </c>
      <c r="F1633">
        <v>15.280662760153501</v>
      </c>
    </row>
    <row r="1634" spans="1:6">
      <c r="A1634" t="s">
        <v>49941</v>
      </c>
      <c r="B1634" t="s">
        <v>49945</v>
      </c>
      <c r="C1634">
        <v>0.63453509851870604</v>
      </c>
      <c r="D1634">
        <v>0.73303511287799805</v>
      </c>
      <c r="E1634">
        <v>0.93001226537752801</v>
      </c>
      <c r="F1634">
        <v>15.280662760153501</v>
      </c>
    </row>
    <row r="1635" spans="1:6">
      <c r="A1635" t="s">
        <v>49941</v>
      </c>
      <c r="B1635" t="s">
        <v>49946</v>
      </c>
      <c r="C1635">
        <v>0</v>
      </c>
      <c r="D1635">
        <v>0.73303511287799805</v>
      </c>
      <c r="E1635">
        <v>0.93001226537752801</v>
      </c>
      <c r="F1635">
        <v>15.280662760153501</v>
      </c>
    </row>
    <row r="1636" spans="1:6">
      <c r="A1636" t="s">
        <v>49947</v>
      </c>
      <c r="B1636" t="s">
        <v>49948</v>
      </c>
      <c r="C1636">
        <v>0</v>
      </c>
      <c r="D1636">
        <v>0.18399777057226999</v>
      </c>
      <c r="E1636">
        <v>0.97743022393376799</v>
      </c>
      <c r="F1636">
        <v>1.5906243685593</v>
      </c>
    </row>
    <row r="1637" spans="1:6">
      <c r="A1637" t="s">
        <v>49947</v>
      </c>
      <c r="B1637" t="s">
        <v>49949</v>
      </c>
      <c r="C1637">
        <v>0</v>
      </c>
      <c r="D1637">
        <v>0.18399777057226999</v>
      </c>
      <c r="E1637">
        <v>0.97743022393376799</v>
      </c>
      <c r="F1637">
        <v>1.5906243685593</v>
      </c>
    </row>
    <row r="1638" spans="1:6">
      <c r="A1638" t="s">
        <v>49947</v>
      </c>
      <c r="B1638" t="s">
        <v>49950</v>
      </c>
      <c r="C1638">
        <v>0</v>
      </c>
      <c r="D1638">
        <v>0.18399777057226999</v>
      </c>
      <c r="E1638">
        <v>0.97743022393376799</v>
      </c>
      <c r="F1638">
        <v>1.5906243685593</v>
      </c>
    </row>
    <row r="1639" spans="1:6">
      <c r="A1639" t="s">
        <v>49947</v>
      </c>
      <c r="B1639" t="s">
        <v>49951</v>
      </c>
      <c r="C1639">
        <v>0</v>
      </c>
      <c r="D1639">
        <v>0.18399777057226999</v>
      </c>
      <c r="E1639">
        <v>0.97743022393376799</v>
      </c>
      <c r="F1639">
        <v>1.5906243685593</v>
      </c>
    </row>
    <row r="1640" spans="1:6">
      <c r="A1640" t="s">
        <v>49947</v>
      </c>
      <c r="B1640" t="s">
        <v>49952</v>
      </c>
      <c r="C1640">
        <v>0.55337139090904497</v>
      </c>
      <c r="D1640">
        <v>0.18399777057226999</v>
      </c>
      <c r="E1640">
        <v>0.97743022393376799</v>
      </c>
      <c r="F1640">
        <v>1.5906243685593</v>
      </c>
    </row>
    <row r="1641" spans="1:6">
      <c r="A1641" t="s">
        <v>49947</v>
      </c>
      <c r="B1641" t="s">
        <v>49953</v>
      </c>
      <c r="C1641">
        <v>0</v>
      </c>
      <c r="D1641">
        <v>0.18399777057226999</v>
      </c>
      <c r="E1641">
        <v>0.97743022393376799</v>
      </c>
      <c r="F1641">
        <v>1.5906243685593</v>
      </c>
    </row>
    <row r="1642" spans="1:6">
      <c r="A1642" t="s">
        <v>49947</v>
      </c>
      <c r="B1642" t="s">
        <v>49954</v>
      </c>
      <c r="C1642">
        <v>0.26474790409432902</v>
      </c>
      <c r="D1642">
        <v>0.18399777057226999</v>
      </c>
      <c r="E1642">
        <v>0.97743022393376799</v>
      </c>
      <c r="F1642">
        <v>1.5906243685593</v>
      </c>
    </row>
    <row r="1643" spans="1:6">
      <c r="A1643" t="s">
        <v>49955</v>
      </c>
      <c r="B1643" t="s">
        <v>49956</v>
      </c>
      <c r="C1643">
        <v>0</v>
      </c>
      <c r="D1643">
        <v>1.6466255860548399E-2</v>
      </c>
      <c r="E1643">
        <v>0.62081294856315405</v>
      </c>
      <c r="F1643">
        <v>2.8272378258233899</v>
      </c>
    </row>
    <row r="1644" spans="1:6">
      <c r="A1644" t="s">
        <v>49955</v>
      </c>
      <c r="B1644" t="s">
        <v>49957</v>
      </c>
      <c r="C1644">
        <v>0</v>
      </c>
      <c r="D1644">
        <v>1.6466255860548399E-2</v>
      </c>
      <c r="E1644">
        <v>0.62081294856315405</v>
      </c>
      <c r="F1644">
        <v>2.8272378258233899</v>
      </c>
    </row>
    <row r="1645" spans="1:6">
      <c r="A1645" t="s">
        <v>49955</v>
      </c>
      <c r="B1645" t="s">
        <v>49958</v>
      </c>
      <c r="C1645">
        <v>3.6812948563154702E-2</v>
      </c>
      <c r="D1645">
        <v>1.6466255860548399E-2</v>
      </c>
      <c r="E1645">
        <v>0.62081294856315405</v>
      </c>
      <c r="F1645">
        <v>2.8272378258233899</v>
      </c>
    </row>
    <row r="1646" spans="1:6">
      <c r="A1646" t="s">
        <v>49959</v>
      </c>
      <c r="B1646" t="s">
        <v>49960</v>
      </c>
      <c r="C1646">
        <v>0.63361528127815103</v>
      </c>
      <c r="D1646">
        <v>0.50867676999445199</v>
      </c>
      <c r="E1646">
        <v>0.99017706800831895</v>
      </c>
      <c r="F1646">
        <v>9.1121438674479691</v>
      </c>
    </row>
    <row r="1647" spans="1:6">
      <c r="A1647" t="s">
        <v>49959</v>
      </c>
      <c r="B1647" t="s">
        <v>49961</v>
      </c>
      <c r="C1647">
        <v>0</v>
      </c>
      <c r="D1647">
        <v>0.50867676999445199</v>
      </c>
      <c r="E1647">
        <v>0.99017706800831895</v>
      </c>
      <c r="F1647">
        <v>9.1121438674479691</v>
      </c>
    </row>
    <row r="1648" spans="1:6">
      <c r="A1648" t="s">
        <v>49959</v>
      </c>
      <c r="B1648" t="s">
        <v>49962</v>
      </c>
      <c r="C1648">
        <v>0</v>
      </c>
      <c r="D1648">
        <v>0.50867676999445199</v>
      </c>
      <c r="E1648">
        <v>0.99017706800831895</v>
      </c>
      <c r="F1648">
        <v>9.1121438674479691</v>
      </c>
    </row>
    <row r="1649" spans="1:6">
      <c r="A1649" t="s">
        <v>49959</v>
      </c>
      <c r="B1649" t="s">
        <v>49963</v>
      </c>
      <c r="C1649">
        <v>0</v>
      </c>
      <c r="D1649">
        <v>0.50867676999445199</v>
      </c>
      <c r="E1649">
        <v>0.99017706800831895</v>
      </c>
      <c r="F1649">
        <v>9.1121438674479691</v>
      </c>
    </row>
    <row r="1650" spans="1:6">
      <c r="A1650" t="s">
        <v>49959</v>
      </c>
      <c r="B1650" t="s">
        <v>49964</v>
      </c>
      <c r="C1650">
        <v>0</v>
      </c>
      <c r="D1650">
        <v>0.50867676999445199</v>
      </c>
      <c r="E1650">
        <v>0.99017706800831895</v>
      </c>
      <c r="F1650">
        <v>9.1121438674479691</v>
      </c>
    </row>
    <row r="1651" spans="1:6">
      <c r="A1651" t="s">
        <v>49959</v>
      </c>
      <c r="B1651" t="s">
        <v>49965</v>
      </c>
      <c r="C1651">
        <v>0.57771350345677397</v>
      </c>
      <c r="D1651">
        <v>0.50867676999445199</v>
      </c>
      <c r="E1651">
        <v>0.99017706800831895</v>
      </c>
      <c r="F1651">
        <v>9.1121438674479691</v>
      </c>
    </row>
    <row r="1652" spans="1:6">
      <c r="A1652" t="s">
        <v>49959</v>
      </c>
      <c r="B1652" t="s">
        <v>49966</v>
      </c>
      <c r="C1652">
        <v>0</v>
      </c>
      <c r="D1652">
        <v>0.50867676999445199</v>
      </c>
      <c r="E1652">
        <v>0.99017706800831895</v>
      </c>
      <c r="F1652">
        <v>9.1121438674479691</v>
      </c>
    </row>
    <row r="1653" spans="1:6">
      <c r="A1653" t="s">
        <v>49967</v>
      </c>
      <c r="B1653" t="s">
        <v>49968</v>
      </c>
      <c r="C1653">
        <v>0</v>
      </c>
      <c r="D1653">
        <v>0.37553542347472402</v>
      </c>
      <c r="E1653">
        <v>0.99918798381136098</v>
      </c>
      <c r="F1653">
        <v>0.13578500707213501</v>
      </c>
    </row>
    <row r="1654" spans="1:6">
      <c r="A1654" t="s">
        <v>49967</v>
      </c>
      <c r="B1654" t="s">
        <v>49969</v>
      </c>
      <c r="C1654">
        <v>0.77107382223633603</v>
      </c>
      <c r="D1654">
        <v>0.37553542347472402</v>
      </c>
      <c r="E1654">
        <v>0.99918798381136098</v>
      </c>
      <c r="F1654">
        <v>0.13578500707213501</v>
      </c>
    </row>
    <row r="1655" spans="1:6">
      <c r="A1655" t="s">
        <v>49967</v>
      </c>
      <c r="B1655" t="s">
        <v>49970</v>
      </c>
      <c r="C1655">
        <v>0</v>
      </c>
      <c r="D1655">
        <v>0.37553542347472402</v>
      </c>
      <c r="E1655">
        <v>0.99918798381136098</v>
      </c>
      <c r="F1655">
        <v>0.13578500707213501</v>
      </c>
    </row>
    <row r="1656" spans="1:6">
      <c r="A1656" t="s">
        <v>49967</v>
      </c>
      <c r="B1656" t="s">
        <v>49971</v>
      </c>
      <c r="C1656">
        <v>0</v>
      </c>
      <c r="D1656">
        <v>0.37553542347472402</v>
      </c>
      <c r="E1656">
        <v>0.99918798381136098</v>
      </c>
      <c r="F1656">
        <v>0.13578500707213501</v>
      </c>
    </row>
    <row r="1657" spans="1:6">
      <c r="A1657" t="s">
        <v>49967</v>
      </c>
      <c r="B1657" t="s">
        <v>49972</v>
      </c>
      <c r="C1657">
        <v>0</v>
      </c>
      <c r="D1657">
        <v>0.37553542347472402</v>
      </c>
      <c r="E1657">
        <v>0.99918798381136098</v>
      </c>
      <c r="F1657">
        <v>0.13578500707213501</v>
      </c>
    </row>
    <row r="1658" spans="1:6">
      <c r="A1658" t="s">
        <v>49967</v>
      </c>
      <c r="B1658" t="s">
        <v>49973</v>
      </c>
      <c r="C1658">
        <v>0</v>
      </c>
      <c r="D1658">
        <v>0.37553542347472402</v>
      </c>
      <c r="E1658">
        <v>0.99918798381136098</v>
      </c>
      <c r="F1658">
        <v>0.13578500707213501</v>
      </c>
    </row>
    <row r="1659" spans="1:6">
      <c r="A1659" t="s">
        <v>49967</v>
      </c>
      <c r="B1659" t="s">
        <v>49974</v>
      </c>
      <c r="C1659">
        <v>0.53040127005496596</v>
      </c>
      <c r="D1659">
        <v>0.37553542347472402</v>
      </c>
      <c r="E1659">
        <v>0.99918798381136098</v>
      </c>
      <c r="F1659">
        <v>0.13578500707213501</v>
      </c>
    </row>
    <row r="1660" spans="1:6">
      <c r="A1660" t="s">
        <v>49967</v>
      </c>
      <c r="B1660" t="s">
        <v>49975</v>
      </c>
      <c r="C1660">
        <v>0</v>
      </c>
      <c r="D1660">
        <v>0.37553542347472402</v>
      </c>
      <c r="E1660">
        <v>0.99918798381136098</v>
      </c>
      <c r="F1660">
        <v>0.13578500707213501</v>
      </c>
    </row>
    <row r="1661" spans="1:6">
      <c r="A1661" t="s">
        <v>49976</v>
      </c>
      <c r="B1661" t="s">
        <v>49977</v>
      </c>
      <c r="C1661">
        <v>0.92149209682120503</v>
      </c>
      <c r="D1661">
        <v>0.498113142574929</v>
      </c>
      <c r="E1661">
        <v>0.97631430978480505</v>
      </c>
      <c r="F1661">
        <v>17.690846635683901</v>
      </c>
    </row>
    <row r="1662" spans="1:6">
      <c r="A1662" t="s">
        <v>49976</v>
      </c>
      <c r="B1662" t="s">
        <v>49978</v>
      </c>
      <c r="C1662">
        <v>0</v>
      </c>
      <c r="D1662">
        <v>0.498113142574929</v>
      </c>
      <c r="E1662">
        <v>0.97631430978480505</v>
      </c>
      <c r="F1662">
        <v>17.690846635683901</v>
      </c>
    </row>
    <row r="1663" spans="1:6">
      <c r="A1663" t="s">
        <v>49976</v>
      </c>
      <c r="B1663" t="s">
        <v>49979</v>
      </c>
      <c r="C1663">
        <v>0.174912765285481</v>
      </c>
      <c r="D1663">
        <v>0.498113142574929</v>
      </c>
      <c r="E1663">
        <v>0.97631430978480505</v>
      </c>
      <c r="F1663">
        <v>17.690846635683901</v>
      </c>
    </row>
    <row r="1664" spans="1:6">
      <c r="A1664" t="s">
        <v>49980</v>
      </c>
      <c r="B1664" t="s">
        <v>49981</v>
      </c>
      <c r="C1664">
        <v>0</v>
      </c>
      <c r="D1664">
        <v>0.42776894114948499</v>
      </c>
      <c r="E1664">
        <v>0.94439203376909198</v>
      </c>
      <c r="F1664">
        <v>9.8735097999595798</v>
      </c>
    </row>
    <row r="1665" spans="1:6">
      <c r="A1665" t="s">
        <v>49980</v>
      </c>
      <c r="B1665" t="s">
        <v>49982</v>
      </c>
      <c r="C1665">
        <v>0.41977813462749503</v>
      </c>
      <c r="D1665">
        <v>0.42776894114948499</v>
      </c>
      <c r="E1665">
        <v>0.94439203376909198</v>
      </c>
      <c r="F1665">
        <v>9.8735097999595798</v>
      </c>
    </row>
    <row r="1666" spans="1:6">
      <c r="A1666" t="s">
        <v>49980</v>
      </c>
      <c r="B1666" t="s">
        <v>49983</v>
      </c>
      <c r="C1666">
        <v>0</v>
      </c>
      <c r="D1666">
        <v>0.42776894114948499</v>
      </c>
      <c r="E1666">
        <v>0.94439203376909198</v>
      </c>
      <c r="F1666">
        <v>9.8735097999595798</v>
      </c>
    </row>
    <row r="1667" spans="1:6">
      <c r="A1667" t="s">
        <v>49980</v>
      </c>
      <c r="B1667" t="s">
        <v>49984</v>
      </c>
      <c r="C1667">
        <v>0.66225624636594205</v>
      </c>
      <c r="D1667">
        <v>0.42776894114948499</v>
      </c>
      <c r="E1667">
        <v>0.94439203376909198</v>
      </c>
      <c r="F1667">
        <v>9.8735097999595798</v>
      </c>
    </row>
    <row r="1668" spans="1:6">
      <c r="A1668" t="s">
        <v>49980</v>
      </c>
      <c r="B1668" t="s">
        <v>49985</v>
      </c>
      <c r="C1668">
        <v>0</v>
      </c>
      <c r="D1668">
        <v>0.42776894114948499</v>
      </c>
      <c r="E1668">
        <v>0.94439203376909198</v>
      </c>
      <c r="F1668">
        <v>9.8735097999595798</v>
      </c>
    </row>
    <row r="1669" spans="1:6">
      <c r="A1669" t="s">
        <v>49986</v>
      </c>
      <c r="B1669" t="s">
        <v>49987</v>
      </c>
      <c r="C1669">
        <v>0.113312063695654</v>
      </c>
      <c r="D1669">
        <v>0.42541822967548198</v>
      </c>
      <c r="E1669">
        <v>0.94669978663518795</v>
      </c>
      <c r="F1669">
        <v>11.4883814912103</v>
      </c>
    </row>
    <row r="1670" spans="1:6">
      <c r="A1670" t="s">
        <v>49986</v>
      </c>
      <c r="B1670" t="s">
        <v>49988</v>
      </c>
      <c r="C1670">
        <v>0</v>
      </c>
      <c r="D1670">
        <v>0.42541822967548198</v>
      </c>
      <c r="E1670">
        <v>0.94669978663518795</v>
      </c>
      <c r="F1670">
        <v>11.4883814912103</v>
      </c>
    </row>
    <row r="1671" spans="1:6">
      <c r="A1671" t="s">
        <v>49986</v>
      </c>
      <c r="B1671" t="s">
        <v>49989</v>
      </c>
      <c r="C1671">
        <v>0.55382679998817097</v>
      </c>
      <c r="D1671">
        <v>0.42541822967548198</v>
      </c>
      <c r="E1671">
        <v>0.94669978663518795</v>
      </c>
      <c r="F1671">
        <v>11.4883814912103</v>
      </c>
    </row>
    <row r="1672" spans="1:6">
      <c r="A1672" t="s">
        <v>49986</v>
      </c>
      <c r="B1672" t="s">
        <v>49990</v>
      </c>
      <c r="C1672">
        <v>0</v>
      </c>
      <c r="D1672">
        <v>0.42541822967548198</v>
      </c>
      <c r="E1672">
        <v>0.94669978663518795</v>
      </c>
      <c r="F1672">
        <v>11.4883814912103</v>
      </c>
    </row>
    <row r="1673" spans="1:6">
      <c r="A1673" t="s">
        <v>49991</v>
      </c>
      <c r="B1673" t="s">
        <v>49992</v>
      </c>
      <c r="C1673">
        <v>0</v>
      </c>
      <c r="D1673">
        <v>0.30911891047828699</v>
      </c>
      <c r="E1673">
        <v>0.76039742489739603</v>
      </c>
      <c r="F1673">
        <v>3.7243887654071499</v>
      </c>
    </row>
    <row r="1674" spans="1:6">
      <c r="A1674" t="s">
        <v>49991</v>
      </c>
      <c r="B1674" t="s">
        <v>49993</v>
      </c>
      <c r="C1674">
        <v>0.489997424897397</v>
      </c>
      <c r="D1674">
        <v>0.30911891047828699</v>
      </c>
      <c r="E1674">
        <v>0.76039742489739603</v>
      </c>
      <c r="F1674">
        <v>3.7243887654071499</v>
      </c>
    </row>
    <row r="1675" spans="1:6">
      <c r="A1675" t="s">
        <v>49994</v>
      </c>
      <c r="B1675" t="s">
        <v>49995</v>
      </c>
      <c r="C1675">
        <v>0</v>
      </c>
      <c r="D1675">
        <v>0.57227117137144001</v>
      </c>
      <c r="E1675">
        <v>0.93930904283040695</v>
      </c>
      <c r="F1675">
        <v>10.6639725197009</v>
      </c>
    </row>
    <row r="1676" spans="1:6">
      <c r="A1676" t="s">
        <v>49994</v>
      </c>
      <c r="B1676" t="s">
        <v>49996</v>
      </c>
      <c r="C1676">
        <v>0</v>
      </c>
      <c r="D1676">
        <v>0.57227117137144001</v>
      </c>
      <c r="E1676">
        <v>0.93930904283040695</v>
      </c>
      <c r="F1676">
        <v>10.6639725197009</v>
      </c>
    </row>
    <row r="1677" spans="1:6">
      <c r="A1677" t="s">
        <v>49994</v>
      </c>
      <c r="B1677" t="s">
        <v>49997</v>
      </c>
      <c r="C1677">
        <v>0</v>
      </c>
      <c r="D1677">
        <v>0.57227117137144001</v>
      </c>
      <c r="E1677">
        <v>0.93930904283040695</v>
      </c>
      <c r="F1677">
        <v>10.6639725197009</v>
      </c>
    </row>
    <row r="1678" spans="1:6">
      <c r="A1678" t="s">
        <v>49994</v>
      </c>
      <c r="B1678" t="s">
        <v>49998</v>
      </c>
      <c r="C1678">
        <v>0</v>
      </c>
      <c r="D1678">
        <v>0.57227117137144001</v>
      </c>
      <c r="E1678">
        <v>0.93930904283040695</v>
      </c>
      <c r="F1678">
        <v>10.6639725197009</v>
      </c>
    </row>
    <row r="1679" spans="1:6">
      <c r="A1679" t="s">
        <v>49994</v>
      </c>
      <c r="B1679" t="s">
        <v>49999</v>
      </c>
      <c r="C1679">
        <v>0</v>
      </c>
      <c r="D1679">
        <v>0.57227117137144001</v>
      </c>
      <c r="E1679">
        <v>0.93930904283040695</v>
      </c>
      <c r="F1679">
        <v>10.6639725197009</v>
      </c>
    </row>
    <row r="1680" spans="1:6">
      <c r="A1680" t="s">
        <v>49994</v>
      </c>
      <c r="B1680" t="s">
        <v>50000</v>
      </c>
      <c r="C1680">
        <v>0</v>
      </c>
      <c r="D1680">
        <v>0.57227117137144001</v>
      </c>
      <c r="E1680">
        <v>0.93930904283040695</v>
      </c>
      <c r="F1680">
        <v>10.6639725197009</v>
      </c>
    </row>
    <row r="1681" spans="1:6">
      <c r="A1681" t="s">
        <v>49994</v>
      </c>
      <c r="B1681" t="s">
        <v>50001</v>
      </c>
      <c r="C1681">
        <v>0</v>
      </c>
      <c r="D1681">
        <v>0.57227117137144001</v>
      </c>
      <c r="E1681">
        <v>0.93930904283040695</v>
      </c>
      <c r="F1681">
        <v>10.6639725197009</v>
      </c>
    </row>
    <row r="1682" spans="1:6">
      <c r="A1682" t="s">
        <v>49994</v>
      </c>
      <c r="B1682" t="s">
        <v>50002</v>
      </c>
      <c r="C1682">
        <v>7.1903780352816193E-2</v>
      </c>
      <c r="D1682">
        <v>0.57227117137144001</v>
      </c>
      <c r="E1682">
        <v>0.93930904283040695</v>
      </c>
      <c r="F1682">
        <v>10.6639725197009</v>
      </c>
    </row>
    <row r="1683" spans="1:6">
      <c r="A1683" t="s">
        <v>49994</v>
      </c>
      <c r="B1683" t="s">
        <v>50003</v>
      </c>
      <c r="C1683">
        <v>0</v>
      </c>
      <c r="D1683">
        <v>0.57227117137144001</v>
      </c>
      <c r="E1683">
        <v>0.93930904283040695</v>
      </c>
      <c r="F1683">
        <v>10.6639725197009</v>
      </c>
    </row>
    <row r="1684" spans="1:6">
      <c r="A1684" t="s">
        <v>49994</v>
      </c>
      <c r="B1684" t="s">
        <v>50004</v>
      </c>
      <c r="C1684">
        <v>0.52388514737486302</v>
      </c>
      <c r="D1684">
        <v>0.57227117137144001</v>
      </c>
      <c r="E1684">
        <v>0.93930904283040695</v>
      </c>
      <c r="F1684">
        <v>10.6639725197009</v>
      </c>
    </row>
    <row r="1685" spans="1:6">
      <c r="A1685" t="s">
        <v>49994</v>
      </c>
      <c r="B1685" t="s">
        <v>50005</v>
      </c>
      <c r="C1685">
        <v>0</v>
      </c>
      <c r="D1685">
        <v>0.57227117137144001</v>
      </c>
      <c r="E1685">
        <v>0.93930904283040695</v>
      </c>
      <c r="F1685">
        <v>10.6639725197009</v>
      </c>
    </row>
    <row r="1686" spans="1:6">
      <c r="A1686" t="s">
        <v>49994</v>
      </c>
      <c r="B1686" t="s">
        <v>50006</v>
      </c>
      <c r="C1686">
        <v>0</v>
      </c>
      <c r="D1686">
        <v>0.57227117137144001</v>
      </c>
      <c r="E1686">
        <v>0.93930904283040695</v>
      </c>
      <c r="F1686">
        <v>10.6639725197009</v>
      </c>
    </row>
    <row r="1687" spans="1:6">
      <c r="A1687" t="s">
        <v>49994</v>
      </c>
      <c r="B1687" t="s">
        <v>50007</v>
      </c>
      <c r="C1687">
        <v>0</v>
      </c>
      <c r="D1687">
        <v>0.57227117137144001</v>
      </c>
      <c r="E1687">
        <v>0.93930904283040695</v>
      </c>
      <c r="F1687">
        <v>10.6639725197009</v>
      </c>
    </row>
    <row r="1688" spans="1:6">
      <c r="A1688" t="s">
        <v>49994</v>
      </c>
      <c r="B1688" t="s">
        <v>50008</v>
      </c>
      <c r="C1688">
        <v>0</v>
      </c>
      <c r="D1688">
        <v>0.57227117137144001</v>
      </c>
      <c r="E1688">
        <v>0.93930904283040695</v>
      </c>
      <c r="F1688">
        <v>10.6639725197009</v>
      </c>
    </row>
    <row r="1689" spans="1:6">
      <c r="A1689" t="s">
        <v>49994</v>
      </c>
      <c r="B1689" t="s">
        <v>50009</v>
      </c>
      <c r="C1689">
        <v>0</v>
      </c>
      <c r="D1689">
        <v>0.57227117137144001</v>
      </c>
      <c r="E1689">
        <v>0.93930904283040695</v>
      </c>
      <c r="F1689">
        <v>10.6639725197009</v>
      </c>
    </row>
    <row r="1690" spans="1:6">
      <c r="A1690" t="s">
        <v>50010</v>
      </c>
      <c r="B1690" t="s">
        <v>50011</v>
      </c>
      <c r="C1690">
        <v>0</v>
      </c>
      <c r="D1690">
        <v>0.568026584928638</v>
      </c>
      <c r="E1690">
        <v>0.90448337047804395</v>
      </c>
      <c r="F1690">
        <v>3.4431198221863002</v>
      </c>
    </row>
    <row r="1691" spans="1:6">
      <c r="A1691" t="s">
        <v>50010</v>
      </c>
      <c r="B1691" t="s">
        <v>50012</v>
      </c>
      <c r="C1691">
        <v>0</v>
      </c>
      <c r="D1691">
        <v>0.568026584928638</v>
      </c>
      <c r="E1691">
        <v>0.90448337047804395</v>
      </c>
      <c r="F1691">
        <v>3.4431198221863002</v>
      </c>
    </row>
    <row r="1692" spans="1:6">
      <c r="A1692" t="s">
        <v>50010</v>
      </c>
      <c r="B1692" t="s">
        <v>50013</v>
      </c>
      <c r="C1692">
        <v>0.105916636661366</v>
      </c>
      <c r="D1692">
        <v>0.568026584928638</v>
      </c>
      <c r="E1692">
        <v>0.90448337047804395</v>
      </c>
      <c r="F1692">
        <v>3.4431198221863002</v>
      </c>
    </row>
    <row r="1693" spans="1:6">
      <c r="A1693" t="s">
        <v>50010</v>
      </c>
      <c r="B1693" t="s">
        <v>50014</v>
      </c>
      <c r="C1693">
        <v>0</v>
      </c>
      <c r="D1693">
        <v>0.568026584928638</v>
      </c>
      <c r="E1693">
        <v>0.90448337047804395</v>
      </c>
      <c r="F1693">
        <v>3.4431198221863002</v>
      </c>
    </row>
    <row r="1694" spans="1:6">
      <c r="A1694" t="s">
        <v>50010</v>
      </c>
      <c r="B1694" t="s">
        <v>50015</v>
      </c>
      <c r="C1694">
        <v>0</v>
      </c>
      <c r="D1694">
        <v>0.568026584928638</v>
      </c>
      <c r="E1694">
        <v>0.90448337047804395</v>
      </c>
      <c r="F1694">
        <v>3.4431198221863002</v>
      </c>
    </row>
    <row r="1695" spans="1:6">
      <c r="A1695" t="s">
        <v>50010</v>
      </c>
      <c r="B1695" t="s">
        <v>50016</v>
      </c>
      <c r="C1695">
        <v>0.42212035433990802</v>
      </c>
      <c r="D1695">
        <v>0.568026584928638</v>
      </c>
      <c r="E1695">
        <v>0.90448337047804395</v>
      </c>
      <c r="F1695">
        <v>3.4431198221863002</v>
      </c>
    </row>
    <row r="1696" spans="1:6">
      <c r="A1696" t="s">
        <v>50017</v>
      </c>
      <c r="B1696" t="s">
        <v>50018</v>
      </c>
      <c r="C1696">
        <v>0</v>
      </c>
      <c r="D1696">
        <v>9.32604076393172E-2</v>
      </c>
      <c r="E1696" t="s">
        <v>106</v>
      </c>
      <c r="F1696">
        <v>0.88260254596888199</v>
      </c>
    </row>
    <row r="1697" spans="1:6">
      <c r="A1697" t="s">
        <v>50017</v>
      </c>
      <c r="B1697" t="s">
        <v>50019</v>
      </c>
      <c r="C1697">
        <v>0</v>
      </c>
      <c r="D1697">
        <v>9.32604076393172E-2</v>
      </c>
      <c r="E1697" t="s">
        <v>106</v>
      </c>
      <c r="F1697">
        <v>0.88260254596888199</v>
      </c>
    </row>
    <row r="1698" spans="1:6">
      <c r="A1698" t="s">
        <v>50017</v>
      </c>
      <c r="B1698" t="s">
        <v>50020</v>
      </c>
      <c r="C1698">
        <v>0</v>
      </c>
      <c r="D1698">
        <v>9.32604076393172E-2</v>
      </c>
      <c r="E1698" t="s">
        <v>106</v>
      </c>
      <c r="F1698">
        <v>0.88260254596888199</v>
      </c>
    </row>
    <row r="1699" spans="1:6">
      <c r="A1699" t="s">
        <v>50021</v>
      </c>
      <c r="B1699" t="s">
        <v>50022</v>
      </c>
      <c r="C1699">
        <v>0</v>
      </c>
      <c r="D1699">
        <v>0.17374047343888199</v>
      </c>
      <c r="E1699">
        <v>0.95455541025003399</v>
      </c>
      <c r="F1699">
        <v>12.3418872499494</v>
      </c>
    </row>
    <row r="1700" spans="1:6">
      <c r="A1700" t="s">
        <v>50021</v>
      </c>
      <c r="B1700" t="s">
        <v>50023</v>
      </c>
      <c r="C1700">
        <v>0.68415541025003401</v>
      </c>
      <c r="D1700">
        <v>0.17374047343888199</v>
      </c>
      <c r="E1700">
        <v>0.95455541025003399</v>
      </c>
      <c r="F1700">
        <v>12.3418872499494</v>
      </c>
    </row>
    <row r="1701" spans="1:6">
      <c r="A1701" t="s">
        <v>50021</v>
      </c>
      <c r="B1701" t="s">
        <v>50024</v>
      </c>
      <c r="C1701">
        <v>0</v>
      </c>
      <c r="D1701">
        <v>0.17374047343888199</v>
      </c>
      <c r="E1701">
        <v>0.95455541025003399</v>
      </c>
      <c r="F1701">
        <v>12.3418872499494</v>
      </c>
    </row>
    <row r="1702" spans="1:6">
      <c r="A1702" t="s">
        <v>50021</v>
      </c>
      <c r="B1702" t="s">
        <v>50025</v>
      </c>
      <c r="C1702">
        <v>0</v>
      </c>
      <c r="D1702">
        <v>0.17374047343888199</v>
      </c>
      <c r="E1702">
        <v>0.95455541025003399</v>
      </c>
      <c r="F1702">
        <v>12.3418872499494</v>
      </c>
    </row>
    <row r="1703" spans="1:6">
      <c r="A1703" t="s">
        <v>50021</v>
      </c>
      <c r="B1703" t="s">
        <v>50026</v>
      </c>
      <c r="C1703">
        <v>0</v>
      </c>
      <c r="D1703">
        <v>0.17374047343888199</v>
      </c>
      <c r="E1703">
        <v>0.95455541025003399</v>
      </c>
      <c r="F1703">
        <v>12.3418872499494</v>
      </c>
    </row>
    <row r="1704" spans="1:6">
      <c r="A1704" t="s">
        <v>50021</v>
      </c>
      <c r="B1704" t="s">
        <v>50027</v>
      </c>
      <c r="C1704">
        <v>0</v>
      </c>
      <c r="D1704">
        <v>0.17374047343888199</v>
      </c>
      <c r="E1704">
        <v>0.95455541025003399</v>
      </c>
      <c r="F1704">
        <v>12.3418872499494</v>
      </c>
    </row>
    <row r="1705" spans="1:6">
      <c r="A1705" t="s">
        <v>50021</v>
      </c>
      <c r="B1705" t="s">
        <v>50028</v>
      </c>
      <c r="C1705">
        <v>0</v>
      </c>
      <c r="D1705">
        <v>0.17374047343888199</v>
      </c>
      <c r="E1705">
        <v>0.95455541025003399</v>
      </c>
      <c r="F1705">
        <v>12.3418872499494</v>
      </c>
    </row>
    <row r="1706" spans="1:6">
      <c r="A1706" t="s">
        <v>50021</v>
      </c>
      <c r="B1706" t="s">
        <v>50029</v>
      </c>
      <c r="C1706">
        <v>0</v>
      </c>
      <c r="D1706">
        <v>0.17374047343888199</v>
      </c>
      <c r="E1706">
        <v>0.95455541025003399</v>
      </c>
      <c r="F1706">
        <v>12.3418872499494</v>
      </c>
    </row>
    <row r="1707" spans="1:6">
      <c r="A1707" t="s">
        <v>50021</v>
      </c>
      <c r="B1707" t="s">
        <v>50030</v>
      </c>
      <c r="C1707">
        <v>0</v>
      </c>
      <c r="D1707">
        <v>0.17374047343888199</v>
      </c>
      <c r="E1707">
        <v>0.95455541025003399</v>
      </c>
      <c r="F1707">
        <v>12.3418872499494</v>
      </c>
    </row>
    <row r="1708" spans="1:6">
      <c r="A1708" t="s">
        <v>50031</v>
      </c>
      <c r="B1708" t="s">
        <v>50032</v>
      </c>
      <c r="C1708">
        <v>0</v>
      </c>
      <c r="D1708">
        <v>7.5442910339790795E-2</v>
      </c>
      <c r="E1708" t="s">
        <v>106</v>
      </c>
      <c r="F1708">
        <v>1.29480703172358</v>
      </c>
    </row>
    <row r="1709" spans="1:6">
      <c r="A1709" t="s">
        <v>50031</v>
      </c>
      <c r="B1709" t="s">
        <v>50033</v>
      </c>
      <c r="C1709">
        <v>0</v>
      </c>
      <c r="D1709">
        <v>7.5442910339790795E-2</v>
      </c>
      <c r="E1709" t="s">
        <v>106</v>
      </c>
      <c r="F1709">
        <v>1.29480703172358</v>
      </c>
    </row>
    <row r="1710" spans="1:6">
      <c r="A1710" t="s">
        <v>50031</v>
      </c>
      <c r="B1710" t="s">
        <v>50034</v>
      </c>
      <c r="C1710">
        <v>0</v>
      </c>
      <c r="D1710">
        <v>7.5442910339790795E-2</v>
      </c>
      <c r="E1710" t="s">
        <v>106</v>
      </c>
      <c r="F1710">
        <v>1.29480703172358</v>
      </c>
    </row>
    <row r="1711" spans="1:6">
      <c r="A1711" t="s">
        <v>50035</v>
      </c>
      <c r="B1711" t="s">
        <v>50036</v>
      </c>
      <c r="C1711">
        <v>0</v>
      </c>
      <c r="D1711">
        <v>0.92301674513843002</v>
      </c>
      <c r="E1711">
        <v>0.97011985114293697</v>
      </c>
      <c r="F1711">
        <v>0</v>
      </c>
    </row>
    <row r="1712" spans="1:6">
      <c r="A1712" t="s">
        <v>50035</v>
      </c>
      <c r="B1712" t="s">
        <v>50037</v>
      </c>
      <c r="C1712">
        <v>0</v>
      </c>
      <c r="D1712">
        <v>0.92301674513843002</v>
      </c>
      <c r="E1712">
        <v>0.97011985114293697</v>
      </c>
      <c r="F1712">
        <v>0</v>
      </c>
    </row>
    <row r="1713" spans="1:6">
      <c r="A1713" t="s">
        <v>50035</v>
      </c>
      <c r="B1713" t="s">
        <v>50038</v>
      </c>
      <c r="C1713">
        <v>0.74724962023171904</v>
      </c>
      <c r="D1713">
        <v>0.92301674513843002</v>
      </c>
      <c r="E1713">
        <v>0.97011985114293697</v>
      </c>
      <c r="F1713">
        <v>0</v>
      </c>
    </row>
    <row r="1714" spans="1:6">
      <c r="A1714" t="s">
        <v>50035</v>
      </c>
      <c r="B1714" t="s">
        <v>50039</v>
      </c>
      <c r="C1714">
        <v>0.14696013652255999</v>
      </c>
      <c r="D1714">
        <v>0.92301674513843002</v>
      </c>
      <c r="E1714">
        <v>0.97011985114293697</v>
      </c>
      <c r="F1714">
        <v>0</v>
      </c>
    </row>
    <row r="1715" spans="1:6">
      <c r="A1715" t="s">
        <v>50035</v>
      </c>
      <c r="B1715" t="s">
        <v>50040</v>
      </c>
      <c r="C1715">
        <v>0</v>
      </c>
      <c r="D1715">
        <v>0.92301674513843002</v>
      </c>
      <c r="E1715">
        <v>0.97011985114293697</v>
      </c>
      <c r="F1715">
        <v>0</v>
      </c>
    </row>
    <row r="1716" spans="1:6">
      <c r="A1716" t="s">
        <v>50041</v>
      </c>
      <c r="B1716" t="s">
        <v>50042</v>
      </c>
      <c r="C1716">
        <v>0</v>
      </c>
      <c r="D1716">
        <v>0.57921889341798405</v>
      </c>
      <c r="E1716">
        <v>0.97869777435558303</v>
      </c>
      <c r="F1716">
        <v>10.028692665184799</v>
      </c>
    </row>
    <row r="1717" spans="1:6">
      <c r="A1717" t="s">
        <v>50041</v>
      </c>
      <c r="B1717" t="s">
        <v>50043</v>
      </c>
      <c r="C1717">
        <v>0</v>
      </c>
      <c r="D1717">
        <v>0.57921889341798405</v>
      </c>
      <c r="E1717">
        <v>0.97869777435558303</v>
      </c>
      <c r="F1717">
        <v>10.028692665184799</v>
      </c>
    </row>
    <row r="1718" spans="1:6">
      <c r="A1718" t="s">
        <v>50041</v>
      </c>
      <c r="B1718" t="s">
        <v>50044</v>
      </c>
      <c r="C1718">
        <v>0</v>
      </c>
      <c r="D1718">
        <v>0.57921889341798405</v>
      </c>
      <c r="E1718">
        <v>0.97869777435558303</v>
      </c>
      <c r="F1718">
        <v>10.028692665184799</v>
      </c>
    </row>
    <row r="1719" spans="1:6">
      <c r="A1719" t="s">
        <v>50041</v>
      </c>
      <c r="B1719" t="s">
        <v>50045</v>
      </c>
      <c r="C1719">
        <v>0</v>
      </c>
      <c r="D1719">
        <v>0.57921889341798405</v>
      </c>
      <c r="E1719">
        <v>0.97869777435558303</v>
      </c>
      <c r="F1719">
        <v>10.028692665184799</v>
      </c>
    </row>
    <row r="1720" spans="1:6">
      <c r="A1720" t="s">
        <v>50041</v>
      </c>
      <c r="B1720" t="s">
        <v>50046</v>
      </c>
      <c r="C1720">
        <v>0</v>
      </c>
      <c r="D1720">
        <v>0.57921889341798405</v>
      </c>
      <c r="E1720">
        <v>0.97869777435558303</v>
      </c>
      <c r="F1720">
        <v>10.028692665184799</v>
      </c>
    </row>
    <row r="1721" spans="1:6">
      <c r="A1721" t="s">
        <v>50041</v>
      </c>
      <c r="B1721" t="s">
        <v>50047</v>
      </c>
      <c r="C1721">
        <v>0</v>
      </c>
      <c r="D1721">
        <v>0.57921889341798405</v>
      </c>
      <c r="E1721">
        <v>0.97869777435558303</v>
      </c>
      <c r="F1721">
        <v>10.028692665184799</v>
      </c>
    </row>
    <row r="1722" spans="1:6">
      <c r="A1722" t="s">
        <v>50041</v>
      </c>
      <c r="B1722" t="s">
        <v>50048</v>
      </c>
      <c r="C1722">
        <v>9.0462158226337797E-2</v>
      </c>
      <c r="D1722">
        <v>0.57921889341798405</v>
      </c>
      <c r="E1722">
        <v>0.97869777435558303</v>
      </c>
      <c r="F1722">
        <v>10.028692665184799</v>
      </c>
    </row>
    <row r="1723" spans="1:6">
      <c r="A1723" t="s">
        <v>50041</v>
      </c>
      <c r="B1723" t="s">
        <v>50049</v>
      </c>
      <c r="C1723">
        <v>0</v>
      </c>
      <c r="D1723">
        <v>0.57921889341798405</v>
      </c>
      <c r="E1723">
        <v>0.97869777435558303</v>
      </c>
      <c r="F1723">
        <v>10.028692665184799</v>
      </c>
    </row>
    <row r="1724" spans="1:6">
      <c r="A1724" t="s">
        <v>50041</v>
      </c>
      <c r="B1724" t="s">
        <v>50050</v>
      </c>
      <c r="C1724">
        <v>0</v>
      </c>
      <c r="D1724">
        <v>0.57921889341798405</v>
      </c>
      <c r="E1724">
        <v>0.97869777435558303</v>
      </c>
      <c r="F1724">
        <v>10.028692665184799</v>
      </c>
    </row>
    <row r="1725" spans="1:6">
      <c r="A1725" t="s">
        <v>50041</v>
      </c>
      <c r="B1725" t="s">
        <v>50051</v>
      </c>
      <c r="C1725">
        <v>0</v>
      </c>
      <c r="D1725">
        <v>0.57921889341798405</v>
      </c>
      <c r="E1725">
        <v>0.97869777435558303</v>
      </c>
      <c r="F1725">
        <v>10.028692665184799</v>
      </c>
    </row>
    <row r="1726" spans="1:6">
      <c r="A1726" t="s">
        <v>50041</v>
      </c>
      <c r="B1726" t="s">
        <v>50052</v>
      </c>
      <c r="C1726">
        <v>0</v>
      </c>
      <c r="D1726">
        <v>0.57921889341798405</v>
      </c>
      <c r="E1726">
        <v>0.97869777435558303</v>
      </c>
      <c r="F1726">
        <v>10.028692665184799</v>
      </c>
    </row>
    <row r="1727" spans="1:6">
      <c r="A1727" t="s">
        <v>50041</v>
      </c>
      <c r="B1727" t="s">
        <v>50053</v>
      </c>
      <c r="C1727">
        <v>0.30458764277556999</v>
      </c>
      <c r="D1727">
        <v>0.57921889341798405</v>
      </c>
      <c r="E1727">
        <v>0.97869777435558303</v>
      </c>
      <c r="F1727">
        <v>10.028692665184799</v>
      </c>
    </row>
    <row r="1728" spans="1:6">
      <c r="A1728" t="s">
        <v>50054</v>
      </c>
      <c r="B1728" t="s">
        <v>50055</v>
      </c>
      <c r="C1728">
        <v>1.1167437434275E-2</v>
      </c>
      <c r="D1728">
        <v>0.83508585538235003</v>
      </c>
      <c r="E1728">
        <v>0.96939255225362997</v>
      </c>
      <c r="F1728">
        <v>1.34815114164477</v>
      </c>
    </row>
    <row r="1729" spans="1:6">
      <c r="A1729" t="s">
        <v>50054</v>
      </c>
      <c r="B1729" t="s">
        <v>50056</v>
      </c>
      <c r="C1729">
        <v>0</v>
      </c>
      <c r="D1729">
        <v>0.83508585538235003</v>
      </c>
      <c r="E1729">
        <v>0.96939255225362997</v>
      </c>
      <c r="F1729">
        <v>1.34815114164477</v>
      </c>
    </row>
    <row r="1730" spans="1:6">
      <c r="A1730" t="s">
        <v>50054</v>
      </c>
      <c r="B1730" t="s">
        <v>50057</v>
      </c>
      <c r="C1730">
        <v>0</v>
      </c>
      <c r="D1730">
        <v>0.83508585538235003</v>
      </c>
      <c r="E1730">
        <v>0.96939255225362997</v>
      </c>
      <c r="F1730">
        <v>1.34815114164477</v>
      </c>
    </row>
    <row r="1731" spans="1:6">
      <c r="A1731" t="s">
        <v>50054</v>
      </c>
      <c r="B1731" t="s">
        <v>50058</v>
      </c>
      <c r="C1731">
        <v>0</v>
      </c>
      <c r="D1731">
        <v>0.83508585538235003</v>
      </c>
      <c r="E1731">
        <v>0.96939255225362997</v>
      </c>
      <c r="F1731">
        <v>1.34815114164477</v>
      </c>
    </row>
    <row r="1732" spans="1:6">
      <c r="A1732" t="s">
        <v>50054</v>
      </c>
      <c r="B1732" t="s">
        <v>50059</v>
      </c>
      <c r="C1732">
        <v>0.80107827978749602</v>
      </c>
      <c r="D1732">
        <v>0.83508585538235003</v>
      </c>
      <c r="E1732">
        <v>0.96939255225362997</v>
      </c>
      <c r="F1732">
        <v>1.34815114164477</v>
      </c>
    </row>
    <row r="1733" spans="1:6">
      <c r="A1733" t="s">
        <v>50060</v>
      </c>
      <c r="B1733" t="s">
        <v>50061</v>
      </c>
      <c r="C1733">
        <v>0</v>
      </c>
      <c r="D1733">
        <v>0.464577528769405</v>
      </c>
      <c r="E1733" t="s">
        <v>106</v>
      </c>
      <c r="F1733">
        <v>5.06769044251363</v>
      </c>
    </row>
    <row r="1734" spans="1:6">
      <c r="A1734" t="s">
        <v>50060</v>
      </c>
      <c r="B1734" t="s">
        <v>50062</v>
      </c>
      <c r="C1734">
        <v>0</v>
      </c>
      <c r="D1734">
        <v>0.464577528769405</v>
      </c>
      <c r="E1734" t="s">
        <v>106</v>
      </c>
      <c r="F1734">
        <v>5.06769044251363</v>
      </c>
    </row>
    <row r="1735" spans="1:6">
      <c r="A1735" t="s">
        <v>50060</v>
      </c>
      <c r="B1735" t="s">
        <v>50063</v>
      </c>
      <c r="C1735">
        <v>0</v>
      </c>
      <c r="D1735">
        <v>0.464577528769405</v>
      </c>
      <c r="E1735" t="s">
        <v>106</v>
      </c>
      <c r="F1735">
        <v>5.06769044251363</v>
      </c>
    </row>
    <row r="1736" spans="1:6">
      <c r="A1736" t="s">
        <v>50060</v>
      </c>
      <c r="B1736" t="s">
        <v>50064</v>
      </c>
      <c r="C1736">
        <v>0</v>
      </c>
      <c r="D1736">
        <v>0.464577528769405</v>
      </c>
      <c r="E1736" t="s">
        <v>106</v>
      </c>
      <c r="F1736">
        <v>5.06769044251363</v>
      </c>
    </row>
    <row r="1737" spans="1:6">
      <c r="A1737" t="s">
        <v>50060</v>
      </c>
      <c r="B1737" t="s">
        <v>50065</v>
      </c>
      <c r="C1737">
        <v>0</v>
      </c>
      <c r="D1737">
        <v>0.464577528769405</v>
      </c>
      <c r="E1737" t="s">
        <v>106</v>
      </c>
      <c r="F1737">
        <v>5.06769044251363</v>
      </c>
    </row>
    <row r="1738" spans="1:6">
      <c r="A1738" t="s">
        <v>50066</v>
      </c>
      <c r="B1738" t="s">
        <v>50067</v>
      </c>
      <c r="C1738">
        <v>0</v>
      </c>
      <c r="D1738">
        <v>0.249665806423815</v>
      </c>
      <c r="E1738" t="s">
        <v>106</v>
      </c>
      <c r="F1738">
        <v>6.6195190947666198</v>
      </c>
    </row>
    <row r="1739" spans="1:6">
      <c r="A1739" t="s">
        <v>50066</v>
      </c>
      <c r="B1739" t="s">
        <v>50068</v>
      </c>
      <c r="C1739">
        <v>0</v>
      </c>
      <c r="D1739">
        <v>0.249665806423815</v>
      </c>
      <c r="E1739" t="s">
        <v>106</v>
      </c>
      <c r="F1739">
        <v>6.6195190947666198</v>
      </c>
    </row>
    <row r="1740" spans="1:6">
      <c r="A1740" t="s">
        <v>50066</v>
      </c>
      <c r="B1740" t="s">
        <v>50069</v>
      </c>
      <c r="C1740">
        <v>0</v>
      </c>
      <c r="D1740">
        <v>0.249665806423815</v>
      </c>
      <c r="E1740" t="s">
        <v>106</v>
      </c>
      <c r="F1740">
        <v>6.6195190947666198</v>
      </c>
    </row>
    <row r="1741" spans="1:6">
      <c r="A1741" t="s">
        <v>50066</v>
      </c>
      <c r="B1741" t="s">
        <v>50070</v>
      </c>
      <c r="C1741">
        <v>0</v>
      </c>
      <c r="D1741">
        <v>0.249665806423815</v>
      </c>
      <c r="E1741" t="s">
        <v>106</v>
      </c>
      <c r="F1741">
        <v>6.6195190947666198</v>
      </c>
    </row>
    <row r="1742" spans="1:6">
      <c r="A1742" t="s">
        <v>50066</v>
      </c>
      <c r="B1742" t="s">
        <v>50071</v>
      </c>
      <c r="C1742">
        <v>0</v>
      </c>
      <c r="D1742">
        <v>0.249665806423815</v>
      </c>
      <c r="E1742" t="s">
        <v>106</v>
      </c>
      <c r="F1742">
        <v>6.6195190947666198</v>
      </c>
    </row>
    <row r="1743" spans="1:6">
      <c r="A1743" t="s">
        <v>50066</v>
      </c>
      <c r="B1743" t="s">
        <v>50072</v>
      </c>
      <c r="C1743">
        <v>0</v>
      </c>
      <c r="D1743">
        <v>0.249665806423815</v>
      </c>
      <c r="E1743" t="s">
        <v>106</v>
      </c>
      <c r="F1743">
        <v>6.6195190947666198</v>
      </c>
    </row>
    <row r="1744" spans="1:6">
      <c r="A1744" t="s">
        <v>50066</v>
      </c>
      <c r="B1744" t="s">
        <v>50073</v>
      </c>
      <c r="C1744">
        <v>0</v>
      </c>
      <c r="D1744">
        <v>0.249665806423815</v>
      </c>
      <c r="E1744" t="s">
        <v>106</v>
      </c>
      <c r="F1744">
        <v>6.6195190947666198</v>
      </c>
    </row>
    <row r="1745" spans="1:6">
      <c r="A1745" t="s">
        <v>50066</v>
      </c>
      <c r="B1745" t="s">
        <v>50074</v>
      </c>
      <c r="C1745">
        <v>0</v>
      </c>
      <c r="D1745">
        <v>0.249665806423815</v>
      </c>
      <c r="E1745" t="s">
        <v>106</v>
      </c>
      <c r="F1745">
        <v>6.6195190947666198</v>
      </c>
    </row>
    <row r="1746" spans="1:6">
      <c r="A1746" t="s">
        <v>50066</v>
      </c>
      <c r="B1746" t="s">
        <v>50075</v>
      </c>
      <c r="C1746">
        <v>0</v>
      </c>
      <c r="D1746">
        <v>0.249665806423815</v>
      </c>
      <c r="E1746" t="s">
        <v>106</v>
      </c>
      <c r="F1746">
        <v>6.6195190947666198</v>
      </c>
    </row>
    <row r="1747" spans="1:6">
      <c r="A1747" t="s">
        <v>50066</v>
      </c>
      <c r="B1747" t="s">
        <v>50076</v>
      </c>
      <c r="C1747">
        <v>0</v>
      </c>
      <c r="D1747">
        <v>0.249665806423815</v>
      </c>
      <c r="E1747" t="s">
        <v>106</v>
      </c>
      <c r="F1747">
        <v>6.6195190947666198</v>
      </c>
    </row>
    <row r="1748" spans="1:6">
      <c r="A1748" t="s">
        <v>50066</v>
      </c>
      <c r="B1748" t="s">
        <v>50077</v>
      </c>
      <c r="C1748">
        <v>0</v>
      </c>
      <c r="D1748">
        <v>0.249665806423815</v>
      </c>
      <c r="E1748" t="s">
        <v>106</v>
      </c>
      <c r="F1748">
        <v>6.6195190947666198</v>
      </c>
    </row>
    <row r="1749" spans="1:6">
      <c r="A1749" t="s">
        <v>50066</v>
      </c>
      <c r="B1749" t="s">
        <v>50078</v>
      </c>
      <c r="C1749">
        <v>0</v>
      </c>
      <c r="D1749">
        <v>0.249665806423815</v>
      </c>
      <c r="E1749" t="s">
        <v>106</v>
      </c>
      <c r="F1749">
        <v>6.6195190947666198</v>
      </c>
    </row>
    <row r="1750" spans="1:6">
      <c r="A1750" t="s">
        <v>50066</v>
      </c>
      <c r="B1750" t="s">
        <v>50079</v>
      </c>
      <c r="C1750">
        <v>0</v>
      </c>
      <c r="D1750">
        <v>0.249665806423815</v>
      </c>
      <c r="E1750" t="s">
        <v>106</v>
      </c>
      <c r="F1750">
        <v>6.6195190947666198</v>
      </c>
    </row>
    <row r="1751" spans="1:6">
      <c r="A1751" t="s">
        <v>50080</v>
      </c>
      <c r="B1751" t="s">
        <v>50081</v>
      </c>
      <c r="C1751">
        <v>0</v>
      </c>
      <c r="D1751">
        <v>0.55011465329396503</v>
      </c>
      <c r="E1751">
        <v>0.94671678972886197</v>
      </c>
      <c r="F1751">
        <v>12.516467973327901</v>
      </c>
    </row>
    <row r="1752" spans="1:6">
      <c r="A1752" t="s">
        <v>50080</v>
      </c>
      <c r="B1752" t="s">
        <v>50082</v>
      </c>
      <c r="C1752">
        <v>0.379715051358049</v>
      </c>
      <c r="D1752">
        <v>0.55011465329396503</v>
      </c>
      <c r="E1752">
        <v>0.94671678972886197</v>
      </c>
      <c r="F1752">
        <v>12.516467973327901</v>
      </c>
    </row>
    <row r="1753" spans="1:6">
      <c r="A1753" t="s">
        <v>50080</v>
      </c>
      <c r="B1753" t="s">
        <v>50083</v>
      </c>
      <c r="C1753">
        <v>0</v>
      </c>
      <c r="D1753">
        <v>0.55011465329396503</v>
      </c>
      <c r="E1753">
        <v>0.94671678972886197</v>
      </c>
      <c r="F1753">
        <v>12.516467973327901</v>
      </c>
    </row>
    <row r="1754" spans="1:6">
      <c r="A1754" t="s">
        <v>50080</v>
      </c>
      <c r="B1754" t="s">
        <v>50084</v>
      </c>
      <c r="C1754">
        <v>0</v>
      </c>
      <c r="D1754">
        <v>0.55011465329396503</v>
      </c>
      <c r="E1754">
        <v>0.94671678972886197</v>
      </c>
      <c r="F1754">
        <v>12.516467973327901</v>
      </c>
    </row>
    <row r="1755" spans="1:6">
      <c r="A1755" t="s">
        <v>50080</v>
      </c>
      <c r="B1755" t="s">
        <v>50085</v>
      </c>
      <c r="C1755">
        <v>0</v>
      </c>
      <c r="D1755">
        <v>0.55011465329396503</v>
      </c>
      <c r="E1755">
        <v>0.94671678972886197</v>
      </c>
      <c r="F1755">
        <v>12.516467973327901</v>
      </c>
    </row>
    <row r="1756" spans="1:6">
      <c r="A1756" t="s">
        <v>50080</v>
      </c>
      <c r="B1756" t="s">
        <v>50086</v>
      </c>
      <c r="C1756">
        <v>0.29205761241352202</v>
      </c>
      <c r="D1756">
        <v>0.55011465329396503</v>
      </c>
      <c r="E1756">
        <v>0.94671678972886197</v>
      </c>
      <c r="F1756">
        <v>12.516467973327901</v>
      </c>
    </row>
    <row r="1757" spans="1:6">
      <c r="A1757" t="s">
        <v>50080</v>
      </c>
      <c r="B1757" t="s">
        <v>50087</v>
      </c>
      <c r="C1757">
        <v>0</v>
      </c>
      <c r="D1757">
        <v>0.55011465329396503</v>
      </c>
      <c r="E1757">
        <v>0.94671678972886197</v>
      </c>
      <c r="F1757">
        <v>12.516467973327901</v>
      </c>
    </row>
    <row r="1758" spans="1:6">
      <c r="A1758" t="s">
        <v>50080</v>
      </c>
      <c r="B1758" t="s">
        <v>50088</v>
      </c>
      <c r="C1758">
        <v>0</v>
      </c>
      <c r="D1758">
        <v>0.55011465329396503</v>
      </c>
      <c r="E1758">
        <v>0.94671678972886197</v>
      </c>
      <c r="F1758">
        <v>12.516467973327901</v>
      </c>
    </row>
    <row r="1759" spans="1:6">
      <c r="A1759" t="s">
        <v>50089</v>
      </c>
      <c r="B1759" t="s">
        <v>50090</v>
      </c>
      <c r="C1759">
        <v>0.68301179326489503</v>
      </c>
      <c r="D1759">
        <v>0.16532056303937701</v>
      </c>
      <c r="E1759">
        <v>0.97338253088279003</v>
      </c>
      <c r="F1759">
        <v>7.67670236411396</v>
      </c>
    </row>
    <row r="1760" spans="1:6">
      <c r="A1760" t="s">
        <v>50089</v>
      </c>
      <c r="B1760" t="s">
        <v>50091</v>
      </c>
      <c r="C1760">
        <v>0</v>
      </c>
      <c r="D1760">
        <v>0.16532056303937701</v>
      </c>
      <c r="E1760">
        <v>0.97338253088279003</v>
      </c>
      <c r="F1760">
        <v>7.67670236411396</v>
      </c>
    </row>
    <row r="1761" spans="1:6">
      <c r="A1761" t="s">
        <v>50089</v>
      </c>
      <c r="B1761" t="s">
        <v>50092</v>
      </c>
      <c r="C1761">
        <v>0</v>
      </c>
      <c r="D1761">
        <v>0.16532056303937701</v>
      </c>
      <c r="E1761">
        <v>0.97338253088279003</v>
      </c>
      <c r="F1761">
        <v>7.67670236411396</v>
      </c>
    </row>
    <row r="1762" spans="1:6">
      <c r="A1762" t="s">
        <v>50089</v>
      </c>
      <c r="B1762" t="s">
        <v>50093</v>
      </c>
      <c r="C1762">
        <v>0</v>
      </c>
      <c r="D1762">
        <v>0.16532056303937701</v>
      </c>
      <c r="E1762">
        <v>0.97338253088279003</v>
      </c>
      <c r="F1762">
        <v>7.67670236411396</v>
      </c>
    </row>
    <row r="1763" spans="1:6">
      <c r="A1763" t="s">
        <v>50089</v>
      </c>
      <c r="B1763" t="s">
        <v>50094</v>
      </c>
      <c r="C1763">
        <v>0.36911247337950798</v>
      </c>
      <c r="D1763">
        <v>0.16532056303937701</v>
      </c>
      <c r="E1763">
        <v>0.97338253088279003</v>
      </c>
      <c r="F1763">
        <v>7.67670236411396</v>
      </c>
    </row>
    <row r="1764" spans="1:6">
      <c r="A1764" t="s">
        <v>50095</v>
      </c>
      <c r="B1764" t="s">
        <v>50096</v>
      </c>
      <c r="C1764">
        <v>0</v>
      </c>
      <c r="D1764">
        <v>6.0590683277101702E-2</v>
      </c>
      <c r="E1764">
        <v>0.92606265735384197</v>
      </c>
      <c r="F1764">
        <v>15.4746413416851</v>
      </c>
    </row>
    <row r="1765" spans="1:6">
      <c r="A1765" t="s">
        <v>50095</v>
      </c>
      <c r="B1765" t="s">
        <v>50097</v>
      </c>
      <c r="C1765">
        <v>0</v>
      </c>
      <c r="D1765">
        <v>6.0590683277101702E-2</v>
      </c>
      <c r="E1765">
        <v>0.92606265735384197</v>
      </c>
      <c r="F1765">
        <v>15.4746413416851</v>
      </c>
    </row>
    <row r="1766" spans="1:6">
      <c r="A1766" t="s">
        <v>50095</v>
      </c>
      <c r="B1766" t="s">
        <v>50098</v>
      </c>
      <c r="C1766">
        <v>0</v>
      </c>
      <c r="D1766">
        <v>6.0590683277101702E-2</v>
      </c>
      <c r="E1766">
        <v>0.92606265735384197</v>
      </c>
      <c r="F1766">
        <v>15.4746413416851</v>
      </c>
    </row>
    <row r="1767" spans="1:6">
      <c r="A1767" t="s">
        <v>50095</v>
      </c>
      <c r="B1767" t="s">
        <v>50099</v>
      </c>
      <c r="C1767">
        <v>0</v>
      </c>
      <c r="D1767">
        <v>6.0590683277101702E-2</v>
      </c>
      <c r="E1767">
        <v>0.92606265735384197</v>
      </c>
      <c r="F1767">
        <v>15.4746413416851</v>
      </c>
    </row>
    <row r="1768" spans="1:6">
      <c r="A1768" t="s">
        <v>50095</v>
      </c>
      <c r="B1768" t="s">
        <v>50100</v>
      </c>
      <c r="C1768">
        <v>0</v>
      </c>
      <c r="D1768">
        <v>6.0590683277101702E-2</v>
      </c>
      <c r="E1768">
        <v>0.92606265735384197</v>
      </c>
      <c r="F1768">
        <v>15.4746413416851</v>
      </c>
    </row>
    <row r="1769" spans="1:6">
      <c r="A1769" t="s">
        <v>50095</v>
      </c>
      <c r="B1769" t="s">
        <v>50101</v>
      </c>
      <c r="C1769">
        <v>0</v>
      </c>
      <c r="D1769">
        <v>6.0590683277101702E-2</v>
      </c>
      <c r="E1769">
        <v>0.92606265735384197</v>
      </c>
      <c r="F1769">
        <v>15.4746413416851</v>
      </c>
    </row>
    <row r="1770" spans="1:6">
      <c r="A1770" t="s">
        <v>50095</v>
      </c>
      <c r="B1770" t="s">
        <v>50102</v>
      </c>
      <c r="C1770">
        <v>0.43392782344339098</v>
      </c>
      <c r="D1770">
        <v>6.0590683277101702E-2</v>
      </c>
      <c r="E1770">
        <v>0.92606265735384197</v>
      </c>
      <c r="F1770">
        <v>15.4746413416851</v>
      </c>
    </row>
    <row r="1771" spans="1:6">
      <c r="A1771" t="s">
        <v>50095</v>
      </c>
      <c r="B1771" t="s">
        <v>50103</v>
      </c>
      <c r="C1771">
        <v>8.8426777969827494E-2</v>
      </c>
      <c r="D1771">
        <v>6.0590683277101702E-2</v>
      </c>
      <c r="E1771">
        <v>0.92606265735384197</v>
      </c>
      <c r="F1771">
        <v>15.4746413416851</v>
      </c>
    </row>
    <row r="1772" spans="1:6">
      <c r="A1772" t="s">
        <v>50095</v>
      </c>
      <c r="B1772" t="s">
        <v>50104</v>
      </c>
      <c r="C1772">
        <v>0</v>
      </c>
      <c r="D1772">
        <v>6.0590683277101702E-2</v>
      </c>
      <c r="E1772">
        <v>0.92606265735384197</v>
      </c>
      <c r="F1772">
        <v>15.4746413416851</v>
      </c>
    </row>
    <row r="1773" spans="1:6">
      <c r="A1773" t="s">
        <v>50105</v>
      </c>
      <c r="B1773" t="s">
        <v>50106</v>
      </c>
      <c r="C1773">
        <v>0</v>
      </c>
      <c r="D1773">
        <v>0.16393842587784699</v>
      </c>
      <c r="E1773">
        <v>0.83537268095592998</v>
      </c>
      <c r="F1773">
        <v>11.323499696908399</v>
      </c>
    </row>
    <row r="1774" spans="1:6">
      <c r="A1774" t="s">
        <v>50105</v>
      </c>
      <c r="B1774" t="s">
        <v>50107</v>
      </c>
      <c r="C1774">
        <v>0</v>
      </c>
      <c r="D1774">
        <v>0.16393842587784699</v>
      </c>
      <c r="E1774">
        <v>0.83537268095592998</v>
      </c>
      <c r="F1774">
        <v>11.323499696908399</v>
      </c>
    </row>
    <row r="1775" spans="1:6">
      <c r="A1775" t="s">
        <v>50105</v>
      </c>
      <c r="B1775" t="s">
        <v>50108</v>
      </c>
      <c r="C1775">
        <v>0</v>
      </c>
      <c r="D1775">
        <v>0.16393842587784699</v>
      </c>
      <c r="E1775">
        <v>0.83537268095592998</v>
      </c>
      <c r="F1775">
        <v>11.323499696908399</v>
      </c>
    </row>
    <row r="1776" spans="1:6">
      <c r="A1776" t="s">
        <v>50105</v>
      </c>
      <c r="B1776" t="s">
        <v>50109</v>
      </c>
      <c r="C1776">
        <v>0.23485637557036401</v>
      </c>
      <c r="D1776">
        <v>0.16393842587784699</v>
      </c>
      <c r="E1776">
        <v>0.83537268095592998</v>
      </c>
      <c r="F1776">
        <v>11.323499696908399</v>
      </c>
    </row>
    <row r="1777" spans="1:6">
      <c r="A1777" t="s">
        <v>50105</v>
      </c>
      <c r="B1777" t="s">
        <v>50110</v>
      </c>
      <c r="C1777">
        <v>0.21189121001386499</v>
      </c>
      <c r="D1777">
        <v>0.16393842587784699</v>
      </c>
      <c r="E1777">
        <v>0.83537268095592998</v>
      </c>
      <c r="F1777">
        <v>11.323499696908399</v>
      </c>
    </row>
    <row r="1778" spans="1:6">
      <c r="A1778" t="s">
        <v>50105</v>
      </c>
      <c r="B1778" t="s">
        <v>50111</v>
      </c>
      <c r="C1778">
        <v>0</v>
      </c>
      <c r="D1778">
        <v>0.16393842587784699</v>
      </c>
      <c r="E1778">
        <v>0.83537268095592998</v>
      </c>
      <c r="F1778">
        <v>11.323499696908399</v>
      </c>
    </row>
    <row r="1779" spans="1:6">
      <c r="A1779" t="s">
        <v>50105</v>
      </c>
      <c r="B1779" t="s">
        <v>50112</v>
      </c>
      <c r="C1779">
        <v>0</v>
      </c>
      <c r="D1779">
        <v>0.16393842587784699</v>
      </c>
      <c r="E1779">
        <v>0.83537268095592998</v>
      </c>
      <c r="F1779">
        <v>11.323499696908399</v>
      </c>
    </row>
    <row r="1780" spans="1:6">
      <c r="A1780" t="s">
        <v>50105</v>
      </c>
      <c r="B1780" t="s">
        <v>50113</v>
      </c>
      <c r="C1780">
        <v>0</v>
      </c>
      <c r="D1780">
        <v>0.16393842587784699</v>
      </c>
      <c r="E1780">
        <v>0.83537268095592998</v>
      </c>
      <c r="F1780">
        <v>11.323499696908399</v>
      </c>
    </row>
    <row r="1781" spans="1:6">
      <c r="A1781" t="s">
        <v>50114</v>
      </c>
      <c r="B1781" t="s">
        <v>50115</v>
      </c>
      <c r="C1781">
        <v>0</v>
      </c>
      <c r="D1781">
        <v>0.57844017907878398</v>
      </c>
      <c r="E1781">
        <v>0.99287740569039595</v>
      </c>
      <c r="F1781">
        <v>1.46938775510204</v>
      </c>
    </row>
    <row r="1782" spans="1:6">
      <c r="A1782" t="s">
        <v>50114</v>
      </c>
      <c r="B1782" t="s">
        <v>50116</v>
      </c>
      <c r="C1782">
        <v>6.3754430573654694E-2</v>
      </c>
      <c r="D1782">
        <v>0.57844017907878398</v>
      </c>
      <c r="E1782">
        <v>0.99287740569039595</v>
      </c>
      <c r="F1782">
        <v>1.46938775510204</v>
      </c>
    </row>
    <row r="1783" spans="1:6">
      <c r="A1783" t="s">
        <v>50114</v>
      </c>
      <c r="B1783" t="s">
        <v>50117</v>
      </c>
      <c r="C1783">
        <v>0</v>
      </c>
      <c r="D1783">
        <v>0.57844017907878398</v>
      </c>
      <c r="E1783">
        <v>0.99287740569039595</v>
      </c>
      <c r="F1783">
        <v>1.46938775510204</v>
      </c>
    </row>
    <row r="1784" spans="1:6">
      <c r="A1784" t="s">
        <v>50114</v>
      </c>
      <c r="B1784" t="s">
        <v>50118</v>
      </c>
      <c r="C1784">
        <v>0.91260507220293896</v>
      </c>
      <c r="D1784">
        <v>0.57844017907878398</v>
      </c>
      <c r="E1784">
        <v>0.99287740569039595</v>
      </c>
      <c r="F1784">
        <v>1.46938775510204</v>
      </c>
    </row>
    <row r="1785" spans="1:6">
      <c r="A1785" t="s">
        <v>50114</v>
      </c>
      <c r="B1785" t="s">
        <v>50119</v>
      </c>
      <c r="C1785">
        <v>0</v>
      </c>
      <c r="D1785">
        <v>0.57844017907878398</v>
      </c>
      <c r="E1785">
        <v>0.99287740569039595</v>
      </c>
      <c r="F1785">
        <v>1.46938775510204</v>
      </c>
    </row>
    <row r="1786" spans="1:6">
      <c r="A1786" t="s">
        <v>50114</v>
      </c>
      <c r="B1786" t="s">
        <v>50120</v>
      </c>
      <c r="C1786">
        <v>0</v>
      </c>
      <c r="D1786">
        <v>0.57844017907878398</v>
      </c>
      <c r="E1786">
        <v>0.99287740569039595</v>
      </c>
      <c r="F1786">
        <v>1.46938775510204</v>
      </c>
    </row>
    <row r="1787" spans="1:6">
      <c r="A1787" t="s">
        <v>50121</v>
      </c>
      <c r="B1787" t="s">
        <v>50122</v>
      </c>
      <c r="C1787">
        <v>5.6700387016310902E-2</v>
      </c>
      <c r="D1787">
        <v>0.13715406106070699</v>
      </c>
      <c r="E1787">
        <v>0.99884801172145599</v>
      </c>
      <c r="F1787">
        <v>11.4883814912103</v>
      </c>
    </row>
    <row r="1788" spans="1:6">
      <c r="A1788" t="s">
        <v>50121</v>
      </c>
      <c r="B1788" t="s">
        <v>50123</v>
      </c>
      <c r="C1788">
        <v>0.922343341948335</v>
      </c>
      <c r="D1788">
        <v>0.13715406106070699</v>
      </c>
      <c r="E1788">
        <v>0.99884801172145599</v>
      </c>
      <c r="F1788">
        <v>11.4883814912103</v>
      </c>
    </row>
    <row r="1789" spans="1:6">
      <c r="A1789" t="s">
        <v>50121</v>
      </c>
      <c r="B1789" t="s">
        <v>50124</v>
      </c>
      <c r="C1789">
        <v>0</v>
      </c>
      <c r="D1789">
        <v>0.13715406106070699</v>
      </c>
      <c r="E1789">
        <v>0.99884801172145599</v>
      </c>
      <c r="F1789">
        <v>11.4883814912103</v>
      </c>
    </row>
    <row r="1790" spans="1:6">
      <c r="A1790" t="s">
        <v>50121</v>
      </c>
      <c r="B1790" t="s">
        <v>50125</v>
      </c>
      <c r="C1790">
        <v>0</v>
      </c>
      <c r="D1790">
        <v>0.13715406106070699</v>
      </c>
      <c r="E1790">
        <v>0.99884801172145599</v>
      </c>
      <c r="F1790">
        <v>11.4883814912103</v>
      </c>
    </row>
    <row r="1791" spans="1:6">
      <c r="A1791" t="s">
        <v>50121</v>
      </c>
      <c r="B1791" t="s">
        <v>50126</v>
      </c>
      <c r="C1791">
        <v>0</v>
      </c>
      <c r="D1791">
        <v>0.13715406106070699</v>
      </c>
      <c r="E1791">
        <v>0.99884801172145599</v>
      </c>
      <c r="F1791">
        <v>11.4883814912103</v>
      </c>
    </row>
    <row r="1792" spans="1:6">
      <c r="A1792" t="s">
        <v>50121</v>
      </c>
      <c r="B1792" t="s">
        <v>50127</v>
      </c>
      <c r="C1792">
        <v>0</v>
      </c>
      <c r="D1792">
        <v>0.13715406106070699</v>
      </c>
      <c r="E1792">
        <v>0.99884801172145599</v>
      </c>
      <c r="F1792">
        <v>11.4883814912103</v>
      </c>
    </row>
    <row r="1793" spans="1:6">
      <c r="A1793" t="s">
        <v>50121</v>
      </c>
      <c r="B1793" t="s">
        <v>50128</v>
      </c>
      <c r="C1793">
        <v>0</v>
      </c>
      <c r="D1793">
        <v>0.13715406106070699</v>
      </c>
      <c r="E1793">
        <v>0.99884801172145599</v>
      </c>
      <c r="F1793">
        <v>11.4883814912103</v>
      </c>
    </row>
    <row r="1794" spans="1:6">
      <c r="A1794" t="s">
        <v>50121</v>
      </c>
      <c r="B1794" t="s">
        <v>50129</v>
      </c>
      <c r="C1794">
        <v>0</v>
      </c>
      <c r="D1794">
        <v>0.13715406106070699</v>
      </c>
      <c r="E1794">
        <v>0.99884801172145599</v>
      </c>
      <c r="F1794">
        <v>11.4883814912103</v>
      </c>
    </row>
    <row r="1795" spans="1:6">
      <c r="A1795" t="s">
        <v>50130</v>
      </c>
      <c r="B1795" t="s">
        <v>50131</v>
      </c>
      <c r="C1795">
        <v>0</v>
      </c>
      <c r="D1795">
        <v>0.45197139830798599</v>
      </c>
      <c r="E1795">
        <v>0.92086515087071896</v>
      </c>
      <c r="F1795">
        <v>0</v>
      </c>
    </row>
    <row r="1796" spans="1:6">
      <c r="A1796" t="s">
        <v>50130</v>
      </c>
      <c r="B1796" t="s">
        <v>50132</v>
      </c>
      <c r="C1796">
        <v>0.80201467606111398</v>
      </c>
      <c r="D1796">
        <v>0.45197139830798599</v>
      </c>
      <c r="E1796">
        <v>0.92086515087071896</v>
      </c>
      <c r="F1796">
        <v>0</v>
      </c>
    </row>
    <row r="1797" spans="1:6">
      <c r="A1797" t="s">
        <v>50130</v>
      </c>
      <c r="B1797" t="s">
        <v>50133</v>
      </c>
      <c r="C1797">
        <v>0</v>
      </c>
      <c r="D1797">
        <v>0.45197139830798599</v>
      </c>
      <c r="E1797">
        <v>0.92086515087071896</v>
      </c>
      <c r="F1797">
        <v>0</v>
      </c>
    </row>
    <row r="1798" spans="1:6">
      <c r="A1798" t="s">
        <v>50130</v>
      </c>
      <c r="B1798" t="s">
        <v>50134</v>
      </c>
      <c r="C1798">
        <v>0</v>
      </c>
      <c r="D1798">
        <v>0.45197139830798599</v>
      </c>
      <c r="E1798">
        <v>0.92086515087071896</v>
      </c>
      <c r="F1798">
        <v>0</v>
      </c>
    </row>
    <row r="1799" spans="1:6">
      <c r="A1799" t="s">
        <v>50130</v>
      </c>
      <c r="B1799" t="s">
        <v>50135</v>
      </c>
      <c r="C1799">
        <v>1.7446929616397901E-3</v>
      </c>
      <c r="D1799">
        <v>0.45197139830798599</v>
      </c>
      <c r="E1799">
        <v>0.92086515087071896</v>
      </c>
      <c r="F1799">
        <v>0</v>
      </c>
    </row>
    <row r="1800" spans="1:6">
      <c r="A1800" t="s">
        <v>50136</v>
      </c>
      <c r="B1800" t="s">
        <v>50137</v>
      </c>
      <c r="C1800">
        <v>0.61883986496055499</v>
      </c>
      <c r="D1800">
        <v>0.17326795503100501</v>
      </c>
      <c r="E1800">
        <v>0.82842609652457599</v>
      </c>
      <c r="F1800">
        <v>0.51404324105879895</v>
      </c>
    </row>
    <row r="1801" spans="1:6">
      <c r="A1801" t="s">
        <v>50136</v>
      </c>
      <c r="B1801" t="s">
        <v>50138</v>
      </c>
      <c r="C1801">
        <v>0.947407226545395</v>
      </c>
      <c r="D1801">
        <v>0.17326795503100501</v>
      </c>
      <c r="E1801">
        <v>0.82842609652457599</v>
      </c>
      <c r="F1801">
        <v>0.51404324105879895</v>
      </c>
    </row>
    <row r="1802" spans="1:6">
      <c r="A1802" t="s">
        <v>50139</v>
      </c>
      <c r="B1802" t="s">
        <v>50140</v>
      </c>
      <c r="C1802">
        <v>0.75718415765732405</v>
      </c>
      <c r="D1802">
        <v>0.90141027680511399</v>
      </c>
      <c r="E1802">
        <v>0.95980994463528402</v>
      </c>
      <c r="F1802">
        <v>3.4431198221863002</v>
      </c>
    </row>
    <row r="1803" spans="1:6">
      <c r="A1803" t="s">
        <v>50139</v>
      </c>
      <c r="B1803" t="s">
        <v>50141</v>
      </c>
      <c r="C1803">
        <v>0</v>
      </c>
      <c r="D1803">
        <v>0.90141027680511399</v>
      </c>
      <c r="E1803">
        <v>0.95980994463528402</v>
      </c>
      <c r="F1803">
        <v>3.4431198221863002</v>
      </c>
    </row>
    <row r="1804" spans="1:6">
      <c r="A1804" t="s">
        <v>50139</v>
      </c>
      <c r="B1804" t="s">
        <v>50142</v>
      </c>
      <c r="C1804">
        <v>0.55498605703181203</v>
      </c>
      <c r="D1804">
        <v>0.90141027680511399</v>
      </c>
      <c r="E1804">
        <v>0.95980994463528402</v>
      </c>
      <c r="F1804">
        <v>3.4431198221863002</v>
      </c>
    </row>
    <row r="1805" spans="1:6">
      <c r="A1805" t="s">
        <v>50143</v>
      </c>
      <c r="B1805" t="s">
        <v>50144</v>
      </c>
      <c r="C1805">
        <v>0.92782809972840896</v>
      </c>
      <c r="D1805">
        <v>0.43700819919134798</v>
      </c>
      <c r="E1805">
        <v>0.99065041129525899</v>
      </c>
      <c r="F1805">
        <v>18.112750050515199</v>
      </c>
    </row>
    <row r="1806" spans="1:6">
      <c r="A1806" t="s">
        <v>50143</v>
      </c>
      <c r="B1806" t="s">
        <v>50145</v>
      </c>
      <c r="C1806">
        <v>0.28674566765058401</v>
      </c>
      <c r="D1806">
        <v>0.43700819919134798</v>
      </c>
      <c r="E1806">
        <v>0.99065041129525899</v>
      </c>
      <c r="F1806">
        <v>18.112750050515199</v>
      </c>
    </row>
    <row r="1807" spans="1:6">
      <c r="A1807" t="s">
        <v>50143</v>
      </c>
      <c r="B1807" t="s">
        <v>50146</v>
      </c>
      <c r="C1807">
        <v>0</v>
      </c>
      <c r="D1807">
        <v>0.43700819919134798</v>
      </c>
      <c r="E1807">
        <v>0.99065041129525899</v>
      </c>
      <c r="F1807">
        <v>18.112750050515199</v>
      </c>
    </row>
    <row r="1808" spans="1:6">
      <c r="A1808" t="s">
        <v>50147</v>
      </c>
      <c r="B1808" t="s">
        <v>50148</v>
      </c>
      <c r="C1808">
        <v>0</v>
      </c>
      <c r="D1808">
        <v>0.84881854391317801</v>
      </c>
      <c r="E1808" t="s">
        <v>106</v>
      </c>
      <c r="F1808">
        <v>5.9987876338654198</v>
      </c>
    </row>
    <row r="1809" spans="1:6">
      <c r="A1809" t="s">
        <v>50147</v>
      </c>
      <c r="B1809" t="s">
        <v>50149</v>
      </c>
      <c r="C1809">
        <v>0</v>
      </c>
      <c r="D1809">
        <v>0.84881854391317801</v>
      </c>
      <c r="E1809" t="s">
        <v>106</v>
      </c>
      <c r="F1809">
        <v>5.9987876338654198</v>
      </c>
    </row>
    <row r="1810" spans="1:6">
      <c r="A1810" t="s">
        <v>50147</v>
      </c>
      <c r="B1810" t="s">
        <v>50150</v>
      </c>
      <c r="C1810">
        <v>0</v>
      </c>
      <c r="D1810">
        <v>0.84881854391317801</v>
      </c>
      <c r="E1810" t="s">
        <v>106</v>
      </c>
      <c r="F1810">
        <v>5.9987876338654198</v>
      </c>
    </row>
    <row r="1811" spans="1:6">
      <c r="A1811" t="s">
        <v>50151</v>
      </c>
      <c r="B1811" t="s">
        <v>50152</v>
      </c>
      <c r="C1811">
        <v>0</v>
      </c>
      <c r="D1811">
        <v>0.35123024453704199</v>
      </c>
      <c r="E1811" t="s">
        <v>106</v>
      </c>
      <c r="F1811">
        <v>1.34815114164477</v>
      </c>
    </row>
    <row r="1812" spans="1:6">
      <c r="A1812" t="s">
        <v>50151</v>
      </c>
      <c r="B1812" t="s">
        <v>50153</v>
      </c>
      <c r="C1812">
        <v>0</v>
      </c>
      <c r="D1812">
        <v>0.35123024453704199</v>
      </c>
      <c r="E1812" t="s">
        <v>106</v>
      </c>
      <c r="F1812">
        <v>1.34815114164477</v>
      </c>
    </row>
    <row r="1813" spans="1:6">
      <c r="A1813" t="s">
        <v>50151</v>
      </c>
      <c r="B1813" t="s">
        <v>50154</v>
      </c>
      <c r="C1813">
        <v>0</v>
      </c>
      <c r="D1813">
        <v>0.35123024453704199</v>
      </c>
      <c r="E1813" t="s">
        <v>106</v>
      </c>
      <c r="F1813">
        <v>1.34815114164477</v>
      </c>
    </row>
    <row r="1814" spans="1:6">
      <c r="A1814" t="s">
        <v>50155</v>
      </c>
      <c r="B1814" t="s">
        <v>50156</v>
      </c>
      <c r="C1814">
        <v>0.66589867517602996</v>
      </c>
      <c r="D1814">
        <v>0.29948106295273003</v>
      </c>
      <c r="E1814">
        <v>0.935656144860326</v>
      </c>
      <c r="F1814">
        <v>11.827844008890599</v>
      </c>
    </row>
    <row r="1815" spans="1:6">
      <c r="A1815" t="s">
        <v>50155</v>
      </c>
      <c r="B1815" t="s">
        <v>50157</v>
      </c>
      <c r="C1815">
        <v>0.30278502215383402</v>
      </c>
      <c r="D1815">
        <v>0.29948106295273003</v>
      </c>
      <c r="E1815">
        <v>0.935656144860326</v>
      </c>
      <c r="F1815">
        <v>11.827844008890599</v>
      </c>
    </row>
    <row r="1816" spans="1:6">
      <c r="A1816" t="s">
        <v>50155</v>
      </c>
      <c r="B1816" t="s">
        <v>50158</v>
      </c>
      <c r="C1816">
        <v>0</v>
      </c>
      <c r="D1816">
        <v>0.29948106295273003</v>
      </c>
      <c r="E1816">
        <v>0.935656144860326</v>
      </c>
      <c r="F1816">
        <v>11.827844008890599</v>
      </c>
    </row>
    <row r="1817" spans="1:6">
      <c r="A1817" t="s">
        <v>50155</v>
      </c>
      <c r="B1817" t="s">
        <v>50159</v>
      </c>
      <c r="C1817">
        <v>0</v>
      </c>
      <c r="D1817">
        <v>0.29948106295273003</v>
      </c>
      <c r="E1817">
        <v>0.935656144860326</v>
      </c>
      <c r="F1817">
        <v>11.827844008890599</v>
      </c>
    </row>
    <row r="1818" spans="1:6">
      <c r="A1818" t="s">
        <v>50160</v>
      </c>
      <c r="B1818" t="s">
        <v>50161</v>
      </c>
      <c r="C1818">
        <v>0</v>
      </c>
      <c r="D1818">
        <v>0.59176637991733705</v>
      </c>
      <c r="E1818">
        <v>0.87589744855942797</v>
      </c>
      <c r="F1818">
        <v>13.5930491008284</v>
      </c>
    </row>
    <row r="1819" spans="1:6">
      <c r="A1819" t="s">
        <v>50160</v>
      </c>
      <c r="B1819" t="s">
        <v>50162</v>
      </c>
      <c r="C1819">
        <v>0.126807601494109</v>
      </c>
      <c r="D1819">
        <v>0.59176637991733705</v>
      </c>
      <c r="E1819">
        <v>0.87589744855942797</v>
      </c>
      <c r="F1819">
        <v>13.5930491008284</v>
      </c>
    </row>
    <row r="1820" spans="1:6">
      <c r="A1820" t="s">
        <v>50160</v>
      </c>
      <c r="B1820" t="s">
        <v>50163</v>
      </c>
      <c r="C1820">
        <v>2.5110544096543001E-2</v>
      </c>
      <c r="D1820">
        <v>0.59176637991733705</v>
      </c>
      <c r="E1820">
        <v>0.87589744855942797</v>
      </c>
      <c r="F1820">
        <v>13.5930491008284</v>
      </c>
    </row>
    <row r="1821" spans="1:6">
      <c r="A1821" t="s">
        <v>50160</v>
      </c>
      <c r="B1821" t="s">
        <v>50164</v>
      </c>
      <c r="C1821">
        <v>0</v>
      </c>
      <c r="D1821">
        <v>0.59176637991733705</v>
      </c>
      <c r="E1821">
        <v>0.87589744855942797</v>
      </c>
      <c r="F1821">
        <v>13.5930491008284</v>
      </c>
    </row>
    <row r="1822" spans="1:6">
      <c r="A1822" t="s">
        <v>50160</v>
      </c>
      <c r="B1822" t="s">
        <v>50165</v>
      </c>
      <c r="C1822">
        <v>0</v>
      </c>
      <c r="D1822">
        <v>0.59176637991733705</v>
      </c>
      <c r="E1822">
        <v>0.87589744855942797</v>
      </c>
      <c r="F1822">
        <v>13.5930491008284</v>
      </c>
    </row>
    <row r="1823" spans="1:6">
      <c r="A1823" t="s">
        <v>50160</v>
      </c>
      <c r="B1823" t="s">
        <v>50166</v>
      </c>
      <c r="C1823">
        <v>0</v>
      </c>
      <c r="D1823">
        <v>0.59176637991733705</v>
      </c>
      <c r="E1823">
        <v>0.87589744855942797</v>
      </c>
      <c r="F1823">
        <v>13.5930491008284</v>
      </c>
    </row>
    <row r="1824" spans="1:6">
      <c r="A1824" t="s">
        <v>50160</v>
      </c>
      <c r="B1824" t="s">
        <v>50167</v>
      </c>
      <c r="C1824">
        <v>0</v>
      </c>
      <c r="D1824">
        <v>0.59176637991733705</v>
      </c>
      <c r="E1824">
        <v>0.87589744855942797</v>
      </c>
      <c r="F1824">
        <v>13.5930491008284</v>
      </c>
    </row>
    <row r="1825" spans="1:6">
      <c r="A1825" t="s">
        <v>50160</v>
      </c>
      <c r="B1825" t="s">
        <v>50168</v>
      </c>
      <c r="C1825">
        <v>0.55484904134942803</v>
      </c>
      <c r="D1825">
        <v>0.59176637991733705</v>
      </c>
      <c r="E1825">
        <v>0.87589744855942797</v>
      </c>
      <c r="F1825">
        <v>13.5930491008284</v>
      </c>
    </row>
    <row r="1826" spans="1:6">
      <c r="A1826" t="s">
        <v>50160</v>
      </c>
      <c r="B1826" t="s">
        <v>50169</v>
      </c>
      <c r="C1826">
        <v>0</v>
      </c>
      <c r="D1826">
        <v>0.59176637991733705</v>
      </c>
      <c r="E1826">
        <v>0.87589744855942797</v>
      </c>
      <c r="F1826">
        <v>13.5930491008284</v>
      </c>
    </row>
    <row r="1827" spans="1:6">
      <c r="A1827" t="s">
        <v>50170</v>
      </c>
      <c r="B1827" t="s">
        <v>50171</v>
      </c>
      <c r="C1827">
        <v>0</v>
      </c>
      <c r="D1827">
        <v>0.385628359243538</v>
      </c>
      <c r="E1827">
        <v>0.62856264966155095</v>
      </c>
      <c r="F1827">
        <v>6.24126086077995</v>
      </c>
    </row>
    <row r="1828" spans="1:6">
      <c r="A1828" t="s">
        <v>50170</v>
      </c>
      <c r="B1828" t="s">
        <v>50172</v>
      </c>
      <c r="C1828">
        <v>0.27976264966155001</v>
      </c>
      <c r="D1828">
        <v>0.385628359243538</v>
      </c>
      <c r="E1828">
        <v>0.62856264966155095</v>
      </c>
      <c r="F1828">
        <v>6.24126086077995</v>
      </c>
    </row>
    <row r="1829" spans="1:6">
      <c r="A1829" t="s">
        <v>50170</v>
      </c>
      <c r="B1829" t="s">
        <v>50173</v>
      </c>
      <c r="C1829">
        <v>0</v>
      </c>
      <c r="D1829">
        <v>0.385628359243538</v>
      </c>
      <c r="E1829">
        <v>0.62856264966155095</v>
      </c>
      <c r="F1829">
        <v>6.24126086077995</v>
      </c>
    </row>
    <row r="1830" spans="1:6">
      <c r="A1830" t="s">
        <v>50174</v>
      </c>
      <c r="B1830" t="s">
        <v>50175</v>
      </c>
      <c r="C1830">
        <v>0.340509780602332</v>
      </c>
      <c r="D1830">
        <v>0.51582343250947404</v>
      </c>
      <c r="E1830">
        <v>0.86247533536564402</v>
      </c>
      <c r="F1830">
        <v>10.028692665184799</v>
      </c>
    </row>
    <row r="1831" spans="1:6">
      <c r="A1831" t="s">
        <v>50174</v>
      </c>
      <c r="B1831" t="s">
        <v>50176</v>
      </c>
      <c r="C1831">
        <v>0.263447121282256</v>
      </c>
      <c r="D1831">
        <v>0.51582343250947404</v>
      </c>
      <c r="E1831">
        <v>0.86247533536564402</v>
      </c>
      <c r="F1831">
        <v>10.028692665184799</v>
      </c>
    </row>
    <row r="1832" spans="1:6">
      <c r="A1832" t="s">
        <v>50177</v>
      </c>
      <c r="B1832" t="s">
        <v>50178</v>
      </c>
      <c r="C1832">
        <v>0.75427544702862703</v>
      </c>
      <c r="D1832">
        <v>0.31719396662075899</v>
      </c>
      <c r="E1832">
        <v>0.90649815950363799</v>
      </c>
      <c r="F1832">
        <v>16.463932107496401</v>
      </c>
    </row>
    <row r="1833" spans="1:6">
      <c r="A1833" t="s">
        <v>50177</v>
      </c>
      <c r="B1833" t="s">
        <v>50179</v>
      </c>
      <c r="C1833">
        <v>3.7510825550810499E-2</v>
      </c>
      <c r="D1833">
        <v>0.31719396662075899</v>
      </c>
      <c r="E1833">
        <v>0.90649815950363799</v>
      </c>
      <c r="F1833">
        <v>16.463932107496401</v>
      </c>
    </row>
    <row r="1834" spans="1:6">
      <c r="A1834" t="s">
        <v>50177</v>
      </c>
      <c r="B1834" t="s">
        <v>50180</v>
      </c>
      <c r="C1834">
        <v>0</v>
      </c>
      <c r="D1834">
        <v>0.31719396662075899</v>
      </c>
      <c r="E1834">
        <v>0.90649815950363799</v>
      </c>
      <c r="F1834">
        <v>16.463932107496401</v>
      </c>
    </row>
    <row r="1835" spans="1:6">
      <c r="A1835" t="s">
        <v>50181</v>
      </c>
      <c r="B1835" t="s">
        <v>50182</v>
      </c>
      <c r="C1835">
        <v>0.85934934881474501</v>
      </c>
      <c r="D1835">
        <v>0.47727097206644198</v>
      </c>
      <c r="E1835">
        <v>0.99164095338738001</v>
      </c>
      <c r="F1835">
        <v>10.028692665184799</v>
      </c>
    </row>
    <row r="1836" spans="1:6">
      <c r="A1836" t="s">
        <v>50181</v>
      </c>
      <c r="B1836" t="s">
        <v>50183</v>
      </c>
      <c r="C1836">
        <v>0.44879885269407599</v>
      </c>
      <c r="D1836">
        <v>0.47727097206644198</v>
      </c>
      <c r="E1836">
        <v>0.99164095338738001</v>
      </c>
      <c r="F1836">
        <v>10.028692665184799</v>
      </c>
    </row>
    <row r="1837" spans="1:6">
      <c r="A1837" t="s">
        <v>50184</v>
      </c>
      <c r="B1837" t="s">
        <v>50185</v>
      </c>
      <c r="C1837">
        <v>0</v>
      </c>
      <c r="D1837">
        <v>0.103280408084231</v>
      </c>
      <c r="E1837">
        <v>0.96196135150256901</v>
      </c>
      <c r="F1837">
        <v>10.9937361083047</v>
      </c>
    </row>
    <row r="1838" spans="1:6">
      <c r="A1838" t="s">
        <v>50184</v>
      </c>
      <c r="B1838" t="s">
        <v>50186</v>
      </c>
      <c r="C1838">
        <v>0</v>
      </c>
      <c r="D1838">
        <v>0.103280408084231</v>
      </c>
      <c r="E1838">
        <v>0.96196135150256901</v>
      </c>
      <c r="F1838">
        <v>10.9937361083047</v>
      </c>
    </row>
    <row r="1839" spans="1:6">
      <c r="A1839" t="s">
        <v>50184</v>
      </c>
      <c r="B1839" t="s">
        <v>50187</v>
      </c>
      <c r="C1839">
        <v>0</v>
      </c>
      <c r="D1839">
        <v>0.103280408084231</v>
      </c>
      <c r="E1839">
        <v>0.96196135150256901</v>
      </c>
      <c r="F1839">
        <v>10.9937361083047</v>
      </c>
    </row>
    <row r="1840" spans="1:6">
      <c r="A1840" t="s">
        <v>50184</v>
      </c>
      <c r="B1840" t="s">
        <v>50188</v>
      </c>
      <c r="C1840">
        <v>0</v>
      </c>
      <c r="D1840">
        <v>0.103280408084231</v>
      </c>
      <c r="E1840">
        <v>0.96196135150256901</v>
      </c>
      <c r="F1840">
        <v>10.9937361083047</v>
      </c>
    </row>
    <row r="1841" spans="1:6">
      <c r="A1841" t="s">
        <v>50184</v>
      </c>
      <c r="B1841" t="s">
        <v>50189</v>
      </c>
      <c r="C1841">
        <v>0.123425496098602</v>
      </c>
      <c r="D1841">
        <v>0.103280408084231</v>
      </c>
      <c r="E1841">
        <v>0.96196135150256901</v>
      </c>
      <c r="F1841">
        <v>10.9937361083047</v>
      </c>
    </row>
    <row r="1842" spans="1:6">
      <c r="A1842" t="s">
        <v>50184</v>
      </c>
      <c r="B1842" t="s">
        <v>50190</v>
      </c>
      <c r="C1842">
        <v>0.79551722711094996</v>
      </c>
      <c r="D1842">
        <v>0.103280408084231</v>
      </c>
      <c r="E1842">
        <v>0.96196135150256901</v>
      </c>
      <c r="F1842">
        <v>10.9937361083047</v>
      </c>
    </row>
    <row r="1843" spans="1:6">
      <c r="A1843" t="s">
        <v>50191</v>
      </c>
      <c r="B1843" t="s">
        <v>50192</v>
      </c>
      <c r="C1843">
        <v>0.69442253098513695</v>
      </c>
      <c r="D1843">
        <v>0.31753293179762498</v>
      </c>
      <c r="E1843">
        <v>0.89316027230093897</v>
      </c>
      <c r="F1843">
        <v>4.0153566377045804</v>
      </c>
    </row>
    <row r="1844" spans="1:6">
      <c r="A1844" t="s">
        <v>50191</v>
      </c>
      <c r="B1844" t="s">
        <v>50193</v>
      </c>
      <c r="C1844">
        <v>0</v>
      </c>
      <c r="D1844">
        <v>0.31753293179762498</v>
      </c>
      <c r="E1844">
        <v>0.89316027230093897</v>
      </c>
      <c r="F1844">
        <v>4.0153566377045804</v>
      </c>
    </row>
    <row r="1845" spans="1:6">
      <c r="A1845" t="s">
        <v>50191</v>
      </c>
      <c r="B1845" t="s">
        <v>50194</v>
      </c>
      <c r="C1845">
        <v>8.1806611146533995E-2</v>
      </c>
      <c r="D1845">
        <v>0.31753293179762498</v>
      </c>
      <c r="E1845">
        <v>0.89316027230093897</v>
      </c>
      <c r="F1845">
        <v>4.0153566377045804</v>
      </c>
    </row>
    <row r="1846" spans="1:6">
      <c r="A1846" t="s">
        <v>50191</v>
      </c>
      <c r="B1846" t="s">
        <v>50195</v>
      </c>
      <c r="C1846">
        <v>0</v>
      </c>
      <c r="D1846">
        <v>0.31753293179762498</v>
      </c>
      <c r="E1846">
        <v>0.89316027230093897</v>
      </c>
      <c r="F1846">
        <v>4.0153566377045804</v>
      </c>
    </row>
    <row r="1847" spans="1:6">
      <c r="A1847" t="s">
        <v>50191</v>
      </c>
      <c r="B1847" t="s">
        <v>50196</v>
      </c>
      <c r="C1847">
        <v>0</v>
      </c>
      <c r="D1847">
        <v>0.31753293179762498</v>
      </c>
      <c r="E1847">
        <v>0.89316027230093897</v>
      </c>
      <c r="F1847">
        <v>4.0153566377045804</v>
      </c>
    </row>
    <row r="1848" spans="1:6">
      <c r="A1848" t="s">
        <v>50197</v>
      </c>
      <c r="B1848" t="s">
        <v>50198</v>
      </c>
      <c r="C1848">
        <v>0.52346747536543403</v>
      </c>
      <c r="D1848">
        <v>0.80536523069553001</v>
      </c>
      <c r="E1848">
        <v>0.996807304079256</v>
      </c>
      <c r="F1848">
        <v>10.5039401899373</v>
      </c>
    </row>
    <row r="1849" spans="1:6">
      <c r="A1849" t="s">
        <v>50197</v>
      </c>
      <c r="B1849" t="s">
        <v>50199</v>
      </c>
      <c r="C1849">
        <v>0</v>
      </c>
      <c r="D1849">
        <v>0.80536523069553001</v>
      </c>
      <c r="E1849">
        <v>0.996807304079256</v>
      </c>
      <c r="F1849">
        <v>10.5039401899373</v>
      </c>
    </row>
    <row r="1850" spans="1:6">
      <c r="A1850" t="s">
        <v>50197</v>
      </c>
      <c r="B1850" t="s">
        <v>50200</v>
      </c>
      <c r="C1850">
        <v>0</v>
      </c>
      <c r="D1850">
        <v>0.80536523069553001</v>
      </c>
      <c r="E1850">
        <v>0.996807304079256</v>
      </c>
      <c r="F1850">
        <v>10.5039401899373</v>
      </c>
    </row>
    <row r="1851" spans="1:6">
      <c r="A1851" t="s">
        <v>50197</v>
      </c>
      <c r="B1851" t="s">
        <v>50201</v>
      </c>
      <c r="C1851">
        <v>0</v>
      </c>
      <c r="D1851">
        <v>0.80536523069553001</v>
      </c>
      <c r="E1851">
        <v>0.996807304079256</v>
      </c>
      <c r="F1851">
        <v>10.5039401899373</v>
      </c>
    </row>
    <row r="1852" spans="1:6">
      <c r="A1852" t="s">
        <v>50197</v>
      </c>
      <c r="B1852" t="s">
        <v>50202</v>
      </c>
      <c r="C1852">
        <v>0</v>
      </c>
      <c r="D1852">
        <v>0.80536523069553001</v>
      </c>
      <c r="E1852">
        <v>0.996807304079256</v>
      </c>
      <c r="F1852">
        <v>10.5039401899373</v>
      </c>
    </row>
    <row r="1853" spans="1:6">
      <c r="A1853" t="s">
        <v>50197</v>
      </c>
      <c r="B1853" t="s">
        <v>50203</v>
      </c>
      <c r="C1853">
        <v>0</v>
      </c>
      <c r="D1853">
        <v>0.80536523069553001</v>
      </c>
      <c r="E1853">
        <v>0.996807304079256</v>
      </c>
      <c r="F1853">
        <v>10.5039401899373</v>
      </c>
    </row>
    <row r="1854" spans="1:6">
      <c r="A1854" t="s">
        <v>50197</v>
      </c>
      <c r="B1854" t="s">
        <v>50204</v>
      </c>
      <c r="C1854">
        <v>0</v>
      </c>
      <c r="D1854">
        <v>0.80536523069553001</v>
      </c>
      <c r="E1854">
        <v>0.996807304079256</v>
      </c>
      <c r="F1854">
        <v>10.5039401899373</v>
      </c>
    </row>
    <row r="1855" spans="1:6">
      <c r="A1855" t="s">
        <v>50197</v>
      </c>
      <c r="B1855" t="s">
        <v>50205</v>
      </c>
      <c r="C1855">
        <v>0</v>
      </c>
      <c r="D1855">
        <v>0.80536523069553001</v>
      </c>
      <c r="E1855">
        <v>0.996807304079256</v>
      </c>
      <c r="F1855">
        <v>10.5039401899373</v>
      </c>
    </row>
    <row r="1856" spans="1:6">
      <c r="A1856" t="s">
        <v>50197</v>
      </c>
      <c r="B1856" t="s">
        <v>50206</v>
      </c>
      <c r="C1856">
        <v>0.35519146036441501</v>
      </c>
      <c r="D1856">
        <v>0.80536523069553001</v>
      </c>
      <c r="E1856">
        <v>0.996807304079256</v>
      </c>
      <c r="F1856">
        <v>10.5039401899373</v>
      </c>
    </row>
    <row r="1857" spans="1:6">
      <c r="A1857" t="s">
        <v>50207</v>
      </c>
      <c r="B1857" t="s">
        <v>50208</v>
      </c>
      <c r="C1857">
        <v>0</v>
      </c>
      <c r="D1857">
        <v>0.66894968849234004</v>
      </c>
      <c r="E1857">
        <v>0.64037519566933399</v>
      </c>
      <c r="F1857">
        <v>3.9183673469387701</v>
      </c>
    </row>
    <row r="1858" spans="1:6">
      <c r="A1858" t="s">
        <v>50207</v>
      </c>
      <c r="B1858" t="s">
        <v>50209</v>
      </c>
      <c r="C1858">
        <v>0</v>
      </c>
      <c r="D1858">
        <v>0.66894968849234004</v>
      </c>
      <c r="E1858">
        <v>0.64037519566933399</v>
      </c>
      <c r="F1858">
        <v>3.9183673469387701</v>
      </c>
    </row>
    <row r="1859" spans="1:6">
      <c r="A1859" t="s">
        <v>50207</v>
      </c>
      <c r="B1859" t="s">
        <v>50210</v>
      </c>
      <c r="C1859">
        <v>0</v>
      </c>
      <c r="D1859">
        <v>0.66894968849234004</v>
      </c>
      <c r="E1859">
        <v>0.64037519566933399</v>
      </c>
      <c r="F1859">
        <v>3.9183673469387701</v>
      </c>
    </row>
    <row r="1860" spans="1:6">
      <c r="A1860" t="s">
        <v>50207</v>
      </c>
      <c r="B1860" t="s">
        <v>50211</v>
      </c>
      <c r="C1860">
        <v>0</v>
      </c>
      <c r="D1860">
        <v>0.66894968849234004</v>
      </c>
      <c r="E1860">
        <v>0.64037519566933399</v>
      </c>
      <c r="F1860">
        <v>3.9183673469387701</v>
      </c>
    </row>
    <row r="1861" spans="1:6">
      <c r="A1861" t="s">
        <v>50207</v>
      </c>
      <c r="B1861" t="s">
        <v>50212</v>
      </c>
      <c r="C1861">
        <v>0.408375195669334</v>
      </c>
      <c r="D1861">
        <v>0.66894968849234004</v>
      </c>
      <c r="E1861">
        <v>0.64037519566933399</v>
      </c>
      <c r="F1861">
        <v>3.9183673469387701</v>
      </c>
    </row>
    <row r="1862" spans="1:6">
      <c r="A1862" t="s">
        <v>50213</v>
      </c>
      <c r="B1862" t="s">
        <v>50214</v>
      </c>
      <c r="C1862">
        <v>0</v>
      </c>
      <c r="D1862">
        <v>8.6393283214040897E-2</v>
      </c>
      <c r="E1862">
        <v>0.99624028474019399</v>
      </c>
      <c r="F1862">
        <v>17.487169125075699</v>
      </c>
    </row>
    <row r="1863" spans="1:6">
      <c r="A1863" t="s">
        <v>50213</v>
      </c>
      <c r="B1863" t="s">
        <v>50215</v>
      </c>
      <c r="C1863">
        <v>6.8967747322556797E-2</v>
      </c>
      <c r="D1863">
        <v>8.6393283214040897E-2</v>
      </c>
      <c r="E1863">
        <v>0.99624028474019399</v>
      </c>
      <c r="F1863">
        <v>17.487169125075699</v>
      </c>
    </row>
    <row r="1864" spans="1:6">
      <c r="A1864" t="s">
        <v>50213</v>
      </c>
      <c r="B1864" t="s">
        <v>50216</v>
      </c>
      <c r="C1864">
        <v>0</v>
      </c>
      <c r="D1864">
        <v>8.6393283214040897E-2</v>
      </c>
      <c r="E1864">
        <v>0.99624028474019399</v>
      </c>
      <c r="F1864">
        <v>17.487169125075699</v>
      </c>
    </row>
    <row r="1865" spans="1:6">
      <c r="A1865" t="s">
        <v>50213</v>
      </c>
      <c r="B1865" t="s">
        <v>50217</v>
      </c>
      <c r="C1865">
        <v>0</v>
      </c>
      <c r="D1865">
        <v>8.6393283214040897E-2</v>
      </c>
      <c r="E1865">
        <v>0.99624028474019399</v>
      </c>
      <c r="F1865">
        <v>17.487169125075699</v>
      </c>
    </row>
    <row r="1866" spans="1:6">
      <c r="A1866" t="s">
        <v>50213</v>
      </c>
      <c r="B1866" t="s">
        <v>50218</v>
      </c>
      <c r="C1866">
        <v>0.91705170030138805</v>
      </c>
      <c r="D1866">
        <v>8.6393283214040897E-2</v>
      </c>
      <c r="E1866">
        <v>0.99624028474019399</v>
      </c>
      <c r="F1866">
        <v>17.487169125075699</v>
      </c>
    </row>
    <row r="1867" spans="1:6">
      <c r="A1867" t="s">
        <v>50213</v>
      </c>
      <c r="B1867" t="s">
        <v>50219</v>
      </c>
      <c r="C1867">
        <v>0</v>
      </c>
      <c r="D1867">
        <v>8.6393283214040897E-2</v>
      </c>
      <c r="E1867">
        <v>0.99624028474019399</v>
      </c>
      <c r="F1867">
        <v>17.487169125075699</v>
      </c>
    </row>
    <row r="1868" spans="1:6">
      <c r="A1868" t="s">
        <v>50213</v>
      </c>
      <c r="B1868" t="s">
        <v>50220</v>
      </c>
      <c r="C1868">
        <v>0</v>
      </c>
      <c r="D1868">
        <v>8.6393283214040897E-2</v>
      </c>
      <c r="E1868">
        <v>0.99624028474019399</v>
      </c>
      <c r="F1868">
        <v>17.487169125075699</v>
      </c>
    </row>
    <row r="1869" spans="1:6">
      <c r="A1869" t="s">
        <v>50213</v>
      </c>
      <c r="B1869" t="s">
        <v>50221</v>
      </c>
      <c r="C1869">
        <v>0</v>
      </c>
      <c r="D1869">
        <v>8.6393283214040897E-2</v>
      </c>
      <c r="E1869">
        <v>0.99624028474019399</v>
      </c>
      <c r="F1869">
        <v>17.487169125075699</v>
      </c>
    </row>
    <row r="1870" spans="1:6">
      <c r="A1870" t="s">
        <v>50213</v>
      </c>
      <c r="B1870" t="s">
        <v>50222</v>
      </c>
      <c r="C1870">
        <v>0</v>
      </c>
      <c r="D1870">
        <v>8.6393283214040897E-2</v>
      </c>
      <c r="E1870">
        <v>0.99624028474019399</v>
      </c>
      <c r="F1870">
        <v>17.487169125075699</v>
      </c>
    </row>
    <row r="1871" spans="1:6">
      <c r="A1871" t="s">
        <v>50213</v>
      </c>
      <c r="B1871" t="s">
        <v>50223</v>
      </c>
      <c r="C1871">
        <v>0</v>
      </c>
      <c r="D1871">
        <v>8.6393283214040897E-2</v>
      </c>
      <c r="E1871">
        <v>0.99624028474019399</v>
      </c>
      <c r="F1871">
        <v>17.487169125075699</v>
      </c>
    </row>
    <row r="1872" spans="1:6">
      <c r="A1872" t="s">
        <v>50213</v>
      </c>
      <c r="B1872" t="s">
        <v>50224</v>
      </c>
      <c r="C1872">
        <v>0</v>
      </c>
      <c r="D1872">
        <v>8.6393283214040897E-2</v>
      </c>
      <c r="E1872">
        <v>0.99624028474019399</v>
      </c>
      <c r="F1872">
        <v>17.487169125075699</v>
      </c>
    </row>
    <row r="1873" spans="1:6">
      <c r="A1873" t="s">
        <v>50225</v>
      </c>
      <c r="B1873" t="s">
        <v>50226</v>
      </c>
      <c r="C1873">
        <v>0.36706089241558598</v>
      </c>
      <c r="D1873">
        <v>0.740257459399982</v>
      </c>
      <c r="E1873">
        <v>0.978423432763322</v>
      </c>
      <c r="F1873">
        <v>8.66599312992523</v>
      </c>
    </row>
    <row r="1874" spans="1:6">
      <c r="A1874" t="s">
        <v>50225</v>
      </c>
      <c r="B1874" t="s">
        <v>50227</v>
      </c>
      <c r="C1874">
        <v>1.1737089067885</v>
      </c>
      <c r="D1874">
        <v>0.740257459399982</v>
      </c>
      <c r="E1874">
        <v>0.978423432763322</v>
      </c>
      <c r="F1874">
        <v>8.66599312992523</v>
      </c>
    </row>
    <row r="1875" spans="1:6">
      <c r="A1875" t="s">
        <v>50228</v>
      </c>
      <c r="B1875" t="s">
        <v>50229</v>
      </c>
      <c r="C1875">
        <v>0</v>
      </c>
      <c r="D1875">
        <v>0.10243391090189601</v>
      </c>
      <c r="E1875">
        <v>0.77657732181861705</v>
      </c>
      <c r="F1875">
        <v>15.867447969286699</v>
      </c>
    </row>
    <row r="1876" spans="1:6">
      <c r="A1876" t="s">
        <v>50228</v>
      </c>
      <c r="B1876" t="s">
        <v>50230</v>
      </c>
      <c r="C1876">
        <v>0.646977321818617</v>
      </c>
      <c r="D1876">
        <v>0.10243391090189601</v>
      </c>
      <c r="E1876">
        <v>0.77657732181861705</v>
      </c>
      <c r="F1876">
        <v>15.867447969286699</v>
      </c>
    </row>
    <row r="1877" spans="1:6">
      <c r="A1877" t="s">
        <v>50231</v>
      </c>
      <c r="B1877" t="s">
        <v>50232</v>
      </c>
      <c r="C1877">
        <v>0</v>
      </c>
      <c r="D1877">
        <v>0.12753888311990899</v>
      </c>
      <c r="E1877">
        <v>0.90956478010775399</v>
      </c>
      <c r="F1877">
        <v>9.1121438674479691</v>
      </c>
    </row>
    <row r="1878" spans="1:6">
      <c r="A1878" t="s">
        <v>50231</v>
      </c>
      <c r="B1878" t="s">
        <v>50233</v>
      </c>
      <c r="C1878">
        <v>0.77996478010775405</v>
      </c>
      <c r="D1878">
        <v>0.12753888311990899</v>
      </c>
      <c r="E1878">
        <v>0.90956478010775399</v>
      </c>
      <c r="F1878">
        <v>9.1121438674479691</v>
      </c>
    </row>
    <row r="1879" spans="1:6">
      <c r="A1879" t="s">
        <v>50234</v>
      </c>
      <c r="B1879" t="s">
        <v>50235</v>
      </c>
      <c r="C1879">
        <v>0.800091191806794</v>
      </c>
      <c r="D1879">
        <v>0.41611725458563398</v>
      </c>
      <c r="E1879">
        <v>0.96447406919033096</v>
      </c>
      <c r="F1879">
        <v>12.1721559911093</v>
      </c>
    </row>
    <row r="1880" spans="1:6">
      <c r="A1880" t="s">
        <v>50234</v>
      </c>
      <c r="B1880" t="s">
        <v>50236</v>
      </c>
      <c r="C1880">
        <v>0</v>
      </c>
      <c r="D1880">
        <v>0.41611725458563398</v>
      </c>
      <c r="E1880">
        <v>0.96447406919033096</v>
      </c>
      <c r="F1880">
        <v>12.1721559911093</v>
      </c>
    </row>
    <row r="1881" spans="1:6">
      <c r="A1881" t="s">
        <v>50234</v>
      </c>
      <c r="B1881" t="s">
        <v>50237</v>
      </c>
      <c r="C1881">
        <v>0.29792269244424102</v>
      </c>
      <c r="D1881">
        <v>0.41611725458563398</v>
      </c>
      <c r="E1881">
        <v>0.96447406919033096</v>
      </c>
      <c r="F1881">
        <v>12.1721559911093</v>
      </c>
    </row>
    <row r="1882" spans="1:6">
      <c r="A1882" t="s">
        <v>50238</v>
      </c>
      <c r="B1882" t="s">
        <v>50239</v>
      </c>
      <c r="C1882">
        <v>0</v>
      </c>
      <c r="D1882">
        <v>6.5868278320361406E-2</v>
      </c>
      <c r="E1882">
        <v>0.819479760700624</v>
      </c>
      <c r="F1882">
        <v>15.867447969286699</v>
      </c>
    </row>
    <row r="1883" spans="1:6">
      <c r="A1883" t="s">
        <v>50238</v>
      </c>
      <c r="B1883" t="s">
        <v>50240</v>
      </c>
      <c r="C1883">
        <v>0</v>
      </c>
      <c r="D1883">
        <v>6.5868278320361406E-2</v>
      </c>
      <c r="E1883">
        <v>0.819479760700624</v>
      </c>
      <c r="F1883">
        <v>15.867447969286699</v>
      </c>
    </row>
    <row r="1884" spans="1:6">
      <c r="A1884" t="s">
        <v>50238</v>
      </c>
      <c r="B1884" t="s">
        <v>50241</v>
      </c>
      <c r="C1884">
        <v>0.58107976070062295</v>
      </c>
      <c r="D1884">
        <v>6.5868278320361406E-2</v>
      </c>
      <c r="E1884">
        <v>0.819479760700624</v>
      </c>
      <c r="F1884">
        <v>15.867447969286699</v>
      </c>
    </row>
    <row r="1885" spans="1:6">
      <c r="A1885" t="s">
        <v>50238</v>
      </c>
      <c r="B1885" t="s">
        <v>50242</v>
      </c>
      <c r="C1885">
        <v>0</v>
      </c>
      <c r="D1885">
        <v>6.5868278320361406E-2</v>
      </c>
      <c r="E1885">
        <v>0.819479760700624</v>
      </c>
      <c r="F1885">
        <v>15.867447969286699</v>
      </c>
    </row>
    <row r="1886" spans="1:6">
      <c r="A1886" t="s">
        <v>50238</v>
      </c>
      <c r="B1886" t="s">
        <v>50243</v>
      </c>
      <c r="C1886">
        <v>0</v>
      </c>
      <c r="D1886">
        <v>6.5868278320361406E-2</v>
      </c>
      <c r="E1886">
        <v>0.819479760700624</v>
      </c>
      <c r="F1886">
        <v>15.867447969286699</v>
      </c>
    </row>
    <row r="1887" spans="1:6">
      <c r="A1887" t="s">
        <v>50244</v>
      </c>
      <c r="B1887" t="s">
        <v>50245</v>
      </c>
      <c r="C1887">
        <v>0.28061390949523601</v>
      </c>
      <c r="D1887">
        <v>0.84006746164323798</v>
      </c>
      <c r="E1887">
        <v>0.90549713815097999</v>
      </c>
      <c r="F1887">
        <v>8.72903616892301E-2</v>
      </c>
    </row>
    <row r="1888" spans="1:6">
      <c r="A1888" t="s">
        <v>50244</v>
      </c>
      <c r="B1888" t="s">
        <v>50246</v>
      </c>
      <c r="C1888">
        <v>0</v>
      </c>
      <c r="D1888">
        <v>0.84006746164323798</v>
      </c>
      <c r="E1888">
        <v>0.90549713815097999</v>
      </c>
      <c r="F1888">
        <v>8.72903616892301E-2</v>
      </c>
    </row>
    <row r="1889" spans="1:6">
      <c r="A1889" t="s">
        <v>50244</v>
      </c>
      <c r="B1889" t="s">
        <v>50247</v>
      </c>
      <c r="C1889">
        <v>9.7656014606804495E-2</v>
      </c>
      <c r="D1889">
        <v>0.84006746164323798</v>
      </c>
      <c r="E1889">
        <v>0.90549713815097999</v>
      </c>
      <c r="F1889">
        <v>8.72903616892301E-2</v>
      </c>
    </row>
    <row r="1890" spans="1:6">
      <c r="A1890" t="s">
        <v>50244</v>
      </c>
      <c r="B1890" t="s">
        <v>50248</v>
      </c>
      <c r="C1890">
        <v>0</v>
      </c>
      <c r="D1890">
        <v>0.84006746164323798</v>
      </c>
      <c r="E1890">
        <v>0.90549713815097999</v>
      </c>
      <c r="F1890">
        <v>8.72903616892301E-2</v>
      </c>
    </row>
    <row r="1891" spans="1:6">
      <c r="A1891" t="s">
        <v>50244</v>
      </c>
      <c r="B1891" t="s">
        <v>50249</v>
      </c>
      <c r="C1891">
        <v>0</v>
      </c>
      <c r="D1891">
        <v>0.84006746164323798</v>
      </c>
      <c r="E1891">
        <v>0.90549713815097999</v>
      </c>
      <c r="F1891">
        <v>8.72903616892301E-2</v>
      </c>
    </row>
    <row r="1892" spans="1:6">
      <c r="A1892" t="s">
        <v>50244</v>
      </c>
      <c r="B1892" t="s">
        <v>50250</v>
      </c>
      <c r="C1892">
        <v>0</v>
      </c>
      <c r="D1892">
        <v>0.84006746164323798</v>
      </c>
      <c r="E1892">
        <v>0.90549713815097999</v>
      </c>
      <c r="F1892">
        <v>8.72903616892301E-2</v>
      </c>
    </row>
    <row r="1893" spans="1:6">
      <c r="A1893" t="s">
        <v>50244</v>
      </c>
      <c r="B1893" t="s">
        <v>50251</v>
      </c>
      <c r="C1893">
        <v>0</v>
      </c>
      <c r="D1893">
        <v>0.84006746164323798</v>
      </c>
      <c r="E1893">
        <v>0.90549713815097999</v>
      </c>
      <c r="F1893">
        <v>8.72903616892301E-2</v>
      </c>
    </row>
    <row r="1894" spans="1:6">
      <c r="A1894" t="s">
        <v>50252</v>
      </c>
      <c r="B1894" t="s">
        <v>50253</v>
      </c>
      <c r="C1894">
        <v>0.90498275183089705</v>
      </c>
      <c r="D1894">
        <v>0.325265604819377</v>
      </c>
      <c r="E1894">
        <v>0.99269778670515096</v>
      </c>
      <c r="F1894">
        <v>16.463932107496401</v>
      </c>
    </row>
    <row r="1895" spans="1:6">
      <c r="A1895" t="s">
        <v>50252</v>
      </c>
      <c r="B1895" t="s">
        <v>50254</v>
      </c>
      <c r="C1895">
        <v>0</v>
      </c>
      <c r="D1895">
        <v>0.325265604819377</v>
      </c>
      <c r="E1895">
        <v>0.99269778670515096</v>
      </c>
      <c r="F1895">
        <v>16.463932107496401</v>
      </c>
    </row>
    <row r="1896" spans="1:6">
      <c r="A1896" t="s">
        <v>50252</v>
      </c>
      <c r="B1896" t="s">
        <v>50255</v>
      </c>
      <c r="C1896">
        <v>0</v>
      </c>
      <c r="D1896">
        <v>0.325265604819377</v>
      </c>
      <c r="E1896">
        <v>0.99269778670515096</v>
      </c>
      <c r="F1896">
        <v>16.463932107496401</v>
      </c>
    </row>
    <row r="1897" spans="1:6">
      <c r="A1897" t="s">
        <v>50252</v>
      </c>
      <c r="B1897" t="s">
        <v>50256</v>
      </c>
      <c r="C1897">
        <v>0.131614814305066</v>
      </c>
      <c r="D1897">
        <v>0.325265604819377</v>
      </c>
      <c r="E1897">
        <v>0.99269778670515096</v>
      </c>
      <c r="F1897">
        <v>16.463932107496401</v>
      </c>
    </row>
    <row r="1898" spans="1:6">
      <c r="A1898" t="s">
        <v>50257</v>
      </c>
      <c r="B1898" t="s">
        <v>50258</v>
      </c>
      <c r="C1898">
        <v>0.40194888919170002</v>
      </c>
      <c r="D1898">
        <v>0.70726596296851296</v>
      </c>
      <c r="E1898">
        <v>0.99671181994245694</v>
      </c>
      <c r="F1898">
        <v>18.321277025661701</v>
      </c>
    </row>
    <row r="1899" spans="1:6">
      <c r="A1899" t="s">
        <v>50257</v>
      </c>
      <c r="B1899" t="s">
        <v>50259</v>
      </c>
      <c r="C1899">
        <v>0.59345587904257002</v>
      </c>
      <c r="D1899">
        <v>0.70726596296851296</v>
      </c>
      <c r="E1899">
        <v>0.99671181994245694</v>
      </c>
      <c r="F1899">
        <v>18.321277025661701</v>
      </c>
    </row>
    <row r="1900" spans="1:6">
      <c r="A1900" t="s">
        <v>50257</v>
      </c>
      <c r="B1900" t="s">
        <v>50260</v>
      </c>
      <c r="C1900">
        <v>0</v>
      </c>
      <c r="D1900">
        <v>0.70726596296851296</v>
      </c>
      <c r="E1900">
        <v>0.99671181994245694</v>
      </c>
      <c r="F1900">
        <v>18.321277025661701</v>
      </c>
    </row>
    <row r="1901" spans="1:6">
      <c r="A1901" t="s">
        <v>50261</v>
      </c>
      <c r="B1901" t="s">
        <v>50262</v>
      </c>
      <c r="C1901">
        <v>0</v>
      </c>
      <c r="D1901">
        <v>0.87634737053156997</v>
      </c>
      <c r="E1901">
        <v>0.91169137828546598</v>
      </c>
      <c r="F1901">
        <v>1.98828046069913</v>
      </c>
    </row>
    <row r="1902" spans="1:6">
      <c r="A1902" t="s">
        <v>50261</v>
      </c>
      <c r="B1902" t="s">
        <v>50263</v>
      </c>
      <c r="C1902">
        <v>0</v>
      </c>
      <c r="D1902">
        <v>0.87634737053156997</v>
      </c>
      <c r="E1902">
        <v>0.91169137828546598</v>
      </c>
      <c r="F1902">
        <v>1.98828046069913</v>
      </c>
    </row>
    <row r="1903" spans="1:6">
      <c r="A1903" t="s">
        <v>50261</v>
      </c>
      <c r="B1903" t="s">
        <v>50264</v>
      </c>
      <c r="C1903">
        <v>0.74209137828546601</v>
      </c>
      <c r="D1903">
        <v>0.87634737053156997</v>
      </c>
      <c r="E1903">
        <v>0.91169137828546598</v>
      </c>
      <c r="F1903">
        <v>1.98828046069913</v>
      </c>
    </row>
    <row r="1904" spans="1:6">
      <c r="A1904" t="s">
        <v>50261</v>
      </c>
      <c r="B1904" t="s">
        <v>50265</v>
      </c>
      <c r="C1904">
        <v>0</v>
      </c>
      <c r="D1904">
        <v>0.87634737053156997</v>
      </c>
      <c r="E1904">
        <v>0.91169137828546598</v>
      </c>
      <c r="F1904">
        <v>1.98828046069913</v>
      </c>
    </row>
    <row r="1905" spans="1:6">
      <c r="A1905" t="s">
        <v>50261</v>
      </c>
      <c r="B1905" t="s">
        <v>50266</v>
      </c>
      <c r="C1905">
        <v>0</v>
      </c>
      <c r="D1905">
        <v>0.87634737053156997</v>
      </c>
      <c r="E1905">
        <v>0.91169137828546598</v>
      </c>
      <c r="F1905">
        <v>1.98828046069913</v>
      </c>
    </row>
    <row r="1906" spans="1:6">
      <c r="A1906" t="s">
        <v>50261</v>
      </c>
      <c r="B1906" t="s">
        <v>50267</v>
      </c>
      <c r="C1906">
        <v>0</v>
      </c>
      <c r="D1906">
        <v>0.87634737053156997</v>
      </c>
      <c r="E1906">
        <v>0.91169137828546598</v>
      </c>
      <c r="F1906">
        <v>1.98828046069913</v>
      </c>
    </row>
    <row r="1907" spans="1:6">
      <c r="A1907" t="s">
        <v>50261</v>
      </c>
      <c r="B1907" t="s">
        <v>50268</v>
      </c>
      <c r="C1907">
        <v>0</v>
      </c>
      <c r="D1907">
        <v>0.87634737053156997</v>
      </c>
      <c r="E1907">
        <v>0.91169137828546598</v>
      </c>
      <c r="F1907">
        <v>1.98828046069913</v>
      </c>
    </row>
    <row r="1908" spans="1:6">
      <c r="A1908" t="s">
        <v>50261</v>
      </c>
      <c r="B1908" t="s">
        <v>50269</v>
      </c>
      <c r="C1908">
        <v>0</v>
      </c>
      <c r="D1908">
        <v>0.87634737053156997</v>
      </c>
      <c r="E1908">
        <v>0.91169137828546598</v>
      </c>
      <c r="F1908">
        <v>1.98828046069913</v>
      </c>
    </row>
    <row r="1909" spans="1:6">
      <c r="A1909" t="s">
        <v>50270</v>
      </c>
      <c r="B1909" t="s">
        <v>50271</v>
      </c>
      <c r="C1909">
        <v>0</v>
      </c>
      <c r="D1909">
        <v>0.380361921918762</v>
      </c>
      <c r="E1909">
        <v>0.99019109076922895</v>
      </c>
      <c r="F1909">
        <v>16.265104061426499</v>
      </c>
    </row>
    <row r="1910" spans="1:6">
      <c r="A1910" t="s">
        <v>50270</v>
      </c>
      <c r="B1910" t="s">
        <v>50272</v>
      </c>
      <c r="C1910">
        <v>0</v>
      </c>
      <c r="D1910">
        <v>0.380361921918762</v>
      </c>
      <c r="E1910">
        <v>0.99019109076922895</v>
      </c>
      <c r="F1910">
        <v>16.265104061426499</v>
      </c>
    </row>
    <row r="1911" spans="1:6">
      <c r="A1911" t="s">
        <v>50270</v>
      </c>
      <c r="B1911" t="s">
        <v>50273</v>
      </c>
      <c r="C1911">
        <v>0.59660887678863705</v>
      </c>
      <c r="D1911">
        <v>0.380361921918762</v>
      </c>
      <c r="E1911">
        <v>0.99019109076922895</v>
      </c>
      <c r="F1911">
        <v>16.265104061426499</v>
      </c>
    </row>
    <row r="1912" spans="1:6">
      <c r="A1912" t="s">
        <v>50270</v>
      </c>
      <c r="B1912" t="s">
        <v>50274</v>
      </c>
      <c r="C1912">
        <v>0</v>
      </c>
      <c r="D1912">
        <v>0.380361921918762</v>
      </c>
      <c r="E1912">
        <v>0.99019109076922895</v>
      </c>
      <c r="F1912">
        <v>16.265104061426499</v>
      </c>
    </row>
    <row r="1913" spans="1:6">
      <c r="A1913" t="s">
        <v>50270</v>
      </c>
      <c r="B1913" t="s">
        <v>50275</v>
      </c>
      <c r="C1913">
        <v>0</v>
      </c>
      <c r="D1913">
        <v>0.380361921918762</v>
      </c>
      <c r="E1913">
        <v>0.99019109076922895</v>
      </c>
      <c r="F1913">
        <v>16.265104061426499</v>
      </c>
    </row>
    <row r="1914" spans="1:6">
      <c r="A1914" t="s">
        <v>50270</v>
      </c>
      <c r="B1914" t="s">
        <v>50276</v>
      </c>
      <c r="C1914">
        <v>0</v>
      </c>
      <c r="D1914">
        <v>0.380361921918762</v>
      </c>
      <c r="E1914">
        <v>0.99019109076922895</v>
      </c>
      <c r="F1914">
        <v>16.265104061426499</v>
      </c>
    </row>
    <row r="1915" spans="1:6">
      <c r="A1915" t="s">
        <v>50270</v>
      </c>
      <c r="B1915" t="s">
        <v>50277</v>
      </c>
      <c r="C1915">
        <v>0</v>
      </c>
      <c r="D1915">
        <v>0.380361921918762</v>
      </c>
      <c r="E1915">
        <v>0.99019109076922895</v>
      </c>
      <c r="F1915">
        <v>16.265104061426499</v>
      </c>
    </row>
    <row r="1916" spans="1:6">
      <c r="A1916" t="s">
        <v>50270</v>
      </c>
      <c r="B1916" t="s">
        <v>50278</v>
      </c>
      <c r="C1916">
        <v>0.4636526196206</v>
      </c>
      <c r="D1916">
        <v>0.380361921918762</v>
      </c>
      <c r="E1916">
        <v>0.99019109076922895</v>
      </c>
      <c r="F1916">
        <v>16.265104061426499</v>
      </c>
    </row>
    <row r="1917" spans="1:6">
      <c r="A1917" t="s">
        <v>50270</v>
      </c>
      <c r="B1917" t="s">
        <v>50279</v>
      </c>
      <c r="C1917">
        <v>0</v>
      </c>
      <c r="D1917">
        <v>0.380361921918762</v>
      </c>
      <c r="E1917">
        <v>0.99019109076922895</v>
      </c>
      <c r="F1917">
        <v>16.265104061426499</v>
      </c>
    </row>
    <row r="1918" spans="1:6">
      <c r="A1918" t="s">
        <v>50270</v>
      </c>
      <c r="B1918" t="s">
        <v>50280</v>
      </c>
      <c r="C1918">
        <v>0</v>
      </c>
      <c r="D1918">
        <v>0.380361921918762</v>
      </c>
      <c r="E1918">
        <v>0.99019109076922895</v>
      </c>
      <c r="F1918">
        <v>16.265104061426499</v>
      </c>
    </row>
    <row r="1919" spans="1:6">
      <c r="A1919" t="s">
        <v>50270</v>
      </c>
      <c r="B1919" t="s">
        <v>50281</v>
      </c>
      <c r="C1919">
        <v>0</v>
      </c>
      <c r="D1919">
        <v>0.380361921918762</v>
      </c>
      <c r="E1919">
        <v>0.99019109076922895</v>
      </c>
      <c r="F1919">
        <v>16.265104061426499</v>
      </c>
    </row>
    <row r="1920" spans="1:6">
      <c r="A1920" t="s">
        <v>50282</v>
      </c>
      <c r="B1920" t="s">
        <v>50283</v>
      </c>
      <c r="C1920">
        <v>3.7915629466649899E-2</v>
      </c>
      <c r="D1920">
        <v>0.191094142679893</v>
      </c>
      <c r="E1920">
        <v>0.67082941181761901</v>
      </c>
      <c r="F1920">
        <v>6.7504546373004599</v>
      </c>
    </row>
    <row r="1921" spans="1:6">
      <c r="A1921" t="s">
        <v>50282</v>
      </c>
      <c r="B1921" t="s">
        <v>50284</v>
      </c>
      <c r="C1921">
        <v>0.37319623940984598</v>
      </c>
      <c r="D1921">
        <v>0.191094142679893</v>
      </c>
      <c r="E1921">
        <v>0.67082941181761901</v>
      </c>
      <c r="F1921">
        <v>6.7504546373004599</v>
      </c>
    </row>
    <row r="1922" spans="1:6">
      <c r="A1922" t="s">
        <v>50285</v>
      </c>
      <c r="B1922" t="s">
        <v>50286</v>
      </c>
      <c r="C1922">
        <v>0</v>
      </c>
      <c r="D1922">
        <v>0.24820671557655</v>
      </c>
      <c r="E1922">
        <v>0.90543148150302499</v>
      </c>
      <c r="F1922">
        <v>6.1200242473226902</v>
      </c>
    </row>
    <row r="1923" spans="1:6">
      <c r="A1923" t="s">
        <v>50285</v>
      </c>
      <c r="B1923" t="s">
        <v>50287</v>
      </c>
      <c r="C1923">
        <v>4.7271451570971297E-2</v>
      </c>
      <c r="D1923">
        <v>0.24820671557655</v>
      </c>
      <c r="E1923">
        <v>0.90543148150302499</v>
      </c>
      <c r="F1923">
        <v>6.1200242473226902</v>
      </c>
    </row>
    <row r="1924" spans="1:6">
      <c r="A1924" t="s">
        <v>50285</v>
      </c>
      <c r="B1924" t="s">
        <v>50288</v>
      </c>
      <c r="C1924">
        <v>0</v>
      </c>
      <c r="D1924">
        <v>0.24820671557655</v>
      </c>
      <c r="E1924">
        <v>0.90543148150302499</v>
      </c>
      <c r="F1924">
        <v>6.1200242473226902</v>
      </c>
    </row>
    <row r="1925" spans="1:6">
      <c r="A1925" t="s">
        <v>50285</v>
      </c>
      <c r="B1925" t="s">
        <v>50289</v>
      </c>
      <c r="C1925">
        <v>0</v>
      </c>
      <c r="D1925">
        <v>0.24820671557655</v>
      </c>
      <c r="E1925">
        <v>0.90543148150302499</v>
      </c>
      <c r="F1925">
        <v>6.1200242473226902</v>
      </c>
    </row>
    <row r="1926" spans="1:6">
      <c r="A1926" t="s">
        <v>50285</v>
      </c>
      <c r="B1926" t="s">
        <v>50290</v>
      </c>
      <c r="C1926">
        <v>0</v>
      </c>
      <c r="D1926">
        <v>0.24820671557655</v>
      </c>
      <c r="E1926">
        <v>0.90543148150302499</v>
      </c>
      <c r="F1926">
        <v>6.1200242473226902</v>
      </c>
    </row>
    <row r="1927" spans="1:6">
      <c r="A1927" t="s">
        <v>50285</v>
      </c>
      <c r="B1927" t="s">
        <v>50291</v>
      </c>
      <c r="C1927">
        <v>0.58785296061208103</v>
      </c>
      <c r="D1927">
        <v>0.24820671557655</v>
      </c>
      <c r="E1927">
        <v>0.90543148150302499</v>
      </c>
      <c r="F1927">
        <v>6.1200242473226902</v>
      </c>
    </row>
    <row r="1928" spans="1:6">
      <c r="A1928" t="s">
        <v>50285</v>
      </c>
      <c r="B1928" t="s">
        <v>50292</v>
      </c>
      <c r="C1928">
        <v>0</v>
      </c>
      <c r="D1928">
        <v>0.24820671557655</v>
      </c>
      <c r="E1928">
        <v>0.90543148150302499</v>
      </c>
      <c r="F1928">
        <v>6.1200242473226902</v>
      </c>
    </row>
    <row r="1929" spans="1:6">
      <c r="A1929" t="s">
        <v>50285</v>
      </c>
      <c r="B1929" t="s">
        <v>50293</v>
      </c>
      <c r="C1929">
        <v>0</v>
      </c>
      <c r="D1929">
        <v>0.24820671557655</v>
      </c>
      <c r="E1929">
        <v>0.90543148150302499</v>
      </c>
      <c r="F1929">
        <v>6.1200242473226902</v>
      </c>
    </row>
    <row r="1930" spans="1:6">
      <c r="A1930" t="s">
        <v>50285</v>
      </c>
      <c r="B1930" t="s">
        <v>50294</v>
      </c>
      <c r="C1930">
        <v>0</v>
      </c>
      <c r="D1930">
        <v>0.24820671557655</v>
      </c>
      <c r="E1930">
        <v>0.90543148150302499</v>
      </c>
      <c r="F1930">
        <v>6.1200242473226902</v>
      </c>
    </row>
    <row r="1931" spans="1:6">
      <c r="A1931" t="s">
        <v>50285</v>
      </c>
      <c r="B1931" t="s">
        <v>50295</v>
      </c>
      <c r="C1931">
        <v>0</v>
      </c>
      <c r="D1931">
        <v>0.24820671557655</v>
      </c>
      <c r="E1931">
        <v>0.90543148150302499</v>
      </c>
      <c r="F1931">
        <v>6.1200242473226902</v>
      </c>
    </row>
    <row r="1932" spans="1:6">
      <c r="A1932" t="s">
        <v>50285</v>
      </c>
      <c r="B1932" t="s">
        <v>50296</v>
      </c>
      <c r="C1932">
        <v>0</v>
      </c>
      <c r="D1932">
        <v>0.24820671557655</v>
      </c>
      <c r="E1932">
        <v>0.90543148150302499</v>
      </c>
      <c r="F1932">
        <v>6.1200242473226902</v>
      </c>
    </row>
    <row r="1933" spans="1:6">
      <c r="A1933" t="s">
        <v>50297</v>
      </c>
      <c r="B1933" t="s">
        <v>50298</v>
      </c>
      <c r="C1933">
        <v>0</v>
      </c>
      <c r="D1933">
        <v>0.50555359438748404</v>
      </c>
      <c r="E1933">
        <v>0.92660528868978298</v>
      </c>
      <c r="F1933">
        <v>9.2624772681349707</v>
      </c>
    </row>
    <row r="1934" spans="1:6">
      <c r="A1934" t="s">
        <v>50297</v>
      </c>
      <c r="B1934" t="s">
        <v>50299</v>
      </c>
      <c r="C1934">
        <v>0</v>
      </c>
      <c r="D1934">
        <v>0.50555359438748404</v>
      </c>
      <c r="E1934">
        <v>0.92660528868978298</v>
      </c>
      <c r="F1934">
        <v>9.2624772681349707</v>
      </c>
    </row>
    <row r="1935" spans="1:6">
      <c r="A1935" t="s">
        <v>50297</v>
      </c>
      <c r="B1935" t="s">
        <v>50300</v>
      </c>
      <c r="C1935">
        <v>0.333285988777485</v>
      </c>
      <c r="D1935">
        <v>0.50555359438748404</v>
      </c>
      <c r="E1935">
        <v>0.92660528868978298</v>
      </c>
      <c r="F1935">
        <v>9.2624772681349707</v>
      </c>
    </row>
    <row r="1936" spans="1:6">
      <c r="A1936" t="s">
        <v>50297</v>
      </c>
      <c r="B1936" t="s">
        <v>50301</v>
      </c>
      <c r="C1936">
        <v>0</v>
      </c>
      <c r="D1936">
        <v>0.50555359438748404</v>
      </c>
      <c r="E1936">
        <v>0.92660528868978298</v>
      </c>
      <c r="F1936">
        <v>9.2624772681349707</v>
      </c>
    </row>
    <row r="1937" spans="1:6">
      <c r="A1937" t="s">
        <v>50297</v>
      </c>
      <c r="B1937" t="s">
        <v>50302</v>
      </c>
      <c r="C1937">
        <v>0</v>
      </c>
      <c r="D1937">
        <v>0.50555359438748404</v>
      </c>
      <c r="E1937">
        <v>0.92660528868978298</v>
      </c>
      <c r="F1937">
        <v>9.2624772681349707</v>
      </c>
    </row>
    <row r="1938" spans="1:6">
      <c r="A1938" t="s">
        <v>50297</v>
      </c>
      <c r="B1938" t="s">
        <v>50303</v>
      </c>
      <c r="C1938">
        <v>0.49222220187065402</v>
      </c>
      <c r="D1938">
        <v>0.50555359438748404</v>
      </c>
      <c r="E1938">
        <v>0.92660528868978298</v>
      </c>
      <c r="F1938">
        <v>9.2624772681349707</v>
      </c>
    </row>
    <row r="1939" spans="1:6">
      <c r="A1939" t="s">
        <v>50304</v>
      </c>
      <c r="B1939" t="s">
        <v>50305</v>
      </c>
      <c r="C1939">
        <v>0</v>
      </c>
      <c r="D1939">
        <v>0.480525433438932</v>
      </c>
      <c r="E1939">
        <v>0.83825126639355596</v>
      </c>
      <c r="F1939">
        <v>7.95312184279652</v>
      </c>
    </row>
    <row r="1940" spans="1:6">
      <c r="A1940" t="s">
        <v>50304</v>
      </c>
      <c r="B1940" t="s">
        <v>50306</v>
      </c>
      <c r="C1940">
        <v>0.28465126639355598</v>
      </c>
      <c r="D1940">
        <v>0.480525433438932</v>
      </c>
      <c r="E1940">
        <v>0.83825126639355596</v>
      </c>
      <c r="F1940">
        <v>7.95312184279652</v>
      </c>
    </row>
    <row r="1941" spans="1:6">
      <c r="A1941" t="s">
        <v>50304</v>
      </c>
      <c r="B1941" t="s">
        <v>50307</v>
      </c>
      <c r="C1941">
        <v>0</v>
      </c>
      <c r="D1941">
        <v>0.480525433438932</v>
      </c>
      <c r="E1941">
        <v>0.83825126639355596</v>
      </c>
      <c r="F1941">
        <v>7.95312184279652</v>
      </c>
    </row>
    <row r="1942" spans="1:6">
      <c r="A1942" t="s">
        <v>50304</v>
      </c>
      <c r="B1942" t="s">
        <v>50308</v>
      </c>
      <c r="C1942">
        <v>0</v>
      </c>
      <c r="D1942">
        <v>0.480525433438932</v>
      </c>
      <c r="E1942">
        <v>0.83825126639355596</v>
      </c>
      <c r="F1942">
        <v>7.95312184279652</v>
      </c>
    </row>
    <row r="1943" spans="1:6">
      <c r="A1943" t="s">
        <v>50304</v>
      </c>
      <c r="B1943" t="s">
        <v>50309</v>
      </c>
      <c r="C1943">
        <v>0</v>
      </c>
      <c r="D1943">
        <v>0.480525433438932</v>
      </c>
      <c r="E1943">
        <v>0.83825126639355596</v>
      </c>
      <c r="F1943">
        <v>7.95312184279652</v>
      </c>
    </row>
    <row r="1944" spans="1:6">
      <c r="A1944" t="s">
        <v>50304</v>
      </c>
      <c r="B1944" t="s">
        <v>50310</v>
      </c>
      <c r="C1944">
        <v>0</v>
      </c>
      <c r="D1944">
        <v>0.480525433438932</v>
      </c>
      <c r="E1944">
        <v>0.83825126639355596</v>
      </c>
      <c r="F1944">
        <v>7.95312184279652</v>
      </c>
    </row>
    <row r="1945" spans="1:6">
      <c r="A1945" t="s">
        <v>50311</v>
      </c>
      <c r="B1945" t="s">
        <v>50312</v>
      </c>
      <c r="C1945">
        <v>-1.51875896352346</v>
      </c>
      <c r="D1945">
        <v>0.264868615197068</v>
      </c>
      <c r="E1945">
        <v>0.974466041744809</v>
      </c>
      <c r="F1945">
        <v>11.658112750050501</v>
      </c>
    </row>
    <row r="1946" spans="1:6">
      <c r="A1946" t="s">
        <v>50311</v>
      </c>
      <c r="B1946" t="s">
        <v>50313</v>
      </c>
      <c r="C1946">
        <v>0</v>
      </c>
      <c r="D1946">
        <v>0.264868615197068</v>
      </c>
      <c r="E1946">
        <v>0.974466041744809</v>
      </c>
      <c r="F1946">
        <v>11.658112750050501</v>
      </c>
    </row>
    <row r="1947" spans="1:6">
      <c r="A1947" t="s">
        <v>50311</v>
      </c>
      <c r="B1947" t="s">
        <v>50314</v>
      </c>
      <c r="C1947">
        <v>0.91456643249912095</v>
      </c>
      <c r="D1947">
        <v>0.264868615197068</v>
      </c>
      <c r="E1947">
        <v>0.974466041744809</v>
      </c>
      <c r="F1947">
        <v>11.658112750050501</v>
      </c>
    </row>
    <row r="1948" spans="1:6">
      <c r="A1948" t="s">
        <v>50315</v>
      </c>
      <c r="B1948" t="s">
        <v>50316</v>
      </c>
      <c r="C1948">
        <v>0</v>
      </c>
      <c r="D1948">
        <v>6.2757028314025798E-3</v>
      </c>
      <c r="E1948">
        <v>0.93315356625621604</v>
      </c>
      <c r="F1948">
        <v>11.158617902606499</v>
      </c>
    </row>
    <row r="1949" spans="1:6">
      <c r="A1949" t="s">
        <v>50315</v>
      </c>
      <c r="B1949" t="s">
        <v>50317</v>
      </c>
      <c r="C1949">
        <v>0</v>
      </c>
      <c r="D1949">
        <v>6.2757028314025798E-3</v>
      </c>
      <c r="E1949">
        <v>0.93315356625621604</v>
      </c>
      <c r="F1949">
        <v>11.158617902606499</v>
      </c>
    </row>
    <row r="1950" spans="1:6">
      <c r="A1950" t="s">
        <v>50315</v>
      </c>
      <c r="B1950" t="s">
        <v>50318</v>
      </c>
      <c r="C1950">
        <v>0</v>
      </c>
      <c r="D1950">
        <v>6.2757028314025798E-3</v>
      </c>
      <c r="E1950">
        <v>0.93315356625621604</v>
      </c>
      <c r="F1950">
        <v>11.158617902606499</v>
      </c>
    </row>
    <row r="1951" spans="1:6">
      <c r="A1951" t="s">
        <v>50315</v>
      </c>
      <c r="B1951" t="s">
        <v>50319</v>
      </c>
      <c r="C1951">
        <v>0.46014390424622498</v>
      </c>
      <c r="D1951">
        <v>6.2757028314025798E-3</v>
      </c>
      <c r="E1951">
        <v>0.93315356625621604</v>
      </c>
      <c r="F1951">
        <v>11.158617902606499</v>
      </c>
    </row>
    <row r="1952" spans="1:6">
      <c r="A1952" t="s">
        <v>50315</v>
      </c>
      <c r="B1952" t="s">
        <v>50320</v>
      </c>
      <c r="C1952">
        <v>0.14375514649551099</v>
      </c>
      <c r="D1952">
        <v>6.2757028314025798E-3</v>
      </c>
      <c r="E1952">
        <v>0.93315356625621604</v>
      </c>
      <c r="F1952">
        <v>11.158617902606499</v>
      </c>
    </row>
    <row r="1953" spans="1:6">
      <c r="A1953" t="s">
        <v>50315</v>
      </c>
      <c r="B1953" t="s">
        <v>50321</v>
      </c>
      <c r="C1953">
        <v>0</v>
      </c>
      <c r="D1953">
        <v>6.2757028314025798E-3</v>
      </c>
      <c r="E1953">
        <v>0.93315356625621604</v>
      </c>
      <c r="F1953">
        <v>11.158617902606499</v>
      </c>
    </row>
    <row r="1954" spans="1:6">
      <c r="A1954" t="s">
        <v>50315</v>
      </c>
      <c r="B1954" t="s">
        <v>50322</v>
      </c>
      <c r="C1954">
        <v>0</v>
      </c>
      <c r="D1954">
        <v>6.2757028314025798E-3</v>
      </c>
      <c r="E1954">
        <v>0.93315356625621604</v>
      </c>
      <c r="F1954">
        <v>11.158617902606499</v>
      </c>
    </row>
    <row r="1955" spans="1:6">
      <c r="A1955" t="s">
        <v>50323</v>
      </c>
      <c r="B1955" t="s">
        <v>50324</v>
      </c>
      <c r="C1955">
        <v>0</v>
      </c>
      <c r="D1955">
        <v>0.114805642054496</v>
      </c>
      <c r="E1955">
        <v>0.99551969482801095</v>
      </c>
      <c r="F1955">
        <v>9.4128106688219795</v>
      </c>
    </row>
    <row r="1956" spans="1:6">
      <c r="A1956" t="s">
        <v>50323</v>
      </c>
      <c r="B1956" t="s">
        <v>50325</v>
      </c>
      <c r="C1956">
        <v>0</v>
      </c>
      <c r="D1956">
        <v>0.114805642054496</v>
      </c>
      <c r="E1956">
        <v>0.99551969482801095</v>
      </c>
      <c r="F1956">
        <v>9.4128106688219795</v>
      </c>
    </row>
    <row r="1957" spans="1:6">
      <c r="A1957" t="s">
        <v>50323</v>
      </c>
      <c r="B1957" t="s">
        <v>50326</v>
      </c>
      <c r="C1957">
        <v>0</v>
      </c>
      <c r="D1957">
        <v>0.114805642054496</v>
      </c>
      <c r="E1957">
        <v>0.99551969482801095</v>
      </c>
      <c r="F1957">
        <v>9.4128106688219795</v>
      </c>
    </row>
    <row r="1958" spans="1:6">
      <c r="A1958" t="s">
        <v>50323</v>
      </c>
      <c r="B1958" t="s">
        <v>50327</v>
      </c>
      <c r="C1958">
        <v>0.28344850542018801</v>
      </c>
      <c r="D1958">
        <v>0.114805642054496</v>
      </c>
      <c r="E1958">
        <v>0.99551969482801095</v>
      </c>
      <c r="F1958">
        <v>9.4128106688219795</v>
      </c>
    </row>
    <row r="1959" spans="1:6">
      <c r="A1959" t="s">
        <v>50323</v>
      </c>
      <c r="B1959" t="s">
        <v>50328</v>
      </c>
      <c r="C1959">
        <v>0</v>
      </c>
      <c r="D1959">
        <v>0.114805642054496</v>
      </c>
      <c r="E1959">
        <v>0.99551969482801095</v>
      </c>
      <c r="F1959">
        <v>9.4128106688219795</v>
      </c>
    </row>
    <row r="1960" spans="1:6">
      <c r="A1960" t="s">
        <v>50323</v>
      </c>
      <c r="B1960" t="s">
        <v>50329</v>
      </c>
      <c r="C1960">
        <v>0</v>
      </c>
      <c r="D1960">
        <v>0.114805642054496</v>
      </c>
      <c r="E1960">
        <v>0.99551969482801095</v>
      </c>
      <c r="F1960">
        <v>9.4128106688219795</v>
      </c>
    </row>
    <row r="1961" spans="1:6">
      <c r="A1961" t="s">
        <v>50323</v>
      </c>
      <c r="B1961" t="s">
        <v>50330</v>
      </c>
      <c r="C1961">
        <v>0.84147283646911097</v>
      </c>
      <c r="D1961">
        <v>0.114805642054496</v>
      </c>
      <c r="E1961">
        <v>0.99551969482801095</v>
      </c>
      <c r="F1961">
        <v>9.4128106688219795</v>
      </c>
    </row>
    <row r="1962" spans="1:6">
      <c r="A1962" t="s">
        <v>50331</v>
      </c>
      <c r="B1962" t="s">
        <v>50332</v>
      </c>
      <c r="C1962">
        <v>0.83496964353706704</v>
      </c>
      <c r="D1962">
        <v>0.44137049745007101</v>
      </c>
      <c r="E1962">
        <v>0.96737776509993401</v>
      </c>
      <c r="F1962">
        <v>11.997575267730801</v>
      </c>
    </row>
    <row r="1963" spans="1:6">
      <c r="A1963" t="s">
        <v>50331</v>
      </c>
      <c r="B1963" t="s">
        <v>50333</v>
      </c>
      <c r="C1963">
        <v>7.3180114832626E-2</v>
      </c>
      <c r="D1963">
        <v>0.44137049745007101</v>
      </c>
      <c r="E1963">
        <v>0.96737776509993401</v>
      </c>
      <c r="F1963">
        <v>11.997575267730801</v>
      </c>
    </row>
    <row r="1964" spans="1:6">
      <c r="A1964" t="s">
        <v>50334</v>
      </c>
      <c r="B1964" t="s">
        <v>50335</v>
      </c>
      <c r="C1964">
        <v>0</v>
      </c>
      <c r="D1964">
        <v>0.46694669185583698</v>
      </c>
      <c r="E1964" t="s">
        <v>106</v>
      </c>
      <c r="F1964">
        <v>5.9987876338654198</v>
      </c>
    </row>
    <row r="1965" spans="1:6">
      <c r="A1965" t="s">
        <v>50334</v>
      </c>
      <c r="B1965" t="s">
        <v>50336</v>
      </c>
      <c r="C1965">
        <v>0</v>
      </c>
      <c r="D1965">
        <v>0.46694669185583698</v>
      </c>
      <c r="E1965" t="s">
        <v>106</v>
      </c>
      <c r="F1965">
        <v>5.9987876338654198</v>
      </c>
    </row>
    <row r="1966" spans="1:6">
      <c r="A1966" t="s">
        <v>50334</v>
      </c>
      <c r="B1966" t="s">
        <v>50337</v>
      </c>
      <c r="C1966">
        <v>0</v>
      </c>
      <c r="D1966">
        <v>0.46694669185583698</v>
      </c>
      <c r="E1966" t="s">
        <v>106</v>
      </c>
      <c r="F1966">
        <v>5.9987876338654198</v>
      </c>
    </row>
    <row r="1967" spans="1:6">
      <c r="A1967" t="s">
        <v>50334</v>
      </c>
      <c r="B1967" t="s">
        <v>50338</v>
      </c>
      <c r="C1967">
        <v>0</v>
      </c>
      <c r="D1967">
        <v>0.46694669185583698</v>
      </c>
      <c r="E1967" t="s">
        <v>106</v>
      </c>
      <c r="F1967">
        <v>5.9987876338654198</v>
      </c>
    </row>
    <row r="1968" spans="1:6">
      <c r="A1968" t="s">
        <v>50339</v>
      </c>
      <c r="B1968" t="s">
        <v>50340</v>
      </c>
      <c r="C1968">
        <v>0.41369889493807999</v>
      </c>
      <c r="D1968">
        <v>0.382017986463703</v>
      </c>
      <c r="E1968">
        <v>0.89898475004043898</v>
      </c>
      <c r="F1968">
        <v>8.8163265306122405</v>
      </c>
    </row>
    <row r="1969" spans="1:6">
      <c r="A1969" t="s">
        <v>50339</v>
      </c>
      <c r="B1969" t="s">
        <v>50341</v>
      </c>
      <c r="C1969">
        <v>0</v>
      </c>
      <c r="D1969">
        <v>0.382017986463703</v>
      </c>
      <c r="E1969">
        <v>0.89898475004043898</v>
      </c>
      <c r="F1969">
        <v>8.8163265306122405</v>
      </c>
    </row>
    <row r="1970" spans="1:6">
      <c r="A1970" t="s">
        <v>50339</v>
      </c>
      <c r="B1970" t="s">
        <v>50342</v>
      </c>
      <c r="C1970">
        <v>0</v>
      </c>
      <c r="D1970">
        <v>0.382017986463703</v>
      </c>
      <c r="E1970">
        <v>0.89898475004043898</v>
      </c>
      <c r="F1970">
        <v>8.8163265306122405</v>
      </c>
    </row>
    <row r="1971" spans="1:6">
      <c r="A1971" t="s">
        <v>50339</v>
      </c>
      <c r="B1971" t="s">
        <v>50343</v>
      </c>
      <c r="C1971">
        <v>0</v>
      </c>
      <c r="D1971">
        <v>0.382017986463703</v>
      </c>
      <c r="E1971">
        <v>0.89898475004043898</v>
      </c>
      <c r="F1971">
        <v>8.8163265306122405</v>
      </c>
    </row>
    <row r="1972" spans="1:6">
      <c r="A1972" t="s">
        <v>50339</v>
      </c>
      <c r="B1972" t="s">
        <v>50344</v>
      </c>
      <c r="C1972">
        <v>0.326323807292631</v>
      </c>
      <c r="D1972">
        <v>0.382017986463703</v>
      </c>
      <c r="E1972">
        <v>0.89898475004043898</v>
      </c>
      <c r="F1972">
        <v>8.8163265306122405</v>
      </c>
    </row>
    <row r="1973" spans="1:6">
      <c r="A1973" t="s">
        <v>50345</v>
      </c>
      <c r="B1973" t="s">
        <v>50346</v>
      </c>
      <c r="C1973">
        <v>0</v>
      </c>
      <c r="D1973">
        <v>0.69109310366509002</v>
      </c>
      <c r="E1973">
        <v>0.98188782323053003</v>
      </c>
      <c r="F1973">
        <v>15.4746413416851</v>
      </c>
    </row>
    <row r="1974" spans="1:6">
      <c r="A1974" t="s">
        <v>50345</v>
      </c>
      <c r="B1974" t="s">
        <v>50347</v>
      </c>
      <c r="C1974">
        <v>0.35474725303451798</v>
      </c>
      <c r="D1974">
        <v>0.69109310366509002</v>
      </c>
      <c r="E1974">
        <v>0.98188782323053003</v>
      </c>
      <c r="F1974">
        <v>15.4746413416851</v>
      </c>
    </row>
    <row r="1975" spans="1:6">
      <c r="A1975" t="s">
        <v>50345</v>
      </c>
      <c r="B1975" t="s">
        <v>50348</v>
      </c>
      <c r="C1975">
        <v>0</v>
      </c>
      <c r="D1975">
        <v>0.69109310366509002</v>
      </c>
      <c r="E1975">
        <v>0.98188782323053003</v>
      </c>
      <c r="F1975">
        <v>15.4746413416851</v>
      </c>
    </row>
    <row r="1976" spans="1:6">
      <c r="A1976" t="s">
        <v>50345</v>
      </c>
      <c r="B1976" t="s">
        <v>50349</v>
      </c>
      <c r="C1976">
        <v>-1.1951351197904201</v>
      </c>
      <c r="D1976">
        <v>0.69109310366509002</v>
      </c>
      <c r="E1976">
        <v>0.98188782323053003</v>
      </c>
      <c r="F1976">
        <v>15.4746413416851</v>
      </c>
    </row>
    <row r="1977" spans="1:6">
      <c r="A1977" t="s">
        <v>50345</v>
      </c>
      <c r="B1977" t="s">
        <v>50350</v>
      </c>
      <c r="C1977">
        <v>0</v>
      </c>
      <c r="D1977">
        <v>0.69109310366509002</v>
      </c>
      <c r="E1977">
        <v>0.98188782323053003</v>
      </c>
      <c r="F1977">
        <v>15.4746413416851</v>
      </c>
    </row>
    <row r="1978" spans="1:6">
      <c r="A1978" t="s">
        <v>50345</v>
      </c>
      <c r="B1978" t="s">
        <v>50351</v>
      </c>
      <c r="C1978">
        <v>0</v>
      </c>
      <c r="D1978">
        <v>0.69109310366509002</v>
      </c>
      <c r="E1978">
        <v>0.98188782323053003</v>
      </c>
      <c r="F1978">
        <v>15.4746413416851</v>
      </c>
    </row>
    <row r="1979" spans="1:6">
      <c r="A1979" t="s">
        <v>50352</v>
      </c>
      <c r="B1979" t="s">
        <v>50353</v>
      </c>
      <c r="C1979">
        <v>0.52306042425241805</v>
      </c>
      <c r="D1979">
        <v>0.447371810586771</v>
      </c>
      <c r="E1979">
        <v>0.86282786354972096</v>
      </c>
      <c r="F1979">
        <v>7.95312184279652</v>
      </c>
    </row>
    <row r="1980" spans="1:6">
      <c r="A1980" t="s">
        <v>50352</v>
      </c>
      <c r="B1980" t="s">
        <v>50354</v>
      </c>
      <c r="C1980">
        <v>-1.0754363932609901</v>
      </c>
      <c r="D1980">
        <v>0.447371810586771</v>
      </c>
      <c r="E1980">
        <v>0.86282786354972096</v>
      </c>
      <c r="F1980">
        <v>7.95312184279652</v>
      </c>
    </row>
    <row r="1981" spans="1:6">
      <c r="A1981" t="s">
        <v>50352</v>
      </c>
      <c r="B1981" t="s">
        <v>50355</v>
      </c>
      <c r="C1981">
        <v>0</v>
      </c>
      <c r="D1981">
        <v>0.447371810586771</v>
      </c>
      <c r="E1981">
        <v>0.86282786354972096</v>
      </c>
      <c r="F1981">
        <v>7.95312184279652</v>
      </c>
    </row>
    <row r="1982" spans="1:6">
      <c r="A1982" t="s">
        <v>50356</v>
      </c>
      <c r="B1982" t="s">
        <v>50357</v>
      </c>
      <c r="C1982">
        <v>0</v>
      </c>
      <c r="D1982">
        <v>0.790231636641196</v>
      </c>
      <c r="E1982">
        <v>0.98274140522540998</v>
      </c>
      <c r="F1982">
        <v>23.282279248332902</v>
      </c>
    </row>
    <row r="1983" spans="1:6">
      <c r="A1983" t="s">
        <v>50356</v>
      </c>
      <c r="B1983" t="s">
        <v>50358</v>
      </c>
      <c r="C1983">
        <v>9.1163823891500198E-2</v>
      </c>
      <c r="D1983">
        <v>0.790231636641196</v>
      </c>
      <c r="E1983">
        <v>0.98274140522540998</v>
      </c>
      <c r="F1983">
        <v>23.282279248332902</v>
      </c>
    </row>
    <row r="1984" spans="1:6">
      <c r="A1984" t="s">
        <v>50356</v>
      </c>
      <c r="B1984" t="s">
        <v>50359</v>
      </c>
      <c r="C1984">
        <v>0</v>
      </c>
      <c r="D1984">
        <v>0.790231636641196</v>
      </c>
      <c r="E1984">
        <v>0.98274140522540998</v>
      </c>
      <c r="F1984">
        <v>23.282279248332902</v>
      </c>
    </row>
    <row r="1985" spans="1:6">
      <c r="A1985" t="s">
        <v>50356</v>
      </c>
      <c r="B1985" t="s">
        <v>50360</v>
      </c>
      <c r="C1985">
        <v>0</v>
      </c>
      <c r="D1985">
        <v>0.790231636641196</v>
      </c>
      <c r="E1985">
        <v>0.98274140522540998</v>
      </c>
      <c r="F1985">
        <v>23.282279248332902</v>
      </c>
    </row>
    <row r="1986" spans="1:6">
      <c r="A1986" t="s">
        <v>50356</v>
      </c>
      <c r="B1986" t="s">
        <v>50361</v>
      </c>
      <c r="C1986">
        <v>0</v>
      </c>
      <c r="D1986">
        <v>0.790231636641196</v>
      </c>
      <c r="E1986">
        <v>0.98274140522540998</v>
      </c>
      <c r="F1986">
        <v>23.282279248332902</v>
      </c>
    </row>
    <row r="1987" spans="1:6">
      <c r="A1987" t="s">
        <v>50356</v>
      </c>
      <c r="B1987" t="s">
        <v>50362</v>
      </c>
      <c r="C1987">
        <v>0.59784160614008797</v>
      </c>
      <c r="D1987">
        <v>0.790231636641196</v>
      </c>
      <c r="E1987">
        <v>0.98274140522540998</v>
      </c>
      <c r="F1987">
        <v>23.282279248332902</v>
      </c>
    </row>
    <row r="1988" spans="1:6">
      <c r="A1988" t="s">
        <v>50356</v>
      </c>
      <c r="B1988" t="s">
        <v>50363</v>
      </c>
      <c r="C1988">
        <v>0</v>
      </c>
      <c r="D1988">
        <v>0.790231636641196</v>
      </c>
      <c r="E1988">
        <v>0.98274140522540998</v>
      </c>
      <c r="F1988">
        <v>23.282279248332902</v>
      </c>
    </row>
    <row r="1989" spans="1:6">
      <c r="A1989" t="s">
        <v>50364</v>
      </c>
      <c r="B1989" t="s">
        <v>50365</v>
      </c>
      <c r="C1989">
        <v>0.50670859844100302</v>
      </c>
      <c r="D1989">
        <v>0.72414413736997096</v>
      </c>
      <c r="E1989">
        <v>0.64448116773044495</v>
      </c>
      <c r="F1989">
        <v>8.8163265306122405</v>
      </c>
    </row>
    <row r="1990" spans="1:6">
      <c r="A1990" t="s">
        <v>50364</v>
      </c>
      <c r="B1990" t="s">
        <v>50366</v>
      </c>
      <c r="C1990">
        <v>6.3983550386846999E-2</v>
      </c>
      <c r="D1990">
        <v>0.72414413736997096</v>
      </c>
      <c r="E1990">
        <v>0.64448116773044495</v>
      </c>
      <c r="F1990">
        <v>8.8163265306122405</v>
      </c>
    </row>
    <row r="1991" spans="1:6">
      <c r="A1991" t="s">
        <v>50367</v>
      </c>
      <c r="B1991" t="s">
        <v>50368</v>
      </c>
      <c r="C1991">
        <v>0.68348065875913599</v>
      </c>
      <c r="D1991">
        <v>0.440936342667199</v>
      </c>
      <c r="E1991">
        <v>0.97873649055204903</v>
      </c>
      <c r="F1991">
        <v>1.6536674075570801</v>
      </c>
    </row>
    <row r="1992" spans="1:6">
      <c r="A1992" t="s">
        <v>50367</v>
      </c>
      <c r="B1992" t="s">
        <v>50369</v>
      </c>
      <c r="C1992">
        <v>0</v>
      </c>
      <c r="D1992">
        <v>0.440936342667199</v>
      </c>
      <c r="E1992">
        <v>0.97873649055204903</v>
      </c>
      <c r="F1992">
        <v>1.6536674075570801</v>
      </c>
    </row>
    <row r="1993" spans="1:6">
      <c r="A1993" t="s">
        <v>50367</v>
      </c>
      <c r="B1993" t="s">
        <v>50370</v>
      </c>
      <c r="C1993">
        <v>0</v>
      </c>
      <c r="D1993">
        <v>0.440936342667199</v>
      </c>
      <c r="E1993">
        <v>0.97873649055204903</v>
      </c>
      <c r="F1993">
        <v>1.6536674075570801</v>
      </c>
    </row>
    <row r="1994" spans="1:6">
      <c r="A1994" t="s">
        <v>50367</v>
      </c>
      <c r="B1994" t="s">
        <v>50371</v>
      </c>
      <c r="C1994">
        <v>0.54683539199934905</v>
      </c>
      <c r="D1994">
        <v>0.440936342667199</v>
      </c>
      <c r="E1994">
        <v>0.97873649055204903</v>
      </c>
      <c r="F1994">
        <v>1.6536674075570801</v>
      </c>
    </row>
    <row r="1995" spans="1:6">
      <c r="A1995" t="s">
        <v>50372</v>
      </c>
      <c r="B1995" t="s">
        <v>50373</v>
      </c>
      <c r="C1995">
        <v>0</v>
      </c>
      <c r="D1995">
        <v>0.62850003220657402</v>
      </c>
      <c r="E1995">
        <v>0.99297338829776005</v>
      </c>
      <c r="F1995">
        <v>24</v>
      </c>
    </row>
    <row r="1996" spans="1:6">
      <c r="A1996" t="s">
        <v>50372</v>
      </c>
      <c r="B1996" t="s">
        <v>50374</v>
      </c>
      <c r="C1996">
        <v>0</v>
      </c>
      <c r="D1996">
        <v>0.62850003220657402</v>
      </c>
      <c r="E1996">
        <v>0.99297338829776005</v>
      </c>
      <c r="F1996">
        <v>24</v>
      </c>
    </row>
    <row r="1997" spans="1:6">
      <c r="A1997" t="s">
        <v>50372</v>
      </c>
      <c r="B1997" t="s">
        <v>50375</v>
      </c>
      <c r="C1997">
        <v>0.15827050790204999</v>
      </c>
      <c r="D1997">
        <v>0.62850003220657402</v>
      </c>
      <c r="E1997">
        <v>0.99297338829776005</v>
      </c>
      <c r="F1997">
        <v>24</v>
      </c>
    </row>
    <row r="1998" spans="1:6">
      <c r="A1998" t="s">
        <v>50372</v>
      </c>
      <c r="B1998" t="s">
        <v>50376</v>
      </c>
      <c r="C1998">
        <v>0</v>
      </c>
      <c r="D1998">
        <v>0.62850003220657402</v>
      </c>
      <c r="E1998">
        <v>0.99297338829776005</v>
      </c>
      <c r="F1998">
        <v>24</v>
      </c>
    </row>
    <row r="1999" spans="1:6">
      <c r="A1999" t="s">
        <v>50372</v>
      </c>
      <c r="B1999" t="s">
        <v>50377</v>
      </c>
      <c r="C1999">
        <v>0.861704685308054</v>
      </c>
      <c r="D1999">
        <v>0.62850003220657402</v>
      </c>
      <c r="E1999">
        <v>0.99297338829776005</v>
      </c>
      <c r="F1999">
        <v>24</v>
      </c>
    </row>
    <row r="2000" spans="1:6">
      <c r="A2000" t="s">
        <v>50372</v>
      </c>
      <c r="B2000" t="s">
        <v>50378</v>
      </c>
      <c r="C2000">
        <v>0</v>
      </c>
      <c r="D2000">
        <v>0.62850003220657402</v>
      </c>
      <c r="E2000">
        <v>0.99297338829776005</v>
      </c>
      <c r="F2000">
        <v>24</v>
      </c>
    </row>
    <row r="2001" spans="1:6">
      <c r="A2001" t="s">
        <v>50379</v>
      </c>
      <c r="B2001" t="s">
        <v>50380</v>
      </c>
      <c r="C2001">
        <v>0</v>
      </c>
      <c r="D2001">
        <v>0.47254140185349103</v>
      </c>
      <c r="E2001">
        <v>0.98660222850671397</v>
      </c>
      <c r="F2001">
        <v>5.2956152758132902</v>
      </c>
    </row>
    <row r="2002" spans="1:6">
      <c r="A2002" t="s">
        <v>50379</v>
      </c>
      <c r="B2002" t="s">
        <v>50381</v>
      </c>
      <c r="C2002">
        <v>6.04501675772076E-2</v>
      </c>
      <c r="D2002">
        <v>0.47254140185349103</v>
      </c>
      <c r="E2002">
        <v>0.98660222850671397</v>
      </c>
      <c r="F2002">
        <v>5.2956152758132902</v>
      </c>
    </row>
    <row r="2003" spans="1:6">
      <c r="A2003" t="s">
        <v>50379</v>
      </c>
      <c r="B2003" t="s">
        <v>50382</v>
      </c>
      <c r="C2003">
        <v>0</v>
      </c>
      <c r="D2003">
        <v>0.47254140185349103</v>
      </c>
      <c r="E2003">
        <v>0.98660222850671397</v>
      </c>
      <c r="F2003">
        <v>5.2956152758132902</v>
      </c>
    </row>
    <row r="2004" spans="1:6">
      <c r="A2004" t="s">
        <v>50379</v>
      </c>
      <c r="B2004" t="s">
        <v>50383</v>
      </c>
      <c r="C2004">
        <v>0</v>
      </c>
      <c r="D2004">
        <v>0.47254140185349103</v>
      </c>
      <c r="E2004">
        <v>0.98660222850671397</v>
      </c>
      <c r="F2004">
        <v>5.2956152758132902</v>
      </c>
    </row>
    <row r="2005" spans="1:6">
      <c r="A2005" t="s">
        <v>50379</v>
      </c>
      <c r="B2005" t="s">
        <v>50384</v>
      </c>
      <c r="C2005">
        <v>0</v>
      </c>
      <c r="D2005">
        <v>0.47254140185349103</v>
      </c>
      <c r="E2005">
        <v>0.98660222850671397</v>
      </c>
      <c r="F2005">
        <v>5.2956152758132902</v>
      </c>
    </row>
    <row r="2006" spans="1:6">
      <c r="A2006" t="s">
        <v>50379</v>
      </c>
      <c r="B2006" t="s">
        <v>50385</v>
      </c>
      <c r="C2006">
        <v>0.82197020782393104</v>
      </c>
      <c r="D2006">
        <v>0.47254140185349103</v>
      </c>
      <c r="E2006">
        <v>0.98660222850671397</v>
      </c>
      <c r="F2006">
        <v>5.2956152758132902</v>
      </c>
    </row>
    <row r="2007" spans="1:6">
      <c r="A2007" t="s">
        <v>50386</v>
      </c>
      <c r="B2007" t="s">
        <v>50387</v>
      </c>
      <c r="C2007">
        <v>0</v>
      </c>
      <c r="D2007">
        <v>0.24359515208953</v>
      </c>
      <c r="E2007">
        <v>0.78138046976415299</v>
      </c>
      <c r="F2007">
        <v>7.67670236411396</v>
      </c>
    </row>
    <row r="2008" spans="1:6">
      <c r="A2008" t="s">
        <v>50386</v>
      </c>
      <c r="B2008" t="s">
        <v>50388</v>
      </c>
      <c r="C2008">
        <v>0</v>
      </c>
      <c r="D2008">
        <v>0.24359515208953</v>
      </c>
      <c r="E2008">
        <v>0.78138046976415299</v>
      </c>
      <c r="F2008">
        <v>7.67670236411396</v>
      </c>
    </row>
    <row r="2009" spans="1:6">
      <c r="A2009" t="s">
        <v>50386</v>
      </c>
      <c r="B2009" t="s">
        <v>50389</v>
      </c>
      <c r="C2009">
        <v>2.5912004531849402E-3</v>
      </c>
      <c r="D2009">
        <v>0.24359515208953</v>
      </c>
      <c r="E2009">
        <v>0.78138046976415299</v>
      </c>
      <c r="F2009">
        <v>7.67670236411396</v>
      </c>
    </row>
    <row r="2010" spans="1:6">
      <c r="A2010" t="s">
        <v>50386</v>
      </c>
      <c r="B2010" t="s">
        <v>50390</v>
      </c>
      <c r="C2010">
        <v>0</v>
      </c>
      <c r="D2010">
        <v>0.24359515208953</v>
      </c>
      <c r="E2010">
        <v>0.78138046976415299</v>
      </c>
      <c r="F2010">
        <v>7.67670236411396</v>
      </c>
    </row>
    <row r="2011" spans="1:6">
      <c r="A2011" t="s">
        <v>50386</v>
      </c>
      <c r="B2011" t="s">
        <v>50391</v>
      </c>
      <c r="C2011">
        <v>0.33521057578021701</v>
      </c>
      <c r="D2011">
        <v>0.24359515208953</v>
      </c>
      <c r="E2011">
        <v>0.78138046976415299</v>
      </c>
      <c r="F2011">
        <v>7.67670236411396</v>
      </c>
    </row>
    <row r="2012" spans="1:6">
      <c r="A2012" t="s">
        <v>50392</v>
      </c>
      <c r="B2012" t="s">
        <v>50393</v>
      </c>
      <c r="C2012">
        <v>0</v>
      </c>
      <c r="D2012">
        <v>0.108212819790177</v>
      </c>
      <c r="E2012">
        <v>0.91506012610492005</v>
      </c>
      <c r="F2012">
        <v>1.2366134572640901</v>
      </c>
    </row>
    <row r="2013" spans="1:6">
      <c r="A2013" t="s">
        <v>50392</v>
      </c>
      <c r="B2013" t="s">
        <v>50394</v>
      </c>
      <c r="C2013">
        <v>0.57473393924760097</v>
      </c>
      <c r="D2013">
        <v>0.108212819790177</v>
      </c>
      <c r="E2013">
        <v>0.91506012610492005</v>
      </c>
      <c r="F2013">
        <v>1.2366134572640901</v>
      </c>
    </row>
    <row r="2014" spans="1:6">
      <c r="A2014" t="s">
        <v>50392</v>
      </c>
      <c r="B2014" t="s">
        <v>50395</v>
      </c>
      <c r="C2014">
        <v>0.199461912861498</v>
      </c>
      <c r="D2014">
        <v>0.108212819790177</v>
      </c>
      <c r="E2014">
        <v>0.91506012610492005</v>
      </c>
      <c r="F2014">
        <v>1.2366134572640901</v>
      </c>
    </row>
    <row r="2015" spans="1:6">
      <c r="A2015" t="s">
        <v>50392</v>
      </c>
      <c r="B2015" t="s">
        <v>50396</v>
      </c>
      <c r="C2015">
        <v>0</v>
      </c>
      <c r="D2015">
        <v>0.108212819790177</v>
      </c>
      <c r="E2015">
        <v>0.91506012610492005</v>
      </c>
      <c r="F2015">
        <v>1.2366134572640901</v>
      </c>
    </row>
    <row r="2016" spans="1:6">
      <c r="A2016" t="s">
        <v>50392</v>
      </c>
      <c r="B2016" t="s">
        <v>50397</v>
      </c>
      <c r="C2016">
        <v>0</v>
      </c>
      <c r="D2016">
        <v>0.108212819790177</v>
      </c>
      <c r="E2016">
        <v>0.91506012610492005</v>
      </c>
      <c r="F2016">
        <v>1.2366134572640901</v>
      </c>
    </row>
    <row r="2017" spans="1:6">
      <c r="A2017" t="s">
        <v>50392</v>
      </c>
      <c r="B2017" t="s">
        <v>50398</v>
      </c>
      <c r="C2017">
        <v>0</v>
      </c>
      <c r="D2017">
        <v>0.108212819790177</v>
      </c>
      <c r="E2017">
        <v>0.91506012610492005</v>
      </c>
      <c r="F2017">
        <v>1.2366134572640901</v>
      </c>
    </row>
    <row r="2018" spans="1:6">
      <c r="A2018" t="s">
        <v>50399</v>
      </c>
      <c r="B2018" t="s">
        <v>50400</v>
      </c>
      <c r="C2018">
        <v>0.61999541700933403</v>
      </c>
      <c r="D2018">
        <v>0.61734838271821701</v>
      </c>
      <c r="E2018">
        <v>0.87494459023597404</v>
      </c>
      <c r="F2018">
        <v>10.343907860173699</v>
      </c>
    </row>
    <row r="2019" spans="1:6">
      <c r="A2019" t="s">
        <v>50399</v>
      </c>
      <c r="B2019" t="s">
        <v>50401</v>
      </c>
      <c r="C2019">
        <v>6.2071968495647299E-2</v>
      </c>
      <c r="D2019">
        <v>0.61734838271821701</v>
      </c>
      <c r="E2019">
        <v>0.87494459023597404</v>
      </c>
      <c r="F2019">
        <v>10.343907860173699</v>
      </c>
    </row>
    <row r="2020" spans="1:6">
      <c r="A2020" t="s">
        <v>50402</v>
      </c>
      <c r="B2020" t="s">
        <v>50403</v>
      </c>
      <c r="C2020">
        <v>0</v>
      </c>
      <c r="D2020">
        <v>0.31108911465343803</v>
      </c>
      <c r="E2020">
        <v>0.94621878566610496</v>
      </c>
      <c r="F2020">
        <v>8.2343907860173697</v>
      </c>
    </row>
    <row r="2021" spans="1:6">
      <c r="A2021" t="s">
        <v>50402</v>
      </c>
      <c r="B2021" t="s">
        <v>50404</v>
      </c>
      <c r="C2021">
        <v>0.88308711626310399</v>
      </c>
      <c r="D2021">
        <v>0.31108911465343803</v>
      </c>
      <c r="E2021">
        <v>0.94621878566610496</v>
      </c>
      <c r="F2021">
        <v>8.2343907860173697</v>
      </c>
    </row>
    <row r="2022" spans="1:6">
      <c r="A2022" t="s">
        <v>50402</v>
      </c>
      <c r="B2022" t="s">
        <v>50405</v>
      </c>
      <c r="C2022">
        <v>0</v>
      </c>
      <c r="D2022">
        <v>0.31108911465343803</v>
      </c>
      <c r="E2022">
        <v>0.94621878566610496</v>
      </c>
      <c r="F2022">
        <v>8.2343907860173697</v>
      </c>
    </row>
    <row r="2023" spans="1:6">
      <c r="A2023" t="s">
        <v>50402</v>
      </c>
      <c r="B2023" t="s">
        <v>50406</v>
      </c>
      <c r="C2023">
        <v>0.124941773597604</v>
      </c>
      <c r="D2023">
        <v>0.31108911465343803</v>
      </c>
      <c r="E2023">
        <v>0.94621878566610496</v>
      </c>
      <c r="F2023">
        <v>8.2343907860173697</v>
      </c>
    </row>
    <row r="2024" spans="1:6">
      <c r="A2024" t="s">
        <v>50407</v>
      </c>
      <c r="B2024" t="s">
        <v>50408</v>
      </c>
      <c r="C2024">
        <v>0.63146948059017405</v>
      </c>
      <c r="D2024">
        <v>0.888863343322013</v>
      </c>
      <c r="E2024">
        <v>0.77386948059017402</v>
      </c>
      <c r="F2024">
        <v>14.7084259446352</v>
      </c>
    </row>
    <row r="2025" spans="1:6">
      <c r="A2025" t="s">
        <v>50407</v>
      </c>
      <c r="B2025" t="s">
        <v>50409</v>
      </c>
      <c r="C2025">
        <v>0</v>
      </c>
      <c r="D2025">
        <v>0.888863343322013</v>
      </c>
      <c r="E2025">
        <v>0.77386948059017402</v>
      </c>
      <c r="F2025">
        <v>14.7084259446352</v>
      </c>
    </row>
    <row r="2026" spans="1:6">
      <c r="A2026" t="s">
        <v>50407</v>
      </c>
      <c r="B2026" t="s">
        <v>50410</v>
      </c>
      <c r="C2026">
        <v>0</v>
      </c>
      <c r="D2026">
        <v>0.888863343322013</v>
      </c>
      <c r="E2026">
        <v>0.77386948059017402</v>
      </c>
      <c r="F2026">
        <v>14.7084259446352</v>
      </c>
    </row>
    <row r="2027" spans="1:6">
      <c r="A2027" t="s">
        <v>50411</v>
      </c>
      <c r="B2027" t="s">
        <v>50412</v>
      </c>
      <c r="C2027">
        <v>0</v>
      </c>
      <c r="D2027">
        <v>0.53013646647895296</v>
      </c>
      <c r="E2027">
        <v>0.93179367280971304</v>
      </c>
      <c r="F2027">
        <v>15.867447969286699</v>
      </c>
    </row>
    <row r="2028" spans="1:6">
      <c r="A2028" t="s">
        <v>50411</v>
      </c>
      <c r="B2028" t="s">
        <v>50413</v>
      </c>
      <c r="C2028">
        <v>0</v>
      </c>
      <c r="D2028">
        <v>0.53013646647895296</v>
      </c>
      <c r="E2028">
        <v>0.93179367280971304</v>
      </c>
      <c r="F2028">
        <v>15.867447969286699</v>
      </c>
    </row>
    <row r="2029" spans="1:6">
      <c r="A2029" t="s">
        <v>50411</v>
      </c>
      <c r="B2029" t="s">
        <v>50414</v>
      </c>
      <c r="C2029">
        <v>0</v>
      </c>
      <c r="D2029">
        <v>0.53013646647895296</v>
      </c>
      <c r="E2029">
        <v>0.93179367280971304</v>
      </c>
      <c r="F2029">
        <v>15.867447969286699</v>
      </c>
    </row>
    <row r="2030" spans="1:6">
      <c r="A2030" t="s">
        <v>50411</v>
      </c>
      <c r="B2030" t="s">
        <v>50415</v>
      </c>
      <c r="C2030">
        <v>0.440427031090531</v>
      </c>
      <c r="D2030">
        <v>0.53013646647895296</v>
      </c>
      <c r="E2030">
        <v>0.93179367280971304</v>
      </c>
      <c r="F2030">
        <v>15.867447969286699</v>
      </c>
    </row>
    <row r="2031" spans="1:6">
      <c r="A2031" t="s">
        <v>50411</v>
      </c>
      <c r="B2031" t="s">
        <v>50416</v>
      </c>
      <c r="C2031">
        <v>0.13473486676020699</v>
      </c>
      <c r="D2031">
        <v>0.53013646647895296</v>
      </c>
      <c r="E2031">
        <v>0.93179367280971304</v>
      </c>
      <c r="F2031">
        <v>15.867447969286699</v>
      </c>
    </row>
    <row r="2032" spans="1:6">
      <c r="A2032" t="s">
        <v>50411</v>
      </c>
      <c r="B2032" t="s">
        <v>50417</v>
      </c>
      <c r="C2032">
        <v>0</v>
      </c>
      <c r="D2032">
        <v>0.53013646647895296</v>
      </c>
      <c r="E2032">
        <v>0.93179367280971304</v>
      </c>
      <c r="F2032">
        <v>15.867447969286699</v>
      </c>
    </row>
    <row r="2033" spans="1:6">
      <c r="A2033" t="s">
        <v>50411</v>
      </c>
      <c r="B2033" t="s">
        <v>50418</v>
      </c>
      <c r="C2033">
        <v>0</v>
      </c>
      <c r="D2033">
        <v>0.53013646647895296</v>
      </c>
      <c r="E2033">
        <v>0.93179367280971304</v>
      </c>
      <c r="F2033">
        <v>15.867447969286699</v>
      </c>
    </row>
    <row r="2034" spans="1:6">
      <c r="A2034" t="s">
        <v>50411</v>
      </c>
      <c r="B2034" t="s">
        <v>50419</v>
      </c>
      <c r="C2034">
        <v>0</v>
      </c>
      <c r="D2034">
        <v>0.53013646647895296</v>
      </c>
      <c r="E2034">
        <v>0.93179367280971304</v>
      </c>
      <c r="F2034">
        <v>15.867447969286699</v>
      </c>
    </row>
    <row r="2035" spans="1:6">
      <c r="A2035" t="s">
        <v>50411</v>
      </c>
      <c r="B2035" t="s">
        <v>50420</v>
      </c>
      <c r="C2035">
        <v>0</v>
      </c>
      <c r="D2035">
        <v>0.53013646647895296</v>
      </c>
      <c r="E2035">
        <v>0.93179367280971304</v>
      </c>
      <c r="F2035">
        <v>15.867447969286699</v>
      </c>
    </row>
    <row r="2036" spans="1:6">
      <c r="A2036" t="s">
        <v>50421</v>
      </c>
      <c r="B2036" t="s">
        <v>50422</v>
      </c>
      <c r="C2036">
        <v>0</v>
      </c>
      <c r="D2036">
        <v>2.5346636534751301E-2</v>
      </c>
      <c r="E2036">
        <v>0.72544069862377702</v>
      </c>
      <c r="F2036">
        <v>0.44615073752273099</v>
      </c>
    </row>
    <row r="2037" spans="1:6">
      <c r="A2037" t="s">
        <v>50421</v>
      </c>
      <c r="B2037" t="s">
        <v>50423</v>
      </c>
      <c r="C2037">
        <v>7.8952447689294103E-2</v>
      </c>
      <c r="D2037">
        <v>2.5346636534751301E-2</v>
      </c>
      <c r="E2037">
        <v>0.72544069862377702</v>
      </c>
      <c r="F2037">
        <v>0.44615073752273099</v>
      </c>
    </row>
    <row r="2038" spans="1:6">
      <c r="A2038" t="s">
        <v>50421</v>
      </c>
      <c r="B2038" t="s">
        <v>50424</v>
      </c>
      <c r="C2038">
        <v>0</v>
      </c>
      <c r="D2038">
        <v>2.5346636534751301E-2</v>
      </c>
      <c r="E2038">
        <v>0.72544069862377702</v>
      </c>
      <c r="F2038">
        <v>0.44615073752273099</v>
      </c>
    </row>
    <row r="2039" spans="1:6">
      <c r="A2039" t="s">
        <v>50421</v>
      </c>
      <c r="B2039" t="s">
        <v>50425</v>
      </c>
      <c r="C2039">
        <v>0.365838797874182</v>
      </c>
      <c r="D2039">
        <v>2.5346636534751301E-2</v>
      </c>
      <c r="E2039">
        <v>0.72544069862377702</v>
      </c>
      <c r="F2039">
        <v>0.44615073752273099</v>
      </c>
    </row>
    <row r="2040" spans="1:6">
      <c r="A2040" t="s">
        <v>50421</v>
      </c>
      <c r="B2040" t="s">
        <v>50426</v>
      </c>
      <c r="C2040">
        <v>0</v>
      </c>
      <c r="D2040">
        <v>2.5346636534751301E-2</v>
      </c>
      <c r="E2040">
        <v>0.72544069862377702</v>
      </c>
      <c r="F2040">
        <v>0.44615073752273099</v>
      </c>
    </row>
    <row r="2041" spans="1:6">
      <c r="A2041" t="s">
        <v>50421</v>
      </c>
      <c r="B2041" t="s">
        <v>50427</v>
      </c>
      <c r="C2041">
        <v>0</v>
      </c>
      <c r="D2041">
        <v>2.5346636534751301E-2</v>
      </c>
      <c r="E2041">
        <v>0.72544069862377702</v>
      </c>
      <c r="F2041">
        <v>0.44615073752273099</v>
      </c>
    </row>
    <row r="2042" spans="1:6">
      <c r="A2042" t="s">
        <v>50421</v>
      </c>
      <c r="B2042" t="s">
        <v>50428</v>
      </c>
      <c r="C2042">
        <v>0</v>
      </c>
      <c r="D2042">
        <v>2.5346636534751301E-2</v>
      </c>
      <c r="E2042">
        <v>0.72544069862377702</v>
      </c>
      <c r="F2042">
        <v>0.44615073752273099</v>
      </c>
    </row>
    <row r="2043" spans="1:6">
      <c r="A2043" t="s">
        <v>50421</v>
      </c>
      <c r="B2043" t="s">
        <v>50429</v>
      </c>
      <c r="C2043">
        <v>0</v>
      </c>
      <c r="D2043">
        <v>2.5346636534751301E-2</v>
      </c>
      <c r="E2043">
        <v>0.72544069862377702</v>
      </c>
      <c r="F2043">
        <v>0.44615073752273099</v>
      </c>
    </row>
    <row r="2044" spans="1:6">
      <c r="A2044" t="s">
        <v>50421</v>
      </c>
      <c r="B2044" t="s">
        <v>50430</v>
      </c>
      <c r="C2044">
        <v>0</v>
      </c>
      <c r="D2044">
        <v>2.5346636534751301E-2</v>
      </c>
      <c r="E2044">
        <v>0.72544069862377702</v>
      </c>
      <c r="F2044">
        <v>0.44615073752273099</v>
      </c>
    </row>
    <row r="2045" spans="1:6">
      <c r="A2045" t="s">
        <v>50431</v>
      </c>
      <c r="B2045" t="s">
        <v>50432</v>
      </c>
      <c r="C2045">
        <v>6.0472455264869898E-2</v>
      </c>
      <c r="D2045">
        <v>0.14057482252307099</v>
      </c>
      <c r="E2045">
        <v>0.90500645910532995</v>
      </c>
      <c r="F2045">
        <v>16.463932107496401</v>
      </c>
    </row>
    <row r="2046" spans="1:6">
      <c r="A2046" t="s">
        <v>50431</v>
      </c>
      <c r="B2046" t="s">
        <v>50433</v>
      </c>
      <c r="C2046">
        <v>0</v>
      </c>
      <c r="D2046">
        <v>0.14057482252307099</v>
      </c>
      <c r="E2046">
        <v>0.90500645910532995</v>
      </c>
      <c r="F2046">
        <v>16.463932107496401</v>
      </c>
    </row>
    <row r="2047" spans="1:6">
      <c r="A2047" t="s">
        <v>50431</v>
      </c>
      <c r="B2047" t="s">
        <v>50434</v>
      </c>
      <c r="C2047">
        <v>0</v>
      </c>
      <c r="D2047">
        <v>0.14057482252307099</v>
      </c>
      <c r="E2047">
        <v>0.90500645910532995</v>
      </c>
      <c r="F2047">
        <v>16.463932107496401</v>
      </c>
    </row>
    <row r="2048" spans="1:6">
      <c r="A2048" t="s">
        <v>50431</v>
      </c>
      <c r="B2048" t="s">
        <v>50435</v>
      </c>
      <c r="C2048">
        <v>0.37623577374714401</v>
      </c>
      <c r="D2048">
        <v>0.14057482252307099</v>
      </c>
      <c r="E2048">
        <v>0.90500645910532995</v>
      </c>
      <c r="F2048">
        <v>16.463932107496401</v>
      </c>
    </row>
    <row r="2049" spans="1:6">
      <c r="A2049" t="s">
        <v>50431</v>
      </c>
      <c r="B2049" t="s">
        <v>50436</v>
      </c>
      <c r="C2049">
        <v>0</v>
      </c>
      <c r="D2049">
        <v>0.14057482252307099</v>
      </c>
      <c r="E2049">
        <v>0.90500645910532995</v>
      </c>
      <c r="F2049">
        <v>16.463932107496401</v>
      </c>
    </row>
    <row r="2050" spans="1:6">
      <c r="A2050" t="s">
        <v>50431</v>
      </c>
      <c r="B2050" t="s">
        <v>50437</v>
      </c>
      <c r="C2050">
        <v>0</v>
      </c>
      <c r="D2050">
        <v>0.14057482252307099</v>
      </c>
      <c r="E2050">
        <v>0.90500645910532995</v>
      </c>
      <c r="F2050">
        <v>16.463932107496401</v>
      </c>
    </row>
    <row r="2051" spans="1:6">
      <c r="A2051" t="s">
        <v>50431</v>
      </c>
      <c r="B2051" t="s">
        <v>50438</v>
      </c>
      <c r="C2051">
        <v>0</v>
      </c>
      <c r="D2051">
        <v>0.14057482252307099</v>
      </c>
      <c r="E2051">
        <v>0.90500645910532995</v>
      </c>
      <c r="F2051">
        <v>16.463932107496401</v>
      </c>
    </row>
    <row r="2052" spans="1:6">
      <c r="A2052" t="s">
        <v>50431</v>
      </c>
      <c r="B2052" t="s">
        <v>50439</v>
      </c>
      <c r="C2052">
        <v>0</v>
      </c>
      <c r="D2052">
        <v>0.14057482252307099</v>
      </c>
      <c r="E2052">
        <v>0.90500645910532995</v>
      </c>
      <c r="F2052">
        <v>16.463932107496401</v>
      </c>
    </row>
    <row r="2053" spans="1:6">
      <c r="A2053" t="s">
        <v>50431</v>
      </c>
      <c r="B2053" t="s">
        <v>50440</v>
      </c>
      <c r="C2053">
        <v>0</v>
      </c>
      <c r="D2053">
        <v>0.14057482252307099</v>
      </c>
      <c r="E2053">
        <v>0.90500645910532995</v>
      </c>
      <c r="F2053">
        <v>16.463932107496401</v>
      </c>
    </row>
    <row r="2054" spans="1:6">
      <c r="A2054" t="s">
        <v>50441</v>
      </c>
      <c r="B2054" t="s">
        <v>50442</v>
      </c>
      <c r="C2054">
        <v>0</v>
      </c>
      <c r="D2054">
        <v>0.219865556808584</v>
      </c>
      <c r="E2054">
        <v>0.92204626451001004</v>
      </c>
      <c r="F2054">
        <v>1.2366134572640901</v>
      </c>
    </row>
    <row r="2055" spans="1:6">
      <c r="A2055" t="s">
        <v>50441</v>
      </c>
      <c r="B2055" t="s">
        <v>50443</v>
      </c>
      <c r="C2055">
        <v>0.37404479107010502</v>
      </c>
      <c r="D2055">
        <v>0.219865556808584</v>
      </c>
      <c r="E2055">
        <v>0.92204626451001004</v>
      </c>
      <c r="F2055">
        <v>1.2366134572640901</v>
      </c>
    </row>
    <row r="2056" spans="1:6">
      <c r="A2056" t="s">
        <v>50441</v>
      </c>
      <c r="B2056" t="s">
        <v>50444</v>
      </c>
      <c r="C2056">
        <v>0.21228474139095799</v>
      </c>
      <c r="D2056">
        <v>0.219865556808584</v>
      </c>
      <c r="E2056">
        <v>0.92204626451001004</v>
      </c>
      <c r="F2056">
        <v>1.2366134572640901</v>
      </c>
    </row>
    <row r="2057" spans="1:6">
      <c r="A2057" t="s">
        <v>50441</v>
      </c>
      <c r="B2057" t="s">
        <v>50445</v>
      </c>
      <c r="C2057">
        <v>0</v>
      </c>
      <c r="D2057">
        <v>0.219865556808584</v>
      </c>
      <c r="E2057">
        <v>0.92204626451001004</v>
      </c>
      <c r="F2057">
        <v>1.2366134572640901</v>
      </c>
    </row>
    <row r="2058" spans="1:6">
      <c r="A2058" t="s">
        <v>50446</v>
      </c>
      <c r="B2058" t="s">
        <v>50447</v>
      </c>
      <c r="C2058">
        <v>0</v>
      </c>
      <c r="D2058">
        <v>0.65654982020966202</v>
      </c>
      <c r="E2058">
        <v>0.856758496866865</v>
      </c>
      <c r="F2058">
        <v>14.8975550616286</v>
      </c>
    </row>
    <row r="2059" spans="1:6">
      <c r="A2059" t="s">
        <v>50446</v>
      </c>
      <c r="B2059" t="s">
        <v>50448</v>
      </c>
      <c r="C2059">
        <v>0.60555849686686503</v>
      </c>
      <c r="D2059">
        <v>0.65654982020966202</v>
      </c>
      <c r="E2059">
        <v>0.856758496866865</v>
      </c>
      <c r="F2059">
        <v>14.8975550616286</v>
      </c>
    </row>
    <row r="2060" spans="1:6">
      <c r="A2060" t="s">
        <v>50446</v>
      </c>
      <c r="B2060" t="s">
        <v>50449</v>
      </c>
      <c r="C2060">
        <v>0</v>
      </c>
      <c r="D2060">
        <v>0.65654982020966202</v>
      </c>
      <c r="E2060">
        <v>0.856758496866865</v>
      </c>
      <c r="F2060">
        <v>14.8975550616286</v>
      </c>
    </row>
    <row r="2061" spans="1:6">
      <c r="A2061" t="s">
        <v>50446</v>
      </c>
      <c r="B2061" t="s">
        <v>50450</v>
      </c>
      <c r="C2061">
        <v>0</v>
      </c>
      <c r="D2061">
        <v>0.65654982020966202</v>
      </c>
      <c r="E2061">
        <v>0.856758496866865</v>
      </c>
      <c r="F2061">
        <v>14.8975550616286</v>
      </c>
    </row>
    <row r="2062" spans="1:6">
      <c r="A2062" t="s">
        <v>50446</v>
      </c>
      <c r="B2062" t="s">
        <v>50451</v>
      </c>
      <c r="C2062">
        <v>0</v>
      </c>
      <c r="D2062">
        <v>0.65654982020966202</v>
      </c>
      <c r="E2062">
        <v>0.856758496866865</v>
      </c>
      <c r="F2062">
        <v>14.8975550616286</v>
      </c>
    </row>
    <row r="2063" spans="1:6">
      <c r="A2063" t="s">
        <v>50446</v>
      </c>
      <c r="B2063" t="s">
        <v>50452</v>
      </c>
      <c r="C2063">
        <v>0</v>
      </c>
      <c r="D2063">
        <v>0.65654982020966202</v>
      </c>
      <c r="E2063">
        <v>0.856758496866865</v>
      </c>
      <c r="F2063">
        <v>14.8975550616286</v>
      </c>
    </row>
    <row r="2064" spans="1:6">
      <c r="A2064" t="s">
        <v>50453</v>
      </c>
      <c r="B2064" t="s">
        <v>50454</v>
      </c>
      <c r="C2064">
        <v>0</v>
      </c>
      <c r="D2064">
        <v>0.224572213080658</v>
      </c>
      <c r="E2064">
        <v>0.99776262621781597</v>
      </c>
      <c r="F2064">
        <v>9.4128106688219795</v>
      </c>
    </row>
    <row r="2065" spans="1:6">
      <c r="A2065" t="s">
        <v>50453</v>
      </c>
      <c r="B2065" t="s">
        <v>50455</v>
      </c>
      <c r="C2065">
        <v>0</v>
      </c>
      <c r="D2065">
        <v>0.224572213080658</v>
      </c>
      <c r="E2065">
        <v>0.99776262621781597</v>
      </c>
      <c r="F2065">
        <v>9.4128106688219795</v>
      </c>
    </row>
    <row r="2066" spans="1:6">
      <c r="A2066" t="s">
        <v>50453</v>
      </c>
      <c r="B2066" t="s">
        <v>50456</v>
      </c>
      <c r="C2066">
        <v>0.54117221663692805</v>
      </c>
      <c r="D2066">
        <v>0.224572213080658</v>
      </c>
      <c r="E2066">
        <v>0.99776262621781597</v>
      </c>
      <c r="F2066">
        <v>9.4128106688219795</v>
      </c>
    </row>
    <row r="2067" spans="1:6">
      <c r="A2067" t="s">
        <v>50453</v>
      </c>
      <c r="B2067" t="s">
        <v>50457</v>
      </c>
      <c r="C2067">
        <v>0</v>
      </c>
      <c r="D2067">
        <v>0.224572213080658</v>
      </c>
      <c r="E2067">
        <v>0.99776262621781597</v>
      </c>
      <c r="F2067">
        <v>9.4128106688219795</v>
      </c>
    </row>
    <row r="2068" spans="1:6">
      <c r="A2068" t="s">
        <v>50453</v>
      </c>
      <c r="B2068" t="s">
        <v>50458</v>
      </c>
      <c r="C2068">
        <v>0.34543007134363402</v>
      </c>
      <c r="D2068">
        <v>0.224572213080658</v>
      </c>
      <c r="E2068">
        <v>0.99776262621781597</v>
      </c>
      <c r="F2068">
        <v>9.4128106688219795</v>
      </c>
    </row>
    <row r="2069" spans="1:6">
      <c r="A2069" t="s">
        <v>50453</v>
      </c>
      <c r="B2069" t="s">
        <v>50459</v>
      </c>
      <c r="C2069">
        <v>0</v>
      </c>
      <c r="D2069">
        <v>0.224572213080658</v>
      </c>
      <c r="E2069">
        <v>0.99776262621781597</v>
      </c>
      <c r="F2069">
        <v>9.4128106688219795</v>
      </c>
    </row>
    <row r="2070" spans="1:6">
      <c r="A2070" t="s">
        <v>50453</v>
      </c>
      <c r="B2070" t="s">
        <v>50460</v>
      </c>
      <c r="C2070">
        <v>0</v>
      </c>
      <c r="D2070">
        <v>0.224572213080658</v>
      </c>
      <c r="E2070">
        <v>0.99776262621781597</v>
      </c>
      <c r="F2070">
        <v>9.4128106688219795</v>
      </c>
    </row>
    <row r="2071" spans="1:6">
      <c r="A2071" t="s">
        <v>50453</v>
      </c>
      <c r="B2071" t="s">
        <v>50461</v>
      </c>
      <c r="C2071">
        <v>0</v>
      </c>
      <c r="D2071">
        <v>0.224572213080658</v>
      </c>
      <c r="E2071">
        <v>0.99776262621781597</v>
      </c>
      <c r="F2071">
        <v>9.4128106688219795</v>
      </c>
    </row>
    <row r="2072" spans="1:6">
      <c r="A2072" t="s">
        <v>50453</v>
      </c>
      <c r="B2072" t="s">
        <v>50462</v>
      </c>
      <c r="C2072">
        <v>0</v>
      </c>
      <c r="D2072">
        <v>0.224572213080658</v>
      </c>
      <c r="E2072">
        <v>0.99776262621781597</v>
      </c>
      <c r="F2072">
        <v>9.4128106688219795</v>
      </c>
    </row>
    <row r="2073" spans="1:6">
      <c r="A2073" t="s">
        <v>50453</v>
      </c>
      <c r="B2073" t="s">
        <v>50463</v>
      </c>
      <c r="C2073">
        <v>0</v>
      </c>
      <c r="D2073">
        <v>0.224572213080658</v>
      </c>
      <c r="E2073">
        <v>0.99776262621781597</v>
      </c>
      <c r="F2073">
        <v>9.4128106688219795</v>
      </c>
    </row>
    <row r="2074" spans="1:6">
      <c r="A2074" t="s">
        <v>50453</v>
      </c>
      <c r="B2074" t="s">
        <v>50464</v>
      </c>
      <c r="C2074">
        <v>0</v>
      </c>
      <c r="D2074">
        <v>0.224572213080658</v>
      </c>
      <c r="E2074">
        <v>0.99776262621781597</v>
      </c>
      <c r="F2074">
        <v>9.4128106688219795</v>
      </c>
    </row>
    <row r="2075" spans="1:6">
      <c r="A2075" t="s">
        <v>50465</v>
      </c>
      <c r="B2075" t="s">
        <v>50466</v>
      </c>
      <c r="C2075">
        <v>0.38413237898960401</v>
      </c>
      <c r="D2075">
        <v>1.38265823939675E-2</v>
      </c>
      <c r="E2075">
        <v>0.81453237898960396</v>
      </c>
      <c r="F2075">
        <v>13.5930491008284</v>
      </c>
    </row>
    <row r="2076" spans="1:6">
      <c r="A2076" t="s">
        <v>50465</v>
      </c>
      <c r="B2076" t="s">
        <v>50467</v>
      </c>
      <c r="C2076">
        <v>0</v>
      </c>
      <c r="D2076">
        <v>1.38265823939675E-2</v>
      </c>
      <c r="E2076">
        <v>0.81453237898960396</v>
      </c>
      <c r="F2076">
        <v>13.5930491008284</v>
      </c>
    </row>
    <row r="2077" spans="1:6">
      <c r="A2077" t="s">
        <v>50465</v>
      </c>
      <c r="B2077" t="s">
        <v>50468</v>
      </c>
      <c r="C2077">
        <v>0</v>
      </c>
      <c r="D2077">
        <v>1.38265823939675E-2</v>
      </c>
      <c r="E2077">
        <v>0.81453237898960396</v>
      </c>
      <c r="F2077">
        <v>13.5930491008284</v>
      </c>
    </row>
    <row r="2078" spans="1:6">
      <c r="A2078" t="s">
        <v>50469</v>
      </c>
      <c r="B2078" t="s">
        <v>50470</v>
      </c>
      <c r="C2078">
        <v>1.20766115180641</v>
      </c>
      <c r="D2078">
        <v>0.25783823626296798</v>
      </c>
      <c r="E2078">
        <v>0.91844014566512</v>
      </c>
      <c r="F2078">
        <v>10.028692665184799</v>
      </c>
    </row>
    <row r="2079" spans="1:6">
      <c r="A2079" t="s">
        <v>50469</v>
      </c>
      <c r="B2079" t="s">
        <v>50471</v>
      </c>
      <c r="C2079">
        <v>0.89276868266422904</v>
      </c>
      <c r="D2079">
        <v>0.25783823626296798</v>
      </c>
      <c r="E2079">
        <v>0.91844014566512</v>
      </c>
      <c r="F2079">
        <v>10.028692665184799</v>
      </c>
    </row>
    <row r="2080" spans="1:6">
      <c r="A2080" t="s">
        <v>50472</v>
      </c>
      <c r="B2080" t="s">
        <v>50473</v>
      </c>
      <c r="C2080">
        <v>0</v>
      </c>
      <c r="D2080">
        <v>0.32040354519320402</v>
      </c>
      <c r="E2080">
        <v>0.95730211805813603</v>
      </c>
      <c r="F2080">
        <v>9.4128106688219795</v>
      </c>
    </row>
    <row r="2081" spans="1:6">
      <c r="A2081" t="s">
        <v>50472</v>
      </c>
      <c r="B2081" t="s">
        <v>50474</v>
      </c>
      <c r="C2081">
        <v>0</v>
      </c>
      <c r="D2081">
        <v>0.32040354519320402</v>
      </c>
      <c r="E2081">
        <v>0.95730211805813603</v>
      </c>
      <c r="F2081">
        <v>9.4128106688219795</v>
      </c>
    </row>
    <row r="2082" spans="1:6">
      <c r="A2082" t="s">
        <v>50472</v>
      </c>
      <c r="B2082" t="s">
        <v>50475</v>
      </c>
      <c r="C2082">
        <v>0.51822451989213802</v>
      </c>
      <c r="D2082">
        <v>0.32040354519320402</v>
      </c>
      <c r="E2082">
        <v>0.95730211805813603</v>
      </c>
      <c r="F2082">
        <v>9.4128106688219795</v>
      </c>
    </row>
    <row r="2083" spans="1:6">
      <c r="A2083" t="s">
        <v>50472</v>
      </c>
      <c r="B2083" t="s">
        <v>50476</v>
      </c>
      <c r="C2083">
        <v>0.18801654583953401</v>
      </c>
      <c r="D2083">
        <v>0.32040354519320402</v>
      </c>
      <c r="E2083">
        <v>0.95730211805813603</v>
      </c>
      <c r="F2083">
        <v>9.4128106688219795</v>
      </c>
    </row>
    <row r="2084" spans="1:6">
      <c r="A2084" t="s">
        <v>50477</v>
      </c>
      <c r="B2084" t="s">
        <v>50478</v>
      </c>
      <c r="C2084">
        <v>0.59398581199203304</v>
      </c>
      <c r="D2084">
        <v>8.1172770686947393E-2</v>
      </c>
      <c r="E2084">
        <v>0.96785201661168196</v>
      </c>
      <c r="F2084">
        <v>3.1715498080420201</v>
      </c>
    </row>
    <row r="2085" spans="1:6">
      <c r="A2085" t="s">
        <v>50477</v>
      </c>
      <c r="B2085" t="s">
        <v>50479</v>
      </c>
      <c r="C2085">
        <v>0</v>
      </c>
      <c r="D2085">
        <v>8.1172770686947393E-2</v>
      </c>
      <c r="E2085">
        <v>0.96785201661168196</v>
      </c>
      <c r="F2085">
        <v>3.1715498080420201</v>
      </c>
    </row>
    <row r="2086" spans="1:6">
      <c r="A2086" t="s">
        <v>50477</v>
      </c>
      <c r="B2086" t="s">
        <v>50480</v>
      </c>
      <c r="C2086">
        <v>0</v>
      </c>
      <c r="D2086">
        <v>8.1172770686947393E-2</v>
      </c>
      <c r="E2086">
        <v>0.96785201661168196</v>
      </c>
      <c r="F2086">
        <v>3.1715498080420201</v>
      </c>
    </row>
    <row r="2087" spans="1:6">
      <c r="A2087" t="s">
        <v>50477</v>
      </c>
      <c r="B2087" t="s">
        <v>50481</v>
      </c>
      <c r="C2087">
        <v>0.528407936888039</v>
      </c>
      <c r="D2087">
        <v>8.1172770686947393E-2</v>
      </c>
      <c r="E2087">
        <v>0.96785201661168196</v>
      </c>
      <c r="F2087">
        <v>3.1715498080420201</v>
      </c>
    </row>
    <row r="2088" spans="1:6">
      <c r="A2088" t="s">
        <v>50482</v>
      </c>
      <c r="B2088" t="s">
        <v>50483</v>
      </c>
      <c r="C2088">
        <v>0</v>
      </c>
      <c r="D2088">
        <v>0.68827676576073304</v>
      </c>
      <c r="E2088">
        <v>0.94382927175944198</v>
      </c>
      <c r="F2088">
        <v>8.0937563144069493</v>
      </c>
    </row>
    <row r="2089" spans="1:6">
      <c r="A2089" t="s">
        <v>50482</v>
      </c>
      <c r="B2089" t="s">
        <v>50484</v>
      </c>
      <c r="C2089">
        <v>0.70542927175944203</v>
      </c>
      <c r="D2089">
        <v>0.68827676576073304</v>
      </c>
      <c r="E2089">
        <v>0.94382927175944198</v>
      </c>
      <c r="F2089">
        <v>8.0937563144069493</v>
      </c>
    </row>
    <row r="2090" spans="1:6">
      <c r="A2090" t="s">
        <v>50482</v>
      </c>
      <c r="B2090" t="s">
        <v>50485</v>
      </c>
      <c r="C2090">
        <v>0</v>
      </c>
      <c r="D2090">
        <v>0.68827676576073304</v>
      </c>
      <c r="E2090">
        <v>0.94382927175944198</v>
      </c>
      <c r="F2090">
        <v>8.0937563144069493</v>
      </c>
    </row>
    <row r="2091" spans="1:6">
      <c r="A2091" t="s">
        <v>50482</v>
      </c>
      <c r="B2091" t="s">
        <v>50486</v>
      </c>
      <c r="C2091">
        <v>0</v>
      </c>
      <c r="D2091">
        <v>0.68827676576073304</v>
      </c>
      <c r="E2091">
        <v>0.94382927175944198</v>
      </c>
      <c r="F2091">
        <v>8.0937563144069493</v>
      </c>
    </row>
    <row r="2092" spans="1:6">
      <c r="A2092" t="s">
        <v>50482</v>
      </c>
      <c r="B2092" t="s">
        <v>50487</v>
      </c>
      <c r="C2092">
        <v>0</v>
      </c>
      <c r="D2092">
        <v>0.68827676576073304</v>
      </c>
      <c r="E2092">
        <v>0.94382927175944198</v>
      </c>
      <c r="F2092">
        <v>8.0937563144069493</v>
      </c>
    </row>
    <row r="2093" spans="1:6">
      <c r="A2093" t="s">
        <v>50482</v>
      </c>
      <c r="B2093" t="s">
        <v>50488</v>
      </c>
      <c r="C2093">
        <v>0</v>
      </c>
      <c r="D2093">
        <v>0.68827676576073304</v>
      </c>
      <c r="E2093">
        <v>0.94382927175944198</v>
      </c>
      <c r="F2093">
        <v>8.0937563144069493</v>
      </c>
    </row>
    <row r="2094" spans="1:6">
      <c r="A2094" t="s">
        <v>50489</v>
      </c>
      <c r="B2094" t="s">
        <v>50490</v>
      </c>
      <c r="C2094">
        <v>0</v>
      </c>
      <c r="D2094">
        <v>0.46712683108070802</v>
      </c>
      <c r="E2094" t="s">
        <v>106</v>
      </c>
      <c r="F2094">
        <v>1.9155384926247701</v>
      </c>
    </row>
    <row r="2095" spans="1:6">
      <c r="A2095" t="s">
        <v>50489</v>
      </c>
      <c r="B2095" t="s">
        <v>50491</v>
      </c>
      <c r="C2095">
        <v>0</v>
      </c>
      <c r="D2095">
        <v>0.46712683108070802</v>
      </c>
      <c r="E2095" t="s">
        <v>106</v>
      </c>
      <c r="F2095">
        <v>1.9155384926247701</v>
      </c>
    </row>
    <row r="2096" spans="1:6">
      <c r="A2096" t="s">
        <v>50492</v>
      </c>
      <c r="B2096" t="s">
        <v>50493</v>
      </c>
      <c r="C2096">
        <v>0</v>
      </c>
      <c r="D2096">
        <v>8.6762450725970205E-2</v>
      </c>
      <c r="E2096">
        <v>0.91049535927018399</v>
      </c>
      <c r="F2096">
        <v>9.4128106688219795</v>
      </c>
    </row>
    <row r="2097" spans="1:6">
      <c r="A2097" t="s">
        <v>50492</v>
      </c>
      <c r="B2097" t="s">
        <v>50494</v>
      </c>
      <c r="C2097">
        <v>0.65012930609461805</v>
      </c>
      <c r="D2097">
        <v>8.6762450725970205E-2</v>
      </c>
      <c r="E2097">
        <v>0.91049535927018399</v>
      </c>
      <c r="F2097">
        <v>9.4128106688219795</v>
      </c>
    </row>
    <row r="2098" spans="1:6">
      <c r="A2098" t="s">
        <v>50492</v>
      </c>
      <c r="B2098" t="s">
        <v>50495</v>
      </c>
      <c r="C2098">
        <v>0</v>
      </c>
      <c r="D2098">
        <v>8.6762450725970205E-2</v>
      </c>
      <c r="E2098">
        <v>0.91049535927018399</v>
      </c>
      <c r="F2098">
        <v>9.4128106688219795</v>
      </c>
    </row>
    <row r="2099" spans="1:6">
      <c r="A2099" t="s">
        <v>50492</v>
      </c>
      <c r="B2099" t="s">
        <v>50496</v>
      </c>
      <c r="C2099">
        <v>9.9528934097227198E-2</v>
      </c>
      <c r="D2099">
        <v>8.6762450725970205E-2</v>
      </c>
      <c r="E2099">
        <v>0.91049535927018399</v>
      </c>
      <c r="F2099">
        <v>9.4128106688219795</v>
      </c>
    </row>
    <row r="2100" spans="1:6">
      <c r="A2100" t="s">
        <v>50492</v>
      </c>
      <c r="B2100" t="s">
        <v>50497</v>
      </c>
      <c r="C2100">
        <v>0</v>
      </c>
      <c r="D2100">
        <v>8.6762450725970205E-2</v>
      </c>
      <c r="E2100">
        <v>0.91049535927018399</v>
      </c>
      <c r="F2100">
        <v>9.4128106688219795</v>
      </c>
    </row>
    <row r="2101" spans="1:6">
      <c r="A2101" t="s">
        <v>50492</v>
      </c>
      <c r="B2101" t="s">
        <v>50498</v>
      </c>
      <c r="C2101">
        <v>0</v>
      </c>
      <c r="D2101">
        <v>8.6762450725970205E-2</v>
      </c>
      <c r="E2101">
        <v>0.91049535927018399</v>
      </c>
      <c r="F2101">
        <v>9.4128106688219795</v>
      </c>
    </row>
    <row r="2102" spans="1:6">
      <c r="A2102" t="s">
        <v>50499</v>
      </c>
      <c r="B2102" t="s">
        <v>50500</v>
      </c>
      <c r="C2102">
        <v>0.88888013857860504</v>
      </c>
      <c r="D2102">
        <v>0.195029547083234</v>
      </c>
      <c r="E2102">
        <v>0.92982823063929698</v>
      </c>
      <c r="F2102">
        <v>6.1200242473226902</v>
      </c>
    </row>
    <row r="2103" spans="1:6">
      <c r="A2103" t="s">
        <v>50499</v>
      </c>
      <c r="B2103" t="s">
        <v>50501</v>
      </c>
      <c r="C2103">
        <v>0.257660466354527</v>
      </c>
      <c r="D2103">
        <v>0.195029547083234</v>
      </c>
      <c r="E2103">
        <v>0.92982823063929698</v>
      </c>
      <c r="F2103">
        <v>6.1200242473226902</v>
      </c>
    </row>
    <row r="2104" spans="1:6">
      <c r="A2104" t="s">
        <v>50502</v>
      </c>
      <c r="B2104" t="s">
        <v>50503</v>
      </c>
      <c r="C2104">
        <v>0</v>
      </c>
      <c r="D2104">
        <v>0.65513029375773102</v>
      </c>
      <c r="E2104">
        <v>0.71929568982529901</v>
      </c>
      <c r="F2104">
        <v>10.8288543140028</v>
      </c>
    </row>
    <row r="2105" spans="1:6">
      <c r="A2105" t="s">
        <v>50502</v>
      </c>
      <c r="B2105" t="s">
        <v>50504</v>
      </c>
      <c r="C2105">
        <v>0.48889568982529902</v>
      </c>
      <c r="D2105">
        <v>0.65513029375773102</v>
      </c>
      <c r="E2105">
        <v>0.71929568982529901</v>
      </c>
      <c r="F2105">
        <v>10.8288543140028</v>
      </c>
    </row>
    <row r="2106" spans="1:6">
      <c r="A2106" t="s">
        <v>50505</v>
      </c>
      <c r="B2106" t="s">
        <v>50506</v>
      </c>
      <c r="C2106">
        <v>0</v>
      </c>
      <c r="D2106">
        <v>0.18432721386151499</v>
      </c>
      <c r="E2106">
        <v>0.93687392671761804</v>
      </c>
      <c r="F2106">
        <v>10.028692665184799</v>
      </c>
    </row>
    <row r="2107" spans="1:6">
      <c r="A2107" t="s">
        <v>50505</v>
      </c>
      <c r="B2107" t="s">
        <v>50507</v>
      </c>
      <c r="C2107">
        <v>0.34868479542630598</v>
      </c>
      <c r="D2107">
        <v>0.18432721386151499</v>
      </c>
      <c r="E2107">
        <v>0.93687392671761804</v>
      </c>
      <c r="F2107">
        <v>10.028692665184799</v>
      </c>
    </row>
    <row r="2108" spans="1:6">
      <c r="A2108" t="s">
        <v>50505</v>
      </c>
      <c r="B2108" t="s">
        <v>50508</v>
      </c>
      <c r="C2108">
        <v>0</v>
      </c>
      <c r="D2108">
        <v>0.18432721386151499</v>
      </c>
      <c r="E2108">
        <v>0.93687392671761804</v>
      </c>
      <c r="F2108">
        <v>10.028692665184799</v>
      </c>
    </row>
    <row r="2109" spans="1:6">
      <c r="A2109" t="s">
        <v>50505</v>
      </c>
      <c r="B2109" t="s">
        <v>50509</v>
      </c>
      <c r="C2109">
        <v>0.47647496459011102</v>
      </c>
      <c r="D2109">
        <v>0.18432721386151499</v>
      </c>
      <c r="E2109">
        <v>0.93687392671761804</v>
      </c>
      <c r="F2109">
        <v>10.028692665184799</v>
      </c>
    </row>
    <row r="2110" spans="1:6">
      <c r="A2110" t="s">
        <v>50505</v>
      </c>
      <c r="B2110" t="s">
        <v>50510</v>
      </c>
      <c r="C2110">
        <v>0</v>
      </c>
      <c r="D2110">
        <v>0.18432721386151499</v>
      </c>
      <c r="E2110">
        <v>0.93687392671761804</v>
      </c>
      <c r="F2110">
        <v>10.028692665184799</v>
      </c>
    </row>
    <row r="2111" spans="1:6">
      <c r="A2111" t="s">
        <v>50511</v>
      </c>
      <c r="B2111" t="s">
        <v>50512</v>
      </c>
      <c r="C2111">
        <v>0</v>
      </c>
      <c r="D2111">
        <v>0.12667446898635401</v>
      </c>
      <c r="E2111" t="s">
        <v>106</v>
      </c>
      <c r="F2111">
        <v>10.8288543140028</v>
      </c>
    </row>
    <row r="2112" spans="1:6">
      <c r="A2112" t="s">
        <v>50511</v>
      </c>
      <c r="B2112" t="s">
        <v>50513</v>
      </c>
      <c r="C2112">
        <v>0</v>
      </c>
      <c r="D2112">
        <v>0.12667446898635401</v>
      </c>
      <c r="E2112" t="s">
        <v>106</v>
      </c>
      <c r="F2112">
        <v>10.8288543140028</v>
      </c>
    </row>
    <row r="2113" spans="1:6">
      <c r="A2113" t="s">
        <v>50511</v>
      </c>
      <c r="B2113" t="s">
        <v>50514</v>
      </c>
      <c r="C2113">
        <v>0</v>
      </c>
      <c r="D2113">
        <v>0.12667446898635401</v>
      </c>
      <c r="E2113" t="s">
        <v>106</v>
      </c>
      <c r="F2113">
        <v>10.8288543140028</v>
      </c>
    </row>
    <row r="2114" spans="1:6">
      <c r="A2114" t="s">
        <v>50511</v>
      </c>
      <c r="B2114" t="s">
        <v>50515</v>
      </c>
      <c r="C2114">
        <v>0</v>
      </c>
      <c r="D2114">
        <v>0.12667446898635401</v>
      </c>
      <c r="E2114" t="s">
        <v>106</v>
      </c>
      <c r="F2114">
        <v>10.8288543140028</v>
      </c>
    </row>
    <row r="2115" spans="1:6">
      <c r="A2115" t="s">
        <v>50516</v>
      </c>
      <c r="B2115" t="s">
        <v>50517</v>
      </c>
      <c r="C2115">
        <v>0.93539510507243995</v>
      </c>
      <c r="D2115">
        <v>0.23546768021949799</v>
      </c>
      <c r="E2115">
        <v>0.98979510507243995</v>
      </c>
      <c r="F2115">
        <v>16.667609618104599</v>
      </c>
    </row>
    <row r="2116" spans="1:6">
      <c r="A2116" t="s">
        <v>50516</v>
      </c>
      <c r="B2116" t="s">
        <v>50518</v>
      </c>
      <c r="C2116">
        <v>0</v>
      </c>
      <c r="D2116">
        <v>0.23546768021949799</v>
      </c>
      <c r="E2116">
        <v>0.98979510507243995</v>
      </c>
      <c r="F2116">
        <v>16.667609618104599</v>
      </c>
    </row>
    <row r="2117" spans="1:6">
      <c r="A2117" t="s">
        <v>50516</v>
      </c>
      <c r="B2117" t="s">
        <v>50519</v>
      </c>
      <c r="C2117">
        <v>0</v>
      </c>
      <c r="D2117">
        <v>0.23546768021949799</v>
      </c>
      <c r="E2117">
        <v>0.98979510507243995</v>
      </c>
      <c r="F2117">
        <v>16.667609618104599</v>
      </c>
    </row>
    <row r="2118" spans="1:6">
      <c r="A2118" t="s">
        <v>50520</v>
      </c>
      <c r="B2118" t="s">
        <v>50521</v>
      </c>
      <c r="C2118">
        <v>0.63471316159547697</v>
      </c>
      <c r="D2118">
        <v>0.94248890092761095</v>
      </c>
      <c r="E2118">
        <v>0.95796360530707303</v>
      </c>
      <c r="F2118">
        <v>0.101838755304101</v>
      </c>
    </row>
    <row r="2119" spans="1:6">
      <c r="A2119" t="s">
        <v>50520</v>
      </c>
      <c r="B2119" t="s">
        <v>50522</v>
      </c>
      <c r="C2119">
        <v>0</v>
      </c>
      <c r="D2119">
        <v>0.94248890092761095</v>
      </c>
      <c r="E2119">
        <v>0.95796360530707303</v>
      </c>
      <c r="F2119">
        <v>0.101838755304101</v>
      </c>
    </row>
    <row r="2120" spans="1:6">
      <c r="A2120" t="s">
        <v>50520</v>
      </c>
      <c r="B2120" t="s">
        <v>50523</v>
      </c>
      <c r="C2120">
        <v>0</v>
      </c>
      <c r="D2120">
        <v>0.94248890092761095</v>
      </c>
      <c r="E2120">
        <v>0.95796360530707303</v>
      </c>
      <c r="F2120">
        <v>0.101838755304101</v>
      </c>
    </row>
    <row r="2121" spans="1:6">
      <c r="A2121" t="s">
        <v>50520</v>
      </c>
      <c r="B2121" t="s">
        <v>50524</v>
      </c>
      <c r="C2121">
        <v>0</v>
      </c>
      <c r="D2121">
        <v>0.94248890092761095</v>
      </c>
      <c r="E2121">
        <v>0.95796360530707303</v>
      </c>
      <c r="F2121">
        <v>0.101838755304101</v>
      </c>
    </row>
    <row r="2122" spans="1:6">
      <c r="A2122" t="s">
        <v>50520</v>
      </c>
      <c r="B2122" t="s">
        <v>50525</v>
      </c>
      <c r="C2122">
        <v>1.31720449410216E-2</v>
      </c>
      <c r="D2122">
        <v>0.94248890092761095</v>
      </c>
      <c r="E2122">
        <v>0.95796360530707303</v>
      </c>
      <c r="F2122">
        <v>0.101838755304101</v>
      </c>
    </row>
    <row r="2123" spans="1:6">
      <c r="A2123" t="s">
        <v>50520</v>
      </c>
      <c r="B2123" t="s">
        <v>50526</v>
      </c>
      <c r="C2123">
        <v>0</v>
      </c>
      <c r="D2123">
        <v>0.94248890092761095</v>
      </c>
      <c r="E2123">
        <v>0.95796360530707303</v>
      </c>
      <c r="F2123">
        <v>0.101838755304101</v>
      </c>
    </row>
    <row r="2124" spans="1:6">
      <c r="A2124" t="s">
        <v>50527</v>
      </c>
      <c r="B2124" t="s">
        <v>50528</v>
      </c>
      <c r="C2124">
        <v>0.86198457503914405</v>
      </c>
      <c r="D2124">
        <v>0.100856091639066</v>
      </c>
      <c r="E2124">
        <v>0.96817995432808102</v>
      </c>
      <c r="F2124">
        <v>8.5253586583148095</v>
      </c>
    </row>
    <row r="2125" spans="1:6">
      <c r="A2125" t="s">
        <v>50527</v>
      </c>
      <c r="B2125" t="s">
        <v>50529</v>
      </c>
      <c r="C2125">
        <v>0.26278075387368999</v>
      </c>
      <c r="D2125">
        <v>0.100856091639066</v>
      </c>
      <c r="E2125">
        <v>0.96817995432808102</v>
      </c>
      <c r="F2125">
        <v>8.5253586583148095</v>
      </c>
    </row>
    <row r="2126" spans="1:6">
      <c r="A2126" t="s">
        <v>50527</v>
      </c>
      <c r="B2126" t="s">
        <v>50530</v>
      </c>
      <c r="C2126">
        <v>0</v>
      </c>
      <c r="D2126">
        <v>0.100856091639066</v>
      </c>
      <c r="E2126">
        <v>0.96817995432808102</v>
      </c>
      <c r="F2126">
        <v>8.5253586583148095</v>
      </c>
    </row>
    <row r="2127" spans="1:6">
      <c r="A2127" t="s">
        <v>50531</v>
      </c>
      <c r="B2127" t="s">
        <v>50532</v>
      </c>
      <c r="C2127">
        <v>0.34819179670523298</v>
      </c>
      <c r="D2127">
        <v>0.16901352274661999</v>
      </c>
      <c r="E2127">
        <v>0.98976015792693695</v>
      </c>
      <c r="F2127">
        <v>23.0398060214184</v>
      </c>
    </row>
    <row r="2128" spans="1:6">
      <c r="A2128" t="s">
        <v>50531</v>
      </c>
      <c r="B2128" t="s">
        <v>50533</v>
      </c>
      <c r="C2128">
        <v>0.91892210677596298</v>
      </c>
      <c r="D2128">
        <v>0.16901352274661999</v>
      </c>
      <c r="E2128">
        <v>0.98976015792693695</v>
      </c>
      <c r="F2128">
        <v>23.0398060214184</v>
      </c>
    </row>
    <row r="2129" spans="1:6">
      <c r="A2129" t="s">
        <v>50531</v>
      </c>
      <c r="B2129" t="s">
        <v>50534</v>
      </c>
      <c r="C2129">
        <v>0</v>
      </c>
      <c r="D2129">
        <v>0.16901352274661999</v>
      </c>
      <c r="E2129">
        <v>0.98976015792693695</v>
      </c>
      <c r="F2129">
        <v>23.0398060214184</v>
      </c>
    </row>
    <row r="2130" spans="1:6">
      <c r="A2130" t="s">
        <v>50535</v>
      </c>
      <c r="B2130" t="s">
        <v>50536</v>
      </c>
      <c r="C2130">
        <v>3.4099292970444298E-2</v>
      </c>
      <c r="D2130">
        <v>0.25771606255739399</v>
      </c>
      <c r="E2130">
        <v>0.97108001907395902</v>
      </c>
      <c r="F2130">
        <v>12.6958981612446</v>
      </c>
    </row>
    <row r="2131" spans="1:6">
      <c r="A2131" t="s">
        <v>50535</v>
      </c>
      <c r="B2131" t="s">
        <v>50537</v>
      </c>
      <c r="C2131">
        <v>0</v>
      </c>
      <c r="D2131">
        <v>0.25771606255739399</v>
      </c>
      <c r="E2131">
        <v>0.97108001907395902</v>
      </c>
      <c r="F2131">
        <v>12.6958981612446</v>
      </c>
    </row>
    <row r="2132" spans="1:6">
      <c r="A2132" t="s">
        <v>50535</v>
      </c>
      <c r="B2132" t="s">
        <v>50538</v>
      </c>
      <c r="C2132">
        <v>0</v>
      </c>
      <c r="D2132">
        <v>0.25771606255739399</v>
      </c>
      <c r="E2132">
        <v>0.97108001907395902</v>
      </c>
      <c r="F2132">
        <v>12.6958981612446</v>
      </c>
    </row>
    <row r="2133" spans="1:6">
      <c r="A2133" t="s">
        <v>50535</v>
      </c>
      <c r="B2133" t="s">
        <v>50539</v>
      </c>
      <c r="C2133">
        <v>0.58000515695368704</v>
      </c>
      <c r="D2133">
        <v>0.25771606255739399</v>
      </c>
      <c r="E2133">
        <v>0.97108001907395902</v>
      </c>
      <c r="F2133">
        <v>12.6958981612446</v>
      </c>
    </row>
    <row r="2134" spans="1:6">
      <c r="A2134" t="s">
        <v>50535</v>
      </c>
      <c r="B2134" t="s">
        <v>50540</v>
      </c>
      <c r="C2134">
        <v>0</v>
      </c>
      <c r="D2134">
        <v>0.25771606255739399</v>
      </c>
      <c r="E2134">
        <v>0.97108001907395902</v>
      </c>
      <c r="F2134">
        <v>12.6958981612446</v>
      </c>
    </row>
    <row r="2135" spans="1:6">
      <c r="A2135" t="s">
        <v>50535</v>
      </c>
      <c r="B2135" t="s">
        <v>50541</v>
      </c>
      <c r="C2135">
        <v>0</v>
      </c>
      <c r="D2135">
        <v>0.25771606255739399</v>
      </c>
      <c r="E2135">
        <v>0.97108001907395902</v>
      </c>
      <c r="F2135">
        <v>12.6958981612446</v>
      </c>
    </row>
    <row r="2136" spans="1:6">
      <c r="A2136" t="s">
        <v>50535</v>
      </c>
      <c r="B2136" t="s">
        <v>50542</v>
      </c>
      <c r="C2136">
        <v>0</v>
      </c>
      <c r="D2136">
        <v>0.25771606255739399</v>
      </c>
      <c r="E2136">
        <v>0.97108001907395902</v>
      </c>
      <c r="F2136">
        <v>12.6958981612446</v>
      </c>
    </row>
    <row r="2137" spans="1:6">
      <c r="A2137" t="s">
        <v>50535</v>
      </c>
      <c r="B2137" t="s">
        <v>50543</v>
      </c>
      <c r="C2137">
        <v>0</v>
      </c>
      <c r="D2137">
        <v>0.25771606255739399</v>
      </c>
      <c r="E2137">
        <v>0.97108001907395902</v>
      </c>
      <c r="F2137">
        <v>12.6958981612446</v>
      </c>
    </row>
    <row r="2138" spans="1:6">
      <c r="A2138" t="s">
        <v>50544</v>
      </c>
      <c r="B2138" t="s">
        <v>50545</v>
      </c>
      <c r="C2138">
        <v>0</v>
      </c>
      <c r="D2138">
        <v>0.15718887419487401</v>
      </c>
      <c r="E2138">
        <v>0.88442665143007004</v>
      </c>
      <c r="F2138">
        <v>20.057385330369701</v>
      </c>
    </row>
    <row r="2139" spans="1:6">
      <c r="A2139" t="s">
        <v>50544</v>
      </c>
      <c r="B2139" t="s">
        <v>50546</v>
      </c>
      <c r="C2139">
        <v>0</v>
      </c>
      <c r="D2139">
        <v>0.15718887419487401</v>
      </c>
      <c r="E2139">
        <v>0.88442665143007004</v>
      </c>
      <c r="F2139">
        <v>20.057385330369701</v>
      </c>
    </row>
    <row r="2140" spans="1:6">
      <c r="A2140" t="s">
        <v>50544</v>
      </c>
      <c r="B2140" t="s">
        <v>50547</v>
      </c>
      <c r="C2140">
        <v>0</v>
      </c>
      <c r="D2140">
        <v>0.15718887419487401</v>
      </c>
      <c r="E2140">
        <v>0.88442665143007004</v>
      </c>
      <c r="F2140">
        <v>20.057385330369701</v>
      </c>
    </row>
    <row r="2141" spans="1:6">
      <c r="A2141" t="s">
        <v>50544</v>
      </c>
      <c r="B2141" t="s">
        <v>50548</v>
      </c>
      <c r="C2141">
        <v>0</v>
      </c>
      <c r="D2141">
        <v>0.15718887419487401</v>
      </c>
      <c r="E2141">
        <v>0.88442665143007004</v>
      </c>
      <c r="F2141">
        <v>20.057385330369701</v>
      </c>
    </row>
    <row r="2142" spans="1:6">
      <c r="A2142" t="s">
        <v>50544</v>
      </c>
      <c r="B2142" t="s">
        <v>50549</v>
      </c>
      <c r="C2142">
        <v>0</v>
      </c>
      <c r="D2142">
        <v>0.15718887419487401</v>
      </c>
      <c r="E2142">
        <v>0.88442665143007004</v>
      </c>
      <c r="F2142">
        <v>20.057385330369701</v>
      </c>
    </row>
    <row r="2143" spans="1:6">
      <c r="A2143" t="s">
        <v>50544</v>
      </c>
      <c r="B2143" t="s">
        <v>50550</v>
      </c>
      <c r="C2143">
        <v>0</v>
      </c>
      <c r="D2143">
        <v>0.15718887419487401</v>
      </c>
      <c r="E2143">
        <v>0.88442665143007004</v>
      </c>
      <c r="F2143">
        <v>20.057385330369701</v>
      </c>
    </row>
    <row r="2144" spans="1:6">
      <c r="A2144" t="s">
        <v>50544</v>
      </c>
      <c r="B2144" t="s">
        <v>50551</v>
      </c>
      <c r="C2144">
        <v>0.42042665143007002</v>
      </c>
      <c r="D2144">
        <v>0.15718887419487401</v>
      </c>
      <c r="E2144">
        <v>0.88442665143007004</v>
      </c>
      <c r="F2144">
        <v>20.057385330369701</v>
      </c>
    </row>
    <row r="2145" spans="1:6">
      <c r="A2145" t="s">
        <v>50552</v>
      </c>
      <c r="B2145" t="s">
        <v>50553</v>
      </c>
      <c r="C2145">
        <v>0</v>
      </c>
      <c r="D2145">
        <v>0.43768570398629703</v>
      </c>
      <c r="E2145">
        <v>0.99191448021645101</v>
      </c>
      <c r="F2145">
        <v>9.8735097999595798</v>
      </c>
    </row>
    <row r="2146" spans="1:6">
      <c r="A2146" t="s">
        <v>50552</v>
      </c>
      <c r="B2146" t="s">
        <v>50554</v>
      </c>
      <c r="C2146">
        <v>0</v>
      </c>
      <c r="D2146">
        <v>0.43768570398629703</v>
      </c>
      <c r="E2146">
        <v>0.99191448021645101</v>
      </c>
      <c r="F2146">
        <v>9.8735097999595798</v>
      </c>
    </row>
    <row r="2147" spans="1:6">
      <c r="A2147" t="s">
        <v>50552</v>
      </c>
      <c r="B2147" t="s">
        <v>50555</v>
      </c>
      <c r="C2147">
        <v>4.5771048248630201E-2</v>
      </c>
      <c r="D2147">
        <v>0.43768570398629703</v>
      </c>
      <c r="E2147">
        <v>0.99191448021645101</v>
      </c>
      <c r="F2147">
        <v>9.8735097999595798</v>
      </c>
    </row>
    <row r="2148" spans="1:6">
      <c r="A2148" t="s">
        <v>50552</v>
      </c>
      <c r="B2148" t="s">
        <v>50556</v>
      </c>
      <c r="C2148">
        <v>0</v>
      </c>
      <c r="D2148">
        <v>0.43768570398629703</v>
      </c>
      <c r="E2148">
        <v>0.99191448021645101</v>
      </c>
      <c r="F2148">
        <v>9.8735097999595798</v>
      </c>
    </row>
    <row r="2149" spans="1:6">
      <c r="A2149" t="s">
        <v>50552</v>
      </c>
      <c r="B2149" t="s">
        <v>50557</v>
      </c>
      <c r="C2149">
        <v>0</v>
      </c>
      <c r="D2149">
        <v>0.43768570398629703</v>
      </c>
      <c r="E2149">
        <v>0.99191448021645101</v>
      </c>
      <c r="F2149">
        <v>9.8735097999595798</v>
      </c>
    </row>
    <row r="2150" spans="1:6">
      <c r="A2150" t="s">
        <v>50552</v>
      </c>
      <c r="B2150" t="s">
        <v>50558</v>
      </c>
      <c r="C2150">
        <v>0.89287863418137703</v>
      </c>
      <c r="D2150">
        <v>0.43768570398629703</v>
      </c>
      <c r="E2150">
        <v>0.99191448021645101</v>
      </c>
      <c r="F2150">
        <v>9.8735097999595798</v>
      </c>
    </row>
    <row r="2151" spans="1:6">
      <c r="A2151" t="s">
        <v>50552</v>
      </c>
      <c r="B2151" t="s">
        <v>50559</v>
      </c>
      <c r="C2151">
        <v>0</v>
      </c>
      <c r="D2151">
        <v>0.43768570398629703</v>
      </c>
      <c r="E2151">
        <v>0.99191448021645101</v>
      </c>
      <c r="F2151">
        <v>9.8735097999595798</v>
      </c>
    </row>
    <row r="2152" spans="1:6">
      <c r="A2152" t="s">
        <v>50560</v>
      </c>
      <c r="B2152" t="s">
        <v>50561</v>
      </c>
      <c r="C2152">
        <v>3.4444377635344803E-2</v>
      </c>
      <c r="D2152">
        <v>0.25222453457521299</v>
      </c>
      <c r="E2152">
        <v>0.98282488481986696</v>
      </c>
      <c r="F2152">
        <v>22.099009900990001</v>
      </c>
    </row>
    <row r="2153" spans="1:6">
      <c r="A2153" t="s">
        <v>50560</v>
      </c>
      <c r="B2153" t="s">
        <v>50562</v>
      </c>
      <c r="C2153">
        <v>0.92909981699299204</v>
      </c>
      <c r="D2153">
        <v>0.25222453457521299</v>
      </c>
      <c r="E2153">
        <v>0.98282488481986696</v>
      </c>
      <c r="F2153">
        <v>22.099009900990001</v>
      </c>
    </row>
    <row r="2154" spans="1:6">
      <c r="A2154" t="s">
        <v>50563</v>
      </c>
      <c r="B2154" t="s">
        <v>50564</v>
      </c>
      <c r="C2154">
        <v>0</v>
      </c>
      <c r="D2154">
        <v>0.20570151469105599</v>
      </c>
      <c r="E2154">
        <v>0.90097811068045697</v>
      </c>
      <c r="F2154">
        <v>8.5253586583148095</v>
      </c>
    </row>
    <row r="2155" spans="1:6">
      <c r="A2155" t="s">
        <v>50563</v>
      </c>
      <c r="B2155" t="s">
        <v>50565</v>
      </c>
      <c r="C2155">
        <v>0.221255621934729</v>
      </c>
      <c r="D2155">
        <v>0.20570151469105599</v>
      </c>
      <c r="E2155">
        <v>0.90097811068045697</v>
      </c>
      <c r="F2155">
        <v>8.5253586583148095</v>
      </c>
    </row>
    <row r="2156" spans="1:6">
      <c r="A2156" t="s">
        <v>50563</v>
      </c>
      <c r="B2156" t="s">
        <v>50566</v>
      </c>
      <c r="C2156">
        <v>0</v>
      </c>
      <c r="D2156">
        <v>0.20570151469105599</v>
      </c>
      <c r="E2156">
        <v>0.90097811068045697</v>
      </c>
      <c r="F2156">
        <v>8.5253586583148095</v>
      </c>
    </row>
    <row r="2157" spans="1:6">
      <c r="A2157" t="s">
        <v>50563</v>
      </c>
      <c r="B2157" t="s">
        <v>50567</v>
      </c>
      <c r="C2157">
        <v>0</v>
      </c>
      <c r="D2157">
        <v>0.20570151469105599</v>
      </c>
      <c r="E2157">
        <v>0.90097811068045697</v>
      </c>
      <c r="F2157">
        <v>8.5253586583148095</v>
      </c>
    </row>
    <row r="2158" spans="1:6">
      <c r="A2158" t="s">
        <v>50563</v>
      </c>
      <c r="B2158" t="s">
        <v>50568</v>
      </c>
      <c r="C2158">
        <v>0</v>
      </c>
      <c r="D2158">
        <v>0.20570151469105599</v>
      </c>
      <c r="E2158">
        <v>0.90097811068045697</v>
      </c>
      <c r="F2158">
        <v>8.5253586583148095</v>
      </c>
    </row>
    <row r="2159" spans="1:6">
      <c r="A2159" t="s">
        <v>50563</v>
      </c>
      <c r="B2159" t="s">
        <v>50569</v>
      </c>
      <c r="C2159">
        <v>0</v>
      </c>
      <c r="D2159">
        <v>0.20570151469105599</v>
      </c>
      <c r="E2159">
        <v>0.90097811068045697</v>
      </c>
      <c r="F2159">
        <v>8.5253586583148095</v>
      </c>
    </row>
    <row r="2160" spans="1:6">
      <c r="A2160" t="s">
        <v>50563</v>
      </c>
      <c r="B2160" t="s">
        <v>50570</v>
      </c>
      <c r="C2160">
        <v>0</v>
      </c>
      <c r="D2160">
        <v>0.20570151469105599</v>
      </c>
      <c r="E2160">
        <v>0.90097811068045697</v>
      </c>
      <c r="F2160">
        <v>8.5253586583148095</v>
      </c>
    </row>
    <row r="2161" spans="1:6">
      <c r="A2161" t="s">
        <v>50563</v>
      </c>
      <c r="B2161" t="s">
        <v>50571</v>
      </c>
      <c r="C2161">
        <v>0</v>
      </c>
      <c r="D2161">
        <v>0.20570151469105599</v>
      </c>
      <c r="E2161">
        <v>0.90097811068045697</v>
      </c>
      <c r="F2161">
        <v>8.5253586583148095</v>
      </c>
    </row>
    <row r="2162" spans="1:6">
      <c r="A2162" t="s">
        <v>50563</v>
      </c>
      <c r="B2162" t="s">
        <v>50572</v>
      </c>
      <c r="C2162">
        <v>0</v>
      </c>
      <c r="D2162">
        <v>0.20570151469105599</v>
      </c>
      <c r="E2162">
        <v>0.90097811068045697</v>
      </c>
      <c r="F2162">
        <v>8.5253586583148095</v>
      </c>
    </row>
    <row r="2163" spans="1:6">
      <c r="A2163" t="s">
        <v>50563</v>
      </c>
      <c r="B2163" t="s">
        <v>50573</v>
      </c>
      <c r="C2163">
        <v>0</v>
      </c>
      <c r="D2163">
        <v>0.20570151469105599</v>
      </c>
      <c r="E2163">
        <v>0.90097811068045697</v>
      </c>
      <c r="F2163">
        <v>8.5253586583148095</v>
      </c>
    </row>
    <row r="2164" spans="1:6">
      <c r="A2164" t="s">
        <v>50563</v>
      </c>
      <c r="B2164" t="s">
        <v>50574</v>
      </c>
      <c r="C2164">
        <v>0</v>
      </c>
      <c r="D2164">
        <v>0.20570151469105599</v>
      </c>
      <c r="E2164">
        <v>0.90097811068045697</v>
      </c>
      <c r="F2164">
        <v>8.5253586583148095</v>
      </c>
    </row>
    <row r="2165" spans="1:6">
      <c r="A2165" t="s">
        <v>50563</v>
      </c>
      <c r="B2165" t="s">
        <v>50575</v>
      </c>
      <c r="C2165">
        <v>0</v>
      </c>
      <c r="D2165">
        <v>0.20570151469105599</v>
      </c>
      <c r="E2165">
        <v>0.90097811068045697</v>
      </c>
      <c r="F2165">
        <v>8.5253586583148095</v>
      </c>
    </row>
    <row r="2166" spans="1:6">
      <c r="A2166" t="s">
        <v>50563</v>
      </c>
      <c r="B2166" t="s">
        <v>50576</v>
      </c>
      <c r="C2166">
        <v>0</v>
      </c>
      <c r="D2166">
        <v>0.20570151469105599</v>
      </c>
      <c r="E2166">
        <v>0.90097811068045697</v>
      </c>
      <c r="F2166">
        <v>8.5253586583148095</v>
      </c>
    </row>
    <row r="2167" spans="1:6">
      <c r="A2167" t="s">
        <v>50563</v>
      </c>
      <c r="B2167" t="s">
        <v>50577</v>
      </c>
      <c r="C2167">
        <v>0.53067869709899496</v>
      </c>
      <c r="D2167">
        <v>0.20570151469105599</v>
      </c>
      <c r="E2167">
        <v>0.90097811068045697</v>
      </c>
      <c r="F2167">
        <v>8.5253586583148095</v>
      </c>
    </row>
    <row r="2168" spans="1:6">
      <c r="A2168" t="s">
        <v>50578</v>
      </c>
      <c r="B2168" t="s">
        <v>50579</v>
      </c>
      <c r="C2168">
        <v>0</v>
      </c>
      <c r="D2168">
        <v>0.17876808334292099</v>
      </c>
      <c r="E2168">
        <v>0.99475057712146797</v>
      </c>
      <c r="F2168">
        <v>12.1721559911093</v>
      </c>
    </row>
    <row r="2169" spans="1:6">
      <c r="A2169" t="s">
        <v>50578</v>
      </c>
      <c r="B2169" t="s">
        <v>50580</v>
      </c>
      <c r="C2169">
        <v>0</v>
      </c>
      <c r="D2169">
        <v>0.17876808334292099</v>
      </c>
      <c r="E2169">
        <v>0.99475057712146797</v>
      </c>
      <c r="F2169">
        <v>12.1721559911093</v>
      </c>
    </row>
    <row r="2170" spans="1:6">
      <c r="A2170" t="s">
        <v>50578</v>
      </c>
      <c r="B2170" t="s">
        <v>50581</v>
      </c>
      <c r="C2170">
        <v>0</v>
      </c>
      <c r="D2170">
        <v>0.17876808334292099</v>
      </c>
      <c r="E2170">
        <v>0.99475057712146797</v>
      </c>
      <c r="F2170">
        <v>12.1721559911093</v>
      </c>
    </row>
    <row r="2171" spans="1:6">
      <c r="A2171" t="s">
        <v>50578</v>
      </c>
      <c r="B2171" t="s">
        <v>50582</v>
      </c>
      <c r="C2171">
        <v>0.209817125640301</v>
      </c>
      <c r="D2171">
        <v>0.17876808334292099</v>
      </c>
      <c r="E2171">
        <v>0.99475057712146797</v>
      </c>
      <c r="F2171">
        <v>12.1721559911093</v>
      </c>
    </row>
    <row r="2172" spans="1:6">
      <c r="A2172" t="s">
        <v>50578</v>
      </c>
      <c r="B2172" t="s">
        <v>50583</v>
      </c>
      <c r="C2172">
        <v>0.54164744653170205</v>
      </c>
      <c r="D2172">
        <v>0.17876808334292099</v>
      </c>
      <c r="E2172">
        <v>0.99475057712146797</v>
      </c>
      <c r="F2172">
        <v>12.1721559911093</v>
      </c>
    </row>
    <row r="2173" spans="1:6">
      <c r="A2173" t="s">
        <v>50578</v>
      </c>
      <c r="B2173" t="s">
        <v>50584</v>
      </c>
      <c r="C2173">
        <v>0</v>
      </c>
      <c r="D2173">
        <v>0.17876808334292099</v>
      </c>
      <c r="E2173">
        <v>0.99475057712146797</v>
      </c>
      <c r="F2173">
        <v>12.1721559911093</v>
      </c>
    </row>
    <row r="2174" spans="1:6">
      <c r="A2174" t="s">
        <v>50578</v>
      </c>
      <c r="B2174" t="s">
        <v>50585</v>
      </c>
      <c r="C2174">
        <v>0</v>
      </c>
      <c r="D2174">
        <v>0.17876808334292099</v>
      </c>
      <c r="E2174">
        <v>0.99475057712146797</v>
      </c>
      <c r="F2174">
        <v>12.1721559911093</v>
      </c>
    </row>
    <row r="2175" spans="1:6">
      <c r="A2175" t="s">
        <v>50578</v>
      </c>
      <c r="B2175" t="s">
        <v>50586</v>
      </c>
      <c r="C2175">
        <v>0</v>
      </c>
      <c r="D2175">
        <v>0.17876808334292099</v>
      </c>
      <c r="E2175">
        <v>0.99475057712146797</v>
      </c>
      <c r="F2175">
        <v>12.1721559911093</v>
      </c>
    </row>
    <row r="2176" spans="1:6">
      <c r="A2176" t="s">
        <v>50578</v>
      </c>
      <c r="B2176" t="s">
        <v>50587</v>
      </c>
      <c r="C2176">
        <v>0</v>
      </c>
      <c r="D2176">
        <v>0.17876808334292099</v>
      </c>
      <c r="E2176">
        <v>0.99475057712146797</v>
      </c>
      <c r="F2176">
        <v>12.1721559911093</v>
      </c>
    </row>
    <row r="2177" spans="1:6">
      <c r="A2177" t="s">
        <v>50578</v>
      </c>
      <c r="B2177" t="s">
        <v>50588</v>
      </c>
      <c r="C2177">
        <v>0</v>
      </c>
      <c r="D2177">
        <v>0.17876808334292099</v>
      </c>
      <c r="E2177">
        <v>0.99475057712146797</v>
      </c>
      <c r="F2177">
        <v>12.1721559911093</v>
      </c>
    </row>
    <row r="2178" spans="1:6">
      <c r="A2178" t="s">
        <v>50578</v>
      </c>
      <c r="B2178" t="s">
        <v>50589</v>
      </c>
      <c r="C2178">
        <v>0</v>
      </c>
      <c r="D2178">
        <v>0.17876808334292099</v>
      </c>
      <c r="E2178">
        <v>0.99475057712146797</v>
      </c>
      <c r="F2178">
        <v>12.1721559911093</v>
      </c>
    </row>
    <row r="2179" spans="1:6">
      <c r="A2179" t="s">
        <v>50578</v>
      </c>
      <c r="B2179" t="s">
        <v>50590</v>
      </c>
      <c r="C2179">
        <v>0</v>
      </c>
      <c r="D2179">
        <v>0.17876808334292099</v>
      </c>
      <c r="E2179">
        <v>0.99475057712146797</v>
      </c>
      <c r="F2179">
        <v>12.1721559911093</v>
      </c>
    </row>
    <row r="2180" spans="1:6">
      <c r="A2180" t="s">
        <v>50578</v>
      </c>
      <c r="B2180" t="s">
        <v>50591</v>
      </c>
      <c r="C2180">
        <v>0</v>
      </c>
      <c r="D2180">
        <v>0.17876808334292099</v>
      </c>
      <c r="E2180">
        <v>0.99475057712146797</v>
      </c>
      <c r="F2180">
        <v>12.1721559911093</v>
      </c>
    </row>
    <row r="2181" spans="1:6">
      <c r="A2181" t="s">
        <v>50578</v>
      </c>
      <c r="B2181" t="s">
        <v>50592</v>
      </c>
      <c r="C2181">
        <v>0</v>
      </c>
      <c r="D2181">
        <v>0.17876808334292099</v>
      </c>
      <c r="E2181">
        <v>0.99475057712146797</v>
      </c>
      <c r="F2181">
        <v>12.1721559911093</v>
      </c>
    </row>
    <row r="2182" spans="1:6">
      <c r="A2182" t="s">
        <v>50578</v>
      </c>
      <c r="B2182" t="s">
        <v>50593</v>
      </c>
      <c r="C2182">
        <v>0</v>
      </c>
      <c r="D2182">
        <v>0.17876808334292099</v>
      </c>
      <c r="E2182">
        <v>0.99475057712146797</v>
      </c>
      <c r="F2182">
        <v>12.1721559911093</v>
      </c>
    </row>
    <row r="2183" spans="1:6">
      <c r="A2183" t="s">
        <v>50594</v>
      </c>
      <c r="B2183" t="s">
        <v>50595</v>
      </c>
      <c r="C2183">
        <v>0</v>
      </c>
      <c r="D2183">
        <v>0.172649841192797</v>
      </c>
      <c r="E2183">
        <v>0.99770680053674798</v>
      </c>
      <c r="F2183">
        <v>9.4128106688219795</v>
      </c>
    </row>
    <row r="2184" spans="1:6">
      <c r="A2184" t="s">
        <v>50594</v>
      </c>
      <c r="B2184" t="s">
        <v>50596</v>
      </c>
      <c r="C2184">
        <v>0.93884355105633799</v>
      </c>
      <c r="D2184">
        <v>0.172649841192797</v>
      </c>
      <c r="E2184">
        <v>0.99770680053674798</v>
      </c>
      <c r="F2184">
        <v>9.4128106688219795</v>
      </c>
    </row>
    <row r="2185" spans="1:6">
      <c r="A2185" t="s">
        <v>50594</v>
      </c>
      <c r="B2185" t="s">
        <v>50597</v>
      </c>
      <c r="C2185">
        <v>0</v>
      </c>
      <c r="D2185">
        <v>0.172649841192797</v>
      </c>
      <c r="E2185">
        <v>0.99770680053674798</v>
      </c>
      <c r="F2185">
        <v>9.4128106688219795</v>
      </c>
    </row>
    <row r="2186" spans="1:6">
      <c r="A2186" t="s">
        <v>50594</v>
      </c>
      <c r="B2186" t="s">
        <v>50598</v>
      </c>
      <c r="C2186">
        <v>1.07847321465783</v>
      </c>
      <c r="D2186">
        <v>0.172649841192797</v>
      </c>
      <c r="E2186">
        <v>0.99770680053674798</v>
      </c>
      <c r="F2186">
        <v>9.4128106688219795</v>
      </c>
    </row>
    <row r="2187" spans="1:6">
      <c r="A2187" t="s">
        <v>50594</v>
      </c>
      <c r="B2187" t="s">
        <v>50599</v>
      </c>
      <c r="C2187">
        <v>0</v>
      </c>
      <c r="D2187">
        <v>0.172649841192797</v>
      </c>
      <c r="E2187">
        <v>0.99770680053674798</v>
      </c>
      <c r="F2187">
        <v>9.4128106688219795</v>
      </c>
    </row>
    <row r="2188" spans="1:6">
      <c r="A2188" t="s">
        <v>50600</v>
      </c>
      <c r="B2188" t="s">
        <v>50601</v>
      </c>
      <c r="C2188">
        <v>0</v>
      </c>
      <c r="D2188">
        <v>4.1183845101559202E-2</v>
      </c>
      <c r="E2188">
        <v>0.98992884351707</v>
      </c>
      <c r="F2188">
        <v>7.95312184279652</v>
      </c>
    </row>
    <row r="2189" spans="1:6">
      <c r="A2189" t="s">
        <v>50600</v>
      </c>
      <c r="B2189" t="s">
        <v>50602</v>
      </c>
      <c r="C2189">
        <v>0</v>
      </c>
      <c r="D2189">
        <v>4.1183845101559202E-2</v>
      </c>
      <c r="E2189">
        <v>0.98992884351707</v>
      </c>
      <c r="F2189">
        <v>7.95312184279652</v>
      </c>
    </row>
    <row r="2190" spans="1:6">
      <c r="A2190" t="s">
        <v>50600</v>
      </c>
      <c r="B2190" t="s">
        <v>50603</v>
      </c>
      <c r="C2190">
        <v>3.4816957890515698E-2</v>
      </c>
      <c r="D2190">
        <v>4.1183845101559202E-2</v>
      </c>
      <c r="E2190">
        <v>0.98992884351707</v>
      </c>
      <c r="F2190">
        <v>7.95312184279652</v>
      </c>
    </row>
    <row r="2191" spans="1:6">
      <c r="A2191" t="s">
        <v>50600</v>
      </c>
      <c r="B2191" t="s">
        <v>50604</v>
      </c>
      <c r="C2191">
        <v>0.64351925552969702</v>
      </c>
      <c r="D2191">
        <v>4.1183845101559202E-2</v>
      </c>
      <c r="E2191">
        <v>0.98992884351707</v>
      </c>
      <c r="F2191">
        <v>7.95312184279652</v>
      </c>
    </row>
    <row r="2192" spans="1:6">
      <c r="A2192" t="s">
        <v>50600</v>
      </c>
      <c r="B2192" t="s">
        <v>50605</v>
      </c>
      <c r="C2192">
        <v>0</v>
      </c>
      <c r="D2192">
        <v>4.1183845101559202E-2</v>
      </c>
      <c r="E2192">
        <v>0.98992884351707</v>
      </c>
      <c r="F2192">
        <v>7.95312184279652</v>
      </c>
    </row>
    <row r="2193" spans="1:6">
      <c r="A2193" t="s">
        <v>50606</v>
      </c>
      <c r="B2193" t="s">
        <v>50607</v>
      </c>
      <c r="C2193">
        <v>0.91818109184840402</v>
      </c>
      <c r="D2193">
        <v>0.29638039412540501</v>
      </c>
      <c r="E2193">
        <v>0.99692638504300501</v>
      </c>
      <c r="F2193">
        <v>4.5245504142250903</v>
      </c>
    </row>
    <row r="2194" spans="1:6">
      <c r="A2194" t="s">
        <v>50606</v>
      </c>
      <c r="B2194" t="s">
        <v>50608</v>
      </c>
      <c r="C2194">
        <v>0</v>
      </c>
      <c r="D2194">
        <v>0.29638039412540501</v>
      </c>
      <c r="E2194">
        <v>0.99692638504300501</v>
      </c>
      <c r="F2194">
        <v>4.5245504142250903</v>
      </c>
    </row>
    <row r="2195" spans="1:6">
      <c r="A2195" t="s">
        <v>50606</v>
      </c>
      <c r="B2195" t="s">
        <v>50609</v>
      </c>
      <c r="C2195">
        <v>8.2422259658433195E-2</v>
      </c>
      <c r="D2195">
        <v>0.29638039412540501</v>
      </c>
      <c r="E2195">
        <v>0.99692638504300501</v>
      </c>
      <c r="F2195">
        <v>4.5245504142250903</v>
      </c>
    </row>
    <row r="2196" spans="1:6">
      <c r="A2196" t="s">
        <v>50610</v>
      </c>
      <c r="B2196" t="s">
        <v>50611</v>
      </c>
      <c r="C2196">
        <v>0</v>
      </c>
      <c r="D2196">
        <v>0.66376834176843702</v>
      </c>
      <c r="E2196">
        <v>0.94503908899453204</v>
      </c>
      <c r="F2196">
        <v>1.98828046069913</v>
      </c>
    </row>
    <row r="2197" spans="1:6">
      <c r="A2197" t="s">
        <v>50610</v>
      </c>
      <c r="B2197" t="s">
        <v>50612</v>
      </c>
      <c r="C2197">
        <v>0</v>
      </c>
      <c r="D2197">
        <v>0.66376834176843702</v>
      </c>
      <c r="E2197">
        <v>0.94503908899453204</v>
      </c>
      <c r="F2197">
        <v>1.98828046069913</v>
      </c>
    </row>
    <row r="2198" spans="1:6">
      <c r="A2198" t="s">
        <v>50610</v>
      </c>
      <c r="B2198" t="s">
        <v>50613</v>
      </c>
      <c r="C2198">
        <v>0</v>
      </c>
      <c r="D2198">
        <v>0.66376834176843702</v>
      </c>
      <c r="E2198">
        <v>0.94503908899453204</v>
      </c>
      <c r="F2198">
        <v>1.98828046069913</v>
      </c>
    </row>
    <row r="2199" spans="1:6">
      <c r="A2199" t="s">
        <v>50610</v>
      </c>
      <c r="B2199" t="s">
        <v>50614</v>
      </c>
      <c r="C2199">
        <v>8.9024600933893305E-2</v>
      </c>
      <c r="D2199">
        <v>0.66376834176843702</v>
      </c>
      <c r="E2199">
        <v>0.94503908899453204</v>
      </c>
      <c r="F2199">
        <v>1.98828046069913</v>
      </c>
    </row>
    <row r="2200" spans="1:6">
      <c r="A2200" t="s">
        <v>50610</v>
      </c>
      <c r="B2200" t="s">
        <v>50615</v>
      </c>
      <c r="C2200">
        <v>0</v>
      </c>
      <c r="D2200">
        <v>0.66376834176843702</v>
      </c>
      <c r="E2200">
        <v>0.94503908899453204</v>
      </c>
      <c r="F2200">
        <v>1.98828046069913</v>
      </c>
    </row>
    <row r="2201" spans="1:6">
      <c r="A2201" t="s">
        <v>50610</v>
      </c>
      <c r="B2201" t="s">
        <v>50616</v>
      </c>
      <c r="C2201">
        <v>0.51012417448824798</v>
      </c>
      <c r="D2201">
        <v>0.66376834176843702</v>
      </c>
      <c r="E2201">
        <v>0.94503908899453204</v>
      </c>
      <c r="F2201">
        <v>1.98828046069913</v>
      </c>
    </row>
    <row r="2202" spans="1:6">
      <c r="A2202" t="s">
        <v>50610</v>
      </c>
      <c r="B2202" t="s">
        <v>50617</v>
      </c>
      <c r="C2202">
        <v>0</v>
      </c>
      <c r="D2202">
        <v>0.66376834176843702</v>
      </c>
      <c r="E2202">
        <v>0.94503908899453204</v>
      </c>
      <c r="F2202">
        <v>1.98828046069913</v>
      </c>
    </row>
    <row r="2203" spans="1:6">
      <c r="A2203" t="s">
        <v>50618</v>
      </c>
      <c r="B2203" t="s">
        <v>50619</v>
      </c>
      <c r="C2203">
        <v>0</v>
      </c>
      <c r="D2203">
        <v>0.43281696896044702</v>
      </c>
      <c r="E2203">
        <v>0.92559154114147801</v>
      </c>
      <c r="F2203">
        <v>12.1721559911093</v>
      </c>
    </row>
    <row r="2204" spans="1:6">
      <c r="A2204" t="s">
        <v>50618</v>
      </c>
      <c r="B2204" t="s">
        <v>50620</v>
      </c>
      <c r="C2204">
        <v>0</v>
      </c>
      <c r="D2204">
        <v>0.43281696896044702</v>
      </c>
      <c r="E2204">
        <v>0.92559154114147801</v>
      </c>
      <c r="F2204">
        <v>12.1721559911093</v>
      </c>
    </row>
    <row r="2205" spans="1:6">
      <c r="A2205" t="s">
        <v>50618</v>
      </c>
      <c r="B2205" t="s">
        <v>50621</v>
      </c>
      <c r="C2205">
        <v>0.49616603099918</v>
      </c>
      <c r="D2205">
        <v>0.43281696896044702</v>
      </c>
      <c r="E2205">
        <v>0.92559154114147801</v>
      </c>
      <c r="F2205">
        <v>12.1721559911093</v>
      </c>
    </row>
    <row r="2206" spans="1:6">
      <c r="A2206" t="s">
        <v>50618</v>
      </c>
      <c r="B2206" t="s">
        <v>50622</v>
      </c>
      <c r="C2206">
        <v>0</v>
      </c>
      <c r="D2206">
        <v>0.43281696896044702</v>
      </c>
      <c r="E2206">
        <v>0.92559154114147801</v>
      </c>
      <c r="F2206">
        <v>12.1721559911093</v>
      </c>
    </row>
    <row r="2207" spans="1:6">
      <c r="A2207" t="s">
        <v>50618</v>
      </c>
      <c r="B2207" t="s">
        <v>50623</v>
      </c>
      <c r="C2207">
        <v>0</v>
      </c>
      <c r="D2207">
        <v>0.43281696896044702</v>
      </c>
      <c r="E2207">
        <v>0.92559154114147801</v>
      </c>
      <c r="F2207">
        <v>12.1721559911093</v>
      </c>
    </row>
    <row r="2208" spans="1:6">
      <c r="A2208" t="s">
        <v>50618</v>
      </c>
      <c r="B2208" t="s">
        <v>50624</v>
      </c>
      <c r="C2208">
        <v>0</v>
      </c>
      <c r="D2208">
        <v>0.43281696896044702</v>
      </c>
      <c r="E2208">
        <v>0.92559154114147801</v>
      </c>
      <c r="F2208">
        <v>12.1721559911093</v>
      </c>
    </row>
    <row r="2209" spans="1:6">
      <c r="A2209" t="s">
        <v>50618</v>
      </c>
      <c r="B2209" t="s">
        <v>50625</v>
      </c>
      <c r="C2209">
        <v>1.0236711935876499</v>
      </c>
      <c r="D2209">
        <v>0.43281696896044702</v>
      </c>
      <c r="E2209">
        <v>0.92559154114147801</v>
      </c>
      <c r="F2209">
        <v>12.1721559911093</v>
      </c>
    </row>
    <row r="2210" spans="1:6">
      <c r="A2210" t="s">
        <v>50626</v>
      </c>
      <c r="B2210" t="s">
        <v>50627</v>
      </c>
      <c r="C2210">
        <v>0</v>
      </c>
      <c r="D2210">
        <v>0.50859594326179303</v>
      </c>
      <c r="E2210" t="s">
        <v>106</v>
      </c>
      <c r="F2210">
        <v>0.83410790058597695</v>
      </c>
    </row>
    <row r="2211" spans="1:6">
      <c r="A2211" t="s">
        <v>50626</v>
      </c>
      <c r="B2211" t="s">
        <v>50628</v>
      </c>
      <c r="C2211">
        <v>0</v>
      </c>
      <c r="D2211">
        <v>0.50859594326179303</v>
      </c>
      <c r="E2211" t="s">
        <v>106</v>
      </c>
      <c r="F2211">
        <v>0.83410790058597695</v>
      </c>
    </row>
    <row r="2212" spans="1:6">
      <c r="A2212" t="s">
        <v>50626</v>
      </c>
      <c r="B2212" t="s">
        <v>50629</v>
      </c>
      <c r="C2212">
        <v>0</v>
      </c>
      <c r="D2212">
        <v>0.50859594326179303</v>
      </c>
      <c r="E2212" t="s">
        <v>106</v>
      </c>
      <c r="F2212">
        <v>0.83410790058597695</v>
      </c>
    </row>
    <row r="2213" spans="1:6">
      <c r="A2213" t="s">
        <v>50626</v>
      </c>
      <c r="B2213" t="s">
        <v>50630</v>
      </c>
      <c r="C2213">
        <v>0</v>
      </c>
      <c r="D2213">
        <v>0.50859594326179303</v>
      </c>
      <c r="E2213" t="s">
        <v>106</v>
      </c>
      <c r="F2213">
        <v>0.83410790058597695</v>
      </c>
    </row>
    <row r="2214" spans="1:6">
      <c r="A2214" t="s">
        <v>50626</v>
      </c>
      <c r="B2214" t="s">
        <v>50631</v>
      </c>
      <c r="C2214">
        <v>0</v>
      </c>
      <c r="D2214">
        <v>0.50859594326179303</v>
      </c>
      <c r="E2214" t="s">
        <v>106</v>
      </c>
      <c r="F2214">
        <v>0.83410790058597695</v>
      </c>
    </row>
    <row r="2215" spans="1:6">
      <c r="A2215" t="s">
        <v>50626</v>
      </c>
      <c r="B2215" t="s">
        <v>50632</v>
      </c>
      <c r="C2215">
        <v>0</v>
      </c>
      <c r="D2215">
        <v>0.50859594326179303</v>
      </c>
      <c r="E2215" t="s">
        <v>106</v>
      </c>
      <c r="F2215">
        <v>0.83410790058597695</v>
      </c>
    </row>
    <row r="2216" spans="1:6">
      <c r="A2216" t="s">
        <v>50633</v>
      </c>
      <c r="B2216" t="s">
        <v>50634</v>
      </c>
      <c r="C2216">
        <v>0.51651082201193699</v>
      </c>
      <c r="D2216">
        <v>0.24176275008409701</v>
      </c>
      <c r="E2216">
        <v>0.92113661878836695</v>
      </c>
      <c r="F2216">
        <v>9.2624772681349707</v>
      </c>
    </row>
    <row r="2217" spans="1:6">
      <c r="A2217" t="s">
        <v>50633</v>
      </c>
      <c r="B2217" t="s">
        <v>50635</v>
      </c>
      <c r="C2217">
        <v>0.40038075825836</v>
      </c>
      <c r="D2217">
        <v>0.24176275008409701</v>
      </c>
      <c r="E2217">
        <v>0.92113661878836695</v>
      </c>
      <c r="F2217">
        <v>9.2624772681349707</v>
      </c>
    </row>
    <row r="2218" spans="1:6">
      <c r="A2218" t="s">
        <v>50633</v>
      </c>
      <c r="B2218" t="s">
        <v>50636</v>
      </c>
      <c r="C2218">
        <v>0</v>
      </c>
      <c r="D2218">
        <v>0.24176275008409701</v>
      </c>
      <c r="E2218">
        <v>0.92113661878836695</v>
      </c>
      <c r="F2218">
        <v>9.2624772681349707</v>
      </c>
    </row>
    <row r="2219" spans="1:6">
      <c r="A2219" t="s">
        <v>50633</v>
      </c>
      <c r="B2219" t="s">
        <v>50637</v>
      </c>
      <c r="C2219">
        <v>0</v>
      </c>
      <c r="D2219">
        <v>0.24176275008409701</v>
      </c>
      <c r="E2219">
        <v>0.92113661878836695</v>
      </c>
      <c r="F2219">
        <v>9.2624772681349707</v>
      </c>
    </row>
    <row r="2220" spans="1:6">
      <c r="A2220" t="s">
        <v>50633</v>
      </c>
      <c r="B2220" t="s">
        <v>50638</v>
      </c>
      <c r="C2220">
        <v>0</v>
      </c>
      <c r="D2220">
        <v>0.24176275008409701</v>
      </c>
      <c r="E2220">
        <v>0.92113661878836695</v>
      </c>
      <c r="F2220">
        <v>9.2624772681349707</v>
      </c>
    </row>
    <row r="2221" spans="1:6">
      <c r="A2221" t="s">
        <v>50633</v>
      </c>
      <c r="B2221" t="s">
        <v>50639</v>
      </c>
      <c r="C2221">
        <v>0</v>
      </c>
      <c r="D2221">
        <v>0.24176275008409701</v>
      </c>
      <c r="E2221">
        <v>0.92113661878836695</v>
      </c>
      <c r="F2221">
        <v>9.2624772681349707</v>
      </c>
    </row>
    <row r="2222" spans="1:6">
      <c r="A2222" t="s">
        <v>50640</v>
      </c>
      <c r="B2222" t="s">
        <v>50641</v>
      </c>
      <c r="C2222">
        <v>0.47784040842333703</v>
      </c>
      <c r="D2222">
        <v>4.2757187833474602E-3</v>
      </c>
      <c r="E2222">
        <v>0.956615928154949</v>
      </c>
      <c r="F2222">
        <v>4.8494645382905599</v>
      </c>
    </row>
    <row r="2223" spans="1:6">
      <c r="A2223" t="s">
        <v>50640</v>
      </c>
      <c r="B2223" t="s">
        <v>50642</v>
      </c>
      <c r="C2223">
        <v>0</v>
      </c>
      <c r="D2223">
        <v>4.2757187833474602E-3</v>
      </c>
      <c r="E2223">
        <v>0.956615928154949</v>
      </c>
      <c r="F2223">
        <v>4.8494645382905599</v>
      </c>
    </row>
    <row r="2224" spans="1:6">
      <c r="A2224" t="s">
        <v>50640</v>
      </c>
      <c r="B2224" t="s">
        <v>50643</v>
      </c>
      <c r="C2224">
        <v>0.73887303059951603</v>
      </c>
      <c r="D2224">
        <v>4.2757187833474602E-3</v>
      </c>
      <c r="E2224">
        <v>0.956615928154949</v>
      </c>
      <c r="F2224">
        <v>4.8494645382905599</v>
      </c>
    </row>
    <row r="2225" spans="1:6">
      <c r="A2225" t="s">
        <v>50644</v>
      </c>
      <c r="B2225" t="s">
        <v>50645</v>
      </c>
      <c r="C2225">
        <v>0</v>
      </c>
      <c r="D2225">
        <v>0.59268143409222895</v>
      </c>
      <c r="E2225">
        <v>0.98703263742213598</v>
      </c>
      <c r="F2225">
        <v>1.46938775510204</v>
      </c>
    </row>
    <row r="2226" spans="1:6">
      <c r="A2226" t="s">
        <v>50644</v>
      </c>
      <c r="B2226" t="s">
        <v>50646</v>
      </c>
      <c r="C2226">
        <v>0</v>
      </c>
      <c r="D2226">
        <v>0.59268143409222895</v>
      </c>
      <c r="E2226">
        <v>0.98703263742213598</v>
      </c>
      <c r="F2226">
        <v>1.46938775510204</v>
      </c>
    </row>
    <row r="2227" spans="1:6">
      <c r="A2227" t="s">
        <v>50644</v>
      </c>
      <c r="B2227" t="s">
        <v>50647</v>
      </c>
      <c r="C2227">
        <v>0</v>
      </c>
      <c r="D2227">
        <v>0.59268143409222895</v>
      </c>
      <c r="E2227">
        <v>0.98703263742213598</v>
      </c>
      <c r="F2227">
        <v>1.46938775510204</v>
      </c>
    </row>
    <row r="2228" spans="1:6">
      <c r="A2228" t="s">
        <v>50644</v>
      </c>
      <c r="B2228" t="s">
        <v>50648</v>
      </c>
      <c r="C2228">
        <v>0.467548609622367</v>
      </c>
      <c r="D2228">
        <v>0.59268143409222895</v>
      </c>
      <c r="E2228">
        <v>0.98703263742213598</v>
      </c>
      <c r="F2228">
        <v>1.46938775510204</v>
      </c>
    </row>
    <row r="2229" spans="1:6">
      <c r="A2229" t="s">
        <v>50644</v>
      </c>
      <c r="B2229" t="s">
        <v>50649</v>
      </c>
      <c r="C2229">
        <v>0</v>
      </c>
      <c r="D2229">
        <v>0.59268143409222895</v>
      </c>
      <c r="E2229">
        <v>0.98703263742213598</v>
      </c>
      <c r="F2229">
        <v>1.46938775510204</v>
      </c>
    </row>
    <row r="2230" spans="1:6">
      <c r="A2230" t="s">
        <v>50644</v>
      </c>
      <c r="B2230" t="s">
        <v>50650</v>
      </c>
      <c r="C2230">
        <v>0</v>
      </c>
      <c r="D2230">
        <v>0.59268143409222895</v>
      </c>
      <c r="E2230">
        <v>0.98703263742213598</v>
      </c>
      <c r="F2230">
        <v>1.46938775510204</v>
      </c>
    </row>
    <row r="2231" spans="1:6">
      <c r="A2231" t="s">
        <v>50644</v>
      </c>
      <c r="B2231" t="s">
        <v>50651</v>
      </c>
      <c r="C2231">
        <v>0.53524443193452398</v>
      </c>
      <c r="D2231">
        <v>0.59268143409222895</v>
      </c>
      <c r="E2231">
        <v>0.98703263742213598</v>
      </c>
      <c r="F2231">
        <v>1.46938775510204</v>
      </c>
    </row>
    <row r="2232" spans="1:6">
      <c r="A2232" t="s">
        <v>50652</v>
      </c>
      <c r="B2232" t="s">
        <v>50653</v>
      </c>
      <c r="C2232">
        <v>0.31218301760288902</v>
      </c>
      <c r="D2232">
        <v>0.34517159393840702</v>
      </c>
      <c r="E2232">
        <v>0.710255120213937</v>
      </c>
      <c r="F2232">
        <v>7.95312184279652</v>
      </c>
    </row>
    <row r="2233" spans="1:6">
      <c r="A2233" t="s">
        <v>50652</v>
      </c>
      <c r="B2233" t="s">
        <v>50654</v>
      </c>
      <c r="C2233">
        <v>0.186029848026384</v>
      </c>
      <c r="D2233">
        <v>0.34517159393840702</v>
      </c>
      <c r="E2233">
        <v>0.710255120213937</v>
      </c>
      <c r="F2233">
        <v>7.95312184279652</v>
      </c>
    </row>
    <row r="2234" spans="1:6">
      <c r="A2234" t="s">
        <v>50655</v>
      </c>
      <c r="B2234" t="s">
        <v>50656</v>
      </c>
      <c r="C2234">
        <v>0.214693150857068</v>
      </c>
      <c r="D2234">
        <v>0.71083399953666804</v>
      </c>
      <c r="E2234">
        <v>0.900885865180722</v>
      </c>
      <c r="F2234">
        <v>11.658112750050501</v>
      </c>
    </row>
    <row r="2235" spans="1:6">
      <c r="A2235" t="s">
        <v>50655</v>
      </c>
      <c r="B2235" t="s">
        <v>50657</v>
      </c>
      <c r="C2235">
        <v>0</v>
      </c>
      <c r="D2235">
        <v>0.71083399953666804</v>
      </c>
      <c r="E2235">
        <v>0.900885865180722</v>
      </c>
      <c r="F2235">
        <v>11.658112750050501</v>
      </c>
    </row>
    <row r="2236" spans="1:6">
      <c r="A2236" t="s">
        <v>50655</v>
      </c>
      <c r="B2236" t="s">
        <v>50658</v>
      </c>
      <c r="C2236">
        <v>0</v>
      </c>
      <c r="D2236">
        <v>0.71083399953666804</v>
      </c>
      <c r="E2236">
        <v>0.900885865180722</v>
      </c>
      <c r="F2236">
        <v>11.658112750050501</v>
      </c>
    </row>
    <row r="2237" spans="1:6">
      <c r="A2237" t="s">
        <v>50655</v>
      </c>
      <c r="B2237" t="s">
        <v>50659</v>
      </c>
      <c r="C2237">
        <v>0.27034713520042702</v>
      </c>
      <c r="D2237">
        <v>0.71083399953666804</v>
      </c>
      <c r="E2237">
        <v>0.900885865180722</v>
      </c>
      <c r="F2237">
        <v>11.658112750050501</v>
      </c>
    </row>
    <row r="2238" spans="1:6">
      <c r="A2238" t="s">
        <v>50655</v>
      </c>
      <c r="B2238" t="s">
        <v>50660</v>
      </c>
      <c r="C2238">
        <v>0</v>
      </c>
      <c r="D2238">
        <v>0.71083399953666804</v>
      </c>
      <c r="E2238">
        <v>0.900885865180722</v>
      </c>
      <c r="F2238">
        <v>11.658112750050501</v>
      </c>
    </row>
    <row r="2239" spans="1:6">
      <c r="A2239" t="s">
        <v>50655</v>
      </c>
      <c r="B2239" t="s">
        <v>50661</v>
      </c>
      <c r="C2239">
        <v>0</v>
      </c>
      <c r="D2239">
        <v>0.71083399953666804</v>
      </c>
      <c r="E2239">
        <v>0.900885865180722</v>
      </c>
      <c r="F2239">
        <v>11.658112750050501</v>
      </c>
    </row>
    <row r="2240" spans="1:6">
      <c r="A2240" t="s">
        <v>50655</v>
      </c>
      <c r="B2240" t="s">
        <v>50662</v>
      </c>
      <c r="C2240">
        <v>0</v>
      </c>
      <c r="D2240">
        <v>0.71083399953666804</v>
      </c>
      <c r="E2240">
        <v>0.900885865180722</v>
      </c>
      <c r="F2240">
        <v>11.658112750050501</v>
      </c>
    </row>
    <row r="2241" spans="1:6">
      <c r="A2241" t="s">
        <v>50655</v>
      </c>
      <c r="B2241" t="s">
        <v>50663</v>
      </c>
      <c r="C2241">
        <v>0</v>
      </c>
      <c r="D2241">
        <v>0.71083399953666804</v>
      </c>
      <c r="E2241">
        <v>0.900885865180722</v>
      </c>
      <c r="F2241">
        <v>11.658112750050501</v>
      </c>
    </row>
    <row r="2242" spans="1:6">
      <c r="A2242" t="s">
        <v>50664</v>
      </c>
      <c r="B2242" t="s">
        <v>50665</v>
      </c>
      <c r="C2242">
        <v>0</v>
      </c>
      <c r="D2242">
        <v>0.226588304702177</v>
      </c>
      <c r="E2242">
        <v>0.70900306126942503</v>
      </c>
      <c r="F2242">
        <v>23.762376237623702</v>
      </c>
    </row>
    <row r="2243" spans="1:6">
      <c r="A2243" t="s">
        <v>50664</v>
      </c>
      <c r="B2243" t="s">
        <v>50666</v>
      </c>
      <c r="C2243">
        <v>0</v>
      </c>
      <c r="D2243">
        <v>0.226588304702177</v>
      </c>
      <c r="E2243">
        <v>0.70900306126942503</v>
      </c>
      <c r="F2243">
        <v>23.762376237623702</v>
      </c>
    </row>
    <row r="2244" spans="1:6">
      <c r="A2244" t="s">
        <v>50664</v>
      </c>
      <c r="B2244" t="s">
        <v>50667</v>
      </c>
      <c r="C2244">
        <v>0</v>
      </c>
      <c r="D2244">
        <v>0.226588304702177</v>
      </c>
      <c r="E2244">
        <v>0.70900306126942503</v>
      </c>
      <c r="F2244">
        <v>23.762376237623702</v>
      </c>
    </row>
    <row r="2245" spans="1:6">
      <c r="A2245" t="s">
        <v>50664</v>
      </c>
      <c r="B2245" t="s">
        <v>50668</v>
      </c>
      <c r="C2245">
        <v>0</v>
      </c>
      <c r="D2245">
        <v>0.226588304702177</v>
      </c>
      <c r="E2245">
        <v>0.70900306126942503</v>
      </c>
      <c r="F2245">
        <v>23.762376237623702</v>
      </c>
    </row>
    <row r="2246" spans="1:6">
      <c r="A2246" t="s">
        <v>50664</v>
      </c>
      <c r="B2246" t="s">
        <v>50669</v>
      </c>
      <c r="C2246">
        <v>0</v>
      </c>
      <c r="D2246">
        <v>0.226588304702177</v>
      </c>
      <c r="E2246">
        <v>0.70900306126942503</v>
      </c>
      <c r="F2246">
        <v>23.762376237623702</v>
      </c>
    </row>
    <row r="2247" spans="1:6">
      <c r="A2247" t="s">
        <v>50664</v>
      </c>
      <c r="B2247" t="s">
        <v>50670</v>
      </c>
      <c r="C2247">
        <v>0</v>
      </c>
      <c r="D2247">
        <v>0.226588304702177</v>
      </c>
      <c r="E2247">
        <v>0.70900306126942503</v>
      </c>
      <c r="F2247">
        <v>23.762376237623702</v>
      </c>
    </row>
    <row r="2248" spans="1:6">
      <c r="A2248" t="s">
        <v>50664</v>
      </c>
      <c r="B2248" t="s">
        <v>50671</v>
      </c>
      <c r="C2248">
        <v>0.16980306126942499</v>
      </c>
      <c r="D2248">
        <v>0.226588304702177</v>
      </c>
      <c r="E2248">
        <v>0.70900306126942503</v>
      </c>
      <c r="F2248">
        <v>23.762376237623702</v>
      </c>
    </row>
    <row r="2249" spans="1:6">
      <c r="A2249" t="s">
        <v>50664</v>
      </c>
      <c r="B2249" t="s">
        <v>50672</v>
      </c>
      <c r="C2249">
        <v>0</v>
      </c>
      <c r="D2249">
        <v>0.226588304702177</v>
      </c>
      <c r="E2249">
        <v>0.70900306126942503</v>
      </c>
      <c r="F2249">
        <v>23.762376237623702</v>
      </c>
    </row>
    <row r="2250" spans="1:6">
      <c r="A2250" t="s">
        <v>50664</v>
      </c>
      <c r="B2250" t="s">
        <v>50673</v>
      </c>
      <c r="C2250">
        <v>0</v>
      </c>
      <c r="D2250">
        <v>0.226588304702177</v>
      </c>
      <c r="E2250">
        <v>0.70900306126942503</v>
      </c>
      <c r="F2250">
        <v>23.762376237623702</v>
      </c>
    </row>
    <row r="2251" spans="1:6">
      <c r="A2251" t="s">
        <v>50674</v>
      </c>
      <c r="B2251" t="s">
        <v>50675</v>
      </c>
      <c r="C2251">
        <v>0</v>
      </c>
      <c r="D2251">
        <v>0.41958280948510301</v>
      </c>
      <c r="E2251">
        <v>0.75068743874134103</v>
      </c>
      <c r="F2251">
        <v>4.7379268539098804</v>
      </c>
    </row>
    <row r="2252" spans="1:6">
      <c r="A2252" t="s">
        <v>50674</v>
      </c>
      <c r="B2252" t="s">
        <v>50676</v>
      </c>
      <c r="C2252">
        <v>0.15881296318191501</v>
      </c>
      <c r="D2252">
        <v>0.41958280948510301</v>
      </c>
      <c r="E2252">
        <v>0.75068743874134103</v>
      </c>
      <c r="F2252">
        <v>4.7379268539098804</v>
      </c>
    </row>
    <row r="2253" spans="1:6">
      <c r="A2253" t="s">
        <v>50674</v>
      </c>
      <c r="B2253" t="s">
        <v>50677</v>
      </c>
      <c r="C2253">
        <v>0.21370482963689399</v>
      </c>
      <c r="D2253">
        <v>0.41958280948510301</v>
      </c>
      <c r="E2253">
        <v>0.75068743874134103</v>
      </c>
      <c r="F2253">
        <v>4.7379268539098804</v>
      </c>
    </row>
    <row r="2254" spans="1:6">
      <c r="A2254" t="s">
        <v>50674</v>
      </c>
      <c r="B2254" t="s">
        <v>50678</v>
      </c>
      <c r="C2254">
        <v>0</v>
      </c>
      <c r="D2254">
        <v>0.41958280948510301</v>
      </c>
      <c r="E2254">
        <v>0.75068743874134103</v>
      </c>
      <c r="F2254">
        <v>4.7379268539098804</v>
      </c>
    </row>
    <row r="2255" spans="1:6">
      <c r="A2255" t="s">
        <v>50679</v>
      </c>
      <c r="B2255" t="s">
        <v>50680</v>
      </c>
      <c r="C2255">
        <v>0.26456613873073498</v>
      </c>
      <c r="D2255">
        <v>7.6245986511873698E-2</v>
      </c>
      <c r="E2255">
        <v>0.93773462161927701</v>
      </c>
      <c r="F2255">
        <v>14.7084259446352</v>
      </c>
    </row>
    <row r="2256" spans="1:6">
      <c r="A2256" t="s">
        <v>50679</v>
      </c>
      <c r="B2256" t="s">
        <v>50681</v>
      </c>
      <c r="C2256">
        <v>0</v>
      </c>
      <c r="D2256">
        <v>7.6245986511873698E-2</v>
      </c>
      <c r="E2256">
        <v>0.93773462161927701</v>
      </c>
      <c r="F2256">
        <v>14.7084259446352</v>
      </c>
    </row>
    <row r="2257" spans="1:6">
      <c r="A2257" t="s">
        <v>50679</v>
      </c>
      <c r="B2257" t="s">
        <v>50682</v>
      </c>
      <c r="C2257">
        <v>0</v>
      </c>
      <c r="D2257">
        <v>7.6245986511873698E-2</v>
      </c>
      <c r="E2257">
        <v>0.93773462161927701</v>
      </c>
      <c r="F2257">
        <v>14.7084259446352</v>
      </c>
    </row>
    <row r="2258" spans="1:6">
      <c r="A2258" t="s">
        <v>50679</v>
      </c>
      <c r="B2258" t="s">
        <v>50683</v>
      </c>
      <c r="C2258">
        <v>0.89911407898041495</v>
      </c>
      <c r="D2258">
        <v>7.6245986511873698E-2</v>
      </c>
      <c r="E2258">
        <v>0.93773462161927701</v>
      </c>
      <c r="F2258">
        <v>14.7084259446352</v>
      </c>
    </row>
    <row r="2259" spans="1:6">
      <c r="A2259" t="s">
        <v>50684</v>
      </c>
      <c r="B2259" t="s">
        <v>50182</v>
      </c>
      <c r="C2259">
        <v>0.85934934881474501</v>
      </c>
      <c r="D2259">
        <v>0.47727097206644198</v>
      </c>
      <c r="E2259">
        <v>0.99164095338738001</v>
      </c>
      <c r="F2259">
        <v>10.028692665184799</v>
      </c>
    </row>
    <row r="2260" spans="1:6">
      <c r="A2260" t="s">
        <v>50684</v>
      </c>
      <c r="B2260" t="s">
        <v>50183</v>
      </c>
      <c r="C2260">
        <v>0.44879885269407599</v>
      </c>
      <c r="D2260">
        <v>0.47727097206644198</v>
      </c>
      <c r="E2260">
        <v>0.99164095338738001</v>
      </c>
      <c r="F2260">
        <v>10.028692665184799</v>
      </c>
    </row>
    <row r="2261" spans="1:6">
      <c r="A2261" t="s">
        <v>50685</v>
      </c>
      <c r="B2261" t="s">
        <v>50686</v>
      </c>
      <c r="C2261">
        <v>0.44128347837017401</v>
      </c>
      <c r="D2261">
        <v>7.9161531490995293E-2</v>
      </c>
      <c r="E2261">
        <v>0.92688717347355398</v>
      </c>
      <c r="F2261">
        <v>17.074964639320999</v>
      </c>
    </row>
    <row r="2262" spans="1:6">
      <c r="A2262" t="s">
        <v>50685</v>
      </c>
      <c r="B2262" t="s">
        <v>50687</v>
      </c>
      <c r="C2262">
        <v>0</v>
      </c>
      <c r="D2262">
        <v>7.9161531490995293E-2</v>
      </c>
      <c r="E2262">
        <v>0.92688717347355398</v>
      </c>
      <c r="F2262">
        <v>17.074964639320999</v>
      </c>
    </row>
    <row r="2263" spans="1:6">
      <c r="A2263" t="s">
        <v>50685</v>
      </c>
      <c r="B2263" t="s">
        <v>50688</v>
      </c>
      <c r="C2263">
        <v>0.252050521581695</v>
      </c>
      <c r="D2263">
        <v>7.9161531490995293E-2</v>
      </c>
      <c r="E2263">
        <v>0.92688717347355398</v>
      </c>
      <c r="F2263">
        <v>17.074964639320999</v>
      </c>
    </row>
    <row r="2264" spans="1:6">
      <c r="A2264" t="s">
        <v>50685</v>
      </c>
      <c r="B2264" t="s">
        <v>50689</v>
      </c>
      <c r="C2264">
        <v>0</v>
      </c>
      <c r="D2264">
        <v>7.9161531490995293E-2</v>
      </c>
      <c r="E2264">
        <v>0.92688717347355398</v>
      </c>
      <c r="F2264">
        <v>17.074964639320999</v>
      </c>
    </row>
    <row r="2265" spans="1:6">
      <c r="A2265" t="s">
        <v>50685</v>
      </c>
      <c r="B2265" t="s">
        <v>50690</v>
      </c>
      <c r="C2265">
        <v>0</v>
      </c>
      <c r="D2265">
        <v>7.9161531490995293E-2</v>
      </c>
      <c r="E2265">
        <v>0.92688717347355398</v>
      </c>
      <c r="F2265">
        <v>17.074964639320999</v>
      </c>
    </row>
    <row r="2266" spans="1:6">
      <c r="A2266" t="s">
        <v>50691</v>
      </c>
      <c r="B2266" t="s">
        <v>50692</v>
      </c>
      <c r="C2266">
        <v>0</v>
      </c>
      <c r="D2266">
        <v>0.11164247245520501</v>
      </c>
      <c r="E2266" t="s">
        <v>106</v>
      </c>
      <c r="F2266">
        <v>0.88260254596888199</v>
      </c>
    </row>
    <row r="2267" spans="1:6">
      <c r="A2267" t="s">
        <v>50691</v>
      </c>
      <c r="B2267" t="s">
        <v>50693</v>
      </c>
      <c r="C2267">
        <v>0</v>
      </c>
      <c r="D2267">
        <v>0.11164247245520501</v>
      </c>
      <c r="E2267" t="s">
        <v>106</v>
      </c>
      <c r="F2267">
        <v>0.88260254596888199</v>
      </c>
    </row>
    <row r="2268" spans="1:6">
      <c r="A2268" t="s">
        <v>50691</v>
      </c>
      <c r="B2268" t="s">
        <v>50694</v>
      </c>
      <c r="C2268">
        <v>0</v>
      </c>
      <c r="D2268">
        <v>0.11164247245520501</v>
      </c>
      <c r="E2268" t="s">
        <v>106</v>
      </c>
      <c r="F2268">
        <v>0.88260254596888199</v>
      </c>
    </row>
    <row r="2269" spans="1:6">
      <c r="A2269" t="s">
        <v>50691</v>
      </c>
      <c r="B2269" t="s">
        <v>50695</v>
      </c>
      <c r="C2269">
        <v>0</v>
      </c>
      <c r="D2269">
        <v>0.11164247245520501</v>
      </c>
      <c r="E2269" t="s">
        <v>106</v>
      </c>
      <c r="F2269">
        <v>0.88260254596888199</v>
      </c>
    </row>
    <row r="2270" spans="1:6">
      <c r="A2270" t="s">
        <v>50691</v>
      </c>
      <c r="B2270" t="s">
        <v>50696</v>
      </c>
      <c r="C2270">
        <v>0</v>
      </c>
      <c r="D2270">
        <v>0.11164247245520501</v>
      </c>
      <c r="E2270" t="s">
        <v>106</v>
      </c>
      <c r="F2270">
        <v>0.88260254596888199</v>
      </c>
    </row>
    <row r="2271" spans="1:6">
      <c r="A2271" t="s">
        <v>50691</v>
      </c>
      <c r="B2271" t="s">
        <v>50697</v>
      </c>
      <c r="C2271">
        <v>0</v>
      </c>
      <c r="D2271">
        <v>0.11164247245520501</v>
      </c>
      <c r="E2271" t="s">
        <v>106</v>
      </c>
      <c r="F2271">
        <v>0.88260254596888199</v>
      </c>
    </row>
    <row r="2272" spans="1:6">
      <c r="A2272" t="s">
        <v>50691</v>
      </c>
      <c r="B2272" t="s">
        <v>50698</v>
      </c>
      <c r="C2272">
        <v>0</v>
      </c>
      <c r="D2272">
        <v>0.11164247245520501</v>
      </c>
      <c r="E2272" t="s">
        <v>106</v>
      </c>
      <c r="F2272">
        <v>0.88260254596888199</v>
      </c>
    </row>
    <row r="2273" spans="1:6">
      <c r="A2273" t="s">
        <v>50691</v>
      </c>
      <c r="B2273" t="s">
        <v>50699</v>
      </c>
      <c r="C2273">
        <v>0</v>
      </c>
      <c r="D2273">
        <v>0.11164247245520501</v>
      </c>
      <c r="E2273" t="s">
        <v>106</v>
      </c>
      <c r="F2273">
        <v>0.88260254596888199</v>
      </c>
    </row>
    <row r="2274" spans="1:6">
      <c r="A2274" t="s">
        <v>50691</v>
      </c>
      <c r="B2274" t="s">
        <v>50700</v>
      </c>
      <c r="C2274">
        <v>0</v>
      </c>
      <c r="D2274">
        <v>0.11164247245520501</v>
      </c>
      <c r="E2274" t="s">
        <v>106</v>
      </c>
      <c r="F2274">
        <v>0.88260254596888199</v>
      </c>
    </row>
    <row r="2275" spans="1:6">
      <c r="A2275" t="s">
        <v>50691</v>
      </c>
      <c r="B2275" t="s">
        <v>50701</v>
      </c>
      <c r="C2275">
        <v>0</v>
      </c>
      <c r="D2275">
        <v>0.11164247245520501</v>
      </c>
      <c r="E2275" t="s">
        <v>106</v>
      </c>
      <c r="F2275">
        <v>0.88260254596888199</v>
      </c>
    </row>
    <row r="2276" spans="1:6">
      <c r="A2276" t="s">
        <v>50691</v>
      </c>
      <c r="B2276" t="s">
        <v>50702</v>
      </c>
      <c r="C2276">
        <v>0</v>
      </c>
      <c r="D2276">
        <v>0.11164247245520501</v>
      </c>
      <c r="E2276" t="s">
        <v>106</v>
      </c>
      <c r="F2276">
        <v>0.88260254596888199</v>
      </c>
    </row>
    <row r="2277" spans="1:6">
      <c r="A2277" t="s">
        <v>50691</v>
      </c>
      <c r="B2277" t="s">
        <v>50703</v>
      </c>
      <c r="C2277">
        <v>0</v>
      </c>
      <c r="D2277">
        <v>0.11164247245520501</v>
      </c>
      <c r="E2277" t="s">
        <v>106</v>
      </c>
      <c r="F2277">
        <v>0.88260254596888199</v>
      </c>
    </row>
    <row r="2278" spans="1:6">
      <c r="A2278" t="s">
        <v>50691</v>
      </c>
      <c r="B2278" t="s">
        <v>50704</v>
      </c>
      <c r="C2278">
        <v>0</v>
      </c>
      <c r="D2278">
        <v>0.11164247245520501</v>
      </c>
      <c r="E2278" t="s">
        <v>106</v>
      </c>
      <c r="F2278">
        <v>0.88260254596888199</v>
      </c>
    </row>
    <row r="2279" spans="1:6">
      <c r="A2279" t="s">
        <v>50691</v>
      </c>
      <c r="B2279" t="s">
        <v>50705</v>
      </c>
      <c r="C2279">
        <v>0</v>
      </c>
      <c r="D2279">
        <v>0.11164247245520501</v>
      </c>
      <c r="E2279" t="s">
        <v>106</v>
      </c>
      <c r="F2279">
        <v>0.88260254596888199</v>
      </c>
    </row>
    <row r="2280" spans="1:6">
      <c r="A2280" t="s">
        <v>50691</v>
      </c>
      <c r="B2280" t="s">
        <v>50706</v>
      </c>
      <c r="C2280">
        <v>0</v>
      </c>
      <c r="D2280">
        <v>0.11164247245520501</v>
      </c>
      <c r="E2280" t="s">
        <v>106</v>
      </c>
      <c r="F2280">
        <v>0.88260254596888199</v>
      </c>
    </row>
    <row r="2281" spans="1:6">
      <c r="A2281" t="s">
        <v>50707</v>
      </c>
      <c r="B2281" t="s">
        <v>50708</v>
      </c>
      <c r="C2281">
        <v>0</v>
      </c>
      <c r="D2281">
        <v>0.25990432461199497</v>
      </c>
      <c r="E2281">
        <v>0.98023174246459499</v>
      </c>
      <c r="F2281">
        <v>13.4087694483734</v>
      </c>
    </row>
    <row r="2282" spans="1:6">
      <c r="A2282" t="s">
        <v>50707</v>
      </c>
      <c r="B2282" t="s">
        <v>50709</v>
      </c>
      <c r="C2282">
        <v>0</v>
      </c>
      <c r="D2282">
        <v>0.25990432461199497</v>
      </c>
      <c r="E2282">
        <v>0.98023174246459499</v>
      </c>
      <c r="F2282">
        <v>13.4087694483734</v>
      </c>
    </row>
    <row r="2283" spans="1:6">
      <c r="A2283" t="s">
        <v>50707</v>
      </c>
      <c r="B2283" t="s">
        <v>50710</v>
      </c>
      <c r="C2283">
        <v>0.63719916392500997</v>
      </c>
      <c r="D2283">
        <v>0.25990432461199497</v>
      </c>
      <c r="E2283">
        <v>0.98023174246459499</v>
      </c>
      <c r="F2283">
        <v>13.4087694483734</v>
      </c>
    </row>
    <row r="2284" spans="1:6">
      <c r="A2284" t="s">
        <v>50707</v>
      </c>
      <c r="B2284" t="s">
        <v>50711</v>
      </c>
      <c r="C2284">
        <v>0</v>
      </c>
      <c r="D2284">
        <v>0.25990432461199497</v>
      </c>
      <c r="E2284">
        <v>0.98023174246459499</v>
      </c>
      <c r="F2284">
        <v>13.4087694483734</v>
      </c>
    </row>
    <row r="2285" spans="1:6">
      <c r="A2285" t="s">
        <v>50707</v>
      </c>
      <c r="B2285" t="s">
        <v>50712</v>
      </c>
      <c r="C2285">
        <v>0</v>
      </c>
      <c r="D2285">
        <v>0.25990432461199497</v>
      </c>
      <c r="E2285">
        <v>0.98023174246459499</v>
      </c>
      <c r="F2285">
        <v>13.4087694483734</v>
      </c>
    </row>
    <row r="2286" spans="1:6">
      <c r="A2286" t="s">
        <v>50707</v>
      </c>
      <c r="B2286" t="s">
        <v>50713</v>
      </c>
      <c r="C2286">
        <v>0</v>
      </c>
      <c r="D2286">
        <v>0.25990432461199497</v>
      </c>
      <c r="E2286">
        <v>0.98023174246459499</v>
      </c>
      <c r="F2286">
        <v>13.4087694483734</v>
      </c>
    </row>
    <row r="2287" spans="1:6">
      <c r="A2287" t="s">
        <v>50707</v>
      </c>
      <c r="B2287" t="s">
        <v>50714</v>
      </c>
      <c r="C2287">
        <v>0</v>
      </c>
      <c r="D2287">
        <v>0.25990432461199497</v>
      </c>
      <c r="E2287">
        <v>0.98023174246459499</v>
      </c>
      <c r="F2287">
        <v>13.4087694483734</v>
      </c>
    </row>
    <row r="2288" spans="1:6">
      <c r="A2288" t="s">
        <v>50707</v>
      </c>
      <c r="B2288" t="s">
        <v>50715</v>
      </c>
      <c r="C2288">
        <v>0</v>
      </c>
      <c r="D2288">
        <v>0.25990432461199497</v>
      </c>
      <c r="E2288">
        <v>0.98023174246459499</v>
      </c>
      <c r="F2288">
        <v>13.4087694483734</v>
      </c>
    </row>
    <row r="2289" spans="1:6">
      <c r="A2289" t="s">
        <v>50707</v>
      </c>
      <c r="B2289" t="s">
        <v>50716</v>
      </c>
      <c r="C2289">
        <v>0</v>
      </c>
      <c r="D2289">
        <v>0.25990432461199497</v>
      </c>
      <c r="E2289">
        <v>0.98023174246459499</v>
      </c>
      <c r="F2289">
        <v>13.4087694483734</v>
      </c>
    </row>
    <row r="2290" spans="1:6">
      <c r="A2290" t="s">
        <v>50707</v>
      </c>
      <c r="B2290" t="s">
        <v>50717</v>
      </c>
      <c r="C2290">
        <v>0</v>
      </c>
      <c r="D2290">
        <v>0.25990432461199497</v>
      </c>
      <c r="E2290">
        <v>0.98023174246459499</v>
      </c>
      <c r="F2290">
        <v>13.4087694483734</v>
      </c>
    </row>
    <row r="2291" spans="1:6">
      <c r="A2291" t="s">
        <v>50707</v>
      </c>
      <c r="B2291" t="s">
        <v>50718</v>
      </c>
      <c r="C2291">
        <v>0</v>
      </c>
      <c r="D2291">
        <v>0.25990432461199497</v>
      </c>
      <c r="E2291">
        <v>0.98023174246459499</v>
      </c>
      <c r="F2291">
        <v>13.4087694483734</v>
      </c>
    </row>
    <row r="2292" spans="1:6">
      <c r="A2292" t="s">
        <v>50707</v>
      </c>
      <c r="B2292" t="s">
        <v>50719</v>
      </c>
      <c r="C2292">
        <v>0</v>
      </c>
      <c r="D2292">
        <v>0.25990432461199497</v>
      </c>
      <c r="E2292">
        <v>0.98023174246459499</v>
      </c>
      <c r="F2292">
        <v>13.4087694483734</v>
      </c>
    </row>
    <row r="2293" spans="1:6">
      <c r="A2293" t="s">
        <v>50707</v>
      </c>
      <c r="B2293" t="s">
        <v>50720</v>
      </c>
      <c r="C2293">
        <v>0</v>
      </c>
      <c r="D2293">
        <v>0.25990432461199497</v>
      </c>
      <c r="E2293">
        <v>0.98023174246459499</v>
      </c>
      <c r="F2293">
        <v>13.4087694483734</v>
      </c>
    </row>
    <row r="2294" spans="1:6">
      <c r="A2294" t="s">
        <v>50707</v>
      </c>
      <c r="B2294" t="s">
        <v>50721</v>
      </c>
      <c r="C2294">
        <v>0</v>
      </c>
      <c r="D2294">
        <v>0.25990432461199497</v>
      </c>
      <c r="E2294">
        <v>0.98023174246459499</v>
      </c>
      <c r="F2294">
        <v>13.4087694483734</v>
      </c>
    </row>
    <row r="2295" spans="1:6">
      <c r="A2295" t="s">
        <v>50707</v>
      </c>
      <c r="B2295" t="s">
        <v>50722</v>
      </c>
      <c r="C2295">
        <v>0</v>
      </c>
      <c r="D2295">
        <v>0.25990432461199497</v>
      </c>
      <c r="E2295">
        <v>0.98023174246459499</v>
      </c>
      <c r="F2295">
        <v>13.4087694483734</v>
      </c>
    </row>
    <row r="2296" spans="1:6">
      <c r="A2296" t="s">
        <v>50707</v>
      </c>
      <c r="B2296" t="s">
        <v>50723</v>
      </c>
      <c r="C2296">
        <v>3.8375056059891499E-2</v>
      </c>
      <c r="D2296">
        <v>0.25990432461199497</v>
      </c>
      <c r="E2296">
        <v>0.98023174246459499</v>
      </c>
      <c r="F2296">
        <v>13.4087694483734</v>
      </c>
    </row>
    <row r="2297" spans="1:6">
      <c r="A2297" t="s">
        <v>50707</v>
      </c>
      <c r="B2297" t="s">
        <v>50724</v>
      </c>
      <c r="C2297">
        <v>0</v>
      </c>
      <c r="D2297">
        <v>0.25990432461199497</v>
      </c>
      <c r="E2297">
        <v>0.98023174246459499</v>
      </c>
      <c r="F2297">
        <v>13.4087694483734</v>
      </c>
    </row>
    <row r="2298" spans="1:6">
      <c r="A2298" t="s">
        <v>50707</v>
      </c>
      <c r="B2298" t="s">
        <v>50725</v>
      </c>
      <c r="C2298">
        <v>0</v>
      </c>
      <c r="D2298">
        <v>0.25990432461199497</v>
      </c>
      <c r="E2298">
        <v>0.98023174246459499</v>
      </c>
      <c r="F2298">
        <v>13.4087694483734</v>
      </c>
    </row>
    <row r="2299" spans="1:6">
      <c r="A2299" t="s">
        <v>50707</v>
      </c>
      <c r="B2299" t="s">
        <v>50726</v>
      </c>
      <c r="C2299">
        <v>0</v>
      </c>
      <c r="D2299">
        <v>0.25990432461199497</v>
      </c>
      <c r="E2299">
        <v>0.98023174246459499</v>
      </c>
      <c r="F2299">
        <v>13.4087694483734</v>
      </c>
    </row>
    <row r="2300" spans="1:6">
      <c r="A2300" t="s">
        <v>50707</v>
      </c>
      <c r="B2300" t="s">
        <v>50727</v>
      </c>
      <c r="C2300">
        <v>0</v>
      </c>
      <c r="D2300">
        <v>0.25990432461199497</v>
      </c>
      <c r="E2300">
        <v>0.98023174246459499</v>
      </c>
      <c r="F2300">
        <v>13.4087694483734</v>
      </c>
    </row>
    <row r="2301" spans="1:6">
      <c r="A2301" t="s">
        <v>50728</v>
      </c>
      <c r="B2301" t="s">
        <v>50729</v>
      </c>
      <c r="C2301">
        <v>6.93606915818442E-2</v>
      </c>
      <c r="D2301">
        <v>0.761832459724335</v>
      </c>
      <c r="E2301">
        <v>0.82021855448566305</v>
      </c>
      <c r="F2301">
        <v>11.158617902606499</v>
      </c>
    </row>
    <row r="2302" spans="1:6">
      <c r="A2302" t="s">
        <v>50728</v>
      </c>
      <c r="B2302" t="s">
        <v>50730</v>
      </c>
      <c r="C2302">
        <v>0</v>
      </c>
      <c r="D2302">
        <v>0.761832459724335</v>
      </c>
      <c r="E2302">
        <v>0.82021855448566305</v>
      </c>
      <c r="F2302">
        <v>11.158617902606499</v>
      </c>
    </row>
    <row r="2303" spans="1:6">
      <c r="A2303" t="s">
        <v>50728</v>
      </c>
      <c r="B2303" t="s">
        <v>50731</v>
      </c>
      <c r="C2303">
        <v>0</v>
      </c>
      <c r="D2303">
        <v>0.761832459724335</v>
      </c>
      <c r="E2303">
        <v>0.82021855448566305</v>
      </c>
      <c r="F2303">
        <v>11.158617902606499</v>
      </c>
    </row>
    <row r="2304" spans="1:6">
      <c r="A2304" t="s">
        <v>50728</v>
      </c>
      <c r="B2304" t="s">
        <v>50732</v>
      </c>
      <c r="C2304">
        <v>0</v>
      </c>
      <c r="D2304">
        <v>0.761832459724335</v>
      </c>
      <c r="E2304">
        <v>0.82021855448566305</v>
      </c>
      <c r="F2304">
        <v>11.158617902606499</v>
      </c>
    </row>
    <row r="2305" spans="1:6">
      <c r="A2305" t="s">
        <v>50728</v>
      </c>
      <c r="B2305" t="s">
        <v>50733</v>
      </c>
      <c r="C2305">
        <v>0.45254638611060999</v>
      </c>
      <c r="D2305">
        <v>0.761832459724335</v>
      </c>
      <c r="E2305">
        <v>0.82021855448566305</v>
      </c>
      <c r="F2305">
        <v>11.158617902606499</v>
      </c>
    </row>
    <row r="2306" spans="1:6">
      <c r="A2306" t="s">
        <v>50728</v>
      </c>
      <c r="B2306" t="s">
        <v>50734</v>
      </c>
      <c r="C2306">
        <v>0</v>
      </c>
      <c r="D2306">
        <v>0.761832459724335</v>
      </c>
      <c r="E2306">
        <v>0.82021855448566305</v>
      </c>
      <c r="F2306">
        <v>11.158617902606499</v>
      </c>
    </row>
    <row r="2307" spans="1:6">
      <c r="A2307" t="s">
        <v>50728</v>
      </c>
      <c r="B2307" t="s">
        <v>50735</v>
      </c>
      <c r="C2307">
        <v>0</v>
      </c>
      <c r="D2307">
        <v>0.761832459724335</v>
      </c>
      <c r="E2307">
        <v>0.82021855448566305</v>
      </c>
      <c r="F2307">
        <v>11.158617902606499</v>
      </c>
    </row>
    <row r="2308" spans="1:6">
      <c r="A2308" t="s">
        <v>50728</v>
      </c>
      <c r="B2308" t="s">
        <v>50736</v>
      </c>
      <c r="C2308">
        <v>0</v>
      </c>
      <c r="D2308">
        <v>0.761832459724335</v>
      </c>
      <c r="E2308">
        <v>0.82021855448566305</v>
      </c>
      <c r="F2308">
        <v>11.158617902606499</v>
      </c>
    </row>
    <row r="2309" spans="1:6">
      <c r="A2309" t="s">
        <v>50737</v>
      </c>
      <c r="B2309" t="s">
        <v>50738</v>
      </c>
      <c r="C2309">
        <v>0</v>
      </c>
      <c r="D2309">
        <v>0.55554997660613503</v>
      </c>
      <c r="E2309">
        <v>0.68480018900969797</v>
      </c>
      <c r="F2309">
        <v>1.9155384926247701</v>
      </c>
    </row>
    <row r="2310" spans="1:6">
      <c r="A2310" t="s">
        <v>50737</v>
      </c>
      <c r="B2310" t="s">
        <v>50739</v>
      </c>
      <c r="C2310">
        <v>0.37120018900969798</v>
      </c>
      <c r="D2310">
        <v>0.55554997660613503</v>
      </c>
      <c r="E2310">
        <v>0.68480018900969797</v>
      </c>
      <c r="F2310">
        <v>1.9155384926247701</v>
      </c>
    </row>
    <row r="2311" spans="1:6">
      <c r="A2311" t="s">
        <v>50740</v>
      </c>
      <c r="B2311" t="s">
        <v>50741</v>
      </c>
      <c r="C2311">
        <v>0</v>
      </c>
      <c r="D2311">
        <v>0.105589762204437</v>
      </c>
      <c r="E2311">
        <v>0.97564781493306296</v>
      </c>
      <c r="F2311">
        <v>16.667609618104599</v>
      </c>
    </row>
    <row r="2312" spans="1:6">
      <c r="A2312" t="s">
        <v>50740</v>
      </c>
      <c r="B2312" t="s">
        <v>50742</v>
      </c>
      <c r="C2312">
        <v>0.61189114677547296</v>
      </c>
      <c r="D2312">
        <v>0.105589762204437</v>
      </c>
      <c r="E2312">
        <v>0.97564781493306296</v>
      </c>
      <c r="F2312">
        <v>16.667609618104599</v>
      </c>
    </row>
    <row r="2313" spans="1:6">
      <c r="A2313" t="s">
        <v>50740</v>
      </c>
      <c r="B2313" t="s">
        <v>50743</v>
      </c>
      <c r="C2313">
        <v>0.35690497564457202</v>
      </c>
      <c r="D2313">
        <v>0.105589762204437</v>
      </c>
      <c r="E2313">
        <v>0.97564781493306296</v>
      </c>
      <c r="F2313">
        <v>16.667609618104599</v>
      </c>
    </row>
    <row r="2314" spans="1:6">
      <c r="A2314" t="s">
        <v>50740</v>
      </c>
      <c r="B2314" t="s">
        <v>50744</v>
      </c>
      <c r="C2314">
        <v>0</v>
      </c>
      <c r="D2314">
        <v>0.105589762204437</v>
      </c>
      <c r="E2314">
        <v>0.97564781493306296</v>
      </c>
      <c r="F2314">
        <v>16.667609618104599</v>
      </c>
    </row>
    <row r="2315" spans="1:6">
      <c r="A2315" t="s">
        <v>50740</v>
      </c>
      <c r="B2315" t="s">
        <v>50745</v>
      </c>
      <c r="C2315">
        <v>0</v>
      </c>
      <c r="D2315">
        <v>0.105589762204437</v>
      </c>
      <c r="E2315">
        <v>0.97564781493306296</v>
      </c>
      <c r="F2315">
        <v>16.667609618104599</v>
      </c>
    </row>
    <row r="2316" spans="1:6">
      <c r="A2316" t="s">
        <v>50746</v>
      </c>
      <c r="B2316" t="s">
        <v>50747</v>
      </c>
      <c r="C2316">
        <v>5.2146967881748697E-2</v>
      </c>
      <c r="D2316">
        <v>2.3919828796826099E-2</v>
      </c>
      <c r="E2316">
        <v>0.89063130278652802</v>
      </c>
      <c r="F2316">
        <v>11.158617902606499</v>
      </c>
    </row>
    <row r="2317" spans="1:6">
      <c r="A2317" t="s">
        <v>50746</v>
      </c>
      <c r="B2317" t="s">
        <v>50748</v>
      </c>
      <c r="C2317">
        <v>0</v>
      </c>
      <c r="D2317">
        <v>2.3919828796826099E-2</v>
      </c>
      <c r="E2317">
        <v>0.89063130278652802</v>
      </c>
      <c r="F2317">
        <v>11.158617902606499</v>
      </c>
    </row>
    <row r="2318" spans="1:6">
      <c r="A2318" t="s">
        <v>50746</v>
      </c>
      <c r="B2318" t="s">
        <v>50749</v>
      </c>
      <c r="C2318">
        <v>0.77376421304165399</v>
      </c>
      <c r="D2318">
        <v>2.3919828796826099E-2</v>
      </c>
      <c r="E2318">
        <v>0.89063130278652802</v>
      </c>
      <c r="F2318">
        <v>11.158617902606499</v>
      </c>
    </row>
    <row r="2319" spans="1:6">
      <c r="A2319" t="s">
        <v>50750</v>
      </c>
      <c r="B2319" t="s">
        <v>50751</v>
      </c>
      <c r="C2319">
        <v>0</v>
      </c>
      <c r="D2319">
        <v>0.31860318679060401</v>
      </c>
      <c r="E2319">
        <v>0.74157683811240804</v>
      </c>
      <c r="F2319">
        <v>3.62739947464134</v>
      </c>
    </row>
    <row r="2320" spans="1:6">
      <c r="A2320" t="s">
        <v>50750</v>
      </c>
      <c r="B2320" t="s">
        <v>50752</v>
      </c>
      <c r="C2320">
        <v>0</v>
      </c>
      <c r="D2320">
        <v>0.31860318679060401</v>
      </c>
      <c r="E2320">
        <v>0.74157683811240804</v>
      </c>
      <c r="F2320">
        <v>3.62739947464134</v>
      </c>
    </row>
    <row r="2321" spans="1:6">
      <c r="A2321" t="s">
        <v>50750</v>
      </c>
      <c r="B2321" t="s">
        <v>50753</v>
      </c>
      <c r="C2321">
        <v>0.381576838112408</v>
      </c>
      <c r="D2321">
        <v>0.31860318679060401</v>
      </c>
      <c r="E2321">
        <v>0.74157683811240804</v>
      </c>
      <c r="F2321">
        <v>3.62739947464134</v>
      </c>
    </row>
    <row r="2322" spans="1:6">
      <c r="A2322" t="s">
        <v>50750</v>
      </c>
      <c r="B2322" t="s">
        <v>50754</v>
      </c>
      <c r="C2322">
        <v>0</v>
      </c>
      <c r="D2322">
        <v>0.31860318679060401</v>
      </c>
      <c r="E2322">
        <v>0.74157683811240804</v>
      </c>
      <c r="F2322">
        <v>3.62739947464134</v>
      </c>
    </row>
    <row r="2323" spans="1:6">
      <c r="A2323" t="s">
        <v>50750</v>
      </c>
      <c r="B2323" t="s">
        <v>50755</v>
      </c>
      <c r="C2323">
        <v>0</v>
      </c>
      <c r="D2323">
        <v>0.31860318679060401</v>
      </c>
      <c r="E2323">
        <v>0.74157683811240804</v>
      </c>
      <c r="F2323">
        <v>3.62739947464134</v>
      </c>
    </row>
    <row r="2324" spans="1:6">
      <c r="A2324" t="s">
        <v>50756</v>
      </c>
      <c r="B2324" t="s">
        <v>50757</v>
      </c>
      <c r="C2324">
        <v>0</v>
      </c>
      <c r="D2324">
        <v>0.45996788560567903</v>
      </c>
      <c r="E2324">
        <v>0.96985724504066095</v>
      </c>
      <c r="F2324">
        <v>15.091533643160201</v>
      </c>
    </row>
    <row r="2325" spans="1:6">
      <c r="A2325" t="s">
        <v>50756</v>
      </c>
      <c r="B2325" t="s">
        <v>50758</v>
      </c>
      <c r="C2325">
        <v>0.78224093913603399</v>
      </c>
      <c r="D2325">
        <v>0.45996788560567903</v>
      </c>
      <c r="E2325">
        <v>0.96985724504066095</v>
      </c>
      <c r="F2325">
        <v>15.091533643160201</v>
      </c>
    </row>
    <row r="2326" spans="1:6">
      <c r="A2326" t="s">
        <v>50756</v>
      </c>
      <c r="B2326" t="s">
        <v>50759</v>
      </c>
      <c r="C2326">
        <v>0</v>
      </c>
      <c r="D2326">
        <v>0.45996788560567903</v>
      </c>
      <c r="E2326">
        <v>0.96985724504066095</v>
      </c>
      <c r="F2326">
        <v>15.091533643160201</v>
      </c>
    </row>
    <row r="2327" spans="1:6">
      <c r="A2327" t="s">
        <v>50756</v>
      </c>
      <c r="B2327" t="s">
        <v>50760</v>
      </c>
      <c r="C2327">
        <v>0</v>
      </c>
      <c r="D2327">
        <v>0.45996788560567903</v>
      </c>
      <c r="E2327">
        <v>0.96985724504066095</v>
      </c>
      <c r="F2327">
        <v>15.091533643160201</v>
      </c>
    </row>
    <row r="2328" spans="1:6">
      <c r="A2328" t="s">
        <v>50756</v>
      </c>
      <c r="B2328" t="s">
        <v>50761</v>
      </c>
      <c r="C2328">
        <v>4.2189093557528798E-2</v>
      </c>
      <c r="D2328">
        <v>0.45996788560567903</v>
      </c>
      <c r="E2328">
        <v>0.96985724504066095</v>
      </c>
      <c r="F2328">
        <v>15.091533643160201</v>
      </c>
    </row>
    <row r="2329" spans="1:6">
      <c r="A2329" t="s">
        <v>50762</v>
      </c>
      <c r="B2329" t="s">
        <v>50763</v>
      </c>
      <c r="C2329">
        <v>0</v>
      </c>
      <c r="D2329">
        <v>0.17070730963943401</v>
      </c>
      <c r="E2329">
        <v>0.90910997072423305</v>
      </c>
      <c r="F2329">
        <v>5.4071529601939696</v>
      </c>
    </row>
    <row r="2330" spans="1:6">
      <c r="A2330" t="s">
        <v>50762</v>
      </c>
      <c r="B2330" t="s">
        <v>50764</v>
      </c>
      <c r="C2330">
        <v>0</v>
      </c>
      <c r="D2330">
        <v>0.17070730963943401</v>
      </c>
      <c r="E2330">
        <v>0.90910997072423305</v>
      </c>
      <c r="F2330">
        <v>5.4071529601939696</v>
      </c>
    </row>
    <row r="2331" spans="1:6">
      <c r="A2331" t="s">
        <v>50762</v>
      </c>
      <c r="B2331" t="s">
        <v>50765</v>
      </c>
      <c r="C2331">
        <v>0</v>
      </c>
      <c r="D2331">
        <v>0.17070730963943401</v>
      </c>
      <c r="E2331">
        <v>0.90910997072423305</v>
      </c>
      <c r="F2331">
        <v>5.4071529601939696</v>
      </c>
    </row>
    <row r="2332" spans="1:6">
      <c r="A2332" t="s">
        <v>50762</v>
      </c>
      <c r="B2332" t="s">
        <v>50766</v>
      </c>
      <c r="C2332">
        <v>0.48510997072423201</v>
      </c>
      <c r="D2332">
        <v>0.17070730963943401</v>
      </c>
      <c r="E2332">
        <v>0.90910997072423305</v>
      </c>
      <c r="F2332">
        <v>5.4071529601939696</v>
      </c>
    </row>
    <row r="2333" spans="1:6">
      <c r="A2333" t="s">
        <v>50762</v>
      </c>
      <c r="B2333" t="s">
        <v>50767</v>
      </c>
      <c r="C2333">
        <v>0</v>
      </c>
      <c r="D2333">
        <v>0.17070730963943401</v>
      </c>
      <c r="E2333">
        <v>0.90910997072423305</v>
      </c>
      <c r="F2333">
        <v>5.4071529601939696</v>
      </c>
    </row>
    <row r="2334" spans="1:6">
      <c r="A2334" t="s">
        <v>50768</v>
      </c>
      <c r="B2334" t="s">
        <v>50763</v>
      </c>
      <c r="C2334">
        <v>0</v>
      </c>
      <c r="D2334">
        <v>0.23758336783939099</v>
      </c>
      <c r="E2334">
        <v>0.99444636820697696</v>
      </c>
      <c r="F2334">
        <v>1.78460295009092</v>
      </c>
    </row>
    <row r="2335" spans="1:6">
      <c r="A2335" t="s">
        <v>50768</v>
      </c>
      <c r="B2335" t="s">
        <v>50764</v>
      </c>
      <c r="C2335">
        <v>0.83010029838157995</v>
      </c>
      <c r="D2335">
        <v>0.23758336783939099</v>
      </c>
      <c r="E2335">
        <v>0.99444636820697696</v>
      </c>
      <c r="F2335">
        <v>1.78460295009092</v>
      </c>
    </row>
    <row r="2336" spans="1:6">
      <c r="A2336" t="s">
        <v>50768</v>
      </c>
      <c r="B2336" t="s">
        <v>50765</v>
      </c>
      <c r="C2336">
        <v>0</v>
      </c>
      <c r="D2336">
        <v>0.23758336783939099</v>
      </c>
      <c r="E2336">
        <v>0.99444636820697696</v>
      </c>
      <c r="F2336">
        <v>1.78460295009092</v>
      </c>
    </row>
    <row r="2337" spans="1:6">
      <c r="A2337" t="s">
        <v>50768</v>
      </c>
      <c r="B2337" t="s">
        <v>50766</v>
      </c>
      <c r="C2337">
        <v>0</v>
      </c>
      <c r="D2337">
        <v>0.23758336783939099</v>
      </c>
      <c r="E2337">
        <v>0.99444636820697696</v>
      </c>
      <c r="F2337">
        <v>1.78460295009092</v>
      </c>
    </row>
    <row r="2338" spans="1:6">
      <c r="A2338" t="s">
        <v>50768</v>
      </c>
      <c r="B2338" t="s">
        <v>50767</v>
      </c>
      <c r="C2338">
        <v>0.124425680724396</v>
      </c>
      <c r="D2338">
        <v>0.23758336783939099</v>
      </c>
      <c r="E2338">
        <v>0.99444636820697696</v>
      </c>
      <c r="F2338">
        <v>1.78460295009092</v>
      </c>
    </row>
    <row r="2339" spans="1:6">
      <c r="A2339" t="s">
        <v>50769</v>
      </c>
      <c r="B2339" t="s">
        <v>50770</v>
      </c>
      <c r="C2339">
        <v>0</v>
      </c>
      <c r="D2339">
        <v>0.44964713506486298</v>
      </c>
      <c r="E2339">
        <v>0.91491446722666503</v>
      </c>
      <c r="F2339">
        <v>14.8975550616286</v>
      </c>
    </row>
    <row r="2340" spans="1:6">
      <c r="A2340" t="s">
        <v>50769</v>
      </c>
      <c r="B2340" t="s">
        <v>50771</v>
      </c>
      <c r="C2340">
        <v>0</v>
      </c>
      <c r="D2340">
        <v>0.44964713506486298</v>
      </c>
      <c r="E2340">
        <v>0.91491446722666503</v>
      </c>
      <c r="F2340">
        <v>14.8975550616286</v>
      </c>
    </row>
    <row r="2341" spans="1:6">
      <c r="A2341" t="s">
        <v>50769</v>
      </c>
      <c r="B2341" t="s">
        <v>50772</v>
      </c>
      <c r="C2341">
        <v>0.22951331537556599</v>
      </c>
      <c r="D2341">
        <v>0.44964713506486298</v>
      </c>
      <c r="E2341">
        <v>0.91491446722666503</v>
      </c>
      <c r="F2341">
        <v>14.8975550616286</v>
      </c>
    </row>
    <row r="2342" spans="1:6">
      <c r="A2342" t="s">
        <v>50769</v>
      </c>
      <c r="B2342" t="s">
        <v>50773</v>
      </c>
      <c r="C2342">
        <v>0.61984989272803603</v>
      </c>
      <c r="D2342">
        <v>0.44964713506486298</v>
      </c>
      <c r="E2342">
        <v>0.91491446722666503</v>
      </c>
      <c r="F2342">
        <v>14.8975550616286</v>
      </c>
    </row>
    <row r="2343" spans="1:6">
      <c r="A2343" t="s">
        <v>50774</v>
      </c>
      <c r="B2343" t="s">
        <v>50775</v>
      </c>
      <c r="C2343">
        <v>0</v>
      </c>
      <c r="D2343">
        <v>0.53310526987936502</v>
      </c>
      <c r="E2343" t="s">
        <v>106</v>
      </c>
      <c r="F2343">
        <v>3.4431198221863002</v>
      </c>
    </row>
    <row r="2344" spans="1:6">
      <c r="A2344" t="s">
        <v>50774</v>
      </c>
      <c r="B2344" t="s">
        <v>50776</v>
      </c>
      <c r="C2344">
        <v>0</v>
      </c>
      <c r="D2344">
        <v>0.53310526987936502</v>
      </c>
      <c r="E2344" t="s">
        <v>106</v>
      </c>
      <c r="F2344">
        <v>3.4431198221863002</v>
      </c>
    </row>
    <row r="2345" spans="1:6">
      <c r="A2345" t="s">
        <v>50777</v>
      </c>
      <c r="B2345" t="s">
        <v>50778</v>
      </c>
      <c r="C2345">
        <v>0</v>
      </c>
      <c r="D2345">
        <v>4.0860782670152501E-3</v>
      </c>
      <c r="E2345" t="s">
        <v>106</v>
      </c>
      <c r="F2345">
        <v>4.8494645382905601E-3</v>
      </c>
    </row>
    <row r="2346" spans="1:6">
      <c r="A2346" t="s">
        <v>50777</v>
      </c>
      <c r="B2346" t="s">
        <v>50779</v>
      </c>
      <c r="C2346">
        <v>0</v>
      </c>
      <c r="D2346">
        <v>4.0860782670152501E-3</v>
      </c>
      <c r="E2346" t="s">
        <v>106</v>
      </c>
      <c r="F2346">
        <v>4.8494645382905601E-3</v>
      </c>
    </row>
    <row r="2347" spans="1:6">
      <c r="A2347" t="s">
        <v>50780</v>
      </c>
      <c r="B2347" t="s">
        <v>50781</v>
      </c>
      <c r="C2347">
        <v>0</v>
      </c>
      <c r="D2347">
        <v>0.149101628319283</v>
      </c>
      <c r="E2347">
        <v>0.82921664980563103</v>
      </c>
      <c r="F2347">
        <v>17.899373610830398</v>
      </c>
    </row>
    <row r="2348" spans="1:6">
      <c r="A2348" t="s">
        <v>50780</v>
      </c>
      <c r="B2348" t="s">
        <v>50782</v>
      </c>
      <c r="C2348">
        <v>0</v>
      </c>
      <c r="D2348">
        <v>0.149101628319283</v>
      </c>
      <c r="E2348">
        <v>0.82921664980563103</v>
      </c>
      <c r="F2348">
        <v>17.899373610830398</v>
      </c>
    </row>
    <row r="2349" spans="1:6">
      <c r="A2349" t="s">
        <v>50780</v>
      </c>
      <c r="B2349" t="s">
        <v>50783</v>
      </c>
      <c r="C2349">
        <v>0.23232112414647199</v>
      </c>
      <c r="D2349">
        <v>0.149101628319283</v>
      </c>
      <c r="E2349">
        <v>0.82921664980563103</v>
      </c>
      <c r="F2349">
        <v>17.899373610830398</v>
      </c>
    </row>
    <row r="2350" spans="1:6">
      <c r="A2350" t="s">
        <v>50780</v>
      </c>
      <c r="B2350" t="s">
        <v>50784</v>
      </c>
      <c r="C2350">
        <v>0</v>
      </c>
      <c r="D2350">
        <v>0.149101628319283</v>
      </c>
      <c r="E2350">
        <v>0.82921664980563103</v>
      </c>
      <c r="F2350">
        <v>17.899373610830398</v>
      </c>
    </row>
    <row r="2351" spans="1:6">
      <c r="A2351" t="s">
        <v>50780</v>
      </c>
      <c r="B2351" t="s">
        <v>50785</v>
      </c>
      <c r="C2351">
        <v>0</v>
      </c>
      <c r="D2351">
        <v>0.149101628319283</v>
      </c>
      <c r="E2351">
        <v>0.82921664980563103</v>
      </c>
      <c r="F2351">
        <v>17.899373610830398</v>
      </c>
    </row>
    <row r="2352" spans="1:6">
      <c r="A2352" t="s">
        <v>50780</v>
      </c>
      <c r="B2352" t="s">
        <v>50786</v>
      </c>
      <c r="C2352">
        <v>0.26030115841807699</v>
      </c>
      <c r="D2352">
        <v>0.149101628319283</v>
      </c>
      <c r="E2352">
        <v>0.82921664980563103</v>
      </c>
      <c r="F2352">
        <v>17.899373610830398</v>
      </c>
    </row>
    <row r="2353" spans="1:6">
      <c r="A2353" t="s">
        <v>50780</v>
      </c>
      <c r="B2353" t="s">
        <v>50787</v>
      </c>
      <c r="C2353">
        <v>0</v>
      </c>
      <c r="D2353">
        <v>0.149101628319283</v>
      </c>
      <c r="E2353">
        <v>0.82921664980563103</v>
      </c>
      <c r="F2353">
        <v>17.899373610830398</v>
      </c>
    </row>
    <row r="2354" spans="1:6">
      <c r="A2354" t="s">
        <v>50780</v>
      </c>
      <c r="B2354" t="s">
        <v>50788</v>
      </c>
      <c r="C2354">
        <v>0</v>
      </c>
      <c r="D2354">
        <v>0.149101628319283</v>
      </c>
      <c r="E2354">
        <v>0.82921664980563103</v>
      </c>
      <c r="F2354">
        <v>17.899373610830398</v>
      </c>
    </row>
    <row r="2355" spans="1:6">
      <c r="A2355" t="s">
        <v>50789</v>
      </c>
      <c r="B2355" t="s">
        <v>50790</v>
      </c>
      <c r="C2355">
        <v>0.16726323513102001</v>
      </c>
      <c r="D2355">
        <v>4.6448704059149998E-2</v>
      </c>
      <c r="E2355">
        <v>0.94134487460972704</v>
      </c>
      <c r="F2355">
        <v>14.330167710648601</v>
      </c>
    </row>
    <row r="2356" spans="1:6">
      <c r="A2356" t="s">
        <v>50789</v>
      </c>
      <c r="B2356" t="s">
        <v>50791</v>
      </c>
      <c r="C2356">
        <v>0.81961263066044199</v>
      </c>
      <c r="D2356">
        <v>4.6448704059149998E-2</v>
      </c>
      <c r="E2356">
        <v>0.94134487460972704</v>
      </c>
      <c r="F2356">
        <v>14.330167710648601</v>
      </c>
    </row>
    <row r="2357" spans="1:6">
      <c r="A2357" t="s">
        <v>50789</v>
      </c>
      <c r="B2357" t="s">
        <v>50792</v>
      </c>
      <c r="C2357">
        <v>0</v>
      </c>
      <c r="D2357">
        <v>4.6448704059149998E-2</v>
      </c>
      <c r="E2357">
        <v>0.94134487460972704</v>
      </c>
      <c r="F2357">
        <v>14.330167710648601</v>
      </c>
    </row>
    <row r="2358" spans="1:6">
      <c r="A2358" t="s">
        <v>50789</v>
      </c>
      <c r="B2358" t="s">
        <v>50793</v>
      </c>
      <c r="C2358">
        <v>0</v>
      </c>
      <c r="D2358">
        <v>4.6448704059149998E-2</v>
      </c>
      <c r="E2358">
        <v>0.94134487460972704</v>
      </c>
      <c r="F2358">
        <v>14.330167710648601</v>
      </c>
    </row>
    <row r="2359" spans="1:6">
      <c r="A2359" t="s">
        <v>50789</v>
      </c>
      <c r="B2359" t="s">
        <v>50794</v>
      </c>
      <c r="C2359">
        <v>0</v>
      </c>
      <c r="D2359">
        <v>4.6448704059149998E-2</v>
      </c>
      <c r="E2359">
        <v>0.94134487460972704</v>
      </c>
      <c r="F2359">
        <v>14.330167710648601</v>
      </c>
    </row>
    <row r="2360" spans="1:6">
      <c r="A2360" t="s">
        <v>50795</v>
      </c>
      <c r="B2360" t="s">
        <v>50796</v>
      </c>
      <c r="C2360">
        <v>0</v>
      </c>
      <c r="D2360">
        <v>0.268539517321423</v>
      </c>
      <c r="E2360">
        <v>0.84860007347386202</v>
      </c>
      <c r="F2360">
        <v>8.9618104667609604</v>
      </c>
    </row>
    <row r="2361" spans="1:6">
      <c r="A2361" t="s">
        <v>50795</v>
      </c>
      <c r="B2361" t="s">
        <v>50797</v>
      </c>
      <c r="C2361">
        <v>0</v>
      </c>
      <c r="D2361">
        <v>0.268539517321423</v>
      </c>
      <c r="E2361">
        <v>0.84860007347386202</v>
      </c>
      <c r="F2361">
        <v>8.9618104667609604</v>
      </c>
    </row>
    <row r="2362" spans="1:6">
      <c r="A2362" t="s">
        <v>50795</v>
      </c>
      <c r="B2362" t="s">
        <v>50798</v>
      </c>
      <c r="C2362">
        <v>0.52060007347386195</v>
      </c>
      <c r="D2362">
        <v>0.268539517321423</v>
      </c>
      <c r="E2362">
        <v>0.84860007347386202</v>
      </c>
      <c r="F2362">
        <v>8.9618104667609604</v>
      </c>
    </row>
    <row r="2363" spans="1:6">
      <c r="A2363" t="s">
        <v>50795</v>
      </c>
      <c r="B2363" t="s">
        <v>50799</v>
      </c>
      <c r="C2363">
        <v>0</v>
      </c>
      <c r="D2363">
        <v>0.268539517321423</v>
      </c>
      <c r="E2363">
        <v>0.84860007347386202</v>
      </c>
      <c r="F2363">
        <v>8.9618104667609604</v>
      </c>
    </row>
    <row r="2364" spans="1:6">
      <c r="A2364" t="s">
        <v>50800</v>
      </c>
      <c r="B2364" t="s">
        <v>50801</v>
      </c>
      <c r="C2364">
        <v>0</v>
      </c>
      <c r="D2364">
        <v>0.56567458492696798</v>
      </c>
      <c r="E2364">
        <v>0.86431317475923897</v>
      </c>
      <c r="F2364">
        <v>15.867447969286699</v>
      </c>
    </row>
    <row r="2365" spans="1:6">
      <c r="A2365" t="s">
        <v>50800</v>
      </c>
      <c r="B2365" t="s">
        <v>50802</v>
      </c>
      <c r="C2365">
        <v>0</v>
      </c>
      <c r="D2365">
        <v>0.56567458492696798</v>
      </c>
      <c r="E2365">
        <v>0.86431317475923897</v>
      </c>
      <c r="F2365">
        <v>15.867447969286699</v>
      </c>
    </row>
    <row r="2366" spans="1:6">
      <c r="A2366" t="s">
        <v>50800</v>
      </c>
      <c r="B2366" t="s">
        <v>50803</v>
      </c>
      <c r="C2366">
        <v>0</v>
      </c>
      <c r="D2366">
        <v>0.56567458492696798</v>
      </c>
      <c r="E2366">
        <v>0.86431317475923897</v>
      </c>
      <c r="F2366">
        <v>15.867447969286699</v>
      </c>
    </row>
    <row r="2367" spans="1:6">
      <c r="A2367" t="s">
        <v>50800</v>
      </c>
      <c r="B2367" t="s">
        <v>50804</v>
      </c>
      <c r="C2367">
        <v>0</v>
      </c>
      <c r="D2367">
        <v>0.56567458492696798</v>
      </c>
      <c r="E2367">
        <v>0.86431317475923897</v>
      </c>
      <c r="F2367">
        <v>15.867447969286699</v>
      </c>
    </row>
    <row r="2368" spans="1:6">
      <c r="A2368" t="s">
        <v>50800</v>
      </c>
      <c r="B2368" t="s">
        <v>50805</v>
      </c>
      <c r="C2368">
        <v>0</v>
      </c>
      <c r="D2368">
        <v>0.56567458492696798</v>
      </c>
      <c r="E2368">
        <v>0.86431317475923897</v>
      </c>
      <c r="F2368">
        <v>15.867447969286699</v>
      </c>
    </row>
    <row r="2369" spans="1:6">
      <c r="A2369" t="s">
        <v>50800</v>
      </c>
      <c r="B2369" t="s">
        <v>50806</v>
      </c>
      <c r="C2369">
        <v>0</v>
      </c>
      <c r="D2369">
        <v>0.56567458492696798</v>
      </c>
      <c r="E2369">
        <v>0.86431317475923897</v>
      </c>
      <c r="F2369">
        <v>15.867447969286699</v>
      </c>
    </row>
    <row r="2370" spans="1:6">
      <c r="A2370" t="s">
        <v>50800</v>
      </c>
      <c r="B2370" t="s">
        <v>50807</v>
      </c>
      <c r="C2370">
        <v>0</v>
      </c>
      <c r="D2370">
        <v>0.56567458492696798</v>
      </c>
      <c r="E2370">
        <v>0.86431317475923897</v>
      </c>
      <c r="F2370">
        <v>15.867447969286699</v>
      </c>
    </row>
    <row r="2371" spans="1:6">
      <c r="A2371" t="s">
        <v>50800</v>
      </c>
      <c r="B2371" t="s">
        <v>50808</v>
      </c>
      <c r="C2371">
        <v>0</v>
      </c>
      <c r="D2371">
        <v>0.56567458492696798</v>
      </c>
      <c r="E2371">
        <v>0.86431317475923897</v>
      </c>
      <c r="F2371">
        <v>15.867447969286699</v>
      </c>
    </row>
    <row r="2372" spans="1:6">
      <c r="A2372" t="s">
        <v>50800</v>
      </c>
      <c r="B2372" t="s">
        <v>50809</v>
      </c>
      <c r="C2372">
        <v>0.204049025697049</v>
      </c>
      <c r="D2372">
        <v>0.56567458492696798</v>
      </c>
      <c r="E2372">
        <v>0.86431317475923897</v>
      </c>
      <c r="F2372">
        <v>15.867447969286699</v>
      </c>
    </row>
    <row r="2373" spans="1:6">
      <c r="A2373" t="s">
        <v>50800</v>
      </c>
      <c r="B2373" t="s">
        <v>50810</v>
      </c>
      <c r="C2373">
        <v>0</v>
      </c>
      <c r="D2373">
        <v>0.56567458492696798</v>
      </c>
      <c r="E2373">
        <v>0.86431317475923897</v>
      </c>
      <c r="F2373">
        <v>15.867447969286699</v>
      </c>
    </row>
    <row r="2374" spans="1:6">
      <c r="A2374" t="s">
        <v>50800</v>
      </c>
      <c r="B2374" t="s">
        <v>50811</v>
      </c>
      <c r="C2374">
        <v>0</v>
      </c>
      <c r="D2374">
        <v>0.56567458492696798</v>
      </c>
      <c r="E2374">
        <v>0.86431317475923897</v>
      </c>
      <c r="F2374">
        <v>15.867447969286699</v>
      </c>
    </row>
    <row r="2375" spans="1:6">
      <c r="A2375" t="s">
        <v>50800</v>
      </c>
      <c r="B2375" t="s">
        <v>50812</v>
      </c>
      <c r="C2375">
        <v>0</v>
      </c>
      <c r="D2375">
        <v>0.56567458492696798</v>
      </c>
      <c r="E2375">
        <v>0.86431317475923897</v>
      </c>
      <c r="F2375">
        <v>15.867447969286699</v>
      </c>
    </row>
    <row r="2376" spans="1:6">
      <c r="A2376" t="s">
        <v>50800</v>
      </c>
      <c r="B2376" t="s">
        <v>50813</v>
      </c>
      <c r="C2376">
        <v>0</v>
      </c>
      <c r="D2376">
        <v>0.56567458492696798</v>
      </c>
      <c r="E2376">
        <v>0.86431317475923897</v>
      </c>
      <c r="F2376">
        <v>15.867447969286699</v>
      </c>
    </row>
    <row r="2377" spans="1:6">
      <c r="A2377" t="s">
        <v>50800</v>
      </c>
      <c r="B2377" t="s">
        <v>50814</v>
      </c>
      <c r="C2377">
        <v>1.3927502721221501E-2</v>
      </c>
      <c r="D2377">
        <v>0.56567458492696798</v>
      </c>
      <c r="E2377">
        <v>0.86431317475923897</v>
      </c>
      <c r="F2377">
        <v>15.867447969286699</v>
      </c>
    </row>
    <row r="2378" spans="1:6">
      <c r="A2378" t="s">
        <v>50815</v>
      </c>
      <c r="B2378" t="s">
        <v>50816</v>
      </c>
      <c r="C2378">
        <v>0</v>
      </c>
      <c r="D2378">
        <v>0.29885631768782001</v>
      </c>
      <c r="E2378">
        <v>0.96122958632051902</v>
      </c>
      <c r="F2378">
        <v>9.7183269347342893</v>
      </c>
    </row>
    <row r="2379" spans="1:6">
      <c r="A2379" t="s">
        <v>50815</v>
      </c>
      <c r="B2379" t="s">
        <v>50817</v>
      </c>
      <c r="C2379">
        <v>0</v>
      </c>
      <c r="D2379">
        <v>0.29885631768782001</v>
      </c>
      <c r="E2379">
        <v>0.96122958632051902</v>
      </c>
      <c r="F2379">
        <v>9.7183269347342893</v>
      </c>
    </row>
    <row r="2380" spans="1:6">
      <c r="A2380" t="s">
        <v>50815</v>
      </c>
      <c r="B2380" t="s">
        <v>50818</v>
      </c>
      <c r="C2380">
        <v>0.78042958632051895</v>
      </c>
      <c r="D2380">
        <v>0.29885631768782001</v>
      </c>
      <c r="E2380">
        <v>0.96122958632051902</v>
      </c>
      <c r="F2380">
        <v>9.7183269347342893</v>
      </c>
    </row>
    <row r="2381" spans="1:6">
      <c r="A2381" t="s">
        <v>50815</v>
      </c>
      <c r="B2381" t="s">
        <v>50819</v>
      </c>
      <c r="C2381">
        <v>0</v>
      </c>
      <c r="D2381">
        <v>0.29885631768782001</v>
      </c>
      <c r="E2381">
        <v>0.96122958632051902</v>
      </c>
      <c r="F2381">
        <v>9.7183269347342893</v>
      </c>
    </row>
    <row r="2382" spans="1:6">
      <c r="A2382" t="s">
        <v>50815</v>
      </c>
      <c r="B2382" t="s">
        <v>50820</v>
      </c>
      <c r="C2382">
        <v>0</v>
      </c>
      <c r="D2382">
        <v>0.29885631768782001</v>
      </c>
      <c r="E2382">
        <v>0.96122958632051902</v>
      </c>
      <c r="F2382">
        <v>9.7183269347342893</v>
      </c>
    </row>
    <row r="2383" spans="1:6">
      <c r="A2383" t="s">
        <v>50815</v>
      </c>
      <c r="B2383" t="s">
        <v>50821</v>
      </c>
      <c r="C2383">
        <v>0</v>
      </c>
      <c r="D2383">
        <v>0.29885631768782001</v>
      </c>
      <c r="E2383">
        <v>0.96122958632051902</v>
      </c>
      <c r="F2383">
        <v>9.7183269347342893</v>
      </c>
    </row>
    <row r="2384" spans="1:6">
      <c r="A2384" t="s">
        <v>50815</v>
      </c>
      <c r="B2384" t="s">
        <v>50822</v>
      </c>
      <c r="C2384">
        <v>0</v>
      </c>
      <c r="D2384">
        <v>0.29885631768782001</v>
      </c>
      <c r="E2384">
        <v>0.96122958632051902</v>
      </c>
      <c r="F2384">
        <v>9.7183269347342893</v>
      </c>
    </row>
    <row r="2385" spans="1:6">
      <c r="A2385" t="s">
        <v>50815</v>
      </c>
      <c r="B2385" t="s">
        <v>50823</v>
      </c>
      <c r="C2385">
        <v>0</v>
      </c>
      <c r="D2385">
        <v>0.29885631768782001</v>
      </c>
      <c r="E2385">
        <v>0.96122958632051902</v>
      </c>
      <c r="F2385">
        <v>9.7183269347342893</v>
      </c>
    </row>
    <row r="2386" spans="1:6">
      <c r="A2386" t="s">
        <v>50824</v>
      </c>
      <c r="B2386" t="s">
        <v>50825</v>
      </c>
      <c r="C2386">
        <v>0.33770489433673201</v>
      </c>
      <c r="D2386">
        <v>0.24645957736492199</v>
      </c>
      <c r="E2386">
        <v>0.86143107682694098</v>
      </c>
      <c r="F2386">
        <v>3.1715498080420201</v>
      </c>
    </row>
    <row r="2387" spans="1:6">
      <c r="A2387" t="s">
        <v>50824</v>
      </c>
      <c r="B2387" t="s">
        <v>50826</v>
      </c>
      <c r="C2387">
        <v>0</v>
      </c>
      <c r="D2387">
        <v>0.24645957736492199</v>
      </c>
      <c r="E2387">
        <v>0.86143107682694098</v>
      </c>
      <c r="F2387">
        <v>3.1715498080420201</v>
      </c>
    </row>
    <row r="2388" spans="1:6">
      <c r="A2388" t="s">
        <v>50824</v>
      </c>
      <c r="B2388" t="s">
        <v>50827</v>
      </c>
      <c r="C2388">
        <v>0</v>
      </c>
      <c r="D2388">
        <v>0.24645957736492199</v>
      </c>
      <c r="E2388">
        <v>0.86143107682694098</v>
      </c>
      <c r="F2388">
        <v>3.1715498080420201</v>
      </c>
    </row>
    <row r="2389" spans="1:6">
      <c r="A2389" t="s">
        <v>50824</v>
      </c>
      <c r="B2389" t="s">
        <v>50828</v>
      </c>
      <c r="C2389">
        <v>0</v>
      </c>
      <c r="D2389">
        <v>0.24645957736492199</v>
      </c>
      <c r="E2389">
        <v>0.86143107682694098</v>
      </c>
      <c r="F2389">
        <v>3.1715498080420201</v>
      </c>
    </row>
    <row r="2390" spans="1:6">
      <c r="A2390" t="s">
        <v>50824</v>
      </c>
      <c r="B2390" t="s">
        <v>50829</v>
      </c>
      <c r="C2390">
        <v>0</v>
      </c>
      <c r="D2390">
        <v>0.24645957736492199</v>
      </c>
      <c r="E2390">
        <v>0.86143107682694098</v>
      </c>
      <c r="F2390">
        <v>3.1715498080420201</v>
      </c>
    </row>
    <row r="2391" spans="1:6">
      <c r="A2391" t="s">
        <v>50824</v>
      </c>
      <c r="B2391" t="s">
        <v>50830</v>
      </c>
      <c r="C2391">
        <v>0</v>
      </c>
      <c r="D2391">
        <v>0.24645957736492199</v>
      </c>
      <c r="E2391">
        <v>0.86143107682694098</v>
      </c>
      <c r="F2391">
        <v>3.1715498080420201</v>
      </c>
    </row>
    <row r="2392" spans="1:6">
      <c r="A2392" t="s">
        <v>50824</v>
      </c>
      <c r="B2392" t="s">
        <v>50831</v>
      </c>
      <c r="C2392">
        <v>0</v>
      </c>
      <c r="D2392">
        <v>0.24645957736492199</v>
      </c>
      <c r="E2392">
        <v>0.86143107682694098</v>
      </c>
      <c r="F2392">
        <v>3.1715498080420201</v>
      </c>
    </row>
    <row r="2393" spans="1:6">
      <c r="A2393" t="s">
        <v>50824</v>
      </c>
      <c r="B2393" t="s">
        <v>50832</v>
      </c>
      <c r="C2393">
        <v>0.17385233051819499</v>
      </c>
      <c r="D2393">
        <v>0.24645957736492199</v>
      </c>
      <c r="E2393">
        <v>0.86143107682694098</v>
      </c>
      <c r="F2393">
        <v>3.1715498080420201</v>
      </c>
    </row>
    <row r="2394" spans="1:6">
      <c r="A2394" t="s">
        <v>50824</v>
      </c>
      <c r="B2394" t="s">
        <v>50833</v>
      </c>
      <c r="C2394">
        <v>0</v>
      </c>
      <c r="D2394">
        <v>0.24645957736492199</v>
      </c>
      <c r="E2394">
        <v>0.86143107682694098</v>
      </c>
      <c r="F2394">
        <v>3.1715498080420201</v>
      </c>
    </row>
    <row r="2395" spans="1:6">
      <c r="A2395" t="s">
        <v>50824</v>
      </c>
      <c r="B2395" t="s">
        <v>50834</v>
      </c>
      <c r="C2395">
        <v>0</v>
      </c>
      <c r="D2395">
        <v>0.24645957736492199</v>
      </c>
      <c r="E2395">
        <v>0.86143107682694098</v>
      </c>
      <c r="F2395">
        <v>3.1715498080420201</v>
      </c>
    </row>
    <row r="2396" spans="1:6">
      <c r="A2396" t="s">
        <v>50824</v>
      </c>
      <c r="B2396" t="s">
        <v>50835</v>
      </c>
      <c r="C2396">
        <v>0</v>
      </c>
      <c r="D2396">
        <v>0.24645957736492199</v>
      </c>
      <c r="E2396">
        <v>0.86143107682694098</v>
      </c>
      <c r="F2396">
        <v>3.1715498080420201</v>
      </c>
    </row>
    <row r="2397" spans="1:6">
      <c r="A2397" t="s">
        <v>50824</v>
      </c>
      <c r="B2397" t="s">
        <v>50836</v>
      </c>
      <c r="C2397">
        <v>0</v>
      </c>
      <c r="D2397">
        <v>0.24645957736492199</v>
      </c>
      <c r="E2397">
        <v>0.86143107682694098</v>
      </c>
      <c r="F2397">
        <v>3.1715498080420201</v>
      </c>
    </row>
    <row r="2398" spans="1:6">
      <c r="A2398" t="s">
        <v>50837</v>
      </c>
      <c r="B2398" t="s">
        <v>50838</v>
      </c>
      <c r="C2398">
        <v>0</v>
      </c>
      <c r="D2398">
        <v>0.134805862676875</v>
      </c>
      <c r="E2398">
        <v>0.99648966612939704</v>
      </c>
      <c r="F2398">
        <v>14.330167710648601</v>
      </c>
    </row>
    <row r="2399" spans="1:6">
      <c r="A2399" t="s">
        <v>50837</v>
      </c>
      <c r="B2399" t="s">
        <v>50839</v>
      </c>
      <c r="C2399">
        <v>0</v>
      </c>
      <c r="D2399">
        <v>0.134805862676875</v>
      </c>
      <c r="E2399">
        <v>0.99648966612939704</v>
      </c>
      <c r="F2399">
        <v>14.330167710648601</v>
      </c>
    </row>
    <row r="2400" spans="1:6">
      <c r="A2400" t="s">
        <v>50837</v>
      </c>
      <c r="B2400" t="s">
        <v>50840</v>
      </c>
      <c r="C2400">
        <v>0.95465519196279702</v>
      </c>
      <c r="D2400">
        <v>0.134805862676875</v>
      </c>
      <c r="E2400">
        <v>0.99648966612939704</v>
      </c>
      <c r="F2400">
        <v>14.330167710648601</v>
      </c>
    </row>
    <row r="2401" spans="1:6">
      <c r="A2401" t="s">
        <v>50837</v>
      </c>
      <c r="B2401" t="s">
        <v>50841</v>
      </c>
      <c r="C2401">
        <v>0</v>
      </c>
      <c r="D2401">
        <v>0.134805862676875</v>
      </c>
      <c r="E2401">
        <v>0.99648966612939704</v>
      </c>
      <c r="F2401">
        <v>14.330167710648601</v>
      </c>
    </row>
    <row r="2402" spans="1:6">
      <c r="A2402" t="s">
        <v>50837</v>
      </c>
      <c r="B2402" t="s">
        <v>50842</v>
      </c>
      <c r="C2402">
        <v>0.33322372161629499</v>
      </c>
      <c r="D2402">
        <v>0.134805862676875</v>
      </c>
      <c r="E2402">
        <v>0.99648966612939704</v>
      </c>
      <c r="F2402">
        <v>14.330167710648601</v>
      </c>
    </row>
    <row r="2403" spans="1:6">
      <c r="A2403" t="s">
        <v>50837</v>
      </c>
      <c r="B2403" t="s">
        <v>50843</v>
      </c>
      <c r="C2403">
        <v>0</v>
      </c>
      <c r="D2403">
        <v>0.134805862676875</v>
      </c>
      <c r="E2403">
        <v>0.99648966612939704</v>
      </c>
      <c r="F2403">
        <v>14.330167710648601</v>
      </c>
    </row>
    <row r="2404" spans="1:6">
      <c r="A2404" t="s">
        <v>50837</v>
      </c>
      <c r="B2404" t="s">
        <v>50844</v>
      </c>
      <c r="C2404">
        <v>0</v>
      </c>
      <c r="D2404">
        <v>0.134805862676875</v>
      </c>
      <c r="E2404">
        <v>0.99648966612939704</v>
      </c>
      <c r="F2404">
        <v>14.330167710648601</v>
      </c>
    </row>
    <row r="2405" spans="1:6">
      <c r="A2405" t="s">
        <v>50845</v>
      </c>
      <c r="B2405" t="s">
        <v>50846</v>
      </c>
      <c r="C2405">
        <v>0</v>
      </c>
      <c r="D2405">
        <v>0.34582555351597399</v>
      </c>
      <c r="E2405">
        <v>0.85678994681355003</v>
      </c>
      <c r="F2405">
        <v>1.8476459890887</v>
      </c>
    </row>
    <row r="2406" spans="1:6">
      <c r="A2406" t="s">
        <v>50845</v>
      </c>
      <c r="B2406" t="s">
        <v>50847</v>
      </c>
      <c r="C2406">
        <v>0</v>
      </c>
      <c r="D2406">
        <v>0.34582555351597399</v>
      </c>
      <c r="E2406">
        <v>0.85678994681355003</v>
      </c>
      <c r="F2406">
        <v>1.8476459890887</v>
      </c>
    </row>
    <row r="2407" spans="1:6">
      <c r="A2407" t="s">
        <v>50845</v>
      </c>
      <c r="B2407" t="s">
        <v>50848</v>
      </c>
      <c r="C2407">
        <v>0</v>
      </c>
      <c r="D2407">
        <v>0.34582555351597399</v>
      </c>
      <c r="E2407">
        <v>0.85678994681355003</v>
      </c>
      <c r="F2407">
        <v>1.8476459890887</v>
      </c>
    </row>
    <row r="2408" spans="1:6">
      <c r="A2408" t="s">
        <v>50845</v>
      </c>
      <c r="B2408" t="s">
        <v>50849</v>
      </c>
      <c r="C2408">
        <v>0.42638994681355002</v>
      </c>
      <c r="D2408">
        <v>0.34582555351597399</v>
      </c>
      <c r="E2408">
        <v>0.85678994681355003</v>
      </c>
      <c r="F2408">
        <v>1.8476459890887</v>
      </c>
    </row>
    <row r="2409" spans="1:6">
      <c r="A2409" t="s">
        <v>50850</v>
      </c>
      <c r="B2409" t="s">
        <v>50851</v>
      </c>
      <c r="C2409">
        <v>1.1513927470830501</v>
      </c>
      <c r="D2409">
        <v>0.69522386900409905</v>
      </c>
      <c r="E2409">
        <v>0.94908235894152504</v>
      </c>
      <c r="F2409">
        <v>20.503536067892501</v>
      </c>
    </row>
    <row r="2410" spans="1:6">
      <c r="A2410" t="s">
        <v>50850</v>
      </c>
      <c r="B2410" t="s">
        <v>50852</v>
      </c>
      <c r="C2410">
        <v>0.66211424409243502</v>
      </c>
      <c r="D2410">
        <v>0.69522386900409905</v>
      </c>
      <c r="E2410">
        <v>0.94908235894152504</v>
      </c>
      <c r="F2410">
        <v>20.503536067892501</v>
      </c>
    </row>
    <row r="2411" spans="1:6">
      <c r="A2411" t="s">
        <v>50850</v>
      </c>
      <c r="B2411" t="s">
        <v>50853</v>
      </c>
      <c r="C2411">
        <v>0</v>
      </c>
      <c r="D2411">
        <v>0.69522386900409905</v>
      </c>
      <c r="E2411">
        <v>0.94908235894152504</v>
      </c>
      <c r="F2411">
        <v>20.503536067892501</v>
      </c>
    </row>
    <row r="2412" spans="1:6">
      <c r="A2412" t="s">
        <v>50854</v>
      </c>
      <c r="B2412" t="s">
        <v>50855</v>
      </c>
      <c r="C2412">
        <v>0.57042196993079697</v>
      </c>
      <c r="D2412">
        <v>0.72753432483551495</v>
      </c>
      <c r="E2412">
        <v>0.95875055909506801</v>
      </c>
      <c r="F2412">
        <v>20.9545362699535</v>
      </c>
    </row>
    <row r="2413" spans="1:6">
      <c r="A2413" t="s">
        <v>50854</v>
      </c>
      <c r="B2413" t="s">
        <v>50856</v>
      </c>
      <c r="C2413">
        <v>0</v>
      </c>
      <c r="D2413">
        <v>0.72753432483551495</v>
      </c>
      <c r="E2413">
        <v>0.95875055909506801</v>
      </c>
      <c r="F2413">
        <v>20.9545362699535</v>
      </c>
    </row>
    <row r="2414" spans="1:6">
      <c r="A2414" t="s">
        <v>50854</v>
      </c>
      <c r="B2414" t="s">
        <v>50857</v>
      </c>
      <c r="C2414">
        <v>0.36575924933756199</v>
      </c>
      <c r="D2414">
        <v>0.72753432483551495</v>
      </c>
      <c r="E2414">
        <v>0.95875055909506801</v>
      </c>
      <c r="F2414">
        <v>20.9545362699535</v>
      </c>
    </row>
    <row r="2415" spans="1:6">
      <c r="A2415" t="s">
        <v>50858</v>
      </c>
      <c r="B2415" t="s">
        <v>50859</v>
      </c>
      <c r="C2415">
        <v>0.79138928947848597</v>
      </c>
      <c r="D2415">
        <v>0.55660580026726802</v>
      </c>
      <c r="E2415">
        <v>0.97711430864951698</v>
      </c>
      <c r="F2415">
        <v>10.1887249949484</v>
      </c>
    </row>
    <row r="2416" spans="1:6">
      <c r="A2416" t="s">
        <v>50858</v>
      </c>
      <c r="B2416" t="s">
        <v>50860</v>
      </c>
      <c r="C2416">
        <v>0</v>
      </c>
      <c r="D2416">
        <v>0.55660580026726802</v>
      </c>
      <c r="E2416">
        <v>0.97711430864951698</v>
      </c>
      <c r="F2416">
        <v>10.1887249949484</v>
      </c>
    </row>
    <row r="2417" spans="1:6">
      <c r="A2417" t="s">
        <v>50858</v>
      </c>
      <c r="B2417" t="s">
        <v>50861</v>
      </c>
      <c r="C2417">
        <v>0</v>
      </c>
      <c r="D2417">
        <v>0.55660580026726802</v>
      </c>
      <c r="E2417">
        <v>0.97711430864951698</v>
      </c>
      <c r="F2417">
        <v>10.1887249949484</v>
      </c>
    </row>
    <row r="2418" spans="1:6">
      <c r="A2418" t="s">
        <v>50858</v>
      </c>
      <c r="B2418" t="s">
        <v>50862</v>
      </c>
      <c r="C2418">
        <v>0</v>
      </c>
      <c r="D2418">
        <v>0.55660580026726802</v>
      </c>
      <c r="E2418">
        <v>0.97711430864951698</v>
      </c>
      <c r="F2418">
        <v>10.1887249949484</v>
      </c>
    </row>
    <row r="2419" spans="1:6">
      <c r="A2419" t="s">
        <v>50858</v>
      </c>
      <c r="B2419" t="s">
        <v>50863</v>
      </c>
      <c r="C2419">
        <v>0</v>
      </c>
      <c r="D2419">
        <v>0.55660580026726802</v>
      </c>
      <c r="E2419">
        <v>0.97711430864951698</v>
      </c>
      <c r="F2419">
        <v>10.1887249949484</v>
      </c>
    </row>
    <row r="2420" spans="1:6">
      <c r="A2420" t="s">
        <v>50858</v>
      </c>
      <c r="B2420" t="s">
        <v>50864</v>
      </c>
      <c r="C2420">
        <v>0.13503325299371799</v>
      </c>
      <c r="D2420">
        <v>0.55660580026726802</v>
      </c>
      <c r="E2420">
        <v>0.97711430864951698</v>
      </c>
      <c r="F2420">
        <v>10.1887249949484</v>
      </c>
    </row>
    <row r="2421" spans="1:6">
      <c r="A2421" t="s">
        <v>50858</v>
      </c>
      <c r="B2421" t="s">
        <v>50865</v>
      </c>
      <c r="C2421">
        <v>0</v>
      </c>
      <c r="D2421">
        <v>0.55660580026726802</v>
      </c>
      <c r="E2421">
        <v>0.97711430864951698</v>
      </c>
      <c r="F2421">
        <v>10.1887249949484</v>
      </c>
    </row>
    <row r="2422" spans="1:6">
      <c r="A2422" t="s">
        <v>50866</v>
      </c>
      <c r="B2422" t="s">
        <v>50867</v>
      </c>
      <c r="C2422">
        <v>0</v>
      </c>
      <c r="D2422">
        <v>3.8309644649678898E-2</v>
      </c>
      <c r="E2422">
        <v>0.99247108805113005</v>
      </c>
      <c r="F2422">
        <v>11.4883814912103</v>
      </c>
    </row>
    <row r="2423" spans="1:6">
      <c r="A2423" t="s">
        <v>50866</v>
      </c>
      <c r="B2423" t="s">
        <v>50868</v>
      </c>
      <c r="C2423">
        <v>0.665069781178104</v>
      </c>
      <c r="D2423">
        <v>3.8309644649678898E-2</v>
      </c>
      <c r="E2423">
        <v>0.99247108805113005</v>
      </c>
      <c r="F2423">
        <v>11.4883814912103</v>
      </c>
    </row>
    <row r="2424" spans="1:6">
      <c r="A2424" t="s">
        <v>50866</v>
      </c>
      <c r="B2424" t="s">
        <v>50869</v>
      </c>
      <c r="C2424">
        <v>0</v>
      </c>
      <c r="D2424">
        <v>3.8309644649678898E-2</v>
      </c>
      <c r="E2424">
        <v>0.99247108805113005</v>
      </c>
      <c r="F2424">
        <v>11.4883814912103</v>
      </c>
    </row>
    <row r="2425" spans="1:6">
      <c r="A2425" t="s">
        <v>50866</v>
      </c>
      <c r="B2425" t="s">
        <v>50870</v>
      </c>
      <c r="C2425">
        <v>0</v>
      </c>
      <c r="D2425">
        <v>3.8309644649678898E-2</v>
      </c>
      <c r="E2425">
        <v>0.99247108805113005</v>
      </c>
      <c r="F2425">
        <v>11.4883814912103</v>
      </c>
    </row>
    <row r="2426" spans="1:6">
      <c r="A2426" t="s">
        <v>50866</v>
      </c>
      <c r="B2426" t="s">
        <v>50871</v>
      </c>
      <c r="C2426">
        <v>0</v>
      </c>
      <c r="D2426">
        <v>3.8309644649678898E-2</v>
      </c>
      <c r="E2426">
        <v>0.99247108805113005</v>
      </c>
      <c r="F2426">
        <v>11.4883814912103</v>
      </c>
    </row>
    <row r="2427" spans="1:6">
      <c r="A2427" t="s">
        <v>50866</v>
      </c>
      <c r="B2427" t="s">
        <v>50872</v>
      </c>
      <c r="C2427">
        <v>0.134329213154018</v>
      </c>
      <c r="D2427">
        <v>3.8309644649678898E-2</v>
      </c>
      <c r="E2427">
        <v>0.99247108805113005</v>
      </c>
      <c r="F2427">
        <v>11.4883814912103</v>
      </c>
    </row>
    <row r="2428" spans="1:6">
      <c r="A2428" t="s">
        <v>50866</v>
      </c>
      <c r="B2428" t="s">
        <v>50873</v>
      </c>
      <c r="C2428">
        <v>0</v>
      </c>
      <c r="D2428">
        <v>3.8309644649678898E-2</v>
      </c>
      <c r="E2428">
        <v>0.99247108805113005</v>
      </c>
      <c r="F2428">
        <v>11.4883814912103</v>
      </c>
    </row>
    <row r="2429" spans="1:6">
      <c r="A2429" t="s">
        <v>50874</v>
      </c>
      <c r="B2429" t="s">
        <v>50875</v>
      </c>
      <c r="C2429">
        <v>0.32249484597891998</v>
      </c>
      <c r="D2429">
        <v>7.9442712711611504E-2</v>
      </c>
      <c r="E2429">
        <v>0.93732941729653396</v>
      </c>
      <c r="F2429">
        <v>6.7504546373004599</v>
      </c>
    </row>
    <row r="2430" spans="1:6">
      <c r="A2430" t="s">
        <v>50874</v>
      </c>
      <c r="B2430" t="s">
        <v>50876</v>
      </c>
      <c r="C2430">
        <v>0</v>
      </c>
      <c r="D2430">
        <v>7.9442712711611504E-2</v>
      </c>
      <c r="E2430">
        <v>0.93732941729653396</v>
      </c>
      <c r="F2430">
        <v>6.7504546373004599</v>
      </c>
    </row>
    <row r="2431" spans="1:6">
      <c r="A2431" t="s">
        <v>50874</v>
      </c>
      <c r="B2431" t="s">
        <v>50877</v>
      </c>
      <c r="C2431">
        <v>0.64388740166301595</v>
      </c>
      <c r="D2431">
        <v>7.9442712711611504E-2</v>
      </c>
      <c r="E2431">
        <v>0.93732941729653396</v>
      </c>
      <c r="F2431">
        <v>6.7504546373004599</v>
      </c>
    </row>
    <row r="2432" spans="1:6">
      <c r="A2432" t="s">
        <v>50874</v>
      </c>
      <c r="B2432" t="s">
        <v>50878</v>
      </c>
      <c r="C2432">
        <v>0</v>
      </c>
      <c r="D2432">
        <v>7.9442712711611504E-2</v>
      </c>
      <c r="E2432">
        <v>0.93732941729653396</v>
      </c>
      <c r="F2432">
        <v>6.7504546373004599</v>
      </c>
    </row>
    <row r="2433" spans="1:6">
      <c r="A2433" t="s">
        <v>50879</v>
      </c>
      <c r="B2433" t="s">
        <v>50880</v>
      </c>
      <c r="C2433">
        <v>0</v>
      </c>
      <c r="D2433">
        <v>1.89147849359887E-2</v>
      </c>
      <c r="E2433">
        <v>0.789623858763425</v>
      </c>
      <c r="F2433">
        <v>0.66437664174580702</v>
      </c>
    </row>
    <row r="2434" spans="1:6">
      <c r="A2434" t="s">
        <v>50879</v>
      </c>
      <c r="B2434" t="s">
        <v>50881</v>
      </c>
      <c r="C2434">
        <v>0.51762385876342598</v>
      </c>
      <c r="D2434">
        <v>1.89147849359887E-2</v>
      </c>
      <c r="E2434">
        <v>0.789623858763425</v>
      </c>
      <c r="F2434">
        <v>0.66437664174580702</v>
      </c>
    </row>
    <row r="2435" spans="1:6">
      <c r="A2435" t="s">
        <v>50879</v>
      </c>
      <c r="B2435" t="s">
        <v>50882</v>
      </c>
      <c r="C2435">
        <v>0</v>
      </c>
      <c r="D2435">
        <v>1.89147849359887E-2</v>
      </c>
      <c r="E2435">
        <v>0.789623858763425</v>
      </c>
      <c r="F2435">
        <v>0.66437664174580702</v>
      </c>
    </row>
    <row r="2436" spans="1:6">
      <c r="A2436" t="s">
        <v>50879</v>
      </c>
      <c r="B2436" t="s">
        <v>50883</v>
      </c>
      <c r="C2436">
        <v>0</v>
      </c>
      <c r="D2436">
        <v>1.89147849359887E-2</v>
      </c>
      <c r="E2436">
        <v>0.789623858763425</v>
      </c>
      <c r="F2436">
        <v>0.66437664174580702</v>
      </c>
    </row>
    <row r="2437" spans="1:6">
      <c r="A2437" t="s">
        <v>50884</v>
      </c>
      <c r="B2437" t="s">
        <v>50885</v>
      </c>
      <c r="C2437">
        <v>0</v>
      </c>
      <c r="D2437">
        <v>0.14145919575475699</v>
      </c>
      <c r="E2437">
        <v>0.95992804556306799</v>
      </c>
      <c r="F2437">
        <v>7.4051323499696897</v>
      </c>
    </row>
    <row r="2438" spans="1:6">
      <c r="A2438" t="s">
        <v>50884</v>
      </c>
      <c r="B2438" t="s">
        <v>50886</v>
      </c>
      <c r="C2438">
        <v>0</v>
      </c>
      <c r="D2438">
        <v>0.14145919575475699</v>
      </c>
      <c r="E2438">
        <v>0.95992804556306799</v>
      </c>
      <c r="F2438">
        <v>7.4051323499696897</v>
      </c>
    </row>
    <row r="2439" spans="1:6">
      <c r="A2439" t="s">
        <v>50884</v>
      </c>
      <c r="B2439" t="s">
        <v>50887</v>
      </c>
      <c r="C2439">
        <v>0</v>
      </c>
      <c r="D2439">
        <v>0.14145919575475699</v>
      </c>
      <c r="E2439">
        <v>0.95992804556306799</v>
      </c>
      <c r="F2439">
        <v>7.4051323499696897</v>
      </c>
    </row>
    <row r="2440" spans="1:6">
      <c r="A2440" t="s">
        <v>50884</v>
      </c>
      <c r="B2440" t="s">
        <v>50888</v>
      </c>
      <c r="C2440">
        <v>0</v>
      </c>
      <c r="D2440">
        <v>0.14145919575475699</v>
      </c>
      <c r="E2440">
        <v>0.95992804556306799</v>
      </c>
      <c r="F2440">
        <v>7.4051323499696897</v>
      </c>
    </row>
    <row r="2441" spans="1:6">
      <c r="A2441" t="s">
        <v>50884</v>
      </c>
      <c r="B2441" t="s">
        <v>50889</v>
      </c>
      <c r="C2441">
        <v>0.34498091493536198</v>
      </c>
      <c r="D2441">
        <v>0.14145919575475699</v>
      </c>
      <c r="E2441">
        <v>0.95992804556306799</v>
      </c>
      <c r="F2441">
        <v>7.4051323499696897</v>
      </c>
    </row>
    <row r="2442" spans="1:6">
      <c r="A2442" t="s">
        <v>50884</v>
      </c>
      <c r="B2442" t="s">
        <v>50890</v>
      </c>
      <c r="C2442">
        <v>0</v>
      </c>
      <c r="D2442">
        <v>0.14145919575475699</v>
      </c>
      <c r="E2442">
        <v>0.95992804556306799</v>
      </c>
      <c r="F2442">
        <v>7.4051323499696897</v>
      </c>
    </row>
    <row r="2443" spans="1:6">
      <c r="A2443" t="s">
        <v>50884</v>
      </c>
      <c r="B2443" t="s">
        <v>50891</v>
      </c>
      <c r="C2443">
        <v>0</v>
      </c>
      <c r="D2443">
        <v>0.14145919575475699</v>
      </c>
      <c r="E2443">
        <v>0.95992804556306799</v>
      </c>
      <c r="F2443">
        <v>7.4051323499696897</v>
      </c>
    </row>
    <row r="2444" spans="1:6">
      <c r="A2444" t="s">
        <v>50884</v>
      </c>
      <c r="B2444" t="s">
        <v>50892</v>
      </c>
      <c r="C2444">
        <v>0.153028006250961</v>
      </c>
      <c r="D2444">
        <v>0.14145919575475699</v>
      </c>
      <c r="E2444">
        <v>0.95992804556306799</v>
      </c>
      <c r="F2444">
        <v>7.4051323499696897</v>
      </c>
    </row>
    <row r="2445" spans="1:6">
      <c r="A2445" t="s">
        <v>50884</v>
      </c>
      <c r="B2445" t="s">
        <v>50893</v>
      </c>
      <c r="C2445">
        <v>0</v>
      </c>
      <c r="D2445">
        <v>0.14145919575475699</v>
      </c>
      <c r="E2445">
        <v>0.95992804556306799</v>
      </c>
      <c r="F2445">
        <v>7.4051323499696897</v>
      </c>
    </row>
    <row r="2446" spans="1:6">
      <c r="A2446" t="s">
        <v>50894</v>
      </c>
      <c r="B2446" t="s">
        <v>50895</v>
      </c>
      <c r="C2446">
        <v>0</v>
      </c>
      <c r="D2446">
        <v>0.33079780756729299</v>
      </c>
      <c r="E2446">
        <v>0.98406755240314103</v>
      </c>
      <c r="F2446">
        <v>11.158617902606499</v>
      </c>
    </row>
    <row r="2447" spans="1:6">
      <c r="A2447" t="s">
        <v>50894</v>
      </c>
      <c r="B2447" t="s">
        <v>50896</v>
      </c>
      <c r="C2447">
        <v>0</v>
      </c>
      <c r="D2447">
        <v>0.33079780756729299</v>
      </c>
      <c r="E2447">
        <v>0.98406755240314103</v>
      </c>
      <c r="F2447">
        <v>11.158617902606499</v>
      </c>
    </row>
    <row r="2448" spans="1:6">
      <c r="A2448" t="s">
        <v>50894</v>
      </c>
      <c r="B2448" t="s">
        <v>50897</v>
      </c>
      <c r="C2448">
        <v>0.76834921549660995</v>
      </c>
      <c r="D2448">
        <v>0.33079780756729299</v>
      </c>
      <c r="E2448">
        <v>0.98406755240314103</v>
      </c>
      <c r="F2448">
        <v>11.158617902606499</v>
      </c>
    </row>
    <row r="2449" spans="1:6">
      <c r="A2449" t="s">
        <v>50894</v>
      </c>
      <c r="B2449" t="s">
        <v>50898</v>
      </c>
      <c r="C2449">
        <v>0.18685812296864501</v>
      </c>
      <c r="D2449">
        <v>0.33079780756729299</v>
      </c>
      <c r="E2449">
        <v>0.98406755240314103</v>
      </c>
      <c r="F2449">
        <v>11.158617902606499</v>
      </c>
    </row>
    <row r="2450" spans="1:6">
      <c r="A2450" t="s">
        <v>50894</v>
      </c>
      <c r="B2450" t="s">
        <v>50899</v>
      </c>
      <c r="C2450">
        <v>0</v>
      </c>
      <c r="D2450">
        <v>0.33079780756729299</v>
      </c>
      <c r="E2450">
        <v>0.98406755240314103</v>
      </c>
      <c r="F2450">
        <v>11.158617902606499</v>
      </c>
    </row>
    <row r="2451" spans="1:6">
      <c r="A2451" t="s">
        <v>50900</v>
      </c>
      <c r="B2451" t="s">
        <v>50901</v>
      </c>
      <c r="C2451">
        <v>0.15063455532266901</v>
      </c>
      <c r="D2451">
        <v>0.14679181509977501</v>
      </c>
      <c r="E2451">
        <v>0.91264367321708795</v>
      </c>
      <c r="F2451">
        <v>0</v>
      </c>
    </row>
    <row r="2452" spans="1:6">
      <c r="A2452" t="s">
        <v>50900</v>
      </c>
      <c r="B2452" t="s">
        <v>50902</v>
      </c>
      <c r="C2452">
        <v>0.742289442736633</v>
      </c>
      <c r="D2452">
        <v>0.14679181509977501</v>
      </c>
      <c r="E2452">
        <v>0.91264367321708795</v>
      </c>
      <c r="F2452">
        <v>0</v>
      </c>
    </row>
    <row r="2453" spans="1:6">
      <c r="A2453" t="s">
        <v>50900</v>
      </c>
      <c r="B2453" t="s">
        <v>50903</v>
      </c>
      <c r="C2453">
        <v>0</v>
      </c>
      <c r="D2453">
        <v>0.14679181509977501</v>
      </c>
      <c r="E2453">
        <v>0.91264367321708795</v>
      </c>
      <c r="F2453">
        <v>0</v>
      </c>
    </row>
    <row r="2454" spans="1:6">
      <c r="A2454" t="s">
        <v>50904</v>
      </c>
      <c r="B2454" t="s">
        <v>50905</v>
      </c>
      <c r="C2454">
        <v>0.91035445365713097</v>
      </c>
      <c r="D2454">
        <v>0.47581818376842699</v>
      </c>
      <c r="E2454">
        <v>0.98235445365713103</v>
      </c>
      <c r="F2454">
        <v>4.3160234390785996</v>
      </c>
    </row>
    <row r="2455" spans="1:6">
      <c r="A2455" t="s">
        <v>50904</v>
      </c>
      <c r="B2455" t="s">
        <v>50906</v>
      </c>
      <c r="C2455">
        <v>0</v>
      </c>
      <c r="D2455">
        <v>0.47581818376842699</v>
      </c>
      <c r="E2455">
        <v>0.98235445365713103</v>
      </c>
      <c r="F2455">
        <v>4.3160234390785996</v>
      </c>
    </row>
    <row r="2456" spans="1:6">
      <c r="A2456" t="s">
        <v>50904</v>
      </c>
      <c r="B2456" t="s">
        <v>50907</v>
      </c>
      <c r="C2456">
        <v>0</v>
      </c>
      <c r="D2456">
        <v>0.47581818376842699</v>
      </c>
      <c r="E2456">
        <v>0.98235445365713103</v>
      </c>
      <c r="F2456">
        <v>4.3160234390785996</v>
      </c>
    </row>
    <row r="2457" spans="1:6">
      <c r="A2457" t="s">
        <v>50904</v>
      </c>
      <c r="B2457" t="s">
        <v>50908</v>
      </c>
      <c r="C2457">
        <v>0</v>
      </c>
      <c r="D2457">
        <v>0.47581818376842699</v>
      </c>
      <c r="E2457">
        <v>0.98235445365713103</v>
      </c>
      <c r="F2457">
        <v>4.3160234390785996</v>
      </c>
    </row>
    <row r="2458" spans="1:6">
      <c r="A2458" t="s">
        <v>50904</v>
      </c>
      <c r="B2458" t="s">
        <v>50909</v>
      </c>
      <c r="C2458">
        <v>0</v>
      </c>
      <c r="D2458">
        <v>0.47581818376842699</v>
      </c>
      <c r="E2458">
        <v>0.98235445365713103</v>
      </c>
      <c r="F2458">
        <v>4.3160234390785996</v>
      </c>
    </row>
    <row r="2459" spans="1:6">
      <c r="A2459" t="s">
        <v>50910</v>
      </c>
      <c r="B2459" t="s">
        <v>50911</v>
      </c>
      <c r="C2459">
        <v>0.777052190985702</v>
      </c>
      <c r="D2459">
        <v>0.50438142956062804</v>
      </c>
      <c r="E2459">
        <v>0.95036060051600302</v>
      </c>
      <c r="F2459">
        <v>9.56314406950899</v>
      </c>
    </row>
    <row r="2460" spans="1:6">
      <c r="A2460" t="s">
        <v>50910</v>
      </c>
      <c r="B2460" t="s">
        <v>50912</v>
      </c>
      <c r="C2460">
        <v>0.273439348544262</v>
      </c>
      <c r="D2460">
        <v>0.50438142956062804</v>
      </c>
      <c r="E2460">
        <v>0.95036060051600302</v>
      </c>
      <c r="F2460">
        <v>9.56314406950899</v>
      </c>
    </row>
    <row r="2461" spans="1:6">
      <c r="A2461" t="s">
        <v>50913</v>
      </c>
      <c r="B2461" t="s">
        <v>50914</v>
      </c>
      <c r="C2461">
        <v>0</v>
      </c>
      <c r="D2461">
        <v>0.28530002543646399</v>
      </c>
      <c r="E2461">
        <v>0.96258647794726804</v>
      </c>
      <c r="F2461">
        <v>8.5253586583148095</v>
      </c>
    </row>
    <row r="2462" spans="1:6">
      <c r="A2462" t="s">
        <v>50913</v>
      </c>
      <c r="B2462" t="s">
        <v>50915</v>
      </c>
      <c r="C2462">
        <v>0.56593337159373003</v>
      </c>
      <c r="D2462">
        <v>0.28530002543646399</v>
      </c>
      <c r="E2462">
        <v>0.96258647794726804</v>
      </c>
      <c r="F2462">
        <v>8.5253586583148095</v>
      </c>
    </row>
    <row r="2463" spans="1:6">
      <c r="A2463" t="s">
        <v>50913</v>
      </c>
      <c r="B2463" t="s">
        <v>50916</v>
      </c>
      <c r="C2463">
        <v>0.29331093705066302</v>
      </c>
      <c r="D2463">
        <v>0.28530002543646399</v>
      </c>
      <c r="E2463">
        <v>0.96258647794726804</v>
      </c>
      <c r="F2463">
        <v>8.5253586583148095</v>
      </c>
    </row>
    <row r="2464" spans="1:6">
      <c r="A2464" t="s">
        <v>50917</v>
      </c>
      <c r="B2464" t="s">
        <v>50918</v>
      </c>
      <c r="C2464">
        <v>0</v>
      </c>
      <c r="D2464">
        <v>0.33496526216102102</v>
      </c>
      <c r="E2464">
        <v>0.94717681177343005</v>
      </c>
      <c r="F2464">
        <v>16.0662760153566</v>
      </c>
    </row>
    <row r="2465" spans="1:6">
      <c r="A2465" t="s">
        <v>50917</v>
      </c>
      <c r="B2465" t="s">
        <v>50919</v>
      </c>
      <c r="C2465">
        <v>0</v>
      </c>
      <c r="D2465">
        <v>0.33496526216102102</v>
      </c>
      <c r="E2465">
        <v>0.94717681177343005</v>
      </c>
      <c r="F2465">
        <v>16.0662760153566</v>
      </c>
    </row>
    <row r="2466" spans="1:6">
      <c r="A2466" t="s">
        <v>50917</v>
      </c>
      <c r="B2466" t="s">
        <v>50920</v>
      </c>
      <c r="C2466">
        <v>0</v>
      </c>
      <c r="D2466">
        <v>0.33496526216102102</v>
      </c>
      <c r="E2466">
        <v>0.94717681177343005</v>
      </c>
      <c r="F2466">
        <v>16.0662760153566</v>
      </c>
    </row>
    <row r="2467" spans="1:6">
      <c r="A2467" t="s">
        <v>50917</v>
      </c>
      <c r="B2467" t="s">
        <v>50921</v>
      </c>
      <c r="C2467">
        <v>0</v>
      </c>
      <c r="D2467">
        <v>0.33496526216102102</v>
      </c>
      <c r="E2467">
        <v>0.94717681177343005</v>
      </c>
      <c r="F2467">
        <v>16.0662760153566</v>
      </c>
    </row>
    <row r="2468" spans="1:6">
      <c r="A2468" t="s">
        <v>50917</v>
      </c>
      <c r="B2468" t="s">
        <v>50922</v>
      </c>
      <c r="C2468">
        <v>0</v>
      </c>
      <c r="D2468">
        <v>0.33496526216102102</v>
      </c>
      <c r="E2468">
        <v>0.94717681177343005</v>
      </c>
      <c r="F2468">
        <v>16.0662760153566</v>
      </c>
    </row>
    <row r="2469" spans="1:6">
      <c r="A2469" t="s">
        <v>50917</v>
      </c>
      <c r="B2469" t="s">
        <v>50923</v>
      </c>
      <c r="C2469">
        <v>0.53070281993383495</v>
      </c>
      <c r="D2469">
        <v>0.33496526216102102</v>
      </c>
      <c r="E2469">
        <v>0.94717681177343005</v>
      </c>
      <c r="F2469">
        <v>16.0662760153566</v>
      </c>
    </row>
    <row r="2470" spans="1:6">
      <c r="A2470" t="s">
        <v>50917</v>
      </c>
      <c r="B2470" t="s">
        <v>50924</v>
      </c>
      <c r="C2470">
        <v>0</v>
      </c>
      <c r="D2470">
        <v>0.33496526216102102</v>
      </c>
      <c r="E2470">
        <v>0.94717681177343005</v>
      </c>
      <c r="F2470">
        <v>16.0662760153566</v>
      </c>
    </row>
    <row r="2471" spans="1:6">
      <c r="A2471" t="s">
        <v>50917</v>
      </c>
      <c r="B2471" t="s">
        <v>50925</v>
      </c>
      <c r="C2471">
        <v>0.36312031204862399</v>
      </c>
      <c r="D2471">
        <v>0.33496526216102102</v>
      </c>
      <c r="E2471">
        <v>0.94717681177343005</v>
      </c>
      <c r="F2471">
        <v>16.0662760153566</v>
      </c>
    </row>
    <row r="2472" spans="1:6">
      <c r="A2472" t="s">
        <v>50926</v>
      </c>
      <c r="B2472" t="s">
        <v>50927</v>
      </c>
      <c r="C2472">
        <v>0</v>
      </c>
      <c r="D2472">
        <v>0.61741168218178999</v>
      </c>
      <c r="E2472">
        <v>0.97400717452756502</v>
      </c>
      <c r="F2472">
        <v>1.9397858153162199E-2</v>
      </c>
    </row>
    <row r="2473" spans="1:6">
      <c r="A2473" t="s">
        <v>50926</v>
      </c>
      <c r="B2473" t="s">
        <v>50928</v>
      </c>
      <c r="C2473">
        <v>0</v>
      </c>
      <c r="D2473">
        <v>0.61741168218178999</v>
      </c>
      <c r="E2473">
        <v>0.97400717452756502</v>
      </c>
      <c r="F2473">
        <v>1.9397858153162199E-2</v>
      </c>
    </row>
    <row r="2474" spans="1:6">
      <c r="A2474" t="s">
        <v>50926</v>
      </c>
      <c r="B2474" t="s">
        <v>50929</v>
      </c>
      <c r="C2474">
        <v>0.61400717452756504</v>
      </c>
      <c r="D2474">
        <v>0.61741168218178999</v>
      </c>
      <c r="E2474">
        <v>0.97400717452756502</v>
      </c>
      <c r="F2474">
        <v>1.9397858153162199E-2</v>
      </c>
    </row>
    <row r="2475" spans="1:6">
      <c r="A2475" t="s">
        <v>50926</v>
      </c>
      <c r="B2475" t="s">
        <v>50930</v>
      </c>
      <c r="C2475">
        <v>0</v>
      </c>
      <c r="D2475">
        <v>0.61741168218178999</v>
      </c>
      <c r="E2475">
        <v>0.97400717452756502</v>
      </c>
      <c r="F2475">
        <v>1.9397858153162199E-2</v>
      </c>
    </row>
    <row r="2476" spans="1:6">
      <c r="A2476" t="s">
        <v>50926</v>
      </c>
      <c r="B2476" t="s">
        <v>50931</v>
      </c>
      <c r="C2476">
        <v>0</v>
      </c>
      <c r="D2476">
        <v>0.61741168218178999</v>
      </c>
      <c r="E2476">
        <v>0.97400717452756502</v>
      </c>
      <c r="F2476">
        <v>1.9397858153162199E-2</v>
      </c>
    </row>
    <row r="2477" spans="1:6">
      <c r="A2477" t="s">
        <v>50926</v>
      </c>
      <c r="B2477" t="s">
        <v>50932</v>
      </c>
      <c r="C2477">
        <v>0</v>
      </c>
      <c r="D2477">
        <v>0.61741168218178999</v>
      </c>
      <c r="E2477">
        <v>0.97400717452756502</v>
      </c>
      <c r="F2477">
        <v>1.9397858153162199E-2</v>
      </c>
    </row>
    <row r="2478" spans="1:6">
      <c r="A2478" t="s">
        <v>50933</v>
      </c>
      <c r="B2478" t="s">
        <v>50934</v>
      </c>
      <c r="C2478">
        <v>0</v>
      </c>
      <c r="D2478">
        <v>6.2529942877038905E-2</v>
      </c>
      <c r="E2478">
        <v>0.99692485453294299</v>
      </c>
      <c r="F2478">
        <v>8.8163265306122405</v>
      </c>
    </row>
    <row r="2479" spans="1:6">
      <c r="A2479" t="s">
        <v>50933</v>
      </c>
      <c r="B2479" t="s">
        <v>50935</v>
      </c>
      <c r="C2479">
        <v>0</v>
      </c>
      <c r="D2479">
        <v>6.2529942877038905E-2</v>
      </c>
      <c r="E2479">
        <v>0.99692485453294299</v>
      </c>
      <c r="F2479">
        <v>8.8163265306122405</v>
      </c>
    </row>
    <row r="2480" spans="1:6">
      <c r="A2480" t="s">
        <v>50933</v>
      </c>
      <c r="B2480" t="s">
        <v>50936</v>
      </c>
      <c r="C2480">
        <v>0.96339058473046502</v>
      </c>
      <c r="D2480">
        <v>6.2529942877038905E-2</v>
      </c>
      <c r="E2480">
        <v>0.99692485453294299</v>
      </c>
      <c r="F2480">
        <v>8.8163265306122405</v>
      </c>
    </row>
    <row r="2481" spans="1:6">
      <c r="A2481" t="s">
        <v>50933</v>
      </c>
      <c r="B2481" t="s">
        <v>50937</v>
      </c>
      <c r="C2481">
        <v>0.35116856063028301</v>
      </c>
      <c r="D2481">
        <v>6.2529942877038905E-2</v>
      </c>
      <c r="E2481">
        <v>0.99692485453294299</v>
      </c>
      <c r="F2481">
        <v>8.8163265306122405</v>
      </c>
    </row>
    <row r="2482" spans="1:6">
      <c r="A2482" t="s">
        <v>50933</v>
      </c>
      <c r="B2482" t="s">
        <v>50938</v>
      </c>
      <c r="C2482">
        <v>0</v>
      </c>
      <c r="D2482">
        <v>6.2529942877038905E-2</v>
      </c>
      <c r="E2482">
        <v>0.99692485453294299</v>
      </c>
      <c r="F2482">
        <v>8.8163265306122405</v>
      </c>
    </row>
    <row r="2483" spans="1:6">
      <c r="A2483" t="s">
        <v>50939</v>
      </c>
      <c r="B2483" t="s">
        <v>50940</v>
      </c>
      <c r="C2483">
        <v>0.84490855983581903</v>
      </c>
      <c r="D2483">
        <v>0.17777529105430401</v>
      </c>
      <c r="E2483">
        <v>0.99700113921861799</v>
      </c>
      <c r="F2483">
        <v>4.8494645382905599</v>
      </c>
    </row>
    <row r="2484" spans="1:6">
      <c r="A2484" t="s">
        <v>50939</v>
      </c>
      <c r="B2484" t="s">
        <v>50941</v>
      </c>
      <c r="C2484">
        <v>0</v>
      </c>
      <c r="D2484">
        <v>0.17777529105430401</v>
      </c>
      <c r="E2484">
        <v>0.99700113921861799</v>
      </c>
      <c r="F2484">
        <v>4.8494645382905599</v>
      </c>
    </row>
    <row r="2485" spans="1:6">
      <c r="A2485" t="s">
        <v>50939</v>
      </c>
      <c r="B2485" t="s">
        <v>50942</v>
      </c>
      <c r="C2485">
        <v>0</v>
      </c>
      <c r="D2485">
        <v>0.17777529105430401</v>
      </c>
      <c r="E2485">
        <v>0.99700113921861799</v>
      </c>
      <c r="F2485">
        <v>4.8494645382905599</v>
      </c>
    </row>
    <row r="2486" spans="1:6">
      <c r="A2486" t="s">
        <v>50939</v>
      </c>
      <c r="B2486" t="s">
        <v>50943</v>
      </c>
      <c r="C2486">
        <v>0</v>
      </c>
      <c r="D2486">
        <v>0.17777529105430401</v>
      </c>
      <c r="E2486">
        <v>0.99700113921861799</v>
      </c>
      <c r="F2486">
        <v>4.8494645382905599</v>
      </c>
    </row>
    <row r="2487" spans="1:6">
      <c r="A2487" t="s">
        <v>50939</v>
      </c>
      <c r="B2487" t="s">
        <v>50944</v>
      </c>
      <c r="C2487">
        <v>0</v>
      </c>
      <c r="D2487">
        <v>0.17777529105430401</v>
      </c>
      <c r="E2487">
        <v>0.99700113921861799</v>
      </c>
      <c r="F2487">
        <v>4.8494645382905599</v>
      </c>
    </row>
    <row r="2488" spans="1:6">
      <c r="A2488" t="s">
        <v>50939</v>
      </c>
      <c r="B2488" t="s">
        <v>50945</v>
      </c>
      <c r="C2488">
        <v>0.35181926519677098</v>
      </c>
      <c r="D2488">
        <v>0.17777529105430401</v>
      </c>
      <c r="E2488">
        <v>0.99700113921861799</v>
      </c>
      <c r="F2488">
        <v>4.8494645382905599</v>
      </c>
    </row>
    <row r="2489" spans="1:6">
      <c r="A2489" t="s">
        <v>50939</v>
      </c>
      <c r="B2489" t="s">
        <v>50946</v>
      </c>
      <c r="C2489">
        <v>0</v>
      </c>
      <c r="D2489">
        <v>0.17777529105430401</v>
      </c>
      <c r="E2489">
        <v>0.99700113921861799</v>
      </c>
      <c r="F2489">
        <v>4.8494645382905599</v>
      </c>
    </row>
    <row r="2490" spans="1:6">
      <c r="A2490" t="s">
        <v>50939</v>
      </c>
      <c r="B2490" t="s">
        <v>50947</v>
      </c>
      <c r="C2490">
        <v>0</v>
      </c>
      <c r="D2490">
        <v>0.17777529105430401</v>
      </c>
      <c r="E2490">
        <v>0.99700113921861799</v>
      </c>
      <c r="F2490">
        <v>4.8494645382905599</v>
      </c>
    </row>
    <row r="2491" spans="1:6">
      <c r="A2491" t="s">
        <v>50948</v>
      </c>
      <c r="B2491" t="s">
        <v>50949</v>
      </c>
      <c r="C2491">
        <v>0</v>
      </c>
      <c r="D2491">
        <v>0.322552350310086</v>
      </c>
      <c r="E2491">
        <v>0.99586786953014295</v>
      </c>
      <c r="F2491">
        <v>8.5253586583148095</v>
      </c>
    </row>
    <row r="2492" spans="1:6">
      <c r="A2492" t="s">
        <v>50948</v>
      </c>
      <c r="B2492" t="s">
        <v>50950</v>
      </c>
      <c r="C2492">
        <v>0.74546552755140105</v>
      </c>
      <c r="D2492">
        <v>0.322552350310086</v>
      </c>
      <c r="E2492">
        <v>0.99586786953014295</v>
      </c>
      <c r="F2492">
        <v>8.5253586583148095</v>
      </c>
    </row>
    <row r="2493" spans="1:6">
      <c r="A2493" t="s">
        <v>50948</v>
      </c>
      <c r="B2493" t="s">
        <v>50951</v>
      </c>
      <c r="C2493">
        <v>0</v>
      </c>
      <c r="D2493">
        <v>0.322552350310086</v>
      </c>
      <c r="E2493">
        <v>0.99586786953014295</v>
      </c>
      <c r="F2493">
        <v>8.5253586583148095</v>
      </c>
    </row>
    <row r="2494" spans="1:6">
      <c r="A2494" t="s">
        <v>50948</v>
      </c>
      <c r="B2494" t="s">
        <v>50952</v>
      </c>
      <c r="C2494">
        <v>0</v>
      </c>
      <c r="D2494">
        <v>0.322552350310086</v>
      </c>
      <c r="E2494">
        <v>0.99586786953014295</v>
      </c>
      <c r="F2494">
        <v>8.5253586583148095</v>
      </c>
    </row>
    <row r="2495" spans="1:6">
      <c r="A2495" t="s">
        <v>50948</v>
      </c>
      <c r="B2495" t="s">
        <v>50953</v>
      </c>
      <c r="C2495">
        <v>0</v>
      </c>
      <c r="D2495">
        <v>0.322552350310086</v>
      </c>
      <c r="E2495">
        <v>0.99586786953014295</v>
      </c>
      <c r="F2495">
        <v>8.5253586583148095</v>
      </c>
    </row>
    <row r="2496" spans="1:6">
      <c r="A2496" t="s">
        <v>50948</v>
      </c>
      <c r="B2496" t="s">
        <v>50954</v>
      </c>
      <c r="C2496">
        <v>0.34853508367847302</v>
      </c>
      <c r="D2496">
        <v>0.322552350310086</v>
      </c>
      <c r="E2496">
        <v>0.99586786953014295</v>
      </c>
      <c r="F2496">
        <v>8.5253586583148095</v>
      </c>
    </row>
    <row r="2497" spans="1:6">
      <c r="A2497" t="s">
        <v>50955</v>
      </c>
      <c r="B2497" t="s">
        <v>50956</v>
      </c>
      <c r="C2497">
        <v>0</v>
      </c>
      <c r="D2497">
        <v>0.126998060912827</v>
      </c>
      <c r="E2497" t="s">
        <v>106</v>
      </c>
      <c r="F2497">
        <v>1.7167104465548499</v>
      </c>
    </row>
    <row r="2498" spans="1:6">
      <c r="A2498" t="s">
        <v>50955</v>
      </c>
      <c r="B2498" t="s">
        <v>50957</v>
      </c>
      <c r="C2498">
        <v>0</v>
      </c>
      <c r="D2498">
        <v>0.126998060912827</v>
      </c>
      <c r="E2498" t="s">
        <v>106</v>
      </c>
      <c r="F2498">
        <v>1.7167104465548499</v>
      </c>
    </row>
    <row r="2499" spans="1:6">
      <c r="A2499" t="s">
        <v>50958</v>
      </c>
      <c r="B2499" t="s">
        <v>50959</v>
      </c>
      <c r="C2499">
        <v>0</v>
      </c>
      <c r="D2499">
        <v>0.503959985686386</v>
      </c>
      <c r="E2499">
        <v>0.96769088922459201</v>
      </c>
      <c r="F2499">
        <v>5.06769044251363</v>
      </c>
    </row>
    <row r="2500" spans="1:6">
      <c r="A2500" t="s">
        <v>50958</v>
      </c>
      <c r="B2500" t="s">
        <v>50960</v>
      </c>
      <c r="C2500">
        <v>0.77534316421152305</v>
      </c>
      <c r="D2500">
        <v>0.503959985686386</v>
      </c>
      <c r="E2500">
        <v>0.96769088922459201</v>
      </c>
      <c r="F2500">
        <v>5.06769044251363</v>
      </c>
    </row>
    <row r="2501" spans="1:6">
      <c r="A2501" t="s">
        <v>50958</v>
      </c>
      <c r="B2501" t="s">
        <v>50961</v>
      </c>
      <c r="C2501">
        <v>0.27871571109329901</v>
      </c>
      <c r="D2501">
        <v>0.503959985686386</v>
      </c>
      <c r="E2501">
        <v>0.96769088922459201</v>
      </c>
      <c r="F2501">
        <v>5.06769044251363</v>
      </c>
    </row>
    <row r="2502" spans="1:6">
      <c r="A2502" t="s">
        <v>50962</v>
      </c>
      <c r="B2502" t="s">
        <v>50963</v>
      </c>
      <c r="C2502">
        <v>0.103650437623744</v>
      </c>
      <c r="D2502">
        <v>8.1776816918633005E-2</v>
      </c>
      <c r="E2502">
        <v>0.94739855521744898</v>
      </c>
      <c r="F2502">
        <v>20.726611436653801</v>
      </c>
    </row>
    <row r="2503" spans="1:6">
      <c r="A2503" t="s">
        <v>50962</v>
      </c>
      <c r="B2503" t="s">
        <v>50964</v>
      </c>
      <c r="C2503">
        <v>0</v>
      </c>
      <c r="D2503">
        <v>8.1776816918633005E-2</v>
      </c>
      <c r="E2503">
        <v>0.94739855521744898</v>
      </c>
      <c r="F2503">
        <v>20.726611436653801</v>
      </c>
    </row>
    <row r="2504" spans="1:6">
      <c r="A2504" t="s">
        <v>50962</v>
      </c>
      <c r="B2504" t="s">
        <v>50965</v>
      </c>
      <c r="C2504">
        <v>0.59562749682211702</v>
      </c>
      <c r="D2504">
        <v>8.1776816918633005E-2</v>
      </c>
      <c r="E2504">
        <v>0.94739855521744898</v>
      </c>
      <c r="F2504">
        <v>20.726611436653801</v>
      </c>
    </row>
    <row r="2505" spans="1:6">
      <c r="A2505" t="s">
        <v>50966</v>
      </c>
      <c r="B2505" t="s">
        <v>50967</v>
      </c>
      <c r="C2505">
        <v>0</v>
      </c>
      <c r="D2505">
        <v>2.5766929004553699E-2</v>
      </c>
      <c r="E2505">
        <v>0.98914515835004901</v>
      </c>
      <c r="F2505">
        <v>14.7084259446352</v>
      </c>
    </row>
    <row r="2506" spans="1:6">
      <c r="A2506" t="s">
        <v>50966</v>
      </c>
      <c r="B2506" t="s">
        <v>50968</v>
      </c>
      <c r="C2506">
        <v>0</v>
      </c>
      <c r="D2506">
        <v>2.5766929004553699E-2</v>
      </c>
      <c r="E2506">
        <v>0.98914515835004901</v>
      </c>
      <c r="F2506">
        <v>14.7084259446352</v>
      </c>
    </row>
    <row r="2507" spans="1:6">
      <c r="A2507" t="s">
        <v>50966</v>
      </c>
      <c r="B2507" t="s">
        <v>50969</v>
      </c>
      <c r="C2507">
        <v>0.13031567851388401</v>
      </c>
      <c r="D2507">
        <v>2.5766929004553699E-2</v>
      </c>
      <c r="E2507">
        <v>0.98914515835004901</v>
      </c>
      <c r="F2507">
        <v>14.7084259446352</v>
      </c>
    </row>
    <row r="2508" spans="1:6">
      <c r="A2508" t="s">
        <v>50966</v>
      </c>
      <c r="B2508" t="s">
        <v>50970</v>
      </c>
      <c r="C2508">
        <v>0</v>
      </c>
      <c r="D2508">
        <v>2.5766929004553699E-2</v>
      </c>
      <c r="E2508">
        <v>0.98914515835004901</v>
      </c>
      <c r="F2508">
        <v>14.7084259446352</v>
      </c>
    </row>
    <row r="2509" spans="1:6">
      <c r="A2509" t="s">
        <v>50966</v>
      </c>
      <c r="B2509" t="s">
        <v>50971</v>
      </c>
      <c r="C2509">
        <v>0</v>
      </c>
      <c r="D2509">
        <v>2.5766929004553699E-2</v>
      </c>
      <c r="E2509">
        <v>0.98914515835004901</v>
      </c>
      <c r="F2509">
        <v>14.7084259446352</v>
      </c>
    </row>
    <row r="2510" spans="1:6">
      <c r="A2510" t="s">
        <v>50966</v>
      </c>
      <c r="B2510" t="s">
        <v>50972</v>
      </c>
      <c r="C2510">
        <v>0</v>
      </c>
      <c r="D2510">
        <v>2.5766929004553699E-2</v>
      </c>
      <c r="E2510">
        <v>0.98914515835004901</v>
      </c>
      <c r="F2510">
        <v>14.7084259446352</v>
      </c>
    </row>
    <row r="2511" spans="1:6">
      <c r="A2511" t="s">
        <v>50966</v>
      </c>
      <c r="B2511" t="s">
        <v>50973</v>
      </c>
      <c r="C2511">
        <v>0.72652066691914197</v>
      </c>
      <c r="D2511">
        <v>2.5766929004553699E-2</v>
      </c>
      <c r="E2511">
        <v>0.98914515835004901</v>
      </c>
      <c r="F2511">
        <v>14.7084259446352</v>
      </c>
    </row>
    <row r="2512" spans="1:6">
      <c r="A2512" t="s">
        <v>50966</v>
      </c>
      <c r="B2512" t="s">
        <v>50974</v>
      </c>
      <c r="C2512">
        <v>0</v>
      </c>
      <c r="D2512">
        <v>2.5766929004553699E-2</v>
      </c>
      <c r="E2512">
        <v>0.98914515835004901</v>
      </c>
      <c r="F2512">
        <v>14.7084259446352</v>
      </c>
    </row>
    <row r="2513" spans="1:6">
      <c r="A2513" t="s">
        <v>50966</v>
      </c>
      <c r="B2513" t="s">
        <v>50975</v>
      </c>
      <c r="C2513">
        <v>0</v>
      </c>
      <c r="D2513">
        <v>2.5766929004553699E-2</v>
      </c>
      <c r="E2513">
        <v>0.98914515835004901</v>
      </c>
      <c r="F2513">
        <v>14.7084259446352</v>
      </c>
    </row>
    <row r="2514" spans="1:6">
      <c r="A2514" t="s">
        <v>50966</v>
      </c>
      <c r="B2514" t="s">
        <v>50976</v>
      </c>
      <c r="C2514">
        <v>0</v>
      </c>
      <c r="D2514">
        <v>2.5766929004553699E-2</v>
      </c>
      <c r="E2514">
        <v>0.98914515835004901</v>
      </c>
      <c r="F2514">
        <v>14.7084259446352</v>
      </c>
    </row>
    <row r="2515" spans="1:6">
      <c r="A2515" t="s">
        <v>50966</v>
      </c>
      <c r="B2515" t="s">
        <v>50977</v>
      </c>
      <c r="C2515">
        <v>0</v>
      </c>
      <c r="D2515">
        <v>2.5766929004553699E-2</v>
      </c>
      <c r="E2515">
        <v>0.98914515835004901</v>
      </c>
      <c r="F2515">
        <v>14.7084259446352</v>
      </c>
    </row>
    <row r="2516" spans="1:6">
      <c r="A2516" t="s">
        <v>50966</v>
      </c>
      <c r="B2516" t="s">
        <v>50978</v>
      </c>
      <c r="C2516">
        <v>0</v>
      </c>
      <c r="D2516">
        <v>2.5766929004553699E-2</v>
      </c>
      <c r="E2516">
        <v>0.98914515835004901</v>
      </c>
      <c r="F2516">
        <v>14.7084259446352</v>
      </c>
    </row>
    <row r="2517" spans="1:6">
      <c r="A2517" t="s">
        <v>50979</v>
      </c>
      <c r="B2517" t="s">
        <v>50980</v>
      </c>
      <c r="C2517">
        <v>6.0732920040532101E-2</v>
      </c>
      <c r="D2517">
        <v>0.206974489655468</v>
      </c>
      <c r="E2517">
        <v>0.95785950328543301</v>
      </c>
      <c r="F2517">
        <v>2.5847645989088699</v>
      </c>
    </row>
    <row r="2518" spans="1:6">
      <c r="A2518" t="s">
        <v>50979</v>
      </c>
      <c r="B2518" t="s">
        <v>50981</v>
      </c>
      <c r="C2518">
        <v>0.79428700661423302</v>
      </c>
      <c r="D2518">
        <v>0.206974489655468</v>
      </c>
      <c r="E2518">
        <v>0.95785950328543301</v>
      </c>
      <c r="F2518">
        <v>2.5847645989088699</v>
      </c>
    </row>
    <row r="2519" spans="1:6">
      <c r="A2519" t="s">
        <v>50979</v>
      </c>
      <c r="B2519" t="s">
        <v>50982</v>
      </c>
      <c r="C2519">
        <v>0</v>
      </c>
      <c r="D2519">
        <v>0.206974489655468</v>
      </c>
      <c r="E2519">
        <v>0.95785950328543301</v>
      </c>
      <c r="F2519">
        <v>2.5847645989088699</v>
      </c>
    </row>
    <row r="2520" spans="1:6">
      <c r="A2520" t="s">
        <v>50979</v>
      </c>
      <c r="B2520" t="s">
        <v>50983</v>
      </c>
      <c r="C2520">
        <v>0</v>
      </c>
      <c r="D2520">
        <v>0.206974489655468</v>
      </c>
      <c r="E2520">
        <v>0.95785950328543301</v>
      </c>
      <c r="F2520">
        <v>2.5847645989088699</v>
      </c>
    </row>
    <row r="2521" spans="1:6">
      <c r="A2521" t="s">
        <v>50984</v>
      </c>
      <c r="B2521" t="s">
        <v>50985</v>
      </c>
      <c r="C2521">
        <v>0</v>
      </c>
      <c r="D2521">
        <v>0.49735859291831902</v>
      </c>
      <c r="E2521">
        <v>0.98182592668345403</v>
      </c>
      <c r="F2521">
        <v>5.87755102040816</v>
      </c>
    </row>
    <row r="2522" spans="1:6">
      <c r="A2522" t="s">
        <v>50984</v>
      </c>
      <c r="B2522" t="s">
        <v>50986</v>
      </c>
      <c r="C2522">
        <v>0.66105727090258604</v>
      </c>
      <c r="D2522">
        <v>0.49735859291831902</v>
      </c>
      <c r="E2522">
        <v>0.98182592668345403</v>
      </c>
      <c r="F2522">
        <v>5.87755102040816</v>
      </c>
    </row>
    <row r="2523" spans="1:6">
      <c r="A2523" t="s">
        <v>50984</v>
      </c>
      <c r="B2523" t="s">
        <v>50987</v>
      </c>
      <c r="C2523">
        <v>0</v>
      </c>
      <c r="D2523">
        <v>0.49735859291831902</v>
      </c>
      <c r="E2523">
        <v>0.98182592668345403</v>
      </c>
      <c r="F2523">
        <v>5.87755102040816</v>
      </c>
    </row>
    <row r="2524" spans="1:6">
      <c r="A2524" t="s">
        <v>50984</v>
      </c>
      <c r="B2524" t="s">
        <v>50988</v>
      </c>
      <c r="C2524">
        <v>0</v>
      </c>
      <c r="D2524">
        <v>0.49735859291831902</v>
      </c>
      <c r="E2524">
        <v>0.98182592668345403</v>
      </c>
      <c r="F2524">
        <v>5.87755102040816</v>
      </c>
    </row>
    <row r="2525" spans="1:6">
      <c r="A2525" t="s">
        <v>50984</v>
      </c>
      <c r="B2525" t="s">
        <v>50989</v>
      </c>
      <c r="C2525">
        <v>0</v>
      </c>
      <c r="D2525">
        <v>0.49735859291831902</v>
      </c>
      <c r="E2525">
        <v>0.98182592668345403</v>
      </c>
      <c r="F2525">
        <v>5.87755102040816</v>
      </c>
    </row>
    <row r="2526" spans="1:6">
      <c r="A2526" t="s">
        <v>50984</v>
      </c>
      <c r="B2526" t="s">
        <v>50990</v>
      </c>
      <c r="C2526">
        <v>0</v>
      </c>
      <c r="D2526">
        <v>0.49735859291831902</v>
      </c>
      <c r="E2526">
        <v>0.98182592668345403</v>
      </c>
      <c r="F2526">
        <v>5.87755102040816</v>
      </c>
    </row>
    <row r="2527" spans="1:6">
      <c r="A2527" t="s">
        <v>50984</v>
      </c>
      <c r="B2527" t="s">
        <v>50991</v>
      </c>
      <c r="C2527">
        <v>0</v>
      </c>
      <c r="D2527">
        <v>0.49735859291831902</v>
      </c>
      <c r="E2527">
        <v>0.98182592668345403</v>
      </c>
      <c r="F2527">
        <v>5.87755102040816</v>
      </c>
    </row>
    <row r="2528" spans="1:6">
      <c r="A2528" t="s">
        <v>50984</v>
      </c>
      <c r="B2528" t="s">
        <v>50992</v>
      </c>
      <c r="C2528">
        <v>0</v>
      </c>
      <c r="D2528">
        <v>0.49735859291831902</v>
      </c>
      <c r="E2528">
        <v>0.98182592668345403</v>
      </c>
      <c r="F2528">
        <v>5.87755102040816</v>
      </c>
    </row>
    <row r="2529" spans="1:6">
      <c r="A2529" t="s">
        <v>50984</v>
      </c>
      <c r="B2529" t="s">
        <v>50993</v>
      </c>
      <c r="C2529">
        <v>0</v>
      </c>
      <c r="D2529">
        <v>0.49735859291831902</v>
      </c>
      <c r="E2529">
        <v>0.98182592668345403</v>
      </c>
      <c r="F2529">
        <v>5.87755102040816</v>
      </c>
    </row>
    <row r="2530" spans="1:6">
      <c r="A2530" t="s">
        <v>50984</v>
      </c>
      <c r="B2530" t="s">
        <v>50994</v>
      </c>
      <c r="C2530">
        <v>0.397828680666724</v>
      </c>
      <c r="D2530">
        <v>0.49735859291831902</v>
      </c>
      <c r="E2530">
        <v>0.98182592668345403</v>
      </c>
      <c r="F2530">
        <v>5.87755102040816</v>
      </c>
    </row>
    <row r="2531" spans="1:6">
      <c r="A2531" t="s">
        <v>50995</v>
      </c>
      <c r="B2531" t="s">
        <v>50996</v>
      </c>
      <c r="C2531">
        <v>0</v>
      </c>
      <c r="D2531">
        <v>0.73248056270020201</v>
      </c>
      <c r="E2531">
        <v>0.93994142625352395</v>
      </c>
      <c r="F2531">
        <v>1.9155384926247701</v>
      </c>
    </row>
    <row r="2532" spans="1:6">
      <c r="A2532" t="s">
        <v>50995</v>
      </c>
      <c r="B2532" t="s">
        <v>50997</v>
      </c>
      <c r="C2532">
        <v>0</v>
      </c>
      <c r="D2532">
        <v>0.73248056270020201</v>
      </c>
      <c r="E2532">
        <v>0.93994142625352395</v>
      </c>
      <c r="F2532">
        <v>1.9155384926247701</v>
      </c>
    </row>
    <row r="2533" spans="1:6">
      <c r="A2533" t="s">
        <v>50995</v>
      </c>
      <c r="B2533" t="s">
        <v>50998</v>
      </c>
      <c r="C2533">
        <v>0.73362421052928395</v>
      </c>
      <c r="D2533">
        <v>0.73248056270020201</v>
      </c>
      <c r="E2533">
        <v>0.93994142625352395</v>
      </c>
      <c r="F2533">
        <v>1.9155384926247701</v>
      </c>
    </row>
    <row r="2534" spans="1:6">
      <c r="A2534" t="s">
        <v>50995</v>
      </c>
      <c r="B2534" t="s">
        <v>50999</v>
      </c>
      <c r="C2534">
        <v>0.78760428298860397</v>
      </c>
      <c r="D2534">
        <v>0.73248056270020201</v>
      </c>
      <c r="E2534">
        <v>0.93994142625352395</v>
      </c>
      <c r="F2534">
        <v>1.9155384926247701</v>
      </c>
    </row>
    <row r="2535" spans="1:6">
      <c r="A2535" t="s">
        <v>50995</v>
      </c>
      <c r="B2535" t="s">
        <v>51000</v>
      </c>
      <c r="C2535">
        <v>0</v>
      </c>
      <c r="D2535">
        <v>0.73248056270020201</v>
      </c>
      <c r="E2535">
        <v>0.93994142625352395</v>
      </c>
      <c r="F2535">
        <v>1.9155384926247701</v>
      </c>
    </row>
    <row r="2536" spans="1:6">
      <c r="A2536" t="s">
        <v>51001</v>
      </c>
      <c r="B2536" t="s">
        <v>51002</v>
      </c>
      <c r="C2536">
        <v>0</v>
      </c>
      <c r="D2536">
        <v>0.32666435734607002</v>
      </c>
      <c r="E2536">
        <v>0.92192323069607895</v>
      </c>
      <c r="F2536">
        <v>4.1123459284703898</v>
      </c>
    </row>
    <row r="2537" spans="1:6">
      <c r="A2537" t="s">
        <v>51001</v>
      </c>
      <c r="B2537" t="s">
        <v>51003</v>
      </c>
      <c r="C2537">
        <v>0.75232323069607898</v>
      </c>
      <c r="D2537">
        <v>0.32666435734607002</v>
      </c>
      <c r="E2537">
        <v>0.92192323069607895</v>
      </c>
      <c r="F2537">
        <v>4.1123459284703898</v>
      </c>
    </row>
    <row r="2538" spans="1:6">
      <c r="A2538" t="s">
        <v>51001</v>
      </c>
      <c r="B2538" t="s">
        <v>51004</v>
      </c>
      <c r="C2538">
        <v>0</v>
      </c>
      <c r="D2538">
        <v>0.32666435734607002</v>
      </c>
      <c r="E2538">
        <v>0.92192323069607895</v>
      </c>
      <c r="F2538">
        <v>4.1123459284703898</v>
      </c>
    </row>
    <row r="2539" spans="1:6">
      <c r="A2539" t="s">
        <v>51005</v>
      </c>
      <c r="B2539" t="s">
        <v>51006</v>
      </c>
      <c r="C2539">
        <v>0</v>
      </c>
      <c r="D2539">
        <v>0.30314916131269998</v>
      </c>
      <c r="E2539">
        <v>0.94829435906554904</v>
      </c>
      <c r="F2539">
        <v>4.1123459284703898</v>
      </c>
    </row>
    <row r="2540" spans="1:6">
      <c r="A2540" t="s">
        <v>51005</v>
      </c>
      <c r="B2540" t="s">
        <v>51007</v>
      </c>
      <c r="C2540">
        <v>0</v>
      </c>
      <c r="D2540">
        <v>0.30314916131269998</v>
      </c>
      <c r="E2540">
        <v>0.94829435906554904</v>
      </c>
      <c r="F2540">
        <v>4.1123459284703898</v>
      </c>
    </row>
    <row r="2541" spans="1:6">
      <c r="A2541" t="s">
        <v>51005</v>
      </c>
      <c r="B2541" t="s">
        <v>51008</v>
      </c>
      <c r="C2541">
        <v>9.9610645931691401E-4</v>
      </c>
      <c r="D2541">
        <v>0.30314916131269998</v>
      </c>
      <c r="E2541">
        <v>0.94829435906554904</v>
      </c>
      <c r="F2541">
        <v>4.1123459284703898</v>
      </c>
    </row>
    <row r="2542" spans="1:6">
      <c r="A2542" t="s">
        <v>51005</v>
      </c>
      <c r="B2542" t="s">
        <v>51009</v>
      </c>
      <c r="C2542">
        <v>0</v>
      </c>
      <c r="D2542">
        <v>0.30314916131269998</v>
      </c>
      <c r="E2542">
        <v>0.94829435906554904</v>
      </c>
      <c r="F2542">
        <v>4.1123459284703898</v>
      </c>
    </row>
    <row r="2543" spans="1:6">
      <c r="A2543" t="s">
        <v>51005</v>
      </c>
      <c r="B2543" t="s">
        <v>51010</v>
      </c>
      <c r="C2543">
        <v>0.75396865950640801</v>
      </c>
      <c r="D2543">
        <v>0.30314916131269998</v>
      </c>
      <c r="E2543">
        <v>0.94829435906554904</v>
      </c>
      <c r="F2543">
        <v>4.1123459284703898</v>
      </c>
    </row>
    <row r="2544" spans="1:6">
      <c r="A2544" t="s">
        <v>51005</v>
      </c>
      <c r="B2544" t="s">
        <v>51011</v>
      </c>
      <c r="C2544">
        <v>0</v>
      </c>
      <c r="D2544">
        <v>0.30314916131269998</v>
      </c>
      <c r="E2544">
        <v>0.94829435906554904</v>
      </c>
      <c r="F2544">
        <v>4.1123459284703898</v>
      </c>
    </row>
    <row r="2545" spans="1:6">
      <c r="A2545" t="s">
        <v>51012</v>
      </c>
      <c r="B2545" t="s">
        <v>51013</v>
      </c>
      <c r="C2545">
        <v>0</v>
      </c>
      <c r="D2545">
        <v>0.16953238989501901</v>
      </c>
      <c r="E2545" t="s">
        <v>106</v>
      </c>
      <c r="F2545">
        <v>5.1792281268943201</v>
      </c>
    </row>
    <row r="2546" spans="1:6">
      <c r="A2546" t="s">
        <v>51012</v>
      </c>
      <c r="B2546" t="s">
        <v>51014</v>
      </c>
      <c r="C2546">
        <v>0</v>
      </c>
      <c r="D2546">
        <v>0.16953238989501901</v>
      </c>
      <c r="E2546" t="s">
        <v>106</v>
      </c>
      <c r="F2546">
        <v>5.1792281268943201</v>
      </c>
    </row>
    <row r="2547" spans="1:6">
      <c r="A2547" t="s">
        <v>51015</v>
      </c>
      <c r="B2547" t="s">
        <v>51016</v>
      </c>
      <c r="C2547">
        <v>3.8146463470679202E-2</v>
      </c>
      <c r="D2547">
        <v>0.55171997521876404</v>
      </c>
      <c r="E2547">
        <v>0.91458538665901501</v>
      </c>
      <c r="F2547">
        <v>16.265104061426499</v>
      </c>
    </row>
    <row r="2548" spans="1:6">
      <c r="A2548" t="s">
        <v>51015</v>
      </c>
      <c r="B2548" t="s">
        <v>51017</v>
      </c>
      <c r="C2548">
        <v>0</v>
      </c>
      <c r="D2548">
        <v>0.55171997521876404</v>
      </c>
      <c r="E2548">
        <v>0.91458538665901501</v>
      </c>
      <c r="F2548">
        <v>16.265104061426499</v>
      </c>
    </row>
    <row r="2549" spans="1:6">
      <c r="A2549" t="s">
        <v>51015</v>
      </c>
      <c r="B2549" t="s">
        <v>51018</v>
      </c>
      <c r="C2549">
        <v>0.68508590312626005</v>
      </c>
      <c r="D2549">
        <v>0.55171997521876404</v>
      </c>
      <c r="E2549">
        <v>0.91458538665901501</v>
      </c>
      <c r="F2549">
        <v>16.265104061426499</v>
      </c>
    </row>
    <row r="2550" spans="1:6">
      <c r="A2550" t="s">
        <v>51015</v>
      </c>
      <c r="B2550" t="s">
        <v>51019</v>
      </c>
      <c r="C2550">
        <v>0</v>
      </c>
      <c r="D2550">
        <v>0.55171997521876404</v>
      </c>
      <c r="E2550">
        <v>0.91458538665901501</v>
      </c>
      <c r="F2550">
        <v>16.265104061426499</v>
      </c>
    </row>
    <row r="2551" spans="1:6">
      <c r="A2551" t="s">
        <v>51020</v>
      </c>
      <c r="B2551" t="s">
        <v>51021</v>
      </c>
      <c r="C2551">
        <v>0.16567614740985001</v>
      </c>
      <c r="D2551">
        <v>0.11056960143474601</v>
      </c>
      <c r="E2551">
        <v>0.96033659300660201</v>
      </c>
      <c r="F2551">
        <v>18.112750050515199</v>
      </c>
    </row>
    <row r="2552" spans="1:6">
      <c r="A2552" t="s">
        <v>51020</v>
      </c>
      <c r="B2552" t="s">
        <v>51022</v>
      </c>
      <c r="C2552">
        <v>0.75130973374275201</v>
      </c>
      <c r="D2552">
        <v>0.11056960143474601</v>
      </c>
      <c r="E2552">
        <v>0.96033659300660201</v>
      </c>
      <c r="F2552">
        <v>18.112750050515199</v>
      </c>
    </row>
    <row r="2553" spans="1:6">
      <c r="A2553" t="s">
        <v>51023</v>
      </c>
      <c r="B2553" t="s">
        <v>51024</v>
      </c>
      <c r="C2553">
        <v>0.59349709146919105</v>
      </c>
      <c r="D2553">
        <v>0.275874253788426</v>
      </c>
      <c r="E2553">
        <v>0.78709709146919105</v>
      </c>
      <c r="F2553">
        <v>6.1200242473226902</v>
      </c>
    </row>
    <row r="2554" spans="1:6">
      <c r="A2554" t="s">
        <v>51023</v>
      </c>
      <c r="B2554" t="s">
        <v>51025</v>
      </c>
      <c r="C2554">
        <v>0</v>
      </c>
      <c r="D2554">
        <v>0.275874253788426</v>
      </c>
      <c r="E2554">
        <v>0.78709709146919105</v>
      </c>
      <c r="F2554">
        <v>6.1200242473226902</v>
      </c>
    </row>
    <row r="2555" spans="1:6">
      <c r="A2555" t="s">
        <v>51026</v>
      </c>
      <c r="B2555" t="s">
        <v>51027</v>
      </c>
      <c r="C2555">
        <v>0.87601922834576795</v>
      </c>
      <c r="D2555">
        <v>0.75765608949149199</v>
      </c>
      <c r="E2555">
        <v>0.97760772429702503</v>
      </c>
      <c r="F2555">
        <v>23.5199030107092</v>
      </c>
    </row>
    <row r="2556" spans="1:6">
      <c r="A2556" t="s">
        <v>51026</v>
      </c>
      <c r="B2556" t="s">
        <v>51028</v>
      </c>
      <c r="C2556">
        <v>0</v>
      </c>
      <c r="D2556">
        <v>0.75765608949149199</v>
      </c>
      <c r="E2556">
        <v>0.97760772429702503</v>
      </c>
      <c r="F2556">
        <v>23.5199030107092</v>
      </c>
    </row>
    <row r="2557" spans="1:6">
      <c r="A2557" t="s">
        <v>51026</v>
      </c>
      <c r="B2557" t="s">
        <v>51029</v>
      </c>
      <c r="C2557">
        <v>5.7681802923546702E-2</v>
      </c>
      <c r="D2557">
        <v>0.75765608949149199</v>
      </c>
      <c r="E2557">
        <v>0.97760772429702503</v>
      </c>
      <c r="F2557">
        <v>23.5199030107092</v>
      </c>
    </row>
    <row r="2558" spans="1:6">
      <c r="A2558" t="s">
        <v>51030</v>
      </c>
      <c r="B2558" t="s">
        <v>51031</v>
      </c>
      <c r="C2558">
        <v>0.14782398373577799</v>
      </c>
      <c r="D2558">
        <v>9.4592374072243801E-2</v>
      </c>
      <c r="E2558">
        <v>0.914289603660975</v>
      </c>
      <c r="F2558">
        <v>12.3418872499494</v>
      </c>
    </row>
    <row r="2559" spans="1:6">
      <c r="A2559" t="s">
        <v>51030</v>
      </c>
      <c r="B2559" t="s">
        <v>51032</v>
      </c>
      <c r="C2559">
        <v>0</v>
      </c>
      <c r="D2559">
        <v>9.4592374072243801E-2</v>
      </c>
      <c r="E2559">
        <v>0.914289603660975</v>
      </c>
      <c r="F2559">
        <v>12.3418872499494</v>
      </c>
    </row>
    <row r="2560" spans="1:6">
      <c r="A2560" t="s">
        <v>51030</v>
      </c>
      <c r="B2560" t="s">
        <v>51033</v>
      </c>
      <c r="C2560">
        <v>0</v>
      </c>
      <c r="D2560">
        <v>9.4592374072243801E-2</v>
      </c>
      <c r="E2560">
        <v>0.914289603660975</v>
      </c>
      <c r="F2560">
        <v>12.3418872499494</v>
      </c>
    </row>
    <row r="2561" spans="1:6">
      <c r="A2561" t="s">
        <v>51030</v>
      </c>
      <c r="B2561" t="s">
        <v>51034</v>
      </c>
      <c r="C2561">
        <v>0</v>
      </c>
      <c r="D2561">
        <v>9.4592374072243801E-2</v>
      </c>
      <c r="E2561">
        <v>0.914289603660975</v>
      </c>
      <c r="F2561">
        <v>12.3418872499494</v>
      </c>
    </row>
    <row r="2562" spans="1:6">
      <c r="A2562" t="s">
        <v>51030</v>
      </c>
      <c r="B2562" t="s">
        <v>51035</v>
      </c>
      <c r="C2562">
        <v>0</v>
      </c>
      <c r="D2562">
        <v>9.4592374072243801E-2</v>
      </c>
      <c r="E2562">
        <v>0.914289603660975</v>
      </c>
      <c r="F2562">
        <v>12.3418872499494</v>
      </c>
    </row>
    <row r="2563" spans="1:6">
      <c r="A2563" t="s">
        <v>51030</v>
      </c>
      <c r="B2563" t="s">
        <v>51036</v>
      </c>
      <c r="C2563">
        <v>0</v>
      </c>
      <c r="D2563">
        <v>9.4592374072243801E-2</v>
      </c>
      <c r="E2563">
        <v>0.914289603660975</v>
      </c>
      <c r="F2563">
        <v>12.3418872499494</v>
      </c>
    </row>
    <row r="2564" spans="1:6">
      <c r="A2564" t="s">
        <v>51030</v>
      </c>
      <c r="B2564" t="s">
        <v>51037</v>
      </c>
      <c r="C2564">
        <v>0</v>
      </c>
      <c r="D2564">
        <v>9.4592374072243801E-2</v>
      </c>
      <c r="E2564">
        <v>0.914289603660975</v>
      </c>
      <c r="F2564">
        <v>12.3418872499494</v>
      </c>
    </row>
    <row r="2565" spans="1:6">
      <c r="A2565" t="s">
        <v>51030</v>
      </c>
      <c r="B2565" t="s">
        <v>51038</v>
      </c>
      <c r="C2565">
        <v>0</v>
      </c>
      <c r="D2565">
        <v>9.4592374072243801E-2</v>
      </c>
      <c r="E2565">
        <v>0.914289603660975</v>
      </c>
      <c r="F2565">
        <v>12.3418872499494</v>
      </c>
    </row>
    <row r="2566" spans="1:6">
      <c r="A2566" t="s">
        <v>51030</v>
      </c>
      <c r="B2566" t="s">
        <v>51039</v>
      </c>
      <c r="C2566">
        <v>0.28592205337912002</v>
      </c>
      <c r="D2566">
        <v>9.4592374072243801E-2</v>
      </c>
      <c r="E2566">
        <v>0.914289603660975</v>
      </c>
      <c r="F2566">
        <v>12.3418872499494</v>
      </c>
    </row>
    <row r="2567" spans="1:6">
      <c r="A2567" t="s">
        <v>51040</v>
      </c>
      <c r="B2567" t="s">
        <v>51041</v>
      </c>
      <c r="C2567">
        <v>0</v>
      </c>
      <c r="D2567">
        <v>0.79208580713102705</v>
      </c>
      <c r="E2567">
        <v>0.97316249704562396</v>
      </c>
      <c r="F2567">
        <v>1.29480703172358</v>
      </c>
    </row>
    <row r="2568" spans="1:6">
      <c r="A2568" t="s">
        <v>51040</v>
      </c>
      <c r="B2568" t="s">
        <v>51042</v>
      </c>
      <c r="C2568">
        <v>0.34616497275839497</v>
      </c>
      <c r="D2568">
        <v>0.79208580713102705</v>
      </c>
      <c r="E2568">
        <v>0.97316249704562396</v>
      </c>
      <c r="F2568">
        <v>1.29480703172358</v>
      </c>
    </row>
    <row r="2569" spans="1:6">
      <c r="A2569" t="s">
        <v>51040</v>
      </c>
      <c r="B2569" t="s">
        <v>51043</v>
      </c>
      <c r="C2569">
        <v>0.477441897527842</v>
      </c>
      <c r="D2569">
        <v>0.79208580713102705</v>
      </c>
      <c r="E2569">
        <v>0.97316249704562396</v>
      </c>
      <c r="F2569">
        <v>1.29480703172358</v>
      </c>
    </row>
    <row r="2570" spans="1:6">
      <c r="A2570" t="s">
        <v>51040</v>
      </c>
      <c r="B2570" t="s">
        <v>51044</v>
      </c>
      <c r="C2570">
        <v>0</v>
      </c>
      <c r="D2570">
        <v>0.79208580713102705</v>
      </c>
      <c r="E2570">
        <v>0.97316249704562396</v>
      </c>
      <c r="F2570">
        <v>1.29480703172358</v>
      </c>
    </row>
    <row r="2571" spans="1:6">
      <c r="A2571" t="s">
        <v>51040</v>
      </c>
      <c r="B2571" t="s">
        <v>51045</v>
      </c>
      <c r="C2571">
        <v>0</v>
      </c>
      <c r="D2571">
        <v>0.79208580713102705</v>
      </c>
      <c r="E2571">
        <v>0.97316249704562396</v>
      </c>
      <c r="F2571">
        <v>1.29480703172358</v>
      </c>
    </row>
    <row r="2572" spans="1:6">
      <c r="A2572" t="s">
        <v>51046</v>
      </c>
      <c r="B2572" t="s">
        <v>51047</v>
      </c>
      <c r="C2572">
        <v>0.37717207299593303</v>
      </c>
      <c r="D2572">
        <v>0.54646935690703002</v>
      </c>
      <c r="E2572">
        <v>0.97200402917921003</v>
      </c>
      <c r="F2572">
        <v>7.2741968074358399</v>
      </c>
    </row>
    <row r="2573" spans="1:6">
      <c r="A2573" t="s">
        <v>51046</v>
      </c>
      <c r="B2573" t="s">
        <v>51048</v>
      </c>
      <c r="C2573">
        <v>0</v>
      </c>
      <c r="D2573">
        <v>0.54646935690703002</v>
      </c>
      <c r="E2573">
        <v>0.97200402917921003</v>
      </c>
      <c r="F2573">
        <v>7.2741968074358399</v>
      </c>
    </row>
    <row r="2574" spans="1:6">
      <c r="A2574" t="s">
        <v>51046</v>
      </c>
      <c r="B2574" t="s">
        <v>51049</v>
      </c>
      <c r="C2574">
        <v>0.62595045234121105</v>
      </c>
      <c r="D2574">
        <v>0.54646935690703002</v>
      </c>
      <c r="E2574">
        <v>0.97200402917921003</v>
      </c>
      <c r="F2574">
        <v>7.2741968074358399</v>
      </c>
    </row>
    <row r="2575" spans="1:6">
      <c r="A2575" t="s">
        <v>51050</v>
      </c>
      <c r="B2575" t="s">
        <v>51051</v>
      </c>
      <c r="C2575">
        <v>0</v>
      </c>
      <c r="D2575">
        <v>0.63261224876783995</v>
      </c>
      <c r="E2575">
        <v>0.988136776358569</v>
      </c>
      <c r="F2575">
        <v>16.871287128712801</v>
      </c>
    </row>
    <row r="2576" spans="1:6">
      <c r="A2576" t="s">
        <v>51050</v>
      </c>
      <c r="B2576" t="s">
        <v>51052</v>
      </c>
      <c r="C2576">
        <v>0</v>
      </c>
      <c r="D2576">
        <v>0.63261224876783995</v>
      </c>
      <c r="E2576">
        <v>0.988136776358569</v>
      </c>
      <c r="F2576">
        <v>16.871287128712801</v>
      </c>
    </row>
    <row r="2577" spans="1:6">
      <c r="A2577" t="s">
        <v>51050</v>
      </c>
      <c r="B2577" t="s">
        <v>51053</v>
      </c>
      <c r="C2577">
        <v>0.95933677635856895</v>
      </c>
      <c r="D2577">
        <v>0.63261224876783995</v>
      </c>
      <c r="E2577">
        <v>0.988136776358569</v>
      </c>
      <c r="F2577">
        <v>16.871287128712801</v>
      </c>
    </row>
    <row r="2578" spans="1:6">
      <c r="A2578" t="s">
        <v>51054</v>
      </c>
      <c r="B2578" t="s">
        <v>51055</v>
      </c>
      <c r="C2578">
        <v>0.82361315561993498</v>
      </c>
      <c r="D2578">
        <v>0.35730077087199802</v>
      </c>
      <c r="E2578">
        <v>0.95573448150624096</v>
      </c>
      <c r="F2578">
        <v>14.519296827641901</v>
      </c>
    </row>
    <row r="2579" spans="1:6">
      <c r="A2579" t="s">
        <v>51054</v>
      </c>
      <c r="B2579" t="s">
        <v>51056</v>
      </c>
      <c r="C2579">
        <v>2.38148732585159E-2</v>
      </c>
      <c r="D2579">
        <v>0.35730077087199802</v>
      </c>
      <c r="E2579">
        <v>0.95573448150624096</v>
      </c>
      <c r="F2579">
        <v>14.519296827641901</v>
      </c>
    </row>
    <row r="2580" spans="1:6">
      <c r="A2580" t="s">
        <v>51054</v>
      </c>
      <c r="B2580" t="s">
        <v>51057</v>
      </c>
      <c r="C2580">
        <v>0</v>
      </c>
      <c r="D2580">
        <v>0.35730077087199802</v>
      </c>
      <c r="E2580">
        <v>0.95573448150624096</v>
      </c>
      <c r="F2580">
        <v>14.519296827641901</v>
      </c>
    </row>
    <row r="2581" spans="1:6">
      <c r="A2581" t="s">
        <v>51054</v>
      </c>
      <c r="B2581" t="s">
        <v>51058</v>
      </c>
      <c r="C2581">
        <v>0</v>
      </c>
      <c r="D2581">
        <v>0.35730077087199802</v>
      </c>
      <c r="E2581">
        <v>0.95573448150624096</v>
      </c>
      <c r="F2581">
        <v>14.519296827641901</v>
      </c>
    </row>
    <row r="2582" spans="1:6">
      <c r="A2582" t="s">
        <v>51059</v>
      </c>
      <c r="B2582" t="s">
        <v>51060</v>
      </c>
      <c r="C2582">
        <v>0</v>
      </c>
      <c r="D2582">
        <v>0.17122123847618401</v>
      </c>
      <c r="E2582">
        <v>0.97915150051950295</v>
      </c>
      <c r="F2582">
        <v>11.158617902606499</v>
      </c>
    </row>
    <row r="2583" spans="1:6">
      <c r="A2583" t="s">
        <v>51059</v>
      </c>
      <c r="B2583" t="s">
        <v>51061</v>
      </c>
      <c r="C2583">
        <v>0</v>
      </c>
      <c r="D2583">
        <v>0.17122123847618401</v>
      </c>
      <c r="E2583">
        <v>0.97915150051950295</v>
      </c>
      <c r="F2583">
        <v>11.158617902606499</v>
      </c>
    </row>
    <row r="2584" spans="1:6">
      <c r="A2584" t="s">
        <v>51059</v>
      </c>
      <c r="B2584" t="s">
        <v>51062</v>
      </c>
      <c r="C2584">
        <v>0</v>
      </c>
      <c r="D2584">
        <v>0.17122123847618401</v>
      </c>
      <c r="E2584">
        <v>0.97915150051950295</v>
      </c>
      <c r="F2584">
        <v>11.158617902606499</v>
      </c>
    </row>
    <row r="2585" spans="1:6">
      <c r="A2585" t="s">
        <v>51059</v>
      </c>
      <c r="B2585" t="s">
        <v>51063</v>
      </c>
      <c r="C2585">
        <v>0</v>
      </c>
      <c r="D2585">
        <v>0.17122123847618401</v>
      </c>
      <c r="E2585">
        <v>0.97915150051950295</v>
      </c>
      <c r="F2585">
        <v>11.158617902606499</v>
      </c>
    </row>
    <row r="2586" spans="1:6">
      <c r="A2586" t="s">
        <v>51059</v>
      </c>
      <c r="B2586" t="s">
        <v>51064</v>
      </c>
      <c r="C2586">
        <v>0.84891140001259002</v>
      </c>
      <c r="D2586">
        <v>0.17122123847618401</v>
      </c>
      <c r="E2586">
        <v>0.97915150051950295</v>
      </c>
      <c r="F2586">
        <v>11.158617902606499</v>
      </c>
    </row>
    <row r="2587" spans="1:6">
      <c r="A2587" t="s">
        <v>51059</v>
      </c>
      <c r="B2587" t="s">
        <v>51065</v>
      </c>
      <c r="C2587">
        <v>3.7650139497466101E-3</v>
      </c>
      <c r="D2587">
        <v>0.17122123847618401</v>
      </c>
      <c r="E2587">
        <v>0.97915150051950295</v>
      </c>
      <c r="F2587">
        <v>11.158617902606499</v>
      </c>
    </row>
    <row r="2588" spans="1:6">
      <c r="A2588" t="s">
        <v>51066</v>
      </c>
      <c r="B2588" t="s">
        <v>51067</v>
      </c>
      <c r="C2588">
        <v>0</v>
      </c>
      <c r="D2588">
        <v>0.62336451201420495</v>
      </c>
      <c r="E2588">
        <v>0.96002610018846801</v>
      </c>
      <c r="F2588">
        <v>9.4128106688219795</v>
      </c>
    </row>
    <row r="2589" spans="1:6">
      <c r="A2589" t="s">
        <v>51066</v>
      </c>
      <c r="B2589" t="s">
        <v>51068</v>
      </c>
      <c r="C2589">
        <v>0</v>
      </c>
      <c r="D2589">
        <v>0.62336451201420495</v>
      </c>
      <c r="E2589">
        <v>0.96002610018846801</v>
      </c>
      <c r="F2589">
        <v>9.4128106688219795</v>
      </c>
    </row>
    <row r="2590" spans="1:6">
      <c r="A2590" t="s">
        <v>51066</v>
      </c>
      <c r="B2590" t="s">
        <v>51069</v>
      </c>
      <c r="C2590">
        <v>0</v>
      </c>
      <c r="D2590">
        <v>0.62336451201420495</v>
      </c>
      <c r="E2590">
        <v>0.96002610018846801</v>
      </c>
      <c r="F2590">
        <v>9.4128106688219795</v>
      </c>
    </row>
    <row r="2591" spans="1:6">
      <c r="A2591" t="s">
        <v>51066</v>
      </c>
      <c r="B2591" t="s">
        <v>51070</v>
      </c>
      <c r="C2591">
        <v>0</v>
      </c>
      <c r="D2591">
        <v>0.62336451201420495</v>
      </c>
      <c r="E2591">
        <v>0.96002610018846801</v>
      </c>
      <c r="F2591">
        <v>9.4128106688219795</v>
      </c>
    </row>
    <row r="2592" spans="1:6">
      <c r="A2592" t="s">
        <v>51066</v>
      </c>
      <c r="B2592" t="s">
        <v>51071</v>
      </c>
      <c r="C2592">
        <v>0</v>
      </c>
      <c r="D2592">
        <v>0.62336451201420495</v>
      </c>
      <c r="E2592">
        <v>0.96002610018846801</v>
      </c>
      <c r="F2592">
        <v>9.4128106688219795</v>
      </c>
    </row>
    <row r="2593" spans="1:6">
      <c r="A2593" t="s">
        <v>51066</v>
      </c>
      <c r="B2593" t="s">
        <v>51072</v>
      </c>
      <c r="C2593">
        <v>0</v>
      </c>
      <c r="D2593">
        <v>0.62336451201420495</v>
      </c>
      <c r="E2593">
        <v>0.96002610018846801</v>
      </c>
      <c r="F2593">
        <v>9.4128106688219795</v>
      </c>
    </row>
    <row r="2594" spans="1:6">
      <c r="A2594" t="s">
        <v>51066</v>
      </c>
      <c r="B2594" t="s">
        <v>51073</v>
      </c>
      <c r="C2594">
        <v>0.77922610018846805</v>
      </c>
      <c r="D2594">
        <v>0.62336451201420495</v>
      </c>
      <c r="E2594">
        <v>0.96002610018846801</v>
      </c>
      <c r="F2594">
        <v>9.4128106688219795</v>
      </c>
    </row>
    <row r="2595" spans="1:6">
      <c r="A2595" t="s">
        <v>51066</v>
      </c>
      <c r="B2595" t="s">
        <v>51074</v>
      </c>
      <c r="C2595">
        <v>0</v>
      </c>
      <c r="D2595">
        <v>0.62336451201420495</v>
      </c>
      <c r="E2595">
        <v>0.96002610018846801</v>
      </c>
      <c r="F2595">
        <v>9.4128106688219795</v>
      </c>
    </row>
    <row r="2596" spans="1:6">
      <c r="A2596" t="s">
        <v>51066</v>
      </c>
      <c r="B2596" t="s">
        <v>51075</v>
      </c>
      <c r="C2596">
        <v>0</v>
      </c>
      <c r="D2596">
        <v>0.62336451201420495</v>
      </c>
      <c r="E2596">
        <v>0.96002610018846801</v>
      </c>
      <c r="F2596">
        <v>9.4128106688219795</v>
      </c>
    </row>
    <row r="2597" spans="1:6">
      <c r="A2597" t="s">
        <v>51066</v>
      </c>
      <c r="B2597" t="s">
        <v>51076</v>
      </c>
      <c r="C2597">
        <v>0</v>
      </c>
      <c r="D2597">
        <v>0.62336451201420495</v>
      </c>
      <c r="E2597">
        <v>0.96002610018846801</v>
      </c>
      <c r="F2597">
        <v>9.4128106688219795</v>
      </c>
    </row>
    <row r="2598" spans="1:6">
      <c r="A2598" t="s">
        <v>51066</v>
      </c>
      <c r="B2598" t="s">
        <v>51077</v>
      </c>
      <c r="C2598">
        <v>0</v>
      </c>
      <c r="D2598">
        <v>0.62336451201420495</v>
      </c>
      <c r="E2598">
        <v>0.96002610018846801</v>
      </c>
      <c r="F2598">
        <v>9.4128106688219795</v>
      </c>
    </row>
    <row r="2599" spans="1:6">
      <c r="A2599" t="s">
        <v>51066</v>
      </c>
      <c r="B2599" t="s">
        <v>51078</v>
      </c>
      <c r="C2599">
        <v>0</v>
      </c>
      <c r="D2599">
        <v>0.62336451201420495</v>
      </c>
      <c r="E2599">
        <v>0.96002610018846801</v>
      </c>
      <c r="F2599">
        <v>9.4128106688219795</v>
      </c>
    </row>
    <row r="2600" spans="1:6">
      <c r="A2600" t="s">
        <v>51079</v>
      </c>
      <c r="B2600" t="s">
        <v>51080</v>
      </c>
      <c r="C2600">
        <v>0.13994579614297101</v>
      </c>
      <c r="D2600">
        <v>0.61248149171564004</v>
      </c>
      <c r="E2600">
        <v>0.99325494643579904</v>
      </c>
      <c r="F2600">
        <v>7.8173368357243804</v>
      </c>
    </row>
    <row r="2601" spans="1:6">
      <c r="A2601" t="s">
        <v>51079</v>
      </c>
      <c r="B2601" t="s">
        <v>51081</v>
      </c>
      <c r="C2601">
        <v>0</v>
      </c>
      <c r="D2601">
        <v>0.61248149171564004</v>
      </c>
      <c r="E2601">
        <v>0.99325494643579904</v>
      </c>
      <c r="F2601">
        <v>7.8173368357243804</v>
      </c>
    </row>
    <row r="2602" spans="1:6">
      <c r="A2602" t="s">
        <v>51079</v>
      </c>
      <c r="B2602" t="s">
        <v>51082</v>
      </c>
      <c r="C2602">
        <v>0</v>
      </c>
      <c r="D2602">
        <v>0.61248149171564004</v>
      </c>
      <c r="E2602">
        <v>0.99325494643579904</v>
      </c>
      <c r="F2602">
        <v>7.8173368357243804</v>
      </c>
    </row>
    <row r="2603" spans="1:6">
      <c r="A2603" t="s">
        <v>51079</v>
      </c>
      <c r="B2603" t="s">
        <v>51083</v>
      </c>
      <c r="C2603">
        <v>0</v>
      </c>
      <c r="D2603">
        <v>0.61248149171564004</v>
      </c>
      <c r="E2603">
        <v>0.99325494643579904</v>
      </c>
      <c r="F2603">
        <v>7.8173368357243804</v>
      </c>
    </row>
    <row r="2604" spans="1:6">
      <c r="A2604" t="s">
        <v>51079</v>
      </c>
      <c r="B2604" t="s">
        <v>51084</v>
      </c>
      <c r="C2604">
        <v>0</v>
      </c>
      <c r="D2604">
        <v>0.61248149171564004</v>
      </c>
      <c r="E2604">
        <v>0.99325494643579904</v>
      </c>
      <c r="F2604">
        <v>7.8173368357243804</v>
      </c>
    </row>
    <row r="2605" spans="1:6">
      <c r="A2605" t="s">
        <v>51079</v>
      </c>
      <c r="B2605" t="s">
        <v>51085</v>
      </c>
      <c r="C2605">
        <v>0</v>
      </c>
      <c r="D2605">
        <v>0.61248149171564004</v>
      </c>
      <c r="E2605">
        <v>0.99325494643579904</v>
      </c>
      <c r="F2605">
        <v>7.8173368357243804</v>
      </c>
    </row>
    <row r="2606" spans="1:6">
      <c r="A2606" t="s">
        <v>51079</v>
      </c>
      <c r="B2606" t="s">
        <v>51086</v>
      </c>
      <c r="C2606">
        <v>0.78830357750425195</v>
      </c>
      <c r="D2606">
        <v>0.61248149171564004</v>
      </c>
      <c r="E2606">
        <v>0.99325494643579904</v>
      </c>
      <c r="F2606">
        <v>7.8173368357243804</v>
      </c>
    </row>
    <row r="2607" spans="1:6">
      <c r="A2607" t="s">
        <v>51079</v>
      </c>
      <c r="B2607" t="s">
        <v>51087</v>
      </c>
      <c r="C2607">
        <v>0</v>
      </c>
      <c r="D2607">
        <v>0.61248149171564004</v>
      </c>
      <c r="E2607">
        <v>0.99325494643579904</v>
      </c>
      <c r="F2607">
        <v>7.8173368357243804</v>
      </c>
    </row>
    <row r="2608" spans="1:6">
      <c r="A2608" t="s">
        <v>51079</v>
      </c>
      <c r="B2608" t="s">
        <v>51088</v>
      </c>
      <c r="C2608">
        <v>0</v>
      </c>
      <c r="D2608">
        <v>0.61248149171564004</v>
      </c>
      <c r="E2608">
        <v>0.99325494643579904</v>
      </c>
      <c r="F2608">
        <v>7.8173368357243804</v>
      </c>
    </row>
    <row r="2609" spans="1:6">
      <c r="A2609" t="s">
        <v>51079</v>
      </c>
      <c r="B2609" t="s">
        <v>51089</v>
      </c>
      <c r="C2609">
        <v>0</v>
      </c>
      <c r="D2609">
        <v>0.61248149171564004</v>
      </c>
      <c r="E2609">
        <v>0.99325494643579904</v>
      </c>
      <c r="F2609">
        <v>7.8173368357243804</v>
      </c>
    </row>
    <row r="2610" spans="1:6">
      <c r="A2610" t="s">
        <v>51090</v>
      </c>
      <c r="B2610" t="s">
        <v>51091</v>
      </c>
      <c r="C2610">
        <v>0</v>
      </c>
      <c r="D2610">
        <v>0.831873014424653</v>
      </c>
      <c r="E2610">
        <v>0.92925290528505</v>
      </c>
      <c r="F2610">
        <v>12.6958981612446</v>
      </c>
    </row>
    <row r="2611" spans="1:6">
      <c r="A2611" t="s">
        <v>51090</v>
      </c>
      <c r="B2611" t="s">
        <v>51092</v>
      </c>
      <c r="C2611">
        <v>0.31157785024248802</v>
      </c>
      <c r="D2611">
        <v>0.831873014424653</v>
      </c>
      <c r="E2611">
        <v>0.92925290528505</v>
      </c>
      <c r="F2611">
        <v>12.6958981612446</v>
      </c>
    </row>
    <row r="2612" spans="1:6">
      <c r="A2612" t="s">
        <v>51090</v>
      </c>
      <c r="B2612" t="s">
        <v>51093</v>
      </c>
      <c r="C2612">
        <v>0</v>
      </c>
      <c r="D2612">
        <v>0.831873014424653</v>
      </c>
      <c r="E2612">
        <v>0.92925290528505</v>
      </c>
      <c r="F2612">
        <v>12.6958981612446</v>
      </c>
    </row>
    <row r="2613" spans="1:6">
      <c r="A2613" t="s">
        <v>51090</v>
      </c>
      <c r="B2613" t="s">
        <v>51094</v>
      </c>
      <c r="C2613">
        <v>0</v>
      </c>
      <c r="D2613">
        <v>0.831873014424653</v>
      </c>
      <c r="E2613">
        <v>0.92925290528505</v>
      </c>
      <c r="F2613">
        <v>12.6958981612446</v>
      </c>
    </row>
    <row r="2614" spans="1:6">
      <c r="A2614" t="s">
        <v>51090</v>
      </c>
      <c r="B2614" t="s">
        <v>51095</v>
      </c>
      <c r="C2614">
        <v>0</v>
      </c>
      <c r="D2614">
        <v>0.831873014424653</v>
      </c>
      <c r="E2614">
        <v>0.92925290528505</v>
      </c>
      <c r="F2614">
        <v>12.6958981612446</v>
      </c>
    </row>
    <row r="2615" spans="1:6">
      <c r="A2615" t="s">
        <v>51090</v>
      </c>
      <c r="B2615" t="s">
        <v>51096</v>
      </c>
      <c r="C2615">
        <v>0.15412150003928099</v>
      </c>
      <c r="D2615">
        <v>0.831873014424653</v>
      </c>
      <c r="E2615">
        <v>0.92925290528505</v>
      </c>
      <c r="F2615">
        <v>12.6958981612446</v>
      </c>
    </row>
    <row r="2616" spans="1:6">
      <c r="A2616" t="s">
        <v>51090</v>
      </c>
      <c r="B2616" t="s">
        <v>51097</v>
      </c>
      <c r="C2616">
        <v>0</v>
      </c>
      <c r="D2616">
        <v>0.831873014424653</v>
      </c>
      <c r="E2616">
        <v>0.92925290528505</v>
      </c>
      <c r="F2616">
        <v>12.6958981612446</v>
      </c>
    </row>
    <row r="2617" spans="1:6">
      <c r="A2617" t="s">
        <v>51090</v>
      </c>
      <c r="B2617" t="s">
        <v>51098</v>
      </c>
      <c r="C2617">
        <v>0</v>
      </c>
      <c r="D2617">
        <v>0.831873014424653</v>
      </c>
      <c r="E2617">
        <v>0.92925290528505</v>
      </c>
      <c r="F2617">
        <v>12.6958981612446</v>
      </c>
    </row>
    <row r="2618" spans="1:6">
      <c r="A2618" t="s">
        <v>51090</v>
      </c>
      <c r="B2618" t="s">
        <v>51099</v>
      </c>
      <c r="C2618">
        <v>0</v>
      </c>
      <c r="D2618">
        <v>0.831873014424653</v>
      </c>
      <c r="E2618">
        <v>0.92925290528505</v>
      </c>
      <c r="F2618">
        <v>12.6958981612446</v>
      </c>
    </row>
    <row r="2619" spans="1:6">
      <c r="A2619" t="s">
        <v>51100</v>
      </c>
      <c r="B2619" t="s">
        <v>51101</v>
      </c>
      <c r="C2619">
        <v>0</v>
      </c>
      <c r="D2619">
        <v>0.32848803689246697</v>
      </c>
      <c r="E2619">
        <v>0.79538051245570096</v>
      </c>
      <c r="F2619">
        <v>7.0074762578298602</v>
      </c>
    </row>
    <row r="2620" spans="1:6">
      <c r="A2620" t="s">
        <v>51100</v>
      </c>
      <c r="B2620" t="s">
        <v>51102</v>
      </c>
      <c r="C2620">
        <v>9.8278658049875595E-2</v>
      </c>
      <c r="D2620">
        <v>0.32848803689246697</v>
      </c>
      <c r="E2620">
        <v>0.79538051245570096</v>
      </c>
      <c r="F2620">
        <v>7.0074762578298602</v>
      </c>
    </row>
    <row r="2621" spans="1:6">
      <c r="A2621" t="s">
        <v>51100</v>
      </c>
      <c r="B2621" t="s">
        <v>51103</v>
      </c>
      <c r="C2621">
        <v>0.492279689898319</v>
      </c>
      <c r="D2621">
        <v>0.32848803689246697</v>
      </c>
      <c r="E2621">
        <v>0.79538051245570096</v>
      </c>
      <c r="F2621">
        <v>7.0074762578298602</v>
      </c>
    </row>
    <row r="2622" spans="1:6">
      <c r="A2622" t="s">
        <v>51100</v>
      </c>
      <c r="B2622" t="s">
        <v>51104</v>
      </c>
      <c r="C2622">
        <v>0</v>
      </c>
      <c r="D2622">
        <v>0.32848803689246697</v>
      </c>
      <c r="E2622">
        <v>0.79538051245570096</v>
      </c>
      <c r="F2622">
        <v>7.0074762578298602</v>
      </c>
    </row>
    <row r="2623" spans="1:6">
      <c r="A2623" t="s">
        <v>51100</v>
      </c>
      <c r="B2623" t="s">
        <v>51105</v>
      </c>
      <c r="C2623">
        <v>0</v>
      </c>
      <c r="D2623">
        <v>0.32848803689246697</v>
      </c>
      <c r="E2623">
        <v>0.79538051245570096</v>
      </c>
      <c r="F2623">
        <v>7.0074762578298602</v>
      </c>
    </row>
    <row r="2624" spans="1:6">
      <c r="A2624" t="s">
        <v>51100</v>
      </c>
      <c r="B2624" t="s">
        <v>51106</v>
      </c>
      <c r="C2624">
        <v>0</v>
      </c>
      <c r="D2624">
        <v>0.32848803689246697</v>
      </c>
      <c r="E2624">
        <v>0.79538051245570096</v>
      </c>
      <c r="F2624">
        <v>7.0074762578298602</v>
      </c>
    </row>
    <row r="2625" spans="1:6">
      <c r="A2625" t="s">
        <v>51100</v>
      </c>
      <c r="B2625" t="s">
        <v>51107</v>
      </c>
      <c r="C2625">
        <v>0</v>
      </c>
      <c r="D2625">
        <v>0.32848803689246697</v>
      </c>
      <c r="E2625">
        <v>0.79538051245570096</v>
      </c>
      <c r="F2625">
        <v>7.0074762578298602</v>
      </c>
    </row>
    <row r="2626" spans="1:6">
      <c r="A2626" t="s">
        <v>51108</v>
      </c>
      <c r="B2626" t="s">
        <v>51109</v>
      </c>
      <c r="C2626">
        <v>0.29038196751560602</v>
      </c>
      <c r="D2626">
        <v>0.70635388481109496</v>
      </c>
      <c r="E2626">
        <v>0.98226732510261505</v>
      </c>
      <c r="F2626">
        <v>3.0842594463527901</v>
      </c>
    </row>
    <row r="2627" spans="1:6">
      <c r="A2627" t="s">
        <v>51108</v>
      </c>
      <c r="B2627" t="s">
        <v>51110</v>
      </c>
      <c r="C2627">
        <v>0</v>
      </c>
      <c r="D2627">
        <v>0.70635388481109496</v>
      </c>
      <c r="E2627">
        <v>0.98226732510261505</v>
      </c>
      <c r="F2627">
        <v>3.0842594463527901</v>
      </c>
    </row>
    <row r="2628" spans="1:6">
      <c r="A2628" t="s">
        <v>51108</v>
      </c>
      <c r="B2628" t="s">
        <v>51111</v>
      </c>
      <c r="C2628">
        <v>0</v>
      </c>
      <c r="D2628">
        <v>0.70635388481109496</v>
      </c>
      <c r="E2628">
        <v>0.98226732510261505</v>
      </c>
      <c r="F2628">
        <v>3.0842594463527901</v>
      </c>
    </row>
    <row r="2629" spans="1:6">
      <c r="A2629" t="s">
        <v>51108</v>
      </c>
      <c r="B2629" t="s">
        <v>51112</v>
      </c>
      <c r="C2629">
        <v>0</v>
      </c>
      <c r="D2629">
        <v>0.70635388481109496</v>
      </c>
      <c r="E2629">
        <v>0.98226732510261505</v>
      </c>
      <c r="F2629">
        <v>3.0842594463527901</v>
      </c>
    </row>
    <row r="2630" spans="1:6">
      <c r="A2630" t="s">
        <v>51108</v>
      </c>
      <c r="B2630" t="s">
        <v>51113</v>
      </c>
      <c r="C2630">
        <v>0.70958351575179901</v>
      </c>
      <c r="D2630">
        <v>0.70635388481109496</v>
      </c>
      <c r="E2630">
        <v>0.98226732510261505</v>
      </c>
      <c r="F2630">
        <v>3.0842594463527901</v>
      </c>
    </row>
    <row r="2631" spans="1:6">
      <c r="A2631" t="s">
        <v>51108</v>
      </c>
      <c r="B2631" t="s">
        <v>51114</v>
      </c>
      <c r="C2631">
        <v>0</v>
      </c>
      <c r="D2631">
        <v>0.70635388481109496</v>
      </c>
      <c r="E2631">
        <v>0.98226732510261505</v>
      </c>
      <c r="F2631">
        <v>3.0842594463527901</v>
      </c>
    </row>
    <row r="2632" spans="1:6">
      <c r="A2632" t="s">
        <v>51108</v>
      </c>
      <c r="B2632" t="s">
        <v>51115</v>
      </c>
      <c r="C2632">
        <v>0</v>
      </c>
      <c r="D2632">
        <v>0.70635388481109496</v>
      </c>
      <c r="E2632">
        <v>0.98226732510261505</v>
      </c>
      <c r="F2632">
        <v>3.0842594463527901</v>
      </c>
    </row>
    <row r="2633" spans="1:6">
      <c r="A2633" t="s">
        <v>51116</v>
      </c>
      <c r="B2633" t="s">
        <v>51117</v>
      </c>
      <c r="C2633">
        <v>0</v>
      </c>
      <c r="D2633">
        <v>0.52892192672330196</v>
      </c>
      <c r="E2633">
        <v>0.93850079356808602</v>
      </c>
      <c r="F2633">
        <v>18.321277025661701</v>
      </c>
    </row>
    <row r="2634" spans="1:6">
      <c r="A2634" t="s">
        <v>51116</v>
      </c>
      <c r="B2634" t="s">
        <v>51118</v>
      </c>
      <c r="C2634">
        <v>0.26980466794109398</v>
      </c>
      <c r="D2634">
        <v>0.52892192672330196</v>
      </c>
      <c r="E2634">
        <v>0.93850079356808602</v>
      </c>
      <c r="F2634">
        <v>18.321277025661701</v>
      </c>
    </row>
    <row r="2635" spans="1:6">
      <c r="A2635" t="s">
        <v>51116</v>
      </c>
      <c r="B2635" t="s">
        <v>51119</v>
      </c>
      <c r="C2635">
        <v>0</v>
      </c>
      <c r="D2635">
        <v>0.52892192672330196</v>
      </c>
      <c r="E2635">
        <v>0.93850079356808602</v>
      </c>
      <c r="F2635">
        <v>18.321277025661701</v>
      </c>
    </row>
    <row r="2636" spans="1:6">
      <c r="A2636" t="s">
        <v>51116</v>
      </c>
      <c r="B2636" t="s">
        <v>51120</v>
      </c>
      <c r="C2636">
        <v>0.557795139185982</v>
      </c>
      <c r="D2636">
        <v>0.52892192672330196</v>
      </c>
      <c r="E2636">
        <v>0.93850079356808602</v>
      </c>
      <c r="F2636">
        <v>18.321277025661701</v>
      </c>
    </row>
    <row r="2637" spans="1:6">
      <c r="A2637" t="s">
        <v>51116</v>
      </c>
      <c r="B2637" t="s">
        <v>51121</v>
      </c>
      <c r="C2637">
        <v>0</v>
      </c>
      <c r="D2637">
        <v>0.52892192672330196</v>
      </c>
      <c r="E2637">
        <v>0.93850079356808602</v>
      </c>
      <c r="F2637">
        <v>18.321277025661701</v>
      </c>
    </row>
    <row r="2638" spans="1:6">
      <c r="A2638" t="s">
        <v>51116</v>
      </c>
      <c r="B2638" t="s">
        <v>51122</v>
      </c>
      <c r="C2638">
        <v>0</v>
      </c>
      <c r="D2638">
        <v>0.52892192672330196</v>
      </c>
      <c r="E2638">
        <v>0.93850079356808602</v>
      </c>
      <c r="F2638">
        <v>18.321277025661701</v>
      </c>
    </row>
    <row r="2639" spans="1:6">
      <c r="A2639" t="s">
        <v>51123</v>
      </c>
      <c r="B2639" t="s">
        <v>51124</v>
      </c>
      <c r="C2639">
        <v>0.152851186723961</v>
      </c>
      <c r="D2639">
        <v>0.67135828064772196</v>
      </c>
      <c r="E2639">
        <v>0.99439197588387096</v>
      </c>
      <c r="F2639">
        <v>0.88260254596888199</v>
      </c>
    </row>
    <row r="2640" spans="1:6">
      <c r="A2640" t="s">
        <v>51123</v>
      </c>
      <c r="B2640" t="s">
        <v>51125</v>
      </c>
      <c r="C2640">
        <v>0</v>
      </c>
      <c r="D2640">
        <v>0.67135828064772196</v>
      </c>
      <c r="E2640">
        <v>0.99439197588387096</v>
      </c>
      <c r="F2640">
        <v>0.88260254596888199</v>
      </c>
    </row>
    <row r="2641" spans="1:6">
      <c r="A2641" t="s">
        <v>51123</v>
      </c>
      <c r="B2641" t="s">
        <v>51126</v>
      </c>
      <c r="C2641">
        <v>0</v>
      </c>
      <c r="D2641">
        <v>0.67135828064772196</v>
      </c>
      <c r="E2641">
        <v>0.99439197588387096</v>
      </c>
      <c r="F2641">
        <v>0.88260254596888199</v>
      </c>
    </row>
    <row r="2642" spans="1:6">
      <c r="A2642" t="s">
        <v>51123</v>
      </c>
      <c r="B2642" t="s">
        <v>51127</v>
      </c>
      <c r="C2642">
        <v>0</v>
      </c>
      <c r="D2642">
        <v>0.67135828064772196</v>
      </c>
      <c r="E2642">
        <v>0.99439197588387096</v>
      </c>
      <c r="F2642">
        <v>0.88260254596888199</v>
      </c>
    </row>
    <row r="2643" spans="1:6">
      <c r="A2643" t="s">
        <v>51123</v>
      </c>
      <c r="B2643" t="s">
        <v>51128</v>
      </c>
      <c r="C2643">
        <v>0</v>
      </c>
      <c r="D2643">
        <v>0.67135828064772196</v>
      </c>
      <c r="E2643">
        <v>0.99439197588387096</v>
      </c>
      <c r="F2643">
        <v>0.88260254596888199</v>
      </c>
    </row>
    <row r="2644" spans="1:6">
      <c r="A2644" t="s">
        <v>51123</v>
      </c>
      <c r="B2644" t="s">
        <v>51129</v>
      </c>
      <c r="C2644">
        <v>0</v>
      </c>
      <c r="D2644">
        <v>0.67135828064772196</v>
      </c>
      <c r="E2644">
        <v>0.99439197588387096</v>
      </c>
      <c r="F2644">
        <v>0.88260254596888199</v>
      </c>
    </row>
    <row r="2645" spans="1:6">
      <c r="A2645" t="s">
        <v>51123</v>
      </c>
      <c r="B2645" t="s">
        <v>51130</v>
      </c>
      <c r="C2645">
        <v>0</v>
      </c>
      <c r="D2645">
        <v>0.67135828064772196</v>
      </c>
      <c r="E2645">
        <v>0.99439197588387096</v>
      </c>
      <c r="F2645">
        <v>0.88260254596888199</v>
      </c>
    </row>
    <row r="2646" spans="1:6">
      <c r="A2646" t="s">
        <v>51123</v>
      </c>
      <c r="B2646" t="s">
        <v>51131</v>
      </c>
      <c r="C2646">
        <v>0</v>
      </c>
      <c r="D2646">
        <v>0.67135828064772196</v>
      </c>
      <c r="E2646">
        <v>0.99439197588387096</v>
      </c>
      <c r="F2646">
        <v>0.88260254596888199</v>
      </c>
    </row>
    <row r="2647" spans="1:6">
      <c r="A2647" t="s">
        <v>51123</v>
      </c>
      <c r="B2647" t="s">
        <v>51132</v>
      </c>
      <c r="C2647">
        <v>0.81087911044566097</v>
      </c>
      <c r="D2647">
        <v>0.67135828064772196</v>
      </c>
      <c r="E2647">
        <v>0.99439197588387096</v>
      </c>
      <c r="F2647">
        <v>0.88260254596888199</v>
      </c>
    </row>
    <row r="2648" spans="1:6">
      <c r="A2648" t="s">
        <v>51123</v>
      </c>
      <c r="B2648" t="s">
        <v>51133</v>
      </c>
      <c r="C2648">
        <v>0</v>
      </c>
      <c r="D2648">
        <v>0.67135828064772196</v>
      </c>
      <c r="E2648">
        <v>0.99439197588387096</v>
      </c>
      <c r="F2648">
        <v>0.88260254596888199</v>
      </c>
    </row>
    <row r="2649" spans="1:6">
      <c r="A2649" t="s">
        <v>51123</v>
      </c>
      <c r="B2649" t="s">
        <v>51134</v>
      </c>
      <c r="C2649">
        <v>0</v>
      </c>
      <c r="D2649">
        <v>0.67135828064772196</v>
      </c>
      <c r="E2649">
        <v>0.99439197588387096</v>
      </c>
      <c r="F2649">
        <v>0.88260254596888199</v>
      </c>
    </row>
    <row r="2650" spans="1:6">
      <c r="A2650" t="s">
        <v>51123</v>
      </c>
      <c r="B2650" t="s">
        <v>51135</v>
      </c>
      <c r="C2650">
        <v>0</v>
      </c>
      <c r="D2650">
        <v>0.67135828064772196</v>
      </c>
      <c r="E2650">
        <v>0.99439197588387096</v>
      </c>
      <c r="F2650">
        <v>0.88260254596888199</v>
      </c>
    </row>
    <row r="2651" spans="1:6">
      <c r="A2651" t="s">
        <v>51123</v>
      </c>
      <c r="B2651" t="s">
        <v>51136</v>
      </c>
      <c r="C2651">
        <v>0</v>
      </c>
      <c r="D2651">
        <v>0.67135828064772196</v>
      </c>
      <c r="E2651">
        <v>0.99439197588387096</v>
      </c>
      <c r="F2651">
        <v>0.88260254596888199</v>
      </c>
    </row>
    <row r="2652" spans="1:6">
      <c r="A2652" t="s">
        <v>51123</v>
      </c>
      <c r="B2652" t="s">
        <v>51137</v>
      </c>
      <c r="C2652">
        <v>0</v>
      </c>
      <c r="D2652">
        <v>0.67135828064772196</v>
      </c>
      <c r="E2652">
        <v>0.99439197588387096</v>
      </c>
      <c r="F2652">
        <v>0.88260254596888199</v>
      </c>
    </row>
    <row r="2653" spans="1:6">
      <c r="A2653" t="s">
        <v>51123</v>
      </c>
      <c r="B2653" t="s">
        <v>51138</v>
      </c>
      <c r="C2653">
        <v>0</v>
      </c>
      <c r="D2653">
        <v>0.67135828064772196</v>
      </c>
      <c r="E2653">
        <v>0.99439197588387096</v>
      </c>
      <c r="F2653">
        <v>0.88260254596888199</v>
      </c>
    </row>
    <row r="2654" spans="1:6">
      <c r="A2654" t="s">
        <v>51139</v>
      </c>
      <c r="B2654" t="s">
        <v>51140</v>
      </c>
      <c r="C2654">
        <v>0</v>
      </c>
      <c r="D2654">
        <v>0.31970667302648997</v>
      </c>
      <c r="E2654">
        <v>0.97772993874536196</v>
      </c>
      <c r="F2654">
        <v>14.8975550616286</v>
      </c>
    </row>
    <row r="2655" spans="1:6">
      <c r="A2655" t="s">
        <v>51139</v>
      </c>
      <c r="B2655" t="s">
        <v>51141</v>
      </c>
      <c r="C2655">
        <v>0</v>
      </c>
      <c r="D2655">
        <v>0.31970667302648997</v>
      </c>
      <c r="E2655">
        <v>0.97772993874536196</v>
      </c>
      <c r="F2655">
        <v>14.8975550616286</v>
      </c>
    </row>
    <row r="2656" spans="1:6">
      <c r="A2656" t="s">
        <v>51139</v>
      </c>
      <c r="B2656" t="s">
        <v>51142</v>
      </c>
      <c r="C2656">
        <v>0</v>
      </c>
      <c r="D2656">
        <v>0.31970667302648997</v>
      </c>
      <c r="E2656">
        <v>0.97772993874536196</v>
      </c>
      <c r="F2656">
        <v>14.8975550616286</v>
      </c>
    </row>
    <row r="2657" spans="1:6">
      <c r="A2657" t="s">
        <v>51139</v>
      </c>
      <c r="B2657" t="s">
        <v>51143</v>
      </c>
      <c r="C2657">
        <v>1.8663566425912E-2</v>
      </c>
      <c r="D2657">
        <v>0.31970667302648997</v>
      </c>
      <c r="E2657">
        <v>0.97772993874536196</v>
      </c>
      <c r="F2657">
        <v>14.8975550616286</v>
      </c>
    </row>
    <row r="2658" spans="1:6">
      <c r="A2658" t="s">
        <v>51139</v>
      </c>
      <c r="B2658" t="s">
        <v>51144</v>
      </c>
      <c r="C2658">
        <v>0</v>
      </c>
      <c r="D2658">
        <v>0.31970667302648997</v>
      </c>
      <c r="E2658">
        <v>0.97772993874536196</v>
      </c>
      <c r="F2658">
        <v>14.8975550616286</v>
      </c>
    </row>
    <row r="2659" spans="1:6">
      <c r="A2659" t="s">
        <v>51139</v>
      </c>
      <c r="B2659" t="s">
        <v>51145</v>
      </c>
      <c r="C2659">
        <v>0</v>
      </c>
      <c r="D2659">
        <v>0.31970667302648997</v>
      </c>
      <c r="E2659">
        <v>0.97772993874536196</v>
      </c>
      <c r="F2659">
        <v>14.8975550616286</v>
      </c>
    </row>
    <row r="2660" spans="1:6">
      <c r="A2660" t="s">
        <v>51139</v>
      </c>
      <c r="B2660" t="s">
        <v>51146</v>
      </c>
      <c r="C2660">
        <v>0.870494214000336</v>
      </c>
      <c r="D2660">
        <v>0.31970667302648997</v>
      </c>
      <c r="E2660">
        <v>0.97772993874536196</v>
      </c>
      <c r="F2660">
        <v>14.8975550616286</v>
      </c>
    </row>
    <row r="2661" spans="1:6">
      <c r="A2661" t="s">
        <v>51147</v>
      </c>
      <c r="B2661" t="s">
        <v>51148</v>
      </c>
      <c r="C2661">
        <v>0</v>
      </c>
      <c r="D2661">
        <v>0.58773174323391297</v>
      </c>
      <c r="E2661">
        <v>0.85760286939282204</v>
      </c>
      <c r="F2661">
        <v>2.9145281875126199</v>
      </c>
    </row>
    <row r="2662" spans="1:6">
      <c r="A2662" t="s">
        <v>51147</v>
      </c>
      <c r="B2662" t="s">
        <v>51149</v>
      </c>
      <c r="C2662">
        <v>0.67680286939282197</v>
      </c>
      <c r="D2662">
        <v>0.58773174323391297</v>
      </c>
      <c r="E2662">
        <v>0.85760286939282204</v>
      </c>
      <c r="F2662">
        <v>2.9145281875126199</v>
      </c>
    </row>
    <row r="2663" spans="1:6">
      <c r="A2663" t="s">
        <v>51147</v>
      </c>
      <c r="B2663" t="s">
        <v>51150</v>
      </c>
      <c r="C2663">
        <v>0</v>
      </c>
      <c r="D2663">
        <v>0.58773174323391297</v>
      </c>
      <c r="E2663">
        <v>0.85760286939282204</v>
      </c>
      <c r="F2663">
        <v>2.9145281875126199</v>
      </c>
    </row>
    <row r="2664" spans="1:6">
      <c r="A2664" t="s">
        <v>51147</v>
      </c>
      <c r="B2664" t="s">
        <v>51151</v>
      </c>
      <c r="C2664">
        <v>0</v>
      </c>
      <c r="D2664">
        <v>0.58773174323391297</v>
      </c>
      <c r="E2664">
        <v>0.85760286939282204</v>
      </c>
      <c r="F2664">
        <v>2.9145281875126199</v>
      </c>
    </row>
    <row r="2665" spans="1:6">
      <c r="A2665" t="s">
        <v>51147</v>
      </c>
      <c r="B2665" t="s">
        <v>51152</v>
      </c>
      <c r="C2665">
        <v>0</v>
      </c>
      <c r="D2665">
        <v>0.58773174323391297</v>
      </c>
      <c r="E2665">
        <v>0.85760286939282204</v>
      </c>
      <c r="F2665">
        <v>2.9145281875126199</v>
      </c>
    </row>
    <row r="2666" spans="1:6">
      <c r="A2666" t="s">
        <v>51153</v>
      </c>
      <c r="B2666" t="s">
        <v>51154</v>
      </c>
      <c r="C2666">
        <v>0.642227098589915</v>
      </c>
      <c r="D2666">
        <v>0.11222141409396499</v>
      </c>
      <c r="E2666">
        <v>0.95255308976735997</v>
      </c>
      <c r="F2666">
        <v>3.62739947464134</v>
      </c>
    </row>
    <row r="2667" spans="1:6">
      <c r="A2667" t="s">
        <v>51153</v>
      </c>
      <c r="B2667" t="s">
        <v>51155</v>
      </c>
      <c r="C2667">
        <v>0</v>
      </c>
      <c r="D2667">
        <v>0.11222141409396499</v>
      </c>
      <c r="E2667">
        <v>0.95255308976735997</v>
      </c>
      <c r="F2667">
        <v>3.62739947464134</v>
      </c>
    </row>
    <row r="2668" spans="1:6">
      <c r="A2668" t="s">
        <v>51153</v>
      </c>
      <c r="B2668" t="s">
        <v>51156</v>
      </c>
      <c r="C2668">
        <v>0</v>
      </c>
      <c r="D2668">
        <v>0.11222141409396499</v>
      </c>
      <c r="E2668">
        <v>0.95255308976735997</v>
      </c>
      <c r="F2668">
        <v>3.62739947464134</v>
      </c>
    </row>
    <row r="2669" spans="1:6">
      <c r="A2669" t="s">
        <v>51153</v>
      </c>
      <c r="B2669" t="s">
        <v>51157</v>
      </c>
      <c r="C2669">
        <v>0</v>
      </c>
      <c r="D2669">
        <v>0.11222141409396499</v>
      </c>
      <c r="E2669">
        <v>0.95255308976735997</v>
      </c>
      <c r="F2669">
        <v>3.62739947464134</v>
      </c>
    </row>
    <row r="2670" spans="1:6">
      <c r="A2670" t="s">
        <v>51153</v>
      </c>
      <c r="B2670" t="s">
        <v>51158</v>
      </c>
      <c r="C2670">
        <v>0</v>
      </c>
      <c r="D2670">
        <v>0.11222141409396499</v>
      </c>
      <c r="E2670">
        <v>0.95255308976735997</v>
      </c>
      <c r="F2670">
        <v>3.62739947464134</v>
      </c>
    </row>
    <row r="2671" spans="1:6">
      <c r="A2671" t="s">
        <v>51153</v>
      </c>
      <c r="B2671" t="s">
        <v>51159</v>
      </c>
      <c r="C2671">
        <v>0</v>
      </c>
      <c r="D2671">
        <v>0.11222141409396499</v>
      </c>
      <c r="E2671">
        <v>0.95255308976735997</v>
      </c>
      <c r="F2671">
        <v>3.62739947464134</v>
      </c>
    </row>
    <row r="2672" spans="1:6">
      <c r="A2672" t="s">
        <v>51153</v>
      </c>
      <c r="B2672" t="s">
        <v>51160</v>
      </c>
      <c r="C2672">
        <v>6.0021781949545598E-2</v>
      </c>
      <c r="D2672">
        <v>0.11222141409396499</v>
      </c>
      <c r="E2672">
        <v>0.95255308976735997</v>
      </c>
      <c r="F2672">
        <v>3.62739947464134</v>
      </c>
    </row>
    <row r="2673" spans="1:6">
      <c r="A2673" t="s">
        <v>51153</v>
      </c>
      <c r="B2673" t="s">
        <v>51161</v>
      </c>
      <c r="C2673">
        <v>0</v>
      </c>
      <c r="D2673">
        <v>0.11222141409396499</v>
      </c>
      <c r="E2673">
        <v>0.95255308976735997</v>
      </c>
      <c r="F2673">
        <v>3.62739947464134</v>
      </c>
    </row>
    <row r="2674" spans="1:6">
      <c r="A2674" t="s">
        <v>51162</v>
      </c>
      <c r="B2674" t="s">
        <v>51163</v>
      </c>
      <c r="C2674">
        <v>0</v>
      </c>
      <c r="D2674">
        <v>5.9468057799234697E-2</v>
      </c>
      <c r="E2674" t="s">
        <v>106</v>
      </c>
      <c r="F2674">
        <v>4.5245504142250903</v>
      </c>
    </row>
    <row r="2675" spans="1:6">
      <c r="A2675" t="s">
        <v>51162</v>
      </c>
      <c r="B2675" t="s">
        <v>51164</v>
      </c>
      <c r="C2675">
        <v>0</v>
      </c>
      <c r="D2675">
        <v>5.9468057799234697E-2</v>
      </c>
      <c r="E2675" t="s">
        <v>106</v>
      </c>
      <c r="F2675">
        <v>4.5245504142250903</v>
      </c>
    </row>
    <row r="2676" spans="1:6">
      <c r="A2676" t="s">
        <v>51162</v>
      </c>
      <c r="B2676" t="s">
        <v>51165</v>
      </c>
      <c r="C2676">
        <v>0</v>
      </c>
      <c r="D2676">
        <v>5.9468057799234697E-2</v>
      </c>
      <c r="E2676" t="s">
        <v>106</v>
      </c>
      <c r="F2676">
        <v>4.5245504142250903</v>
      </c>
    </row>
    <row r="2677" spans="1:6">
      <c r="A2677" t="s">
        <v>51166</v>
      </c>
      <c r="B2677" t="s">
        <v>51167</v>
      </c>
      <c r="C2677">
        <v>0</v>
      </c>
      <c r="D2677">
        <v>0.20282718968486199</v>
      </c>
      <c r="E2677">
        <v>0.98901551379427799</v>
      </c>
      <c r="F2677">
        <v>13.772479288745201</v>
      </c>
    </row>
    <row r="2678" spans="1:6">
      <c r="A2678" t="s">
        <v>51166</v>
      </c>
      <c r="B2678" t="s">
        <v>51168</v>
      </c>
      <c r="C2678">
        <v>0</v>
      </c>
      <c r="D2678">
        <v>0.20282718968486199</v>
      </c>
      <c r="E2678">
        <v>0.98901551379427799</v>
      </c>
      <c r="F2678">
        <v>13.772479288745201</v>
      </c>
    </row>
    <row r="2679" spans="1:6">
      <c r="A2679" t="s">
        <v>51166</v>
      </c>
      <c r="B2679" t="s">
        <v>51169</v>
      </c>
      <c r="C2679">
        <v>0</v>
      </c>
      <c r="D2679">
        <v>0.20282718968486199</v>
      </c>
      <c r="E2679">
        <v>0.98901551379427799</v>
      </c>
      <c r="F2679">
        <v>13.772479288745201</v>
      </c>
    </row>
    <row r="2680" spans="1:6">
      <c r="A2680" t="s">
        <v>51166</v>
      </c>
      <c r="B2680" t="s">
        <v>51170</v>
      </c>
      <c r="C2680">
        <v>0.312013400686458</v>
      </c>
      <c r="D2680">
        <v>0.20282718968486199</v>
      </c>
      <c r="E2680">
        <v>0.98901551379427799</v>
      </c>
      <c r="F2680">
        <v>13.772479288745201</v>
      </c>
    </row>
    <row r="2681" spans="1:6">
      <c r="A2681" t="s">
        <v>51166</v>
      </c>
      <c r="B2681" t="s">
        <v>51171</v>
      </c>
      <c r="C2681">
        <v>0</v>
      </c>
      <c r="D2681">
        <v>0.20282718968486199</v>
      </c>
      <c r="E2681">
        <v>0.98901551379427799</v>
      </c>
      <c r="F2681">
        <v>13.772479288745201</v>
      </c>
    </row>
    <row r="2682" spans="1:6">
      <c r="A2682" t="s">
        <v>51166</v>
      </c>
      <c r="B2682" t="s">
        <v>51172</v>
      </c>
      <c r="C2682">
        <v>0.64467011835932697</v>
      </c>
      <c r="D2682">
        <v>0.20282718968486199</v>
      </c>
      <c r="E2682">
        <v>0.98901551379427799</v>
      </c>
      <c r="F2682">
        <v>13.772479288745201</v>
      </c>
    </row>
    <row r="2683" spans="1:6">
      <c r="A2683" t="s">
        <v>51166</v>
      </c>
      <c r="B2683" t="s">
        <v>51173</v>
      </c>
      <c r="C2683">
        <v>0</v>
      </c>
      <c r="D2683">
        <v>0.20282718968486199</v>
      </c>
      <c r="E2683">
        <v>0.98901551379427799</v>
      </c>
      <c r="F2683">
        <v>13.772479288745201</v>
      </c>
    </row>
    <row r="2684" spans="1:6">
      <c r="A2684" t="s">
        <v>51174</v>
      </c>
      <c r="B2684" t="s">
        <v>51175</v>
      </c>
      <c r="C2684">
        <v>6.7267988236990206E-2</v>
      </c>
      <c r="D2684">
        <v>0.60941182053088205</v>
      </c>
      <c r="E2684">
        <v>0.84400367241016006</v>
      </c>
      <c r="F2684">
        <v>2.5071731662962198</v>
      </c>
    </row>
    <row r="2685" spans="1:6">
      <c r="A2685" t="s">
        <v>51174</v>
      </c>
      <c r="B2685" t="s">
        <v>51176</v>
      </c>
      <c r="C2685">
        <v>0.65547197273578395</v>
      </c>
      <c r="D2685">
        <v>0.60941182053088205</v>
      </c>
      <c r="E2685">
        <v>0.84400367241016006</v>
      </c>
      <c r="F2685">
        <v>2.5071731662962198</v>
      </c>
    </row>
    <row r="2686" spans="1:6">
      <c r="A2686" t="s">
        <v>51177</v>
      </c>
      <c r="B2686" t="s">
        <v>51178</v>
      </c>
      <c r="C2686">
        <v>0</v>
      </c>
      <c r="D2686">
        <v>0.50923665141349495</v>
      </c>
      <c r="E2686">
        <v>0.93530350408640694</v>
      </c>
      <c r="F2686">
        <v>1.8476459890887</v>
      </c>
    </row>
    <row r="2687" spans="1:6">
      <c r="A2687" t="s">
        <v>51177</v>
      </c>
      <c r="B2687" t="s">
        <v>51179</v>
      </c>
      <c r="C2687">
        <v>0</v>
      </c>
      <c r="D2687">
        <v>0.50923665141349495</v>
      </c>
      <c r="E2687">
        <v>0.93530350408640694</v>
      </c>
      <c r="F2687">
        <v>1.8476459890887</v>
      </c>
    </row>
    <row r="2688" spans="1:6">
      <c r="A2688" t="s">
        <v>51177</v>
      </c>
      <c r="B2688" t="s">
        <v>51180</v>
      </c>
      <c r="C2688">
        <v>0.72730350408640598</v>
      </c>
      <c r="D2688">
        <v>0.50923665141349495</v>
      </c>
      <c r="E2688">
        <v>0.93530350408640694</v>
      </c>
      <c r="F2688">
        <v>1.8476459890887</v>
      </c>
    </row>
    <row r="2689" spans="1:6">
      <c r="A2689" t="s">
        <v>51177</v>
      </c>
      <c r="B2689" t="s">
        <v>51181</v>
      </c>
      <c r="C2689">
        <v>0</v>
      </c>
      <c r="D2689">
        <v>0.50923665141349495</v>
      </c>
      <c r="E2689">
        <v>0.93530350408640694</v>
      </c>
      <c r="F2689">
        <v>1.8476459890887</v>
      </c>
    </row>
    <row r="2690" spans="1:6">
      <c r="A2690" t="s">
        <v>51177</v>
      </c>
      <c r="B2690" t="s">
        <v>51182</v>
      </c>
      <c r="C2690">
        <v>0</v>
      </c>
      <c r="D2690">
        <v>0.50923665141349495</v>
      </c>
      <c r="E2690">
        <v>0.93530350408640694</v>
      </c>
      <c r="F2690">
        <v>1.8476459890887</v>
      </c>
    </row>
    <row r="2691" spans="1:6">
      <c r="A2691" t="s">
        <v>51183</v>
      </c>
      <c r="B2691" t="s">
        <v>51184</v>
      </c>
      <c r="C2691">
        <v>0</v>
      </c>
      <c r="D2691">
        <v>0.22791967059047299</v>
      </c>
      <c r="E2691">
        <v>0.98198739997174</v>
      </c>
      <c r="F2691">
        <v>1.1832693473428899</v>
      </c>
    </row>
    <row r="2692" spans="1:6">
      <c r="A2692" t="s">
        <v>51183</v>
      </c>
      <c r="B2692" t="s">
        <v>51185</v>
      </c>
      <c r="C2692">
        <v>0.361445183155917</v>
      </c>
      <c r="D2692">
        <v>0.22791967059047299</v>
      </c>
      <c r="E2692">
        <v>0.98198739997174</v>
      </c>
      <c r="F2692">
        <v>1.1832693473428899</v>
      </c>
    </row>
    <row r="2693" spans="1:6">
      <c r="A2693" t="s">
        <v>51183</v>
      </c>
      <c r="B2693" t="s">
        <v>51186</v>
      </c>
      <c r="C2693">
        <v>0</v>
      </c>
      <c r="D2693">
        <v>0.22791967059047299</v>
      </c>
      <c r="E2693">
        <v>0.98198739997174</v>
      </c>
      <c r="F2693">
        <v>1.1832693473428899</v>
      </c>
    </row>
    <row r="2694" spans="1:6">
      <c r="A2694" t="s">
        <v>51183</v>
      </c>
      <c r="B2694" t="s">
        <v>51187</v>
      </c>
      <c r="C2694">
        <v>0</v>
      </c>
      <c r="D2694">
        <v>0.22791967059047299</v>
      </c>
      <c r="E2694">
        <v>0.98198739997174</v>
      </c>
      <c r="F2694">
        <v>1.1832693473428899</v>
      </c>
    </row>
    <row r="2695" spans="1:6">
      <c r="A2695" t="s">
        <v>51183</v>
      </c>
      <c r="B2695" t="s">
        <v>51188</v>
      </c>
      <c r="C2695">
        <v>0</v>
      </c>
      <c r="D2695">
        <v>0.22791967059047299</v>
      </c>
      <c r="E2695">
        <v>0.98198739997174</v>
      </c>
      <c r="F2695">
        <v>1.1832693473428899</v>
      </c>
    </row>
    <row r="2696" spans="1:6">
      <c r="A2696" t="s">
        <v>51183</v>
      </c>
      <c r="B2696" t="s">
        <v>51189</v>
      </c>
      <c r="C2696">
        <v>0</v>
      </c>
      <c r="D2696">
        <v>0.22791967059047299</v>
      </c>
      <c r="E2696">
        <v>0.98198739997174</v>
      </c>
      <c r="F2696">
        <v>1.1832693473428899</v>
      </c>
    </row>
    <row r="2697" spans="1:6">
      <c r="A2697" t="s">
        <v>51183</v>
      </c>
      <c r="B2697" t="s">
        <v>51190</v>
      </c>
      <c r="C2697">
        <v>0.65991797056310997</v>
      </c>
      <c r="D2697">
        <v>0.22791967059047299</v>
      </c>
      <c r="E2697">
        <v>0.98198739997174</v>
      </c>
      <c r="F2697">
        <v>1.1832693473428899</v>
      </c>
    </row>
    <row r="2698" spans="1:6">
      <c r="A2698" t="s">
        <v>51183</v>
      </c>
      <c r="B2698" t="s">
        <v>51191</v>
      </c>
      <c r="C2698">
        <v>0</v>
      </c>
      <c r="D2698">
        <v>0.22791967059047299</v>
      </c>
      <c r="E2698">
        <v>0.98198739997174</v>
      </c>
      <c r="F2698">
        <v>1.1832693473428899</v>
      </c>
    </row>
    <row r="2699" spans="1:6">
      <c r="A2699" t="s">
        <v>51183</v>
      </c>
      <c r="B2699" t="s">
        <v>51192</v>
      </c>
      <c r="C2699">
        <v>0</v>
      </c>
      <c r="D2699">
        <v>0.22791967059047299</v>
      </c>
      <c r="E2699">
        <v>0.98198739997174</v>
      </c>
      <c r="F2699">
        <v>1.1832693473428899</v>
      </c>
    </row>
    <row r="2700" spans="1:6">
      <c r="A2700" t="s">
        <v>51183</v>
      </c>
      <c r="B2700" t="s">
        <v>51193</v>
      </c>
      <c r="C2700">
        <v>0</v>
      </c>
      <c r="D2700">
        <v>0.22791967059047299</v>
      </c>
      <c r="E2700">
        <v>0.98198739997174</v>
      </c>
      <c r="F2700">
        <v>1.1832693473428899</v>
      </c>
    </row>
    <row r="2701" spans="1:6">
      <c r="A2701" t="s">
        <v>51194</v>
      </c>
      <c r="B2701" t="s">
        <v>51195</v>
      </c>
      <c r="C2701">
        <v>4.4836183210009199E-2</v>
      </c>
      <c r="D2701">
        <v>0.26075071858490001</v>
      </c>
      <c r="E2701">
        <v>0.87869872696717499</v>
      </c>
      <c r="F2701">
        <v>6.6195190947666198</v>
      </c>
    </row>
    <row r="2702" spans="1:6">
      <c r="A2702" t="s">
        <v>51194</v>
      </c>
      <c r="B2702" t="s">
        <v>51196</v>
      </c>
      <c r="C2702">
        <v>0</v>
      </c>
      <c r="D2702">
        <v>0.26075071858490001</v>
      </c>
      <c r="E2702">
        <v>0.87869872696717499</v>
      </c>
      <c r="F2702">
        <v>6.6195190947666198</v>
      </c>
    </row>
    <row r="2703" spans="1:6">
      <c r="A2703" t="s">
        <v>51194</v>
      </c>
      <c r="B2703" t="s">
        <v>51197</v>
      </c>
      <c r="C2703">
        <v>0</v>
      </c>
      <c r="D2703">
        <v>0.26075071858490001</v>
      </c>
      <c r="E2703">
        <v>0.87869872696717499</v>
      </c>
      <c r="F2703">
        <v>6.6195190947666198</v>
      </c>
    </row>
    <row r="2704" spans="1:6">
      <c r="A2704" t="s">
        <v>51194</v>
      </c>
      <c r="B2704" t="s">
        <v>51198</v>
      </c>
      <c r="C2704">
        <v>0</v>
      </c>
      <c r="D2704">
        <v>0.26075071858490001</v>
      </c>
      <c r="E2704">
        <v>0.87869872696717499</v>
      </c>
      <c r="F2704">
        <v>6.6195190947666198</v>
      </c>
    </row>
    <row r="2705" spans="1:6">
      <c r="A2705" t="s">
        <v>51194</v>
      </c>
      <c r="B2705" t="s">
        <v>51199</v>
      </c>
      <c r="C2705">
        <v>0</v>
      </c>
      <c r="D2705">
        <v>0.26075071858490001</v>
      </c>
      <c r="E2705">
        <v>0.87869872696717499</v>
      </c>
      <c r="F2705">
        <v>6.6195190947666198</v>
      </c>
    </row>
    <row r="2706" spans="1:6">
      <c r="A2706" t="s">
        <v>51194</v>
      </c>
      <c r="B2706" t="s">
        <v>51200</v>
      </c>
      <c r="C2706">
        <v>0.32120929632284401</v>
      </c>
      <c r="D2706">
        <v>0.26075071858490001</v>
      </c>
      <c r="E2706">
        <v>0.87869872696717499</v>
      </c>
      <c r="F2706">
        <v>6.6195190947666198</v>
      </c>
    </row>
    <row r="2707" spans="1:6">
      <c r="A2707" t="s">
        <v>51201</v>
      </c>
      <c r="B2707" t="s">
        <v>51202</v>
      </c>
      <c r="C2707">
        <v>0</v>
      </c>
      <c r="D2707">
        <v>0.42081003779946502</v>
      </c>
      <c r="E2707" t="s">
        <v>106</v>
      </c>
      <c r="F2707">
        <v>5.87755102040816</v>
      </c>
    </row>
    <row r="2708" spans="1:6">
      <c r="A2708" t="s">
        <v>51201</v>
      </c>
      <c r="B2708" t="s">
        <v>51203</v>
      </c>
      <c r="C2708">
        <v>0</v>
      </c>
      <c r="D2708">
        <v>0.42081003779946502</v>
      </c>
      <c r="E2708" t="s">
        <v>106</v>
      </c>
      <c r="F2708">
        <v>5.87755102040816</v>
      </c>
    </row>
    <row r="2709" spans="1:6">
      <c r="A2709" t="s">
        <v>51201</v>
      </c>
      <c r="B2709" t="s">
        <v>51204</v>
      </c>
      <c r="C2709">
        <v>0</v>
      </c>
      <c r="D2709">
        <v>0.42081003779946502</v>
      </c>
      <c r="E2709" t="s">
        <v>106</v>
      </c>
      <c r="F2709">
        <v>5.87755102040816</v>
      </c>
    </row>
    <row r="2710" spans="1:6">
      <c r="A2710" t="s">
        <v>51201</v>
      </c>
      <c r="B2710" t="s">
        <v>51205</v>
      </c>
      <c r="C2710">
        <v>0</v>
      </c>
      <c r="D2710">
        <v>0.42081003779946502</v>
      </c>
      <c r="E2710" t="s">
        <v>106</v>
      </c>
      <c r="F2710">
        <v>5.87755102040816</v>
      </c>
    </row>
    <row r="2711" spans="1:6">
      <c r="A2711" t="s">
        <v>51201</v>
      </c>
      <c r="B2711" t="s">
        <v>51206</v>
      </c>
      <c r="C2711">
        <v>0</v>
      </c>
      <c r="D2711">
        <v>0.42081003779946502</v>
      </c>
      <c r="E2711" t="s">
        <v>106</v>
      </c>
      <c r="F2711">
        <v>5.87755102040816</v>
      </c>
    </row>
    <row r="2712" spans="1:6">
      <c r="A2712" t="s">
        <v>51201</v>
      </c>
      <c r="B2712" t="s">
        <v>51207</v>
      </c>
      <c r="C2712">
        <v>0</v>
      </c>
      <c r="D2712">
        <v>0.42081003779946502</v>
      </c>
      <c r="E2712" t="s">
        <v>106</v>
      </c>
      <c r="F2712">
        <v>5.87755102040816</v>
      </c>
    </row>
    <row r="2713" spans="1:6">
      <c r="A2713" t="s">
        <v>51201</v>
      </c>
      <c r="B2713" t="s">
        <v>51208</v>
      </c>
      <c r="C2713">
        <v>0</v>
      </c>
      <c r="D2713">
        <v>0.42081003779946502</v>
      </c>
      <c r="E2713" t="s">
        <v>106</v>
      </c>
      <c r="F2713">
        <v>5.87755102040816</v>
      </c>
    </row>
    <row r="2714" spans="1:6">
      <c r="A2714" t="s">
        <v>51201</v>
      </c>
      <c r="B2714" t="s">
        <v>51209</v>
      </c>
      <c r="C2714">
        <v>0</v>
      </c>
      <c r="D2714">
        <v>0.42081003779946502</v>
      </c>
      <c r="E2714" t="s">
        <v>106</v>
      </c>
      <c r="F2714">
        <v>5.87755102040816</v>
      </c>
    </row>
    <row r="2715" spans="1:6">
      <c r="A2715" t="s">
        <v>51210</v>
      </c>
      <c r="B2715" t="s">
        <v>51211</v>
      </c>
      <c r="C2715">
        <v>0.13028998872035599</v>
      </c>
      <c r="D2715">
        <v>0.357453843162019</v>
      </c>
      <c r="E2715">
        <v>0.95722269271827898</v>
      </c>
      <c r="F2715">
        <v>0.58678520913315801</v>
      </c>
    </row>
    <row r="2716" spans="1:6">
      <c r="A2716" t="s">
        <v>51210</v>
      </c>
      <c r="B2716" t="s">
        <v>51212</v>
      </c>
      <c r="C2716">
        <v>0</v>
      </c>
      <c r="D2716">
        <v>0.357453843162019</v>
      </c>
      <c r="E2716">
        <v>0.95722269271827898</v>
      </c>
      <c r="F2716">
        <v>0.58678520913315801</v>
      </c>
    </row>
    <row r="2717" spans="1:6">
      <c r="A2717" t="s">
        <v>51210</v>
      </c>
      <c r="B2717" t="s">
        <v>51213</v>
      </c>
      <c r="C2717">
        <v>0</v>
      </c>
      <c r="D2717">
        <v>0.357453843162019</v>
      </c>
      <c r="E2717">
        <v>0.95722269271827898</v>
      </c>
      <c r="F2717">
        <v>0.58678520913315801</v>
      </c>
    </row>
    <row r="2718" spans="1:6">
      <c r="A2718" t="s">
        <v>51210</v>
      </c>
      <c r="B2718" t="s">
        <v>51214</v>
      </c>
      <c r="C2718">
        <v>0.287968745117898</v>
      </c>
      <c r="D2718">
        <v>0.357453843162019</v>
      </c>
      <c r="E2718">
        <v>0.95722269271827898</v>
      </c>
      <c r="F2718">
        <v>0.58678520913315801</v>
      </c>
    </row>
    <row r="2719" spans="1:6">
      <c r="A2719" t="s">
        <v>51210</v>
      </c>
      <c r="B2719" t="s">
        <v>51215</v>
      </c>
      <c r="C2719">
        <v>0</v>
      </c>
      <c r="D2719">
        <v>0.357453843162019</v>
      </c>
      <c r="E2719">
        <v>0.95722269271827898</v>
      </c>
      <c r="F2719">
        <v>0.58678520913315801</v>
      </c>
    </row>
    <row r="2720" spans="1:6">
      <c r="A2720" t="s">
        <v>51210</v>
      </c>
      <c r="B2720" t="s">
        <v>51216</v>
      </c>
      <c r="C2720">
        <v>0</v>
      </c>
      <c r="D2720">
        <v>0.357453843162019</v>
      </c>
      <c r="E2720">
        <v>0.95722269271827898</v>
      </c>
      <c r="F2720">
        <v>0.58678520913315801</v>
      </c>
    </row>
    <row r="2721" spans="1:6">
      <c r="A2721" t="s">
        <v>51217</v>
      </c>
      <c r="B2721" t="s">
        <v>51218</v>
      </c>
      <c r="C2721">
        <v>0.34413638148594899</v>
      </c>
      <c r="D2721">
        <v>0.29385978376409999</v>
      </c>
      <c r="E2721">
        <v>0.99753443572866995</v>
      </c>
      <c r="F2721">
        <v>16.871287128712801</v>
      </c>
    </row>
    <row r="2722" spans="1:6">
      <c r="A2722" t="s">
        <v>51217</v>
      </c>
      <c r="B2722" t="s">
        <v>51219</v>
      </c>
      <c r="C2722">
        <v>0.92433222627608003</v>
      </c>
      <c r="D2722">
        <v>0.29385978376409999</v>
      </c>
      <c r="E2722">
        <v>0.99753443572866995</v>
      </c>
      <c r="F2722">
        <v>16.871287128712801</v>
      </c>
    </row>
    <row r="2723" spans="1:6">
      <c r="A2723" t="s">
        <v>51217</v>
      </c>
      <c r="B2723" t="s">
        <v>51220</v>
      </c>
      <c r="C2723">
        <v>0</v>
      </c>
      <c r="D2723">
        <v>0.29385978376409999</v>
      </c>
      <c r="E2723">
        <v>0.99753443572866995</v>
      </c>
      <c r="F2723">
        <v>16.871287128712801</v>
      </c>
    </row>
    <row r="2724" spans="1:6">
      <c r="A2724" t="s">
        <v>51221</v>
      </c>
      <c r="B2724" t="s">
        <v>51222</v>
      </c>
      <c r="C2724">
        <v>0.81454685443948305</v>
      </c>
      <c r="D2724">
        <v>0.160889583600345</v>
      </c>
      <c r="E2724">
        <v>0.94573628375283103</v>
      </c>
      <c r="F2724">
        <v>7.4051323499696897</v>
      </c>
    </row>
    <row r="2725" spans="1:6">
      <c r="A2725" t="s">
        <v>51221</v>
      </c>
      <c r="B2725" t="s">
        <v>51223</v>
      </c>
      <c r="C2725">
        <v>0</v>
      </c>
      <c r="D2725">
        <v>0.160889583600345</v>
      </c>
      <c r="E2725">
        <v>0.94573628375283103</v>
      </c>
      <c r="F2725">
        <v>7.4051323499696897</v>
      </c>
    </row>
    <row r="2726" spans="1:6">
      <c r="A2726" t="s">
        <v>51221</v>
      </c>
      <c r="B2726" t="s">
        <v>51224</v>
      </c>
      <c r="C2726">
        <v>0</v>
      </c>
      <c r="D2726">
        <v>0.160889583600345</v>
      </c>
      <c r="E2726">
        <v>0.94573628375283103</v>
      </c>
      <c r="F2726">
        <v>7.4051323499696897</v>
      </c>
    </row>
    <row r="2727" spans="1:6">
      <c r="A2727" t="s">
        <v>51221</v>
      </c>
      <c r="B2727" t="s">
        <v>51225</v>
      </c>
      <c r="C2727">
        <v>0</v>
      </c>
      <c r="D2727">
        <v>0.160889583600345</v>
      </c>
      <c r="E2727">
        <v>0.94573628375283103</v>
      </c>
      <c r="F2727">
        <v>7.4051323499696897</v>
      </c>
    </row>
    <row r="2728" spans="1:6">
      <c r="A2728" t="s">
        <v>51221</v>
      </c>
      <c r="B2728" t="s">
        <v>51226</v>
      </c>
      <c r="C2728">
        <v>0</v>
      </c>
      <c r="D2728">
        <v>0.160889583600345</v>
      </c>
      <c r="E2728">
        <v>0.94573628375283103</v>
      </c>
      <c r="F2728">
        <v>7.4051323499696897</v>
      </c>
    </row>
    <row r="2729" spans="1:6">
      <c r="A2729" t="s">
        <v>51221</v>
      </c>
      <c r="B2729" t="s">
        <v>51227</v>
      </c>
      <c r="C2729">
        <v>1.2764833286142099E-2</v>
      </c>
      <c r="D2729">
        <v>0.160889583600345</v>
      </c>
      <c r="E2729">
        <v>0.94573628375283103</v>
      </c>
      <c r="F2729">
        <v>7.4051323499696897</v>
      </c>
    </row>
    <row r="2730" spans="1:6">
      <c r="A2730" t="s">
        <v>51221</v>
      </c>
      <c r="B2730" t="s">
        <v>51228</v>
      </c>
      <c r="C2730">
        <v>0</v>
      </c>
      <c r="D2730">
        <v>0.160889583600345</v>
      </c>
      <c r="E2730">
        <v>0.94573628375283103</v>
      </c>
      <c r="F2730">
        <v>7.4051323499696897</v>
      </c>
    </row>
    <row r="2731" spans="1:6">
      <c r="A2731" t="s">
        <v>51229</v>
      </c>
      <c r="B2731" t="s">
        <v>51230</v>
      </c>
      <c r="C2731">
        <v>0</v>
      </c>
      <c r="D2731">
        <v>0.76985732474881896</v>
      </c>
      <c r="E2731">
        <v>0.943765279290255</v>
      </c>
      <c r="F2731">
        <v>16.0662760153566</v>
      </c>
    </row>
    <row r="2732" spans="1:6">
      <c r="A2732" t="s">
        <v>51229</v>
      </c>
      <c r="B2732" t="s">
        <v>51231</v>
      </c>
      <c r="C2732">
        <v>0</v>
      </c>
      <c r="D2732">
        <v>0.76985732474881896</v>
      </c>
      <c r="E2732">
        <v>0.943765279290255</v>
      </c>
      <c r="F2732">
        <v>16.0662760153566</v>
      </c>
    </row>
    <row r="2733" spans="1:6">
      <c r="A2733" t="s">
        <v>51229</v>
      </c>
      <c r="B2733" t="s">
        <v>51232</v>
      </c>
      <c r="C2733">
        <v>6.5055912894841805E-2</v>
      </c>
      <c r="D2733">
        <v>0.76985732474881896</v>
      </c>
      <c r="E2733">
        <v>0.943765279290255</v>
      </c>
      <c r="F2733">
        <v>16.0662760153566</v>
      </c>
    </row>
    <row r="2734" spans="1:6">
      <c r="A2734" t="s">
        <v>51229</v>
      </c>
      <c r="B2734" t="s">
        <v>51233</v>
      </c>
      <c r="C2734">
        <v>0</v>
      </c>
      <c r="D2734">
        <v>0.76985732474881896</v>
      </c>
      <c r="E2734">
        <v>0.943765279290255</v>
      </c>
      <c r="F2734">
        <v>16.0662760153566</v>
      </c>
    </row>
    <row r="2735" spans="1:6">
      <c r="A2735" t="s">
        <v>51229</v>
      </c>
      <c r="B2735" t="s">
        <v>51234</v>
      </c>
      <c r="C2735">
        <v>0</v>
      </c>
      <c r="D2735">
        <v>0.76985732474881896</v>
      </c>
      <c r="E2735">
        <v>0.943765279290255</v>
      </c>
      <c r="F2735">
        <v>16.0662760153566</v>
      </c>
    </row>
    <row r="2736" spans="1:6">
      <c r="A2736" t="s">
        <v>51229</v>
      </c>
      <c r="B2736" t="s">
        <v>51235</v>
      </c>
      <c r="C2736">
        <v>0</v>
      </c>
      <c r="D2736">
        <v>0.76985732474881896</v>
      </c>
      <c r="E2736">
        <v>0.943765279290255</v>
      </c>
      <c r="F2736">
        <v>16.0662760153566</v>
      </c>
    </row>
    <row r="2737" spans="1:6">
      <c r="A2737" t="s">
        <v>51229</v>
      </c>
      <c r="B2737" t="s">
        <v>51236</v>
      </c>
      <c r="C2737">
        <v>0</v>
      </c>
      <c r="D2737">
        <v>0.76985732474881896</v>
      </c>
      <c r="E2737">
        <v>0.943765279290255</v>
      </c>
      <c r="F2737">
        <v>16.0662760153566</v>
      </c>
    </row>
    <row r="2738" spans="1:6">
      <c r="A2738" t="s">
        <v>51229</v>
      </c>
      <c r="B2738" t="s">
        <v>51237</v>
      </c>
      <c r="C2738">
        <v>0.107895403065812</v>
      </c>
      <c r="D2738">
        <v>0.76985732474881896</v>
      </c>
      <c r="E2738">
        <v>0.943765279290255</v>
      </c>
      <c r="F2738">
        <v>16.0662760153566</v>
      </c>
    </row>
    <row r="2739" spans="1:6">
      <c r="A2739" t="s">
        <v>51229</v>
      </c>
      <c r="B2739" t="s">
        <v>51238</v>
      </c>
      <c r="C2739">
        <v>0</v>
      </c>
      <c r="D2739">
        <v>0.76985732474881896</v>
      </c>
      <c r="E2739">
        <v>0.943765279290255</v>
      </c>
      <c r="F2739">
        <v>16.0662760153566</v>
      </c>
    </row>
    <row r="2740" spans="1:6">
      <c r="A2740" t="s">
        <v>51229</v>
      </c>
      <c r="B2740" t="s">
        <v>51239</v>
      </c>
      <c r="C2740">
        <v>0</v>
      </c>
      <c r="D2740">
        <v>0.76985732474881896</v>
      </c>
      <c r="E2740">
        <v>0.943765279290255</v>
      </c>
      <c r="F2740">
        <v>16.0662760153566</v>
      </c>
    </row>
    <row r="2741" spans="1:6">
      <c r="A2741" t="s">
        <v>51229</v>
      </c>
      <c r="B2741" t="s">
        <v>51240</v>
      </c>
      <c r="C2741">
        <v>0</v>
      </c>
      <c r="D2741">
        <v>0.76985732474881896</v>
      </c>
      <c r="E2741">
        <v>0.943765279290255</v>
      </c>
      <c r="F2741">
        <v>16.0662760153566</v>
      </c>
    </row>
    <row r="2742" spans="1:6">
      <c r="A2742" t="s">
        <v>51229</v>
      </c>
      <c r="B2742" t="s">
        <v>51241</v>
      </c>
      <c r="C2742">
        <v>0</v>
      </c>
      <c r="D2742">
        <v>0.76985732474881896</v>
      </c>
      <c r="E2742">
        <v>0.943765279290255</v>
      </c>
      <c r="F2742">
        <v>16.0662760153566</v>
      </c>
    </row>
    <row r="2743" spans="1:6">
      <c r="A2743" t="s">
        <v>51229</v>
      </c>
      <c r="B2743" t="s">
        <v>51242</v>
      </c>
      <c r="C2743">
        <v>0</v>
      </c>
      <c r="D2743">
        <v>0.76985732474881896</v>
      </c>
      <c r="E2743">
        <v>0.943765279290255</v>
      </c>
      <c r="F2743">
        <v>16.0662760153566</v>
      </c>
    </row>
    <row r="2744" spans="1:6">
      <c r="A2744" t="s">
        <v>51229</v>
      </c>
      <c r="B2744" t="s">
        <v>51243</v>
      </c>
      <c r="C2744">
        <v>0</v>
      </c>
      <c r="D2744">
        <v>0.76985732474881896</v>
      </c>
      <c r="E2744">
        <v>0.943765279290255</v>
      </c>
      <c r="F2744">
        <v>16.0662760153566</v>
      </c>
    </row>
    <row r="2745" spans="1:6">
      <c r="A2745" t="s">
        <v>51229</v>
      </c>
      <c r="B2745" t="s">
        <v>51244</v>
      </c>
      <c r="C2745">
        <v>0</v>
      </c>
      <c r="D2745">
        <v>0.76985732474881896</v>
      </c>
      <c r="E2745">
        <v>0.943765279290255</v>
      </c>
      <c r="F2745">
        <v>16.0662760153566</v>
      </c>
    </row>
    <row r="2746" spans="1:6">
      <c r="A2746" t="s">
        <v>51229</v>
      </c>
      <c r="B2746" t="s">
        <v>51245</v>
      </c>
      <c r="C2746">
        <v>0</v>
      </c>
      <c r="D2746">
        <v>0.76985732474881896</v>
      </c>
      <c r="E2746">
        <v>0.943765279290255</v>
      </c>
      <c r="F2746">
        <v>16.0662760153566</v>
      </c>
    </row>
    <row r="2747" spans="1:6">
      <c r="A2747" t="s">
        <v>51229</v>
      </c>
      <c r="B2747" t="s">
        <v>51246</v>
      </c>
      <c r="C2747">
        <v>0</v>
      </c>
      <c r="D2747">
        <v>0.76985732474881896</v>
      </c>
      <c r="E2747">
        <v>0.943765279290255</v>
      </c>
      <c r="F2747">
        <v>16.0662760153566</v>
      </c>
    </row>
    <row r="2748" spans="1:6">
      <c r="A2748" t="s">
        <v>51247</v>
      </c>
      <c r="B2748" t="s">
        <v>51248</v>
      </c>
      <c r="C2748">
        <v>0.46104523225663901</v>
      </c>
      <c r="D2748">
        <v>0.93737026789686495</v>
      </c>
      <c r="E2748">
        <v>0.99497640612617</v>
      </c>
      <c r="F2748">
        <v>1.9155384926247701</v>
      </c>
    </row>
    <row r="2749" spans="1:6">
      <c r="A2749" t="s">
        <v>51247</v>
      </c>
      <c r="B2749" t="s">
        <v>51249</v>
      </c>
      <c r="C2749">
        <v>0.71985147326450305</v>
      </c>
      <c r="D2749">
        <v>0.93737026789686495</v>
      </c>
      <c r="E2749">
        <v>0.99497640612617</v>
      </c>
      <c r="F2749">
        <v>1.9155384926247701</v>
      </c>
    </row>
    <row r="2750" spans="1:6">
      <c r="A2750" t="s">
        <v>51250</v>
      </c>
      <c r="B2750" t="s">
        <v>51251</v>
      </c>
      <c r="C2750">
        <v>0</v>
      </c>
      <c r="D2750">
        <v>3.3342722326729801E-2</v>
      </c>
      <c r="E2750">
        <v>0.55120813127804102</v>
      </c>
      <c r="F2750">
        <v>14.145888058193499</v>
      </c>
    </row>
    <row r="2751" spans="1:6">
      <c r="A2751" t="s">
        <v>51250</v>
      </c>
      <c r="B2751" t="s">
        <v>51252</v>
      </c>
      <c r="C2751">
        <v>8.8808131278041394E-2</v>
      </c>
      <c r="D2751">
        <v>3.3342722326729801E-2</v>
      </c>
      <c r="E2751">
        <v>0.55120813127804102</v>
      </c>
      <c r="F2751">
        <v>14.145888058193499</v>
      </c>
    </row>
    <row r="2752" spans="1:6">
      <c r="A2752" t="s">
        <v>51253</v>
      </c>
      <c r="B2752" t="s">
        <v>49995</v>
      </c>
      <c r="C2752">
        <v>0</v>
      </c>
      <c r="D2752">
        <v>0.57227117137144001</v>
      </c>
      <c r="E2752">
        <v>0.93930904283040695</v>
      </c>
      <c r="F2752">
        <v>10.6639725197009</v>
      </c>
    </row>
    <row r="2753" spans="1:6">
      <c r="A2753" t="s">
        <v>51253</v>
      </c>
      <c r="B2753" t="s">
        <v>49996</v>
      </c>
      <c r="C2753">
        <v>0</v>
      </c>
      <c r="D2753">
        <v>0.57227117137144001</v>
      </c>
      <c r="E2753">
        <v>0.93930904283040695</v>
      </c>
      <c r="F2753">
        <v>10.6639725197009</v>
      </c>
    </row>
    <row r="2754" spans="1:6">
      <c r="A2754" t="s">
        <v>51253</v>
      </c>
      <c r="B2754" t="s">
        <v>49997</v>
      </c>
      <c r="C2754">
        <v>0</v>
      </c>
      <c r="D2754">
        <v>0.57227117137144001</v>
      </c>
      <c r="E2754">
        <v>0.93930904283040695</v>
      </c>
      <c r="F2754">
        <v>10.6639725197009</v>
      </c>
    </row>
    <row r="2755" spans="1:6">
      <c r="A2755" t="s">
        <v>51253</v>
      </c>
      <c r="B2755" t="s">
        <v>49998</v>
      </c>
      <c r="C2755">
        <v>0</v>
      </c>
      <c r="D2755">
        <v>0.57227117137144001</v>
      </c>
      <c r="E2755">
        <v>0.93930904283040695</v>
      </c>
      <c r="F2755">
        <v>10.6639725197009</v>
      </c>
    </row>
    <row r="2756" spans="1:6">
      <c r="A2756" t="s">
        <v>51253</v>
      </c>
      <c r="B2756" t="s">
        <v>49999</v>
      </c>
      <c r="C2756">
        <v>0</v>
      </c>
      <c r="D2756">
        <v>0.57227117137144001</v>
      </c>
      <c r="E2756">
        <v>0.93930904283040695</v>
      </c>
      <c r="F2756">
        <v>10.6639725197009</v>
      </c>
    </row>
    <row r="2757" spans="1:6">
      <c r="A2757" t="s">
        <v>51253</v>
      </c>
      <c r="B2757" t="s">
        <v>50000</v>
      </c>
      <c r="C2757">
        <v>0</v>
      </c>
      <c r="D2757">
        <v>0.57227117137144001</v>
      </c>
      <c r="E2757">
        <v>0.93930904283040695</v>
      </c>
      <c r="F2757">
        <v>10.6639725197009</v>
      </c>
    </row>
    <row r="2758" spans="1:6">
      <c r="A2758" t="s">
        <v>51253</v>
      </c>
      <c r="B2758" t="s">
        <v>50001</v>
      </c>
      <c r="C2758">
        <v>0</v>
      </c>
      <c r="D2758">
        <v>0.57227117137144001</v>
      </c>
      <c r="E2758">
        <v>0.93930904283040695</v>
      </c>
      <c r="F2758">
        <v>10.6639725197009</v>
      </c>
    </row>
    <row r="2759" spans="1:6">
      <c r="A2759" t="s">
        <v>51253</v>
      </c>
      <c r="B2759" t="s">
        <v>50002</v>
      </c>
      <c r="C2759">
        <v>7.1903780352816193E-2</v>
      </c>
      <c r="D2759">
        <v>0.57227117137144001</v>
      </c>
      <c r="E2759">
        <v>0.93930904283040695</v>
      </c>
      <c r="F2759">
        <v>10.6639725197009</v>
      </c>
    </row>
    <row r="2760" spans="1:6">
      <c r="A2760" t="s">
        <v>51253</v>
      </c>
      <c r="B2760" t="s">
        <v>50003</v>
      </c>
      <c r="C2760">
        <v>0</v>
      </c>
      <c r="D2760">
        <v>0.57227117137144001</v>
      </c>
      <c r="E2760">
        <v>0.93930904283040695</v>
      </c>
      <c r="F2760">
        <v>10.6639725197009</v>
      </c>
    </row>
    <row r="2761" spans="1:6">
      <c r="A2761" t="s">
        <v>51253</v>
      </c>
      <c r="B2761" t="s">
        <v>50004</v>
      </c>
      <c r="C2761">
        <v>0.52388514737486302</v>
      </c>
      <c r="D2761">
        <v>0.57227117137144001</v>
      </c>
      <c r="E2761">
        <v>0.93930904283040695</v>
      </c>
      <c r="F2761">
        <v>10.6639725197009</v>
      </c>
    </row>
    <row r="2762" spans="1:6">
      <c r="A2762" t="s">
        <v>51253</v>
      </c>
      <c r="B2762" t="s">
        <v>50005</v>
      </c>
      <c r="C2762">
        <v>0</v>
      </c>
      <c r="D2762">
        <v>0.57227117137144001</v>
      </c>
      <c r="E2762">
        <v>0.93930904283040695</v>
      </c>
      <c r="F2762">
        <v>10.6639725197009</v>
      </c>
    </row>
    <row r="2763" spans="1:6">
      <c r="A2763" t="s">
        <v>51253</v>
      </c>
      <c r="B2763" t="s">
        <v>50006</v>
      </c>
      <c r="C2763">
        <v>0</v>
      </c>
      <c r="D2763">
        <v>0.57227117137144001</v>
      </c>
      <c r="E2763">
        <v>0.93930904283040695</v>
      </c>
      <c r="F2763">
        <v>10.6639725197009</v>
      </c>
    </row>
    <row r="2764" spans="1:6">
      <c r="A2764" t="s">
        <v>51253</v>
      </c>
      <c r="B2764" t="s">
        <v>50007</v>
      </c>
      <c r="C2764">
        <v>0</v>
      </c>
      <c r="D2764">
        <v>0.57227117137144001</v>
      </c>
      <c r="E2764">
        <v>0.93930904283040695</v>
      </c>
      <c r="F2764">
        <v>10.6639725197009</v>
      </c>
    </row>
    <row r="2765" spans="1:6">
      <c r="A2765" t="s">
        <v>51253</v>
      </c>
      <c r="B2765" t="s">
        <v>50008</v>
      </c>
      <c r="C2765">
        <v>0</v>
      </c>
      <c r="D2765">
        <v>0.57227117137144001</v>
      </c>
      <c r="E2765">
        <v>0.93930904283040695</v>
      </c>
      <c r="F2765">
        <v>10.6639725197009</v>
      </c>
    </row>
    <row r="2766" spans="1:6">
      <c r="A2766" t="s">
        <v>51253</v>
      </c>
      <c r="B2766" t="s">
        <v>50009</v>
      </c>
      <c r="C2766">
        <v>0</v>
      </c>
      <c r="D2766">
        <v>0.57227117137144001</v>
      </c>
      <c r="E2766">
        <v>0.93930904283040695</v>
      </c>
      <c r="F2766">
        <v>10.6639725197009</v>
      </c>
    </row>
    <row r="2767" spans="1:6">
      <c r="A2767" t="s">
        <v>51254</v>
      </c>
      <c r="B2767" t="s">
        <v>51255</v>
      </c>
      <c r="C2767">
        <v>0</v>
      </c>
      <c r="D2767">
        <v>0.71409469394712199</v>
      </c>
      <c r="E2767">
        <v>0.96165712526777203</v>
      </c>
      <c r="F2767">
        <v>15.4746413416851</v>
      </c>
    </row>
    <row r="2768" spans="1:6">
      <c r="A2768" t="s">
        <v>51254</v>
      </c>
      <c r="B2768" t="s">
        <v>51256</v>
      </c>
      <c r="C2768">
        <v>0.21771249585930799</v>
      </c>
      <c r="D2768">
        <v>0.71409469394712199</v>
      </c>
      <c r="E2768">
        <v>0.96165712526777203</v>
      </c>
      <c r="F2768">
        <v>15.4746413416851</v>
      </c>
    </row>
    <row r="2769" spans="1:6">
      <c r="A2769" t="s">
        <v>51254</v>
      </c>
      <c r="B2769" t="s">
        <v>51257</v>
      </c>
      <c r="C2769">
        <v>0.52964746614345404</v>
      </c>
      <c r="D2769">
        <v>0.71409469394712199</v>
      </c>
      <c r="E2769">
        <v>0.96165712526777203</v>
      </c>
      <c r="F2769">
        <v>15.4746413416851</v>
      </c>
    </row>
    <row r="2770" spans="1:6">
      <c r="A2770" t="s">
        <v>51254</v>
      </c>
      <c r="B2770" t="s">
        <v>51258</v>
      </c>
      <c r="C2770">
        <v>0</v>
      </c>
      <c r="D2770">
        <v>0.71409469394712199</v>
      </c>
      <c r="E2770">
        <v>0.96165712526777203</v>
      </c>
      <c r="F2770">
        <v>15.4746413416851</v>
      </c>
    </row>
    <row r="2771" spans="1:6">
      <c r="A2771" t="s">
        <v>51254</v>
      </c>
      <c r="B2771" t="s">
        <v>51259</v>
      </c>
      <c r="C2771">
        <v>0</v>
      </c>
      <c r="D2771">
        <v>0.71409469394712199</v>
      </c>
      <c r="E2771">
        <v>0.96165712526777203</v>
      </c>
      <c r="F2771">
        <v>15.4746413416851</v>
      </c>
    </row>
    <row r="2772" spans="1:6">
      <c r="A2772" t="s">
        <v>51254</v>
      </c>
      <c r="B2772" t="s">
        <v>51260</v>
      </c>
      <c r="C2772">
        <v>0</v>
      </c>
      <c r="D2772">
        <v>0.71409469394712199</v>
      </c>
      <c r="E2772">
        <v>0.96165712526777203</v>
      </c>
      <c r="F2772">
        <v>15.4746413416851</v>
      </c>
    </row>
    <row r="2773" spans="1:6">
      <c r="A2773" t="s">
        <v>51254</v>
      </c>
      <c r="B2773" t="s">
        <v>51261</v>
      </c>
      <c r="C2773">
        <v>0</v>
      </c>
      <c r="D2773">
        <v>0.71409469394712199</v>
      </c>
      <c r="E2773">
        <v>0.96165712526777203</v>
      </c>
      <c r="F2773">
        <v>15.4746413416851</v>
      </c>
    </row>
    <row r="2774" spans="1:6">
      <c r="A2774" t="s">
        <v>51254</v>
      </c>
      <c r="B2774" t="s">
        <v>51262</v>
      </c>
      <c r="C2774">
        <v>0</v>
      </c>
      <c r="D2774">
        <v>0.71409469394712199</v>
      </c>
      <c r="E2774">
        <v>0.96165712526777203</v>
      </c>
      <c r="F2774">
        <v>15.4746413416851</v>
      </c>
    </row>
    <row r="2775" spans="1:6">
      <c r="A2775" t="s">
        <v>51254</v>
      </c>
      <c r="B2775" t="s">
        <v>51263</v>
      </c>
      <c r="C2775">
        <v>0</v>
      </c>
      <c r="D2775">
        <v>0.71409469394712199</v>
      </c>
      <c r="E2775">
        <v>0.96165712526777203</v>
      </c>
      <c r="F2775">
        <v>15.4746413416851</v>
      </c>
    </row>
    <row r="2776" spans="1:6">
      <c r="A2776" t="s">
        <v>51254</v>
      </c>
      <c r="B2776" t="s">
        <v>51264</v>
      </c>
      <c r="C2776">
        <v>0</v>
      </c>
      <c r="D2776">
        <v>0.71409469394712199</v>
      </c>
      <c r="E2776">
        <v>0.96165712526777203</v>
      </c>
      <c r="F2776">
        <v>15.4746413416851</v>
      </c>
    </row>
    <row r="2777" spans="1:6">
      <c r="A2777" t="s">
        <v>51254</v>
      </c>
      <c r="B2777" t="s">
        <v>51265</v>
      </c>
      <c r="C2777">
        <v>0</v>
      </c>
      <c r="D2777">
        <v>0.71409469394712199</v>
      </c>
      <c r="E2777">
        <v>0.96165712526777203</v>
      </c>
      <c r="F2777">
        <v>15.4746413416851</v>
      </c>
    </row>
    <row r="2778" spans="1:6">
      <c r="A2778" t="s">
        <v>51254</v>
      </c>
      <c r="B2778" t="s">
        <v>51266</v>
      </c>
      <c r="C2778">
        <v>0</v>
      </c>
      <c r="D2778">
        <v>0.71409469394712199</v>
      </c>
      <c r="E2778">
        <v>0.96165712526777203</v>
      </c>
      <c r="F2778">
        <v>15.4746413416851</v>
      </c>
    </row>
    <row r="2779" spans="1:6">
      <c r="A2779" t="s">
        <v>51254</v>
      </c>
      <c r="B2779" t="s">
        <v>51267</v>
      </c>
      <c r="C2779">
        <v>0</v>
      </c>
      <c r="D2779">
        <v>0.71409469394712199</v>
      </c>
      <c r="E2779">
        <v>0.96165712526777203</v>
      </c>
      <c r="F2779">
        <v>15.4746413416851</v>
      </c>
    </row>
    <row r="2780" spans="1:6">
      <c r="A2780" t="s">
        <v>51268</v>
      </c>
      <c r="B2780" t="s">
        <v>51269</v>
      </c>
      <c r="C2780">
        <v>0.16484954154457901</v>
      </c>
      <c r="D2780">
        <v>0.45263679848849803</v>
      </c>
      <c r="E2780">
        <v>0.83197917229699203</v>
      </c>
      <c r="F2780">
        <v>17.278642149929201</v>
      </c>
    </row>
    <row r="2781" spans="1:6">
      <c r="A2781" t="s">
        <v>51268</v>
      </c>
      <c r="B2781" t="s">
        <v>51270</v>
      </c>
      <c r="C2781">
        <v>0.68930284093147598</v>
      </c>
      <c r="D2781">
        <v>0.45263679848849803</v>
      </c>
      <c r="E2781">
        <v>0.83197917229699203</v>
      </c>
      <c r="F2781">
        <v>17.278642149929201</v>
      </c>
    </row>
    <row r="2782" spans="1:6">
      <c r="A2782" t="s">
        <v>51271</v>
      </c>
      <c r="B2782" t="s">
        <v>51272</v>
      </c>
      <c r="C2782">
        <v>0</v>
      </c>
      <c r="D2782">
        <v>6.6087769200194504E-2</v>
      </c>
      <c r="E2782">
        <v>0.96658026702160704</v>
      </c>
      <c r="F2782">
        <v>4.63123863406748</v>
      </c>
    </row>
    <row r="2783" spans="1:6">
      <c r="A2783" t="s">
        <v>51271</v>
      </c>
      <c r="B2783" t="s">
        <v>51273</v>
      </c>
      <c r="C2783">
        <v>0.91619494079383201</v>
      </c>
      <c r="D2783">
        <v>6.6087769200194504E-2</v>
      </c>
      <c r="E2783">
        <v>0.96658026702160704</v>
      </c>
      <c r="F2783">
        <v>4.63123863406748</v>
      </c>
    </row>
    <row r="2784" spans="1:6">
      <c r="A2784" t="s">
        <v>51271</v>
      </c>
      <c r="B2784" t="s">
        <v>51274</v>
      </c>
      <c r="C2784">
        <v>7.2726682299800199E-2</v>
      </c>
      <c r="D2784">
        <v>6.6087769200194504E-2</v>
      </c>
      <c r="E2784">
        <v>0.96658026702160704</v>
      </c>
      <c r="F2784">
        <v>4.63123863406748</v>
      </c>
    </row>
    <row r="2785" spans="1:6">
      <c r="A2785" t="s">
        <v>51275</v>
      </c>
      <c r="B2785" t="s">
        <v>51276</v>
      </c>
      <c r="C2785">
        <v>0.92248623210584901</v>
      </c>
      <c r="D2785">
        <v>0.70236585412590702</v>
      </c>
      <c r="E2785">
        <v>0.98648623210584896</v>
      </c>
      <c r="F2785">
        <v>7.67670236411396</v>
      </c>
    </row>
    <row r="2786" spans="1:6">
      <c r="A2786" t="s">
        <v>51275</v>
      </c>
      <c r="B2786" t="s">
        <v>51277</v>
      </c>
      <c r="C2786">
        <v>0</v>
      </c>
      <c r="D2786">
        <v>0.70236585412590702</v>
      </c>
      <c r="E2786">
        <v>0.98648623210584896</v>
      </c>
      <c r="F2786">
        <v>7.67670236411396</v>
      </c>
    </row>
    <row r="2787" spans="1:6">
      <c r="A2787" t="s">
        <v>51275</v>
      </c>
      <c r="B2787" t="s">
        <v>51278</v>
      </c>
      <c r="C2787">
        <v>0</v>
      </c>
      <c r="D2787">
        <v>0.70236585412590702</v>
      </c>
      <c r="E2787">
        <v>0.98648623210584896</v>
      </c>
      <c r="F2787">
        <v>7.67670236411396</v>
      </c>
    </row>
    <row r="2788" spans="1:6">
      <c r="A2788" t="s">
        <v>51279</v>
      </c>
      <c r="B2788" t="s">
        <v>51280</v>
      </c>
      <c r="C2788">
        <v>0</v>
      </c>
      <c r="D2788">
        <v>0.62930181317882405</v>
      </c>
      <c r="E2788">
        <v>0.81225635459140599</v>
      </c>
      <c r="F2788">
        <v>6.24126086077995</v>
      </c>
    </row>
    <row r="2789" spans="1:6">
      <c r="A2789" t="s">
        <v>51279</v>
      </c>
      <c r="B2789" t="s">
        <v>51281</v>
      </c>
      <c r="C2789">
        <v>0</v>
      </c>
      <c r="D2789">
        <v>0.62930181317882405</v>
      </c>
      <c r="E2789">
        <v>0.81225635459140599</v>
      </c>
      <c r="F2789">
        <v>6.24126086077995</v>
      </c>
    </row>
    <row r="2790" spans="1:6">
      <c r="A2790" t="s">
        <v>51279</v>
      </c>
      <c r="B2790" t="s">
        <v>51282</v>
      </c>
      <c r="C2790">
        <v>0</v>
      </c>
      <c r="D2790">
        <v>0.62930181317882405</v>
      </c>
      <c r="E2790">
        <v>0.81225635459140599</v>
      </c>
      <c r="F2790">
        <v>6.24126086077995</v>
      </c>
    </row>
    <row r="2791" spans="1:6">
      <c r="A2791" t="s">
        <v>51279</v>
      </c>
      <c r="B2791" t="s">
        <v>51283</v>
      </c>
      <c r="C2791">
        <v>0.160748930911599</v>
      </c>
      <c r="D2791">
        <v>0.62930181317882405</v>
      </c>
      <c r="E2791">
        <v>0.81225635459140599</v>
      </c>
      <c r="F2791">
        <v>6.24126086077995</v>
      </c>
    </row>
    <row r="2792" spans="1:6">
      <c r="A2792" t="s">
        <v>51279</v>
      </c>
      <c r="B2792" t="s">
        <v>51284</v>
      </c>
      <c r="C2792">
        <v>0.56585991586306195</v>
      </c>
      <c r="D2792">
        <v>0.62930181317882405</v>
      </c>
      <c r="E2792">
        <v>0.81225635459140599</v>
      </c>
      <c r="F2792">
        <v>6.24126086077995</v>
      </c>
    </row>
    <row r="2793" spans="1:6">
      <c r="A2793" t="s">
        <v>51285</v>
      </c>
      <c r="B2793" t="s">
        <v>51286</v>
      </c>
      <c r="C2793">
        <v>0</v>
      </c>
      <c r="D2793">
        <v>4.5226920821517302E-2</v>
      </c>
      <c r="E2793">
        <v>0.93672347536554101</v>
      </c>
      <c r="F2793">
        <v>4.2141846837744996</v>
      </c>
    </row>
    <row r="2794" spans="1:6">
      <c r="A2794" t="s">
        <v>51285</v>
      </c>
      <c r="B2794" t="s">
        <v>51287</v>
      </c>
      <c r="C2794">
        <v>0.83432347536554097</v>
      </c>
      <c r="D2794">
        <v>4.5226920821517302E-2</v>
      </c>
      <c r="E2794">
        <v>0.93672347536554101</v>
      </c>
      <c r="F2794">
        <v>4.2141846837744996</v>
      </c>
    </row>
    <row r="2795" spans="1:6">
      <c r="A2795" t="s">
        <v>51288</v>
      </c>
      <c r="B2795" t="s">
        <v>51289</v>
      </c>
      <c r="C2795">
        <v>0</v>
      </c>
      <c r="D2795">
        <v>0.76400079101380802</v>
      </c>
      <c r="E2795">
        <v>0.92963897682566898</v>
      </c>
      <c r="F2795">
        <v>9.4128106688219795</v>
      </c>
    </row>
    <row r="2796" spans="1:6">
      <c r="A2796" t="s">
        <v>51288</v>
      </c>
      <c r="B2796" t="s">
        <v>51290</v>
      </c>
      <c r="C2796">
        <v>0</v>
      </c>
      <c r="D2796">
        <v>0.76400079101380802</v>
      </c>
      <c r="E2796">
        <v>0.92963897682566898</v>
      </c>
      <c r="F2796">
        <v>9.4128106688219795</v>
      </c>
    </row>
    <row r="2797" spans="1:6">
      <c r="A2797" t="s">
        <v>51288</v>
      </c>
      <c r="B2797" t="s">
        <v>51291</v>
      </c>
      <c r="C2797">
        <v>0.76025460689638802</v>
      </c>
      <c r="D2797">
        <v>0.76400079101380802</v>
      </c>
      <c r="E2797">
        <v>0.92963897682566898</v>
      </c>
      <c r="F2797">
        <v>9.4128106688219795</v>
      </c>
    </row>
    <row r="2798" spans="1:6">
      <c r="A2798" t="s">
        <v>51288</v>
      </c>
      <c r="B2798" t="s">
        <v>51292</v>
      </c>
      <c r="C2798">
        <v>0.12305206176009301</v>
      </c>
      <c r="D2798">
        <v>0.76400079101380802</v>
      </c>
      <c r="E2798">
        <v>0.92963897682566898</v>
      </c>
      <c r="F2798">
        <v>9.4128106688219795</v>
      </c>
    </row>
    <row r="2799" spans="1:6">
      <c r="A2799" t="s">
        <v>51288</v>
      </c>
      <c r="B2799" t="s">
        <v>51293</v>
      </c>
      <c r="C2799">
        <v>0</v>
      </c>
      <c r="D2799">
        <v>0.76400079101380802</v>
      </c>
      <c r="E2799">
        <v>0.92963897682566898</v>
      </c>
      <c r="F2799">
        <v>9.4128106688219795</v>
      </c>
    </row>
    <row r="2800" spans="1:6">
      <c r="A2800" t="s">
        <v>51288</v>
      </c>
      <c r="B2800" t="s">
        <v>51294</v>
      </c>
      <c r="C2800">
        <v>0</v>
      </c>
      <c r="D2800">
        <v>0.76400079101380802</v>
      </c>
      <c r="E2800">
        <v>0.92963897682566898</v>
      </c>
      <c r="F2800">
        <v>9.4128106688219795</v>
      </c>
    </row>
    <row r="2801" spans="1:6">
      <c r="A2801" t="s">
        <v>51288</v>
      </c>
      <c r="B2801" t="s">
        <v>51295</v>
      </c>
      <c r="C2801">
        <v>0</v>
      </c>
      <c r="D2801">
        <v>0.76400079101380802</v>
      </c>
      <c r="E2801">
        <v>0.92963897682566898</v>
      </c>
      <c r="F2801">
        <v>9.4128106688219795</v>
      </c>
    </row>
    <row r="2802" spans="1:6">
      <c r="A2802" t="s">
        <v>51288</v>
      </c>
      <c r="B2802" t="s">
        <v>51296</v>
      </c>
      <c r="C2802">
        <v>0</v>
      </c>
      <c r="D2802">
        <v>0.76400079101380802</v>
      </c>
      <c r="E2802">
        <v>0.92963897682566898</v>
      </c>
      <c r="F2802">
        <v>9.4128106688219795</v>
      </c>
    </row>
    <row r="2803" spans="1:6">
      <c r="A2803" t="s">
        <v>51288</v>
      </c>
      <c r="B2803" t="s">
        <v>51297</v>
      </c>
      <c r="C2803">
        <v>0</v>
      </c>
      <c r="D2803">
        <v>0.76400079101380802</v>
      </c>
      <c r="E2803">
        <v>0.92963897682566898</v>
      </c>
      <c r="F2803">
        <v>9.4128106688219795</v>
      </c>
    </row>
    <row r="2804" spans="1:6">
      <c r="A2804" t="s">
        <v>51298</v>
      </c>
      <c r="B2804" t="s">
        <v>51299</v>
      </c>
      <c r="C2804">
        <v>0</v>
      </c>
      <c r="D2804">
        <v>0.802733780964629</v>
      </c>
      <c r="E2804">
        <v>0.98780329631234198</v>
      </c>
      <c r="F2804">
        <v>8.8163265306122405</v>
      </c>
    </row>
    <row r="2805" spans="1:6">
      <c r="A2805" t="s">
        <v>51298</v>
      </c>
      <c r="B2805" t="s">
        <v>51300</v>
      </c>
      <c r="C2805">
        <v>0.28410919204920099</v>
      </c>
      <c r="D2805">
        <v>0.802733780964629</v>
      </c>
      <c r="E2805">
        <v>0.98780329631234198</v>
      </c>
      <c r="F2805">
        <v>8.8163265306122405</v>
      </c>
    </row>
    <row r="2806" spans="1:6">
      <c r="A2806" t="s">
        <v>51298</v>
      </c>
      <c r="B2806" t="s">
        <v>51301</v>
      </c>
      <c r="C2806">
        <v>0</v>
      </c>
      <c r="D2806">
        <v>0.802733780964629</v>
      </c>
      <c r="E2806">
        <v>0.98780329631234198</v>
      </c>
      <c r="F2806">
        <v>8.8163265306122405</v>
      </c>
    </row>
    <row r="2807" spans="1:6">
      <c r="A2807" t="s">
        <v>51298</v>
      </c>
      <c r="B2807" t="s">
        <v>51302</v>
      </c>
      <c r="C2807">
        <v>0</v>
      </c>
      <c r="D2807">
        <v>0.802733780964629</v>
      </c>
      <c r="E2807">
        <v>0.98780329631234198</v>
      </c>
      <c r="F2807">
        <v>8.8163265306122405</v>
      </c>
    </row>
    <row r="2808" spans="1:6">
      <c r="A2808" t="s">
        <v>51298</v>
      </c>
      <c r="B2808" t="s">
        <v>51303</v>
      </c>
      <c r="C2808">
        <v>0.52863668739608005</v>
      </c>
      <c r="D2808">
        <v>0.802733780964629</v>
      </c>
      <c r="E2808">
        <v>0.98780329631234198</v>
      </c>
      <c r="F2808">
        <v>8.8163265306122405</v>
      </c>
    </row>
    <row r="2809" spans="1:6">
      <c r="A2809" t="s">
        <v>51298</v>
      </c>
      <c r="B2809" t="s">
        <v>51304</v>
      </c>
      <c r="C2809">
        <v>0</v>
      </c>
      <c r="D2809">
        <v>0.802733780964629</v>
      </c>
      <c r="E2809">
        <v>0.98780329631234198</v>
      </c>
      <c r="F2809">
        <v>8.8163265306122405</v>
      </c>
    </row>
    <row r="2810" spans="1:6">
      <c r="A2810" t="s">
        <v>51298</v>
      </c>
      <c r="B2810" t="s">
        <v>51305</v>
      </c>
      <c r="C2810">
        <v>0</v>
      </c>
      <c r="D2810">
        <v>0.802733780964629</v>
      </c>
      <c r="E2810">
        <v>0.98780329631234198</v>
      </c>
      <c r="F2810">
        <v>8.8163265306122405</v>
      </c>
    </row>
    <row r="2811" spans="1:6">
      <c r="A2811" t="s">
        <v>51298</v>
      </c>
      <c r="B2811" t="s">
        <v>51306</v>
      </c>
      <c r="C2811">
        <v>0</v>
      </c>
      <c r="D2811">
        <v>0.802733780964629</v>
      </c>
      <c r="E2811">
        <v>0.98780329631234198</v>
      </c>
      <c r="F2811">
        <v>8.8163265306122405</v>
      </c>
    </row>
    <row r="2812" spans="1:6">
      <c r="A2812" t="s">
        <v>51298</v>
      </c>
      <c r="B2812" t="s">
        <v>51307</v>
      </c>
      <c r="C2812">
        <v>0</v>
      </c>
      <c r="D2812">
        <v>0.802733780964629</v>
      </c>
      <c r="E2812">
        <v>0.98780329631234198</v>
      </c>
      <c r="F2812">
        <v>8.8163265306122405</v>
      </c>
    </row>
    <row r="2813" spans="1:6">
      <c r="A2813" t="s">
        <v>51308</v>
      </c>
      <c r="B2813" t="s">
        <v>51309</v>
      </c>
      <c r="C2813">
        <v>0</v>
      </c>
      <c r="D2813">
        <v>0.50516755362086097</v>
      </c>
      <c r="E2813">
        <v>0.97437407305231505</v>
      </c>
      <c r="F2813">
        <v>4.8494645382905599</v>
      </c>
    </row>
    <row r="2814" spans="1:6">
      <c r="A2814" t="s">
        <v>51308</v>
      </c>
      <c r="B2814" t="s">
        <v>51310</v>
      </c>
      <c r="C2814">
        <v>0.77901395900372505</v>
      </c>
      <c r="D2814">
        <v>0.50516755362086097</v>
      </c>
      <c r="E2814">
        <v>0.97437407305231505</v>
      </c>
      <c r="F2814">
        <v>4.8494645382905599</v>
      </c>
    </row>
    <row r="2815" spans="1:6">
      <c r="A2815" t="s">
        <v>51308</v>
      </c>
      <c r="B2815" t="s">
        <v>51311</v>
      </c>
      <c r="C2815">
        <v>0</v>
      </c>
      <c r="D2815">
        <v>0.50516755362086097</v>
      </c>
      <c r="E2815">
        <v>0.97437407305231505</v>
      </c>
      <c r="F2815">
        <v>4.8494645382905599</v>
      </c>
    </row>
    <row r="2816" spans="1:6">
      <c r="A2816" t="s">
        <v>51308</v>
      </c>
      <c r="B2816" t="s">
        <v>51312</v>
      </c>
      <c r="C2816">
        <v>0</v>
      </c>
      <c r="D2816">
        <v>0.50516755362086097</v>
      </c>
      <c r="E2816">
        <v>0.97437407305231505</v>
      </c>
      <c r="F2816">
        <v>4.8494645382905599</v>
      </c>
    </row>
    <row r="2817" spans="1:6">
      <c r="A2817" t="s">
        <v>51308</v>
      </c>
      <c r="B2817" t="s">
        <v>51313</v>
      </c>
      <c r="C2817">
        <v>0</v>
      </c>
      <c r="D2817">
        <v>0.50516755362086097</v>
      </c>
      <c r="E2817">
        <v>0.97437407305231505</v>
      </c>
      <c r="F2817">
        <v>4.8494645382905599</v>
      </c>
    </row>
    <row r="2818" spans="1:6">
      <c r="A2818" t="s">
        <v>51308</v>
      </c>
      <c r="B2818" t="s">
        <v>51314</v>
      </c>
      <c r="C2818">
        <v>0</v>
      </c>
      <c r="D2818">
        <v>0.50516755362086097</v>
      </c>
      <c r="E2818">
        <v>0.97437407305231505</v>
      </c>
      <c r="F2818">
        <v>4.8494645382905599</v>
      </c>
    </row>
    <row r="2819" spans="1:6">
      <c r="A2819" t="s">
        <v>51308</v>
      </c>
      <c r="B2819" t="s">
        <v>51315</v>
      </c>
      <c r="C2819">
        <v>0</v>
      </c>
      <c r="D2819">
        <v>0.50516755362086097</v>
      </c>
      <c r="E2819">
        <v>0.97437407305231505</v>
      </c>
      <c r="F2819">
        <v>4.8494645382905599</v>
      </c>
    </row>
    <row r="2820" spans="1:6">
      <c r="A2820" t="s">
        <v>51308</v>
      </c>
      <c r="B2820" t="s">
        <v>51316</v>
      </c>
      <c r="C2820">
        <v>0</v>
      </c>
      <c r="D2820">
        <v>0.50516755362086097</v>
      </c>
      <c r="E2820">
        <v>0.97437407305231505</v>
      </c>
      <c r="F2820">
        <v>4.8494645382905599</v>
      </c>
    </row>
    <row r="2821" spans="1:6">
      <c r="A2821" t="s">
        <v>51308</v>
      </c>
      <c r="B2821" t="s">
        <v>51317</v>
      </c>
      <c r="C2821">
        <v>0.10632009347296199</v>
      </c>
      <c r="D2821">
        <v>0.50516755362086097</v>
      </c>
      <c r="E2821">
        <v>0.97437407305231505</v>
      </c>
      <c r="F2821">
        <v>4.8494645382905599</v>
      </c>
    </row>
    <row r="2822" spans="1:6">
      <c r="A2822" t="s">
        <v>51308</v>
      </c>
      <c r="B2822" t="s">
        <v>51318</v>
      </c>
      <c r="C2822">
        <v>0</v>
      </c>
      <c r="D2822">
        <v>0.50516755362086097</v>
      </c>
      <c r="E2822">
        <v>0.97437407305231505</v>
      </c>
      <c r="F2822">
        <v>4.8494645382905599</v>
      </c>
    </row>
    <row r="2823" spans="1:6">
      <c r="A2823" t="s">
        <v>51319</v>
      </c>
      <c r="B2823" t="s">
        <v>51320</v>
      </c>
      <c r="C2823">
        <v>0</v>
      </c>
      <c r="D2823">
        <v>0.61293334222218498</v>
      </c>
      <c r="E2823">
        <v>0.78039197069737298</v>
      </c>
      <c r="F2823">
        <v>14.519296827641901</v>
      </c>
    </row>
    <row r="2824" spans="1:6">
      <c r="A2824" t="s">
        <v>51319</v>
      </c>
      <c r="B2824" t="s">
        <v>51321</v>
      </c>
      <c r="C2824">
        <v>4.1552027969498903E-2</v>
      </c>
      <c r="D2824">
        <v>0.61293334222218498</v>
      </c>
      <c r="E2824">
        <v>0.78039197069737298</v>
      </c>
      <c r="F2824">
        <v>14.519296827641901</v>
      </c>
    </row>
    <row r="2825" spans="1:6">
      <c r="A2825" t="s">
        <v>51319</v>
      </c>
      <c r="B2825" t="s">
        <v>51322</v>
      </c>
      <c r="C2825">
        <v>0.63181759964346296</v>
      </c>
      <c r="D2825">
        <v>0.61293334222218498</v>
      </c>
      <c r="E2825">
        <v>0.78039197069737298</v>
      </c>
      <c r="F2825">
        <v>14.519296827641901</v>
      </c>
    </row>
    <row r="2826" spans="1:6">
      <c r="A2826" t="s">
        <v>51323</v>
      </c>
      <c r="B2826" t="s">
        <v>51324</v>
      </c>
      <c r="C2826">
        <v>0.97625949629932296</v>
      </c>
      <c r="D2826">
        <v>0.41506988614159002</v>
      </c>
      <c r="E2826">
        <v>0.97915511849577197</v>
      </c>
      <c r="F2826">
        <v>14.8975550616286</v>
      </c>
    </row>
    <row r="2827" spans="1:6">
      <c r="A2827" t="s">
        <v>51323</v>
      </c>
      <c r="B2827" t="s">
        <v>51325</v>
      </c>
      <c r="C2827">
        <v>0</v>
      </c>
      <c r="D2827">
        <v>0.41506988614159002</v>
      </c>
      <c r="E2827">
        <v>0.97915511849577197</v>
      </c>
      <c r="F2827">
        <v>14.8975550616286</v>
      </c>
    </row>
    <row r="2828" spans="1:6">
      <c r="A2828" t="s">
        <v>51323</v>
      </c>
      <c r="B2828" t="s">
        <v>51326</v>
      </c>
      <c r="C2828">
        <v>0</v>
      </c>
      <c r="D2828">
        <v>0.41506988614159002</v>
      </c>
      <c r="E2828">
        <v>0.97915511849577197</v>
      </c>
      <c r="F2828">
        <v>14.8975550616286</v>
      </c>
    </row>
    <row r="2829" spans="1:6">
      <c r="A2829" t="s">
        <v>51323</v>
      </c>
      <c r="B2829" t="s">
        <v>51327</v>
      </c>
      <c r="C2829">
        <v>6.3438452546096105E-2</v>
      </c>
      <c r="D2829">
        <v>0.41506988614159002</v>
      </c>
      <c r="E2829">
        <v>0.97915511849577197</v>
      </c>
      <c r="F2829">
        <v>14.8975550616286</v>
      </c>
    </row>
    <row r="2830" spans="1:6">
      <c r="A2830" t="s">
        <v>51328</v>
      </c>
      <c r="B2830" t="s">
        <v>51329</v>
      </c>
      <c r="C2830">
        <v>0</v>
      </c>
      <c r="D2830">
        <v>0.29026003203279999</v>
      </c>
      <c r="E2830">
        <v>0.96961237759527596</v>
      </c>
      <c r="F2830">
        <v>0.83410790058597695</v>
      </c>
    </row>
    <row r="2831" spans="1:6">
      <c r="A2831" t="s">
        <v>51328</v>
      </c>
      <c r="B2831" t="s">
        <v>51330</v>
      </c>
      <c r="C2831">
        <v>-2.3307146888371899</v>
      </c>
      <c r="D2831">
        <v>0.29026003203279999</v>
      </c>
      <c r="E2831">
        <v>0.96961237759527596</v>
      </c>
      <c r="F2831">
        <v>0.83410790058597695</v>
      </c>
    </row>
    <row r="2832" spans="1:6">
      <c r="A2832" t="s">
        <v>51328</v>
      </c>
      <c r="B2832" t="s">
        <v>51331</v>
      </c>
      <c r="C2832">
        <v>2.9092034810010099</v>
      </c>
      <c r="D2832">
        <v>0.29026003203279999</v>
      </c>
      <c r="E2832">
        <v>0.96961237759527596</v>
      </c>
      <c r="F2832">
        <v>0.83410790058597695</v>
      </c>
    </row>
    <row r="2833" spans="1:6">
      <c r="A2833" t="s">
        <v>51332</v>
      </c>
      <c r="B2833" t="s">
        <v>51333</v>
      </c>
      <c r="C2833">
        <v>0</v>
      </c>
      <c r="D2833">
        <v>0.71691406297243798</v>
      </c>
      <c r="E2833">
        <v>0.88099692616606895</v>
      </c>
      <c r="F2833">
        <v>2.4295817336835701</v>
      </c>
    </row>
    <row r="2834" spans="1:6">
      <c r="A2834" t="s">
        <v>51332</v>
      </c>
      <c r="B2834" t="s">
        <v>51334</v>
      </c>
      <c r="C2834">
        <v>0.709894416280478</v>
      </c>
      <c r="D2834">
        <v>0.71691406297243798</v>
      </c>
      <c r="E2834">
        <v>0.88099692616606895</v>
      </c>
      <c r="F2834">
        <v>2.4295817336835701</v>
      </c>
    </row>
    <row r="2835" spans="1:6">
      <c r="A2835" t="s">
        <v>51332</v>
      </c>
      <c r="B2835" t="s">
        <v>51335</v>
      </c>
      <c r="C2835">
        <v>0</v>
      </c>
      <c r="D2835">
        <v>0.71691406297243798</v>
      </c>
      <c r="E2835">
        <v>0.88099692616606895</v>
      </c>
      <c r="F2835">
        <v>2.4295817336835701</v>
      </c>
    </row>
    <row r="2836" spans="1:6">
      <c r="A2836" t="s">
        <v>51332</v>
      </c>
      <c r="B2836" t="s">
        <v>51336</v>
      </c>
      <c r="C2836">
        <v>0.22132516493051099</v>
      </c>
      <c r="D2836">
        <v>0.71691406297243798</v>
      </c>
      <c r="E2836">
        <v>0.88099692616606895</v>
      </c>
      <c r="F2836">
        <v>2.4295817336835701</v>
      </c>
    </row>
    <row r="2837" spans="1:6">
      <c r="A2837" t="s">
        <v>51332</v>
      </c>
      <c r="B2837" t="s">
        <v>51337</v>
      </c>
      <c r="C2837">
        <v>0</v>
      </c>
      <c r="D2837">
        <v>0.71691406297243798</v>
      </c>
      <c r="E2837">
        <v>0.88099692616606895</v>
      </c>
      <c r="F2837">
        <v>2.4295817336835701</v>
      </c>
    </row>
    <row r="2838" spans="1:6">
      <c r="A2838" t="s">
        <v>51338</v>
      </c>
      <c r="B2838" t="s">
        <v>51339</v>
      </c>
      <c r="C2838">
        <v>0</v>
      </c>
      <c r="D2838">
        <v>4.7863078683787301E-2</v>
      </c>
      <c r="E2838">
        <v>0.918578204918296</v>
      </c>
      <c r="F2838">
        <v>15.091533643160201</v>
      </c>
    </row>
    <row r="2839" spans="1:6">
      <c r="A2839" t="s">
        <v>51338</v>
      </c>
      <c r="B2839" t="s">
        <v>51340</v>
      </c>
      <c r="C2839">
        <v>0</v>
      </c>
      <c r="D2839">
        <v>4.7863078683787301E-2</v>
      </c>
      <c r="E2839">
        <v>0.918578204918296</v>
      </c>
      <c r="F2839">
        <v>15.091533643160201</v>
      </c>
    </row>
    <row r="2840" spans="1:6">
      <c r="A2840" t="s">
        <v>51338</v>
      </c>
      <c r="B2840" t="s">
        <v>51341</v>
      </c>
      <c r="C2840">
        <v>0</v>
      </c>
      <c r="D2840">
        <v>4.7863078683787301E-2</v>
      </c>
      <c r="E2840">
        <v>0.918578204918296</v>
      </c>
      <c r="F2840">
        <v>15.091533643160201</v>
      </c>
    </row>
    <row r="2841" spans="1:6">
      <c r="A2841" t="s">
        <v>51338</v>
      </c>
      <c r="B2841" t="s">
        <v>51342</v>
      </c>
      <c r="C2841">
        <v>0.70880942399330904</v>
      </c>
      <c r="D2841">
        <v>4.7863078683787301E-2</v>
      </c>
      <c r="E2841">
        <v>0.918578204918296</v>
      </c>
      <c r="F2841">
        <v>15.091533643160201</v>
      </c>
    </row>
    <row r="2842" spans="1:6">
      <c r="A2842" t="s">
        <v>51338</v>
      </c>
      <c r="B2842" t="s">
        <v>51343</v>
      </c>
      <c r="C2842">
        <v>0.125749523902836</v>
      </c>
      <c r="D2842">
        <v>4.7863078683787301E-2</v>
      </c>
      <c r="E2842">
        <v>0.918578204918296</v>
      </c>
      <c r="F2842">
        <v>15.091533643160201</v>
      </c>
    </row>
    <row r="2843" spans="1:6">
      <c r="A2843" t="s">
        <v>51344</v>
      </c>
      <c r="B2843" t="s">
        <v>51345</v>
      </c>
      <c r="C2843">
        <v>0.68109723435960301</v>
      </c>
      <c r="D2843">
        <v>0.24713239622592201</v>
      </c>
      <c r="E2843">
        <v>0.89611766738590604</v>
      </c>
      <c r="F2843">
        <v>20.057385330369701</v>
      </c>
    </row>
    <row r="2844" spans="1:6">
      <c r="A2844" t="s">
        <v>51344</v>
      </c>
      <c r="B2844" t="s">
        <v>51346</v>
      </c>
      <c r="C2844">
        <v>0</v>
      </c>
      <c r="D2844">
        <v>0.24713239622592201</v>
      </c>
      <c r="E2844">
        <v>0.89611766738590604</v>
      </c>
      <c r="F2844">
        <v>20.057385330369701</v>
      </c>
    </row>
    <row r="2845" spans="1:6">
      <c r="A2845" t="s">
        <v>51344</v>
      </c>
      <c r="B2845" t="s">
        <v>51347</v>
      </c>
      <c r="C2845">
        <v>0.69859337326730397</v>
      </c>
      <c r="D2845">
        <v>0.24713239622592201</v>
      </c>
      <c r="E2845">
        <v>0.89611766738590604</v>
      </c>
      <c r="F2845">
        <v>20.057385330369701</v>
      </c>
    </row>
    <row r="2846" spans="1:6">
      <c r="A2846" t="s">
        <v>51348</v>
      </c>
      <c r="B2846" t="s">
        <v>51349</v>
      </c>
      <c r="C2846">
        <v>9.1996724657894893E-2</v>
      </c>
      <c r="D2846">
        <v>0.460321870128376</v>
      </c>
      <c r="E2846">
        <v>0.80399672465789496</v>
      </c>
      <c r="F2846">
        <v>1.5275813295615199</v>
      </c>
    </row>
    <row r="2847" spans="1:6">
      <c r="A2847" t="s">
        <v>51348</v>
      </c>
      <c r="B2847" t="s">
        <v>51350</v>
      </c>
      <c r="C2847">
        <v>0</v>
      </c>
      <c r="D2847">
        <v>0.460321870128376</v>
      </c>
      <c r="E2847">
        <v>0.80399672465789496</v>
      </c>
      <c r="F2847">
        <v>1.5275813295615199</v>
      </c>
    </row>
    <row r="2848" spans="1:6">
      <c r="A2848" t="s">
        <v>51348</v>
      </c>
      <c r="B2848" t="s">
        <v>51351</v>
      </c>
      <c r="C2848">
        <v>0</v>
      </c>
      <c r="D2848">
        <v>0.460321870128376</v>
      </c>
      <c r="E2848">
        <v>0.80399672465789496</v>
      </c>
      <c r="F2848">
        <v>1.5275813295615199</v>
      </c>
    </row>
    <row r="2849" spans="1:6">
      <c r="A2849" t="s">
        <v>51348</v>
      </c>
      <c r="B2849" t="s">
        <v>51352</v>
      </c>
      <c r="C2849">
        <v>0</v>
      </c>
      <c r="D2849">
        <v>0.460321870128376</v>
      </c>
      <c r="E2849">
        <v>0.80399672465789496</v>
      </c>
      <c r="F2849">
        <v>1.5275813295615199</v>
      </c>
    </row>
    <row r="2850" spans="1:6">
      <c r="A2850" t="s">
        <v>51348</v>
      </c>
      <c r="B2850" t="s">
        <v>51353</v>
      </c>
      <c r="C2850">
        <v>0</v>
      </c>
      <c r="D2850">
        <v>0.460321870128376</v>
      </c>
      <c r="E2850">
        <v>0.80399672465789496</v>
      </c>
      <c r="F2850">
        <v>1.5275813295615199</v>
      </c>
    </row>
    <row r="2851" spans="1:6">
      <c r="A2851" t="s">
        <v>51354</v>
      </c>
      <c r="B2851" t="s">
        <v>51355</v>
      </c>
      <c r="C2851">
        <v>0</v>
      </c>
      <c r="D2851">
        <v>0.51337557570195702</v>
      </c>
      <c r="E2851">
        <v>0.93750273579096299</v>
      </c>
      <c r="F2851">
        <v>0.242473226914528</v>
      </c>
    </row>
    <row r="2852" spans="1:6">
      <c r="A2852" t="s">
        <v>51354</v>
      </c>
      <c r="B2852" t="s">
        <v>51356</v>
      </c>
      <c r="C2852">
        <v>0</v>
      </c>
      <c r="D2852">
        <v>0.51337557570195702</v>
      </c>
      <c r="E2852">
        <v>0.93750273579096299</v>
      </c>
      <c r="F2852">
        <v>0.242473226914528</v>
      </c>
    </row>
    <row r="2853" spans="1:6">
      <c r="A2853" t="s">
        <v>51354</v>
      </c>
      <c r="B2853" t="s">
        <v>51357</v>
      </c>
      <c r="C2853">
        <v>0</v>
      </c>
      <c r="D2853">
        <v>0.51337557570195702</v>
      </c>
      <c r="E2853">
        <v>0.93750273579096299</v>
      </c>
      <c r="F2853">
        <v>0.242473226914528</v>
      </c>
    </row>
    <row r="2854" spans="1:6">
      <c r="A2854" t="s">
        <v>51354</v>
      </c>
      <c r="B2854" t="s">
        <v>51358</v>
      </c>
      <c r="C2854">
        <v>0.129413673675428</v>
      </c>
      <c r="D2854">
        <v>0.51337557570195702</v>
      </c>
      <c r="E2854">
        <v>0.93750273579096299</v>
      </c>
      <c r="F2854">
        <v>0.242473226914528</v>
      </c>
    </row>
    <row r="2855" spans="1:6">
      <c r="A2855" t="s">
        <v>51354</v>
      </c>
      <c r="B2855" t="s">
        <v>51359</v>
      </c>
      <c r="C2855">
        <v>0</v>
      </c>
      <c r="D2855">
        <v>0.51337557570195702</v>
      </c>
      <c r="E2855">
        <v>0.93750273579096299</v>
      </c>
      <c r="F2855">
        <v>0.242473226914528</v>
      </c>
    </row>
    <row r="2856" spans="1:6">
      <c r="A2856" t="s">
        <v>51354</v>
      </c>
      <c r="B2856" t="s">
        <v>51360</v>
      </c>
      <c r="C2856">
        <v>0</v>
      </c>
      <c r="D2856">
        <v>0.51337557570195702</v>
      </c>
      <c r="E2856">
        <v>0.93750273579096299</v>
      </c>
      <c r="F2856">
        <v>0.242473226914528</v>
      </c>
    </row>
    <row r="2857" spans="1:6">
      <c r="A2857" t="s">
        <v>51354</v>
      </c>
      <c r="B2857" t="s">
        <v>51361</v>
      </c>
      <c r="C2857">
        <v>0</v>
      </c>
      <c r="D2857">
        <v>0.51337557570195702</v>
      </c>
      <c r="E2857">
        <v>0.93750273579096299</v>
      </c>
      <c r="F2857">
        <v>0.242473226914528</v>
      </c>
    </row>
    <row r="2858" spans="1:6">
      <c r="A2858" t="s">
        <v>51354</v>
      </c>
      <c r="B2858" t="s">
        <v>51362</v>
      </c>
      <c r="C2858">
        <v>0</v>
      </c>
      <c r="D2858">
        <v>0.51337557570195702</v>
      </c>
      <c r="E2858">
        <v>0.93750273579096299</v>
      </c>
      <c r="F2858">
        <v>0.242473226914528</v>
      </c>
    </row>
    <row r="2859" spans="1:6">
      <c r="A2859" t="s">
        <v>51354</v>
      </c>
      <c r="B2859" t="s">
        <v>51363</v>
      </c>
      <c r="C2859">
        <v>0.405674528653509</v>
      </c>
      <c r="D2859">
        <v>0.51337557570195702</v>
      </c>
      <c r="E2859">
        <v>0.93750273579096299</v>
      </c>
      <c r="F2859">
        <v>0.242473226914528</v>
      </c>
    </row>
    <row r="2860" spans="1:6">
      <c r="A2860" t="s">
        <v>51364</v>
      </c>
      <c r="B2860" t="s">
        <v>51365</v>
      </c>
      <c r="C2860">
        <v>0.51226946453767697</v>
      </c>
      <c r="D2860">
        <v>0.58381276032882301</v>
      </c>
      <c r="E2860">
        <v>0.72760202982206701</v>
      </c>
      <c r="F2860">
        <v>16.871287128712801</v>
      </c>
    </row>
    <row r="2861" spans="1:6">
      <c r="A2861" t="s">
        <v>51364</v>
      </c>
      <c r="B2861" t="s">
        <v>51366</v>
      </c>
      <c r="C2861">
        <v>0</v>
      </c>
      <c r="D2861">
        <v>0.58381276032882301</v>
      </c>
      <c r="E2861">
        <v>0.72760202982206701</v>
      </c>
      <c r="F2861">
        <v>16.871287128712801</v>
      </c>
    </row>
    <row r="2862" spans="1:6">
      <c r="A2862" t="s">
        <v>51364</v>
      </c>
      <c r="B2862" t="s">
        <v>51367</v>
      </c>
      <c r="C2862">
        <v>0</v>
      </c>
      <c r="D2862">
        <v>0.58381276032882301</v>
      </c>
      <c r="E2862">
        <v>0.72760202982206701</v>
      </c>
      <c r="F2862">
        <v>16.871287128712801</v>
      </c>
    </row>
    <row r="2863" spans="1:6">
      <c r="A2863" t="s">
        <v>51364</v>
      </c>
      <c r="B2863" t="s">
        <v>51368</v>
      </c>
      <c r="C2863">
        <v>6.0893970365018299E-2</v>
      </c>
      <c r="D2863">
        <v>0.58381276032882301</v>
      </c>
      <c r="E2863">
        <v>0.72760202982206701</v>
      </c>
      <c r="F2863">
        <v>16.871287128712801</v>
      </c>
    </row>
    <row r="2864" spans="1:6">
      <c r="A2864" t="s">
        <v>51364</v>
      </c>
      <c r="B2864" t="s">
        <v>51369</v>
      </c>
      <c r="C2864">
        <v>0</v>
      </c>
      <c r="D2864">
        <v>0.58381276032882301</v>
      </c>
      <c r="E2864">
        <v>0.72760202982206701</v>
      </c>
      <c r="F2864">
        <v>16.871287128712801</v>
      </c>
    </row>
    <row r="2865" spans="1:6">
      <c r="A2865" t="s">
        <v>51364</v>
      </c>
      <c r="B2865" t="s">
        <v>51370</v>
      </c>
      <c r="C2865">
        <v>0</v>
      </c>
      <c r="D2865">
        <v>0.58381276032882301</v>
      </c>
      <c r="E2865">
        <v>0.72760202982206701</v>
      </c>
      <c r="F2865">
        <v>16.871287128712801</v>
      </c>
    </row>
    <row r="2866" spans="1:6">
      <c r="A2866" t="s">
        <v>51371</v>
      </c>
      <c r="B2866" t="s">
        <v>51372</v>
      </c>
      <c r="C2866">
        <v>0.61794891439265898</v>
      </c>
      <c r="D2866">
        <v>0.60490386184660705</v>
      </c>
      <c r="E2866">
        <v>0.86274891439265899</v>
      </c>
      <c r="F2866">
        <v>15.6734693877551</v>
      </c>
    </row>
    <row r="2867" spans="1:6">
      <c r="A2867" t="s">
        <v>51371</v>
      </c>
      <c r="B2867" t="s">
        <v>51373</v>
      </c>
      <c r="C2867">
        <v>0</v>
      </c>
      <c r="D2867">
        <v>0.60490386184660705</v>
      </c>
      <c r="E2867">
        <v>0.86274891439265899</v>
      </c>
      <c r="F2867">
        <v>15.6734693877551</v>
      </c>
    </row>
    <row r="2868" spans="1:6">
      <c r="A2868" t="s">
        <v>51371</v>
      </c>
      <c r="B2868" t="s">
        <v>51374</v>
      </c>
      <c r="C2868">
        <v>0</v>
      </c>
      <c r="D2868">
        <v>0.60490386184660705</v>
      </c>
      <c r="E2868">
        <v>0.86274891439265899</v>
      </c>
      <c r="F2868">
        <v>15.6734693877551</v>
      </c>
    </row>
    <row r="2869" spans="1:6">
      <c r="A2869" t="s">
        <v>51375</v>
      </c>
      <c r="B2869" t="s">
        <v>51376</v>
      </c>
      <c r="C2869">
        <v>0.97310814199531404</v>
      </c>
      <c r="D2869">
        <v>0.54516588282437395</v>
      </c>
      <c r="E2869">
        <v>0.99865886193653997</v>
      </c>
      <c r="F2869">
        <v>5.9987876338654198</v>
      </c>
    </row>
    <row r="2870" spans="1:6">
      <c r="A2870" t="s">
        <v>51375</v>
      </c>
      <c r="B2870" t="s">
        <v>51377</v>
      </c>
      <c r="C2870">
        <v>0</v>
      </c>
      <c r="D2870">
        <v>0.54516588282437395</v>
      </c>
      <c r="E2870">
        <v>0.99865886193653997</v>
      </c>
      <c r="F2870">
        <v>5.9987876338654198</v>
      </c>
    </row>
    <row r="2871" spans="1:6">
      <c r="A2871" t="s">
        <v>51375</v>
      </c>
      <c r="B2871" t="s">
        <v>51378</v>
      </c>
      <c r="C2871">
        <v>0</v>
      </c>
      <c r="D2871">
        <v>0.54516588282437395</v>
      </c>
      <c r="E2871">
        <v>0.99865886193653997</v>
      </c>
      <c r="F2871">
        <v>5.9987876338654198</v>
      </c>
    </row>
    <row r="2872" spans="1:6">
      <c r="A2872" t="s">
        <v>51375</v>
      </c>
      <c r="B2872" t="s">
        <v>51379</v>
      </c>
      <c r="C2872">
        <v>0</v>
      </c>
      <c r="D2872">
        <v>0.54516588282437395</v>
      </c>
      <c r="E2872">
        <v>0.99865886193653997</v>
      </c>
      <c r="F2872">
        <v>5.9987876338654198</v>
      </c>
    </row>
    <row r="2873" spans="1:6">
      <c r="A2873" t="s">
        <v>51375</v>
      </c>
      <c r="B2873" t="s">
        <v>51380</v>
      </c>
      <c r="C2873">
        <v>0</v>
      </c>
      <c r="D2873">
        <v>0.54516588282437395</v>
      </c>
      <c r="E2873">
        <v>0.99865886193653997</v>
      </c>
      <c r="F2873">
        <v>5.9987876338654198</v>
      </c>
    </row>
    <row r="2874" spans="1:6">
      <c r="A2874" t="s">
        <v>51375</v>
      </c>
      <c r="B2874" t="s">
        <v>51381</v>
      </c>
      <c r="C2874">
        <v>0</v>
      </c>
      <c r="D2874">
        <v>0.54516588282437395</v>
      </c>
      <c r="E2874">
        <v>0.99865886193653997</v>
      </c>
      <c r="F2874">
        <v>5.9987876338654198</v>
      </c>
    </row>
    <row r="2875" spans="1:6">
      <c r="A2875" t="s">
        <v>51375</v>
      </c>
      <c r="B2875" t="s">
        <v>51382</v>
      </c>
      <c r="C2875">
        <v>2.3812144913224701E-2</v>
      </c>
      <c r="D2875">
        <v>0.54516588282437395</v>
      </c>
      <c r="E2875">
        <v>0.99865886193653997</v>
      </c>
      <c r="F2875">
        <v>5.9987876338654198</v>
      </c>
    </row>
    <row r="2876" spans="1:6">
      <c r="A2876" t="s">
        <v>51375</v>
      </c>
      <c r="B2876" t="s">
        <v>51383</v>
      </c>
      <c r="C2876">
        <v>0</v>
      </c>
      <c r="D2876">
        <v>0.54516588282437395</v>
      </c>
      <c r="E2876">
        <v>0.99865886193653997</v>
      </c>
      <c r="F2876">
        <v>5.9987876338654198</v>
      </c>
    </row>
    <row r="2877" spans="1:6">
      <c r="A2877" t="s">
        <v>51384</v>
      </c>
      <c r="B2877" t="s">
        <v>51385</v>
      </c>
      <c r="C2877">
        <v>0.47316239366889501</v>
      </c>
      <c r="D2877">
        <v>0.32383816941909399</v>
      </c>
      <c r="E2877">
        <v>0.73556239366889498</v>
      </c>
      <c r="F2877">
        <v>6.7504546373004599</v>
      </c>
    </row>
    <row r="2878" spans="1:6">
      <c r="A2878" t="s">
        <v>51384</v>
      </c>
      <c r="B2878" t="s">
        <v>51386</v>
      </c>
      <c r="C2878">
        <v>0</v>
      </c>
      <c r="D2878">
        <v>0.32383816941909399</v>
      </c>
      <c r="E2878">
        <v>0.73556239366889498</v>
      </c>
      <c r="F2878">
        <v>6.7504546373004599</v>
      </c>
    </row>
    <row r="2879" spans="1:6">
      <c r="A2879" t="s">
        <v>51384</v>
      </c>
      <c r="B2879" t="s">
        <v>51387</v>
      </c>
      <c r="C2879">
        <v>0</v>
      </c>
      <c r="D2879">
        <v>0.32383816941909399</v>
      </c>
      <c r="E2879">
        <v>0.73556239366889498</v>
      </c>
      <c r="F2879">
        <v>6.7504546373004599</v>
      </c>
    </row>
    <row r="2880" spans="1:6">
      <c r="A2880" t="s">
        <v>51384</v>
      </c>
      <c r="B2880" t="s">
        <v>51388</v>
      </c>
      <c r="C2880">
        <v>0</v>
      </c>
      <c r="D2880">
        <v>0.32383816941909399</v>
      </c>
      <c r="E2880">
        <v>0.73556239366889498</v>
      </c>
      <c r="F2880">
        <v>6.7504546373004599</v>
      </c>
    </row>
    <row r="2881" spans="1:6">
      <c r="A2881" t="s">
        <v>51384</v>
      </c>
      <c r="B2881" t="s">
        <v>51389</v>
      </c>
      <c r="C2881">
        <v>0</v>
      </c>
      <c r="D2881">
        <v>0.32383816941909399</v>
      </c>
      <c r="E2881">
        <v>0.73556239366889498</v>
      </c>
      <c r="F2881">
        <v>6.7504546373004599</v>
      </c>
    </row>
    <row r="2882" spans="1:6">
      <c r="A2882" t="s">
        <v>51390</v>
      </c>
      <c r="B2882" t="s">
        <v>51391</v>
      </c>
      <c r="C2882">
        <v>0</v>
      </c>
      <c r="D2882">
        <v>0.38265724682215901</v>
      </c>
      <c r="E2882">
        <v>0.96006946451240605</v>
      </c>
      <c r="F2882">
        <v>12.1721559911093</v>
      </c>
    </row>
    <row r="2883" spans="1:6">
      <c r="A2883" t="s">
        <v>51390</v>
      </c>
      <c r="B2883" t="s">
        <v>51392</v>
      </c>
      <c r="C2883">
        <v>0</v>
      </c>
      <c r="D2883">
        <v>0.38265724682215901</v>
      </c>
      <c r="E2883">
        <v>0.96006946451240605</v>
      </c>
      <c r="F2883">
        <v>12.1721559911093</v>
      </c>
    </row>
    <row r="2884" spans="1:6">
      <c r="A2884" t="s">
        <v>51390</v>
      </c>
      <c r="B2884" t="s">
        <v>51393</v>
      </c>
      <c r="C2884">
        <v>0</v>
      </c>
      <c r="D2884">
        <v>0.38265724682215901</v>
      </c>
      <c r="E2884">
        <v>0.96006946451240605</v>
      </c>
      <c r="F2884">
        <v>12.1721559911093</v>
      </c>
    </row>
    <row r="2885" spans="1:6">
      <c r="A2885" t="s">
        <v>51390</v>
      </c>
      <c r="B2885" t="s">
        <v>51394</v>
      </c>
      <c r="C2885">
        <v>0</v>
      </c>
      <c r="D2885">
        <v>0.38265724682215901</v>
      </c>
      <c r="E2885">
        <v>0.96006946451240605</v>
      </c>
      <c r="F2885">
        <v>12.1721559911093</v>
      </c>
    </row>
    <row r="2886" spans="1:6">
      <c r="A2886" t="s">
        <v>51390</v>
      </c>
      <c r="B2886" t="s">
        <v>51395</v>
      </c>
      <c r="C2886">
        <v>0.161178814814052</v>
      </c>
      <c r="D2886">
        <v>0.38265724682215901</v>
      </c>
      <c r="E2886">
        <v>0.96006946451240605</v>
      </c>
      <c r="F2886">
        <v>12.1721559911093</v>
      </c>
    </row>
    <row r="2887" spans="1:6">
      <c r="A2887" t="s">
        <v>51390</v>
      </c>
      <c r="B2887" t="s">
        <v>51396</v>
      </c>
      <c r="C2887">
        <v>0</v>
      </c>
      <c r="D2887">
        <v>0.38265724682215901</v>
      </c>
      <c r="E2887">
        <v>0.96006946451240605</v>
      </c>
      <c r="F2887">
        <v>12.1721559911093</v>
      </c>
    </row>
    <row r="2888" spans="1:6">
      <c r="A2888" t="s">
        <v>51390</v>
      </c>
      <c r="B2888" t="s">
        <v>51397</v>
      </c>
      <c r="C2888">
        <v>0</v>
      </c>
      <c r="D2888">
        <v>0.38265724682215901</v>
      </c>
      <c r="E2888">
        <v>0.96006946451240605</v>
      </c>
      <c r="F2888">
        <v>12.1721559911093</v>
      </c>
    </row>
    <row r="2889" spans="1:6">
      <c r="A2889" t="s">
        <v>51390</v>
      </c>
      <c r="B2889" t="s">
        <v>51398</v>
      </c>
      <c r="C2889">
        <v>0</v>
      </c>
      <c r="D2889">
        <v>0.38265724682215901</v>
      </c>
      <c r="E2889">
        <v>0.96006946451240605</v>
      </c>
      <c r="F2889">
        <v>12.1721559911093</v>
      </c>
    </row>
    <row r="2890" spans="1:6">
      <c r="A2890" t="s">
        <v>51390</v>
      </c>
      <c r="B2890" t="s">
        <v>51399</v>
      </c>
      <c r="C2890">
        <v>0.56377469072390995</v>
      </c>
      <c r="D2890">
        <v>0.38265724682215901</v>
      </c>
      <c r="E2890">
        <v>0.96006946451240605</v>
      </c>
      <c r="F2890">
        <v>12.1721559911093</v>
      </c>
    </row>
    <row r="2891" spans="1:6">
      <c r="A2891" t="s">
        <v>51390</v>
      </c>
      <c r="B2891" t="s">
        <v>51400</v>
      </c>
      <c r="C2891">
        <v>0</v>
      </c>
      <c r="D2891">
        <v>0.38265724682215901</v>
      </c>
      <c r="E2891">
        <v>0.96006946451240605</v>
      </c>
      <c r="F2891">
        <v>12.1721559911093</v>
      </c>
    </row>
    <row r="2892" spans="1:6">
      <c r="A2892" t="s">
        <v>51390</v>
      </c>
      <c r="B2892" t="s">
        <v>51401</v>
      </c>
      <c r="C2892">
        <v>0</v>
      </c>
      <c r="D2892">
        <v>0.38265724682215901</v>
      </c>
      <c r="E2892">
        <v>0.96006946451240605</v>
      </c>
      <c r="F2892">
        <v>12.1721559911093</v>
      </c>
    </row>
    <row r="2893" spans="1:6">
      <c r="A2893" t="s">
        <v>51402</v>
      </c>
      <c r="B2893" t="s">
        <v>51403</v>
      </c>
      <c r="C2893">
        <v>0.54640761454540498</v>
      </c>
      <c r="D2893">
        <v>0.42116866420993498</v>
      </c>
      <c r="E2893">
        <v>0.91251236311751205</v>
      </c>
      <c r="F2893">
        <v>13.772479288745201</v>
      </c>
    </row>
    <row r="2894" spans="1:6">
      <c r="A2894" t="s">
        <v>51402</v>
      </c>
      <c r="B2894" t="s">
        <v>51404</v>
      </c>
      <c r="C2894">
        <v>0.130278243985952</v>
      </c>
      <c r="D2894">
        <v>0.42116866420993498</v>
      </c>
      <c r="E2894">
        <v>0.91251236311751205</v>
      </c>
      <c r="F2894">
        <v>13.772479288745201</v>
      </c>
    </row>
    <row r="2895" spans="1:6">
      <c r="A2895" t="s">
        <v>51402</v>
      </c>
      <c r="B2895" t="s">
        <v>51405</v>
      </c>
      <c r="C2895">
        <v>0</v>
      </c>
      <c r="D2895">
        <v>0.42116866420993498</v>
      </c>
      <c r="E2895">
        <v>0.91251236311751205</v>
      </c>
      <c r="F2895">
        <v>13.772479288745201</v>
      </c>
    </row>
    <row r="2896" spans="1:6">
      <c r="A2896" t="s">
        <v>51402</v>
      </c>
      <c r="B2896" t="s">
        <v>51406</v>
      </c>
      <c r="C2896">
        <v>0</v>
      </c>
      <c r="D2896">
        <v>0.42116866420993498</v>
      </c>
      <c r="E2896">
        <v>0.91251236311751205</v>
      </c>
      <c r="F2896">
        <v>13.772479288745201</v>
      </c>
    </row>
    <row r="2897" spans="1:6">
      <c r="A2897" t="s">
        <v>51402</v>
      </c>
      <c r="B2897" t="s">
        <v>51407</v>
      </c>
      <c r="C2897">
        <v>0</v>
      </c>
      <c r="D2897">
        <v>0.42116866420993498</v>
      </c>
      <c r="E2897">
        <v>0.91251236311751205</v>
      </c>
      <c r="F2897">
        <v>13.772479288745201</v>
      </c>
    </row>
    <row r="2898" spans="1:6">
      <c r="A2898" t="s">
        <v>51402</v>
      </c>
      <c r="B2898" t="s">
        <v>51408</v>
      </c>
      <c r="C2898">
        <v>0</v>
      </c>
      <c r="D2898">
        <v>0.42116866420993498</v>
      </c>
      <c r="E2898">
        <v>0.91251236311751205</v>
      </c>
      <c r="F2898">
        <v>13.772479288745201</v>
      </c>
    </row>
    <row r="2899" spans="1:6">
      <c r="A2899" t="s">
        <v>51409</v>
      </c>
      <c r="B2899" t="s">
        <v>51410</v>
      </c>
      <c r="C2899">
        <v>0</v>
      </c>
      <c r="D2899">
        <v>0.29204485508845401</v>
      </c>
      <c r="E2899">
        <v>0.98170687757980402</v>
      </c>
      <c r="F2899">
        <v>8.66599312992523</v>
      </c>
    </row>
    <row r="2900" spans="1:6">
      <c r="A2900" t="s">
        <v>51409</v>
      </c>
      <c r="B2900" t="s">
        <v>51411</v>
      </c>
      <c r="C2900">
        <v>0.73757352188925696</v>
      </c>
      <c r="D2900">
        <v>0.29204485508845401</v>
      </c>
      <c r="E2900">
        <v>0.98170687757980402</v>
      </c>
      <c r="F2900">
        <v>8.66599312992523</v>
      </c>
    </row>
    <row r="2901" spans="1:6">
      <c r="A2901" t="s">
        <v>51409</v>
      </c>
      <c r="B2901" t="s">
        <v>51412</v>
      </c>
      <c r="C2901">
        <v>0</v>
      </c>
      <c r="D2901">
        <v>0.29204485508845401</v>
      </c>
      <c r="E2901">
        <v>0.98170687757980402</v>
      </c>
      <c r="F2901">
        <v>8.66599312992523</v>
      </c>
    </row>
    <row r="2902" spans="1:6">
      <c r="A2902" t="s">
        <v>51409</v>
      </c>
      <c r="B2902" t="s">
        <v>51413</v>
      </c>
      <c r="C2902">
        <v>0</v>
      </c>
      <c r="D2902">
        <v>0.29204485508845401</v>
      </c>
      <c r="E2902">
        <v>0.98170687757980402</v>
      </c>
      <c r="F2902">
        <v>8.66599312992523</v>
      </c>
    </row>
    <row r="2903" spans="1:6">
      <c r="A2903" t="s">
        <v>51409</v>
      </c>
      <c r="B2903" t="s">
        <v>51414</v>
      </c>
      <c r="C2903">
        <v>0</v>
      </c>
      <c r="D2903">
        <v>0.29204485508845401</v>
      </c>
      <c r="E2903">
        <v>0.98170687757980402</v>
      </c>
      <c r="F2903">
        <v>8.66599312992523</v>
      </c>
    </row>
    <row r="2904" spans="1:6">
      <c r="A2904" t="s">
        <v>51409</v>
      </c>
      <c r="B2904" t="s">
        <v>51415</v>
      </c>
      <c r="C2904">
        <v>0</v>
      </c>
      <c r="D2904">
        <v>0.29204485508845401</v>
      </c>
      <c r="E2904">
        <v>0.98170687757980402</v>
      </c>
      <c r="F2904">
        <v>8.66599312992523</v>
      </c>
    </row>
    <row r="2905" spans="1:6">
      <c r="A2905" t="s">
        <v>51409</v>
      </c>
      <c r="B2905" t="s">
        <v>51416</v>
      </c>
      <c r="C2905">
        <v>0.28297147069457801</v>
      </c>
      <c r="D2905">
        <v>0.29204485508845401</v>
      </c>
      <c r="E2905">
        <v>0.98170687757980402</v>
      </c>
      <c r="F2905">
        <v>8.66599312992523</v>
      </c>
    </row>
    <row r="2906" spans="1:6">
      <c r="A2906" t="s">
        <v>51409</v>
      </c>
      <c r="B2906" t="s">
        <v>51417</v>
      </c>
      <c r="C2906">
        <v>0</v>
      </c>
      <c r="D2906">
        <v>0.29204485508845401</v>
      </c>
      <c r="E2906">
        <v>0.98170687757980402</v>
      </c>
      <c r="F2906">
        <v>8.66599312992523</v>
      </c>
    </row>
    <row r="2907" spans="1:6">
      <c r="A2907" t="s">
        <v>51418</v>
      </c>
      <c r="B2907" t="s">
        <v>51419</v>
      </c>
      <c r="C2907">
        <v>0</v>
      </c>
      <c r="D2907">
        <v>9.5259931039694101E-2</v>
      </c>
      <c r="E2907">
        <v>0.94314410933140502</v>
      </c>
      <c r="F2907">
        <v>16.463932107496401</v>
      </c>
    </row>
    <row r="2908" spans="1:6">
      <c r="A2908" t="s">
        <v>51418</v>
      </c>
      <c r="B2908" t="s">
        <v>51420</v>
      </c>
      <c r="C2908">
        <v>0</v>
      </c>
      <c r="D2908">
        <v>9.5259931039694101E-2</v>
      </c>
      <c r="E2908">
        <v>0.94314410933140502</v>
      </c>
      <c r="F2908">
        <v>16.463932107496401</v>
      </c>
    </row>
    <row r="2909" spans="1:6">
      <c r="A2909" t="s">
        <v>51418</v>
      </c>
      <c r="B2909" t="s">
        <v>51421</v>
      </c>
      <c r="C2909">
        <v>0</v>
      </c>
      <c r="D2909">
        <v>9.5259931039694101E-2</v>
      </c>
      <c r="E2909">
        <v>0.94314410933140502</v>
      </c>
      <c r="F2909">
        <v>16.463932107496401</v>
      </c>
    </row>
    <row r="2910" spans="1:6">
      <c r="A2910" t="s">
        <v>51418</v>
      </c>
      <c r="B2910" t="s">
        <v>51422</v>
      </c>
      <c r="C2910">
        <v>0.36942791399902403</v>
      </c>
      <c r="D2910">
        <v>9.5259931039694101E-2</v>
      </c>
      <c r="E2910">
        <v>0.94314410933140502</v>
      </c>
      <c r="F2910">
        <v>16.463932107496401</v>
      </c>
    </row>
    <row r="2911" spans="1:6">
      <c r="A2911" t="s">
        <v>51418</v>
      </c>
      <c r="B2911" t="s">
        <v>51423</v>
      </c>
      <c r="C2911">
        <v>0</v>
      </c>
      <c r="D2911">
        <v>9.5259931039694101E-2</v>
      </c>
      <c r="E2911">
        <v>0.94314410933140502</v>
      </c>
      <c r="F2911">
        <v>16.463932107496401</v>
      </c>
    </row>
    <row r="2912" spans="1:6">
      <c r="A2912" t="s">
        <v>51418</v>
      </c>
      <c r="B2912" t="s">
        <v>51424</v>
      </c>
      <c r="C2912">
        <v>0</v>
      </c>
      <c r="D2912">
        <v>9.5259931039694101E-2</v>
      </c>
      <c r="E2912">
        <v>0.94314410933140502</v>
      </c>
      <c r="F2912">
        <v>16.463932107496401</v>
      </c>
    </row>
    <row r="2913" spans="1:6">
      <c r="A2913" t="s">
        <v>51418</v>
      </c>
      <c r="B2913" t="s">
        <v>51425</v>
      </c>
      <c r="C2913">
        <v>0.168303374025985</v>
      </c>
      <c r="D2913">
        <v>9.5259931039694101E-2</v>
      </c>
      <c r="E2913">
        <v>0.94314410933140502</v>
      </c>
      <c r="F2913">
        <v>16.463932107496401</v>
      </c>
    </row>
    <row r="2914" spans="1:6">
      <c r="A2914" t="s">
        <v>51418</v>
      </c>
      <c r="B2914" t="s">
        <v>51426</v>
      </c>
      <c r="C2914">
        <v>0</v>
      </c>
      <c r="D2914">
        <v>9.5259931039694101E-2</v>
      </c>
      <c r="E2914">
        <v>0.94314410933140502</v>
      </c>
      <c r="F2914">
        <v>16.463932107496401</v>
      </c>
    </row>
    <row r="2915" spans="1:6">
      <c r="A2915" t="s">
        <v>51427</v>
      </c>
      <c r="B2915" t="s">
        <v>51428</v>
      </c>
      <c r="C2915">
        <v>0</v>
      </c>
      <c r="D2915">
        <v>8.1505714536573903E-2</v>
      </c>
      <c r="E2915">
        <v>0.98646714184119499</v>
      </c>
      <c r="F2915">
        <v>11.827844008890599</v>
      </c>
    </row>
    <row r="2916" spans="1:6">
      <c r="A2916" t="s">
        <v>51427</v>
      </c>
      <c r="B2916" t="s">
        <v>51429</v>
      </c>
      <c r="C2916">
        <v>0.30147826245296599</v>
      </c>
      <c r="D2916">
        <v>8.1505714536573903E-2</v>
      </c>
      <c r="E2916">
        <v>0.98646714184119499</v>
      </c>
      <c r="F2916">
        <v>11.827844008890599</v>
      </c>
    </row>
    <row r="2917" spans="1:6">
      <c r="A2917" t="s">
        <v>51427</v>
      </c>
      <c r="B2917" t="s">
        <v>51430</v>
      </c>
      <c r="C2917">
        <v>0</v>
      </c>
      <c r="D2917">
        <v>8.1505714536573903E-2</v>
      </c>
      <c r="E2917">
        <v>0.98646714184119499</v>
      </c>
      <c r="F2917">
        <v>11.827844008890599</v>
      </c>
    </row>
    <row r="2918" spans="1:6">
      <c r="A2918" t="s">
        <v>51427</v>
      </c>
      <c r="B2918" t="s">
        <v>51431</v>
      </c>
      <c r="C2918">
        <v>0.59406906602976595</v>
      </c>
      <c r="D2918">
        <v>8.1505714536573903E-2</v>
      </c>
      <c r="E2918">
        <v>0.98646714184119499</v>
      </c>
      <c r="F2918">
        <v>11.827844008890599</v>
      </c>
    </row>
    <row r="2919" spans="1:6">
      <c r="A2919" t="s">
        <v>51432</v>
      </c>
      <c r="B2919" t="s">
        <v>51433</v>
      </c>
      <c r="C2919">
        <v>0</v>
      </c>
      <c r="D2919">
        <v>0.30149727353715899</v>
      </c>
      <c r="E2919">
        <v>0.99286477213578395</v>
      </c>
      <c r="F2919">
        <v>4.1123459284703898</v>
      </c>
    </row>
    <row r="2920" spans="1:6">
      <c r="A2920" t="s">
        <v>51432</v>
      </c>
      <c r="B2920" t="s">
        <v>51434</v>
      </c>
      <c r="C2920">
        <v>0</v>
      </c>
      <c r="D2920">
        <v>0.30149727353715899</v>
      </c>
      <c r="E2920">
        <v>0.99286477213578395</v>
      </c>
      <c r="F2920">
        <v>4.1123459284703898</v>
      </c>
    </row>
    <row r="2921" spans="1:6">
      <c r="A2921" t="s">
        <v>51432</v>
      </c>
      <c r="B2921" t="s">
        <v>51435</v>
      </c>
      <c r="C2921">
        <v>0</v>
      </c>
      <c r="D2921">
        <v>0.30149727353715899</v>
      </c>
      <c r="E2921">
        <v>0.99286477213578395</v>
      </c>
      <c r="F2921">
        <v>4.1123459284703898</v>
      </c>
    </row>
    <row r="2922" spans="1:6">
      <c r="A2922" t="s">
        <v>51432</v>
      </c>
      <c r="B2922" t="s">
        <v>51436</v>
      </c>
      <c r="C2922">
        <v>0</v>
      </c>
      <c r="D2922">
        <v>0.30149727353715899</v>
      </c>
      <c r="E2922">
        <v>0.99286477213578395</v>
      </c>
      <c r="F2922">
        <v>4.1123459284703898</v>
      </c>
    </row>
    <row r="2923" spans="1:6">
      <c r="A2923" t="s">
        <v>51432</v>
      </c>
      <c r="B2923" t="s">
        <v>51437</v>
      </c>
      <c r="C2923">
        <v>0.79286477213578399</v>
      </c>
      <c r="D2923">
        <v>0.30149727353715899</v>
      </c>
      <c r="E2923">
        <v>0.99286477213578395</v>
      </c>
      <c r="F2923">
        <v>4.1123459284703898</v>
      </c>
    </row>
    <row r="2924" spans="1:6">
      <c r="A2924" t="s">
        <v>51432</v>
      </c>
      <c r="B2924" t="s">
        <v>51438</v>
      </c>
      <c r="C2924">
        <v>0</v>
      </c>
      <c r="D2924">
        <v>0.30149727353715899</v>
      </c>
      <c r="E2924">
        <v>0.99286477213578395</v>
      </c>
      <c r="F2924">
        <v>4.1123459284703898</v>
      </c>
    </row>
    <row r="2925" spans="1:6">
      <c r="A2925" t="s">
        <v>51439</v>
      </c>
      <c r="B2925" t="s">
        <v>51440</v>
      </c>
      <c r="C2925">
        <v>0</v>
      </c>
      <c r="D2925">
        <v>0.395338486579836</v>
      </c>
      <c r="E2925">
        <v>0.77655357600434305</v>
      </c>
      <c r="F2925">
        <v>13.772479288745201</v>
      </c>
    </row>
    <row r="2926" spans="1:6">
      <c r="A2926" t="s">
        <v>51439</v>
      </c>
      <c r="B2926" t="s">
        <v>51441</v>
      </c>
      <c r="C2926">
        <v>0.55895357600434303</v>
      </c>
      <c r="D2926">
        <v>0.395338486579836</v>
      </c>
      <c r="E2926">
        <v>0.77655357600434305</v>
      </c>
      <c r="F2926">
        <v>13.772479288745201</v>
      </c>
    </row>
    <row r="2927" spans="1:6">
      <c r="A2927" t="s">
        <v>51439</v>
      </c>
      <c r="B2927" t="s">
        <v>51442</v>
      </c>
      <c r="C2927">
        <v>0</v>
      </c>
      <c r="D2927">
        <v>0.395338486579836</v>
      </c>
      <c r="E2927">
        <v>0.77655357600434305</v>
      </c>
      <c r="F2927">
        <v>13.772479288745201</v>
      </c>
    </row>
    <row r="2928" spans="1:6">
      <c r="A2928" t="s">
        <v>51443</v>
      </c>
      <c r="B2928" t="s">
        <v>51444</v>
      </c>
      <c r="C2928">
        <v>0</v>
      </c>
      <c r="D2928">
        <v>0.36236419320401198</v>
      </c>
      <c r="E2928">
        <v>0.89807972902433297</v>
      </c>
      <c r="F2928">
        <v>3.8795716306324501E-2</v>
      </c>
    </row>
    <row r="2929" spans="1:6">
      <c r="A2929" t="s">
        <v>51443</v>
      </c>
      <c r="B2929" t="s">
        <v>51445</v>
      </c>
      <c r="C2929">
        <v>0.176596065704101</v>
      </c>
      <c r="D2929">
        <v>0.36236419320401198</v>
      </c>
      <c r="E2929">
        <v>0.89807972902433297</v>
      </c>
      <c r="F2929">
        <v>3.8795716306324501E-2</v>
      </c>
    </row>
    <row r="2930" spans="1:6">
      <c r="A2930" t="s">
        <v>51443</v>
      </c>
      <c r="B2930" t="s">
        <v>51446</v>
      </c>
      <c r="C2930">
        <v>0</v>
      </c>
      <c r="D2930">
        <v>0.36236419320401198</v>
      </c>
      <c r="E2930">
        <v>0.89807972902433297</v>
      </c>
      <c r="F2930">
        <v>3.8795716306324501E-2</v>
      </c>
    </row>
    <row r="2931" spans="1:6">
      <c r="A2931" t="s">
        <v>51443</v>
      </c>
      <c r="B2931" t="s">
        <v>51447</v>
      </c>
      <c r="C2931">
        <v>0</v>
      </c>
      <c r="D2931">
        <v>0.36236419320401198</v>
      </c>
      <c r="E2931">
        <v>0.89807972902433297</v>
      </c>
      <c r="F2931">
        <v>3.8795716306324501E-2</v>
      </c>
    </row>
    <row r="2932" spans="1:6">
      <c r="A2932" t="s">
        <v>51443</v>
      </c>
      <c r="B2932" t="s">
        <v>51448</v>
      </c>
      <c r="C2932">
        <v>0</v>
      </c>
      <c r="D2932">
        <v>0.36236419320401198</v>
      </c>
      <c r="E2932">
        <v>0.89807972902433297</v>
      </c>
      <c r="F2932">
        <v>3.8795716306324501E-2</v>
      </c>
    </row>
    <row r="2933" spans="1:6">
      <c r="A2933" t="s">
        <v>51443</v>
      </c>
      <c r="B2933" t="s">
        <v>51449</v>
      </c>
      <c r="C2933">
        <v>0</v>
      </c>
      <c r="D2933">
        <v>0.36236419320401198</v>
      </c>
      <c r="E2933">
        <v>0.89807972902433297</v>
      </c>
      <c r="F2933">
        <v>3.8795716306324501E-2</v>
      </c>
    </row>
    <row r="2934" spans="1:6">
      <c r="A2934" t="s">
        <v>51443</v>
      </c>
      <c r="B2934" t="s">
        <v>51450</v>
      </c>
      <c r="C2934">
        <v>5.0744470563777899E-2</v>
      </c>
      <c r="D2934">
        <v>0.36236419320401198</v>
      </c>
      <c r="E2934">
        <v>0.89807972902433297</v>
      </c>
      <c r="F2934">
        <v>3.8795716306324501E-2</v>
      </c>
    </row>
    <row r="2935" spans="1:6">
      <c r="A2935" t="s">
        <v>51443</v>
      </c>
      <c r="B2935" t="s">
        <v>51451</v>
      </c>
      <c r="C2935">
        <v>0</v>
      </c>
      <c r="D2935">
        <v>0.36236419320401198</v>
      </c>
      <c r="E2935">
        <v>0.89807972902433297</v>
      </c>
      <c r="F2935">
        <v>3.8795716306324501E-2</v>
      </c>
    </row>
    <row r="2936" spans="1:6">
      <c r="A2936" t="s">
        <v>51452</v>
      </c>
      <c r="B2936" t="s">
        <v>51453</v>
      </c>
      <c r="C2936">
        <v>0.336200099617052</v>
      </c>
      <c r="D2936">
        <v>0.89264921751171999</v>
      </c>
      <c r="E2936">
        <v>0.98914170362368103</v>
      </c>
      <c r="F2936">
        <v>9.6989290765811201E-3</v>
      </c>
    </row>
    <row r="2937" spans="1:6">
      <c r="A2937" t="s">
        <v>51452</v>
      </c>
      <c r="B2937" t="s">
        <v>51454</v>
      </c>
      <c r="C2937">
        <v>0</v>
      </c>
      <c r="D2937">
        <v>0.89264921751171999</v>
      </c>
      <c r="E2937">
        <v>0.98914170362368103</v>
      </c>
      <c r="F2937">
        <v>9.6989290765811201E-3</v>
      </c>
    </row>
    <row r="2938" spans="1:6">
      <c r="A2938" t="s">
        <v>51452</v>
      </c>
      <c r="B2938" t="s">
        <v>51455</v>
      </c>
      <c r="C2938">
        <v>0</v>
      </c>
      <c r="D2938">
        <v>0.89264921751171999</v>
      </c>
      <c r="E2938">
        <v>0.98914170362368103</v>
      </c>
      <c r="F2938">
        <v>9.6989290765811201E-3</v>
      </c>
    </row>
    <row r="2939" spans="1:6">
      <c r="A2939" t="s">
        <v>51452</v>
      </c>
      <c r="B2939" t="s">
        <v>51456</v>
      </c>
      <c r="C2939">
        <v>0.61562844069021005</v>
      </c>
      <c r="D2939">
        <v>0.89264921751171999</v>
      </c>
      <c r="E2939">
        <v>0.98914170362368103</v>
      </c>
      <c r="F2939">
        <v>9.6989290765811201E-3</v>
      </c>
    </row>
    <row r="2940" spans="1:6">
      <c r="A2940" t="s">
        <v>51452</v>
      </c>
      <c r="B2940" t="s">
        <v>51457</v>
      </c>
      <c r="C2940">
        <v>0</v>
      </c>
      <c r="D2940">
        <v>0.89264921751171999</v>
      </c>
      <c r="E2940">
        <v>0.98914170362368103</v>
      </c>
      <c r="F2940">
        <v>9.6989290765811201E-3</v>
      </c>
    </row>
    <row r="2941" spans="1:6">
      <c r="A2941" t="s">
        <v>51452</v>
      </c>
      <c r="B2941" t="s">
        <v>51458</v>
      </c>
      <c r="C2941">
        <v>0</v>
      </c>
      <c r="D2941">
        <v>0.89264921751171999</v>
      </c>
      <c r="E2941">
        <v>0.98914170362368103</v>
      </c>
      <c r="F2941">
        <v>9.6989290765811201E-3</v>
      </c>
    </row>
    <row r="2942" spans="1:6">
      <c r="A2942" t="s">
        <v>51452</v>
      </c>
      <c r="B2942" t="s">
        <v>51459</v>
      </c>
      <c r="C2942">
        <v>0</v>
      </c>
      <c r="D2942">
        <v>0.89264921751171999</v>
      </c>
      <c r="E2942">
        <v>0.98914170362368103</v>
      </c>
      <c r="F2942">
        <v>9.6989290765811201E-3</v>
      </c>
    </row>
    <row r="2943" spans="1:6">
      <c r="A2943" t="s">
        <v>51452</v>
      </c>
      <c r="B2943" t="s">
        <v>51460</v>
      </c>
      <c r="C2943">
        <v>0</v>
      </c>
      <c r="D2943">
        <v>0.89264921751171999</v>
      </c>
      <c r="E2943">
        <v>0.98914170362368103</v>
      </c>
      <c r="F2943">
        <v>9.6989290765811201E-3</v>
      </c>
    </row>
    <row r="2944" spans="1:6">
      <c r="A2944" t="s">
        <v>51461</v>
      </c>
      <c r="B2944" t="s">
        <v>51462</v>
      </c>
      <c r="C2944">
        <v>0</v>
      </c>
      <c r="D2944">
        <v>3.6120747704689801E-2</v>
      </c>
      <c r="E2944" t="s">
        <v>106</v>
      </c>
      <c r="F2944">
        <v>2.8272378258233899</v>
      </c>
    </row>
    <row r="2945" spans="1:6">
      <c r="A2945" t="s">
        <v>51461</v>
      </c>
      <c r="B2945" t="s">
        <v>51463</v>
      </c>
      <c r="C2945">
        <v>0</v>
      </c>
      <c r="D2945">
        <v>3.6120747704689801E-2</v>
      </c>
      <c r="E2945" t="s">
        <v>106</v>
      </c>
      <c r="F2945">
        <v>2.8272378258233899</v>
      </c>
    </row>
    <row r="2946" spans="1:6">
      <c r="A2946" t="s">
        <v>51464</v>
      </c>
      <c r="B2946" t="s">
        <v>51465</v>
      </c>
      <c r="C2946">
        <v>1.2189298647912299</v>
      </c>
      <c r="D2946">
        <v>0.244792669933136</v>
      </c>
      <c r="E2946">
        <v>0.89638019510918898</v>
      </c>
      <c r="F2946">
        <v>2.9969690846635602</v>
      </c>
    </row>
    <row r="2947" spans="1:6">
      <c r="A2947" t="s">
        <v>51464</v>
      </c>
      <c r="B2947" t="s">
        <v>51466</v>
      </c>
      <c r="C2947">
        <v>-1.3473988874417799</v>
      </c>
      <c r="D2947">
        <v>0.244792669933136</v>
      </c>
      <c r="E2947">
        <v>0.89638019510918898</v>
      </c>
      <c r="F2947">
        <v>2.9969690846635602</v>
      </c>
    </row>
    <row r="2948" spans="1:6">
      <c r="A2948" t="s">
        <v>51467</v>
      </c>
      <c r="B2948" t="s">
        <v>51468</v>
      </c>
      <c r="C2948">
        <v>0</v>
      </c>
      <c r="D2948">
        <v>0.320737148389379</v>
      </c>
      <c r="E2948">
        <v>0.89466415035784796</v>
      </c>
      <c r="F2948">
        <v>16.0662760153566</v>
      </c>
    </row>
    <row r="2949" spans="1:6">
      <c r="A2949" t="s">
        <v>51467</v>
      </c>
      <c r="B2949" t="s">
        <v>51469</v>
      </c>
      <c r="C2949">
        <v>5.7264688443705303E-2</v>
      </c>
      <c r="D2949">
        <v>0.320737148389379</v>
      </c>
      <c r="E2949">
        <v>0.89466415035784796</v>
      </c>
      <c r="F2949">
        <v>16.0662760153566</v>
      </c>
    </row>
    <row r="2950" spans="1:6">
      <c r="A2950" t="s">
        <v>51467</v>
      </c>
      <c r="B2950" t="s">
        <v>51470</v>
      </c>
      <c r="C2950">
        <v>0</v>
      </c>
      <c r="D2950">
        <v>0.320737148389379</v>
      </c>
      <c r="E2950">
        <v>0.89466415035784796</v>
      </c>
      <c r="F2950">
        <v>16.0662760153566</v>
      </c>
    </row>
    <row r="2951" spans="1:6">
      <c r="A2951" t="s">
        <v>51467</v>
      </c>
      <c r="B2951" t="s">
        <v>51471</v>
      </c>
      <c r="C2951">
        <v>0.63767461722340602</v>
      </c>
      <c r="D2951">
        <v>0.320737148389379</v>
      </c>
      <c r="E2951">
        <v>0.89466415035784796</v>
      </c>
      <c r="F2951">
        <v>16.0662760153566</v>
      </c>
    </row>
    <row r="2952" spans="1:6">
      <c r="A2952" t="s">
        <v>51467</v>
      </c>
      <c r="B2952" t="s">
        <v>51472</v>
      </c>
      <c r="C2952">
        <v>0</v>
      </c>
      <c r="D2952">
        <v>0.320737148389379</v>
      </c>
      <c r="E2952">
        <v>0.89466415035784796</v>
      </c>
      <c r="F2952">
        <v>16.0662760153566</v>
      </c>
    </row>
    <row r="2953" spans="1:6">
      <c r="A2953" t="s">
        <v>51473</v>
      </c>
      <c r="B2953" t="s">
        <v>51474</v>
      </c>
      <c r="C2953">
        <v>0.56381663626976897</v>
      </c>
      <c r="D2953">
        <v>0.42886476712527999</v>
      </c>
      <c r="E2953">
        <v>0.75406895123074402</v>
      </c>
      <c r="F2953">
        <v>4.5245504142250903</v>
      </c>
    </row>
    <row r="2954" spans="1:6">
      <c r="A2954" t="s">
        <v>51473</v>
      </c>
      <c r="B2954" t="s">
        <v>51475</v>
      </c>
      <c r="C2954">
        <v>8.6403391224252404E-2</v>
      </c>
      <c r="D2954">
        <v>0.42886476712527999</v>
      </c>
      <c r="E2954">
        <v>0.75406895123074402</v>
      </c>
      <c r="F2954">
        <v>4.5245504142250903</v>
      </c>
    </row>
    <row r="2955" spans="1:6">
      <c r="A2955" t="s">
        <v>51473</v>
      </c>
      <c r="B2955" t="s">
        <v>51476</v>
      </c>
      <c r="C2955">
        <v>0</v>
      </c>
      <c r="D2955">
        <v>0.42886476712527999</v>
      </c>
      <c r="E2955">
        <v>0.75406895123074402</v>
      </c>
      <c r="F2955">
        <v>4.5245504142250903</v>
      </c>
    </row>
    <row r="2956" spans="1:6">
      <c r="A2956" t="s">
        <v>51477</v>
      </c>
      <c r="B2956" t="s">
        <v>51478</v>
      </c>
      <c r="C2956">
        <v>0</v>
      </c>
      <c r="D2956">
        <v>0.24387978419017101</v>
      </c>
      <c r="E2956">
        <v>0.79208809325035701</v>
      </c>
      <c r="F2956">
        <v>3.9183673469387701</v>
      </c>
    </row>
    <row r="2957" spans="1:6">
      <c r="A2957" t="s">
        <v>51477</v>
      </c>
      <c r="B2957" t="s">
        <v>51479</v>
      </c>
      <c r="C2957">
        <v>0</v>
      </c>
      <c r="D2957">
        <v>0.24387978419017101</v>
      </c>
      <c r="E2957">
        <v>0.79208809325035701</v>
      </c>
      <c r="F2957">
        <v>3.9183673469387701</v>
      </c>
    </row>
    <row r="2958" spans="1:6">
      <c r="A2958" t="s">
        <v>51477</v>
      </c>
      <c r="B2958" t="s">
        <v>51480</v>
      </c>
      <c r="C2958">
        <v>0</v>
      </c>
      <c r="D2958">
        <v>0.24387978419017101</v>
      </c>
      <c r="E2958">
        <v>0.79208809325035701</v>
      </c>
      <c r="F2958">
        <v>3.9183673469387701</v>
      </c>
    </row>
    <row r="2959" spans="1:6">
      <c r="A2959" t="s">
        <v>51477</v>
      </c>
      <c r="B2959" t="s">
        <v>51481</v>
      </c>
      <c r="C2959">
        <v>0</v>
      </c>
      <c r="D2959">
        <v>0.24387978419017101</v>
      </c>
      <c r="E2959">
        <v>0.79208809325035701</v>
      </c>
      <c r="F2959">
        <v>3.9183673469387701</v>
      </c>
    </row>
    <row r="2960" spans="1:6">
      <c r="A2960" t="s">
        <v>51477</v>
      </c>
      <c r="B2960" t="s">
        <v>51482</v>
      </c>
      <c r="C2960">
        <v>0.46888809325035702</v>
      </c>
      <c r="D2960">
        <v>0.24387978419017101</v>
      </c>
      <c r="E2960">
        <v>0.79208809325035701</v>
      </c>
      <c r="F2960">
        <v>3.9183673469387701</v>
      </c>
    </row>
    <row r="2961" spans="1:6">
      <c r="A2961" t="s">
        <v>51477</v>
      </c>
      <c r="B2961" t="s">
        <v>51483</v>
      </c>
      <c r="C2961">
        <v>0</v>
      </c>
      <c r="D2961">
        <v>0.24387978419017101</v>
      </c>
      <c r="E2961">
        <v>0.79208809325035701</v>
      </c>
      <c r="F2961">
        <v>3.9183673469387701</v>
      </c>
    </row>
    <row r="2962" spans="1:6">
      <c r="A2962" t="s">
        <v>51484</v>
      </c>
      <c r="B2962" t="s">
        <v>51485</v>
      </c>
      <c r="C2962">
        <v>0</v>
      </c>
      <c r="D2962">
        <v>0.67353573674914002</v>
      </c>
      <c r="E2962">
        <v>0.98544386414630802</v>
      </c>
      <c r="F2962">
        <v>10.5039401899373</v>
      </c>
    </row>
    <row r="2963" spans="1:6">
      <c r="A2963" t="s">
        <v>51484</v>
      </c>
      <c r="B2963" t="s">
        <v>51486</v>
      </c>
      <c r="C2963">
        <v>0.89067829730377601</v>
      </c>
      <c r="D2963">
        <v>0.67353573674914002</v>
      </c>
      <c r="E2963">
        <v>0.98544386414630802</v>
      </c>
      <c r="F2963">
        <v>10.5039401899373</v>
      </c>
    </row>
    <row r="2964" spans="1:6">
      <c r="A2964" t="s">
        <v>51484</v>
      </c>
      <c r="B2964" t="s">
        <v>51487</v>
      </c>
      <c r="C2964">
        <v>0.24535933711384</v>
      </c>
      <c r="D2964">
        <v>0.67353573674914002</v>
      </c>
      <c r="E2964">
        <v>0.98544386414630802</v>
      </c>
      <c r="F2964">
        <v>10.5039401899373</v>
      </c>
    </row>
    <row r="2965" spans="1:6">
      <c r="A2965" t="s">
        <v>51488</v>
      </c>
      <c r="B2965" t="s">
        <v>51489</v>
      </c>
      <c r="C2965">
        <v>0</v>
      </c>
      <c r="D2965">
        <v>4.1636910422267102E-2</v>
      </c>
      <c r="E2965">
        <v>0.95531361867504505</v>
      </c>
      <c r="F2965">
        <v>4.63123863406748</v>
      </c>
    </row>
    <row r="2966" spans="1:6">
      <c r="A2966" t="s">
        <v>51488</v>
      </c>
      <c r="B2966" t="s">
        <v>51490</v>
      </c>
      <c r="C2966">
        <v>0</v>
      </c>
      <c r="D2966">
        <v>4.1636910422267102E-2</v>
      </c>
      <c r="E2966">
        <v>0.95531361867504505</v>
      </c>
      <c r="F2966">
        <v>4.63123863406748</v>
      </c>
    </row>
    <row r="2967" spans="1:6">
      <c r="A2967" t="s">
        <v>51488</v>
      </c>
      <c r="B2967" t="s">
        <v>51491</v>
      </c>
      <c r="C2967">
        <v>0</v>
      </c>
      <c r="D2967">
        <v>4.1636910422267102E-2</v>
      </c>
      <c r="E2967">
        <v>0.95531361867504505</v>
      </c>
      <c r="F2967">
        <v>4.63123863406748</v>
      </c>
    </row>
    <row r="2968" spans="1:6">
      <c r="A2968" t="s">
        <v>51488</v>
      </c>
      <c r="B2968" t="s">
        <v>51492</v>
      </c>
      <c r="C2968">
        <v>0</v>
      </c>
      <c r="D2968">
        <v>4.1636910422267102E-2</v>
      </c>
      <c r="E2968">
        <v>0.95531361867504505</v>
      </c>
      <c r="F2968">
        <v>4.63123863406748</v>
      </c>
    </row>
    <row r="2969" spans="1:6">
      <c r="A2969" t="s">
        <v>51488</v>
      </c>
      <c r="B2969" t="s">
        <v>51493</v>
      </c>
      <c r="C2969">
        <v>0</v>
      </c>
      <c r="D2969">
        <v>4.1636910422267102E-2</v>
      </c>
      <c r="E2969">
        <v>0.95531361867504505</v>
      </c>
      <c r="F2969">
        <v>4.63123863406748</v>
      </c>
    </row>
    <row r="2970" spans="1:6">
      <c r="A2970" t="s">
        <v>51488</v>
      </c>
      <c r="B2970" t="s">
        <v>51494</v>
      </c>
      <c r="C2970">
        <v>0</v>
      </c>
      <c r="D2970">
        <v>4.1636910422267102E-2</v>
      </c>
      <c r="E2970">
        <v>0.95531361867504505</v>
      </c>
      <c r="F2970">
        <v>4.63123863406748</v>
      </c>
    </row>
    <row r="2971" spans="1:6">
      <c r="A2971" t="s">
        <v>51488</v>
      </c>
      <c r="B2971" t="s">
        <v>51495</v>
      </c>
      <c r="C2971">
        <v>0</v>
      </c>
      <c r="D2971">
        <v>4.1636910422267102E-2</v>
      </c>
      <c r="E2971">
        <v>0.95531361867504505</v>
      </c>
      <c r="F2971">
        <v>4.63123863406748</v>
      </c>
    </row>
    <row r="2972" spans="1:6">
      <c r="A2972" t="s">
        <v>51488</v>
      </c>
      <c r="B2972" t="s">
        <v>51496</v>
      </c>
      <c r="C2972">
        <v>0</v>
      </c>
      <c r="D2972">
        <v>4.1636910422267102E-2</v>
      </c>
      <c r="E2972">
        <v>0.95531361867504505</v>
      </c>
      <c r="F2972">
        <v>4.63123863406748</v>
      </c>
    </row>
    <row r="2973" spans="1:6">
      <c r="A2973" t="s">
        <v>51488</v>
      </c>
      <c r="B2973" t="s">
        <v>51497</v>
      </c>
      <c r="C2973">
        <v>0</v>
      </c>
      <c r="D2973">
        <v>4.1636910422267102E-2</v>
      </c>
      <c r="E2973">
        <v>0.95531361867504505</v>
      </c>
      <c r="F2973">
        <v>4.63123863406748</v>
      </c>
    </row>
    <row r="2974" spans="1:6">
      <c r="A2974" t="s">
        <v>51488</v>
      </c>
      <c r="B2974" t="s">
        <v>51498</v>
      </c>
      <c r="C2974">
        <v>0</v>
      </c>
      <c r="D2974">
        <v>4.1636910422267102E-2</v>
      </c>
      <c r="E2974">
        <v>0.95531361867504505</v>
      </c>
      <c r="F2974">
        <v>4.63123863406748</v>
      </c>
    </row>
    <row r="2975" spans="1:6">
      <c r="A2975" t="s">
        <v>51488</v>
      </c>
      <c r="B2975" t="s">
        <v>51499</v>
      </c>
      <c r="C2975">
        <v>0</v>
      </c>
      <c r="D2975">
        <v>4.1636910422267102E-2</v>
      </c>
      <c r="E2975">
        <v>0.95531361867504505</v>
      </c>
      <c r="F2975">
        <v>4.63123863406748</v>
      </c>
    </row>
    <row r="2976" spans="1:6">
      <c r="A2976" t="s">
        <v>51488</v>
      </c>
      <c r="B2976" t="s">
        <v>51500</v>
      </c>
      <c r="C2976">
        <v>0</v>
      </c>
      <c r="D2976">
        <v>4.1636910422267102E-2</v>
      </c>
      <c r="E2976">
        <v>0.95531361867504505</v>
      </c>
      <c r="F2976">
        <v>4.63123863406748</v>
      </c>
    </row>
    <row r="2977" spans="1:6">
      <c r="A2977" t="s">
        <v>51488</v>
      </c>
      <c r="B2977" t="s">
        <v>51501</v>
      </c>
      <c r="C2977">
        <v>0</v>
      </c>
      <c r="D2977">
        <v>4.1636910422267102E-2</v>
      </c>
      <c r="E2977">
        <v>0.95531361867504505</v>
      </c>
      <c r="F2977">
        <v>4.63123863406748</v>
      </c>
    </row>
    <row r="2978" spans="1:6">
      <c r="A2978" t="s">
        <v>51488</v>
      </c>
      <c r="B2978" t="s">
        <v>51502</v>
      </c>
      <c r="C2978">
        <v>0</v>
      </c>
      <c r="D2978">
        <v>4.1636910422267102E-2</v>
      </c>
      <c r="E2978">
        <v>0.95531361867504505</v>
      </c>
      <c r="F2978">
        <v>4.63123863406748</v>
      </c>
    </row>
    <row r="2979" spans="1:6">
      <c r="A2979" t="s">
        <v>51488</v>
      </c>
      <c r="B2979" t="s">
        <v>51503</v>
      </c>
      <c r="C2979">
        <v>0</v>
      </c>
      <c r="D2979">
        <v>4.1636910422267102E-2</v>
      </c>
      <c r="E2979">
        <v>0.95531361867504505</v>
      </c>
      <c r="F2979">
        <v>4.63123863406748</v>
      </c>
    </row>
    <row r="2980" spans="1:6">
      <c r="A2980" t="s">
        <v>51488</v>
      </c>
      <c r="B2980" t="s">
        <v>51504</v>
      </c>
      <c r="C2980">
        <v>0</v>
      </c>
      <c r="D2980">
        <v>4.1636910422267102E-2</v>
      </c>
      <c r="E2980">
        <v>0.95531361867504505</v>
      </c>
      <c r="F2980">
        <v>4.63123863406748</v>
      </c>
    </row>
    <row r="2981" spans="1:6">
      <c r="A2981" t="s">
        <v>51488</v>
      </c>
      <c r="B2981" t="s">
        <v>51505</v>
      </c>
      <c r="C2981">
        <v>0</v>
      </c>
      <c r="D2981">
        <v>4.1636910422267102E-2</v>
      </c>
      <c r="E2981">
        <v>0.95531361867504505</v>
      </c>
      <c r="F2981">
        <v>4.63123863406748</v>
      </c>
    </row>
    <row r="2982" spans="1:6">
      <c r="A2982" t="s">
        <v>51488</v>
      </c>
      <c r="B2982" t="s">
        <v>51506</v>
      </c>
      <c r="C2982">
        <v>0</v>
      </c>
      <c r="D2982">
        <v>4.1636910422267102E-2</v>
      </c>
      <c r="E2982">
        <v>0.95531361867504505</v>
      </c>
      <c r="F2982">
        <v>4.63123863406748</v>
      </c>
    </row>
    <row r="2983" spans="1:6">
      <c r="A2983" t="s">
        <v>51488</v>
      </c>
      <c r="B2983" t="s">
        <v>51507</v>
      </c>
      <c r="C2983">
        <v>0.61611361867504499</v>
      </c>
      <c r="D2983">
        <v>4.1636910422267102E-2</v>
      </c>
      <c r="E2983">
        <v>0.95531361867504505</v>
      </c>
      <c r="F2983">
        <v>4.63123863406748</v>
      </c>
    </row>
    <row r="2984" spans="1:6">
      <c r="A2984" t="s">
        <v>51488</v>
      </c>
      <c r="B2984" t="s">
        <v>51508</v>
      </c>
      <c r="C2984">
        <v>0</v>
      </c>
      <c r="D2984">
        <v>4.1636910422267102E-2</v>
      </c>
      <c r="E2984">
        <v>0.95531361867504505</v>
      </c>
      <c r="F2984">
        <v>4.63123863406748</v>
      </c>
    </row>
    <row r="2985" spans="1:6">
      <c r="A2985" t="s">
        <v>51488</v>
      </c>
      <c r="B2985" t="s">
        <v>51509</v>
      </c>
      <c r="C2985">
        <v>0</v>
      </c>
      <c r="D2985">
        <v>4.1636910422267102E-2</v>
      </c>
      <c r="E2985">
        <v>0.95531361867504505</v>
      </c>
      <c r="F2985">
        <v>4.63123863406748</v>
      </c>
    </row>
    <row r="2986" spans="1:6">
      <c r="A2986" t="s">
        <v>51488</v>
      </c>
      <c r="B2986" t="s">
        <v>51510</v>
      </c>
      <c r="C2986">
        <v>0</v>
      </c>
      <c r="D2986">
        <v>4.1636910422267102E-2</v>
      </c>
      <c r="E2986">
        <v>0.95531361867504505</v>
      </c>
      <c r="F2986">
        <v>4.63123863406748</v>
      </c>
    </row>
    <row r="2987" spans="1:6">
      <c r="A2987" t="s">
        <v>51488</v>
      </c>
      <c r="B2987" t="s">
        <v>51511</v>
      </c>
      <c r="C2987">
        <v>0</v>
      </c>
      <c r="D2987">
        <v>4.1636910422267102E-2</v>
      </c>
      <c r="E2987">
        <v>0.95531361867504505</v>
      </c>
      <c r="F2987">
        <v>4.63123863406748</v>
      </c>
    </row>
    <row r="2988" spans="1:6">
      <c r="A2988" t="s">
        <v>51512</v>
      </c>
      <c r="B2988" t="s">
        <v>51513</v>
      </c>
      <c r="C2988">
        <v>0.45990266179387002</v>
      </c>
      <c r="D2988">
        <v>0.154995371558656</v>
      </c>
      <c r="E2988">
        <v>0.93949509327206004</v>
      </c>
      <c r="F2988">
        <v>14.519296827641901</v>
      </c>
    </row>
    <row r="2989" spans="1:6">
      <c r="A2989" t="s">
        <v>51512</v>
      </c>
      <c r="B2989" t="s">
        <v>51514</v>
      </c>
      <c r="C2989">
        <v>0</v>
      </c>
      <c r="D2989">
        <v>0.154995371558656</v>
      </c>
      <c r="E2989">
        <v>0.93949509327206004</v>
      </c>
      <c r="F2989">
        <v>14.519296827641901</v>
      </c>
    </row>
    <row r="2990" spans="1:6">
      <c r="A2990" t="s">
        <v>51512</v>
      </c>
      <c r="B2990" t="s">
        <v>51515</v>
      </c>
      <c r="C2990">
        <v>0.389719826526366</v>
      </c>
      <c r="D2990">
        <v>0.154995371558656</v>
      </c>
      <c r="E2990">
        <v>0.93949509327206004</v>
      </c>
      <c r="F2990">
        <v>14.519296827641901</v>
      </c>
    </row>
    <row r="2991" spans="1:6">
      <c r="A2991" t="s">
        <v>51516</v>
      </c>
      <c r="B2991" t="s">
        <v>51517</v>
      </c>
      <c r="C2991">
        <v>0.43468985395968801</v>
      </c>
      <c r="D2991">
        <v>0.385202831610089</v>
      </c>
      <c r="E2991">
        <v>0.87466140200176101</v>
      </c>
      <c r="F2991">
        <v>8.2343907860173697</v>
      </c>
    </row>
    <row r="2992" spans="1:6">
      <c r="A2992" t="s">
        <v>51516</v>
      </c>
      <c r="B2992" t="s">
        <v>51518</v>
      </c>
      <c r="C2992">
        <v>0.50120596002056295</v>
      </c>
      <c r="D2992">
        <v>0.385202831610089</v>
      </c>
      <c r="E2992">
        <v>0.87466140200176101</v>
      </c>
      <c r="F2992">
        <v>8.2343907860173697</v>
      </c>
    </row>
    <row r="2993" spans="1:6">
      <c r="A2993" t="s">
        <v>51519</v>
      </c>
      <c r="B2993" t="s">
        <v>51520</v>
      </c>
      <c r="C2993">
        <v>0.24759365989207699</v>
      </c>
      <c r="D2993">
        <v>0.19493101267321</v>
      </c>
      <c r="E2993">
        <v>0.90863318181367103</v>
      </c>
      <c r="F2993">
        <v>3.0842594463527901</v>
      </c>
    </row>
    <row r="2994" spans="1:6">
      <c r="A2994" t="s">
        <v>51519</v>
      </c>
      <c r="B2994" t="s">
        <v>51521</v>
      </c>
      <c r="C2994">
        <v>0.70741182969665894</v>
      </c>
      <c r="D2994">
        <v>0.19493101267321</v>
      </c>
      <c r="E2994">
        <v>0.90863318181367103</v>
      </c>
      <c r="F2994">
        <v>3.0842594463527901</v>
      </c>
    </row>
    <row r="2995" spans="1:6">
      <c r="A2995" t="s">
        <v>51522</v>
      </c>
      <c r="B2995" t="s">
        <v>51523</v>
      </c>
      <c r="C2995">
        <v>0.77944012612160496</v>
      </c>
      <c r="D2995">
        <v>0.885453697781589</v>
      </c>
      <c r="E2995">
        <v>0.90904012612160501</v>
      </c>
      <c r="F2995">
        <v>1.29480703172358</v>
      </c>
    </row>
    <row r="2996" spans="1:6">
      <c r="A2996" t="s">
        <v>51522</v>
      </c>
      <c r="B2996" t="s">
        <v>51524</v>
      </c>
      <c r="C2996">
        <v>0</v>
      </c>
      <c r="D2996">
        <v>0.885453697781589</v>
      </c>
      <c r="E2996">
        <v>0.90904012612160501</v>
      </c>
      <c r="F2996">
        <v>1.29480703172358</v>
      </c>
    </row>
    <row r="2997" spans="1:6">
      <c r="A2997" t="s">
        <v>51525</v>
      </c>
      <c r="B2997" t="s">
        <v>51526</v>
      </c>
      <c r="C2997">
        <v>0</v>
      </c>
      <c r="D2997">
        <v>0.42681095928821999</v>
      </c>
      <c r="E2997">
        <v>0.88655088133589399</v>
      </c>
      <c r="F2997">
        <v>3.62739947464134</v>
      </c>
    </row>
    <row r="2998" spans="1:6">
      <c r="A2998" t="s">
        <v>51525</v>
      </c>
      <c r="B2998" t="s">
        <v>51527</v>
      </c>
      <c r="C2998">
        <v>0.72421693165255596</v>
      </c>
      <c r="D2998">
        <v>0.42681095928821999</v>
      </c>
      <c r="E2998">
        <v>0.88655088133589399</v>
      </c>
      <c r="F2998">
        <v>3.62739947464134</v>
      </c>
    </row>
    <row r="2999" spans="1:6">
      <c r="A2999" t="s">
        <v>51525</v>
      </c>
      <c r="B2999" t="s">
        <v>51528</v>
      </c>
      <c r="C2999">
        <v>0</v>
      </c>
      <c r="D2999">
        <v>0.42681095928821999</v>
      </c>
      <c r="E2999">
        <v>0.88655088133589399</v>
      </c>
      <c r="F2999">
        <v>3.62739947464134</v>
      </c>
    </row>
    <row r="3000" spans="1:6">
      <c r="A3000" t="s">
        <v>51525</v>
      </c>
      <c r="B3000" t="s">
        <v>51529</v>
      </c>
      <c r="C3000">
        <v>5.3914431720289001E-2</v>
      </c>
      <c r="D3000">
        <v>0.42681095928821999</v>
      </c>
      <c r="E3000">
        <v>0.88655088133589399</v>
      </c>
      <c r="F3000">
        <v>3.62739947464134</v>
      </c>
    </row>
    <row r="3001" spans="1:6">
      <c r="A3001" t="s">
        <v>51530</v>
      </c>
      <c r="B3001" t="s">
        <v>51531</v>
      </c>
      <c r="C3001">
        <v>0</v>
      </c>
      <c r="D3001">
        <v>0.190296777433033</v>
      </c>
      <c r="E3001" t="s">
        <v>106</v>
      </c>
      <c r="F3001">
        <v>3.1715498080420201</v>
      </c>
    </row>
    <row r="3002" spans="1:6">
      <c r="A3002" t="s">
        <v>51530</v>
      </c>
      <c r="B3002" t="s">
        <v>51532</v>
      </c>
      <c r="C3002">
        <v>0</v>
      </c>
      <c r="D3002">
        <v>0.190296777433033</v>
      </c>
      <c r="E3002" t="s">
        <v>106</v>
      </c>
      <c r="F3002">
        <v>3.1715498080420201</v>
      </c>
    </row>
    <row r="3003" spans="1:6">
      <c r="A3003" t="s">
        <v>51530</v>
      </c>
      <c r="B3003" t="s">
        <v>51533</v>
      </c>
      <c r="C3003">
        <v>0</v>
      </c>
      <c r="D3003">
        <v>0.190296777433033</v>
      </c>
      <c r="E3003" t="s">
        <v>106</v>
      </c>
      <c r="F3003">
        <v>3.1715498080420201</v>
      </c>
    </row>
    <row r="3004" spans="1:6">
      <c r="A3004" t="s">
        <v>51530</v>
      </c>
      <c r="B3004" t="s">
        <v>51534</v>
      </c>
      <c r="C3004">
        <v>0</v>
      </c>
      <c r="D3004">
        <v>0.190296777433033</v>
      </c>
      <c r="E3004" t="s">
        <v>106</v>
      </c>
      <c r="F3004">
        <v>3.1715498080420201</v>
      </c>
    </row>
    <row r="3005" spans="1:6">
      <c r="A3005" t="s">
        <v>51530</v>
      </c>
      <c r="B3005" t="s">
        <v>51535</v>
      </c>
      <c r="C3005">
        <v>0</v>
      </c>
      <c r="D3005">
        <v>0.190296777433033</v>
      </c>
      <c r="E3005" t="s">
        <v>106</v>
      </c>
      <c r="F3005">
        <v>3.1715498080420201</v>
      </c>
    </row>
    <row r="3006" spans="1:6">
      <c r="A3006" t="s">
        <v>51530</v>
      </c>
      <c r="B3006" t="s">
        <v>51536</v>
      </c>
      <c r="C3006">
        <v>0</v>
      </c>
      <c r="D3006">
        <v>0.190296777433033</v>
      </c>
      <c r="E3006" t="s">
        <v>106</v>
      </c>
      <c r="F3006">
        <v>3.1715498080420201</v>
      </c>
    </row>
    <row r="3007" spans="1:6">
      <c r="A3007" t="s">
        <v>51530</v>
      </c>
      <c r="B3007" t="s">
        <v>51537</v>
      </c>
      <c r="C3007">
        <v>0</v>
      </c>
      <c r="D3007">
        <v>0.190296777433033</v>
      </c>
      <c r="E3007" t="s">
        <v>106</v>
      </c>
      <c r="F3007">
        <v>3.1715498080420201</v>
      </c>
    </row>
    <row r="3008" spans="1:6">
      <c r="A3008" t="s">
        <v>51538</v>
      </c>
      <c r="B3008" t="s">
        <v>51539</v>
      </c>
      <c r="C3008">
        <v>0</v>
      </c>
      <c r="D3008">
        <v>1.88104045406439E-2</v>
      </c>
      <c r="E3008">
        <v>0.92850563332172098</v>
      </c>
      <c r="F3008">
        <v>3.3509799959587698</v>
      </c>
    </row>
    <row r="3009" spans="1:6">
      <c r="A3009" t="s">
        <v>51538</v>
      </c>
      <c r="B3009" t="s">
        <v>51540</v>
      </c>
      <c r="C3009">
        <v>0</v>
      </c>
      <c r="D3009">
        <v>1.88104045406439E-2</v>
      </c>
      <c r="E3009">
        <v>0.92850563332172098</v>
      </c>
      <c r="F3009">
        <v>3.3509799959587698</v>
      </c>
    </row>
    <row r="3010" spans="1:6">
      <c r="A3010" t="s">
        <v>51538</v>
      </c>
      <c r="B3010" t="s">
        <v>51541</v>
      </c>
      <c r="C3010">
        <v>0.46450563332172101</v>
      </c>
      <c r="D3010">
        <v>1.88104045406439E-2</v>
      </c>
      <c r="E3010">
        <v>0.92850563332172098</v>
      </c>
      <c r="F3010">
        <v>3.3509799959587698</v>
      </c>
    </row>
    <row r="3011" spans="1:6">
      <c r="A3011" t="s">
        <v>51538</v>
      </c>
      <c r="B3011" t="s">
        <v>51542</v>
      </c>
      <c r="C3011">
        <v>0</v>
      </c>
      <c r="D3011">
        <v>1.88104045406439E-2</v>
      </c>
      <c r="E3011">
        <v>0.92850563332172098</v>
      </c>
      <c r="F3011">
        <v>3.3509799959587698</v>
      </c>
    </row>
    <row r="3012" spans="1:6">
      <c r="A3012" t="s">
        <v>51538</v>
      </c>
      <c r="B3012" t="s">
        <v>51543</v>
      </c>
      <c r="C3012">
        <v>0</v>
      </c>
      <c r="D3012">
        <v>1.88104045406439E-2</v>
      </c>
      <c r="E3012">
        <v>0.92850563332172098</v>
      </c>
      <c r="F3012">
        <v>3.3509799959587698</v>
      </c>
    </row>
    <row r="3013" spans="1:6">
      <c r="A3013" t="s">
        <v>51538</v>
      </c>
      <c r="B3013" t="s">
        <v>51544</v>
      </c>
      <c r="C3013">
        <v>0</v>
      </c>
      <c r="D3013">
        <v>1.88104045406439E-2</v>
      </c>
      <c r="E3013">
        <v>0.92850563332172098</v>
      </c>
      <c r="F3013">
        <v>3.3509799959587698</v>
      </c>
    </row>
    <row r="3014" spans="1:6">
      <c r="A3014" t="s">
        <v>51538</v>
      </c>
      <c r="B3014" t="s">
        <v>51545</v>
      </c>
      <c r="C3014">
        <v>0</v>
      </c>
      <c r="D3014">
        <v>1.88104045406439E-2</v>
      </c>
      <c r="E3014">
        <v>0.92850563332172098</v>
      </c>
      <c r="F3014">
        <v>3.3509799959587698</v>
      </c>
    </row>
    <row r="3015" spans="1:6">
      <c r="A3015" t="s">
        <v>51546</v>
      </c>
      <c r="B3015" t="s">
        <v>51547</v>
      </c>
      <c r="C3015">
        <v>0</v>
      </c>
      <c r="D3015">
        <v>0.47231333003069997</v>
      </c>
      <c r="E3015">
        <v>0.87324319371319503</v>
      </c>
      <c r="F3015">
        <v>14.330167710648601</v>
      </c>
    </row>
    <row r="3016" spans="1:6">
      <c r="A3016" t="s">
        <v>51546</v>
      </c>
      <c r="B3016" t="s">
        <v>51548</v>
      </c>
      <c r="C3016">
        <v>0.63056641311144401</v>
      </c>
      <c r="D3016">
        <v>0.47231333003069997</v>
      </c>
      <c r="E3016">
        <v>0.87324319371319503</v>
      </c>
      <c r="F3016">
        <v>14.330167710648601</v>
      </c>
    </row>
    <row r="3017" spans="1:6">
      <c r="A3017" t="s">
        <v>51546</v>
      </c>
      <c r="B3017" t="s">
        <v>51549</v>
      </c>
      <c r="C3017">
        <v>0</v>
      </c>
      <c r="D3017">
        <v>0.47231333003069997</v>
      </c>
      <c r="E3017">
        <v>0.87324319371319503</v>
      </c>
      <c r="F3017">
        <v>14.330167710648601</v>
      </c>
    </row>
    <row r="3018" spans="1:6">
      <c r="A3018" t="s">
        <v>51546</v>
      </c>
      <c r="B3018" t="s">
        <v>51550</v>
      </c>
      <c r="C3018">
        <v>1.03459561193451E-2</v>
      </c>
      <c r="D3018">
        <v>0.47231333003069997</v>
      </c>
      <c r="E3018">
        <v>0.87324319371319503</v>
      </c>
      <c r="F3018">
        <v>14.330167710648601</v>
      </c>
    </row>
    <row r="3019" spans="1:6">
      <c r="A3019" t="s">
        <v>51546</v>
      </c>
      <c r="B3019" t="s">
        <v>51551</v>
      </c>
      <c r="C3019">
        <v>0</v>
      </c>
      <c r="D3019">
        <v>0.47231333003069997</v>
      </c>
      <c r="E3019">
        <v>0.87324319371319503</v>
      </c>
      <c r="F3019">
        <v>14.330167710648601</v>
      </c>
    </row>
    <row r="3020" spans="1:6">
      <c r="A3020" t="s">
        <v>51552</v>
      </c>
      <c r="B3020" t="s">
        <v>51553</v>
      </c>
      <c r="C3020">
        <v>0.864638453845195</v>
      </c>
      <c r="D3020">
        <v>0.74046552099686103</v>
      </c>
      <c r="E3020">
        <v>0.92840707515172605</v>
      </c>
      <c r="F3020">
        <v>14.519296827641901</v>
      </c>
    </row>
    <row r="3021" spans="1:6">
      <c r="A3021" t="s">
        <v>51552</v>
      </c>
      <c r="B3021" t="s">
        <v>51554</v>
      </c>
      <c r="C3021">
        <v>0.28697821024150599</v>
      </c>
      <c r="D3021">
        <v>0.74046552099686103</v>
      </c>
      <c r="E3021">
        <v>0.92840707515172605</v>
      </c>
      <c r="F3021">
        <v>14.519296827641901</v>
      </c>
    </row>
    <row r="3022" spans="1:6">
      <c r="A3022" t="s">
        <v>51552</v>
      </c>
      <c r="B3022" t="s">
        <v>51555</v>
      </c>
      <c r="C3022">
        <v>3.2529684395695199E-3</v>
      </c>
      <c r="D3022">
        <v>0.74046552099686103</v>
      </c>
      <c r="E3022">
        <v>0.92840707515172605</v>
      </c>
      <c r="F3022">
        <v>14.519296827641901</v>
      </c>
    </row>
    <row r="3023" spans="1:6">
      <c r="A3023" t="s">
        <v>51556</v>
      </c>
      <c r="B3023" t="s">
        <v>51557</v>
      </c>
      <c r="C3023">
        <v>0</v>
      </c>
      <c r="D3023">
        <v>0.86531910564415204</v>
      </c>
      <c r="E3023">
        <v>0.87981531658477097</v>
      </c>
      <c r="F3023">
        <v>8.66599312992523</v>
      </c>
    </row>
    <row r="3024" spans="1:6">
      <c r="A3024" t="s">
        <v>51556</v>
      </c>
      <c r="B3024" t="s">
        <v>51558</v>
      </c>
      <c r="C3024">
        <v>0</v>
      </c>
      <c r="D3024">
        <v>0.86531910564415204</v>
      </c>
      <c r="E3024">
        <v>0.87981531658477097</v>
      </c>
      <c r="F3024">
        <v>8.66599312992523</v>
      </c>
    </row>
    <row r="3025" spans="1:6">
      <c r="A3025" t="s">
        <v>51556</v>
      </c>
      <c r="B3025" t="s">
        <v>51559</v>
      </c>
      <c r="C3025">
        <v>0</v>
      </c>
      <c r="D3025">
        <v>0.86531910564415204</v>
      </c>
      <c r="E3025">
        <v>0.87981531658477097</v>
      </c>
      <c r="F3025">
        <v>8.66599312992523</v>
      </c>
    </row>
    <row r="3026" spans="1:6">
      <c r="A3026" t="s">
        <v>51556</v>
      </c>
      <c r="B3026" t="s">
        <v>51560</v>
      </c>
      <c r="C3026">
        <v>0</v>
      </c>
      <c r="D3026">
        <v>0.86531910564415204</v>
      </c>
      <c r="E3026">
        <v>0.87981531658477097</v>
      </c>
      <c r="F3026">
        <v>8.66599312992523</v>
      </c>
    </row>
    <row r="3027" spans="1:6">
      <c r="A3027" t="s">
        <v>51556</v>
      </c>
      <c r="B3027" t="s">
        <v>51561</v>
      </c>
      <c r="C3027">
        <v>0</v>
      </c>
      <c r="D3027">
        <v>0.86531910564415204</v>
      </c>
      <c r="E3027">
        <v>0.87981531658477097</v>
      </c>
      <c r="F3027">
        <v>8.66599312992523</v>
      </c>
    </row>
    <row r="3028" spans="1:6">
      <c r="A3028" t="s">
        <v>51556</v>
      </c>
      <c r="B3028" t="s">
        <v>51562</v>
      </c>
      <c r="C3028">
        <v>0</v>
      </c>
      <c r="D3028">
        <v>0.86531910564415204</v>
      </c>
      <c r="E3028">
        <v>0.87981531658477097</v>
      </c>
      <c r="F3028">
        <v>8.66599312992523</v>
      </c>
    </row>
    <row r="3029" spans="1:6">
      <c r="A3029" t="s">
        <v>51556</v>
      </c>
      <c r="B3029" t="s">
        <v>51563</v>
      </c>
      <c r="C3029">
        <v>0</v>
      </c>
      <c r="D3029">
        <v>0.86531910564415204</v>
      </c>
      <c r="E3029">
        <v>0.87981531658477097</v>
      </c>
      <c r="F3029">
        <v>8.66599312992523</v>
      </c>
    </row>
    <row r="3030" spans="1:6">
      <c r="A3030" t="s">
        <v>51556</v>
      </c>
      <c r="B3030" t="s">
        <v>51564</v>
      </c>
      <c r="C3030">
        <v>0</v>
      </c>
      <c r="D3030">
        <v>0.86531910564415204</v>
      </c>
      <c r="E3030">
        <v>0.87981531658477097</v>
      </c>
      <c r="F3030">
        <v>8.66599312992523</v>
      </c>
    </row>
    <row r="3031" spans="1:6">
      <c r="A3031" t="s">
        <v>51556</v>
      </c>
      <c r="B3031" t="s">
        <v>51565</v>
      </c>
      <c r="C3031">
        <v>0</v>
      </c>
      <c r="D3031">
        <v>0.86531910564415204</v>
      </c>
      <c r="E3031">
        <v>0.87981531658477097</v>
      </c>
      <c r="F3031">
        <v>8.66599312992523</v>
      </c>
    </row>
    <row r="3032" spans="1:6">
      <c r="A3032" t="s">
        <v>51556</v>
      </c>
      <c r="B3032" t="s">
        <v>51566</v>
      </c>
      <c r="C3032">
        <v>0</v>
      </c>
      <c r="D3032">
        <v>0.86531910564415204</v>
      </c>
      <c r="E3032">
        <v>0.87981531658477097</v>
      </c>
      <c r="F3032">
        <v>8.66599312992523</v>
      </c>
    </row>
    <row r="3033" spans="1:6">
      <c r="A3033" t="s">
        <v>51556</v>
      </c>
      <c r="B3033" t="s">
        <v>51567</v>
      </c>
      <c r="C3033">
        <v>0</v>
      </c>
      <c r="D3033">
        <v>0.86531910564415204</v>
      </c>
      <c r="E3033">
        <v>0.87981531658477097</v>
      </c>
      <c r="F3033">
        <v>8.66599312992523</v>
      </c>
    </row>
    <row r="3034" spans="1:6">
      <c r="A3034" t="s">
        <v>51556</v>
      </c>
      <c r="B3034" t="s">
        <v>51568</v>
      </c>
      <c r="C3034">
        <v>0</v>
      </c>
      <c r="D3034">
        <v>0.86531910564415204</v>
      </c>
      <c r="E3034">
        <v>0.87981531658477097</v>
      </c>
      <c r="F3034">
        <v>8.66599312992523</v>
      </c>
    </row>
    <row r="3035" spans="1:6">
      <c r="A3035" t="s">
        <v>51556</v>
      </c>
      <c r="B3035" t="s">
        <v>51569</v>
      </c>
      <c r="C3035">
        <v>0.41011968807093202</v>
      </c>
      <c r="D3035">
        <v>0.86531910564415204</v>
      </c>
      <c r="E3035">
        <v>0.87981531658477097</v>
      </c>
      <c r="F3035">
        <v>8.66599312992523</v>
      </c>
    </row>
    <row r="3036" spans="1:6">
      <c r="A3036" t="s">
        <v>51556</v>
      </c>
      <c r="B3036" t="s">
        <v>51570</v>
      </c>
      <c r="C3036">
        <v>0</v>
      </c>
      <c r="D3036">
        <v>0.86531910564415204</v>
      </c>
      <c r="E3036">
        <v>0.87981531658477097</v>
      </c>
      <c r="F3036">
        <v>8.66599312992523</v>
      </c>
    </row>
    <row r="3037" spans="1:6">
      <c r="A3037" t="s">
        <v>51556</v>
      </c>
      <c r="B3037" t="s">
        <v>51571</v>
      </c>
      <c r="C3037">
        <v>0</v>
      </c>
      <c r="D3037">
        <v>0.86531910564415204</v>
      </c>
      <c r="E3037">
        <v>0.87981531658477097</v>
      </c>
      <c r="F3037">
        <v>8.66599312992523</v>
      </c>
    </row>
    <row r="3038" spans="1:6">
      <c r="A3038" t="s">
        <v>51556</v>
      </c>
      <c r="B3038" t="s">
        <v>51572</v>
      </c>
      <c r="C3038">
        <v>0</v>
      </c>
      <c r="D3038">
        <v>0.86531910564415204</v>
      </c>
      <c r="E3038">
        <v>0.87981531658477097</v>
      </c>
      <c r="F3038">
        <v>8.66599312992523</v>
      </c>
    </row>
    <row r="3039" spans="1:6">
      <c r="A3039" t="s">
        <v>51556</v>
      </c>
      <c r="B3039" t="s">
        <v>51573</v>
      </c>
      <c r="C3039">
        <v>3.0564030659564499E-2</v>
      </c>
      <c r="D3039">
        <v>0.86531910564415204</v>
      </c>
      <c r="E3039">
        <v>0.87981531658477097</v>
      </c>
      <c r="F3039">
        <v>8.66599312992523</v>
      </c>
    </row>
    <row r="3040" spans="1:6">
      <c r="A3040" t="s">
        <v>51556</v>
      </c>
      <c r="B3040" t="s">
        <v>51574</v>
      </c>
      <c r="C3040">
        <v>0</v>
      </c>
      <c r="D3040">
        <v>0.86531910564415204</v>
      </c>
      <c r="E3040">
        <v>0.87981531658477097</v>
      </c>
      <c r="F3040">
        <v>8.66599312992523</v>
      </c>
    </row>
    <row r="3041" spans="1:6">
      <c r="A3041" t="s">
        <v>51556</v>
      </c>
      <c r="B3041" t="s">
        <v>51575</v>
      </c>
      <c r="C3041">
        <v>0</v>
      </c>
      <c r="D3041">
        <v>0.86531910564415204</v>
      </c>
      <c r="E3041">
        <v>0.87981531658477097</v>
      </c>
      <c r="F3041">
        <v>8.66599312992523</v>
      </c>
    </row>
    <row r="3042" spans="1:6">
      <c r="A3042" t="s">
        <v>51556</v>
      </c>
      <c r="B3042" t="s">
        <v>51576</v>
      </c>
      <c r="C3042">
        <v>0</v>
      </c>
      <c r="D3042">
        <v>0.86531910564415204</v>
      </c>
      <c r="E3042">
        <v>0.87981531658477097</v>
      </c>
      <c r="F3042">
        <v>8.66599312992523</v>
      </c>
    </row>
    <row r="3043" spans="1:6">
      <c r="A3043" t="s">
        <v>51556</v>
      </c>
      <c r="B3043" t="s">
        <v>51577</v>
      </c>
      <c r="C3043">
        <v>0</v>
      </c>
      <c r="D3043">
        <v>0.86531910564415204</v>
      </c>
      <c r="E3043">
        <v>0.87981531658477097</v>
      </c>
      <c r="F3043">
        <v>8.66599312992523</v>
      </c>
    </row>
    <row r="3044" spans="1:6">
      <c r="A3044" t="s">
        <v>51556</v>
      </c>
      <c r="B3044" t="s">
        <v>51578</v>
      </c>
      <c r="C3044">
        <v>0</v>
      </c>
      <c r="D3044">
        <v>0.86531910564415204</v>
      </c>
      <c r="E3044">
        <v>0.87981531658477097</v>
      </c>
      <c r="F3044">
        <v>8.66599312992523</v>
      </c>
    </row>
    <row r="3045" spans="1:6">
      <c r="A3045" t="s">
        <v>51556</v>
      </c>
      <c r="B3045" t="s">
        <v>51579</v>
      </c>
      <c r="C3045">
        <v>0</v>
      </c>
      <c r="D3045">
        <v>0.86531910564415204</v>
      </c>
      <c r="E3045">
        <v>0.87981531658477097</v>
      </c>
      <c r="F3045">
        <v>8.66599312992523</v>
      </c>
    </row>
    <row r="3046" spans="1:6">
      <c r="A3046" t="s">
        <v>51556</v>
      </c>
      <c r="B3046" t="s">
        <v>51580</v>
      </c>
      <c r="C3046">
        <v>0</v>
      </c>
      <c r="D3046">
        <v>0.86531910564415204</v>
      </c>
      <c r="E3046">
        <v>0.87981531658477097</v>
      </c>
      <c r="F3046">
        <v>8.66599312992523</v>
      </c>
    </row>
    <row r="3047" spans="1:6">
      <c r="A3047" t="s">
        <v>51556</v>
      </c>
      <c r="B3047" t="s">
        <v>51581</v>
      </c>
      <c r="C3047">
        <v>0</v>
      </c>
      <c r="D3047">
        <v>0.86531910564415204</v>
      </c>
      <c r="E3047">
        <v>0.87981531658477097</v>
      </c>
      <c r="F3047">
        <v>8.66599312992523</v>
      </c>
    </row>
    <row r="3048" spans="1:6">
      <c r="A3048" t="s">
        <v>51556</v>
      </c>
      <c r="B3048" t="s">
        <v>51582</v>
      </c>
      <c r="C3048">
        <v>0</v>
      </c>
      <c r="D3048">
        <v>0.86531910564415204</v>
      </c>
      <c r="E3048">
        <v>0.87981531658477097</v>
      </c>
      <c r="F3048">
        <v>8.66599312992523</v>
      </c>
    </row>
    <row r="3049" spans="1:6">
      <c r="A3049" t="s">
        <v>51583</v>
      </c>
      <c r="B3049" t="s">
        <v>51584</v>
      </c>
      <c r="C3049">
        <v>0.22208796825524099</v>
      </c>
      <c r="D3049">
        <v>0.17692577928355699</v>
      </c>
      <c r="E3049">
        <v>0.99451892598040303</v>
      </c>
      <c r="F3049">
        <v>18.321277025661701</v>
      </c>
    </row>
    <row r="3050" spans="1:6">
      <c r="A3050" t="s">
        <v>51583</v>
      </c>
      <c r="B3050" t="s">
        <v>51585</v>
      </c>
      <c r="C3050">
        <v>0</v>
      </c>
      <c r="D3050">
        <v>0.17692577928355699</v>
      </c>
      <c r="E3050">
        <v>0.99451892598040303</v>
      </c>
      <c r="F3050">
        <v>18.321277025661701</v>
      </c>
    </row>
    <row r="3051" spans="1:6">
      <c r="A3051" t="s">
        <v>51583</v>
      </c>
      <c r="B3051" t="s">
        <v>51586</v>
      </c>
      <c r="C3051">
        <v>0</v>
      </c>
      <c r="D3051">
        <v>0.17692577928355699</v>
      </c>
      <c r="E3051">
        <v>0.99451892598040303</v>
      </c>
      <c r="F3051">
        <v>18.321277025661701</v>
      </c>
    </row>
    <row r="3052" spans="1:6">
      <c r="A3052" t="s">
        <v>51583</v>
      </c>
      <c r="B3052" t="s">
        <v>51587</v>
      </c>
      <c r="C3052">
        <v>0.86819753051171</v>
      </c>
      <c r="D3052">
        <v>0.17692577928355699</v>
      </c>
      <c r="E3052">
        <v>0.99451892598040303</v>
      </c>
      <c r="F3052">
        <v>18.321277025661701</v>
      </c>
    </row>
    <row r="3053" spans="1:6">
      <c r="A3053" t="s">
        <v>51583</v>
      </c>
      <c r="B3053" t="s">
        <v>51588</v>
      </c>
      <c r="C3053">
        <v>0</v>
      </c>
      <c r="D3053">
        <v>0.17692577928355699</v>
      </c>
      <c r="E3053">
        <v>0.99451892598040303</v>
      </c>
      <c r="F3053">
        <v>18.321277025661701</v>
      </c>
    </row>
    <row r="3054" spans="1:6">
      <c r="A3054" t="s">
        <v>51583</v>
      </c>
      <c r="B3054" t="s">
        <v>51589</v>
      </c>
      <c r="C3054">
        <v>0</v>
      </c>
      <c r="D3054">
        <v>0.17692577928355699</v>
      </c>
      <c r="E3054">
        <v>0.99451892598040303</v>
      </c>
      <c r="F3054">
        <v>18.321277025661701</v>
      </c>
    </row>
    <row r="3055" spans="1:6">
      <c r="A3055" t="s">
        <v>51583</v>
      </c>
      <c r="B3055" t="s">
        <v>51590</v>
      </c>
      <c r="C3055">
        <v>0</v>
      </c>
      <c r="D3055">
        <v>0.17692577928355699</v>
      </c>
      <c r="E3055">
        <v>0.99451892598040303</v>
      </c>
      <c r="F3055">
        <v>18.321277025661701</v>
      </c>
    </row>
    <row r="3056" spans="1:6">
      <c r="A3056" t="s">
        <v>51591</v>
      </c>
      <c r="B3056" t="s">
        <v>51592</v>
      </c>
      <c r="C3056">
        <v>0.87470078934683904</v>
      </c>
      <c r="D3056">
        <v>0.45859584306984302</v>
      </c>
      <c r="E3056">
        <v>0.94848283302777803</v>
      </c>
      <c r="F3056">
        <v>10.5039401899373</v>
      </c>
    </row>
    <row r="3057" spans="1:6">
      <c r="A3057" t="s">
        <v>51591</v>
      </c>
      <c r="B3057" t="s">
        <v>51593</v>
      </c>
      <c r="C3057">
        <v>0</v>
      </c>
      <c r="D3057">
        <v>0.45859584306984302</v>
      </c>
      <c r="E3057">
        <v>0.94848283302777803</v>
      </c>
      <c r="F3057">
        <v>10.5039401899373</v>
      </c>
    </row>
    <row r="3058" spans="1:6">
      <c r="A3058" t="s">
        <v>51591</v>
      </c>
      <c r="B3058" t="s">
        <v>51594</v>
      </c>
      <c r="C3058">
        <v>0</v>
      </c>
      <c r="D3058">
        <v>0.45859584306984302</v>
      </c>
      <c r="E3058">
        <v>0.94848283302777803</v>
      </c>
      <c r="F3058">
        <v>10.5039401899373</v>
      </c>
    </row>
    <row r="3059" spans="1:6">
      <c r="A3059" t="s">
        <v>51591</v>
      </c>
      <c r="B3059" t="s">
        <v>51595</v>
      </c>
      <c r="C3059">
        <v>0.50500563065676696</v>
      </c>
      <c r="D3059">
        <v>0.45859584306984302</v>
      </c>
      <c r="E3059">
        <v>0.94848283302777803</v>
      </c>
      <c r="F3059">
        <v>10.5039401899373</v>
      </c>
    </row>
    <row r="3060" spans="1:6">
      <c r="A3060" t="s">
        <v>51596</v>
      </c>
      <c r="B3060" t="s">
        <v>51597</v>
      </c>
      <c r="C3060">
        <v>0</v>
      </c>
      <c r="D3060">
        <v>0.439148495119703</v>
      </c>
      <c r="E3060">
        <v>0.98956989953291496</v>
      </c>
      <c r="F3060">
        <v>12.8704788846231</v>
      </c>
    </row>
    <row r="3061" spans="1:6">
      <c r="A3061" t="s">
        <v>51596</v>
      </c>
      <c r="B3061" t="s">
        <v>51598</v>
      </c>
      <c r="C3061">
        <v>0.63525829101741205</v>
      </c>
      <c r="D3061">
        <v>0.439148495119703</v>
      </c>
      <c r="E3061">
        <v>0.98956989953291496</v>
      </c>
      <c r="F3061">
        <v>12.8704788846231</v>
      </c>
    </row>
    <row r="3062" spans="1:6">
      <c r="A3062" t="s">
        <v>51596</v>
      </c>
      <c r="B3062" t="s">
        <v>51599</v>
      </c>
      <c r="C3062">
        <v>0</v>
      </c>
      <c r="D3062">
        <v>0.439148495119703</v>
      </c>
      <c r="E3062">
        <v>0.98956989953291496</v>
      </c>
      <c r="F3062">
        <v>12.8704788846231</v>
      </c>
    </row>
    <row r="3063" spans="1:6">
      <c r="A3063" t="s">
        <v>51596</v>
      </c>
      <c r="B3063" t="s">
        <v>51600</v>
      </c>
      <c r="C3063">
        <v>0</v>
      </c>
      <c r="D3063">
        <v>0.439148495119703</v>
      </c>
      <c r="E3063">
        <v>0.98956989953291496</v>
      </c>
      <c r="F3063">
        <v>12.8704788846231</v>
      </c>
    </row>
    <row r="3064" spans="1:6">
      <c r="A3064" t="s">
        <v>51596</v>
      </c>
      <c r="B3064" t="s">
        <v>51601</v>
      </c>
      <c r="C3064">
        <v>0</v>
      </c>
      <c r="D3064">
        <v>0.439148495119703</v>
      </c>
      <c r="E3064">
        <v>0.98956989953291496</v>
      </c>
      <c r="F3064">
        <v>12.8704788846231</v>
      </c>
    </row>
    <row r="3065" spans="1:6">
      <c r="A3065" t="s">
        <v>51596</v>
      </c>
      <c r="B3065" t="s">
        <v>51602</v>
      </c>
      <c r="C3065">
        <v>0</v>
      </c>
      <c r="D3065">
        <v>0.439148495119703</v>
      </c>
      <c r="E3065">
        <v>0.98956989953291496</v>
      </c>
      <c r="F3065">
        <v>12.8704788846231</v>
      </c>
    </row>
    <row r="3066" spans="1:6">
      <c r="A3066" t="s">
        <v>51596</v>
      </c>
      <c r="B3066" t="s">
        <v>51603</v>
      </c>
      <c r="C3066">
        <v>0</v>
      </c>
      <c r="D3066">
        <v>0.439148495119703</v>
      </c>
      <c r="E3066">
        <v>0.98956989953291496</v>
      </c>
      <c r="F3066">
        <v>12.8704788846231</v>
      </c>
    </row>
    <row r="3067" spans="1:6">
      <c r="A3067" t="s">
        <v>51596</v>
      </c>
      <c r="B3067" t="s">
        <v>51604</v>
      </c>
      <c r="C3067">
        <v>0</v>
      </c>
      <c r="D3067">
        <v>0.439148495119703</v>
      </c>
      <c r="E3067">
        <v>0.98956989953291496</v>
      </c>
      <c r="F3067">
        <v>12.8704788846231</v>
      </c>
    </row>
    <row r="3068" spans="1:6">
      <c r="A3068" t="s">
        <v>51596</v>
      </c>
      <c r="B3068" t="s">
        <v>51605</v>
      </c>
      <c r="C3068">
        <v>9.7984612876189398E-2</v>
      </c>
      <c r="D3068">
        <v>0.439148495119703</v>
      </c>
      <c r="E3068">
        <v>0.98956989953291496</v>
      </c>
      <c r="F3068">
        <v>12.8704788846231</v>
      </c>
    </row>
    <row r="3069" spans="1:6">
      <c r="A3069" t="s">
        <v>51606</v>
      </c>
      <c r="B3069" t="s">
        <v>51607</v>
      </c>
      <c r="C3069">
        <v>0</v>
      </c>
      <c r="D3069">
        <v>3.2136278830869301E-2</v>
      </c>
      <c r="E3069">
        <v>0.96837347871902602</v>
      </c>
      <c r="F3069">
        <v>9.8735097999595798</v>
      </c>
    </row>
    <row r="3070" spans="1:6">
      <c r="A3070" t="s">
        <v>51606</v>
      </c>
      <c r="B3070" t="s">
        <v>51608</v>
      </c>
      <c r="C3070">
        <v>0</v>
      </c>
      <c r="D3070">
        <v>3.2136278830869301E-2</v>
      </c>
      <c r="E3070">
        <v>0.96837347871902602</v>
      </c>
      <c r="F3070">
        <v>9.8735097999595798</v>
      </c>
    </row>
    <row r="3071" spans="1:6">
      <c r="A3071" t="s">
        <v>51606</v>
      </c>
      <c r="B3071" t="s">
        <v>51609</v>
      </c>
      <c r="C3071">
        <v>0</v>
      </c>
      <c r="D3071">
        <v>3.2136278830869301E-2</v>
      </c>
      <c r="E3071">
        <v>0.96837347871902602</v>
      </c>
      <c r="F3071">
        <v>9.8735097999595798</v>
      </c>
    </row>
    <row r="3072" spans="1:6">
      <c r="A3072" t="s">
        <v>51606</v>
      </c>
      <c r="B3072" t="s">
        <v>51610</v>
      </c>
      <c r="C3072">
        <v>0.50026769192895304</v>
      </c>
      <c r="D3072">
        <v>3.2136278830869301E-2</v>
      </c>
      <c r="E3072">
        <v>0.96837347871902602</v>
      </c>
      <c r="F3072">
        <v>9.8735097999595798</v>
      </c>
    </row>
    <row r="3073" spans="1:6">
      <c r="A3073" t="s">
        <v>51606</v>
      </c>
      <c r="B3073" t="s">
        <v>51611</v>
      </c>
      <c r="C3073">
        <v>0</v>
      </c>
      <c r="D3073">
        <v>3.2136278830869301E-2</v>
      </c>
      <c r="E3073">
        <v>0.96837347871902602</v>
      </c>
      <c r="F3073">
        <v>9.8735097999595798</v>
      </c>
    </row>
    <row r="3074" spans="1:6">
      <c r="A3074" t="s">
        <v>51606</v>
      </c>
      <c r="B3074" t="s">
        <v>51612</v>
      </c>
      <c r="C3074">
        <v>0</v>
      </c>
      <c r="D3074">
        <v>3.2136278830869301E-2</v>
      </c>
      <c r="E3074">
        <v>0.96837347871902602</v>
      </c>
      <c r="F3074">
        <v>9.8735097999595798</v>
      </c>
    </row>
    <row r="3075" spans="1:6">
      <c r="A3075" t="s">
        <v>51606</v>
      </c>
      <c r="B3075" t="s">
        <v>51613</v>
      </c>
      <c r="C3075">
        <v>0</v>
      </c>
      <c r="D3075">
        <v>3.2136278830869301E-2</v>
      </c>
      <c r="E3075">
        <v>0.96837347871902602</v>
      </c>
      <c r="F3075">
        <v>9.8735097999595798</v>
      </c>
    </row>
    <row r="3076" spans="1:6">
      <c r="A3076" t="s">
        <v>51606</v>
      </c>
      <c r="B3076" t="s">
        <v>51614</v>
      </c>
      <c r="C3076">
        <v>0.50296650427546996</v>
      </c>
      <c r="D3076">
        <v>3.2136278830869301E-2</v>
      </c>
      <c r="E3076">
        <v>0.96837347871902602</v>
      </c>
      <c r="F3076">
        <v>9.8735097999595798</v>
      </c>
    </row>
    <row r="3077" spans="1:6">
      <c r="A3077" t="s">
        <v>51615</v>
      </c>
      <c r="B3077" t="s">
        <v>51616</v>
      </c>
      <c r="C3077">
        <v>0</v>
      </c>
      <c r="D3077">
        <v>0.48628762356063698</v>
      </c>
      <c r="E3077">
        <v>0.99359883765287105</v>
      </c>
      <c r="F3077">
        <v>5.5235401091129503</v>
      </c>
    </row>
    <row r="3078" spans="1:6">
      <c r="A3078" t="s">
        <v>51615</v>
      </c>
      <c r="B3078" t="s">
        <v>51617</v>
      </c>
      <c r="C3078">
        <v>0</v>
      </c>
      <c r="D3078">
        <v>0.48628762356063698</v>
      </c>
      <c r="E3078">
        <v>0.99359883765287105</v>
      </c>
      <c r="F3078">
        <v>5.5235401091129503</v>
      </c>
    </row>
    <row r="3079" spans="1:6">
      <c r="A3079" t="s">
        <v>51615</v>
      </c>
      <c r="B3079" t="s">
        <v>51618</v>
      </c>
      <c r="C3079">
        <v>0.94317460408270204</v>
      </c>
      <c r="D3079">
        <v>0.48628762356063698</v>
      </c>
      <c r="E3079">
        <v>0.99359883765287105</v>
      </c>
      <c r="F3079">
        <v>5.5235401091129503</v>
      </c>
    </row>
    <row r="3080" spans="1:6">
      <c r="A3080" t="s">
        <v>51615</v>
      </c>
      <c r="B3080" t="s">
        <v>51619</v>
      </c>
      <c r="C3080">
        <v>1.0932157853889299E-2</v>
      </c>
      <c r="D3080">
        <v>0.48628762356063698</v>
      </c>
      <c r="E3080">
        <v>0.99359883765287105</v>
      </c>
      <c r="F3080">
        <v>5.5235401091129503</v>
      </c>
    </row>
    <row r="3081" spans="1:6">
      <c r="A3081" t="s">
        <v>51615</v>
      </c>
      <c r="B3081" t="s">
        <v>51620</v>
      </c>
      <c r="C3081">
        <v>0</v>
      </c>
      <c r="D3081">
        <v>0.48628762356063698</v>
      </c>
      <c r="E3081">
        <v>0.99359883765287105</v>
      </c>
      <c r="F3081">
        <v>5.5235401091129503</v>
      </c>
    </row>
    <row r="3082" spans="1:6">
      <c r="A3082" t="s">
        <v>51621</v>
      </c>
      <c r="B3082" t="s">
        <v>51622</v>
      </c>
      <c r="C3082">
        <v>0</v>
      </c>
      <c r="D3082">
        <v>7.2633200986831195E-2</v>
      </c>
      <c r="E3082">
        <v>0.94176612397621795</v>
      </c>
      <c r="F3082">
        <v>11.4883814912103</v>
      </c>
    </row>
    <row r="3083" spans="1:6">
      <c r="A3083" t="s">
        <v>51621</v>
      </c>
      <c r="B3083" t="s">
        <v>51623</v>
      </c>
      <c r="C3083">
        <v>0</v>
      </c>
      <c r="D3083">
        <v>7.2633200986831195E-2</v>
      </c>
      <c r="E3083">
        <v>0.94176612397621795</v>
      </c>
      <c r="F3083">
        <v>11.4883814912103</v>
      </c>
    </row>
    <row r="3084" spans="1:6">
      <c r="A3084" t="s">
        <v>51621</v>
      </c>
      <c r="B3084" t="s">
        <v>51624</v>
      </c>
      <c r="C3084">
        <v>0</v>
      </c>
      <c r="D3084">
        <v>7.2633200986831195E-2</v>
      </c>
      <c r="E3084">
        <v>0.94176612397621795</v>
      </c>
      <c r="F3084">
        <v>11.4883814912103</v>
      </c>
    </row>
    <row r="3085" spans="1:6">
      <c r="A3085" t="s">
        <v>51621</v>
      </c>
      <c r="B3085" t="s">
        <v>51625</v>
      </c>
      <c r="C3085">
        <v>0.32389079694038098</v>
      </c>
      <c r="D3085">
        <v>7.2633200986831195E-2</v>
      </c>
      <c r="E3085">
        <v>0.94176612397621795</v>
      </c>
      <c r="F3085">
        <v>11.4883814912103</v>
      </c>
    </row>
    <row r="3086" spans="1:6">
      <c r="A3086" t="s">
        <v>51621</v>
      </c>
      <c r="B3086" t="s">
        <v>51626</v>
      </c>
      <c r="C3086">
        <v>0.47842918652072602</v>
      </c>
      <c r="D3086">
        <v>7.2633200986831195E-2</v>
      </c>
      <c r="E3086">
        <v>0.94176612397621795</v>
      </c>
      <c r="F3086">
        <v>11.4883814912103</v>
      </c>
    </row>
    <row r="3087" spans="1:6">
      <c r="A3087" t="s">
        <v>51627</v>
      </c>
      <c r="B3087" t="s">
        <v>51628</v>
      </c>
      <c r="C3087">
        <v>0.32369043318741703</v>
      </c>
      <c r="D3087">
        <v>0.50524591820885301</v>
      </c>
      <c r="E3087">
        <v>0.82877213628756397</v>
      </c>
      <c r="F3087">
        <v>3.0842594463527901</v>
      </c>
    </row>
    <row r="3088" spans="1:6">
      <c r="A3088" t="s">
        <v>51627</v>
      </c>
      <c r="B3088" t="s">
        <v>51629</v>
      </c>
      <c r="C3088">
        <v>0</v>
      </c>
      <c r="D3088">
        <v>0.50524591820885301</v>
      </c>
      <c r="E3088">
        <v>0.82877213628756397</v>
      </c>
      <c r="F3088">
        <v>3.0842594463527901</v>
      </c>
    </row>
    <row r="3089" spans="1:6">
      <c r="A3089" t="s">
        <v>51627</v>
      </c>
      <c r="B3089" t="s">
        <v>51630</v>
      </c>
      <c r="C3089">
        <v>0</v>
      </c>
      <c r="D3089">
        <v>0.50524591820885301</v>
      </c>
      <c r="E3089">
        <v>0.82877213628756397</v>
      </c>
      <c r="F3089">
        <v>3.0842594463527901</v>
      </c>
    </row>
    <row r="3090" spans="1:6">
      <c r="A3090" t="s">
        <v>51627</v>
      </c>
      <c r="B3090" t="s">
        <v>51631</v>
      </c>
      <c r="C3090">
        <v>3.2392559771172003E-2</v>
      </c>
      <c r="D3090">
        <v>0.50524591820885301</v>
      </c>
      <c r="E3090">
        <v>0.82877213628756397</v>
      </c>
      <c r="F3090">
        <v>3.0842594463527901</v>
      </c>
    </row>
    <row r="3091" spans="1:6">
      <c r="A3091" t="s">
        <v>51627</v>
      </c>
      <c r="B3091" t="s">
        <v>51632</v>
      </c>
      <c r="C3091">
        <v>0</v>
      </c>
      <c r="D3091">
        <v>0.50524591820885301</v>
      </c>
      <c r="E3091">
        <v>0.82877213628756397</v>
      </c>
      <c r="F3091">
        <v>3.0842594463527901</v>
      </c>
    </row>
    <row r="3092" spans="1:6">
      <c r="A3092" t="s">
        <v>51627</v>
      </c>
      <c r="B3092" t="s">
        <v>51633</v>
      </c>
      <c r="C3092">
        <v>0</v>
      </c>
      <c r="D3092">
        <v>0.50524591820885301</v>
      </c>
      <c r="E3092">
        <v>0.82877213628756397</v>
      </c>
      <c r="F3092">
        <v>3.0842594463527901</v>
      </c>
    </row>
    <row r="3093" spans="1:6">
      <c r="A3093" t="s">
        <v>51627</v>
      </c>
      <c r="B3093" t="s">
        <v>51634</v>
      </c>
      <c r="C3093">
        <v>0</v>
      </c>
      <c r="D3093">
        <v>0.50524591820885301</v>
      </c>
      <c r="E3093">
        <v>0.82877213628756397</v>
      </c>
      <c r="F3093">
        <v>3.0842594463527901</v>
      </c>
    </row>
    <row r="3094" spans="1:6">
      <c r="A3094" t="s">
        <v>51627</v>
      </c>
      <c r="B3094" t="s">
        <v>51635</v>
      </c>
      <c r="C3094">
        <v>0</v>
      </c>
      <c r="D3094">
        <v>0.50524591820885301</v>
      </c>
      <c r="E3094">
        <v>0.82877213628756397</v>
      </c>
      <c r="F3094">
        <v>3.0842594463527901</v>
      </c>
    </row>
    <row r="3095" spans="1:6">
      <c r="A3095" t="s">
        <v>51636</v>
      </c>
      <c r="B3095" t="s">
        <v>51637</v>
      </c>
      <c r="C3095">
        <v>0</v>
      </c>
      <c r="D3095">
        <v>0.71912973115109302</v>
      </c>
      <c r="E3095">
        <v>0.74611719603168902</v>
      </c>
      <c r="F3095">
        <v>0</v>
      </c>
    </row>
    <row r="3096" spans="1:6">
      <c r="A3096" t="s">
        <v>51636</v>
      </c>
      <c r="B3096" t="s">
        <v>51638</v>
      </c>
      <c r="C3096">
        <v>0.55251719603168903</v>
      </c>
      <c r="D3096">
        <v>0.71912973115109302</v>
      </c>
      <c r="E3096">
        <v>0.74611719603168902</v>
      </c>
      <c r="F3096">
        <v>0</v>
      </c>
    </row>
    <row r="3097" spans="1:6">
      <c r="A3097" t="s">
        <v>51639</v>
      </c>
      <c r="B3097" t="s">
        <v>51640</v>
      </c>
      <c r="C3097">
        <v>0</v>
      </c>
      <c r="D3097">
        <v>0.27699380226523801</v>
      </c>
      <c r="E3097">
        <v>0.97798345255770902</v>
      </c>
      <c r="F3097">
        <v>9.2624772681349707</v>
      </c>
    </row>
    <row r="3098" spans="1:6">
      <c r="A3098" t="s">
        <v>51639</v>
      </c>
      <c r="B3098" t="s">
        <v>51641</v>
      </c>
      <c r="C3098">
        <v>0.45327287756002899</v>
      </c>
      <c r="D3098">
        <v>0.27699380226523801</v>
      </c>
      <c r="E3098">
        <v>0.97798345255770902</v>
      </c>
      <c r="F3098">
        <v>9.2624772681349707</v>
      </c>
    </row>
    <row r="3099" spans="1:6">
      <c r="A3099" t="s">
        <v>51639</v>
      </c>
      <c r="B3099" t="s">
        <v>51642</v>
      </c>
      <c r="C3099">
        <v>0</v>
      </c>
      <c r="D3099">
        <v>0.27699380226523801</v>
      </c>
      <c r="E3099">
        <v>0.97798345255770902</v>
      </c>
      <c r="F3099">
        <v>9.2624772681349707</v>
      </c>
    </row>
    <row r="3100" spans="1:6">
      <c r="A3100" t="s">
        <v>51639</v>
      </c>
      <c r="B3100" t="s">
        <v>51643</v>
      </c>
      <c r="C3100">
        <v>0</v>
      </c>
      <c r="D3100">
        <v>0.27699380226523801</v>
      </c>
      <c r="E3100">
        <v>0.97798345255770902</v>
      </c>
      <c r="F3100">
        <v>9.2624772681349707</v>
      </c>
    </row>
    <row r="3101" spans="1:6">
      <c r="A3101" t="s">
        <v>51639</v>
      </c>
      <c r="B3101" t="s">
        <v>51644</v>
      </c>
      <c r="C3101">
        <v>0</v>
      </c>
      <c r="D3101">
        <v>0.27699380226523801</v>
      </c>
      <c r="E3101">
        <v>0.97798345255770902</v>
      </c>
      <c r="F3101">
        <v>9.2624772681349707</v>
      </c>
    </row>
    <row r="3102" spans="1:6">
      <c r="A3102" t="s">
        <v>51639</v>
      </c>
      <c r="B3102" t="s">
        <v>51645</v>
      </c>
      <c r="C3102">
        <v>0.32413988463431798</v>
      </c>
      <c r="D3102">
        <v>0.27699380226523801</v>
      </c>
      <c r="E3102">
        <v>0.97798345255770902</v>
      </c>
      <c r="F3102">
        <v>9.2624772681349707</v>
      </c>
    </row>
    <row r="3103" spans="1:6">
      <c r="A3103" t="s">
        <v>51639</v>
      </c>
      <c r="B3103" t="s">
        <v>51646</v>
      </c>
      <c r="C3103">
        <v>0</v>
      </c>
      <c r="D3103">
        <v>0.27699380226523801</v>
      </c>
      <c r="E3103">
        <v>0.97798345255770902</v>
      </c>
      <c r="F3103">
        <v>9.2624772681349707</v>
      </c>
    </row>
    <row r="3104" spans="1:6">
      <c r="A3104" t="s">
        <v>51647</v>
      </c>
      <c r="B3104" t="s">
        <v>51648</v>
      </c>
      <c r="C3104">
        <v>0.91304010357773102</v>
      </c>
      <c r="D3104">
        <v>0.12992627907415</v>
      </c>
      <c r="E3104">
        <v>0.97547223650891601</v>
      </c>
      <c r="F3104">
        <v>4.1123459284703898</v>
      </c>
    </row>
    <row r="3105" spans="1:6">
      <c r="A3105" t="s">
        <v>51647</v>
      </c>
      <c r="B3105" t="s">
        <v>51649</v>
      </c>
      <c r="C3105">
        <v>2.70824126927969E-2</v>
      </c>
      <c r="D3105">
        <v>0.12992627907415</v>
      </c>
      <c r="E3105">
        <v>0.97547223650891601</v>
      </c>
      <c r="F3105">
        <v>4.1123459284703898</v>
      </c>
    </row>
    <row r="3106" spans="1:6">
      <c r="A3106" t="s">
        <v>51647</v>
      </c>
      <c r="B3106" t="s">
        <v>51650</v>
      </c>
      <c r="C3106">
        <v>0</v>
      </c>
      <c r="D3106">
        <v>0.12992627907415</v>
      </c>
      <c r="E3106">
        <v>0.97547223650891601</v>
      </c>
      <c r="F3106">
        <v>4.1123459284703898</v>
      </c>
    </row>
    <row r="3107" spans="1:6">
      <c r="A3107" t="s">
        <v>51647</v>
      </c>
      <c r="B3107" t="s">
        <v>51651</v>
      </c>
      <c r="C3107">
        <v>0</v>
      </c>
      <c r="D3107">
        <v>0.12992627907415</v>
      </c>
      <c r="E3107">
        <v>0.97547223650891601</v>
      </c>
      <c r="F3107">
        <v>4.1123459284703898</v>
      </c>
    </row>
    <row r="3108" spans="1:6">
      <c r="A3108" t="s">
        <v>51652</v>
      </c>
      <c r="B3108" t="s">
        <v>51653</v>
      </c>
      <c r="C3108">
        <v>0</v>
      </c>
      <c r="D3108">
        <v>0.16885487142171601</v>
      </c>
      <c r="E3108" t="s">
        <v>106</v>
      </c>
      <c r="F3108">
        <v>2.2016569003839099</v>
      </c>
    </row>
    <row r="3109" spans="1:6">
      <c r="A3109" t="s">
        <v>51652</v>
      </c>
      <c r="B3109" t="s">
        <v>51654</v>
      </c>
      <c r="C3109">
        <v>0</v>
      </c>
      <c r="D3109">
        <v>0.16885487142171601</v>
      </c>
      <c r="E3109" t="s">
        <v>106</v>
      </c>
      <c r="F3109">
        <v>2.2016569003839099</v>
      </c>
    </row>
    <row r="3110" spans="1:6">
      <c r="A3110" t="s">
        <v>51652</v>
      </c>
      <c r="B3110" t="s">
        <v>51655</v>
      </c>
      <c r="C3110">
        <v>0</v>
      </c>
      <c r="D3110">
        <v>0.16885487142171601</v>
      </c>
      <c r="E3110" t="s">
        <v>106</v>
      </c>
      <c r="F3110">
        <v>2.2016569003839099</v>
      </c>
    </row>
    <row r="3111" spans="1:6">
      <c r="A3111" t="s">
        <v>51656</v>
      </c>
      <c r="B3111" t="s">
        <v>51657</v>
      </c>
      <c r="C3111">
        <v>0</v>
      </c>
      <c r="D3111">
        <v>0.32558778042491399</v>
      </c>
      <c r="E3111">
        <v>0.98845605540421599</v>
      </c>
      <c r="F3111">
        <v>8.8163265306122405</v>
      </c>
    </row>
    <row r="3112" spans="1:6">
      <c r="A3112" t="s">
        <v>51656</v>
      </c>
      <c r="B3112" t="s">
        <v>51658</v>
      </c>
      <c r="C3112">
        <v>0.71064837731140895</v>
      </c>
      <c r="D3112">
        <v>0.32558778042491399</v>
      </c>
      <c r="E3112">
        <v>0.98845605540421599</v>
      </c>
      <c r="F3112">
        <v>8.8163265306122405</v>
      </c>
    </row>
    <row r="3113" spans="1:6">
      <c r="A3113" t="s">
        <v>51656</v>
      </c>
      <c r="B3113" t="s">
        <v>51659</v>
      </c>
      <c r="C3113">
        <v>0.98166636707065602</v>
      </c>
      <c r="D3113">
        <v>0.32558778042491399</v>
      </c>
      <c r="E3113">
        <v>0.98845605540421599</v>
      </c>
      <c r="F3113">
        <v>8.8163265306122405</v>
      </c>
    </row>
    <row r="3114" spans="1:6">
      <c r="A3114" t="s">
        <v>51656</v>
      </c>
      <c r="B3114" t="s">
        <v>51660</v>
      </c>
      <c r="C3114">
        <v>0</v>
      </c>
      <c r="D3114">
        <v>0.32558778042491399</v>
      </c>
      <c r="E3114">
        <v>0.98845605540421599</v>
      </c>
      <c r="F3114">
        <v>8.8163265306122405</v>
      </c>
    </row>
    <row r="3115" spans="1:6">
      <c r="A3115" t="s">
        <v>51661</v>
      </c>
      <c r="B3115" t="s">
        <v>51662</v>
      </c>
      <c r="C3115">
        <v>0</v>
      </c>
      <c r="D3115">
        <v>0.550667921795157</v>
      </c>
      <c r="E3115">
        <v>0.75799352842522405</v>
      </c>
      <c r="F3115">
        <v>11.997575267730801</v>
      </c>
    </row>
    <row r="3116" spans="1:6">
      <c r="A3116" t="s">
        <v>51661</v>
      </c>
      <c r="B3116" t="s">
        <v>51663</v>
      </c>
      <c r="C3116">
        <v>0</v>
      </c>
      <c r="D3116">
        <v>0.550667921795157</v>
      </c>
      <c r="E3116">
        <v>0.75799352842522405</v>
      </c>
      <c r="F3116">
        <v>11.997575267730801</v>
      </c>
    </row>
    <row r="3117" spans="1:6">
      <c r="A3117" t="s">
        <v>51661</v>
      </c>
      <c r="B3117" t="s">
        <v>51664</v>
      </c>
      <c r="C3117">
        <v>0</v>
      </c>
      <c r="D3117">
        <v>0.550667921795157</v>
      </c>
      <c r="E3117">
        <v>0.75799352842522405</v>
      </c>
      <c r="F3117">
        <v>11.997575267730801</v>
      </c>
    </row>
    <row r="3118" spans="1:6">
      <c r="A3118" t="s">
        <v>51661</v>
      </c>
      <c r="B3118" t="s">
        <v>51665</v>
      </c>
      <c r="C3118">
        <v>0.33399352842522301</v>
      </c>
      <c r="D3118">
        <v>0.550667921795157</v>
      </c>
      <c r="E3118">
        <v>0.75799352842522405</v>
      </c>
      <c r="F3118">
        <v>11.997575267730801</v>
      </c>
    </row>
    <row r="3119" spans="1:6">
      <c r="A3119" t="s">
        <v>51661</v>
      </c>
      <c r="B3119" t="s">
        <v>51666</v>
      </c>
      <c r="C3119">
        <v>0</v>
      </c>
      <c r="D3119">
        <v>0.550667921795157</v>
      </c>
      <c r="E3119">
        <v>0.75799352842522405</v>
      </c>
      <c r="F3119">
        <v>11.997575267730801</v>
      </c>
    </row>
    <row r="3120" spans="1:6">
      <c r="A3120" t="s">
        <v>51667</v>
      </c>
      <c r="B3120" t="s">
        <v>51668</v>
      </c>
      <c r="C3120">
        <v>0.602019069984847</v>
      </c>
      <c r="D3120">
        <v>0.27236297057028502</v>
      </c>
      <c r="E3120">
        <v>0.97379076824865396</v>
      </c>
      <c r="F3120">
        <v>16.871287128712801</v>
      </c>
    </row>
    <row r="3121" spans="1:6">
      <c r="A3121" t="s">
        <v>51667</v>
      </c>
      <c r="B3121" t="s">
        <v>51669</v>
      </c>
      <c r="C3121">
        <v>0.41070135162363303</v>
      </c>
      <c r="D3121">
        <v>0.27236297057028502</v>
      </c>
      <c r="E3121">
        <v>0.97379076824865396</v>
      </c>
      <c r="F3121">
        <v>16.871287128712801</v>
      </c>
    </row>
    <row r="3122" spans="1:6">
      <c r="A3122" t="s">
        <v>51667</v>
      </c>
      <c r="B3122" t="s">
        <v>51670</v>
      </c>
      <c r="C3122">
        <v>0</v>
      </c>
      <c r="D3122">
        <v>0.27236297057028502</v>
      </c>
      <c r="E3122">
        <v>0.97379076824865396</v>
      </c>
      <c r="F3122">
        <v>16.871287128712801</v>
      </c>
    </row>
    <row r="3123" spans="1:6">
      <c r="A3123" t="s">
        <v>51671</v>
      </c>
      <c r="B3123" t="s">
        <v>51672</v>
      </c>
      <c r="C3123">
        <v>0.71546280625742598</v>
      </c>
      <c r="D3123">
        <v>0.121453184381971</v>
      </c>
      <c r="E3123">
        <v>0.92346280625742505</v>
      </c>
      <c r="F3123">
        <v>16.0662760153566</v>
      </c>
    </row>
    <row r="3124" spans="1:6">
      <c r="A3124" t="s">
        <v>51671</v>
      </c>
      <c r="B3124" t="s">
        <v>51673</v>
      </c>
      <c r="C3124">
        <v>0</v>
      </c>
      <c r="D3124">
        <v>0.121453184381971</v>
      </c>
      <c r="E3124">
        <v>0.92346280625742505</v>
      </c>
      <c r="F3124">
        <v>16.0662760153566</v>
      </c>
    </row>
    <row r="3125" spans="1:6">
      <c r="A3125" t="s">
        <v>51671</v>
      </c>
      <c r="B3125" t="s">
        <v>51674</v>
      </c>
      <c r="C3125">
        <v>0</v>
      </c>
      <c r="D3125">
        <v>0.121453184381971</v>
      </c>
      <c r="E3125">
        <v>0.92346280625742505</v>
      </c>
      <c r="F3125">
        <v>16.0662760153566</v>
      </c>
    </row>
    <row r="3126" spans="1:6">
      <c r="A3126" t="s">
        <v>51671</v>
      </c>
      <c r="B3126" t="s">
        <v>51675</v>
      </c>
      <c r="C3126">
        <v>0</v>
      </c>
      <c r="D3126">
        <v>0.121453184381971</v>
      </c>
      <c r="E3126">
        <v>0.92346280625742505</v>
      </c>
      <c r="F3126">
        <v>16.0662760153566</v>
      </c>
    </row>
    <row r="3127" spans="1:6">
      <c r="A3127" t="s">
        <v>51671</v>
      </c>
      <c r="B3127" t="s">
        <v>51676</v>
      </c>
      <c r="C3127">
        <v>0</v>
      </c>
      <c r="D3127">
        <v>0.121453184381971</v>
      </c>
      <c r="E3127">
        <v>0.92346280625742505</v>
      </c>
      <c r="F3127">
        <v>16.0662760153566</v>
      </c>
    </row>
    <row r="3128" spans="1:6">
      <c r="A3128" t="s">
        <v>51677</v>
      </c>
      <c r="B3128" t="s">
        <v>51678</v>
      </c>
      <c r="C3128">
        <v>0.76470726261717503</v>
      </c>
      <c r="D3128">
        <v>0.36757304082535802</v>
      </c>
      <c r="E3128">
        <v>0.92470726261717495</v>
      </c>
      <c r="F3128">
        <v>10.1887249949484</v>
      </c>
    </row>
    <row r="3129" spans="1:6">
      <c r="A3129" t="s">
        <v>51677</v>
      </c>
      <c r="B3129" t="s">
        <v>51679</v>
      </c>
      <c r="C3129">
        <v>0</v>
      </c>
      <c r="D3129">
        <v>0.36757304082535802</v>
      </c>
      <c r="E3129">
        <v>0.92470726261717495</v>
      </c>
      <c r="F3129">
        <v>10.1887249949484</v>
      </c>
    </row>
    <row r="3130" spans="1:6">
      <c r="A3130" t="s">
        <v>51680</v>
      </c>
      <c r="B3130" t="s">
        <v>51681</v>
      </c>
      <c r="C3130">
        <v>0</v>
      </c>
      <c r="D3130">
        <v>0.31900280161396999</v>
      </c>
      <c r="E3130">
        <v>0.92990350081786199</v>
      </c>
      <c r="F3130">
        <v>1.2366134572640901</v>
      </c>
    </row>
    <row r="3131" spans="1:6">
      <c r="A3131" t="s">
        <v>51680</v>
      </c>
      <c r="B3131" t="s">
        <v>51682</v>
      </c>
      <c r="C3131">
        <v>0</v>
      </c>
      <c r="D3131">
        <v>0.31900280161396999</v>
      </c>
      <c r="E3131">
        <v>0.92990350081786199</v>
      </c>
      <c r="F3131">
        <v>1.2366134572640901</v>
      </c>
    </row>
    <row r="3132" spans="1:6">
      <c r="A3132" t="s">
        <v>51680</v>
      </c>
      <c r="B3132" t="s">
        <v>51683</v>
      </c>
      <c r="C3132">
        <v>0.54031256566627195</v>
      </c>
      <c r="D3132">
        <v>0.31900280161396999</v>
      </c>
      <c r="E3132">
        <v>0.92990350081786199</v>
      </c>
      <c r="F3132">
        <v>1.2366134572640901</v>
      </c>
    </row>
    <row r="3133" spans="1:6">
      <c r="A3133" t="s">
        <v>51680</v>
      </c>
      <c r="B3133" t="s">
        <v>51684</v>
      </c>
      <c r="C3133">
        <v>0</v>
      </c>
      <c r="D3133">
        <v>0.31900280161396999</v>
      </c>
      <c r="E3133">
        <v>0.92990350081786199</v>
      </c>
      <c r="F3133">
        <v>1.2366134572640901</v>
      </c>
    </row>
    <row r="3134" spans="1:6">
      <c r="A3134" t="s">
        <v>51680</v>
      </c>
      <c r="B3134" t="s">
        <v>51685</v>
      </c>
      <c r="C3134">
        <v>0</v>
      </c>
      <c r="D3134">
        <v>0.31900280161396999</v>
      </c>
      <c r="E3134">
        <v>0.92990350081786199</v>
      </c>
      <c r="F3134">
        <v>1.2366134572640901</v>
      </c>
    </row>
    <row r="3135" spans="1:6">
      <c r="A3135" t="s">
        <v>51680</v>
      </c>
      <c r="B3135" t="s">
        <v>51686</v>
      </c>
      <c r="C3135">
        <v>7.0887769371139595E-2</v>
      </c>
      <c r="D3135">
        <v>0.31900280161396999</v>
      </c>
      <c r="E3135">
        <v>0.92990350081786199</v>
      </c>
      <c r="F3135">
        <v>1.2366134572640901</v>
      </c>
    </row>
    <row r="3136" spans="1:6">
      <c r="A3136" t="s">
        <v>51680</v>
      </c>
      <c r="B3136" t="s">
        <v>51687</v>
      </c>
      <c r="C3136">
        <v>0</v>
      </c>
      <c r="D3136">
        <v>0.31900280161396999</v>
      </c>
      <c r="E3136">
        <v>0.92990350081786199</v>
      </c>
      <c r="F3136">
        <v>1.2366134572640901</v>
      </c>
    </row>
    <row r="3137" spans="1:6">
      <c r="A3137" t="s">
        <v>51688</v>
      </c>
      <c r="B3137" t="s">
        <v>51689</v>
      </c>
      <c r="C3137">
        <v>0.14109235236495599</v>
      </c>
      <c r="D3137">
        <v>0.58142814801453702</v>
      </c>
      <c r="E3137">
        <v>0.95084097589314998</v>
      </c>
      <c r="F3137">
        <v>10.343907860173699</v>
      </c>
    </row>
    <row r="3138" spans="1:6">
      <c r="A3138" t="s">
        <v>51688</v>
      </c>
      <c r="B3138" t="s">
        <v>51690</v>
      </c>
      <c r="C3138">
        <v>0</v>
      </c>
      <c r="D3138">
        <v>0.58142814801453702</v>
      </c>
      <c r="E3138">
        <v>0.95084097589314998</v>
      </c>
      <c r="F3138">
        <v>10.343907860173699</v>
      </c>
    </row>
    <row r="3139" spans="1:6">
      <c r="A3139" t="s">
        <v>51688</v>
      </c>
      <c r="B3139" t="s">
        <v>51691</v>
      </c>
      <c r="C3139">
        <v>0</v>
      </c>
      <c r="D3139">
        <v>0.58142814801453702</v>
      </c>
      <c r="E3139">
        <v>0.95084097589314998</v>
      </c>
      <c r="F3139">
        <v>10.343907860173699</v>
      </c>
    </row>
    <row r="3140" spans="1:6">
      <c r="A3140" t="s">
        <v>51688</v>
      </c>
      <c r="B3140" t="s">
        <v>51692</v>
      </c>
      <c r="C3140">
        <v>0</v>
      </c>
      <c r="D3140">
        <v>0.58142814801453702</v>
      </c>
      <c r="E3140">
        <v>0.95084097589314998</v>
      </c>
      <c r="F3140">
        <v>10.343907860173699</v>
      </c>
    </row>
    <row r="3141" spans="1:6">
      <c r="A3141" t="s">
        <v>51688</v>
      </c>
      <c r="B3141" t="s">
        <v>51693</v>
      </c>
      <c r="C3141">
        <v>0</v>
      </c>
      <c r="D3141">
        <v>0.58142814801453702</v>
      </c>
      <c r="E3141">
        <v>0.95084097589314998</v>
      </c>
      <c r="F3141">
        <v>10.343907860173699</v>
      </c>
    </row>
    <row r="3142" spans="1:6">
      <c r="A3142" t="s">
        <v>51688</v>
      </c>
      <c r="B3142" t="s">
        <v>51694</v>
      </c>
      <c r="C3142">
        <v>0</v>
      </c>
      <c r="D3142">
        <v>0.58142814801453702</v>
      </c>
      <c r="E3142">
        <v>0.95084097589314998</v>
      </c>
      <c r="F3142">
        <v>10.343907860173699</v>
      </c>
    </row>
    <row r="3143" spans="1:6">
      <c r="A3143" t="s">
        <v>51688</v>
      </c>
      <c r="B3143" t="s">
        <v>51695</v>
      </c>
      <c r="C3143">
        <v>0</v>
      </c>
      <c r="D3143">
        <v>0.58142814801453702</v>
      </c>
      <c r="E3143">
        <v>0.95084097589314998</v>
      </c>
      <c r="F3143">
        <v>10.343907860173699</v>
      </c>
    </row>
    <row r="3144" spans="1:6">
      <c r="A3144" t="s">
        <v>51688</v>
      </c>
      <c r="B3144" t="s">
        <v>51696</v>
      </c>
      <c r="C3144">
        <v>0.109773386089077</v>
      </c>
      <c r="D3144">
        <v>0.58142814801453702</v>
      </c>
      <c r="E3144">
        <v>0.95084097589314998</v>
      </c>
      <c r="F3144">
        <v>10.343907860173699</v>
      </c>
    </row>
    <row r="3145" spans="1:6">
      <c r="A3145" t="s">
        <v>51688</v>
      </c>
      <c r="B3145" t="s">
        <v>51697</v>
      </c>
      <c r="C3145">
        <v>0</v>
      </c>
      <c r="D3145">
        <v>0.58142814801453702</v>
      </c>
      <c r="E3145">
        <v>0.95084097589314998</v>
      </c>
      <c r="F3145">
        <v>10.343907860173699</v>
      </c>
    </row>
    <row r="3146" spans="1:6">
      <c r="A3146" t="s">
        <v>51698</v>
      </c>
      <c r="B3146" t="s">
        <v>51699</v>
      </c>
      <c r="C3146">
        <v>0</v>
      </c>
      <c r="D3146">
        <v>0.38786530678439002</v>
      </c>
      <c r="E3146">
        <v>0.97684351692527904</v>
      </c>
      <c r="F3146">
        <v>0.41220448575469698</v>
      </c>
    </row>
    <row r="3147" spans="1:6">
      <c r="A3147" t="s">
        <v>51698</v>
      </c>
      <c r="B3147" t="s">
        <v>51700</v>
      </c>
      <c r="C3147">
        <v>0.99805669611389503</v>
      </c>
      <c r="D3147">
        <v>0.38786530678439002</v>
      </c>
      <c r="E3147">
        <v>0.97684351692527904</v>
      </c>
      <c r="F3147">
        <v>0.41220448575469698</v>
      </c>
    </row>
    <row r="3148" spans="1:6">
      <c r="A3148" t="s">
        <v>51698</v>
      </c>
      <c r="B3148" t="s">
        <v>51701</v>
      </c>
      <c r="C3148">
        <v>0</v>
      </c>
      <c r="D3148">
        <v>0.38786530678439002</v>
      </c>
      <c r="E3148">
        <v>0.97684351692527904</v>
      </c>
      <c r="F3148">
        <v>0.41220448575469698</v>
      </c>
    </row>
    <row r="3149" spans="1:6">
      <c r="A3149" t="s">
        <v>51698</v>
      </c>
      <c r="B3149" t="s">
        <v>51702</v>
      </c>
      <c r="C3149">
        <v>0.53394626099989495</v>
      </c>
      <c r="D3149">
        <v>0.38786530678439002</v>
      </c>
      <c r="E3149">
        <v>0.97684351692527904</v>
      </c>
      <c r="F3149">
        <v>0.41220448575469698</v>
      </c>
    </row>
    <row r="3150" spans="1:6">
      <c r="A3150" t="s">
        <v>51703</v>
      </c>
      <c r="B3150" t="s">
        <v>51704</v>
      </c>
      <c r="C3150">
        <v>0</v>
      </c>
      <c r="D3150">
        <v>0.97204697470370005</v>
      </c>
      <c r="E3150">
        <v>0.97687736249470303</v>
      </c>
      <c r="F3150">
        <v>0.88260254596888199</v>
      </c>
    </row>
    <row r="3151" spans="1:6">
      <c r="A3151" t="s">
        <v>51703</v>
      </c>
      <c r="B3151" t="s">
        <v>51705</v>
      </c>
      <c r="C3151">
        <v>0.73866456040214201</v>
      </c>
      <c r="D3151">
        <v>0.97204697470370005</v>
      </c>
      <c r="E3151">
        <v>0.97687736249470303</v>
      </c>
      <c r="F3151">
        <v>0.88260254596888199</v>
      </c>
    </row>
    <row r="3152" spans="1:6">
      <c r="A3152" t="s">
        <v>51703</v>
      </c>
      <c r="B3152" t="s">
        <v>51706</v>
      </c>
      <c r="C3152">
        <v>0</v>
      </c>
      <c r="D3152">
        <v>0.97204697470370005</v>
      </c>
      <c r="E3152">
        <v>0.97687736249470303</v>
      </c>
      <c r="F3152">
        <v>0.88260254596888199</v>
      </c>
    </row>
    <row r="3153" spans="1:6">
      <c r="A3153" t="s">
        <v>51703</v>
      </c>
      <c r="B3153" t="s">
        <v>51707</v>
      </c>
      <c r="C3153">
        <v>0.14277267278008601</v>
      </c>
      <c r="D3153">
        <v>0.97204697470370005</v>
      </c>
      <c r="E3153">
        <v>0.97687736249470303</v>
      </c>
      <c r="F3153">
        <v>0.88260254596888199</v>
      </c>
    </row>
    <row r="3154" spans="1:6">
      <c r="A3154" t="s">
        <v>51708</v>
      </c>
      <c r="B3154" t="s">
        <v>51709</v>
      </c>
      <c r="C3154">
        <v>0</v>
      </c>
      <c r="D3154">
        <v>0.190504088709506</v>
      </c>
      <c r="E3154" t="s">
        <v>106</v>
      </c>
      <c r="F3154">
        <v>5.9987876338654198</v>
      </c>
    </row>
    <row r="3155" spans="1:6">
      <c r="A3155" t="s">
        <v>51708</v>
      </c>
      <c r="B3155" t="s">
        <v>51710</v>
      </c>
      <c r="C3155">
        <v>0</v>
      </c>
      <c r="D3155">
        <v>0.190504088709506</v>
      </c>
      <c r="E3155" t="s">
        <v>106</v>
      </c>
      <c r="F3155">
        <v>5.9987876338654198</v>
      </c>
    </row>
    <row r="3156" spans="1:6">
      <c r="A3156" t="s">
        <v>51708</v>
      </c>
      <c r="B3156" t="s">
        <v>51711</v>
      </c>
      <c r="C3156">
        <v>0</v>
      </c>
      <c r="D3156">
        <v>0.190504088709506</v>
      </c>
      <c r="E3156" t="s">
        <v>106</v>
      </c>
      <c r="F3156">
        <v>5.9987876338654198</v>
      </c>
    </row>
    <row r="3157" spans="1:6">
      <c r="A3157" t="s">
        <v>51708</v>
      </c>
      <c r="B3157" t="s">
        <v>51712</v>
      </c>
      <c r="C3157">
        <v>0</v>
      </c>
      <c r="D3157">
        <v>0.190504088709506</v>
      </c>
      <c r="E3157" t="s">
        <v>106</v>
      </c>
      <c r="F3157">
        <v>5.9987876338654198</v>
      </c>
    </row>
    <row r="3158" spans="1:6">
      <c r="A3158" t="s">
        <v>51713</v>
      </c>
      <c r="B3158" t="s">
        <v>51714</v>
      </c>
      <c r="C3158">
        <v>0</v>
      </c>
      <c r="D3158">
        <v>0.19375907073497001</v>
      </c>
      <c r="E3158" t="s">
        <v>106</v>
      </c>
      <c r="F3158">
        <v>2.05617296423519</v>
      </c>
    </row>
    <row r="3159" spans="1:6">
      <c r="A3159" t="s">
        <v>51713</v>
      </c>
      <c r="B3159" t="s">
        <v>51715</v>
      </c>
      <c r="C3159">
        <v>0</v>
      </c>
      <c r="D3159">
        <v>0.19375907073497001</v>
      </c>
      <c r="E3159" t="s">
        <v>106</v>
      </c>
      <c r="F3159">
        <v>2.05617296423519</v>
      </c>
    </row>
    <row r="3160" spans="1:6">
      <c r="A3160" t="s">
        <v>51713</v>
      </c>
      <c r="B3160" t="s">
        <v>51716</v>
      </c>
      <c r="C3160">
        <v>0</v>
      </c>
      <c r="D3160">
        <v>0.19375907073497001</v>
      </c>
      <c r="E3160" t="s">
        <v>106</v>
      </c>
      <c r="F3160">
        <v>2.05617296423519</v>
      </c>
    </row>
    <row r="3161" spans="1:6">
      <c r="A3161" t="s">
        <v>51717</v>
      </c>
      <c r="B3161" t="s">
        <v>51718</v>
      </c>
      <c r="C3161">
        <v>0</v>
      </c>
      <c r="D3161">
        <v>0.72002605524915597</v>
      </c>
      <c r="E3161" t="s">
        <v>106</v>
      </c>
      <c r="F3161">
        <v>7.13841180036371</v>
      </c>
    </row>
    <row r="3162" spans="1:6">
      <c r="A3162" t="s">
        <v>51717</v>
      </c>
      <c r="B3162" t="s">
        <v>51719</v>
      </c>
      <c r="C3162">
        <v>0</v>
      </c>
      <c r="D3162">
        <v>0.72002605524915597</v>
      </c>
      <c r="E3162" t="s">
        <v>106</v>
      </c>
      <c r="F3162">
        <v>7.13841180036371</v>
      </c>
    </row>
    <row r="3163" spans="1:6">
      <c r="A3163" t="s">
        <v>51717</v>
      </c>
      <c r="B3163" t="s">
        <v>51720</v>
      </c>
      <c r="C3163">
        <v>0</v>
      </c>
      <c r="D3163">
        <v>0.72002605524915597</v>
      </c>
      <c r="E3163" t="s">
        <v>106</v>
      </c>
      <c r="F3163">
        <v>7.13841180036371</v>
      </c>
    </row>
    <row r="3164" spans="1:6">
      <c r="A3164" t="s">
        <v>51721</v>
      </c>
      <c r="B3164" t="s">
        <v>51722</v>
      </c>
      <c r="C3164">
        <v>0.38415738231064001</v>
      </c>
      <c r="D3164">
        <v>0.83381338096181001</v>
      </c>
      <c r="E3164">
        <v>0.888034667558392</v>
      </c>
      <c r="F3164">
        <v>20.9545362699535</v>
      </c>
    </row>
    <row r="3165" spans="1:6">
      <c r="A3165" t="s">
        <v>51721</v>
      </c>
      <c r="B3165" t="s">
        <v>51723</v>
      </c>
      <c r="C3165">
        <v>0.274057642270704</v>
      </c>
      <c r="D3165">
        <v>0.83381338096181001</v>
      </c>
      <c r="E3165">
        <v>0.888034667558392</v>
      </c>
      <c r="F3165">
        <v>20.9545362699535</v>
      </c>
    </row>
    <row r="3166" spans="1:6">
      <c r="A3166" t="s">
        <v>51721</v>
      </c>
      <c r="B3166" t="s">
        <v>51724</v>
      </c>
      <c r="C3166">
        <v>0</v>
      </c>
      <c r="D3166">
        <v>0.83381338096181001</v>
      </c>
      <c r="E3166">
        <v>0.888034667558392</v>
      </c>
      <c r="F3166">
        <v>20.9545362699535</v>
      </c>
    </row>
    <row r="3167" spans="1:6">
      <c r="A3167" t="s">
        <v>51725</v>
      </c>
      <c r="B3167" t="s">
        <v>51726</v>
      </c>
      <c r="C3167">
        <v>0</v>
      </c>
      <c r="D3167">
        <v>3.9823568996879E-2</v>
      </c>
      <c r="E3167" t="s">
        <v>106</v>
      </c>
      <c r="F3167">
        <v>1.29480703172358</v>
      </c>
    </row>
    <row r="3168" spans="1:6">
      <c r="A3168" t="s">
        <v>51725</v>
      </c>
      <c r="B3168" t="s">
        <v>51727</v>
      </c>
      <c r="C3168">
        <v>0</v>
      </c>
      <c r="D3168">
        <v>3.9823568996879E-2</v>
      </c>
      <c r="E3168" t="s">
        <v>106</v>
      </c>
      <c r="F3168">
        <v>1.29480703172358</v>
      </c>
    </row>
    <row r="3169" spans="1:6">
      <c r="A3169" t="s">
        <v>51725</v>
      </c>
      <c r="B3169" t="s">
        <v>51728</v>
      </c>
      <c r="C3169">
        <v>0</v>
      </c>
      <c r="D3169">
        <v>3.9823568996879E-2</v>
      </c>
      <c r="E3169" t="s">
        <v>106</v>
      </c>
      <c r="F3169">
        <v>1.29480703172358</v>
      </c>
    </row>
    <row r="3170" spans="1:6">
      <c r="A3170" t="s">
        <v>51725</v>
      </c>
      <c r="B3170" t="s">
        <v>51729</v>
      </c>
      <c r="C3170">
        <v>0</v>
      </c>
      <c r="D3170">
        <v>3.9823568996879E-2</v>
      </c>
      <c r="E3170" t="s">
        <v>106</v>
      </c>
      <c r="F3170">
        <v>1.29480703172358</v>
      </c>
    </row>
    <row r="3171" spans="1:6">
      <c r="A3171" t="s">
        <v>51725</v>
      </c>
      <c r="B3171" t="s">
        <v>51730</v>
      </c>
      <c r="C3171">
        <v>0</v>
      </c>
      <c r="D3171">
        <v>3.9823568996879E-2</v>
      </c>
      <c r="E3171" t="s">
        <v>106</v>
      </c>
      <c r="F3171">
        <v>1.29480703172358</v>
      </c>
    </row>
    <row r="3172" spans="1:6">
      <c r="A3172" t="s">
        <v>51725</v>
      </c>
      <c r="B3172" t="s">
        <v>51731</v>
      </c>
      <c r="C3172">
        <v>0</v>
      </c>
      <c r="D3172">
        <v>3.9823568996879E-2</v>
      </c>
      <c r="E3172" t="s">
        <v>106</v>
      </c>
      <c r="F3172">
        <v>1.29480703172358</v>
      </c>
    </row>
    <row r="3173" spans="1:6">
      <c r="A3173" t="s">
        <v>51725</v>
      </c>
      <c r="B3173" t="s">
        <v>51732</v>
      </c>
      <c r="C3173">
        <v>0</v>
      </c>
      <c r="D3173">
        <v>3.9823568996879E-2</v>
      </c>
      <c r="E3173" t="s">
        <v>106</v>
      </c>
      <c r="F3173">
        <v>1.29480703172358</v>
      </c>
    </row>
    <row r="3174" spans="1:6">
      <c r="A3174" t="s">
        <v>51725</v>
      </c>
      <c r="B3174" t="s">
        <v>51733</v>
      </c>
      <c r="C3174">
        <v>0</v>
      </c>
      <c r="D3174">
        <v>3.9823568996879E-2</v>
      </c>
      <c r="E3174" t="s">
        <v>106</v>
      </c>
      <c r="F3174">
        <v>1.29480703172358</v>
      </c>
    </row>
    <row r="3175" spans="1:6">
      <c r="A3175" t="s">
        <v>51725</v>
      </c>
      <c r="B3175" t="s">
        <v>51734</v>
      </c>
      <c r="C3175">
        <v>0</v>
      </c>
      <c r="D3175">
        <v>3.9823568996879E-2</v>
      </c>
      <c r="E3175" t="s">
        <v>106</v>
      </c>
      <c r="F3175">
        <v>1.29480703172358</v>
      </c>
    </row>
    <row r="3176" spans="1:6">
      <c r="A3176" t="s">
        <v>51735</v>
      </c>
      <c r="B3176" t="s">
        <v>51736</v>
      </c>
      <c r="C3176">
        <v>0.250327533765829</v>
      </c>
      <c r="D3176">
        <v>0.19478337462641901</v>
      </c>
      <c r="E3176">
        <v>0.89257800706084101</v>
      </c>
      <c r="F3176">
        <v>2.6623560315215098</v>
      </c>
    </row>
    <row r="3177" spans="1:6">
      <c r="A3177" t="s">
        <v>51735</v>
      </c>
      <c r="B3177" t="s">
        <v>51737</v>
      </c>
      <c r="C3177">
        <v>0</v>
      </c>
      <c r="D3177">
        <v>0.19478337462641901</v>
      </c>
      <c r="E3177">
        <v>0.89257800706084101</v>
      </c>
      <c r="F3177">
        <v>2.6623560315215098</v>
      </c>
    </row>
    <row r="3178" spans="1:6">
      <c r="A3178" t="s">
        <v>51735</v>
      </c>
      <c r="B3178" t="s">
        <v>51738</v>
      </c>
      <c r="C3178">
        <v>0</v>
      </c>
      <c r="D3178">
        <v>0.19478337462641901</v>
      </c>
      <c r="E3178">
        <v>0.89257800706084101</v>
      </c>
      <c r="F3178">
        <v>2.6623560315215098</v>
      </c>
    </row>
    <row r="3179" spans="1:6">
      <c r="A3179" t="s">
        <v>51735</v>
      </c>
      <c r="B3179" t="s">
        <v>51739</v>
      </c>
      <c r="C3179">
        <v>0</v>
      </c>
      <c r="D3179">
        <v>0.19478337462641901</v>
      </c>
      <c r="E3179">
        <v>0.89257800706084101</v>
      </c>
      <c r="F3179">
        <v>2.6623560315215098</v>
      </c>
    </row>
    <row r="3180" spans="1:6">
      <c r="A3180" t="s">
        <v>51735</v>
      </c>
      <c r="B3180" t="s">
        <v>51740</v>
      </c>
      <c r="C3180">
        <v>0</v>
      </c>
      <c r="D3180">
        <v>0.19478337462641901</v>
      </c>
      <c r="E3180">
        <v>0.89257800706084101</v>
      </c>
      <c r="F3180">
        <v>2.6623560315215098</v>
      </c>
    </row>
    <row r="3181" spans="1:6">
      <c r="A3181" t="s">
        <v>51735</v>
      </c>
      <c r="B3181" t="s">
        <v>51741</v>
      </c>
      <c r="C3181">
        <v>0</v>
      </c>
      <c r="D3181">
        <v>0.19478337462641901</v>
      </c>
      <c r="E3181">
        <v>0.89257800706084101</v>
      </c>
      <c r="F3181">
        <v>2.6623560315215098</v>
      </c>
    </row>
    <row r="3182" spans="1:6">
      <c r="A3182" t="s">
        <v>51735</v>
      </c>
      <c r="B3182" t="s">
        <v>51742</v>
      </c>
      <c r="C3182">
        <v>0</v>
      </c>
      <c r="D3182">
        <v>0.19478337462641901</v>
      </c>
      <c r="E3182">
        <v>0.89257800706084101</v>
      </c>
      <c r="F3182">
        <v>2.6623560315215098</v>
      </c>
    </row>
    <row r="3183" spans="1:6">
      <c r="A3183" t="s">
        <v>51735</v>
      </c>
      <c r="B3183" t="s">
        <v>51743</v>
      </c>
      <c r="C3183">
        <v>0</v>
      </c>
      <c r="D3183">
        <v>0.19478337462641901</v>
      </c>
      <c r="E3183">
        <v>0.89257800706084101</v>
      </c>
      <c r="F3183">
        <v>2.6623560315215098</v>
      </c>
    </row>
    <row r="3184" spans="1:6">
      <c r="A3184" t="s">
        <v>51735</v>
      </c>
      <c r="B3184" t="s">
        <v>51744</v>
      </c>
      <c r="C3184">
        <v>0.47860011688808402</v>
      </c>
      <c r="D3184">
        <v>0.19478337462641901</v>
      </c>
      <c r="E3184">
        <v>0.89257800706084101</v>
      </c>
      <c r="F3184">
        <v>2.6623560315215098</v>
      </c>
    </row>
    <row r="3185" spans="1:6">
      <c r="A3185" t="s">
        <v>51745</v>
      </c>
      <c r="B3185" t="s">
        <v>51746</v>
      </c>
      <c r="C3185">
        <v>0</v>
      </c>
      <c r="D3185">
        <v>4.3261309083866002E-2</v>
      </c>
      <c r="E3185">
        <v>0.77657067481943898</v>
      </c>
      <c r="F3185">
        <v>1.2366134572640901</v>
      </c>
    </row>
    <row r="3186" spans="1:6">
      <c r="A3186" t="s">
        <v>51745</v>
      </c>
      <c r="B3186" t="s">
        <v>51747</v>
      </c>
      <c r="C3186">
        <v>0.37657067481943901</v>
      </c>
      <c r="D3186">
        <v>4.3261309083866002E-2</v>
      </c>
      <c r="E3186">
        <v>0.77657067481943898</v>
      </c>
      <c r="F3186">
        <v>1.2366134572640901</v>
      </c>
    </row>
    <row r="3187" spans="1:6">
      <c r="A3187" t="s">
        <v>51745</v>
      </c>
      <c r="B3187" t="s">
        <v>51748</v>
      </c>
      <c r="C3187">
        <v>0</v>
      </c>
      <c r="D3187">
        <v>4.3261309083866002E-2</v>
      </c>
      <c r="E3187">
        <v>0.77657067481943898</v>
      </c>
      <c r="F3187">
        <v>1.2366134572640901</v>
      </c>
    </row>
    <row r="3188" spans="1:6">
      <c r="A3188" t="s">
        <v>51749</v>
      </c>
      <c r="B3188" t="s">
        <v>51750</v>
      </c>
      <c r="C3188">
        <v>0</v>
      </c>
      <c r="D3188">
        <v>0.43366583671747799</v>
      </c>
      <c r="E3188">
        <v>0.975676487540455</v>
      </c>
      <c r="F3188">
        <v>16.871287128712801</v>
      </c>
    </row>
    <row r="3189" spans="1:6">
      <c r="A3189" t="s">
        <v>51749</v>
      </c>
      <c r="B3189" t="s">
        <v>51751</v>
      </c>
      <c r="C3189">
        <v>0</v>
      </c>
      <c r="D3189">
        <v>0.43366583671747799</v>
      </c>
      <c r="E3189">
        <v>0.975676487540455</v>
      </c>
      <c r="F3189">
        <v>16.871287128712801</v>
      </c>
    </row>
    <row r="3190" spans="1:6">
      <c r="A3190" t="s">
        <v>51749</v>
      </c>
      <c r="B3190" t="s">
        <v>51752</v>
      </c>
      <c r="C3190">
        <v>0</v>
      </c>
      <c r="D3190">
        <v>0.43366583671747799</v>
      </c>
      <c r="E3190">
        <v>0.975676487540455</v>
      </c>
      <c r="F3190">
        <v>16.871287128712801</v>
      </c>
    </row>
    <row r="3191" spans="1:6">
      <c r="A3191" t="s">
        <v>51749</v>
      </c>
      <c r="B3191" t="s">
        <v>51753</v>
      </c>
      <c r="C3191">
        <v>0</v>
      </c>
      <c r="D3191">
        <v>0.43366583671747799</v>
      </c>
      <c r="E3191">
        <v>0.975676487540455</v>
      </c>
      <c r="F3191">
        <v>16.871287128712801</v>
      </c>
    </row>
    <row r="3192" spans="1:6">
      <c r="A3192" t="s">
        <v>51749</v>
      </c>
      <c r="B3192" t="s">
        <v>51754</v>
      </c>
      <c r="C3192">
        <v>0</v>
      </c>
      <c r="D3192">
        <v>0.43366583671747799</v>
      </c>
      <c r="E3192">
        <v>0.975676487540455</v>
      </c>
      <c r="F3192">
        <v>16.871287128712801</v>
      </c>
    </row>
    <row r="3193" spans="1:6">
      <c r="A3193" t="s">
        <v>51749</v>
      </c>
      <c r="B3193" t="s">
        <v>51755</v>
      </c>
      <c r="C3193">
        <v>0</v>
      </c>
      <c r="D3193">
        <v>0.43366583671747799</v>
      </c>
      <c r="E3193">
        <v>0.975676487540455</v>
      </c>
      <c r="F3193">
        <v>16.871287128712801</v>
      </c>
    </row>
    <row r="3194" spans="1:6">
      <c r="A3194" t="s">
        <v>51749</v>
      </c>
      <c r="B3194" t="s">
        <v>51756</v>
      </c>
      <c r="C3194">
        <v>0</v>
      </c>
      <c r="D3194">
        <v>0.43366583671747799</v>
      </c>
      <c r="E3194">
        <v>0.975676487540455</v>
      </c>
      <c r="F3194">
        <v>16.871287128712801</v>
      </c>
    </row>
    <row r="3195" spans="1:6">
      <c r="A3195" t="s">
        <v>51749</v>
      </c>
      <c r="B3195" t="s">
        <v>51757</v>
      </c>
      <c r="C3195">
        <v>0</v>
      </c>
      <c r="D3195">
        <v>0.43366583671747799</v>
      </c>
      <c r="E3195">
        <v>0.975676487540455</v>
      </c>
      <c r="F3195">
        <v>16.871287128712801</v>
      </c>
    </row>
    <row r="3196" spans="1:6">
      <c r="A3196" t="s">
        <v>51749</v>
      </c>
      <c r="B3196" t="s">
        <v>51758</v>
      </c>
      <c r="C3196">
        <v>0.77567648754045504</v>
      </c>
      <c r="D3196">
        <v>0.43366583671747799</v>
      </c>
      <c r="E3196">
        <v>0.975676487540455</v>
      </c>
      <c r="F3196">
        <v>16.871287128712801</v>
      </c>
    </row>
    <row r="3197" spans="1:6">
      <c r="A3197" t="s">
        <v>51759</v>
      </c>
      <c r="B3197" t="s">
        <v>51760</v>
      </c>
      <c r="C3197">
        <v>2.5192453275493301</v>
      </c>
      <c r="D3197">
        <v>0.578076070610827</v>
      </c>
      <c r="E3197">
        <v>0.96711091500886703</v>
      </c>
      <c r="F3197">
        <v>8.2343907860173697</v>
      </c>
    </row>
    <row r="3198" spans="1:6">
      <c r="A3198" t="s">
        <v>51759</v>
      </c>
      <c r="B3198" t="s">
        <v>51761</v>
      </c>
      <c r="C3198">
        <v>-1.8887912230131001</v>
      </c>
      <c r="D3198">
        <v>0.578076070610827</v>
      </c>
      <c r="E3198">
        <v>0.96711091500886703</v>
      </c>
      <c r="F3198">
        <v>8.2343907860173697</v>
      </c>
    </row>
    <row r="3199" spans="1:6">
      <c r="A3199" t="s">
        <v>51762</v>
      </c>
      <c r="B3199" t="s">
        <v>51763</v>
      </c>
      <c r="C3199">
        <v>0</v>
      </c>
      <c r="D3199">
        <v>0.12889053008634299</v>
      </c>
      <c r="E3199" t="s">
        <v>106</v>
      </c>
      <c r="F3199">
        <v>8.2343907860173697</v>
      </c>
    </row>
    <row r="3200" spans="1:6">
      <c r="A3200" t="s">
        <v>51762</v>
      </c>
      <c r="B3200" t="s">
        <v>51764</v>
      </c>
      <c r="C3200">
        <v>0</v>
      </c>
      <c r="D3200">
        <v>0.12889053008634299</v>
      </c>
      <c r="E3200" t="s">
        <v>106</v>
      </c>
      <c r="F3200">
        <v>8.2343907860173697</v>
      </c>
    </row>
    <row r="3201" spans="1:6">
      <c r="A3201" t="s">
        <v>51762</v>
      </c>
      <c r="B3201" t="s">
        <v>51765</v>
      </c>
      <c r="C3201">
        <v>0</v>
      </c>
      <c r="D3201">
        <v>0.12889053008634299</v>
      </c>
      <c r="E3201" t="s">
        <v>106</v>
      </c>
      <c r="F3201">
        <v>8.2343907860173697</v>
      </c>
    </row>
    <row r="3202" spans="1:6">
      <c r="A3202" t="s">
        <v>51766</v>
      </c>
      <c r="B3202" t="s">
        <v>51767</v>
      </c>
      <c r="C3202">
        <v>0</v>
      </c>
      <c r="D3202">
        <v>0.16823368973115399</v>
      </c>
      <c r="E3202">
        <v>0.97326435217129503</v>
      </c>
      <c r="F3202">
        <v>10.343907860173699</v>
      </c>
    </row>
    <row r="3203" spans="1:6">
      <c r="A3203" t="s">
        <v>51766</v>
      </c>
      <c r="B3203" t="s">
        <v>51768</v>
      </c>
      <c r="C3203">
        <v>0</v>
      </c>
      <c r="D3203">
        <v>0.16823368973115399</v>
      </c>
      <c r="E3203">
        <v>0.97326435217129503</v>
      </c>
      <c r="F3203">
        <v>10.343907860173699</v>
      </c>
    </row>
    <row r="3204" spans="1:6">
      <c r="A3204" t="s">
        <v>51766</v>
      </c>
      <c r="B3204" t="s">
        <v>51769</v>
      </c>
      <c r="C3204">
        <v>0.15303276247917</v>
      </c>
      <c r="D3204">
        <v>0.16823368973115399</v>
      </c>
      <c r="E3204">
        <v>0.97326435217129503</v>
      </c>
      <c r="F3204">
        <v>10.343907860173699</v>
      </c>
    </row>
    <row r="3205" spans="1:6">
      <c r="A3205" t="s">
        <v>51766</v>
      </c>
      <c r="B3205" t="s">
        <v>51770</v>
      </c>
      <c r="C3205">
        <v>0.84620176368340905</v>
      </c>
      <c r="D3205">
        <v>0.16823368973115399</v>
      </c>
      <c r="E3205">
        <v>0.97326435217129503</v>
      </c>
      <c r="F3205">
        <v>10.343907860173699</v>
      </c>
    </row>
    <row r="3206" spans="1:6">
      <c r="A3206" t="s">
        <v>51771</v>
      </c>
      <c r="B3206" t="s">
        <v>51772</v>
      </c>
      <c r="C3206">
        <v>8.6723308399036803E-2</v>
      </c>
      <c r="D3206">
        <v>0.174592572898356</v>
      </c>
      <c r="E3206">
        <v>0.95421457515720198</v>
      </c>
      <c r="F3206">
        <v>7.5409173570418204</v>
      </c>
    </row>
    <row r="3207" spans="1:6">
      <c r="A3207" t="s">
        <v>51771</v>
      </c>
      <c r="B3207" t="s">
        <v>51773</v>
      </c>
      <c r="C3207">
        <v>0</v>
      </c>
      <c r="D3207">
        <v>0.174592572898356</v>
      </c>
      <c r="E3207">
        <v>0.95421457515720198</v>
      </c>
      <c r="F3207">
        <v>7.5409173570418204</v>
      </c>
    </row>
    <row r="3208" spans="1:6">
      <c r="A3208" t="s">
        <v>51771</v>
      </c>
      <c r="B3208" t="s">
        <v>51774</v>
      </c>
      <c r="C3208">
        <v>0.93548342625556702</v>
      </c>
      <c r="D3208">
        <v>0.174592572898356</v>
      </c>
      <c r="E3208">
        <v>0.95421457515720198</v>
      </c>
      <c r="F3208">
        <v>7.5409173570418204</v>
      </c>
    </row>
    <row r="3209" spans="1:6">
      <c r="A3209" t="s">
        <v>51775</v>
      </c>
      <c r="B3209" t="s">
        <v>51776</v>
      </c>
      <c r="C3209">
        <v>0.38566135928219902</v>
      </c>
      <c r="D3209">
        <v>0.42960728905446799</v>
      </c>
      <c r="E3209">
        <v>0.69446135928219899</v>
      </c>
      <c r="F3209">
        <v>8.5253586583148095</v>
      </c>
    </row>
    <row r="3210" spans="1:6">
      <c r="A3210" t="s">
        <v>51775</v>
      </c>
      <c r="B3210" t="s">
        <v>51777</v>
      </c>
      <c r="C3210">
        <v>0</v>
      </c>
      <c r="D3210">
        <v>0.42960728905446799</v>
      </c>
      <c r="E3210">
        <v>0.69446135928219899</v>
      </c>
      <c r="F3210">
        <v>8.5253586583148095</v>
      </c>
    </row>
    <row r="3211" spans="1:6">
      <c r="A3211" t="s">
        <v>51775</v>
      </c>
      <c r="B3211" t="s">
        <v>51778</v>
      </c>
      <c r="C3211">
        <v>0</v>
      </c>
      <c r="D3211">
        <v>0.42960728905446799</v>
      </c>
      <c r="E3211">
        <v>0.69446135928219899</v>
      </c>
      <c r="F3211">
        <v>8.5253586583148095</v>
      </c>
    </row>
    <row r="3212" spans="1:6">
      <c r="A3212" t="s">
        <v>51775</v>
      </c>
      <c r="B3212" t="s">
        <v>51779</v>
      </c>
      <c r="C3212">
        <v>0</v>
      </c>
      <c r="D3212">
        <v>0.42960728905446799</v>
      </c>
      <c r="E3212">
        <v>0.69446135928219899</v>
      </c>
      <c r="F3212">
        <v>8.5253586583148095</v>
      </c>
    </row>
    <row r="3213" spans="1:6">
      <c r="A3213" t="s">
        <v>51780</v>
      </c>
      <c r="B3213" t="s">
        <v>51781</v>
      </c>
      <c r="C3213">
        <v>0</v>
      </c>
      <c r="D3213">
        <v>0.34858816832939099</v>
      </c>
      <c r="E3213">
        <v>0.88032455159607803</v>
      </c>
      <c r="F3213">
        <v>4.5245504142250903</v>
      </c>
    </row>
    <row r="3214" spans="1:6">
      <c r="A3214" t="s">
        <v>51780</v>
      </c>
      <c r="B3214" t="s">
        <v>51782</v>
      </c>
      <c r="C3214">
        <v>0</v>
      </c>
      <c r="D3214">
        <v>0.34858816832939099</v>
      </c>
      <c r="E3214">
        <v>0.88032455159607803</v>
      </c>
      <c r="F3214">
        <v>4.5245504142250903</v>
      </c>
    </row>
    <row r="3215" spans="1:6">
      <c r="A3215" t="s">
        <v>51780</v>
      </c>
      <c r="B3215" t="s">
        <v>51783</v>
      </c>
      <c r="C3215">
        <v>0.210869739601554</v>
      </c>
      <c r="D3215">
        <v>0.34858816832939099</v>
      </c>
      <c r="E3215">
        <v>0.88032455159607803</v>
      </c>
      <c r="F3215">
        <v>4.5245504142250903</v>
      </c>
    </row>
    <row r="3216" spans="1:6">
      <c r="A3216" t="s">
        <v>51780</v>
      </c>
      <c r="B3216" t="s">
        <v>51784</v>
      </c>
      <c r="C3216">
        <v>0</v>
      </c>
      <c r="D3216">
        <v>0.34858816832939099</v>
      </c>
      <c r="E3216">
        <v>0.88032455159607803</v>
      </c>
      <c r="F3216">
        <v>4.5245504142250903</v>
      </c>
    </row>
    <row r="3217" spans="1:6">
      <c r="A3217" t="s">
        <v>51780</v>
      </c>
      <c r="B3217" t="s">
        <v>51785</v>
      </c>
      <c r="C3217">
        <v>0</v>
      </c>
      <c r="D3217">
        <v>0.34858816832939099</v>
      </c>
      <c r="E3217">
        <v>0.88032455159607803</v>
      </c>
      <c r="F3217">
        <v>4.5245504142250903</v>
      </c>
    </row>
    <row r="3218" spans="1:6">
      <c r="A3218" t="s">
        <v>51780</v>
      </c>
      <c r="B3218" t="s">
        <v>51786</v>
      </c>
      <c r="C3218">
        <v>0.493337236099398</v>
      </c>
      <c r="D3218">
        <v>0.34858816832939099</v>
      </c>
      <c r="E3218">
        <v>0.88032455159607803</v>
      </c>
      <c r="F3218">
        <v>4.5245504142250903</v>
      </c>
    </row>
    <row r="3219" spans="1:6">
      <c r="A3219" t="s">
        <v>51787</v>
      </c>
      <c r="B3219" t="s">
        <v>51788</v>
      </c>
      <c r="C3219">
        <v>-1.06932758042326</v>
      </c>
      <c r="D3219">
        <v>0.30320311060689498</v>
      </c>
      <c r="E3219">
        <v>0.88110476937908799</v>
      </c>
      <c r="F3219">
        <v>0</v>
      </c>
    </row>
    <row r="3220" spans="1:6">
      <c r="A3220" t="s">
        <v>51787</v>
      </c>
      <c r="B3220" t="s">
        <v>51789</v>
      </c>
      <c r="C3220">
        <v>1.50176936313917</v>
      </c>
      <c r="D3220">
        <v>0.30320311060689498</v>
      </c>
      <c r="E3220">
        <v>0.88110476937908799</v>
      </c>
      <c r="F3220">
        <v>0</v>
      </c>
    </row>
    <row r="3221" spans="1:6">
      <c r="A3221" t="s">
        <v>51790</v>
      </c>
      <c r="B3221" t="s">
        <v>51791</v>
      </c>
      <c r="C3221">
        <v>0</v>
      </c>
      <c r="D3221">
        <v>0.217870286910648</v>
      </c>
      <c r="E3221">
        <v>0.76779703319964898</v>
      </c>
      <c r="F3221">
        <v>0.51404324105879895</v>
      </c>
    </row>
    <row r="3222" spans="1:6">
      <c r="A3222" t="s">
        <v>51790</v>
      </c>
      <c r="B3222" t="s">
        <v>51792</v>
      </c>
      <c r="C3222">
        <v>0</v>
      </c>
      <c r="D3222">
        <v>0.217870286910648</v>
      </c>
      <c r="E3222">
        <v>0.76779703319964898</v>
      </c>
      <c r="F3222">
        <v>0.51404324105879895</v>
      </c>
    </row>
    <row r="3223" spans="1:6">
      <c r="A3223" t="s">
        <v>51790</v>
      </c>
      <c r="B3223" t="s">
        <v>51793</v>
      </c>
      <c r="C3223">
        <v>0</v>
      </c>
      <c r="D3223">
        <v>0.217870286910648</v>
      </c>
      <c r="E3223">
        <v>0.76779703319964898</v>
      </c>
      <c r="F3223">
        <v>0.51404324105879895</v>
      </c>
    </row>
    <row r="3224" spans="1:6">
      <c r="A3224" t="s">
        <v>51790</v>
      </c>
      <c r="B3224" t="s">
        <v>51794</v>
      </c>
      <c r="C3224">
        <v>0</v>
      </c>
      <c r="D3224">
        <v>0.217870286910648</v>
      </c>
      <c r="E3224">
        <v>0.76779703319964898</v>
      </c>
      <c r="F3224">
        <v>0.51404324105879895</v>
      </c>
    </row>
    <row r="3225" spans="1:6">
      <c r="A3225" t="s">
        <v>51790</v>
      </c>
      <c r="B3225" t="s">
        <v>51795</v>
      </c>
      <c r="C3225">
        <v>0</v>
      </c>
      <c r="D3225">
        <v>0.217870286910648</v>
      </c>
      <c r="E3225">
        <v>0.76779703319964898</v>
      </c>
      <c r="F3225">
        <v>0.51404324105879895</v>
      </c>
    </row>
    <row r="3226" spans="1:6">
      <c r="A3226" t="s">
        <v>51790</v>
      </c>
      <c r="B3226" t="s">
        <v>51796</v>
      </c>
      <c r="C3226">
        <v>0.24779703319964999</v>
      </c>
      <c r="D3226">
        <v>0.217870286910648</v>
      </c>
      <c r="E3226">
        <v>0.76779703319964898</v>
      </c>
      <c r="F3226">
        <v>0.51404324105879895</v>
      </c>
    </row>
    <row r="3227" spans="1:6">
      <c r="A3227" t="s">
        <v>51790</v>
      </c>
      <c r="B3227" t="s">
        <v>51797</v>
      </c>
      <c r="C3227">
        <v>0</v>
      </c>
      <c r="D3227">
        <v>0.217870286910648</v>
      </c>
      <c r="E3227">
        <v>0.76779703319964898</v>
      </c>
      <c r="F3227">
        <v>0.51404324105879895</v>
      </c>
    </row>
    <row r="3228" spans="1:6">
      <c r="A3228" t="s">
        <v>51798</v>
      </c>
      <c r="B3228" t="s">
        <v>51799</v>
      </c>
      <c r="C3228">
        <v>0</v>
      </c>
      <c r="D3228">
        <v>0.44778748361669302</v>
      </c>
      <c r="E3228">
        <v>0.86058621233500698</v>
      </c>
      <c r="F3228">
        <v>0.62558092543948196</v>
      </c>
    </row>
    <row r="3229" spans="1:6">
      <c r="A3229" t="s">
        <v>51798</v>
      </c>
      <c r="B3229" t="s">
        <v>51800</v>
      </c>
      <c r="C3229">
        <v>0</v>
      </c>
      <c r="D3229">
        <v>0.44778748361669302</v>
      </c>
      <c r="E3229">
        <v>0.86058621233500698</v>
      </c>
      <c r="F3229">
        <v>0.62558092543948196</v>
      </c>
    </row>
    <row r="3230" spans="1:6">
      <c r="A3230" t="s">
        <v>51798</v>
      </c>
      <c r="B3230" t="s">
        <v>51801</v>
      </c>
      <c r="C3230">
        <v>0</v>
      </c>
      <c r="D3230">
        <v>0.44778748361669302</v>
      </c>
      <c r="E3230">
        <v>0.86058621233500698</v>
      </c>
      <c r="F3230">
        <v>0.62558092543948196</v>
      </c>
    </row>
    <row r="3231" spans="1:6">
      <c r="A3231" t="s">
        <v>51798</v>
      </c>
      <c r="B3231" t="s">
        <v>51802</v>
      </c>
      <c r="C3231">
        <v>0</v>
      </c>
      <c r="D3231">
        <v>0.44778748361669302</v>
      </c>
      <c r="E3231">
        <v>0.86058621233500698</v>
      </c>
      <c r="F3231">
        <v>0.62558092543948196</v>
      </c>
    </row>
    <row r="3232" spans="1:6">
      <c r="A3232" t="s">
        <v>51798</v>
      </c>
      <c r="B3232" t="s">
        <v>51803</v>
      </c>
      <c r="C3232">
        <v>0</v>
      </c>
      <c r="D3232">
        <v>0.44778748361669302</v>
      </c>
      <c r="E3232">
        <v>0.86058621233500698</v>
      </c>
      <c r="F3232">
        <v>0.62558092543948196</v>
      </c>
    </row>
    <row r="3233" spans="1:6">
      <c r="A3233" t="s">
        <v>51798</v>
      </c>
      <c r="B3233" t="s">
        <v>51804</v>
      </c>
      <c r="C3233">
        <v>0.306986212335007</v>
      </c>
      <c r="D3233">
        <v>0.44778748361669302</v>
      </c>
      <c r="E3233">
        <v>0.86058621233500698</v>
      </c>
      <c r="F3233">
        <v>0.62558092543948196</v>
      </c>
    </row>
    <row r="3234" spans="1:6">
      <c r="A3234" t="s">
        <v>51805</v>
      </c>
      <c r="B3234" t="s">
        <v>51806</v>
      </c>
      <c r="C3234">
        <v>0</v>
      </c>
      <c r="D3234">
        <v>0.58739403873667995</v>
      </c>
      <c r="E3234">
        <v>0.97689592453359297</v>
      </c>
      <c r="F3234">
        <v>11.658112750050501</v>
      </c>
    </row>
    <row r="3235" spans="1:6">
      <c r="A3235" t="s">
        <v>51805</v>
      </c>
      <c r="B3235" t="s">
        <v>51807</v>
      </c>
      <c r="C3235">
        <v>0</v>
      </c>
      <c r="D3235">
        <v>0.58739403873667995</v>
      </c>
      <c r="E3235">
        <v>0.97689592453359297</v>
      </c>
      <c r="F3235">
        <v>11.658112750050501</v>
      </c>
    </row>
    <row r="3236" spans="1:6">
      <c r="A3236" t="s">
        <v>51805</v>
      </c>
      <c r="B3236" t="s">
        <v>51808</v>
      </c>
      <c r="C3236">
        <v>0</v>
      </c>
      <c r="D3236">
        <v>0.58739403873667995</v>
      </c>
      <c r="E3236">
        <v>0.97689592453359297</v>
      </c>
      <c r="F3236">
        <v>11.658112750050501</v>
      </c>
    </row>
    <row r="3237" spans="1:6">
      <c r="A3237" t="s">
        <v>51805</v>
      </c>
      <c r="B3237" t="s">
        <v>51809</v>
      </c>
      <c r="C3237">
        <v>6.2205284737747502E-2</v>
      </c>
      <c r="D3237">
        <v>0.58739403873667995</v>
      </c>
      <c r="E3237">
        <v>0.97689592453359297</v>
      </c>
      <c r="F3237">
        <v>11.658112750050501</v>
      </c>
    </row>
    <row r="3238" spans="1:6">
      <c r="A3238" t="s">
        <v>51805</v>
      </c>
      <c r="B3238" t="s">
        <v>51810</v>
      </c>
      <c r="C3238">
        <v>0</v>
      </c>
      <c r="D3238">
        <v>0.58739403873667995</v>
      </c>
      <c r="E3238">
        <v>0.97689592453359297</v>
      </c>
      <c r="F3238">
        <v>11.658112750050501</v>
      </c>
    </row>
    <row r="3239" spans="1:6">
      <c r="A3239" t="s">
        <v>51805</v>
      </c>
      <c r="B3239" t="s">
        <v>51811</v>
      </c>
      <c r="C3239">
        <v>0</v>
      </c>
      <c r="D3239">
        <v>0.58739403873667995</v>
      </c>
      <c r="E3239">
        <v>0.97689592453359297</v>
      </c>
      <c r="F3239">
        <v>11.658112750050501</v>
      </c>
    </row>
    <row r="3240" spans="1:6">
      <c r="A3240" t="s">
        <v>51805</v>
      </c>
      <c r="B3240" t="s">
        <v>51812</v>
      </c>
      <c r="C3240">
        <v>0</v>
      </c>
      <c r="D3240">
        <v>0.58739403873667995</v>
      </c>
      <c r="E3240">
        <v>0.97689592453359297</v>
      </c>
      <c r="F3240">
        <v>11.658112750050501</v>
      </c>
    </row>
    <row r="3241" spans="1:6">
      <c r="A3241" t="s">
        <v>51805</v>
      </c>
      <c r="B3241" t="s">
        <v>51813</v>
      </c>
      <c r="C3241">
        <v>0</v>
      </c>
      <c r="D3241">
        <v>0.58739403873667995</v>
      </c>
      <c r="E3241">
        <v>0.97689592453359297</v>
      </c>
      <c r="F3241">
        <v>11.658112750050501</v>
      </c>
    </row>
    <row r="3242" spans="1:6">
      <c r="A3242" t="s">
        <v>51805</v>
      </c>
      <c r="B3242" t="s">
        <v>51814</v>
      </c>
      <c r="C3242">
        <v>0.68291133972484797</v>
      </c>
      <c r="D3242">
        <v>0.58739403873667995</v>
      </c>
      <c r="E3242">
        <v>0.97689592453359297</v>
      </c>
      <c r="F3242">
        <v>11.658112750050501</v>
      </c>
    </row>
    <row r="3243" spans="1:6">
      <c r="A3243" t="s">
        <v>51805</v>
      </c>
      <c r="B3243" t="s">
        <v>51815</v>
      </c>
      <c r="C3243">
        <v>0</v>
      </c>
      <c r="D3243">
        <v>0.58739403873667995</v>
      </c>
      <c r="E3243">
        <v>0.97689592453359297</v>
      </c>
      <c r="F3243">
        <v>11.658112750050501</v>
      </c>
    </row>
    <row r="3244" spans="1:6">
      <c r="A3244" t="s">
        <v>51805</v>
      </c>
      <c r="B3244" t="s">
        <v>51816</v>
      </c>
      <c r="C3244">
        <v>0</v>
      </c>
      <c r="D3244">
        <v>0.58739403873667995</v>
      </c>
      <c r="E3244">
        <v>0.97689592453359297</v>
      </c>
      <c r="F3244">
        <v>11.658112750050501</v>
      </c>
    </row>
    <row r="3245" spans="1:6">
      <c r="A3245" t="s">
        <v>51805</v>
      </c>
      <c r="B3245" t="s">
        <v>51817</v>
      </c>
      <c r="C3245">
        <v>0</v>
      </c>
      <c r="D3245">
        <v>0.58739403873667995</v>
      </c>
      <c r="E3245">
        <v>0.97689592453359297</v>
      </c>
      <c r="F3245">
        <v>11.658112750050501</v>
      </c>
    </row>
    <row r="3246" spans="1:6">
      <c r="A3246" t="s">
        <v>51818</v>
      </c>
      <c r="B3246" t="s">
        <v>51819</v>
      </c>
      <c r="C3246">
        <v>0</v>
      </c>
      <c r="D3246">
        <v>0.36436209041338402</v>
      </c>
      <c r="E3246">
        <v>0.92839919633952495</v>
      </c>
      <c r="F3246">
        <v>0</v>
      </c>
    </row>
    <row r="3247" spans="1:6">
      <c r="A3247" t="s">
        <v>51818</v>
      </c>
      <c r="B3247" t="s">
        <v>51820</v>
      </c>
      <c r="C3247">
        <v>0.43001523982423101</v>
      </c>
      <c r="D3247">
        <v>0.36436209041338402</v>
      </c>
      <c r="E3247">
        <v>0.92839919633952495</v>
      </c>
      <c r="F3247">
        <v>0</v>
      </c>
    </row>
    <row r="3248" spans="1:6">
      <c r="A3248" t="s">
        <v>51818</v>
      </c>
      <c r="B3248" t="s">
        <v>51821</v>
      </c>
      <c r="C3248">
        <v>0.20833562880245499</v>
      </c>
      <c r="D3248">
        <v>0.36436209041338402</v>
      </c>
      <c r="E3248">
        <v>0.92839919633952495</v>
      </c>
      <c r="F3248">
        <v>0</v>
      </c>
    </row>
    <row r="3249" spans="1:6">
      <c r="A3249" t="s">
        <v>51818</v>
      </c>
      <c r="B3249" t="s">
        <v>51822</v>
      </c>
      <c r="C3249">
        <v>0</v>
      </c>
      <c r="D3249">
        <v>0.36436209041338402</v>
      </c>
      <c r="E3249">
        <v>0.92839919633952495</v>
      </c>
      <c r="F3249">
        <v>0</v>
      </c>
    </row>
    <row r="3250" spans="1:6">
      <c r="A3250" t="s">
        <v>51818</v>
      </c>
      <c r="B3250" t="s">
        <v>51823</v>
      </c>
      <c r="C3250">
        <v>0</v>
      </c>
      <c r="D3250">
        <v>0.36436209041338402</v>
      </c>
      <c r="E3250">
        <v>0.92839919633952495</v>
      </c>
      <c r="F3250">
        <v>0</v>
      </c>
    </row>
    <row r="3251" spans="1:6">
      <c r="A3251" t="s">
        <v>51818</v>
      </c>
      <c r="B3251" t="s">
        <v>51824</v>
      </c>
      <c r="C3251">
        <v>0</v>
      </c>
      <c r="D3251">
        <v>0.36436209041338402</v>
      </c>
      <c r="E3251">
        <v>0.92839919633952495</v>
      </c>
      <c r="F3251">
        <v>0</v>
      </c>
    </row>
    <row r="3252" spans="1:6">
      <c r="A3252" t="s">
        <v>51825</v>
      </c>
      <c r="B3252" t="s">
        <v>51826</v>
      </c>
      <c r="C3252">
        <v>0.66657575836941996</v>
      </c>
      <c r="D3252">
        <v>0.95753542379680001</v>
      </c>
      <c r="E3252">
        <v>0.92897575836942003</v>
      </c>
      <c r="F3252">
        <v>0.15518286522529801</v>
      </c>
    </row>
    <row r="3253" spans="1:6">
      <c r="A3253" t="s">
        <v>51825</v>
      </c>
      <c r="B3253" t="s">
        <v>51827</v>
      </c>
      <c r="C3253">
        <v>0</v>
      </c>
      <c r="D3253">
        <v>0.95753542379680001</v>
      </c>
      <c r="E3253">
        <v>0.92897575836942003</v>
      </c>
      <c r="F3253">
        <v>0.15518286522529801</v>
      </c>
    </row>
    <row r="3254" spans="1:6">
      <c r="A3254" t="s">
        <v>51825</v>
      </c>
      <c r="B3254" t="s">
        <v>51828</v>
      </c>
      <c r="C3254">
        <v>0</v>
      </c>
      <c r="D3254">
        <v>0.95753542379680001</v>
      </c>
      <c r="E3254">
        <v>0.92897575836942003</v>
      </c>
      <c r="F3254">
        <v>0.15518286522529801</v>
      </c>
    </row>
    <row r="3255" spans="1:6">
      <c r="A3255" t="s">
        <v>51829</v>
      </c>
      <c r="B3255" t="s">
        <v>51830</v>
      </c>
      <c r="C3255">
        <v>0.17983564236323801</v>
      </c>
      <c r="D3255">
        <v>0.95449385394186304</v>
      </c>
      <c r="E3255">
        <v>0.96200479112279202</v>
      </c>
      <c r="F3255">
        <v>0</v>
      </c>
    </row>
    <row r="3256" spans="1:6">
      <c r="A3256" t="s">
        <v>51829</v>
      </c>
      <c r="B3256" t="s">
        <v>51831</v>
      </c>
      <c r="C3256">
        <v>0.98516309282493397</v>
      </c>
      <c r="D3256">
        <v>0.95449385394186304</v>
      </c>
      <c r="E3256">
        <v>0.96200479112279202</v>
      </c>
      <c r="F3256">
        <v>0</v>
      </c>
    </row>
    <row r="3257" spans="1:6">
      <c r="A3257" t="s">
        <v>51832</v>
      </c>
      <c r="B3257" t="s">
        <v>51833</v>
      </c>
      <c r="C3257">
        <v>0</v>
      </c>
      <c r="D3257">
        <v>0.87567200751526297</v>
      </c>
      <c r="E3257">
        <v>0.93806573581410202</v>
      </c>
      <c r="F3257">
        <v>10.8288543140028</v>
      </c>
    </row>
    <row r="3258" spans="1:6">
      <c r="A3258" t="s">
        <v>51832</v>
      </c>
      <c r="B3258" t="s">
        <v>51834</v>
      </c>
      <c r="C3258">
        <v>0.38545171444882098</v>
      </c>
      <c r="D3258">
        <v>0.87567200751526297</v>
      </c>
      <c r="E3258">
        <v>0.93806573581410202</v>
      </c>
      <c r="F3258">
        <v>10.8288543140028</v>
      </c>
    </row>
    <row r="3259" spans="1:6">
      <c r="A3259" t="s">
        <v>51832</v>
      </c>
      <c r="B3259" t="s">
        <v>51835</v>
      </c>
      <c r="C3259">
        <v>0</v>
      </c>
      <c r="D3259">
        <v>0.87567200751526297</v>
      </c>
      <c r="E3259">
        <v>0.93806573581410202</v>
      </c>
      <c r="F3259">
        <v>10.8288543140028</v>
      </c>
    </row>
    <row r="3260" spans="1:6">
      <c r="A3260" t="s">
        <v>51832</v>
      </c>
      <c r="B3260" t="s">
        <v>51836</v>
      </c>
      <c r="C3260">
        <v>0.32211170990320298</v>
      </c>
      <c r="D3260">
        <v>0.87567200751526297</v>
      </c>
      <c r="E3260">
        <v>0.93806573581410202</v>
      </c>
      <c r="F3260">
        <v>10.8288543140028</v>
      </c>
    </row>
    <row r="3261" spans="1:6">
      <c r="A3261" t="s">
        <v>51832</v>
      </c>
      <c r="B3261" t="s">
        <v>51837</v>
      </c>
      <c r="C3261">
        <v>0</v>
      </c>
      <c r="D3261">
        <v>0.87567200751526297</v>
      </c>
      <c r="E3261">
        <v>0.93806573581410202</v>
      </c>
      <c r="F3261">
        <v>10.8288543140028</v>
      </c>
    </row>
    <row r="3262" spans="1:6">
      <c r="A3262" t="s">
        <v>51838</v>
      </c>
      <c r="B3262" t="s">
        <v>51839</v>
      </c>
      <c r="C3262">
        <v>0</v>
      </c>
      <c r="D3262">
        <v>0.142675039694897</v>
      </c>
      <c r="E3262">
        <v>0.99328341771182804</v>
      </c>
      <c r="F3262">
        <v>16.667609618104599</v>
      </c>
    </row>
    <row r="3263" spans="1:6">
      <c r="A3263" t="s">
        <v>51838</v>
      </c>
      <c r="B3263" t="s">
        <v>51840</v>
      </c>
      <c r="C3263">
        <v>0.23366630195233401</v>
      </c>
      <c r="D3263">
        <v>0.142675039694897</v>
      </c>
      <c r="E3263">
        <v>0.99328341771182804</v>
      </c>
      <c r="F3263">
        <v>16.667609618104599</v>
      </c>
    </row>
    <row r="3264" spans="1:6">
      <c r="A3264" t="s">
        <v>51838</v>
      </c>
      <c r="B3264" t="s">
        <v>51841</v>
      </c>
      <c r="C3264">
        <v>0.71800612745115799</v>
      </c>
      <c r="D3264">
        <v>0.142675039694897</v>
      </c>
      <c r="E3264">
        <v>0.99328341771182804</v>
      </c>
      <c r="F3264">
        <v>16.667609618104599</v>
      </c>
    </row>
    <row r="3265" spans="1:6">
      <c r="A3265" t="s">
        <v>51838</v>
      </c>
      <c r="B3265" t="s">
        <v>51842</v>
      </c>
      <c r="C3265">
        <v>0</v>
      </c>
      <c r="D3265">
        <v>0.142675039694897</v>
      </c>
      <c r="E3265">
        <v>0.99328341771182804</v>
      </c>
      <c r="F3265">
        <v>16.667609618104599</v>
      </c>
    </row>
    <row r="3266" spans="1:6">
      <c r="A3266" t="s">
        <v>51838</v>
      </c>
      <c r="B3266" t="s">
        <v>51843</v>
      </c>
      <c r="C3266">
        <v>0</v>
      </c>
      <c r="D3266">
        <v>0.142675039694897</v>
      </c>
      <c r="E3266">
        <v>0.99328341771182804</v>
      </c>
      <c r="F3266">
        <v>16.667609618104599</v>
      </c>
    </row>
    <row r="3267" spans="1:6">
      <c r="A3267" t="s">
        <v>51838</v>
      </c>
      <c r="B3267" t="s">
        <v>51844</v>
      </c>
      <c r="C3267">
        <v>0</v>
      </c>
      <c r="D3267">
        <v>0.142675039694897</v>
      </c>
      <c r="E3267">
        <v>0.99328341771182804</v>
      </c>
      <c r="F3267">
        <v>16.667609618104599</v>
      </c>
    </row>
    <row r="3268" spans="1:6">
      <c r="A3268" t="s">
        <v>51838</v>
      </c>
      <c r="B3268" t="s">
        <v>51845</v>
      </c>
      <c r="C3268">
        <v>0</v>
      </c>
      <c r="D3268">
        <v>0.142675039694897</v>
      </c>
      <c r="E3268">
        <v>0.99328341771182804</v>
      </c>
      <c r="F3268">
        <v>16.667609618104599</v>
      </c>
    </row>
    <row r="3269" spans="1:6">
      <c r="A3269" t="s">
        <v>51846</v>
      </c>
      <c r="B3269" t="s">
        <v>51847</v>
      </c>
      <c r="C3269">
        <v>0</v>
      </c>
      <c r="D3269">
        <v>0.42459582212582497</v>
      </c>
      <c r="E3269">
        <v>0.93714929297858895</v>
      </c>
      <c r="F3269">
        <v>18.321277025661701</v>
      </c>
    </row>
    <row r="3270" spans="1:6">
      <c r="A3270" t="s">
        <v>51846</v>
      </c>
      <c r="B3270" t="s">
        <v>51848</v>
      </c>
      <c r="C3270">
        <v>0</v>
      </c>
      <c r="D3270">
        <v>0.42459582212582497</v>
      </c>
      <c r="E3270">
        <v>0.93714929297858895</v>
      </c>
      <c r="F3270">
        <v>18.321277025661701</v>
      </c>
    </row>
    <row r="3271" spans="1:6">
      <c r="A3271" t="s">
        <v>51846</v>
      </c>
      <c r="B3271" t="s">
        <v>51849</v>
      </c>
      <c r="C3271">
        <v>0.53055332411483203</v>
      </c>
      <c r="D3271">
        <v>0.42459582212582497</v>
      </c>
      <c r="E3271">
        <v>0.93714929297858895</v>
      </c>
      <c r="F3271">
        <v>18.321277025661701</v>
      </c>
    </row>
    <row r="3272" spans="1:6">
      <c r="A3272" t="s">
        <v>51846</v>
      </c>
      <c r="B3272" t="s">
        <v>51850</v>
      </c>
      <c r="C3272">
        <v>0</v>
      </c>
      <c r="D3272">
        <v>0.42459582212582497</v>
      </c>
      <c r="E3272">
        <v>0.93714929297858895</v>
      </c>
      <c r="F3272">
        <v>18.321277025661701</v>
      </c>
    </row>
    <row r="3273" spans="1:6">
      <c r="A3273" t="s">
        <v>51846</v>
      </c>
      <c r="B3273" t="s">
        <v>51851</v>
      </c>
      <c r="C3273">
        <v>0</v>
      </c>
      <c r="D3273">
        <v>0.42459582212582497</v>
      </c>
      <c r="E3273">
        <v>0.93714929297858895</v>
      </c>
      <c r="F3273">
        <v>18.321277025661701</v>
      </c>
    </row>
    <row r="3274" spans="1:6">
      <c r="A3274" t="s">
        <v>51846</v>
      </c>
      <c r="B3274" t="s">
        <v>51852</v>
      </c>
      <c r="C3274">
        <v>0</v>
      </c>
      <c r="D3274">
        <v>0.42459582212582497</v>
      </c>
      <c r="E3274">
        <v>0.93714929297858895</v>
      </c>
      <c r="F3274">
        <v>18.321277025661701</v>
      </c>
    </row>
    <row r="3275" spans="1:6">
      <c r="A3275" t="s">
        <v>51846</v>
      </c>
      <c r="B3275" t="s">
        <v>51853</v>
      </c>
      <c r="C3275">
        <v>0.120235315941045</v>
      </c>
      <c r="D3275">
        <v>0.42459582212582497</v>
      </c>
      <c r="E3275">
        <v>0.93714929297858895</v>
      </c>
      <c r="F3275">
        <v>18.321277025661701</v>
      </c>
    </row>
    <row r="3276" spans="1:6">
      <c r="A3276" t="s">
        <v>51854</v>
      </c>
      <c r="B3276" t="s">
        <v>51855</v>
      </c>
      <c r="C3276">
        <v>0</v>
      </c>
      <c r="D3276">
        <v>0.26792884602934602</v>
      </c>
      <c r="E3276">
        <v>0.75341227505391195</v>
      </c>
      <c r="F3276">
        <v>8.8163265306122405</v>
      </c>
    </row>
    <row r="3277" spans="1:6">
      <c r="A3277" t="s">
        <v>51854</v>
      </c>
      <c r="B3277" t="s">
        <v>51856</v>
      </c>
      <c r="C3277">
        <v>0</v>
      </c>
      <c r="D3277">
        <v>0.26792884602934602</v>
      </c>
      <c r="E3277">
        <v>0.75341227505391195</v>
      </c>
      <c r="F3277">
        <v>8.8163265306122405</v>
      </c>
    </row>
    <row r="3278" spans="1:6">
      <c r="A3278" t="s">
        <v>51854</v>
      </c>
      <c r="B3278" t="s">
        <v>51857</v>
      </c>
      <c r="C3278">
        <v>7.8261011273725103E-2</v>
      </c>
      <c r="D3278">
        <v>0.26792884602934602</v>
      </c>
      <c r="E3278">
        <v>0.75341227505391195</v>
      </c>
      <c r="F3278">
        <v>8.8163265306122405</v>
      </c>
    </row>
    <row r="3279" spans="1:6">
      <c r="A3279" t="s">
        <v>51854</v>
      </c>
      <c r="B3279" t="s">
        <v>51858</v>
      </c>
      <c r="C3279">
        <v>0</v>
      </c>
      <c r="D3279">
        <v>0.26792884602934602</v>
      </c>
      <c r="E3279">
        <v>0.75341227505391195</v>
      </c>
      <c r="F3279">
        <v>8.8163265306122405</v>
      </c>
    </row>
    <row r="3280" spans="1:6">
      <c r="A3280" t="s">
        <v>51854</v>
      </c>
      <c r="B3280" t="s">
        <v>51859</v>
      </c>
      <c r="C3280">
        <v>0</v>
      </c>
      <c r="D3280">
        <v>0.26792884602934602</v>
      </c>
      <c r="E3280">
        <v>0.75341227505391195</v>
      </c>
      <c r="F3280">
        <v>8.8163265306122405</v>
      </c>
    </row>
    <row r="3281" spans="1:6">
      <c r="A3281" t="s">
        <v>51854</v>
      </c>
      <c r="B3281" t="s">
        <v>51860</v>
      </c>
      <c r="C3281">
        <v>7.4272814814268298E-2</v>
      </c>
      <c r="D3281">
        <v>0.26792884602934602</v>
      </c>
      <c r="E3281">
        <v>0.75341227505391195</v>
      </c>
      <c r="F3281">
        <v>8.8163265306122405</v>
      </c>
    </row>
    <row r="3282" spans="1:6">
      <c r="A3282" t="s">
        <v>51854</v>
      </c>
      <c r="B3282" t="s">
        <v>51861</v>
      </c>
      <c r="C3282">
        <v>0</v>
      </c>
      <c r="D3282">
        <v>0.26792884602934602</v>
      </c>
      <c r="E3282">
        <v>0.75341227505391195</v>
      </c>
      <c r="F3282">
        <v>8.8163265306122405</v>
      </c>
    </row>
    <row r="3283" spans="1:6">
      <c r="A3283" t="s">
        <v>51854</v>
      </c>
      <c r="B3283" t="s">
        <v>51862</v>
      </c>
      <c r="C3283">
        <v>0</v>
      </c>
      <c r="D3283">
        <v>0.26792884602934602</v>
      </c>
      <c r="E3283">
        <v>0.75341227505391195</v>
      </c>
      <c r="F3283">
        <v>8.8163265306122405</v>
      </c>
    </row>
    <row r="3284" spans="1:6">
      <c r="A3284" t="s">
        <v>51863</v>
      </c>
      <c r="B3284" t="s">
        <v>51864</v>
      </c>
      <c r="C3284">
        <v>0.58032325408820096</v>
      </c>
      <c r="D3284">
        <v>0.53601162051159801</v>
      </c>
      <c r="E3284">
        <v>0.92379628539110203</v>
      </c>
      <c r="F3284">
        <v>8.9618104667609604</v>
      </c>
    </row>
    <row r="3285" spans="1:6">
      <c r="A3285" t="s">
        <v>51863</v>
      </c>
      <c r="B3285" t="s">
        <v>51865</v>
      </c>
      <c r="C3285">
        <v>0</v>
      </c>
      <c r="D3285">
        <v>0.53601162051159801</v>
      </c>
      <c r="E3285">
        <v>0.92379628539110203</v>
      </c>
      <c r="F3285">
        <v>8.9618104667609604</v>
      </c>
    </row>
    <row r="3286" spans="1:6">
      <c r="A3286" t="s">
        <v>51863</v>
      </c>
      <c r="B3286" t="s">
        <v>51866</v>
      </c>
      <c r="C3286">
        <v>0</v>
      </c>
      <c r="D3286">
        <v>0.53601162051159801</v>
      </c>
      <c r="E3286">
        <v>0.92379628539110203</v>
      </c>
      <c r="F3286">
        <v>8.9618104667609604</v>
      </c>
    </row>
    <row r="3287" spans="1:6">
      <c r="A3287" t="s">
        <v>51863</v>
      </c>
      <c r="B3287" t="s">
        <v>51867</v>
      </c>
      <c r="C3287">
        <v>0</v>
      </c>
      <c r="D3287">
        <v>0.53601162051159801</v>
      </c>
      <c r="E3287">
        <v>0.92379628539110203</v>
      </c>
      <c r="F3287">
        <v>8.9618104667609604</v>
      </c>
    </row>
    <row r="3288" spans="1:6">
      <c r="A3288" t="s">
        <v>51863</v>
      </c>
      <c r="B3288" t="s">
        <v>51868</v>
      </c>
      <c r="C3288">
        <v>0</v>
      </c>
      <c r="D3288">
        <v>0.53601162051159801</v>
      </c>
      <c r="E3288">
        <v>0.92379628539110203</v>
      </c>
      <c r="F3288">
        <v>8.9618104667609604</v>
      </c>
    </row>
    <row r="3289" spans="1:6">
      <c r="A3289" t="s">
        <v>51863</v>
      </c>
      <c r="B3289" t="s">
        <v>51869</v>
      </c>
      <c r="C3289">
        <v>0.159556967713369</v>
      </c>
      <c r="D3289">
        <v>0.53601162051159801</v>
      </c>
      <c r="E3289">
        <v>0.92379628539110203</v>
      </c>
      <c r="F3289">
        <v>8.9618104667609604</v>
      </c>
    </row>
    <row r="3290" spans="1:6">
      <c r="A3290" t="s">
        <v>51863</v>
      </c>
      <c r="B3290" t="s">
        <v>51870</v>
      </c>
      <c r="C3290">
        <v>0</v>
      </c>
      <c r="D3290">
        <v>0.53601162051159801</v>
      </c>
      <c r="E3290">
        <v>0.92379628539110203</v>
      </c>
      <c r="F3290">
        <v>8.9618104667609604</v>
      </c>
    </row>
    <row r="3291" spans="1:6">
      <c r="A3291" t="s">
        <v>51863</v>
      </c>
      <c r="B3291" t="s">
        <v>51871</v>
      </c>
      <c r="C3291">
        <v>0</v>
      </c>
      <c r="D3291">
        <v>0.53601162051159801</v>
      </c>
      <c r="E3291">
        <v>0.92379628539110203</v>
      </c>
      <c r="F3291">
        <v>8.9618104667609604</v>
      </c>
    </row>
    <row r="3292" spans="1:6">
      <c r="A3292" t="s">
        <v>51872</v>
      </c>
      <c r="B3292" t="s">
        <v>51873</v>
      </c>
      <c r="C3292">
        <v>0</v>
      </c>
      <c r="D3292">
        <v>0.36870402236521599</v>
      </c>
      <c r="E3292">
        <v>0.95226788999165501</v>
      </c>
      <c r="F3292">
        <v>0.51404324105879895</v>
      </c>
    </row>
    <row r="3293" spans="1:6">
      <c r="A3293" t="s">
        <v>51872</v>
      </c>
      <c r="B3293" t="s">
        <v>51874</v>
      </c>
      <c r="C3293">
        <v>0.26482640531976598</v>
      </c>
      <c r="D3293">
        <v>0.36870402236521599</v>
      </c>
      <c r="E3293">
        <v>0.95226788999165501</v>
      </c>
      <c r="F3293">
        <v>0.51404324105879895</v>
      </c>
    </row>
    <row r="3294" spans="1:6">
      <c r="A3294" t="s">
        <v>51872</v>
      </c>
      <c r="B3294" t="s">
        <v>51875</v>
      </c>
      <c r="C3294">
        <v>0</v>
      </c>
      <c r="D3294">
        <v>0.36870402236521599</v>
      </c>
      <c r="E3294">
        <v>0.95226788999165501</v>
      </c>
      <c r="F3294">
        <v>0.51404324105879895</v>
      </c>
    </row>
    <row r="3295" spans="1:6">
      <c r="A3295" t="s">
        <v>51872</v>
      </c>
      <c r="B3295" t="s">
        <v>51876</v>
      </c>
      <c r="C3295">
        <v>0</v>
      </c>
      <c r="D3295">
        <v>0.36870402236521599</v>
      </c>
      <c r="E3295">
        <v>0.95226788999165501</v>
      </c>
      <c r="F3295">
        <v>0.51404324105879895</v>
      </c>
    </row>
    <row r="3296" spans="1:6">
      <c r="A3296" t="s">
        <v>51872</v>
      </c>
      <c r="B3296" t="s">
        <v>51877</v>
      </c>
      <c r="C3296">
        <v>0.164976314660881</v>
      </c>
      <c r="D3296">
        <v>0.36870402236521599</v>
      </c>
      <c r="E3296">
        <v>0.95226788999165501</v>
      </c>
      <c r="F3296">
        <v>0.51404324105879895</v>
      </c>
    </row>
    <row r="3297" spans="1:6">
      <c r="A3297" t="s">
        <v>51878</v>
      </c>
      <c r="B3297" t="s">
        <v>51879</v>
      </c>
      <c r="C3297">
        <v>1.0467221016898201</v>
      </c>
      <c r="D3297">
        <v>0.35880643249510702</v>
      </c>
      <c r="E3297">
        <v>0.91916128670988895</v>
      </c>
      <c r="F3297">
        <v>4.3160234390785996</v>
      </c>
    </row>
    <row r="3298" spans="1:6">
      <c r="A3298" t="s">
        <v>51878</v>
      </c>
      <c r="B3298" t="s">
        <v>51880</v>
      </c>
      <c r="C3298">
        <v>0.98992463372411599</v>
      </c>
      <c r="D3298">
        <v>0.35880643249510702</v>
      </c>
      <c r="E3298">
        <v>0.91916128670988895</v>
      </c>
      <c r="F3298">
        <v>4.3160234390785996</v>
      </c>
    </row>
    <row r="3299" spans="1:6">
      <c r="A3299" t="s">
        <v>51881</v>
      </c>
      <c r="B3299" t="s">
        <v>51882</v>
      </c>
      <c r="C3299">
        <v>0</v>
      </c>
      <c r="D3299">
        <v>0.71891925376199495</v>
      </c>
      <c r="E3299">
        <v>0.98749313299781505</v>
      </c>
      <c r="F3299">
        <v>2.35199030107092</v>
      </c>
    </row>
    <row r="3300" spans="1:6">
      <c r="A3300" t="s">
        <v>51881</v>
      </c>
      <c r="B3300" t="s">
        <v>51883</v>
      </c>
      <c r="C3300">
        <v>0</v>
      </c>
      <c r="D3300">
        <v>0.71891925376199495</v>
      </c>
      <c r="E3300">
        <v>0.98749313299781505</v>
      </c>
      <c r="F3300">
        <v>2.35199030107092</v>
      </c>
    </row>
    <row r="3301" spans="1:6">
      <c r="A3301" t="s">
        <v>51881</v>
      </c>
      <c r="B3301" t="s">
        <v>51884</v>
      </c>
      <c r="C3301">
        <v>0</v>
      </c>
      <c r="D3301">
        <v>0.71891925376199495</v>
      </c>
      <c r="E3301">
        <v>0.98749313299781505</v>
      </c>
      <c r="F3301">
        <v>2.35199030107092</v>
      </c>
    </row>
    <row r="3302" spans="1:6">
      <c r="A3302" t="s">
        <v>51881</v>
      </c>
      <c r="B3302" t="s">
        <v>51885</v>
      </c>
      <c r="C3302">
        <v>0</v>
      </c>
      <c r="D3302">
        <v>0.71891925376199495</v>
      </c>
      <c r="E3302">
        <v>0.98749313299781505</v>
      </c>
      <c r="F3302">
        <v>2.35199030107092</v>
      </c>
    </row>
    <row r="3303" spans="1:6">
      <c r="A3303" t="s">
        <v>51881</v>
      </c>
      <c r="B3303" t="s">
        <v>51886</v>
      </c>
      <c r="C3303">
        <v>0.183245495023448</v>
      </c>
      <c r="D3303">
        <v>0.71891925376199495</v>
      </c>
      <c r="E3303">
        <v>0.98749313299781505</v>
      </c>
      <c r="F3303">
        <v>2.35199030107092</v>
      </c>
    </row>
    <row r="3304" spans="1:6">
      <c r="A3304" t="s">
        <v>51881</v>
      </c>
      <c r="B3304" t="s">
        <v>51887</v>
      </c>
      <c r="C3304">
        <v>0.87130200879335695</v>
      </c>
      <c r="D3304">
        <v>0.71891925376199495</v>
      </c>
      <c r="E3304">
        <v>0.98749313299781505</v>
      </c>
      <c r="F3304">
        <v>2.35199030107092</v>
      </c>
    </row>
    <row r="3305" spans="1:6">
      <c r="A3305" t="s">
        <v>51888</v>
      </c>
      <c r="B3305" t="s">
        <v>51889</v>
      </c>
      <c r="C3305">
        <v>0</v>
      </c>
      <c r="D3305">
        <v>0.100076607653749</v>
      </c>
      <c r="E3305">
        <v>0.97159131745440397</v>
      </c>
      <c r="F3305">
        <v>8.8163265306122405</v>
      </c>
    </row>
    <row r="3306" spans="1:6">
      <c r="A3306" t="s">
        <v>51888</v>
      </c>
      <c r="B3306" t="s">
        <v>51890</v>
      </c>
      <c r="C3306">
        <v>0</v>
      </c>
      <c r="D3306">
        <v>0.100076607653749</v>
      </c>
      <c r="E3306">
        <v>0.97159131745440397</v>
      </c>
      <c r="F3306">
        <v>8.8163265306122405</v>
      </c>
    </row>
    <row r="3307" spans="1:6">
      <c r="A3307" t="s">
        <v>51888</v>
      </c>
      <c r="B3307" t="s">
        <v>51891</v>
      </c>
      <c r="C3307">
        <v>0</v>
      </c>
      <c r="D3307">
        <v>0.100076607653749</v>
      </c>
      <c r="E3307">
        <v>0.97159131745440397</v>
      </c>
      <c r="F3307">
        <v>8.8163265306122405</v>
      </c>
    </row>
    <row r="3308" spans="1:6">
      <c r="A3308" t="s">
        <v>51888</v>
      </c>
      <c r="B3308" t="s">
        <v>51892</v>
      </c>
      <c r="C3308">
        <v>0</v>
      </c>
      <c r="D3308">
        <v>0.100076607653749</v>
      </c>
      <c r="E3308">
        <v>0.97159131745440397</v>
      </c>
      <c r="F3308">
        <v>8.8163265306122405</v>
      </c>
    </row>
    <row r="3309" spans="1:6">
      <c r="A3309" t="s">
        <v>51888</v>
      </c>
      <c r="B3309" t="s">
        <v>51893</v>
      </c>
      <c r="C3309">
        <v>0.399246922888775</v>
      </c>
      <c r="D3309">
        <v>0.100076607653749</v>
      </c>
      <c r="E3309">
        <v>0.97159131745440397</v>
      </c>
      <c r="F3309">
        <v>8.8163265306122405</v>
      </c>
    </row>
    <row r="3310" spans="1:6">
      <c r="A3310" t="s">
        <v>51888</v>
      </c>
      <c r="B3310" t="s">
        <v>51894</v>
      </c>
      <c r="C3310">
        <v>0</v>
      </c>
      <c r="D3310">
        <v>0.100076607653749</v>
      </c>
      <c r="E3310">
        <v>0.97159131745440397</v>
      </c>
      <c r="F3310">
        <v>8.8163265306122405</v>
      </c>
    </row>
    <row r="3311" spans="1:6">
      <c r="A3311" t="s">
        <v>51888</v>
      </c>
      <c r="B3311" t="s">
        <v>51895</v>
      </c>
      <c r="C3311">
        <v>0.44450131886532301</v>
      </c>
      <c r="D3311">
        <v>0.100076607653749</v>
      </c>
      <c r="E3311">
        <v>0.97159131745440397</v>
      </c>
      <c r="F3311">
        <v>8.8163265306122405</v>
      </c>
    </row>
    <row r="3312" spans="1:6">
      <c r="A3312" t="s">
        <v>51896</v>
      </c>
      <c r="B3312" t="s">
        <v>51897</v>
      </c>
      <c r="C3312">
        <v>4.1726826759460003E-2</v>
      </c>
      <c r="D3312">
        <v>0.162045083780371</v>
      </c>
      <c r="E3312">
        <v>0.96384325002212601</v>
      </c>
      <c r="F3312">
        <v>9.56314406950899</v>
      </c>
    </row>
    <row r="3313" spans="1:6">
      <c r="A3313" t="s">
        <v>51896</v>
      </c>
      <c r="B3313" t="s">
        <v>51898</v>
      </c>
      <c r="C3313">
        <v>0.80985039776187295</v>
      </c>
      <c r="D3313">
        <v>0.162045083780371</v>
      </c>
      <c r="E3313">
        <v>0.96384325002212601</v>
      </c>
      <c r="F3313">
        <v>9.56314406950899</v>
      </c>
    </row>
    <row r="3314" spans="1:6">
      <c r="A3314" t="s">
        <v>51896</v>
      </c>
      <c r="B3314" t="s">
        <v>51899</v>
      </c>
      <c r="C3314">
        <v>0</v>
      </c>
      <c r="D3314">
        <v>0.162045083780371</v>
      </c>
      <c r="E3314">
        <v>0.96384325002212601</v>
      </c>
      <c r="F3314">
        <v>9.56314406950899</v>
      </c>
    </row>
    <row r="3315" spans="1:6">
      <c r="A3315" t="s">
        <v>51900</v>
      </c>
      <c r="B3315" t="s">
        <v>51901</v>
      </c>
      <c r="C3315">
        <v>0.60833288374663697</v>
      </c>
      <c r="D3315">
        <v>0.26034294714600797</v>
      </c>
      <c r="E3315">
        <v>0.99958025471124901</v>
      </c>
      <c r="F3315">
        <v>7.95312184279652</v>
      </c>
    </row>
    <row r="3316" spans="1:6">
      <c r="A3316" t="s">
        <v>51900</v>
      </c>
      <c r="B3316" t="s">
        <v>51902</v>
      </c>
      <c r="C3316">
        <v>0.62784157385485295</v>
      </c>
      <c r="D3316">
        <v>0.26034294714600797</v>
      </c>
      <c r="E3316">
        <v>0.99958025471124901</v>
      </c>
      <c r="F3316">
        <v>7.95312184279652</v>
      </c>
    </row>
    <row r="3317" spans="1:6">
      <c r="A3317" t="s">
        <v>51903</v>
      </c>
      <c r="B3317" t="s">
        <v>51904</v>
      </c>
      <c r="C3317">
        <v>0</v>
      </c>
      <c r="D3317">
        <v>0.14327216429401499</v>
      </c>
      <c r="E3317" t="s">
        <v>106</v>
      </c>
      <c r="F3317">
        <v>8.66599312992523</v>
      </c>
    </row>
    <row r="3318" spans="1:6">
      <c r="A3318" t="s">
        <v>51903</v>
      </c>
      <c r="B3318" t="s">
        <v>51905</v>
      </c>
      <c r="C3318">
        <v>0</v>
      </c>
      <c r="D3318">
        <v>0.14327216429401499</v>
      </c>
      <c r="E3318" t="s">
        <v>106</v>
      </c>
      <c r="F3318">
        <v>8.66599312992523</v>
      </c>
    </row>
    <row r="3319" spans="1:6">
      <c r="A3319" t="s">
        <v>51903</v>
      </c>
      <c r="B3319" t="s">
        <v>51906</v>
      </c>
      <c r="C3319">
        <v>0</v>
      </c>
      <c r="D3319">
        <v>0.14327216429401499</v>
      </c>
      <c r="E3319" t="s">
        <v>106</v>
      </c>
      <c r="F3319">
        <v>8.66599312992523</v>
      </c>
    </row>
    <row r="3320" spans="1:6">
      <c r="A3320" t="s">
        <v>51907</v>
      </c>
      <c r="B3320" t="s">
        <v>51908</v>
      </c>
      <c r="C3320">
        <v>0.20697213354222399</v>
      </c>
      <c r="D3320">
        <v>0.70620367185201904</v>
      </c>
      <c r="E3320">
        <v>0.84381452712911997</v>
      </c>
      <c r="F3320">
        <v>14.7084259446352</v>
      </c>
    </row>
    <row r="3321" spans="1:6">
      <c r="A3321" t="s">
        <v>51907</v>
      </c>
      <c r="B3321" t="s">
        <v>51909</v>
      </c>
      <c r="C3321">
        <v>0</v>
      </c>
      <c r="D3321">
        <v>0.70620367185201904</v>
      </c>
      <c r="E3321">
        <v>0.84381452712911997</v>
      </c>
      <c r="F3321">
        <v>14.7084259446352</v>
      </c>
    </row>
    <row r="3322" spans="1:6">
      <c r="A3322" t="s">
        <v>51907</v>
      </c>
      <c r="B3322" t="s">
        <v>51910</v>
      </c>
      <c r="C3322">
        <v>0</v>
      </c>
      <c r="D3322">
        <v>0.70620367185201904</v>
      </c>
      <c r="E3322">
        <v>0.84381452712911997</v>
      </c>
      <c r="F3322">
        <v>14.7084259446352</v>
      </c>
    </row>
    <row r="3323" spans="1:6">
      <c r="A3323" t="s">
        <v>51907</v>
      </c>
      <c r="B3323" t="s">
        <v>51911</v>
      </c>
      <c r="C3323">
        <v>0</v>
      </c>
      <c r="D3323">
        <v>0.70620367185201904</v>
      </c>
      <c r="E3323">
        <v>0.84381452712911997</v>
      </c>
      <c r="F3323">
        <v>14.7084259446352</v>
      </c>
    </row>
    <row r="3324" spans="1:6">
      <c r="A3324" t="s">
        <v>51907</v>
      </c>
      <c r="B3324" t="s">
        <v>51912</v>
      </c>
      <c r="C3324">
        <v>0.40486058919878298</v>
      </c>
      <c r="D3324">
        <v>0.70620367185201904</v>
      </c>
      <c r="E3324">
        <v>0.84381452712911997</v>
      </c>
      <c r="F3324">
        <v>14.7084259446352</v>
      </c>
    </row>
    <row r="3325" spans="1:6">
      <c r="A3325" t="s">
        <v>51913</v>
      </c>
      <c r="B3325" t="s">
        <v>51914</v>
      </c>
      <c r="C3325">
        <v>0</v>
      </c>
      <c r="D3325">
        <v>0.200563896296445</v>
      </c>
      <c r="E3325">
        <v>0.938085229203378</v>
      </c>
      <c r="F3325">
        <v>1.5275813295615199</v>
      </c>
    </row>
    <row r="3326" spans="1:6">
      <c r="A3326" t="s">
        <v>51913</v>
      </c>
      <c r="B3326" t="s">
        <v>51915</v>
      </c>
      <c r="C3326">
        <v>0</v>
      </c>
      <c r="D3326">
        <v>0.200563896296445</v>
      </c>
      <c r="E3326">
        <v>0.938085229203378</v>
      </c>
      <c r="F3326">
        <v>1.5275813295615199</v>
      </c>
    </row>
    <row r="3327" spans="1:6">
      <c r="A3327" t="s">
        <v>51913</v>
      </c>
      <c r="B3327" t="s">
        <v>51916</v>
      </c>
      <c r="C3327">
        <v>0</v>
      </c>
      <c r="D3327">
        <v>0.200563896296445</v>
      </c>
      <c r="E3327">
        <v>0.938085229203378</v>
      </c>
      <c r="F3327">
        <v>1.5275813295615199</v>
      </c>
    </row>
    <row r="3328" spans="1:6">
      <c r="A3328" t="s">
        <v>51913</v>
      </c>
      <c r="B3328" t="s">
        <v>51917</v>
      </c>
      <c r="C3328">
        <v>0</v>
      </c>
      <c r="D3328">
        <v>0.200563896296445</v>
      </c>
      <c r="E3328">
        <v>0.938085229203378</v>
      </c>
      <c r="F3328">
        <v>1.5275813295615199</v>
      </c>
    </row>
    <row r="3329" spans="1:6">
      <c r="A3329" t="s">
        <v>51913</v>
      </c>
      <c r="B3329" t="s">
        <v>51918</v>
      </c>
      <c r="C3329">
        <v>0</v>
      </c>
      <c r="D3329">
        <v>0.200563896296445</v>
      </c>
      <c r="E3329">
        <v>0.938085229203378</v>
      </c>
      <c r="F3329">
        <v>1.5275813295615199</v>
      </c>
    </row>
    <row r="3330" spans="1:6">
      <c r="A3330" t="s">
        <v>51913</v>
      </c>
      <c r="B3330" t="s">
        <v>51919</v>
      </c>
      <c r="C3330">
        <v>0.66768522920337803</v>
      </c>
      <c r="D3330">
        <v>0.200563896296445</v>
      </c>
      <c r="E3330">
        <v>0.938085229203378</v>
      </c>
      <c r="F3330">
        <v>1.5275813295615199</v>
      </c>
    </row>
    <row r="3331" spans="1:6">
      <c r="A3331" t="s">
        <v>51913</v>
      </c>
      <c r="B3331" t="s">
        <v>51920</v>
      </c>
      <c r="C3331">
        <v>0</v>
      </c>
      <c r="D3331">
        <v>0.200563896296445</v>
      </c>
      <c r="E3331">
        <v>0.938085229203378</v>
      </c>
      <c r="F3331">
        <v>1.5275813295615199</v>
      </c>
    </row>
    <row r="3332" spans="1:6">
      <c r="A3332" t="s">
        <v>51913</v>
      </c>
      <c r="B3332" t="s">
        <v>51921</v>
      </c>
      <c r="C3332">
        <v>0</v>
      </c>
      <c r="D3332">
        <v>0.200563896296445</v>
      </c>
      <c r="E3332">
        <v>0.938085229203378</v>
      </c>
      <c r="F3332">
        <v>1.5275813295615199</v>
      </c>
    </row>
    <row r="3333" spans="1:6">
      <c r="A3333" t="s">
        <v>51922</v>
      </c>
      <c r="B3333" t="s">
        <v>51923</v>
      </c>
      <c r="C3333">
        <v>0</v>
      </c>
      <c r="D3333">
        <v>4.7699895068872497E-2</v>
      </c>
      <c r="E3333">
        <v>0.94086589141438903</v>
      </c>
      <c r="F3333">
        <v>14.145888058193499</v>
      </c>
    </row>
    <row r="3334" spans="1:6">
      <c r="A3334" t="s">
        <v>51922</v>
      </c>
      <c r="B3334" t="s">
        <v>51924</v>
      </c>
      <c r="C3334">
        <v>0</v>
      </c>
      <c r="D3334">
        <v>4.7699895068872497E-2</v>
      </c>
      <c r="E3334">
        <v>0.94086589141438903</v>
      </c>
      <c r="F3334">
        <v>14.145888058193499</v>
      </c>
    </row>
    <row r="3335" spans="1:6">
      <c r="A3335" t="s">
        <v>51922</v>
      </c>
      <c r="B3335" t="s">
        <v>51925</v>
      </c>
      <c r="C3335">
        <v>0</v>
      </c>
      <c r="D3335">
        <v>4.7699895068872497E-2</v>
      </c>
      <c r="E3335">
        <v>0.94086589141438903</v>
      </c>
      <c r="F3335">
        <v>14.145888058193499</v>
      </c>
    </row>
    <row r="3336" spans="1:6">
      <c r="A3336" t="s">
        <v>51922</v>
      </c>
      <c r="B3336" t="s">
        <v>51926</v>
      </c>
      <c r="C3336">
        <v>0.21598215240792201</v>
      </c>
      <c r="D3336">
        <v>4.7699895068872497E-2</v>
      </c>
      <c r="E3336">
        <v>0.94086589141438903</v>
      </c>
      <c r="F3336">
        <v>14.145888058193499</v>
      </c>
    </row>
    <row r="3337" spans="1:6">
      <c r="A3337" t="s">
        <v>51922</v>
      </c>
      <c r="B3337" t="s">
        <v>51927</v>
      </c>
      <c r="C3337">
        <v>0.378978435221554</v>
      </c>
      <c r="D3337">
        <v>4.7699895068872497E-2</v>
      </c>
      <c r="E3337">
        <v>0.94086589141438903</v>
      </c>
      <c r="F3337">
        <v>14.145888058193499</v>
      </c>
    </row>
    <row r="3338" spans="1:6">
      <c r="A3338" t="s">
        <v>51922</v>
      </c>
      <c r="B3338" t="s">
        <v>51928</v>
      </c>
      <c r="C3338">
        <v>0</v>
      </c>
      <c r="D3338">
        <v>4.7699895068872497E-2</v>
      </c>
      <c r="E3338">
        <v>0.94086589141438903</v>
      </c>
      <c r="F3338">
        <v>14.145888058193499</v>
      </c>
    </row>
    <row r="3339" spans="1:6">
      <c r="A3339" t="s">
        <v>51929</v>
      </c>
      <c r="B3339" t="s">
        <v>51930</v>
      </c>
      <c r="C3339">
        <v>0</v>
      </c>
      <c r="D3339">
        <v>0.381057775680468</v>
      </c>
      <c r="E3339">
        <v>0.98393731142031804</v>
      </c>
      <c r="F3339">
        <v>4.1123459284703898</v>
      </c>
    </row>
    <row r="3340" spans="1:6">
      <c r="A3340" t="s">
        <v>51929</v>
      </c>
      <c r="B3340" t="s">
        <v>51931</v>
      </c>
      <c r="C3340">
        <v>0</v>
      </c>
      <c r="D3340">
        <v>0.381057775680468</v>
      </c>
      <c r="E3340">
        <v>0.98393731142031804</v>
      </c>
      <c r="F3340">
        <v>4.1123459284703898</v>
      </c>
    </row>
    <row r="3341" spans="1:6">
      <c r="A3341" t="s">
        <v>51929</v>
      </c>
      <c r="B3341" t="s">
        <v>51932</v>
      </c>
      <c r="C3341">
        <v>0</v>
      </c>
      <c r="D3341">
        <v>0.381057775680468</v>
      </c>
      <c r="E3341">
        <v>0.98393731142031804</v>
      </c>
      <c r="F3341">
        <v>4.1123459284703898</v>
      </c>
    </row>
    <row r="3342" spans="1:6">
      <c r="A3342" t="s">
        <v>51929</v>
      </c>
      <c r="B3342" t="s">
        <v>51933</v>
      </c>
      <c r="C3342">
        <v>0</v>
      </c>
      <c r="D3342">
        <v>0.381057775680468</v>
      </c>
      <c r="E3342">
        <v>0.98393731142031804</v>
      </c>
      <c r="F3342">
        <v>4.1123459284703898</v>
      </c>
    </row>
    <row r="3343" spans="1:6">
      <c r="A3343" t="s">
        <v>51929</v>
      </c>
      <c r="B3343" t="s">
        <v>51934</v>
      </c>
      <c r="C3343">
        <v>0.30968147066266599</v>
      </c>
      <c r="D3343">
        <v>0.381057775680468</v>
      </c>
      <c r="E3343">
        <v>0.98393731142031804</v>
      </c>
      <c r="F3343">
        <v>4.1123459284703898</v>
      </c>
    </row>
    <row r="3344" spans="1:6">
      <c r="A3344" t="s">
        <v>51929</v>
      </c>
      <c r="B3344" t="s">
        <v>51935</v>
      </c>
      <c r="C3344">
        <v>0.33812592192078</v>
      </c>
      <c r="D3344">
        <v>0.381057775680468</v>
      </c>
      <c r="E3344">
        <v>0.98393731142031804</v>
      </c>
      <c r="F3344">
        <v>4.1123459284703898</v>
      </c>
    </row>
    <row r="3345" spans="1:6">
      <c r="A3345" t="s">
        <v>51929</v>
      </c>
      <c r="B3345" t="s">
        <v>51936</v>
      </c>
      <c r="C3345">
        <v>0</v>
      </c>
      <c r="D3345">
        <v>0.381057775680468</v>
      </c>
      <c r="E3345">
        <v>0.98393731142031804</v>
      </c>
      <c r="F3345">
        <v>4.1123459284703898</v>
      </c>
    </row>
    <row r="3346" spans="1:6">
      <c r="A3346" t="s">
        <v>51929</v>
      </c>
      <c r="B3346" t="s">
        <v>51937</v>
      </c>
      <c r="C3346">
        <v>0</v>
      </c>
      <c r="D3346">
        <v>0.381057775680468</v>
      </c>
      <c r="E3346">
        <v>0.98393731142031804</v>
      </c>
      <c r="F3346">
        <v>4.1123459284703898</v>
      </c>
    </row>
    <row r="3347" spans="1:6">
      <c r="A3347" t="s">
        <v>51929</v>
      </c>
      <c r="B3347" t="s">
        <v>51938</v>
      </c>
      <c r="C3347">
        <v>0</v>
      </c>
      <c r="D3347">
        <v>0.381057775680468</v>
      </c>
      <c r="E3347">
        <v>0.98393731142031804</v>
      </c>
      <c r="F3347">
        <v>4.1123459284703898</v>
      </c>
    </row>
    <row r="3348" spans="1:6">
      <c r="A3348" t="s">
        <v>51939</v>
      </c>
      <c r="B3348" t="s">
        <v>51940</v>
      </c>
      <c r="C3348">
        <v>0.62778216384162899</v>
      </c>
      <c r="D3348">
        <v>0.14084832806915901</v>
      </c>
      <c r="E3348">
        <v>0.87294477311242102</v>
      </c>
      <c r="F3348">
        <v>7.5409173570418204</v>
      </c>
    </row>
    <row r="3349" spans="1:6">
      <c r="A3349" t="s">
        <v>51939</v>
      </c>
      <c r="B3349" t="s">
        <v>51941</v>
      </c>
      <c r="C3349">
        <v>0</v>
      </c>
      <c r="D3349">
        <v>0.14084832806915901</v>
      </c>
      <c r="E3349">
        <v>0.87294477311242102</v>
      </c>
      <c r="F3349">
        <v>7.5409173570418204</v>
      </c>
    </row>
    <row r="3350" spans="1:6">
      <c r="A3350" t="s">
        <v>51939</v>
      </c>
      <c r="B3350" t="s">
        <v>51942</v>
      </c>
      <c r="C3350">
        <v>0.18157844795459699</v>
      </c>
      <c r="D3350">
        <v>0.14084832806915901</v>
      </c>
      <c r="E3350">
        <v>0.87294477311242102</v>
      </c>
      <c r="F3350">
        <v>7.5409173570418204</v>
      </c>
    </row>
    <row r="3351" spans="1:6">
      <c r="A3351" t="s">
        <v>51943</v>
      </c>
      <c r="B3351" t="s">
        <v>51944</v>
      </c>
      <c r="C3351">
        <v>0.813699928516462</v>
      </c>
      <c r="D3351">
        <v>0.77329020384347902</v>
      </c>
      <c r="E3351">
        <v>0.91466541138815405</v>
      </c>
      <c r="F3351">
        <v>1.0280864821175899</v>
      </c>
    </row>
    <row r="3352" spans="1:6">
      <c r="A3352" t="s">
        <v>51943</v>
      </c>
      <c r="B3352" t="s">
        <v>51945</v>
      </c>
      <c r="C3352">
        <v>0.128906375296922</v>
      </c>
      <c r="D3352">
        <v>0.77329020384347902</v>
      </c>
      <c r="E3352">
        <v>0.91466541138815405</v>
      </c>
      <c r="F3352">
        <v>1.0280864821175899</v>
      </c>
    </row>
    <row r="3353" spans="1:6">
      <c r="A3353" t="s">
        <v>51943</v>
      </c>
      <c r="B3353" t="s">
        <v>51946</v>
      </c>
      <c r="C3353">
        <v>0</v>
      </c>
      <c r="D3353">
        <v>0.77329020384347902</v>
      </c>
      <c r="E3353">
        <v>0.91466541138815405</v>
      </c>
      <c r="F3353">
        <v>1.0280864821175899</v>
      </c>
    </row>
    <row r="3354" spans="1:6">
      <c r="A3354" t="s">
        <v>51947</v>
      </c>
      <c r="B3354" t="s">
        <v>51948</v>
      </c>
      <c r="C3354">
        <v>0</v>
      </c>
      <c r="D3354">
        <v>0.76901382815974095</v>
      </c>
      <c r="E3354">
        <v>0.86559133675823097</v>
      </c>
      <c r="F3354">
        <v>11.323499696908399</v>
      </c>
    </row>
    <row r="3355" spans="1:6">
      <c r="A3355" t="s">
        <v>51947</v>
      </c>
      <c r="B3355" t="s">
        <v>51949</v>
      </c>
      <c r="C3355">
        <v>0.38634354315553299</v>
      </c>
      <c r="D3355">
        <v>0.76901382815974095</v>
      </c>
      <c r="E3355">
        <v>0.86559133675823097</v>
      </c>
      <c r="F3355">
        <v>11.323499696908399</v>
      </c>
    </row>
    <row r="3356" spans="1:6">
      <c r="A3356" t="s">
        <v>51947</v>
      </c>
      <c r="B3356" t="s">
        <v>51950</v>
      </c>
      <c r="C3356">
        <v>0</v>
      </c>
      <c r="D3356">
        <v>0.76901382815974095</v>
      </c>
      <c r="E3356">
        <v>0.86559133675823097</v>
      </c>
      <c r="F3356">
        <v>11.323499696908399</v>
      </c>
    </row>
    <row r="3357" spans="1:6">
      <c r="A3357" t="s">
        <v>51947</v>
      </c>
      <c r="B3357" t="s">
        <v>51951</v>
      </c>
      <c r="C3357">
        <v>0</v>
      </c>
      <c r="D3357">
        <v>0.76901382815974095</v>
      </c>
      <c r="E3357">
        <v>0.86559133675823097</v>
      </c>
      <c r="F3357">
        <v>11.323499696908399</v>
      </c>
    </row>
    <row r="3358" spans="1:6">
      <c r="A3358" t="s">
        <v>51947</v>
      </c>
      <c r="B3358" t="s">
        <v>51952</v>
      </c>
      <c r="C3358">
        <v>7.0724252249184702E-2</v>
      </c>
      <c r="D3358">
        <v>0.76901382815974095</v>
      </c>
      <c r="E3358">
        <v>0.86559133675823097</v>
      </c>
      <c r="F3358">
        <v>11.323499696908399</v>
      </c>
    </row>
    <row r="3359" spans="1:6">
      <c r="A3359" t="s">
        <v>51947</v>
      </c>
      <c r="B3359" t="s">
        <v>51953</v>
      </c>
      <c r="C3359">
        <v>0</v>
      </c>
      <c r="D3359">
        <v>0.76901382815974095</v>
      </c>
      <c r="E3359">
        <v>0.86559133675823097</v>
      </c>
      <c r="F3359">
        <v>11.323499696908399</v>
      </c>
    </row>
    <row r="3360" spans="1:6">
      <c r="A3360" t="s">
        <v>51947</v>
      </c>
      <c r="B3360" t="s">
        <v>51954</v>
      </c>
      <c r="C3360">
        <v>0</v>
      </c>
      <c r="D3360">
        <v>0.76901382815974095</v>
      </c>
      <c r="E3360">
        <v>0.86559133675823097</v>
      </c>
      <c r="F3360">
        <v>11.323499696908399</v>
      </c>
    </row>
    <row r="3361" spans="1:6">
      <c r="A3361" t="s">
        <v>51947</v>
      </c>
      <c r="B3361" t="s">
        <v>51955</v>
      </c>
      <c r="C3361">
        <v>0</v>
      </c>
      <c r="D3361">
        <v>0.76901382815974095</v>
      </c>
      <c r="E3361">
        <v>0.86559133675823097</v>
      </c>
      <c r="F3361">
        <v>11.323499696908399</v>
      </c>
    </row>
    <row r="3362" spans="1:6">
      <c r="A3362" t="s">
        <v>51947</v>
      </c>
      <c r="B3362" t="s">
        <v>51956</v>
      </c>
      <c r="C3362">
        <v>0</v>
      </c>
      <c r="D3362">
        <v>0.76901382815974095</v>
      </c>
      <c r="E3362">
        <v>0.86559133675823097</v>
      </c>
      <c r="F3362">
        <v>11.323499696908399</v>
      </c>
    </row>
    <row r="3363" spans="1:6">
      <c r="A3363" t="s">
        <v>51947</v>
      </c>
      <c r="B3363" t="s">
        <v>51957</v>
      </c>
      <c r="C3363">
        <v>0</v>
      </c>
      <c r="D3363">
        <v>0.76901382815974095</v>
      </c>
      <c r="E3363">
        <v>0.86559133675823097</v>
      </c>
      <c r="F3363">
        <v>11.323499696908399</v>
      </c>
    </row>
    <row r="3364" spans="1:6">
      <c r="A3364" t="s">
        <v>51958</v>
      </c>
      <c r="B3364" t="s">
        <v>51959</v>
      </c>
      <c r="C3364">
        <v>0.84805364971632502</v>
      </c>
      <c r="D3364">
        <v>0.98535252517076299</v>
      </c>
      <c r="E3364">
        <v>0.98433430977328096</v>
      </c>
      <c r="F3364">
        <v>4.8494645382905601E-3</v>
      </c>
    </row>
    <row r="3365" spans="1:6">
      <c r="A3365" t="s">
        <v>51958</v>
      </c>
      <c r="B3365" t="s">
        <v>51960</v>
      </c>
      <c r="C3365">
        <v>9.3776061727010807E-2</v>
      </c>
      <c r="D3365">
        <v>0.98535252517076299</v>
      </c>
      <c r="E3365">
        <v>0.98433430977328096</v>
      </c>
      <c r="F3365">
        <v>4.8494645382905601E-3</v>
      </c>
    </row>
    <row r="3366" spans="1:6">
      <c r="A3366" t="s">
        <v>51958</v>
      </c>
      <c r="B3366" t="s">
        <v>51961</v>
      </c>
      <c r="C3366">
        <v>0</v>
      </c>
      <c r="D3366">
        <v>0.98535252517076299</v>
      </c>
      <c r="E3366">
        <v>0.98433430977328096</v>
      </c>
      <c r="F3366">
        <v>4.8494645382905601E-3</v>
      </c>
    </row>
    <row r="3367" spans="1:6">
      <c r="A3367" t="s">
        <v>51962</v>
      </c>
      <c r="B3367" t="s">
        <v>51963</v>
      </c>
      <c r="C3367">
        <v>0</v>
      </c>
      <c r="D3367">
        <v>0.43232617578066901</v>
      </c>
      <c r="E3367">
        <v>0.67580332357517303</v>
      </c>
      <c r="F3367">
        <v>1.98828046069913</v>
      </c>
    </row>
    <row r="3368" spans="1:6">
      <c r="A3368" t="s">
        <v>51962</v>
      </c>
      <c r="B3368" t="s">
        <v>51964</v>
      </c>
      <c r="C3368">
        <v>0</v>
      </c>
      <c r="D3368">
        <v>0.43232617578066901</v>
      </c>
      <c r="E3368">
        <v>0.67580332357517303</v>
      </c>
      <c r="F3368">
        <v>1.98828046069913</v>
      </c>
    </row>
    <row r="3369" spans="1:6">
      <c r="A3369" t="s">
        <v>51962</v>
      </c>
      <c r="B3369" t="s">
        <v>51965</v>
      </c>
      <c r="C3369">
        <v>0.27580332357517301</v>
      </c>
      <c r="D3369">
        <v>0.43232617578066901</v>
      </c>
      <c r="E3369">
        <v>0.67580332357517303</v>
      </c>
      <c r="F3369">
        <v>1.98828046069913</v>
      </c>
    </row>
    <row r="3370" spans="1:6">
      <c r="A3370" t="s">
        <v>51962</v>
      </c>
      <c r="B3370" t="s">
        <v>51966</v>
      </c>
      <c r="C3370">
        <v>0</v>
      </c>
      <c r="D3370">
        <v>0.43232617578066901</v>
      </c>
      <c r="E3370">
        <v>0.67580332357517303</v>
      </c>
      <c r="F3370">
        <v>1.98828046069913</v>
      </c>
    </row>
    <row r="3371" spans="1:6">
      <c r="A3371" t="s">
        <v>51962</v>
      </c>
      <c r="B3371" t="s">
        <v>51967</v>
      </c>
      <c r="C3371">
        <v>0</v>
      </c>
      <c r="D3371">
        <v>0.43232617578066901</v>
      </c>
      <c r="E3371">
        <v>0.67580332357517303</v>
      </c>
      <c r="F3371">
        <v>1.98828046069913</v>
      </c>
    </row>
    <row r="3372" spans="1:6">
      <c r="A3372" t="s">
        <v>51968</v>
      </c>
      <c r="B3372" t="s">
        <v>51969</v>
      </c>
      <c r="C3372">
        <v>0</v>
      </c>
      <c r="D3372">
        <v>0.21341572331640099</v>
      </c>
      <c r="E3372">
        <v>0.97050108088924103</v>
      </c>
      <c r="F3372">
        <v>19.397858153162201</v>
      </c>
    </row>
    <row r="3373" spans="1:6">
      <c r="A3373" t="s">
        <v>51968</v>
      </c>
      <c r="B3373" t="s">
        <v>51970</v>
      </c>
      <c r="C3373">
        <v>0</v>
      </c>
      <c r="D3373">
        <v>0.21341572331640099</v>
      </c>
      <c r="E3373">
        <v>0.97050108088924103</v>
      </c>
      <c r="F3373">
        <v>19.397858153162201</v>
      </c>
    </row>
    <row r="3374" spans="1:6">
      <c r="A3374" t="s">
        <v>51968</v>
      </c>
      <c r="B3374" t="s">
        <v>51971</v>
      </c>
      <c r="C3374">
        <v>0</v>
      </c>
      <c r="D3374">
        <v>0.21341572331640099</v>
      </c>
      <c r="E3374">
        <v>0.97050108088924103</v>
      </c>
      <c r="F3374">
        <v>19.397858153162201</v>
      </c>
    </row>
    <row r="3375" spans="1:6">
      <c r="A3375" t="s">
        <v>51968</v>
      </c>
      <c r="B3375" t="s">
        <v>51972</v>
      </c>
      <c r="C3375">
        <v>0</v>
      </c>
      <c r="D3375">
        <v>0.21341572331640099</v>
      </c>
      <c r="E3375">
        <v>0.97050108088924103</v>
      </c>
      <c r="F3375">
        <v>19.397858153162201</v>
      </c>
    </row>
    <row r="3376" spans="1:6">
      <c r="A3376" t="s">
        <v>51968</v>
      </c>
      <c r="B3376" t="s">
        <v>51973</v>
      </c>
      <c r="C3376">
        <v>0</v>
      </c>
      <c r="D3376">
        <v>0.21341572331640099</v>
      </c>
      <c r="E3376">
        <v>0.97050108088924103</v>
      </c>
      <c r="F3376">
        <v>19.397858153162201</v>
      </c>
    </row>
    <row r="3377" spans="1:6">
      <c r="A3377" t="s">
        <v>51968</v>
      </c>
      <c r="B3377" t="s">
        <v>51974</v>
      </c>
      <c r="C3377">
        <v>0.151329580691795</v>
      </c>
      <c r="D3377">
        <v>0.21341572331640099</v>
      </c>
      <c r="E3377">
        <v>0.97050108088924103</v>
      </c>
      <c r="F3377">
        <v>19.397858153162201</v>
      </c>
    </row>
    <row r="3378" spans="1:6">
      <c r="A3378" t="s">
        <v>51968</v>
      </c>
      <c r="B3378" t="s">
        <v>51975</v>
      </c>
      <c r="C3378">
        <v>0</v>
      </c>
      <c r="D3378">
        <v>0.21341572331640099</v>
      </c>
      <c r="E3378">
        <v>0.97050108088924103</v>
      </c>
      <c r="F3378">
        <v>19.397858153162201</v>
      </c>
    </row>
    <row r="3379" spans="1:6">
      <c r="A3379" t="s">
        <v>51968</v>
      </c>
      <c r="B3379" t="s">
        <v>51976</v>
      </c>
      <c r="C3379">
        <v>0</v>
      </c>
      <c r="D3379">
        <v>0.21341572331640099</v>
      </c>
      <c r="E3379">
        <v>0.97050108088924103</v>
      </c>
      <c r="F3379">
        <v>19.397858153162201</v>
      </c>
    </row>
    <row r="3380" spans="1:6">
      <c r="A3380" t="s">
        <v>51968</v>
      </c>
      <c r="B3380" t="s">
        <v>51977</v>
      </c>
      <c r="C3380">
        <v>0</v>
      </c>
      <c r="D3380">
        <v>0.21341572331640099</v>
      </c>
      <c r="E3380">
        <v>0.97050108088924103</v>
      </c>
      <c r="F3380">
        <v>19.397858153162201</v>
      </c>
    </row>
    <row r="3381" spans="1:6">
      <c r="A3381" t="s">
        <v>51968</v>
      </c>
      <c r="B3381" t="s">
        <v>51978</v>
      </c>
      <c r="C3381">
        <v>0</v>
      </c>
      <c r="D3381">
        <v>0.21341572331640099</v>
      </c>
      <c r="E3381">
        <v>0.97050108088924103</v>
      </c>
      <c r="F3381">
        <v>19.397858153162201</v>
      </c>
    </row>
    <row r="3382" spans="1:6">
      <c r="A3382" t="s">
        <v>51968</v>
      </c>
      <c r="B3382" t="s">
        <v>51979</v>
      </c>
      <c r="C3382">
        <v>0.52752845225925404</v>
      </c>
      <c r="D3382">
        <v>0.21341572331640099</v>
      </c>
      <c r="E3382">
        <v>0.97050108088924103</v>
      </c>
      <c r="F3382">
        <v>19.397858153162201</v>
      </c>
    </row>
    <row r="3383" spans="1:6">
      <c r="A3383" t="s">
        <v>51968</v>
      </c>
      <c r="B3383" t="s">
        <v>51980</v>
      </c>
      <c r="C3383">
        <v>0</v>
      </c>
      <c r="D3383">
        <v>0.21341572331640099</v>
      </c>
      <c r="E3383">
        <v>0.97050108088924103</v>
      </c>
      <c r="F3383">
        <v>19.397858153162201</v>
      </c>
    </row>
    <row r="3384" spans="1:6">
      <c r="A3384" t="s">
        <v>51968</v>
      </c>
      <c r="B3384" t="s">
        <v>51981</v>
      </c>
      <c r="C3384">
        <v>0</v>
      </c>
      <c r="D3384">
        <v>0.21341572331640099</v>
      </c>
      <c r="E3384">
        <v>0.97050108088924103</v>
      </c>
      <c r="F3384">
        <v>19.397858153162201</v>
      </c>
    </row>
    <row r="3385" spans="1:6">
      <c r="A3385" t="s">
        <v>51982</v>
      </c>
      <c r="B3385" t="s">
        <v>51983</v>
      </c>
      <c r="C3385">
        <v>0</v>
      </c>
      <c r="D3385">
        <v>0.331036645963942</v>
      </c>
      <c r="E3385">
        <v>0.948588978440285</v>
      </c>
      <c r="F3385">
        <v>4.9561527581329496</v>
      </c>
    </row>
    <row r="3386" spans="1:6">
      <c r="A3386" t="s">
        <v>51982</v>
      </c>
      <c r="B3386" t="s">
        <v>51984</v>
      </c>
      <c r="C3386">
        <v>0</v>
      </c>
      <c r="D3386">
        <v>0.331036645963942</v>
      </c>
      <c r="E3386">
        <v>0.948588978440285</v>
      </c>
      <c r="F3386">
        <v>4.9561527581329496</v>
      </c>
    </row>
    <row r="3387" spans="1:6">
      <c r="A3387" t="s">
        <v>51982</v>
      </c>
      <c r="B3387" t="s">
        <v>51985</v>
      </c>
      <c r="C3387">
        <v>0.53258897844028497</v>
      </c>
      <c r="D3387">
        <v>0.331036645963942</v>
      </c>
      <c r="E3387">
        <v>0.948588978440285</v>
      </c>
      <c r="F3387">
        <v>4.9561527581329496</v>
      </c>
    </row>
    <row r="3388" spans="1:6">
      <c r="A3388" t="s">
        <v>51982</v>
      </c>
      <c r="B3388" t="s">
        <v>51986</v>
      </c>
      <c r="C3388">
        <v>0</v>
      </c>
      <c r="D3388">
        <v>0.331036645963942</v>
      </c>
      <c r="E3388">
        <v>0.948588978440285</v>
      </c>
      <c r="F3388">
        <v>4.9561527581329496</v>
      </c>
    </row>
    <row r="3389" spans="1:6">
      <c r="A3389" t="s">
        <v>51982</v>
      </c>
      <c r="B3389" t="s">
        <v>51987</v>
      </c>
      <c r="C3389">
        <v>0</v>
      </c>
      <c r="D3389">
        <v>0.331036645963942</v>
      </c>
      <c r="E3389">
        <v>0.948588978440285</v>
      </c>
      <c r="F3389">
        <v>4.9561527581329496</v>
      </c>
    </row>
    <row r="3390" spans="1:6">
      <c r="A3390" t="s">
        <v>51982</v>
      </c>
      <c r="B3390" t="s">
        <v>51988</v>
      </c>
      <c r="C3390">
        <v>0</v>
      </c>
      <c r="D3390">
        <v>0.331036645963942</v>
      </c>
      <c r="E3390">
        <v>0.948588978440285</v>
      </c>
      <c r="F3390">
        <v>4.9561527581329496</v>
      </c>
    </row>
    <row r="3391" spans="1:6">
      <c r="A3391" t="s">
        <v>51982</v>
      </c>
      <c r="B3391" t="s">
        <v>51989</v>
      </c>
      <c r="C3391">
        <v>0</v>
      </c>
      <c r="D3391">
        <v>0.331036645963942</v>
      </c>
      <c r="E3391">
        <v>0.948588978440285</v>
      </c>
      <c r="F3391">
        <v>4.9561527581329496</v>
      </c>
    </row>
    <row r="3392" spans="1:6">
      <c r="A3392" t="s">
        <v>51990</v>
      </c>
      <c r="B3392" t="s">
        <v>51991</v>
      </c>
      <c r="C3392">
        <v>0</v>
      </c>
      <c r="D3392">
        <v>0.58373758702273404</v>
      </c>
      <c r="E3392" t="s">
        <v>106</v>
      </c>
      <c r="F3392">
        <v>1.5275813295615199</v>
      </c>
    </row>
    <row r="3393" spans="1:6">
      <c r="A3393" t="s">
        <v>51990</v>
      </c>
      <c r="B3393" t="s">
        <v>51992</v>
      </c>
      <c r="C3393">
        <v>0</v>
      </c>
      <c r="D3393">
        <v>0.58373758702273404</v>
      </c>
      <c r="E3393" t="s">
        <v>106</v>
      </c>
      <c r="F3393">
        <v>1.5275813295615199</v>
      </c>
    </row>
    <row r="3394" spans="1:6">
      <c r="A3394" t="s">
        <v>51993</v>
      </c>
      <c r="B3394" t="s">
        <v>51994</v>
      </c>
      <c r="C3394">
        <v>0</v>
      </c>
      <c r="D3394">
        <v>0.162133436883517</v>
      </c>
      <c r="E3394">
        <v>0.81382740810243703</v>
      </c>
      <c r="F3394">
        <v>1.0280864821175899</v>
      </c>
    </row>
    <row r="3395" spans="1:6">
      <c r="A3395" t="s">
        <v>51993</v>
      </c>
      <c r="B3395" t="s">
        <v>51995</v>
      </c>
      <c r="C3395">
        <v>0</v>
      </c>
      <c r="D3395">
        <v>0.162133436883517</v>
      </c>
      <c r="E3395">
        <v>0.81382740810243703</v>
      </c>
      <c r="F3395">
        <v>1.0280864821175899</v>
      </c>
    </row>
    <row r="3396" spans="1:6">
      <c r="A3396" t="s">
        <v>51993</v>
      </c>
      <c r="B3396" t="s">
        <v>51996</v>
      </c>
      <c r="C3396">
        <v>0</v>
      </c>
      <c r="D3396">
        <v>0.162133436883517</v>
      </c>
      <c r="E3396">
        <v>0.81382740810243703</v>
      </c>
      <c r="F3396">
        <v>1.0280864821175899</v>
      </c>
    </row>
    <row r="3397" spans="1:6">
      <c r="A3397" t="s">
        <v>51993</v>
      </c>
      <c r="B3397" t="s">
        <v>51997</v>
      </c>
      <c r="C3397">
        <v>0.11128983101812499</v>
      </c>
      <c r="D3397">
        <v>0.162133436883517</v>
      </c>
      <c r="E3397">
        <v>0.81382740810243703</v>
      </c>
      <c r="F3397">
        <v>1.0280864821175899</v>
      </c>
    </row>
    <row r="3398" spans="1:6">
      <c r="A3398" t="s">
        <v>51993</v>
      </c>
      <c r="B3398" t="s">
        <v>51998</v>
      </c>
      <c r="C3398">
        <v>5.3178170509249098E-2</v>
      </c>
      <c r="D3398">
        <v>0.162133436883517</v>
      </c>
      <c r="E3398">
        <v>0.81382740810243703</v>
      </c>
      <c r="F3398">
        <v>1.0280864821175899</v>
      </c>
    </row>
    <row r="3399" spans="1:6">
      <c r="A3399" t="s">
        <v>51993</v>
      </c>
      <c r="B3399" t="s">
        <v>51999</v>
      </c>
      <c r="C3399">
        <v>0</v>
      </c>
      <c r="D3399">
        <v>0.162133436883517</v>
      </c>
      <c r="E3399">
        <v>0.81382740810243703</v>
      </c>
      <c r="F3399">
        <v>1.0280864821175899</v>
      </c>
    </row>
    <row r="3400" spans="1:6">
      <c r="A3400" t="s">
        <v>51993</v>
      </c>
      <c r="B3400" t="s">
        <v>52000</v>
      </c>
      <c r="C3400">
        <v>0</v>
      </c>
      <c r="D3400">
        <v>0.162133436883517</v>
      </c>
      <c r="E3400">
        <v>0.81382740810243703</v>
      </c>
      <c r="F3400">
        <v>1.0280864821175899</v>
      </c>
    </row>
    <row r="3401" spans="1:6">
      <c r="A3401" t="s">
        <v>51993</v>
      </c>
      <c r="B3401" t="s">
        <v>52001</v>
      </c>
      <c r="C3401">
        <v>0</v>
      </c>
      <c r="D3401">
        <v>0.162133436883517</v>
      </c>
      <c r="E3401">
        <v>0.81382740810243703</v>
      </c>
      <c r="F3401">
        <v>1.0280864821175899</v>
      </c>
    </row>
    <row r="3402" spans="1:6">
      <c r="A3402" t="s">
        <v>51993</v>
      </c>
      <c r="B3402" t="s">
        <v>52002</v>
      </c>
      <c r="C3402">
        <v>0</v>
      </c>
      <c r="D3402">
        <v>0.162133436883517</v>
      </c>
      <c r="E3402">
        <v>0.81382740810243703</v>
      </c>
      <c r="F3402">
        <v>1.0280864821175899</v>
      </c>
    </row>
    <row r="3403" spans="1:6">
      <c r="A3403" t="s">
        <v>51993</v>
      </c>
      <c r="B3403" t="s">
        <v>52003</v>
      </c>
      <c r="C3403">
        <v>0</v>
      </c>
      <c r="D3403">
        <v>0.162133436883517</v>
      </c>
      <c r="E3403">
        <v>0.81382740810243703</v>
      </c>
      <c r="F3403">
        <v>1.0280864821175899</v>
      </c>
    </row>
    <row r="3404" spans="1:6">
      <c r="A3404" t="s">
        <v>51993</v>
      </c>
      <c r="B3404" t="s">
        <v>52004</v>
      </c>
      <c r="C3404">
        <v>0</v>
      </c>
      <c r="D3404">
        <v>0.162133436883517</v>
      </c>
      <c r="E3404">
        <v>0.81382740810243703</v>
      </c>
      <c r="F3404">
        <v>1.0280864821175899</v>
      </c>
    </row>
    <row r="3405" spans="1:6">
      <c r="A3405" t="s">
        <v>52005</v>
      </c>
      <c r="B3405" t="s">
        <v>52006</v>
      </c>
      <c r="C3405">
        <v>0</v>
      </c>
      <c r="D3405">
        <v>0.37668819524952202</v>
      </c>
      <c r="E3405">
        <v>0.82948880494605504</v>
      </c>
      <c r="F3405">
        <v>2.35199030107092</v>
      </c>
    </row>
    <row r="3406" spans="1:6">
      <c r="A3406" t="s">
        <v>52005</v>
      </c>
      <c r="B3406" t="s">
        <v>52007</v>
      </c>
      <c r="C3406">
        <v>0</v>
      </c>
      <c r="D3406">
        <v>0.37668819524952202</v>
      </c>
      <c r="E3406">
        <v>0.82948880494605504</v>
      </c>
      <c r="F3406">
        <v>2.35199030107092</v>
      </c>
    </row>
    <row r="3407" spans="1:6">
      <c r="A3407" t="s">
        <v>52005</v>
      </c>
      <c r="B3407" t="s">
        <v>52008</v>
      </c>
      <c r="C3407">
        <v>0</v>
      </c>
      <c r="D3407">
        <v>0.37668819524952202</v>
      </c>
      <c r="E3407">
        <v>0.82948880494605504</v>
      </c>
      <c r="F3407">
        <v>2.35199030107092</v>
      </c>
    </row>
    <row r="3408" spans="1:6">
      <c r="A3408" t="s">
        <v>52005</v>
      </c>
      <c r="B3408" t="s">
        <v>52009</v>
      </c>
      <c r="C3408">
        <v>0</v>
      </c>
      <c r="D3408">
        <v>0.37668819524952202</v>
      </c>
      <c r="E3408">
        <v>0.82948880494605504</v>
      </c>
      <c r="F3408">
        <v>2.35199030107092</v>
      </c>
    </row>
    <row r="3409" spans="1:6">
      <c r="A3409" t="s">
        <v>52005</v>
      </c>
      <c r="B3409" t="s">
        <v>52010</v>
      </c>
      <c r="C3409">
        <v>0</v>
      </c>
      <c r="D3409">
        <v>0.37668819524952202</v>
      </c>
      <c r="E3409">
        <v>0.82948880494605504</v>
      </c>
      <c r="F3409">
        <v>2.35199030107092</v>
      </c>
    </row>
    <row r="3410" spans="1:6">
      <c r="A3410" t="s">
        <v>52005</v>
      </c>
      <c r="B3410" t="s">
        <v>52011</v>
      </c>
      <c r="C3410">
        <v>0</v>
      </c>
      <c r="D3410">
        <v>0.37668819524952202</v>
      </c>
      <c r="E3410">
        <v>0.82948880494605504</v>
      </c>
      <c r="F3410">
        <v>2.35199030107092</v>
      </c>
    </row>
    <row r="3411" spans="1:6">
      <c r="A3411" t="s">
        <v>52005</v>
      </c>
      <c r="B3411" t="s">
        <v>52012</v>
      </c>
      <c r="C3411">
        <v>0</v>
      </c>
      <c r="D3411">
        <v>0.37668819524952202</v>
      </c>
      <c r="E3411">
        <v>0.82948880494605504</v>
      </c>
      <c r="F3411">
        <v>2.35199030107092</v>
      </c>
    </row>
    <row r="3412" spans="1:6">
      <c r="A3412" t="s">
        <v>52005</v>
      </c>
      <c r="B3412" t="s">
        <v>52013</v>
      </c>
      <c r="C3412">
        <v>0</v>
      </c>
      <c r="D3412">
        <v>0.37668819524952202</v>
      </c>
      <c r="E3412">
        <v>0.82948880494605504</v>
      </c>
      <c r="F3412">
        <v>2.35199030107092</v>
      </c>
    </row>
    <row r="3413" spans="1:6">
      <c r="A3413" t="s">
        <v>52005</v>
      </c>
      <c r="B3413" t="s">
        <v>52014</v>
      </c>
      <c r="C3413">
        <v>0</v>
      </c>
      <c r="D3413">
        <v>0.37668819524952202</v>
      </c>
      <c r="E3413">
        <v>0.82948880494605504</v>
      </c>
      <c r="F3413">
        <v>2.35199030107092</v>
      </c>
    </row>
    <row r="3414" spans="1:6">
      <c r="A3414" t="s">
        <v>52005</v>
      </c>
      <c r="B3414" t="s">
        <v>52015</v>
      </c>
      <c r="C3414">
        <v>0.32868880494605501</v>
      </c>
      <c r="D3414">
        <v>0.37668819524952202</v>
      </c>
      <c r="E3414">
        <v>0.82948880494605504</v>
      </c>
      <c r="F3414">
        <v>2.35199030107092</v>
      </c>
    </row>
    <row r="3415" spans="1:6">
      <c r="A3415" t="s">
        <v>52005</v>
      </c>
      <c r="B3415" t="s">
        <v>52016</v>
      </c>
      <c r="C3415">
        <v>0</v>
      </c>
      <c r="D3415">
        <v>0.37668819524952202</v>
      </c>
      <c r="E3415">
        <v>0.82948880494605504</v>
      </c>
      <c r="F3415">
        <v>2.35199030107092</v>
      </c>
    </row>
    <row r="3416" spans="1:6">
      <c r="A3416" t="s">
        <v>52017</v>
      </c>
      <c r="B3416" t="s">
        <v>52018</v>
      </c>
      <c r="C3416">
        <v>0.63016146966030995</v>
      </c>
      <c r="D3416">
        <v>0.38892086963846401</v>
      </c>
      <c r="E3416">
        <v>0.86856146966031</v>
      </c>
      <c r="F3416">
        <v>9.8735097999595798</v>
      </c>
    </row>
    <row r="3417" spans="1:6">
      <c r="A3417" t="s">
        <v>52017</v>
      </c>
      <c r="B3417" t="s">
        <v>52019</v>
      </c>
      <c r="C3417">
        <v>0</v>
      </c>
      <c r="D3417">
        <v>0.38892086963846401</v>
      </c>
      <c r="E3417">
        <v>0.86856146966031</v>
      </c>
      <c r="F3417">
        <v>9.8735097999595798</v>
      </c>
    </row>
    <row r="3418" spans="1:6">
      <c r="A3418" t="s">
        <v>52017</v>
      </c>
      <c r="B3418" t="s">
        <v>52020</v>
      </c>
      <c r="C3418">
        <v>0</v>
      </c>
      <c r="D3418">
        <v>0.38892086963846401</v>
      </c>
      <c r="E3418">
        <v>0.86856146966031</v>
      </c>
      <c r="F3418">
        <v>9.8735097999595798</v>
      </c>
    </row>
    <row r="3419" spans="1:6">
      <c r="A3419" t="s">
        <v>52021</v>
      </c>
      <c r="B3419" t="s">
        <v>50122</v>
      </c>
      <c r="C3419">
        <v>0</v>
      </c>
      <c r="D3419">
        <v>0.62803077716417</v>
      </c>
      <c r="E3419">
        <v>0.90377716251287799</v>
      </c>
      <c r="F3419">
        <v>3.9183673469387701</v>
      </c>
    </row>
    <row r="3420" spans="1:6">
      <c r="A3420" t="s">
        <v>52021</v>
      </c>
      <c r="B3420" t="s">
        <v>50123</v>
      </c>
      <c r="C3420">
        <v>7.8723282648126697E-2</v>
      </c>
      <c r="D3420">
        <v>0.62803077716417</v>
      </c>
      <c r="E3420">
        <v>0.90377716251287799</v>
      </c>
      <c r="F3420">
        <v>3.9183673469387701</v>
      </c>
    </row>
    <row r="3421" spans="1:6">
      <c r="A3421" t="s">
        <v>52021</v>
      </c>
      <c r="B3421" t="s">
        <v>50124</v>
      </c>
      <c r="C3421">
        <v>0</v>
      </c>
      <c r="D3421">
        <v>0.62803077716417</v>
      </c>
      <c r="E3421">
        <v>0.90377716251287799</v>
      </c>
      <c r="F3421">
        <v>3.9183673469387701</v>
      </c>
    </row>
    <row r="3422" spans="1:6">
      <c r="A3422" t="s">
        <v>52021</v>
      </c>
      <c r="B3422" t="s">
        <v>50125</v>
      </c>
      <c r="C3422">
        <v>0</v>
      </c>
      <c r="D3422">
        <v>0.62803077716417</v>
      </c>
      <c r="E3422">
        <v>0.90377716251287799</v>
      </c>
      <c r="F3422">
        <v>3.9183673469387701</v>
      </c>
    </row>
    <row r="3423" spans="1:6">
      <c r="A3423" t="s">
        <v>52021</v>
      </c>
      <c r="B3423" t="s">
        <v>50126</v>
      </c>
      <c r="C3423">
        <v>0</v>
      </c>
      <c r="D3423">
        <v>0.62803077716417</v>
      </c>
      <c r="E3423">
        <v>0.90377716251287799</v>
      </c>
      <c r="F3423">
        <v>3.9183673469387701</v>
      </c>
    </row>
    <row r="3424" spans="1:6">
      <c r="A3424" t="s">
        <v>52021</v>
      </c>
      <c r="B3424" t="s">
        <v>50127</v>
      </c>
      <c r="C3424">
        <v>0</v>
      </c>
      <c r="D3424">
        <v>0.62803077716417</v>
      </c>
      <c r="E3424">
        <v>0.90377716251287799</v>
      </c>
      <c r="F3424">
        <v>3.9183673469387701</v>
      </c>
    </row>
    <row r="3425" spans="1:6">
      <c r="A3425" t="s">
        <v>52021</v>
      </c>
      <c r="B3425" t="s">
        <v>50128</v>
      </c>
      <c r="C3425">
        <v>0</v>
      </c>
      <c r="D3425">
        <v>0.62803077716417</v>
      </c>
      <c r="E3425">
        <v>0.90377716251287799</v>
      </c>
      <c r="F3425">
        <v>3.9183673469387701</v>
      </c>
    </row>
    <row r="3426" spans="1:6">
      <c r="A3426" t="s">
        <v>52021</v>
      </c>
      <c r="B3426" t="s">
        <v>50129</v>
      </c>
      <c r="C3426">
        <v>0.36193968669470999</v>
      </c>
      <c r="D3426">
        <v>0.62803077716417</v>
      </c>
      <c r="E3426">
        <v>0.90377716251287799</v>
      </c>
      <c r="F3426">
        <v>3.9183673469387701</v>
      </c>
    </row>
    <row r="3427" spans="1:6">
      <c r="A3427" t="s">
        <v>52022</v>
      </c>
      <c r="B3427" t="s">
        <v>52023</v>
      </c>
      <c r="C3427">
        <v>0.51919743191224199</v>
      </c>
      <c r="D3427">
        <v>8.2449739691545908E-3</v>
      </c>
      <c r="E3427">
        <v>0.99546287952405099</v>
      </c>
      <c r="F3427">
        <v>5.06769044251363</v>
      </c>
    </row>
    <row r="3428" spans="1:6">
      <c r="A3428" t="s">
        <v>52022</v>
      </c>
      <c r="B3428" t="s">
        <v>52024</v>
      </c>
      <c r="C3428">
        <v>0</v>
      </c>
      <c r="D3428">
        <v>8.2449739691545908E-3</v>
      </c>
      <c r="E3428">
        <v>0.99546287952405099</v>
      </c>
      <c r="F3428">
        <v>5.06769044251363</v>
      </c>
    </row>
    <row r="3429" spans="1:6">
      <c r="A3429" t="s">
        <v>52022</v>
      </c>
      <c r="B3429" t="s">
        <v>52025</v>
      </c>
      <c r="C3429">
        <v>0</v>
      </c>
      <c r="D3429">
        <v>8.2449739691545908E-3</v>
      </c>
      <c r="E3429">
        <v>0.99546287952405099</v>
      </c>
      <c r="F3429">
        <v>5.06769044251363</v>
      </c>
    </row>
    <row r="3430" spans="1:6">
      <c r="A3430" t="s">
        <v>52022</v>
      </c>
      <c r="B3430" t="s">
        <v>52026</v>
      </c>
      <c r="C3430">
        <v>0.92105634410457005</v>
      </c>
      <c r="D3430">
        <v>8.2449739691545908E-3</v>
      </c>
      <c r="E3430">
        <v>0.99546287952405099</v>
      </c>
      <c r="F3430">
        <v>5.06769044251363</v>
      </c>
    </row>
    <row r="3431" spans="1:6">
      <c r="A3431" t="s">
        <v>52027</v>
      </c>
      <c r="B3431" t="s">
        <v>52028</v>
      </c>
      <c r="C3431">
        <v>0.65452916326829302</v>
      </c>
      <c r="D3431">
        <v>0.28537588164011701</v>
      </c>
      <c r="E3431">
        <v>0.79692916326829299</v>
      </c>
      <c r="F3431">
        <v>8.2343907860173697</v>
      </c>
    </row>
    <row r="3432" spans="1:6">
      <c r="A3432" t="s">
        <v>52027</v>
      </c>
      <c r="B3432" t="s">
        <v>52029</v>
      </c>
      <c r="C3432">
        <v>0</v>
      </c>
      <c r="D3432">
        <v>0.28537588164011701</v>
      </c>
      <c r="E3432">
        <v>0.79692916326829299</v>
      </c>
      <c r="F3432">
        <v>8.2343907860173697</v>
      </c>
    </row>
    <row r="3433" spans="1:6">
      <c r="A3433" t="s">
        <v>52027</v>
      </c>
      <c r="B3433" t="s">
        <v>52030</v>
      </c>
      <c r="C3433">
        <v>0</v>
      </c>
      <c r="D3433">
        <v>0.28537588164011701</v>
      </c>
      <c r="E3433">
        <v>0.79692916326829299</v>
      </c>
      <c r="F3433">
        <v>8.2343907860173697</v>
      </c>
    </row>
    <row r="3434" spans="1:6">
      <c r="A3434" t="s">
        <v>52031</v>
      </c>
      <c r="B3434" t="s">
        <v>52032</v>
      </c>
      <c r="C3434">
        <v>0.85671738960724497</v>
      </c>
      <c r="D3434">
        <v>0.76657753136334705</v>
      </c>
      <c r="E3434">
        <v>0.96994293001889098</v>
      </c>
      <c r="F3434">
        <v>1.98828046069913</v>
      </c>
    </row>
    <row r="3435" spans="1:6">
      <c r="A3435" t="s">
        <v>52031</v>
      </c>
      <c r="B3435" t="s">
        <v>52033</v>
      </c>
      <c r="C3435">
        <v>5.1618635310162898E-2</v>
      </c>
      <c r="D3435">
        <v>0.76657753136334705</v>
      </c>
      <c r="E3435">
        <v>0.96994293001889098</v>
      </c>
      <c r="F3435">
        <v>1.98828046069913</v>
      </c>
    </row>
    <row r="3436" spans="1:6">
      <c r="A3436" t="s">
        <v>52031</v>
      </c>
      <c r="B3436" t="s">
        <v>52034</v>
      </c>
      <c r="C3436">
        <v>0</v>
      </c>
      <c r="D3436">
        <v>0.76657753136334705</v>
      </c>
      <c r="E3436">
        <v>0.96994293001889098</v>
      </c>
      <c r="F3436">
        <v>1.98828046069913</v>
      </c>
    </row>
    <row r="3437" spans="1:6">
      <c r="A3437" t="s">
        <v>52035</v>
      </c>
      <c r="B3437" t="s">
        <v>52036</v>
      </c>
      <c r="C3437">
        <v>0.44539148837546999</v>
      </c>
      <c r="D3437">
        <v>0.56762980620585302</v>
      </c>
      <c r="E3437">
        <v>0.95893824024902197</v>
      </c>
      <c r="F3437">
        <v>23.5199030107092</v>
      </c>
    </row>
    <row r="3438" spans="1:6">
      <c r="A3438" t="s">
        <v>52035</v>
      </c>
      <c r="B3438" t="s">
        <v>52037</v>
      </c>
      <c r="C3438">
        <v>0.39869879240953798</v>
      </c>
      <c r="D3438">
        <v>0.56762980620585302</v>
      </c>
      <c r="E3438">
        <v>0.95893824024902197</v>
      </c>
      <c r="F3438">
        <v>23.5199030107092</v>
      </c>
    </row>
    <row r="3439" spans="1:6">
      <c r="A3439" t="s">
        <v>52035</v>
      </c>
      <c r="B3439" t="s">
        <v>52038</v>
      </c>
      <c r="C3439">
        <v>0</v>
      </c>
      <c r="D3439">
        <v>0.56762980620585302</v>
      </c>
      <c r="E3439">
        <v>0.95893824024902197</v>
      </c>
      <c r="F3439">
        <v>23.5199030107092</v>
      </c>
    </row>
    <row r="3440" spans="1:6">
      <c r="A3440" t="s">
        <v>52035</v>
      </c>
      <c r="B3440" t="s">
        <v>52039</v>
      </c>
      <c r="C3440">
        <v>0</v>
      </c>
      <c r="D3440">
        <v>0.56762980620585302</v>
      </c>
      <c r="E3440">
        <v>0.95893824024902197</v>
      </c>
      <c r="F3440">
        <v>23.5199030107092</v>
      </c>
    </row>
    <row r="3441" spans="1:6">
      <c r="A3441" t="s">
        <v>52040</v>
      </c>
      <c r="B3441" t="s">
        <v>52041</v>
      </c>
      <c r="C3441">
        <v>0.44580063880870202</v>
      </c>
      <c r="D3441">
        <v>0.33679162095812198</v>
      </c>
      <c r="E3441">
        <v>0.84580063880870204</v>
      </c>
      <c r="F3441">
        <v>1.2366134572640901</v>
      </c>
    </row>
    <row r="3442" spans="1:6">
      <c r="A3442" t="s">
        <v>52040</v>
      </c>
      <c r="B3442" t="s">
        <v>52042</v>
      </c>
      <c r="C3442">
        <v>0</v>
      </c>
      <c r="D3442">
        <v>0.33679162095812198</v>
      </c>
      <c r="E3442">
        <v>0.84580063880870204</v>
      </c>
      <c r="F3442">
        <v>1.2366134572640901</v>
      </c>
    </row>
    <row r="3443" spans="1:6">
      <c r="A3443" t="s">
        <v>52040</v>
      </c>
      <c r="B3443" t="s">
        <v>52043</v>
      </c>
      <c r="C3443">
        <v>0</v>
      </c>
      <c r="D3443">
        <v>0.33679162095812198</v>
      </c>
      <c r="E3443">
        <v>0.84580063880870204</v>
      </c>
      <c r="F3443">
        <v>1.2366134572640901</v>
      </c>
    </row>
    <row r="3444" spans="1:6">
      <c r="A3444" t="s">
        <v>52040</v>
      </c>
      <c r="B3444" t="s">
        <v>52044</v>
      </c>
      <c r="C3444">
        <v>0</v>
      </c>
      <c r="D3444">
        <v>0.33679162095812198</v>
      </c>
      <c r="E3444">
        <v>0.84580063880870204</v>
      </c>
      <c r="F3444">
        <v>1.2366134572640901</v>
      </c>
    </row>
    <row r="3445" spans="1:6">
      <c r="A3445" t="s">
        <v>52040</v>
      </c>
      <c r="B3445" t="s">
        <v>52045</v>
      </c>
      <c r="C3445">
        <v>0</v>
      </c>
      <c r="D3445">
        <v>0.33679162095812198</v>
      </c>
      <c r="E3445">
        <v>0.84580063880870204</v>
      </c>
      <c r="F3445">
        <v>1.2366134572640901</v>
      </c>
    </row>
    <row r="3446" spans="1:6">
      <c r="A3446" t="s">
        <v>52040</v>
      </c>
      <c r="B3446" t="s">
        <v>52046</v>
      </c>
      <c r="C3446">
        <v>0</v>
      </c>
      <c r="D3446">
        <v>0.33679162095812198</v>
      </c>
      <c r="E3446">
        <v>0.84580063880870204</v>
      </c>
      <c r="F3446">
        <v>1.2366134572640901</v>
      </c>
    </row>
    <row r="3447" spans="1:6">
      <c r="A3447" t="s">
        <v>52040</v>
      </c>
      <c r="B3447" t="s">
        <v>52047</v>
      </c>
      <c r="C3447">
        <v>0</v>
      </c>
      <c r="D3447">
        <v>0.33679162095812198</v>
      </c>
      <c r="E3447">
        <v>0.84580063880870204</v>
      </c>
      <c r="F3447">
        <v>1.2366134572640901</v>
      </c>
    </row>
    <row r="3448" spans="1:6">
      <c r="A3448" t="s">
        <v>52040</v>
      </c>
      <c r="B3448" t="s">
        <v>52048</v>
      </c>
      <c r="C3448">
        <v>0</v>
      </c>
      <c r="D3448">
        <v>0.33679162095812198</v>
      </c>
      <c r="E3448">
        <v>0.84580063880870204</v>
      </c>
      <c r="F3448">
        <v>1.2366134572640901</v>
      </c>
    </row>
    <row r="3449" spans="1:6">
      <c r="A3449" t="s">
        <v>52040</v>
      </c>
      <c r="B3449" t="s">
        <v>52049</v>
      </c>
      <c r="C3449">
        <v>0</v>
      </c>
      <c r="D3449">
        <v>0.33679162095812198</v>
      </c>
      <c r="E3449">
        <v>0.84580063880870204</v>
      </c>
      <c r="F3449">
        <v>1.2366134572640901</v>
      </c>
    </row>
    <row r="3450" spans="1:6">
      <c r="A3450" t="s">
        <v>52040</v>
      </c>
      <c r="B3450" t="s">
        <v>52050</v>
      </c>
      <c r="C3450">
        <v>0</v>
      </c>
      <c r="D3450">
        <v>0.33679162095812198</v>
      </c>
      <c r="E3450">
        <v>0.84580063880870204</v>
      </c>
      <c r="F3450">
        <v>1.2366134572640901</v>
      </c>
    </row>
    <row r="3451" spans="1:6">
      <c r="A3451" t="s">
        <v>52040</v>
      </c>
      <c r="B3451" t="s">
        <v>52051</v>
      </c>
      <c r="C3451">
        <v>0</v>
      </c>
      <c r="D3451">
        <v>0.33679162095812198</v>
      </c>
      <c r="E3451">
        <v>0.84580063880870204</v>
      </c>
      <c r="F3451">
        <v>1.2366134572640901</v>
      </c>
    </row>
    <row r="3452" spans="1:6">
      <c r="A3452" t="s">
        <v>52052</v>
      </c>
      <c r="B3452" t="s">
        <v>52053</v>
      </c>
      <c r="C3452">
        <v>0</v>
      </c>
      <c r="D3452">
        <v>0.50566066805512999</v>
      </c>
      <c r="E3452">
        <v>0.89796409275554501</v>
      </c>
      <c r="F3452">
        <v>6.24126086077995</v>
      </c>
    </row>
    <row r="3453" spans="1:6">
      <c r="A3453" t="s">
        <v>52052</v>
      </c>
      <c r="B3453" t="s">
        <v>52054</v>
      </c>
      <c r="C3453">
        <v>0</v>
      </c>
      <c r="D3453">
        <v>0.50566066805512999</v>
      </c>
      <c r="E3453">
        <v>0.89796409275554501</v>
      </c>
      <c r="F3453">
        <v>6.24126086077995</v>
      </c>
    </row>
    <row r="3454" spans="1:6">
      <c r="A3454" t="s">
        <v>52052</v>
      </c>
      <c r="B3454" t="s">
        <v>52055</v>
      </c>
      <c r="C3454">
        <v>0</v>
      </c>
      <c r="D3454">
        <v>0.50566066805512999</v>
      </c>
      <c r="E3454">
        <v>0.89796409275554501</v>
      </c>
      <c r="F3454">
        <v>6.24126086077995</v>
      </c>
    </row>
    <row r="3455" spans="1:6">
      <c r="A3455" t="s">
        <v>52052</v>
      </c>
      <c r="B3455" t="s">
        <v>52056</v>
      </c>
      <c r="C3455">
        <v>0</v>
      </c>
      <c r="D3455">
        <v>0.50566066805512999</v>
      </c>
      <c r="E3455">
        <v>0.89796409275554501</v>
      </c>
      <c r="F3455">
        <v>6.24126086077995</v>
      </c>
    </row>
    <row r="3456" spans="1:6">
      <c r="A3456" t="s">
        <v>52052</v>
      </c>
      <c r="B3456" t="s">
        <v>52057</v>
      </c>
      <c r="C3456">
        <v>0</v>
      </c>
      <c r="D3456">
        <v>0.50566066805512999</v>
      </c>
      <c r="E3456">
        <v>0.89796409275554501</v>
      </c>
      <c r="F3456">
        <v>6.24126086077995</v>
      </c>
    </row>
    <row r="3457" spans="1:6">
      <c r="A3457" t="s">
        <v>52052</v>
      </c>
      <c r="B3457" t="s">
        <v>52058</v>
      </c>
      <c r="C3457">
        <v>0</v>
      </c>
      <c r="D3457">
        <v>0.50566066805512999</v>
      </c>
      <c r="E3457">
        <v>0.89796409275554501</v>
      </c>
      <c r="F3457">
        <v>6.24126086077995</v>
      </c>
    </row>
    <row r="3458" spans="1:6">
      <c r="A3458" t="s">
        <v>52052</v>
      </c>
      <c r="B3458" t="s">
        <v>52059</v>
      </c>
      <c r="C3458">
        <v>0.473600267516878</v>
      </c>
      <c r="D3458">
        <v>0.50566066805512999</v>
      </c>
      <c r="E3458">
        <v>0.89796409275554501</v>
      </c>
      <c r="F3458">
        <v>6.24126086077995</v>
      </c>
    </row>
    <row r="3459" spans="1:6">
      <c r="A3459" t="s">
        <v>52052</v>
      </c>
      <c r="B3459" t="s">
        <v>52060</v>
      </c>
      <c r="C3459">
        <v>8.4570900597515306E-2</v>
      </c>
      <c r="D3459">
        <v>0.50566066805512999</v>
      </c>
      <c r="E3459">
        <v>0.89796409275554501</v>
      </c>
      <c r="F3459">
        <v>6.24126086077995</v>
      </c>
    </row>
    <row r="3460" spans="1:6">
      <c r="A3460" t="s">
        <v>52061</v>
      </c>
      <c r="B3460" t="s">
        <v>52062</v>
      </c>
      <c r="C3460">
        <v>1.08078475346323</v>
      </c>
      <c r="D3460">
        <v>0.67835735679921705</v>
      </c>
      <c r="E3460">
        <v>0.90426214957469297</v>
      </c>
      <c r="F3460">
        <v>8.72903616892301E-2</v>
      </c>
    </row>
    <row r="3461" spans="1:6">
      <c r="A3461" t="s">
        <v>52061</v>
      </c>
      <c r="B3461" t="s">
        <v>52063</v>
      </c>
      <c r="C3461">
        <v>0.63646487757669801</v>
      </c>
      <c r="D3461">
        <v>0.67835735679921705</v>
      </c>
      <c r="E3461">
        <v>0.90426214957469297</v>
      </c>
      <c r="F3461">
        <v>8.72903616892301E-2</v>
      </c>
    </row>
    <row r="3462" spans="1:6">
      <c r="A3462" t="s">
        <v>52064</v>
      </c>
      <c r="B3462" t="s">
        <v>52065</v>
      </c>
      <c r="C3462">
        <v>0.20349199693555001</v>
      </c>
      <c r="D3462">
        <v>0.73380230790853196</v>
      </c>
      <c r="E3462">
        <v>0.85996573282481703</v>
      </c>
      <c r="F3462">
        <v>12.516467973327901</v>
      </c>
    </row>
    <row r="3463" spans="1:6">
      <c r="A3463" t="s">
        <v>52064</v>
      </c>
      <c r="B3463" t="s">
        <v>52066</v>
      </c>
      <c r="C3463">
        <v>0.47249743593864602</v>
      </c>
      <c r="D3463">
        <v>0.73380230790853196</v>
      </c>
      <c r="E3463">
        <v>0.85996573282481703</v>
      </c>
      <c r="F3463">
        <v>12.516467973327901</v>
      </c>
    </row>
    <row r="3464" spans="1:6">
      <c r="A3464" t="s">
        <v>52064</v>
      </c>
      <c r="B3464" t="s">
        <v>52067</v>
      </c>
      <c r="C3464">
        <v>0</v>
      </c>
      <c r="D3464">
        <v>0.73380230790853196</v>
      </c>
      <c r="E3464">
        <v>0.85996573282481703</v>
      </c>
      <c r="F3464">
        <v>12.516467973327901</v>
      </c>
    </row>
    <row r="3465" spans="1:6">
      <c r="A3465" t="s">
        <v>52068</v>
      </c>
      <c r="B3465" t="s">
        <v>52069</v>
      </c>
      <c r="C3465">
        <v>1.09117262388626E-2</v>
      </c>
      <c r="D3465">
        <v>0.20232710680220301</v>
      </c>
      <c r="E3465">
        <v>0.87190107709062104</v>
      </c>
      <c r="F3465">
        <v>0.88260254596888199</v>
      </c>
    </row>
    <row r="3466" spans="1:6">
      <c r="A3466" t="s">
        <v>52068</v>
      </c>
      <c r="B3466" t="s">
        <v>52070</v>
      </c>
      <c r="C3466">
        <v>0.81646481242790903</v>
      </c>
      <c r="D3466">
        <v>0.20232710680220301</v>
      </c>
      <c r="E3466">
        <v>0.87190107709062104</v>
      </c>
      <c r="F3466">
        <v>0.88260254596888199</v>
      </c>
    </row>
    <row r="3467" spans="1:6">
      <c r="A3467" t="s">
        <v>52071</v>
      </c>
      <c r="B3467" t="s">
        <v>52072</v>
      </c>
      <c r="C3467">
        <v>0.84160854381157502</v>
      </c>
      <c r="D3467">
        <v>0.46771920057604599</v>
      </c>
      <c r="E3467">
        <v>0.96960854381157502</v>
      </c>
      <c r="F3467">
        <v>16.265104061426499</v>
      </c>
    </row>
    <row r="3468" spans="1:6">
      <c r="A3468" t="s">
        <v>52071</v>
      </c>
      <c r="B3468" t="s">
        <v>52073</v>
      </c>
      <c r="C3468">
        <v>0</v>
      </c>
      <c r="D3468">
        <v>0.46771920057604599</v>
      </c>
      <c r="E3468">
        <v>0.96960854381157502</v>
      </c>
      <c r="F3468">
        <v>16.265104061426499</v>
      </c>
    </row>
    <row r="3469" spans="1:6">
      <c r="A3469" t="s">
        <v>52071</v>
      </c>
      <c r="B3469" t="s">
        <v>52074</v>
      </c>
      <c r="C3469">
        <v>0</v>
      </c>
      <c r="D3469">
        <v>0.46771920057604599</v>
      </c>
      <c r="E3469">
        <v>0.96960854381157502</v>
      </c>
      <c r="F3469">
        <v>16.265104061426499</v>
      </c>
    </row>
    <row r="3470" spans="1:6">
      <c r="A3470" t="s">
        <v>52071</v>
      </c>
      <c r="B3470" t="s">
        <v>52075</v>
      </c>
      <c r="C3470">
        <v>0</v>
      </c>
      <c r="D3470">
        <v>0.46771920057604599</v>
      </c>
      <c r="E3470">
        <v>0.96960854381157502</v>
      </c>
      <c r="F3470">
        <v>16.265104061426499</v>
      </c>
    </row>
    <row r="3471" spans="1:6">
      <c r="A3471" t="s">
        <v>52071</v>
      </c>
      <c r="B3471" t="s">
        <v>52076</v>
      </c>
      <c r="C3471">
        <v>0</v>
      </c>
      <c r="D3471">
        <v>0.46771920057604599</v>
      </c>
      <c r="E3471">
        <v>0.96960854381157502</v>
      </c>
      <c r="F3471">
        <v>16.265104061426499</v>
      </c>
    </row>
    <row r="3472" spans="1:6">
      <c r="A3472" t="s">
        <v>52071</v>
      </c>
      <c r="B3472" t="s">
        <v>52077</v>
      </c>
      <c r="C3472">
        <v>0</v>
      </c>
      <c r="D3472">
        <v>0.46771920057604599</v>
      </c>
      <c r="E3472">
        <v>0.96960854381157502</v>
      </c>
      <c r="F3472">
        <v>16.265104061426499</v>
      </c>
    </row>
    <row r="3473" spans="1:6">
      <c r="A3473" t="s">
        <v>52071</v>
      </c>
      <c r="B3473" t="s">
        <v>52078</v>
      </c>
      <c r="C3473">
        <v>0</v>
      </c>
      <c r="D3473">
        <v>0.46771920057604599</v>
      </c>
      <c r="E3473">
        <v>0.96960854381157502</v>
      </c>
      <c r="F3473">
        <v>16.265104061426499</v>
      </c>
    </row>
    <row r="3474" spans="1:6">
      <c r="A3474" t="s">
        <v>52079</v>
      </c>
      <c r="B3474" t="s">
        <v>52080</v>
      </c>
      <c r="C3474">
        <v>0</v>
      </c>
      <c r="D3474">
        <v>0.53894820653751196</v>
      </c>
      <c r="E3474">
        <v>0.92395527205920702</v>
      </c>
      <c r="F3474">
        <v>4.3160234390785996</v>
      </c>
    </row>
    <row r="3475" spans="1:6">
      <c r="A3475" t="s">
        <v>52079</v>
      </c>
      <c r="B3475" t="s">
        <v>52081</v>
      </c>
      <c r="C3475">
        <v>0</v>
      </c>
      <c r="D3475">
        <v>0.53894820653751196</v>
      </c>
      <c r="E3475">
        <v>0.92395527205920702</v>
      </c>
      <c r="F3475">
        <v>4.3160234390785996</v>
      </c>
    </row>
    <row r="3476" spans="1:6">
      <c r="A3476" t="s">
        <v>52079</v>
      </c>
      <c r="B3476" t="s">
        <v>52082</v>
      </c>
      <c r="C3476">
        <v>0.76395527205920599</v>
      </c>
      <c r="D3476">
        <v>0.53894820653751196</v>
      </c>
      <c r="E3476">
        <v>0.92395527205920702</v>
      </c>
      <c r="F3476">
        <v>4.3160234390785996</v>
      </c>
    </row>
    <row r="3477" spans="1:6">
      <c r="A3477" t="s">
        <v>52079</v>
      </c>
      <c r="B3477" t="s">
        <v>52083</v>
      </c>
      <c r="C3477">
        <v>0</v>
      </c>
      <c r="D3477">
        <v>0.53894820653751196</v>
      </c>
      <c r="E3477">
        <v>0.92395527205920702</v>
      </c>
      <c r="F3477">
        <v>4.3160234390785996</v>
      </c>
    </row>
    <row r="3478" spans="1:6">
      <c r="A3478" t="s">
        <v>52084</v>
      </c>
      <c r="B3478" t="s">
        <v>52085</v>
      </c>
      <c r="C3478">
        <v>0</v>
      </c>
      <c r="D3478">
        <v>0.67118282899061499</v>
      </c>
      <c r="E3478">
        <v>0.87292934714466797</v>
      </c>
      <c r="F3478">
        <v>20.9545362699535</v>
      </c>
    </row>
    <row r="3479" spans="1:6">
      <c r="A3479" t="s">
        <v>52084</v>
      </c>
      <c r="B3479" t="s">
        <v>52086</v>
      </c>
      <c r="C3479">
        <v>0</v>
      </c>
      <c r="D3479">
        <v>0.67118282899061499</v>
      </c>
      <c r="E3479">
        <v>0.87292934714466797</v>
      </c>
      <c r="F3479">
        <v>20.9545362699535</v>
      </c>
    </row>
    <row r="3480" spans="1:6">
      <c r="A3480" t="s">
        <v>52084</v>
      </c>
      <c r="B3480" t="s">
        <v>52087</v>
      </c>
      <c r="C3480">
        <v>0</v>
      </c>
      <c r="D3480">
        <v>0.67118282899061499</v>
      </c>
      <c r="E3480">
        <v>0.87292934714466797</v>
      </c>
      <c r="F3480">
        <v>20.9545362699535</v>
      </c>
    </row>
    <row r="3481" spans="1:6">
      <c r="A3481" t="s">
        <v>52084</v>
      </c>
      <c r="B3481" t="s">
        <v>52088</v>
      </c>
      <c r="C3481">
        <v>0</v>
      </c>
      <c r="D3481">
        <v>0.67118282899061499</v>
      </c>
      <c r="E3481">
        <v>0.87292934714466797</v>
      </c>
      <c r="F3481">
        <v>20.9545362699535</v>
      </c>
    </row>
    <row r="3482" spans="1:6">
      <c r="A3482" t="s">
        <v>52084</v>
      </c>
      <c r="B3482" t="s">
        <v>52089</v>
      </c>
      <c r="C3482">
        <v>0.60092934714466795</v>
      </c>
      <c r="D3482">
        <v>0.67118282899061499</v>
      </c>
      <c r="E3482">
        <v>0.87292934714466797</v>
      </c>
      <c r="F3482">
        <v>20.9545362699535</v>
      </c>
    </row>
    <row r="3483" spans="1:6">
      <c r="A3483" t="s">
        <v>52084</v>
      </c>
      <c r="B3483" t="s">
        <v>52090</v>
      </c>
      <c r="C3483">
        <v>0</v>
      </c>
      <c r="D3483">
        <v>0.67118282899061499</v>
      </c>
      <c r="E3483">
        <v>0.87292934714466797</v>
      </c>
      <c r="F3483">
        <v>20.9545362699535</v>
      </c>
    </row>
    <row r="3484" spans="1:6">
      <c r="A3484" t="s">
        <v>52084</v>
      </c>
      <c r="B3484" t="s">
        <v>52091</v>
      </c>
      <c r="C3484">
        <v>0</v>
      </c>
      <c r="D3484">
        <v>0.67118282899061499</v>
      </c>
      <c r="E3484">
        <v>0.87292934714466797</v>
      </c>
      <c r="F3484">
        <v>20.9545362699535</v>
      </c>
    </row>
    <row r="3485" spans="1:6">
      <c r="A3485" t="s">
        <v>52092</v>
      </c>
      <c r="B3485" t="s">
        <v>52093</v>
      </c>
      <c r="C3485">
        <v>0</v>
      </c>
      <c r="D3485">
        <v>6.2586243565022098E-2</v>
      </c>
      <c r="E3485" t="s">
        <v>106</v>
      </c>
      <c r="F3485">
        <v>3.7243887654071499</v>
      </c>
    </row>
    <row r="3486" spans="1:6">
      <c r="A3486" t="s">
        <v>52092</v>
      </c>
      <c r="B3486" t="s">
        <v>52094</v>
      </c>
      <c r="C3486">
        <v>0</v>
      </c>
      <c r="D3486">
        <v>6.2586243565022098E-2</v>
      </c>
      <c r="E3486" t="s">
        <v>106</v>
      </c>
      <c r="F3486">
        <v>3.7243887654071499</v>
      </c>
    </row>
    <row r="3487" spans="1:6">
      <c r="A3487" t="s">
        <v>52092</v>
      </c>
      <c r="B3487" t="s">
        <v>52095</v>
      </c>
      <c r="C3487">
        <v>0</v>
      </c>
      <c r="D3487">
        <v>6.2586243565022098E-2</v>
      </c>
      <c r="E3487" t="s">
        <v>106</v>
      </c>
      <c r="F3487">
        <v>3.7243887654071499</v>
      </c>
    </row>
    <row r="3488" spans="1:6">
      <c r="A3488" t="s">
        <v>52092</v>
      </c>
      <c r="B3488" t="s">
        <v>52096</v>
      </c>
      <c r="C3488">
        <v>0</v>
      </c>
      <c r="D3488">
        <v>6.2586243565022098E-2</v>
      </c>
      <c r="E3488" t="s">
        <v>106</v>
      </c>
      <c r="F3488">
        <v>3.7243887654071499</v>
      </c>
    </row>
    <row r="3489" spans="1:6">
      <c r="A3489" t="s">
        <v>52097</v>
      </c>
      <c r="B3489" t="s">
        <v>52098</v>
      </c>
      <c r="C3489">
        <v>0.187211468406531</v>
      </c>
      <c r="D3489">
        <v>0.55403102454142295</v>
      </c>
      <c r="E3489">
        <v>0.88879369836254096</v>
      </c>
      <c r="F3489">
        <v>0.15518286522529801</v>
      </c>
    </row>
    <row r="3490" spans="1:6">
      <c r="A3490" t="s">
        <v>52097</v>
      </c>
      <c r="B3490" t="s">
        <v>52099</v>
      </c>
      <c r="C3490">
        <v>0.45204107974734198</v>
      </c>
      <c r="D3490">
        <v>0.55403102454142295</v>
      </c>
      <c r="E3490">
        <v>0.88879369836254096</v>
      </c>
      <c r="F3490">
        <v>0.15518286522529801</v>
      </c>
    </row>
    <row r="3491" spans="1:6">
      <c r="A3491" t="s">
        <v>52097</v>
      </c>
      <c r="B3491" t="s">
        <v>52100</v>
      </c>
      <c r="C3491">
        <v>0</v>
      </c>
      <c r="D3491">
        <v>0.55403102454142295</v>
      </c>
      <c r="E3491">
        <v>0.88879369836254096</v>
      </c>
      <c r="F3491">
        <v>0.15518286522529801</v>
      </c>
    </row>
    <row r="3492" spans="1:6">
      <c r="A3492" t="s">
        <v>52097</v>
      </c>
      <c r="B3492" t="s">
        <v>52101</v>
      </c>
      <c r="C3492">
        <v>0</v>
      </c>
      <c r="D3492">
        <v>0.55403102454142295</v>
      </c>
      <c r="E3492">
        <v>0.88879369836254096</v>
      </c>
      <c r="F3492">
        <v>0.15518286522529801</v>
      </c>
    </row>
    <row r="3493" spans="1:6">
      <c r="A3493" t="s">
        <v>52097</v>
      </c>
      <c r="B3493" t="s">
        <v>52102</v>
      </c>
      <c r="C3493">
        <v>0</v>
      </c>
      <c r="D3493">
        <v>0.55403102454142295</v>
      </c>
      <c r="E3493">
        <v>0.88879369836254096</v>
      </c>
      <c r="F3493">
        <v>0.15518286522529801</v>
      </c>
    </row>
    <row r="3494" spans="1:6">
      <c r="A3494" t="s">
        <v>52103</v>
      </c>
      <c r="B3494" t="s">
        <v>52104</v>
      </c>
      <c r="C3494">
        <v>0.57870312126374202</v>
      </c>
      <c r="D3494">
        <v>4.8551663746929704E-3</v>
      </c>
      <c r="E3494">
        <v>0.80910312126374195</v>
      </c>
      <c r="F3494">
        <v>10.1887249949484</v>
      </c>
    </row>
    <row r="3495" spans="1:6">
      <c r="A3495" t="s">
        <v>52103</v>
      </c>
      <c r="B3495" t="s">
        <v>52105</v>
      </c>
      <c r="C3495">
        <v>0</v>
      </c>
      <c r="D3495">
        <v>4.8551663746929704E-3</v>
      </c>
      <c r="E3495">
        <v>0.80910312126374195</v>
      </c>
      <c r="F3495">
        <v>10.1887249949484</v>
      </c>
    </row>
    <row r="3496" spans="1:6">
      <c r="A3496" t="s">
        <v>52106</v>
      </c>
      <c r="B3496" t="s">
        <v>52107</v>
      </c>
      <c r="C3496">
        <v>1.1362144023245599</v>
      </c>
      <c r="D3496">
        <v>0.92082340949112895</v>
      </c>
      <c r="E3496">
        <v>0.99699584826935805</v>
      </c>
      <c r="F3496">
        <v>0.88260254596888199</v>
      </c>
    </row>
    <row r="3497" spans="1:6">
      <c r="A3497" t="s">
        <v>52106</v>
      </c>
      <c r="B3497" t="s">
        <v>52108</v>
      </c>
      <c r="C3497">
        <v>0.72117311034984599</v>
      </c>
      <c r="D3497">
        <v>0.92082340949112895</v>
      </c>
      <c r="E3497">
        <v>0.99699584826935805</v>
      </c>
      <c r="F3497">
        <v>0.88260254596888199</v>
      </c>
    </row>
    <row r="3498" spans="1:6">
      <c r="A3498" t="s">
        <v>52109</v>
      </c>
      <c r="B3498" t="s">
        <v>52110</v>
      </c>
      <c r="C3498">
        <v>2.9163332070296599E-2</v>
      </c>
      <c r="D3498">
        <v>0.291453458265511</v>
      </c>
      <c r="E3498">
        <v>0.96524363875076402</v>
      </c>
      <c r="F3498">
        <v>5.9987876338654198</v>
      </c>
    </row>
    <row r="3499" spans="1:6">
      <c r="A3499" t="s">
        <v>52109</v>
      </c>
      <c r="B3499" t="s">
        <v>52111</v>
      </c>
      <c r="C3499">
        <v>0</v>
      </c>
      <c r="D3499">
        <v>0.291453458265511</v>
      </c>
      <c r="E3499">
        <v>0.96524363875076402</v>
      </c>
      <c r="F3499">
        <v>5.9987876338654198</v>
      </c>
    </row>
    <row r="3500" spans="1:6">
      <c r="A3500" t="s">
        <v>52109</v>
      </c>
      <c r="B3500" t="s">
        <v>52112</v>
      </c>
      <c r="C3500">
        <v>0</v>
      </c>
      <c r="D3500">
        <v>0.291453458265511</v>
      </c>
      <c r="E3500">
        <v>0.96524363875076402</v>
      </c>
      <c r="F3500">
        <v>5.9987876338654198</v>
      </c>
    </row>
    <row r="3501" spans="1:6">
      <c r="A3501" t="s">
        <v>52109</v>
      </c>
      <c r="B3501" t="s">
        <v>52113</v>
      </c>
      <c r="C3501">
        <v>0.79445216227194604</v>
      </c>
      <c r="D3501">
        <v>0.291453458265511</v>
      </c>
      <c r="E3501">
        <v>0.96524363875076402</v>
      </c>
      <c r="F3501">
        <v>5.9987876338654198</v>
      </c>
    </row>
    <row r="3502" spans="1:6">
      <c r="A3502" t="s">
        <v>52114</v>
      </c>
      <c r="B3502" t="s">
        <v>52115</v>
      </c>
      <c r="C3502">
        <v>0.72973966145467695</v>
      </c>
      <c r="D3502">
        <v>0.862182134544071</v>
      </c>
      <c r="E3502">
        <v>0.99271875605556803</v>
      </c>
      <c r="F3502">
        <v>1.98828046069913</v>
      </c>
    </row>
    <row r="3503" spans="1:6">
      <c r="A3503" t="s">
        <v>52114</v>
      </c>
      <c r="B3503" t="s">
        <v>52116</v>
      </c>
      <c r="C3503">
        <v>0</v>
      </c>
      <c r="D3503">
        <v>0.862182134544071</v>
      </c>
      <c r="E3503">
        <v>0.99271875605556803</v>
      </c>
      <c r="F3503">
        <v>1.98828046069913</v>
      </c>
    </row>
    <row r="3504" spans="1:6">
      <c r="A3504" t="s">
        <v>52114</v>
      </c>
      <c r="B3504" t="s">
        <v>52117</v>
      </c>
      <c r="C3504">
        <v>0.31801933064938598</v>
      </c>
      <c r="D3504">
        <v>0.862182134544071</v>
      </c>
      <c r="E3504">
        <v>0.99271875605556803</v>
      </c>
      <c r="F3504">
        <v>1.98828046069913</v>
      </c>
    </row>
    <row r="3505" spans="1:6">
      <c r="A3505" t="s">
        <v>52118</v>
      </c>
      <c r="B3505" t="s">
        <v>52119</v>
      </c>
      <c r="C3505">
        <v>0.95332896405399603</v>
      </c>
      <c r="D3505">
        <v>0.36398295940144199</v>
      </c>
      <c r="E3505">
        <v>0.98532896405399595</v>
      </c>
      <c r="F3505">
        <v>3.62739947464134</v>
      </c>
    </row>
    <row r="3506" spans="1:6">
      <c r="A3506" t="s">
        <v>52118</v>
      </c>
      <c r="B3506" t="s">
        <v>52120</v>
      </c>
      <c r="C3506">
        <v>0</v>
      </c>
      <c r="D3506">
        <v>0.36398295940144199</v>
      </c>
      <c r="E3506">
        <v>0.98532896405399595</v>
      </c>
      <c r="F3506">
        <v>3.62739947464134</v>
      </c>
    </row>
    <row r="3507" spans="1:6">
      <c r="A3507" t="s">
        <v>52118</v>
      </c>
      <c r="B3507" t="s">
        <v>52121</v>
      </c>
      <c r="C3507">
        <v>0</v>
      </c>
      <c r="D3507">
        <v>0.36398295940144199</v>
      </c>
      <c r="E3507">
        <v>0.98532896405399595</v>
      </c>
      <c r="F3507">
        <v>3.62739947464134</v>
      </c>
    </row>
    <row r="3508" spans="1:6">
      <c r="A3508" t="s">
        <v>52118</v>
      </c>
      <c r="B3508" t="s">
        <v>52122</v>
      </c>
      <c r="C3508">
        <v>0</v>
      </c>
      <c r="D3508">
        <v>0.36398295940144199</v>
      </c>
      <c r="E3508">
        <v>0.98532896405399595</v>
      </c>
      <c r="F3508">
        <v>3.62739947464134</v>
      </c>
    </row>
    <row r="3509" spans="1:6">
      <c r="A3509" t="s">
        <v>52123</v>
      </c>
      <c r="B3509" t="s">
        <v>52124</v>
      </c>
      <c r="C3509">
        <v>0</v>
      </c>
      <c r="D3509">
        <v>0.21594515940741399</v>
      </c>
      <c r="E3509">
        <v>0.83987504449399597</v>
      </c>
      <c r="F3509">
        <v>10.8288543140028</v>
      </c>
    </row>
    <row r="3510" spans="1:6">
      <c r="A3510" t="s">
        <v>52123</v>
      </c>
      <c r="B3510" t="s">
        <v>52125</v>
      </c>
      <c r="C3510">
        <v>0</v>
      </c>
      <c r="D3510">
        <v>0.21594515940741399</v>
      </c>
      <c r="E3510">
        <v>0.83987504449399597</v>
      </c>
      <c r="F3510">
        <v>10.8288543140028</v>
      </c>
    </row>
    <row r="3511" spans="1:6">
      <c r="A3511" t="s">
        <v>52123</v>
      </c>
      <c r="B3511" t="s">
        <v>52126</v>
      </c>
      <c r="C3511">
        <v>0</v>
      </c>
      <c r="D3511">
        <v>0.21594515940741399</v>
      </c>
      <c r="E3511">
        <v>0.83987504449399597</v>
      </c>
      <c r="F3511">
        <v>10.8288543140028</v>
      </c>
    </row>
    <row r="3512" spans="1:6">
      <c r="A3512" t="s">
        <v>52123</v>
      </c>
      <c r="B3512" t="s">
        <v>52127</v>
      </c>
      <c r="C3512">
        <v>0</v>
      </c>
      <c r="D3512">
        <v>0.21594515940741399</v>
      </c>
      <c r="E3512">
        <v>0.83987504449399597</v>
      </c>
      <c r="F3512">
        <v>10.8288543140028</v>
      </c>
    </row>
    <row r="3513" spans="1:6">
      <c r="A3513" t="s">
        <v>52123</v>
      </c>
      <c r="B3513" t="s">
        <v>52128</v>
      </c>
      <c r="C3513">
        <v>0.50707504449399599</v>
      </c>
      <c r="D3513">
        <v>0.21594515940741399</v>
      </c>
      <c r="E3513">
        <v>0.83987504449399597</v>
      </c>
      <c r="F3513">
        <v>10.8288543140028</v>
      </c>
    </row>
    <row r="3514" spans="1:6">
      <c r="A3514" t="s">
        <v>52123</v>
      </c>
      <c r="B3514" t="s">
        <v>52129</v>
      </c>
      <c r="C3514">
        <v>0</v>
      </c>
      <c r="D3514">
        <v>0.21594515940741399</v>
      </c>
      <c r="E3514">
        <v>0.83987504449399597</v>
      </c>
      <c r="F3514">
        <v>10.8288543140028</v>
      </c>
    </row>
    <row r="3515" spans="1:6">
      <c r="A3515" t="s">
        <v>52130</v>
      </c>
      <c r="B3515" t="s">
        <v>52131</v>
      </c>
      <c r="C3515">
        <v>0</v>
      </c>
      <c r="D3515">
        <v>0.66414509976546199</v>
      </c>
      <c r="E3515">
        <v>0.96568292411794099</v>
      </c>
      <c r="F3515">
        <v>0.15518286522529801</v>
      </c>
    </row>
    <row r="3516" spans="1:6">
      <c r="A3516" t="s">
        <v>52130</v>
      </c>
      <c r="B3516" t="s">
        <v>52132</v>
      </c>
      <c r="C3516">
        <v>0</v>
      </c>
      <c r="D3516">
        <v>0.66414509976546199</v>
      </c>
      <c r="E3516">
        <v>0.96568292411794099</v>
      </c>
      <c r="F3516">
        <v>0.15518286522529801</v>
      </c>
    </row>
    <row r="3517" spans="1:6">
      <c r="A3517" t="s">
        <v>52130</v>
      </c>
      <c r="B3517" t="s">
        <v>52133</v>
      </c>
      <c r="C3517">
        <v>0</v>
      </c>
      <c r="D3517">
        <v>0.66414509976546199</v>
      </c>
      <c r="E3517">
        <v>0.96568292411794099</v>
      </c>
      <c r="F3517">
        <v>0.15518286522529801</v>
      </c>
    </row>
    <row r="3518" spans="1:6">
      <c r="A3518" t="s">
        <v>52130</v>
      </c>
      <c r="B3518" t="s">
        <v>52134</v>
      </c>
      <c r="C3518">
        <v>0.33042851364916598</v>
      </c>
      <c r="D3518">
        <v>0.66414509976546199</v>
      </c>
      <c r="E3518">
        <v>0.96568292411794099</v>
      </c>
      <c r="F3518">
        <v>0.15518286522529801</v>
      </c>
    </row>
    <row r="3519" spans="1:6">
      <c r="A3519" t="s">
        <v>52130</v>
      </c>
      <c r="B3519" t="s">
        <v>52135</v>
      </c>
      <c r="C3519">
        <v>0.56493529070599602</v>
      </c>
      <c r="D3519">
        <v>0.66414509976546199</v>
      </c>
      <c r="E3519">
        <v>0.96568292411794099</v>
      </c>
      <c r="F3519">
        <v>0.15518286522529801</v>
      </c>
    </row>
    <row r="3520" spans="1:6">
      <c r="A3520" t="s">
        <v>52136</v>
      </c>
      <c r="B3520" t="s">
        <v>52137</v>
      </c>
      <c r="C3520">
        <v>0.14678236866278499</v>
      </c>
      <c r="D3520">
        <v>0.183787875205249</v>
      </c>
      <c r="E3520">
        <v>0.98340798130960405</v>
      </c>
      <c r="F3520">
        <v>5.5235401091129503</v>
      </c>
    </row>
    <row r="3521" spans="1:6">
      <c r="A3521" t="s">
        <v>52136</v>
      </c>
      <c r="B3521" t="s">
        <v>52138</v>
      </c>
      <c r="C3521">
        <v>0</v>
      </c>
      <c r="D3521">
        <v>0.183787875205249</v>
      </c>
      <c r="E3521">
        <v>0.98340798130960405</v>
      </c>
      <c r="F3521">
        <v>5.5235401091129503</v>
      </c>
    </row>
    <row r="3522" spans="1:6">
      <c r="A3522" t="s">
        <v>52136</v>
      </c>
      <c r="B3522" t="s">
        <v>52139</v>
      </c>
      <c r="C3522">
        <v>0</v>
      </c>
      <c r="D3522">
        <v>0.183787875205249</v>
      </c>
      <c r="E3522">
        <v>0.98340798130960405</v>
      </c>
      <c r="F3522">
        <v>5.5235401091129503</v>
      </c>
    </row>
    <row r="3523" spans="1:6">
      <c r="A3523" t="s">
        <v>52136</v>
      </c>
      <c r="B3523" t="s">
        <v>52140</v>
      </c>
      <c r="C3523">
        <v>0</v>
      </c>
      <c r="D3523">
        <v>0.183787875205249</v>
      </c>
      <c r="E3523">
        <v>0.98340798130960405</v>
      </c>
      <c r="F3523">
        <v>5.5235401091129503</v>
      </c>
    </row>
    <row r="3524" spans="1:6">
      <c r="A3524" t="s">
        <v>52136</v>
      </c>
      <c r="B3524" t="s">
        <v>52141</v>
      </c>
      <c r="C3524">
        <v>0</v>
      </c>
      <c r="D3524">
        <v>0.183787875205249</v>
      </c>
      <c r="E3524">
        <v>0.98340798130960405</v>
      </c>
      <c r="F3524">
        <v>5.5235401091129503</v>
      </c>
    </row>
    <row r="3525" spans="1:6">
      <c r="A3525" t="s">
        <v>52136</v>
      </c>
      <c r="B3525" t="s">
        <v>52142</v>
      </c>
      <c r="C3525">
        <v>0</v>
      </c>
      <c r="D3525">
        <v>0.183787875205249</v>
      </c>
      <c r="E3525">
        <v>0.98340798130960405</v>
      </c>
      <c r="F3525">
        <v>5.5235401091129503</v>
      </c>
    </row>
    <row r="3526" spans="1:6">
      <c r="A3526" t="s">
        <v>52136</v>
      </c>
      <c r="B3526" t="s">
        <v>52143</v>
      </c>
      <c r="C3526">
        <v>0</v>
      </c>
      <c r="D3526">
        <v>0.183787875205249</v>
      </c>
      <c r="E3526">
        <v>0.98340798130960405</v>
      </c>
      <c r="F3526">
        <v>5.5235401091129503</v>
      </c>
    </row>
    <row r="3527" spans="1:6">
      <c r="A3527" t="s">
        <v>52136</v>
      </c>
      <c r="B3527" t="s">
        <v>52144</v>
      </c>
      <c r="C3527">
        <v>0.74424514149659304</v>
      </c>
      <c r="D3527">
        <v>0.183787875205249</v>
      </c>
      <c r="E3527">
        <v>0.98340798130960405</v>
      </c>
      <c r="F3527">
        <v>5.5235401091129503</v>
      </c>
    </row>
    <row r="3528" spans="1:6">
      <c r="A3528" t="s">
        <v>52136</v>
      </c>
      <c r="B3528" t="s">
        <v>52145</v>
      </c>
      <c r="C3528">
        <v>0</v>
      </c>
      <c r="D3528">
        <v>0.183787875205249</v>
      </c>
      <c r="E3528">
        <v>0.98340798130960405</v>
      </c>
      <c r="F3528">
        <v>5.5235401091129503</v>
      </c>
    </row>
    <row r="3529" spans="1:6">
      <c r="A3529" t="s">
        <v>52146</v>
      </c>
      <c r="B3529" t="s">
        <v>52147</v>
      </c>
      <c r="C3529">
        <v>0.21510444936280601</v>
      </c>
      <c r="D3529">
        <v>0.22588875956215601</v>
      </c>
      <c r="E3529">
        <v>0.90727661472354604</v>
      </c>
      <c r="F3529">
        <v>19.1796322489391</v>
      </c>
    </row>
    <row r="3530" spans="1:6">
      <c r="A3530" t="s">
        <v>52146</v>
      </c>
      <c r="B3530" t="s">
        <v>52148</v>
      </c>
      <c r="C3530">
        <v>0</v>
      </c>
      <c r="D3530">
        <v>0.22588875956215601</v>
      </c>
      <c r="E3530">
        <v>0.90727661472354604</v>
      </c>
      <c r="F3530">
        <v>19.1796322489391</v>
      </c>
    </row>
    <row r="3531" spans="1:6">
      <c r="A3531" t="s">
        <v>52146</v>
      </c>
      <c r="B3531" t="s">
        <v>52149</v>
      </c>
      <c r="C3531">
        <v>0.44511463417202501</v>
      </c>
      <c r="D3531">
        <v>0.22588875956215601</v>
      </c>
      <c r="E3531">
        <v>0.90727661472354604</v>
      </c>
      <c r="F3531">
        <v>19.1796322489391</v>
      </c>
    </row>
    <row r="3532" spans="1:6">
      <c r="A3532" t="s">
        <v>52146</v>
      </c>
      <c r="B3532" t="s">
        <v>52150</v>
      </c>
      <c r="C3532">
        <v>0</v>
      </c>
      <c r="D3532">
        <v>0.22588875956215601</v>
      </c>
      <c r="E3532">
        <v>0.90727661472354604</v>
      </c>
      <c r="F3532">
        <v>19.1796322489391</v>
      </c>
    </row>
    <row r="3533" spans="1:6">
      <c r="A3533" t="s">
        <v>52146</v>
      </c>
      <c r="B3533" t="s">
        <v>52151</v>
      </c>
      <c r="C3533">
        <v>0</v>
      </c>
      <c r="D3533">
        <v>0.22588875956215601</v>
      </c>
      <c r="E3533">
        <v>0.90727661472354604</v>
      </c>
      <c r="F3533">
        <v>19.1796322489391</v>
      </c>
    </row>
    <row r="3534" spans="1:6">
      <c r="A3534" t="s">
        <v>52146</v>
      </c>
      <c r="B3534" t="s">
        <v>52152</v>
      </c>
      <c r="C3534">
        <v>0</v>
      </c>
      <c r="D3534">
        <v>0.22588875956215601</v>
      </c>
      <c r="E3534">
        <v>0.90727661472354604</v>
      </c>
      <c r="F3534">
        <v>19.1796322489391</v>
      </c>
    </row>
    <row r="3535" spans="1:6">
      <c r="A3535" t="s">
        <v>52153</v>
      </c>
      <c r="B3535" t="s">
        <v>52154</v>
      </c>
      <c r="C3535">
        <v>0.47539718050982999</v>
      </c>
      <c r="D3535">
        <v>0.29347451277657199</v>
      </c>
      <c r="E3535">
        <v>0.921265102585343</v>
      </c>
      <c r="F3535">
        <v>5.87755102040816</v>
      </c>
    </row>
    <row r="3536" spans="1:6">
      <c r="A3536" t="s">
        <v>52153</v>
      </c>
      <c r="B3536" t="s">
        <v>52155</v>
      </c>
      <c r="C3536">
        <v>0</v>
      </c>
      <c r="D3536">
        <v>0.29347451277657199</v>
      </c>
      <c r="E3536">
        <v>0.921265102585343</v>
      </c>
      <c r="F3536">
        <v>5.87755102040816</v>
      </c>
    </row>
    <row r="3537" spans="1:6">
      <c r="A3537" t="s">
        <v>52153</v>
      </c>
      <c r="B3537" t="s">
        <v>52156</v>
      </c>
      <c r="C3537">
        <v>0.45944891901725798</v>
      </c>
      <c r="D3537">
        <v>0.29347451277657199</v>
      </c>
      <c r="E3537">
        <v>0.921265102585343</v>
      </c>
      <c r="F3537">
        <v>5.87755102040816</v>
      </c>
    </row>
    <row r="3538" spans="1:6">
      <c r="A3538" t="s">
        <v>52157</v>
      </c>
      <c r="B3538" t="s">
        <v>52158</v>
      </c>
      <c r="C3538">
        <v>0</v>
      </c>
      <c r="D3538">
        <v>0.44611638656462199</v>
      </c>
      <c r="E3538">
        <v>0.99501931271859601</v>
      </c>
      <c r="F3538">
        <v>9.7183269347342893</v>
      </c>
    </row>
    <row r="3539" spans="1:6">
      <c r="A3539" t="s">
        <v>52157</v>
      </c>
      <c r="B3539" t="s">
        <v>52159</v>
      </c>
      <c r="C3539">
        <v>0.22656255592353799</v>
      </c>
      <c r="D3539">
        <v>0.44611638656462199</v>
      </c>
      <c r="E3539">
        <v>0.99501931271859601</v>
      </c>
      <c r="F3539">
        <v>9.7183269347342893</v>
      </c>
    </row>
    <row r="3540" spans="1:6">
      <c r="A3540" t="s">
        <v>52157</v>
      </c>
      <c r="B3540" t="s">
        <v>52160</v>
      </c>
      <c r="C3540">
        <v>0</v>
      </c>
      <c r="D3540">
        <v>0.44611638656462199</v>
      </c>
      <c r="E3540">
        <v>0.99501931271859601</v>
      </c>
      <c r="F3540">
        <v>9.7183269347342893</v>
      </c>
    </row>
    <row r="3541" spans="1:6">
      <c r="A3541" t="s">
        <v>52157</v>
      </c>
      <c r="B3541" t="s">
        <v>52161</v>
      </c>
      <c r="C3541">
        <v>0</v>
      </c>
      <c r="D3541">
        <v>0.44611638656462199</v>
      </c>
      <c r="E3541">
        <v>0.99501931271859601</v>
      </c>
      <c r="F3541">
        <v>9.7183269347342893</v>
      </c>
    </row>
    <row r="3542" spans="1:6">
      <c r="A3542" t="s">
        <v>52157</v>
      </c>
      <c r="B3542" t="s">
        <v>52162</v>
      </c>
      <c r="C3542">
        <v>0.86857605324286502</v>
      </c>
      <c r="D3542">
        <v>0.44611638656462199</v>
      </c>
      <c r="E3542">
        <v>0.99501931271859601</v>
      </c>
      <c r="F3542">
        <v>9.7183269347342893</v>
      </c>
    </row>
    <row r="3543" spans="1:6">
      <c r="A3543" t="s">
        <v>52163</v>
      </c>
      <c r="B3543" t="s">
        <v>52164</v>
      </c>
      <c r="C3543">
        <v>0</v>
      </c>
      <c r="D3543">
        <v>0.11441093183523</v>
      </c>
      <c r="E3543">
        <v>0.99310663701149204</v>
      </c>
      <c r="F3543">
        <v>10.8288543140028</v>
      </c>
    </row>
    <row r="3544" spans="1:6">
      <c r="A3544" t="s">
        <v>52163</v>
      </c>
      <c r="B3544" t="s">
        <v>52165</v>
      </c>
      <c r="C3544">
        <v>0</v>
      </c>
      <c r="D3544">
        <v>0.11441093183523</v>
      </c>
      <c r="E3544">
        <v>0.99310663701149204</v>
      </c>
      <c r="F3544">
        <v>10.8288543140028</v>
      </c>
    </row>
    <row r="3545" spans="1:6">
      <c r="A3545" t="s">
        <v>52163</v>
      </c>
      <c r="B3545" t="s">
        <v>52166</v>
      </c>
      <c r="C3545">
        <v>0</v>
      </c>
      <c r="D3545">
        <v>0.11441093183523</v>
      </c>
      <c r="E3545">
        <v>0.99310663701149204</v>
      </c>
      <c r="F3545">
        <v>10.8288543140028</v>
      </c>
    </row>
    <row r="3546" spans="1:6">
      <c r="A3546" t="s">
        <v>52163</v>
      </c>
      <c r="B3546" t="s">
        <v>52167</v>
      </c>
      <c r="C3546">
        <v>0</v>
      </c>
      <c r="D3546">
        <v>0.11441093183523</v>
      </c>
      <c r="E3546">
        <v>0.99310663701149204</v>
      </c>
      <c r="F3546">
        <v>10.8288543140028</v>
      </c>
    </row>
    <row r="3547" spans="1:6">
      <c r="A3547" t="s">
        <v>52163</v>
      </c>
      <c r="B3547" t="s">
        <v>52168</v>
      </c>
      <c r="C3547">
        <v>0.14406964239914399</v>
      </c>
      <c r="D3547">
        <v>0.11441093183523</v>
      </c>
      <c r="E3547">
        <v>0.99310663701149204</v>
      </c>
      <c r="F3547">
        <v>10.8288543140028</v>
      </c>
    </row>
    <row r="3548" spans="1:6">
      <c r="A3548" t="s">
        <v>52163</v>
      </c>
      <c r="B3548" t="s">
        <v>52169</v>
      </c>
      <c r="C3548">
        <v>0.86128582906569295</v>
      </c>
      <c r="D3548">
        <v>0.11441093183523</v>
      </c>
      <c r="E3548">
        <v>0.99310663701149204</v>
      </c>
      <c r="F3548">
        <v>10.8288543140028</v>
      </c>
    </row>
    <row r="3549" spans="1:6">
      <c r="A3549" t="s">
        <v>52163</v>
      </c>
      <c r="B3549" t="s">
        <v>52170</v>
      </c>
      <c r="C3549">
        <v>0</v>
      </c>
      <c r="D3549">
        <v>0.11441093183523</v>
      </c>
      <c r="E3549">
        <v>0.99310663701149204</v>
      </c>
      <c r="F3549">
        <v>10.8288543140028</v>
      </c>
    </row>
    <row r="3550" spans="1:6">
      <c r="A3550" t="s">
        <v>52171</v>
      </c>
      <c r="B3550" t="s">
        <v>52172</v>
      </c>
      <c r="C3550">
        <v>0</v>
      </c>
      <c r="D3550">
        <v>0.78919536689816705</v>
      </c>
      <c r="E3550">
        <v>0.94648314882820594</v>
      </c>
      <c r="F3550">
        <v>1.8476459890887</v>
      </c>
    </row>
    <row r="3551" spans="1:6">
      <c r="A3551" t="s">
        <v>52171</v>
      </c>
      <c r="B3551" t="s">
        <v>52173</v>
      </c>
      <c r="C3551">
        <v>0</v>
      </c>
      <c r="D3551">
        <v>0.78919536689816705</v>
      </c>
      <c r="E3551">
        <v>0.94648314882820594</v>
      </c>
      <c r="F3551">
        <v>1.8476459890887</v>
      </c>
    </row>
    <row r="3552" spans="1:6">
      <c r="A3552" t="s">
        <v>52171</v>
      </c>
      <c r="B3552" t="s">
        <v>52174</v>
      </c>
      <c r="C3552">
        <v>0.71126741709597796</v>
      </c>
      <c r="D3552">
        <v>0.78919536689816705</v>
      </c>
      <c r="E3552">
        <v>0.94648314882820594</v>
      </c>
      <c r="F3552">
        <v>1.8476459890887</v>
      </c>
    </row>
    <row r="3553" spans="1:6">
      <c r="A3553" t="s">
        <v>52171</v>
      </c>
      <c r="B3553" t="s">
        <v>52175</v>
      </c>
      <c r="C3553">
        <v>0.20790228733827301</v>
      </c>
      <c r="D3553">
        <v>0.78919536689816705</v>
      </c>
      <c r="E3553">
        <v>0.94648314882820594</v>
      </c>
      <c r="F3553">
        <v>1.8476459890887</v>
      </c>
    </row>
    <row r="3554" spans="1:6">
      <c r="A3554" t="s">
        <v>52171</v>
      </c>
      <c r="B3554" t="s">
        <v>52176</v>
      </c>
      <c r="C3554">
        <v>0</v>
      </c>
      <c r="D3554">
        <v>0.78919536689816705</v>
      </c>
      <c r="E3554">
        <v>0.94648314882820594</v>
      </c>
      <c r="F3554">
        <v>1.8476459890887</v>
      </c>
    </row>
    <row r="3555" spans="1:6">
      <c r="A3555" t="s">
        <v>52177</v>
      </c>
      <c r="B3555" t="s">
        <v>52178</v>
      </c>
      <c r="C3555">
        <v>0</v>
      </c>
      <c r="D3555">
        <v>0.19432861477566901</v>
      </c>
      <c r="E3555">
        <v>0.81478535941807195</v>
      </c>
      <c r="F3555">
        <v>4.1123459284703898</v>
      </c>
    </row>
    <row r="3556" spans="1:6">
      <c r="A3556" t="s">
        <v>52177</v>
      </c>
      <c r="B3556" t="s">
        <v>52179</v>
      </c>
      <c r="C3556">
        <v>0</v>
      </c>
      <c r="D3556">
        <v>0.19432861477566901</v>
      </c>
      <c r="E3556">
        <v>0.81478535941807195</v>
      </c>
      <c r="F3556">
        <v>4.1123459284703898</v>
      </c>
    </row>
    <row r="3557" spans="1:6">
      <c r="A3557" t="s">
        <v>52177</v>
      </c>
      <c r="B3557" t="s">
        <v>52180</v>
      </c>
      <c r="C3557">
        <v>0.32678535941807202</v>
      </c>
      <c r="D3557">
        <v>0.19432861477566901</v>
      </c>
      <c r="E3557">
        <v>0.81478535941807195</v>
      </c>
      <c r="F3557">
        <v>4.1123459284703898</v>
      </c>
    </row>
    <row r="3558" spans="1:6">
      <c r="A3558" t="s">
        <v>52177</v>
      </c>
      <c r="B3558" t="s">
        <v>52181</v>
      </c>
      <c r="C3558">
        <v>0</v>
      </c>
      <c r="D3558">
        <v>0.19432861477566901</v>
      </c>
      <c r="E3558">
        <v>0.81478535941807195</v>
      </c>
      <c r="F3558">
        <v>4.1123459284703898</v>
      </c>
    </row>
    <row r="3559" spans="1:6">
      <c r="A3559" t="s">
        <v>52177</v>
      </c>
      <c r="B3559" t="s">
        <v>52182</v>
      </c>
      <c r="C3559">
        <v>0</v>
      </c>
      <c r="D3559">
        <v>0.19432861477566901</v>
      </c>
      <c r="E3559">
        <v>0.81478535941807195</v>
      </c>
      <c r="F3559">
        <v>4.1123459284703898</v>
      </c>
    </row>
    <row r="3560" spans="1:6">
      <c r="A3560" t="s">
        <v>52183</v>
      </c>
      <c r="B3560" t="s">
        <v>52184</v>
      </c>
      <c r="C3560">
        <v>0</v>
      </c>
      <c r="D3560">
        <v>0.456206688918256</v>
      </c>
      <c r="E3560">
        <v>0.84156747480000205</v>
      </c>
      <c r="F3560">
        <v>3.2588401697312501</v>
      </c>
    </row>
    <row r="3561" spans="1:6">
      <c r="A3561" t="s">
        <v>52183</v>
      </c>
      <c r="B3561" t="s">
        <v>52185</v>
      </c>
      <c r="C3561">
        <v>0.11865721317677699</v>
      </c>
      <c r="D3561">
        <v>0.456206688918256</v>
      </c>
      <c r="E3561">
        <v>0.84156747480000205</v>
      </c>
      <c r="F3561">
        <v>3.2588401697312501</v>
      </c>
    </row>
    <row r="3562" spans="1:6">
      <c r="A3562" t="s">
        <v>52183</v>
      </c>
      <c r="B3562" t="s">
        <v>52186</v>
      </c>
      <c r="C3562">
        <v>0</v>
      </c>
      <c r="D3562">
        <v>0.456206688918256</v>
      </c>
      <c r="E3562">
        <v>0.84156747480000205</v>
      </c>
      <c r="F3562">
        <v>3.2588401697312501</v>
      </c>
    </row>
    <row r="3563" spans="1:6">
      <c r="A3563" t="s">
        <v>52183</v>
      </c>
      <c r="B3563" t="s">
        <v>52187</v>
      </c>
      <c r="C3563">
        <v>0</v>
      </c>
      <c r="D3563">
        <v>0.456206688918256</v>
      </c>
      <c r="E3563">
        <v>0.84156747480000205</v>
      </c>
      <c r="F3563">
        <v>3.2588401697312501</v>
      </c>
    </row>
    <row r="3564" spans="1:6">
      <c r="A3564" t="s">
        <v>52183</v>
      </c>
      <c r="B3564" t="s">
        <v>52188</v>
      </c>
      <c r="C3564">
        <v>0.24974610114564499</v>
      </c>
      <c r="D3564">
        <v>0.456206688918256</v>
      </c>
      <c r="E3564">
        <v>0.84156747480000205</v>
      </c>
      <c r="F3564">
        <v>3.2588401697312501</v>
      </c>
    </row>
    <row r="3565" spans="1:6">
      <c r="A3565" t="s">
        <v>52183</v>
      </c>
      <c r="B3565" t="s">
        <v>52189</v>
      </c>
      <c r="C3565">
        <v>0</v>
      </c>
      <c r="D3565">
        <v>0.456206688918256</v>
      </c>
      <c r="E3565">
        <v>0.84156747480000205</v>
      </c>
      <c r="F3565">
        <v>3.2588401697312501</v>
      </c>
    </row>
    <row r="3566" spans="1:6">
      <c r="A3566" t="s">
        <v>52183</v>
      </c>
      <c r="B3566" t="s">
        <v>52190</v>
      </c>
      <c r="C3566">
        <v>0</v>
      </c>
      <c r="D3566">
        <v>0.456206688918256</v>
      </c>
      <c r="E3566">
        <v>0.84156747480000205</v>
      </c>
      <c r="F3566">
        <v>3.2588401697312501</v>
      </c>
    </row>
    <row r="3567" spans="1:6">
      <c r="A3567" t="s">
        <v>52191</v>
      </c>
      <c r="B3567" t="s">
        <v>52192</v>
      </c>
      <c r="C3567">
        <v>0</v>
      </c>
      <c r="D3567">
        <v>0.14683803355861699</v>
      </c>
      <c r="E3567">
        <v>0.99781101247571602</v>
      </c>
      <c r="F3567">
        <v>12.3418872499494</v>
      </c>
    </row>
    <row r="3568" spans="1:6">
      <c r="A3568" t="s">
        <v>52191</v>
      </c>
      <c r="B3568" t="s">
        <v>52193</v>
      </c>
      <c r="C3568">
        <v>0</v>
      </c>
      <c r="D3568">
        <v>0.14683803355861699</v>
      </c>
      <c r="E3568">
        <v>0.99781101247571602</v>
      </c>
      <c r="F3568">
        <v>12.3418872499494</v>
      </c>
    </row>
    <row r="3569" spans="1:6">
      <c r="A3569" t="s">
        <v>52191</v>
      </c>
      <c r="B3569" t="s">
        <v>52194</v>
      </c>
      <c r="C3569">
        <v>0</v>
      </c>
      <c r="D3569">
        <v>0.14683803355861699</v>
      </c>
      <c r="E3569">
        <v>0.99781101247571602</v>
      </c>
      <c r="F3569">
        <v>12.3418872499494</v>
      </c>
    </row>
    <row r="3570" spans="1:6">
      <c r="A3570" t="s">
        <v>52191</v>
      </c>
      <c r="B3570" t="s">
        <v>52195</v>
      </c>
      <c r="C3570">
        <v>0</v>
      </c>
      <c r="D3570">
        <v>0.14683803355861699</v>
      </c>
      <c r="E3570">
        <v>0.99781101247571602</v>
      </c>
      <c r="F3570">
        <v>12.3418872499494</v>
      </c>
    </row>
    <row r="3571" spans="1:6">
      <c r="A3571" t="s">
        <v>52191</v>
      </c>
      <c r="B3571" t="s">
        <v>52196</v>
      </c>
      <c r="C3571">
        <v>0</v>
      </c>
      <c r="D3571">
        <v>0.14683803355861699</v>
      </c>
      <c r="E3571">
        <v>0.99781101247571602</v>
      </c>
      <c r="F3571">
        <v>12.3418872499494</v>
      </c>
    </row>
    <row r="3572" spans="1:6">
      <c r="A3572" t="s">
        <v>52191</v>
      </c>
      <c r="B3572" t="s">
        <v>52197</v>
      </c>
      <c r="C3572">
        <v>0</v>
      </c>
      <c r="D3572">
        <v>0.14683803355861699</v>
      </c>
      <c r="E3572">
        <v>0.99781101247571602</v>
      </c>
      <c r="F3572">
        <v>12.3418872499494</v>
      </c>
    </row>
    <row r="3573" spans="1:6">
      <c r="A3573" t="s">
        <v>52191</v>
      </c>
      <c r="B3573" t="s">
        <v>52198</v>
      </c>
      <c r="C3573">
        <v>0</v>
      </c>
      <c r="D3573">
        <v>0.14683803355861699</v>
      </c>
      <c r="E3573">
        <v>0.99781101247571602</v>
      </c>
      <c r="F3573">
        <v>12.3418872499494</v>
      </c>
    </row>
    <row r="3574" spans="1:6">
      <c r="A3574" t="s">
        <v>52191</v>
      </c>
      <c r="B3574" t="s">
        <v>52199</v>
      </c>
      <c r="C3574">
        <v>0</v>
      </c>
      <c r="D3574">
        <v>0.14683803355861699</v>
      </c>
      <c r="E3574">
        <v>0.99781101247571602</v>
      </c>
      <c r="F3574">
        <v>12.3418872499494</v>
      </c>
    </row>
    <row r="3575" spans="1:6">
      <c r="A3575" t="s">
        <v>52191</v>
      </c>
      <c r="B3575" t="s">
        <v>52200</v>
      </c>
      <c r="C3575">
        <v>0.55810538678645605</v>
      </c>
      <c r="D3575">
        <v>0.14683803355861699</v>
      </c>
      <c r="E3575">
        <v>0.99781101247571602</v>
      </c>
      <c r="F3575">
        <v>12.3418872499494</v>
      </c>
    </row>
    <row r="3576" spans="1:6">
      <c r="A3576" t="s">
        <v>52191</v>
      </c>
      <c r="B3576" t="s">
        <v>52201</v>
      </c>
      <c r="C3576">
        <v>0</v>
      </c>
      <c r="D3576">
        <v>0.14683803355861699</v>
      </c>
      <c r="E3576">
        <v>0.99781101247571602</v>
      </c>
      <c r="F3576">
        <v>12.3418872499494</v>
      </c>
    </row>
    <row r="3577" spans="1:6">
      <c r="A3577" t="s">
        <v>52191</v>
      </c>
      <c r="B3577" t="s">
        <v>52202</v>
      </c>
      <c r="C3577">
        <v>0</v>
      </c>
      <c r="D3577">
        <v>0.14683803355861699</v>
      </c>
      <c r="E3577">
        <v>0.99781101247571602</v>
      </c>
      <c r="F3577">
        <v>12.3418872499494</v>
      </c>
    </row>
    <row r="3578" spans="1:6">
      <c r="A3578" t="s">
        <v>52191</v>
      </c>
      <c r="B3578" t="s">
        <v>52203</v>
      </c>
      <c r="C3578">
        <v>0</v>
      </c>
      <c r="D3578">
        <v>0.14683803355861699</v>
      </c>
      <c r="E3578">
        <v>0.99781101247571602</v>
      </c>
      <c r="F3578">
        <v>12.3418872499494</v>
      </c>
    </row>
    <row r="3579" spans="1:6">
      <c r="A3579" t="s">
        <v>52191</v>
      </c>
      <c r="B3579" t="s">
        <v>52204</v>
      </c>
      <c r="C3579">
        <v>0</v>
      </c>
      <c r="D3579">
        <v>0.14683803355861699</v>
      </c>
      <c r="E3579">
        <v>0.99781101247571602</v>
      </c>
      <c r="F3579">
        <v>12.3418872499494</v>
      </c>
    </row>
    <row r="3580" spans="1:6">
      <c r="A3580" t="s">
        <v>52191</v>
      </c>
      <c r="B3580" t="s">
        <v>52205</v>
      </c>
      <c r="C3580">
        <v>0</v>
      </c>
      <c r="D3580">
        <v>0.14683803355861699</v>
      </c>
      <c r="E3580">
        <v>0.99781101247571602</v>
      </c>
      <c r="F3580">
        <v>12.3418872499494</v>
      </c>
    </row>
    <row r="3581" spans="1:6">
      <c r="A3581" t="s">
        <v>52191</v>
      </c>
      <c r="B3581" t="s">
        <v>52206</v>
      </c>
      <c r="C3581">
        <v>0.43131950346863002</v>
      </c>
      <c r="D3581">
        <v>0.14683803355861699</v>
      </c>
      <c r="E3581">
        <v>0.99781101247571602</v>
      </c>
      <c r="F3581">
        <v>12.3418872499494</v>
      </c>
    </row>
    <row r="3582" spans="1:6">
      <c r="A3582" t="s">
        <v>52191</v>
      </c>
      <c r="B3582" t="s">
        <v>52207</v>
      </c>
      <c r="C3582">
        <v>0</v>
      </c>
      <c r="D3582">
        <v>0.14683803355861699</v>
      </c>
      <c r="E3582">
        <v>0.99781101247571602</v>
      </c>
      <c r="F3582">
        <v>12.3418872499494</v>
      </c>
    </row>
    <row r="3583" spans="1:6">
      <c r="A3583" t="s">
        <v>52191</v>
      </c>
      <c r="B3583" t="s">
        <v>52208</v>
      </c>
      <c r="C3583">
        <v>0</v>
      </c>
      <c r="D3583">
        <v>0.14683803355861699</v>
      </c>
      <c r="E3583">
        <v>0.99781101247571602</v>
      </c>
      <c r="F3583">
        <v>12.3418872499494</v>
      </c>
    </row>
    <row r="3584" spans="1:6">
      <c r="A3584" t="s">
        <v>52191</v>
      </c>
      <c r="B3584" t="s">
        <v>52209</v>
      </c>
      <c r="C3584">
        <v>0</v>
      </c>
      <c r="D3584">
        <v>0.14683803355861699</v>
      </c>
      <c r="E3584">
        <v>0.99781101247571602</v>
      </c>
      <c r="F3584">
        <v>12.3418872499494</v>
      </c>
    </row>
    <row r="3585" spans="1:6">
      <c r="A3585" t="s">
        <v>52191</v>
      </c>
      <c r="B3585" t="s">
        <v>52210</v>
      </c>
      <c r="C3585">
        <v>0</v>
      </c>
      <c r="D3585">
        <v>0.14683803355861699</v>
      </c>
      <c r="E3585">
        <v>0.99781101247571602</v>
      </c>
      <c r="F3585">
        <v>12.3418872499494</v>
      </c>
    </row>
    <row r="3586" spans="1:6">
      <c r="A3586" t="s">
        <v>52211</v>
      </c>
      <c r="B3586" t="s">
        <v>52212</v>
      </c>
      <c r="C3586">
        <v>0</v>
      </c>
      <c r="D3586">
        <v>0.17742559557416199</v>
      </c>
      <c r="E3586">
        <v>0.97491648159489697</v>
      </c>
      <c r="F3586">
        <v>16.0662760153566</v>
      </c>
    </row>
    <row r="3587" spans="1:6">
      <c r="A3587" t="s">
        <v>52211</v>
      </c>
      <c r="B3587" t="s">
        <v>52213</v>
      </c>
      <c r="C3587">
        <v>0</v>
      </c>
      <c r="D3587">
        <v>0.17742559557416199</v>
      </c>
      <c r="E3587">
        <v>0.97491648159489697</v>
      </c>
      <c r="F3587">
        <v>16.0662760153566</v>
      </c>
    </row>
    <row r="3588" spans="1:6">
      <c r="A3588" t="s">
        <v>52211</v>
      </c>
      <c r="B3588" t="s">
        <v>52214</v>
      </c>
      <c r="C3588">
        <v>0</v>
      </c>
      <c r="D3588">
        <v>0.17742559557416199</v>
      </c>
      <c r="E3588">
        <v>0.97491648159489697</v>
      </c>
      <c r="F3588">
        <v>16.0662760153566</v>
      </c>
    </row>
    <row r="3589" spans="1:6">
      <c r="A3589" t="s">
        <v>52211</v>
      </c>
      <c r="B3589" t="s">
        <v>52215</v>
      </c>
      <c r="C3589">
        <v>0</v>
      </c>
      <c r="D3589">
        <v>0.17742559557416199</v>
      </c>
      <c r="E3589">
        <v>0.97491648159489697</v>
      </c>
      <c r="F3589">
        <v>16.0662760153566</v>
      </c>
    </row>
    <row r="3590" spans="1:6">
      <c r="A3590" t="s">
        <v>52211</v>
      </c>
      <c r="B3590" t="s">
        <v>52216</v>
      </c>
      <c r="C3590">
        <v>0.30094714759140401</v>
      </c>
      <c r="D3590">
        <v>0.17742559557416199</v>
      </c>
      <c r="E3590">
        <v>0.97491648159489697</v>
      </c>
      <c r="F3590">
        <v>16.0662760153566</v>
      </c>
    </row>
    <row r="3591" spans="1:6">
      <c r="A3591" t="s">
        <v>52211</v>
      </c>
      <c r="B3591" t="s">
        <v>52217</v>
      </c>
      <c r="C3591">
        <v>0.61051777042617705</v>
      </c>
      <c r="D3591">
        <v>0.17742559557416199</v>
      </c>
      <c r="E3591">
        <v>0.97491648159489697</v>
      </c>
      <c r="F3591">
        <v>16.0662760153566</v>
      </c>
    </row>
    <row r="3592" spans="1:6">
      <c r="A3592" t="s">
        <v>52211</v>
      </c>
      <c r="B3592" t="s">
        <v>52218</v>
      </c>
      <c r="C3592">
        <v>0</v>
      </c>
      <c r="D3592">
        <v>0.17742559557416199</v>
      </c>
      <c r="E3592">
        <v>0.97491648159489697</v>
      </c>
      <c r="F3592">
        <v>16.0662760153566</v>
      </c>
    </row>
    <row r="3593" spans="1:6">
      <c r="A3593" t="s">
        <v>52219</v>
      </c>
      <c r="B3593" t="s">
        <v>52220</v>
      </c>
      <c r="C3593">
        <v>0.71272138904105897</v>
      </c>
      <c r="D3593">
        <v>0.277897250439259</v>
      </c>
      <c r="E3593">
        <v>0.93109597974291403</v>
      </c>
      <c r="F3593">
        <v>10.6639725197009</v>
      </c>
    </row>
    <row r="3594" spans="1:6">
      <c r="A3594" t="s">
        <v>52219</v>
      </c>
      <c r="B3594" t="s">
        <v>52221</v>
      </c>
      <c r="C3594">
        <v>3.4105620690158302E-2</v>
      </c>
      <c r="D3594">
        <v>0.277897250439259</v>
      </c>
      <c r="E3594">
        <v>0.93109597974291403</v>
      </c>
      <c r="F3594">
        <v>10.6639725197009</v>
      </c>
    </row>
    <row r="3595" spans="1:6">
      <c r="A3595" t="s">
        <v>52219</v>
      </c>
      <c r="B3595" t="s">
        <v>52222</v>
      </c>
      <c r="C3595">
        <v>0</v>
      </c>
      <c r="D3595">
        <v>0.277897250439259</v>
      </c>
      <c r="E3595">
        <v>0.93109597974291403</v>
      </c>
      <c r="F3595">
        <v>10.6639725197009</v>
      </c>
    </row>
    <row r="3596" spans="1:6">
      <c r="A3596" t="s">
        <v>52219</v>
      </c>
      <c r="B3596" t="s">
        <v>52223</v>
      </c>
      <c r="C3596">
        <v>0</v>
      </c>
      <c r="D3596">
        <v>0.277897250439259</v>
      </c>
      <c r="E3596">
        <v>0.93109597974291403</v>
      </c>
      <c r="F3596">
        <v>10.6639725197009</v>
      </c>
    </row>
    <row r="3597" spans="1:6">
      <c r="A3597" t="s">
        <v>52219</v>
      </c>
      <c r="B3597" t="s">
        <v>52224</v>
      </c>
      <c r="C3597">
        <v>0</v>
      </c>
      <c r="D3597">
        <v>0.277897250439259</v>
      </c>
      <c r="E3597">
        <v>0.93109597974291403</v>
      </c>
      <c r="F3597">
        <v>10.6639725197009</v>
      </c>
    </row>
    <row r="3598" spans="1:6">
      <c r="A3598" t="s">
        <v>52219</v>
      </c>
      <c r="B3598" t="s">
        <v>52225</v>
      </c>
      <c r="C3598">
        <v>0</v>
      </c>
      <c r="D3598">
        <v>0.277897250439259</v>
      </c>
      <c r="E3598">
        <v>0.93109597974291403</v>
      </c>
      <c r="F3598">
        <v>10.6639725197009</v>
      </c>
    </row>
    <row r="3599" spans="1:6">
      <c r="A3599" t="s">
        <v>52226</v>
      </c>
      <c r="B3599" t="s">
        <v>52227</v>
      </c>
      <c r="C3599">
        <v>0</v>
      </c>
      <c r="D3599">
        <v>0.51983395290579504</v>
      </c>
      <c r="E3599" t="s">
        <v>106</v>
      </c>
      <c r="F3599">
        <v>1.45483936148716E-2</v>
      </c>
    </row>
    <row r="3600" spans="1:6">
      <c r="A3600" t="s">
        <v>52226</v>
      </c>
      <c r="B3600" t="s">
        <v>52228</v>
      </c>
      <c r="C3600">
        <v>0</v>
      </c>
      <c r="D3600">
        <v>0.51983395290579504</v>
      </c>
      <c r="E3600" t="s">
        <v>106</v>
      </c>
      <c r="F3600">
        <v>1.45483936148716E-2</v>
      </c>
    </row>
    <row r="3601" spans="1:6">
      <c r="A3601" t="s">
        <v>52226</v>
      </c>
      <c r="B3601" t="s">
        <v>52229</v>
      </c>
      <c r="C3601">
        <v>0</v>
      </c>
      <c r="D3601">
        <v>0.51983395290579504</v>
      </c>
      <c r="E3601" t="s">
        <v>106</v>
      </c>
      <c r="F3601">
        <v>1.45483936148716E-2</v>
      </c>
    </row>
    <row r="3602" spans="1:6">
      <c r="A3602" t="s">
        <v>52226</v>
      </c>
      <c r="B3602" t="s">
        <v>52230</v>
      </c>
      <c r="C3602">
        <v>0</v>
      </c>
      <c r="D3602">
        <v>0.51983395290579504</v>
      </c>
      <c r="E3602" t="s">
        <v>106</v>
      </c>
      <c r="F3602">
        <v>1.45483936148716E-2</v>
      </c>
    </row>
    <row r="3603" spans="1:6">
      <c r="A3603" t="s">
        <v>52231</v>
      </c>
      <c r="B3603" t="s">
        <v>52232</v>
      </c>
      <c r="C3603">
        <v>0</v>
      </c>
      <c r="D3603">
        <v>5.8248149055059803E-2</v>
      </c>
      <c r="E3603">
        <v>0.98844423716355101</v>
      </c>
      <c r="F3603">
        <v>8.66599312992523</v>
      </c>
    </row>
    <row r="3604" spans="1:6">
      <c r="A3604" t="s">
        <v>52231</v>
      </c>
      <c r="B3604" t="s">
        <v>52233</v>
      </c>
      <c r="C3604">
        <v>0</v>
      </c>
      <c r="D3604">
        <v>5.8248149055059803E-2</v>
      </c>
      <c r="E3604">
        <v>0.98844423716355101</v>
      </c>
      <c r="F3604">
        <v>8.66599312992523</v>
      </c>
    </row>
    <row r="3605" spans="1:6">
      <c r="A3605" t="s">
        <v>52231</v>
      </c>
      <c r="B3605" t="s">
        <v>52234</v>
      </c>
      <c r="C3605">
        <v>0</v>
      </c>
      <c r="D3605">
        <v>5.8248149055059803E-2</v>
      </c>
      <c r="E3605">
        <v>0.98844423716355101</v>
      </c>
      <c r="F3605">
        <v>8.66599312992523</v>
      </c>
    </row>
    <row r="3606" spans="1:6">
      <c r="A3606" t="s">
        <v>52231</v>
      </c>
      <c r="B3606" t="s">
        <v>52235</v>
      </c>
      <c r="C3606">
        <v>0.114344482391151</v>
      </c>
      <c r="D3606">
        <v>5.8248149055059803E-2</v>
      </c>
      <c r="E3606">
        <v>0.98844423716355101</v>
      </c>
      <c r="F3606">
        <v>8.66599312992523</v>
      </c>
    </row>
    <row r="3607" spans="1:6">
      <c r="A3607" t="s">
        <v>52231</v>
      </c>
      <c r="B3607" t="s">
        <v>52236</v>
      </c>
      <c r="C3607">
        <v>0</v>
      </c>
      <c r="D3607">
        <v>5.8248149055059803E-2</v>
      </c>
      <c r="E3607">
        <v>0.98844423716355101</v>
      </c>
      <c r="F3607">
        <v>8.66599312992523</v>
      </c>
    </row>
    <row r="3608" spans="1:6">
      <c r="A3608" t="s">
        <v>52231</v>
      </c>
      <c r="B3608" t="s">
        <v>52237</v>
      </c>
      <c r="C3608">
        <v>0.230955776874925</v>
      </c>
      <c r="D3608">
        <v>5.8248149055059803E-2</v>
      </c>
      <c r="E3608">
        <v>0.98844423716355101</v>
      </c>
      <c r="F3608">
        <v>8.66599312992523</v>
      </c>
    </row>
    <row r="3609" spans="1:6">
      <c r="A3609" t="s">
        <v>52231</v>
      </c>
      <c r="B3609" t="s">
        <v>52238</v>
      </c>
      <c r="C3609">
        <v>0</v>
      </c>
      <c r="D3609">
        <v>5.8248149055059803E-2</v>
      </c>
      <c r="E3609">
        <v>0.98844423716355101</v>
      </c>
      <c r="F3609">
        <v>8.66599312992523</v>
      </c>
    </row>
    <row r="3610" spans="1:6">
      <c r="A3610" t="s">
        <v>52231</v>
      </c>
      <c r="B3610" t="s">
        <v>52239</v>
      </c>
      <c r="C3610">
        <v>0</v>
      </c>
      <c r="D3610">
        <v>5.8248149055059803E-2</v>
      </c>
      <c r="E3610">
        <v>0.98844423716355101</v>
      </c>
      <c r="F3610">
        <v>8.66599312992523</v>
      </c>
    </row>
    <row r="3611" spans="1:6">
      <c r="A3611" t="s">
        <v>52231</v>
      </c>
      <c r="B3611" t="s">
        <v>52240</v>
      </c>
      <c r="C3611">
        <v>0</v>
      </c>
      <c r="D3611">
        <v>5.8248149055059803E-2</v>
      </c>
      <c r="E3611">
        <v>0.98844423716355101</v>
      </c>
      <c r="F3611">
        <v>8.66599312992523</v>
      </c>
    </row>
    <row r="3612" spans="1:6">
      <c r="A3612" t="s">
        <v>52231</v>
      </c>
      <c r="B3612" t="s">
        <v>52241</v>
      </c>
      <c r="C3612">
        <v>0</v>
      </c>
      <c r="D3612">
        <v>5.8248149055059803E-2</v>
      </c>
      <c r="E3612">
        <v>0.98844423716355101</v>
      </c>
      <c r="F3612">
        <v>8.66599312992523</v>
      </c>
    </row>
    <row r="3613" spans="1:6">
      <c r="A3613" t="s">
        <v>52242</v>
      </c>
      <c r="B3613" t="s">
        <v>52243</v>
      </c>
      <c r="C3613">
        <v>0</v>
      </c>
      <c r="D3613">
        <v>2.2880443900807301E-2</v>
      </c>
      <c r="E3613">
        <v>0.84790923447921096</v>
      </c>
      <c r="F3613">
        <v>9.56314406950899</v>
      </c>
    </row>
    <row r="3614" spans="1:6">
      <c r="A3614" t="s">
        <v>52242</v>
      </c>
      <c r="B3614" t="s">
        <v>52244</v>
      </c>
      <c r="C3614">
        <v>0</v>
      </c>
      <c r="D3614">
        <v>2.2880443900807301E-2</v>
      </c>
      <c r="E3614">
        <v>0.84790923447921096</v>
      </c>
      <c r="F3614">
        <v>9.56314406950899</v>
      </c>
    </row>
    <row r="3615" spans="1:6">
      <c r="A3615" t="s">
        <v>52242</v>
      </c>
      <c r="B3615" t="s">
        <v>52245</v>
      </c>
      <c r="C3615">
        <v>0</v>
      </c>
      <c r="D3615">
        <v>2.2880443900807301E-2</v>
      </c>
      <c r="E3615">
        <v>0.84790923447921096</v>
      </c>
      <c r="F3615">
        <v>9.56314406950899</v>
      </c>
    </row>
    <row r="3616" spans="1:6">
      <c r="A3616" t="s">
        <v>52242</v>
      </c>
      <c r="B3616" t="s">
        <v>52246</v>
      </c>
      <c r="C3616">
        <v>0</v>
      </c>
      <c r="D3616">
        <v>2.2880443900807301E-2</v>
      </c>
      <c r="E3616">
        <v>0.84790923447921096</v>
      </c>
      <c r="F3616">
        <v>9.56314406950899</v>
      </c>
    </row>
    <row r="3617" spans="1:6">
      <c r="A3617" t="s">
        <v>52242</v>
      </c>
      <c r="B3617" t="s">
        <v>52247</v>
      </c>
      <c r="C3617">
        <v>0</v>
      </c>
      <c r="D3617">
        <v>2.2880443900807301E-2</v>
      </c>
      <c r="E3617">
        <v>0.84790923447921096</v>
      </c>
      <c r="F3617">
        <v>9.56314406950899</v>
      </c>
    </row>
    <row r="3618" spans="1:6">
      <c r="A3618" t="s">
        <v>52242</v>
      </c>
      <c r="B3618" t="s">
        <v>52248</v>
      </c>
      <c r="C3618">
        <v>0</v>
      </c>
      <c r="D3618">
        <v>2.2880443900807301E-2</v>
      </c>
      <c r="E3618">
        <v>0.84790923447921096</v>
      </c>
      <c r="F3618">
        <v>9.56314406950899</v>
      </c>
    </row>
    <row r="3619" spans="1:6">
      <c r="A3619" t="s">
        <v>52242</v>
      </c>
      <c r="B3619" t="s">
        <v>52249</v>
      </c>
      <c r="C3619">
        <v>0.42390923447921097</v>
      </c>
      <c r="D3619">
        <v>2.2880443900807301E-2</v>
      </c>
      <c r="E3619">
        <v>0.84790923447921096</v>
      </c>
      <c r="F3619">
        <v>9.56314406950899</v>
      </c>
    </row>
    <row r="3620" spans="1:6">
      <c r="A3620" t="s">
        <v>52250</v>
      </c>
      <c r="B3620" t="s">
        <v>52251</v>
      </c>
      <c r="C3620">
        <v>0</v>
      </c>
      <c r="D3620">
        <v>0.79139105552317401</v>
      </c>
      <c r="E3620">
        <v>0.99418020030282706</v>
      </c>
      <c r="F3620">
        <v>3.62739947464134</v>
      </c>
    </row>
    <row r="3621" spans="1:6">
      <c r="A3621" t="s">
        <v>52250</v>
      </c>
      <c r="B3621" t="s">
        <v>52252</v>
      </c>
      <c r="C3621">
        <v>0</v>
      </c>
      <c r="D3621">
        <v>0.79139105552317401</v>
      </c>
      <c r="E3621">
        <v>0.99418020030282706</v>
      </c>
      <c r="F3621">
        <v>3.62739947464134</v>
      </c>
    </row>
    <row r="3622" spans="1:6">
      <c r="A3622" t="s">
        <v>52250</v>
      </c>
      <c r="B3622" t="s">
        <v>52253</v>
      </c>
      <c r="C3622">
        <v>0.82549132714266005</v>
      </c>
      <c r="D3622">
        <v>0.79139105552317401</v>
      </c>
      <c r="E3622">
        <v>0.99418020030282706</v>
      </c>
      <c r="F3622">
        <v>3.62739947464134</v>
      </c>
    </row>
    <row r="3623" spans="1:6">
      <c r="A3623" t="s">
        <v>52250</v>
      </c>
      <c r="B3623" t="s">
        <v>52254</v>
      </c>
      <c r="C3623">
        <v>0</v>
      </c>
      <c r="D3623">
        <v>0.79139105552317401</v>
      </c>
      <c r="E3623">
        <v>0.99418020030282706</v>
      </c>
      <c r="F3623">
        <v>3.62739947464134</v>
      </c>
    </row>
    <row r="3624" spans="1:6">
      <c r="A3624" t="s">
        <v>52250</v>
      </c>
      <c r="B3624" t="s">
        <v>52255</v>
      </c>
      <c r="C3624">
        <v>0.25484040645102402</v>
      </c>
      <c r="D3624">
        <v>0.79139105552317401</v>
      </c>
      <c r="E3624">
        <v>0.99418020030282706</v>
      </c>
      <c r="F3624">
        <v>3.62739947464134</v>
      </c>
    </row>
    <row r="3625" spans="1:6">
      <c r="A3625" t="s">
        <v>52250</v>
      </c>
      <c r="B3625" t="s">
        <v>52256</v>
      </c>
      <c r="C3625">
        <v>0</v>
      </c>
      <c r="D3625">
        <v>0.79139105552317401</v>
      </c>
      <c r="E3625">
        <v>0.99418020030282706</v>
      </c>
      <c r="F3625">
        <v>3.62739947464134</v>
      </c>
    </row>
    <row r="3626" spans="1:6">
      <c r="A3626" t="s">
        <v>52257</v>
      </c>
      <c r="B3626" t="s">
        <v>52258</v>
      </c>
      <c r="C3626">
        <v>0</v>
      </c>
      <c r="D3626">
        <v>0.15252714027397299</v>
      </c>
      <c r="E3626">
        <v>0.89688288388931503</v>
      </c>
      <c r="F3626">
        <v>6.7504546373004599</v>
      </c>
    </row>
    <row r="3627" spans="1:6">
      <c r="A3627" t="s">
        <v>52257</v>
      </c>
      <c r="B3627" t="s">
        <v>52259</v>
      </c>
      <c r="C3627">
        <v>0</v>
      </c>
      <c r="D3627">
        <v>0.15252714027397299</v>
      </c>
      <c r="E3627">
        <v>0.89688288388931503</v>
      </c>
      <c r="F3627">
        <v>6.7504546373004599</v>
      </c>
    </row>
    <row r="3628" spans="1:6">
      <c r="A3628" t="s">
        <v>52257</v>
      </c>
      <c r="B3628" t="s">
        <v>52260</v>
      </c>
      <c r="C3628">
        <v>0</v>
      </c>
      <c r="D3628">
        <v>0.15252714027397299</v>
      </c>
      <c r="E3628">
        <v>0.89688288388931503</v>
      </c>
      <c r="F3628">
        <v>6.7504546373004599</v>
      </c>
    </row>
    <row r="3629" spans="1:6">
      <c r="A3629" t="s">
        <v>52257</v>
      </c>
      <c r="B3629" t="s">
        <v>52261</v>
      </c>
      <c r="C3629">
        <v>0</v>
      </c>
      <c r="D3629">
        <v>0.15252714027397299</v>
      </c>
      <c r="E3629">
        <v>0.89688288388931503</v>
      </c>
      <c r="F3629">
        <v>6.7504546373004599</v>
      </c>
    </row>
    <row r="3630" spans="1:6">
      <c r="A3630" t="s">
        <v>52257</v>
      </c>
      <c r="B3630" t="s">
        <v>52262</v>
      </c>
      <c r="C3630">
        <v>0</v>
      </c>
      <c r="D3630">
        <v>0.15252714027397299</v>
      </c>
      <c r="E3630">
        <v>0.89688288388931503</v>
      </c>
      <c r="F3630">
        <v>6.7504546373004599</v>
      </c>
    </row>
    <row r="3631" spans="1:6">
      <c r="A3631" t="s">
        <v>52257</v>
      </c>
      <c r="B3631" t="s">
        <v>52263</v>
      </c>
      <c r="C3631">
        <v>0</v>
      </c>
      <c r="D3631">
        <v>0.15252714027397299</v>
      </c>
      <c r="E3631">
        <v>0.89688288388931503</v>
      </c>
      <c r="F3631">
        <v>6.7504546373004599</v>
      </c>
    </row>
    <row r="3632" spans="1:6">
      <c r="A3632" t="s">
        <v>52257</v>
      </c>
      <c r="B3632" t="s">
        <v>52264</v>
      </c>
      <c r="C3632">
        <v>0</v>
      </c>
      <c r="D3632">
        <v>0.15252714027397299</v>
      </c>
      <c r="E3632">
        <v>0.89688288388931503</v>
      </c>
      <c r="F3632">
        <v>6.7504546373004599</v>
      </c>
    </row>
    <row r="3633" spans="1:6">
      <c r="A3633" t="s">
        <v>52257</v>
      </c>
      <c r="B3633" t="s">
        <v>52265</v>
      </c>
      <c r="C3633">
        <v>0.16396651612129901</v>
      </c>
      <c r="D3633">
        <v>0.15252714027397299</v>
      </c>
      <c r="E3633">
        <v>0.89688288388931503</v>
      </c>
      <c r="F3633">
        <v>6.7504546373004599</v>
      </c>
    </row>
    <row r="3634" spans="1:6">
      <c r="A3634" t="s">
        <v>52257</v>
      </c>
      <c r="B3634" t="s">
        <v>52266</v>
      </c>
      <c r="C3634">
        <v>0</v>
      </c>
      <c r="D3634">
        <v>0.15252714027397299</v>
      </c>
      <c r="E3634">
        <v>0.89688288388931503</v>
      </c>
      <c r="F3634">
        <v>6.7504546373004599</v>
      </c>
    </row>
    <row r="3635" spans="1:6">
      <c r="A3635" t="s">
        <v>52257</v>
      </c>
      <c r="B3635" t="s">
        <v>52267</v>
      </c>
      <c r="C3635">
        <v>0.48473281120034001</v>
      </c>
      <c r="D3635">
        <v>0.15252714027397299</v>
      </c>
      <c r="E3635">
        <v>0.89688288388931503</v>
      </c>
      <c r="F3635">
        <v>6.7504546373004599</v>
      </c>
    </row>
    <row r="3636" spans="1:6">
      <c r="A3636" t="s">
        <v>52268</v>
      </c>
      <c r="B3636" t="s">
        <v>52269</v>
      </c>
      <c r="C3636">
        <v>0.96481043815148104</v>
      </c>
      <c r="D3636">
        <v>0.27355371984363902</v>
      </c>
      <c r="E3636">
        <v>0.990410438151481</v>
      </c>
      <c r="F3636">
        <v>9.4128106688219795</v>
      </c>
    </row>
    <row r="3637" spans="1:6">
      <c r="A3637" t="s">
        <v>52268</v>
      </c>
      <c r="B3637" t="s">
        <v>52270</v>
      </c>
      <c r="C3637">
        <v>0</v>
      </c>
      <c r="D3637">
        <v>0.27355371984363902</v>
      </c>
      <c r="E3637">
        <v>0.990410438151481</v>
      </c>
      <c r="F3637">
        <v>9.4128106688219795</v>
      </c>
    </row>
    <row r="3638" spans="1:6">
      <c r="A3638" t="s">
        <v>52271</v>
      </c>
      <c r="B3638" t="s">
        <v>52272</v>
      </c>
      <c r="C3638">
        <v>0.465925010980975</v>
      </c>
      <c r="D3638">
        <v>0.92610491884927004</v>
      </c>
      <c r="E3638">
        <v>0.96720241552869901</v>
      </c>
      <c r="F3638">
        <v>0.15518286522529801</v>
      </c>
    </row>
    <row r="3639" spans="1:6">
      <c r="A3639" t="s">
        <v>52271</v>
      </c>
      <c r="B3639" t="s">
        <v>52273</v>
      </c>
      <c r="C3639">
        <v>0.93018208007523895</v>
      </c>
      <c r="D3639">
        <v>0.92610491884927004</v>
      </c>
      <c r="E3639">
        <v>0.96720241552869901</v>
      </c>
      <c r="F3639">
        <v>0.15518286522529801</v>
      </c>
    </row>
    <row r="3640" spans="1:6">
      <c r="A3640" t="s">
        <v>52274</v>
      </c>
      <c r="B3640" t="s">
        <v>52275</v>
      </c>
      <c r="C3640">
        <v>0.74188351506545702</v>
      </c>
      <c r="D3640">
        <v>0.60295620943194705</v>
      </c>
      <c r="E3640">
        <v>0.99860251842543901</v>
      </c>
      <c r="F3640">
        <v>1.6536674075570801</v>
      </c>
    </row>
    <row r="3641" spans="1:6">
      <c r="A3641" t="s">
        <v>52274</v>
      </c>
      <c r="B3641" t="s">
        <v>52276</v>
      </c>
      <c r="C3641">
        <v>1.0227716499977699</v>
      </c>
      <c r="D3641">
        <v>0.60295620943194705</v>
      </c>
      <c r="E3641">
        <v>0.99860251842543901</v>
      </c>
      <c r="F3641">
        <v>1.6536674075570801</v>
      </c>
    </row>
    <row r="3642" spans="1:6">
      <c r="A3642" t="s">
        <v>52274</v>
      </c>
      <c r="B3642" t="s">
        <v>52277</v>
      </c>
      <c r="C3642">
        <v>4.48009611159243E-3</v>
      </c>
      <c r="D3642">
        <v>0.60295620943194705</v>
      </c>
      <c r="E3642">
        <v>0.99860251842543901</v>
      </c>
      <c r="F3642">
        <v>1.6536674075570801</v>
      </c>
    </row>
    <row r="3643" spans="1:6">
      <c r="A3643" t="s">
        <v>52278</v>
      </c>
      <c r="B3643" t="s">
        <v>52279</v>
      </c>
      <c r="C3643">
        <v>0</v>
      </c>
      <c r="D3643">
        <v>0.45439315653121398</v>
      </c>
      <c r="E3643" t="s">
        <v>106</v>
      </c>
      <c r="F3643">
        <v>1.78460295009092</v>
      </c>
    </row>
    <row r="3644" spans="1:6">
      <c r="A3644" t="s">
        <v>52278</v>
      </c>
      <c r="B3644" t="s">
        <v>52280</v>
      </c>
      <c r="C3644">
        <v>0</v>
      </c>
      <c r="D3644">
        <v>0.45439315653121398</v>
      </c>
      <c r="E3644" t="s">
        <v>106</v>
      </c>
      <c r="F3644">
        <v>1.78460295009092</v>
      </c>
    </row>
    <row r="3645" spans="1:6">
      <c r="A3645" t="s">
        <v>52278</v>
      </c>
      <c r="B3645" t="s">
        <v>52281</v>
      </c>
      <c r="C3645">
        <v>0</v>
      </c>
      <c r="D3645">
        <v>0.45439315653121398</v>
      </c>
      <c r="E3645" t="s">
        <v>106</v>
      </c>
      <c r="F3645">
        <v>1.78460295009092</v>
      </c>
    </row>
    <row r="3646" spans="1:6">
      <c r="A3646" t="s">
        <v>52282</v>
      </c>
      <c r="B3646" t="s">
        <v>52283</v>
      </c>
      <c r="C3646">
        <v>0.31530444308935801</v>
      </c>
      <c r="D3646">
        <v>0.59795142746258101</v>
      </c>
      <c r="E3646">
        <v>0.99458673422466803</v>
      </c>
      <c r="F3646">
        <v>8.9618104667609604</v>
      </c>
    </row>
    <row r="3647" spans="1:6">
      <c r="A3647" t="s">
        <v>52282</v>
      </c>
      <c r="B3647" t="s">
        <v>52284</v>
      </c>
      <c r="C3647">
        <v>0</v>
      </c>
      <c r="D3647">
        <v>0.59795142746258101</v>
      </c>
      <c r="E3647">
        <v>0.99458673422466803</v>
      </c>
      <c r="F3647">
        <v>8.9618104667609604</v>
      </c>
    </row>
    <row r="3648" spans="1:6">
      <c r="A3648" t="s">
        <v>52282</v>
      </c>
      <c r="B3648" t="s">
        <v>52285</v>
      </c>
      <c r="C3648">
        <v>0</v>
      </c>
      <c r="D3648">
        <v>0.59795142746258101</v>
      </c>
      <c r="E3648">
        <v>0.99458673422466803</v>
      </c>
      <c r="F3648">
        <v>8.9618104667609604</v>
      </c>
    </row>
    <row r="3649" spans="1:6">
      <c r="A3649" t="s">
        <v>52282</v>
      </c>
      <c r="B3649" t="s">
        <v>52286</v>
      </c>
      <c r="C3649">
        <v>0</v>
      </c>
      <c r="D3649">
        <v>0.59795142746258101</v>
      </c>
      <c r="E3649">
        <v>0.99458673422466803</v>
      </c>
      <c r="F3649">
        <v>8.9618104667609604</v>
      </c>
    </row>
    <row r="3650" spans="1:6">
      <c r="A3650" t="s">
        <v>52282</v>
      </c>
      <c r="B3650" t="s">
        <v>52287</v>
      </c>
      <c r="C3650">
        <v>0</v>
      </c>
      <c r="D3650">
        <v>0.59795142746258101</v>
      </c>
      <c r="E3650">
        <v>0.99458673422466803</v>
      </c>
      <c r="F3650">
        <v>8.9618104667609604</v>
      </c>
    </row>
    <row r="3651" spans="1:6">
      <c r="A3651" t="s">
        <v>52282</v>
      </c>
      <c r="B3651" t="s">
        <v>52288</v>
      </c>
      <c r="C3651">
        <v>0</v>
      </c>
      <c r="D3651">
        <v>0.59795142746258101</v>
      </c>
      <c r="E3651">
        <v>0.99458673422466803</v>
      </c>
      <c r="F3651">
        <v>8.9618104667609604</v>
      </c>
    </row>
    <row r="3652" spans="1:6">
      <c r="A3652" t="s">
        <v>52282</v>
      </c>
      <c r="B3652" t="s">
        <v>52289</v>
      </c>
      <c r="C3652">
        <v>0</v>
      </c>
      <c r="D3652">
        <v>0.59795142746258101</v>
      </c>
      <c r="E3652">
        <v>0.99458673422466803</v>
      </c>
      <c r="F3652">
        <v>8.9618104667609604</v>
      </c>
    </row>
    <row r="3653" spans="1:6">
      <c r="A3653" t="s">
        <v>52282</v>
      </c>
      <c r="B3653" t="s">
        <v>52290</v>
      </c>
      <c r="C3653">
        <v>0</v>
      </c>
      <c r="D3653">
        <v>0.59795142746258101</v>
      </c>
      <c r="E3653">
        <v>0.99458673422466803</v>
      </c>
      <c r="F3653">
        <v>8.9618104667609604</v>
      </c>
    </row>
    <row r="3654" spans="1:6">
      <c r="A3654" t="s">
        <v>52282</v>
      </c>
      <c r="B3654" t="s">
        <v>52291</v>
      </c>
      <c r="C3654">
        <v>0</v>
      </c>
      <c r="D3654">
        <v>0.59795142746258101</v>
      </c>
      <c r="E3654">
        <v>0.99458673422466803</v>
      </c>
      <c r="F3654">
        <v>8.9618104667609604</v>
      </c>
    </row>
    <row r="3655" spans="1:6">
      <c r="A3655" t="s">
        <v>52282</v>
      </c>
      <c r="B3655" t="s">
        <v>52292</v>
      </c>
      <c r="C3655">
        <v>0</v>
      </c>
      <c r="D3655">
        <v>0.59795142746258101</v>
      </c>
      <c r="E3655">
        <v>0.99458673422466803</v>
      </c>
      <c r="F3655">
        <v>8.9618104667609604</v>
      </c>
    </row>
    <row r="3656" spans="1:6">
      <c r="A3656" t="s">
        <v>52282</v>
      </c>
      <c r="B3656" t="s">
        <v>52293</v>
      </c>
      <c r="C3656">
        <v>0.633838775742677</v>
      </c>
      <c r="D3656">
        <v>0.59795142746258101</v>
      </c>
      <c r="E3656">
        <v>0.99458673422466803</v>
      </c>
      <c r="F3656">
        <v>8.9618104667609604</v>
      </c>
    </row>
    <row r="3657" spans="1:6">
      <c r="A3657" t="s">
        <v>52294</v>
      </c>
      <c r="B3657" t="s">
        <v>52295</v>
      </c>
      <c r="C3657">
        <v>0</v>
      </c>
      <c r="D3657">
        <v>0.25048544043179499</v>
      </c>
      <c r="E3657" t="s">
        <v>106</v>
      </c>
      <c r="F3657">
        <v>13.772479288745201</v>
      </c>
    </row>
    <row r="3658" spans="1:6">
      <c r="A3658" t="s">
        <v>52294</v>
      </c>
      <c r="B3658" t="s">
        <v>52296</v>
      </c>
      <c r="C3658">
        <v>0</v>
      </c>
      <c r="D3658">
        <v>0.25048544043179499</v>
      </c>
      <c r="E3658" t="s">
        <v>106</v>
      </c>
      <c r="F3658">
        <v>13.772479288745201</v>
      </c>
    </row>
    <row r="3659" spans="1:6">
      <c r="A3659" t="s">
        <v>52294</v>
      </c>
      <c r="B3659" t="s">
        <v>52297</v>
      </c>
      <c r="C3659">
        <v>0</v>
      </c>
      <c r="D3659">
        <v>0.25048544043179499</v>
      </c>
      <c r="E3659" t="s">
        <v>106</v>
      </c>
      <c r="F3659">
        <v>13.772479288745201</v>
      </c>
    </row>
    <row r="3660" spans="1:6">
      <c r="A3660" t="s">
        <v>52294</v>
      </c>
      <c r="B3660" t="s">
        <v>52298</v>
      </c>
      <c r="C3660">
        <v>0</v>
      </c>
      <c r="D3660">
        <v>0.25048544043179499</v>
      </c>
      <c r="E3660" t="s">
        <v>106</v>
      </c>
      <c r="F3660">
        <v>13.772479288745201</v>
      </c>
    </row>
    <row r="3661" spans="1:6">
      <c r="A3661" t="s">
        <v>52294</v>
      </c>
      <c r="B3661" t="s">
        <v>52299</v>
      </c>
      <c r="C3661">
        <v>0</v>
      </c>
      <c r="D3661">
        <v>0.25048544043179499</v>
      </c>
      <c r="E3661" t="s">
        <v>106</v>
      </c>
      <c r="F3661">
        <v>13.772479288745201</v>
      </c>
    </row>
    <row r="3662" spans="1:6">
      <c r="A3662" t="s">
        <v>52294</v>
      </c>
      <c r="B3662" t="s">
        <v>52300</v>
      </c>
      <c r="C3662">
        <v>0</v>
      </c>
      <c r="D3662">
        <v>0.25048544043179499</v>
      </c>
      <c r="E3662" t="s">
        <v>106</v>
      </c>
      <c r="F3662">
        <v>13.772479288745201</v>
      </c>
    </row>
    <row r="3663" spans="1:6">
      <c r="A3663" t="s">
        <v>52301</v>
      </c>
      <c r="B3663" t="s">
        <v>52302</v>
      </c>
      <c r="C3663">
        <v>0</v>
      </c>
      <c r="D3663">
        <v>0.79217372304995903</v>
      </c>
      <c r="E3663">
        <v>0.97541397424938003</v>
      </c>
      <c r="F3663">
        <v>14.8975550616286</v>
      </c>
    </row>
    <row r="3664" spans="1:6">
      <c r="A3664" t="s">
        <v>52301</v>
      </c>
      <c r="B3664" t="s">
        <v>52303</v>
      </c>
      <c r="C3664">
        <v>0</v>
      </c>
      <c r="D3664">
        <v>0.79217372304995903</v>
      </c>
      <c r="E3664">
        <v>0.97541397424938003</v>
      </c>
      <c r="F3664">
        <v>14.8975550616286</v>
      </c>
    </row>
    <row r="3665" spans="1:6">
      <c r="A3665" t="s">
        <v>52301</v>
      </c>
      <c r="B3665" t="s">
        <v>52304</v>
      </c>
      <c r="C3665">
        <v>0</v>
      </c>
      <c r="D3665">
        <v>0.79217372304995903</v>
      </c>
      <c r="E3665">
        <v>0.97541397424938003</v>
      </c>
      <c r="F3665">
        <v>14.8975550616286</v>
      </c>
    </row>
    <row r="3666" spans="1:6">
      <c r="A3666" t="s">
        <v>52301</v>
      </c>
      <c r="B3666" t="s">
        <v>52305</v>
      </c>
      <c r="C3666">
        <v>0</v>
      </c>
      <c r="D3666">
        <v>0.79217372304995903</v>
      </c>
      <c r="E3666">
        <v>0.97541397424938003</v>
      </c>
      <c r="F3666">
        <v>14.8975550616286</v>
      </c>
    </row>
    <row r="3667" spans="1:6">
      <c r="A3667" t="s">
        <v>52301</v>
      </c>
      <c r="B3667" t="s">
        <v>52306</v>
      </c>
      <c r="C3667">
        <v>0</v>
      </c>
      <c r="D3667">
        <v>0.79217372304995903</v>
      </c>
      <c r="E3667">
        <v>0.97541397424938003</v>
      </c>
      <c r="F3667">
        <v>14.8975550616286</v>
      </c>
    </row>
    <row r="3668" spans="1:6">
      <c r="A3668" t="s">
        <v>52301</v>
      </c>
      <c r="B3668" t="s">
        <v>52307</v>
      </c>
      <c r="C3668">
        <v>0</v>
      </c>
      <c r="D3668">
        <v>0.79217372304995903</v>
      </c>
      <c r="E3668">
        <v>0.97541397424938003</v>
      </c>
      <c r="F3668">
        <v>14.8975550616286</v>
      </c>
    </row>
    <row r="3669" spans="1:6">
      <c r="A3669" t="s">
        <v>52301</v>
      </c>
      <c r="B3669" t="s">
        <v>52308</v>
      </c>
      <c r="C3669">
        <v>0</v>
      </c>
      <c r="D3669">
        <v>0.79217372304995903</v>
      </c>
      <c r="E3669">
        <v>0.97541397424938003</v>
      </c>
      <c r="F3669">
        <v>14.8975550616286</v>
      </c>
    </row>
    <row r="3670" spans="1:6">
      <c r="A3670" t="s">
        <v>52301</v>
      </c>
      <c r="B3670" t="s">
        <v>52309</v>
      </c>
      <c r="C3670">
        <v>0</v>
      </c>
      <c r="D3670">
        <v>0.79217372304995903</v>
      </c>
      <c r="E3670">
        <v>0.97541397424938003</v>
      </c>
      <c r="F3670">
        <v>14.8975550616286</v>
      </c>
    </row>
    <row r="3671" spans="1:6">
      <c r="A3671" t="s">
        <v>52301</v>
      </c>
      <c r="B3671" t="s">
        <v>52310</v>
      </c>
      <c r="C3671">
        <v>0</v>
      </c>
      <c r="D3671">
        <v>0.79217372304995903</v>
      </c>
      <c r="E3671">
        <v>0.97541397424938003</v>
      </c>
      <c r="F3671">
        <v>14.8975550616286</v>
      </c>
    </row>
    <row r="3672" spans="1:6">
      <c r="A3672" t="s">
        <v>52301</v>
      </c>
      <c r="B3672" t="s">
        <v>52311</v>
      </c>
      <c r="C3672">
        <v>0</v>
      </c>
      <c r="D3672">
        <v>0.79217372304995903</v>
      </c>
      <c r="E3672">
        <v>0.97541397424938003</v>
      </c>
      <c r="F3672">
        <v>14.8975550616286</v>
      </c>
    </row>
    <row r="3673" spans="1:6">
      <c r="A3673" t="s">
        <v>52301</v>
      </c>
      <c r="B3673" t="s">
        <v>52312</v>
      </c>
      <c r="C3673">
        <v>0</v>
      </c>
      <c r="D3673">
        <v>0.79217372304995903</v>
      </c>
      <c r="E3673">
        <v>0.97541397424938003</v>
      </c>
      <c r="F3673">
        <v>14.8975550616286</v>
      </c>
    </row>
    <row r="3674" spans="1:6">
      <c r="A3674" t="s">
        <v>52301</v>
      </c>
      <c r="B3674" t="s">
        <v>52313</v>
      </c>
      <c r="C3674">
        <v>0</v>
      </c>
      <c r="D3674">
        <v>0.79217372304995903</v>
      </c>
      <c r="E3674">
        <v>0.97541397424938003</v>
      </c>
      <c r="F3674">
        <v>14.8975550616286</v>
      </c>
    </row>
    <row r="3675" spans="1:6">
      <c r="A3675" t="s">
        <v>52301</v>
      </c>
      <c r="B3675" t="s">
        <v>52314</v>
      </c>
      <c r="C3675">
        <v>0</v>
      </c>
      <c r="D3675">
        <v>0.79217372304995903</v>
      </c>
      <c r="E3675">
        <v>0.97541397424938003</v>
      </c>
      <c r="F3675">
        <v>14.8975550616286</v>
      </c>
    </row>
    <row r="3676" spans="1:6">
      <c r="A3676" t="s">
        <v>52301</v>
      </c>
      <c r="B3676" t="s">
        <v>52315</v>
      </c>
      <c r="C3676">
        <v>0</v>
      </c>
      <c r="D3676">
        <v>0.79217372304995903</v>
      </c>
      <c r="E3676">
        <v>0.97541397424938003</v>
      </c>
      <c r="F3676">
        <v>14.8975550616286</v>
      </c>
    </row>
    <row r="3677" spans="1:6">
      <c r="A3677" t="s">
        <v>52301</v>
      </c>
      <c r="B3677" t="s">
        <v>52316</v>
      </c>
      <c r="C3677">
        <v>0</v>
      </c>
      <c r="D3677">
        <v>0.79217372304995903</v>
      </c>
      <c r="E3677">
        <v>0.97541397424938003</v>
      </c>
      <c r="F3677">
        <v>14.8975550616286</v>
      </c>
    </row>
    <row r="3678" spans="1:6">
      <c r="A3678" t="s">
        <v>52301</v>
      </c>
      <c r="B3678" t="s">
        <v>52317</v>
      </c>
      <c r="C3678">
        <v>0.55336675520926804</v>
      </c>
      <c r="D3678">
        <v>0.79217372304995903</v>
      </c>
      <c r="E3678">
        <v>0.97541397424938003</v>
      </c>
      <c r="F3678">
        <v>14.8975550616286</v>
      </c>
    </row>
    <row r="3679" spans="1:6">
      <c r="A3679" t="s">
        <v>52301</v>
      </c>
      <c r="B3679" t="s">
        <v>52318</v>
      </c>
      <c r="C3679">
        <v>0</v>
      </c>
      <c r="D3679">
        <v>0.79217372304995903</v>
      </c>
      <c r="E3679">
        <v>0.97541397424938003</v>
      </c>
      <c r="F3679">
        <v>14.8975550616286</v>
      </c>
    </row>
    <row r="3680" spans="1:6">
      <c r="A3680" t="s">
        <v>52301</v>
      </c>
      <c r="B3680" t="s">
        <v>52319</v>
      </c>
      <c r="C3680">
        <v>0</v>
      </c>
      <c r="D3680">
        <v>0.79217372304995903</v>
      </c>
      <c r="E3680">
        <v>0.97541397424938003</v>
      </c>
      <c r="F3680">
        <v>14.8975550616286</v>
      </c>
    </row>
    <row r="3681" spans="1:6">
      <c r="A3681" t="s">
        <v>52301</v>
      </c>
      <c r="B3681" t="s">
        <v>52320</v>
      </c>
      <c r="C3681">
        <v>1.3791319067580601E-2</v>
      </c>
      <c r="D3681">
        <v>0.79217372304995903</v>
      </c>
      <c r="E3681">
        <v>0.97541397424938003</v>
      </c>
      <c r="F3681">
        <v>14.8975550616286</v>
      </c>
    </row>
    <row r="3682" spans="1:6">
      <c r="A3682" t="s">
        <v>52321</v>
      </c>
      <c r="B3682" t="s">
        <v>52322</v>
      </c>
      <c r="C3682">
        <v>0</v>
      </c>
      <c r="D3682">
        <v>0.16869029201913499</v>
      </c>
      <c r="E3682">
        <v>0.99426268458341505</v>
      </c>
      <c r="F3682">
        <v>9.4128106688219795</v>
      </c>
    </row>
    <row r="3683" spans="1:6">
      <c r="A3683" t="s">
        <v>52321</v>
      </c>
      <c r="B3683" t="s">
        <v>52323</v>
      </c>
      <c r="C3683">
        <v>0.42170984510474802</v>
      </c>
      <c r="D3683">
        <v>0.16869029201913499</v>
      </c>
      <c r="E3683">
        <v>0.99426268458341505</v>
      </c>
      <c r="F3683">
        <v>9.4128106688219795</v>
      </c>
    </row>
    <row r="3684" spans="1:6">
      <c r="A3684" t="s">
        <v>52321</v>
      </c>
      <c r="B3684" t="s">
        <v>52324</v>
      </c>
      <c r="C3684">
        <v>0</v>
      </c>
      <c r="D3684">
        <v>0.16869029201913499</v>
      </c>
      <c r="E3684">
        <v>0.99426268458341505</v>
      </c>
      <c r="F3684">
        <v>9.4128106688219795</v>
      </c>
    </row>
    <row r="3685" spans="1:6">
      <c r="A3685" t="s">
        <v>52321</v>
      </c>
      <c r="B3685" t="s">
        <v>52325</v>
      </c>
      <c r="C3685">
        <v>0</v>
      </c>
      <c r="D3685">
        <v>0.16869029201913499</v>
      </c>
      <c r="E3685">
        <v>0.99426268458341505</v>
      </c>
      <c r="F3685">
        <v>9.4128106688219795</v>
      </c>
    </row>
    <row r="3686" spans="1:6">
      <c r="A3686" t="s">
        <v>52321</v>
      </c>
      <c r="B3686" t="s">
        <v>52326</v>
      </c>
      <c r="C3686">
        <v>0.50797607102356102</v>
      </c>
      <c r="D3686">
        <v>0.16869029201913499</v>
      </c>
      <c r="E3686">
        <v>0.99426268458341505</v>
      </c>
      <c r="F3686">
        <v>9.4128106688219795</v>
      </c>
    </row>
    <row r="3687" spans="1:6">
      <c r="A3687" t="s">
        <v>52321</v>
      </c>
      <c r="B3687" t="s">
        <v>52327</v>
      </c>
      <c r="C3687">
        <v>0</v>
      </c>
      <c r="D3687">
        <v>0.16869029201913499</v>
      </c>
      <c r="E3687">
        <v>0.99426268458341505</v>
      </c>
      <c r="F3687">
        <v>9.4128106688219795</v>
      </c>
    </row>
    <row r="3688" spans="1:6">
      <c r="A3688" t="s">
        <v>52321</v>
      </c>
      <c r="B3688" t="s">
        <v>52328</v>
      </c>
      <c r="C3688">
        <v>0</v>
      </c>
      <c r="D3688">
        <v>0.16869029201913499</v>
      </c>
      <c r="E3688">
        <v>0.99426268458341505</v>
      </c>
      <c r="F3688">
        <v>9.4128106688219795</v>
      </c>
    </row>
    <row r="3689" spans="1:6">
      <c r="A3689" t="s">
        <v>52329</v>
      </c>
      <c r="B3689" t="s">
        <v>52330</v>
      </c>
      <c r="C3689">
        <v>0.63559565388823602</v>
      </c>
      <c r="D3689">
        <v>0.33813476112888902</v>
      </c>
      <c r="E3689">
        <v>0.86759565388823601</v>
      </c>
      <c r="F3689">
        <v>16.463932107496401</v>
      </c>
    </row>
    <row r="3690" spans="1:6">
      <c r="A3690" t="s">
        <v>52329</v>
      </c>
      <c r="B3690" t="s">
        <v>52331</v>
      </c>
      <c r="C3690">
        <v>0</v>
      </c>
      <c r="D3690">
        <v>0.33813476112888902</v>
      </c>
      <c r="E3690">
        <v>0.86759565388823601</v>
      </c>
      <c r="F3690">
        <v>16.463932107496401</v>
      </c>
    </row>
    <row r="3691" spans="1:6">
      <c r="A3691" t="s">
        <v>52329</v>
      </c>
      <c r="B3691" t="s">
        <v>52332</v>
      </c>
      <c r="C3691">
        <v>0</v>
      </c>
      <c r="D3691">
        <v>0.33813476112888902</v>
      </c>
      <c r="E3691">
        <v>0.86759565388823601</v>
      </c>
      <c r="F3691">
        <v>16.463932107496401</v>
      </c>
    </row>
    <row r="3692" spans="1:6">
      <c r="A3692" t="s">
        <v>52329</v>
      </c>
      <c r="B3692" t="s">
        <v>52333</v>
      </c>
      <c r="C3692">
        <v>0</v>
      </c>
      <c r="D3692">
        <v>0.33813476112888902</v>
      </c>
      <c r="E3692">
        <v>0.86759565388823601</v>
      </c>
      <c r="F3692">
        <v>16.463932107496401</v>
      </c>
    </row>
    <row r="3693" spans="1:6">
      <c r="A3693" t="s">
        <v>52329</v>
      </c>
      <c r="B3693" t="s">
        <v>52334</v>
      </c>
      <c r="C3693">
        <v>0</v>
      </c>
      <c r="D3693">
        <v>0.33813476112888902</v>
      </c>
      <c r="E3693">
        <v>0.86759565388823601</v>
      </c>
      <c r="F3693">
        <v>16.463932107496401</v>
      </c>
    </row>
    <row r="3694" spans="1:6">
      <c r="A3694" t="s">
        <v>52329</v>
      </c>
      <c r="B3694" t="s">
        <v>52335</v>
      </c>
      <c r="C3694">
        <v>0</v>
      </c>
      <c r="D3694">
        <v>0.33813476112888902</v>
      </c>
      <c r="E3694">
        <v>0.86759565388823601</v>
      </c>
      <c r="F3694">
        <v>16.463932107496401</v>
      </c>
    </row>
    <row r="3695" spans="1:6">
      <c r="A3695" t="s">
        <v>52336</v>
      </c>
      <c r="B3695" t="s">
        <v>52337</v>
      </c>
      <c r="C3695">
        <v>0</v>
      </c>
      <c r="D3695">
        <v>0.124144785764721</v>
      </c>
      <c r="E3695">
        <v>0.91161269657518695</v>
      </c>
      <c r="F3695">
        <v>17.899373610830398</v>
      </c>
    </row>
    <row r="3696" spans="1:6">
      <c r="A3696" t="s">
        <v>52336</v>
      </c>
      <c r="B3696" t="s">
        <v>52338</v>
      </c>
      <c r="C3696">
        <v>0.55161269657518597</v>
      </c>
      <c r="D3696">
        <v>0.124144785764721</v>
      </c>
      <c r="E3696">
        <v>0.91161269657518695</v>
      </c>
      <c r="F3696">
        <v>17.899373610830398</v>
      </c>
    </row>
    <row r="3697" spans="1:6">
      <c r="A3697" t="s">
        <v>52336</v>
      </c>
      <c r="B3697" t="s">
        <v>52339</v>
      </c>
      <c r="C3697">
        <v>0</v>
      </c>
      <c r="D3697">
        <v>0.124144785764721</v>
      </c>
      <c r="E3697">
        <v>0.91161269657518695</v>
      </c>
      <c r="F3697">
        <v>17.899373610830398</v>
      </c>
    </row>
    <row r="3698" spans="1:6">
      <c r="A3698" t="s">
        <v>52336</v>
      </c>
      <c r="B3698" t="s">
        <v>52340</v>
      </c>
      <c r="C3698">
        <v>0</v>
      </c>
      <c r="D3698">
        <v>0.124144785764721</v>
      </c>
      <c r="E3698">
        <v>0.91161269657518695</v>
      </c>
      <c r="F3698">
        <v>17.899373610830398</v>
      </c>
    </row>
    <row r="3699" spans="1:6">
      <c r="A3699" t="s">
        <v>52336</v>
      </c>
      <c r="B3699" t="s">
        <v>52341</v>
      </c>
      <c r="C3699">
        <v>0</v>
      </c>
      <c r="D3699">
        <v>0.124144785764721</v>
      </c>
      <c r="E3699">
        <v>0.91161269657518695</v>
      </c>
      <c r="F3699">
        <v>17.899373610830398</v>
      </c>
    </row>
    <row r="3700" spans="1:6">
      <c r="A3700" t="s">
        <v>52336</v>
      </c>
      <c r="B3700" t="s">
        <v>52342</v>
      </c>
      <c r="C3700">
        <v>0</v>
      </c>
      <c r="D3700">
        <v>0.124144785764721</v>
      </c>
      <c r="E3700">
        <v>0.91161269657518695</v>
      </c>
      <c r="F3700">
        <v>17.899373610830398</v>
      </c>
    </row>
    <row r="3701" spans="1:6">
      <c r="A3701" t="s">
        <v>52336</v>
      </c>
      <c r="B3701" t="s">
        <v>52343</v>
      </c>
      <c r="C3701">
        <v>0</v>
      </c>
      <c r="D3701">
        <v>0.124144785764721</v>
      </c>
      <c r="E3701">
        <v>0.91161269657518695</v>
      </c>
      <c r="F3701">
        <v>17.899373610830398</v>
      </c>
    </row>
    <row r="3702" spans="1:6">
      <c r="A3702" t="s">
        <v>52336</v>
      </c>
      <c r="B3702" t="s">
        <v>52344</v>
      </c>
      <c r="C3702">
        <v>0</v>
      </c>
      <c r="D3702">
        <v>0.124144785764721</v>
      </c>
      <c r="E3702">
        <v>0.91161269657518695</v>
      </c>
      <c r="F3702">
        <v>17.899373610830398</v>
      </c>
    </row>
    <row r="3703" spans="1:6">
      <c r="A3703" t="s">
        <v>52345</v>
      </c>
      <c r="B3703" t="s">
        <v>52346</v>
      </c>
      <c r="C3703">
        <v>0</v>
      </c>
      <c r="D3703">
        <v>0.76710020599856599</v>
      </c>
      <c r="E3703" t="s">
        <v>106</v>
      </c>
      <c r="F3703">
        <v>2.05617296423519</v>
      </c>
    </row>
    <row r="3704" spans="1:6">
      <c r="A3704" t="s">
        <v>52345</v>
      </c>
      <c r="B3704" t="s">
        <v>52347</v>
      </c>
      <c r="C3704">
        <v>0</v>
      </c>
      <c r="D3704">
        <v>0.76710020599856599</v>
      </c>
      <c r="E3704" t="s">
        <v>106</v>
      </c>
      <c r="F3704">
        <v>2.05617296423519</v>
      </c>
    </row>
    <row r="3705" spans="1:6">
      <c r="A3705" t="s">
        <v>52348</v>
      </c>
      <c r="B3705" t="s">
        <v>52349</v>
      </c>
      <c r="C3705">
        <v>0</v>
      </c>
      <c r="D3705">
        <v>6.8274705453992002E-2</v>
      </c>
      <c r="E3705">
        <v>0.94566708915215003</v>
      </c>
      <c r="F3705">
        <v>17.074964639320999</v>
      </c>
    </row>
    <row r="3706" spans="1:6">
      <c r="A3706" t="s">
        <v>52348</v>
      </c>
      <c r="B3706" t="s">
        <v>52350</v>
      </c>
      <c r="C3706">
        <v>0</v>
      </c>
      <c r="D3706">
        <v>6.8274705453992002E-2</v>
      </c>
      <c r="E3706">
        <v>0.94566708915215003</v>
      </c>
      <c r="F3706">
        <v>17.074964639320999</v>
      </c>
    </row>
    <row r="3707" spans="1:6">
      <c r="A3707" t="s">
        <v>52348</v>
      </c>
      <c r="B3707" t="s">
        <v>52351</v>
      </c>
      <c r="C3707">
        <v>0</v>
      </c>
      <c r="D3707">
        <v>6.8274705453992002E-2</v>
      </c>
      <c r="E3707">
        <v>0.94566708915215003</v>
      </c>
      <c r="F3707">
        <v>17.074964639320999</v>
      </c>
    </row>
    <row r="3708" spans="1:6">
      <c r="A3708" t="s">
        <v>52348</v>
      </c>
      <c r="B3708" t="s">
        <v>52352</v>
      </c>
      <c r="C3708">
        <v>0</v>
      </c>
      <c r="D3708">
        <v>6.8274705453992002E-2</v>
      </c>
      <c r="E3708">
        <v>0.94566708915215003</v>
      </c>
      <c r="F3708">
        <v>17.074964639320999</v>
      </c>
    </row>
    <row r="3709" spans="1:6">
      <c r="A3709" t="s">
        <v>52348</v>
      </c>
      <c r="B3709" t="s">
        <v>52353</v>
      </c>
      <c r="C3709">
        <v>0</v>
      </c>
      <c r="D3709">
        <v>6.8274705453992002E-2</v>
      </c>
      <c r="E3709">
        <v>0.94566708915215003</v>
      </c>
      <c r="F3709">
        <v>17.074964639320999</v>
      </c>
    </row>
    <row r="3710" spans="1:6">
      <c r="A3710" t="s">
        <v>52348</v>
      </c>
      <c r="B3710" t="s">
        <v>52354</v>
      </c>
      <c r="C3710">
        <v>0</v>
      </c>
      <c r="D3710">
        <v>6.8274705453992002E-2</v>
      </c>
      <c r="E3710">
        <v>0.94566708915215003</v>
      </c>
      <c r="F3710">
        <v>17.074964639320999</v>
      </c>
    </row>
    <row r="3711" spans="1:6">
      <c r="A3711" t="s">
        <v>52348</v>
      </c>
      <c r="B3711" t="s">
        <v>52355</v>
      </c>
      <c r="C3711">
        <v>0</v>
      </c>
      <c r="D3711">
        <v>6.8274705453992002E-2</v>
      </c>
      <c r="E3711">
        <v>0.94566708915215003</v>
      </c>
      <c r="F3711">
        <v>17.074964639320999</v>
      </c>
    </row>
    <row r="3712" spans="1:6">
      <c r="A3712" t="s">
        <v>52348</v>
      </c>
      <c r="B3712" t="s">
        <v>52356</v>
      </c>
      <c r="C3712">
        <v>0.52166708915214999</v>
      </c>
      <c r="D3712">
        <v>6.8274705453992002E-2</v>
      </c>
      <c r="E3712">
        <v>0.94566708915215003</v>
      </c>
      <c r="F3712">
        <v>17.074964639320999</v>
      </c>
    </row>
    <row r="3713" spans="1:6">
      <c r="A3713" t="s">
        <v>52348</v>
      </c>
      <c r="B3713" t="s">
        <v>52357</v>
      </c>
      <c r="C3713">
        <v>0</v>
      </c>
      <c r="D3713">
        <v>6.8274705453992002E-2</v>
      </c>
      <c r="E3713">
        <v>0.94566708915215003</v>
      </c>
      <c r="F3713">
        <v>17.074964639320999</v>
      </c>
    </row>
    <row r="3714" spans="1:6">
      <c r="A3714" t="s">
        <v>52348</v>
      </c>
      <c r="B3714" t="s">
        <v>52358</v>
      </c>
      <c r="C3714">
        <v>0</v>
      </c>
      <c r="D3714">
        <v>6.8274705453992002E-2</v>
      </c>
      <c r="E3714">
        <v>0.94566708915215003</v>
      </c>
      <c r="F3714">
        <v>17.074964639320999</v>
      </c>
    </row>
    <row r="3715" spans="1:6">
      <c r="A3715" t="s">
        <v>52348</v>
      </c>
      <c r="B3715" t="s">
        <v>52359</v>
      </c>
      <c r="C3715">
        <v>0</v>
      </c>
      <c r="D3715">
        <v>6.8274705453992002E-2</v>
      </c>
      <c r="E3715">
        <v>0.94566708915215003</v>
      </c>
      <c r="F3715">
        <v>17.074964639320999</v>
      </c>
    </row>
    <row r="3716" spans="1:6">
      <c r="A3716" t="s">
        <v>52360</v>
      </c>
      <c r="B3716" t="s">
        <v>52361</v>
      </c>
      <c r="C3716">
        <v>0.66155276820062203</v>
      </c>
      <c r="D3716">
        <v>9.2864712057264806E-2</v>
      </c>
      <c r="E3716">
        <v>0.99022588918925003</v>
      </c>
      <c r="F3716">
        <v>7.5409173570418204</v>
      </c>
    </row>
    <row r="3717" spans="1:6">
      <c r="A3717" t="s">
        <v>52360</v>
      </c>
      <c r="B3717" t="s">
        <v>52362</v>
      </c>
      <c r="C3717">
        <v>0.54393809102810697</v>
      </c>
      <c r="D3717">
        <v>9.2864712057264806E-2</v>
      </c>
      <c r="E3717">
        <v>0.99022588918925003</v>
      </c>
      <c r="F3717">
        <v>7.5409173570418204</v>
      </c>
    </row>
    <row r="3718" spans="1:6">
      <c r="A3718" t="s">
        <v>52360</v>
      </c>
      <c r="B3718" t="s">
        <v>52363</v>
      </c>
      <c r="C3718">
        <v>0</v>
      </c>
      <c r="D3718">
        <v>9.2864712057264806E-2</v>
      </c>
      <c r="E3718">
        <v>0.99022588918925003</v>
      </c>
      <c r="F3718">
        <v>7.5409173570418204</v>
      </c>
    </row>
    <row r="3719" spans="1:6">
      <c r="A3719" t="s">
        <v>52360</v>
      </c>
      <c r="B3719" t="s">
        <v>52364</v>
      </c>
      <c r="C3719">
        <v>0</v>
      </c>
      <c r="D3719">
        <v>9.2864712057264806E-2</v>
      </c>
      <c r="E3719">
        <v>0.99022588918925003</v>
      </c>
      <c r="F3719">
        <v>7.5409173570418204</v>
      </c>
    </row>
    <row r="3720" spans="1:6">
      <c r="A3720" t="s">
        <v>52365</v>
      </c>
      <c r="B3720" t="s">
        <v>52366</v>
      </c>
      <c r="C3720">
        <v>0.54753261195798597</v>
      </c>
      <c r="D3720">
        <v>0.87193768799383597</v>
      </c>
      <c r="E3720">
        <v>0.90075984157831601</v>
      </c>
      <c r="F3720">
        <v>1.9155384926247701</v>
      </c>
    </row>
    <row r="3721" spans="1:6">
      <c r="A3721" t="s">
        <v>52365</v>
      </c>
      <c r="B3721" t="s">
        <v>52367</v>
      </c>
      <c r="C3721">
        <v>0</v>
      </c>
      <c r="D3721">
        <v>0.87193768799383597</v>
      </c>
      <c r="E3721">
        <v>0.90075984157831601</v>
      </c>
      <c r="F3721">
        <v>1.9155384926247701</v>
      </c>
    </row>
    <row r="3722" spans="1:6">
      <c r="A3722" t="s">
        <v>52365</v>
      </c>
      <c r="B3722" t="s">
        <v>52368</v>
      </c>
      <c r="C3722">
        <v>0</v>
      </c>
      <c r="D3722">
        <v>0.87193768799383597</v>
      </c>
      <c r="E3722">
        <v>0.90075984157831601</v>
      </c>
      <c r="F3722">
        <v>1.9155384926247701</v>
      </c>
    </row>
    <row r="3723" spans="1:6">
      <c r="A3723" t="s">
        <v>52365</v>
      </c>
      <c r="B3723" t="s">
        <v>52369</v>
      </c>
      <c r="C3723">
        <v>0</v>
      </c>
      <c r="D3723">
        <v>0.87193768799383597</v>
      </c>
      <c r="E3723">
        <v>0.90075984157831601</v>
      </c>
      <c r="F3723">
        <v>1.9155384926247701</v>
      </c>
    </row>
    <row r="3724" spans="1:6">
      <c r="A3724" t="s">
        <v>52365</v>
      </c>
      <c r="B3724" t="s">
        <v>52370</v>
      </c>
      <c r="C3724">
        <v>0</v>
      </c>
      <c r="D3724">
        <v>0.87193768799383597</v>
      </c>
      <c r="E3724">
        <v>0.90075984157831601</v>
      </c>
      <c r="F3724">
        <v>1.9155384926247701</v>
      </c>
    </row>
    <row r="3725" spans="1:6">
      <c r="A3725" t="s">
        <v>52365</v>
      </c>
      <c r="B3725" t="s">
        <v>52371</v>
      </c>
      <c r="C3725">
        <v>0</v>
      </c>
      <c r="D3725">
        <v>0.87193768799383597</v>
      </c>
      <c r="E3725">
        <v>0.90075984157831601</v>
      </c>
      <c r="F3725">
        <v>1.9155384926247701</v>
      </c>
    </row>
    <row r="3726" spans="1:6">
      <c r="A3726" t="s">
        <v>52365</v>
      </c>
      <c r="B3726" t="s">
        <v>52372</v>
      </c>
      <c r="C3726">
        <v>0</v>
      </c>
      <c r="D3726">
        <v>0.87193768799383597</v>
      </c>
      <c r="E3726">
        <v>0.90075984157831601</v>
      </c>
      <c r="F3726">
        <v>1.9155384926247701</v>
      </c>
    </row>
    <row r="3727" spans="1:6">
      <c r="A3727" t="s">
        <v>52365</v>
      </c>
      <c r="B3727" t="s">
        <v>52373</v>
      </c>
      <c r="C3727">
        <v>0.155771778479801</v>
      </c>
      <c r="D3727">
        <v>0.87193768799383597</v>
      </c>
      <c r="E3727">
        <v>0.90075984157831601</v>
      </c>
      <c r="F3727">
        <v>1.9155384926247701</v>
      </c>
    </row>
    <row r="3728" spans="1:6">
      <c r="A3728" t="s">
        <v>52374</v>
      </c>
      <c r="B3728" t="s">
        <v>52375</v>
      </c>
      <c r="C3728">
        <v>0</v>
      </c>
      <c r="D3728">
        <v>0.62255155961349096</v>
      </c>
      <c r="E3728">
        <v>0.91633629629419999</v>
      </c>
      <c r="F3728">
        <v>21.1824611032531</v>
      </c>
    </row>
    <row r="3729" spans="1:6">
      <c r="A3729" t="s">
        <v>52374</v>
      </c>
      <c r="B3729" t="s">
        <v>52376</v>
      </c>
      <c r="C3729">
        <v>0</v>
      </c>
      <c r="D3729">
        <v>0.62255155961349096</v>
      </c>
      <c r="E3729">
        <v>0.91633629629419999</v>
      </c>
      <c r="F3729">
        <v>21.1824611032531</v>
      </c>
    </row>
    <row r="3730" spans="1:6">
      <c r="A3730" t="s">
        <v>52374</v>
      </c>
      <c r="B3730" t="s">
        <v>52377</v>
      </c>
      <c r="C3730">
        <v>0</v>
      </c>
      <c r="D3730">
        <v>0.62255155961349096</v>
      </c>
      <c r="E3730">
        <v>0.91633629629419999</v>
      </c>
      <c r="F3730">
        <v>21.1824611032531</v>
      </c>
    </row>
    <row r="3731" spans="1:6">
      <c r="A3731" t="s">
        <v>52374</v>
      </c>
      <c r="B3731" t="s">
        <v>52378</v>
      </c>
      <c r="C3731">
        <v>0</v>
      </c>
      <c r="D3731">
        <v>0.62255155961349096</v>
      </c>
      <c r="E3731">
        <v>0.91633629629419999</v>
      </c>
      <c r="F3731">
        <v>21.1824611032531</v>
      </c>
    </row>
    <row r="3732" spans="1:6">
      <c r="A3732" t="s">
        <v>52374</v>
      </c>
      <c r="B3732" t="s">
        <v>52379</v>
      </c>
      <c r="C3732">
        <v>0</v>
      </c>
      <c r="D3732">
        <v>0.62255155961349096</v>
      </c>
      <c r="E3732">
        <v>0.91633629629419999</v>
      </c>
      <c r="F3732">
        <v>21.1824611032531</v>
      </c>
    </row>
    <row r="3733" spans="1:6">
      <c r="A3733" t="s">
        <v>52374</v>
      </c>
      <c r="B3733" t="s">
        <v>52380</v>
      </c>
      <c r="C3733">
        <v>0.73553629629420003</v>
      </c>
      <c r="D3733">
        <v>0.62255155961349096</v>
      </c>
      <c r="E3733">
        <v>0.91633629629419999</v>
      </c>
      <c r="F3733">
        <v>21.1824611032531</v>
      </c>
    </row>
    <row r="3734" spans="1:6">
      <c r="A3734" t="s">
        <v>52381</v>
      </c>
      <c r="B3734" t="s">
        <v>52382</v>
      </c>
      <c r="C3734">
        <v>0</v>
      </c>
      <c r="D3734">
        <v>0.89523866484224102</v>
      </c>
      <c r="E3734">
        <v>0.94585186120181997</v>
      </c>
      <c r="F3734">
        <v>0</v>
      </c>
    </row>
    <row r="3735" spans="1:6">
      <c r="A3735" t="s">
        <v>52381</v>
      </c>
      <c r="B3735" t="s">
        <v>52383</v>
      </c>
      <c r="C3735">
        <v>0</v>
      </c>
      <c r="D3735">
        <v>0.89523866484224102</v>
      </c>
      <c r="E3735">
        <v>0.94585186120181997</v>
      </c>
      <c r="F3735">
        <v>0</v>
      </c>
    </row>
    <row r="3736" spans="1:6">
      <c r="A3736" t="s">
        <v>52381</v>
      </c>
      <c r="B3736" t="s">
        <v>52384</v>
      </c>
      <c r="C3736">
        <v>0</v>
      </c>
      <c r="D3736">
        <v>0.89523866484224102</v>
      </c>
      <c r="E3736">
        <v>0.94585186120181997</v>
      </c>
      <c r="F3736">
        <v>0</v>
      </c>
    </row>
    <row r="3737" spans="1:6">
      <c r="A3737" t="s">
        <v>52381</v>
      </c>
      <c r="B3737" t="s">
        <v>52385</v>
      </c>
      <c r="C3737">
        <v>0</v>
      </c>
      <c r="D3737">
        <v>0.89523866484224102</v>
      </c>
      <c r="E3737">
        <v>0.94585186120181997</v>
      </c>
      <c r="F3737">
        <v>0</v>
      </c>
    </row>
    <row r="3738" spans="1:6">
      <c r="A3738" t="s">
        <v>52381</v>
      </c>
      <c r="B3738" t="s">
        <v>52386</v>
      </c>
      <c r="C3738">
        <v>0</v>
      </c>
      <c r="D3738">
        <v>0.89523866484224102</v>
      </c>
      <c r="E3738">
        <v>0.94585186120181997</v>
      </c>
      <c r="F3738">
        <v>0</v>
      </c>
    </row>
    <row r="3739" spans="1:6">
      <c r="A3739" t="s">
        <v>52381</v>
      </c>
      <c r="B3739" t="s">
        <v>52387</v>
      </c>
      <c r="C3739">
        <v>0.10599241786387199</v>
      </c>
      <c r="D3739">
        <v>0.89523866484224102</v>
      </c>
      <c r="E3739">
        <v>0.94585186120181997</v>
      </c>
      <c r="F3739">
        <v>0</v>
      </c>
    </row>
    <row r="3740" spans="1:6">
      <c r="A3740" t="s">
        <v>52381</v>
      </c>
      <c r="B3740" t="s">
        <v>52388</v>
      </c>
      <c r="C3740">
        <v>0</v>
      </c>
      <c r="D3740">
        <v>0.89523866484224102</v>
      </c>
      <c r="E3740">
        <v>0.94585186120181997</v>
      </c>
      <c r="F3740">
        <v>0</v>
      </c>
    </row>
    <row r="3741" spans="1:6">
      <c r="A3741" t="s">
        <v>52381</v>
      </c>
      <c r="B3741" t="s">
        <v>52389</v>
      </c>
      <c r="C3741">
        <v>0</v>
      </c>
      <c r="D3741">
        <v>0.89523866484224102</v>
      </c>
      <c r="E3741">
        <v>0.94585186120181997</v>
      </c>
      <c r="F3741">
        <v>0</v>
      </c>
    </row>
    <row r="3742" spans="1:6">
      <c r="A3742" t="s">
        <v>52381</v>
      </c>
      <c r="B3742" t="s">
        <v>52390</v>
      </c>
      <c r="C3742">
        <v>0</v>
      </c>
      <c r="D3742">
        <v>0.89523866484224102</v>
      </c>
      <c r="E3742">
        <v>0.94585186120181997</v>
      </c>
      <c r="F3742">
        <v>0</v>
      </c>
    </row>
    <row r="3743" spans="1:6">
      <c r="A3743" t="s">
        <v>52381</v>
      </c>
      <c r="B3743" t="s">
        <v>52391</v>
      </c>
      <c r="C3743">
        <v>0.59403282005875901</v>
      </c>
      <c r="D3743">
        <v>0.89523866484224102</v>
      </c>
      <c r="E3743">
        <v>0.94585186120181997</v>
      </c>
      <c r="F3743">
        <v>0</v>
      </c>
    </row>
    <row r="3744" spans="1:6">
      <c r="A3744" t="s">
        <v>52392</v>
      </c>
      <c r="B3744" t="s">
        <v>52393</v>
      </c>
      <c r="C3744">
        <v>0</v>
      </c>
      <c r="D3744">
        <v>0.93068434707167103</v>
      </c>
      <c r="E3744">
        <v>0.965053923541214</v>
      </c>
      <c r="F3744">
        <v>7.8173368357243804</v>
      </c>
    </row>
    <row r="3745" spans="1:6">
      <c r="A3745" t="s">
        <v>52392</v>
      </c>
      <c r="B3745" t="s">
        <v>52394</v>
      </c>
      <c r="C3745">
        <v>0</v>
      </c>
      <c r="D3745">
        <v>0.93068434707167103</v>
      </c>
      <c r="E3745">
        <v>0.965053923541214</v>
      </c>
      <c r="F3745">
        <v>7.8173368357243804</v>
      </c>
    </row>
    <row r="3746" spans="1:6">
      <c r="A3746" t="s">
        <v>52392</v>
      </c>
      <c r="B3746" t="s">
        <v>52395</v>
      </c>
      <c r="C3746">
        <v>0</v>
      </c>
      <c r="D3746">
        <v>0.93068434707167103</v>
      </c>
      <c r="E3746">
        <v>0.965053923541214</v>
      </c>
      <c r="F3746">
        <v>7.8173368357243804</v>
      </c>
    </row>
    <row r="3747" spans="1:6">
      <c r="A3747" t="s">
        <v>52392</v>
      </c>
      <c r="B3747" t="s">
        <v>52396</v>
      </c>
      <c r="C3747">
        <v>0.74567933373103601</v>
      </c>
      <c r="D3747">
        <v>0.93068434707167103</v>
      </c>
      <c r="E3747">
        <v>0.965053923541214</v>
      </c>
      <c r="F3747">
        <v>7.8173368357243804</v>
      </c>
    </row>
    <row r="3748" spans="1:6">
      <c r="A3748" t="s">
        <v>52392</v>
      </c>
      <c r="B3748" t="s">
        <v>52397</v>
      </c>
      <c r="C3748">
        <v>8.9405984433288593E-2</v>
      </c>
      <c r="D3748">
        <v>0.93068434707167103</v>
      </c>
      <c r="E3748">
        <v>0.965053923541214</v>
      </c>
      <c r="F3748">
        <v>7.8173368357243804</v>
      </c>
    </row>
    <row r="3749" spans="1:6">
      <c r="A3749" t="s">
        <v>52398</v>
      </c>
      <c r="B3749" t="s">
        <v>52399</v>
      </c>
      <c r="C3749">
        <v>0</v>
      </c>
      <c r="D3749">
        <v>0.39253012280147098</v>
      </c>
      <c r="E3749" t="s">
        <v>106</v>
      </c>
      <c r="F3749">
        <v>0.79046271974136095</v>
      </c>
    </row>
    <row r="3750" spans="1:6">
      <c r="A3750" t="s">
        <v>52398</v>
      </c>
      <c r="B3750" t="s">
        <v>52400</v>
      </c>
      <c r="C3750">
        <v>0</v>
      </c>
      <c r="D3750">
        <v>0.39253012280147098</v>
      </c>
      <c r="E3750" t="s">
        <v>106</v>
      </c>
      <c r="F3750">
        <v>0.79046271974136095</v>
      </c>
    </row>
    <row r="3751" spans="1:6">
      <c r="A3751" t="s">
        <v>52398</v>
      </c>
      <c r="B3751" t="s">
        <v>52401</v>
      </c>
      <c r="C3751">
        <v>0</v>
      </c>
      <c r="D3751">
        <v>0.39253012280147098</v>
      </c>
      <c r="E3751" t="s">
        <v>106</v>
      </c>
      <c r="F3751">
        <v>0.79046271974136095</v>
      </c>
    </row>
    <row r="3752" spans="1:6">
      <c r="A3752" t="s">
        <v>52398</v>
      </c>
      <c r="B3752" t="s">
        <v>52402</v>
      </c>
      <c r="C3752">
        <v>0</v>
      </c>
      <c r="D3752">
        <v>0.39253012280147098</v>
      </c>
      <c r="E3752" t="s">
        <v>106</v>
      </c>
      <c r="F3752">
        <v>0.79046271974136095</v>
      </c>
    </row>
    <row r="3753" spans="1:6">
      <c r="A3753" t="s">
        <v>52398</v>
      </c>
      <c r="B3753" t="s">
        <v>52403</v>
      </c>
      <c r="C3753">
        <v>0</v>
      </c>
      <c r="D3753">
        <v>0.39253012280147098</v>
      </c>
      <c r="E3753" t="s">
        <v>106</v>
      </c>
      <c r="F3753">
        <v>0.79046271974136095</v>
      </c>
    </row>
    <row r="3754" spans="1:6">
      <c r="A3754" t="s">
        <v>52398</v>
      </c>
      <c r="B3754" t="s">
        <v>52404</v>
      </c>
      <c r="C3754">
        <v>0</v>
      </c>
      <c r="D3754">
        <v>0.39253012280147098</v>
      </c>
      <c r="E3754" t="s">
        <v>106</v>
      </c>
      <c r="F3754">
        <v>0.79046271974136095</v>
      </c>
    </row>
    <row r="3755" spans="1:6">
      <c r="A3755" t="s">
        <v>52405</v>
      </c>
      <c r="B3755" t="s">
        <v>52406</v>
      </c>
      <c r="C3755">
        <v>0</v>
      </c>
      <c r="D3755">
        <v>0.72998134092782296</v>
      </c>
      <c r="E3755">
        <v>0.95734939012720299</v>
      </c>
      <c r="F3755">
        <v>4.3160234390785996</v>
      </c>
    </row>
    <row r="3756" spans="1:6">
      <c r="A3756" t="s">
        <v>52405</v>
      </c>
      <c r="B3756" t="s">
        <v>52407</v>
      </c>
      <c r="C3756">
        <v>0</v>
      </c>
      <c r="D3756">
        <v>0.72998134092782296</v>
      </c>
      <c r="E3756">
        <v>0.95734939012720299</v>
      </c>
      <c r="F3756">
        <v>4.3160234390785996</v>
      </c>
    </row>
    <row r="3757" spans="1:6">
      <c r="A3757" t="s">
        <v>52405</v>
      </c>
      <c r="B3757" t="s">
        <v>52408</v>
      </c>
      <c r="C3757">
        <v>0</v>
      </c>
      <c r="D3757">
        <v>0.72998134092782296</v>
      </c>
      <c r="E3757">
        <v>0.95734939012720299</v>
      </c>
      <c r="F3757">
        <v>4.3160234390785996</v>
      </c>
    </row>
    <row r="3758" spans="1:6">
      <c r="A3758" t="s">
        <v>52405</v>
      </c>
      <c r="B3758" t="s">
        <v>52409</v>
      </c>
      <c r="C3758">
        <v>0.21770763810851401</v>
      </c>
      <c r="D3758">
        <v>0.72998134092782296</v>
      </c>
      <c r="E3758">
        <v>0.95734939012720299</v>
      </c>
      <c r="F3758">
        <v>4.3160234390785996</v>
      </c>
    </row>
    <row r="3759" spans="1:6">
      <c r="A3759" t="s">
        <v>52405</v>
      </c>
      <c r="B3759" t="s">
        <v>52410</v>
      </c>
      <c r="C3759">
        <v>0.48355988592528298</v>
      </c>
      <c r="D3759">
        <v>0.72998134092782296</v>
      </c>
      <c r="E3759">
        <v>0.95734939012720299</v>
      </c>
      <c r="F3759">
        <v>4.3160234390785996</v>
      </c>
    </row>
    <row r="3760" spans="1:6">
      <c r="A3760" t="s">
        <v>52405</v>
      </c>
      <c r="B3760" t="s">
        <v>52411</v>
      </c>
      <c r="C3760">
        <v>0</v>
      </c>
      <c r="D3760">
        <v>0.72998134092782296</v>
      </c>
      <c r="E3760">
        <v>0.95734939012720299</v>
      </c>
      <c r="F3760">
        <v>4.3160234390785996</v>
      </c>
    </row>
    <row r="3761" spans="1:6">
      <c r="A3761" t="s">
        <v>52405</v>
      </c>
      <c r="B3761" t="s">
        <v>52412</v>
      </c>
      <c r="C3761">
        <v>0</v>
      </c>
      <c r="D3761">
        <v>0.72998134092782296</v>
      </c>
      <c r="E3761">
        <v>0.95734939012720299</v>
      </c>
      <c r="F3761">
        <v>4.3160234390785996</v>
      </c>
    </row>
    <row r="3762" spans="1:6">
      <c r="A3762" t="s">
        <v>52413</v>
      </c>
      <c r="B3762" t="s">
        <v>52414</v>
      </c>
      <c r="C3762">
        <v>0</v>
      </c>
      <c r="D3762">
        <v>0.49258910908331799</v>
      </c>
      <c r="E3762">
        <v>0.99003862411441701</v>
      </c>
      <c r="F3762">
        <v>10.1887249949484</v>
      </c>
    </row>
    <row r="3763" spans="1:6">
      <c r="A3763" t="s">
        <v>52413</v>
      </c>
      <c r="B3763" t="s">
        <v>52415</v>
      </c>
      <c r="C3763">
        <v>0</v>
      </c>
      <c r="D3763">
        <v>0.49258910908331799</v>
      </c>
      <c r="E3763">
        <v>0.99003862411441701</v>
      </c>
      <c r="F3763">
        <v>10.1887249949484</v>
      </c>
    </row>
    <row r="3764" spans="1:6">
      <c r="A3764" t="s">
        <v>52413</v>
      </c>
      <c r="B3764" t="s">
        <v>52416</v>
      </c>
      <c r="C3764">
        <v>0</v>
      </c>
      <c r="D3764">
        <v>0.49258910908331799</v>
      </c>
      <c r="E3764">
        <v>0.99003862411441701</v>
      </c>
      <c r="F3764">
        <v>10.1887249949484</v>
      </c>
    </row>
    <row r="3765" spans="1:6">
      <c r="A3765" t="s">
        <v>52413</v>
      </c>
      <c r="B3765" t="s">
        <v>52417</v>
      </c>
      <c r="C3765">
        <v>0</v>
      </c>
      <c r="D3765">
        <v>0.49258910908331799</v>
      </c>
      <c r="E3765">
        <v>0.99003862411441701</v>
      </c>
      <c r="F3765">
        <v>10.1887249949484</v>
      </c>
    </row>
    <row r="3766" spans="1:6">
      <c r="A3766" t="s">
        <v>52413</v>
      </c>
      <c r="B3766" t="s">
        <v>52418</v>
      </c>
      <c r="C3766">
        <v>0</v>
      </c>
      <c r="D3766">
        <v>0.49258910908331799</v>
      </c>
      <c r="E3766">
        <v>0.99003862411441701</v>
      </c>
      <c r="F3766">
        <v>10.1887249949484</v>
      </c>
    </row>
    <row r="3767" spans="1:6">
      <c r="A3767" t="s">
        <v>52413</v>
      </c>
      <c r="B3767" t="s">
        <v>52419</v>
      </c>
      <c r="C3767">
        <v>0</v>
      </c>
      <c r="D3767">
        <v>0.49258910908331799</v>
      </c>
      <c r="E3767">
        <v>0.99003862411441701</v>
      </c>
      <c r="F3767">
        <v>10.1887249949484</v>
      </c>
    </row>
    <row r="3768" spans="1:6">
      <c r="A3768" t="s">
        <v>52413</v>
      </c>
      <c r="B3768" t="s">
        <v>52420</v>
      </c>
      <c r="C3768">
        <v>0</v>
      </c>
      <c r="D3768">
        <v>0.49258910908331799</v>
      </c>
      <c r="E3768">
        <v>0.99003862411441701</v>
      </c>
      <c r="F3768">
        <v>10.1887249949484</v>
      </c>
    </row>
    <row r="3769" spans="1:6">
      <c r="A3769" t="s">
        <v>52413</v>
      </c>
      <c r="B3769" t="s">
        <v>52421</v>
      </c>
      <c r="C3769">
        <v>0.241680971674616</v>
      </c>
      <c r="D3769">
        <v>0.49258910908331799</v>
      </c>
      <c r="E3769">
        <v>0.99003862411441701</v>
      </c>
      <c r="F3769">
        <v>10.1887249949484</v>
      </c>
    </row>
    <row r="3770" spans="1:6">
      <c r="A3770" t="s">
        <v>52413</v>
      </c>
      <c r="B3770" t="s">
        <v>52422</v>
      </c>
      <c r="C3770">
        <v>0.60048641616674503</v>
      </c>
      <c r="D3770">
        <v>0.49258910908331799</v>
      </c>
      <c r="E3770">
        <v>0.99003862411441701</v>
      </c>
      <c r="F3770">
        <v>10.1887249949484</v>
      </c>
    </row>
    <row r="3771" spans="1:6">
      <c r="A3771" t="s">
        <v>52413</v>
      </c>
      <c r="B3771" t="s">
        <v>52423</v>
      </c>
      <c r="C3771">
        <v>0</v>
      </c>
      <c r="D3771">
        <v>0.49258910908331799</v>
      </c>
      <c r="E3771">
        <v>0.99003862411441701</v>
      </c>
      <c r="F3771">
        <v>10.1887249949484</v>
      </c>
    </row>
    <row r="3772" spans="1:6">
      <c r="A3772" t="s">
        <v>52413</v>
      </c>
      <c r="B3772" t="s">
        <v>52424</v>
      </c>
      <c r="C3772">
        <v>0</v>
      </c>
      <c r="D3772">
        <v>0.49258910908331799</v>
      </c>
      <c r="E3772">
        <v>0.99003862411441701</v>
      </c>
      <c r="F3772">
        <v>10.1887249949484</v>
      </c>
    </row>
    <row r="3773" spans="1:6">
      <c r="A3773" t="s">
        <v>52413</v>
      </c>
      <c r="B3773" t="s">
        <v>52425</v>
      </c>
      <c r="C3773">
        <v>0</v>
      </c>
      <c r="D3773">
        <v>0.49258910908331799</v>
      </c>
      <c r="E3773">
        <v>0.99003862411441701</v>
      </c>
      <c r="F3773">
        <v>10.1887249949484</v>
      </c>
    </row>
    <row r="3774" spans="1:6">
      <c r="A3774" t="s">
        <v>52413</v>
      </c>
      <c r="B3774" t="s">
        <v>52426</v>
      </c>
      <c r="C3774">
        <v>0</v>
      </c>
      <c r="D3774">
        <v>0.49258910908331799</v>
      </c>
      <c r="E3774">
        <v>0.99003862411441701</v>
      </c>
      <c r="F3774">
        <v>10.1887249949484</v>
      </c>
    </row>
    <row r="3775" spans="1:6">
      <c r="A3775" t="s">
        <v>52413</v>
      </c>
      <c r="B3775" t="s">
        <v>52427</v>
      </c>
      <c r="C3775">
        <v>0</v>
      </c>
      <c r="D3775">
        <v>0.49258910908331799</v>
      </c>
      <c r="E3775">
        <v>0.99003862411441701</v>
      </c>
      <c r="F3775">
        <v>10.1887249949484</v>
      </c>
    </row>
    <row r="3776" spans="1:6">
      <c r="A3776" t="s">
        <v>52428</v>
      </c>
      <c r="B3776" t="s">
        <v>52429</v>
      </c>
      <c r="C3776">
        <v>3.2725079761329399E-2</v>
      </c>
      <c r="D3776">
        <v>0.77710527878376501</v>
      </c>
      <c r="E3776">
        <v>0.96034541410447005</v>
      </c>
      <c r="F3776">
        <v>12.6958981612446</v>
      </c>
    </row>
    <row r="3777" spans="1:6">
      <c r="A3777" t="s">
        <v>52428</v>
      </c>
      <c r="B3777" t="s">
        <v>52430</v>
      </c>
      <c r="C3777">
        <v>0.79305691894611396</v>
      </c>
      <c r="D3777">
        <v>0.77710527878376501</v>
      </c>
      <c r="E3777">
        <v>0.96034541410447005</v>
      </c>
      <c r="F3777">
        <v>12.6958981612446</v>
      </c>
    </row>
    <row r="3778" spans="1:6">
      <c r="A3778" t="s">
        <v>52428</v>
      </c>
      <c r="B3778" t="s">
        <v>52431</v>
      </c>
      <c r="C3778">
        <v>0</v>
      </c>
      <c r="D3778">
        <v>0.77710527878376501</v>
      </c>
      <c r="E3778">
        <v>0.96034541410447005</v>
      </c>
      <c r="F3778">
        <v>12.6958981612446</v>
      </c>
    </row>
    <row r="3779" spans="1:6">
      <c r="A3779" t="s">
        <v>52428</v>
      </c>
      <c r="B3779" t="s">
        <v>52432</v>
      </c>
      <c r="C3779">
        <v>0</v>
      </c>
      <c r="D3779">
        <v>0.77710527878376501</v>
      </c>
      <c r="E3779">
        <v>0.96034541410447005</v>
      </c>
      <c r="F3779">
        <v>12.6958981612446</v>
      </c>
    </row>
    <row r="3780" spans="1:6">
      <c r="A3780" t="s">
        <v>52428</v>
      </c>
      <c r="B3780" t="s">
        <v>52433</v>
      </c>
      <c r="C3780">
        <v>0</v>
      </c>
      <c r="D3780">
        <v>0.77710527878376501</v>
      </c>
      <c r="E3780">
        <v>0.96034541410447005</v>
      </c>
      <c r="F3780">
        <v>12.6958981612446</v>
      </c>
    </row>
    <row r="3781" spans="1:6">
      <c r="A3781" t="s">
        <v>52428</v>
      </c>
      <c r="B3781" t="s">
        <v>52434</v>
      </c>
      <c r="C3781">
        <v>0</v>
      </c>
      <c r="D3781">
        <v>0.77710527878376501</v>
      </c>
      <c r="E3781">
        <v>0.96034541410447005</v>
      </c>
      <c r="F3781">
        <v>12.6958981612446</v>
      </c>
    </row>
    <row r="3782" spans="1:6">
      <c r="A3782" t="s">
        <v>52435</v>
      </c>
      <c r="B3782" t="s">
        <v>52436</v>
      </c>
      <c r="C3782">
        <v>0.78111475832983601</v>
      </c>
      <c r="D3782">
        <v>0.51460080721073098</v>
      </c>
      <c r="E3782">
        <v>0.94111475832983704</v>
      </c>
      <c r="F3782">
        <v>10.028692665184799</v>
      </c>
    </row>
    <row r="3783" spans="1:6">
      <c r="A3783" t="s">
        <v>52435</v>
      </c>
      <c r="B3783" t="s">
        <v>52437</v>
      </c>
      <c r="C3783">
        <v>0</v>
      </c>
      <c r="D3783">
        <v>0.51460080721073098</v>
      </c>
      <c r="E3783">
        <v>0.94111475832983704</v>
      </c>
      <c r="F3783">
        <v>10.028692665184799</v>
      </c>
    </row>
    <row r="3784" spans="1:6">
      <c r="A3784" t="s">
        <v>52435</v>
      </c>
      <c r="B3784" t="s">
        <v>52438</v>
      </c>
      <c r="C3784">
        <v>0</v>
      </c>
      <c r="D3784">
        <v>0.51460080721073098</v>
      </c>
      <c r="E3784">
        <v>0.94111475832983704</v>
      </c>
      <c r="F3784">
        <v>10.028692665184799</v>
      </c>
    </row>
    <row r="3785" spans="1:6">
      <c r="A3785" t="s">
        <v>52439</v>
      </c>
      <c r="B3785" t="s">
        <v>52440</v>
      </c>
      <c r="C3785">
        <v>2.129637329632E-2</v>
      </c>
      <c r="D3785">
        <v>0.56334337336418305</v>
      </c>
      <c r="E3785">
        <v>0.87626344221418795</v>
      </c>
      <c r="F3785">
        <v>5.06769044251363</v>
      </c>
    </row>
    <row r="3786" spans="1:6">
      <c r="A3786" t="s">
        <v>52439</v>
      </c>
      <c r="B3786" t="s">
        <v>52441</v>
      </c>
      <c r="C3786">
        <v>0</v>
      </c>
      <c r="D3786">
        <v>0.56334337336418305</v>
      </c>
      <c r="E3786">
        <v>0.87626344221418795</v>
      </c>
      <c r="F3786">
        <v>5.06769044251363</v>
      </c>
    </row>
    <row r="3787" spans="1:6">
      <c r="A3787" t="s">
        <v>52439</v>
      </c>
      <c r="B3787" t="s">
        <v>52442</v>
      </c>
      <c r="C3787">
        <v>0</v>
      </c>
      <c r="D3787">
        <v>0.56334337336418305</v>
      </c>
      <c r="E3787">
        <v>0.87626344221418795</v>
      </c>
      <c r="F3787">
        <v>5.06769044251363</v>
      </c>
    </row>
    <row r="3788" spans="1:6">
      <c r="A3788" t="s">
        <v>52439</v>
      </c>
      <c r="B3788" t="s">
        <v>52443</v>
      </c>
      <c r="C3788">
        <v>0</v>
      </c>
      <c r="D3788">
        <v>0.56334337336418305</v>
      </c>
      <c r="E3788">
        <v>0.87626344221418795</v>
      </c>
      <c r="F3788">
        <v>5.06769044251363</v>
      </c>
    </row>
    <row r="3789" spans="1:6">
      <c r="A3789" t="s">
        <v>52439</v>
      </c>
      <c r="B3789" t="s">
        <v>52444</v>
      </c>
      <c r="C3789">
        <v>0</v>
      </c>
      <c r="D3789">
        <v>0.56334337336418305</v>
      </c>
      <c r="E3789">
        <v>0.87626344221418795</v>
      </c>
      <c r="F3789">
        <v>5.06769044251363</v>
      </c>
    </row>
    <row r="3790" spans="1:6">
      <c r="A3790" t="s">
        <v>52439</v>
      </c>
      <c r="B3790" t="s">
        <v>52445</v>
      </c>
      <c r="C3790">
        <v>0</v>
      </c>
      <c r="D3790">
        <v>0.56334337336418305</v>
      </c>
      <c r="E3790">
        <v>0.87626344221418795</v>
      </c>
      <c r="F3790">
        <v>5.06769044251363</v>
      </c>
    </row>
    <row r="3791" spans="1:6">
      <c r="A3791" t="s">
        <v>52439</v>
      </c>
      <c r="B3791" t="s">
        <v>52446</v>
      </c>
      <c r="C3791">
        <v>0</v>
      </c>
      <c r="D3791">
        <v>0.56334337336418305</v>
      </c>
      <c r="E3791">
        <v>0.87626344221418795</v>
      </c>
      <c r="F3791">
        <v>5.06769044251363</v>
      </c>
    </row>
    <row r="3792" spans="1:6">
      <c r="A3792" t="s">
        <v>52439</v>
      </c>
      <c r="B3792" t="s">
        <v>52447</v>
      </c>
      <c r="C3792">
        <v>0</v>
      </c>
      <c r="D3792">
        <v>0.56334337336418305</v>
      </c>
      <c r="E3792">
        <v>0.87626344221418795</v>
      </c>
      <c r="F3792">
        <v>5.06769044251363</v>
      </c>
    </row>
    <row r="3793" spans="1:6">
      <c r="A3793" t="s">
        <v>52439</v>
      </c>
      <c r="B3793" t="s">
        <v>52448</v>
      </c>
      <c r="C3793">
        <v>0</v>
      </c>
      <c r="D3793">
        <v>0.56334337336418305</v>
      </c>
      <c r="E3793">
        <v>0.87626344221418795</v>
      </c>
      <c r="F3793">
        <v>5.06769044251363</v>
      </c>
    </row>
    <row r="3794" spans="1:6">
      <c r="A3794" t="s">
        <v>52439</v>
      </c>
      <c r="B3794" t="s">
        <v>52449</v>
      </c>
      <c r="C3794">
        <v>0</v>
      </c>
      <c r="D3794">
        <v>0.56334337336418305</v>
      </c>
      <c r="E3794">
        <v>0.87626344221418795</v>
      </c>
      <c r="F3794">
        <v>5.06769044251363</v>
      </c>
    </row>
    <row r="3795" spans="1:6">
      <c r="A3795" t="s">
        <v>52439</v>
      </c>
      <c r="B3795" t="s">
        <v>52450</v>
      </c>
      <c r="C3795">
        <v>0.265768016398791</v>
      </c>
      <c r="D3795">
        <v>0.56334337336418305</v>
      </c>
      <c r="E3795">
        <v>0.87626344221418795</v>
      </c>
      <c r="F3795">
        <v>5.06769044251363</v>
      </c>
    </row>
    <row r="3796" spans="1:6">
      <c r="A3796" t="s">
        <v>52451</v>
      </c>
      <c r="B3796" t="s">
        <v>52452</v>
      </c>
      <c r="C3796">
        <v>0</v>
      </c>
      <c r="D3796">
        <v>0.29731745421514999</v>
      </c>
      <c r="E3796">
        <v>0.93568457840941599</v>
      </c>
      <c r="F3796">
        <v>7.95312184279652</v>
      </c>
    </row>
    <row r="3797" spans="1:6">
      <c r="A3797" t="s">
        <v>52451</v>
      </c>
      <c r="B3797" t="s">
        <v>52453</v>
      </c>
      <c r="C3797">
        <v>0.45561136654522699</v>
      </c>
      <c r="D3797">
        <v>0.29731745421514999</v>
      </c>
      <c r="E3797">
        <v>0.93568457840941599</v>
      </c>
      <c r="F3797">
        <v>7.95312184279652</v>
      </c>
    </row>
    <row r="3798" spans="1:6">
      <c r="A3798" t="s">
        <v>52451</v>
      </c>
      <c r="B3798" t="s">
        <v>52454</v>
      </c>
      <c r="C3798">
        <v>0</v>
      </c>
      <c r="D3798">
        <v>0.29731745421514999</v>
      </c>
      <c r="E3798">
        <v>0.93568457840941599</v>
      </c>
      <c r="F3798">
        <v>7.95312184279652</v>
      </c>
    </row>
    <row r="3799" spans="1:6">
      <c r="A3799" t="s">
        <v>52451</v>
      </c>
      <c r="B3799" t="s">
        <v>52455</v>
      </c>
      <c r="C3799">
        <v>0.566940079777701</v>
      </c>
      <c r="D3799">
        <v>0.29731745421514999</v>
      </c>
      <c r="E3799">
        <v>0.93568457840941599</v>
      </c>
      <c r="F3799">
        <v>7.95312184279652</v>
      </c>
    </row>
    <row r="3800" spans="1:6">
      <c r="A3800" t="s">
        <v>52456</v>
      </c>
      <c r="B3800" t="s">
        <v>52457</v>
      </c>
      <c r="C3800">
        <v>0.72632741634024101</v>
      </c>
      <c r="D3800">
        <v>0.16033858861726599</v>
      </c>
      <c r="E3800">
        <v>0.93715621160362805</v>
      </c>
      <c r="F3800">
        <v>16.0662760153566</v>
      </c>
    </row>
    <row r="3801" spans="1:6">
      <c r="A3801" t="s">
        <v>52456</v>
      </c>
      <c r="B3801" t="s">
        <v>52458</v>
      </c>
      <c r="C3801">
        <v>3.0080919160807199E-2</v>
      </c>
      <c r="D3801">
        <v>0.16033858861726599</v>
      </c>
      <c r="E3801">
        <v>0.93715621160362805</v>
      </c>
      <c r="F3801">
        <v>16.0662760153566</v>
      </c>
    </row>
    <row r="3802" spans="1:6">
      <c r="A3802" t="s">
        <v>52459</v>
      </c>
      <c r="B3802" t="s">
        <v>52460</v>
      </c>
      <c r="C3802">
        <v>0</v>
      </c>
      <c r="D3802">
        <v>0.71887293550841402</v>
      </c>
      <c r="E3802">
        <v>0.95477803048600496</v>
      </c>
      <c r="F3802">
        <v>9.7183269347342893</v>
      </c>
    </row>
    <row r="3803" spans="1:6">
      <c r="A3803" t="s">
        <v>52459</v>
      </c>
      <c r="B3803" t="s">
        <v>52461</v>
      </c>
      <c r="C3803">
        <v>0.59066032418332504</v>
      </c>
      <c r="D3803">
        <v>0.71887293550841402</v>
      </c>
      <c r="E3803">
        <v>0.95477803048600496</v>
      </c>
      <c r="F3803">
        <v>9.7183269347342893</v>
      </c>
    </row>
    <row r="3804" spans="1:6">
      <c r="A3804" t="s">
        <v>52459</v>
      </c>
      <c r="B3804" t="s">
        <v>52462</v>
      </c>
      <c r="C3804">
        <v>0</v>
      </c>
      <c r="D3804">
        <v>0.71887293550841402</v>
      </c>
      <c r="E3804">
        <v>0.95477803048600496</v>
      </c>
      <c r="F3804">
        <v>9.7183269347342893</v>
      </c>
    </row>
    <row r="3805" spans="1:6">
      <c r="A3805" t="s">
        <v>52459</v>
      </c>
      <c r="B3805" t="s">
        <v>52463</v>
      </c>
      <c r="C3805">
        <v>0.20040730156509301</v>
      </c>
      <c r="D3805">
        <v>0.71887293550841402</v>
      </c>
      <c r="E3805">
        <v>0.95477803048600496</v>
      </c>
      <c r="F3805">
        <v>9.7183269347342893</v>
      </c>
    </row>
    <row r="3806" spans="1:6">
      <c r="A3806" t="s">
        <v>52459</v>
      </c>
      <c r="B3806" t="s">
        <v>52464</v>
      </c>
      <c r="C3806">
        <v>0</v>
      </c>
      <c r="D3806">
        <v>0.71887293550841402</v>
      </c>
      <c r="E3806">
        <v>0.95477803048600496</v>
      </c>
      <c r="F3806">
        <v>9.7183269347342893</v>
      </c>
    </row>
    <row r="3807" spans="1:6">
      <c r="A3807" t="s">
        <v>52465</v>
      </c>
      <c r="B3807" t="s">
        <v>52466</v>
      </c>
      <c r="C3807">
        <v>0</v>
      </c>
      <c r="D3807">
        <v>0.45392366127983302</v>
      </c>
      <c r="E3807">
        <v>0.72806873651954795</v>
      </c>
      <c r="F3807">
        <v>8.8163265306122405</v>
      </c>
    </row>
    <row r="3808" spans="1:6">
      <c r="A3808" t="s">
        <v>52465</v>
      </c>
      <c r="B3808" t="s">
        <v>52467</v>
      </c>
      <c r="C3808">
        <v>0.59179511894805004</v>
      </c>
      <c r="D3808">
        <v>0.45392366127983302</v>
      </c>
      <c r="E3808">
        <v>0.72806873651954795</v>
      </c>
      <c r="F3808">
        <v>8.8163265306122405</v>
      </c>
    </row>
    <row r="3809" spans="1:6">
      <c r="A3809" t="s">
        <v>52465</v>
      </c>
      <c r="B3809" t="s">
        <v>52468</v>
      </c>
      <c r="C3809">
        <v>0</v>
      </c>
      <c r="D3809">
        <v>0.45392366127983302</v>
      </c>
      <c r="E3809">
        <v>0.72806873651954795</v>
      </c>
      <c r="F3809">
        <v>8.8163265306122405</v>
      </c>
    </row>
    <row r="3810" spans="1:6">
      <c r="A3810" t="s">
        <v>52465</v>
      </c>
      <c r="B3810" t="s">
        <v>52469</v>
      </c>
      <c r="C3810">
        <v>0</v>
      </c>
      <c r="D3810">
        <v>0.45392366127983302</v>
      </c>
      <c r="E3810">
        <v>0.72806873651954795</v>
      </c>
      <c r="F3810">
        <v>8.8163265306122405</v>
      </c>
    </row>
    <row r="3811" spans="1:6">
      <c r="A3811" t="s">
        <v>52465</v>
      </c>
      <c r="B3811" t="s">
        <v>52470</v>
      </c>
      <c r="C3811">
        <v>7.3280141758636994E-2</v>
      </c>
      <c r="D3811">
        <v>0.45392366127983302</v>
      </c>
      <c r="E3811">
        <v>0.72806873651954795</v>
      </c>
      <c r="F3811">
        <v>8.8163265306122405</v>
      </c>
    </row>
    <row r="3812" spans="1:6">
      <c r="A3812" t="s">
        <v>52465</v>
      </c>
      <c r="B3812" t="s">
        <v>52471</v>
      </c>
      <c r="C3812">
        <v>0</v>
      </c>
      <c r="D3812">
        <v>0.45392366127983302</v>
      </c>
      <c r="E3812">
        <v>0.72806873651954795</v>
      </c>
      <c r="F3812">
        <v>8.8163265306122405</v>
      </c>
    </row>
    <row r="3813" spans="1:6">
      <c r="A3813" t="s">
        <v>52472</v>
      </c>
      <c r="B3813" t="s">
        <v>52473</v>
      </c>
      <c r="C3813">
        <v>0</v>
      </c>
      <c r="D3813">
        <v>0.56283647536922599</v>
      </c>
      <c r="E3813">
        <v>0.731581700816747</v>
      </c>
      <c r="F3813">
        <v>14.8975550616286</v>
      </c>
    </row>
    <row r="3814" spans="1:6">
      <c r="A3814" t="s">
        <v>52472</v>
      </c>
      <c r="B3814" t="s">
        <v>52474</v>
      </c>
      <c r="C3814">
        <v>0.69158170081674697</v>
      </c>
      <c r="D3814">
        <v>0.56283647536922599</v>
      </c>
      <c r="E3814">
        <v>0.731581700816747</v>
      </c>
      <c r="F3814">
        <v>14.8975550616286</v>
      </c>
    </row>
    <row r="3815" spans="1:6">
      <c r="A3815" t="s">
        <v>52475</v>
      </c>
      <c r="B3815" t="s">
        <v>52476</v>
      </c>
      <c r="C3815">
        <v>0.321718651149631</v>
      </c>
      <c r="D3815">
        <v>0.123310292797066</v>
      </c>
      <c r="E3815">
        <v>0.85055971670060504</v>
      </c>
      <c r="F3815">
        <v>9.8735097999595798</v>
      </c>
    </row>
    <row r="3816" spans="1:6">
      <c r="A3816" t="s">
        <v>52475</v>
      </c>
      <c r="B3816" t="s">
        <v>52477</v>
      </c>
      <c r="C3816">
        <v>0.55262352079844801</v>
      </c>
      <c r="D3816">
        <v>0.123310292797066</v>
      </c>
      <c r="E3816">
        <v>0.85055971670060504</v>
      </c>
      <c r="F3816">
        <v>9.8735097999595798</v>
      </c>
    </row>
    <row r="3817" spans="1:6">
      <c r="A3817" t="s">
        <v>52478</v>
      </c>
      <c r="B3817" t="s">
        <v>52479</v>
      </c>
      <c r="C3817">
        <v>0</v>
      </c>
      <c r="D3817">
        <v>0.13942692905361101</v>
      </c>
      <c r="E3817" t="s">
        <v>106</v>
      </c>
      <c r="F3817">
        <v>1.5906243685593</v>
      </c>
    </row>
    <row r="3818" spans="1:6">
      <c r="A3818" t="s">
        <v>52478</v>
      </c>
      <c r="B3818" t="s">
        <v>52480</v>
      </c>
      <c r="C3818">
        <v>0</v>
      </c>
      <c r="D3818">
        <v>0.13942692905361101</v>
      </c>
      <c r="E3818" t="s">
        <v>106</v>
      </c>
      <c r="F3818">
        <v>1.5906243685593</v>
      </c>
    </row>
    <row r="3819" spans="1:6">
      <c r="A3819" t="s">
        <v>52478</v>
      </c>
      <c r="B3819" t="s">
        <v>52481</v>
      </c>
      <c r="C3819">
        <v>0</v>
      </c>
      <c r="D3819">
        <v>0.13942692905361101</v>
      </c>
      <c r="E3819" t="s">
        <v>106</v>
      </c>
      <c r="F3819">
        <v>1.5906243685593</v>
      </c>
    </row>
    <row r="3820" spans="1:6">
      <c r="A3820" t="s">
        <v>52482</v>
      </c>
      <c r="B3820" t="s">
        <v>52483</v>
      </c>
      <c r="C3820">
        <v>0</v>
      </c>
      <c r="D3820">
        <v>0.13731633268895099</v>
      </c>
      <c r="E3820" t="s">
        <v>106</v>
      </c>
      <c r="F3820">
        <v>5.4071529601939696</v>
      </c>
    </row>
    <row r="3821" spans="1:6">
      <c r="A3821" t="s">
        <v>52482</v>
      </c>
      <c r="B3821" t="s">
        <v>52484</v>
      </c>
      <c r="C3821">
        <v>0</v>
      </c>
      <c r="D3821">
        <v>0.13731633268895099</v>
      </c>
      <c r="E3821" t="s">
        <v>106</v>
      </c>
      <c r="F3821">
        <v>5.4071529601939696</v>
      </c>
    </row>
    <row r="3822" spans="1:6">
      <c r="A3822" t="s">
        <v>52482</v>
      </c>
      <c r="B3822" t="s">
        <v>52485</v>
      </c>
      <c r="C3822">
        <v>0</v>
      </c>
      <c r="D3822">
        <v>0.13731633268895099</v>
      </c>
      <c r="E3822" t="s">
        <v>106</v>
      </c>
      <c r="F3822">
        <v>5.4071529601939696</v>
      </c>
    </row>
    <row r="3823" spans="1:6">
      <c r="A3823" t="s">
        <v>52486</v>
      </c>
      <c r="B3823" t="s">
        <v>52487</v>
      </c>
      <c r="C3823">
        <v>0</v>
      </c>
      <c r="D3823">
        <v>0.80160303134363498</v>
      </c>
      <c r="E3823">
        <v>0.83963625971807798</v>
      </c>
      <c r="F3823">
        <v>4.1123459284703898</v>
      </c>
    </row>
    <row r="3824" spans="1:6">
      <c r="A3824" t="s">
        <v>52486</v>
      </c>
      <c r="B3824" t="s">
        <v>52488</v>
      </c>
      <c r="C3824">
        <v>0.63163625971807802</v>
      </c>
      <c r="D3824">
        <v>0.80160303134363498</v>
      </c>
      <c r="E3824">
        <v>0.83963625971807798</v>
      </c>
      <c r="F3824">
        <v>4.1123459284703898</v>
      </c>
    </row>
    <row r="3825" spans="1:6">
      <c r="A3825" t="s">
        <v>52486</v>
      </c>
      <c r="B3825" t="s">
        <v>52489</v>
      </c>
      <c r="C3825">
        <v>0</v>
      </c>
      <c r="D3825">
        <v>0.80160303134363498</v>
      </c>
      <c r="E3825">
        <v>0.83963625971807798</v>
      </c>
      <c r="F3825">
        <v>4.1123459284703898</v>
      </c>
    </row>
    <row r="3826" spans="1:6">
      <c r="A3826" t="s">
        <v>52490</v>
      </c>
      <c r="B3826" t="s">
        <v>52491</v>
      </c>
      <c r="C3826">
        <v>0.74551113070210495</v>
      </c>
      <c r="D3826">
        <v>0.54406425629751298</v>
      </c>
      <c r="E3826">
        <v>0.92631113070210502</v>
      </c>
      <c r="F3826">
        <v>22.099009900990001</v>
      </c>
    </row>
    <row r="3827" spans="1:6">
      <c r="A3827" t="s">
        <v>52490</v>
      </c>
      <c r="B3827" t="s">
        <v>52492</v>
      </c>
      <c r="C3827">
        <v>0</v>
      </c>
      <c r="D3827">
        <v>0.54406425629751298</v>
      </c>
      <c r="E3827">
        <v>0.92631113070210502</v>
      </c>
      <c r="F3827">
        <v>22.099009900990001</v>
      </c>
    </row>
    <row r="3828" spans="1:6">
      <c r="A3828" t="s">
        <v>52490</v>
      </c>
      <c r="B3828" t="s">
        <v>52493</v>
      </c>
      <c r="C3828">
        <v>0</v>
      </c>
      <c r="D3828">
        <v>0.54406425629751298</v>
      </c>
      <c r="E3828">
        <v>0.92631113070210502</v>
      </c>
      <c r="F3828">
        <v>22.099009900990001</v>
      </c>
    </row>
    <row r="3829" spans="1:6">
      <c r="A3829" t="s">
        <v>52490</v>
      </c>
      <c r="B3829" t="s">
        <v>52494</v>
      </c>
      <c r="C3829">
        <v>0</v>
      </c>
      <c r="D3829">
        <v>0.54406425629751298</v>
      </c>
      <c r="E3829">
        <v>0.92631113070210502</v>
      </c>
      <c r="F3829">
        <v>22.099009900990001</v>
      </c>
    </row>
    <row r="3830" spans="1:6">
      <c r="A3830" t="s">
        <v>52495</v>
      </c>
      <c r="B3830" t="s">
        <v>52496</v>
      </c>
      <c r="C3830">
        <v>0</v>
      </c>
      <c r="D3830">
        <v>8.3730547297859295E-2</v>
      </c>
      <c r="E3830">
        <v>0.93526600283736305</v>
      </c>
      <c r="F3830">
        <v>20.9545362699535</v>
      </c>
    </row>
    <row r="3831" spans="1:6">
      <c r="A3831" t="s">
        <v>52495</v>
      </c>
      <c r="B3831" t="s">
        <v>52497</v>
      </c>
      <c r="C3831">
        <v>0.41910953213494501</v>
      </c>
      <c r="D3831">
        <v>8.3730547297859295E-2</v>
      </c>
      <c r="E3831">
        <v>0.93526600283736305</v>
      </c>
      <c r="F3831">
        <v>20.9545362699535</v>
      </c>
    </row>
    <row r="3832" spans="1:6">
      <c r="A3832" t="s">
        <v>52495</v>
      </c>
      <c r="B3832" t="s">
        <v>52498</v>
      </c>
      <c r="C3832">
        <v>0</v>
      </c>
      <c r="D3832">
        <v>8.3730547297859295E-2</v>
      </c>
      <c r="E3832">
        <v>0.93526600283736305</v>
      </c>
      <c r="F3832">
        <v>20.9545362699535</v>
      </c>
    </row>
    <row r="3833" spans="1:6">
      <c r="A3833" t="s">
        <v>52495</v>
      </c>
      <c r="B3833" t="s">
        <v>52499</v>
      </c>
      <c r="C3833">
        <v>0</v>
      </c>
      <c r="D3833">
        <v>8.3730547297859295E-2</v>
      </c>
      <c r="E3833">
        <v>0.93526600283736305</v>
      </c>
      <c r="F3833">
        <v>20.9545362699535</v>
      </c>
    </row>
    <row r="3834" spans="1:6">
      <c r="A3834" t="s">
        <v>52495</v>
      </c>
      <c r="B3834" t="s">
        <v>52500</v>
      </c>
      <c r="C3834">
        <v>0</v>
      </c>
      <c r="D3834">
        <v>8.3730547297859295E-2</v>
      </c>
      <c r="E3834">
        <v>0.93526600283736305</v>
      </c>
      <c r="F3834">
        <v>20.9545362699535</v>
      </c>
    </row>
    <row r="3835" spans="1:6">
      <c r="A3835" t="s">
        <v>52495</v>
      </c>
      <c r="B3835" t="s">
        <v>52501</v>
      </c>
      <c r="C3835">
        <v>0</v>
      </c>
      <c r="D3835">
        <v>8.3730547297859295E-2</v>
      </c>
      <c r="E3835">
        <v>0.93526600283736305</v>
      </c>
      <c r="F3835">
        <v>20.9545362699535</v>
      </c>
    </row>
    <row r="3836" spans="1:6">
      <c r="A3836" t="s">
        <v>52495</v>
      </c>
      <c r="B3836" t="s">
        <v>52502</v>
      </c>
      <c r="C3836">
        <v>0</v>
      </c>
      <c r="D3836">
        <v>8.3730547297859295E-2</v>
      </c>
      <c r="E3836">
        <v>0.93526600283736305</v>
      </c>
      <c r="F3836">
        <v>20.9545362699535</v>
      </c>
    </row>
    <row r="3837" spans="1:6">
      <c r="A3837" t="s">
        <v>52495</v>
      </c>
      <c r="B3837" t="s">
        <v>52503</v>
      </c>
      <c r="C3837">
        <v>0</v>
      </c>
      <c r="D3837">
        <v>8.3730547297859295E-2</v>
      </c>
      <c r="E3837">
        <v>0.93526600283736305</v>
      </c>
      <c r="F3837">
        <v>20.9545362699535</v>
      </c>
    </row>
    <row r="3838" spans="1:6">
      <c r="A3838" t="s">
        <v>52495</v>
      </c>
      <c r="B3838" t="s">
        <v>52504</v>
      </c>
      <c r="C3838">
        <v>0.11391127086128</v>
      </c>
      <c r="D3838">
        <v>8.3730547297859295E-2</v>
      </c>
      <c r="E3838">
        <v>0.93526600283736305</v>
      </c>
      <c r="F3838">
        <v>20.9545362699535</v>
      </c>
    </row>
    <row r="3839" spans="1:6">
      <c r="A3839" t="s">
        <v>52505</v>
      </c>
      <c r="B3839" t="s">
        <v>52506</v>
      </c>
      <c r="C3839">
        <v>0</v>
      </c>
      <c r="D3839">
        <v>0.12976145536891401</v>
      </c>
      <c r="E3839">
        <v>0.88125143327679201</v>
      </c>
      <c r="F3839">
        <v>3.7243887654071499</v>
      </c>
    </row>
    <row r="3840" spans="1:6">
      <c r="A3840" t="s">
        <v>52505</v>
      </c>
      <c r="B3840" t="s">
        <v>52507</v>
      </c>
      <c r="C3840">
        <v>0</v>
      </c>
      <c r="D3840">
        <v>0.12976145536891401</v>
      </c>
      <c r="E3840">
        <v>0.88125143327679201</v>
      </c>
      <c r="F3840">
        <v>3.7243887654071499</v>
      </c>
    </row>
    <row r="3841" spans="1:6">
      <c r="A3841" t="s">
        <v>52505</v>
      </c>
      <c r="B3841" t="s">
        <v>52508</v>
      </c>
      <c r="C3841">
        <v>0</v>
      </c>
      <c r="D3841">
        <v>0.12976145536891401</v>
      </c>
      <c r="E3841">
        <v>0.88125143327679201</v>
      </c>
      <c r="F3841">
        <v>3.7243887654071499</v>
      </c>
    </row>
    <row r="3842" spans="1:6">
      <c r="A3842" t="s">
        <v>52505</v>
      </c>
      <c r="B3842" t="s">
        <v>52509</v>
      </c>
      <c r="C3842">
        <v>0</v>
      </c>
      <c r="D3842">
        <v>0.12976145536891401</v>
      </c>
      <c r="E3842">
        <v>0.88125143327679201</v>
      </c>
      <c r="F3842">
        <v>3.7243887654071499</v>
      </c>
    </row>
    <row r="3843" spans="1:6">
      <c r="A3843" t="s">
        <v>52505</v>
      </c>
      <c r="B3843" t="s">
        <v>52510</v>
      </c>
      <c r="C3843">
        <v>0.49252630290138499</v>
      </c>
      <c r="D3843">
        <v>0.12976145536891401</v>
      </c>
      <c r="E3843">
        <v>0.88125143327679201</v>
      </c>
      <c r="F3843">
        <v>3.7243887654071499</v>
      </c>
    </row>
    <row r="3844" spans="1:6">
      <c r="A3844" t="s">
        <v>52505</v>
      </c>
      <c r="B3844" t="s">
        <v>52511</v>
      </c>
      <c r="C3844">
        <v>0</v>
      </c>
      <c r="D3844">
        <v>0.12976145536891401</v>
      </c>
      <c r="E3844">
        <v>0.88125143327679201</v>
      </c>
      <c r="F3844">
        <v>3.7243887654071499</v>
      </c>
    </row>
    <row r="3845" spans="1:6">
      <c r="A3845" t="s">
        <v>52505</v>
      </c>
      <c r="B3845" t="s">
        <v>52512</v>
      </c>
      <c r="C3845">
        <v>9.5814898466999698E-2</v>
      </c>
      <c r="D3845">
        <v>0.12976145536891401</v>
      </c>
      <c r="E3845">
        <v>0.88125143327679201</v>
      </c>
      <c r="F3845">
        <v>3.7243887654071499</v>
      </c>
    </row>
    <row r="3846" spans="1:6">
      <c r="A3846" t="s">
        <v>52513</v>
      </c>
      <c r="B3846" t="s">
        <v>52514</v>
      </c>
      <c r="C3846">
        <v>0</v>
      </c>
      <c r="D3846">
        <v>0.62401800685128395</v>
      </c>
      <c r="E3846">
        <v>0.97571996493546498</v>
      </c>
      <c r="F3846">
        <v>7.4051323499696897</v>
      </c>
    </row>
    <row r="3847" spans="1:6">
      <c r="A3847" t="s">
        <v>52513</v>
      </c>
      <c r="B3847" t="s">
        <v>52515</v>
      </c>
      <c r="C3847">
        <v>0.86662717916583998</v>
      </c>
      <c r="D3847">
        <v>0.62401800685128395</v>
      </c>
      <c r="E3847">
        <v>0.97571996493546498</v>
      </c>
      <c r="F3847">
        <v>7.4051323499696897</v>
      </c>
    </row>
    <row r="3848" spans="1:6">
      <c r="A3848" t="s">
        <v>52513</v>
      </c>
      <c r="B3848" t="s">
        <v>52516</v>
      </c>
      <c r="C3848">
        <v>0</v>
      </c>
      <c r="D3848">
        <v>0.62401800685128395</v>
      </c>
      <c r="E3848">
        <v>0.97571996493546498</v>
      </c>
      <c r="F3848">
        <v>7.4051323499696897</v>
      </c>
    </row>
    <row r="3849" spans="1:6">
      <c r="A3849" t="s">
        <v>52513</v>
      </c>
      <c r="B3849" t="s">
        <v>52517</v>
      </c>
      <c r="C3849">
        <v>1.2062090893566701E-2</v>
      </c>
      <c r="D3849">
        <v>0.62401800685128395</v>
      </c>
      <c r="E3849">
        <v>0.97571996493546498</v>
      </c>
      <c r="F3849">
        <v>7.4051323499696897</v>
      </c>
    </row>
    <row r="3850" spans="1:6">
      <c r="A3850" t="s">
        <v>52518</v>
      </c>
      <c r="B3850" t="s">
        <v>52519</v>
      </c>
      <c r="C3850">
        <v>0</v>
      </c>
      <c r="D3850">
        <v>0.63344346058396805</v>
      </c>
      <c r="E3850">
        <v>0.927920507375112</v>
      </c>
      <c r="F3850">
        <v>8.8163265306122405</v>
      </c>
    </row>
    <row r="3851" spans="1:6">
      <c r="A3851" t="s">
        <v>52518</v>
      </c>
      <c r="B3851" t="s">
        <v>52520</v>
      </c>
      <c r="C3851">
        <v>0</v>
      </c>
      <c r="D3851">
        <v>0.63344346058396805</v>
      </c>
      <c r="E3851">
        <v>0.927920507375112</v>
      </c>
      <c r="F3851">
        <v>8.8163265306122405</v>
      </c>
    </row>
    <row r="3852" spans="1:6">
      <c r="A3852" t="s">
        <v>52518</v>
      </c>
      <c r="B3852" t="s">
        <v>52521</v>
      </c>
      <c r="C3852">
        <v>0.59512050737511202</v>
      </c>
      <c r="D3852">
        <v>0.63344346058396805</v>
      </c>
      <c r="E3852">
        <v>0.927920507375112</v>
      </c>
      <c r="F3852">
        <v>8.8163265306122405</v>
      </c>
    </row>
    <row r="3853" spans="1:6">
      <c r="A3853" t="s">
        <v>52522</v>
      </c>
      <c r="B3853" t="s">
        <v>52523</v>
      </c>
      <c r="C3853">
        <v>0</v>
      </c>
      <c r="D3853">
        <v>0.42246690330159498</v>
      </c>
      <c r="E3853">
        <v>0.90012920912073202</v>
      </c>
      <c r="F3853">
        <v>4.0153566377045804</v>
      </c>
    </row>
    <row r="3854" spans="1:6">
      <c r="A3854" t="s">
        <v>52522</v>
      </c>
      <c r="B3854" t="s">
        <v>52524</v>
      </c>
      <c r="C3854">
        <v>0.32984359635715799</v>
      </c>
      <c r="D3854">
        <v>0.42246690330159498</v>
      </c>
      <c r="E3854">
        <v>0.90012920912073202</v>
      </c>
      <c r="F3854">
        <v>4.0153566377045804</v>
      </c>
    </row>
    <row r="3855" spans="1:6">
      <c r="A3855" t="s">
        <v>52522</v>
      </c>
      <c r="B3855" t="s">
        <v>52525</v>
      </c>
      <c r="C3855">
        <v>0.80906597008833103</v>
      </c>
      <c r="D3855">
        <v>0.42246690330159498</v>
      </c>
      <c r="E3855">
        <v>0.90012920912073202</v>
      </c>
      <c r="F3855">
        <v>4.0153566377045804</v>
      </c>
    </row>
    <row r="3856" spans="1:6">
      <c r="A3856" t="s">
        <v>52526</v>
      </c>
      <c r="B3856" t="s">
        <v>52527</v>
      </c>
      <c r="C3856">
        <v>0</v>
      </c>
      <c r="D3856">
        <v>0.32127444058384202</v>
      </c>
      <c r="E3856">
        <v>0.89929872385379395</v>
      </c>
      <c r="F3856">
        <v>8.0937563144069493</v>
      </c>
    </row>
    <row r="3857" spans="1:6">
      <c r="A3857" t="s">
        <v>52526</v>
      </c>
      <c r="B3857" t="s">
        <v>52528</v>
      </c>
      <c r="C3857">
        <v>0</v>
      </c>
      <c r="D3857">
        <v>0.32127444058384202</v>
      </c>
      <c r="E3857">
        <v>0.89929872385379395</v>
      </c>
      <c r="F3857">
        <v>8.0937563144069493</v>
      </c>
    </row>
    <row r="3858" spans="1:6">
      <c r="A3858" t="s">
        <v>52526</v>
      </c>
      <c r="B3858" t="s">
        <v>52529</v>
      </c>
      <c r="C3858">
        <v>0.151939758542216</v>
      </c>
      <c r="D3858">
        <v>0.32127444058384202</v>
      </c>
      <c r="E3858">
        <v>0.89929872385379395</v>
      </c>
      <c r="F3858">
        <v>8.0937563144069493</v>
      </c>
    </row>
    <row r="3859" spans="1:6">
      <c r="A3859" t="s">
        <v>52526</v>
      </c>
      <c r="B3859" t="s">
        <v>52530</v>
      </c>
      <c r="C3859">
        <v>0</v>
      </c>
      <c r="D3859">
        <v>0.32127444058384202</v>
      </c>
      <c r="E3859">
        <v>0.89929872385379395</v>
      </c>
      <c r="F3859">
        <v>8.0937563144069493</v>
      </c>
    </row>
    <row r="3860" spans="1:6">
      <c r="A3860" t="s">
        <v>52526</v>
      </c>
      <c r="B3860" t="s">
        <v>52531</v>
      </c>
      <c r="C3860">
        <v>0.34147641629155401</v>
      </c>
      <c r="D3860">
        <v>0.32127444058384202</v>
      </c>
      <c r="E3860">
        <v>0.89929872385379395</v>
      </c>
      <c r="F3860">
        <v>8.0937563144069493</v>
      </c>
    </row>
    <row r="3861" spans="1:6">
      <c r="A3861" t="s">
        <v>52526</v>
      </c>
      <c r="B3861" t="s">
        <v>52532</v>
      </c>
      <c r="C3861">
        <v>0</v>
      </c>
      <c r="D3861">
        <v>0.32127444058384202</v>
      </c>
      <c r="E3861">
        <v>0.89929872385379395</v>
      </c>
      <c r="F3861">
        <v>8.0937563144069493</v>
      </c>
    </row>
    <row r="3862" spans="1:6">
      <c r="A3862" t="s">
        <v>52526</v>
      </c>
      <c r="B3862" t="s">
        <v>52533</v>
      </c>
      <c r="C3862">
        <v>0</v>
      </c>
      <c r="D3862">
        <v>0.32127444058384202</v>
      </c>
      <c r="E3862">
        <v>0.89929872385379395</v>
      </c>
      <c r="F3862">
        <v>8.0937563144069493</v>
      </c>
    </row>
    <row r="3863" spans="1:6">
      <c r="A3863" t="s">
        <v>52534</v>
      </c>
      <c r="B3863" t="s">
        <v>52535</v>
      </c>
      <c r="C3863">
        <v>0</v>
      </c>
      <c r="D3863">
        <v>5.2476779588632498E-2</v>
      </c>
      <c r="E3863">
        <v>0.93970201310087598</v>
      </c>
      <c r="F3863">
        <v>12.3418872499494</v>
      </c>
    </row>
    <row r="3864" spans="1:6">
      <c r="A3864" t="s">
        <v>52534</v>
      </c>
      <c r="B3864" t="s">
        <v>52536</v>
      </c>
      <c r="C3864">
        <v>0</v>
      </c>
      <c r="D3864">
        <v>5.2476779588632498E-2</v>
      </c>
      <c r="E3864">
        <v>0.93970201310087598</v>
      </c>
      <c r="F3864">
        <v>12.3418872499494</v>
      </c>
    </row>
    <row r="3865" spans="1:6">
      <c r="A3865" t="s">
        <v>52534</v>
      </c>
      <c r="B3865" t="s">
        <v>52537</v>
      </c>
      <c r="C3865">
        <v>0</v>
      </c>
      <c r="D3865">
        <v>5.2476779588632498E-2</v>
      </c>
      <c r="E3865">
        <v>0.93970201310087598</v>
      </c>
      <c r="F3865">
        <v>12.3418872499494</v>
      </c>
    </row>
    <row r="3866" spans="1:6">
      <c r="A3866" t="s">
        <v>52534</v>
      </c>
      <c r="B3866" t="s">
        <v>52538</v>
      </c>
      <c r="C3866">
        <v>0.305821452280366</v>
      </c>
      <c r="D3866">
        <v>5.2476779588632498E-2</v>
      </c>
      <c r="E3866">
        <v>0.93970201310087598</v>
      </c>
      <c r="F3866">
        <v>12.3418872499494</v>
      </c>
    </row>
    <row r="3867" spans="1:6">
      <c r="A3867" t="s">
        <v>52534</v>
      </c>
      <c r="B3867" t="s">
        <v>52539</v>
      </c>
      <c r="C3867">
        <v>0.54879634934784105</v>
      </c>
      <c r="D3867">
        <v>5.2476779588632498E-2</v>
      </c>
      <c r="E3867">
        <v>0.93970201310087598</v>
      </c>
      <c r="F3867">
        <v>12.3418872499494</v>
      </c>
    </row>
    <row r="3868" spans="1:6">
      <c r="A3868" t="s">
        <v>52534</v>
      </c>
      <c r="B3868" t="s">
        <v>52540</v>
      </c>
      <c r="C3868">
        <v>0</v>
      </c>
      <c r="D3868">
        <v>5.2476779588632498E-2</v>
      </c>
      <c r="E3868">
        <v>0.93970201310087598</v>
      </c>
      <c r="F3868">
        <v>12.3418872499494</v>
      </c>
    </row>
    <row r="3869" spans="1:6">
      <c r="A3869" t="s">
        <v>52534</v>
      </c>
      <c r="B3869" t="s">
        <v>52541</v>
      </c>
      <c r="C3869">
        <v>0</v>
      </c>
      <c r="D3869">
        <v>5.2476779588632498E-2</v>
      </c>
      <c r="E3869">
        <v>0.93970201310087598</v>
      </c>
      <c r="F3869">
        <v>12.3418872499494</v>
      </c>
    </row>
    <row r="3870" spans="1:6">
      <c r="A3870" t="s">
        <v>52542</v>
      </c>
      <c r="B3870" t="s">
        <v>52543</v>
      </c>
      <c r="C3870">
        <v>0</v>
      </c>
      <c r="D3870">
        <v>0.38973436762150498</v>
      </c>
      <c r="E3870">
        <v>0.92185475369837999</v>
      </c>
      <c r="F3870">
        <v>9.8735097999595798</v>
      </c>
    </row>
    <row r="3871" spans="1:6">
      <c r="A3871" t="s">
        <v>52542</v>
      </c>
      <c r="B3871" t="s">
        <v>52544</v>
      </c>
      <c r="C3871">
        <v>0.49712868078199202</v>
      </c>
      <c r="D3871">
        <v>0.38973436762150498</v>
      </c>
      <c r="E3871">
        <v>0.92185475369837999</v>
      </c>
      <c r="F3871">
        <v>9.8735097999595798</v>
      </c>
    </row>
    <row r="3872" spans="1:6">
      <c r="A3872" t="s">
        <v>52542</v>
      </c>
      <c r="B3872" t="s">
        <v>52545</v>
      </c>
      <c r="C3872">
        <v>0</v>
      </c>
      <c r="D3872">
        <v>0.38973436762150498</v>
      </c>
      <c r="E3872">
        <v>0.92185475369837999</v>
      </c>
      <c r="F3872">
        <v>9.8735097999595798</v>
      </c>
    </row>
    <row r="3873" spans="1:6">
      <c r="A3873" t="s">
        <v>52542</v>
      </c>
      <c r="B3873" t="s">
        <v>52546</v>
      </c>
      <c r="C3873">
        <v>0</v>
      </c>
      <c r="D3873">
        <v>0.38973436762150498</v>
      </c>
      <c r="E3873">
        <v>0.92185475369837999</v>
      </c>
      <c r="F3873">
        <v>9.8735097999595798</v>
      </c>
    </row>
    <row r="3874" spans="1:6">
      <c r="A3874" t="s">
        <v>52542</v>
      </c>
      <c r="B3874" t="s">
        <v>52547</v>
      </c>
      <c r="C3874">
        <v>0</v>
      </c>
      <c r="D3874">
        <v>0.38973436762150498</v>
      </c>
      <c r="E3874">
        <v>0.92185475369837999</v>
      </c>
      <c r="F3874">
        <v>9.8735097999595798</v>
      </c>
    </row>
    <row r="3875" spans="1:6">
      <c r="A3875" t="s">
        <v>52542</v>
      </c>
      <c r="B3875" t="s">
        <v>52548</v>
      </c>
      <c r="C3875">
        <v>7.5621378832161898E-2</v>
      </c>
      <c r="D3875">
        <v>0.38973436762150498</v>
      </c>
      <c r="E3875">
        <v>0.92185475369837999</v>
      </c>
      <c r="F3875">
        <v>9.8735097999595798</v>
      </c>
    </row>
    <row r="3876" spans="1:6">
      <c r="A3876" t="s">
        <v>52542</v>
      </c>
      <c r="B3876" t="s">
        <v>52549</v>
      </c>
      <c r="C3876">
        <v>0</v>
      </c>
      <c r="D3876">
        <v>0.38973436762150498</v>
      </c>
      <c r="E3876">
        <v>0.92185475369837999</v>
      </c>
      <c r="F3876">
        <v>9.8735097999595798</v>
      </c>
    </row>
    <row r="3877" spans="1:6">
      <c r="A3877" t="s">
        <v>52542</v>
      </c>
      <c r="B3877" t="s">
        <v>52550</v>
      </c>
      <c r="C3877">
        <v>0</v>
      </c>
      <c r="D3877">
        <v>0.38973436762150498</v>
      </c>
      <c r="E3877">
        <v>0.92185475369837999</v>
      </c>
      <c r="F3877">
        <v>9.8735097999595798</v>
      </c>
    </row>
    <row r="3878" spans="1:6">
      <c r="A3878" t="s">
        <v>52542</v>
      </c>
      <c r="B3878" t="s">
        <v>52551</v>
      </c>
      <c r="C3878">
        <v>0</v>
      </c>
      <c r="D3878">
        <v>0.38973436762150498</v>
      </c>
      <c r="E3878">
        <v>0.92185475369837999</v>
      </c>
      <c r="F3878">
        <v>9.8735097999595798</v>
      </c>
    </row>
    <row r="3879" spans="1:6">
      <c r="A3879" t="s">
        <v>52552</v>
      </c>
      <c r="B3879" t="s">
        <v>52553</v>
      </c>
      <c r="C3879">
        <v>0.85849957158523305</v>
      </c>
      <c r="D3879">
        <v>0.45744093212069997</v>
      </c>
      <c r="E3879">
        <v>0.97162383783616801</v>
      </c>
      <c r="F3879">
        <v>5.9987876338654198</v>
      </c>
    </row>
    <row r="3880" spans="1:6">
      <c r="A3880" t="s">
        <v>52552</v>
      </c>
      <c r="B3880" t="s">
        <v>52554</v>
      </c>
      <c r="C3880">
        <v>4.52728720861258E-2</v>
      </c>
      <c r="D3880">
        <v>0.45744093212069997</v>
      </c>
      <c r="E3880">
        <v>0.97162383783616801</v>
      </c>
      <c r="F3880">
        <v>5.9987876338654198</v>
      </c>
    </row>
    <row r="3881" spans="1:6">
      <c r="A3881" t="s">
        <v>52552</v>
      </c>
      <c r="B3881" t="s">
        <v>52555</v>
      </c>
      <c r="C3881">
        <v>0</v>
      </c>
      <c r="D3881">
        <v>0.45744093212069997</v>
      </c>
      <c r="E3881">
        <v>0.97162383783616801</v>
      </c>
      <c r="F3881">
        <v>5.9987876338654198</v>
      </c>
    </row>
    <row r="3882" spans="1:6">
      <c r="A3882" t="s">
        <v>52552</v>
      </c>
      <c r="B3882" t="s">
        <v>52556</v>
      </c>
      <c r="C3882">
        <v>0</v>
      </c>
      <c r="D3882">
        <v>0.45744093212069997</v>
      </c>
      <c r="E3882">
        <v>0.97162383783616801</v>
      </c>
      <c r="F3882">
        <v>5.9987876338654198</v>
      </c>
    </row>
    <row r="3883" spans="1:6">
      <c r="A3883" t="s">
        <v>52552</v>
      </c>
      <c r="B3883" t="s">
        <v>52557</v>
      </c>
      <c r="C3883">
        <v>0</v>
      </c>
      <c r="D3883">
        <v>0.45744093212069997</v>
      </c>
      <c r="E3883">
        <v>0.97162383783616801</v>
      </c>
      <c r="F3883">
        <v>5.9987876338654198</v>
      </c>
    </row>
    <row r="3884" spans="1:6">
      <c r="A3884" t="s">
        <v>52552</v>
      </c>
      <c r="B3884" t="s">
        <v>52558</v>
      </c>
      <c r="C3884">
        <v>0</v>
      </c>
      <c r="D3884">
        <v>0.45744093212069997</v>
      </c>
      <c r="E3884">
        <v>0.97162383783616801</v>
      </c>
      <c r="F3884">
        <v>5.9987876338654198</v>
      </c>
    </row>
    <row r="3885" spans="1:6">
      <c r="A3885" t="s">
        <v>52552</v>
      </c>
      <c r="B3885" t="s">
        <v>52559</v>
      </c>
      <c r="C3885">
        <v>0</v>
      </c>
      <c r="D3885">
        <v>0.45744093212069997</v>
      </c>
      <c r="E3885">
        <v>0.97162383783616801</v>
      </c>
      <c r="F3885">
        <v>5.9987876338654198</v>
      </c>
    </row>
    <row r="3886" spans="1:6">
      <c r="A3886" t="s">
        <v>52560</v>
      </c>
      <c r="B3886" t="s">
        <v>52561</v>
      </c>
      <c r="C3886">
        <v>0.84138957075806597</v>
      </c>
      <c r="D3886">
        <v>0.27127239363111599</v>
      </c>
      <c r="E3886">
        <v>0.98235230001023199</v>
      </c>
      <c r="F3886">
        <v>24</v>
      </c>
    </row>
    <row r="3887" spans="1:6">
      <c r="A3887" t="s">
        <v>52560</v>
      </c>
      <c r="B3887" t="s">
        <v>52562</v>
      </c>
      <c r="C3887">
        <v>0</v>
      </c>
      <c r="D3887">
        <v>0.27127239363111599</v>
      </c>
      <c r="E3887">
        <v>0.98235230001023199</v>
      </c>
      <c r="F3887">
        <v>24</v>
      </c>
    </row>
    <row r="3888" spans="1:6">
      <c r="A3888" t="s">
        <v>52560</v>
      </c>
      <c r="B3888" t="s">
        <v>52563</v>
      </c>
      <c r="C3888">
        <v>0</v>
      </c>
      <c r="D3888">
        <v>0.27127239363111599</v>
      </c>
      <c r="E3888">
        <v>0.98235230001023199</v>
      </c>
      <c r="F3888">
        <v>24</v>
      </c>
    </row>
    <row r="3889" spans="1:6">
      <c r="A3889" t="s">
        <v>52560</v>
      </c>
      <c r="B3889" t="s">
        <v>52564</v>
      </c>
      <c r="C3889">
        <v>0</v>
      </c>
      <c r="D3889">
        <v>0.27127239363111599</v>
      </c>
      <c r="E3889">
        <v>0.98235230001023199</v>
      </c>
      <c r="F3889">
        <v>24</v>
      </c>
    </row>
    <row r="3890" spans="1:6">
      <c r="A3890" t="s">
        <v>52560</v>
      </c>
      <c r="B3890" t="s">
        <v>52565</v>
      </c>
      <c r="C3890">
        <v>8.7816464642841999E-2</v>
      </c>
      <c r="D3890">
        <v>0.27127239363111599</v>
      </c>
      <c r="E3890">
        <v>0.98235230001023199</v>
      </c>
      <c r="F3890">
        <v>24</v>
      </c>
    </row>
    <row r="3891" spans="1:6">
      <c r="A3891" t="s">
        <v>52560</v>
      </c>
      <c r="B3891" t="s">
        <v>52566</v>
      </c>
      <c r="C3891">
        <v>0</v>
      </c>
      <c r="D3891">
        <v>0.27127239363111599</v>
      </c>
      <c r="E3891">
        <v>0.98235230001023199</v>
      </c>
      <c r="F3891">
        <v>24</v>
      </c>
    </row>
    <row r="3892" spans="1:6">
      <c r="A3892" t="s">
        <v>52567</v>
      </c>
      <c r="B3892" t="s">
        <v>52568</v>
      </c>
      <c r="C3892">
        <v>0</v>
      </c>
      <c r="D3892">
        <v>0.22952718004738501</v>
      </c>
      <c r="E3892">
        <v>0.94261550473117395</v>
      </c>
      <c r="F3892">
        <v>8.9618104667609604</v>
      </c>
    </row>
    <row r="3893" spans="1:6">
      <c r="A3893" t="s">
        <v>52567</v>
      </c>
      <c r="B3893" t="s">
        <v>52569</v>
      </c>
      <c r="C3893">
        <v>0</v>
      </c>
      <c r="D3893">
        <v>0.22952718004738501</v>
      </c>
      <c r="E3893">
        <v>0.94261550473117395</v>
      </c>
      <c r="F3893">
        <v>8.9618104667609604</v>
      </c>
    </row>
    <row r="3894" spans="1:6">
      <c r="A3894" t="s">
        <v>52567</v>
      </c>
      <c r="B3894" t="s">
        <v>52570</v>
      </c>
      <c r="C3894">
        <v>0</v>
      </c>
      <c r="D3894">
        <v>0.22952718004738501</v>
      </c>
      <c r="E3894">
        <v>0.94261550473117395</v>
      </c>
      <c r="F3894">
        <v>8.9618104667609604</v>
      </c>
    </row>
    <row r="3895" spans="1:6">
      <c r="A3895" t="s">
        <v>52567</v>
      </c>
      <c r="B3895" t="s">
        <v>52571</v>
      </c>
      <c r="C3895">
        <v>0</v>
      </c>
      <c r="D3895">
        <v>0.22952718004738501</v>
      </c>
      <c r="E3895">
        <v>0.94261550473117395</v>
      </c>
      <c r="F3895">
        <v>8.9618104667609604</v>
      </c>
    </row>
    <row r="3896" spans="1:6">
      <c r="A3896" t="s">
        <v>52567</v>
      </c>
      <c r="B3896" t="s">
        <v>52572</v>
      </c>
      <c r="C3896">
        <v>0.70901550473117403</v>
      </c>
      <c r="D3896">
        <v>0.22952718004738501</v>
      </c>
      <c r="E3896">
        <v>0.94261550473117395</v>
      </c>
      <c r="F3896">
        <v>8.9618104667609604</v>
      </c>
    </row>
    <row r="3897" spans="1:6">
      <c r="A3897" t="s">
        <v>52567</v>
      </c>
      <c r="B3897" t="s">
        <v>52573</v>
      </c>
      <c r="C3897">
        <v>0</v>
      </c>
      <c r="D3897">
        <v>0.22952718004738501</v>
      </c>
      <c r="E3897">
        <v>0.94261550473117395</v>
      </c>
      <c r="F3897">
        <v>8.9618104667609604</v>
      </c>
    </row>
    <row r="3898" spans="1:6">
      <c r="A3898" t="s">
        <v>52574</v>
      </c>
      <c r="B3898" t="s">
        <v>52575</v>
      </c>
      <c r="C3898">
        <v>0</v>
      </c>
      <c r="D3898">
        <v>0.118110601056713</v>
      </c>
      <c r="E3898">
        <v>0.90075921843915396</v>
      </c>
      <c r="F3898">
        <v>0.70317235805213096</v>
      </c>
    </row>
    <row r="3899" spans="1:6">
      <c r="A3899" t="s">
        <v>52574</v>
      </c>
      <c r="B3899" t="s">
        <v>52576</v>
      </c>
      <c r="C3899">
        <v>0</v>
      </c>
      <c r="D3899">
        <v>0.118110601056713</v>
      </c>
      <c r="E3899">
        <v>0.90075921843915396</v>
      </c>
      <c r="F3899">
        <v>0.70317235805213096</v>
      </c>
    </row>
    <row r="3900" spans="1:6">
      <c r="A3900" t="s">
        <v>52574</v>
      </c>
      <c r="B3900" t="s">
        <v>52577</v>
      </c>
      <c r="C3900">
        <v>0.65110673458116197</v>
      </c>
      <c r="D3900">
        <v>0.118110601056713</v>
      </c>
      <c r="E3900">
        <v>0.90075921843915396</v>
      </c>
      <c r="F3900">
        <v>0.70317235805213096</v>
      </c>
    </row>
    <row r="3901" spans="1:6">
      <c r="A3901" t="s">
        <v>52574</v>
      </c>
      <c r="B3901" t="s">
        <v>52578</v>
      </c>
      <c r="C3901">
        <v>3.6432695035843801E-2</v>
      </c>
      <c r="D3901">
        <v>0.118110601056713</v>
      </c>
      <c r="E3901">
        <v>0.90075921843915396</v>
      </c>
      <c r="F3901">
        <v>0.70317235805213096</v>
      </c>
    </row>
    <row r="3902" spans="1:6">
      <c r="A3902" t="s">
        <v>52574</v>
      </c>
      <c r="B3902" t="s">
        <v>52579</v>
      </c>
      <c r="C3902">
        <v>0</v>
      </c>
      <c r="D3902">
        <v>0.118110601056713</v>
      </c>
      <c r="E3902">
        <v>0.90075921843915396</v>
      </c>
      <c r="F3902">
        <v>0.70317235805213096</v>
      </c>
    </row>
    <row r="3903" spans="1:6">
      <c r="A3903" t="s">
        <v>52574</v>
      </c>
      <c r="B3903" t="s">
        <v>52580</v>
      </c>
      <c r="C3903">
        <v>0</v>
      </c>
      <c r="D3903">
        <v>0.118110601056713</v>
      </c>
      <c r="E3903">
        <v>0.90075921843915396</v>
      </c>
      <c r="F3903">
        <v>0.70317235805213096</v>
      </c>
    </row>
    <row r="3904" spans="1:6">
      <c r="A3904" t="s">
        <v>52581</v>
      </c>
      <c r="B3904" t="s">
        <v>52582</v>
      </c>
      <c r="C3904">
        <v>0.58367867027850895</v>
      </c>
      <c r="D3904">
        <v>0.62711244140017197</v>
      </c>
      <c r="E3904">
        <v>0.99635515959554999</v>
      </c>
      <c r="F3904">
        <v>9.4128106688219795</v>
      </c>
    </row>
    <row r="3905" spans="1:6">
      <c r="A3905" t="s">
        <v>52581</v>
      </c>
      <c r="B3905" t="s">
        <v>52583</v>
      </c>
      <c r="C3905">
        <v>0.50316187368744403</v>
      </c>
      <c r="D3905">
        <v>0.62711244140017197</v>
      </c>
      <c r="E3905">
        <v>0.99635515959554999</v>
      </c>
      <c r="F3905">
        <v>9.4128106688219795</v>
      </c>
    </row>
    <row r="3906" spans="1:6">
      <c r="A3906" t="s">
        <v>52581</v>
      </c>
      <c r="B3906" t="s">
        <v>52584</v>
      </c>
      <c r="C3906">
        <v>0</v>
      </c>
      <c r="D3906">
        <v>0.62711244140017197</v>
      </c>
      <c r="E3906">
        <v>0.99635515959554999</v>
      </c>
      <c r="F3906">
        <v>9.4128106688219795</v>
      </c>
    </row>
    <row r="3907" spans="1:6">
      <c r="A3907" t="s">
        <v>52581</v>
      </c>
      <c r="B3907" t="s">
        <v>52585</v>
      </c>
      <c r="C3907">
        <v>0</v>
      </c>
      <c r="D3907">
        <v>0.62711244140017197</v>
      </c>
      <c r="E3907">
        <v>0.99635515959554999</v>
      </c>
      <c r="F3907">
        <v>9.4128106688219795</v>
      </c>
    </row>
    <row r="3908" spans="1:6">
      <c r="A3908" t="s">
        <v>52581</v>
      </c>
      <c r="B3908" t="s">
        <v>52586</v>
      </c>
      <c r="C3908">
        <v>0</v>
      </c>
      <c r="D3908">
        <v>0.62711244140017197</v>
      </c>
      <c r="E3908">
        <v>0.99635515959554999</v>
      </c>
      <c r="F3908">
        <v>9.4128106688219795</v>
      </c>
    </row>
    <row r="3909" spans="1:6">
      <c r="A3909" t="s">
        <v>52581</v>
      </c>
      <c r="B3909" t="s">
        <v>52587</v>
      </c>
      <c r="C3909">
        <v>0</v>
      </c>
      <c r="D3909">
        <v>0.62711244140017197</v>
      </c>
      <c r="E3909">
        <v>0.99635515959554999</v>
      </c>
      <c r="F3909">
        <v>9.4128106688219795</v>
      </c>
    </row>
    <row r="3910" spans="1:6">
      <c r="A3910" t="s">
        <v>52581</v>
      </c>
      <c r="B3910" t="s">
        <v>52588</v>
      </c>
      <c r="C3910">
        <v>0</v>
      </c>
      <c r="D3910">
        <v>0.62711244140017197</v>
      </c>
      <c r="E3910">
        <v>0.99635515959554999</v>
      </c>
      <c r="F3910">
        <v>9.4128106688219795</v>
      </c>
    </row>
    <row r="3911" spans="1:6">
      <c r="A3911" t="s">
        <v>52581</v>
      </c>
      <c r="B3911" t="s">
        <v>52589</v>
      </c>
      <c r="C3911">
        <v>0</v>
      </c>
      <c r="D3911">
        <v>0.62711244140017197</v>
      </c>
      <c r="E3911">
        <v>0.99635515959554999</v>
      </c>
      <c r="F3911">
        <v>9.4128106688219795</v>
      </c>
    </row>
    <row r="3912" spans="1:6">
      <c r="A3912" t="s">
        <v>52590</v>
      </c>
      <c r="B3912" t="s">
        <v>52591</v>
      </c>
      <c r="C3912">
        <v>0.93629990545274699</v>
      </c>
      <c r="D3912">
        <v>0.28082416163690399</v>
      </c>
      <c r="E3912">
        <v>0.98024524165445004</v>
      </c>
      <c r="F3912">
        <v>24</v>
      </c>
    </row>
    <row r="3913" spans="1:6">
      <c r="A3913" t="s">
        <v>52590</v>
      </c>
      <c r="B3913" t="s">
        <v>52592</v>
      </c>
      <c r="C3913">
        <v>0</v>
      </c>
      <c r="D3913">
        <v>0.28082416163690399</v>
      </c>
      <c r="E3913">
        <v>0.98024524165445004</v>
      </c>
      <c r="F3913">
        <v>24</v>
      </c>
    </row>
    <row r="3914" spans="1:6">
      <c r="A3914" t="s">
        <v>52590</v>
      </c>
      <c r="B3914" t="s">
        <v>52593</v>
      </c>
      <c r="C3914">
        <v>0.35288407386411702</v>
      </c>
      <c r="D3914">
        <v>0.28082416163690399</v>
      </c>
      <c r="E3914">
        <v>0.98024524165445004</v>
      </c>
      <c r="F3914">
        <v>24</v>
      </c>
    </row>
    <row r="3915" spans="1:6">
      <c r="A3915" t="s">
        <v>52594</v>
      </c>
      <c r="B3915" t="s">
        <v>52595</v>
      </c>
      <c r="C3915">
        <v>0</v>
      </c>
      <c r="D3915">
        <v>0.48174685119049998</v>
      </c>
      <c r="E3915">
        <v>0.74174944756958305</v>
      </c>
      <c r="F3915">
        <v>0.97959183673469297</v>
      </c>
    </row>
    <row r="3916" spans="1:6">
      <c r="A3916" t="s">
        <v>52594</v>
      </c>
      <c r="B3916" t="s">
        <v>52596</v>
      </c>
      <c r="C3916">
        <v>0.60574944756958304</v>
      </c>
      <c r="D3916">
        <v>0.48174685119049998</v>
      </c>
      <c r="E3916">
        <v>0.74174944756958305</v>
      </c>
      <c r="F3916">
        <v>0.97959183673469297</v>
      </c>
    </row>
    <row r="3917" spans="1:6">
      <c r="A3917" t="s">
        <v>52594</v>
      </c>
      <c r="B3917" t="s">
        <v>52597</v>
      </c>
      <c r="C3917">
        <v>0</v>
      </c>
      <c r="D3917">
        <v>0.48174685119049998</v>
      </c>
      <c r="E3917">
        <v>0.74174944756958305</v>
      </c>
      <c r="F3917">
        <v>0.97959183673469297</v>
      </c>
    </row>
    <row r="3918" spans="1:6">
      <c r="A3918" t="s">
        <v>52594</v>
      </c>
      <c r="B3918" t="s">
        <v>52598</v>
      </c>
      <c r="C3918">
        <v>0</v>
      </c>
      <c r="D3918">
        <v>0.48174685119049998</v>
      </c>
      <c r="E3918">
        <v>0.74174944756958305</v>
      </c>
      <c r="F3918">
        <v>0.97959183673469297</v>
      </c>
    </row>
    <row r="3919" spans="1:6">
      <c r="A3919" t="s">
        <v>52594</v>
      </c>
      <c r="B3919" t="s">
        <v>52599</v>
      </c>
      <c r="C3919">
        <v>0</v>
      </c>
      <c r="D3919">
        <v>0.48174685119049998</v>
      </c>
      <c r="E3919">
        <v>0.74174944756958305</v>
      </c>
      <c r="F3919">
        <v>0.97959183673469297</v>
      </c>
    </row>
    <row r="3920" spans="1:6">
      <c r="A3920" t="s">
        <v>52600</v>
      </c>
      <c r="B3920" t="s">
        <v>52601</v>
      </c>
      <c r="C3920">
        <v>0</v>
      </c>
      <c r="D3920">
        <v>5.6211093094971E-2</v>
      </c>
      <c r="E3920">
        <v>0.86954131793965095</v>
      </c>
      <c r="F3920">
        <v>8.9618104667609604</v>
      </c>
    </row>
    <row r="3921" spans="1:6">
      <c r="A3921" t="s">
        <v>52600</v>
      </c>
      <c r="B3921" t="s">
        <v>52602</v>
      </c>
      <c r="C3921">
        <v>0.402341317939651</v>
      </c>
      <c r="D3921">
        <v>5.6211093094971E-2</v>
      </c>
      <c r="E3921">
        <v>0.86954131793965095</v>
      </c>
      <c r="F3921">
        <v>8.9618104667609604</v>
      </c>
    </row>
    <row r="3922" spans="1:6">
      <c r="A3922" t="s">
        <v>52600</v>
      </c>
      <c r="B3922" t="s">
        <v>52603</v>
      </c>
      <c r="C3922">
        <v>0</v>
      </c>
      <c r="D3922">
        <v>5.6211093094971E-2</v>
      </c>
      <c r="E3922">
        <v>0.86954131793965095</v>
      </c>
      <c r="F3922">
        <v>8.9618104667609604</v>
      </c>
    </row>
    <row r="3923" spans="1:6">
      <c r="A3923" t="s">
        <v>52600</v>
      </c>
      <c r="B3923" t="s">
        <v>52604</v>
      </c>
      <c r="C3923">
        <v>0</v>
      </c>
      <c r="D3923">
        <v>5.6211093094971E-2</v>
      </c>
      <c r="E3923">
        <v>0.86954131793965095</v>
      </c>
      <c r="F3923">
        <v>8.9618104667609604</v>
      </c>
    </row>
    <row r="3924" spans="1:6">
      <c r="A3924" t="s">
        <v>52605</v>
      </c>
      <c r="B3924" t="s">
        <v>52606</v>
      </c>
      <c r="C3924">
        <v>0</v>
      </c>
      <c r="D3924">
        <v>0.40517915871246002</v>
      </c>
      <c r="E3924">
        <v>0.99372175074228497</v>
      </c>
      <c r="F3924">
        <v>13.772479288745201</v>
      </c>
    </row>
    <row r="3925" spans="1:6">
      <c r="A3925" t="s">
        <v>52605</v>
      </c>
      <c r="B3925" t="s">
        <v>52607</v>
      </c>
      <c r="C3925">
        <v>0</v>
      </c>
      <c r="D3925">
        <v>0.40517915871246002</v>
      </c>
      <c r="E3925">
        <v>0.99372175074228497</v>
      </c>
      <c r="F3925">
        <v>13.772479288745201</v>
      </c>
    </row>
    <row r="3926" spans="1:6">
      <c r="A3926" t="s">
        <v>52605</v>
      </c>
      <c r="B3926" t="s">
        <v>52608</v>
      </c>
      <c r="C3926">
        <v>0</v>
      </c>
      <c r="D3926">
        <v>0.40517915871246002</v>
      </c>
      <c r="E3926">
        <v>0.99372175074228497</v>
      </c>
      <c r="F3926">
        <v>13.772479288745201</v>
      </c>
    </row>
    <row r="3927" spans="1:6">
      <c r="A3927" t="s">
        <v>52605</v>
      </c>
      <c r="B3927" t="s">
        <v>52609</v>
      </c>
      <c r="C3927">
        <v>0</v>
      </c>
      <c r="D3927">
        <v>0.40517915871246002</v>
      </c>
      <c r="E3927">
        <v>0.99372175074228497</v>
      </c>
      <c r="F3927">
        <v>13.772479288745201</v>
      </c>
    </row>
    <row r="3928" spans="1:6">
      <c r="A3928" t="s">
        <v>52605</v>
      </c>
      <c r="B3928" t="s">
        <v>52610</v>
      </c>
      <c r="C3928">
        <v>0</v>
      </c>
      <c r="D3928">
        <v>0.40517915871246002</v>
      </c>
      <c r="E3928">
        <v>0.99372175074228497</v>
      </c>
      <c r="F3928">
        <v>13.772479288745201</v>
      </c>
    </row>
    <row r="3929" spans="1:6">
      <c r="A3929" t="s">
        <v>52605</v>
      </c>
      <c r="B3929" t="s">
        <v>52611</v>
      </c>
      <c r="C3929">
        <v>0.57940584436963205</v>
      </c>
      <c r="D3929">
        <v>0.40517915871246002</v>
      </c>
      <c r="E3929">
        <v>0.99372175074228497</v>
      </c>
      <c r="F3929">
        <v>13.772479288745201</v>
      </c>
    </row>
    <row r="3930" spans="1:6">
      <c r="A3930" t="s">
        <v>52605</v>
      </c>
      <c r="B3930" t="s">
        <v>52612</v>
      </c>
      <c r="C3930">
        <v>0</v>
      </c>
      <c r="D3930">
        <v>0.40517915871246002</v>
      </c>
      <c r="E3930">
        <v>0.99372175074228497</v>
      </c>
      <c r="F3930">
        <v>13.772479288745201</v>
      </c>
    </row>
    <row r="3931" spans="1:6">
      <c r="A3931" t="s">
        <v>52605</v>
      </c>
      <c r="B3931" t="s">
        <v>52613</v>
      </c>
      <c r="C3931">
        <v>0.21233675078540301</v>
      </c>
      <c r="D3931">
        <v>0.40517915871246002</v>
      </c>
      <c r="E3931">
        <v>0.99372175074228497</v>
      </c>
      <c r="F3931">
        <v>13.772479288745201</v>
      </c>
    </row>
    <row r="3932" spans="1:6">
      <c r="A3932" t="s">
        <v>52614</v>
      </c>
      <c r="B3932" t="s">
        <v>52615</v>
      </c>
      <c r="C3932">
        <v>0</v>
      </c>
      <c r="D3932">
        <v>9.3943844337405796E-2</v>
      </c>
      <c r="E3932">
        <v>0.91640464217072404</v>
      </c>
      <c r="F3932">
        <v>16.871287128712801</v>
      </c>
    </row>
    <row r="3933" spans="1:6">
      <c r="A3933" t="s">
        <v>52614</v>
      </c>
      <c r="B3933" t="s">
        <v>52616</v>
      </c>
      <c r="C3933">
        <v>0.38830605084471298</v>
      </c>
      <c r="D3933">
        <v>9.3943844337405796E-2</v>
      </c>
      <c r="E3933">
        <v>0.91640464217072404</v>
      </c>
      <c r="F3933">
        <v>16.871287128712801</v>
      </c>
    </row>
    <row r="3934" spans="1:6">
      <c r="A3934" t="s">
        <v>52614</v>
      </c>
      <c r="B3934" t="s">
        <v>52617</v>
      </c>
      <c r="C3934">
        <v>0</v>
      </c>
      <c r="D3934">
        <v>9.3943844337405796E-2</v>
      </c>
      <c r="E3934">
        <v>0.91640464217072404</v>
      </c>
      <c r="F3934">
        <v>16.871287128712801</v>
      </c>
    </row>
    <row r="3935" spans="1:6">
      <c r="A3935" t="s">
        <v>52614</v>
      </c>
      <c r="B3935" t="s">
        <v>52618</v>
      </c>
      <c r="C3935">
        <v>0.58707498801079105</v>
      </c>
      <c r="D3935">
        <v>9.3943844337405796E-2</v>
      </c>
      <c r="E3935">
        <v>0.91640464217072404</v>
      </c>
      <c r="F3935">
        <v>16.871287128712801</v>
      </c>
    </row>
    <row r="3936" spans="1:6">
      <c r="A3936" t="s">
        <v>52619</v>
      </c>
      <c r="B3936" t="s">
        <v>52620</v>
      </c>
      <c r="C3936">
        <v>0.40562183624981302</v>
      </c>
      <c r="D3936">
        <v>0.192687181130487</v>
      </c>
      <c r="E3936">
        <v>0.63920251747569501</v>
      </c>
      <c r="F3936">
        <v>10.8288543140028</v>
      </c>
    </row>
    <row r="3937" spans="1:6">
      <c r="A3937" t="s">
        <v>52619</v>
      </c>
      <c r="B3937" t="s">
        <v>52621</v>
      </c>
      <c r="C3937">
        <v>0.34539173030194298</v>
      </c>
      <c r="D3937">
        <v>0.192687181130487</v>
      </c>
      <c r="E3937">
        <v>0.63920251747569501</v>
      </c>
      <c r="F3937">
        <v>10.8288543140028</v>
      </c>
    </row>
    <row r="3938" spans="1:6">
      <c r="A3938" t="s">
        <v>52622</v>
      </c>
      <c r="B3938" t="s">
        <v>52623</v>
      </c>
      <c r="C3938">
        <v>0.42956609548330998</v>
      </c>
      <c r="D3938">
        <v>0.249395270168941</v>
      </c>
      <c r="E3938">
        <v>0.58956609548330996</v>
      </c>
      <c r="F3938">
        <v>4.1123459284703898</v>
      </c>
    </row>
    <row r="3939" spans="1:6">
      <c r="A3939" t="s">
        <v>52622</v>
      </c>
      <c r="B3939" t="s">
        <v>52624</v>
      </c>
      <c r="C3939">
        <v>0</v>
      </c>
      <c r="D3939">
        <v>0.249395270168941</v>
      </c>
      <c r="E3939">
        <v>0.58956609548330996</v>
      </c>
      <c r="F3939">
        <v>4.1123459284703898</v>
      </c>
    </row>
    <row r="3940" spans="1:6">
      <c r="A3940" t="s">
        <v>52625</v>
      </c>
      <c r="B3940" t="s">
        <v>52626</v>
      </c>
      <c r="C3940">
        <v>0</v>
      </c>
      <c r="D3940">
        <v>0.55406261016107194</v>
      </c>
      <c r="E3940">
        <v>0.985173163928869</v>
      </c>
      <c r="F3940">
        <v>7.0074762578298602</v>
      </c>
    </row>
    <row r="3941" spans="1:6">
      <c r="A3941" t="s">
        <v>52625</v>
      </c>
      <c r="B3941" t="s">
        <v>52627</v>
      </c>
      <c r="C3941">
        <v>0.12511227831283001</v>
      </c>
      <c r="D3941">
        <v>0.55406261016107194</v>
      </c>
      <c r="E3941">
        <v>0.985173163928869</v>
      </c>
      <c r="F3941">
        <v>7.0074762578298602</v>
      </c>
    </row>
    <row r="3942" spans="1:6">
      <c r="A3942" t="s">
        <v>52625</v>
      </c>
      <c r="B3942" t="s">
        <v>52628</v>
      </c>
      <c r="C3942">
        <v>0</v>
      </c>
      <c r="D3942">
        <v>0.55406261016107194</v>
      </c>
      <c r="E3942">
        <v>0.985173163928869</v>
      </c>
      <c r="F3942">
        <v>7.0074762578298602</v>
      </c>
    </row>
    <row r="3943" spans="1:6">
      <c r="A3943" t="s">
        <v>52625</v>
      </c>
      <c r="B3943" t="s">
        <v>52629</v>
      </c>
      <c r="C3943">
        <v>0</v>
      </c>
      <c r="D3943">
        <v>0.55406261016107194</v>
      </c>
      <c r="E3943">
        <v>0.985173163928869</v>
      </c>
      <c r="F3943">
        <v>7.0074762578298602</v>
      </c>
    </row>
    <row r="3944" spans="1:6">
      <c r="A3944" t="s">
        <v>52625</v>
      </c>
      <c r="B3944" t="s">
        <v>52630</v>
      </c>
      <c r="C3944">
        <v>0</v>
      </c>
      <c r="D3944">
        <v>0.55406261016107194</v>
      </c>
      <c r="E3944">
        <v>0.985173163928869</v>
      </c>
      <c r="F3944">
        <v>7.0074762578298602</v>
      </c>
    </row>
    <row r="3945" spans="1:6">
      <c r="A3945" t="s">
        <v>52625</v>
      </c>
      <c r="B3945" t="s">
        <v>52631</v>
      </c>
      <c r="C3945">
        <v>0</v>
      </c>
      <c r="D3945">
        <v>0.55406261016107194</v>
      </c>
      <c r="E3945">
        <v>0.985173163928869</v>
      </c>
      <c r="F3945">
        <v>7.0074762578298602</v>
      </c>
    </row>
    <row r="3946" spans="1:6">
      <c r="A3946" t="s">
        <v>52625</v>
      </c>
      <c r="B3946" t="s">
        <v>52632</v>
      </c>
      <c r="C3946">
        <v>0.73362132703151195</v>
      </c>
      <c r="D3946">
        <v>0.55406261016107194</v>
      </c>
      <c r="E3946">
        <v>0.985173163928869</v>
      </c>
      <c r="F3946">
        <v>7.0074762578298602</v>
      </c>
    </row>
    <row r="3947" spans="1:6">
      <c r="A3947" t="s">
        <v>52625</v>
      </c>
      <c r="B3947" t="s">
        <v>52633</v>
      </c>
      <c r="C3947">
        <v>0</v>
      </c>
      <c r="D3947">
        <v>0.55406261016107194</v>
      </c>
      <c r="E3947">
        <v>0.985173163928869</v>
      </c>
      <c r="F3947">
        <v>7.0074762578298602</v>
      </c>
    </row>
    <row r="3948" spans="1:6">
      <c r="A3948" t="s">
        <v>52625</v>
      </c>
      <c r="B3948" t="s">
        <v>52634</v>
      </c>
      <c r="C3948">
        <v>0</v>
      </c>
      <c r="D3948">
        <v>0.55406261016107194</v>
      </c>
      <c r="E3948">
        <v>0.985173163928869</v>
      </c>
      <c r="F3948">
        <v>7.0074762578298602</v>
      </c>
    </row>
    <row r="3949" spans="1:6">
      <c r="A3949" t="s">
        <v>52635</v>
      </c>
      <c r="B3949" t="s">
        <v>52636</v>
      </c>
      <c r="C3949">
        <v>0.50321517562588802</v>
      </c>
      <c r="D3949">
        <v>0.21625693301999299</v>
      </c>
      <c r="E3949">
        <v>0.87477410274854595</v>
      </c>
      <c r="F3949">
        <v>15.6734693877551</v>
      </c>
    </row>
    <row r="3950" spans="1:6">
      <c r="A3950" t="s">
        <v>52635</v>
      </c>
      <c r="B3950" t="s">
        <v>52637</v>
      </c>
      <c r="C3950">
        <v>9.6899526056625995E-2</v>
      </c>
      <c r="D3950">
        <v>0.21625693301999299</v>
      </c>
      <c r="E3950">
        <v>0.87477410274854595</v>
      </c>
      <c r="F3950">
        <v>15.6734693877551</v>
      </c>
    </row>
    <row r="3951" spans="1:6">
      <c r="A3951" t="s">
        <v>52635</v>
      </c>
      <c r="B3951" t="s">
        <v>52638</v>
      </c>
      <c r="C3951">
        <v>0</v>
      </c>
      <c r="D3951">
        <v>0.21625693301999299</v>
      </c>
      <c r="E3951">
        <v>0.87477410274854595</v>
      </c>
      <c r="F3951">
        <v>15.6734693877551</v>
      </c>
    </row>
    <row r="3952" spans="1:6">
      <c r="A3952" t="s">
        <v>52639</v>
      </c>
      <c r="B3952" t="s">
        <v>52640</v>
      </c>
      <c r="C3952">
        <v>0.81611621934733902</v>
      </c>
      <c r="D3952">
        <v>6.7159169401416599E-2</v>
      </c>
      <c r="E3952">
        <v>0.97611621934733905</v>
      </c>
      <c r="F3952">
        <v>15.867447969286699</v>
      </c>
    </row>
    <row r="3953" spans="1:6">
      <c r="A3953" t="s">
        <v>52639</v>
      </c>
      <c r="B3953" t="s">
        <v>52641</v>
      </c>
      <c r="C3953">
        <v>0</v>
      </c>
      <c r="D3953">
        <v>6.7159169401416599E-2</v>
      </c>
      <c r="E3953">
        <v>0.97611621934733905</v>
      </c>
      <c r="F3953">
        <v>15.867447969286699</v>
      </c>
    </row>
    <row r="3954" spans="1:6">
      <c r="A3954" t="s">
        <v>52639</v>
      </c>
      <c r="B3954" t="s">
        <v>52642</v>
      </c>
      <c r="C3954">
        <v>0</v>
      </c>
      <c r="D3954">
        <v>6.7159169401416599E-2</v>
      </c>
      <c r="E3954">
        <v>0.97611621934733905</v>
      </c>
      <c r="F3954">
        <v>15.867447969286699</v>
      </c>
    </row>
    <row r="3955" spans="1:6">
      <c r="A3955" t="s">
        <v>52639</v>
      </c>
      <c r="B3955" t="s">
        <v>52643</v>
      </c>
      <c r="C3955">
        <v>0</v>
      </c>
      <c r="D3955">
        <v>6.7159169401416599E-2</v>
      </c>
      <c r="E3955">
        <v>0.97611621934733905</v>
      </c>
      <c r="F3955">
        <v>15.867447969286699</v>
      </c>
    </row>
    <row r="3956" spans="1:6">
      <c r="A3956" t="s">
        <v>52639</v>
      </c>
      <c r="B3956" t="s">
        <v>52644</v>
      </c>
      <c r="C3956">
        <v>0</v>
      </c>
      <c r="D3956">
        <v>6.7159169401416599E-2</v>
      </c>
      <c r="E3956">
        <v>0.97611621934733905</v>
      </c>
      <c r="F3956">
        <v>15.867447969286699</v>
      </c>
    </row>
    <row r="3957" spans="1:6">
      <c r="A3957" t="s">
        <v>52639</v>
      </c>
      <c r="B3957" t="s">
        <v>52645</v>
      </c>
      <c r="C3957">
        <v>0</v>
      </c>
      <c r="D3957">
        <v>6.7159169401416599E-2</v>
      </c>
      <c r="E3957">
        <v>0.97611621934733905</v>
      </c>
      <c r="F3957">
        <v>15.867447969286699</v>
      </c>
    </row>
    <row r="3958" spans="1:6">
      <c r="A3958" t="s">
        <v>52639</v>
      </c>
      <c r="B3958" t="s">
        <v>52646</v>
      </c>
      <c r="C3958">
        <v>0</v>
      </c>
      <c r="D3958">
        <v>6.7159169401416599E-2</v>
      </c>
      <c r="E3958">
        <v>0.97611621934733905</v>
      </c>
      <c r="F3958">
        <v>15.867447969286699</v>
      </c>
    </row>
    <row r="3959" spans="1:6">
      <c r="A3959" t="s">
        <v>52639</v>
      </c>
      <c r="B3959" t="s">
        <v>52647</v>
      </c>
      <c r="C3959">
        <v>0</v>
      </c>
      <c r="D3959">
        <v>6.7159169401416599E-2</v>
      </c>
      <c r="E3959">
        <v>0.97611621934733905</v>
      </c>
      <c r="F3959">
        <v>15.867447969286699</v>
      </c>
    </row>
    <row r="3960" spans="1:6">
      <c r="A3960" t="s">
        <v>52648</v>
      </c>
      <c r="B3960" t="s">
        <v>52649</v>
      </c>
      <c r="C3960">
        <v>0</v>
      </c>
      <c r="D3960">
        <v>0.38618175905385999</v>
      </c>
      <c r="E3960" t="s">
        <v>106</v>
      </c>
      <c r="F3960">
        <v>7.67670236411396</v>
      </c>
    </row>
    <row r="3961" spans="1:6">
      <c r="A3961" t="s">
        <v>52648</v>
      </c>
      <c r="B3961" t="s">
        <v>52650</v>
      </c>
      <c r="C3961">
        <v>0</v>
      </c>
      <c r="D3961">
        <v>0.38618175905385999</v>
      </c>
      <c r="E3961" t="s">
        <v>106</v>
      </c>
      <c r="F3961">
        <v>7.67670236411396</v>
      </c>
    </row>
    <row r="3962" spans="1:6">
      <c r="A3962" t="s">
        <v>52648</v>
      </c>
      <c r="B3962" t="s">
        <v>52651</v>
      </c>
      <c r="C3962">
        <v>0</v>
      </c>
      <c r="D3962">
        <v>0.38618175905385999</v>
      </c>
      <c r="E3962" t="s">
        <v>106</v>
      </c>
      <c r="F3962">
        <v>7.67670236411396</v>
      </c>
    </row>
    <row r="3963" spans="1:6">
      <c r="A3963" t="s">
        <v>52648</v>
      </c>
      <c r="B3963" t="s">
        <v>52652</v>
      </c>
      <c r="C3963">
        <v>0</v>
      </c>
      <c r="D3963">
        <v>0.38618175905385999</v>
      </c>
      <c r="E3963" t="s">
        <v>106</v>
      </c>
      <c r="F3963">
        <v>7.67670236411396</v>
      </c>
    </row>
    <row r="3964" spans="1:6">
      <c r="A3964" t="s">
        <v>52648</v>
      </c>
      <c r="B3964" t="s">
        <v>52653</v>
      </c>
      <c r="C3964">
        <v>0</v>
      </c>
      <c r="D3964">
        <v>0.38618175905385999</v>
      </c>
      <c r="E3964" t="s">
        <v>106</v>
      </c>
      <c r="F3964">
        <v>7.67670236411396</v>
      </c>
    </row>
    <row r="3965" spans="1:6">
      <c r="A3965" t="s">
        <v>52648</v>
      </c>
      <c r="B3965" t="s">
        <v>52654</v>
      </c>
      <c r="C3965">
        <v>0</v>
      </c>
      <c r="D3965">
        <v>0.38618175905385999</v>
      </c>
      <c r="E3965" t="s">
        <v>106</v>
      </c>
      <c r="F3965">
        <v>7.67670236411396</v>
      </c>
    </row>
    <row r="3966" spans="1:6">
      <c r="A3966" t="s">
        <v>52648</v>
      </c>
      <c r="B3966" t="s">
        <v>52655</v>
      </c>
      <c r="C3966">
        <v>0</v>
      </c>
      <c r="D3966">
        <v>0.38618175905385999</v>
      </c>
      <c r="E3966" t="s">
        <v>106</v>
      </c>
      <c r="F3966">
        <v>7.67670236411396</v>
      </c>
    </row>
    <row r="3967" spans="1:6">
      <c r="A3967" t="s">
        <v>52656</v>
      </c>
      <c r="B3967" t="s">
        <v>52657</v>
      </c>
      <c r="C3967">
        <v>0.58740782503993005</v>
      </c>
      <c r="D3967">
        <v>0.41328346906435898</v>
      </c>
      <c r="E3967">
        <v>0.87220782503993</v>
      </c>
      <c r="F3967">
        <v>16.0662760153566</v>
      </c>
    </row>
    <row r="3968" spans="1:6">
      <c r="A3968" t="s">
        <v>52656</v>
      </c>
      <c r="B3968" t="s">
        <v>52658</v>
      </c>
      <c r="C3968">
        <v>0</v>
      </c>
      <c r="D3968">
        <v>0.41328346906435898</v>
      </c>
      <c r="E3968">
        <v>0.87220782503993</v>
      </c>
      <c r="F3968">
        <v>16.0662760153566</v>
      </c>
    </row>
    <row r="3969" spans="1:6">
      <c r="A3969" t="s">
        <v>52656</v>
      </c>
      <c r="B3969" t="s">
        <v>52659</v>
      </c>
      <c r="C3969">
        <v>0</v>
      </c>
      <c r="D3969">
        <v>0.41328346906435898</v>
      </c>
      <c r="E3969">
        <v>0.87220782503993</v>
      </c>
      <c r="F3969">
        <v>16.0662760153566</v>
      </c>
    </row>
    <row r="3970" spans="1:6">
      <c r="A3970" t="s">
        <v>52660</v>
      </c>
      <c r="B3970" t="s">
        <v>52661</v>
      </c>
      <c r="C3970">
        <v>0</v>
      </c>
      <c r="D3970">
        <v>0.37428143196646002</v>
      </c>
      <c r="E3970">
        <v>0.881969029946851</v>
      </c>
      <c r="F3970">
        <v>0.79046271974136095</v>
      </c>
    </row>
    <row r="3971" spans="1:6">
      <c r="A3971" t="s">
        <v>52660</v>
      </c>
      <c r="B3971" t="s">
        <v>52662</v>
      </c>
      <c r="C3971">
        <v>0</v>
      </c>
      <c r="D3971">
        <v>0.37428143196646002</v>
      </c>
      <c r="E3971">
        <v>0.881969029946851</v>
      </c>
      <c r="F3971">
        <v>0.79046271974136095</v>
      </c>
    </row>
    <row r="3972" spans="1:6">
      <c r="A3972" t="s">
        <v>52660</v>
      </c>
      <c r="B3972" t="s">
        <v>52663</v>
      </c>
      <c r="C3972">
        <v>0</v>
      </c>
      <c r="D3972">
        <v>0.37428143196646002</v>
      </c>
      <c r="E3972">
        <v>0.881969029946851</v>
      </c>
      <c r="F3972">
        <v>0.79046271974136095</v>
      </c>
    </row>
    <row r="3973" spans="1:6">
      <c r="A3973" t="s">
        <v>52660</v>
      </c>
      <c r="B3973" t="s">
        <v>52664</v>
      </c>
      <c r="C3973">
        <v>0</v>
      </c>
      <c r="D3973">
        <v>0.37428143196646002</v>
      </c>
      <c r="E3973">
        <v>0.881969029946851</v>
      </c>
      <c r="F3973">
        <v>0.79046271974136095</v>
      </c>
    </row>
    <row r="3974" spans="1:6">
      <c r="A3974" t="s">
        <v>52660</v>
      </c>
      <c r="B3974" t="s">
        <v>52665</v>
      </c>
      <c r="C3974">
        <v>0.637414046115091</v>
      </c>
      <c r="D3974">
        <v>0.37428143196646002</v>
      </c>
      <c r="E3974">
        <v>0.881969029946851</v>
      </c>
      <c r="F3974">
        <v>0.79046271974136095</v>
      </c>
    </row>
    <row r="3975" spans="1:6">
      <c r="A3975" t="s">
        <v>52660</v>
      </c>
      <c r="B3975" t="s">
        <v>52666</v>
      </c>
      <c r="C3975">
        <v>0</v>
      </c>
      <c r="D3975">
        <v>0.37428143196646002</v>
      </c>
      <c r="E3975">
        <v>0.881969029946851</v>
      </c>
      <c r="F3975">
        <v>0.79046271974136095</v>
      </c>
    </row>
    <row r="3976" spans="1:6">
      <c r="A3976" t="s">
        <v>52660</v>
      </c>
      <c r="B3976" t="s">
        <v>52667</v>
      </c>
      <c r="C3976">
        <v>0</v>
      </c>
      <c r="D3976">
        <v>0.37428143196646002</v>
      </c>
      <c r="E3976">
        <v>0.881969029946851</v>
      </c>
      <c r="F3976">
        <v>0.79046271974136095</v>
      </c>
    </row>
    <row r="3977" spans="1:6">
      <c r="A3977" t="s">
        <v>52660</v>
      </c>
      <c r="B3977" t="s">
        <v>52668</v>
      </c>
      <c r="C3977">
        <v>2.9523104845792701E-2</v>
      </c>
      <c r="D3977">
        <v>0.37428143196646002</v>
      </c>
      <c r="E3977">
        <v>0.881969029946851</v>
      </c>
      <c r="F3977">
        <v>0.79046271974136095</v>
      </c>
    </row>
    <row r="3978" spans="1:6">
      <c r="A3978" t="s">
        <v>52660</v>
      </c>
      <c r="B3978" t="s">
        <v>52669</v>
      </c>
      <c r="C3978">
        <v>0</v>
      </c>
      <c r="D3978">
        <v>0.37428143196646002</v>
      </c>
      <c r="E3978">
        <v>0.881969029946851</v>
      </c>
      <c r="F3978">
        <v>0.79046271974136095</v>
      </c>
    </row>
    <row r="3979" spans="1:6">
      <c r="A3979" t="s">
        <v>52660</v>
      </c>
      <c r="B3979" t="s">
        <v>52670</v>
      </c>
      <c r="C3979">
        <v>0</v>
      </c>
      <c r="D3979">
        <v>0.37428143196646002</v>
      </c>
      <c r="E3979">
        <v>0.881969029946851</v>
      </c>
      <c r="F3979">
        <v>0.79046271974136095</v>
      </c>
    </row>
    <row r="3980" spans="1:6">
      <c r="A3980" t="s">
        <v>52660</v>
      </c>
      <c r="B3980" t="s">
        <v>52671</v>
      </c>
      <c r="C3980">
        <v>0</v>
      </c>
      <c r="D3980">
        <v>0.37428143196646002</v>
      </c>
      <c r="E3980">
        <v>0.881969029946851</v>
      </c>
      <c r="F3980">
        <v>0.79046271974136095</v>
      </c>
    </row>
    <row r="3981" spans="1:6">
      <c r="A3981" t="s">
        <v>52672</v>
      </c>
      <c r="B3981" t="s">
        <v>52673</v>
      </c>
      <c r="C3981">
        <v>0</v>
      </c>
      <c r="D3981">
        <v>0.11362519582801101</v>
      </c>
      <c r="E3981">
        <v>0.98766497583035995</v>
      </c>
      <c r="F3981">
        <v>21.871085067690402</v>
      </c>
    </row>
    <row r="3982" spans="1:6">
      <c r="A3982" t="s">
        <v>52672</v>
      </c>
      <c r="B3982" t="s">
        <v>52674</v>
      </c>
      <c r="C3982">
        <v>0</v>
      </c>
      <c r="D3982">
        <v>0.11362519582801101</v>
      </c>
      <c r="E3982">
        <v>0.98766497583035995</v>
      </c>
      <c r="F3982">
        <v>21.871085067690402</v>
      </c>
    </row>
    <row r="3983" spans="1:6">
      <c r="A3983" t="s">
        <v>52672</v>
      </c>
      <c r="B3983" t="s">
        <v>52675</v>
      </c>
      <c r="C3983">
        <v>0</v>
      </c>
      <c r="D3983">
        <v>0.11362519582801101</v>
      </c>
      <c r="E3983">
        <v>0.98766497583035995</v>
      </c>
      <c r="F3983">
        <v>21.871085067690402</v>
      </c>
    </row>
    <row r="3984" spans="1:6">
      <c r="A3984" t="s">
        <v>52672</v>
      </c>
      <c r="B3984" t="s">
        <v>52676</v>
      </c>
      <c r="C3984">
        <v>0</v>
      </c>
      <c r="D3984">
        <v>0.11362519582801101</v>
      </c>
      <c r="E3984">
        <v>0.98766497583035995</v>
      </c>
      <c r="F3984">
        <v>21.871085067690402</v>
      </c>
    </row>
    <row r="3985" spans="1:6">
      <c r="A3985" t="s">
        <v>52672</v>
      </c>
      <c r="B3985" t="s">
        <v>52677</v>
      </c>
      <c r="C3985">
        <v>0</v>
      </c>
      <c r="D3985">
        <v>0.11362519582801101</v>
      </c>
      <c r="E3985">
        <v>0.98766497583035995</v>
      </c>
      <c r="F3985">
        <v>21.871085067690402</v>
      </c>
    </row>
    <row r="3986" spans="1:6">
      <c r="A3986" t="s">
        <v>52672</v>
      </c>
      <c r="B3986" t="s">
        <v>52678</v>
      </c>
      <c r="C3986">
        <v>0.37784699166236302</v>
      </c>
      <c r="D3986">
        <v>0.11362519582801101</v>
      </c>
      <c r="E3986">
        <v>0.98766497583035995</v>
      </c>
      <c r="F3986">
        <v>21.871085067690402</v>
      </c>
    </row>
    <row r="3987" spans="1:6">
      <c r="A3987" t="s">
        <v>52672</v>
      </c>
      <c r="B3987" t="s">
        <v>52679</v>
      </c>
      <c r="C3987">
        <v>0.38500818954194099</v>
      </c>
      <c r="D3987">
        <v>0.11362519582801101</v>
      </c>
      <c r="E3987">
        <v>0.98766497583035995</v>
      </c>
      <c r="F3987">
        <v>21.871085067690402</v>
      </c>
    </row>
    <row r="3988" spans="1:6">
      <c r="A3988" t="s">
        <v>52672</v>
      </c>
      <c r="B3988" t="s">
        <v>52680</v>
      </c>
      <c r="C3988">
        <v>0</v>
      </c>
      <c r="D3988">
        <v>0.11362519582801101</v>
      </c>
      <c r="E3988">
        <v>0.98766497583035995</v>
      </c>
      <c r="F3988">
        <v>21.871085067690402</v>
      </c>
    </row>
    <row r="3989" spans="1:6">
      <c r="A3989" t="s">
        <v>52681</v>
      </c>
      <c r="B3989" t="s">
        <v>52682</v>
      </c>
      <c r="C3989">
        <v>0</v>
      </c>
      <c r="D3989">
        <v>0.389340168051378</v>
      </c>
      <c r="E3989">
        <v>0.76183180373143999</v>
      </c>
      <c r="F3989">
        <v>24</v>
      </c>
    </row>
    <row r="3990" spans="1:6">
      <c r="A3990" t="s">
        <v>52681</v>
      </c>
      <c r="B3990" t="s">
        <v>52683</v>
      </c>
      <c r="C3990">
        <v>8.7598987937188896E-3</v>
      </c>
      <c r="D3990">
        <v>0.389340168051378</v>
      </c>
      <c r="E3990">
        <v>0.76183180373143999</v>
      </c>
      <c r="F3990">
        <v>24</v>
      </c>
    </row>
    <row r="3991" spans="1:6">
      <c r="A3991" t="s">
        <v>52681</v>
      </c>
      <c r="B3991" t="s">
        <v>52684</v>
      </c>
      <c r="C3991">
        <v>0</v>
      </c>
      <c r="D3991">
        <v>0.389340168051378</v>
      </c>
      <c r="E3991">
        <v>0.76183180373143999</v>
      </c>
      <c r="F3991">
        <v>24</v>
      </c>
    </row>
    <row r="3992" spans="1:6">
      <c r="A3992" t="s">
        <v>52681</v>
      </c>
      <c r="B3992" t="s">
        <v>52685</v>
      </c>
      <c r="C3992">
        <v>5.0810067379229697E-2</v>
      </c>
      <c r="D3992">
        <v>0.389340168051378</v>
      </c>
      <c r="E3992">
        <v>0.76183180373143999</v>
      </c>
      <c r="F3992">
        <v>24</v>
      </c>
    </row>
    <row r="3993" spans="1:6">
      <c r="A3993" t="s">
        <v>52681</v>
      </c>
      <c r="B3993" t="s">
        <v>52686</v>
      </c>
      <c r="C3993">
        <v>0</v>
      </c>
      <c r="D3993">
        <v>0.389340168051378</v>
      </c>
      <c r="E3993">
        <v>0.76183180373143999</v>
      </c>
      <c r="F3993">
        <v>24</v>
      </c>
    </row>
    <row r="3994" spans="1:6">
      <c r="A3994" t="s">
        <v>52681</v>
      </c>
      <c r="B3994" t="s">
        <v>52687</v>
      </c>
      <c r="C3994">
        <v>0</v>
      </c>
      <c r="D3994">
        <v>0.389340168051378</v>
      </c>
      <c r="E3994">
        <v>0.76183180373143999</v>
      </c>
      <c r="F3994">
        <v>24</v>
      </c>
    </row>
    <row r="3995" spans="1:6">
      <c r="A3995" t="s">
        <v>52681</v>
      </c>
      <c r="B3995" t="s">
        <v>52688</v>
      </c>
      <c r="C3995">
        <v>0</v>
      </c>
      <c r="D3995">
        <v>0.389340168051378</v>
      </c>
      <c r="E3995">
        <v>0.76183180373143999</v>
      </c>
      <c r="F3995">
        <v>24</v>
      </c>
    </row>
    <row r="3996" spans="1:6">
      <c r="A3996" t="s">
        <v>52689</v>
      </c>
      <c r="B3996" t="s">
        <v>52690</v>
      </c>
      <c r="C3996">
        <v>0</v>
      </c>
      <c r="D3996">
        <v>0.11253043042319701</v>
      </c>
      <c r="E3996">
        <v>0.90557671926795302</v>
      </c>
      <c r="F3996">
        <v>16.0662760153566</v>
      </c>
    </row>
    <row r="3997" spans="1:6">
      <c r="A3997" t="s">
        <v>52689</v>
      </c>
      <c r="B3997" t="s">
        <v>52691</v>
      </c>
      <c r="C3997">
        <v>0.47383578205833599</v>
      </c>
      <c r="D3997">
        <v>0.11253043042319701</v>
      </c>
      <c r="E3997">
        <v>0.90557671926795302</v>
      </c>
      <c r="F3997">
        <v>16.0662760153566</v>
      </c>
    </row>
    <row r="3998" spans="1:6">
      <c r="A3998" t="s">
        <v>52689</v>
      </c>
      <c r="B3998" t="s">
        <v>52692</v>
      </c>
      <c r="C3998">
        <v>0</v>
      </c>
      <c r="D3998">
        <v>0.11253043042319701</v>
      </c>
      <c r="E3998">
        <v>0.90557671926795302</v>
      </c>
      <c r="F3998">
        <v>16.0662760153566</v>
      </c>
    </row>
    <row r="3999" spans="1:6">
      <c r="A3999" t="s">
        <v>52689</v>
      </c>
      <c r="B3999" t="s">
        <v>52693</v>
      </c>
      <c r="C3999">
        <v>0.34767993276964598</v>
      </c>
      <c r="D3999">
        <v>0.11253043042319701</v>
      </c>
      <c r="E3999">
        <v>0.90557671926795302</v>
      </c>
      <c r="F3999">
        <v>16.0662760153566</v>
      </c>
    </row>
    <row r="4000" spans="1:6">
      <c r="A4000" t="s">
        <v>52689</v>
      </c>
      <c r="B4000" t="s">
        <v>52694</v>
      </c>
      <c r="C4000">
        <v>0</v>
      </c>
      <c r="D4000">
        <v>0.11253043042319701</v>
      </c>
      <c r="E4000">
        <v>0.90557671926795302</v>
      </c>
      <c r="F4000">
        <v>16.0662760153566</v>
      </c>
    </row>
    <row r="4001" spans="1:6">
      <c r="A4001" t="s">
        <v>52689</v>
      </c>
      <c r="B4001" t="s">
        <v>52695</v>
      </c>
      <c r="C4001">
        <v>0</v>
      </c>
      <c r="D4001">
        <v>0.11253043042319701</v>
      </c>
      <c r="E4001">
        <v>0.90557671926795302</v>
      </c>
      <c r="F4001">
        <v>16.0662760153566</v>
      </c>
    </row>
    <row r="4002" spans="1:6">
      <c r="A4002" t="s">
        <v>52689</v>
      </c>
      <c r="B4002" t="s">
        <v>52696</v>
      </c>
      <c r="C4002">
        <v>0</v>
      </c>
      <c r="D4002">
        <v>0.11253043042319701</v>
      </c>
      <c r="E4002">
        <v>0.90557671926795302</v>
      </c>
      <c r="F4002">
        <v>16.0662760153566</v>
      </c>
    </row>
    <row r="4003" spans="1:6">
      <c r="A4003" t="s">
        <v>52697</v>
      </c>
      <c r="B4003" t="s">
        <v>52698</v>
      </c>
      <c r="C4003">
        <v>0.297896804767322</v>
      </c>
      <c r="D4003">
        <v>0.28560642240578599</v>
      </c>
      <c r="E4003">
        <v>0.82389809521976698</v>
      </c>
      <c r="F4003">
        <v>4.2141846837744996</v>
      </c>
    </row>
    <row r="4004" spans="1:6">
      <c r="A4004" t="s">
        <v>52697</v>
      </c>
      <c r="B4004" t="s">
        <v>52699</v>
      </c>
      <c r="C4004">
        <v>0.87602917373762001</v>
      </c>
      <c r="D4004">
        <v>0.28560642240578599</v>
      </c>
      <c r="E4004">
        <v>0.82389809521976698</v>
      </c>
      <c r="F4004">
        <v>4.2141846837744996</v>
      </c>
    </row>
    <row r="4005" spans="1:6">
      <c r="A4005" t="s">
        <v>52700</v>
      </c>
      <c r="B4005" t="s">
        <v>52701</v>
      </c>
      <c r="C4005">
        <v>0</v>
      </c>
      <c r="D4005">
        <v>0.12639732552279101</v>
      </c>
      <c r="E4005" t="s">
        <v>106</v>
      </c>
      <c r="F4005">
        <v>18.112750050515199</v>
      </c>
    </row>
    <row r="4006" spans="1:6">
      <c r="A4006" t="s">
        <v>52700</v>
      </c>
      <c r="B4006" t="s">
        <v>52702</v>
      </c>
      <c r="C4006">
        <v>0</v>
      </c>
      <c r="D4006">
        <v>0.12639732552279101</v>
      </c>
      <c r="E4006" t="s">
        <v>106</v>
      </c>
      <c r="F4006">
        <v>18.112750050515199</v>
      </c>
    </row>
    <row r="4007" spans="1:6">
      <c r="A4007" t="s">
        <v>52703</v>
      </c>
      <c r="B4007" t="s">
        <v>52704</v>
      </c>
      <c r="C4007">
        <v>0.60134002436058798</v>
      </c>
      <c r="D4007">
        <v>0.232213496169212</v>
      </c>
      <c r="E4007">
        <v>0.87174002436058795</v>
      </c>
      <c r="F4007">
        <v>14.330167710648601</v>
      </c>
    </row>
    <row r="4008" spans="1:6">
      <c r="A4008" t="s">
        <v>52703</v>
      </c>
      <c r="B4008" t="s">
        <v>52705</v>
      </c>
      <c r="C4008">
        <v>0</v>
      </c>
      <c r="D4008">
        <v>0.232213496169212</v>
      </c>
      <c r="E4008">
        <v>0.87174002436058795</v>
      </c>
      <c r="F4008">
        <v>14.330167710648601</v>
      </c>
    </row>
    <row r="4009" spans="1:6">
      <c r="A4009" t="s">
        <v>52706</v>
      </c>
      <c r="B4009" t="s">
        <v>52707</v>
      </c>
      <c r="C4009">
        <v>0.16896611846824999</v>
      </c>
      <c r="D4009">
        <v>0.179331495555657</v>
      </c>
      <c r="E4009">
        <v>0.97402021644127901</v>
      </c>
      <c r="F4009">
        <v>5.1792281268943201</v>
      </c>
    </row>
    <row r="4010" spans="1:6">
      <c r="A4010" t="s">
        <v>52706</v>
      </c>
      <c r="B4010" t="s">
        <v>52708</v>
      </c>
      <c r="C4010">
        <v>0</v>
      </c>
      <c r="D4010">
        <v>0.179331495555657</v>
      </c>
      <c r="E4010">
        <v>0.97402021644127901</v>
      </c>
      <c r="F4010">
        <v>5.1792281268943201</v>
      </c>
    </row>
    <row r="4011" spans="1:6">
      <c r="A4011" t="s">
        <v>52706</v>
      </c>
      <c r="B4011" t="s">
        <v>52709</v>
      </c>
      <c r="C4011">
        <v>0.678633387476128</v>
      </c>
      <c r="D4011">
        <v>0.179331495555657</v>
      </c>
      <c r="E4011">
        <v>0.97402021644127901</v>
      </c>
      <c r="F4011">
        <v>5.1792281268943201</v>
      </c>
    </row>
    <row r="4012" spans="1:6">
      <c r="A4012" t="s">
        <v>52706</v>
      </c>
      <c r="B4012" t="s">
        <v>52710</v>
      </c>
      <c r="C4012">
        <v>0</v>
      </c>
      <c r="D4012">
        <v>0.179331495555657</v>
      </c>
      <c r="E4012">
        <v>0.97402021644127901</v>
      </c>
      <c r="F4012">
        <v>5.1792281268943201</v>
      </c>
    </row>
    <row r="4013" spans="1:6">
      <c r="A4013" t="s">
        <v>52706</v>
      </c>
      <c r="B4013" t="s">
        <v>52711</v>
      </c>
      <c r="C4013">
        <v>0</v>
      </c>
      <c r="D4013">
        <v>0.179331495555657</v>
      </c>
      <c r="E4013">
        <v>0.97402021644127901</v>
      </c>
      <c r="F4013">
        <v>5.1792281268943201</v>
      </c>
    </row>
    <row r="4014" spans="1:6">
      <c r="A4014" t="s">
        <v>52712</v>
      </c>
      <c r="B4014" t="s">
        <v>52713</v>
      </c>
      <c r="C4014">
        <v>0</v>
      </c>
      <c r="D4014">
        <v>4.9290543476941603E-2</v>
      </c>
      <c r="E4014" t="s">
        <v>106</v>
      </c>
      <c r="F4014">
        <v>1.8476459890887</v>
      </c>
    </row>
    <row r="4015" spans="1:6">
      <c r="A4015" t="s">
        <v>52712</v>
      </c>
      <c r="B4015" t="s">
        <v>52714</v>
      </c>
      <c r="C4015">
        <v>0</v>
      </c>
      <c r="D4015">
        <v>4.9290543476941603E-2</v>
      </c>
      <c r="E4015" t="s">
        <v>106</v>
      </c>
      <c r="F4015">
        <v>1.8476459890887</v>
      </c>
    </row>
    <row r="4016" spans="1:6">
      <c r="A4016" t="s">
        <v>52715</v>
      </c>
      <c r="B4016" t="s">
        <v>52716</v>
      </c>
      <c r="C4016">
        <v>0</v>
      </c>
      <c r="D4016">
        <v>0.14238796843782101</v>
      </c>
      <c r="E4016">
        <v>0.81935198464672998</v>
      </c>
      <c r="F4016">
        <v>10.6639725197009</v>
      </c>
    </row>
    <row r="4017" spans="1:6">
      <c r="A4017" t="s">
        <v>52715</v>
      </c>
      <c r="B4017" t="s">
        <v>52717</v>
      </c>
      <c r="C4017">
        <v>0</v>
      </c>
      <c r="D4017">
        <v>0.14238796843782101</v>
      </c>
      <c r="E4017">
        <v>0.81935198464672998</v>
      </c>
      <c r="F4017">
        <v>10.6639725197009</v>
      </c>
    </row>
    <row r="4018" spans="1:6">
      <c r="A4018" t="s">
        <v>52715</v>
      </c>
      <c r="B4018" t="s">
        <v>52718</v>
      </c>
      <c r="C4018">
        <v>0</v>
      </c>
      <c r="D4018">
        <v>0.14238796843782101</v>
      </c>
      <c r="E4018">
        <v>0.81935198464672998</v>
      </c>
      <c r="F4018">
        <v>10.6639725197009</v>
      </c>
    </row>
    <row r="4019" spans="1:6">
      <c r="A4019" t="s">
        <v>52715</v>
      </c>
      <c r="B4019" t="s">
        <v>52719</v>
      </c>
      <c r="C4019">
        <v>0</v>
      </c>
      <c r="D4019">
        <v>0.14238796843782101</v>
      </c>
      <c r="E4019">
        <v>0.81935198464672998</v>
      </c>
      <c r="F4019">
        <v>10.6639725197009</v>
      </c>
    </row>
    <row r="4020" spans="1:6">
      <c r="A4020" t="s">
        <v>52715</v>
      </c>
      <c r="B4020" t="s">
        <v>52720</v>
      </c>
      <c r="C4020">
        <v>0</v>
      </c>
      <c r="D4020">
        <v>0.14238796843782101</v>
      </c>
      <c r="E4020">
        <v>0.81935198464672998</v>
      </c>
      <c r="F4020">
        <v>10.6639725197009</v>
      </c>
    </row>
    <row r="4021" spans="1:6">
      <c r="A4021" t="s">
        <v>52715</v>
      </c>
      <c r="B4021" t="s">
        <v>52721</v>
      </c>
      <c r="C4021">
        <v>0.37615198464673</v>
      </c>
      <c r="D4021">
        <v>0.14238796843782101</v>
      </c>
      <c r="E4021">
        <v>0.81935198464672998</v>
      </c>
      <c r="F4021">
        <v>10.6639725197009</v>
      </c>
    </row>
    <row r="4022" spans="1:6">
      <c r="A4022" t="s">
        <v>52722</v>
      </c>
      <c r="B4022" t="s">
        <v>52723</v>
      </c>
      <c r="C4022">
        <v>0</v>
      </c>
      <c r="D4022">
        <v>0.72079213958867905</v>
      </c>
      <c r="E4022">
        <v>0.79351738051787302</v>
      </c>
      <c r="F4022">
        <v>10.1887249949484</v>
      </c>
    </row>
    <row r="4023" spans="1:6">
      <c r="A4023" t="s">
        <v>52722</v>
      </c>
      <c r="B4023" t="s">
        <v>52724</v>
      </c>
      <c r="C4023">
        <v>0</v>
      </c>
      <c r="D4023">
        <v>0.72079213958867905</v>
      </c>
      <c r="E4023">
        <v>0.79351738051787302</v>
      </c>
      <c r="F4023">
        <v>10.1887249949484</v>
      </c>
    </row>
    <row r="4024" spans="1:6">
      <c r="A4024" t="s">
        <v>52722</v>
      </c>
      <c r="B4024" t="s">
        <v>52725</v>
      </c>
      <c r="C4024">
        <v>0</v>
      </c>
      <c r="D4024">
        <v>0.72079213958867905</v>
      </c>
      <c r="E4024">
        <v>0.79351738051787302</v>
      </c>
      <c r="F4024">
        <v>10.1887249949484</v>
      </c>
    </row>
    <row r="4025" spans="1:6">
      <c r="A4025" t="s">
        <v>52722</v>
      </c>
      <c r="B4025" t="s">
        <v>52726</v>
      </c>
      <c r="C4025">
        <v>0.47031738051787297</v>
      </c>
      <c r="D4025">
        <v>0.72079213958867905</v>
      </c>
      <c r="E4025">
        <v>0.79351738051787302</v>
      </c>
      <c r="F4025">
        <v>10.1887249949484</v>
      </c>
    </row>
    <row r="4026" spans="1:6">
      <c r="A4026" t="s">
        <v>52727</v>
      </c>
      <c r="B4026" t="s">
        <v>52728</v>
      </c>
      <c r="C4026">
        <v>0.44080027090989998</v>
      </c>
      <c r="D4026">
        <v>0.121962347347407</v>
      </c>
      <c r="E4026">
        <v>0.92166234627961496</v>
      </c>
      <c r="F4026">
        <v>14.519296827641901</v>
      </c>
    </row>
    <row r="4027" spans="1:6">
      <c r="A4027" t="s">
        <v>52727</v>
      </c>
      <c r="B4027" t="s">
        <v>52729</v>
      </c>
      <c r="C4027">
        <v>0</v>
      </c>
      <c r="D4027">
        <v>0.121962347347407</v>
      </c>
      <c r="E4027">
        <v>0.92166234627961496</v>
      </c>
      <c r="F4027">
        <v>14.519296827641901</v>
      </c>
    </row>
    <row r="4028" spans="1:6">
      <c r="A4028" t="s">
        <v>52727</v>
      </c>
      <c r="B4028" t="s">
        <v>52730</v>
      </c>
      <c r="C4028">
        <v>0.79025353463953996</v>
      </c>
      <c r="D4028">
        <v>0.121962347347407</v>
      </c>
      <c r="E4028">
        <v>0.92166234627961496</v>
      </c>
      <c r="F4028">
        <v>14.519296827641901</v>
      </c>
    </row>
    <row r="4029" spans="1:6">
      <c r="A4029" t="s">
        <v>52731</v>
      </c>
      <c r="B4029" t="s">
        <v>52732</v>
      </c>
      <c r="C4029">
        <v>0</v>
      </c>
      <c r="D4029">
        <v>0.34481225690770101</v>
      </c>
      <c r="E4029">
        <v>0.91729397624282405</v>
      </c>
      <c r="F4029">
        <v>2.05617296423519</v>
      </c>
    </row>
    <row r="4030" spans="1:6">
      <c r="A4030" t="s">
        <v>52731</v>
      </c>
      <c r="B4030" t="s">
        <v>52733</v>
      </c>
      <c r="C4030">
        <v>0.68529397624282395</v>
      </c>
      <c r="D4030">
        <v>0.34481225690770101</v>
      </c>
      <c r="E4030">
        <v>0.91729397624282405</v>
      </c>
      <c r="F4030">
        <v>2.05617296423519</v>
      </c>
    </row>
    <row r="4031" spans="1:6">
      <c r="A4031" t="s">
        <v>52731</v>
      </c>
      <c r="B4031" t="s">
        <v>52734</v>
      </c>
      <c r="C4031">
        <v>0</v>
      </c>
      <c r="D4031">
        <v>0.34481225690770101</v>
      </c>
      <c r="E4031">
        <v>0.91729397624282405</v>
      </c>
      <c r="F4031">
        <v>2.05617296423519</v>
      </c>
    </row>
    <row r="4032" spans="1:6">
      <c r="A4032" t="s">
        <v>52731</v>
      </c>
      <c r="B4032" t="s">
        <v>52735</v>
      </c>
      <c r="C4032">
        <v>0</v>
      </c>
      <c r="D4032">
        <v>0.34481225690770101</v>
      </c>
      <c r="E4032">
        <v>0.91729397624282405</v>
      </c>
      <c r="F4032">
        <v>2.05617296423519</v>
      </c>
    </row>
    <row r="4033" spans="1:6">
      <c r="A4033" t="s">
        <v>52731</v>
      </c>
      <c r="B4033" t="s">
        <v>52736</v>
      </c>
      <c r="C4033">
        <v>0</v>
      </c>
      <c r="D4033">
        <v>0.34481225690770101</v>
      </c>
      <c r="E4033">
        <v>0.91729397624282405</v>
      </c>
      <c r="F4033">
        <v>2.05617296423519</v>
      </c>
    </row>
    <row r="4034" spans="1:6">
      <c r="A4034" t="s">
        <v>52737</v>
      </c>
      <c r="B4034" t="s">
        <v>52738</v>
      </c>
      <c r="C4034">
        <v>0</v>
      </c>
      <c r="D4034">
        <v>0.22842894797360999</v>
      </c>
      <c r="E4034" t="s">
        <v>106</v>
      </c>
      <c r="F4034">
        <v>2.05617296423519</v>
      </c>
    </row>
    <row r="4035" spans="1:6">
      <c r="A4035" t="s">
        <v>52737</v>
      </c>
      <c r="B4035" t="s">
        <v>52739</v>
      </c>
      <c r="C4035">
        <v>0</v>
      </c>
      <c r="D4035">
        <v>0.22842894797360999</v>
      </c>
      <c r="E4035" t="s">
        <v>106</v>
      </c>
      <c r="F4035">
        <v>2.05617296423519</v>
      </c>
    </row>
    <row r="4036" spans="1:6">
      <c r="A4036" t="s">
        <v>52737</v>
      </c>
      <c r="B4036" t="s">
        <v>52740</v>
      </c>
      <c r="C4036">
        <v>0</v>
      </c>
      <c r="D4036">
        <v>0.22842894797360999</v>
      </c>
      <c r="E4036" t="s">
        <v>106</v>
      </c>
      <c r="F4036">
        <v>2.05617296423519</v>
      </c>
    </row>
    <row r="4037" spans="1:6">
      <c r="A4037" t="s">
        <v>52737</v>
      </c>
      <c r="B4037" t="s">
        <v>52741</v>
      </c>
      <c r="C4037">
        <v>0</v>
      </c>
      <c r="D4037">
        <v>0.22842894797360999</v>
      </c>
      <c r="E4037" t="s">
        <v>106</v>
      </c>
      <c r="F4037">
        <v>2.05617296423519</v>
      </c>
    </row>
    <row r="4038" spans="1:6">
      <c r="A4038" t="s">
        <v>52737</v>
      </c>
      <c r="B4038" t="s">
        <v>52742</v>
      </c>
      <c r="C4038">
        <v>0</v>
      </c>
      <c r="D4038">
        <v>0.22842894797360999</v>
      </c>
      <c r="E4038" t="s">
        <v>106</v>
      </c>
      <c r="F4038">
        <v>2.05617296423519</v>
      </c>
    </row>
    <row r="4039" spans="1:6">
      <c r="A4039" t="s">
        <v>52743</v>
      </c>
      <c r="B4039" t="s">
        <v>52744</v>
      </c>
      <c r="C4039">
        <v>0</v>
      </c>
      <c r="D4039">
        <v>0.18411439445997299</v>
      </c>
      <c r="E4039">
        <v>0.98369088289815199</v>
      </c>
      <c r="F4039">
        <v>9.56314406950899</v>
      </c>
    </row>
    <row r="4040" spans="1:6">
      <c r="A4040" t="s">
        <v>52743</v>
      </c>
      <c r="B4040" t="s">
        <v>52745</v>
      </c>
      <c r="C4040">
        <v>8.5497402178293505E-2</v>
      </c>
      <c r="D4040">
        <v>0.18411439445997299</v>
      </c>
      <c r="E4040">
        <v>0.98369088289815199</v>
      </c>
      <c r="F4040">
        <v>9.56314406950899</v>
      </c>
    </row>
    <row r="4041" spans="1:6">
      <c r="A4041" t="s">
        <v>52743</v>
      </c>
      <c r="B4041" t="s">
        <v>52746</v>
      </c>
      <c r="C4041">
        <v>0.83754829680014398</v>
      </c>
      <c r="D4041">
        <v>0.18411439445997299</v>
      </c>
      <c r="E4041">
        <v>0.98369088289815199</v>
      </c>
      <c r="F4041">
        <v>9.56314406950899</v>
      </c>
    </row>
    <row r="4042" spans="1:6">
      <c r="A4042" t="s">
        <v>52743</v>
      </c>
      <c r="B4042" t="s">
        <v>52747</v>
      </c>
      <c r="C4042">
        <v>0</v>
      </c>
      <c r="D4042">
        <v>0.18411439445997299</v>
      </c>
      <c r="E4042">
        <v>0.98369088289815199</v>
      </c>
      <c r="F4042">
        <v>9.56314406950899</v>
      </c>
    </row>
    <row r="4043" spans="1:6">
      <c r="A4043" t="s">
        <v>52743</v>
      </c>
      <c r="B4043" t="s">
        <v>52748</v>
      </c>
      <c r="C4043">
        <v>0</v>
      </c>
      <c r="D4043">
        <v>0.18411439445997299</v>
      </c>
      <c r="E4043">
        <v>0.98369088289815199</v>
      </c>
      <c r="F4043">
        <v>9.56314406950899</v>
      </c>
    </row>
    <row r="4044" spans="1:6">
      <c r="A4044" t="s">
        <v>52749</v>
      </c>
      <c r="B4044" t="s">
        <v>52750</v>
      </c>
      <c r="C4044">
        <v>3.9199415119346999E-2</v>
      </c>
      <c r="D4044">
        <v>0.27450480018995599</v>
      </c>
      <c r="E4044">
        <v>0.89734329651684996</v>
      </c>
      <c r="F4044">
        <v>5.9987876338654198</v>
      </c>
    </row>
    <row r="4045" spans="1:6">
      <c r="A4045" t="s">
        <v>52749</v>
      </c>
      <c r="B4045" t="s">
        <v>52751</v>
      </c>
      <c r="C4045">
        <v>2.28020529896409E-2</v>
      </c>
      <c r="D4045">
        <v>0.27450480018995599</v>
      </c>
      <c r="E4045">
        <v>0.89734329651684996</v>
      </c>
      <c r="F4045">
        <v>5.9987876338654198</v>
      </c>
    </row>
    <row r="4046" spans="1:6">
      <c r="A4046" t="s">
        <v>52749</v>
      </c>
      <c r="B4046" t="s">
        <v>52752</v>
      </c>
      <c r="C4046">
        <v>0</v>
      </c>
      <c r="D4046">
        <v>0.27450480018995599</v>
      </c>
      <c r="E4046">
        <v>0.89734329651684996</v>
      </c>
      <c r="F4046">
        <v>5.9987876338654198</v>
      </c>
    </row>
    <row r="4047" spans="1:6">
      <c r="A4047" t="s">
        <v>52749</v>
      </c>
      <c r="B4047" t="s">
        <v>52753</v>
      </c>
      <c r="C4047">
        <v>0</v>
      </c>
      <c r="D4047">
        <v>0.27450480018995599</v>
      </c>
      <c r="E4047">
        <v>0.89734329651684996</v>
      </c>
      <c r="F4047">
        <v>5.9987876338654198</v>
      </c>
    </row>
    <row r="4048" spans="1:6">
      <c r="A4048" t="s">
        <v>52749</v>
      </c>
      <c r="B4048" t="s">
        <v>52754</v>
      </c>
      <c r="C4048">
        <v>0</v>
      </c>
      <c r="D4048">
        <v>0.27450480018995599</v>
      </c>
      <c r="E4048">
        <v>0.89734329651684996</v>
      </c>
      <c r="F4048">
        <v>5.9987876338654198</v>
      </c>
    </row>
    <row r="4049" spans="1:6">
      <c r="A4049" t="s">
        <v>52755</v>
      </c>
      <c r="B4049" t="s">
        <v>52756</v>
      </c>
      <c r="C4049">
        <v>0.333546371654944</v>
      </c>
      <c r="D4049">
        <v>0.38714576420450902</v>
      </c>
      <c r="E4049">
        <v>0.85054397546628302</v>
      </c>
      <c r="F4049">
        <v>16.0662760153566</v>
      </c>
    </row>
    <row r="4050" spans="1:6">
      <c r="A4050" t="s">
        <v>52755</v>
      </c>
      <c r="B4050" t="s">
        <v>52757</v>
      </c>
      <c r="C4050">
        <v>0</v>
      </c>
      <c r="D4050">
        <v>0.38714576420450902</v>
      </c>
      <c r="E4050">
        <v>0.85054397546628302</v>
      </c>
      <c r="F4050">
        <v>16.0662760153566</v>
      </c>
    </row>
    <row r="4051" spans="1:6">
      <c r="A4051" t="s">
        <v>52755</v>
      </c>
      <c r="B4051" t="s">
        <v>52758</v>
      </c>
      <c r="C4051">
        <v>0.24218243286976701</v>
      </c>
      <c r="D4051">
        <v>0.38714576420450902</v>
      </c>
      <c r="E4051">
        <v>0.85054397546628302</v>
      </c>
      <c r="F4051">
        <v>16.0662760153566</v>
      </c>
    </row>
    <row r="4052" spans="1:6">
      <c r="A4052" t="s">
        <v>52759</v>
      </c>
      <c r="B4052" t="s">
        <v>52760</v>
      </c>
      <c r="C4052">
        <v>0</v>
      </c>
      <c r="D4052">
        <v>0.69197880148213498</v>
      </c>
      <c r="E4052">
        <v>0.93689896964874297</v>
      </c>
      <c r="F4052">
        <v>7.5409173570418204</v>
      </c>
    </row>
    <row r="4053" spans="1:6">
      <c r="A4053" t="s">
        <v>52759</v>
      </c>
      <c r="B4053" t="s">
        <v>52761</v>
      </c>
      <c r="C4053">
        <v>0.76820823792349802</v>
      </c>
      <c r="D4053">
        <v>0.69197880148213498</v>
      </c>
      <c r="E4053">
        <v>0.93689896964874297</v>
      </c>
      <c r="F4053">
        <v>7.5409173570418204</v>
      </c>
    </row>
    <row r="4054" spans="1:6">
      <c r="A4054" t="s">
        <v>52759</v>
      </c>
      <c r="B4054" t="s">
        <v>52762</v>
      </c>
      <c r="C4054">
        <v>0</v>
      </c>
      <c r="D4054">
        <v>0.69197880148213498</v>
      </c>
      <c r="E4054">
        <v>0.93689896964874297</v>
      </c>
      <c r="F4054">
        <v>7.5409173570418204</v>
      </c>
    </row>
    <row r="4055" spans="1:6">
      <c r="A4055" t="s">
        <v>52759</v>
      </c>
      <c r="B4055" t="s">
        <v>52763</v>
      </c>
      <c r="C4055">
        <v>0</v>
      </c>
      <c r="D4055">
        <v>0.69197880148213498</v>
      </c>
      <c r="E4055">
        <v>0.93689896964874297</v>
      </c>
      <c r="F4055">
        <v>7.5409173570418204</v>
      </c>
    </row>
    <row r="4056" spans="1:6">
      <c r="A4056" t="s">
        <v>52759</v>
      </c>
      <c r="B4056" t="s">
        <v>52764</v>
      </c>
      <c r="C4056">
        <v>7.9115085371143007E-2</v>
      </c>
      <c r="D4056">
        <v>0.69197880148213498</v>
      </c>
      <c r="E4056">
        <v>0.93689896964874297</v>
      </c>
      <c r="F4056">
        <v>7.5409173570418204</v>
      </c>
    </row>
    <row r="4057" spans="1:6">
      <c r="A4057" t="s">
        <v>52765</v>
      </c>
      <c r="B4057" t="s">
        <v>52766</v>
      </c>
      <c r="C4057">
        <v>0</v>
      </c>
      <c r="D4057">
        <v>0.64374992442841406</v>
      </c>
      <c r="E4057">
        <v>0.94073586892172201</v>
      </c>
      <c r="F4057">
        <v>1.9397858153162199E-2</v>
      </c>
    </row>
    <row r="4058" spans="1:6">
      <c r="A4058" t="s">
        <v>52765</v>
      </c>
      <c r="B4058" t="s">
        <v>52767</v>
      </c>
      <c r="C4058">
        <v>6.20734490383789E-2</v>
      </c>
      <c r="D4058">
        <v>0.64374992442841406</v>
      </c>
      <c r="E4058">
        <v>0.94073586892172201</v>
      </c>
      <c r="F4058">
        <v>1.9397858153162199E-2</v>
      </c>
    </row>
    <row r="4059" spans="1:6">
      <c r="A4059" t="s">
        <v>52765</v>
      </c>
      <c r="B4059" t="s">
        <v>52768</v>
      </c>
      <c r="C4059">
        <v>0</v>
      </c>
      <c r="D4059">
        <v>0.64374992442841406</v>
      </c>
      <c r="E4059">
        <v>0.94073586892172201</v>
      </c>
      <c r="F4059">
        <v>1.9397858153162199E-2</v>
      </c>
    </row>
    <row r="4060" spans="1:6">
      <c r="A4060" t="s">
        <v>52765</v>
      </c>
      <c r="B4060" t="s">
        <v>52769</v>
      </c>
      <c r="C4060">
        <v>0.74575971761917503</v>
      </c>
      <c r="D4060">
        <v>0.64374992442841406</v>
      </c>
      <c r="E4060">
        <v>0.94073586892172201</v>
      </c>
      <c r="F4060">
        <v>1.9397858153162199E-2</v>
      </c>
    </row>
    <row r="4061" spans="1:6">
      <c r="A4061" t="s">
        <v>52765</v>
      </c>
      <c r="B4061" t="s">
        <v>52770</v>
      </c>
      <c r="C4061">
        <v>0</v>
      </c>
      <c r="D4061">
        <v>0.64374992442841406</v>
      </c>
      <c r="E4061">
        <v>0.94073586892172201</v>
      </c>
      <c r="F4061">
        <v>1.9397858153162199E-2</v>
      </c>
    </row>
    <row r="4062" spans="1:6">
      <c r="A4062" t="s">
        <v>52771</v>
      </c>
      <c r="B4062" t="s">
        <v>52772</v>
      </c>
      <c r="C4062">
        <v>0.223862270485018</v>
      </c>
      <c r="D4062">
        <v>0.59044690319011495</v>
      </c>
      <c r="E4062">
        <v>0.96574905983443404</v>
      </c>
      <c r="F4062">
        <v>9.7183269347342893</v>
      </c>
    </row>
    <row r="4063" spans="1:6">
      <c r="A4063" t="s">
        <v>52771</v>
      </c>
      <c r="B4063" t="s">
        <v>52773</v>
      </c>
      <c r="C4063">
        <v>0</v>
      </c>
      <c r="D4063">
        <v>0.59044690319011495</v>
      </c>
      <c r="E4063">
        <v>0.96574905983443404</v>
      </c>
      <c r="F4063">
        <v>9.7183269347342893</v>
      </c>
    </row>
    <row r="4064" spans="1:6">
      <c r="A4064" t="s">
        <v>52771</v>
      </c>
      <c r="B4064" t="s">
        <v>52774</v>
      </c>
      <c r="C4064">
        <v>0.67602899986764797</v>
      </c>
      <c r="D4064">
        <v>0.59044690319011495</v>
      </c>
      <c r="E4064">
        <v>0.96574905983443404</v>
      </c>
      <c r="F4064">
        <v>9.7183269347342893</v>
      </c>
    </row>
    <row r="4065" spans="1:6">
      <c r="A4065" t="s">
        <v>52775</v>
      </c>
      <c r="B4065" t="s">
        <v>52776</v>
      </c>
      <c r="C4065">
        <v>0.20605025616220801</v>
      </c>
      <c r="D4065">
        <v>0.15099448636554899</v>
      </c>
      <c r="E4065">
        <v>0.741938355540951</v>
      </c>
      <c r="F4065">
        <v>8.66599312992523</v>
      </c>
    </row>
    <row r="4066" spans="1:6">
      <c r="A4066" t="s">
        <v>52775</v>
      </c>
      <c r="B4066" t="s">
        <v>52777</v>
      </c>
      <c r="C4066">
        <v>0.49137887519054602</v>
      </c>
      <c r="D4066">
        <v>0.15099448636554899</v>
      </c>
      <c r="E4066">
        <v>0.741938355540951</v>
      </c>
      <c r="F4066">
        <v>8.66599312992523</v>
      </c>
    </row>
    <row r="4067" spans="1:6">
      <c r="A4067" t="s">
        <v>52778</v>
      </c>
      <c r="B4067" t="s">
        <v>52779</v>
      </c>
      <c r="C4067">
        <v>0.710970531346098</v>
      </c>
      <c r="D4067">
        <v>0.112256462549262</v>
      </c>
      <c r="E4067">
        <v>0.97696881178652895</v>
      </c>
      <c r="F4067">
        <v>13.4087694483734</v>
      </c>
    </row>
    <row r="4068" spans="1:6">
      <c r="A4068" t="s">
        <v>52778</v>
      </c>
      <c r="B4068" t="s">
        <v>52780</v>
      </c>
      <c r="C4068">
        <v>0</v>
      </c>
      <c r="D4068">
        <v>0.112256462549262</v>
      </c>
      <c r="E4068">
        <v>0.97696881178652895</v>
      </c>
      <c r="F4068">
        <v>13.4087694483734</v>
      </c>
    </row>
    <row r="4069" spans="1:6">
      <c r="A4069" t="s">
        <v>52778</v>
      </c>
      <c r="B4069" t="s">
        <v>52781</v>
      </c>
      <c r="C4069">
        <v>0</v>
      </c>
      <c r="D4069">
        <v>0.112256462549262</v>
      </c>
      <c r="E4069">
        <v>0.97696881178652895</v>
      </c>
      <c r="F4069">
        <v>13.4087694483734</v>
      </c>
    </row>
    <row r="4070" spans="1:6">
      <c r="A4070" t="s">
        <v>52778</v>
      </c>
      <c r="B4070" t="s">
        <v>52782</v>
      </c>
      <c r="C4070">
        <v>0.26196376228842</v>
      </c>
      <c r="D4070">
        <v>0.112256462549262</v>
      </c>
      <c r="E4070">
        <v>0.97696881178652895</v>
      </c>
      <c r="F4070">
        <v>13.4087694483734</v>
      </c>
    </row>
    <row r="4071" spans="1:6">
      <c r="A4071" t="s">
        <v>52778</v>
      </c>
      <c r="B4071" t="s">
        <v>52783</v>
      </c>
      <c r="C4071">
        <v>0</v>
      </c>
      <c r="D4071">
        <v>0.112256462549262</v>
      </c>
      <c r="E4071">
        <v>0.97696881178652895</v>
      </c>
      <c r="F4071">
        <v>13.4087694483734</v>
      </c>
    </row>
    <row r="4072" spans="1:6">
      <c r="A4072" t="s">
        <v>52784</v>
      </c>
      <c r="B4072" t="s">
        <v>52785</v>
      </c>
      <c r="C4072">
        <v>0</v>
      </c>
      <c r="D4072">
        <v>0.56515997654711703</v>
      </c>
      <c r="E4072">
        <v>0.99830643221496196</v>
      </c>
      <c r="F4072">
        <v>5.4071529601939696</v>
      </c>
    </row>
    <row r="4073" spans="1:6">
      <c r="A4073" t="s">
        <v>52784</v>
      </c>
      <c r="B4073" t="s">
        <v>52786</v>
      </c>
      <c r="C4073">
        <v>0</v>
      </c>
      <c r="D4073">
        <v>0.56515997654711703</v>
      </c>
      <c r="E4073">
        <v>0.99830643221496196</v>
      </c>
      <c r="F4073">
        <v>5.4071529601939696</v>
      </c>
    </row>
    <row r="4074" spans="1:6">
      <c r="A4074" t="s">
        <v>52784</v>
      </c>
      <c r="B4074" t="s">
        <v>52787</v>
      </c>
      <c r="C4074">
        <v>1.4894474012798999</v>
      </c>
      <c r="D4074">
        <v>0.56515997654711703</v>
      </c>
      <c r="E4074">
        <v>0.99830643221496196</v>
      </c>
      <c r="F4074">
        <v>5.4071529601939696</v>
      </c>
    </row>
    <row r="4075" spans="1:6">
      <c r="A4075" t="s">
        <v>52784</v>
      </c>
      <c r="B4075" t="s">
        <v>52788</v>
      </c>
      <c r="C4075">
        <v>0.89656242483225101</v>
      </c>
      <c r="D4075">
        <v>0.56515997654711703</v>
      </c>
      <c r="E4075">
        <v>0.99830643221496196</v>
      </c>
      <c r="F4075">
        <v>5.4071529601939696</v>
      </c>
    </row>
    <row r="4076" spans="1:6">
      <c r="A4076" t="s">
        <v>52789</v>
      </c>
      <c r="B4076" t="s">
        <v>52790</v>
      </c>
      <c r="C4076">
        <v>0</v>
      </c>
      <c r="D4076">
        <v>0.387240157192621</v>
      </c>
      <c r="E4076">
        <v>0.77884287481605796</v>
      </c>
      <c r="F4076">
        <v>14.145888058193499</v>
      </c>
    </row>
    <row r="4077" spans="1:6">
      <c r="A4077" t="s">
        <v>52789</v>
      </c>
      <c r="B4077" t="s">
        <v>52791</v>
      </c>
      <c r="C4077">
        <v>0</v>
      </c>
      <c r="D4077">
        <v>0.387240157192621</v>
      </c>
      <c r="E4077">
        <v>0.77884287481605796</v>
      </c>
      <c r="F4077">
        <v>14.145888058193499</v>
      </c>
    </row>
    <row r="4078" spans="1:6">
      <c r="A4078" t="s">
        <v>52789</v>
      </c>
      <c r="B4078" t="s">
        <v>52792</v>
      </c>
      <c r="C4078">
        <v>0</v>
      </c>
      <c r="D4078">
        <v>0.387240157192621</v>
      </c>
      <c r="E4078">
        <v>0.77884287481605796</v>
      </c>
      <c r="F4078">
        <v>14.145888058193499</v>
      </c>
    </row>
    <row r="4079" spans="1:6">
      <c r="A4079" t="s">
        <v>52789</v>
      </c>
      <c r="B4079" t="s">
        <v>52793</v>
      </c>
      <c r="C4079">
        <v>0.50844287481605799</v>
      </c>
      <c r="D4079">
        <v>0.387240157192621</v>
      </c>
      <c r="E4079">
        <v>0.77884287481605796</v>
      </c>
      <c r="F4079">
        <v>14.145888058193499</v>
      </c>
    </row>
    <row r="4080" spans="1:6">
      <c r="A4080" t="s">
        <v>52794</v>
      </c>
      <c r="B4080" t="s">
        <v>52795</v>
      </c>
      <c r="C4080">
        <v>0</v>
      </c>
      <c r="D4080">
        <v>0.43701567232941402</v>
      </c>
      <c r="E4080">
        <v>0.64363248088671399</v>
      </c>
      <c r="F4080">
        <v>1.0765811275004999</v>
      </c>
    </row>
    <row r="4081" spans="1:6">
      <c r="A4081" t="s">
        <v>52794</v>
      </c>
      <c r="B4081" t="s">
        <v>52796</v>
      </c>
      <c r="C4081">
        <v>0.330032480886714</v>
      </c>
      <c r="D4081">
        <v>0.43701567232941402</v>
      </c>
      <c r="E4081">
        <v>0.64363248088671399</v>
      </c>
      <c r="F4081">
        <v>1.0765811275004999</v>
      </c>
    </row>
    <row r="4082" spans="1:6">
      <c r="A4082" t="s">
        <v>52797</v>
      </c>
      <c r="B4082" t="s">
        <v>52798</v>
      </c>
      <c r="C4082">
        <v>0</v>
      </c>
      <c r="D4082">
        <v>0.139274869155814</v>
      </c>
      <c r="E4082">
        <v>0.99556461626528803</v>
      </c>
      <c r="F4082">
        <v>8.66599312992523</v>
      </c>
    </row>
    <row r="4083" spans="1:6">
      <c r="A4083" t="s">
        <v>52797</v>
      </c>
      <c r="B4083" t="s">
        <v>52799</v>
      </c>
      <c r="C4083">
        <v>0.732880711996861</v>
      </c>
      <c r="D4083">
        <v>0.139274869155814</v>
      </c>
      <c r="E4083">
        <v>0.99556461626528803</v>
      </c>
      <c r="F4083">
        <v>8.66599312992523</v>
      </c>
    </row>
    <row r="4084" spans="1:6">
      <c r="A4084" t="s">
        <v>52797</v>
      </c>
      <c r="B4084" t="s">
        <v>52800</v>
      </c>
      <c r="C4084">
        <v>0.55826678496960402</v>
      </c>
      <c r="D4084">
        <v>0.139274869155814</v>
      </c>
      <c r="E4084">
        <v>0.99556461626528803</v>
      </c>
      <c r="F4084">
        <v>8.66599312992523</v>
      </c>
    </row>
    <row r="4085" spans="1:6">
      <c r="A4085" t="s">
        <v>52797</v>
      </c>
      <c r="B4085" t="s">
        <v>52801</v>
      </c>
      <c r="C4085">
        <v>0</v>
      </c>
      <c r="D4085">
        <v>0.139274869155814</v>
      </c>
      <c r="E4085">
        <v>0.99556461626528803</v>
      </c>
      <c r="F4085">
        <v>8.66599312992523</v>
      </c>
    </row>
    <row r="4086" spans="1:6">
      <c r="A4086" t="s">
        <v>52797</v>
      </c>
      <c r="B4086" t="s">
        <v>52802</v>
      </c>
      <c r="C4086">
        <v>0</v>
      </c>
      <c r="D4086">
        <v>0.139274869155814</v>
      </c>
      <c r="E4086">
        <v>0.99556461626528803</v>
      </c>
      <c r="F4086">
        <v>8.66599312992523</v>
      </c>
    </row>
    <row r="4087" spans="1:6">
      <c r="A4087" t="s">
        <v>52803</v>
      </c>
      <c r="B4087" t="s">
        <v>52804</v>
      </c>
      <c r="C4087">
        <v>0</v>
      </c>
      <c r="D4087">
        <v>0.45913960431909501</v>
      </c>
      <c r="E4087">
        <v>0.91220526464473195</v>
      </c>
      <c r="F4087">
        <v>11.827844008890599</v>
      </c>
    </row>
    <row r="4088" spans="1:6">
      <c r="A4088" t="s">
        <v>52803</v>
      </c>
      <c r="B4088" t="s">
        <v>52805</v>
      </c>
      <c r="C4088">
        <v>0</v>
      </c>
      <c r="D4088">
        <v>0.45913960431909501</v>
      </c>
      <c r="E4088">
        <v>0.91220526464473195</v>
      </c>
      <c r="F4088">
        <v>11.827844008890599</v>
      </c>
    </row>
    <row r="4089" spans="1:6">
      <c r="A4089" t="s">
        <v>52803</v>
      </c>
      <c r="B4089" t="s">
        <v>52806</v>
      </c>
      <c r="C4089">
        <v>0</v>
      </c>
      <c r="D4089">
        <v>0.45913960431909501</v>
      </c>
      <c r="E4089">
        <v>0.91220526464473195</v>
      </c>
      <c r="F4089">
        <v>11.827844008890599</v>
      </c>
    </row>
    <row r="4090" spans="1:6">
      <c r="A4090" t="s">
        <v>52803</v>
      </c>
      <c r="B4090" t="s">
        <v>52807</v>
      </c>
      <c r="C4090">
        <v>0</v>
      </c>
      <c r="D4090">
        <v>0.45913960431909501</v>
      </c>
      <c r="E4090">
        <v>0.91220526464473195</v>
      </c>
      <c r="F4090">
        <v>11.827844008890599</v>
      </c>
    </row>
    <row r="4091" spans="1:6">
      <c r="A4091" t="s">
        <v>52803</v>
      </c>
      <c r="B4091" t="s">
        <v>52808</v>
      </c>
      <c r="C4091">
        <v>0</v>
      </c>
      <c r="D4091">
        <v>0.45913960431909501</v>
      </c>
      <c r="E4091">
        <v>0.91220526464473195</v>
      </c>
      <c r="F4091">
        <v>11.827844008890599</v>
      </c>
    </row>
    <row r="4092" spans="1:6">
      <c r="A4092" t="s">
        <v>52803</v>
      </c>
      <c r="B4092" t="s">
        <v>52809</v>
      </c>
      <c r="C4092">
        <v>0</v>
      </c>
      <c r="D4092">
        <v>0.45913960431909501</v>
      </c>
      <c r="E4092">
        <v>0.91220526464473195</v>
      </c>
      <c r="F4092">
        <v>11.827844008890599</v>
      </c>
    </row>
    <row r="4093" spans="1:6">
      <c r="A4093" t="s">
        <v>52803</v>
      </c>
      <c r="B4093" t="s">
        <v>52810</v>
      </c>
      <c r="C4093">
        <v>2.4194277016802001E-3</v>
      </c>
      <c r="D4093">
        <v>0.45913960431909501</v>
      </c>
      <c r="E4093">
        <v>0.91220526464473195</v>
      </c>
      <c r="F4093">
        <v>11.827844008890599</v>
      </c>
    </row>
    <row r="4094" spans="1:6">
      <c r="A4094" t="s">
        <v>52803</v>
      </c>
      <c r="B4094" t="s">
        <v>52811</v>
      </c>
      <c r="C4094">
        <v>0.68162459773429795</v>
      </c>
      <c r="D4094">
        <v>0.45913960431909501</v>
      </c>
      <c r="E4094">
        <v>0.91220526464473195</v>
      </c>
      <c r="F4094">
        <v>11.827844008890599</v>
      </c>
    </row>
    <row r="4095" spans="1:6">
      <c r="A4095" t="s">
        <v>52812</v>
      </c>
      <c r="B4095" t="s">
        <v>52813</v>
      </c>
      <c r="C4095">
        <v>0</v>
      </c>
      <c r="D4095">
        <v>2.9049049348296802E-2</v>
      </c>
      <c r="E4095">
        <v>0.84365941257402999</v>
      </c>
      <c r="F4095">
        <v>14.145888058193499</v>
      </c>
    </row>
    <row r="4096" spans="1:6">
      <c r="A4096" t="s">
        <v>52812</v>
      </c>
      <c r="B4096" t="s">
        <v>52814</v>
      </c>
      <c r="C4096">
        <v>0.68365941257402996</v>
      </c>
      <c r="D4096">
        <v>2.9049049348296802E-2</v>
      </c>
      <c r="E4096">
        <v>0.84365941257402999</v>
      </c>
      <c r="F4096">
        <v>14.145888058193499</v>
      </c>
    </row>
    <row r="4097" spans="1:6">
      <c r="A4097" t="s">
        <v>52815</v>
      </c>
      <c r="B4097" t="s">
        <v>52816</v>
      </c>
      <c r="C4097">
        <v>0</v>
      </c>
      <c r="D4097">
        <v>0.81523106374075005</v>
      </c>
      <c r="E4097">
        <v>0.98293614567756304</v>
      </c>
      <c r="F4097">
        <v>0.88260254596888199</v>
      </c>
    </row>
    <row r="4098" spans="1:6">
      <c r="A4098" t="s">
        <v>52815</v>
      </c>
      <c r="B4098" t="s">
        <v>52817</v>
      </c>
      <c r="C4098">
        <v>1.7072442984643998E-2</v>
      </c>
      <c r="D4098">
        <v>0.81523106374075005</v>
      </c>
      <c r="E4098">
        <v>0.98293614567756304</v>
      </c>
      <c r="F4098">
        <v>0.88260254596888199</v>
      </c>
    </row>
    <row r="4099" spans="1:6">
      <c r="A4099" t="s">
        <v>52815</v>
      </c>
      <c r="B4099" t="s">
        <v>52818</v>
      </c>
      <c r="C4099">
        <v>0</v>
      </c>
      <c r="D4099">
        <v>0.81523106374075005</v>
      </c>
      <c r="E4099">
        <v>0.98293614567756304</v>
      </c>
      <c r="F4099">
        <v>0.88260254596888199</v>
      </c>
    </row>
    <row r="4100" spans="1:6">
      <c r="A4100" t="s">
        <v>52815</v>
      </c>
      <c r="B4100" t="s">
        <v>52819</v>
      </c>
      <c r="C4100">
        <v>0</v>
      </c>
      <c r="D4100">
        <v>0.81523106374075005</v>
      </c>
      <c r="E4100">
        <v>0.98293614567756304</v>
      </c>
      <c r="F4100">
        <v>0.88260254596888199</v>
      </c>
    </row>
    <row r="4101" spans="1:6">
      <c r="A4101" t="s">
        <v>52815</v>
      </c>
      <c r="B4101" t="s">
        <v>52820</v>
      </c>
      <c r="C4101">
        <v>0</v>
      </c>
      <c r="D4101">
        <v>0.81523106374075005</v>
      </c>
      <c r="E4101">
        <v>0.98293614567756304</v>
      </c>
      <c r="F4101">
        <v>0.88260254596888199</v>
      </c>
    </row>
    <row r="4102" spans="1:6">
      <c r="A4102" t="s">
        <v>52815</v>
      </c>
      <c r="B4102" t="s">
        <v>52821</v>
      </c>
      <c r="C4102">
        <v>0</v>
      </c>
      <c r="D4102">
        <v>0.81523106374075005</v>
      </c>
      <c r="E4102">
        <v>0.98293614567756304</v>
      </c>
      <c r="F4102">
        <v>0.88260254596888199</v>
      </c>
    </row>
    <row r="4103" spans="1:6">
      <c r="A4103" t="s">
        <v>52815</v>
      </c>
      <c r="B4103" t="s">
        <v>52822</v>
      </c>
      <c r="C4103">
        <v>0.77488933806265203</v>
      </c>
      <c r="D4103">
        <v>0.81523106374075005</v>
      </c>
      <c r="E4103">
        <v>0.98293614567756304</v>
      </c>
      <c r="F4103">
        <v>0.88260254596888199</v>
      </c>
    </row>
    <row r="4104" spans="1:6">
      <c r="A4104" t="s">
        <v>52823</v>
      </c>
      <c r="B4104" t="s">
        <v>52824</v>
      </c>
      <c r="C4104">
        <v>0</v>
      </c>
      <c r="D4104">
        <v>0.87632123884166402</v>
      </c>
      <c r="E4104">
        <v>0.81098297308621303</v>
      </c>
      <c r="F4104">
        <v>0</v>
      </c>
    </row>
    <row r="4105" spans="1:6">
      <c r="A4105" t="s">
        <v>52823</v>
      </c>
      <c r="B4105" t="s">
        <v>52825</v>
      </c>
      <c r="C4105">
        <v>0.33885284236079299</v>
      </c>
      <c r="D4105">
        <v>0.87632123884166402</v>
      </c>
      <c r="E4105">
        <v>0.81098297308621303</v>
      </c>
      <c r="F4105">
        <v>0</v>
      </c>
    </row>
    <row r="4106" spans="1:6">
      <c r="A4106" t="s">
        <v>52823</v>
      </c>
      <c r="B4106" t="s">
        <v>52826</v>
      </c>
      <c r="C4106">
        <v>0</v>
      </c>
      <c r="D4106">
        <v>0.87632123884166402</v>
      </c>
      <c r="E4106">
        <v>0.81098297308621303</v>
      </c>
      <c r="F4106">
        <v>0</v>
      </c>
    </row>
    <row r="4107" spans="1:6">
      <c r="A4107" t="s">
        <v>52823</v>
      </c>
      <c r="B4107" t="s">
        <v>52827</v>
      </c>
      <c r="C4107">
        <v>4.9287867954461703E-2</v>
      </c>
      <c r="D4107">
        <v>0.87632123884166402</v>
      </c>
      <c r="E4107">
        <v>0.81098297308621303</v>
      </c>
      <c r="F4107">
        <v>0</v>
      </c>
    </row>
    <row r="4108" spans="1:6">
      <c r="A4108" t="s">
        <v>52823</v>
      </c>
      <c r="B4108" t="s">
        <v>52828</v>
      </c>
      <c r="C4108">
        <v>0</v>
      </c>
      <c r="D4108">
        <v>0.87632123884166402</v>
      </c>
      <c r="E4108">
        <v>0.81098297308621303</v>
      </c>
      <c r="F4108">
        <v>0</v>
      </c>
    </row>
    <row r="4109" spans="1:6">
      <c r="A4109" t="s">
        <v>52829</v>
      </c>
      <c r="B4109" t="s">
        <v>52830</v>
      </c>
      <c r="C4109">
        <v>0</v>
      </c>
      <c r="D4109">
        <v>0.28285964818755499</v>
      </c>
      <c r="E4109">
        <v>0.84630395967246896</v>
      </c>
      <c r="F4109">
        <v>0.74681753889674596</v>
      </c>
    </row>
    <row r="4110" spans="1:6">
      <c r="A4110" t="s">
        <v>52829</v>
      </c>
      <c r="B4110" t="s">
        <v>52831</v>
      </c>
      <c r="C4110">
        <v>0.68630395967246804</v>
      </c>
      <c r="D4110">
        <v>0.28285964818755499</v>
      </c>
      <c r="E4110">
        <v>0.84630395967246896</v>
      </c>
      <c r="F4110">
        <v>0.74681753889674596</v>
      </c>
    </row>
    <row r="4111" spans="1:6">
      <c r="A4111" t="s">
        <v>52832</v>
      </c>
      <c r="B4111" t="s">
        <v>52833</v>
      </c>
      <c r="C4111">
        <v>1.47645310867209E-2</v>
      </c>
      <c r="D4111">
        <v>3.8475770050565003E-2</v>
      </c>
      <c r="E4111">
        <v>0.58436453108672004</v>
      </c>
      <c r="F4111">
        <v>1.78460295009092</v>
      </c>
    </row>
    <row r="4112" spans="1:6">
      <c r="A4112" t="s">
        <v>52832</v>
      </c>
      <c r="B4112" t="s">
        <v>52834</v>
      </c>
      <c r="C4112">
        <v>0</v>
      </c>
      <c r="D4112">
        <v>3.8475770050565003E-2</v>
      </c>
      <c r="E4112">
        <v>0.58436453108672004</v>
      </c>
      <c r="F4112">
        <v>1.78460295009092</v>
      </c>
    </row>
    <row r="4113" spans="1:6">
      <c r="A4113" t="s">
        <v>52832</v>
      </c>
      <c r="B4113" t="s">
        <v>52835</v>
      </c>
      <c r="C4113">
        <v>0</v>
      </c>
      <c r="D4113">
        <v>3.8475770050565003E-2</v>
      </c>
      <c r="E4113">
        <v>0.58436453108672004</v>
      </c>
      <c r="F4113">
        <v>1.78460295009092</v>
      </c>
    </row>
    <row r="4114" spans="1:6">
      <c r="A4114" t="s">
        <v>52832</v>
      </c>
      <c r="B4114" t="s">
        <v>52836</v>
      </c>
      <c r="C4114">
        <v>0</v>
      </c>
      <c r="D4114">
        <v>3.8475770050565003E-2</v>
      </c>
      <c r="E4114">
        <v>0.58436453108672004</v>
      </c>
      <c r="F4114">
        <v>1.78460295009092</v>
      </c>
    </row>
    <row r="4115" spans="1:6">
      <c r="A4115" t="s">
        <v>52832</v>
      </c>
      <c r="B4115" t="s">
        <v>52837</v>
      </c>
      <c r="C4115">
        <v>0</v>
      </c>
      <c r="D4115">
        <v>3.8475770050565003E-2</v>
      </c>
      <c r="E4115">
        <v>0.58436453108672004</v>
      </c>
      <c r="F4115">
        <v>1.78460295009092</v>
      </c>
    </row>
    <row r="4116" spans="1:6">
      <c r="A4116" t="s">
        <v>52832</v>
      </c>
      <c r="B4116" t="s">
        <v>52838</v>
      </c>
      <c r="C4116">
        <v>0</v>
      </c>
      <c r="D4116">
        <v>3.8475770050565003E-2</v>
      </c>
      <c r="E4116">
        <v>0.58436453108672004</v>
      </c>
      <c r="F4116">
        <v>1.78460295009092</v>
      </c>
    </row>
    <row r="4117" spans="1:6">
      <c r="A4117" t="s">
        <v>52839</v>
      </c>
      <c r="B4117" t="s">
        <v>52840</v>
      </c>
      <c r="C4117">
        <v>0.44320312874144702</v>
      </c>
      <c r="D4117">
        <v>0.40467681483315598</v>
      </c>
      <c r="E4117">
        <v>0.83360312874144704</v>
      </c>
      <c r="F4117">
        <v>8.66599312992523</v>
      </c>
    </row>
    <row r="4118" spans="1:6">
      <c r="A4118" t="s">
        <v>52839</v>
      </c>
      <c r="B4118" t="s">
        <v>52841</v>
      </c>
      <c r="C4118">
        <v>0</v>
      </c>
      <c r="D4118">
        <v>0.40467681483315598</v>
      </c>
      <c r="E4118">
        <v>0.83360312874144704</v>
      </c>
      <c r="F4118">
        <v>8.66599312992523</v>
      </c>
    </row>
    <row r="4119" spans="1:6">
      <c r="A4119" t="s">
        <v>52839</v>
      </c>
      <c r="B4119" t="s">
        <v>52842</v>
      </c>
      <c r="C4119">
        <v>0</v>
      </c>
      <c r="D4119">
        <v>0.40467681483315598</v>
      </c>
      <c r="E4119">
        <v>0.83360312874144704</v>
      </c>
      <c r="F4119">
        <v>8.66599312992523</v>
      </c>
    </row>
    <row r="4120" spans="1:6">
      <c r="A4120" t="s">
        <v>52839</v>
      </c>
      <c r="B4120" t="s">
        <v>52843</v>
      </c>
      <c r="C4120">
        <v>0</v>
      </c>
      <c r="D4120">
        <v>0.40467681483315598</v>
      </c>
      <c r="E4120">
        <v>0.83360312874144704</v>
      </c>
      <c r="F4120">
        <v>8.66599312992523</v>
      </c>
    </row>
    <row r="4121" spans="1:6">
      <c r="A4121" t="s">
        <v>52844</v>
      </c>
      <c r="B4121" t="s">
        <v>52845</v>
      </c>
      <c r="C4121">
        <v>0</v>
      </c>
      <c r="D4121">
        <v>0.64144315345325598</v>
      </c>
      <c r="E4121">
        <v>0.90097526567365505</v>
      </c>
      <c r="F4121">
        <v>8.5253586583148095</v>
      </c>
    </row>
    <row r="4122" spans="1:6">
      <c r="A4122" t="s">
        <v>52844</v>
      </c>
      <c r="B4122" t="s">
        <v>52846</v>
      </c>
      <c r="C4122">
        <v>0.640291764379601</v>
      </c>
      <c r="D4122">
        <v>0.64144315345325598</v>
      </c>
      <c r="E4122">
        <v>0.90097526567365505</v>
      </c>
      <c r="F4122">
        <v>8.5253586583148095</v>
      </c>
    </row>
    <row r="4123" spans="1:6">
      <c r="A4123" t="s">
        <v>52844</v>
      </c>
      <c r="B4123" t="s">
        <v>52847</v>
      </c>
      <c r="C4123">
        <v>0.27098088713434498</v>
      </c>
      <c r="D4123">
        <v>0.64144315345325598</v>
      </c>
      <c r="E4123">
        <v>0.90097526567365505</v>
      </c>
      <c r="F4123">
        <v>8.5253586583148095</v>
      </c>
    </row>
    <row r="4124" spans="1:6">
      <c r="A4124" t="s">
        <v>52848</v>
      </c>
      <c r="B4124" t="s">
        <v>52849</v>
      </c>
      <c r="C4124">
        <v>0.12881259733348799</v>
      </c>
      <c r="D4124">
        <v>0.81260768896926405</v>
      </c>
      <c r="E4124">
        <v>0.98960123585190696</v>
      </c>
      <c r="F4124">
        <v>0.44615073752273099</v>
      </c>
    </row>
    <row r="4125" spans="1:6">
      <c r="A4125" t="s">
        <v>52848</v>
      </c>
      <c r="B4125" t="s">
        <v>52850</v>
      </c>
      <c r="C4125">
        <v>0</v>
      </c>
      <c r="D4125">
        <v>0.81260768896926405</v>
      </c>
      <c r="E4125">
        <v>0.98960123585190696</v>
      </c>
      <c r="F4125">
        <v>0.44615073752273099</v>
      </c>
    </row>
    <row r="4126" spans="1:6">
      <c r="A4126" t="s">
        <v>52848</v>
      </c>
      <c r="B4126" t="s">
        <v>52851</v>
      </c>
      <c r="C4126">
        <v>0</v>
      </c>
      <c r="D4126">
        <v>0.81260768896926405</v>
      </c>
      <c r="E4126">
        <v>0.98960123585190696</v>
      </c>
      <c r="F4126">
        <v>0.44615073752273099</v>
      </c>
    </row>
    <row r="4127" spans="1:6">
      <c r="A4127" t="s">
        <v>52848</v>
      </c>
      <c r="B4127" t="s">
        <v>52852</v>
      </c>
      <c r="C4127">
        <v>0</v>
      </c>
      <c r="D4127">
        <v>0.81260768896926405</v>
      </c>
      <c r="E4127">
        <v>0.98960123585190696</v>
      </c>
      <c r="F4127">
        <v>0.44615073752273099</v>
      </c>
    </row>
    <row r="4128" spans="1:6">
      <c r="A4128" t="s">
        <v>52848</v>
      </c>
      <c r="B4128" t="s">
        <v>52853</v>
      </c>
      <c r="C4128">
        <v>0.75778173502618895</v>
      </c>
      <c r="D4128">
        <v>0.81260768896926405</v>
      </c>
      <c r="E4128">
        <v>0.98960123585190696</v>
      </c>
      <c r="F4128">
        <v>0.44615073752273099</v>
      </c>
    </row>
    <row r="4129" spans="1:6">
      <c r="A4129" t="s">
        <v>52854</v>
      </c>
      <c r="B4129" t="s">
        <v>52855</v>
      </c>
      <c r="C4129">
        <v>0.334321429041673</v>
      </c>
      <c r="D4129">
        <v>0.47027297090126602</v>
      </c>
      <c r="E4129">
        <v>0.57857155632162005</v>
      </c>
      <c r="F4129">
        <v>16.0662760153566</v>
      </c>
    </row>
    <row r="4130" spans="1:6">
      <c r="A4130" t="s">
        <v>52854</v>
      </c>
      <c r="B4130" t="s">
        <v>52856</v>
      </c>
      <c r="C4130">
        <v>0.23491021147350499</v>
      </c>
      <c r="D4130">
        <v>0.47027297090126602</v>
      </c>
      <c r="E4130">
        <v>0.57857155632162005</v>
      </c>
      <c r="F4130">
        <v>16.0662760153566</v>
      </c>
    </row>
    <row r="4131" spans="1:6">
      <c r="A4131" t="s">
        <v>52857</v>
      </c>
      <c r="B4131" t="s">
        <v>52858</v>
      </c>
      <c r="C4131">
        <v>0</v>
      </c>
      <c r="D4131">
        <v>0.52192127259409604</v>
      </c>
      <c r="E4131">
        <v>0.96293799090468002</v>
      </c>
      <c r="F4131">
        <v>2.35199030107092</v>
      </c>
    </row>
    <row r="4132" spans="1:6">
      <c r="A4132" t="s">
        <v>52857</v>
      </c>
      <c r="B4132" t="s">
        <v>52859</v>
      </c>
      <c r="C4132">
        <v>0.201090065878334</v>
      </c>
      <c r="D4132">
        <v>0.52192127259409604</v>
      </c>
      <c r="E4132">
        <v>0.96293799090468002</v>
      </c>
      <c r="F4132">
        <v>2.35199030107092</v>
      </c>
    </row>
    <row r="4133" spans="1:6">
      <c r="A4133" t="s">
        <v>52857</v>
      </c>
      <c r="B4133" t="s">
        <v>52860</v>
      </c>
      <c r="C4133">
        <v>0</v>
      </c>
      <c r="D4133">
        <v>0.52192127259409604</v>
      </c>
      <c r="E4133">
        <v>0.96293799090468002</v>
      </c>
      <c r="F4133">
        <v>2.35199030107092</v>
      </c>
    </row>
    <row r="4134" spans="1:6">
      <c r="A4134" t="s">
        <v>52857</v>
      </c>
      <c r="B4134" t="s">
        <v>52861</v>
      </c>
      <c r="C4134">
        <v>0</v>
      </c>
      <c r="D4134">
        <v>0.52192127259409604</v>
      </c>
      <c r="E4134">
        <v>0.96293799090468002</v>
      </c>
      <c r="F4134">
        <v>2.35199030107092</v>
      </c>
    </row>
    <row r="4135" spans="1:6">
      <c r="A4135" t="s">
        <v>52857</v>
      </c>
      <c r="B4135" t="s">
        <v>52862</v>
      </c>
      <c r="C4135">
        <v>0.36269023817572998</v>
      </c>
      <c r="D4135">
        <v>0.52192127259409604</v>
      </c>
      <c r="E4135">
        <v>0.96293799090468002</v>
      </c>
      <c r="F4135">
        <v>2.35199030107092</v>
      </c>
    </row>
    <row r="4136" spans="1:6">
      <c r="A4136" t="s">
        <v>52857</v>
      </c>
      <c r="B4136" t="s">
        <v>52863</v>
      </c>
      <c r="C4136">
        <v>0</v>
      </c>
      <c r="D4136">
        <v>0.52192127259409604</v>
      </c>
      <c r="E4136">
        <v>0.96293799090468002</v>
      </c>
      <c r="F4136">
        <v>2.35199030107092</v>
      </c>
    </row>
    <row r="4137" spans="1:6">
      <c r="A4137" t="s">
        <v>52864</v>
      </c>
      <c r="B4137" t="s">
        <v>52865</v>
      </c>
      <c r="C4137">
        <v>0</v>
      </c>
      <c r="D4137">
        <v>0.28441899425372102</v>
      </c>
      <c r="E4137" t="s">
        <v>106</v>
      </c>
      <c r="F4137">
        <v>12.6958981612446</v>
      </c>
    </row>
    <row r="4138" spans="1:6">
      <c r="A4138" t="s">
        <v>52864</v>
      </c>
      <c r="B4138" t="s">
        <v>52866</v>
      </c>
      <c r="C4138">
        <v>0</v>
      </c>
      <c r="D4138">
        <v>0.28441899425372102</v>
      </c>
      <c r="E4138" t="s">
        <v>106</v>
      </c>
      <c r="F4138">
        <v>12.6958981612446</v>
      </c>
    </row>
    <row r="4139" spans="1:6">
      <c r="A4139" t="s">
        <v>52864</v>
      </c>
      <c r="B4139" t="s">
        <v>52867</v>
      </c>
      <c r="C4139">
        <v>0</v>
      </c>
      <c r="D4139">
        <v>0.28441899425372102</v>
      </c>
      <c r="E4139" t="s">
        <v>106</v>
      </c>
      <c r="F4139">
        <v>12.6958981612446</v>
      </c>
    </row>
    <row r="4140" spans="1:6">
      <c r="A4140" t="s">
        <v>52864</v>
      </c>
      <c r="B4140" t="s">
        <v>52868</v>
      </c>
      <c r="C4140">
        <v>0</v>
      </c>
      <c r="D4140">
        <v>0.28441899425372102</v>
      </c>
      <c r="E4140" t="s">
        <v>106</v>
      </c>
      <c r="F4140">
        <v>12.6958981612446</v>
      </c>
    </row>
    <row r="4141" spans="1:6">
      <c r="A4141" t="s">
        <v>52864</v>
      </c>
      <c r="B4141" t="s">
        <v>52869</v>
      </c>
      <c r="C4141">
        <v>0</v>
      </c>
      <c r="D4141">
        <v>0.28441899425372102</v>
      </c>
      <c r="E4141" t="s">
        <v>106</v>
      </c>
      <c r="F4141">
        <v>12.6958981612446</v>
      </c>
    </row>
    <row r="4142" spans="1:6">
      <c r="A4142" t="s">
        <v>52864</v>
      </c>
      <c r="B4142" t="s">
        <v>52870</v>
      </c>
      <c r="C4142">
        <v>0</v>
      </c>
      <c r="D4142">
        <v>0.28441899425372102</v>
      </c>
      <c r="E4142" t="s">
        <v>106</v>
      </c>
      <c r="F4142">
        <v>12.6958981612446</v>
      </c>
    </row>
    <row r="4143" spans="1:6">
      <c r="A4143" t="s">
        <v>52871</v>
      </c>
      <c r="B4143" t="s">
        <v>52872</v>
      </c>
      <c r="C4143">
        <v>4.7628710084053401E-2</v>
      </c>
      <c r="D4143">
        <v>0.68411740414380295</v>
      </c>
      <c r="E4143">
        <v>0.96852887788680997</v>
      </c>
      <c r="F4143">
        <v>9.2624772681349707</v>
      </c>
    </row>
    <row r="4144" spans="1:6">
      <c r="A4144" t="s">
        <v>52871</v>
      </c>
      <c r="B4144" t="s">
        <v>52873</v>
      </c>
      <c r="C4144">
        <v>0</v>
      </c>
      <c r="D4144">
        <v>0.68411740414380295</v>
      </c>
      <c r="E4144">
        <v>0.96852887788680997</v>
      </c>
      <c r="F4144">
        <v>9.2624772681349707</v>
      </c>
    </row>
    <row r="4145" spans="1:6">
      <c r="A4145" t="s">
        <v>52871</v>
      </c>
      <c r="B4145" t="s">
        <v>52874</v>
      </c>
      <c r="C4145">
        <v>0</v>
      </c>
      <c r="D4145">
        <v>0.68411740414380295</v>
      </c>
      <c r="E4145">
        <v>0.96852887788680997</v>
      </c>
      <c r="F4145">
        <v>9.2624772681349707</v>
      </c>
    </row>
    <row r="4146" spans="1:6">
      <c r="A4146" t="s">
        <v>52871</v>
      </c>
      <c r="B4146" t="s">
        <v>52875</v>
      </c>
      <c r="C4146">
        <v>0</v>
      </c>
      <c r="D4146">
        <v>0.68411740414380295</v>
      </c>
      <c r="E4146">
        <v>0.96852887788680997</v>
      </c>
      <c r="F4146">
        <v>9.2624772681349707</v>
      </c>
    </row>
    <row r="4147" spans="1:6">
      <c r="A4147" t="s">
        <v>52871</v>
      </c>
      <c r="B4147" t="s">
        <v>52876</v>
      </c>
      <c r="C4147">
        <v>0</v>
      </c>
      <c r="D4147">
        <v>0.68411740414380295</v>
      </c>
      <c r="E4147">
        <v>0.96852887788680997</v>
      </c>
      <c r="F4147">
        <v>9.2624772681349707</v>
      </c>
    </row>
    <row r="4148" spans="1:6">
      <c r="A4148" t="s">
        <v>52871</v>
      </c>
      <c r="B4148" t="s">
        <v>52877</v>
      </c>
      <c r="C4148">
        <v>0.75955484707971299</v>
      </c>
      <c r="D4148">
        <v>0.68411740414380295</v>
      </c>
      <c r="E4148">
        <v>0.96852887788680997</v>
      </c>
      <c r="F4148">
        <v>9.2624772681349707</v>
      </c>
    </row>
    <row r="4149" spans="1:6">
      <c r="A4149" t="s">
        <v>52871</v>
      </c>
      <c r="B4149" t="s">
        <v>52878</v>
      </c>
      <c r="C4149">
        <v>0</v>
      </c>
      <c r="D4149">
        <v>0.68411740414380295</v>
      </c>
      <c r="E4149">
        <v>0.96852887788680997</v>
      </c>
      <c r="F4149">
        <v>9.2624772681349707</v>
      </c>
    </row>
    <row r="4150" spans="1:6">
      <c r="A4150" t="s">
        <v>52879</v>
      </c>
      <c r="B4150" t="s">
        <v>52880</v>
      </c>
      <c r="C4150">
        <v>0.83498128306486197</v>
      </c>
      <c r="D4150">
        <v>0.40947486253454302</v>
      </c>
      <c r="E4150">
        <v>0.93738128306486201</v>
      </c>
      <c r="F4150">
        <v>15.6734693877551</v>
      </c>
    </row>
    <row r="4151" spans="1:6">
      <c r="A4151" t="s">
        <v>52879</v>
      </c>
      <c r="B4151" t="s">
        <v>52881</v>
      </c>
      <c r="C4151">
        <v>0</v>
      </c>
      <c r="D4151">
        <v>0.40947486253454302</v>
      </c>
      <c r="E4151">
        <v>0.93738128306486201</v>
      </c>
      <c r="F4151">
        <v>15.6734693877551</v>
      </c>
    </row>
    <row r="4152" spans="1:6">
      <c r="A4152" t="s">
        <v>52882</v>
      </c>
      <c r="B4152" t="s">
        <v>52883</v>
      </c>
      <c r="C4152">
        <v>0.60488955728351701</v>
      </c>
      <c r="D4152">
        <v>0.23530531628245699</v>
      </c>
      <c r="E4152">
        <v>0.99307925996191904</v>
      </c>
      <c r="F4152">
        <v>10.1887249949484</v>
      </c>
    </row>
    <row r="4153" spans="1:6">
      <c r="A4153" t="s">
        <v>52882</v>
      </c>
      <c r="B4153" t="s">
        <v>52884</v>
      </c>
      <c r="C4153">
        <v>0.30770036229863101</v>
      </c>
      <c r="D4153">
        <v>0.23530531628245699</v>
      </c>
      <c r="E4153">
        <v>0.99307925996191904</v>
      </c>
      <c r="F4153">
        <v>10.1887249949484</v>
      </c>
    </row>
    <row r="4154" spans="1:6">
      <c r="A4154" t="s">
        <v>52882</v>
      </c>
      <c r="B4154" t="s">
        <v>52885</v>
      </c>
      <c r="C4154">
        <v>0</v>
      </c>
      <c r="D4154">
        <v>0.23530531628245699</v>
      </c>
      <c r="E4154">
        <v>0.99307925996191904</v>
      </c>
      <c r="F4154">
        <v>10.1887249949484</v>
      </c>
    </row>
    <row r="4155" spans="1:6">
      <c r="A4155" t="s">
        <v>52882</v>
      </c>
      <c r="B4155" t="s">
        <v>52886</v>
      </c>
      <c r="C4155">
        <v>0</v>
      </c>
      <c r="D4155">
        <v>0.23530531628245699</v>
      </c>
      <c r="E4155">
        <v>0.99307925996191904</v>
      </c>
      <c r="F4155">
        <v>10.1887249949484</v>
      </c>
    </row>
    <row r="4156" spans="1:6">
      <c r="A4156" t="s">
        <v>52882</v>
      </c>
      <c r="B4156" t="s">
        <v>52887</v>
      </c>
      <c r="C4156">
        <v>0</v>
      </c>
      <c r="D4156">
        <v>0.23530531628245699</v>
      </c>
      <c r="E4156">
        <v>0.99307925996191904</v>
      </c>
      <c r="F4156">
        <v>10.1887249949484</v>
      </c>
    </row>
    <row r="4157" spans="1:6">
      <c r="A4157" t="s">
        <v>52882</v>
      </c>
      <c r="B4157" t="s">
        <v>52888</v>
      </c>
      <c r="C4157">
        <v>0</v>
      </c>
      <c r="D4157">
        <v>0.23530531628245699</v>
      </c>
      <c r="E4157">
        <v>0.99307925996191904</v>
      </c>
      <c r="F4157">
        <v>10.1887249949484</v>
      </c>
    </row>
    <row r="4158" spans="1:6">
      <c r="A4158" t="s">
        <v>52882</v>
      </c>
      <c r="B4158" t="s">
        <v>52889</v>
      </c>
      <c r="C4158">
        <v>0</v>
      </c>
      <c r="D4158">
        <v>0.23530531628245699</v>
      </c>
      <c r="E4158">
        <v>0.99307925996191904</v>
      </c>
      <c r="F4158">
        <v>10.1887249949484</v>
      </c>
    </row>
    <row r="4159" spans="1:6">
      <c r="A4159" t="s">
        <v>52882</v>
      </c>
      <c r="B4159" t="s">
        <v>52890</v>
      </c>
      <c r="C4159">
        <v>0</v>
      </c>
      <c r="D4159">
        <v>0.23530531628245699</v>
      </c>
      <c r="E4159">
        <v>0.99307925996191904</v>
      </c>
      <c r="F4159">
        <v>10.1887249949484</v>
      </c>
    </row>
    <row r="4160" spans="1:6">
      <c r="A4160" t="s">
        <v>52882</v>
      </c>
      <c r="B4160" t="s">
        <v>52891</v>
      </c>
      <c r="C4160">
        <v>0</v>
      </c>
      <c r="D4160">
        <v>0.23530531628245699</v>
      </c>
      <c r="E4160">
        <v>0.99307925996191904</v>
      </c>
      <c r="F4160">
        <v>10.1887249949484</v>
      </c>
    </row>
    <row r="4161" spans="1:6">
      <c r="A4161" t="s">
        <v>52882</v>
      </c>
      <c r="B4161" t="s">
        <v>52892</v>
      </c>
      <c r="C4161">
        <v>0</v>
      </c>
      <c r="D4161">
        <v>0.23530531628245699</v>
      </c>
      <c r="E4161">
        <v>0.99307925996191904</v>
      </c>
      <c r="F4161">
        <v>10.1887249949484</v>
      </c>
    </row>
    <row r="4162" spans="1:6">
      <c r="A4162" t="s">
        <v>52893</v>
      </c>
      <c r="B4162" t="s">
        <v>52894</v>
      </c>
      <c r="C4162">
        <v>0</v>
      </c>
      <c r="D4162">
        <v>0.26156226782296599</v>
      </c>
      <c r="E4162">
        <v>0.96866175227011098</v>
      </c>
      <c r="F4162">
        <v>16.871287128712801</v>
      </c>
    </row>
    <row r="4163" spans="1:6">
      <c r="A4163" t="s">
        <v>52893</v>
      </c>
      <c r="B4163" t="s">
        <v>52895</v>
      </c>
      <c r="C4163">
        <v>0</v>
      </c>
      <c r="D4163">
        <v>0.26156226782296599</v>
      </c>
      <c r="E4163">
        <v>0.96866175227011098</v>
      </c>
      <c r="F4163">
        <v>16.871287128712801</v>
      </c>
    </row>
    <row r="4164" spans="1:6">
      <c r="A4164" t="s">
        <v>52893</v>
      </c>
      <c r="B4164" t="s">
        <v>52896</v>
      </c>
      <c r="C4164">
        <v>0</v>
      </c>
      <c r="D4164">
        <v>0.26156226782296599</v>
      </c>
      <c r="E4164">
        <v>0.96866175227011098</v>
      </c>
      <c r="F4164">
        <v>16.871287128712801</v>
      </c>
    </row>
    <row r="4165" spans="1:6">
      <c r="A4165" t="s">
        <v>52893</v>
      </c>
      <c r="B4165" t="s">
        <v>52897</v>
      </c>
      <c r="C4165">
        <v>0.219964765833389</v>
      </c>
      <c r="D4165">
        <v>0.26156226782296599</v>
      </c>
      <c r="E4165">
        <v>0.96866175227011098</v>
      </c>
      <c r="F4165">
        <v>16.871287128712801</v>
      </c>
    </row>
    <row r="4166" spans="1:6">
      <c r="A4166" t="s">
        <v>52893</v>
      </c>
      <c r="B4166" t="s">
        <v>52898</v>
      </c>
      <c r="C4166">
        <v>0.63976670342750996</v>
      </c>
      <c r="D4166">
        <v>0.26156226782296599</v>
      </c>
      <c r="E4166">
        <v>0.96866175227011098</v>
      </c>
      <c r="F4166">
        <v>16.871287128712801</v>
      </c>
    </row>
    <row r="4167" spans="1:6">
      <c r="A4167" t="s">
        <v>52893</v>
      </c>
      <c r="B4167" t="s">
        <v>52899</v>
      </c>
      <c r="C4167">
        <v>0</v>
      </c>
      <c r="D4167">
        <v>0.26156226782296599</v>
      </c>
      <c r="E4167">
        <v>0.96866175227011098</v>
      </c>
      <c r="F4167">
        <v>16.871287128712801</v>
      </c>
    </row>
    <row r="4168" spans="1:6">
      <c r="A4168" t="s">
        <v>52900</v>
      </c>
      <c r="B4168" t="s">
        <v>52901</v>
      </c>
      <c r="C4168">
        <v>0</v>
      </c>
      <c r="D4168">
        <v>4.4250364740323199E-2</v>
      </c>
      <c r="E4168">
        <v>0.91945443192362097</v>
      </c>
      <c r="F4168">
        <v>1.9155384926247701</v>
      </c>
    </row>
    <row r="4169" spans="1:6">
      <c r="A4169" t="s">
        <v>52900</v>
      </c>
      <c r="B4169" t="s">
        <v>52902</v>
      </c>
      <c r="C4169">
        <v>4.9043549546983201E-2</v>
      </c>
      <c r="D4169">
        <v>4.4250364740323199E-2</v>
      </c>
      <c r="E4169">
        <v>0.91945443192362097</v>
      </c>
      <c r="F4169">
        <v>1.9155384926247701</v>
      </c>
    </row>
    <row r="4170" spans="1:6">
      <c r="A4170" t="s">
        <v>52900</v>
      </c>
      <c r="B4170" t="s">
        <v>52903</v>
      </c>
      <c r="C4170">
        <v>0.79039261933747096</v>
      </c>
      <c r="D4170">
        <v>4.4250364740323199E-2</v>
      </c>
      <c r="E4170">
        <v>0.91945443192362097</v>
      </c>
      <c r="F4170">
        <v>1.9155384926247701</v>
      </c>
    </row>
    <row r="4171" spans="1:6">
      <c r="A4171" t="s">
        <v>52904</v>
      </c>
      <c r="B4171" t="s">
        <v>52905</v>
      </c>
      <c r="C4171">
        <v>0.81645642131197504</v>
      </c>
      <c r="D4171">
        <v>0.45801798468396598</v>
      </c>
      <c r="E4171">
        <v>0.97537548555108899</v>
      </c>
      <c r="F4171">
        <v>2.35199030107092</v>
      </c>
    </row>
    <row r="4172" spans="1:6">
      <c r="A4172" t="s">
        <v>52904</v>
      </c>
      <c r="B4172" t="s">
        <v>52906</v>
      </c>
      <c r="C4172">
        <v>0</v>
      </c>
      <c r="D4172">
        <v>0.45801798468396598</v>
      </c>
      <c r="E4172">
        <v>0.97537548555108899</v>
      </c>
      <c r="F4172">
        <v>2.35199030107092</v>
      </c>
    </row>
    <row r="4173" spans="1:6">
      <c r="A4173" t="s">
        <v>52904</v>
      </c>
      <c r="B4173" t="s">
        <v>52907</v>
      </c>
      <c r="C4173">
        <v>0</v>
      </c>
      <c r="D4173">
        <v>0.45801798468396598</v>
      </c>
      <c r="E4173">
        <v>0.97537548555108899</v>
      </c>
      <c r="F4173">
        <v>2.35199030107092</v>
      </c>
    </row>
    <row r="4174" spans="1:6">
      <c r="A4174" t="s">
        <v>52904</v>
      </c>
      <c r="B4174" t="s">
        <v>52908</v>
      </c>
      <c r="C4174">
        <v>0</v>
      </c>
      <c r="D4174">
        <v>0.45801798468396598</v>
      </c>
      <c r="E4174">
        <v>0.97537548555108899</v>
      </c>
      <c r="F4174">
        <v>2.35199030107092</v>
      </c>
    </row>
    <row r="4175" spans="1:6">
      <c r="A4175" t="s">
        <v>52904</v>
      </c>
      <c r="B4175" t="s">
        <v>52909</v>
      </c>
      <c r="C4175">
        <v>0</v>
      </c>
      <c r="D4175">
        <v>0.45801798468396598</v>
      </c>
      <c r="E4175">
        <v>0.97537548555108899</v>
      </c>
      <c r="F4175">
        <v>2.35199030107092</v>
      </c>
    </row>
    <row r="4176" spans="1:6">
      <c r="A4176" t="s">
        <v>52904</v>
      </c>
      <c r="B4176" t="s">
        <v>52910</v>
      </c>
      <c r="C4176">
        <v>0</v>
      </c>
      <c r="D4176">
        <v>0.45801798468396598</v>
      </c>
      <c r="E4176">
        <v>0.97537548555108899</v>
      </c>
      <c r="F4176">
        <v>2.35199030107092</v>
      </c>
    </row>
    <row r="4177" spans="1:6">
      <c r="A4177" t="s">
        <v>52904</v>
      </c>
      <c r="B4177" t="s">
        <v>52911</v>
      </c>
      <c r="C4177">
        <v>0.24969247144332399</v>
      </c>
      <c r="D4177">
        <v>0.45801798468396598</v>
      </c>
      <c r="E4177">
        <v>0.97537548555108899</v>
      </c>
      <c r="F4177">
        <v>2.35199030107092</v>
      </c>
    </row>
    <row r="4178" spans="1:6">
      <c r="A4178" t="s">
        <v>52912</v>
      </c>
      <c r="B4178" t="s">
        <v>52913</v>
      </c>
      <c r="C4178">
        <v>0</v>
      </c>
      <c r="D4178">
        <v>0.184002687760184</v>
      </c>
      <c r="E4178">
        <v>0.95215094231120501</v>
      </c>
      <c r="F4178">
        <v>9.7183269347342893</v>
      </c>
    </row>
    <row r="4179" spans="1:6">
      <c r="A4179" t="s">
        <v>52912</v>
      </c>
      <c r="B4179" t="s">
        <v>52914</v>
      </c>
      <c r="C4179">
        <v>0</v>
      </c>
      <c r="D4179">
        <v>0.184002687760184</v>
      </c>
      <c r="E4179">
        <v>0.95215094231120501</v>
      </c>
      <c r="F4179">
        <v>9.7183269347342893</v>
      </c>
    </row>
    <row r="4180" spans="1:6">
      <c r="A4180" t="s">
        <v>52912</v>
      </c>
      <c r="B4180" t="s">
        <v>52915</v>
      </c>
      <c r="C4180">
        <v>0.68886598306505498</v>
      </c>
      <c r="D4180">
        <v>0.184002687760184</v>
      </c>
      <c r="E4180">
        <v>0.95215094231120501</v>
      </c>
      <c r="F4180">
        <v>9.7183269347342893</v>
      </c>
    </row>
    <row r="4181" spans="1:6">
      <c r="A4181" t="s">
        <v>52912</v>
      </c>
      <c r="B4181" t="s">
        <v>52916</v>
      </c>
      <c r="C4181">
        <v>0.13675776651600199</v>
      </c>
      <c r="D4181">
        <v>0.184002687760184</v>
      </c>
      <c r="E4181">
        <v>0.95215094231120501</v>
      </c>
      <c r="F4181">
        <v>9.7183269347342893</v>
      </c>
    </row>
    <row r="4182" spans="1:6">
      <c r="A4182" t="s">
        <v>52912</v>
      </c>
      <c r="B4182" t="s">
        <v>52917</v>
      </c>
      <c r="C4182">
        <v>0</v>
      </c>
      <c r="D4182">
        <v>0.184002687760184</v>
      </c>
      <c r="E4182">
        <v>0.95215094231120501</v>
      </c>
      <c r="F4182">
        <v>9.7183269347342893</v>
      </c>
    </row>
    <row r="4183" spans="1:6">
      <c r="A4183" t="s">
        <v>52918</v>
      </c>
      <c r="B4183" t="s">
        <v>52919</v>
      </c>
      <c r="C4183">
        <v>0.52761386983349001</v>
      </c>
      <c r="D4183">
        <v>0.70369336023964901</v>
      </c>
      <c r="E4183">
        <v>0.955651371769074</v>
      </c>
      <c r="F4183">
        <v>8.0937563144069493</v>
      </c>
    </row>
    <row r="4184" spans="1:6">
      <c r="A4184" t="s">
        <v>52918</v>
      </c>
      <c r="B4184" t="s">
        <v>52920</v>
      </c>
      <c r="C4184">
        <v>0</v>
      </c>
      <c r="D4184">
        <v>0.70369336023964901</v>
      </c>
      <c r="E4184">
        <v>0.955651371769074</v>
      </c>
      <c r="F4184">
        <v>8.0937563144069493</v>
      </c>
    </row>
    <row r="4185" spans="1:6">
      <c r="A4185" t="s">
        <v>52918</v>
      </c>
      <c r="B4185" t="s">
        <v>52921</v>
      </c>
      <c r="C4185">
        <v>0.44889148813758101</v>
      </c>
      <c r="D4185">
        <v>0.70369336023964901</v>
      </c>
      <c r="E4185">
        <v>0.955651371769074</v>
      </c>
      <c r="F4185">
        <v>8.0937563144069493</v>
      </c>
    </row>
    <row r="4186" spans="1:6">
      <c r="A4186" t="s">
        <v>52922</v>
      </c>
      <c r="B4186" t="s">
        <v>52923</v>
      </c>
      <c r="C4186">
        <v>0</v>
      </c>
      <c r="D4186">
        <v>0.44901111091684398</v>
      </c>
      <c r="E4186">
        <v>0.821328904871511</v>
      </c>
      <c r="F4186">
        <v>12.516467973327901</v>
      </c>
    </row>
    <row r="4187" spans="1:6">
      <c r="A4187" t="s">
        <v>52922</v>
      </c>
      <c r="B4187" t="s">
        <v>52924</v>
      </c>
      <c r="C4187">
        <v>0</v>
      </c>
      <c r="D4187">
        <v>0.44901111091684398</v>
      </c>
      <c r="E4187">
        <v>0.821328904871511</v>
      </c>
      <c r="F4187">
        <v>12.516467973327901</v>
      </c>
    </row>
    <row r="4188" spans="1:6">
      <c r="A4188" t="s">
        <v>52922</v>
      </c>
      <c r="B4188" t="s">
        <v>52925</v>
      </c>
      <c r="C4188">
        <v>0</v>
      </c>
      <c r="D4188">
        <v>0.44901111091684398</v>
      </c>
      <c r="E4188">
        <v>0.821328904871511</v>
      </c>
      <c r="F4188">
        <v>12.516467973327901</v>
      </c>
    </row>
    <row r="4189" spans="1:6">
      <c r="A4189" t="s">
        <v>52922</v>
      </c>
      <c r="B4189" t="s">
        <v>52926</v>
      </c>
      <c r="C4189">
        <v>0.48155418420888102</v>
      </c>
      <c r="D4189">
        <v>0.44901111091684398</v>
      </c>
      <c r="E4189">
        <v>0.821328904871511</v>
      </c>
      <c r="F4189">
        <v>12.516467973327901</v>
      </c>
    </row>
    <row r="4190" spans="1:6">
      <c r="A4190" t="s">
        <v>52922</v>
      </c>
      <c r="B4190" t="s">
        <v>52927</v>
      </c>
      <c r="C4190">
        <v>0</v>
      </c>
      <c r="D4190">
        <v>0.44901111091684398</v>
      </c>
      <c r="E4190">
        <v>0.821328904871511</v>
      </c>
      <c r="F4190">
        <v>12.516467973327901</v>
      </c>
    </row>
    <row r="4191" spans="1:6">
      <c r="A4191" t="s">
        <v>52922</v>
      </c>
      <c r="B4191" t="s">
        <v>52928</v>
      </c>
      <c r="C4191">
        <v>0</v>
      </c>
      <c r="D4191">
        <v>0.44901111091684398</v>
      </c>
      <c r="E4191">
        <v>0.821328904871511</v>
      </c>
      <c r="F4191">
        <v>12.516467973327901</v>
      </c>
    </row>
    <row r="4192" spans="1:6">
      <c r="A4192" t="s">
        <v>52922</v>
      </c>
      <c r="B4192" t="s">
        <v>52929</v>
      </c>
      <c r="C4192">
        <v>4.0790620284243101E-2</v>
      </c>
      <c r="D4192">
        <v>0.44901111091684398</v>
      </c>
      <c r="E4192">
        <v>0.821328904871511</v>
      </c>
      <c r="F4192">
        <v>12.516467973327901</v>
      </c>
    </row>
    <row r="4193" spans="1:6">
      <c r="A4193" t="s">
        <v>52930</v>
      </c>
      <c r="B4193" t="s">
        <v>52931</v>
      </c>
      <c r="C4193">
        <v>0</v>
      </c>
      <c r="D4193">
        <v>0.1999238806185</v>
      </c>
      <c r="E4193" t="s">
        <v>106</v>
      </c>
      <c r="F4193">
        <v>5.2956152758132902</v>
      </c>
    </row>
    <row r="4194" spans="1:6">
      <c r="A4194" t="s">
        <v>52930</v>
      </c>
      <c r="B4194" t="s">
        <v>52932</v>
      </c>
      <c r="C4194">
        <v>0</v>
      </c>
      <c r="D4194">
        <v>0.1999238806185</v>
      </c>
      <c r="E4194" t="s">
        <v>106</v>
      </c>
      <c r="F4194">
        <v>5.2956152758132902</v>
      </c>
    </row>
    <row r="4195" spans="1:6">
      <c r="A4195" t="s">
        <v>52930</v>
      </c>
      <c r="B4195" t="s">
        <v>52933</v>
      </c>
      <c r="C4195">
        <v>0</v>
      </c>
      <c r="D4195">
        <v>0.1999238806185</v>
      </c>
      <c r="E4195" t="s">
        <v>106</v>
      </c>
      <c r="F4195">
        <v>5.2956152758132902</v>
      </c>
    </row>
    <row r="4196" spans="1:6">
      <c r="A4196" t="s">
        <v>52930</v>
      </c>
      <c r="B4196" t="s">
        <v>52934</v>
      </c>
      <c r="C4196">
        <v>0</v>
      </c>
      <c r="D4196">
        <v>0.1999238806185</v>
      </c>
      <c r="E4196" t="s">
        <v>106</v>
      </c>
      <c r="F4196">
        <v>5.2956152758132902</v>
      </c>
    </row>
    <row r="4197" spans="1:6">
      <c r="A4197" t="s">
        <v>52930</v>
      </c>
      <c r="B4197" t="s">
        <v>52935</v>
      </c>
      <c r="C4197">
        <v>0</v>
      </c>
      <c r="D4197">
        <v>0.1999238806185</v>
      </c>
      <c r="E4197" t="s">
        <v>106</v>
      </c>
      <c r="F4197">
        <v>5.2956152758132902</v>
      </c>
    </row>
    <row r="4198" spans="1:6">
      <c r="A4198" t="s">
        <v>52930</v>
      </c>
      <c r="B4198" t="s">
        <v>52936</v>
      </c>
      <c r="C4198">
        <v>0</v>
      </c>
      <c r="D4198">
        <v>0.1999238806185</v>
      </c>
      <c r="E4198" t="s">
        <v>106</v>
      </c>
      <c r="F4198">
        <v>5.2956152758132902</v>
      </c>
    </row>
    <row r="4199" spans="1:6">
      <c r="A4199" t="s">
        <v>52930</v>
      </c>
      <c r="B4199" t="s">
        <v>52937</v>
      </c>
      <c r="C4199">
        <v>0</v>
      </c>
      <c r="D4199">
        <v>0.1999238806185</v>
      </c>
      <c r="E4199" t="s">
        <v>106</v>
      </c>
      <c r="F4199">
        <v>5.2956152758132902</v>
      </c>
    </row>
    <row r="4200" spans="1:6">
      <c r="A4200" t="s">
        <v>52930</v>
      </c>
      <c r="B4200" t="s">
        <v>52938</v>
      </c>
      <c r="C4200">
        <v>0</v>
      </c>
      <c r="D4200">
        <v>0.1999238806185</v>
      </c>
      <c r="E4200" t="s">
        <v>106</v>
      </c>
      <c r="F4200">
        <v>5.2956152758132902</v>
      </c>
    </row>
    <row r="4201" spans="1:6">
      <c r="A4201" t="s">
        <v>52930</v>
      </c>
      <c r="B4201" t="s">
        <v>52939</v>
      </c>
      <c r="C4201">
        <v>0</v>
      </c>
      <c r="D4201">
        <v>0.1999238806185</v>
      </c>
      <c r="E4201" t="s">
        <v>106</v>
      </c>
      <c r="F4201">
        <v>5.2956152758132902</v>
      </c>
    </row>
    <row r="4202" spans="1:6">
      <c r="A4202" t="s">
        <v>52930</v>
      </c>
      <c r="B4202" t="s">
        <v>52940</v>
      </c>
      <c r="C4202">
        <v>0</v>
      </c>
      <c r="D4202">
        <v>0.1999238806185</v>
      </c>
      <c r="E4202" t="s">
        <v>106</v>
      </c>
      <c r="F4202">
        <v>5.2956152758132902</v>
      </c>
    </row>
    <row r="4203" spans="1:6">
      <c r="A4203" t="s">
        <v>52941</v>
      </c>
      <c r="B4203" t="s">
        <v>52942</v>
      </c>
      <c r="C4203">
        <v>0</v>
      </c>
      <c r="D4203">
        <v>0.17860997872423801</v>
      </c>
      <c r="E4203">
        <v>0.79462837481127402</v>
      </c>
      <c r="F4203">
        <v>4.5245504142250903</v>
      </c>
    </row>
    <row r="4204" spans="1:6">
      <c r="A4204" t="s">
        <v>52941</v>
      </c>
      <c r="B4204" t="s">
        <v>52943</v>
      </c>
      <c r="C4204">
        <v>3.4971448327197001E-2</v>
      </c>
      <c r="D4204">
        <v>0.17860997872423801</v>
      </c>
      <c r="E4204">
        <v>0.79462837481127402</v>
      </c>
      <c r="F4204">
        <v>4.5245504142250903</v>
      </c>
    </row>
    <row r="4205" spans="1:6">
      <c r="A4205" t="s">
        <v>52941</v>
      </c>
      <c r="B4205" t="s">
        <v>52944</v>
      </c>
      <c r="C4205">
        <v>0</v>
      </c>
      <c r="D4205">
        <v>0.17860997872423801</v>
      </c>
      <c r="E4205">
        <v>0.79462837481127402</v>
      </c>
      <c r="F4205">
        <v>4.5245504142250903</v>
      </c>
    </row>
    <row r="4206" spans="1:6">
      <c r="A4206" t="s">
        <v>52941</v>
      </c>
      <c r="B4206" t="s">
        <v>52945</v>
      </c>
      <c r="C4206">
        <v>0</v>
      </c>
      <c r="D4206">
        <v>0.17860997872423801</v>
      </c>
      <c r="E4206">
        <v>0.79462837481127402</v>
      </c>
      <c r="F4206">
        <v>4.5245504142250903</v>
      </c>
    </row>
    <row r="4207" spans="1:6">
      <c r="A4207" t="s">
        <v>52941</v>
      </c>
      <c r="B4207" t="s">
        <v>52946</v>
      </c>
      <c r="C4207">
        <v>0.55701399881384706</v>
      </c>
      <c r="D4207">
        <v>0.17860997872423801</v>
      </c>
      <c r="E4207">
        <v>0.79462837481127402</v>
      </c>
      <c r="F4207">
        <v>4.5245504142250903</v>
      </c>
    </row>
    <row r="4208" spans="1:6">
      <c r="A4208" t="s">
        <v>52941</v>
      </c>
      <c r="B4208" t="s">
        <v>52947</v>
      </c>
      <c r="C4208">
        <v>0</v>
      </c>
      <c r="D4208">
        <v>0.17860997872423801</v>
      </c>
      <c r="E4208">
        <v>0.79462837481127402</v>
      </c>
      <c r="F4208">
        <v>4.5245504142250903</v>
      </c>
    </row>
    <row r="4209" spans="1:6">
      <c r="A4209" t="s">
        <v>52941</v>
      </c>
      <c r="B4209" t="s">
        <v>52948</v>
      </c>
      <c r="C4209">
        <v>0</v>
      </c>
      <c r="D4209">
        <v>0.17860997872423801</v>
      </c>
      <c r="E4209">
        <v>0.79462837481127402</v>
      </c>
      <c r="F4209">
        <v>4.5245504142250903</v>
      </c>
    </row>
    <row r="4210" spans="1:6">
      <c r="A4210" t="s">
        <v>52949</v>
      </c>
      <c r="B4210" t="s">
        <v>52950</v>
      </c>
      <c r="C4210">
        <v>0</v>
      </c>
      <c r="D4210">
        <v>0.51016374920461205</v>
      </c>
      <c r="E4210" t="s">
        <v>106</v>
      </c>
      <c r="F4210">
        <v>6.7504546373004599</v>
      </c>
    </row>
    <row r="4211" spans="1:6">
      <c r="A4211" t="s">
        <v>52949</v>
      </c>
      <c r="B4211" t="s">
        <v>52951</v>
      </c>
      <c r="C4211">
        <v>0</v>
      </c>
      <c r="D4211">
        <v>0.51016374920461205</v>
      </c>
      <c r="E4211" t="s">
        <v>106</v>
      </c>
      <c r="F4211">
        <v>6.7504546373004599</v>
      </c>
    </row>
    <row r="4212" spans="1:6">
      <c r="A4212" t="s">
        <v>52949</v>
      </c>
      <c r="B4212" t="s">
        <v>52952</v>
      </c>
      <c r="C4212">
        <v>0</v>
      </c>
      <c r="D4212">
        <v>0.51016374920461205</v>
      </c>
      <c r="E4212" t="s">
        <v>106</v>
      </c>
      <c r="F4212">
        <v>6.7504546373004599</v>
      </c>
    </row>
    <row r="4213" spans="1:6">
      <c r="A4213" t="s">
        <v>52953</v>
      </c>
      <c r="B4213" t="s">
        <v>52954</v>
      </c>
      <c r="C4213">
        <v>0</v>
      </c>
      <c r="D4213">
        <v>0.65517124621372103</v>
      </c>
      <c r="E4213">
        <v>0.96238538270408702</v>
      </c>
      <c r="F4213">
        <v>8.5253586583148095</v>
      </c>
    </row>
    <row r="4214" spans="1:6">
      <c r="A4214" t="s">
        <v>52953</v>
      </c>
      <c r="B4214" t="s">
        <v>52955</v>
      </c>
      <c r="C4214">
        <v>0.61760976503883402</v>
      </c>
      <c r="D4214">
        <v>0.65517124621372103</v>
      </c>
      <c r="E4214">
        <v>0.96238538270408702</v>
      </c>
      <c r="F4214">
        <v>8.5253586583148095</v>
      </c>
    </row>
    <row r="4215" spans="1:6">
      <c r="A4215" t="s">
        <v>52953</v>
      </c>
      <c r="B4215" t="s">
        <v>52956</v>
      </c>
      <c r="C4215">
        <v>0</v>
      </c>
      <c r="D4215">
        <v>0.65517124621372103</v>
      </c>
      <c r="E4215">
        <v>0.96238538270408702</v>
      </c>
      <c r="F4215">
        <v>8.5253586583148095</v>
      </c>
    </row>
    <row r="4216" spans="1:6">
      <c r="A4216" t="s">
        <v>52953</v>
      </c>
      <c r="B4216" t="s">
        <v>52957</v>
      </c>
      <c r="C4216">
        <v>0</v>
      </c>
      <c r="D4216">
        <v>0.65517124621372103</v>
      </c>
      <c r="E4216">
        <v>0.96238538270408702</v>
      </c>
      <c r="F4216">
        <v>8.5253586583148095</v>
      </c>
    </row>
    <row r="4217" spans="1:6">
      <c r="A4217" t="s">
        <v>52953</v>
      </c>
      <c r="B4217" t="s">
        <v>52958</v>
      </c>
      <c r="C4217">
        <v>0</v>
      </c>
      <c r="D4217">
        <v>0.65517124621372103</v>
      </c>
      <c r="E4217">
        <v>0.96238538270408702</v>
      </c>
      <c r="F4217">
        <v>8.5253586583148095</v>
      </c>
    </row>
    <row r="4218" spans="1:6">
      <c r="A4218" t="s">
        <v>52953</v>
      </c>
      <c r="B4218" t="s">
        <v>52959</v>
      </c>
      <c r="C4218">
        <v>0</v>
      </c>
      <c r="D4218">
        <v>0.65517124621372103</v>
      </c>
      <c r="E4218">
        <v>0.96238538270408702</v>
      </c>
      <c r="F4218">
        <v>8.5253586583148095</v>
      </c>
    </row>
    <row r="4219" spans="1:6">
      <c r="A4219" t="s">
        <v>52953</v>
      </c>
      <c r="B4219" t="s">
        <v>52960</v>
      </c>
      <c r="C4219">
        <v>0</v>
      </c>
      <c r="D4219">
        <v>0.65517124621372103</v>
      </c>
      <c r="E4219">
        <v>0.96238538270408702</v>
      </c>
      <c r="F4219">
        <v>8.5253586583148095</v>
      </c>
    </row>
    <row r="4220" spans="1:6">
      <c r="A4220" t="s">
        <v>52953</v>
      </c>
      <c r="B4220" t="s">
        <v>52961</v>
      </c>
      <c r="C4220">
        <v>5.4024080596151602E-2</v>
      </c>
      <c r="D4220">
        <v>0.65517124621372103</v>
      </c>
      <c r="E4220">
        <v>0.96238538270408702</v>
      </c>
      <c r="F4220">
        <v>8.5253586583148095</v>
      </c>
    </row>
    <row r="4221" spans="1:6">
      <c r="A4221" t="s">
        <v>52953</v>
      </c>
      <c r="B4221" t="s">
        <v>52962</v>
      </c>
      <c r="C4221">
        <v>0</v>
      </c>
      <c r="D4221">
        <v>0.65517124621372103</v>
      </c>
      <c r="E4221">
        <v>0.96238538270408702</v>
      </c>
      <c r="F4221">
        <v>8.5253586583148095</v>
      </c>
    </row>
    <row r="4222" spans="1:6">
      <c r="A4222" t="s">
        <v>52963</v>
      </c>
      <c r="B4222" t="s">
        <v>52964</v>
      </c>
      <c r="C4222">
        <v>0</v>
      </c>
      <c r="D4222">
        <v>0.45137018230200798</v>
      </c>
      <c r="E4222">
        <v>0.81446881215435596</v>
      </c>
      <c r="F4222">
        <v>16.0662760153566</v>
      </c>
    </row>
    <row r="4223" spans="1:6">
      <c r="A4223" t="s">
        <v>52963</v>
      </c>
      <c r="B4223" t="s">
        <v>52965</v>
      </c>
      <c r="C4223">
        <v>0</v>
      </c>
      <c r="D4223">
        <v>0.45137018230200798</v>
      </c>
      <c r="E4223">
        <v>0.81446881215435596</v>
      </c>
      <c r="F4223">
        <v>16.0662760153566</v>
      </c>
    </row>
    <row r="4224" spans="1:6">
      <c r="A4224" t="s">
        <v>52963</v>
      </c>
      <c r="B4224" t="s">
        <v>52966</v>
      </c>
      <c r="C4224">
        <v>0</v>
      </c>
      <c r="D4224">
        <v>0.45137018230200798</v>
      </c>
      <c r="E4224">
        <v>0.81446881215435596</v>
      </c>
      <c r="F4224">
        <v>16.0662760153566</v>
      </c>
    </row>
    <row r="4225" spans="1:6">
      <c r="A4225" t="s">
        <v>52963</v>
      </c>
      <c r="B4225" t="s">
        <v>52967</v>
      </c>
      <c r="C4225">
        <v>0.606468812154356</v>
      </c>
      <c r="D4225">
        <v>0.45137018230200798</v>
      </c>
      <c r="E4225">
        <v>0.81446881215435596</v>
      </c>
      <c r="F4225">
        <v>16.0662760153566</v>
      </c>
    </row>
    <row r="4226" spans="1:6">
      <c r="A4226" t="s">
        <v>52963</v>
      </c>
      <c r="B4226" t="s">
        <v>52968</v>
      </c>
      <c r="C4226">
        <v>0</v>
      </c>
      <c r="D4226">
        <v>0.45137018230200798</v>
      </c>
      <c r="E4226">
        <v>0.81446881215435596</v>
      </c>
      <c r="F4226">
        <v>16.0662760153566</v>
      </c>
    </row>
    <row r="4227" spans="1:6">
      <c r="A4227" t="s">
        <v>52969</v>
      </c>
      <c r="B4227" t="s">
        <v>52970</v>
      </c>
      <c r="C4227">
        <v>0.39938061289268501</v>
      </c>
      <c r="D4227">
        <v>9.7737715537657005E-2</v>
      </c>
      <c r="E4227">
        <v>0.97615390414756098</v>
      </c>
      <c r="F4227">
        <v>2.35199030107092</v>
      </c>
    </row>
    <row r="4228" spans="1:6">
      <c r="A4228" t="s">
        <v>52969</v>
      </c>
      <c r="B4228" t="s">
        <v>52971</v>
      </c>
      <c r="C4228">
        <v>0</v>
      </c>
      <c r="D4228">
        <v>9.7737715537657005E-2</v>
      </c>
      <c r="E4228">
        <v>0.97615390414756098</v>
      </c>
      <c r="F4228">
        <v>2.35199030107092</v>
      </c>
    </row>
    <row r="4229" spans="1:6">
      <c r="A4229" t="s">
        <v>52969</v>
      </c>
      <c r="B4229" t="s">
        <v>52972</v>
      </c>
      <c r="C4229">
        <v>0.431412914761241</v>
      </c>
      <c r="D4229">
        <v>9.7737715537657005E-2</v>
      </c>
      <c r="E4229">
        <v>0.97615390414756098</v>
      </c>
      <c r="F4229">
        <v>2.35199030107092</v>
      </c>
    </row>
    <row r="4230" spans="1:6">
      <c r="A4230" t="s">
        <v>52969</v>
      </c>
      <c r="B4230" t="s">
        <v>52973</v>
      </c>
      <c r="C4230">
        <v>0</v>
      </c>
      <c r="D4230">
        <v>9.7737715537657005E-2</v>
      </c>
      <c r="E4230">
        <v>0.97615390414756098</v>
      </c>
      <c r="F4230">
        <v>2.35199030107092</v>
      </c>
    </row>
    <row r="4231" spans="1:6">
      <c r="A4231" t="s">
        <v>52969</v>
      </c>
      <c r="B4231" t="s">
        <v>52974</v>
      </c>
      <c r="C4231">
        <v>0</v>
      </c>
      <c r="D4231">
        <v>9.7737715537657005E-2</v>
      </c>
      <c r="E4231">
        <v>0.97615390414756098</v>
      </c>
      <c r="F4231">
        <v>2.35199030107092</v>
      </c>
    </row>
    <row r="4232" spans="1:6">
      <c r="A4232" t="s">
        <v>52975</v>
      </c>
      <c r="B4232" t="s">
        <v>52976</v>
      </c>
      <c r="C4232">
        <v>0</v>
      </c>
      <c r="D4232">
        <v>0.83145741143442697</v>
      </c>
      <c r="E4232">
        <v>0.98903369819217701</v>
      </c>
      <c r="F4232">
        <v>14.330167710648601</v>
      </c>
    </row>
    <row r="4233" spans="1:6">
      <c r="A4233" t="s">
        <v>52975</v>
      </c>
      <c r="B4233" t="s">
        <v>52977</v>
      </c>
      <c r="C4233">
        <v>0</v>
      </c>
      <c r="D4233">
        <v>0.83145741143442697</v>
      </c>
      <c r="E4233">
        <v>0.98903369819217701</v>
      </c>
      <c r="F4233">
        <v>14.330167710648601</v>
      </c>
    </row>
    <row r="4234" spans="1:6">
      <c r="A4234" t="s">
        <v>52975</v>
      </c>
      <c r="B4234" t="s">
        <v>52978</v>
      </c>
      <c r="C4234">
        <v>0</v>
      </c>
      <c r="D4234">
        <v>0.83145741143442697</v>
      </c>
      <c r="E4234">
        <v>0.98903369819217701</v>
      </c>
      <c r="F4234">
        <v>14.330167710648601</v>
      </c>
    </row>
    <row r="4235" spans="1:6">
      <c r="A4235" t="s">
        <v>52975</v>
      </c>
      <c r="B4235" t="s">
        <v>52979</v>
      </c>
      <c r="C4235">
        <v>0</v>
      </c>
      <c r="D4235">
        <v>0.83145741143442697</v>
      </c>
      <c r="E4235">
        <v>0.98903369819217701</v>
      </c>
      <c r="F4235">
        <v>14.330167710648601</v>
      </c>
    </row>
    <row r="4236" spans="1:6">
      <c r="A4236" t="s">
        <v>52975</v>
      </c>
      <c r="B4236" t="s">
        <v>52980</v>
      </c>
      <c r="C4236">
        <v>0</v>
      </c>
      <c r="D4236">
        <v>0.83145741143442697</v>
      </c>
      <c r="E4236">
        <v>0.98903369819217701</v>
      </c>
      <c r="F4236">
        <v>14.330167710648601</v>
      </c>
    </row>
    <row r="4237" spans="1:6">
      <c r="A4237" t="s">
        <v>52975</v>
      </c>
      <c r="B4237" t="s">
        <v>52981</v>
      </c>
      <c r="C4237">
        <v>0</v>
      </c>
      <c r="D4237">
        <v>0.83145741143442697</v>
      </c>
      <c r="E4237">
        <v>0.98903369819217701</v>
      </c>
      <c r="F4237">
        <v>14.330167710648601</v>
      </c>
    </row>
    <row r="4238" spans="1:6">
      <c r="A4238" t="s">
        <v>52975</v>
      </c>
      <c r="B4238" t="s">
        <v>52982</v>
      </c>
      <c r="C4238">
        <v>0.15913818866920099</v>
      </c>
      <c r="D4238">
        <v>0.83145741143442697</v>
      </c>
      <c r="E4238">
        <v>0.98903369819217701</v>
      </c>
      <c r="F4238">
        <v>14.330167710648601</v>
      </c>
    </row>
    <row r="4239" spans="1:6">
      <c r="A4239" t="s">
        <v>52975</v>
      </c>
      <c r="B4239" t="s">
        <v>52983</v>
      </c>
      <c r="C4239">
        <v>0</v>
      </c>
      <c r="D4239">
        <v>0.83145741143442697</v>
      </c>
      <c r="E4239">
        <v>0.98903369819217701</v>
      </c>
      <c r="F4239">
        <v>14.330167710648601</v>
      </c>
    </row>
    <row r="4240" spans="1:6">
      <c r="A4240" t="s">
        <v>52975</v>
      </c>
      <c r="B4240" t="s">
        <v>52984</v>
      </c>
      <c r="C4240">
        <v>0</v>
      </c>
      <c r="D4240">
        <v>0.83145741143442697</v>
      </c>
      <c r="E4240">
        <v>0.98903369819217701</v>
      </c>
      <c r="F4240">
        <v>14.330167710648601</v>
      </c>
    </row>
    <row r="4241" spans="1:6">
      <c r="A4241" t="s">
        <v>52975</v>
      </c>
      <c r="B4241" t="s">
        <v>52985</v>
      </c>
      <c r="C4241">
        <v>0.889926476421389</v>
      </c>
      <c r="D4241">
        <v>0.83145741143442697</v>
      </c>
      <c r="E4241">
        <v>0.98903369819217701</v>
      </c>
      <c r="F4241">
        <v>14.330167710648601</v>
      </c>
    </row>
    <row r="4242" spans="1:6">
      <c r="A4242" t="s">
        <v>52986</v>
      </c>
      <c r="B4242" t="s">
        <v>52987</v>
      </c>
      <c r="C4242">
        <v>0.90182925909977096</v>
      </c>
      <c r="D4242">
        <v>0.290307742777274</v>
      </c>
      <c r="E4242">
        <v>0.86955196647661903</v>
      </c>
      <c r="F4242">
        <v>3.3509799959587698</v>
      </c>
    </row>
    <row r="4243" spans="1:6">
      <c r="A4243" t="s">
        <v>52986</v>
      </c>
      <c r="B4243" t="s">
        <v>52988</v>
      </c>
      <c r="C4243">
        <v>0.45030861988756998</v>
      </c>
      <c r="D4243">
        <v>0.290307742777274</v>
      </c>
      <c r="E4243">
        <v>0.86955196647661903</v>
      </c>
      <c r="F4243">
        <v>3.3509799959587698</v>
      </c>
    </row>
    <row r="4244" spans="1:6">
      <c r="A4244" t="s">
        <v>52989</v>
      </c>
      <c r="B4244" t="s">
        <v>52990</v>
      </c>
      <c r="C4244">
        <v>0</v>
      </c>
      <c r="D4244">
        <v>0.17610676714409401</v>
      </c>
      <c r="E4244">
        <v>0.979978050351209</v>
      </c>
      <c r="F4244">
        <v>22.569407961204199</v>
      </c>
    </row>
    <row r="4245" spans="1:6">
      <c r="A4245" t="s">
        <v>52989</v>
      </c>
      <c r="B4245" t="s">
        <v>52991</v>
      </c>
      <c r="C4245">
        <v>0</v>
      </c>
      <c r="D4245">
        <v>0.17610676714409401</v>
      </c>
      <c r="E4245">
        <v>0.979978050351209</v>
      </c>
      <c r="F4245">
        <v>22.569407961204199</v>
      </c>
    </row>
    <row r="4246" spans="1:6">
      <c r="A4246" t="s">
        <v>52989</v>
      </c>
      <c r="B4246" t="s">
        <v>52992</v>
      </c>
      <c r="C4246">
        <v>8.9370042437077704E-2</v>
      </c>
      <c r="D4246">
        <v>0.17610676714409401</v>
      </c>
      <c r="E4246">
        <v>0.979978050351209</v>
      </c>
      <c r="F4246">
        <v>22.569407961204199</v>
      </c>
    </row>
    <row r="4247" spans="1:6">
      <c r="A4247" t="s">
        <v>52989</v>
      </c>
      <c r="B4247" t="s">
        <v>52993</v>
      </c>
      <c r="C4247">
        <v>0</v>
      </c>
      <c r="D4247">
        <v>0.17610676714409401</v>
      </c>
      <c r="E4247">
        <v>0.979978050351209</v>
      </c>
      <c r="F4247">
        <v>22.569407961204199</v>
      </c>
    </row>
    <row r="4248" spans="1:6">
      <c r="A4248" t="s">
        <v>52989</v>
      </c>
      <c r="B4248" t="s">
        <v>52994</v>
      </c>
      <c r="C4248">
        <v>0</v>
      </c>
      <c r="D4248">
        <v>0.17610676714409401</v>
      </c>
      <c r="E4248">
        <v>0.979978050351209</v>
      </c>
      <c r="F4248">
        <v>22.569407961204199</v>
      </c>
    </row>
    <row r="4249" spans="1:6">
      <c r="A4249" t="s">
        <v>52989</v>
      </c>
      <c r="B4249" t="s">
        <v>52995</v>
      </c>
      <c r="C4249">
        <v>0.62451514258350604</v>
      </c>
      <c r="D4249">
        <v>0.17610676714409401</v>
      </c>
      <c r="E4249">
        <v>0.979978050351209</v>
      </c>
      <c r="F4249">
        <v>22.569407961204199</v>
      </c>
    </row>
    <row r="4250" spans="1:6">
      <c r="A4250" t="s">
        <v>52989</v>
      </c>
      <c r="B4250" t="s">
        <v>52996</v>
      </c>
      <c r="C4250">
        <v>0</v>
      </c>
      <c r="D4250">
        <v>0.17610676714409401</v>
      </c>
      <c r="E4250">
        <v>0.979978050351209</v>
      </c>
      <c r="F4250">
        <v>22.569407961204199</v>
      </c>
    </row>
    <row r="4251" spans="1:6">
      <c r="A4251" t="s">
        <v>52997</v>
      </c>
      <c r="B4251" t="s">
        <v>52998</v>
      </c>
      <c r="C4251">
        <v>0.207762496887684</v>
      </c>
      <c r="D4251">
        <v>0.56206385869557396</v>
      </c>
      <c r="E4251">
        <v>0.91258567183780304</v>
      </c>
      <c r="F4251">
        <v>14.519296827641901</v>
      </c>
    </row>
    <row r="4252" spans="1:6">
      <c r="A4252" t="s">
        <v>52997</v>
      </c>
      <c r="B4252" t="s">
        <v>52999</v>
      </c>
      <c r="C4252">
        <v>0.74291930508971205</v>
      </c>
      <c r="D4252">
        <v>0.56206385869557396</v>
      </c>
      <c r="E4252">
        <v>0.91258567183780304</v>
      </c>
      <c r="F4252">
        <v>14.519296827641901</v>
      </c>
    </row>
    <row r="4253" spans="1:6">
      <c r="A4253" t="s">
        <v>53000</v>
      </c>
      <c r="B4253" t="s">
        <v>53001</v>
      </c>
      <c r="C4253">
        <v>0</v>
      </c>
      <c r="D4253">
        <v>0.34918007156130598</v>
      </c>
      <c r="E4253">
        <v>0.86750825453781799</v>
      </c>
      <c r="F4253">
        <v>11.158617902606499</v>
      </c>
    </row>
    <row r="4254" spans="1:6">
      <c r="A4254" t="s">
        <v>53000</v>
      </c>
      <c r="B4254" t="s">
        <v>53002</v>
      </c>
      <c r="C4254">
        <v>0.187693513580064</v>
      </c>
      <c r="D4254">
        <v>0.34918007156130598</v>
      </c>
      <c r="E4254">
        <v>0.86750825453781799</v>
      </c>
      <c r="F4254">
        <v>11.158617902606499</v>
      </c>
    </row>
    <row r="4255" spans="1:6">
      <c r="A4255" t="s">
        <v>53000</v>
      </c>
      <c r="B4255" t="s">
        <v>53003</v>
      </c>
      <c r="C4255">
        <v>0</v>
      </c>
      <c r="D4255">
        <v>0.34918007156130598</v>
      </c>
      <c r="E4255">
        <v>0.86750825453781799</v>
      </c>
      <c r="F4255">
        <v>11.158617902606499</v>
      </c>
    </row>
    <row r="4256" spans="1:6">
      <c r="A4256" t="s">
        <v>53000</v>
      </c>
      <c r="B4256" t="s">
        <v>53004</v>
      </c>
      <c r="C4256">
        <v>0.44302300563854402</v>
      </c>
      <c r="D4256">
        <v>0.34918007156130598</v>
      </c>
      <c r="E4256">
        <v>0.86750825453781799</v>
      </c>
      <c r="F4256">
        <v>11.158617902606499</v>
      </c>
    </row>
    <row r="4257" spans="1:6">
      <c r="A4257" t="s">
        <v>53000</v>
      </c>
      <c r="B4257" t="s">
        <v>53005</v>
      </c>
      <c r="C4257">
        <v>0</v>
      </c>
      <c r="D4257">
        <v>0.34918007156130598</v>
      </c>
      <c r="E4257">
        <v>0.86750825453781799</v>
      </c>
      <c r="F4257">
        <v>11.158617902606499</v>
      </c>
    </row>
    <row r="4258" spans="1:6">
      <c r="A4258" t="s">
        <v>53000</v>
      </c>
      <c r="B4258" t="s">
        <v>53006</v>
      </c>
      <c r="C4258">
        <v>0</v>
      </c>
      <c r="D4258">
        <v>0.34918007156130598</v>
      </c>
      <c r="E4258">
        <v>0.86750825453781799</v>
      </c>
      <c r="F4258">
        <v>11.158617902606499</v>
      </c>
    </row>
    <row r="4259" spans="1:6">
      <c r="A4259" t="s">
        <v>53007</v>
      </c>
      <c r="B4259" t="s">
        <v>53008</v>
      </c>
      <c r="C4259">
        <v>0.57348888588619296</v>
      </c>
      <c r="D4259">
        <v>0.56300762348593103</v>
      </c>
      <c r="E4259">
        <v>0.85770521692316704</v>
      </c>
      <c r="F4259">
        <v>18.112750050515199</v>
      </c>
    </row>
    <row r="4260" spans="1:6">
      <c r="A4260" t="s">
        <v>53007</v>
      </c>
      <c r="B4260" t="s">
        <v>53009</v>
      </c>
      <c r="C4260">
        <v>0</v>
      </c>
      <c r="D4260">
        <v>0.56300762348593103</v>
      </c>
      <c r="E4260">
        <v>0.85770521692316704</v>
      </c>
      <c r="F4260">
        <v>18.112750050515199</v>
      </c>
    </row>
    <row r="4261" spans="1:6">
      <c r="A4261" t="s">
        <v>53007</v>
      </c>
      <c r="B4261" t="s">
        <v>53010</v>
      </c>
      <c r="C4261">
        <v>0.162200443977978</v>
      </c>
      <c r="D4261">
        <v>0.56300762348593103</v>
      </c>
      <c r="E4261">
        <v>0.85770521692316704</v>
      </c>
      <c r="F4261">
        <v>18.112750050515199</v>
      </c>
    </row>
    <row r="4262" spans="1:6">
      <c r="A4262" t="s">
        <v>53007</v>
      </c>
      <c r="B4262" t="s">
        <v>53011</v>
      </c>
      <c r="C4262">
        <v>0</v>
      </c>
      <c r="D4262">
        <v>0.56300762348593103</v>
      </c>
      <c r="E4262">
        <v>0.85770521692316704</v>
      </c>
      <c r="F4262">
        <v>18.112750050515199</v>
      </c>
    </row>
    <row r="4263" spans="1:6">
      <c r="A4263" t="s">
        <v>53012</v>
      </c>
      <c r="B4263" t="s">
        <v>53013</v>
      </c>
      <c r="C4263">
        <v>0</v>
      </c>
      <c r="D4263">
        <v>0.248313864618772</v>
      </c>
      <c r="E4263">
        <v>0.97162820280645501</v>
      </c>
      <c r="F4263">
        <v>16.265104061426499</v>
      </c>
    </row>
    <row r="4264" spans="1:6">
      <c r="A4264" t="s">
        <v>53012</v>
      </c>
      <c r="B4264" t="s">
        <v>53014</v>
      </c>
      <c r="C4264">
        <v>0.71390752068653496</v>
      </c>
      <c r="D4264">
        <v>0.248313864618772</v>
      </c>
      <c r="E4264">
        <v>0.97162820280645501</v>
      </c>
      <c r="F4264">
        <v>16.265104061426499</v>
      </c>
    </row>
    <row r="4265" spans="1:6">
      <c r="A4265" t="s">
        <v>53012</v>
      </c>
      <c r="B4265" t="s">
        <v>53015</v>
      </c>
      <c r="C4265">
        <v>0.112198643856754</v>
      </c>
      <c r="D4265">
        <v>0.248313864618772</v>
      </c>
      <c r="E4265">
        <v>0.97162820280645501</v>
      </c>
      <c r="F4265">
        <v>16.265104061426499</v>
      </c>
    </row>
    <row r="4266" spans="1:6">
      <c r="A4266" t="s">
        <v>53012</v>
      </c>
      <c r="B4266" t="s">
        <v>53016</v>
      </c>
      <c r="C4266">
        <v>0</v>
      </c>
      <c r="D4266">
        <v>0.248313864618772</v>
      </c>
      <c r="E4266">
        <v>0.97162820280645501</v>
      </c>
      <c r="F4266">
        <v>16.265104061426499</v>
      </c>
    </row>
    <row r="4267" spans="1:6">
      <c r="A4267" t="s">
        <v>53012</v>
      </c>
      <c r="B4267" t="s">
        <v>53017</v>
      </c>
      <c r="C4267">
        <v>0</v>
      </c>
      <c r="D4267">
        <v>0.248313864618772</v>
      </c>
      <c r="E4267">
        <v>0.97162820280645501</v>
      </c>
      <c r="F4267">
        <v>16.265104061426499</v>
      </c>
    </row>
    <row r="4268" spans="1:6">
      <c r="A4268" t="s">
        <v>53012</v>
      </c>
      <c r="B4268" t="s">
        <v>53018</v>
      </c>
      <c r="C4268">
        <v>0</v>
      </c>
      <c r="D4268">
        <v>0.248313864618772</v>
      </c>
      <c r="E4268">
        <v>0.97162820280645501</v>
      </c>
      <c r="F4268">
        <v>16.265104061426499</v>
      </c>
    </row>
    <row r="4269" spans="1:6">
      <c r="A4269" t="s">
        <v>53019</v>
      </c>
      <c r="B4269" t="s">
        <v>53020</v>
      </c>
      <c r="C4269">
        <v>7.1551657126946902E-2</v>
      </c>
      <c r="D4269">
        <v>0.38232204666043701</v>
      </c>
      <c r="E4269">
        <v>0.98984184643676498</v>
      </c>
      <c r="F4269">
        <v>1.1299252374216999</v>
      </c>
    </row>
    <row r="4270" spans="1:6">
      <c r="A4270" t="s">
        <v>53019</v>
      </c>
      <c r="B4270" t="s">
        <v>53021</v>
      </c>
      <c r="C4270">
        <v>0</v>
      </c>
      <c r="D4270">
        <v>0.38232204666043701</v>
      </c>
      <c r="E4270">
        <v>0.98984184643676498</v>
      </c>
      <c r="F4270">
        <v>1.1299252374216999</v>
      </c>
    </row>
    <row r="4271" spans="1:6">
      <c r="A4271" t="s">
        <v>53019</v>
      </c>
      <c r="B4271" t="s">
        <v>53022</v>
      </c>
      <c r="C4271">
        <v>0</v>
      </c>
      <c r="D4271">
        <v>0.38232204666043701</v>
      </c>
      <c r="E4271">
        <v>0.98984184643676498</v>
      </c>
      <c r="F4271">
        <v>1.1299252374216999</v>
      </c>
    </row>
    <row r="4272" spans="1:6">
      <c r="A4272" t="s">
        <v>53019</v>
      </c>
      <c r="B4272" t="s">
        <v>53023</v>
      </c>
      <c r="C4272">
        <v>0</v>
      </c>
      <c r="D4272">
        <v>0.38232204666043701</v>
      </c>
      <c r="E4272">
        <v>0.98984184643676498</v>
      </c>
      <c r="F4272">
        <v>1.1299252374216999</v>
      </c>
    </row>
    <row r="4273" spans="1:6">
      <c r="A4273" t="s">
        <v>53019</v>
      </c>
      <c r="B4273" t="s">
        <v>53024</v>
      </c>
      <c r="C4273">
        <v>0</v>
      </c>
      <c r="D4273">
        <v>0.38232204666043701</v>
      </c>
      <c r="E4273">
        <v>0.98984184643676498</v>
      </c>
      <c r="F4273">
        <v>1.1299252374216999</v>
      </c>
    </row>
    <row r="4274" spans="1:6">
      <c r="A4274" t="s">
        <v>53019</v>
      </c>
      <c r="B4274" t="s">
        <v>53025</v>
      </c>
      <c r="C4274">
        <v>0.815489680927446</v>
      </c>
      <c r="D4274">
        <v>0.38232204666043701</v>
      </c>
      <c r="E4274">
        <v>0.98984184643676498</v>
      </c>
      <c r="F4274">
        <v>1.1299252374216999</v>
      </c>
    </row>
    <row r="4275" spans="1:6">
      <c r="A4275" t="s">
        <v>53026</v>
      </c>
      <c r="B4275" t="s">
        <v>53027</v>
      </c>
      <c r="C4275">
        <v>0.68456312047349899</v>
      </c>
      <c r="D4275">
        <v>0.36613032998744099</v>
      </c>
      <c r="E4275">
        <v>0.98071097532081497</v>
      </c>
      <c r="F4275">
        <v>9.2624772681349707</v>
      </c>
    </row>
    <row r="4276" spans="1:6">
      <c r="A4276" t="s">
        <v>53026</v>
      </c>
      <c r="B4276" t="s">
        <v>53028</v>
      </c>
      <c r="C4276">
        <v>0.1616301832324</v>
      </c>
      <c r="D4276">
        <v>0.36613032998744099</v>
      </c>
      <c r="E4276">
        <v>0.98071097532081497</v>
      </c>
      <c r="F4276">
        <v>9.2624772681349707</v>
      </c>
    </row>
    <row r="4277" spans="1:6">
      <c r="A4277" t="s">
        <v>53026</v>
      </c>
      <c r="B4277" t="s">
        <v>53029</v>
      </c>
      <c r="C4277">
        <v>0</v>
      </c>
      <c r="D4277">
        <v>0.36613032998744099</v>
      </c>
      <c r="E4277">
        <v>0.98071097532081497</v>
      </c>
      <c r="F4277">
        <v>9.2624772681349707</v>
      </c>
    </row>
    <row r="4278" spans="1:6">
      <c r="A4278" t="s">
        <v>53026</v>
      </c>
      <c r="B4278" t="s">
        <v>53030</v>
      </c>
      <c r="C4278">
        <v>0</v>
      </c>
      <c r="D4278">
        <v>0.36613032998744099</v>
      </c>
      <c r="E4278">
        <v>0.98071097532081497</v>
      </c>
      <c r="F4278">
        <v>9.2624772681349707</v>
      </c>
    </row>
    <row r="4279" spans="1:6">
      <c r="A4279" t="s">
        <v>53026</v>
      </c>
      <c r="B4279" t="s">
        <v>53031</v>
      </c>
      <c r="C4279">
        <v>0</v>
      </c>
      <c r="D4279">
        <v>0.36613032998744099</v>
      </c>
      <c r="E4279">
        <v>0.98071097532081497</v>
      </c>
      <c r="F4279">
        <v>9.2624772681349707</v>
      </c>
    </row>
    <row r="4280" spans="1:6">
      <c r="A4280" t="s">
        <v>53032</v>
      </c>
      <c r="B4280" t="s">
        <v>53033</v>
      </c>
      <c r="C4280">
        <v>0.93054827597976997</v>
      </c>
      <c r="D4280">
        <v>0.843583491742534</v>
      </c>
      <c r="E4280">
        <v>0.98199094868452796</v>
      </c>
      <c r="F4280">
        <v>0</v>
      </c>
    </row>
    <row r="4281" spans="1:6">
      <c r="A4281" t="s">
        <v>53032</v>
      </c>
      <c r="B4281" t="s">
        <v>53034</v>
      </c>
      <c r="C4281">
        <v>0.16672428777071199</v>
      </c>
      <c r="D4281">
        <v>0.843583491742534</v>
      </c>
      <c r="E4281">
        <v>0.98199094868452796</v>
      </c>
      <c r="F4281">
        <v>0</v>
      </c>
    </row>
    <row r="4282" spans="1:6">
      <c r="A4282" t="s">
        <v>53032</v>
      </c>
      <c r="B4282" t="s">
        <v>53035</v>
      </c>
      <c r="C4282">
        <v>0</v>
      </c>
      <c r="D4282">
        <v>0.843583491742534</v>
      </c>
      <c r="E4282">
        <v>0.98199094868452796</v>
      </c>
      <c r="F4282">
        <v>0</v>
      </c>
    </row>
    <row r="4283" spans="1:6">
      <c r="A4283" t="s">
        <v>53036</v>
      </c>
      <c r="B4283" t="s">
        <v>53037</v>
      </c>
      <c r="C4283">
        <v>0</v>
      </c>
      <c r="D4283">
        <v>0.19727732413416901</v>
      </c>
      <c r="E4283">
        <v>0.93179062813815505</v>
      </c>
      <c r="F4283">
        <v>22.099009900990001</v>
      </c>
    </row>
    <row r="4284" spans="1:6">
      <c r="A4284" t="s">
        <v>53036</v>
      </c>
      <c r="B4284" t="s">
        <v>53038</v>
      </c>
      <c r="C4284">
        <v>0.27905288234624198</v>
      </c>
      <c r="D4284">
        <v>0.19727732413416901</v>
      </c>
      <c r="E4284">
        <v>0.93179062813815505</v>
      </c>
      <c r="F4284">
        <v>22.099009900990001</v>
      </c>
    </row>
    <row r="4285" spans="1:6">
      <c r="A4285" t="s">
        <v>53036</v>
      </c>
      <c r="B4285" t="s">
        <v>53039</v>
      </c>
      <c r="C4285">
        <v>0.11693434652505599</v>
      </c>
      <c r="D4285">
        <v>0.19727732413416901</v>
      </c>
      <c r="E4285">
        <v>0.93179062813815505</v>
      </c>
      <c r="F4285">
        <v>22.099009900990001</v>
      </c>
    </row>
    <row r="4286" spans="1:6">
      <c r="A4286" t="s">
        <v>53036</v>
      </c>
      <c r="B4286" t="s">
        <v>53040</v>
      </c>
      <c r="C4286">
        <v>0</v>
      </c>
      <c r="D4286">
        <v>0.19727732413416901</v>
      </c>
      <c r="E4286">
        <v>0.93179062813815505</v>
      </c>
      <c r="F4286">
        <v>22.099009900990001</v>
      </c>
    </row>
    <row r="4287" spans="1:6">
      <c r="A4287" t="s">
        <v>53041</v>
      </c>
      <c r="B4287" t="s">
        <v>53042</v>
      </c>
      <c r="C4287">
        <v>0</v>
      </c>
      <c r="D4287">
        <v>0.37254484287239098</v>
      </c>
      <c r="E4287" t="s">
        <v>106</v>
      </c>
      <c r="F4287">
        <v>11.323499696908399</v>
      </c>
    </row>
    <row r="4288" spans="1:6">
      <c r="A4288" t="s">
        <v>53041</v>
      </c>
      <c r="B4288" t="s">
        <v>53043</v>
      </c>
      <c r="C4288">
        <v>0</v>
      </c>
      <c r="D4288">
        <v>0.37254484287239098</v>
      </c>
      <c r="E4288" t="s">
        <v>106</v>
      </c>
      <c r="F4288">
        <v>11.323499696908399</v>
      </c>
    </row>
    <row r="4289" spans="1:6">
      <c r="A4289" t="s">
        <v>53044</v>
      </c>
      <c r="B4289" t="s">
        <v>53045</v>
      </c>
      <c r="C4289">
        <v>0</v>
      </c>
      <c r="D4289">
        <v>0.201597181628446</v>
      </c>
      <c r="E4289">
        <v>0.70752772516683105</v>
      </c>
      <c r="F4289">
        <v>10.1887249949484</v>
      </c>
    </row>
    <row r="4290" spans="1:6">
      <c r="A4290" t="s">
        <v>53044</v>
      </c>
      <c r="B4290" t="s">
        <v>53046</v>
      </c>
      <c r="C4290">
        <v>0.577927725166831</v>
      </c>
      <c r="D4290">
        <v>0.201597181628446</v>
      </c>
      <c r="E4290">
        <v>0.70752772516683105</v>
      </c>
      <c r="F4290">
        <v>10.1887249949484</v>
      </c>
    </row>
    <row r="4291" spans="1:6">
      <c r="A4291" t="s">
        <v>53047</v>
      </c>
      <c r="B4291" t="s">
        <v>53048</v>
      </c>
      <c r="C4291">
        <v>0.84428391070971198</v>
      </c>
      <c r="D4291">
        <v>0.19353396632620901</v>
      </c>
      <c r="E4291">
        <v>0.95134516467639396</v>
      </c>
      <c r="F4291">
        <v>17.074964639320999</v>
      </c>
    </row>
    <row r="4292" spans="1:6">
      <c r="A4292" t="s">
        <v>53047</v>
      </c>
      <c r="B4292" t="s">
        <v>53049</v>
      </c>
      <c r="C4292">
        <v>0.58526386995096502</v>
      </c>
      <c r="D4292">
        <v>0.19353396632620901</v>
      </c>
      <c r="E4292">
        <v>0.95134516467639396</v>
      </c>
      <c r="F4292">
        <v>17.074964639320999</v>
      </c>
    </row>
    <row r="4293" spans="1:6">
      <c r="A4293" t="s">
        <v>53047</v>
      </c>
      <c r="B4293" t="s">
        <v>53050</v>
      </c>
      <c r="C4293">
        <v>0</v>
      </c>
      <c r="D4293">
        <v>0.19353396632620901</v>
      </c>
      <c r="E4293">
        <v>0.95134516467639396</v>
      </c>
      <c r="F4293">
        <v>17.074964639320999</v>
      </c>
    </row>
    <row r="4294" spans="1:6">
      <c r="A4294" t="s">
        <v>53051</v>
      </c>
      <c r="B4294" t="s">
        <v>53052</v>
      </c>
      <c r="C4294">
        <v>0</v>
      </c>
      <c r="D4294">
        <v>8.2274524923333994E-2</v>
      </c>
      <c r="E4294">
        <v>0.98886167310564999</v>
      </c>
      <c r="F4294">
        <v>13.5930491008284</v>
      </c>
    </row>
    <row r="4295" spans="1:6">
      <c r="A4295" t="s">
        <v>53051</v>
      </c>
      <c r="B4295" t="s">
        <v>53053</v>
      </c>
      <c r="C4295">
        <v>0.78213446121628105</v>
      </c>
      <c r="D4295">
        <v>8.2274524923333994E-2</v>
      </c>
      <c r="E4295">
        <v>0.98886167310564999</v>
      </c>
      <c r="F4295">
        <v>13.5930491008284</v>
      </c>
    </row>
    <row r="4296" spans="1:6">
      <c r="A4296" t="s">
        <v>53051</v>
      </c>
      <c r="B4296" t="s">
        <v>53054</v>
      </c>
      <c r="C4296">
        <v>0.31640529214699098</v>
      </c>
      <c r="D4296">
        <v>8.2274524923333994E-2</v>
      </c>
      <c r="E4296">
        <v>0.98886167310564999</v>
      </c>
      <c r="F4296">
        <v>13.5930491008284</v>
      </c>
    </row>
    <row r="4297" spans="1:6">
      <c r="A4297" t="s">
        <v>53055</v>
      </c>
      <c r="B4297" t="s">
        <v>53056</v>
      </c>
      <c r="C4297">
        <v>0.20424966103629</v>
      </c>
      <c r="D4297">
        <v>0.279032344188756</v>
      </c>
      <c r="E4297">
        <v>0.806272491745608</v>
      </c>
      <c r="F4297">
        <v>14.7084259446352</v>
      </c>
    </row>
    <row r="4298" spans="1:6">
      <c r="A4298" t="s">
        <v>53055</v>
      </c>
      <c r="B4298" t="s">
        <v>53057</v>
      </c>
      <c r="C4298">
        <v>0</v>
      </c>
      <c r="D4298">
        <v>0.279032344188756</v>
      </c>
      <c r="E4298">
        <v>0.806272491745608</v>
      </c>
      <c r="F4298">
        <v>14.7084259446352</v>
      </c>
    </row>
    <row r="4299" spans="1:6">
      <c r="A4299" t="s">
        <v>53055</v>
      </c>
      <c r="B4299" t="s">
        <v>53058</v>
      </c>
      <c r="C4299">
        <v>0</v>
      </c>
      <c r="D4299">
        <v>0.279032344188756</v>
      </c>
      <c r="E4299">
        <v>0.806272491745608</v>
      </c>
      <c r="F4299">
        <v>14.7084259446352</v>
      </c>
    </row>
    <row r="4300" spans="1:6">
      <c r="A4300" t="s">
        <v>53055</v>
      </c>
      <c r="B4300" t="s">
        <v>53059</v>
      </c>
      <c r="C4300">
        <v>0.349896783498785</v>
      </c>
      <c r="D4300">
        <v>0.279032344188756</v>
      </c>
      <c r="E4300">
        <v>0.806272491745608</v>
      </c>
      <c r="F4300">
        <v>14.7084259446352</v>
      </c>
    </row>
    <row r="4301" spans="1:6">
      <c r="A4301" t="s">
        <v>53055</v>
      </c>
      <c r="B4301" t="s">
        <v>53060</v>
      </c>
      <c r="C4301">
        <v>0</v>
      </c>
      <c r="D4301">
        <v>0.279032344188756</v>
      </c>
      <c r="E4301">
        <v>0.806272491745608</v>
      </c>
      <c r="F4301">
        <v>14.7084259446352</v>
      </c>
    </row>
    <row r="4302" spans="1:6">
      <c r="A4302" t="s">
        <v>53055</v>
      </c>
      <c r="B4302" t="s">
        <v>53061</v>
      </c>
      <c r="C4302">
        <v>0</v>
      </c>
      <c r="D4302">
        <v>0.279032344188756</v>
      </c>
      <c r="E4302">
        <v>0.806272491745608</v>
      </c>
      <c r="F4302">
        <v>14.7084259446352</v>
      </c>
    </row>
    <row r="4303" spans="1:6">
      <c r="A4303" t="s">
        <v>53055</v>
      </c>
      <c r="B4303" t="s">
        <v>53062</v>
      </c>
      <c r="C4303">
        <v>0</v>
      </c>
      <c r="D4303">
        <v>0.279032344188756</v>
      </c>
      <c r="E4303">
        <v>0.806272491745608</v>
      </c>
      <c r="F4303">
        <v>14.7084259446352</v>
      </c>
    </row>
    <row r="4304" spans="1:6">
      <c r="A4304" t="s">
        <v>53055</v>
      </c>
      <c r="B4304" t="s">
        <v>53063</v>
      </c>
      <c r="C4304">
        <v>0</v>
      </c>
      <c r="D4304">
        <v>0.279032344188756</v>
      </c>
      <c r="E4304">
        <v>0.806272491745608</v>
      </c>
      <c r="F4304">
        <v>14.7084259446352</v>
      </c>
    </row>
    <row r="4305" spans="1:6">
      <c r="A4305" t="s">
        <v>53064</v>
      </c>
      <c r="B4305" t="s">
        <v>53065</v>
      </c>
      <c r="C4305">
        <v>0.73660744216852703</v>
      </c>
      <c r="D4305">
        <v>0.43180371987733002</v>
      </c>
      <c r="E4305">
        <v>0.94997491314672</v>
      </c>
      <c r="F4305">
        <v>10.9937361083047</v>
      </c>
    </row>
    <row r="4306" spans="1:6">
      <c r="A4306" t="s">
        <v>53064</v>
      </c>
      <c r="B4306" t="s">
        <v>53066</v>
      </c>
      <c r="C4306">
        <v>4.1233224904818802E-2</v>
      </c>
      <c r="D4306">
        <v>0.43180371987733002</v>
      </c>
      <c r="E4306">
        <v>0.94997491314672</v>
      </c>
      <c r="F4306">
        <v>10.9937361083047</v>
      </c>
    </row>
    <row r="4307" spans="1:6">
      <c r="A4307" t="s">
        <v>53064</v>
      </c>
      <c r="B4307" t="s">
        <v>53067</v>
      </c>
      <c r="C4307">
        <v>0</v>
      </c>
      <c r="D4307">
        <v>0.43180371987733002</v>
      </c>
      <c r="E4307">
        <v>0.94997491314672</v>
      </c>
      <c r="F4307">
        <v>10.9937361083047</v>
      </c>
    </row>
    <row r="4308" spans="1:6">
      <c r="A4308" t="s">
        <v>53064</v>
      </c>
      <c r="B4308" t="s">
        <v>53068</v>
      </c>
      <c r="C4308">
        <v>0</v>
      </c>
      <c r="D4308">
        <v>0.43180371987733002</v>
      </c>
      <c r="E4308">
        <v>0.94997491314672</v>
      </c>
      <c r="F4308">
        <v>10.9937361083047</v>
      </c>
    </row>
    <row r="4309" spans="1:6">
      <c r="A4309" t="s">
        <v>53064</v>
      </c>
      <c r="B4309" t="s">
        <v>53069</v>
      </c>
      <c r="C4309">
        <v>0</v>
      </c>
      <c r="D4309">
        <v>0.43180371987733002</v>
      </c>
      <c r="E4309">
        <v>0.94997491314672</v>
      </c>
      <c r="F4309">
        <v>10.9937361083047</v>
      </c>
    </row>
    <row r="4310" spans="1:6">
      <c r="A4310" t="s">
        <v>53064</v>
      </c>
      <c r="B4310" t="s">
        <v>53070</v>
      </c>
      <c r="C4310">
        <v>0</v>
      </c>
      <c r="D4310">
        <v>0.43180371987733002</v>
      </c>
      <c r="E4310">
        <v>0.94997491314672</v>
      </c>
      <c r="F4310">
        <v>10.9937361083047</v>
      </c>
    </row>
    <row r="4311" spans="1:6">
      <c r="A4311" t="s">
        <v>53064</v>
      </c>
      <c r="B4311" t="s">
        <v>53071</v>
      </c>
      <c r="C4311">
        <v>0</v>
      </c>
      <c r="D4311">
        <v>0.43180371987733002</v>
      </c>
      <c r="E4311">
        <v>0.94997491314672</v>
      </c>
      <c r="F4311">
        <v>10.9937361083047</v>
      </c>
    </row>
    <row r="4312" spans="1:6">
      <c r="A4312" t="s">
        <v>53064</v>
      </c>
      <c r="B4312" t="s">
        <v>53072</v>
      </c>
      <c r="C4312">
        <v>0</v>
      </c>
      <c r="D4312">
        <v>0.43180371987733002</v>
      </c>
      <c r="E4312">
        <v>0.94997491314672</v>
      </c>
      <c r="F4312">
        <v>10.9937361083047</v>
      </c>
    </row>
    <row r="4313" spans="1:6">
      <c r="A4313" t="s">
        <v>53064</v>
      </c>
      <c r="B4313" t="s">
        <v>53073</v>
      </c>
      <c r="C4313">
        <v>0</v>
      </c>
      <c r="D4313">
        <v>0.43180371987733002</v>
      </c>
      <c r="E4313">
        <v>0.94997491314672</v>
      </c>
      <c r="F4313">
        <v>10.9937361083047</v>
      </c>
    </row>
    <row r="4314" spans="1:6">
      <c r="A4314" t="s">
        <v>53064</v>
      </c>
      <c r="B4314" t="s">
        <v>53074</v>
      </c>
      <c r="C4314">
        <v>0</v>
      </c>
      <c r="D4314">
        <v>0.43180371987733002</v>
      </c>
      <c r="E4314">
        <v>0.94997491314672</v>
      </c>
      <c r="F4314">
        <v>10.9937361083047</v>
      </c>
    </row>
    <row r="4315" spans="1:6">
      <c r="A4315" t="s">
        <v>53075</v>
      </c>
      <c r="B4315" t="s">
        <v>53076</v>
      </c>
      <c r="C4315">
        <v>0.43179066473273903</v>
      </c>
      <c r="D4315">
        <v>0.53653177244745998</v>
      </c>
      <c r="E4315">
        <v>0.70219066473273895</v>
      </c>
      <c r="F4315">
        <v>2.2743988684582699</v>
      </c>
    </row>
    <row r="4316" spans="1:6">
      <c r="A4316" t="s">
        <v>53075</v>
      </c>
      <c r="B4316" t="s">
        <v>53077</v>
      </c>
      <c r="C4316">
        <v>0</v>
      </c>
      <c r="D4316">
        <v>0.53653177244745998</v>
      </c>
      <c r="E4316">
        <v>0.70219066473273895</v>
      </c>
      <c r="F4316">
        <v>2.2743988684582699</v>
      </c>
    </row>
    <row r="4317" spans="1:6">
      <c r="A4317" t="s">
        <v>53078</v>
      </c>
      <c r="B4317" t="s">
        <v>53079</v>
      </c>
      <c r="C4317">
        <v>0.40074504140491701</v>
      </c>
      <c r="D4317">
        <v>0.49038994257715202</v>
      </c>
      <c r="E4317">
        <v>0.78691208032509097</v>
      </c>
      <c r="F4317">
        <v>13.956758941200199</v>
      </c>
    </row>
    <row r="4318" spans="1:6">
      <c r="A4318" t="s">
        <v>53078</v>
      </c>
      <c r="B4318" t="s">
        <v>53080</v>
      </c>
      <c r="C4318">
        <v>0.104312045291586</v>
      </c>
      <c r="D4318">
        <v>0.49038994257715202</v>
      </c>
      <c r="E4318">
        <v>0.78691208032509097</v>
      </c>
      <c r="F4318">
        <v>13.956758941200199</v>
      </c>
    </row>
    <row r="4319" spans="1:6">
      <c r="A4319" t="s">
        <v>53078</v>
      </c>
      <c r="B4319" t="s">
        <v>53081</v>
      </c>
      <c r="C4319">
        <v>0</v>
      </c>
      <c r="D4319">
        <v>0.49038994257715202</v>
      </c>
      <c r="E4319">
        <v>0.78691208032509097</v>
      </c>
      <c r="F4319">
        <v>13.956758941200199</v>
      </c>
    </row>
    <row r="4320" spans="1:6">
      <c r="A4320" t="s">
        <v>53082</v>
      </c>
      <c r="B4320" t="s">
        <v>53083</v>
      </c>
      <c r="C4320">
        <v>0.31625981548306198</v>
      </c>
      <c r="D4320">
        <v>0.213978265722502</v>
      </c>
      <c r="E4320">
        <v>0.880639744751197</v>
      </c>
      <c r="F4320">
        <v>10.028692665184799</v>
      </c>
    </row>
    <row r="4321" spans="1:6">
      <c r="A4321" t="s">
        <v>53082</v>
      </c>
      <c r="B4321" t="s">
        <v>53084</v>
      </c>
      <c r="C4321">
        <v>0.49049816214235697</v>
      </c>
      <c r="D4321">
        <v>0.213978265722502</v>
      </c>
      <c r="E4321">
        <v>0.880639744751197</v>
      </c>
      <c r="F4321">
        <v>10.028692665184799</v>
      </c>
    </row>
    <row r="4322" spans="1:6">
      <c r="A4322" t="s">
        <v>53082</v>
      </c>
      <c r="B4322" t="s">
        <v>53085</v>
      </c>
      <c r="C4322">
        <v>0</v>
      </c>
      <c r="D4322">
        <v>0.213978265722502</v>
      </c>
      <c r="E4322">
        <v>0.880639744751197</v>
      </c>
      <c r="F4322">
        <v>10.028692665184799</v>
      </c>
    </row>
    <row r="4323" spans="1:6">
      <c r="A4323" t="s">
        <v>53086</v>
      </c>
      <c r="B4323" t="s">
        <v>53087</v>
      </c>
      <c r="C4323">
        <v>0.50577554438329397</v>
      </c>
      <c r="D4323">
        <v>0.34949977591905201</v>
      </c>
      <c r="E4323">
        <v>0.98449716131970499</v>
      </c>
      <c r="F4323">
        <v>4.7379268539098804</v>
      </c>
    </row>
    <row r="4324" spans="1:6">
      <c r="A4324" t="s">
        <v>53086</v>
      </c>
      <c r="B4324" t="s">
        <v>53088</v>
      </c>
      <c r="C4324">
        <v>0.76931461982604099</v>
      </c>
      <c r="D4324">
        <v>0.34949977591905201</v>
      </c>
      <c r="E4324">
        <v>0.98449716131970499</v>
      </c>
      <c r="F4324">
        <v>4.7379268539098804</v>
      </c>
    </row>
    <row r="4325" spans="1:6">
      <c r="A4325" t="s">
        <v>53086</v>
      </c>
      <c r="B4325" t="s">
        <v>53089</v>
      </c>
      <c r="C4325">
        <v>0</v>
      </c>
      <c r="D4325">
        <v>0.34949977591905201</v>
      </c>
      <c r="E4325">
        <v>0.98449716131970499</v>
      </c>
      <c r="F4325">
        <v>4.7379268539098804</v>
      </c>
    </row>
    <row r="4326" spans="1:6">
      <c r="A4326" t="s">
        <v>53086</v>
      </c>
      <c r="B4326" t="s">
        <v>53090</v>
      </c>
      <c r="C4326">
        <v>0</v>
      </c>
      <c r="D4326">
        <v>0.34949977591905201</v>
      </c>
      <c r="E4326">
        <v>0.98449716131970499</v>
      </c>
      <c r="F4326">
        <v>4.7379268539098804</v>
      </c>
    </row>
    <row r="4327" spans="1:6">
      <c r="A4327" t="s">
        <v>53091</v>
      </c>
      <c r="B4327" t="s">
        <v>53092</v>
      </c>
      <c r="C4327">
        <v>0</v>
      </c>
      <c r="D4327">
        <v>0.67239194479841002</v>
      </c>
      <c r="E4327">
        <v>0.98479212306844199</v>
      </c>
      <c r="F4327">
        <v>3.4431198221863002</v>
      </c>
    </row>
    <row r="4328" spans="1:6">
      <c r="A4328" t="s">
        <v>53091</v>
      </c>
      <c r="B4328" t="s">
        <v>53093</v>
      </c>
      <c r="C4328">
        <v>0</v>
      </c>
      <c r="D4328">
        <v>0.67239194479841002</v>
      </c>
      <c r="E4328">
        <v>0.98479212306844199</v>
      </c>
      <c r="F4328">
        <v>3.4431198221863002</v>
      </c>
    </row>
    <row r="4329" spans="1:6">
      <c r="A4329" t="s">
        <v>53091</v>
      </c>
      <c r="B4329" t="s">
        <v>53094</v>
      </c>
      <c r="C4329">
        <v>0</v>
      </c>
      <c r="D4329">
        <v>0.67239194479841002</v>
      </c>
      <c r="E4329">
        <v>0.98479212306844199</v>
      </c>
      <c r="F4329">
        <v>3.4431198221863002</v>
      </c>
    </row>
    <row r="4330" spans="1:6">
      <c r="A4330" t="s">
        <v>53091</v>
      </c>
      <c r="B4330" t="s">
        <v>53095</v>
      </c>
      <c r="C4330">
        <v>0</v>
      </c>
      <c r="D4330">
        <v>0.67239194479841002</v>
      </c>
      <c r="E4330">
        <v>0.98479212306844199</v>
      </c>
      <c r="F4330">
        <v>3.4431198221863002</v>
      </c>
    </row>
    <row r="4331" spans="1:6">
      <c r="A4331" t="s">
        <v>53091</v>
      </c>
      <c r="B4331" t="s">
        <v>53096</v>
      </c>
      <c r="C4331">
        <v>0</v>
      </c>
      <c r="D4331">
        <v>0.67239194479841002</v>
      </c>
      <c r="E4331">
        <v>0.98479212306844199</v>
      </c>
      <c r="F4331">
        <v>3.4431198221863002</v>
      </c>
    </row>
    <row r="4332" spans="1:6">
      <c r="A4332" t="s">
        <v>53091</v>
      </c>
      <c r="B4332" t="s">
        <v>53097</v>
      </c>
      <c r="C4332">
        <v>0.11993299639051901</v>
      </c>
      <c r="D4332">
        <v>0.67239194479841002</v>
      </c>
      <c r="E4332">
        <v>0.98479212306844199</v>
      </c>
      <c r="F4332">
        <v>3.4431198221863002</v>
      </c>
    </row>
    <row r="4333" spans="1:6">
      <c r="A4333" t="s">
        <v>53091</v>
      </c>
      <c r="B4333" t="s">
        <v>53098</v>
      </c>
      <c r="C4333">
        <v>0</v>
      </c>
      <c r="D4333">
        <v>0.67239194479841002</v>
      </c>
      <c r="E4333">
        <v>0.98479212306844199</v>
      </c>
      <c r="F4333">
        <v>3.4431198221863002</v>
      </c>
    </row>
    <row r="4334" spans="1:6">
      <c r="A4334" t="s">
        <v>53091</v>
      </c>
      <c r="B4334" t="s">
        <v>53099</v>
      </c>
      <c r="C4334">
        <v>0.78251534679759804</v>
      </c>
      <c r="D4334">
        <v>0.67239194479841002</v>
      </c>
      <c r="E4334">
        <v>0.98479212306844199</v>
      </c>
      <c r="F4334">
        <v>3.4431198221863002</v>
      </c>
    </row>
    <row r="4335" spans="1:6">
      <c r="A4335" t="s">
        <v>53091</v>
      </c>
      <c r="B4335" t="s">
        <v>53100</v>
      </c>
      <c r="C4335">
        <v>0</v>
      </c>
      <c r="D4335">
        <v>0.67239194479841002</v>
      </c>
      <c r="E4335">
        <v>0.98479212306844199</v>
      </c>
      <c r="F4335">
        <v>3.4431198221863002</v>
      </c>
    </row>
    <row r="4336" spans="1:6">
      <c r="A4336" t="s">
        <v>53091</v>
      </c>
      <c r="B4336" t="s">
        <v>53101</v>
      </c>
      <c r="C4336">
        <v>0</v>
      </c>
      <c r="D4336">
        <v>0.67239194479841002</v>
      </c>
      <c r="E4336">
        <v>0.98479212306844199</v>
      </c>
      <c r="F4336">
        <v>3.4431198221863002</v>
      </c>
    </row>
    <row r="4337" spans="1:6">
      <c r="A4337" t="s">
        <v>53102</v>
      </c>
      <c r="B4337" t="s">
        <v>53103</v>
      </c>
      <c r="C4337">
        <v>0</v>
      </c>
      <c r="D4337">
        <v>0.26843892782789502</v>
      </c>
      <c r="E4337">
        <v>0.99407767266604397</v>
      </c>
      <c r="F4337">
        <v>13.5930491008284</v>
      </c>
    </row>
    <row r="4338" spans="1:6">
      <c r="A4338" t="s">
        <v>53102</v>
      </c>
      <c r="B4338" t="s">
        <v>53104</v>
      </c>
      <c r="C4338">
        <v>0</v>
      </c>
      <c r="D4338">
        <v>0.26843892782789502</v>
      </c>
      <c r="E4338">
        <v>0.99407767266604397</v>
      </c>
      <c r="F4338">
        <v>13.5930491008284</v>
      </c>
    </row>
    <row r="4339" spans="1:6">
      <c r="A4339" t="s">
        <v>53102</v>
      </c>
      <c r="B4339" t="s">
        <v>53105</v>
      </c>
      <c r="C4339">
        <v>0</v>
      </c>
      <c r="D4339">
        <v>0.26843892782789502</v>
      </c>
      <c r="E4339">
        <v>0.99407767266604397</v>
      </c>
      <c r="F4339">
        <v>13.5930491008284</v>
      </c>
    </row>
    <row r="4340" spans="1:6">
      <c r="A4340" t="s">
        <v>53102</v>
      </c>
      <c r="B4340" t="s">
        <v>53106</v>
      </c>
      <c r="C4340">
        <v>0</v>
      </c>
      <c r="D4340">
        <v>0.26843892782789502</v>
      </c>
      <c r="E4340">
        <v>0.99407767266604397</v>
      </c>
      <c r="F4340">
        <v>13.5930491008284</v>
      </c>
    </row>
    <row r="4341" spans="1:6">
      <c r="A4341" t="s">
        <v>53102</v>
      </c>
      <c r="B4341" t="s">
        <v>53107</v>
      </c>
      <c r="C4341">
        <v>0.85148402664106504</v>
      </c>
      <c r="D4341">
        <v>0.26843892782789502</v>
      </c>
      <c r="E4341">
        <v>0.99407767266604397</v>
      </c>
      <c r="F4341">
        <v>13.5930491008284</v>
      </c>
    </row>
    <row r="4342" spans="1:6">
      <c r="A4342" t="s">
        <v>53102</v>
      </c>
      <c r="B4342" t="s">
        <v>53108</v>
      </c>
      <c r="C4342">
        <v>0</v>
      </c>
      <c r="D4342">
        <v>0.26843892782789502</v>
      </c>
      <c r="E4342">
        <v>0.99407767266604397</v>
      </c>
      <c r="F4342">
        <v>13.5930491008284</v>
      </c>
    </row>
    <row r="4343" spans="1:6">
      <c r="A4343" t="s">
        <v>53102</v>
      </c>
      <c r="B4343" t="s">
        <v>53109</v>
      </c>
      <c r="C4343">
        <v>1.46978283215487E-2</v>
      </c>
      <c r="D4343">
        <v>0.26843892782789502</v>
      </c>
      <c r="E4343">
        <v>0.99407767266604397</v>
      </c>
      <c r="F4343">
        <v>13.5930491008284</v>
      </c>
    </row>
    <row r="4344" spans="1:6">
      <c r="A4344" t="s">
        <v>53102</v>
      </c>
      <c r="B4344" t="s">
        <v>53110</v>
      </c>
      <c r="C4344">
        <v>0</v>
      </c>
      <c r="D4344">
        <v>0.26843892782789502</v>
      </c>
      <c r="E4344">
        <v>0.99407767266604397</v>
      </c>
      <c r="F4344">
        <v>13.5930491008284</v>
      </c>
    </row>
    <row r="4345" spans="1:6">
      <c r="A4345" t="s">
        <v>53102</v>
      </c>
      <c r="B4345" t="s">
        <v>53111</v>
      </c>
      <c r="C4345">
        <v>0</v>
      </c>
      <c r="D4345">
        <v>0.26843892782789502</v>
      </c>
      <c r="E4345">
        <v>0.99407767266604397</v>
      </c>
      <c r="F4345">
        <v>13.5930491008284</v>
      </c>
    </row>
    <row r="4346" spans="1:6">
      <c r="A4346" t="s">
        <v>53102</v>
      </c>
      <c r="B4346" t="s">
        <v>53112</v>
      </c>
      <c r="C4346">
        <v>0</v>
      </c>
      <c r="D4346">
        <v>0.26843892782789502</v>
      </c>
      <c r="E4346">
        <v>0.99407767266604397</v>
      </c>
      <c r="F4346">
        <v>13.5930491008284</v>
      </c>
    </row>
    <row r="4347" spans="1:6">
      <c r="A4347" t="s">
        <v>53102</v>
      </c>
      <c r="B4347" t="s">
        <v>53113</v>
      </c>
      <c r="C4347">
        <v>0</v>
      </c>
      <c r="D4347">
        <v>0.26843892782789502</v>
      </c>
      <c r="E4347">
        <v>0.99407767266604397</v>
      </c>
      <c r="F4347">
        <v>13.5930491008284</v>
      </c>
    </row>
    <row r="4348" spans="1:6">
      <c r="A4348" t="s">
        <v>53102</v>
      </c>
      <c r="B4348" t="s">
        <v>53114</v>
      </c>
      <c r="C4348">
        <v>0</v>
      </c>
      <c r="D4348">
        <v>0.26843892782789502</v>
      </c>
      <c r="E4348">
        <v>0.99407767266604397</v>
      </c>
      <c r="F4348">
        <v>13.5930491008284</v>
      </c>
    </row>
    <row r="4349" spans="1:6">
      <c r="A4349" t="s">
        <v>53102</v>
      </c>
      <c r="B4349" t="s">
        <v>53115</v>
      </c>
      <c r="C4349">
        <v>0</v>
      </c>
      <c r="D4349">
        <v>0.26843892782789502</v>
      </c>
      <c r="E4349">
        <v>0.99407767266604397</v>
      </c>
      <c r="F4349">
        <v>13.5930491008284</v>
      </c>
    </row>
    <row r="4350" spans="1:6">
      <c r="A4350" t="s">
        <v>53102</v>
      </c>
      <c r="B4350" t="s">
        <v>53116</v>
      </c>
      <c r="C4350">
        <v>0</v>
      </c>
      <c r="D4350">
        <v>0.26843892782789502</v>
      </c>
      <c r="E4350">
        <v>0.99407767266604397</v>
      </c>
      <c r="F4350">
        <v>13.5930491008284</v>
      </c>
    </row>
    <row r="4351" spans="1:6">
      <c r="A4351" t="s">
        <v>53102</v>
      </c>
      <c r="B4351" t="s">
        <v>53117</v>
      </c>
      <c r="C4351">
        <v>0</v>
      </c>
      <c r="D4351">
        <v>0.26843892782789502</v>
      </c>
      <c r="E4351">
        <v>0.99407767266604397</v>
      </c>
      <c r="F4351">
        <v>13.5930491008284</v>
      </c>
    </row>
    <row r="4352" spans="1:6">
      <c r="A4352" t="s">
        <v>53118</v>
      </c>
      <c r="B4352" t="s">
        <v>53119</v>
      </c>
      <c r="C4352">
        <v>0</v>
      </c>
      <c r="D4352">
        <v>0.45862270648335901</v>
      </c>
      <c r="E4352" t="s">
        <v>106</v>
      </c>
      <c r="F4352">
        <v>0.15518286522529801</v>
      </c>
    </row>
    <row r="4353" spans="1:6">
      <c r="A4353" t="s">
        <v>53118</v>
      </c>
      <c r="B4353" t="s">
        <v>53120</v>
      </c>
      <c r="C4353">
        <v>0</v>
      </c>
      <c r="D4353">
        <v>0.45862270648335901</v>
      </c>
      <c r="E4353" t="s">
        <v>106</v>
      </c>
      <c r="F4353">
        <v>0.15518286522529801</v>
      </c>
    </row>
    <row r="4354" spans="1:6">
      <c r="A4354" t="s">
        <v>53121</v>
      </c>
      <c r="B4354" t="s">
        <v>53122</v>
      </c>
      <c r="C4354">
        <v>0.20073780418288101</v>
      </c>
      <c r="D4354">
        <v>0.116284754603679</v>
      </c>
      <c r="E4354">
        <v>0.97087648740381705</v>
      </c>
      <c r="F4354">
        <v>16.265104061426499</v>
      </c>
    </row>
    <row r="4355" spans="1:6">
      <c r="A4355" t="s">
        <v>53121</v>
      </c>
      <c r="B4355" t="s">
        <v>53123</v>
      </c>
      <c r="C4355">
        <v>0.79480827702631296</v>
      </c>
      <c r="D4355">
        <v>0.116284754603679</v>
      </c>
      <c r="E4355">
        <v>0.97087648740381705</v>
      </c>
      <c r="F4355">
        <v>16.265104061426499</v>
      </c>
    </row>
    <row r="4356" spans="1:6">
      <c r="A4356" t="s">
        <v>53124</v>
      </c>
      <c r="B4356" t="s">
        <v>53125</v>
      </c>
      <c r="C4356">
        <v>0.531339593247665</v>
      </c>
      <c r="D4356">
        <v>0.22485471774135901</v>
      </c>
      <c r="E4356">
        <v>0.90367196168509301</v>
      </c>
      <c r="F4356">
        <v>4.4227116589209903</v>
      </c>
    </row>
    <row r="4357" spans="1:6">
      <c r="A4357" t="s">
        <v>53124</v>
      </c>
      <c r="B4357" t="s">
        <v>53126</v>
      </c>
      <c r="C4357">
        <v>0</v>
      </c>
      <c r="D4357">
        <v>0.22485471774135901</v>
      </c>
      <c r="E4357">
        <v>0.90367196168509301</v>
      </c>
      <c r="F4357">
        <v>4.4227116589209903</v>
      </c>
    </row>
    <row r="4358" spans="1:6">
      <c r="A4358" t="s">
        <v>53124</v>
      </c>
      <c r="B4358" t="s">
        <v>53127</v>
      </c>
      <c r="C4358">
        <v>0.57071763159928701</v>
      </c>
      <c r="D4358">
        <v>0.22485471774135901</v>
      </c>
      <c r="E4358">
        <v>0.90367196168509301</v>
      </c>
      <c r="F4358">
        <v>4.4227116589209903</v>
      </c>
    </row>
    <row r="4359" spans="1:6">
      <c r="A4359" t="s">
        <v>53128</v>
      </c>
      <c r="B4359" t="s">
        <v>53129</v>
      </c>
      <c r="C4359">
        <v>0</v>
      </c>
      <c r="D4359">
        <v>0.76972866882561297</v>
      </c>
      <c r="E4359">
        <v>0.99191751811635498</v>
      </c>
      <c r="F4359">
        <v>7.0074762578298602</v>
      </c>
    </row>
    <row r="4360" spans="1:6">
      <c r="A4360" t="s">
        <v>53128</v>
      </c>
      <c r="B4360" t="s">
        <v>53130</v>
      </c>
      <c r="C4360">
        <v>0</v>
      </c>
      <c r="D4360">
        <v>0.76972866882561297</v>
      </c>
      <c r="E4360">
        <v>0.99191751811635498</v>
      </c>
      <c r="F4360">
        <v>7.0074762578298602</v>
      </c>
    </row>
    <row r="4361" spans="1:6">
      <c r="A4361" t="s">
        <v>53128</v>
      </c>
      <c r="B4361" t="s">
        <v>53131</v>
      </c>
      <c r="C4361">
        <v>0</v>
      </c>
      <c r="D4361">
        <v>0.76972866882561297</v>
      </c>
      <c r="E4361">
        <v>0.99191751811635498</v>
      </c>
      <c r="F4361">
        <v>7.0074762578298602</v>
      </c>
    </row>
    <row r="4362" spans="1:6">
      <c r="A4362" t="s">
        <v>53128</v>
      </c>
      <c r="B4362" t="s">
        <v>53132</v>
      </c>
      <c r="C4362">
        <v>0</v>
      </c>
      <c r="D4362">
        <v>0.76972866882561297</v>
      </c>
      <c r="E4362">
        <v>0.99191751811635498</v>
      </c>
      <c r="F4362">
        <v>7.0074762578298602</v>
      </c>
    </row>
    <row r="4363" spans="1:6">
      <c r="A4363" t="s">
        <v>53128</v>
      </c>
      <c r="B4363" t="s">
        <v>53133</v>
      </c>
      <c r="C4363">
        <v>0.67074974390609998</v>
      </c>
      <c r="D4363">
        <v>0.76972866882561297</v>
      </c>
      <c r="E4363">
        <v>0.99191751811635498</v>
      </c>
      <c r="F4363">
        <v>7.0074762578298602</v>
      </c>
    </row>
    <row r="4364" spans="1:6">
      <c r="A4364" t="s">
        <v>53128</v>
      </c>
      <c r="B4364" t="s">
        <v>53134</v>
      </c>
      <c r="C4364">
        <v>0.27392118941471899</v>
      </c>
      <c r="D4364">
        <v>0.76972866882561297</v>
      </c>
      <c r="E4364">
        <v>0.99191751811635498</v>
      </c>
      <c r="F4364">
        <v>7.0074762578298602</v>
      </c>
    </row>
    <row r="4365" spans="1:6">
      <c r="A4365" t="s">
        <v>53128</v>
      </c>
      <c r="B4365" t="s">
        <v>53135</v>
      </c>
      <c r="C4365">
        <v>0</v>
      </c>
      <c r="D4365">
        <v>0.76972866882561297</v>
      </c>
      <c r="E4365">
        <v>0.99191751811635498</v>
      </c>
      <c r="F4365">
        <v>7.0074762578298602</v>
      </c>
    </row>
    <row r="4366" spans="1:6">
      <c r="A4366" t="s">
        <v>53128</v>
      </c>
      <c r="B4366" t="s">
        <v>53136</v>
      </c>
      <c r="C4366">
        <v>0</v>
      </c>
      <c r="D4366">
        <v>0.76972866882561297</v>
      </c>
      <c r="E4366">
        <v>0.99191751811635498</v>
      </c>
      <c r="F4366">
        <v>7.0074762578298602</v>
      </c>
    </row>
    <row r="4367" spans="1:6">
      <c r="A4367" t="s">
        <v>53137</v>
      </c>
      <c r="B4367" t="s">
        <v>53138</v>
      </c>
      <c r="C4367">
        <v>0</v>
      </c>
      <c r="D4367">
        <v>0.61577993031899103</v>
      </c>
      <c r="E4367">
        <v>0.972748939728726</v>
      </c>
      <c r="F4367">
        <v>15.4746413416851</v>
      </c>
    </row>
    <row r="4368" spans="1:6">
      <c r="A4368" t="s">
        <v>53137</v>
      </c>
      <c r="B4368" t="s">
        <v>53139</v>
      </c>
      <c r="C4368">
        <v>0</v>
      </c>
      <c r="D4368">
        <v>0.61577993031899103</v>
      </c>
      <c r="E4368">
        <v>0.972748939728726</v>
      </c>
      <c r="F4368">
        <v>15.4746413416851</v>
      </c>
    </row>
    <row r="4369" spans="1:6">
      <c r="A4369" t="s">
        <v>53137</v>
      </c>
      <c r="B4369" t="s">
        <v>53140</v>
      </c>
      <c r="C4369">
        <v>0.79664790397437202</v>
      </c>
      <c r="D4369">
        <v>0.61577993031899103</v>
      </c>
      <c r="E4369">
        <v>0.972748939728726</v>
      </c>
      <c r="F4369">
        <v>15.4746413416851</v>
      </c>
    </row>
    <row r="4370" spans="1:6">
      <c r="A4370" t="s">
        <v>53137</v>
      </c>
      <c r="B4370" t="s">
        <v>53141</v>
      </c>
      <c r="C4370">
        <v>5.6045475997851299E-2</v>
      </c>
      <c r="D4370">
        <v>0.61577993031899103</v>
      </c>
      <c r="E4370">
        <v>0.972748939728726</v>
      </c>
      <c r="F4370">
        <v>15.4746413416851</v>
      </c>
    </row>
    <row r="4371" spans="1:6">
      <c r="A4371" t="s">
        <v>53142</v>
      </c>
      <c r="B4371" t="s">
        <v>53143</v>
      </c>
      <c r="C4371">
        <v>0.23312897475855501</v>
      </c>
      <c r="D4371">
        <v>0.61438800901818602</v>
      </c>
      <c r="E4371">
        <v>0.97889130086402798</v>
      </c>
      <c r="F4371">
        <v>17.278642149929201</v>
      </c>
    </row>
    <row r="4372" spans="1:6">
      <c r="A4372" t="s">
        <v>53142</v>
      </c>
      <c r="B4372" t="s">
        <v>53144</v>
      </c>
      <c r="C4372">
        <v>0</v>
      </c>
      <c r="D4372">
        <v>0.61438800901818602</v>
      </c>
      <c r="E4372">
        <v>0.97889130086402798</v>
      </c>
      <c r="F4372">
        <v>17.278642149929201</v>
      </c>
    </row>
    <row r="4373" spans="1:6">
      <c r="A4373" t="s">
        <v>53142</v>
      </c>
      <c r="B4373" t="s">
        <v>53145</v>
      </c>
      <c r="C4373">
        <v>0</v>
      </c>
      <c r="D4373">
        <v>0.61438800901818602</v>
      </c>
      <c r="E4373">
        <v>0.97889130086402798</v>
      </c>
      <c r="F4373">
        <v>17.278642149929201</v>
      </c>
    </row>
    <row r="4374" spans="1:6">
      <c r="A4374" t="s">
        <v>53142</v>
      </c>
      <c r="B4374" t="s">
        <v>53146</v>
      </c>
      <c r="C4374">
        <v>0</v>
      </c>
      <c r="D4374">
        <v>0.61438800901818602</v>
      </c>
      <c r="E4374">
        <v>0.97889130086402798</v>
      </c>
      <c r="F4374">
        <v>17.278642149929201</v>
      </c>
    </row>
    <row r="4375" spans="1:6">
      <c r="A4375" t="s">
        <v>53142</v>
      </c>
      <c r="B4375" t="s">
        <v>53147</v>
      </c>
      <c r="C4375">
        <v>0</v>
      </c>
      <c r="D4375">
        <v>0.61438800901818602</v>
      </c>
      <c r="E4375">
        <v>0.97889130086402798</v>
      </c>
      <c r="F4375">
        <v>17.278642149929201</v>
      </c>
    </row>
    <row r="4376" spans="1:6">
      <c r="A4376" t="s">
        <v>53142</v>
      </c>
      <c r="B4376" t="s">
        <v>53148</v>
      </c>
      <c r="C4376">
        <v>0.58198815521738101</v>
      </c>
      <c r="D4376">
        <v>0.61438800901818602</v>
      </c>
      <c r="E4376">
        <v>0.97889130086402798</v>
      </c>
      <c r="F4376">
        <v>17.278642149929201</v>
      </c>
    </row>
    <row r="4377" spans="1:6">
      <c r="A4377" t="s">
        <v>53149</v>
      </c>
      <c r="B4377" t="s">
        <v>53150</v>
      </c>
      <c r="C4377">
        <v>0.60864665584893396</v>
      </c>
      <c r="D4377">
        <v>0.12729417966838899</v>
      </c>
      <c r="E4377">
        <v>0.95584867647188199</v>
      </c>
      <c r="F4377">
        <v>16.265104061426499</v>
      </c>
    </row>
    <row r="4378" spans="1:6">
      <c r="A4378" t="s">
        <v>53149</v>
      </c>
      <c r="B4378" t="s">
        <v>53151</v>
      </c>
      <c r="C4378">
        <v>0.38494211521745603</v>
      </c>
      <c r="D4378">
        <v>0.12729417966838899</v>
      </c>
      <c r="E4378">
        <v>0.95584867647188199</v>
      </c>
      <c r="F4378">
        <v>16.265104061426499</v>
      </c>
    </row>
    <row r="4379" spans="1:6">
      <c r="A4379" t="s">
        <v>53152</v>
      </c>
      <c r="B4379" t="s">
        <v>53153</v>
      </c>
      <c r="C4379">
        <v>0.24470373410996901</v>
      </c>
      <c r="D4379">
        <v>0.538756906879576</v>
      </c>
      <c r="E4379">
        <v>0.47510373410996898</v>
      </c>
      <c r="F4379">
        <v>1.29480703172358</v>
      </c>
    </row>
    <row r="4380" spans="1:6">
      <c r="A4380" t="s">
        <v>53152</v>
      </c>
      <c r="B4380" t="s">
        <v>53154</v>
      </c>
      <c r="C4380">
        <v>0</v>
      </c>
      <c r="D4380">
        <v>0.538756906879576</v>
      </c>
      <c r="E4380">
        <v>0.47510373410996898</v>
      </c>
      <c r="F4380">
        <v>1.29480703172358</v>
      </c>
    </row>
    <row r="4381" spans="1:6">
      <c r="A4381" t="s">
        <v>53155</v>
      </c>
      <c r="B4381" t="s">
        <v>53156</v>
      </c>
      <c r="C4381">
        <v>0.54220590068131602</v>
      </c>
      <c r="D4381">
        <v>0.51417659821043504</v>
      </c>
      <c r="E4381">
        <v>0.95621414403439897</v>
      </c>
      <c r="F4381">
        <v>16.265104061426499</v>
      </c>
    </row>
    <row r="4382" spans="1:6">
      <c r="A4382" t="s">
        <v>53155</v>
      </c>
      <c r="B4382" t="s">
        <v>53157</v>
      </c>
      <c r="C4382">
        <v>0</v>
      </c>
      <c r="D4382">
        <v>0.51417659821043504</v>
      </c>
      <c r="E4382">
        <v>0.95621414403439897</v>
      </c>
      <c r="F4382">
        <v>16.265104061426499</v>
      </c>
    </row>
    <row r="4383" spans="1:6">
      <c r="A4383" t="s">
        <v>53155</v>
      </c>
      <c r="B4383" t="s">
        <v>53158</v>
      </c>
      <c r="C4383">
        <v>0</v>
      </c>
      <c r="D4383">
        <v>0.51417659821043504</v>
      </c>
      <c r="E4383">
        <v>0.95621414403439897</v>
      </c>
      <c r="F4383">
        <v>16.265104061426499</v>
      </c>
    </row>
    <row r="4384" spans="1:6">
      <c r="A4384" t="s">
        <v>53155</v>
      </c>
      <c r="B4384" t="s">
        <v>53159</v>
      </c>
      <c r="C4384">
        <v>0</v>
      </c>
      <c r="D4384">
        <v>0.51417659821043504</v>
      </c>
      <c r="E4384">
        <v>0.95621414403439897</v>
      </c>
      <c r="F4384">
        <v>16.265104061426499</v>
      </c>
    </row>
    <row r="4385" spans="1:6">
      <c r="A4385" t="s">
        <v>53155</v>
      </c>
      <c r="B4385" t="s">
        <v>53160</v>
      </c>
      <c r="C4385">
        <v>0</v>
      </c>
      <c r="D4385">
        <v>0.51417659821043504</v>
      </c>
      <c r="E4385">
        <v>0.95621414403439897</v>
      </c>
      <c r="F4385">
        <v>16.265104061426499</v>
      </c>
    </row>
    <row r="4386" spans="1:6">
      <c r="A4386" t="s">
        <v>53155</v>
      </c>
      <c r="B4386" t="s">
        <v>53161</v>
      </c>
      <c r="C4386">
        <v>0.22726541998577199</v>
      </c>
      <c r="D4386">
        <v>0.51417659821043504</v>
      </c>
      <c r="E4386">
        <v>0.95621414403439897</v>
      </c>
      <c r="F4386">
        <v>16.265104061426499</v>
      </c>
    </row>
    <row r="4387" spans="1:6">
      <c r="A4387" t="s">
        <v>53162</v>
      </c>
      <c r="B4387" t="s">
        <v>53163</v>
      </c>
      <c r="C4387">
        <v>0</v>
      </c>
      <c r="D4387">
        <v>0.58486201145532801</v>
      </c>
      <c r="E4387">
        <v>0.89639159915989297</v>
      </c>
      <c r="F4387">
        <v>3.3509799959587698</v>
      </c>
    </row>
    <row r="4388" spans="1:6">
      <c r="A4388" t="s">
        <v>53162</v>
      </c>
      <c r="B4388" t="s">
        <v>53164</v>
      </c>
      <c r="C4388">
        <v>5.7502837256137702E-2</v>
      </c>
      <c r="D4388">
        <v>0.58486201145532801</v>
      </c>
      <c r="E4388">
        <v>0.89639159915989297</v>
      </c>
      <c r="F4388">
        <v>3.3509799959587698</v>
      </c>
    </row>
    <row r="4389" spans="1:6">
      <c r="A4389" t="s">
        <v>53162</v>
      </c>
      <c r="B4389" t="s">
        <v>53165</v>
      </c>
      <c r="C4389">
        <v>0.79326461010549598</v>
      </c>
      <c r="D4389">
        <v>0.58486201145532801</v>
      </c>
      <c r="E4389">
        <v>0.89639159915989297</v>
      </c>
      <c r="F4389">
        <v>3.3509799959587698</v>
      </c>
    </row>
    <row r="4390" spans="1:6">
      <c r="A4390" t="s">
        <v>53166</v>
      </c>
      <c r="B4390" t="s">
        <v>53167</v>
      </c>
      <c r="C4390">
        <v>0</v>
      </c>
      <c r="D4390">
        <v>0.58389709971099901</v>
      </c>
      <c r="E4390">
        <v>0.90407705271967798</v>
      </c>
      <c r="F4390">
        <v>12.3418872499494</v>
      </c>
    </row>
    <row r="4391" spans="1:6">
      <c r="A4391" t="s">
        <v>53166</v>
      </c>
      <c r="B4391" t="s">
        <v>53168</v>
      </c>
      <c r="C4391">
        <v>0</v>
      </c>
      <c r="D4391">
        <v>0.58389709971099901</v>
      </c>
      <c r="E4391">
        <v>0.90407705271967798</v>
      </c>
      <c r="F4391">
        <v>12.3418872499494</v>
      </c>
    </row>
    <row r="4392" spans="1:6">
      <c r="A4392" t="s">
        <v>53166</v>
      </c>
      <c r="B4392" t="s">
        <v>53169</v>
      </c>
      <c r="C4392">
        <v>0</v>
      </c>
      <c r="D4392">
        <v>0.58389709971099901</v>
      </c>
      <c r="E4392">
        <v>0.90407705271967798</v>
      </c>
      <c r="F4392">
        <v>12.3418872499494</v>
      </c>
    </row>
    <row r="4393" spans="1:6">
      <c r="A4393" t="s">
        <v>53166</v>
      </c>
      <c r="B4393" t="s">
        <v>53170</v>
      </c>
      <c r="C4393">
        <v>0</v>
      </c>
      <c r="D4393">
        <v>0.58389709971099901</v>
      </c>
      <c r="E4393">
        <v>0.90407705271967798</v>
      </c>
      <c r="F4393">
        <v>12.3418872499494</v>
      </c>
    </row>
    <row r="4394" spans="1:6">
      <c r="A4394" t="s">
        <v>53166</v>
      </c>
      <c r="B4394" t="s">
        <v>53171</v>
      </c>
      <c r="C4394">
        <v>0</v>
      </c>
      <c r="D4394">
        <v>0.58389709971099901</v>
      </c>
      <c r="E4394">
        <v>0.90407705271967798</v>
      </c>
      <c r="F4394">
        <v>12.3418872499494</v>
      </c>
    </row>
    <row r="4395" spans="1:6">
      <c r="A4395" t="s">
        <v>53166</v>
      </c>
      <c r="B4395" t="s">
        <v>53172</v>
      </c>
      <c r="C4395">
        <v>0.20282783283877001</v>
      </c>
      <c r="D4395">
        <v>0.58389709971099901</v>
      </c>
      <c r="E4395">
        <v>0.90407705271967798</v>
      </c>
      <c r="F4395">
        <v>12.3418872499494</v>
      </c>
    </row>
    <row r="4396" spans="1:6">
      <c r="A4396" t="s">
        <v>53166</v>
      </c>
      <c r="B4396" t="s">
        <v>53173</v>
      </c>
      <c r="C4396">
        <v>0.45906370040820399</v>
      </c>
      <c r="D4396">
        <v>0.58389709971099901</v>
      </c>
      <c r="E4396">
        <v>0.90407705271967798</v>
      </c>
      <c r="F4396">
        <v>12.3418872499494</v>
      </c>
    </row>
    <row r="4397" spans="1:6">
      <c r="A4397" t="s">
        <v>53174</v>
      </c>
      <c r="B4397" t="s">
        <v>53175</v>
      </c>
      <c r="C4397">
        <v>0</v>
      </c>
      <c r="D4397">
        <v>0.45309220844224102</v>
      </c>
      <c r="E4397">
        <v>0.90015571164077401</v>
      </c>
      <c r="F4397">
        <v>11.4883814912103</v>
      </c>
    </row>
    <row r="4398" spans="1:6">
      <c r="A4398" t="s">
        <v>53174</v>
      </c>
      <c r="B4398" t="s">
        <v>53176</v>
      </c>
      <c r="C4398">
        <v>0</v>
      </c>
      <c r="D4398">
        <v>0.45309220844224102</v>
      </c>
      <c r="E4398">
        <v>0.90015571164077401</v>
      </c>
      <c r="F4398">
        <v>11.4883814912103</v>
      </c>
    </row>
    <row r="4399" spans="1:6">
      <c r="A4399" t="s">
        <v>53174</v>
      </c>
      <c r="B4399" t="s">
        <v>53177</v>
      </c>
      <c r="C4399">
        <v>0</v>
      </c>
      <c r="D4399">
        <v>0.45309220844224102</v>
      </c>
      <c r="E4399">
        <v>0.90015571164077401</v>
      </c>
      <c r="F4399">
        <v>11.4883814912103</v>
      </c>
    </row>
    <row r="4400" spans="1:6">
      <c r="A4400" t="s">
        <v>53174</v>
      </c>
      <c r="B4400" t="s">
        <v>53178</v>
      </c>
      <c r="C4400">
        <v>0</v>
      </c>
      <c r="D4400">
        <v>0.45309220844224102</v>
      </c>
      <c r="E4400">
        <v>0.90015571164077401</v>
      </c>
      <c r="F4400">
        <v>11.4883814912103</v>
      </c>
    </row>
    <row r="4401" spans="1:6">
      <c r="A4401" t="s">
        <v>53174</v>
      </c>
      <c r="B4401" t="s">
        <v>53179</v>
      </c>
      <c r="C4401">
        <v>0</v>
      </c>
      <c r="D4401">
        <v>0.45309220844224102</v>
      </c>
      <c r="E4401">
        <v>0.90015571164077401</v>
      </c>
      <c r="F4401">
        <v>11.4883814912103</v>
      </c>
    </row>
    <row r="4402" spans="1:6">
      <c r="A4402" t="s">
        <v>53174</v>
      </c>
      <c r="B4402" t="s">
        <v>53180</v>
      </c>
      <c r="C4402">
        <v>0.58655571164077402</v>
      </c>
      <c r="D4402">
        <v>0.45309220844224102</v>
      </c>
      <c r="E4402">
        <v>0.90015571164077401</v>
      </c>
      <c r="F4402">
        <v>11.4883814912103</v>
      </c>
    </row>
    <row r="4403" spans="1:6">
      <c r="A4403" t="s">
        <v>53181</v>
      </c>
      <c r="B4403" t="s">
        <v>53182</v>
      </c>
      <c r="C4403">
        <v>1.02038436923924</v>
      </c>
      <c r="D4403">
        <v>0.31863481543194799</v>
      </c>
      <c r="E4403">
        <v>0.97082223865039197</v>
      </c>
      <c r="F4403">
        <v>11.997575267730801</v>
      </c>
    </row>
    <row r="4404" spans="1:6">
      <c r="A4404" t="s">
        <v>53181</v>
      </c>
      <c r="B4404" t="s">
        <v>53183</v>
      </c>
      <c r="C4404">
        <v>0.24877571631856901</v>
      </c>
      <c r="D4404">
        <v>0.31863481543194799</v>
      </c>
      <c r="E4404">
        <v>0.97082223865039197</v>
      </c>
      <c r="F4404">
        <v>11.997575267730801</v>
      </c>
    </row>
    <row r="4405" spans="1:6">
      <c r="A4405" t="s">
        <v>53184</v>
      </c>
      <c r="B4405" t="s">
        <v>53185</v>
      </c>
      <c r="C4405">
        <v>0.45055056416372702</v>
      </c>
      <c r="D4405">
        <v>5.7322629876522903E-2</v>
      </c>
      <c r="E4405">
        <v>0.98243595620214597</v>
      </c>
      <c r="F4405">
        <v>16.463932107496401</v>
      </c>
    </row>
    <row r="4406" spans="1:6">
      <c r="A4406" t="s">
        <v>53184</v>
      </c>
      <c r="B4406" t="s">
        <v>53186</v>
      </c>
      <c r="C4406">
        <v>0.45618517069140002</v>
      </c>
      <c r="D4406">
        <v>5.7322629876522903E-2</v>
      </c>
      <c r="E4406">
        <v>0.98243595620214597</v>
      </c>
      <c r="F4406">
        <v>16.463932107496401</v>
      </c>
    </row>
    <row r="4407" spans="1:6">
      <c r="A4407" t="s">
        <v>53184</v>
      </c>
      <c r="B4407" t="s">
        <v>53187</v>
      </c>
      <c r="C4407">
        <v>0</v>
      </c>
      <c r="D4407">
        <v>5.7322629876522903E-2</v>
      </c>
      <c r="E4407">
        <v>0.98243595620214597</v>
      </c>
      <c r="F4407">
        <v>16.463932107496401</v>
      </c>
    </row>
    <row r="4408" spans="1:6">
      <c r="A4408" t="s">
        <v>53184</v>
      </c>
      <c r="B4408" t="s">
        <v>53188</v>
      </c>
      <c r="C4408">
        <v>0</v>
      </c>
      <c r="D4408">
        <v>5.7322629876522903E-2</v>
      </c>
      <c r="E4408">
        <v>0.98243595620214597</v>
      </c>
      <c r="F4408">
        <v>16.463932107496401</v>
      </c>
    </row>
    <row r="4409" spans="1:6">
      <c r="A4409" t="s">
        <v>53189</v>
      </c>
      <c r="B4409" t="s">
        <v>53190</v>
      </c>
      <c r="C4409">
        <v>0</v>
      </c>
      <c r="D4409">
        <v>0.72170712805922099</v>
      </c>
      <c r="E4409">
        <v>0.70088294650763805</v>
      </c>
      <c r="F4409">
        <v>3.4431198221863002</v>
      </c>
    </row>
    <row r="4410" spans="1:6">
      <c r="A4410" t="s">
        <v>53189</v>
      </c>
      <c r="B4410" t="s">
        <v>53191</v>
      </c>
      <c r="C4410">
        <v>0.50728294650763806</v>
      </c>
      <c r="D4410">
        <v>0.72170712805922099</v>
      </c>
      <c r="E4410">
        <v>0.70088294650763805</v>
      </c>
      <c r="F4410">
        <v>3.4431198221863002</v>
      </c>
    </row>
    <row r="4411" spans="1:6">
      <c r="A4411" t="s">
        <v>53192</v>
      </c>
      <c r="B4411" t="s">
        <v>53193</v>
      </c>
      <c r="C4411">
        <v>0</v>
      </c>
      <c r="D4411">
        <v>0.34316396103074698</v>
      </c>
      <c r="E4411">
        <v>0.947173333018549</v>
      </c>
      <c r="F4411">
        <v>7.67670236411396</v>
      </c>
    </row>
    <row r="4412" spans="1:6">
      <c r="A4412" t="s">
        <v>53192</v>
      </c>
      <c r="B4412" t="s">
        <v>53194</v>
      </c>
      <c r="C4412">
        <v>4.1968046103449202E-2</v>
      </c>
      <c r="D4412">
        <v>0.34316396103074698</v>
      </c>
      <c r="E4412">
        <v>0.947173333018549</v>
      </c>
      <c r="F4412">
        <v>7.67670236411396</v>
      </c>
    </row>
    <row r="4413" spans="1:6">
      <c r="A4413" t="s">
        <v>53192</v>
      </c>
      <c r="B4413" t="s">
        <v>53195</v>
      </c>
      <c r="C4413">
        <v>0.80865170771208295</v>
      </c>
      <c r="D4413">
        <v>0.34316396103074698</v>
      </c>
      <c r="E4413">
        <v>0.947173333018549</v>
      </c>
      <c r="F4413">
        <v>7.67670236411396</v>
      </c>
    </row>
    <row r="4414" spans="1:6">
      <c r="A4414" t="s">
        <v>53196</v>
      </c>
      <c r="B4414" t="s">
        <v>53197</v>
      </c>
      <c r="C4414">
        <v>0</v>
      </c>
      <c r="D4414">
        <v>0.57378402624998504</v>
      </c>
      <c r="E4414">
        <v>0.94911878427488106</v>
      </c>
      <c r="F4414">
        <v>6.1200242473226902</v>
      </c>
    </row>
    <row r="4415" spans="1:6">
      <c r="A4415" t="s">
        <v>53196</v>
      </c>
      <c r="B4415" t="s">
        <v>53198</v>
      </c>
      <c r="C4415">
        <v>0</v>
      </c>
      <c r="D4415">
        <v>0.57378402624998504</v>
      </c>
      <c r="E4415">
        <v>0.94911878427488106</v>
      </c>
      <c r="F4415">
        <v>6.1200242473226902</v>
      </c>
    </row>
    <row r="4416" spans="1:6">
      <c r="A4416" t="s">
        <v>53196</v>
      </c>
      <c r="B4416" t="s">
        <v>53199</v>
      </c>
      <c r="C4416">
        <v>0</v>
      </c>
      <c r="D4416">
        <v>0.57378402624998504</v>
      </c>
      <c r="E4416">
        <v>0.94911878427488106</v>
      </c>
      <c r="F4416">
        <v>6.1200242473226902</v>
      </c>
    </row>
    <row r="4417" spans="1:6">
      <c r="A4417" t="s">
        <v>53196</v>
      </c>
      <c r="B4417" t="s">
        <v>53200</v>
      </c>
      <c r="C4417">
        <v>0</v>
      </c>
      <c r="D4417">
        <v>0.57378402624998504</v>
      </c>
      <c r="E4417">
        <v>0.94911878427488106</v>
      </c>
      <c r="F4417">
        <v>6.1200242473226902</v>
      </c>
    </row>
    <row r="4418" spans="1:6">
      <c r="A4418" t="s">
        <v>53196</v>
      </c>
      <c r="B4418" t="s">
        <v>53201</v>
      </c>
      <c r="C4418">
        <v>0.49314298072262103</v>
      </c>
      <c r="D4418">
        <v>0.57378402624998504</v>
      </c>
      <c r="E4418">
        <v>0.94911878427488106</v>
      </c>
      <c r="F4418">
        <v>6.1200242473226902</v>
      </c>
    </row>
    <row r="4419" spans="1:6">
      <c r="A4419" t="s">
        <v>53196</v>
      </c>
      <c r="B4419" t="s">
        <v>53202</v>
      </c>
      <c r="C4419">
        <v>0</v>
      </c>
      <c r="D4419">
        <v>0.57378402624998504</v>
      </c>
      <c r="E4419">
        <v>0.94911878427488106</v>
      </c>
      <c r="F4419">
        <v>6.1200242473226902</v>
      </c>
    </row>
    <row r="4420" spans="1:6">
      <c r="A4420" t="s">
        <v>53196</v>
      </c>
      <c r="B4420" t="s">
        <v>53203</v>
      </c>
      <c r="C4420">
        <v>0.38478509269192801</v>
      </c>
      <c r="D4420">
        <v>0.57378402624998504</v>
      </c>
      <c r="E4420">
        <v>0.94911878427488106</v>
      </c>
      <c r="F4420">
        <v>6.1200242473226902</v>
      </c>
    </row>
    <row r="4421" spans="1:6">
      <c r="A4421" t="s">
        <v>53204</v>
      </c>
      <c r="B4421" t="s">
        <v>53205</v>
      </c>
      <c r="C4421">
        <v>0.313377118032724</v>
      </c>
      <c r="D4421">
        <v>0.60846772352176004</v>
      </c>
      <c r="E4421">
        <v>0.88033523143696701</v>
      </c>
      <c r="F4421">
        <v>11.827844008890599</v>
      </c>
    </row>
    <row r="4422" spans="1:6">
      <c r="A4422" t="s">
        <v>53204</v>
      </c>
      <c r="B4422" t="s">
        <v>53206</v>
      </c>
      <c r="C4422">
        <v>0.43924041328046198</v>
      </c>
      <c r="D4422">
        <v>0.60846772352176004</v>
      </c>
      <c r="E4422">
        <v>0.88033523143696701</v>
      </c>
      <c r="F4422">
        <v>11.827844008890599</v>
      </c>
    </row>
    <row r="4423" spans="1:6">
      <c r="A4423" t="s">
        <v>53204</v>
      </c>
      <c r="B4423" t="s">
        <v>53207</v>
      </c>
      <c r="C4423">
        <v>0</v>
      </c>
      <c r="D4423">
        <v>0.60846772352176004</v>
      </c>
      <c r="E4423">
        <v>0.88033523143696701</v>
      </c>
      <c r="F4423">
        <v>11.827844008890599</v>
      </c>
    </row>
    <row r="4424" spans="1:6">
      <c r="A4424" t="s">
        <v>53204</v>
      </c>
      <c r="B4424" t="s">
        <v>53208</v>
      </c>
      <c r="C4424">
        <v>0</v>
      </c>
      <c r="D4424">
        <v>0.60846772352176004</v>
      </c>
      <c r="E4424">
        <v>0.88033523143696701</v>
      </c>
      <c r="F4424">
        <v>11.827844008890599</v>
      </c>
    </row>
    <row r="4425" spans="1:6">
      <c r="A4425" t="s">
        <v>53209</v>
      </c>
      <c r="B4425" t="s">
        <v>53210</v>
      </c>
      <c r="C4425">
        <v>0</v>
      </c>
      <c r="D4425">
        <v>0.40570885994864903</v>
      </c>
      <c r="E4425">
        <v>0.91962580498054602</v>
      </c>
      <c r="F4425">
        <v>1.34815114164477</v>
      </c>
    </row>
    <row r="4426" spans="1:6">
      <c r="A4426" t="s">
        <v>53209</v>
      </c>
      <c r="B4426" t="s">
        <v>53211</v>
      </c>
      <c r="C4426">
        <v>0.40491157105146502</v>
      </c>
      <c r="D4426">
        <v>0.40570885994864903</v>
      </c>
      <c r="E4426">
        <v>0.91962580498054602</v>
      </c>
      <c r="F4426">
        <v>1.34815114164477</v>
      </c>
    </row>
    <row r="4427" spans="1:6">
      <c r="A4427" t="s">
        <v>53209</v>
      </c>
      <c r="B4427" t="s">
        <v>53212</v>
      </c>
      <c r="C4427">
        <v>0</v>
      </c>
      <c r="D4427">
        <v>0.40570885994864903</v>
      </c>
      <c r="E4427">
        <v>0.91962580498054602</v>
      </c>
      <c r="F4427">
        <v>1.34815114164477</v>
      </c>
    </row>
    <row r="4428" spans="1:6">
      <c r="A4428" t="s">
        <v>53209</v>
      </c>
      <c r="B4428" t="s">
        <v>53213</v>
      </c>
      <c r="C4428">
        <v>0.27807339543453002</v>
      </c>
      <c r="D4428">
        <v>0.40570885994864903</v>
      </c>
      <c r="E4428">
        <v>0.91962580498054602</v>
      </c>
      <c r="F4428">
        <v>1.34815114164477</v>
      </c>
    </row>
    <row r="4429" spans="1:6">
      <c r="A4429" t="s">
        <v>53209</v>
      </c>
      <c r="B4429" t="s">
        <v>53214</v>
      </c>
      <c r="C4429">
        <v>0</v>
      </c>
      <c r="D4429">
        <v>0.40570885994864903</v>
      </c>
      <c r="E4429">
        <v>0.91962580498054602</v>
      </c>
      <c r="F4429">
        <v>1.34815114164477</v>
      </c>
    </row>
    <row r="4430" spans="1:6">
      <c r="A4430" t="s">
        <v>53209</v>
      </c>
      <c r="B4430" t="s">
        <v>53215</v>
      </c>
      <c r="C4430">
        <v>0</v>
      </c>
      <c r="D4430">
        <v>0.40570885994864903</v>
      </c>
      <c r="E4430">
        <v>0.91962580498054602</v>
      </c>
      <c r="F4430">
        <v>1.34815114164477</v>
      </c>
    </row>
    <row r="4431" spans="1:6">
      <c r="A4431" t="s">
        <v>53209</v>
      </c>
      <c r="B4431" t="s">
        <v>53216</v>
      </c>
      <c r="C4431">
        <v>0</v>
      </c>
      <c r="D4431">
        <v>0.40570885994864903</v>
      </c>
      <c r="E4431">
        <v>0.91962580498054602</v>
      </c>
      <c r="F4431">
        <v>1.34815114164477</v>
      </c>
    </row>
    <row r="4432" spans="1:6">
      <c r="A4432" t="s">
        <v>53217</v>
      </c>
      <c r="B4432" t="s">
        <v>53218</v>
      </c>
      <c r="C4432">
        <v>0.838332361405562</v>
      </c>
      <c r="D4432">
        <v>0.22248204879686201</v>
      </c>
      <c r="E4432">
        <v>0.96793236140556205</v>
      </c>
      <c r="F4432">
        <v>15.091533643160201</v>
      </c>
    </row>
    <row r="4433" spans="1:6">
      <c r="A4433" t="s">
        <v>53217</v>
      </c>
      <c r="B4433" t="s">
        <v>53219</v>
      </c>
      <c r="C4433">
        <v>0</v>
      </c>
      <c r="D4433">
        <v>0.22248204879686201</v>
      </c>
      <c r="E4433">
        <v>0.96793236140556205</v>
      </c>
      <c r="F4433">
        <v>15.091533643160201</v>
      </c>
    </row>
    <row r="4434" spans="1:6">
      <c r="A4434" t="s">
        <v>53220</v>
      </c>
      <c r="B4434" t="s">
        <v>53221</v>
      </c>
      <c r="C4434">
        <v>0</v>
      </c>
      <c r="D4434">
        <v>0.14669235847406401</v>
      </c>
      <c r="E4434" t="s">
        <v>106</v>
      </c>
      <c r="F4434">
        <v>2.05617296423519</v>
      </c>
    </row>
    <row r="4435" spans="1:6">
      <c r="A4435" t="s">
        <v>53220</v>
      </c>
      <c r="B4435" t="s">
        <v>53222</v>
      </c>
      <c r="C4435">
        <v>0</v>
      </c>
      <c r="D4435">
        <v>0.14669235847406401</v>
      </c>
      <c r="E4435" t="s">
        <v>106</v>
      </c>
      <c r="F4435">
        <v>2.05617296423519</v>
      </c>
    </row>
    <row r="4436" spans="1:6">
      <c r="A4436" t="s">
        <v>53220</v>
      </c>
      <c r="B4436" t="s">
        <v>53223</v>
      </c>
      <c r="C4436">
        <v>0</v>
      </c>
      <c r="D4436">
        <v>0.14669235847406401</v>
      </c>
      <c r="E4436" t="s">
        <v>106</v>
      </c>
      <c r="F4436">
        <v>2.05617296423519</v>
      </c>
    </row>
    <row r="4437" spans="1:6">
      <c r="A4437" t="s">
        <v>53224</v>
      </c>
      <c r="B4437" t="s">
        <v>53225</v>
      </c>
      <c r="C4437">
        <v>0</v>
      </c>
      <c r="D4437">
        <v>0.42494802571040502</v>
      </c>
      <c r="E4437">
        <v>0.98258757978535305</v>
      </c>
      <c r="F4437">
        <v>0.79046271974136095</v>
      </c>
    </row>
    <row r="4438" spans="1:6">
      <c r="A4438" t="s">
        <v>53224</v>
      </c>
      <c r="B4438" t="s">
        <v>53226</v>
      </c>
      <c r="C4438">
        <v>0.76575476050958502</v>
      </c>
      <c r="D4438">
        <v>0.42494802571040502</v>
      </c>
      <c r="E4438">
        <v>0.98258757978535305</v>
      </c>
      <c r="F4438">
        <v>0.79046271974136095</v>
      </c>
    </row>
    <row r="4439" spans="1:6">
      <c r="A4439" t="s">
        <v>53224</v>
      </c>
      <c r="B4439" t="s">
        <v>53227</v>
      </c>
      <c r="C4439">
        <v>0.83433676553606995</v>
      </c>
      <c r="D4439">
        <v>0.42494802571040502</v>
      </c>
      <c r="E4439">
        <v>0.98258757978535305</v>
      </c>
      <c r="F4439">
        <v>0.79046271974136095</v>
      </c>
    </row>
    <row r="4440" spans="1:6">
      <c r="A4440" t="s">
        <v>53224</v>
      </c>
      <c r="B4440" t="s">
        <v>53228</v>
      </c>
      <c r="C4440">
        <v>0</v>
      </c>
      <c r="D4440">
        <v>0.42494802571040502</v>
      </c>
      <c r="E4440">
        <v>0.98258757978535305</v>
      </c>
      <c r="F4440">
        <v>0.79046271974136095</v>
      </c>
    </row>
    <row r="4441" spans="1:6">
      <c r="A4441" t="s">
        <v>53229</v>
      </c>
      <c r="B4441" t="s">
        <v>53230</v>
      </c>
      <c r="C4441">
        <v>0</v>
      </c>
      <c r="D4441">
        <v>2.3997727137541801E-2</v>
      </c>
      <c r="E4441" t="s">
        <v>106</v>
      </c>
      <c r="F4441">
        <v>11.997575267730801</v>
      </c>
    </row>
    <row r="4442" spans="1:6">
      <c r="A4442" t="s">
        <v>53229</v>
      </c>
      <c r="B4442" t="s">
        <v>53231</v>
      </c>
      <c r="C4442">
        <v>0</v>
      </c>
      <c r="D4442">
        <v>2.3997727137541801E-2</v>
      </c>
      <c r="E4442" t="s">
        <v>106</v>
      </c>
      <c r="F4442">
        <v>11.997575267730801</v>
      </c>
    </row>
    <row r="4443" spans="1:6">
      <c r="A4443" t="s">
        <v>53229</v>
      </c>
      <c r="B4443" t="s">
        <v>53232</v>
      </c>
      <c r="C4443">
        <v>0</v>
      </c>
      <c r="D4443">
        <v>2.3997727137541801E-2</v>
      </c>
      <c r="E4443" t="s">
        <v>106</v>
      </c>
      <c r="F4443">
        <v>11.997575267730801</v>
      </c>
    </row>
    <row r="4444" spans="1:6">
      <c r="A4444" t="s">
        <v>53229</v>
      </c>
      <c r="B4444" t="s">
        <v>53233</v>
      </c>
      <c r="C4444">
        <v>0</v>
      </c>
      <c r="D4444">
        <v>2.3997727137541801E-2</v>
      </c>
      <c r="E4444" t="s">
        <v>106</v>
      </c>
      <c r="F4444">
        <v>11.997575267730801</v>
      </c>
    </row>
    <row r="4445" spans="1:6">
      <c r="A4445" t="s">
        <v>53234</v>
      </c>
      <c r="B4445" t="s">
        <v>53235</v>
      </c>
      <c r="C4445">
        <v>0.69793259014381803</v>
      </c>
      <c r="D4445">
        <v>0.55549576336286799</v>
      </c>
      <c r="E4445">
        <v>0.88114329037801598</v>
      </c>
      <c r="F4445">
        <v>4.1123459284703898</v>
      </c>
    </row>
    <row r="4446" spans="1:6">
      <c r="A4446" t="s">
        <v>53234</v>
      </c>
      <c r="B4446" t="s">
        <v>53236</v>
      </c>
      <c r="C4446">
        <v>0.16746090500120001</v>
      </c>
      <c r="D4446">
        <v>0.55549576336286799</v>
      </c>
      <c r="E4446">
        <v>0.88114329037801598</v>
      </c>
      <c r="F4446">
        <v>4.1123459284703898</v>
      </c>
    </row>
    <row r="4447" spans="1:6">
      <c r="A4447" t="s">
        <v>53237</v>
      </c>
      <c r="B4447" t="s">
        <v>53238</v>
      </c>
      <c r="C4447">
        <v>0</v>
      </c>
      <c r="D4447">
        <v>0.62588749994475501</v>
      </c>
      <c r="E4447">
        <v>0.83524614682819198</v>
      </c>
      <c r="F4447">
        <v>6.4934330167710597</v>
      </c>
    </row>
    <row r="4448" spans="1:6">
      <c r="A4448" t="s">
        <v>53237</v>
      </c>
      <c r="B4448" t="s">
        <v>53239</v>
      </c>
      <c r="C4448">
        <v>0.36083420134801902</v>
      </c>
      <c r="D4448">
        <v>0.62588749994475501</v>
      </c>
      <c r="E4448">
        <v>0.83524614682819198</v>
      </c>
      <c r="F4448">
        <v>6.4934330167710597</v>
      </c>
    </row>
    <row r="4449" spans="1:6">
      <c r="A4449" t="s">
        <v>53237</v>
      </c>
      <c r="B4449" t="s">
        <v>53240</v>
      </c>
      <c r="C4449">
        <v>9.0747914268748994E-2</v>
      </c>
      <c r="D4449">
        <v>0.62588749994475501</v>
      </c>
      <c r="E4449">
        <v>0.83524614682819198</v>
      </c>
      <c r="F4449">
        <v>6.4934330167710597</v>
      </c>
    </row>
    <row r="4450" spans="1:6">
      <c r="A4450" t="s">
        <v>53237</v>
      </c>
      <c r="B4450" t="s">
        <v>53241</v>
      </c>
      <c r="C4450">
        <v>0</v>
      </c>
      <c r="D4450">
        <v>0.62588749994475501</v>
      </c>
      <c r="E4450">
        <v>0.83524614682819198</v>
      </c>
      <c r="F4450">
        <v>6.4934330167710597</v>
      </c>
    </row>
    <row r="4451" spans="1:6">
      <c r="A4451" t="s">
        <v>53237</v>
      </c>
      <c r="B4451" t="s">
        <v>53242</v>
      </c>
      <c r="C4451">
        <v>0</v>
      </c>
      <c r="D4451">
        <v>0.62588749994475501</v>
      </c>
      <c r="E4451">
        <v>0.83524614682819198</v>
      </c>
      <c r="F4451">
        <v>6.4934330167710597</v>
      </c>
    </row>
    <row r="4452" spans="1:6">
      <c r="A4452" t="s">
        <v>53243</v>
      </c>
      <c r="B4452" t="s">
        <v>53244</v>
      </c>
      <c r="C4452">
        <v>0</v>
      </c>
      <c r="D4452">
        <v>1.0413515097884201E-2</v>
      </c>
      <c r="E4452">
        <v>0.98708509930445998</v>
      </c>
      <c r="F4452">
        <v>12.1721559911093</v>
      </c>
    </row>
    <row r="4453" spans="1:6">
      <c r="A4453" t="s">
        <v>53243</v>
      </c>
      <c r="B4453" t="s">
        <v>53245</v>
      </c>
      <c r="C4453">
        <v>0</v>
      </c>
      <c r="D4453">
        <v>1.0413515097884201E-2</v>
      </c>
      <c r="E4453">
        <v>0.98708509930445998</v>
      </c>
      <c r="F4453">
        <v>12.1721559911093</v>
      </c>
    </row>
    <row r="4454" spans="1:6">
      <c r="A4454" t="s">
        <v>53243</v>
      </c>
      <c r="B4454" t="s">
        <v>53246</v>
      </c>
      <c r="C4454">
        <v>0</v>
      </c>
      <c r="D4454">
        <v>1.0413515097884201E-2</v>
      </c>
      <c r="E4454">
        <v>0.98708509930445998</v>
      </c>
      <c r="F4454">
        <v>12.1721559911093</v>
      </c>
    </row>
    <row r="4455" spans="1:6">
      <c r="A4455" t="s">
        <v>53243</v>
      </c>
      <c r="B4455" t="s">
        <v>53247</v>
      </c>
      <c r="C4455">
        <v>0</v>
      </c>
      <c r="D4455">
        <v>1.0413515097884201E-2</v>
      </c>
      <c r="E4455">
        <v>0.98708509930445998</v>
      </c>
      <c r="F4455">
        <v>12.1721559911093</v>
      </c>
    </row>
    <row r="4456" spans="1:6">
      <c r="A4456" t="s">
        <v>53243</v>
      </c>
      <c r="B4456" t="s">
        <v>53248</v>
      </c>
      <c r="C4456">
        <v>0</v>
      </c>
      <c r="D4456">
        <v>1.0413515097884201E-2</v>
      </c>
      <c r="E4456">
        <v>0.98708509930445998</v>
      </c>
      <c r="F4456">
        <v>12.1721559911093</v>
      </c>
    </row>
    <row r="4457" spans="1:6">
      <c r="A4457" t="s">
        <v>53243</v>
      </c>
      <c r="B4457" t="s">
        <v>53249</v>
      </c>
      <c r="C4457">
        <v>0</v>
      </c>
      <c r="D4457">
        <v>1.0413515097884201E-2</v>
      </c>
      <c r="E4457">
        <v>0.98708509930445998</v>
      </c>
      <c r="F4457">
        <v>12.1721559911093</v>
      </c>
    </row>
    <row r="4458" spans="1:6">
      <c r="A4458" t="s">
        <v>53243</v>
      </c>
      <c r="B4458" t="s">
        <v>53250</v>
      </c>
      <c r="C4458">
        <v>0.37889856177476999</v>
      </c>
      <c r="D4458">
        <v>1.0413515097884201E-2</v>
      </c>
      <c r="E4458">
        <v>0.98708509930445998</v>
      </c>
      <c r="F4458">
        <v>12.1721559911093</v>
      </c>
    </row>
    <row r="4459" spans="1:6">
      <c r="A4459" t="s">
        <v>53243</v>
      </c>
      <c r="B4459" t="s">
        <v>53251</v>
      </c>
      <c r="C4459">
        <v>0</v>
      </c>
      <c r="D4459">
        <v>1.0413515097884201E-2</v>
      </c>
      <c r="E4459">
        <v>0.98708509930445998</v>
      </c>
      <c r="F4459">
        <v>12.1721559911093</v>
      </c>
    </row>
    <row r="4460" spans="1:6">
      <c r="A4460" t="s">
        <v>53243</v>
      </c>
      <c r="B4460" t="s">
        <v>53252</v>
      </c>
      <c r="C4460">
        <v>0.20713507420417701</v>
      </c>
      <c r="D4460">
        <v>1.0413515097884201E-2</v>
      </c>
      <c r="E4460">
        <v>0.98708509930445998</v>
      </c>
      <c r="F4460">
        <v>12.1721559911093</v>
      </c>
    </row>
    <row r="4461" spans="1:6">
      <c r="A4461" t="s">
        <v>53253</v>
      </c>
      <c r="B4461" t="s">
        <v>53254</v>
      </c>
      <c r="C4461">
        <v>0</v>
      </c>
      <c r="D4461">
        <v>0.17140841744114699</v>
      </c>
      <c r="E4461">
        <v>0.871377998955287</v>
      </c>
      <c r="F4461">
        <v>8.0937563144069493</v>
      </c>
    </row>
    <row r="4462" spans="1:6">
      <c r="A4462" t="s">
        <v>53253</v>
      </c>
      <c r="B4462" t="s">
        <v>53255</v>
      </c>
      <c r="C4462">
        <v>0</v>
      </c>
      <c r="D4462">
        <v>0.17140841744114699</v>
      </c>
      <c r="E4462">
        <v>0.871377998955287</v>
      </c>
      <c r="F4462">
        <v>8.0937563144069493</v>
      </c>
    </row>
    <row r="4463" spans="1:6">
      <c r="A4463" t="s">
        <v>53253</v>
      </c>
      <c r="B4463" t="s">
        <v>53256</v>
      </c>
      <c r="C4463">
        <v>0.79137799895528704</v>
      </c>
      <c r="D4463">
        <v>0.17140841744114699</v>
      </c>
      <c r="E4463">
        <v>0.871377998955287</v>
      </c>
      <c r="F4463">
        <v>8.0937563144069493</v>
      </c>
    </row>
    <row r="4464" spans="1:6">
      <c r="A4464" t="s">
        <v>53253</v>
      </c>
      <c r="B4464" t="s">
        <v>53257</v>
      </c>
      <c r="C4464">
        <v>0</v>
      </c>
      <c r="D4464">
        <v>0.17140841744114699</v>
      </c>
      <c r="E4464">
        <v>0.871377998955287</v>
      </c>
      <c r="F4464">
        <v>8.0937563144069493</v>
      </c>
    </row>
    <row r="4465" spans="1:6">
      <c r="A4465" t="s">
        <v>53258</v>
      </c>
      <c r="B4465" t="s">
        <v>53259</v>
      </c>
      <c r="C4465">
        <v>0</v>
      </c>
      <c r="D4465">
        <v>0.59558841315447897</v>
      </c>
      <c r="E4465">
        <v>0.93120858183517297</v>
      </c>
      <c r="F4465">
        <v>15.6734693877551</v>
      </c>
    </row>
    <row r="4466" spans="1:6">
      <c r="A4466" t="s">
        <v>53258</v>
      </c>
      <c r="B4466" t="s">
        <v>53260</v>
      </c>
      <c r="C4466">
        <v>0</v>
      </c>
      <c r="D4466">
        <v>0.59558841315447897</v>
      </c>
      <c r="E4466">
        <v>0.93120858183517297</v>
      </c>
      <c r="F4466">
        <v>15.6734693877551</v>
      </c>
    </row>
    <row r="4467" spans="1:6">
      <c r="A4467" t="s">
        <v>53258</v>
      </c>
      <c r="B4467" t="s">
        <v>53261</v>
      </c>
      <c r="C4467">
        <v>0.54949656641797895</v>
      </c>
      <c r="D4467">
        <v>0.59558841315447897</v>
      </c>
      <c r="E4467">
        <v>0.93120858183517297</v>
      </c>
      <c r="F4467">
        <v>15.6734693877551</v>
      </c>
    </row>
    <row r="4468" spans="1:6">
      <c r="A4468" t="s">
        <v>53258</v>
      </c>
      <c r="B4468" t="s">
        <v>53262</v>
      </c>
      <c r="C4468">
        <v>0.432744510339718</v>
      </c>
      <c r="D4468">
        <v>0.59558841315447897</v>
      </c>
      <c r="E4468">
        <v>0.93120858183517297</v>
      </c>
      <c r="F4468">
        <v>15.6734693877551</v>
      </c>
    </row>
    <row r="4469" spans="1:6">
      <c r="A4469" t="s">
        <v>53263</v>
      </c>
      <c r="B4469" t="s">
        <v>53264</v>
      </c>
      <c r="C4469">
        <v>0</v>
      </c>
      <c r="D4469">
        <v>0.20511380718418201</v>
      </c>
      <c r="E4469">
        <v>0.92441336009100605</v>
      </c>
      <c r="F4469">
        <v>11.997575267730801</v>
      </c>
    </row>
    <row r="4470" spans="1:6">
      <c r="A4470" t="s">
        <v>53263</v>
      </c>
      <c r="B4470" t="s">
        <v>53265</v>
      </c>
      <c r="C4470">
        <v>0</v>
      </c>
      <c r="D4470">
        <v>0.20511380718418201</v>
      </c>
      <c r="E4470">
        <v>0.92441336009100605</v>
      </c>
      <c r="F4470">
        <v>11.997575267730801</v>
      </c>
    </row>
    <row r="4471" spans="1:6">
      <c r="A4471" t="s">
        <v>53263</v>
      </c>
      <c r="B4471" t="s">
        <v>53266</v>
      </c>
      <c r="C4471">
        <v>0</v>
      </c>
      <c r="D4471">
        <v>0.20511380718418201</v>
      </c>
      <c r="E4471">
        <v>0.92441336009100605</v>
      </c>
      <c r="F4471">
        <v>11.997575267730801</v>
      </c>
    </row>
    <row r="4472" spans="1:6">
      <c r="A4472" t="s">
        <v>53263</v>
      </c>
      <c r="B4472" t="s">
        <v>53267</v>
      </c>
      <c r="C4472">
        <v>0.66201336009100598</v>
      </c>
      <c r="D4472">
        <v>0.20511380718418201</v>
      </c>
      <c r="E4472">
        <v>0.92441336009100605</v>
      </c>
      <c r="F4472">
        <v>11.997575267730801</v>
      </c>
    </row>
    <row r="4473" spans="1:6">
      <c r="A4473" t="s">
        <v>53263</v>
      </c>
      <c r="B4473" t="s">
        <v>53268</v>
      </c>
      <c r="C4473">
        <v>0</v>
      </c>
      <c r="D4473">
        <v>0.20511380718418201</v>
      </c>
      <c r="E4473">
        <v>0.92441336009100605</v>
      </c>
      <c r="F4473">
        <v>11.997575267730801</v>
      </c>
    </row>
    <row r="4474" spans="1:6">
      <c r="A4474" t="s">
        <v>53263</v>
      </c>
      <c r="B4474" t="s">
        <v>53269</v>
      </c>
      <c r="C4474">
        <v>0</v>
      </c>
      <c r="D4474">
        <v>0.20511380718418201</v>
      </c>
      <c r="E4474">
        <v>0.92441336009100605</v>
      </c>
      <c r="F4474">
        <v>11.997575267730801</v>
      </c>
    </row>
    <row r="4475" spans="1:6">
      <c r="A4475" t="s">
        <v>53263</v>
      </c>
      <c r="B4475" t="s">
        <v>53270</v>
      </c>
      <c r="C4475">
        <v>0</v>
      </c>
      <c r="D4475">
        <v>0.20511380718418201</v>
      </c>
      <c r="E4475">
        <v>0.92441336009100605</v>
      </c>
      <c r="F4475">
        <v>11.997575267730801</v>
      </c>
    </row>
    <row r="4476" spans="1:6">
      <c r="A4476" t="s">
        <v>53271</v>
      </c>
      <c r="B4476" t="s">
        <v>53272</v>
      </c>
      <c r="C4476">
        <v>0.57487366312637</v>
      </c>
      <c r="D4476">
        <v>0.71969726130155698</v>
      </c>
      <c r="E4476">
        <v>0.99674657186042104</v>
      </c>
      <c r="F4476">
        <v>2.7447969286724501</v>
      </c>
    </row>
    <row r="4477" spans="1:6">
      <c r="A4477" t="s">
        <v>53271</v>
      </c>
      <c r="B4477" t="s">
        <v>53273</v>
      </c>
      <c r="C4477">
        <v>0</v>
      </c>
      <c r="D4477">
        <v>0.71969726130155698</v>
      </c>
      <c r="E4477">
        <v>0.99674657186042104</v>
      </c>
      <c r="F4477">
        <v>2.7447969286724501</v>
      </c>
    </row>
    <row r="4478" spans="1:6">
      <c r="A4478" t="s">
        <v>53271</v>
      </c>
      <c r="B4478" t="s">
        <v>53274</v>
      </c>
      <c r="C4478">
        <v>0</v>
      </c>
      <c r="D4478">
        <v>0.71969726130155698</v>
      </c>
      <c r="E4478">
        <v>0.99674657186042104</v>
      </c>
      <c r="F4478">
        <v>2.7447969286724501</v>
      </c>
    </row>
    <row r="4479" spans="1:6">
      <c r="A4479" t="s">
        <v>53271</v>
      </c>
      <c r="B4479" t="s">
        <v>53275</v>
      </c>
      <c r="C4479">
        <v>0</v>
      </c>
      <c r="D4479">
        <v>0.71969726130155698</v>
      </c>
      <c r="E4479">
        <v>0.99674657186042104</v>
      </c>
      <c r="F4479">
        <v>2.7447969286724501</v>
      </c>
    </row>
    <row r="4480" spans="1:6">
      <c r="A4480" t="s">
        <v>53271</v>
      </c>
      <c r="B4480" t="s">
        <v>53276</v>
      </c>
      <c r="C4480">
        <v>0.45462692057826798</v>
      </c>
      <c r="D4480">
        <v>0.71969726130155698</v>
      </c>
      <c r="E4480">
        <v>0.99674657186042104</v>
      </c>
      <c r="F4480">
        <v>2.7447969286724501</v>
      </c>
    </row>
    <row r="4481" spans="1:6">
      <c r="A4481" t="s">
        <v>53271</v>
      </c>
      <c r="B4481" t="s">
        <v>53277</v>
      </c>
      <c r="C4481">
        <v>0</v>
      </c>
      <c r="D4481">
        <v>0.71969726130155698</v>
      </c>
      <c r="E4481">
        <v>0.99674657186042104</v>
      </c>
      <c r="F4481">
        <v>2.7447969286724501</v>
      </c>
    </row>
    <row r="4482" spans="1:6">
      <c r="A4482" t="s">
        <v>53278</v>
      </c>
      <c r="B4482" t="s">
        <v>53279</v>
      </c>
      <c r="C4482">
        <v>0</v>
      </c>
      <c r="D4482">
        <v>1.6149700181302101E-2</v>
      </c>
      <c r="E4482" t="s">
        <v>106</v>
      </c>
      <c r="F4482">
        <v>3.1715498080420201</v>
      </c>
    </row>
    <row r="4483" spans="1:6">
      <c r="A4483" t="s">
        <v>53278</v>
      </c>
      <c r="B4483" t="s">
        <v>53280</v>
      </c>
      <c r="C4483">
        <v>0</v>
      </c>
      <c r="D4483">
        <v>1.6149700181302101E-2</v>
      </c>
      <c r="E4483" t="s">
        <v>106</v>
      </c>
      <c r="F4483">
        <v>3.1715498080420201</v>
      </c>
    </row>
    <row r="4484" spans="1:6">
      <c r="A4484" t="s">
        <v>53278</v>
      </c>
      <c r="B4484" t="s">
        <v>53281</v>
      </c>
      <c r="C4484">
        <v>0</v>
      </c>
      <c r="D4484">
        <v>1.6149700181302101E-2</v>
      </c>
      <c r="E4484" t="s">
        <v>106</v>
      </c>
      <c r="F4484">
        <v>3.1715498080420201</v>
      </c>
    </row>
    <row r="4485" spans="1:6">
      <c r="A4485" t="s">
        <v>53278</v>
      </c>
      <c r="B4485" t="s">
        <v>53282</v>
      </c>
      <c r="C4485">
        <v>0</v>
      </c>
      <c r="D4485">
        <v>1.6149700181302101E-2</v>
      </c>
      <c r="E4485" t="s">
        <v>106</v>
      </c>
      <c r="F4485">
        <v>3.1715498080420201</v>
      </c>
    </row>
    <row r="4486" spans="1:6">
      <c r="A4486" t="s">
        <v>53278</v>
      </c>
      <c r="B4486" t="s">
        <v>53283</v>
      </c>
      <c r="C4486">
        <v>0</v>
      </c>
      <c r="D4486">
        <v>1.6149700181302101E-2</v>
      </c>
      <c r="E4486" t="s">
        <v>106</v>
      </c>
      <c r="F4486">
        <v>3.1715498080420201</v>
      </c>
    </row>
    <row r="4487" spans="1:6">
      <c r="A4487" t="s">
        <v>53284</v>
      </c>
      <c r="B4487" t="s">
        <v>53285</v>
      </c>
      <c r="C4487">
        <v>0.79416026629440895</v>
      </c>
      <c r="D4487">
        <v>0.33800472566467699</v>
      </c>
      <c r="E4487">
        <v>0.92663715479179398</v>
      </c>
      <c r="F4487">
        <v>13.4087694483734</v>
      </c>
    </row>
    <row r="4488" spans="1:6">
      <c r="A4488" t="s">
        <v>53284</v>
      </c>
      <c r="B4488" t="s">
        <v>53286</v>
      </c>
      <c r="C4488">
        <v>1.5085315909119001E-2</v>
      </c>
      <c r="D4488">
        <v>0.33800472566467699</v>
      </c>
      <c r="E4488">
        <v>0.92663715479179398</v>
      </c>
      <c r="F4488">
        <v>13.4087694483734</v>
      </c>
    </row>
    <row r="4489" spans="1:6">
      <c r="A4489" t="s">
        <v>53284</v>
      </c>
      <c r="B4489" t="s">
        <v>53287</v>
      </c>
      <c r="C4489">
        <v>0</v>
      </c>
      <c r="D4489">
        <v>0.33800472566467699</v>
      </c>
      <c r="E4489">
        <v>0.92663715479179398</v>
      </c>
      <c r="F4489">
        <v>13.4087694483734</v>
      </c>
    </row>
    <row r="4490" spans="1:6">
      <c r="A4490" t="s">
        <v>53284</v>
      </c>
      <c r="B4490" t="s">
        <v>53288</v>
      </c>
      <c r="C4490">
        <v>0</v>
      </c>
      <c r="D4490">
        <v>0.33800472566467699</v>
      </c>
      <c r="E4490">
        <v>0.92663715479179398</v>
      </c>
      <c r="F4490">
        <v>13.4087694483734</v>
      </c>
    </row>
    <row r="4491" spans="1:6">
      <c r="A4491" t="s">
        <v>53284</v>
      </c>
      <c r="B4491" t="s">
        <v>53289</v>
      </c>
      <c r="C4491">
        <v>0</v>
      </c>
      <c r="D4491">
        <v>0.33800472566467699</v>
      </c>
      <c r="E4491">
        <v>0.92663715479179398</v>
      </c>
      <c r="F4491">
        <v>13.4087694483734</v>
      </c>
    </row>
    <row r="4492" spans="1:6">
      <c r="A4492" t="s">
        <v>53284</v>
      </c>
      <c r="B4492" t="s">
        <v>53290</v>
      </c>
      <c r="C4492">
        <v>0</v>
      </c>
      <c r="D4492">
        <v>0.33800472566467699</v>
      </c>
      <c r="E4492">
        <v>0.92663715479179398</v>
      </c>
      <c r="F4492">
        <v>13.4087694483734</v>
      </c>
    </row>
    <row r="4493" spans="1:6">
      <c r="A4493" t="s">
        <v>53291</v>
      </c>
      <c r="B4493" t="s">
        <v>53292</v>
      </c>
      <c r="C4493">
        <v>0.89958170400057602</v>
      </c>
      <c r="D4493">
        <v>0.69307495135279795</v>
      </c>
      <c r="E4493">
        <v>0.99443686536805398</v>
      </c>
      <c r="F4493">
        <v>9.2624772681349707</v>
      </c>
    </row>
    <row r="4494" spans="1:6">
      <c r="A4494" t="s">
        <v>53291</v>
      </c>
      <c r="B4494" t="s">
        <v>53293</v>
      </c>
      <c r="C4494">
        <v>7.5966748853266694E-2</v>
      </c>
      <c r="D4494">
        <v>0.69307495135279795</v>
      </c>
      <c r="E4494">
        <v>0.99443686536805398</v>
      </c>
      <c r="F4494">
        <v>9.2624772681349707</v>
      </c>
    </row>
    <row r="4495" spans="1:6">
      <c r="A4495" t="s">
        <v>53294</v>
      </c>
      <c r="B4495" t="s">
        <v>53295</v>
      </c>
      <c r="C4495">
        <v>0.78505917567919103</v>
      </c>
      <c r="D4495">
        <v>0.37436659358944002</v>
      </c>
      <c r="E4495">
        <v>0.99682238432749104</v>
      </c>
      <c r="F4495">
        <v>9.7183269347342893</v>
      </c>
    </row>
    <row r="4496" spans="1:6">
      <c r="A4496" t="s">
        <v>53294</v>
      </c>
      <c r="B4496" t="s">
        <v>53296</v>
      </c>
      <c r="C4496">
        <v>0</v>
      </c>
      <c r="D4496">
        <v>0.37436659358944002</v>
      </c>
      <c r="E4496">
        <v>0.99682238432749104</v>
      </c>
      <c r="F4496">
        <v>9.7183269347342893</v>
      </c>
    </row>
    <row r="4497" spans="1:6">
      <c r="A4497" t="s">
        <v>53294</v>
      </c>
      <c r="B4497" t="s">
        <v>53297</v>
      </c>
      <c r="C4497">
        <v>0</v>
      </c>
      <c r="D4497">
        <v>0.37436659358944002</v>
      </c>
      <c r="E4497">
        <v>0.99682238432749104</v>
      </c>
      <c r="F4497">
        <v>9.7183269347342893</v>
      </c>
    </row>
    <row r="4498" spans="1:6">
      <c r="A4498" t="s">
        <v>53294</v>
      </c>
      <c r="B4498" t="s">
        <v>53298</v>
      </c>
      <c r="C4498">
        <v>0.39615744637734102</v>
      </c>
      <c r="D4498">
        <v>0.37436659358944002</v>
      </c>
      <c r="E4498">
        <v>0.99682238432749104</v>
      </c>
      <c r="F4498">
        <v>9.7183269347342893</v>
      </c>
    </row>
    <row r="4499" spans="1:6">
      <c r="A4499" t="s">
        <v>53294</v>
      </c>
      <c r="B4499" t="s">
        <v>53299</v>
      </c>
      <c r="C4499">
        <v>0</v>
      </c>
      <c r="D4499">
        <v>0.37436659358944002</v>
      </c>
      <c r="E4499">
        <v>0.99682238432749104</v>
      </c>
      <c r="F4499">
        <v>9.7183269347342893</v>
      </c>
    </row>
    <row r="4500" spans="1:6">
      <c r="A4500" t="s">
        <v>53300</v>
      </c>
      <c r="B4500" t="s">
        <v>53301</v>
      </c>
      <c r="C4500">
        <v>0.21022453282805001</v>
      </c>
      <c r="D4500">
        <v>1.3527739931729401E-2</v>
      </c>
      <c r="E4500">
        <v>0.90016607681164695</v>
      </c>
      <c r="F4500">
        <v>22.099009900990001</v>
      </c>
    </row>
    <row r="4501" spans="1:6">
      <c r="A4501" t="s">
        <v>53300</v>
      </c>
      <c r="B4501" t="s">
        <v>53302</v>
      </c>
      <c r="C4501">
        <v>0.51926045396740095</v>
      </c>
      <c r="D4501">
        <v>1.3527739931729401E-2</v>
      </c>
      <c r="E4501">
        <v>0.90016607681164695</v>
      </c>
      <c r="F4501">
        <v>22.099009900990001</v>
      </c>
    </row>
    <row r="4502" spans="1:6">
      <c r="A4502" t="s">
        <v>53300</v>
      </c>
      <c r="B4502" t="s">
        <v>53303</v>
      </c>
      <c r="C4502">
        <v>0</v>
      </c>
      <c r="D4502">
        <v>1.3527739931729401E-2</v>
      </c>
      <c r="E4502">
        <v>0.90016607681164695</v>
      </c>
      <c r="F4502">
        <v>22.099009900990001</v>
      </c>
    </row>
    <row r="4503" spans="1:6">
      <c r="A4503" t="s">
        <v>53300</v>
      </c>
      <c r="B4503" t="s">
        <v>53304</v>
      </c>
      <c r="C4503">
        <v>0</v>
      </c>
      <c r="D4503">
        <v>1.3527739931729401E-2</v>
      </c>
      <c r="E4503">
        <v>0.90016607681164695</v>
      </c>
      <c r="F4503">
        <v>22.099009900990001</v>
      </c>
    </row>
    <row r="4504" spans="1:6">
      <c r="A4504" t="s">
        <v>53305</v>
      </c>
      <c r="B4504" t="s">
        <v>53306</v>
      </c>
      <c r="C4504">
        <v>2.0272933140929199E-2</v>
      </c>
      <c r="D4504">
        <v>0.36710051766348201</v>
      </c>
      <c r="E4504">
        <v>0.86801786590642305</v>
      </c>
      <c r="F4504">
        <v>1.0765811275004999</v>
      </c>
    </row>
    <row r="4505" spans="1:6">
      <c r="A4505" t="s">
        <v>53305</v>
      </c>
      <c r="B4505" t="s">
        <v>53307</v>
      </c>
      <c r="C4505">
        <v>0</v>
      </c>
      <c r="D4505">
        <v>0.36710051766348201</v>
      </c>
      <c r="E4505">
        <v>0.86801786590642305</v>
      </c>
      <c r="F4505">
        <v>1.0765811275004999</v>
      </c>
    </row>
    <row r="4506" spans="1:6">
      <c r="A4506" t="s">
        <v>53305</v>
      </c>
      <c r="B4506" t="s">
        <v>53308</v>
      </c>
      <c r="C4506">
        <v>0.66927966698406205</v>
      </c>
      <c r="D4506">
        <v>0.36710051766348201</v>
      </c>
      <c r="E4506">
        <v>0.86801786590642305</v>
      </c>
      <c r="F4506">
        <v>1.0765811275004999</v>
      </c>
    </row>
    <row r="4507" spans="1:6">
      <c r="A4507" t="s">
        <v>53309</v>
      </c>
      <c r="B4507" t="s">
        <v>53310</v>
      </c>
      <c r="C4507">
        <v>0.45022003934914601</v>
      </c>
      <c r="D4507">
        <v>0.85913609564620197</v>
      </c>
      <c r="E4507">
        <v>0.84895315726378695</v>
      </c>
      <c r="F4507">
        <v>20.503536067892501</v>
      </c>
    </row>
    <row r="4508" spans="1:6">
      <c r="A4508" t="s">
        <v>53309</v>
      </c>
      <c r="B4508" t="s">
        <v>53311</v>
      </c>
      <c r="C4508">
        <v>0</v>
      </c>
      <c r="D4508">
        <v>0.85913609564620197</v>
      </c>
      <c r="E4508">
        <v>0.84895315726378695</v>
      </c>
      <c r="F4508">
        <v>20.503536067892501</v>
      </c>
    </row>
    <row r="4509" spans="1:6">
      <c r="A4509" t="s">
        <v>53309</v>
      </c>
      <c r="B4509" t="s">
        <v>53312</v>
      </c>
      <c r="C4509">
        <v>0</v>
      </c>
      <c r="D4509">
        <v>0.85913609564620197</v>
      </c>
      <c r="E4509">
        <v>0.84895315726378695</v>
      </c>
      <c r="F4509">
        <v>20.503536067892501</v>
      </c>
    </row>
    <row r="4510" spans="1:6">
      <c r="A4510" t="s">
        <v>53309</v>
      </c>
      <c r="B4510" t="s">
        <v>53313</v>
      </c>
      <c r="C4510">
        <v>0</v>
      </c>
      <c r="D4510">
        <v>0.85913609564620197</v>
      </c>
      <c r="E4510">
        <v>0.84895315726378695</v>
      </c>
      <c r="F4510">
        <v>20.503536067892501</v>
      </c>
    </row>
    <row r="4511" spans="1:6">
      <c r="A4511" t="s">
        <v>53309</v>
      </c>
      <c r="B4511" t="s">
        <v>53314</v>
      </c>
      <c r="C4511">
        <v>0</v>
      </c>
      <c r="D4511">
        <v>0.85913609564620197</v>
      </c>
      <c r="E4511">
        <v>0.84895315726378695</v>
      </c>
      <c r="F4511">
        <v>20.503536067892501</v>
      </c>
    </row>
    <row r="4512" spans="1:6">
      <c r="A4512" t="s">
        <v>53309</v>
      </c>
      <c r="B4512" t="s">
        <v>53315</v>
      </c>
      <c r="C4512">
        <v>5.8232409465103802E-2</v>
      </c>
      <c r="D4512">
        <v>0.85913609564620197</v>
      </c>
      <c r="E4512">
        <v>0.84895315726378695</v>
      </c>
      <c r="F4512">
        <v>20.503536067892501</v>
      </c>
    </row>
    <row r="4513" spans="1:6">
      <c r="A4513" t="s">
        <v>53309</v>
      </c>
      <c r="B4513" t="s">
        <v>53316</v>
      </c>
      <c r="C4513">
        <v>0</v>
      </c>
      <c r="D4513">
        <v>0.85913609564620197</v>
      </c>
      <c r="E4513">
        <v>0.84895315726378695</v>
      </c>
      <c r="F4513">
        <v>20.503536067892501</v>
      </c>
    </row>
    <row r="4514" spans="1:6">
      <c r="A4514" t="s">
        <v>53317</v>
      </c>
      <c r="B4514" t="s">
        <v>53318</v>
      </c>
      <c r="C4514">
        <v>0.98588883737369504</v>
      </c>
      <c r="D4514">
        <v>0.55476479940608303</v>
      </c>
      <c r="E4514">
        <v>0.955939424680602</v>
      </c>
      <c r="F4514">
        <v>14.330167710648601</v>
      </c>
    </row>
    <row r="4515" spans="1:6">
      <c r="A4515" t="s">
        <v>53317</v>
      </c>
      <c r="B4515" t="s">
        <v>53319</v>
      </c>
      <c r="C4515">
        <v>0.38480710475869401</v>
      </c>
      <c r="D4515">
        <v>0.55476479940608303</v>
      </c>
      <c r="E4515">
        <v>0.955939424680602</v>
      </c>
      <c r="F4515">
        <v>14.330167710648601</v>
      </c>
    </row>
    <row r="4516" spans="1:6">
      <c r="A4516" t="s">
        <v>53320</v>
      </c>
      <c r="B4516" t="s">
        <v>53321</v>
      </c>
      <c r="C4516">
        <v>0</v>
      </c>
      <c r="D4516">
        <v>0.51697261888782897</v>
      </c>
      <c r="E4516">
        <v>0.97229977939478796</v>
      </c>
      <c r="F4516">
        <v>10.343907860173699</v>
      </c>
    </row>
    <row r="4517" spans="1:6">
      <c r="A4517" t="s">
        <v>53320</v>
      </c>
      <c r="B4517" t="s">
        <v>53322</v>
      </c>
      <c r="C4517">
        <v>0.91222185376194398</v>
      </c>
      <c r="D4517">
        <v>0.51697261888782897</v>
      </c>
      <c r="E4517">
        <v>0.97229977939478796</v>
      </c>
      <c r="F4517">
        <v>10.343907860173699</v>
      </c>
    </row>
    <row r="4518" spans="1:6">
      <c r="A4518" t="s">
        <v>53320</v>
      </c>
      <c r="B4518" t="s">
        <v>53323</v>
      </c>
      <c r="C4518">
        <v>0</v>
      </c>
      <c r="D4518">
        <v>0.51697261888782897</v>
      </c>
      <c r="E4518">
        <v>0.97229977939478796</v>
      </c>
      <c r="F4518">
        <v>10.343907860173699</v>
      </c>
    </row>
    <row r="4519" spans="1:6">
      <c r="A4519" t="s">
        <v>53320</v>
      </c>
      <c r="B4519" t="s">
        <v>53324</v>
      </c>
      <c r="C4519">
        <v>4.1324275872350297E-2</v>
      </c>
      <c r="D4519">
        <v>0.51697261888782897</v>
      </c>
      <c r="E4519">
        <v>0.97229977939478796</v>
      </c>
      <c r="F4519">
        <v>10.343907860173699</v>
      </c>
    </row>
    <row r="4520" spans="1:6">
      <c r="A4520" t="s">
        <v>53320</v>
      </c>
      <c r="B4520" t="s">
        <v>53325</v>
      </c>
      <c r="C4520">
        <v>0</v>
      </c>
      <c r="D4520">
        <v>0.51697261888782897</v>
      </c>
      <c r="E4520">
        <v>0.97229977939478796</v>
      </c>
      <c r="F4520">
        <v>10.343907860173699</v>
      </c>
    </row>
    <row r="4521" spans="1:6">
      <c r="A4521" t="s">
        <v>53326</v>
      </c>
      <c r="B4521" t="s">
        <v>53327</v>
      </c>
      <c r="C4521">
        <v>0.85940792419866796</v>
      </c>
      <c r="D4521">
        <v>0.56372059923593898</v>
      </c>
      <c r="E4521">
        <v>0.97832511004610101</v>
      </c>
      <c r="F4521">
        <v>10.9937361083047</v>
      </c>
    </row>
    <row r="4522" spans="1:6">
      <c r="A4522" t="s">
        <v>53326</v>
      </c>
      <c r="B4522" t="s">
        <v>53328</v>
      </c>
      <c r="C4522">
        <v>0.17883587717135899</v>
      </c>
      <c r="D4522">
        <v>0.56372059923593898</v>
      </c>
      <c r="E4522">
        <v>0.97832511004610101</v>
      </c>
      <c r="F4522">
        <v>10.9937361083047</v>
      </c>
    </row>
    <row r="4523" spans="1:6">
      <c r="A4523" t="s">
        <v>53326</v>
      </c>
      <c r="B4523" t="s">
        <v>53329</v>
      </c>
      <c r="C4523">
        <v>0</v>
      </c>
      <c r="D4523">
        <v>0.56372059923593898</v>
      </c>
      <c r="E4523">
        <v>0.97832511004610101</v>
      </c>
      <c r="F4523">
        <v>10.9937361083047</v>
      </c>
    </row>
    <row r="4524" spans="1:6">
      <c r="A4524" t="s">
        <v>53326</v>
      </c>
      <c r="B4524" t="s">
        <v>53330</v>
      </c>
      <c r="C4524">
        <v>0</v>
      </c>
      <c r="D4524">
        <v>0.56372059923593898</v>
      </c>
      <c r="E4524">
        <v>0.97832511004610101</v>
      </c>
      <c r="F4524">
        <v>10.9937361083047</v>
      </c>
    </row>
    <row r="4525" spans="1:6">
      <c r="A4525" t="s">
        <v>53326</v>
      </c>
      <c r="B4525" t="s">
        <v>53331</v>
      </c>
      <c r="C4525">
        <v>0</v>
      </c>
      <c r="D4525">
        <v>0.56372059923593898</v>
      </c>
      <c r="E4525">
        <v>0.97832511004610101</v>
      </c>
      <c r="F4525">
        <v>10.9937361083047</v>
      </c>
    </row>
    <row r="4526" spans="1:6">
      <c r="A4526" t="s">
        <v>53326</v>
      </c>
      <c r="B4526" t="s">
        <v>53332</v>
      </c>
      <c r="C4526">
        <v>0</v>
      </c>
      <c r="D4526">
        <v>0.56372059923593898</v>
      </c>
      <c r="E4526">
        <v>0.97832511004610101</v>
      </c>
      <c r="F4526">
        <v>10.9937361083047</v>
      </c>
    </row>
    <row r="4527" spans="1:6">
      <c r="A4527" t="s">
        <v>53333</v>
      </c>
      <c r="B4527" t="s">
        <v>53334</v>
      </c>
      <c r="C4527">
        <v>0.29422275372414203</v>
      </c>
      <c r="D4527">
        <v>0.77163035336015995</v>
      </c>
      <c r="E4527">
        <v>0.97831074763229098</v>
      </c>
      <c r="F4527">
        <v>17.690846635683901</v>
      </c>
    </row>
    <row r="4528" spans="1:6">
      <c r="A4528" t="s">
        <v>53333</v>
      </c>
      <c r="B4528" t="s">
        <v>53335</v>
      </c>
      <c r="C4528">
        <v>0.43369635482576002</v>
      </c>
      <c r="D4528">
        <v>0.77163035336015995</v>
      </c>
      <c r="E4528">
        <v>0.97831074763229098</v>
      </c>
      <c r="F4528">
        <v>17.690846635683901</v>
      </c>
    </row>
    <row r="4529" spans="1:6">
      <c r="A4529" t="s">
        <v>53333</v>
      </c>
      <c r="B4529" t="s">
        <v>53336</v>
      </c>
      <c r="C4529">
        <v>0</v>
      </c>
      <c r="D4529">
        <v>0.77163035336015995</v>
      </c>
      <c r="E4529">
        <v>0.97831074763229098</v>
      </c>
      <c r="F4529">
        <v>17.690846635683901</v>
      </c>
    </row>
    <row r="4530" spans="1:6">
      <c r="A4530" t="s">
        <v>53337</v>
      </c>
      <c r="B4530" t="s">
        <v>53338</v>
      </c>
      <c r="C4530">
        <v>0</v>
      </c>
      <c r="D4530">
        <v>0.17526323895368601</v>
      </c>
      <c r="E4530" t="s">
        <v>106</v>
      </c>
      <c r="F4530">
        <v>0.17458072337846001</v>
      </c>
    </row>
    <row r="4531" spans="1:6">
      <c r="A4531" t="s">
        <v>53337</v>
      </c>
      <c r="B4531" t="s">
        <v>53339</v>
      </c>
      <c r="C4531">
        <v>0</v>
      </c>
      <c r="D4531">
        <v>0.17526323895368601</v>
      </c>
      <c r="E4531" t="s">
        <v>106</v>
      </c>
      <c r="F4531">
        <v>0.17458072337846001</v>
      </c>
    </row>
    <row r="4532" spans="1:6">
      <c r="A4532" t="s">
        <v>53337</v>
      </c>
      <c r="B4532" t="s">
        <v>53340</v>
      </c>
      <c r="C4532">
        <v>0</v>
      </c>
      <c r="D4532">
        <v>0.17526323895368601</v>
      </c>
      <c r="E4532" t="s">
        <v>106</v>
      </c>
      <c r="F4532">
        <v>0.17458072337846001</v>
      </c>
    </row>
    <row r="4533" spans="1:6">
      <c r="A4533" t="s">
        <v>53337</v>
      </c>
      <c r="B4533" t="s">
        <v>53341</v>
      </c>
      <c r="C4533">
        <v>0</v>
      </c>
      <c r="D4533">
        <v>0.17526323895368601</v>
      </c>
      <c r="E4533" t="s">
        <v>106</v>
      </c>
      <c r="F4533">
        <v>0.17458072337846001</v>
      </c>
    </row>
    <row r="4534" spans="1:6">
      <c r="A4534" t="s">
        <v>53337</v>
      </c>
      <c r="B4534" t="s">
        <v>53342</v>
      </c>
      <c r="C4534">
        <v>0</v>
      </c>
      <c r="D4534">
        <v>0.17526323895368601</v>
      </c>
      <c r="E4534" t="s">
        <v>106</v>
      </c>
      <c r="F4534">
        <v>0.17458072337846001</v>
      </c>
    </row>
    <row r="4535" spans="1:6">
      <c r="A4535" t="s">
        <v>53337</v>
      </c>
      <c r="B4535" t="s">
        <v>53343</v>
      </c>
      <c r="C4535">
        <v>0</v>
      </c>
      <c r="D4535">
        <v>0.17526323895368601</v>
      </c>
      <c r="E4535" t="s">
        <v>106</v>
      </c>
      <c r="F4535">
        <v>0.17458072337846001</v>
      </c>
    </row>
    <row r="4536" spans="1:6">
      <c r="A4536" t="s">
        <v>53337</v>
      </c>
      <c r="B4536" t="s">
        <v>53344</v>
      </c>
      <c r="C4536">
        <v>0</v>
      </c>
      <c r="D4536">
        <v>0.17526323895368601</v>
      </c>
      <c r="E4536" t="s">
        <v>106</v>
      </c>
      <c r="F4536">
        <v>0.17458072337846001</v>
      </c>
    </row>
    <row r="4537" spans="1:6">
      <c r="A4537" t="s">
        <v>53337</v>
      </c>
      <c r="B4537" t="s">
        <v>53345</v>
      </c>
      <c r="C4537">
        <v>0</v>
      </c>
      <c r="D4537">
        <v>0.17526323895368601</v>
      </c>
      <c r="E4537" t="s">
        <v>106</v>
      </c>
      <c r="F4537">
        <v>0.17458072337846001</v>
      </c>
    </row>
    <row r="4538" spans="1:6">
      <c r="A4538" t="s">
        <v>53346</v>
      </c>
      <c r="B4538" t="s">
        <v>53347</v>
      </c>
      <c r="C4538">
        <v>8.6444058196050902E-2</v>
      </c>
      <c r="D4538">
        <v>0.37785736893462202</v>
      </c>
      <c r="E4538">
        <v>0.95109758848682302</v>
      </c>
      <c r="F4538">
        <v>13.772479288745201</v>
      </c>
    </row>
    <row r="4539" spans="1:6">
      <c r="A4539" t="s">
        <v>53346</v>
      </c>
      <c r="B4539" t="s">
        <v>53348</v>
      </c>
      <c r="C4539">
        <v>0</v>
      </c>
      <c r="D4539">
        <v>0.37785736893462202</v>
      </c>
      <c r="E4539">
        <v>0.95109758848682302</v>
      </c>
      <c r="F4539">
        <v>13.772479288745201</v>
      </c>
    </row>
    <row r="4540" spans="1:6">
      <c r="A4540" t="s">
        <v>53346</v>
      </c>
      <c r="B4540" t="s">
        <v>53349</v>
      </c>
      <c r="C4540">
        <v>0.858776181233463</v>
      </c>
      <c r="D4540">
        <v>0.37785736893462202</v>
      </c>
      <c r="E4540">
        <v>0.95109758848682302</v>
      </c>
      <c r="F4540">
        <v>13.772479288745201</v>
      </c>
    </row>
    <row r="4541" spans="1:6">
      <c r="A4541" t="s">
        <v>53350</v>
      </c>
      <c r="B4541" t="s">
        <v>53351</v>
      </c>
      <c r="C4541">
        <v>0</v>
      </c>
      <c r="D4541">
        <v>0.87653878662037998</v>
      </c>
      <c r="E4541">
        <v>0.92623896924974503</v>
      </c>
      <c r="F4541">
        <v>9.7183269347342893</v>
      </c>
    </row>
    <row r="4542" spans="1:6">
      <c r="A4542" t="s">
        <v>53350</v>
      </c>
      <c r="B4542" t="s">
        <v>53352</v>
      </c>
      <c r="C4542">
        <v>0</v>
      </c>
      <c r="D4542">
        <v>0.87653878662037998</v>
      </c>
      <c r="E4542">
        <v>0.92623896924974503</v>
      </c>
      <c r="F4542">
        <v>9.7183269347342893</v>
      </c>
    </row>
    <row r="4543" spans="1:6">
      <c r="A4543" t="s">
        <v>53350</v>
      </c>
      <c r="B4543" t="s">
        <v>53353</v>
      </c>
      <c r="C4543">
        <v>0</v>
      </c>
      <c r="D4543">
        <v>0.87653878662037998</v>
      </c>
      <c r="E4543">
        <v>0.92623896924974503</v>
      </c>
      <c r="F4543">
        <v>9.7183269347342893</v>
      </c>
    </row>
    <row r="4544" spans="1:6">
      <c r="A4544" t="s">
        <v>53350</v>
      </c>
      <c r="B4544" t="s">
        <v>53354</v>
      </c>
      <c r="C4544">
        <v>0.42070861355240402</v>
      </c>
      <c r="D4544">
        <v>0.87653878662037998</v>
      </c>
      <c r="E4544">
        <v>0.92623896924974503</v>
      </c>
      <c r="F4544">
        <v>9.7183269347342893</v>
      </c>
    </row>
    <row r="4545" spans="1:6">
      <c r="A4545" t="s">
        <v>53350</v>
      </c>
      <c r="B4545" t="s">
        <v>53355</v>
      </c>
      <c r="C4545">
        <v>0</v>
      </c>
      <c r="D4545">
        <v>0.87653878662037998</v>
      </c>
      <c r="E4545">
        <v>0.92623896924974503</v>
      </c>
      <c r="F4545">
        <v>9.7183269347342893</v>
      </c>
    </row>
    <row r="4546" spans="1:6">
      <c r="A4546" t="s">
        <v>53350</v>
      </c>
      <c r="B4546" t="s">
        <v>53356</v>
      </c>
      <c r="C4546">
        <v>0</v>
      </c>
      <c r="D4546">
        <v>0.87653878662037998</v>
      </c>
      <c r="E4546">
        <v>0.92623896924974503</v>
      </c>
      <c r="F4546">
        <v>9.7183269347342893</v>
      </c>
    </row>
    <row r="4547" spans="1:6">
      <c r="A4547" t="s">
        <v>53350</v>
      </c>
      <c r="B4547" t="s">
        <v>53357</v>
      </c>
      <c r="C4547">
        <v>0</v>
      </c>
      <c r="D4547">
        <v>0.87653878662037998</v>
      </c>
      <c r="E4547">
        <v>0.92623896924974503</v>
      </c>
      <c r="F4547">
        <v>9.7183269347342893</v>
      </c>
    </row>
    <row r="4548" spans="1:6">
      <c r="A4548" t="s">
        <v>53350</v>
      </c>
      <c r="B4548" t="s">
        <v>53358</v>
      </c>
      <c r="C4548">
        <v>0.100569021440542</v>
      </c>
      <c r="D4548">
        <v>0.87653878662037998</v>
      </c>
      <c r="E4548">
        <v>0.92623896924974503</v>
      </c>
      <c r="F4548">
        <v>9.7183269347342893</v>
      </c>
    </row>
    <row r="4549" spans="1:6">
      <c r="A4549" t="s">
        <v>53350</v>
      </c>
      <c r="B4549" t="s">
        <v>53359</v>
      </c>
      <c r="C4549">
        <v>0</v>
      </c>
      <c r="D4549">
        <v>0.87653878662037998</v>
      </c>
      <c r="E4549">
        <v>0.92623896924974503</v>
      </c>
      <c r="F4549">
        <v>9.7183269347342893</v>
      </c>
    </row>
    <row r="4550" spans="1:6">
      <c r="A4550" t="s">
        <v>53360</v>
      </c>
      <c r="B4550" t="s">
        <v>53361</v>
      </c>
      <c r="C4550">
        <v>0</v>
      </c>
      <c r="D4550">
        <v>0.60350380253206004</v>
      </c>
      <c r="E4550">
        <v>0.819541628978943</v>
      </c>
      <c r="F4550">
        <v>0.74681753889674596</v>
      </c>
    </row>
    <row r="4551" spans="1:6">
      <c r="A4551" t="s">
        <v>53360</v>
      </c>
      <c r="B4551" t="s">
        <v>53362</v>
      </c>
      <c r="C4551">
        <v>7.2204920387500302E-2</v>
      </c>
      <c r="D4551">
        <v>0.60350380253206004</v>
      </c>
      <c r="E4551">
        <v>0.819541628978943</v>
      </c>
      <c r="F4551">
        <v>0.74681753889674596</v>
      </c>
    </row>
    <row r="4552" spans="1:6">
      <c r="A4552" t="s">
        <v>53360</v>
      </c>
      <c r="B4552" t="s">
        <v>53363</v>
      </c>
      <c r="C4552">
        <v>0.61357820380719097</v>
      </c>
      <c r="D4552">
        <v>0.60350380253206004</v>
      </c>
      <c r="E4552">
        <v>0.819541628978943</v>
      </c>
      <c r="F4552">
        <v>0.74681753889674596</v>
      </c>
    </row>
    <row r="4553" spans="1:6">
      <c r="A4553" t="s">
        <v>53364</v>
      </c>
      <c r="B4553" t="s">
        <v>53365</v>
      </c>
      <c r="C4553">
        <v>0</v>
      </c>
      <c r="D4553">
        <v>0.44469291352821899</v>
      </c>
      <c r="E4553">
        <v>0.99655859385476497</v>
      </c>
      <c r="F4553">
        <v>23.0398060214184</v>
      </c>
    </row>
    <row r="4554" spans="1:6">
      <c r="A4554" t="s">
        <v>53364</v>
      </c>
      <c r="B4554" t="s">
        <v>53366</v>
      </c>
      <c r="C4554">
        <v>0.21307764643892799</v>
      </c>
      <c r="D4554">
        <v>0.44469291352821899</v>
      </c>
      <c r="E4554">
        <v>0.99655859385476497</v>
      </c>
      <c r="F4554">
        <v>23.0398060214184</v>
      </c>
    </row>
    <row r="4555" spans="1:6">
      <c r="A4555" t="s">
        <v>53364</v>
      </c>
      <c r="B4555" t="s">
        <v>53367</v>
      </c>
      <c r="C4555">
        <v>0.86056538174384001</v>
      </c>
      <c r="D4555">
        <v>0.44469291352821899</v>
      </c>
      <c r="E4555">
        <v>0.99655859385476497</v>
      </c>
      <c r="F4555">
        <v>23.0398060214184</v>
      </c>
    </row>
    <row r="4556" spans="1:6">
      <c r="A4556" t="s">
        <v>53364</v>
      </c>
      <c r="B4556" t="s">
        <v>53368</v>
      </c>
      <c r="C4556">
        <v>0</v>
      </c>
      <c r="D4556">
        <v>0.44469291352821899</v>
      </c>
      <c r="E4556">
        <v>0.99655859385476497</v>
      </c>
      <c r="F4556">
        <v>23.0398060214184</v>
      </c>
    </row>
    <row r="4557" spans="1:6">
      <c r="A4557" t="s">
        <v>53364</v>
      </c>
      <c r="B4557" t="s">
        <v>53369</v>
      </c>
      <c r="C4557">
        <v>0</v>
      </c>
      <c r="D4557">
        <v>0.44469291352821899</v>
      </c>
      <c r="E4557">
        <v>0.99655859385476497</v>
      </c>
      <c r="F4557">
        <v>23.0398060214184</v>
      </c>
    </row>
    <row r="4558" spans="1:6">
      <c r="A4558" t="s">
        <v>53364</v>
      </c>
      <c r="B4558" t="s">
        <v>53370</v>
      </c>
      <c r="C4558">
        <v>0</v>
      </c>
      <c r="D4558">
        <v>0.44469291352821899</v>
      </c>
      <c r="E4558">
        <v>0.99655859385476497</v>
      </c>
      <c r="F4558">
        <v>23.0398060214184</v>
      </c>
    </row>
    <row r="4559" spans="1:6">
      <c r="A4559" t="s">
        <v>53364</v>
      </c>
      <c r="B4559" t="s">
        <v>53371</v>
      </c>
      <c r="C4559">
        <v>0</v>
      </c>
      <c r="D4559">
        <v>0.44469291352821899</v>
      </c>
      <c r="E4559">
        <v>0.99655859385476497</v>
      </c>
      <c r="F4559">
        <v>23.0398060214184</v>
      </c>
    </row>
    <row r="4560" spans="1:6">
      <c r="A4560" t="s">
        <v>53372</v>
      </c>
      <c r="B4560" t="s">
        <v>53373</v>
      </c>
      <c r="C4560">
        <v>0</v>
      </c>
      <c r="D4560">
        <v>0.13827133807417599</v>
      </c>
      <c r="E4560">
        <v>0.99930037451519904</v>
      </c>
      <c r="F4560">
        <v>17.899373610830398</v>
      </c>
    </row>
    <row r="4561" spans="1:6">
      <c r="A4561" t="s">
        <v>53372</v>
      </c>
      <c r="B4561" t="s">
        <v>53374</v>
      </c>
      <c r="C4561">
        <v>0</v>
      </c>
      <c r="D4561">
        <v>0.13827133807417599</v>
      </c>
      <c r="E4561">
        <v>0.99930037451519904</v>
      </c>
      <c r="F4561">
        <v>17.899373610830398</v>
      </c>
    </row>
    <row r="4562" spans="1:6">
      <c r="A4562" t="s">
        <v>53372</v>
      </c>
      <c r="B4562" t="s">
        <v>53375</v>
      </c>
      <c r="C4562">
        <v>0.79275706839837401</v>
      </c>
      <c r="D4562">
        <v>0.13827133807417599</v>
      </c>
      <c r="E4562">
        <v>0.99930037451519904</v>
      </c>
      <c r="F4562">
        <v>17.899373610830398</v>
      </c>
    </row>
    <row r="4563" spans="1:6">
      <c r="A4563" t="s">
        <v>53372</v>
      </c>
      <c r="B4563" t="s">
        <v>53376</v>
      </c>
      <c r="C4563">
        <v>0</v>
      </c>
      <c r="D4563">
        <v>0.13827133807417599</v>
      </c>
      <c r="E4563">
        <v>0.99930037451519904</v>
      </c>
      <c r="F4563">
        <v>17.899373610830398</v>
      </c>
    </row>
    <row r="4564" spans="1:6">
      <c r="A4564" t="s">
        <v>53372</v>
      </c>
      <c r="B4564" t="s">
        <v>53377</v>
      </c>
      <c r="C4564">
        <v>0</v>
      </c>
      <c r="D4564">
        <v>0.13827133807417599</v>
      </c>
      <c r="E4564">
        <v>0.99930037451519904</v>
      </c>
      <c r="F4564">
        <v>17.899373610830398</v>
      </c>
    </row>
    <row r="4565" spans="1:6">
      <c r="A4565" t="s">
        <v>53372</v>
      </c>
      <c r="B4565" t="s">
        <v>53378</v>
      </c>
      <c r="C4565">
        <v>0</v>
      </c>
      <c r="D4565">
        <v>0.13827133807417599</v>
      </c>
      <c r="E4565">
        <v>0.99930037451519904</v>
      </c>
      <c r="F4565">
        <v>17.899373610830398</v>
      </c>
    </row>
    <row r="4566" spans="1:6">
      <c r="A4566" t="s">
        <v>53372</v>
      </c>
      <c r="B4566" t="s">
        <v>53379</v>
      </c>
      <c r="C4566">
        <v>0</v>
      </c>
      <c r="D4566">
        <v>0.13827133807417599</v>
      </c>
      <c r="E4566">
        <v>0.99930037451519904</v>
      </c>
      <c r="F4566">
        <v>17.899373610830398</v>
      </c>
    </row>
    <row r="4567" spans="1:6">
      <c r="A4567" t="s">
        <v>53372</v>
      </c>
      <c r="B4567" t="s">
        <v>53380</v>
      </c>
      <c r="C4567">
        <v>0.19975883965157301</v>
      </c>
      <c r="D4567">
        <v>0.13827133807417599</v>
      </c>
      <c r="E4567">
        <v>0.99930037451519904</v>
      </c>
      <c r="F4567">
        <v>17.899373610830398</v>
      </c>
    </row>
    <row r="4568" spans="1:6">
      <c r="A4568" t="s">
        <v>53372</v>
      </c>
      <c r="B4568" t="s">
        <v>53381</v>
      </c>
      <c r="C4568">
        <v>0</v>
      </c>
      <c r="D4568">
        <v>0.13827133807417599</v>
      </c>
      <c r="E4568">
        <v>0.99930037451519904</v>
      </c>
      <c r="F4568">
        <v>17.899373610830398</v>
      </c>
    </row>
    <row r="4569" spans="1:6">
      <c r="A4569" t="s">
        <v>53382</v>
      </c>
      <c r="B4569" t="s">
        <v>53383</v>
      </c>
      <c r="C4569">
        <v>0.57776763304729495</v>
      </c>
      <c r="D4569">
        <v>0.90087682590854901</v>
      </c>
      <c r="E4569">
        <v>0.92759618987623904</v>
      </c>
      <c r="F4569">
        <v>4.8494645382905599</v>
      </c>
    </row>
    <row r="4570" spans="1:6">
      <c r="A4570" t="s">
        <v>53382</v>
      </c>
      <c r="B4570" t="s">
        <v>53384</v>
      </c>
      <c r="C4570">
        <v>0.35906281042260502</v>
      </c>
      <c r="D4570">
        <v>0.90087682590854901</v>
      </c>
      <c r="E4570">
        <v>0.92759618987623904</v>
      </c>
      <c r="F4570">
        <v>4.8494645382905599</v>
      </c>
    </row>
    <row r="4571" spans="1:6">
      <c r="A4571" t="s">
        <v>53382</v>
      </c>
      <c r="B4571" t="s">
        <v>53385</v>
      </c>
      <c r="C4571">
        <v>0</v>
      </c>
      <c r="D4571">
        <v>0.90087682590854901</v>
      </c>
      <c r="E4571">
        <v>0.92759618987623904</v>
      </c>
      <c r="F4571">
        <v>4.8494645382905599</v>
      </c>
    </row>
    <row r="4572" spans="1:6">
      <c r="A4572" t="s">
        <v>53382</v>
      </c>
      <c r="B4572" t="s">
        <v>53386</v>
      </c>
      <c r="C4572">
        <v>0</v>
      </c>
      <c r="D4572">
        <v>0.90087682590854901</v>
      </c>
      <c r="E4572">
        <v>0.92759618987623904</v>
      </c>
      <c r="F4572">
        <v>4.8494645382905599</v>
      </c>
    </row>
    <row r="4573" spans="1:6">
      <c r="A4573" t="s">
        <v>53382</v>
      </c>
      <c r="B4573" t="s">
        <v>53387</v>
      </c>
      <c r="C4573">
        <v>0</v>
      </c>
      <c r="D4573">
        <v>0.90087682590854901</v>
      </c>
      <c r="E4573">
        <v>0.92759618987623904</v>
      </c>
      <c r="F4573">
        <v>4.8494645382905599</v>
      </c>
    </row>
    <row r="4574" spans="1:6">
      <c r="A4574" t="s">
        <v>53388</v>
      </c>
      <c r="B4574" t="s">
        <v>53389</v>
      </c>
      <c r="C4574">
        <v>0</v>
      </c>
      <c r="D4574">
        <v>0.234952381670679</v>
      </c>
      <c r="E4574" t="s">
        <v>106</v>
      </c>
      <c r="F4574">
        <v>7.2741968074358399E-2</v>
      </c>
    </row>
    <row r="4575" spans="1:6">
      <c r="A4575" t="s">
        <v>53388</v>
      </c>
      <c r="B4575" t="s">
        <v>53390</v>
      </c>
      <c r="C4575">
        <v>0</v>
      </c>
      <c r="D4575">
        <v>0.234952381670679</v>
      </c>
      <c r="E4575" t="s">
        <v>106</v>
      </c>
      <c r="F4575">
        <v>7.2741968074358399E-2</v>
      </c>
    </row>
    <row r="4576" spans="1:6">
      <c r="A4576" t="s">
        <v>53388</v>
      </c>
      <c r="B4576" t="s">
        <v>53391</v>
      </c>
      <c r="C4576">
        <v>0</v>
      </c>
      <c r="D4576">
        <v>0.234952381670679</v>
      </c>
      <c r="E4576" t="s">
        <v>106</v>
      </c>
      <c r="F4576">
        <v>7.2741968074358399E-2</v>
      </c>
    </row>
    <row r="4577" spans="1:6">
      <c r="A4577" t="s">
        <v>53392</v>
      </c>
      <c r="B4577" t="s">
        <v>53393</v>
      </c>
      <c r="C4577">
        <v>9.4049808092898299E-2</v>
      </c>
      <c r="D4577">
        <v>0.22620195918077199</v>
      </c>
      <c r="E4577">
        <v>0.77582483535781299</v>
      </c>
      <c r="F4577">
        <v>8.2343907860173697</v>
      </c>
    </row>
    <row r="4578" spans="1:6">
      <c r="A4578" t="s">
        <v>53392</v>
      </c>
      <c r="B4578" t="s">
        <v>53394</v>
      </c>
      <c r="C4578">
        <v>0</v>
      </c>
      <c r="D4578">
        <v>0.22620195918077199</v>
      </c>
      <c r="E4578">
        <v>0.77582483535781299</v>
      </c>
      <c r="F4578">
        <v>8.2343907860173697</v>
      </c>
    </row>
    <row r="4579" spans="1:6">
      <c r="A4579" t="s">
        <v>53392</v>
      </c>
      <c r="B4579" t="s">
        <v>53395</v>
      </c>
      <c r="C4579">
        <v>0</v>
      </c>
      <c r="D4579">
        <v>0.22620195918077199</v>
      </c>
      <c r="E4579">
        <v>0.77582483535781299</v>
      </c>
      <c r="F4579">
        <v>8.2343907860173697</v>
      </c>
    </row>
    <row r="4580" spans="1:6">
      <c r="A4580" t="s">
        <v>53392</v>
      </c>
      <c r="B4580" t="s">
        <v>53396</v>
      </c>
      <c r="C4580">
        <v>0</v>
      </c>
      <c r="D4580">
        <v>0.22620195918077199</v>
      </c>
      <c r="E4580">
        <v>0.77582483535781299</v>
      </c>
      <c r="F4580">
        <v>8.2343907860173697</v>
      </c>
    </row>
    <row r="4581" spans="1:6">
      <c r="A4581" t="s">
        <v>53392</v>
      </c>
      <c r="B4581" t="s">
        <v>53397</v>
      </c>
      <c r="C4581">
        <v>0.45103649261440898</v>
      </c>
      <c r="D4581">
        <v>0.22620195918077199</v>
      </c>
      <c r="E4581">
        <v>0.77582483535781299</v>
      </c>
      <c r="F4581">
        <v>8.2343907860173697</v>
      </c>
    </row>
    <row r="4582" spans="1:6">
      <c r="A4582" t="s">
        <v>53392</v>
      </c>
      <c r="B4582" t="s">
        <v>53398</v>
      </c>
      <c r="C4582">
        <v>0</v>
      </c>
      <c r="D4582">
        <v>0.22620195918077199</v>
      </c>
      <c r="E4582">
        <v>0.77582483535781299</v>
      </c>
      <c r="F4582">
        <v>8.2343907860173697</v>
      </c>
    </row>
    <row r="4583" spans="1:6">
      <c r="A4583" t="s">
        <v>53392</v>
      </c>
      <c r="B4583" t="s">
        <v>53399</v>
      </c>
      <c r="C4583">
        <v>0</v>
      </c>
      <c r="D4583">
        <v>0.22620195918077199</v>
      </c>
      <c r="E4583">
        <v>0.77582483535781299</v>
      </c>
      <c r="F4583">
        <v>8.2343907860173697</v>
      </c>
    </row>
    <row r="4584" spans="1:6">
      <c r="A4584" t="s">
        <v>53392</v>
      </c>
      <c r="B4584" t="s">
        <v>53400</v>
      </c>
      <c r="C4584">
        <v>0</v>
      </c>
      <c r="D4584">
        <v>0.22620195918077199</v>
      </c>
      <c r="E4584">
        <v>0.77582483535781299</v>
      </c>
      <c r="F4584">
        <v>8.2343907860173697</v>
      </c>
    </row>
    <row r="4585" spans="1:6">
      <c r="A4585" t="s">
        <v>53392</v>
      </c>
      <c r="B4585" t="s">
        <v>53401</v>
      </c>
      <c r="C4585">
        <v>0</v>
      </c>
      <c r="D4585">
        <v>0.22620195918077199</v>
      </c>
      <c r="E4585">
        <v>0.77582483535781299</v>
      </c>
      <c r="F4585">
        <v>8.2343907860173697</v>
      </c>
    </row>
    <row r="4586" spans="1:6">
      <c r="A4586" t="s">
        <v>53392</v>
      </c>
      <c r="B4586" t="s">
        <v>53402</v>
      </c>
      <c r="C4586">
        <v>0</v>
      </c>
      <c r="D4586">
        <v>0.22620195918077199</v>
      </c>
      <c r="E4586">
        <v>0.77582483535781299</v>
      </c>
      <c r="F4586">
        <v>8.2343907860173697</v>
      </c>
    </row>
    <row r="4587" spans="1:6">
      <c r="A4587" t="s">
        <v>53403</v>
      </c>
      <c r="B4587" t="s">
        <v>53404</v>
      </c>
      <c r="C4587">
        <v>0.12737324387992599</v>
      </c>
      <c r="D4587">
        <v>0.90474483658188798</v>
      </c>
      <c r="E4587">
        <v>0.94289293653084505</v>
      </c>
      <c r="F4587">
        <v>0</v>
      </c>
    </row>
    <row r="4588" spans="1:6">
      <c r="A4588" t="s">
        <v>53403</v>
      </c>
      <c r="B4588" t="s">
        <v>53405</v>
      </c>
      <c r="C4588">
        <v>0.72021535282345905</v>
      </c>
      <c r="D4588">
        <v>0.90474483658188798</v>
      </c>
      <c r="E4588">
        <v>0.94289293653084505</v>
      </c>
      <c r="F4588">
        <v>0</v>
      </c>
    </row>
    <row r="4589" spans="1:6">
      <c r="A4589" t="s">
        <v>53406</v>
      </c>
      <c r="B4589" t="s">
        <v>53407</v>
      </c>
      <c r="C4589">
        <v>0</v>
      </c>
      <c r="D4589">
        <v>0.65617401352177396</v>
      </c>
      <c r="E4589" t="s">
        <v>106</v>
      </c>
      <c r="F4589">
        <v>1.0280864821175899</v>
      </c>
    </row>
    <row r="4590" spans="1:6">
      <c r="A4590" t="s">
        <v>53406</v>
      </c>
      <c r="B4590" t="s">
        <v>53408</v>
      </c>
      <c r="C4590">
        <v>0</v>
      </c>
      <c r="D4590">
        <v>0.65617401352177396</v>
      </c>
      <c r="E4590" t="s">
        <v>106</v>
      </c>
      <c r="F4590">
        <v>1.0280864821175899</v>
      </c>
    </row>
    <row r="4591" spans="1:6">
      <c r="A4591" t="s">
        <v>53406</v>
      </c>
      <c r="B4591" t="s">
        <v>53409</v>
      </c>
      <c r="C4591">
        <v>0</v>
      </c>
      <c r="D4591">
        <v>0.65617401352177396</v>
      </c>
      <c r="E4591" t="s">
        <v>106</v>
      </c>
      <c r="F4591">
        <v>1.0280864821175899</v>
      </c>
    </row>
    <row r="4592" spans="1:6">
      <c r="A4592" t="s">
        <v>53410</v>
      </c>
      <c r="B4592" t="s">
        <v>53411</v>
      </c>
      <c r="C4592">
        <v>0.115214612388293</v>
      </c>
      <c r="D4592">
        <v>0.243806805816176</v>
      </c>
      <c r="E4592">
        <v>0.97993834111164901</v>
      </c>
      <c r="F4592">
        <v>7.95312184279652</v>
      </c>
    </row>
    <row r="4593" spans="1:6">
      <c r="A4593" t="s">
        <v>53410</v>
      </c>
      <c r="B4593" t="s">
        <v>53412</v>
      </c>
      <c r="C4593">
        <v>0</v>
      </c>
      <c r="D4593">
        <v>0.243806805816176</v>
      </c>
      <c r="E4593">
        <v>0.97993834111164901</v>
      </c>
      <c r="F4593">
        <v>7.95312184279652</v>
      </c>
    </row>
    <row r="4594" spans="1:6">
      <c r="A4594" t="s">
        <v>53410</v>
      </c>
      <c r="B4594" t="s">
        <v>53413</v>
      </c>
      <c r="C4594">
        <v>0</v>
      </c>
      <c r="D4594">
        <v>0.243806805816176</v>
      </c>
      <c r="E4594">
        <v>0.97993834111164901</v>
      </c>
      <c r="F4594">
        <v>7.95312184279652</v>
      </c>
    </row>
    <row r="4595" spans="1:6">
      <c r="A4595" t="s">
        <v>53410</v>
      </c>
      <c r="B4595" t="s">
        <v>53414</v>
      </c>
      <c r="C4595">
        <v>0</v>
      </c>
      <c r="D4595">
        <v>0.243806805816176</v>
      </c>
      <c r="E4595">
        <v>0.97993834111164901</v>
      </c>
      <c r="F4595">
        <v>7.95312184279652</v>
      </c>
    </row>
    <row r="4596" spans="1:6">
      <c r="A4596" t="s">
        <v>53410</v>
      </c>
      <c r="B4596" t="s">
        <v>53415</v>
      </c>
      <c r="C4596">
        <v>0</v>
      </c>
      <c r="D4596">
        <v>0.243806805816176</v>
      </c>
      <c r="E4596">
        <v>0.97993834111164901</v>
      </c>
      <c r="F4596">
        <v>7.95312184279652</v>
      </c>
    </row>
    <row r="4597" spans="1:6">
      <c r="A4597" t="s">
        <v>53410</v>
      </c>
      <c r="B4597" t="s">
        <v>53416</v>
      </c>
      <c r="C4597">
        <v>0</v>
      </c>
      <c r="D4597">
        <v>0.243806805816176</v>
      </c>
      <c r="E4597">
        <v>0.97993834111164901</v>
      </c>
      <c r="F4597">
        <v>7.95312184279652</v>
      </c>
    </row>
    <row r="4598" spans="1:6">
      <c r="A4598" t="s">
        <v>53410</v>
      </c>
      <c r="B4598" t="s">
        <v>53417</v>
      </c>
      <c r="C4598">
        <v>0.52451991639116902</v>
      </c>
      <c r="D4598">
        <v>0.243806805816176</v>
      </c>
      <c r="E4598">
        <v>0.97993834111164901</v>
      </c>
      <c r="F4598">
        <v>7.95312184279652</v>
      </c>
    </row>
    <row r="4599" spans="1:6">
      <c r="A4599" t="s">
        <v>53410</v>
      </c>
      <c r="B4599" t="s">
        <v>53418</v>
      </c>
      <c r="C4599">
        <v>0</v>
      </c>
      <c r="D4599">
        <v>0.243806805816176</v>
      </c>
      <c r="E4599">
        <v>0.97993834111164901</v>
      </c>
      <c r="F4599">
        <v>7.95312184279652</v>
      </c>
    </row>
    <row r="4600" spans="1:6">
      <c r="A4600" t="s">
        <v>53410</v>
      </c>
      <c r="B4600" t="s">
        <v>53419</v>
      </c>
      <c r="C4600">
        <v>0</v>
      </c>
      <c r="D4600">
        <v>0.243806805816176</v>
      </c>
      <c r="E4600">
        <v>0.97993834111164901</v>
      </c>
      <c r="F4600">
        <v>7.95312184279652</v>
      </c>
    </row>
    <row r="4601" spans="1:6">
      <c r="A4601" t="s">
        <v>53410</v>
      </c>
      <c r="B4601" t="s">
        <v>53420</v>
      </c>
      <c r="C4601">
        <v>0</v>
      </c>
      <c r="D4601">
        <v>0.243806805816176</v>
      </c>
      <c r="E4601">
        <v>0.97993834111164901</v>
      </c>
      <c r="F4601">
        <v>7.95312184279652</v>
      </c>
    </row>
    <row r="4602" spans="1:6">
      <c r="A4602" t="s">
        <v>53421</v>
      </c>
      <c r="B4602" t="s">
        <v>53422</v>
      </c>
      <c r="C4602">
        <v>0</v>
      </c>
      <c r="D4602">
        <v>0.30772947655338601</v>
      </c>
      <c r="E4602" t="s">
        <v>106</v>
      </c>
      <c r="F4602">
        <v>1.9397858153162199E-2</v>
      </c>
    </row>
    <row r="4603" spans="1:6">
      <c r="A4603" t="s">
        <v>53421</v>
      </c>
      <c r="B4603" t="s">
        <v>53423</v>
      </c>
      <c r="C4603">
        <v>0</v>
      </c>
      <c r="D4603">
        <v>0.30772947655338601</v>
      </c>
      <c r="E4603" t="s">
        <v>106</v>
      </c>
      <c r="F4603">
        <v>1.9397858153162199E-2</v>
      </c>
    </row>
    <row r="4604" spans="1:6">
      <c r="A4604" t="s">
        <v>53421</v>
      </c>
      <c r="B4604" t="s">
        <v>53424</v>
      </c>
      <c r="C4604">
        <v>0</v>
      </c>
      <c r="D4604">
        <v>0.30772947655338601</v>
      </c>
      <c r="E4604" t="s">
        <v>106</v>
      </c>
      <c r="F4604">
        <v>1.9397858153162199E-2</v>
      </c>
    </row>
    <row r="4605" spans="1:6">
      <c r="A4605" t="s">
        <v>53421</v>
      </c>
      <c r="B4605" t="s">
        <v>53425</v>
      </c>
      <c r="C4605">
        <v>0</v>
      </c>
      <c r="D4605">
        <v>0.30772947655338601</v>
      </c>
      <c r="E4605" t="s">
        <v>106</v>
      </c>
      <c r="F4605">
        <v>1.9397858153162199E-2</v>
      </c>
    </row>
    <row r="4606" spans="1:6">
      <c r="A4606" t="s">
        <v>53421</v>
      </c>
      <c r="B4606" t="s">
        <v>53426</v>
      </c>
      <c r="C4606">
        <v>0</v>
      </c>
      <c r="D4606">
        <v>0.30772947655338601</v>
      </c>
      <c r="E4606" t="s">
        <v>106</v>
      </c>
      <c r="F4606">
        <v>1.9397858153162199E-2</v>
      </c>
    </row>
    <row r="4607" spans="1:6">
      <c r="A4607" t="s">
        <v>53421</v>
      </c>
      <c r="B4607" t="s">
        <v>53427</v>
      </c>
      <c r="C4607">
        <v>0</v>
      </c>
      <c r="D4607">
        <v>0.30772947655338601</v>
      </c>
      <c r="E4607" t="s">
        <v>106</v>
      </c>
      <c r="F4607">
        <v>1.9397858153162199E-2</v>
      </c>
    </row>
    <row r="4608" spans="1:6">
      <c r="A4608" t="s">
        <v>53421</v>
      </c>
      <c r="B4608" t="s">
        <v>53428</v>
      </c>
      <c r="C4608">
        <v>0</v>
      </c>
      <c r="D4608">
        <v>0.30772947655338601</v>
      </c>
      <c r="E4608" t="s">
        <v>106</v>
      </c>
      <c r="F4608">
        <v>1.9397858153162199E-2</v>
      </c>
    </row>
    <row r="4609" spans="1:6">
      <c r="A4609" t="s">
        <v>53429</v>
      </c>
      <c r="B4609" t="s">
        <v>53430</v>
      </c>
      <c r="C4609">
        <v>0.45432560058613802</v>
      </c>
      <c r="D4609">
        <v>0.167230925047998</v>
      </c>
      <c r="E4609">
        <v>0.68472560058613796</v>
      </c>
      <c r="F4609">
        <v>9.4128106688219795</v>
      </c>
    </row>
    <row r="4610" spans="1:6">
      <c r="A4610" t="s">
        <v>53429</v>
      </c>
      <c r="B4610" t="s">
        <v>53431</v>
      </c>
      <c r="C4610">
        <v>0</v>
      </c>
      <c r="D4610">
        <v>0.167230925047998</v>
      </c>
      <c r="E4610">
        <v>0.68472560058613796</v>
      </c>
      <c r="F4610">
        <v>9.4128106688219795</v>
      </c>
    </row>
    <row r="4611" spans="1:6">
      <c r="A4611" t="s">
        <v>53432</v>
      </c>
      <c r="B4611" t="s">
        <v>53433</v>
      </c>
      <c r="C4611">
        <v>0.47486145292601001</v>
      </c>
      <c r="D4611">
        <v>0.207290157867595</v>
      </c>
      <c r="E4611">
        <v>0.95101517436870198</v>
      </c>
      <c r="F4611">
        <v>12.1721559911093</v>
      </c>
    </row>
    <row r="4612" spans="1:6">
      <c r="A4612" t="s">
        <v>53432</v>
      </c>
      <c r="B4612" t="s">
        <v>53434</v>
      </c>
      <c r="C4612">
        <v>0</v>
      </c>
      <c r="D4612">
        <v>0.207290157867595</v>
      </c>
      <c r="E4612">
        <v>0.95101517436870198</v>
      </c>
      <c r="F4612">
        <v>12.1721559911093</v>
      </c>
    </row>
    <row r="4613" spans="1:6">
      <c r="A4613" t="s">
        <v>53432</v>
      </c>
      <c r="B4613" t="s">
        <v>53435</v>
      </c>
      <c r="C4613">
        <v>0.41937002670122098</v>
      </c>
      <c r="D4613">
        <v>0.207290157867595</v>
      </c>
      <c r="E4613">
        <v>0.95101517436870198</v>
      </c>
      <c r="F4613">
        <v>12.1721559911093</v>
      </c>
    </row>
    <row r="4614" spans="1:6">
      <c r="A4614" t="s">
        <v>53432</v>
      </c>
      <c r="B4614" t="s">
        <v>53436</v>
      </c>
      <c r="C4614">
        <v>0</v>
      </c>
      <c r="D4614">
        <v>0.207290157867595</v>
      </c>
      <c r="E4614">
        <v>0.95101517436870198</v>
      </c>
      <c r="F4614">
        <v>12.1721559911093</v>
      </c>
    </row>
    <row r="4615" spans="1:6">
      <c r="A4615" t="s">
        <v>53437</v>
      </c>
      <c r="B4615" t="s">
        <v>53438</v>
      </c>
      <c r="C4615">
        <v>0.37077492010728902</v>
      </c>
      <c r="D4615">
        <v>0.44276599033583902</v>
      </c>
      <c r="E4615">
        <v>0.82008708529105401</v>
      </c>
      <c r="F4615">
        <v>16.463932107496401</v>
      </c>
    </row>
    <row r="4616" spans="1:6">
      <c r="A4616" t="s">
        <v>53437</v>
      </c>
      <c r="B4616" t="s">
        <v>53439</v>
      </c>
      <c r="C4616">
        <v>0.37362915035174799</v>
      </c>
      <c r="D4616">
        <v>0.44276599033583902</v>
      </c>
      <c r="E4616">
        <v>0.82008708529105401</v>
      </c>
      <c r="F4616">
        <v>16.463932107496401</v>
      </c>
    </row>
    <row r="4617" spans="1:6">
      <c r="A4617" t="s">
        <v>53440</v>
      </c>
      <c r="B4617" t="s">
        <v>53441</v>
      </c>
      <c r="C4617">
        <v>0</v>
      </c>
      <c r="D4617">
        <v>0.127763778679884</v>
      </c>
      <c r="E4617">
        <v>0.995416082982437</v>
      </c>
      <c r="F4617">
        <v>5.06769044251363</v>
      </c>
    </row>
    <row r="4618" spans="1:6">
      <c r="A4618" t="s">
        <v>53440</v>
      </c>
      <c r="B4618" t="s">
        <v>53442</v>
      </c>
      <c r="C4618">
        <v>0</v>
      </c>
      <c r="D4618">
        <v>0.127763778679884</v>
      </c>
      <c r="E4618">
        <v>0.995416082982437</v>
      </c>
      <c r="F4618">
        <v>5.06769044251363</v>
      </c>
    </row>
    <row r="4619" spans="1:6">
      <c r="A4619" t="s">
        <v>53440</v>
      </c>
      <c r="B4619" t="s">
        <v>53443</v>
      </c>
      <c r="C4619">
        <v>0</v>
      </c>
      <c r="D4619">
        <v>0.127763778679884</v>
      </c>
      <c r="E4619">
        <v>0.995416082982437</v>
      </c>
      <c r="F4619">
        <v>5.06769044251363</v>
      </c>
    </row>
    <row r="4620" spans="1:6">
      <c r="A4620" t="s">
        <v>53440</v>
      </c>
      <c r="B4620" t="s">
        <v>53444</v>
      </c>
      <c r="C4620">
        <v>0.77817612842934902</v>
      </c>
      <c r="D4620">
        <v>0.127763778679884</v>
      </c>
      <c r="E4620">
        <v>0.995416082982437</v>
      </c>
      <c r="F4620">
        <v>5.06769044251363</v>
      </c>
    </row>
    <row r="4621" spans="1:6">
      <c r="A4621" t="s">
        <v>53440</v>
      </c>
      <c r="B4621" t="s">
        <v>53445</v>
      </c>
      <c r="C4621">
        <v>0.35117146780522401</v>
      </c>
      <c r="D4621">
        <v>0.127763778679884</v>
      </c>
      <c r="E4621">
        <v>0.995416082982437</v>
      </c>
      <c r="F4621">
        <v>5.06769044251363</v>
      </c>
    </row>
    <row r="4622" spans="1:6">
      <c r="A4622" t="s">
        <v>53440</v>
      </c>
      <c r="B4622" t="s">
        <v>53446</v>
      </c>
      <c r="C4622">
        <v>0</v>
      </c>
      <c r="D4622">
        <v>0.127763778679884</v>
      </c>
      <c r="E4622">
        <v>0.995416082982437</v>
      </c>
      <c r="F4622">
        <v>5.06769044251363</v>
      </c>
    </row>
    <row r="4623" spans="1:6">
      <c r="A4623" t="s">
        <v>53440</v>
      </c>
      <c r="B4623" t="s">
        <v>53447</v>
      </c>
      <c r="C4623">
        <v>0</v>
      </c>
      <c r="D4623">
        <v>0.127763778679884</v>
      </c>
      <c r="E4623">
        <v>0.995416082982437</v>
      </c>
      <c r="F4623">
        <v>5.06769044251363</v>
      </c>
    </row>
    <row r="4624" spans="1:6">
      <c r="A4624" t="s">
        <v>53448</v>
      </c>
      <c r="B4624" t="s">
        <v>53449</v>
      </c>
      <c r="C4624">
        <v>0</v>
      </c>
      <c r="D4624">
        <v>0.69473849159448497</v>
      </c>
      <c r="E4624" t="s">
        <v>106</v>
      </c>
      <c r="F4624">
        <v>7.2741968074358399</v>
      </c>
    </row>
    <row r="4625" spans="1:6">
      <c r="A4625" t="s">
        <v>53448</v>
      </c>
      <c r="B4625" t="s">
        <v>53450</v>
      </c>
      <c r="C4625">
        <v>0</v>
      </c>
      <c r="D4625">
        <v>0.69473849159448497</v>
      </c>
      <c r="E4625" t="s">
        <v>106</v>
      </c>
      <c r="F4625">
        <v>7.2741968074358399</v>
      </c>
    </row>
    <row r="4626" spans="1:6">
      <c r="A4626" t="s">
        <v>53448</v>
      </c>
      <c r="B4626" t="s">
        <v>53451</v>
      </c>
      <c r="C4626">
        <v>0</v>
      </c>
      <c r="D4626">
        <v>0.69473849159448497</v>
      </c>
      <c r="E4626" t="s">
        <v>106</v>
      </c>
      <c r="F4626">
        <v>7.2741968074358399</v>
      </c>
    </row>
    <row r="4627" spans="1:6">
      <c r="A4627" t="s">
        <v>53448</v>
      </c>
      <c r="B4627" t="s">
        <v>53452</v>
      </c>
      <c r="C4627">
        <v>0</v>
      </c>
      <c r="D4627">
        <v>0.69473849159448497</v>
      </c>
      <c r="E4627" t="s">
        <v>106</v>
      </c>
      <c r="F4627">
        <v>7.2741968074358399</v>
      </c>
    </row>
    <row r="4628" spans="1:6">
      <c r="A4628" t="s">
        <v>53453</v>
      </c>
      <c r="B4628" t="s">
        <v>53454</v>
      </c>
      <c r="C4628">
        <v>0</v>
      </c>
      <c r="D4628">
        <v>0.34432696036074201</v>
      </c>
      <c r="E4628">
        <v>0.93129970434342402</v>
      </c>
      <c r="F4628">
        <v>5.1792281268943201</v>
      </c>
    </row>
    <row r="4629" spans="1:6">
      <c r="A4629" t="s">
        <v>53453</v>
      </c>
      <c r="B4629" t="s">
        <v>53455</v>
      </c>
      <c r="C4629">
        <v>0</v>
      </c>
      <c r="D4629">
        <v>0.34432696036074201</v>
      </c>
      <c r="E4629">
        <v>0.93129970434342402</v>
      </c>
      <c r="F4629">
        <v>5.1792281268943201</v>
      </c>
    </row>
    <row r="4630" spans="1:6">
      <c r="A4630" t="s">
        <v>53453</v>
      </c>
      <c r="B4630" t="s">
        <v>53456</v>
      </c>
      <c r="C4630">
        <v>0</v>
      </c>
      <c r="D4630">
        <v>0.34432696036074201</v>
      </c>
      <c r="E4630">
        <v>0.93129970434342402</v>
      </c>
      <c r="F4630">
        <v>5.1792281268943201</v>
      </c>
    </row>
    <row r="4631" spans="1:6">
      <c r="A4631" t="s">
        <v>53453</v>
      </c>
      <c r="B4631" t="s">
        <v>53457</v>
      </c>
      <c r="C4631">
        <v>0</v>
      </c>
      <c r="D4631">
        <v>0.34432696036074201</v>
      </c>
      <c r="E4631">
        <v>0.93129970434342402</v>
      </c>
      <c r="F4631">
        <v>5.1792281268943201</v>
      </c>
    </row>
    <row r="4632" spans="1:6">
      <c r="A4632" t="s">
        <v>53453</v>
      </c>
      <c r="B4632" t="s">
        <v>53458</v>
      </c>
      <c r="C4632">
        <v>0</v>
      </c>
      <c r="D4632">
        <v>0.34432696036074201</v>
      </c>
      <c r="E4632">
        <v>0.93129970434342402</v>
      </c>
      <c r="F4632">
        <v>5.1792281268943201</v>
      </c>
    </row>
    <row r="4633" spans="1:6">
      <c r="A4633" t="s">
        <v>53453</v>
      </c>
      <c r="B4633" t="s">
        <v>53459</v>
      </c>
      <c r="C4633">
        <v>0</v>
      </c>
      <c r="D4633">
        <v>0.34432696036074201</v>
      </c>
      <c r="E4633">
        <v>0.93129970434342402</v>
      </c>
      <c r="F4633">
        <v>5.1792281268943201</v>
      </c>
    </row>
    <row r="4634" spans="1:6">
      <c r="A4634" t="s">
        <v>53453</v>
      </c>
      <c r="B4634" t="s">
        <v>53460</v>
      </c>
      <c r="C4634">
        <v>0</v>
      </c>
      <c r="D4634">
        <v>0.34432696036074201</v>
      </c>
      <c r="E4634">
        <v>0.93129970434342402</v>
      </c>
      <c r="F4634">
        <v>5.1792281268943201</v>
      </c>
    </row>
    <row r="4635" spans="1:6">
      <c r="A4635" t="s">
        <v>53453</v>
      </c>
      <c r="B4635" t="s">
        <v>53461</v>
      </c>
      <c r="C4635">
        <v>0</v>
      </c>
      <c r="D4635">
        <v>0.34432696036074201</v>
      </c>
      <c r="E4635">
        <v>0.93129970434342402</v>
      </c>
      <c r="F4635">
        <v>5.1792281268943201</v>
      </c>
    </row>
    <row r="4636" spans="1:6">
      <c r="A4636" t="s">
        <v>53453</v>
      </c>
      <c r="B4636" t="s">
        <v>53462</v>
      </c>
      <c r="C4636">
        <v>0</v>
      </c>
      <c r="D4636">
        <v>0.34432696036074201</v>
      </c>
      <c r="E4636">
        <v>0.93129970434342402</v>
      </c>
      <c r="F4636">
        <v>5.1792281268943201</v>
      </c>
    </row>
    <row r="4637" spans="1:6">
      <c r="A4637" t="s">
        <v>53453</v>
      </c>
      <c r="B4637" t="s">
        <v>53463</v>
      </c>
      <c r="C4637">
        <v>0</v>
      </c>
      <c r="D4637">
        <v>0.34432696036074201</v>
      </c>
      <c r="E4637">
        <v>0.93129970434342402</v>
      </c>
      <c r="F4637">
        <v>5.1792281268943201</v>
      </c>
    </row>
    <row r="4638" spans="1:6">
      <c r="A4638" t="s">
        <v>53453</v>
      </c>
      <c r="B4638" t="s">
        <v>53464</v>
      </c>
      <c r="C4638">
        <v>0</v>
      </c>
      <c r="D4638">
        <v>0.34432696036074201</v>
      </c>
      <c r="E4638">
        <v>0.93129970434342402</v>
      </c>
      <c r="F4638">
        <v>5.1792281268943201</v>
      </c>
    </row>
    <row r="4639" spans="1:6">
      <c r="A4639" t="s">
        <v>53453</v>
      </c>
      <c r="B4639" t="s">
        <v>53465</v>
      </c>
      <c r="C4639">
        <v>0</v>
      </c>
      <c r="D4639">
        <v>0.34432696036074201</v>
      </c>
      <c r="E4639">
        <v>0.93129970434342402</v>
      </c>
      <c r="F4639">
        <v>5.1792281268943201</v>
      </c>
    </row>
    <row r="4640" spans="1:6">
      <c r="A4640" t="s">
        <v>53453</v>
      </c>
      <c r="B4640" t="s">
        <v>53466</v>
      </c>
      <c r="C4640">
        <v>0</v>
      </c>
      <c r="D4640">
        <v>0.34432696036074201</v>
      </c>
      <c r="E4640">
        <v>0.93129970434342402</v>
      </c>
      <c r="F4640">
        <v>5.1792281268943201</v>
      </c>
    </row>
    <row r="4641" spans="1:6">
      <c r="A4641" t="s">
        <v>53453</v>
      </c>
      <c r="B4641" t="s">
        <v>53467</v>
      </c>
      <c r="C4641">
        <v>0</v>
      </c>
      <c r="D4641">
        <v>0.34432696036074201</v>
      </c>
      <c r="E4641">
        <v>0.93129970434342402</v>
      </c>
      <c r="F4641">
        <v>5.1792281268943201</v>
      </c>
    </row>
    <row r="4642" spans="1:6">
      <c r="A4642" t="s">
        <v>53453</v>
      </c>
      <c r="B4642" t="s">
        <v>53468</v>
      </c>
      <c r="C4642">
        <v>0.70089970434342397</v>
      </c>
      <c r="D4642">
        <v>0.34432696036074201</v>
      </c>
      <c r="E4642">
        <v>0.93129970434342402</v>
      </c>
      <c r="F4642">
        <v>5.1792281268943201</v>
      </c>
    </row>
    <row r="4643" spans="1:6">
      <c r="A4643" t="s">
        <v>53453</v>
      </c>
      <c r="B4643" t="s">
        <v>53469</v>
      </c>
      <c r="C4643">
        <v>0</v>
      </c>
      <c r="D4643">
        <v>0.34432696036074201</v>
      </c>
      <c r="E4643">
        <v>0.93129970434342402</v>
      </c>
      <c r="F4643">
        <v>5.1792281268943201</v>
      </c>
    </row>
    <row r="4644" spans="1:6">
      <c r="A4644" t="s">
        <v>53470</v>
      </c>
      <c r="B4644" t="s">
        <v>53471</v>
      </c>
      <c r="C4644">
        <v>0</v>
      </c>
      <c r="D4644">
        <v>8.6353301412841602E-2</v>
      </c>
      <c r="E4644">
        <v>0.92977131799766</v>
      </c>
      <c r="F4644">
        <v>16.0662760153566</v>
      </c>
    </row>
    <row r="4645" spans="1:6">
      <c r="A4645" t="s">
        <v>53470</v>
      </c>
      <c r="B4645" t="s">
        <v>53472</v>
      </c>
      <c r="C4645">
        <v>0</v>
      </c>
      <c r="D4645">
        <v>8.6353301412841602E-2</v>
      </c>
      <c r="E4645">
        <v>0.92977131799766</v>
      </c>
      <c r="F4645">
        <v>16.0662760153566</v>
      </c>
    </row>
    <row r="4646" spans="1:6">
      <c r="A4646" t="s">
        <v>53470</v>
      </c>
      <c r="B4646" t="s">
        <v>53473</v>
      </c>
      <c r="C4646">
        <v>0</v>
      </c>
      <c r="D4646">
        <v>8.6353301412841602E-2</v>
      </c>
      <c r="E4646">
        <v>0.92977131799766</v>
      </c>
      <c r="F4646">
        <v>16.0662760153566</v>
      </c>
    </row>
    <row r="4647" spans="1:6">
      <c r="A4647" t="s">
        <v>53470</v>
      </c>
      <c r="B4647" t="s">
        <v>53474</v>
      </c>
      <c r="C4647">
        <v>0</v>
      </c>
      <c r="D4647">
        <v>8.6353301412841602E-2</v>
      </c>
      <c r="E4647">
        <v>0.92977131799766</v>
      </c>
      <c r="F4647">
        <v>16.0662760153566</v>
      </c>
    </row>
    <row r="4648" spans="1:6">
      <c r="A4648" t="s">
        <v>53470</v>
      </c>
      <c r="B4648" t="s">
        <v>53475</v>
      </c>
      <c r="C4648">
        <v>0</v>
      </c>
      <c r="D4648">
        <v>8.6353301412841602E-2</v>
      </c>
      <c r="E4648">
        <v>0.92977131799766</v>
      </c>
      <c r="F4648">
        <v>16.0662760153566</v>
      </c>
    </row>
    <row r="4649" spans="1:6">
      <c r="A4649" t="s">
        <v>53470</v>
      </c>
      <c r="B4649" t="s">
        <v>53476</v>
      </c>
      <c r="C4649">
        <v>0</v>
      </c>
      <c r="D4649">
        <v>8.6353301412841602E-2</v>
      </c>
      <c r="E4649">
        <v>0.92977131799766</v>
      </c>
      <c r="F4649">
        <v>16.0662760153566</v>
      </c>
    </row>
    <row r="4650" spans="1:6">
      <c r="A4650" t="s">
        <v>53470</v>
      </c>
      <c r="B4650" t="s">
        <v>53477</v>
      </c>
      <c r="C4650">
        <v>0</v>
      </c>
      <c r="D4650">
        <v>8.6353301412841602E-2</v>
      </c>
      <c r="E4650">
        <v>0.92977131799766</v>
      </c>
      <c r="F4650">
        <v>16.0662760153566</v>
      </c>
    </row>
    <row r="4651" spans="1:6">
      <c r="A4651" t="s">
        <v>53470</v>
      </c>
      <c r="B4651" t="s">
        <v>53478</v>
      </c>
      <c r="C4651">
        <v>0.22158082646282301</v>
      </c>
      <c r="D4651">
        <v>8.6353301412841602E-2</v>
      </c>
      <c r="E4651">
        <v>0.92977131799766</v>
      </c>
      <c r="F4651">
        <v>16.0662760153566</v>
      </c>
    </row>
    <row r="4652" spans="1:6">
      <c r="A4652" t="s">
        <v>53470</v>
      </c>
      <c r="B4652" t="s">
        <v>53479</v>
      </c>
      <c r="C4652">
        <v>0</v>
      </c>
      <c r="D4652">
        <v>8.6353301412841602E-2</v>
      </c>
      <c r="E4652">
        <v>0.92977131799766</v>
      </c>
      <c r="F4652">
        <v>16.0662760153566</v>
      </c>
    </row>
    <row r="4653" spans="1:6">
      <c r="A4653" t="s">
        <v>53470</v>
      </c>
      <c r="B4653" t="s">
        <v>53480</v>
      </c>
      <c r="C4653">
        <v>0</v>
      </c>
      <c r="D4653">
        <v>8.6353301412841602E-2</v>
      </c>
      <c r="E4653">
        <v>0.92977131799766</v>
      </c>
      <c r="F4653">
        <v>16.0662760153566</v>
      </c>
    </row>
    <row r="4654" spans="1:6">
      <c r="A4654" t="s">
        <v>53470</v>
      </c>
      <c r="B4654" t="s">
        <v>53481</v>
      </c>
      <c r="C4654">
        <v>0</v>
      </c>
      <c r="D4654">
        <v>8.6353301412841602E-2</v>
      </c>
      <c r="E4654">
        <v>0.92977131799766</v>
      </c>
      <c r="F4654">
        <v>16.0662760153566</v>
      </c>
    </row>
    <row r="4655" spans="1:6">
      <c r="A4655" t="s">
        <v>53470</v>
      </c>
      <c r="B4655" t="s">
        <v>53482</v>
      </c>
      <c r="C4655">
        <v>0</v>
      </c>
      <c r="D4655">
        <v>8.6353301412841602E-2</v>
      </c>
      <c r="E4655">
        <v>0.92977131799766</v>
      </c>
      <c r="F4655">
        <v>16.0662760153566</v>
      </c>
    </row>
    <row r="4656" spans="1:6">
      <c r="A4656" t="s">
        <v>53470</v>
      </c>
      <c r="B4656" t="s">
        <v>53483</v>
      </c>
      <c r="C4656">
        <v>0</v>
      </c>
      <c r="D4656">
        <v>8.6353301412841602E-2</v>
      </c>
      <c r="E4656">
        <v>0.92977131799766</v>
      </c>
      <c r="F4656">
        <v>16.0662760153566</v>
      </c>
    </row>
    <row r="4657" spans="1:6">
      <c r="A4657" t="s">
        <v>53470</v>
      </c>
      <c r="B4657" t="s">
        <v>53484</v>
      </c>
      <c r="C4657">
        <v>0</v>
      </c>
      <c r="D4657">
        <v>8.6353301412841602E-2</v>
      </c>
      <c r="E4657">
        <v>0.92977131799766</v>
      </c>
      <c r="F4657">
        <v>16.0662760153566</v>
      </c>
    </row>
    <row r="4658" spans="1:6">
      <c r="A4658" t="s">
        <v>53470</v>
      </c>
      <c r="B4658" t="s">
        <v>53485</v>
      </c>
      <c r="C4658">
        <v>0</v>
      </c>
      <c r="D4658">
        <v>8.6353301412841602E-2</v>
      </c>
      <c r="E4658">
        <v>0.92977131799766</v>
      </c>
      <c r="F4658">
        <v>16.0662760153566</v>
      </c>
    </row>
    <row r="4659" spans="1:6">
      <c r="A4659" t="s">
        <v>53470</v>
      </c>
      <c r="B4659" t="s">
        <v>53486</v>
      </c>
      <c r="C4659">
        <v>0</v>
      </c>
      <c r="D4659">
        <v>8.6353301412841602E-2</v>
      </c>
      <c r="E4659">
        <v>0.92977131799766</v>
      </c>
      <c r="F4659">
        <v>16.0662760153566</v>
      </c>
    </row>
    <row r="4660" spans="1:6">
      <c r="A4660" t="s">
        <v>53470</v>
      </c>
      <c r="B4660" t="s">
        <v>53487</v>
      </c>
      <c r="C4660">
        <v>0</v>
      </c>
      <c r="D4660">
        <v>8.6353301412841602E-2</v>
      </c>
      <c r="E4660">
        <v>0.92977131799766</v>
      </c>
      <c r="F4660">
        <v>16.0662760153566</v>
      </c>
    </row>
    <row r="4661" spans="1:6">
      <c r="A4661" t="s">
        <v>53470</v>
      </c>
      <c r="B4661" t="s">
        <v>53488</v>
      </c>
      <c r="C4661">
        <v>0</v>
      </c>
      <c r="D4661">
        <v>8.6353301412841602E-2</v>
      </c>
      <c r="E4661">
        <v>0.92977131799766</v>
      </c>
      <c r="F4661">
        <v>16.0662760153566</v>
      </c>
    </row>
    <row r="4662" spans="1:6">
      <c r="A4662" t="s">
        <v>53470</v>
      </c>
      <c r="B4662" t="s">
        <v>53489</v>
      </c>
      <c r="C4662">
        <v>0</v>
      </c>
      <c r="D4662">
        <v>8.6353301412841602E-2</v>
      </c>
      <c r="E4662">
        <v>0.92977131799766</v>
      </c>
      <c r="F4662">
        <v>16.0662760153566</v>
      </c>
    </row>
    <row r="4663" spans="1:6">
      <c r="A4663" t="s">
        <v>53470</v>
      </c>
      <c r="B4663" t="s">
        <v>53490</v>
      </c>
      <c r="C4663">
        <v>0</v>
      </c>
      <c r="D4663">
        <v>8.6353301412841602E-2</v>
      </c>
      <c r="E4663">
        <v>0.92977131799766</v>
      </c>
      <c r="F4663">
        <v>16.0662760153566</v>
      </c>
    </row>
    <row r="4664" spans="1:6">
      <c r="A4664" t="s">
        <v>53470</v>
      </c>
      <c r="B4664" t="s">
        <v>53491</v>
      </c>
      <c r="C4664">
        <v>0</v>
      </c>
      <c r="D4664">
        <v>8.6353301412841602E-2</v>
      </c>
      <c r="E4664">
        <v>0.92977131799766</v>
      </c>
      <c r="F4664">
        <v>16.0662760153566</v>
      </c>
    </row>
    <row r="4665" spans="1:6">
      <c r="A4665" t="s">
        <v>53470</v>
      </c>
      <c r="B4665" t="s">
        <v>53492</v>
      </c>
      <c r="C4665">
        <v>0</v>
      </c>
      <c r="D4665">
        <v>8.6353301412841602E-2</v>
      </c>
      <c r="E4665">
        <v>0.92977131799766</v>
      </c>
      <c r="F4665">
        <v>16.0662760153566</v>
      </c>
    </row>
    <row r="4666" spans="1:6">
      <c r="A4666" t="s">
        <v>53470</v>
      </c>
      <c r="B4666" t="s">
        <v>53493</v>
      </c>
      <c r="C4666">
        <v>0.10791095172284799</v>
      </c>
      <c r="D4666">
        <v>8.6353301412841602E-2</v>
      </c>
      <c r="E4666">
        <v>0.92977131799766</v>
      </c>
      <c r="F4666">
        <v>16.0662760153566</v>
      </c>
    </row>
    <row r="4667" spans="1:6">
      <c r="A4667" t="s">
        <v>53494</v>
      </c>
      <c r="B4667" t="s">
        <v>53495</v>
      </c>
      <c r="C4667">
        <v>0.89055098965996904</v>
      </c>
      <c r="D4667">
        <v>0.68756684411580804</v>
      </c>
      <c r="E4667">
        <v>0.99358753777488296</v>
      </c>
      <c r="F4667">
        <v>9.7183269347342893</v>
      </c>
    </row>
    <row r="4668" spans="1:6">
      <c r="A4668" t="s">
        <v>53494</v>
      </c>
      <c r="B4668" t="s">
        <v>53496</v>
      </c>
      <c r="C4668">
        <v>0</v>
      </c>
      <c r="D4668">
        <v>0.68756684411580804</v>
      </c>
      <c r="E4668">
        <v>0.99358753777488296</v>
      </c>
      <c r="F4668">
        <v>9.7183269347342893</v>
      </c>
    </row>
    <row r="4669" spans="1:6">
      <c r="A4669" t="s">
        <v>53494</v>
      </c>
      <c r="B4669" t="s">
        <v>53497</v>
      </c>
      <c r="C4669">
        <v>9.7750650104589998E-2</v>
      </c>
      <c r="D4669">
        <v>0.68756684411580804</v>
      </c>
      <c r="E4669">
        <v>0.99358753777488296</v>
      </c>
      <c r="F4669">
        <v>9.7183269347342893</v>
      </c>
    </row>
    <row r="4670" spans="1:6">
      <c r="A4670" t="s">
        <v>53494</v>
      </c>
      <c r="B4670" t="s">
        <v>53498</v>
      </c>
      <c r="C4670">
        <v>0</v>
      </c>
      <c r="D4670">
        <v>0.68756684411580804</v>
      </c>
      <c r="E4670">
        <v>0.99358753777488296</v>
      </c>
      <c r="F4670">
        <v>9.7183269347342893</v>
      </c>
    </row>
    <row r="4671" spans="1:6">
      <c r="A4671" t="s">
        <v>53499</v>
      </c>
      <c r="B4671" t="s">
        <v>53500</v>
      </c>
      <c r="C4671">
        <v>0</v>
      </c>
      <c r="D4671">
        <v>1.42937609201867E-2</v>
      </c>
      <c r="E4671">
        <v>0.95069508372496903</v>
      </c>
      <c r="F4671">
        <v>15.280662760153501</v>
      </c>
    </row>
    <row r="4672" spans="1:6">
      <c r="A4672" t="s">
        <v>53499</v>
      </c>
      <c r="B4672" t="s">
        <v>53501</v>
      </c>
      <c r="C4672">
        <v>0</v>
      </c>
      <c r="D4672">
        <v>1.42937609201867E-2</v>
      </c>
      <c r="E4672">
        <v>0.95069508372496903</v>
      </c>
      <c r="F4672">
        <v>15.280662760153501</v>
      </c>
    </row>
    <row r="4673" spans="1:6">
      <c r="A4673" t="s">
        <v>53499</v>
      </c>
      <c r="B4673" t="s">
        <v>53502</v>
      </c>
      <c r="C4673">
        <v>0</v>
      </c>
      <c r="D4673">
        <v>1.42937609201867E-2</v>
      </c>
      <c r="E4673">
        <v>0.95069508372496903</v>
      </c>
      <c r="F4673">
        <v>15.280662760153501</v>
      </c>
    </row>
    <row r="4674" spans="1:6">
      <c r="A4674" t="s">
        <v>53499</v>
      </c>
      <c r="B4674" t="s">
        <v>53503</v>
      </c>
      <c r="C4674">
        <v>0</v>
      </c>
      <c r="D4674">
        <v>1.42937609201867E-2</v>
      </c>
      <c r="E4674">
        <v>0.95069508372496903</v>
      </c>
      <c r="F4674">
        <v>15.280662760153501</v>
      </c>
    </row>
    <row r="4675" spans="1:6">
      <c r="A4675" t="s">
        <v>53499</v>
      </c>
      <c r="B4675" t="s">
        <v>53504</v>
      </c>
      <c r="C4675">
        <v>0</v>
      </c>
      <c r="D4675">
        <v>1.42937609201867E-2</v>
      </c>
      <c r="E4675">
        <v>0.95069508372496903</v>
      </c>
      <c r="F4675">
        <v>15.280662760153501</v>
      </c>
    </row>
    <row r="4676" spans="1:6">
      <c r="A4676" t="s">
        <v>53499</v>
      </c>
      <c r="B4676" t="s">
        <v>53505</v>
      </c>
      <c r="C4676">
        <v>0.73157923912908795</v>
      </c>
      <c r="D4676">
        <v>1.42937609201867E-2</v>
      </c>
      <c r="E4676">
        <v>0.95069508372496903</v>
      </c>
      <c r="F4676">
        <v>15.280662760153501</v>
      </c>
    </row>
    <row r="4677" spans="1:6">
      <c r="A4677" t="s">
        <v>53499</v>
      </c>
      <c r="B4677" t="s">
        <v>53506</v>
      </c>
      <c r="C4677">
        <v>8.6235914413975601E-2</v>
      </c>
      <c r="D4677">
        <v>1.42937609201867E-2</v>
      </c>
      <c r="E4677">
        <v>0.95069508372496903</v>
      </c>
      <c r="F4677">
        <v>15.280662760153501</v>
      </c>
    </row>
    <row r="4678" spans="1:6">
      <c r="A4678" t="s">
        <v>53507</v>
      </c>
      <c r="B4678" t="s">
        <v>53508</v>
      </c>
      <c r="C4678">
        <v>0</v>
      </c>
      <c r="D4678">
        <v>2.33927967291814E-2</v>
      </c>
      <c r="E4678">
        <v>0.83502238577447696</v>
      </c>
      <c r="F4678">
        <v>9.56314406950899</v>
      </c>
    </row>
    <row r="4679" spans="1:6">
      <c r="A4679" t="s">
        <v>53507</v>
      </c>
      <c r="B4679" t="s">
        <v>53509</v>
      </c>
      <c r="C4679">
        <v>0</v>
      </c>
      <c r="D4679">
        <v>2.33927967291814E-2</v>
      </c>
      <c r="E4679">
        <v>0.83502238577447696</v>
      </c>
      <c r="F4679">
        <v>9.56314406950899</v>
      </c>
    </row>
    <row r="4680" spans="1:6">
      <c r="A4680" t="s">
        <v>53507</v>
      </c>
      <c r="B4680" t="s">
        <v>53510</v>
      </c>
      <c r="C4680">
        <v>0</v>
      </c>
      <c r="D4680">
        <v>2.33927967291814E-2</v>
      </c>
      <c r="E4680">
        <v>0.83502238577447696</v>
      </c>
      <c r="F4680">
        <v>9.56314406950899</v>
      </c>
    </row>
    <row r="4681" spans="1:6">
      <c r="A4681" t="s">
        <v>53507</v>
      </c>
      <c r="B4681" t="s">
        <v>53511</v>
      </c>
      <c r="C4681">
        <v>0.58382238577447698</v>
      </c>
      <c r="D4681">
        <v>2.33927967291814E-2</v>
      </c>
      <c r="E4681">
        <v>0.83502238577447696</v>
      </c>
      <c r="F4681">
        <v>9.56314406950899</v>
      </c>
    </row>
    <row r="4682" spans="1:6">
      <c r="A4682" t="s">
        <v>53512</v>
      </c>
      <c r="B4682" t="s">
        <v>53513</v>
      </c>
      <c r="C4682">
        <v>0</v>
      </c>
      <c r="D4682">
        <v>0.28918579389035898</v>
      </c>
      <c r="E4682" t="s">
        <v>106</v>
      </c>
      <c r="F4682">
        <v>0.54798949282683296</v>
      </c>
    </row>
    <row r="4683" spans="1:6">
      <c r="A4683" t="s">
        <v>53512</v>
      </c>
      <c r="B4683" t="s">
        <v>53514</v>
      </c>
      <c r="C4683">
        <v>0</v>
      </c>
      <c r="D4683">
        <v>0.28918579389035898</v>
      </c>
      <c r="E4683" t="s">
        <v>106</v>
      </c>
      <c r="F4683">
        <v>0.54798949282683296</v>
      </c>
    </row>
    <row r="4684" spans="1:6">
      <c r="A4684" t="s">
        <v>53515</v>
      </c>
      <c r="B4684" t="s">
        <v>53516</v>
      </c>
      <c r="C4684">
        <v>0.57588890935052806</v>
      </c>
      <c r="D4684">
        <v>1.43098416151465E-2</v>
      </c>
      <c r="E4684">
        <v>0.84628890935052903</v>
      </c>
      <c r="F4684">
        <v>16.0662760153566</v>
      </c>
    </row>
    <row r="4685" spans="1:6">
      <c r="A4685" t="s">
        <v>53515</v>
      </c>
      <c r="B4685" t="s">
        <v>53517</v>
      </c>
      <c r="C4685">
        <v>0</v>
      </c>
      <c r="D4685">
        <v>1.43098416151465E-2</v>
      </c>
      <c r="E4685">
        <v>0.84628890935052903</v>
      </c>
      <c r="F4685">
        <v>16.0662760153566</v>
      </c>
    </row>
    <row r="4686" spans="1:6">
      <c r="A4686" t="s">
        <v>53518</v>
      </c>
      <c r="B4686" t="s">
        <v>53519</v>
      </c>
      <c r="C4686">
        <v>-1.95703406360932</v>
      </c>
      <c r="D4686">
        <v>0.46238854803136897</v>
      </c>
      <c r="E4686">
        <v>0.99821154495283004</v>
      </c>
      <c r="F4686">
        <v>14.330167710648601</v>
      </c>
    </row>
    <row r="4687" spans="1:6">
      <c r="A4687" t="s">
        <v>53518</v>
      </c>
      <c r="B4687" t="s">
        <v>53520</v>
      </c>
      <c r="C4687">
        <v>2.8330962155509001</v>
      </c>
      <c r="D4687">
        <v>0.46238854803136897</v>
      </c>
      <c r="E4687">
        <v>0.99821154495283004</v>
      </c>
      <c r="F4687">
        <v>14.330167710648601</v>
      </c>
    </row>
    <row r="4688" spans="1:6">
      <c r="A4688" t="s">
        <v>53521</v>
      </c>
      <c r="B4688" t="s">
        <v>53522</v>
      </c>
      <c r="C4688">
        <v>0.21822954056684099</v>
      </c>
      <c r="D4688">
        <v>0.44531908004266602</v>
      </c>
      <c r="E4688">
        <v>0.70092755957448305</v>
      </c>
      <c r="F4688">
        <v>2.05617296423519</v>
      </c>
    </row>
    <row r="4689" spans="1:6">
      <c r="A4689" t="s">
        <v>53521</v>
      </c>
      <c r="B4689" t="s">
        <v>53523</v>
      </c>
      <c r="C4689">
        <v>0.28695486662999498</v>
      </c>
      <c r="D4689">
        <v>0.44531908004266602</v>
      </c>
      <c r="E4689">
        <v>0.70092755957448305</v>
      </c>
      <c r="F4689">
        <v>2.05617296423519</v>
      </c>
    </row>
    <row r="4690" spans="1:6">
      <c r="A4690" t="s">
        <v>53524</v>
      </c>
      <c r="B4690" t="s">
        <v>53525</v>
      </c>
      <c r="C4690">
        <v>0</v>
      </c>
      <c r="D4690">
        <v>0.72613802803049499</v>
      </c>
      <c r="E4690">
        <v>0.931790999863504</v>
      </c>
      <c r="F4690">
        <v>7.67670236411396</v>
      </c>
    </row>
    <row r="4691" spans="1:6">
      <c r="A4691" t="s">
        <v>53524</v>
      </c>
      <c r="B4691" t="s">
        <v>53526</v>
      </c>
      <c r="C4691">
        <v>0</v>
      </c>
      <c r="D4691">
        <v>0.72613802803049499</v>
      </c>
      <c r="E4691">
        <v>0.931790999863504</v>
      </c>
      <c r="F4691">
        <v>7.67670236411396</v>
      </c>
    </row>
    <row r="4692" spans="1:6">
      <c r="A4692" t="s">
        <v>53524</v>
      </c>
      <c r="B4692" t="s">
        <v>53527</v>
      </c>
      <c r="C4692">
        <v>0</v>
      </c>
      <c r="D4692">
        <v>0.72613802803049499</v>
      </c>
      <c r="E4692">
        <v>0.931790999863504</v>
      </c>
      <c r="F4692">
        <v>7.67670236411396</v>
      </c>
    </row>
    <row r="4693" spans="1:6">
      <c r="A4693" t="s">
        <v>53524</v>
      </c>
      <c r="B4693" t="s">
        <v>53528</v>
      </c>
      <c r="C4693">
        <v>2.04967816189588E-2</v>
      </c>
      <c r="D4693">
        <v>0.72613802803049499</v>
      </c>
      <c r="E4693">
        <v>0.931790999863504</v>
      </c>
      <c r="F4693">
        <v>7.67670236411396</v>
      </c>
    </row>
    <row r="4694" spans="1:6">
      <c r="A4694" t="s">
        <v>53524</v>
      </c>
      <c r="B4694" t="s">
        <v>53529</v>
      </c>
      <c r="C4694">
        <v>0.44891975567363501</v>
      </c>
      <c r="D4694">
        <v>0.72613802803049499</v>
      </c>
      <c r="E4694">
        <v>0.931790999863504</v>
      </c>
      <c r="F4694">
        <v>7.67670236411396</v>
      </c>
    </row>
    <row r="4695" spans="1:6">
      <c r="A4695" t="s">
        <v>53524</v>
      </c>
      <c r="B4695" t="s">
        <v>53530</v>
      </c>
      <c r="C4695">
        <v>0</v>
      </c>
      <c r="D4695">
        <v>0.72613802803049499</v>
      </c>
      <c r="E4695">
        <v>0.931790999863504</v>
      </c>
      <c r="F4695">
        <v>7.67670236411396</v>
      </c>
    </row>
    <row r="4696" spans="1:6">
      <c r="A4696" t="s">
        <v>53531</v>
      </c>
      <c r="B4696" t="s">
        <v>53532</v>
      </c>
      <c r="C4696">
        <v>0</v>
      </c>
      <c r="D4696">
        <v>0.57173149961959902</v>
      </c>
      <c r="E4696">
        <v>0.95619077259959595</v>
      </c>
      <c r="F4696">
        <v>5.5235401091129503</v>
      </c>
    </row>
    <row r="4697" spans="1:6">
      <c r="A4697" t="s">
        <v>53531</v>
      </c>
      <c r="B4697" t="s">
        <v>53533</v>
      </c>
      <c r="C4697">
        <v>0.59925306678697099</v>
      </c>
      <c r="D4697">
        <v>0.57173149961959902</v>
      </c>
      <c r="E4697">
        <v>0.95619077259959595</v>
      </c>
      <c r="F4697">
        <v>5.5235401091129503</v>
      </c>
    </row>
    <row r="4698" spans="1:6">
      <c r="A4698" t="s">
        <v>53531</v>
      </c>
      <c r="B4698" t="s">
        <v>53534</v>
      </c>
      <c r="C4698">
        <v>0</v>
      </c>
      <c r="D4698">
        <v>0.57173149961959902</v>
      </c>
      <c r="E4698">
        <v>0.95619077259959595</v>
      </c>
      <c r="F4698">
        <v>5.5235401091129503</v>
      </c>
    </row>
    <row r="4699" spans="1:6">
      <c r="A4699" t="s">
        <v>53531</v>
      </c>
      <c r="B4699" t="s">
        <v>53535</v>
      </c>
      <c r="C4699">
        <v>0.18450304461843001</v>
      </c>
      <c r="D4699">
        <v>0.57173149961959902</v>
      </c>
      <c r="E4699">
        <v>0.95619077259959595</v>
      </c>
      <c r="F4699">
        <v>5.5235401091129503</v>
      </c>
    </row>
    <row r="4700" spans="1:6">
      <c r="A4700" t="s">
        <v>53531</v>
      </c>
      <c r="B4700" t="s">
        <v>53536</v>
      </c>
      <c r="C4700">
        <v>0</v>
      </c>
      <c r="D4700">
        <v>0.57173149961959902</v>
      </c>
      <c r="E4700">
        <v>0.95619077259959595</v>
      </c>
      <c r="F4700">
        <v>5.5235401091129503</v>
      </c>
    </row>
    <row r="4701" spans="1:6">
      <c r="A4701" t="s">
        <v>53531</v>
      </c>
      <c r="B4701" t="s">
        <v>53537</v>
      </c>
      <c r="C4701">
        <v>0</v>
      </c>
      <c r="D4701">
        <v>0.57173149961959902</v>
      </c>
      <c r="E4701">
        <v>0.95619077259959595</v>
      </c>
      <c r="F4701">
        <v>5.5235401091129503</v>
      </c>
    </row>
    <row r="4702" spans="1:6">
      <c r="A4702" t="s">
        <v>53531</v>
      </c>
      <c r="B4702" t="s">
        <v>53538</v>
      </c>
      <c r="C4702">
        <v>0</v>
      </c>
      <c r="D4702">
        <v>0.57173149961959902</v>
      </c>
      <c r="E4702">
        <v>0.95619077259959595</v>
      </c>
      <c r="F4702">
        <v>5.5235401091129503</v>
      </c>
    </row>
    <row r="4703" spans="1:6">
      <c r="A4703" t="s">
        <v>53531</v>
      </c>
      <c r="B4703" t="s">
        <v>53539</v>
      </c>
      <c r="C4703">
        <v>0</v>
      </c>
      <c r="D4703">
        <v>0.57173149961959902</v>
      </c>
      <c r="E4703">
        <v>0.95619077259959595</v>
      </c>
      <c r="F4703">
        <v>5.5235401091129503</v>
      </c>
    </row>
    <row r="4704" spans="1:6">
      <c r="A4704" t="s">
        <v>53540</v>
      </c>
      <c r="B4704" t="s">
        <v>53541</v>
      </c>
      <c r="C4704">
        <v>0.31377585741737501</v>
      </c>
      <c r="D4704">
        <v>0.118346502282429</v>
      </c>
      <c r="E4704">
        <v>0.88910512370460104</v>
      </c>
      <c r="F4704">
        <v>9.2624772681349707</v>
      </c>
    </row>
    <row r="4705" spans="1:6">
      <c r="A4705" t="s">
        <v>53540</v>
      </c>
      <c r="B4705" t="s">
        <v>53542</v>
      </c>
      <c r="C4705">
        <v>0</v>
      </c>
      <c r="D4705">
        <v>0.118346502282429</v>
      </c>
      <c r="E4705">
        <v>0.88910512370460104</v>
      </c>
      <c r="F4705">
        <v>9.2624772681349707</v>
      </c>
    </row>
    <row r="4706" spans="1:6">
      <c r="A4706" t="s">
        <v>53540</v>
      </c>
      <c r="B4706" t="s">
        <v>53543</v>
      </c>
      <c r="C4706">
        <v>0</v>
      </c>
      <c r="D4706">
        <v>0.118346502282429</v>
      </c>
      <c r="E4706">
        <v>0.88910512370460104</v>
      </c>
      <c r="F4706">
        <v>9.2624772681349707</v>
      </c>
    </row>
    <row r="4707" spans="1:6">
      <c r="A4707" t="s">
        <v>53540</v>
      </c>
      <c r="B4707" t="s">
        <v>53544</v>
      </c>
      <c r="C4707">
        <v>0.59749403873107798</v>
      </c>
      <c r="D4707">
        <v>0.118346502282429</v>
      </c>
      <c r="E4707">
        <v>0.88910512370460104</v>
      </c>
      <c r="F4707">
        <v>9.2624772681349707</v>
      </c>
    </row>
    <row r="4708" spans="1:6">
      <c r="A4708" t="s">
        <v>53545</v>
      </c>
      <c r="B4708" t="s">
        <v>53546</v>
      </c>
      <c r="C4708">
        <v>0.487839115104446</v>
      </c>
      <c r="D4708">
        <v>0.67879670607609299</v>
      </c>
      <c r="E4708">
        <v>0.84827091003741195</v>
      </c>
      <c r="F4708">
        <v>1.2366134572640901</v>
      </c>
    </row>
    <row r="4709" spans="1:6">
      <c r="A4709" t="s">
        <v>53545</v>
      </c>
      <c r="B4709" t="s">
        <v>53547</v>
      </c>
      <c r="C4709">
        <v>5.11067990044633E-4</v>
      </c>
      <c r="D4709">
        <v>0.67879670607609299</v>
      </c>
      <c r="E4709">
        <v>0.84827091003741195</v>
      </c>
      <c r="F4709">
        <v>1.2366134572640901</v>
      </c>
    </row>
    <row r="4710" spans="1:6">
      <c r="A4710" t="s">
        <v>53545</v>
      </c>
      <c r="B4710" t="s">
        <v>53548</v>
      </c>
      <c r="C4710">
        <v>0</v>
      </c>
      <c r="D4710">
        <v>0.67879670607609299</v>
      </c>
      <c r="E4710">
        <v>0.84827091003741195</v>
      </c>
      <c r="F4710">
        <v>1.2366134572640901</v>
      </c>
    </row>
    <row r="4711" spans="1:6">
      <c r="A4711" t="s">
        <v>53545</v>
      </c>
      <c r="B4711" t="s">
        <v>53549</v>
      </c>
      <c r="C4711">
        <v>0</v>
      </c>
      <c r="D4711">
        <v>0.67879670607609299</v>
      </c>
      <c r="E4711">
        <v>0.84827091003741195</v>
      </c>
      <c r="F4711">
        <v>1.2366134572640901</v>
      </c>
    </row>
    <row r="4712" spans="1:6">
      <c r="A4712" t="s">
        <v>53545</v>
      </c>
      <c r="B4712" t="s">
        <v>53550</v>
      </c>
      <c r="C4712">
        <v>0</v>
      </c>
      <c r="D4712">
        <v>0.67879670607609299</v>
      </c>
      <c r="E4712">
        <v>0.84827091003741195</v>
      </c>
      <c r="F4712">
        <v>1.2366134572640901</v>
      </c>
    </row>
    <row r="4713" spans="1:6">
      <c r="A4713" t="s">
        <v>53551</v>
      </c>
      <c r="B4713" t="s">
        <v>53552</v>
      </c>
      <c r="C4713">
        <v>0</v>
      </c>
      <c r="D4713">
        <v>0.45367506106597</v>
      </c>
      <c r="E4713">
        <v>0.71398194216791599</v>
      </c>
      <c r="F4713">
        <v>3.7243887654071499</v>
      </c>
    </row>
    <row r="4714" spans="1:6">
      <c r="A4714" t="s">
        <v>53551</v>
      </c>
      <c r="B4714" t="s">
        <v>53553</v>
      </c>
      <c r="C4714">
        <v>0.20678194216791501</v>
      </c>
      <c r="D4714">
        <v>0.45367506106597</v>
      </c>
      <c r="E4714">
        <v>0.71398194216791599</v>
      </c>
      <c r="F4714">
        <v>3.7243887654071499</v>
      </c>
    </row>
    <row r="4715" spans="1:6">
      <c r="A4715" t="s">
        <v>53551</v>
      </c>
      <c r="B4715" t="s">
        <v>53554</v>
      </c>
      <c r="C4715">
        <v>0</v>
      </c>
      <c r="D4715">
        <v>0.45367506106597</v>
      </c>
      <c r="E4715">
        <v>0.71398194216791599</v>
      </c>
      <c r="F4715">
        <v>3.7243887654071499</v>
      </c>
    </row>
    <row r="4716" spans="1:6">
      <c r="A4716" t="s">
        <v>53551</v>
      </c>
      <c r="B4716" t="s">
        <v>53555</v>
      </c>
      <c r="C4716">
        <v>0</v>
      </c>
      <c r="D4716">
        <v>0.45367506106597</v>
      </c>
      <c r="E4716">
        <v>0.71398194216791599</v>
      </c>
      <c r="F4716">
        <v>3.7243887654071499</v>
      </c>
    </row>
    <row r="4717" spans="1:6">
      <c r="A4717" t="s">
        <v>53556</v>
      </c>
      <c r="B4717" t="s">
        <v>53557</v>
      </c>
      <c r="C4717">
        <v>0</v>
      </c>
      <c r="D4717">
        <v>0.69217775243254098</v>
      </c>
      <c r="E4717">
        <v>0.98166780006310195</v>
      </c>
      <c r="F4717">
        <v>17.487169125075699</v>
      </c>
    </row>
    <row r="4718" spans="1:6">
      <c r="A4718" t="s">
        <v>53556</v>
      </c>
      <c r="B4718" t="s">
        <v>53558</v>
      </c>
      <c r="C4718">
        <v>0</v>
      </c>
      <c r="D4718">
        <v>0.69217775243254098</v>
      </c>
      <c r="E4718">
        <v>0.98166780006310195</v>
      </c>
      <c r="F4718">
        <v>17.487169125075699</v>
      </c>
    </row>
    <row r="4719" spans="1:6">
      <c r="A4719" t="s">
        <v>53556</v>
      </c>
      <c r="B4719" t="s">
        <v>53559</v>
      </c>
      <c r="C4719">
        <v>0.36371515630990597</v>
      </c>
      <c r="D4719">
        <v>0.69217775243254098</v>
      </c>
      <c r="E4719">
        <v>0.98166780006310195</v>
      </c>
      <c r="F4719">
        <v>17.487169125075699</v>
      </c>
    </row>
    <row r="4720" spans="1:6">
      <c r="A4720" t="s">
        <v>53556</v>
      </c>
      <c r="B4720" t="s">
        <v>53560</v>
      </c>
      <c r="C4720">
        <v>0</v>
      </c>
      <c r="D4720">
        <v>0.69217775243254098</v>
      </c>
      <c r="E4720">
        <v>0.98166780006310195</v>
      </c>
      <c r="F4720">
        <v>17.487169125075699</v>
      </c>
    </row>
    <row r="4721" spans="1:6">
      <c r="A4721" t="s">
        <v>53556</v>
      </c>
      <c r="B4721" t="s">
        <v>53561</v>
      </c>
      <c r="C4721">
        <v>0.71993347816071795</v>
      </c>
      <c r="D4721">
        <v>0.69217775243254098</v>
      </c>
      <c r="E4721">
        <v>0.98166780006310195</v>
      </c>
      <c r="F4721">
        <v>17.487169125075699</v>
      </c>
    </row>
    <row r="4722" spans="1:6">
      <c r="A4722" t="s">
        <v>53562</v>
      </c>
      <c r="B4722" t="s">
        <v>53563</v>
      </c>
      <c r="C4722">
        <v>0</v>
      </c>
      <c r="D4722">
        <v>0.39556483126791397</v>
      </c>
      <c r="E4722">
        <v>0.98087837390185495</v>
      </c>
      <c r="F4722">
        <v>7.13841180036371</v>
      </c>
    </row>
    <row r="4723" spans="1:6">
      <c r="A4723" t="s">
        <v>53562</v>
      </c>
      <c r="B4723" t="s">
        <v>53564</v>
      </c>
      <c r="C4723">
        <v>0</v>
      </c>
      <c r="D4723">
        <v>0.39556483126791397</v>
      </c>
      <c r="E4723">
        <v>0.98087837390185495</v>
      </c>
      <c r="F4723">
        <v>7.13841180036371</v>
      </c>
    </row>
    <row r="4724" spans="1:6">
      <c r="A4724" t="s">
        <v>53562</v>
      </c>
      <c r="B4724" t="s">
        <v>53565</v>
      </c>
      <c r="C4724">
        <v>0.90721685467801905</v>
      </c>
      <c r="D4724">
        <v>0.39556483126791397</v>
      </c>
      <c r="E4724">
        <v>0.98087837390185495</v>
      </c>
      <c r="F4724">
        <v>7.13841180036371</v>
      </c>
    </row>
    <row r="4725" spans="1:6">
      <c r="A4725" t="s">
        <v>53562</v>
      </c>
      <c r="B4725" t="s">
        <v>53566</v>
      </c>
      <c r="C4725">
        <v>0</v>
      </c>
      <c r="D4725">
        <v>0.39556483126791397</v>
      </c>
      <c r="E4725">
        <v>0.98087837390185495</v>
      </c>
      <c r="F4725">
        <v>7.13841180036371</v>
      </c>
    </row>
    <row r="4726" spans="1:6">
      <c r="A4726" t="s">
        <v>53562</v>
      </c>
      <c r="B4726" t="s">
        <v>53567</v>
      </c>
      <c r="C4726">
        <v>4.23632741168865E-2</v>
      </c>
      <c r="D4726">
        <v>0.39556483126791397</v>
      </c>
      <c r="E4726">
        <v>0.98087837390185495</v>
      </c>
      <c r="F4726">
        <v>7.13841180036371</v>
      </c>
    </row>
    <row r="4727" spans="1:6">
      <c r="A4727" t="s">
        <v>53562</v>
      </c>
      <c r="B4727" t="s">
        <v>53568</v>
      </c>
      <c r="C4727">
        <v>0</v>
      </c>
      <c r="D4727">
        <v>0.39556483126791397</v>
      </c>
      <c r="E4727">
        <v>0.98087837390185495</v>
      </c>
      <c r="F4727">
        <v>7.13841180036371</v>
      </c>
    </row>
    <row r="4728" spans="1:6">
      <c r="A4728" t="s">
        <v>53562</v>
      </c>
      <c r="B4728" t="s">
        <v>53569</v>
      </c>
      <c r="C4728">
        <v>0</v>
      </c>
      <c r="D4728">
        <v>0.39556483126791397</v>
      </c>
      <c r="E4728">
        <v>0.98087837390185495</v>
      </c>
      <c r="F4728">
        <v>7.13841180036371</v>
      </c>
    </row>
    <row r="4729" spans="1:6">
      <c r="A4729" t="s">
        <v>53562</v>
      </c>
      <c r="B4729" t="s">
        <v>53570</v>
      </c>
      <c r="C4729">
        <v>0</v>
      </c>
      <c r="D4729">
        <v>0.39556483126791397</v>
      </c>
      <c r="E4729">
        <v>0.98087837390185495</v>
      </c>
      <c r="F4729">
        <v>7.13841180036371</v>
      </c>
    </row>
    <row r="4730" spans="1:6">
      <c r="A4730" t="s">
        <v>53571</v>
      </c>
      <c r="B4730" t="s">
        <v>53572</v>
      </c>
      <c r="C4730">
        <v>0.765987936415088</v>
      </c>
      <c r="D4730">
        <v>0.134261195026701</v>
      </c>
      <c r="E4730">
        <v>0.95158793641508799</v>
      </c>
      <c r="F4730">
        <v>16.667609618104599</v>
      </c>
    </row>
    <row r="4731" spans="1:6">
      <c r="A4731" t="s">
        <v>53571</v>
      </c>
      <c r="B4731" t="s">
        <v>53573</v>
      </c>
      <c r="C4731">
        <v>0</v>
      </c>
      <c r="D4731">
        <v>0.134261195026701</v>
      </c>
      <c r="E4731">
        <v>0.95158793641508799</v>
      </c>
      <c r="F4731">
        <v>16.667609618104599</v>
      </c>
    </row>
    <row r="4732" spans="1:6">
      <c r="A4732" t="s">
        <v>53571</v>
      </c>
      <c r="B4732" t="s">
        <v>53574</v>
      </c>
      <c r="C4732">
        <v>0</v>
      </c>
      <c r="D4732">
        <v>0.134261195026701</v>
      </c>
      <c r="E4732">
        <v>0.95158793641508799</v>
      </c>
      <c r="F4732">
        <v>16.667609618104599</v>
      </c>
    </row>
    <row r="4733" spans="1:6">
      <c r="A4733" t="s">
        <v>53571</v>
      </c>
      <c r="B4733" t="s">
        <v>53575</v>
      </c>
      <c r="C4733">
        <v>0</v>
      </c>
      <c r="D4733">
        <v>0.134261195026701</v>
      </c>
      <c r="E4733">
        <v>0.95158793641508799</v>
      </c>
      <c r="F4733">
        <v>16.667609618104599</v>
      </c>
    </row>
    <row r="4734" spans="1:6">
      <c r="A4734" t="s">
        <v>53571</v>
      </c>
      <c r="B4734" t="s">
        <v>53576</v>
      </c>
      <c r="C4734">
        <v>0</v>
      </c>
      <c r="D4734">
        <v>0.134261195026701</v>
      </c>
      <c r="E4734">
        <v>0.95158793641508799</v>
      </c>
      <c r="F4734">
        <v>16.667609618104599</v>
      </c>
    </row>
    <row r="4735" spans="1:6">
      <c r="A4735" t="s">
        <v>53571</v>
      </c>
      <c r="B4735" t="s">
        <v>53577</v>
      </c>
      <c r="C4735">
        <v>0</v>
      </c>
      <c r="D4735">
        <v>0.134261195026701</v>
      </c>
      <c r="E4735">
        <v>0.95158793641508799</v>
      </c>
      <c r="F4735">
        <v>16.667609618104599</v>
      </c>
    </row>
    <row r="4736" spans="1:6">
      <c r="A4736" t="s">
        <v>53578</v>
      </c>
      <c r="B4736" t="s">
        <v>53579</v>
      </c>
      <c r="C4736">
        <v>0</v>
      </c>
      <c r="D4736">
        <v>0.26766632436411403</v>
      </c>
      <c r="E4736">
        <v>0.91314596412642102</v>
      </c>
      <c r="F4736">
        <v>16.265104061426499</v>
      </c>
    </row>
    <row r="4737" spans="1:6">
      <c r="A4737" t="s">
        <v>53578</v>
      </c>
      <c r="B4737" t="s">
        <v>53580</v>
      </c>
      <c r="C4737">
        <v>0</v>
      </c>
      <c r="D4737">
        <v>0.26766632436411403</v>
      </c>
      <c r="E4737">
        <v>0.91314596412642102</v>
      </c>
      <c r="F4737">
        <v>16.265104061426499</v>
      </c>
    </row>
    <row r="4738" spans="1:6">
      <c r="A4738" t="s">
        <v>53578</v>
      </c>
      <c r="B4738" t="s">
        <v>53581</v>
      </c>
      <c r="C4738">
        <v>0</v>
      </c>
      <c r="D4738">
        <v>0.26766632436411403</v>
      </c>
      <c r="E4738">
        <v>0.91314596412642102</v>
      </c>
      <c r="F4738">
        <v>16.265104061426499</v>
      </c>
    </row>
    <row r="4739" spans="1:6">
      <c r="A4739" t="s">
        <v>53578</v>
      </c>
      <c r="B4739" t="s">
        <v>53582</v>
      </c>
      <c r="C4739">
        <v>0</v>
      </c>
      <c r="D4739">
        <v>0.26766632436411403</v>
      </c>
      <c r="E4739">
        <v>0.91314596412642102</v>
      </c>
      <c r="F4739">
        <v>16.265104061426499</v>
      </c>
    </row>
    <row r="4740" spans="1:6">
      <c r="A4740" t="s">
        <v>53578</v>
      </c>
      <c r="B4740" t="s">
        <v>53583</v>
      </c>
      <c r="C4740">
        <v>0.59314596412642095</v>
      </c>
      <c r="D4740">
        <v>0.26766632436411403</v>
      </c>
      <c r="E4740">
        <v>0.91314596412642102</v>
      </c>
      <c r="F4740">
        <v>16.265104061426499</v>
      </c>
    </row>
    <row r="4741" spans="1:6">
      <c r="A4741" t="s">
        <v>53578</v>
      </c>
      <c r="B4741" t="s">
        <v>53584</v>
      </c>
      <c r="C4741">
        <v>0</v>
      </c>
      <c r="D4741">
        <v>0.26766632436411403</v>
      </c>
      <c r="E4741">
        <v>0.91314596412642102</v>
      </c>
      <c r="F4741">
        <v>16.265104061426499</v>
      </c>
    </row>
    <row r="4742" spans="1:6">
      <c r="A4742" t="s">
        <v>53578</v>
      </c>
      <c r="B4742" t="s">
        <v>53585</v>
      </c>
      <c r="C4742">
        <v>0</v>
      </c>
      <c r="D4742">
        <v>0.26766632436411403</v>
      </c>
      <c r="E4742">
        <v>0.91314596412642102</v>
      </c>
      <c r="F4742">
        <v>16.265104061426499</v>
      </c>
    </row>
    <row r="4743" spans="1:6">
      <c r="A4743" t="s">
        <v>53586</v>
      </c>
      <c r="B4743" t="s">
        <v>53587</v>
      </c>
      <c r="C4743">
        <v>0</v>
      </c>
      <c r="D4743">
        <v>1.49639853909626E-2</v>
      </c>
      <c r="E4743">
        <v>0.71549386841190499</v>
      </c>
      <c r="F4743">
        <v>4.8494645382905601E-3</v>
      </c>
    </row>
    <row r="4744" spans="1:6">
      <c r="A4744" t="s">
        <v>53586</v>
      </c>
      <c r="B4744" t="s">
        <v>53588</v>
      </c>
      <c r="C4744">
        <v>0</v>
      </c>
      <c r="D4744">
        <v>1.49639853909626E-2</v>
      </c>
      <c r="E4744">
        <v>0.71549386841190499</v>
      </c>
      <c r="F4744">
        <v>4.8494645382905601E-3</v>
      </c>
    </row>
    <row r="4745" spans="1:6">
      <c r="A4745" t="s">
        <v>53586</v>
      </c>
      <c r="B4745" t="s">
        <v>53589</v>
      </c>
      <c r="C4745">
        <v>0.32509386841190502</v>
      </c>
      <c r="D4745">
        <v>1.49639853909626E-2</v>
      </c>
      <c r="E4745">
        <v>0.71549386841190499</v>
      </c>
      <c r="F4745">
        <v>4.8494645382905601E-3</v>
      </c>
    </row>
    <row r="4746" spans="1:6">
      <c r="A4746" t="s">
        <v>53586</v>
      </c>
      <c r="B4746" t="s">
        <v>53590</v>
      </c>
      <c r="C4746">
        <v>0</v>
      </c>
      <c r="D4746">
        <v>1.49639853909626E-2</v>
      </c>
      <c r="E4746">
        <v>0.71549386841190499</v>
      </c>
      <c r="F4746">
        <v>4.8494645382905601E-3</v>
      </c>
    </row>
    <row r="4747" spans="1:6">
      <c r="A4747" t="s">
        <v>53586</v>
      </c>
      <c r="B4747" t="s">
        <v>53591</v>
      </c>
      <c r="C4747">
        <v>0</v>
      </c>
      <c r="D4747">
        <v>1.49639853909626E-2</v>
      </c>
      <c r="E4747">
        <v>0.71549386841190499</v>
      </c>
      <c r="F4747">
        <v>4.8494645382905601E-3</v>
      </c>
    </row>
    <row r="4748" spans="1:6">
      <c r="A4748" t="s">
        <v>53592</v>
      </c>
      <c r="B4748" t="s">
        <v>53593</v>
      </c>
      <c r="C4748">
        <v>0.83326794438066598</v>
      </c>
      <c r="D4748">
        <v>0.74967957284229003</v>
      </c>
      <c r="E4748">
        <v>0.95222976127718295</v>
      </c>
      <c r="F4748">
        <v>3.62739947464134</v>
      </c>
    </row>
    <row r="4749" spans="1:6">
      <c r="A4749" t="s">
        <v>53592</v>
      </c>
      <c r="B4749" t="s">
        <v>53594</v>
      </c>
      <c r="C4749">
        <v>4.29118477910925E-2</v>
      </c>
      <c r="D4749">
        <v>0.74967957284229003</v>
      </c>
      <c r="E4749">
        <v>0.95222976127718295</v>
      </c>
      <c r="F4749">
        <v>3.62739947464134</v>
      </c>
    </row>
    <row r="4750" spans="1:6">
      <c r="A4750" t="s">
        <v>53592</v>
      </c>
      <c r="B4750" t="s">
        <v>53595</v>
      </c>
      <c r="C4750">
        <v>0</v>
      </c>
      <c r="D4750">
        <v>0.74967957284229003</v>
      </c>
      <c r="E4750">
        <v>0.95222976127718295</v>
      </c>
      <c r="F4750">
        <v>3.62739947464134</v>
      </c>
    </row>
    <row r="4751" spans="1:6">
      <c r="A4751" t="s">
        <v>53592</v>
      </c>
      <c r="B4751" t="s">
        <v>53596</v>
      </c>
      <c r="C4751">
        <v>0</v>
      </c>
      <c r="D4751">
        <v>0.74967957284229003</v>
      </c>
      <c r="E4751">
        <v>0.95222976127718295</v>
      </c>
      <c r="F4751">
        <v>3.62739947464134</v>
      </c>
    </row>
    <row r="4752" spans="1:6">
      <c r="A4752" t="s">
        <v>53597</v>
      </c>
      <c r="B4752" t="s">
        <v>53598</v>
      </c>
      <c r="C4752">
        <v>0.900732332259923</v>
      </c>
      <c r="D4752">
        <v>0.33942194754978</v>
      </c>
      <c r="E4752">
        <v>0.99386378496559302</v>
      </c>
      <c r="F4752">
        <v>13.2293392604566</v>
      </c>
    </row>
    <row r="4753" spans="1:6">
      <c r="A4753" t="s">
        <v>53597</v>
      </c>
      <c r="B4753" t="s">
        <v>53599</v>
      </c>
      <c r="C4753">
        <v>0.91558314616532999</v>
      </c>
      <c r="D4753">
        <v>0.33942194754978</v>
      </c>
      <c r="E4753">
        <v>0.99386378496559302</v>
      </c>
      <c r="F4753">
        <v>13.2293392604566</v>
      </c>
    </row>
    <row r="4754" spans="1:6">
      <c r="A4754" t="s">
        <v>53600</v>
      </c>
      <c r="B4754" t="s">
        <v>53601</v>
      </c>
      <c r="C4754">
        <v>0.90865346020940196</v>
      </c>
      <c r="D4754">
        <v>0.38675750350600302</v>
      </c>
      <c r="E4754">
        <v>0.99040860972855904</v>
      </c>
      <c r="F4754">
        <v>7.4051323499696897</v>
      </c>
    </row>
    <row r="4755" spans="1:6">
      <c r="A4755" t="s">
        <v>53600</v>
      </c>
      <c r="B4755" t="s">
        <v>53602</v>
      </c>
      <c r="C4755">
        <v>0.392660441874497</v>
      </c>
      <c r="D4755">
        <v>0.38675750350600302</v>
      </c>
      <c r="E4755">
        <v>0.99040860972855904</v>
      </c>
      <c r="F4755">
        <v>7.4051323499696897</v>
      </c>
    </row>
    <row r="4756" spans="1:6">
      <c r="A4756" t="s">
        <v>53600</v>
      </c>
      <c r="B4756" t="s">
        <v>53603</v>
      </c>
      <c r="C4756">
        <v>0</v>
      </c>
      <c r="D4756">
        <v>0.38675750350600302</v>
      </c>
      <c r="E4756">
        <v>0.99040860972855904</v>
      </c>
      <c r="F4756">
        <v>7.4051323499696897</v>
      </c>
    </row>
    <row r="4757" spans="1:6">
      <c r="A4757" t="s">
        <v>53600</v>
      </c>
      <c r="B4757" t="s">
        <v>53604</v>
      </c>
      <c r="C4757">
        <v>0</v>
      </c>
      <c r="D4757">
        <v>0.38675750350600302</v>
      </c>
      <c r="E4757">
        <v>0.99040860972855904</v>
      </c>
      <c r="F4757">
        <v>7.4051323499696897</v>
      </c>
    </row>
    <row r="4758" spans="1:6">
      <c r="A4758" t="s">
        <v>53605</v>
      </c>
      <c r="B4758" t="s">
        <v>53606</v>
      </c>
      <c r="C4758">
        <v>0</v>
      </c>
      <c r="D4758">
        <v>0.46858830726954098</v>
      </c>
      <c r="E4758">
        <v>0.94897141199512602</v>
      </c>
      <c r="F4758">
        <v>4.7379268539098804</v>
      </c>
    </row>
    <row r="4759" spans="1:6">
      <c r="A4759" t="s">
        <v>53605</v>
      </c>
      <c r="B4759" t="s">
        <v>53607</v>
      </c>
      <c r="C4759">
        <v>0.65862957560541202</v>
      </c>
      <c r="D4759">
        <v>0.46858830726954098</v>
      </c>
      <c r="E4759">
        <v>0.94897141199512602</v>
      </c>
      <c r="F4759">
        <v>4.7379268539098804</v>
      </c>
    </row>
    <row r="4760" spans="1:6">
      <c r="A4760" t="s">
        <v>53605</v>
      </c>
      <c r="B4760" t="s">
        <v>53608</v>
      </c>
      <c r="C4760">
        <v>0.35882916630575201</v>
      </c>
      <c r="D4760">
        <v>0.46858830726954098</v>
      </c>
      <c r="E4760">
        <v>0.94897141199512602</v>
      </c>
      <c r="F4760">
        <v>4.7379268539098804</v>
      </c>
    </row>
    <row r="4761" spans="1:6">
      <c r="A4761" t="s">
        <v>53605</v>
      </c>
      <c r="B4761" t="s">
        <v>53609</v>
      </c>
      <c r="C4761">
        <v>0</v>
      </c>
      <c r="D4761">
        <v>0.46858830726954098</v>
      </c>
      <c r="E4761">
        <v>0.94897141199512602</v>
      </c>
      <c r="F4761">
        <v>4.7379268539098804</v>
      </c>
    </row>
    <row r="4762" spans="1:6">
      <c r="A4762" t="s">
        <v>53605</v>
      </c>
      <c r="B4762" t="s">
        <v>53610</v>
      </c>
      <c r="C4762">
        <v>0</v>
      </c>
      <c r="D4762">
        <v>0.46858830726954098</v>
      </c>
      <c r="E4762">
        <v>0.94897141199512602</v>
      </c>
      <c r="F4762">
        <v>4.7379268539098804</v>
      </c>
    </row>
    <row r="4763" spans="1:6">
      <c r="A4763" t="s">
        <v>53605</v>
      </c>
      <c r="B4763" t="s">
        <v>53611</v>
      </c>
      <c r="C4763">
        <v>0</v>
      </c>
      <c r="D4763">
        <v>0.46858830726954098</v>
      </c>
      <c r="E4763">
        <v>0.94897141199512602</v>
      </c>
      <c r="F4763">
        <v>4.7379268539098804</v>
      </c>
    </row>
    <row r="4764" spans="1:6">
      <c r="A4764" t="s">
        <v>53605</v>
      </c>
      <c r="B4764" t="s">
        <v>53612</v>
      </c>
      <c r="C4764">
        <v>0</v>
      </c>
      <c r="D4764">
        <v>0.46858830726954098</v>
      </c>
      <c r="E4764">
        <v>0.94897141199512602</v>
      </c>
      <c r="F4764">
        <v>4.7379268539098804</v>
      </c>
    </row>
    <row r="4765" spans="1:6">
      <c r="A4765" t="s">
        <v>53605</v>
      </c>
      <c r="B4765" t="s">
        <v>53613</v>
      </c>
      <c r="C4765">
        <v>0</v>
      </c>
      <c r="D4765">
        <v>0.46858830726954098</v>
      </c>
      <c r="E4765">
        <v>0.94897141199512602</v>
      </c>
      <c r="F4765">
        <v>4.7379268539098804</v>
      </c>
    </row>
    <row r="4766" spans="1:6">
      <c r="A4766" t="s">
        <v>53614</v>
      </c>
      <c r="B4766" t="s">
        <v>53615</v>
      </c>
      <c r="C4766">
        <v>0.36865271531592902</v>
      </c>
      <c r="D4766">
        <v>0.272567968426292</v>
      </c>
      <c r="E4766">
        <v>0.94477824447243597</v>
      </c>
      <c r="F4766">
        <v>6.1200242473226902</v>
      </c>
    </row>
    <row r="4767" spans="1:6">
      <c r="A4767" t="s">
        <v>53614</v>
      </c>
      <c r="B4767" t="s">
        <v>53616</v>
      </c>
      <c r="C4767">
        <v>0</v>
      </c>
      <c r="D4767">
        <v>0.272567968426292</v>
      </c>
      <c r="E4767">
        <v>0.94477824447243597</v>
      </c>
      <c r="F4767">
        <v>6.1200242473226902</v>
      </c>
    </row>
    <row r="4768" spans="1:6">
      <c r="A4768" t="s">
        <v>53614</v>
      </c>
      <c r="B4768" t="s">
        <v>53617</v>
      </c>
      <c r="C4768">
        <v>0.64051541672881396</v>
      </c>
      <c r="D4768">
        <v>0.272567968426292</v>
      </c>
      <c r="E4768">
        <v>0.94477824447243597</v>
      </c>
      <c r="F4768">
        <v>6.1200242473226902</v>
      </c>
    </row>
    <row r="4769" spans="1:6">
      <c r="A4769" t="s">
        <v>53618</v>
      </c>
      <c r="B4769" t="s">
        <v>53619</v>
      </c>
      <c r="C4769">
        <v>0.39454895723879602</v>
      </c>
      <c r="D4769">
        <v>0.943117276358722</v>
      </c>
      <c r="E4769">
        <v>0.95194206514186397</v>
      </c>
      <c r="F4769">
        <v>20.726611436653801</v>
      </c>
    </row>
    <row r="4770" spans="1:6">
      <c r="A4770" t="s">
        <v>53618</v>
      </c>
      <c r="B4770" t="s">
        <v>53620</v>
      </c>
      <c r="C4770">
        <v>0</v>
      </c>
      <c r="D4770">
        <v>0.943117276358722</v>
      </c>
      <c r="E4770">
        <v>0.95194206514186397</v>
      </c>
      <c r="F4770">
        <v>20.726611436653801</v>
      </c>
    </row>
    <row r="4771" spans="1:6">
      <c r="A4771" t="s">
        <v>53618</v>
      </c>
      <c r="B4771" t="s">
        <v>53621</v>
      </c>
      <c r="C4771">
        <v>0.87431517543848802</v>
      </c>
      <c r="D4771">
        <v>0.943117276358722</v>
      </c>
      <c r="E4771">
        <v>0.95194206514186397</v>
      </c>
      <c r="F4771">
        <v>20.726611436653801</v>
      </c>
    </row>
    <row r="4772" spans="1:6">
      <c r="A4772" t="s">
        <v>53622</v>
      </c>
      <c r="B4772" t="s">
        <v>53623</v>
      </c>
      <c r="C4772">
        <v>0</v>
      </c>
      <c r="D4772">
        <v>0.60431739317023303</v>
      </c>
      <c r="E4772">
        <v>0.69986272754010304</v>
      </c>
      <c r="F4772">
        <v>3.5352596484138199</v>
      </c>
    </row>
    <row r="4773" spans="1:6">
      <c r="A4773" t="s">
        <v>53622</v>
      </c>
      <c r="B4773" t="s">
        <v>53624</v>
      </c>
      <c r="C4773">
        <v>0</v>
      </c>
      <c r="D4773">
        <v>0.60431739317023303</v>
      </c>
      <c r="E4773">
        <v>0.69986272754010304</v>
      </c>
      <c r="F4773">
        <v>3.5352596484138199</v>
      </c>
    </row>
    <row r="4774" spans="1:6">
      <c r="A4774" t="s">
        <v>53622</v>
      </c>
      <c r="B4774" t="s">
        <v>53625</v>
      </c>
      <c r="C4774">
        <v>0</v>
      </c>
      <c r="D4774">
        <v>0.60431739317023303</v>
      </c>
      <c r="E4774">
        <v>0.69986272754010304</v>
      </c>
      <c r="F4774">
        <v>3.5352596484138199</v>
      </c>
    </row>
    <row r="4775" spans="1:6">
      <c r="A4775" t="s">
        <v>53622</v>
      </c>
      <c r="B4775" t="s">
        <v>53626</v>
      </c>
      <c r="C4775">
        <v>0</v>
      </c>
      <c r="D4775">
        <v>0.60431739317023303</v>
      </c>
      <c r="E4775">
        <v>0.69986272754010304</v>
      </c>
      <c r="F4775">
        <v>3.5352596484138199</v>
      </c>
    </row>
    <row r="4776" spans="1:6">
      <c r="A4776" t="s">
        <v>53622</v>
      </c>
      <c r="B4776" t="s">
        <v>53627</v>
      </c>
      <c r="C4776">
        <v>0</v>
      </c>
      <c r="D4776">
        <v>0.60431739317023303</v>
      </c>
      <c r="E4776">
        <v>0.69986272754010304</v>
      </c>
      <c r="F4776">
        <v>3.5352596484138199</v>
      </c>
    </row>
    <row r="4777" spans="1:6">
      <c r="A4777" t="s">
        <v>53622</v>
      </c>
      <c r="B4777" t="s">
        <v>53628</v>
      </c>
      <c r="C4777">
        <v>0.23586272754010301</v>
      </c>
      <c r="D4777">
        <v>0.60431739317023303</v>
      </c>
      <c r="E4777">
        <v>0.69986272754010304</v>
      </c>
      <c r="F4777">
        <v>3.5352596484138199</v>
      </c>
    </row>
    <row r="4778" spans="1:6">
      <c r="A4778" t="s">
        <v>53629</v>
      </c>
      <c r="B4778" t="s">
        <v>53630</v>
      </c>
      <c r="C4778">
        <v>0.66454288810179496</v>
      </c>
      <c r="D4778">
        <v>3.6496575387441797E-2</v>
      </c>
      <c r="E4778">
        <v>0.99778736464203199</v>
      </c>
      <c r="F4778">
        <v>20.280460699131101</v>
      </c>
    </row>
    <row r="4779" spans="1:6">
      <c r="A4779" t="s">
        <v>53629</v>
      </c>
      <c r="B4779" t="s">
        <v>53631</v>
      </c>
      <c r="C4779">
        <v>-1.4496227093791201</v>
      </c>
      <c r="D4779">
        <v>3.6496575387441797E-2</v>
      </c>
      <c r="E4779">
        <v>0.99778736464203199</v>
      </c>
      <c r="F4779">
        <v>20.280460699131101</v>
      </c>
    </row>
    <row r="4780" spans="1:6">
      <c r="A4780" t="s">
        <v>53629</v>
      </c>
      <c r="B4780" t="s">
        <v>53632</v>
      </c>
      <c r="C4780">
        <v>0</v>
      </c>
      <c r="D4780">
        <v>3.6496575387441797E-2</v>
      </c>
      <c r="E4780">
        <v>0.99778736464203199</v>
      </c>
      <c r="F4780">
        <v>20.280460699131101</v>
      </c>
    </row>
    <row r="4781" spans="1:6">
      <c r="A4781" t="s">
        <v>53629</v>
      </c>
      <c r="B4781" t="s">
        <v>53633</v>
      </c>
      <c r="C4781">
        <v>0</v>
      </c>
      <c r="D4781">
        <v>3.6496575387441797E-2</v>
      </c>
      <c r="E4781">
        <v>0.99778736464203199</v>
      </c>
      <c r="F4781">
        <v>20.280460699131101</v>
      </c>
    </row>
    <row r="4782" spans="1:6">
      <c r="A4782" t="s">
        <v>53629</v>
      </c>
      <c r="B4782" t="s">
        <v>53634</v>
      </c>
      <c r="C4782">
        <v>0</v>
      </c>
      <c r="D4782">
        <v>3.6496575387441797E-2</v>
      </c>
      <c r="E4782">
        <v>0.99778736464203199</v>
      </c>
      <c r="F4782">
        <v>20.280460699131101</v>
      </c>
    </row>
    <row r="4783" spans="1:6">
      <c r="A4783" t="s">
        <v>53635</v>
      </c>
      <c r="B4783" t="s">
        <v>53636</v>
      </c>
      <c r="C4783">
        <v>0.84685989900417502</v>
      </c>
      <c r="D4783">
        <v>0.46023929484258502</v>
      </c>
      <c r="E4783">
        <v>0.92525989900417505</v>
      </c>
      <c r="F4783">
        <v>22.099009900990001</v>
      </c>
    </row>
    <row r="4784" spans="1:6">
      <c r="A4784" t="s">
        <v>53635</v>
      </c>
      <c r="B4784" t="s">
        <v>53637</v>
      </c>
      <c r="C4784">
        <v>0</v>
      </c>
      <c r="D4784">
        <v>0.46023929484258502</v>
      </c>
      <c r="E4784">
        <v>0.92525989900417505</v>
      </c>
      <c r="F4784">
        <v>22.099009900990001</v>
      </c>
    </row>
    <row r="4785" spans="1:6">
      <c r="A4785" t="s">
        <v>53638</v>
      </c>
      <c r="B4785" t="s">
        <v>53639</v>
      </c>
      <c r="C4785">
        <v>0</v>
      </c>
      <c r="D4785">
        <v>0.30489761399398901</v>
      </c>
      <c r="E4785">
        <v>0.78429817607846297</v>
      </c>
      <c r="F4785">
        <v>15.867447969286699</v>
      </c>
    </row>
    <row r="4786" spans="1:6">
      <c r="A4786" t="s">
        <v>53638</v>
      </c>
      <c r="B4786" t="s">
        <v>53640</v>
      </c>
      <c r="C4786">
        <v>0</v>
      </c>
      <c r="D4786">
        <v>0.30489761399398901</v>
      </c>
      <c r="E4786">
        <v>0.78429817607846297</v>
      </c>
      <c r="F4786">
        <v>15.867447969286699</v>
      </c>
    </row>
    <row r="4787" spans="1:6">
      <c r="A4787" t="s">
        <v>53638</v>
      </c>
      <c r="B4787" t="s">
        <v>53641</v>
      </c>
      <c r="C4787">
        <v>0.39229817607846301</v>
      </c>
      <c r="D4787">
        <v>0.30489761399398901</v>
      </c>
      <c r="E4787">
        <v>0.78429817607846297</v>
      </c>
      <c r="F4787">
        <v>15.867447969286699</v>
      </c>
    </row>
    <row r="4788" spans="1:6">
      <c r="A4788" t="s">
        <v>53642</v>
      </c>
      <c r="B4788" t="s">
        <v>53643</v>
      </c>
      <c r="C4788">
        <v>0</v>
      </c>
      <c r="D4788">
        <v>1.26316456703008E-2</v>
      </c>
      <c r="E4788">
        <v>0.97020216749341803</v>
      </c>
      <c r="F4788">
        <v>12.3418872499494</v>
      </c>
    </row>
    <row r="4789" spans="1:6">
      <c r="A4789" t="s">
        <v>53642</v>
      </c>
      <c r="B4789" t="s">
        <v>53644</v>
      </c>
      <c r="C4789">
        <v>0</v>
      </c>
      <c r="D4789">
        <v>1.26316456703008E-2</v>
      </c>
      <c r="E4789">
        <v>0.97020216749341803</v>
      </c>
      <c r="F4789">
        <v>12.3418872499494</v>
      </c>
    </row>
    <row r="4790" spans="1:6">
      <c r="A4790" t="s">
        <v>53642</v>
      </c>
      <c r="B4790" t="s">
        <v>53645</v>
      </c>
      <c r="C4790">
        <v>0</v>
      </c>
      <c r="D4790">
        <v>1.26316456703008E-2</v>
      </c>
      <c r="E4790">
        <v>0.97020216749341803</v>
      </c>
      <c r="F4790">
        <v>12.3418872499494</v>
      </c>
    </row>
    <row r="4791" spans="1:6">
      <c r="A4791" t="s">
        <v>53642</v>
      </c>
      <c r="B4791" t="s">
        <v>53646</v>
      </c>
      <c r="C4791">
        <v>0</v>
      </c>
      <c r="D4791">
        <v>1.26316456703008E-2</v>
      </c>
      <c r="E4791">
        <v>0.97020216749341803</v>
      </c>
      <c r="F4791">
        <v>12.3418872499494</v>
      </c>
    </row>
    <row r="4792" spans="1:6">
      <c r="A4792" t="s">
        <v>53642</v>
      </c>
      <c r="B4792" t="s">
        <v>53647</v>
      </c>
      <c r="C4792">
        <v>0</v>
      </c>
      <c r="D4792">
        <v>1.26316456703008E-2</v>
      </c>
      <c r="E4792">
        <v>0.97020216749341803</v>
      </c>
      <c r="F4792">
        <v>12.3418872499494</v>
      </c>
    </row>
    <row r="4793" spans="1:6">
      <c r="A4793" t="s">
        <v>53642</v>
      </c>
      <c r="B4793" t="s">
        <v>53648</v>
      </c>
      <c r="C4793">
        <v>0</v>
      </c>
      <c r="D4793">
        <v>1.26316456703008E-2</v>
      </c>
      <c r="E4793">
        <v>0.97020216749341803</v>
      </c>
      <c r="F4793">
        <v>12.3418872499494</v>
      </c>
    </row>
    <row r="4794" spans="1:6">
      <c r="A4794" t="s">
        <v>53642</v>
      </c>
      <c r="B4794" t="s">
        <v>53649</v>
      </c>
      <c r="C4794">
        <v>0</v>
      </c>
      <c r="D4794">
        <v>1.26316456703008E-2</v>
      </c>
      <c r="E4794">
        <v>0.97020216749341803</v>
      </c>
      <c r="F4794">
        <v>12.3418872499494</v>
      </c>
    </row>
    <row r="4795" spans="1:6">
      <c r="A4795" t="s">
        <v>53642</v>
      </c>
      <c r="B4795" t="s">
        <v>53650</v>
      </c>
      <c r="C4795">
        <v>0.75566832609627199</v>
      </c>
      <c r="D4795">
        <v>1.26316456703008E-2</v>
      </c>
      <c r="E4795">
        <v>0.97020216749341803</v>
      </c>
      <c r="F4795">
        <v>12.3418872499494</v>
      </c>
    </row>
    <row r="4796" spans="1:6">
      <c r="A4796" t="s">
        <v>53642</v>
      </c>
      <c r="B4796" t="s">
        <v>53651</v>
      </c>
      <c r="C4796">
        <v>0.20119055622552301</v>
      </c>
      <c r="D4796">
        <v>1.26316456703008E-2</v>
      </c>
      <c r="E4796">
        <v>0.97020216749341803</v>
      </c>
      <c r="F4796">
        <v>12.3418872499494</v>
      </c>
    </row>
    <row r="4797" spans="1:6">
      <c r="A4797" t="s">
        <v>53652</v>
      </c>
      <c r="B4797" t="s">
        <v>53653</v>
      </c>
      <c r="C4797">
        <v>0</v>
      </c>
      <c r="D4797">
        <v>0.77029706791374397</v>
      </c>
      <c r="E4797">
        <v>0.99580778123370595</v>
      </c>
      <c r="F4797">
        <v>9.4128106688219795</v>
      </c>
    </row>
    <row r="4798" spans="1:6">
      <c r="A4798" t="s">
        <v>53652</v>
      </c>
      <c r="B4798" t="s">
        <v>53654</v>
      </c>
      <c r="C4798">
        <v>0</v>
      </c>
      <c r="D4798">
        <v>0.77029706791374397</v>
      </c>
      <c r="E4798">
        <v>0.99580778123370595</v>
      </c>
      <c r="F4798">
        <v>9.4128106688219795</v>
      </c>
    </row>
    <row r="4799" spans="1:6">
      <c r="A4799" t="s">
        <v>53652</v>
      </c>
      <c r="B4799" t="s">
        <v>53655</v>
      </c>
      <c r="C4799">
        <v>0</v>
      </c>
      <c r="D4799">
        <v>0.77029706791374397</v>
      </c>
      <c r="E4799">
        <v>0.99580778123370595</v>
      </c>
      <c r="F4799">
        <v>9.4128106688219795</v>
      </c>
    </row>
    <row r="4800" spans="1:6">
      <c r="A4800" t="s">
        <v>53652</v>
      </c>
      <c r="B4800" t="s">
        <v>53656</v>
      </c>
      <c r="C4800">
        <v>0</v>
      </c>
      <c r="D4800">
        <v>0.77029706791374397</v>
      </c>
      <c r="E4800">
        <v>0.99580778123370595</v>
      </c>
      <c r="F4800">
        <v>9.4128106688219795</v>
      </c>
    </row>
    <row r="4801" spans="1:6">
      <c r="A4801" t="s">
        <v>53652</v>
      </c>
      <c r="B4801" t="s">
        <v>53657</v>
      </c>
      <c r="C4801">
        <v>0</v>
      </c>
      <c r="D4801">
        <v>0.77029706791374397</v>
      </c>
      <c r="E4801">
        <v>0.99580778123370595</v>
      </c>
      <c r="F4801">
        <v>9.4128106688219795</v>
      </c>
    </row>
    <row r="4802" spans="1:6">
      <c r="A4802" t="s">
        <v>53652</v>
      </c>
      <c r="B4802" t="s">
        <v>53658</v>
      </c>
      <c r="C4802">
        <v>0.72464470496236499</v>
      </c>
      <c r="D4802">
        <v>0.77029706791374397</v>
      </c>
      <c r="E4802">
        <v>0.99580778123370595</v>
      </c>
      <c r="F4802">
        <v>9.4128106688219795</v>
      </c>
    </row>
    <row r="4803" spans="1:6">
      <c r="A4803" t="s">
        <v>53652</v>
      </c>
      <c r="B4803" t="s">
        <v>53659</v>
      </c>
      <c r="C4803">
        <v>0.36960173288950199</v>
      </c>
      <c r="D4803">
        <v>0.77029706791374397</v>
      </c>
      <c r="E4803">
        <v>0.99580778123370595</v>
      </c>
      <c r="F4803">
        <v>9.4128106688219795</v>
      </c>
    </row>
    <row r="4804" spans="1:6">
      <c r="A4804" t="s">
        <v>53660</v>
      </c>
      <c r="B4804" t="s">
        <v>53661</v>
      </c>
      <c r="C4804">
        <v>0</v>
      </c>
      <c r="D4804">
        <v>0.15941175974368599</v>
      </c>
      <c r="E4804">
        <v>0.88133978950509095</v>
      </c>
      <c r="F4804">
        <v>14.330167710648601</v>
      </c>
    </row>
    <row r="4805" spans="1:6">
      <c r="A4805" t="s">
        <v>53660</v>
      </c>
      <c r="B4805" t="s">
        <v>53662</v>
      </c>
      <c r="C4805">
        <v>0</v>
      </c>
      <c r="D4805">
        <v>0.15941175974368599</v>
      </c>
      <c r="E4805">
        <v>0.88133978950509095</v>
      </c>
      <c r="F4805">
        <v>14.330167710648601</v>
      </c>
    </row>
    <row r="4806" spans="1:6">
      <c r="A4806" t="s">
        <v>53660</v>
      </c>
      <c r="B4806" t="s">
        <v>53663</v>
      </c>
      <c r="C4806">
        <v>0</v>
      </c>
      <c r="D4806">
        <v>0.15941175974368599</v>
      </c>
      <c r="E4806">
        <v>0.88133978950509095</v>
      </c>
      <c r="F4806">
        <v>14.330167710648601</v>
      </c>
    </row>
    <row r="4807" spans="1:6">
      <c r="A4807" t="s">
        <v>53660</v>
      </c>
      <c r="B4807" t="s">
        <v>53664</v>
      </c>
      <c r="C4807">
        <v>0</v>
      </c>
      <c r="D4807">
        <v>0.15941175974368599</v>
      </c>
      <c r="E4807">
        <v>0.88133978950509095</v>
      </c>
      <c r="F4807">
        <v>14.330167710648601</v>
      </c>
    </row>
    <row r="4808" spans="1:6">
      <c r="A4808" t="s">
        <v>53660</v>
      </c>
      <c r="B4808" t="s">
        <v>53665</v>
      </c>
      <c r="C4808">
        <v>0.64933978950509097</v>
      </c>
      <c r="D4808">
        <v>0.15941175974368599</v>
      </c>
      <c r="E4808">
        <v>0.88133978950509095</v>
      </c>
      <c r="F4808">
        <v>14.330167710648601</v>
      </c>
    </row>
    <row r="4809" spans="1:6">
      <c r="A4809" t="s">
        <v>53666</v>
      </c>
      <c r="B4809" t="s">
        <v>53667</v>
      </c>
      <c r="C4809">
        <v>2.7474971644421298E-2</v>
      </c>
      <c r="D4809">
        <v>0.60136737665579099</v>
      </c>
      <c r="E4809">
        <v>0.97622086228975902</v>
      </c>
      <c r="F4809">
        <v>6.1200242473226902</v>
      </c>
    </row>
    <row r="4810" spans="1:6">
      <c r="A4810" t="s">
        <v>53666</v>
      </c>
      <c r="B4810" t="s">
        <v>53668</v>
      </c>
      <c r="C4810">
        <v>0</v>
      </c>
      <c r="D4810">
        <v>0.60136737665579099</v>
      </c>
      <c r="E4810">
        <v>0.97622086228975902</v>
      </c>
      <c r="F4810">
        <v>6.1200242473226902</v>
      </c>
    </row>
    <row r="4811" spans="1:6">
      <c r="A4811" t="s">
        <v>53666</v>
      </c>
      <c r="B4811" t="s">
        <v>53669</v>
      </c>
      <c r="C4811">
        <v>0</v>
      </c>
      <c r="D4811">
        <v>0.60136737665579099</v>
      </c>
      <c r="E4811">
        <v>0.97622086228975902</v>
      </c>
      <c r="F4811">
        <v>6.1200242473226902</v>
      </c>
    </row>
    <row r="4812" spans="1:6">
      <c r="A4812" t="s">
        <v>53666</v>
      </c>
      <c r="B4812" t="s">
        <v>53670</v>
      </c>
      <c r="C4812">
        <v>0</v>
      </c>
      <c r="D4812">
        <v>0.60136737665579099</v>
      </c>
      <c r="E4812">
        <v>0.97622086228975902</v>
      </c>
      <c r="F4812">
        <v>6.1200242473226902</v>
      </c>
    </row>
    <row r="4813" spans="1:6">
      <c r="A4813" t="s">
        <v>53666</v>
      </c>
      <c r="B4813" t="s">
        <v>53671</v>
      </c>
      <c r="C4813">
        <v>0</v>
      </c>
      <c r="D4813">
        <v>0.60136737665579099</v>
      </c>
      <c r="E4813">
        <v>0.97622086228975902</v>
      </c>
      <c r="F4813">
        <v>6.1200242473226902</v>
      </c>
    </row>
    <row r="4814" spans="1:6">
      <c r="A4814" t="s">
        <v>53666</v>
      </c>
      <c r="B4814" t="s">
        <v>53672</v>
      </c>
      <c r="C4814">
        <v>0.82667068589578796</v>
      </c>
      <c r="D4814">
        <v>0.60136737665579099</v>
      </c>
      <c r="E4814">
        <v>0.97622086228975902</v>
      </c>
      <c r="F4814">
        <v>6.1200242473226902</v>
      </c>
    </row>
    <row r="4815" spans="1:6">
      <c r="A4815" t="s">
        <v>53666</v>
      </c>
      <c r="B4815" t="s">
        <v>53673</v>
      </c>
      <c r="C4815">
        <v>0</v>
      </c>
      <c r="D4815">
        <v>0.60136737665579099</v>
      </c>
      <c r="E4815">
        <v>0.97622086228975902</v>
      </c>
      <c r="F4815">
        <v>6.1200242473226902</v>
      </c>
    </row>
    <row r="4816" spans="1:6">
      <c r="A4816" t="s">
        <v>53666</v>
      </c>
      <c r="B4816" t="s">
        <v>53674</v>
      </c>
      <c r="C4816">
        <v>0</v>
      </c>
      <c r="D4816">
        <v>0.60136737665579099</v>
      </c>
      <c r="E4816">
        <v>0.97622086228975902</v>
      </c>
      <c r="F4816">
        <v>6.1200242473226902</v>
      </c>
    </row>
    <row r="4817" spans="1:6">
      <c r="A4817" t="s">
        <v>53675</v>
      </c>
      <c r="B4817" t="s">
        <v>53676</v>
      </c>
      <c r="C4817">
        <v>0</v>
      </c>
      <c r="D4817">
        <v>0.211742875512067</v>
      </c>
      <c r="E4817">
        <v>0.84370020069435903</v>
      </c>
      <c r="F4817">
        <v>1.0280864821175899</v>
      </c>
    </row>
    <row r="4818" spans="1:6">
      <c r="A4818" t="s">
        <v>53675</v>
      </c>
      <c r="B4818" t="s">
        <v>53677</v>
      </c>
      <c r="C4818">
        <v>0.37010020069435901</v>
      </c>
      <c r="D4818">
        <v>0.211742875512067</v>
      </c>
      <c r="E4818">
        <v>0.84370020069435903</v>
      </c>
      <c r="F4818">
        <v>1.0280864821175899</v>
      </c>
    </row>
    <row r="4819" spans="1:6">
      <c r="A4819" t="s">
        <v>53675</v>
      </c>
      <c r="B4819" t="s">
        <v>53678</v>
      </c>
      <c r="C4819">
        <v>0</v>
      </c>
      <c r="D4819">
        <v>0.211742875512067</v>
      </c>
      <c r="E4819">
        <v>0.84370020069435903</v>
      </c>
      <c r="F4819">
        <v>1.0280864821175899</v>
      </c>
    </row>
    <row r="4820" spans="1:6">
      <c r="A4820" t="s">
        <v>53675</v>
      </c>
      <c r="B4820" t="s">
        <v>53679</v>
      </c>
      <c r="C4820">
        <v>0</v>
      </c>
      <c r="D4820">
        <v>0.211742875512067</v>
      </c>
      <c r="E4820">
        <v>0.84370020069435903</v>
      </c>
      <c r="F4820">
        <v>1.0280864821175899</v>
      </c>
    </row>
    <row r="4821" spans="1:6">
      <c r="A4821" t="s">
        <v>53675</v>
      </c>
      <c r="B4821" t="s">
        <v>53680</v>
      </c>
      <c r="C4821">
        <v>0</v>
      </c>
      <c r="D4821">
        <v>0.211742875512067</v>
      </c>
      <c r="E4821">
        <v>0.84370020069435903</v>
      </c>
      <c r="F4821">
        <v>1.0280864821175899</v>
      </c>
    </row>
    <row r="4822" spans="1:6">
      <c r="A4822" t="s">
        <v>53675</v>
      </c>
      <c r="B4822" t="s">
        <v>53681</v>
      </c>
      <c r="C4822">
        <v>0</v>
      </c>
      <c r="D4822">
        <v>0.211742875512067</v>
      </c>
      <c r="E4822">
        <v>0.84370020069435903</v>
      </c>
      <c r="F4822">
        <v>1.0280864821175899</v>
      </c>
    </row>
    <row r="4823" spans="1:6">
      <c r="A4823" t="s">
        <v>53675</v>
      </c>
      <c r="B4823" t="s">
        <v>53682</v>
      </c>
      <c r="C4823">
        <v>0</v>
      </c>
      <c r="D4823">
        <v>0.211742875512067</v>
      </c>
      <c r="E4823">
        <v>0.84370020069435903</v>
      </c>
      <c r="F4823">
        <v>1.0280864821175899</v>
      </c>
    </row>
    <row r="4824" spans="1:6">
      <c r="A4824" t="s">
        <v>53675</v>
      </c>
      <c r="B4824" t="s">
        <v>53683</v>
      </c>
      <c r="C4824">
        <v>0</v>
      </c>
      <c r="D4824">
        <v>0.211742875512067</v>
      </c>
      <c r="E4824">
        <v>0.84370020069435903</v>
      </c>
      <c r="F4824">
        <v>1.0280864821175899</v>
      </c>
    </row>
    <row r="4825" spans="1:6">
      <c r="A4825" t="s">
        <v>53684</v>
      </c>
      <c r="B4825" t="s">
        <v>53685</v>
      </c>
      <c r="C4825">
        <v>0.80978749087207003</v>
      </c>
      <c r="D4825">
        <v>0.32800942971685099</v>
      </c>
      <c r="E4825">
        <v>0.93938749087206996</v>
      </c>
      <c r="F4825">
        <v>16.265104061426499</v>
      </c>
    </row>
    <row r="4826" spans="1:6">
      <c r="A4826" t="s">
        <v>53684</v>
      </c>
      <c r="B4826" t="s">
        <v>53686</v>
      </c>
      <c r="C4826">
        <v>0</v>
      </c>
      <c r="D4826">
        <v>0.32800942971685099</v>
      </c>
      <c r="E4826">
        <v>0.93938749087206996</v>
      </c>
      <c r="F4826">
        <v>16.265104061426499</v>
      </c>
    </row>
    <row r="4827" spans="1:6">
      <c r="A4827" t="s">
        <v>53687</v>
      </c>
      <c r="B4827" t="s">
        <v>53688</v>
      </c>
      <c r="C4827">
        <v>0</v>
      </c>
      <c r="D4827">
        <v>2.6709456057206499E-2</v>
      </c>
      <c r="E4827">
        <v>0.85296202976817304</v>
      </c>
      <c r="F4827">
        <v>18.534653465346501</v>
      </c>
    </row>
    <row r="4828" spans="1:6">
      <c r="A4828" t="s">
        <v>53687</v>
      </c>
      <c r="B4828" t="s">
        <v>53689</v>
      </c>
      <c r="C4828">
        <v>0</v>
      </c>
      <c r="D4828">
        <v>2.6709456057206499E-2</v>
      </c>
      <c r="E4828">
        <v>0.85296202976817304</v>
      </c>
      <c r="F4828">
        <v>18.534653465346501</v>
      </c>
    </row>
    <row r="4829" spans="1:6">
      <c r="A4829" t="s">
        <v>53687</v>
      </c>
      <c r="B4829" t="s">
        <v>53690</v>
      </c>
      <c r="C4829">
        <v>0</v>
      </c>
      <c r="D4829">
        <v>2.6709456057206499E-2</v>
      </c>
      <c r="E4829">
        <v>0.85296202976817304</v>
      </c>
      <c r="F4829">
        <v>18.534653465346501</v>
      </c>
    </row>
    <row r="4830" spans="1:6">
      <c r="A4830" t="s">
        <v>53687</v>
      </c>
      <c r="B4830" t="s">
        <v>53691</v>
      </c>
      <c r="C4830">
        <v>0.27536202976817298</v>
      </c>
      <c r="D4830">
        <v>2.6709456057206499E-2</v>
      </c>
      <c r="E4830">
        <v>0.85296202976817304</v>
      </c>
      <c r="F4830">
        <v>18.534653465346501</v>
      </c>
    </row>
    <row r="4831" spans="1:6">
      <c r="A4831" t="s">
        <v>53687</v>
      </c>
      <c r="B4831" t="s">
        <v>53692</v>
      </c>
      <c r="C4831">
        <v>0</v>
      </c>
      <c r="D4831">
        <v>2.6709456057206499E-2</v>
      </c>
      <c r="E4831">
        <v>0.85296202976817304</v>
      </c>
      <c r="F4831">
        <v>18.534653465346501</v>
      </c>
    </row>
    <row r="4832" spans="1:6">
      <c r="A4832" t="s">
        <v>53687</v>
      </c>
      <c r="B4832" t="s">
        <v>53693</v>
      </c>
      <c r="C4832">
        <v>0</v>
      </c>
      <c r="D4832">
        <v>2.6709456057206499E-2</v>
      </c>
      <c r="E4832">
        <v>0.85296202976817304</v>
      </c>
      <c r="F4832">
        <v>18.534653465346501</v>
      </c>
    </row>
    <row r="4833" spans="1:6">
      <c r="A4833" t="s">
        <v>53687</v>
      </c>
      <c r="B4833" t="s">
        <v>53694</v>
      </c>
      <c r="C4833">
        <v>0</v>
      </c>
      <c r="D4833">
        <v>2.6709456057206499E-2</v>
      </c>
      <c r="E4833">
        <v>0.85296202976817304</v>
      </c>
      <c r="F4833">
        <v>18.534653465346501</v>
      </c>
    </row>
    <row r="4834" spans="1:6">
      <c r="A4834" t="s">
        <v>53687</v>
      </c>
      <c r="B4834" t="s">
        <v>53695</v>
      </c>
      <c r="C4834">
        <v>0</v>
      </c>
      <c r="D4834">
        <v>2.6709456057206499E-2</v>
      </c>
      <c r="E4834">
        <v>0.85296202976817304</v>
      </c>
      <c r="F4834">
        <v>18.534653465346501</v>
      </c>
    </row>
    <row r="4835" spans="1:6">
      <c r="A4835" t="s">
        <v>53687</v>
      </c>
      <c r="B4835" t="s">
        <v>53696</v>
      </c>
      <c r="C4835">
        <v>0</v>
      </c>
      <c r="D4835">
        <v>2.6709456057206499E-2</v>
      </c>
      <c r="E4835">
        <v>0.85296202976817304</v>
      </c>
      <c r="F4835">
        <v>18.534653465346501</v>
      </c>
    </row>
    <row r="4836" spans="1:6">
      <c r="A4836" t="s">
        <v>53697</v>
      </c>
      <c r="B4836" t="s">
        <v>53698</v>
      </c>
      <c r="C4836">
        <v>0.644861366027492</v>
      </c>
      <c r="D4836">
        <v>0.63782441622913399</v>
      </c>
      <c r="E4836">
        <v>0.95822922853779802</v>
      </c>
      <c r="F4836">
        <v>16.0662760153566</v>
      </c>
    </row>
    <row r="4837" spans="1:6">
      <c r="A4837" t="s">
        <v>53697</v>
      </c>
      <c r="B4837" t="s">
        <v>53699</v>
      </c>
      <c r="C4837">
        <v>0.22125764190792199</v>
      </c>
      <c r="D4837">
        <v>0.63782441622913399</v>
      </c>
      <c r="E4837">
        <v>0.95822922853779802</v>
      </c>
      <c r="F4837">
        <v>16.0662760153566</v>
      </c>
    </row>
    <row r="4838" spans="1:6">
      <c r="A4838" t="s">
        <v>53697</v>
      </c>
      <c r="B4838" t="s">
        <v>53700</v>
      </c>
      <c r="C4838">
        <v>0</v>
      </c>
      <c r="D4838">
        <v>0.63782441622913399</v>
      </c>
      <c r="E4838">
        <v>0.95822922853779802</v>
      </c>
      <c r="F4838">
        <v>16.0662760153566</v>
      </c>
    </row>
    <row r="4839" spans="1:6">
      <c r="A4839" t="s">
        <v>53697</v>
      </c>
      <c r="B4839" t="s">
        <v>53701</v>
      </c>
      <c r="C4839">
        <v>0</v>
      </c>
      <c r="D4839">
        <v>0.63782441622913399</v>
      </c>
      <c r="E4839">
        <v>0.95822922853779802</v>
      </c>
      <c r="F4839">
        <v>16.0662760153566</v>
      </c>
    </row>
    <row r="4840" spans="1:6">
      <c r="A4840" t="s">
        <v>53697</v>
      </c>
      <c r="B4840" t="s">
        <v>53702</v>
      </c>
      <c r="C4840">
        <v>0</v>
      </c>
      <c r="D4840">
        <v>0.63782441622913399</v>
      </c>
      <c r="E4840">
        <v>0.95822922853779802</v>
      </c>
      <c r="F4840">
        <v>16.0662760153566</v>
      </c>
    </row>
    <row r="4841" spans="1:6">
      <c r="A4841" t="s">
        <v>53703</v>
      </c>
      <c r="B4841" t="s">
        <v>53704</v>
      </c>
      <c r="C4841">
        <v>0</v>
      </c>
      <c r="D4841">
        <v>0.36863909328415501</v>
      </c>
      <c r="E4841" t="s">
        <v>106</v>
      </c>
      <c r="F4841">
        <v>10.5039401899373</v>
      </c>
    </row>
    <row r="4842" spans="1:6">
      <c r="A4842" t="s">
        <v>53703</v>
      </c>
      <c r="B4842" t="s">
        <v>53705</v>
      </c>
      <c r="C4842">
        <v>0</v>
      </c>
      <c r="D4842">
        <v>0.36863909328415501</v>
      </c>
      <c r="E4842" t="s">
        <v>106</v>
      </c>
      <c r="F4842">
        <v>10.5039401899373</v>
      </c>
    </row>
    <row r="4843" spans="1:6">
      <c r="A4843" t="s">
        <v>53703</v>
      </c>
      <c r="B4843" t="s">
        <v>53706</v>
      </c>
      <c r="C4843">
        <v>0</v>
      </c>
      <c r="D4843">
        <v>0.36863909328415501</v>
      </c>
      <c r="E4843" t="s">
        <v>106</v>
      </c>
      <c r="F4843">
        <v>10.5039401899373</v>
      </c>
    </row>
    <row r="4844" spans="1:6">
      <c r="A4844" t="s">
        <v>53707</v>
      </c>
      <c r="B4844" t="s">
        <v>53708</v>
      </c>
      <c r="C4844">
        <v>0.34712902964359899</v>
      </c>
      <c r="D4844">
        <v>4.1372386482182701E-2</v>
      </c>
      <c r="E4844">
        <v>0.987687731696553</v>
      </c>
      <c r="F4844">
        <v>6.4934330167710597</v>
      </c>
    </row>
    <row r="4845" spans="1:6">
      <c r="A4845" t="s">
        <v>53707</v>
      </c>
      <c r="B4845" t="s">
        <v>53709</v>
      </c>
      <c r="C4845">
        <v>0</v>
      </c>
      <c r="D4845">
        <v>4.1372386482182701E-2</v>
      </c>
      <c r="E4845">
        <v>0.987687731696553</v>
      </c>
      <c r="F4845">
        <v>6.4934330167710597</v>
      </c>
    </row>
    <row r="4846" spans="1:6">
      <c r="A4846" t="s">
        <v>53707</v>
      </c>
      <c r="B4846" t="s">
        <v>53710</v>
      </c>
      <c r="C4846">
        <v>0</v>
      </c>
      <c r="D4846">
        <v>4.1372386482182701E-2</v>
      </c>
      <c r="E4846">
        <v>0.987687731696553</v>
      </c>
      <c r="F4846">
        <v>6.4934330167710597</v>
      </c>
    </row>
    <row r="4847" spans="1:6">
      <c r="A4847" t="s">
        <v>53707</v>
      </c>
      <c r="B4847" t="s">
        <v>53711</v>
      </c>
      <c r="C4847">
        <v>0</v>
      </c>
      <c r="D4847">
        <v>4.1372386482182701E-2</v>
      </c>
      <c r="E4847">
        <v>0.987687731696553</v>
      </c>
      <c r="F4847">
        <v>6.4934330167710597</v>
      </c>
    </row>
    <row r="4848" spans="1:6">
      <c r="A4848" t="s">
        <v>53707</v>
      </c>
      <c r="B4848" t="s">
        <v>53712</v>
      </c>
      <c r="C4848">
        <v>0</v>
      </c>
      <c r="D4848">
        <v>4.1372386482182701E-2</v>
      </c>
      <c r="E4848">
        <v>0.987687731696553</v>
      </c>
      <c r="F4848">
        <v>6.4934330167710597</v>
      </c>
    </row>
    <row r="4849" spans="1:6">
      <c r="A4849" t="s">
        <v>53707</v>
      </c>
      <c r="B4849" t="s">
        <v>53713</v>
      </c>
      <c r="C4849">
        <v>0</v>
      </c>
      <c r="D4849">
        <v>4.1372386482182701E-2</v>
      </c>
      <c r="E4849">
        <v>0.987687731696553</v>
      </c>
      <c r="F4849">
        <v>6.4934330167710597</v>
      </c>
    </row>
    <row r="4850" spans="1:6">
      <c r="A4850" t="s">
        <v>53707</v>
      </c>
      <c r="B4850" t="s">
        <v>53714</v>
      </c>
      <c r="C4850">
        <v>0.650534449062107</v>
      </c>
      <c r="D4850">
        <v>4.1372386482182701E-2</v>
      </c>
      <c r="E4850">
        <v>0.987687731696553</v>
      </c>
      <c r="F4850">
        <v>6.4934330167710597</v>
      </c>
    </row>
    <row r="4851" spans="1:6">
      <c r="A4851" t="s">
        <v>53715</v>
      </c>
      <c r="B4851" t="s">
        <v>53716</v>
      </c>
      <c r="C4851">
        <v>0.33406286990901701</v>
      </c>
      <c r="D4851">
        <v>0.35597810673971297</v>
      </c>
      <c r="E4851">
        <v>0.65560082115510898</v>
      </c>
      <c r="F4851">
        <v>3.8165285916346701</v>
      </c>
    </row>
    <row r="4852" spans="1:6">
      <c r="A4852" t="s">
        <v>53715</v>
      </c>
      <c r="B4852" t="s">
        <v>53717</v>
      </c>
      <c r="C4852">
        <v>0.10759020463815</v>
      </c>
      <c r="D4852">
        <v>0.35597810673971297</v>
      </c>
      <c r="E4852">
        <v>0.65560082115510898</v>
      </c>
      <c r="F4852">
        <v>3.8165285916346701</v>
      </c>
    </row>
    <row r="4853" spans="1:6">
      <c r="A4853" t="s">
        <v>53715</v>
      </c>
      <c r="B4853" t="s">
        <v>53718</v>
      </c>
      <c r="C4853">
        <v>0</v>
      </c>
      <c r="D4853">
        <v>0.35597810673971297</v>
      </c>
      <c r="E4853">
        <v>0.65560082115510898</v>
      </c>
      <c r="F4853">
        <v>3.8165285916346701</v>
      </c>
    </row>
    <row r="4854" spans="1:6">
      <c r="A4854" t="s">
        <v>53719</v>
      </c>
      <c r="B4854" t="s">
        <v>53720</v>
      </c>
      <c r="C4854">
        <v>0.75853534138048795</v>
      </c>
      <c r="D4854">
        <v>0.69901284690923005</v>
      </c>
      <c r="E4854">
        <v>0.92576987596663496</v>
      </c>
      <c r="F4854">
        <v>24</v>
      </c>
    </row>
    <row r="4855" spans="1:6">
      <c r="A4855" t="s">
        <v>53719</v>
      </c>
      <c r="B4855" t="s">
        <v>53721</v>
      </c>
      <c r="C4855">
        <v>5.2953197017128299E-2</v>
      </c>
      <c r="D4855">
        <v>0.69901284690923005</v>
      </c>
      <c r="E4855">
        <v>0.92576987596663496</v>
      </c>
      <c r="F4855">
        <v>24</v>
      </c>
    </row>
    <row r="4856" spans="1:6">
      <c r="A4856" t="s">
        <v>53719</v>
      </c>
      <c r="B4856" t="s">
        <v>53722</v>
      </c>
      <c r="C4856">
        <v>0</v>
      </c>
      <c r="D4856">
        <v>0.69901284690923005</v>
      </c>
      <c r="E4856">
        <v>0.92576987596663496</v>
      </c>
      <c r="F4856">
        <v>24</v>
      </c>
    </row>
    <row r="4857" spans="1:6">
      <c r="A4857" t="s">
        <v>53719</v>
      </c>
      <c r="B4857" t="s">
        <v>53723</v>
      </c>
      <c r="C4857">
        <v>0</v>
      </c>
      <c r="D4857">
        <v>0.69901284690923005</v>
      </c>
      <c r="E4857">
        <v>0.92576987596663496</v>
      </c>
      <c r="F4857">
        <v>24</v>
      </c>
    </row>
    <row r="4858" spans="1:6">
      <c r="A4858" t="s">
        <v>53724</v>
      </c>
      <c r="B4858" t="s">
        <v>53725</v>
      </c>
      <c r="C4858">
        <v>0.44328913241439799</v>
      </c>
      <c r="D4858">
        <v>0.43988984748981003</v>
      </c>
      <c r="E4858">
        <v>0.924808785732673</v>
      </c>
      <c r="F4858">
        <v>14.8975550616286</v>
      </c>
    </row>
    <row r="4859" spans="1:6">
      <c r="A4859" t="s">
        <v>53724</v>
      </c>
      <c r="B4859" t="s">
        <v>53726</v>
      </c>
      <c r="C4859">
        <v>0</v>
      </c>
      <c r="D4859">
        <v>0.43988984748981003</v>
      </c>
      <c r="E4859">
        <v>0.924808785732673</v>
      </c>
      <c r="F4859">
        <v>14.8975550616286</v>
      </c>
    </row>
    <row r="4860" spans="1:6">
      <c r="A4860" t="s">
        <v>53724</v>
      </c>
      <c r="B4860" t="s">
        <v>53727</v>
      </c>
      <c r="C4860">
        <v>0.68442206523448901</v>
      </c>
      <c r="D4860">
        <v>0.43988984748981003</v>
      </c>
      <c r="E4860">
        <v>0.924808785732673</v>
      </c>
      <c r="F4860">
        <v>14.8975550616286</v>
      </c>
    </row>
    <row r="4861" spans="1:6">
      <c r="A4861" t="s">
        <v>53724</v>
      </c>
      <c r="B4861" t="s">
        <v>53728</v>
      </c>
      <c r="C4861">
        <v>0</v>
      </c>
      <c r="D4861">
        <v>0.43988984748981003</v>
      </c>
      <c r="E4861">
        <v>0.924808785732673</v>
      </c>
      <c r="F4861">
        <v>14.8975550616286</v>
      </c>
    </row>
    <row r="4862" spans="1:6">
      <c r="A4862" t="s">
        <v>53729</v>
      </c>
      <c r="B4862" t="s">
        <v>53730</v>
      </c>
      <c r="C4862">
        <v>0</v>
      </c>
      <c r="D4862">
        <v>0.59699966458781395</v>
      </c>
      <c r="E4862">
        <v>0.96786729659368997</v>
      </c>
      <c r="F4862">
        <v>4.63123863406748</v>
      </c>
    </row>
    <row r="4863" spans="1:6">
      <c r="A4863" t="s">
        <v>53729</v>
      </c>
      <c r="B4863" t="s">
        <v>53731</v>
      </c>
      <c r="C4863">
        <v>0</v>
      </c>
      <c r="D4863">
        <v>0.59699966458781395</v>
      </c>
      <c r="E4863">
        <v>0.96786729659368997</v>
      </c>
      <c r="F4863">
        <v>4.63123863406748</v>
      </c>
    </row>
    <row r="4864" spans="1:6">
      <c r="A4864" t="s">
        <v>53729</v>
      </c>
      <c r="B4864" t="s">
        <v>53732</v>
      </c>
      <c r="C4864">
        <v>0</v>
      </c>
      <c r="D4864">
        <v>0.59699966458781395</v>
      </c>
      <c r="E4864">
        <v>0.96786729659368997</v>
      </c>
      <c r="F4864">
        <v>4.63123863406748</v>
      </c>
    </row>
    <row r="4865" spans="1:6">
      <c r="A4865" t="s">
        <v>53729</v>
      </c>
      <c r="B4865" t="s">
        <v>53733</v>
      </c>
      <c r="C4865">
        <v>0</v>
      </c>
      <c r="D4865">
        <v>0.59699966458781395</v>
      </c>
      <c r="E4865">
        <v>0.96786729659368997</v>
      </c>
      <c r="F4865">
        <v>4.63123863406748</v>
      </c>
    </row>
    <row r="4866" spans="1:6">
      <c r="A4866" t="s">
        <v>53729</v>
      </c>
      <c r="B4866" t="s">
        <v>53734</v>
      </c>
      <c r="C4866">
        <v>0</v>
      </c>
      <c r="D4866">
        <v>0.59699966458781395</v>
      </c>
      <c r="E4866">
        <v>0.96786729659368997</v>
      </c>
      <c r="F4866">
        <v>4.63123863406748</v>
      </c>
    </row>
    <row r="4867" spans="1:6">
      <c r="A4867" t="s">
        <v>53729</v>
      </c>
      <c r="B4867" t="s">
        <v>53735</v>
      </c>
      <c r="C4867">
        <v>0</v>
      </c>
      <c r="D4867">
        <v>0.59699966458781395</v>
      </c>
      <c r="E4867">
        <v>0.96786729659368997</v>
      </c>
      <c r="F4867">
        <v>4.63123863406748</v>
      </c>
    </row>
    <row r="4868" spans="1:6">
      <c r="A4868" t="s">
        <v>53729</v>
      </c>
      <c r="B4868" t="s">
        <v>53736</v>
      </c>
      <c r="C4868">
        <v>0.67080339277449696</v>
      </c>
      <c r="D4868">
        <v>0.59699966458781395</v>
      </c>
      <c r="E4868">
        <v>0.96786729659368997</v>
      </c>
      <c r="F4868">
        <v>4.63123863406748</v>
      </c>
    </row>
    <row r="4869" spans="1:6">
      <c r="A4869" t="s">
        <v>53729</v>
      </c>
      <c r="B4869" t="s">
        <v>53737</v>
      </c>
      <c r="C4869">
        <v>0</v>
      </c>
      <c r="D4869">
        <v>0.59699966458781395</v>
      </c>
      <c r="E4869">
        <v>0.96786729659368997</v>
      </c>
      <c r="F4869">
        <v>4.63123863406748</v>
      </c>
    </row>
    <row r="4870" spans="1:6">
      <c r="A4870" t="s">
        <v>53729</v>
      </c>
      <c r="B4870" t="s">
        <v>53738</v>
      </c>
      <c r="C4870">
        <v>0</v>
      </c>
      <c r="D4870">
        <v>0.59699966458781395</v>
      </c>
      <c r="E4870">
        <v>0.96786729659368997</v>
      </c>
      <c r="F4870">
        <v>4.63123863406748</v>
      </c>
    </row>
    <row r="4871" spans="1:6">
      <c r="A4871" t="s">
        <v>53729</v>
      </c>
      <c r="B4871" t="s">
        <v>53739</v>
      </c>
      <c r="C4871">
        <v>0.124714447710605</v>
      </c>
      <c r="D4871">
        <v>0.59699966458781395</v>
      </c>
      <c r="E4871">
        <v>0.96786729659368997</v>
      </c>
      <c r="F4871">
        <v>4.63123863406748</v>
      </c>
    </row>
    <row r="4872" spans="1:6">
      <c r="A4872" t="s">
        <v>53740</v>
      </c>
      <c r="B4872" t="s">
        <v>53741</v>
      </c>
      <c r="C4872">
        <v>0.81164766781550501</v>
      </c>
      <c r="D4872">
        <v>0.10317389090772799</v>
      </c>
      <c r="E4872">
        <v>0.97407369602876104</v>
      </c>
      <c r="F4872">
        <v>18.112750050515199</v>
      </c>
    </row>
    <row r="4873" spans="1:6">
      <c r="A4873" t="s">
        <v>53740</v>
      </c>
      <c r="B4873" t="s">
        <v>53742</v>
      </c>
      <c r="C4873">
        <v>0.35943700567265602</v>
      </c>
      <c r="D4873">
        <v>0.10317389090772799</v>
      </c>
      <c r="E4873">
        <v>0.97407369602876104</v>
      </c>
      <c r="F4873">
        <v>18.112750050515199</v>
      </c>
    </row>
    <row r="4874" spans="1:6">
      <c r="A4874" t="s">
        <v>53743</v>
      </c>
      <c r="B4874" t="s">
        <v>53744</v>
      </c>
      <c r="C4874">
        <v>0</v>
      </c>
      <c r="D4874">
        <v>0.104412357031715</v>
      </c>
      <c r="E4874">
        <v>0.87942923955055896</v>
      </c>
      <c r="F4874">
        <v>11.4883814912103</v>
      </c>
    </row>
    <row r="4875" spans="1:6">
      <c r="A4875" t="s">
        <v>53743</v>
      </c>
      <c r="B4875" t="s">
        <v>53745</v>
      </c>
      <c r="C4875">
        <v>0</v>
      </c>
      <c r="D4875">
        <v>0.104412357031715</v>
      </c>
      <c r="E4875">
        <v>0.87942923955055896</v>
      </c>
      <c r="F4875">
        <v>11.4883814912103</v>
      </c>
    </row>
    <row r="4876" spans="1:6">
      <c r="A4876" t="s">
        <v>53743</v>
      </c>
      <c r="B4876" t="s">
        <v>53746</v>
      </c>
      <c r="C4876">
        <v>0</v>
      </c>
      <c r="D4876">
        <v>0.104412357031715</v>
      </c>
      <c r="E4876">
        <v>0.87942923955055896</v>
      </c>
      <c r="F4876">
        <v>11.4883814912103</v>
      </c>
    </row>
    <row r="4877" spans="1:6">
      <c r="A4877" t="s">
        <v>53743</v>
      </c>
      <c r="B4877" t="s">
        <v>53747</v>
      </c>
      <c r="C4877">
        <v>0</v>
      </c>
      <c r="D4877">
        <v>0.104412357031715</v>
      </c>
      <c r="E4877">
        <v>0.87942923955055896</v>
      </c>
      <c r="F4877">
        <v>11.4883814912103</v>
      </c>
    </row>
    <row r="4878" spans="1:6">
      <c r="A4878" t="s">
        <v>53743</v>
      </c>
      <c r="B4878" t="s">
        <v>53748</v>
      </c>
      <c r="C4878">
        <v>0.62342923955055896</v>
      </c>
      <c r="D4878">
        <v>0.104412357031715</v>
      </c>
      <c r="E4878">
        <v>0.87942923955055896</v>
      </c>
      <c r="F4878">
        <v>11.4883814912103</v>
      </c>
    </row>
    <row r="4879" spans="1:6">
      <c r="A4879" t="s">
        <v>53749</v>
      </c>
      <c r="B4879" t="s">
        <v>53750</v>
      </c>
      <c r="C4879">
        <v>0</v>
      </c>
      <c r="D4879">
        <v>0.26096968818393101</v>
      </c>
      <c r="E4879">
        <v>0.85985500953706895</v>
      </c>
      <c r="F4879">
        <v>0</v>
      </c>
    </row>
    <row r="4880" spans="1:6">
      <c r="A4880" t="s">
        <v>53749</v>
      </c>
      <c r="B4880" t="s">
        <v>53751</v>
      </c>
      <c r="C4880">
        <v>0</v>
      </c>
      <c r="D4880">
        <v>0.26096968818393101</v>
      </c>
      <c r="E4880">
        <v>0.85985500953706895</v>
      </c>
      <c r="F4880">
        <v>0</v>
      </c>
    </row>
    <row r="4881" spans="1:6">
      <c r="A4881" t="s">
        <v>53749</v>
      </c>
      <c r="B4881" t="s">
        <v>53752</v>
      </c>
      <c r="C4881">
        <v>0</v>
      </c>
      <c r="D4881">
        <v>0.26096968818393101</v>
      </c>
      <c r="E4881">
        <v>0.85985500953706895</v>
      </c>
      <c r="F4881">
        <v>0</v>
      </c>
    </row>
    <row r="4882" spans="1:6">
      <c r="A4882" t="s">
        <v>53749</v>
      </c>
      <c r="B4882" t="s">
        <v>53753</v>
      </c>
      <c r="C4882">
        <v>0.46766927616814902</v>
      </c>
      <c r="D4882">
        <v>0.26096968818393101</v>
      </c>
      <c r="E4882">
        <v>0.85985500953706895</v>
      </c>
      <c r="F4882">
        <v>0</v>
      </c>
    </row>
    <row r="4883" spans="1:6">
      <c r="A4883" t="s">
        <v>53749</v>
      </c>
      <c r="B4883" t="s">
        <v>53754</v>
      </c>
      <c r="C4883">
        <v>0.28111020165860101</v>
      </c>
      <c r="D4883">
        <v>0.26096968818393101</v>
      </c>
      <c r="E4883">
        <v>0.85985500953706895</v>
      </c>
      <c r="F4883">
        <v>0</v>
      </c>
    </row>
    <row r="4884" spans="1:6">
      <c r="A4884" t="s">
        <v>53755</v>
      </c>
      <c r="B4884" t="s">
        <v>53756</v>
      </c>
      <c r="C4884">
        <v>0.55392186908324803</v>
      </c>
      <c r="D4884">
        <v>0.37781991147813798</v>
      </c>
      <c r="E4884">
        <v>0.96871676220264802</v>
      </c>
      <c r="F4884">
        <v>16.265104061426499</v>
      </c>
    </row>
    <row r="4885" spans="1:6">
      <c r="A4885" t="s">
        <v>53755</v>
      </c>
      <c r="B4885" t="s">
        <v>53757</v>
      </c>
      <c r="C4885">
        <v>0</v>
      </c>
      <c r="D4885">
        <v>0.37781991147813798</v>
      </c>
      <c r="E4885">
        <v>0.96871676220264802</v>
      </c>
      <c r="F4885">
        <v>16.265104061426499</v>
      </c>
    </row>
    <row r="4886" spans="1:6">
      <c r="A4886" t="s">
        <v>53755</v>
      </c>
      <c r="B4886" t="s">
        <v>53758</v>
      </c>
      <c r="C4886">
        <v>0</v>
      </c>
      <c r="D4886">
        <v>0.37781991147813798</v>
      </c>
      <c r="E4886">
        <v>0.96871676220264802</v>
      </c>
      <c r="F4886">
        <v>16.265104061426499</v>
      </c>
    </row>
    <row r="4887" spans="1:6">
      <c r="A4887" t="s">
        <v>53755</v>
      </c>
      <c r="B4887" t="s">
        <v>53759</v>
      </c>
      <c r="C4887">
        <v>5.6107107698657403E-3</v>
      </c>
      <c r="D4887">
        <v>0.37781991147813798</v>
      </c>
      <c r="E4887">
        <v>0.96871676220264802</v>
      </c>
      <c r="F4887">
        <v>16.265104061426499</v>
      </c>
    </row>
    <row r="4888" spans="1:6">
      <c r="A4888" t="s">
        <v>53755</v>
      </c>
      <c r="B4888" t="s">
        <v>53760</v>
      </c>
      <c r="C4888">
        <v>0</v>
      </c>
      <c r="D4888">
        <v>0.37781991147813798</v>
      </c>
      <c r="E4888">
        <v>0.96871676220264802</v>
      </c>
      <c r="F4888">
        <v>16.265104061426499</v>
      </c>
    </row>
    <row r="4889" spans="1:6">
      <c r="A4889" t="s">
        <v>53761</v>
      </c>
      <c r="B4889" t="s">
        <v>53762</v>
      </c>
      <c r="C4889">
        <v>0.70845011908766597</v>
      </c>
      <c r="D4889">
        <v>0.39300432365962301</v>
      </c>
      <c r="E4889">
        <v>0.97085011908766605</v>
      </c>
      <c r="F4889">
        <v>14.519296827641901</v>
      </c>
    </row>
    <row r="4890" spans="1:6">
      <c r="A4890" t="s">
        <v>53761</v>
      </c>
      <c r="B4890" t="s">
        <v>53763</v>
      </c>
      <c r="C4890">
        <v>0</v>
      </c>
      <c r="D4890">
        <v>0.39300432365962301</v>
      </c>
      <c r="E4890">
        <v>0.97085011908766605</v>
      </c>
      <c r="F4890">
        <v>14.519296827641901</v>
      </c>
    </row>
    <row r="4891" spans="1:6">
      <c r="A4891" t="s">
        <v>53761</v>
      </c>
      <c r="B4891" t="s">
        <v>53764</v>
      </c>
      <c r="C4891">
        <v>0</v>
      </c>
      <c r="D4891">
        <v>0.39300432365962301</v>
      </c>
      <c r="E4891">
        <v>0.97085011908766605</v>
      </c>
      <c r="F4891">
        <v>14.519296827641901</v>
      </c>
    </row>
    <row r="4892" spans="1:6">
      <c r="A4892" t="s">
        <v>53761</v>
      </c>
      <c r="B4892" t="s">
        <v>53765</v>
      </c>
      <c r="C4892">
        <v>0</v>
      </c>
      <c r="D4892">
        <v>0.39300432365962301</v>
      </c>
      <c r="E4892">
        <v>0.97085011908766605</v>
      </c>
      <c r="F4892">
        <v>14.519296827641901</v>
      </c>
    </row>
    <row r="4893" spans="1:6">
      <c r="A4893" t="s">
        <v>53761</v>
      </c>
      <c r="B4893" t="s">
        <v>53766</v>
      </c>
      <c r="C4893">
        <v>0</v>
      </c>
      <c r="D4893">
        <v>0.39300432365962301</v>
      </c>
      <c r="E4893">
        <v>0.97085011908766605</v>
      </c>
      <c r="F4893">
        <v>14.519296827641901</v>
      </c>
    </row>
    <row r="4894" spans="1:6">
      <c r="A4894" t="s">
        <v>53767</v>
      </c>
      <c r="B4894" t="s">
        <v>53768</v>
      </c>
      <c r="C4894">
        <v>0</v>
      </c>
      <c r="D4894">
        <v>0.17290785957501301</v>
      </c>
      <c r="E4894">
        <v>0.98727929668310799</v>
      </c>
      <c r="F4894">
        <v>10.028692665184799</v>
      </c>
    </row>
    <row r="4895" spans="1:6">
      <c r="A4895" t="s">
        <v>53767</v>
      </c>
      <c r="B4895" t="s">
        <v>53769</v>
      </c>
      <c r="C4895">
        <v>0</v>
      </c>
      <c r="D4895">
        <v>0.17290785957501301</v>
      </c>
      <c r="E4895">
        <v>0.98727929668310799</v>
      </c>
      <c r="F4895">
        <v>10.028692665184799</v>
      </c>
    </row>
    <row r="4896" spans="1:6">
      <c r="A4896" t="s">
        <v>53767</v>
      </c>
      <c r="B4896" t="s">
        <v>53770</v>
      </c>
      <c r="C4896">
        <v>0.15792782659830501</v>
      </c>
      <c r="D4896">
        <v>0.17290785957501301</v>
      </c>
      <c r="E4896">
        <v>0.98727929668310799</v>
      </c>
      <c r="F4896">
        <v>10.028692665184799</v>
      </c>
    </row>
    <row r="4897" spans="1:6">
      <c r="A4897" t="s">
        <v>53767</v>
      </c>
      <c r="B4897" t="s">
        <v>53771</v>
      </c>
      <c r="C4897">
        <v>0.79745683919000199</v>
      </c>
      <c r="D4897">
        <v>0.17290785957501301</v>
      </c>
      <c r="E4897">
        <v>0.98727929668310799</v>
      </c>
      <c r="F4897">
        <v>10.028692665184799</v>
      </c>
    </row>
    <row r="4898" spans="1:6">
      <c r="A4898" t="s">
        <v>53767</v>
      </c>
      <c r="B4898" t="s">
        <v>53772</v>
      </c>
      <c r="C4898">
        <v>0</v>
      </c>
      <c r="D4898">
        <v>0.17290785957501301</v>
      </c>
      <c r="E4898">
        <v>0.98727929668310799</v>
      </c>
      <c r="F4898">
        <v>10.028692665184799</v>
      </c>
    </row>
    <row r="4899" spans="1:6">
      <c r="A4899" t="s">
        <v>53767</v>
      </c>
      <c r="B4899" t="s">
        <v>53773</v>
      </c>
      <c r="C4899">
        <v>0</v>
      </c>
      <c r="D4899">
        <v>0.17290785957501301</v>
      </c>
      <c r="E4899">
        <v>0.98727929668310799</v>
      </c>
      <c r="F4899">
        <v>10.028692665184799</v>
      </c>
    </row>
    <row r="4900" spans="1:6">
      <c r="A4900" t="s">
        <v>53767</v>
      </c>
      <c r="B4900" t="s">
        <v>53774</v>
      </c>
      <c r="C4900">
        <v>0</v>
      </c>
      <c r="D4900">
        <v>0.17290785957501301</v>
      </c>
      <c r="E4900">
        <v>0.98727929668310799</v>
      </c>
      <c r="F4900">
        <v>10.028692665184799</v>
      </c>
    </row>
    <row r="4901" spans="1:6">
      <c r="A4901" t="s">
        <v>53767</v>
      </c>
      <c r="B4901" t="s">
        <v>53775</v>
      </c>
      <c r="C4901">
        <v>0</v>
      </c>
      <c r="D4901">
        <v>0.17290785957501301</v>
      </c>
      <c r="E4901">
        <v>0.98727929668310799</v>
      </c>
      <c r="F4901">
        <v>10.028692665184799</v>
      </c>
    </row>
    <row r="4902" spans="1:6">
      <c r="A4902" t="s">
        <v>53767</v>
      </c>
      <c r="B4902" t="s">
        <v>53776</v>
      </c>
      <c r="C4902">
        <v>0</v>
      </c>
      <c r="D4902">
        <v>0.17290785957501301</v>
      </c>
      <c r="E4902">
        <v>0.98727929668310799</v>
      </c>
      <c r="F4902">
        <v>10.028692665184799</v>
      </c>
    </row>
    <row r="4903" spans="1:6">
      <c r="A4903" t="s">
        <v>53777</v>
      </c>
      <c r="B4903" t="s">
        <v>53778</v>
      </c>
      <c r="C4903">
        <v>0.58263560182137997</v>
      </c>
      <c r="D4903">
        <v>0.25911151979751101</v>
      </c>
      <c r="E4903">
        <v>0.98287411759480103</v>
      </c>
      <c r="F4903">
        <v>17.899373610830398</v>
      </c>
    </row>
    <row r="4904" spans="1:6">
      <c r="A4904" t="s">
        <v>53777</v>
      </c>
      <c r="B4904" t="s">
        <v>53779</v>
      </c>
      <c r="C4904">
        <v>0</v>
      </c>
      <c r="D4904">
        <v>0.25911151979751101</v>
      </c>
      <c r="E4904">
        <v>0.98287411759480103</v>
      </c>
      <c r="F4904">
        <v>17.899373610830398</v>
      </c>
    </row>
    <row r="4905" spans="1:6">
      <c r="A4905" t="s">
        <v>53777</v>
      </c>
      <c r="B4905" t="s">
        <v>53780</v>
      </c>
      <c r="C4905">
        <v>0.191098787653952</v>
      </c>
      <c r="D4905">
        <v>0.25911151979751101</v>
      </c>
      <c r="E4905">
        <v>0.98287411759480103</v>
      </c>
      <c r="F4905">
        <v>17.899373610830398</v>
      </c>
    </row>
    <row r="4906" spans="1:6">
      <c r="A4906" t="s">
        <v>53777</v>
      </c>
      <c r="B4906" t="s">
        <v>53781</v>
      </c>
      <c r="C4906">
        <v>0</v>
      </c>
      <c r="D4906">
        <v>0.25911151979751101</v>
      </c>
      <c r="E4906">
        <v>0.98287411759480103</v>
      </c>
      <c r="F4906">
        <v>17.899373610830398</v>
      </c>
    </row>
    <row r="4907" spans="1:6">
      <c r="A4907" t="s">
        <v>53777</v>
      </c>
      <c r="B4907" t="s">
        <v>53782</v>
      </c>
      <c r="C4907">
        <v>0</v>
      </c>
      <c r="D4907">
        <v>0.25911151979751101</v>
      </c>
      <c r="E4907">
        <v>0.98287411759480103</v>
      </c>
      <c r="F4907">
        <v>17.899373610830398</v>
      </c>
    </row>
    <row r="4908" spans="1:6">
      <c r="A4908" t="s">
        <v>53777</v>
      </c>
      <c r="B4908" t="s">
        <v>53783</v>
      </c>
      <c r="C4908">
        <v>0</v>
      </c>
      <c r="D4908">
        <v>0.25911151979751101</v>
      </c>
      <c r="E4908">
        <v>0.98287411759480103</v>
      </c>
      <c r="F4908">
        <v>17.899373610830398</v>
      </c>
    </row>
    <row r="4909" spans="1:6">
      <c r="A4909" t="s">
        <v>53777</v>
      </c>
      <c r="B4909" t="s">
        <v>53784</v>
      </c>
      <c r="C4909">
        <v>0</v>
      </c>
      <c r="D4909">
        <v>0.25911151979751101</v>
      </c>
      <c r="E4909">
        <v>0.98287411759480103</v>
      </c>
      <c r="F4909">
        <v>17.899373610830398</v>
      </c>
    </row>
    <row r="4910" spans="1:6">
      <c r="A4910" t="s">
        <v>53777</v>
      </c>
      <c r="B4910" t="s">
        <v>53785</v>
      </c>
      <c r="C4910">
        <v>0</v>
      </c>
      <c r="D4910">
        <v>0.25911151979751101</v>
      </c>
      <c r="E4910">
        <v>0.98287411759480103</v>
      </c>
      <c r="F4910">
        <v>17.899373610830398</v>
      </c>
    </row>
    <row r="4911" spans="1:6">
      <c r="A4911" t="s">
        <v>53786</v>
      </c>
      <c r="B4911" t="s">
        <v>53787</v>
      </c>
      <c r="C4911">
        <v>0.47176926371127298</v>
      </c>
      <c r="D4911">
        <v>0.642263994122798</v>
      </c>
      <c r="E4911">
        <v>0.80958346040394402</v>
      </c>
      <c r="F4911">
        <v>13.772479288745201</v>
      </c>
    </row>
    <row r="4912" spans="1:6">
      <c r="A4912" t="s">
        <v>53786</v>
      </c>
      <c r="B4912" t="s">
        <v>53788</v>
      </c>
      <c r="C4912">
        <v>7.02296695085904E-2</v>
      </c>
      <c r="D4912">
        <v>0.642263994122798</v>
      </c>
      <c r="E4912">
        <v>0.80958346040394402</v>
      </c>
      <c r="F4912">
        <v>13.772479288745201</v>
      </c>
    </row>
    <row r="4913" spans="1:6">
      <c r="A4913" t="s">
        <v>53786</v>
      </c>
      <c r="B4913" t="s">
        <v>53789</v>
      </c>
      <c r="C4913">
        <v>0</v>
      </c>
      <c r="D4913">
        <v>0.642263994122798</v>
      </c>
      <c r="E4913">
        <v>0.80958346040394402</v>
      </c>
      <c r="F4913">
        <v>13.772479288745201</v>
      </c>
    </row>
    <row r="4914" spans="1:6">
      <c r="A4914" t="s">
        <v>53786</v>
      </c>
      <c r="B4914" t="s">
        <v>53790</v>
      </c>
      <c r="C4914">
        <v>0</v>
      </c>
      <c r="D4914">
        <v>0.642263994122798</v>
      </c>
      <c r="E4914">
        <v>0.80958346040394402</v>
      </c>
      <c r="F4914">
        <v>13.772479288745201</v>
      </c>
    </row>
    <row r="4915" spans="1:6">
      <c r="A4915" t="s">
        <v>53791</v>
      </c>
      <c r="B4915" t="s">
        <v>53792</v>
      </c>
      <c r="C4915">
        <v>0.68498548584603203</v>
      </c>
      <c r="D4915">
        <v>0.52247723132845103</v>
      </c>
      <c r="E4915">
        <v>0.910379580801151</v>
      </c>
      <c r="F4915">
        <v>24</v>
      </c>
    </row>
    <row r="4916" spans="1:6">
      <c r="A4916" t="s">
        <v>53791</v>
      </c>
      <c r="B4916" t="s">
        <v>53793</v>
      </c>
      <c r="C4916">
        <v>0</v>
      </c>
      <c r="D4916">
        <v>0.52247723132845103</v>
      </c>
      <c r="E4916">
        <v>0.910379580801151</v>
      </c>
      <c r="F4916">
        <v>24</v>
      </c>
    </row>
    <row r="4917" spans="1:6">
      <c r="A4917" t="s">
        <v>53791</v>
      </c>
      <c r="B4917" t="s">
        <v>53794</v>
      </c>
      <c r="C4917">
        <v>0</v>
      </c>
      <c r="D4917">
        <v>0.52247723132845103</v>
      </c>
      <c r="E4917">
        <v>0.910379580801151</v>
      </c>
      <c r="F4917">
        <v>24</v>
      </c>
    </row>
    <row r="4918" spans="1:6">
      <c r="A4918" t="s">
        <v>53791</v>
      </c>
      <c r="B4918" t="s">
        <v>53795</v>
      </c>
      <c r="C4918">
        <v>0.12040893688498799</v>
      </c>
      <c r="D4918">
        <v>0.52247723132845103</v>
      </c>
      <c r="E4918">
        <v>0.910379580801151</v>
      </c>
      <c r="F4918">
        <v>24</v>
      </c>
    </row>
    <row r="4919" spans="1:6">
      <c r="A4919" t="s">
        <v>53796</v>
      </c>
      <c r="B4919" t="s">
        <v>53797</v>
      </c>
      <c r="C4919">
        <v>0.109400778767044</v>
      </c>
      <c r="D4919">
        <v>4.6782753028997301E-2</v>
      </c>
      <c r="E4919">
        <v>0.98705592519290197</v>
      </c>
      <c r="F4919">
        <v>11.827844008890599</v>
      </c>
    </row>
    <row r="4920" spans="1:6">
      <c r="A4920" t="s">
        <v>53796</v>
      </c>
      <c r="B4920" t="s">
        <v>53798</v>
      </c>
      <c r="C4920">
        <v>0.88295910563708302</v>
      </c>
      <c r="D4920">
        <v>4.6782753028997301E-2</v>
      </c>
      <c r="E4920">
        <v>0.98705592519290197</v>
      </c>
      <c r="F4920">
        <v>11.827844008890599</v>
      </c>
    </row>
    <row r="4921" spans="1:6">
      <c r="A4921" t="s">
        <v>53796</v>
      </c>
      <c r="B4921" t="s">
        <v>53799</v>
      </c>
      <c r="C4921">
        <v>0</v>
      </c>
      <c r="D4921">
        <v>4.6782753028997301E-2</v>
      </c>
      <c r="E4921">
        <v>0.98705592519290197</v>
      </c>
      <c r="F4921">
        <v>11.827844008890599</v>
      </c>
    </row>
    <row r="4922" spans="1:6">
      <c r="A4922" t="s">
        <v>53796</v>
      </c>
      <c r="B4922" t="s">
        <v>53800</v>
      </c>
      <c r="C4922">
        <v>0</v>
      </c>
      <c r="D4922">
        <v>4.6782753028997301E-2</v>
      </c>
      <c r="E4922">
        <v>0.98705592519290197</v>
      </c>
      <c r="F4922">
        <v>11.827844008890599</v>
      </c>
    </row>
    <row r="4923" spans="1:6">
      <c r="A4923" t="s">
        <v>53796</v>
      </c>
      <c r="B4923" t="s">
        <v>53801</v>
      </c>
      <c r="C4923">
        <v>0</v>
      </c>
      <c r="D4923">
        <v>4.6782753028997301E-2</v>
      </c>
      <c r="E4923">
        <v>0.98705592519290197</v>
      </c>
      <c r="F4923">
        <v>11.827844008890599</v>
      </c>
    </row>
    <row r="4924" spans="1:6">
      <c r="A4924" t="s">
        <v>53796</v>
      </c>
      <c r="B4924" t="s">
        <v>53802</v>
      </c>
      <c r="C4924">
        <v>0</v>
      </c>
      <c r="D4924">
        <v>4.6782753028997301E-2</v>
      </c>
      <c r="E4924">
        <v>0.98705592519290197</v>
      </c>
      <c r="F4924">
        <v>11.827844008890599</v>
      </c>
    </row>
    <row r="4925" spans="1:6">
      <c r="A4925" t="s">
        <v>53796</v>
      </c>
      <c r="B4925" t="s">
        <v>53803</v>
      </c>
      <c r="C4925">
        <v>0</v>
      </c>
      <c r="D4925">
        <v>4.6782753028997301E-2</v>
      </c>
      <c r="E4925">
        <v>0.98705592519290197</v>
      </c>
      <c r="F4925">
        <v>11.827844008890599</v>
      </c>
    </row>
    <row r="4926" spans="1:6">
      <c r="A4926" t="s">
        <v>53796</v>
      </c>
      <c r="B4926" t="s">
        <v>53804</v>
      </c>
      <c r="C4926">
        <v>0</v>
      </c>
      <c r="D4926">
        <v>4.6782753028997301E-2</v>
      </c>
      <c r="E4926">
        <v>0.98705592519290197</v>
      </c>
      <c r="F4926">
        <v>11.827844008890599</v>
      </c>
    </row>
    <row r="4927" spans="1:6">
      <c r="A4927" t="s">
        <v>53796</v>
      </c>
      <c r="B4927" t="s">
        <v>53805</v>
      </c>
      <c r="C4927">
        <v>0</v>
      </c>
      <c r="D4927">
        <v>4.6782753028997301E-2</v>
      </c>
      <c r="E4927">
        <v>0.98705592519290197</v>
      </c>
      <c r="F4927">
        <v>11.827844008890599</v>
      </c>
    </row>
    <row r="4928" spans="1:6">
      <c r="A4928" t="s">
        <v>53796</v>
      </c>
      <c r="B4928" t="s">
        <v>53806</v>
      </c>
      <c r="C4928">
        <v>0</v>
      </c>
      <c r="D4928">
        <v>4.6782753028997301E-2</v>
      </c>
      <c r="E4928">
        <v>0.98705592519290197</v>
      </c>
      <c r="F4928">
        <v>11.827844008890599</v>
      </c>
    </row>
    <row r="4929" spans="1:6">
      <c r="A4929" t="s">
        <v>53807</v>
      </c>
      <c r="B4929" t="s">
        <v>53808</v>
      </c>
      <c r="C4929">
        <v>0</v>
      </c>
      <c r="D4929">
        <v>0.129667706903834</v>
      </c>
      <c r="E4929">
        <v>0.98745439729801399</v>
      </c>
      <c r="F4929">
        <v>4.0153566377045804</v>
      </c>
    </row>
    <row r="4930" spans="1:6">
      <c r="A4930" t="s">
        <v>53807</v>
      </c>
      <c r="B4930" t="s">
        <v>53809</v>
      </c>
      <c r="C4930">
        <v>0.36733065194130599</v>
      </c>
      <c r="D4930">
        <v>0.129667706903834</v>
      </c>
      <c r="E4930">
        <v>0.98745439729801399</v>
      </c>
      <c r="F4930">
        <v>4.0153566377045804</v>
      </c>
    </row>
    <row r="4931" spans="1:6">
      <c r="A4931" t="s">
        <v>53807</v>
      </c>
      <c r="B4931" t="s">
        <v>53810</v>
      </c>
      <c r="C4931">
        <v>0.59250329715972205</v>
      </c>
      <c r="D4931">
        <v>0.129667706903834</v>
      </c>
      <c r="E4931">
        <v>0.98745439729801399</v>
      </c>
      <c r="F4931">
        <v>4.0153566377045804</v>
      </c>
    </row>
    <row r="4932" spans="1:6">
      <c r="A4932" t="s">
        <v>53807</v>
      </c>
      <c r="B4932" t="s">
        <v>53811</v>
      </c>
      <c r="C4932">
        <v>0</v>
      </c>
      <c r="D4932">
        <v>0.129667706903834</v>
      </c>
      <c r="E4932">
        <v>0.98745439729801399</v>
      </c>
      <c r="F4932">
        <v>4.0153566377045804</v>
      </c>
    </row>
    <row r="4933" spans="1:6">
      <c r="A4933" t="s">
        <v>53812</v>
      </c>
      <c r="B4933" t="s">
        <v>53813</v>
      </c>
      <c r="C4933">
        <v>0</v>
      </c>
      <c r="D4933">
        <v>4.9143483937973001E-4</v>
      </c>
      <c r="E4933">
        <v>0.97727107965443705</v>
      </c>
      <c r="F4933">
        <v>5.4071529601939696</v>
      </c>
    </row>
    <row r="4934" spans="1:6">
      <c r="A4934" t="s">
        <v>53812</v>
      </c>
      <c r="B4934" t="s">
        <v>53814</v>
      </c>
      <c r="C4934">
        <v>0.67204497271585795</v>
      </c>
      <c r="D4934">
        <v>4.9143483937973001E-4</v>
      </c>
      <c r="E4934">
        <v>0.97727107965443705</v>
      </c>
      <c r="F4934">
        <v>5.4071529601939696</v>
      </c>
    </row>
    <row r="4935" spans="1:6">
      <c r="A4935" t="s">
        <v>53812</v>
      </c>
      <c r="B4935" t="s">
        <v>53815</v>
      </c>
      <c r="C4935">
        <v>0.12971911696736901</v>
      </c>
      <c r="D4935">
        <v>4.9143483937973001E-4</v>
      </c>
      <c r="E4935">
        <v>0.97727107965443705</v>
      </c>
      <c r="F4935">
        <v>5.4071529601939696</v>
      </c>
    </row>
    <row r="4936" spans="1:6">
      <c r="A4936" t="s">
        <v>53812</v>
      </c>
      <c r="B4936" t="s">
        <v>53816</v>
      </c>
      <c r="C4936">
        <v>0</v>
      </c>
      <c r="D4936">
        <v>4.9143483937973001E-4</v>
      </c>
      <c r="E4936">
        <v>0.97727107965443705</v>
      </c>
      <c r="F4936">
        <v>5.4071529601939696</v>
      </c>
    </row>
    <row r="4937" spans="1:6">
      <c r="A4937" t="s">
        <v>53812</v>
      </c>
      <c r="B4937" t="s">
        <v>53817</v>
      </c>
      <c r="C4937">
        <v>0</v>
      </c>
      <c r="D4937">
        <v>4.9143483937973001E-4</v>
      </c>
      <c r="E4937">
        <v>0.97727107965443705</v>
      </c>
      <c r="F4937">
        <v>5.4071529601939696</v>
      </c>
    </row>
    <row r="4938" spans="1:6">
      <c r="A4938" t="s">
        <v>53812</v>
      </c>
      <c r="B4938" t="s">
        <v>53818</v>
      </c>
      <c r="C4938">
        <v>0</v>
      </c>
      <c r="D4938">
        <v>4.9143483937973001E-4</v>
      </c>
      <c r="E4938">
        <v>0.97727107965443705</v>
      </c>
      <c r="F4938">
        <v>5.4071529601939696</v>
      </c>
    </row>
    <row r="4939" spans="1:6">
      <c r="A4939" t="s">
        <v>53812</v>
      </c>
      <c r="B4939" t="s">
        <v>53819</v>
      </c>
      <c r="C4939">
        <v>0</v>
      </c>
      <c r="D4939">
        <v>4.9143483937973001E-4</v>
      </c>
      <c r="E4939">
        <v>0.97727107965443705</v>
      </c>
      <c r="F4939">
        <v>5.4071529601939696</v>
      </c>
    </row>
    <row r="4940" spans="1:6">
      <c r="A4940" t="s">
        <v>53812</v>
      </c>
      <c r="B4940" t="s">
        <v>53820</v>
      </c>
      <c r="C4940">
        <v>0</v>
      </c>
      <c r="D4940">
        <v>4.9143483937973001E-4</v>
      </c>
      <c r="E4940">
        <v>0.97727107965443705</v>
      </c>
      <c r="F4940">
        <v>5.4071529601939696</v>
      </c>
    </row>
    <row r="4941" spans="1:6">
      <c r="A4941" t="s">
        <v>53821</v>
      </c>
      <c r="B4941" t="s">
        <v>53822</v>
      </c>
      <c r="C4941">
        <v>0</v>
      </c>
      <c r="D4941">
        <v>0.19887125212345699</v>
      </c>
      <c r="E4941" t="s">
        <v>106</v>
      </c>
      <c r="F4941">
        <v>1.2366134572640901</v>
      </c>
    </row>
    <row r="4942" spans="1:6">
      <c r="A4942" t="s">
        <v>53821</v>
      </c>
      <c r="B4942" t="s">
        <v>53823</v>
      </c>
      <c r="C4942">
        <v>0</v>
      </c>
      <c r="D4942">
        <v>0.19887125212345699</v>
      </c>
      <c r="E4942" t="s">
        <v>106</v>
      </c>
      <c r="F4942">
        <v>1.2366134572640901</v>
      </c>
    </row>
    <row r="4943" spans="1:6">
      <c r="A4943" t="s">
        <v>53821</v>
      </c>
      <c r="B4943" t="s">
        <v>53824</v>
      </c>
      <c r="C4943">
        <v>0</v>
      </c>
      <c r="D4943">
        <v>0.19887125212345699</v>
      </c>
      <c r="E4943" t="s">
        <v>106</v>
      </c>
      <c r="F4943">
        <v>1.2366134572640901</v>
      </c>
    </row>
    <row r="4944" spans="1:6">
      <c r="A4944" t="s">
        <v>53825</v>
      </c>
      <c r="B4944" t="s">
        <v>53826</v>
      </c>
      <c r="C4944">
        <v>0</v>
      </c>
      <c r="D4944">
        <v>1.8270005739015899E-2</v>
      </c>
      <c r="E4944">
        <v>0.98701247384868096</v>
      </c>
      <c r="F4944">
        <v>9.4128106688219795</v>
      </c>
    </row>
    <row r="4945" spans="1:6">
      <c r="A4945" t="s">
        <v>53825</v>
      </c>
      <c r="B4945" t="s">
        <v>53827</v>
      </c>
      <c r="C4945">
        <v>0</v>
      </c>
      <c r="D4945">
        <v>1.8270005739015899E-2</v>
      </c>
      <c r="E4945">
        <v>0.98701247384868096</v>
      </c>
      <c r="F4945">
        <v>9.4128106688219795</v>
      </c>
    </row>
    <row r="4946" spans="1:6">
      <c r="A4946" t="s">
        <v>53825</v>
      </c>
      <c r="B4946" t="s">
        <v>53828</v>
      </c>
      <c r="C4946">
        <v>0</v>
      </c>
      <c r="D4946">
        <v>1.8270005739015899E-2</v>
      </c>
      <c r="E4946">
        <v>0.98701247384868096</v>
      </c>
      <c r="F4946">
        <v>9.4128106688219795</v>
      </c>
    </row>
    <row r="4947" spans="1:6">
      <c r="A4947" t="s">
        <v>53825</v>
      </c>
      <c r="B4947" t="s">
        <v>53829</v>
      </c>
      <c r="C4947">
        <v>0</v>
      </c>
      <c r="D4947">
        <v>1.8270005739015899E-2</v>
      </c>
      <c r="E4947">
        <v>0.98701247384868096</v>
      </c>
      <c r="F4947">
        <v>9.4128106688219795</v>
      </c>
    </row>
    <row r="4948" spans="1:6">
      <c r="A4948" t="s">
        <v>53825</v>
      </c>
      <c r="B4948" t="s">
        <v>53830</v>
      </c>
      <c r="C4948">
        <v>0</v>
      </c>
      <c r="D4948">
        <v>1.8270005739015899E-2</v>
      </c>
      <c r="E4948">
        <v>0.98701247384868096</v>
      </c>
      <c r="F4948">
        <v>9.4128106688219795</v>
      </c>
    </row>
    <row r="4949" spans="1:6">
      <c r="A4949" t="s">
        <v>53825</v>
      </c>
      <c r="B4949" t="s">
        <v>53831</v>
      </c>
      <c r="C4949">
        <v>0</v>
      </c>
      <c r="D4949">
        <v>1.8270005739015899E-2</v>
      </c>
      <c r="E4949">
        <v>0.98701247384868096</v>
      </c>
      <c r="F4949">
        <v>9.4128106688219795</v>
      </c>
    </row>
    <row r="4950" spans="1:6">
      <c r="A4950" t="s">
        <v>53825</v>
      </c>
      <c r="B4950" t="s">
        <v>53832</v>
      </c>
      <c r="C4950">
        <v>0</v>
      </c>
      <c r="D4950">
        <v>1.8270005739015899E-2</v>
      </c>
      <c r="E4950">
        <v>0.98701247384868096</v>
      </c>
      <c r="F4950">
        <v>9.4128106688219795</v>
      </c>
    </row>
    <row r="4951" spans="1:6">
      <c r="A4951" t="s">
        <v>53825</v>
      </c>
      <c r="B4951" t="s">
        <v>53833</v>
      </c>
      <c r="C4951">
        <v>0</v>
      </c>
      <c r="D4951">
        <v>1.8270005739015899E-2</v>
      </c>
      <c r="E4951">
        <v>0.98701247384868096</v>
      </c>
      <c r="F4951">
        <v>9.4128106688219795</v>
      </c>
    </row>
    <row r="4952" spans="1:6">
      <c r="A4952" t="s">
        <v>53825</v>
      </c>
      <c r="B4952" t="s">
        <v>53834</v>
      </c>
      <c r="C4952">
        <v>0</v>
      </c>
      <c r="D4952">
        <v>1.8270005739015899E-2</v>
      </c>
      <c r="E4952">
        <v>0.98701247384868096</v>
      </c>
      <c r="F4952">
        <v>9.4128106688219795</v>
      </c>
    </row>
    <row r="4953" spans="1:6">
      <c r="A4953" t="s">
        <v>53825</v>
      </c>
      <c r="B4953" t="s">
        <v>53835</v>
      </c>
      <c r="C4953">
        <v>0.15497901639379399</v>
      </c>
      <c r="D4953">
        <v>1.8270005739015899E-2</v>
      </c>
      <c r="E4953">
        <v>0.98701247384868096</v>
      </c>
      <c r="F4953">
        <v>9.4128106688219795</v>
      </c>
    </row>
    <row r="4954" spans="1:6">
      <c r="A4954" t="s">
        <v>53825</v>
      </c>
      <c r="B4954" t="s">
        <v>53836</v>
      </c>
      <c r="C4954">
        <v>0</v>
      </c>
      <c r="D4954">
        <v>1.8270005739015899E-2</v>
      </c>
      <c r="E4954">
        <v>0.98701247384868096</v>
      </c>
      <c r="F4954">
        <v>9.4128106688219795</v>
      </c>
    </row>
    <row r="4955" spans="1:6">
      <c r="A4955" t="s">
        <v>53825</v>
      </c>
      <c r="B4955" t="s">
        <v>53837</v>
      </c>
      <c r="C4955">
        <v>0.69395160783363297</v>
      </c>
      <c r="D4955">
        <v>1.8270005739015899E-2</v>
      </c>
      <c r="E4955">
        <v>0.98701247384868096</v>
      </c>
      <c r="F4955">
        <v>9.4128106688219795</v>
      </c>
    </row>
    <row r="4956" spans="1:6">
      <c r="A4956" t="s">
        <v>53825</v>
      </c>
      <c r="B4956" t="s">
        <v>53838</v>
      </c>
      <c r="C4956">
        <v>0</v>
      </c>
      <c r="D4956">
        <v>1.8270005739015899E-2</v>
      </c>
      <c r="E4956">
        <v>0.98701247384868096</v>
      </c>
      <c r="F4956">
        <v>9.4128106688219795</v>
      </c>
    </row>
    <row r="4957" spans="1:6">
      <c r="A4957" t="s">
        <v>53825</v>
      </c>
      <c r="B4957" t="s">
        <v>53839</v>
      </c>
      <c r="C4957">
        <v>0</v>
      </c>
      <c r="D4957">
        <v>1.8270005739015899E-2</v>
      </c>
      <c r="E4957">
        <v>0.98701247384868096</v>
      </c>
      <c r="F4957">
        <v>9.4128106688219795</v>
      </c>
    </row>
    <row r="4958" spans="1:6">
      <c r="A4958" t="s">
        <v>53840</v>
      </c>
      <c r="B4958" t="s">
        <v>53841</v>
      </c>
      <c r="C4958">
        <v>0</v>
      </c>
      <c r="D4958">
        <v>0.25468121761546397</v>
      </c>
      <c r="E4958">
        <v>0.98917758637389397</v>
      </c>
      <c r="F4958">
        <v>17.278642149929201</v>
      </c>
    </row>
    <row r="4959" spans="1:6">
      <c r="A4959" t="s">
        <v>53840</v>
      </c>
      <c r="B4959" t="s">
        <v>53842</v>
      </c>
      <c r="C4959">
        <v>0.63813016870216599</v>
      </c>
      <c r="D4959">
        <v>0.25468121761546397</v>
      </c>
      <c r="E4959">
        <v>0.98917758637389397</v>
      </c>
      <c r="F4959">
        <v>17.278642149929201</v>
      </c>
    </row>
    <row r="4960" spans="1:6">
      <c r="A4960" t="s">
        <v>53840</v>
      </c>
      <c r="B4960" t="s">
        <v>53843</v>
      </c>
      <c r="C4960">
        <v>0</v>
      </c>
      <c r="D4960">
        <v>0.25468121761546397</v>
      </c>
      <c r="E4960">
        <v>0.98917758637389397</v>
      </c>
      <c r="F4960">
        <v>17.278642149929201</v>
      </c>
    </row>
    <row r="4961" spans="1:6">
      <c r="A4961" t="s">
        <v>53840</v>
      </c>
      <c r="B4961" t="s">
        <v>53844</v>
      </c>
      <c r="C4961">
        <v>0</v>
      </c>
      <c r="D4961">
        <v>0.25468121761546397</v>
      </c>
      <c r="E4961">
        <v>0.98917758637389397</v>
      </c>
      <c r="F4961">
        <v>17.278642149929201</v>
      </c>
    </row>
    <row r="4962" spans="1:6">
      <c r="A4962" t="s">
        <v>53840</v>
      </c>
      <c r="B4962" t="s">
        <v>53845</v>
      </c>
      <c r="C4962">
        <v>0</v>
      </c>
      <c r="D4962">
        <v>0.25468121761546397</v>
      </c>
      <c r="E4962">
        <v>0.98917758637389397</v>
      </c>
      <c r="F4962">
        <v>17.278642149929201</v>
      </c>
    </row>
    <row r="4963" spans="1:6">
      <c r="A4963" t="s">
        <v>53840</v>
      </c>
      <c r="B4963" t="s">
        <v>53846</v>
      </c>
      <c r="C4963">
        <v>0</v>
      </c>
      <c r="D4963">
        <v>0.25468121761546397</v>
      </c>
      <c r="E4963">
        <v>0.98917758637389397</v>
      </c>
      <c r="F4963">
        <v>17.278642149929201</v>
      </c>
    </row>
    <row r="4964" spans="1:6">
      <c r="A4964" t="s">
        <v>53840</v>
      </c>
      <c r="B4964" t="s">
        <v>53847</v>
      </c>
      <c r="C4964">
        <v>9.4133360582144096E-2</v>
      </c>
      <c r="D4964">
        <v>0.25468121761546397</v>
      </c>
      <c r="E4964">
        <v>0.98917758637389397</v>
      </c>
      <c r="F4964">
        <v>17.278642149929201</v>
      </c>
    </row>
    <row r="4965" spans="1:6">
      <c r="A4965" t="s">
        <v>53840</v>
      </c>
      <c r="B4965" t="s">
        <v>53848</v>
      </c>
      <c r="C4965">
        <v>0</v>
      </c>
      <c r="D4965">
        <v>0.25468121761546397</v>
      </c>
      <c r="E4965">
        <v>0.98917758637389397</v>
      </c>
      <c r="F4965">
        <v>17.278642149929201</v>
      </c>
    </row>
    <row r="4966" spans="1:6">
      <c r="A4966" t="s">
        <v>53849</v>
      </c>
      <c r="B4966" t="s">
        <v>53850</v>
      </c>
      <c r="C4966">
        <v>0.67965731217696401</v>
      </c>
      <c r="D4966">
        <v>8.8421712040671396E-2</v>
      </c>
      <c r="E4966">
        <v>0.88824460886828704</v>
      </c>
      <c r="F4966">
        <v>10.028692665184799</v>
      </c>
    </row>
    <row r="4967" spans="1:6">
      <c r="A4967" t="s">
        <v>53849</v>
      </c>
      <c r="B4967" t="s">
        <v>53851</v>
      </c>
      <c r="C4967">
        <v>0</v>
      </c>
      <c r="D4967">
        <v>8.8421712040671396E-2</v>
      </c>
      <c r="E4967">
        <v>0.88824460886828704</v>
      </c>
      <c r="F4967">
        <v>10.028692665184799</v>
      </c>
    </row>
    <row r="4968" spans="1:6">
      <c r="A4968" t="s">
        <v>53849</v>
      </c>
      <c r="B4968" t="s">
        <v>53852</v>
      </c>
      <c r="C4968">
        <v>0.33156600943555198</v>
      </c>
      <c r="D4968">
        <v>8.8421712040671396E-2</v>
      </c>
      <c r="E4968">
        <v>0.88824460886828704</v>
      </c>
      <c r="F4968">
        <v>10.028692665184799</v>
      </c>
    </row>
    <row r="4969" spans="1:6">
      <c r="A4969" t="s">
        <v>53853</v>
      </c>
      <c r="B4969" t="s">
        <v>53854</v>
      </c>
      <c r="C4969">
        <v>0</v>
      </c>
      <c r="D4969">
        <v>0.23429792784491699</v>
      </c>
      <c r="E4969">
        <v>0.94848033686880395</v>
      </c>
      <c r="F4969">
        <v>0.74681753889674596</v>
      </c>
    </row>
    <row r="4970" spans="1:6">
      <c r="A4970" t="s">
        <v>53853</v>
      </c>
      <c r="B4970" t="s">
        <v>53855</v>
      </c>
      <c r="C4970">
        <v>0.80487079626855496</v>
      </c>
      <c r="D4970">
        <v>0.23429792784491699</v>
      </c>
      <c r="E4970">
        <v>0.94848033686880395</v>
      </c>
      <c r="F4970">
        <v>0.74681753889674596</v>
      </c>
    </row>
    <row r="4971" spans="1:6">
      <c r="A4971" t="s">
        <v>53853</v>
      </c>
      <c r="B4971" t="s">
        <v>53856</v>
      </c>
      <c r="C4971">
        <v>0</v>
      </c>
      <c r="D4971">
        <v>0.23429792784491699</v>
      </c>
      <c r="E4971">
        <v>0.94848033686880395</v>
      </c>
      <c r="F4971">
        <v>0.74681753889674596</v>
      </c>
    </row>
    <row r="4972" spans="1:6">
      <c r="A4972" t="s">
        <v>53853</v>
      </c>
      <c r="B4972" t="s">
        <v>53857</v>
      </c>
      <c r="C4972">
        <v>0</v>
      </c>
      <c r="D4972">
        <v>0.23429792784491699</v>
      </c>
      <c r="E4972">
        <v>0.94848033686880395</v>
      </c>
      <c r="F4972">
        <v>0.74681753889674596</v>
      </c>
    </row>
    <row r="4973" spans="1:6">
      <c r="A4973" t="s">
        <v>53853</v>
      </c>
      <c r="B4973" t="s">
        <v>53858</v>
      </c>
      <c r="C4973">
        <v>5.1238913848811699E-2</v>
      </c>
      <c r="D4973">
        <v>0.23429792784491699</v>
      </c>
      <c r="E4973">
        <v>0.94848033686880395</v>
      </c>
      <c r="F4973">
        <v>0.74681753889674596</v>
      </c>
    </row>
    <row r="4974" spans="1:6">
      <c r="A4974" t="s">
        <v>53859</v>
      </c>
      <c r="B4974" t="s">
        <v>53860</v>
      </c>
      <c r="C4974">
        <v>0.54953158395660895</v>
      </c>
      <c r="D4974">
        <v>0.121990969606788</v>
      </c>
      <c r="E4974">
        <v>0.96052073828765505</v>
      </c>
      <c r="F4974">
        <v>11.997575267730801</v>
      </c>
    </row>
    <row r="4975" spans="1:6">
      <c r="A4975" t="s">
        <v>53859</v>
      </c>
      <c r="B4975" t="s">
        <v>53861</v>
      </c>
      <c r="C4975">
        <v>0</v>
      </c>
      <c r="D4975">
        <v>0.121990969606788</v>
      </c>
      <c r="E4975">
        <v>0.96052073828765505</v>
      </c>
      <c r="F4975">
        <v>11.997575267730801</v>
      </c>
    </row>
    <row r="4976" spans="1:6">
      <c r="A4976" t="s">
        <v>53859</v>
      </c>
      <c r="B4976" t="s">
        <v>53862</v>
      </c>
      <c r="C4976">
        <v>0</v>
      </c>
      <c r="D4976">
        <v>0.121990969606788</v>
      </c>
      <c r="E4976">
        <v>0.96052073828765505</v>
      </c>
      <c r="F4976">
        <v>11.997575267730801</v>
      </c>
    </row>
    <row r="4977" spans="1:6">
      <c r="A4977" t="s">
        <v>53859</v>
      </c>
      <c r="B4977" t="s">
        <v>53863</v>
      </c>
      <c r="C4977">
        <v>0</v>
      </c>
      <c r="D4977">
        <v>0.121990969606788</v>
      </c>
      <c r="E4977">
        <v>0.96052073828765505</v>
      </c>
      <c r="F4977">
        <v>11.997575267730801</v>
      </c>
    </row>
    <row r="4978" spans="1:6">
      <c r="A4978" t="s">
        <v>53859</v>
      </c>
      <c r="B4978" t="s">
        <v>53864</v>
      </c>
      <c r="C4978">
        <v>0</v>
      </c>
      <c r="D4978">
        <v>0.121990969606788</v>
      </c>
      <c r="E4978">
        <v>0.96052073828765505</v>
      </c>
      <c r="F4978">
        <v>11.997575267730801</v>
      </c>
    </row>
    <row r="4979" spans="1:6">
      <c r="A4979" t="s">
        <v>53859</v>
      </c>
      <c r="B4979" t="s">
        <v>53865</v>
      </c>
      <c r="C4979">
        <v>0.27333474985490502</v>
      </c>
      <c r="D4979">
        <v>0.121990969606788</v>
      </c>
      <c r="E4979">
        <v>0.96052073828765505</v>
      </c>
      <c r="F4979">
        <v>11.997575267730801</v>
      </c>
    </row>
    <row r="4980" spans="1:6">
      <c r="A4980" t="s">
        <v>53866</v>
      </c>
      <c r="B4980" t="s">
        <v>53867</v>
      </c>
      <c r="C4980">
        <v>0.628105154612286</v>
      </c>
      <c r="D4980">
        <v>9.5053768048193099E-2</v>
      </c>
      <c r="E4980">
        <v>0.89615204069473198</v>
      </c>
      <c r="F4980">
        <v>16.0662760153566</v>
      </c>
    </row>
    <row r="4981" spans="1:6">
      <c r="A4981" t="s">
        <v>53866</v>
      </c>
      <c r="B4981" t="s">
        <v>53868</v>
      </c>
      <c r="C4981">
        <v>0.12989695945141999</v>
      </c>
      <c r="D4981">
        <v>9.5053768048193099E-2</v>
      </c>
      <c r="E4981">
        <v>0.89615204069473198</v>
      </c>
      <c r="F4981">
        <v>16.0662760153566</v>
      </c>
    </row>
    <row r="4982" spans="1:6">
      <c r="A4982" t="s">
        <v>53866</v>
      </c>
      <c r="B4982" t="s">
        <v>53869</v>
      </c>
      <c r="C4982">
        <v>0</v>
      </c>
      <c r="D4982">
        <v>9.5053768048193099E-2</v>
      </c>
      <c r="E4982">
        <v>0.89615204069473198</v>
      </c>
      <c r="F4982">
        <v>16.0662760153566</v>
      </c>
    </row>
    <row r="4983" spans="1:6">
      <c r="A4983" t="s">
        <v>53870</v>
      </c>
      <c r="B4983" t="s">
        <v>53871</v>
      </c>
      <c r="C4983">
        <v>0</v>
      </c>
      <c r="D4983">
        <v>0.42568148720078403</v>
      </c>
      <c r="E4983">
        <v>0.98520041062345898</v>
      </c>
      <c r="F4983">
        <v>17.278642149929201</v>
      </c>
    </row>
    <row r="4984" spans="1:6">
      <c r="A4984" t="s">
        <v>53870</v>
      </c>
      <c r="B4984" t="s">
        <v>53872</v>
      </c>
      <c r="C4984">
        <v>0.46543276793160898</v>
      </c>
      <c r="D4984">
        <v>0.42568148720078403</v>
      </c>
      <c r="E4984">
        <v>0.98520041062345898</v>
      </c>
      <c r="F4984">
        <v>17.278642149929201</v>
      </c>
    </row>
    <row r="4985" spans="1:6">
      <c r="A4985" t="s">
        <v>53870</v>
      </c>
      <c r="B4985" t="s">
        <v>53873</v>
      </c>
      <c r="C4985">
        <v>0</v>
      </c>
      <c r="D4985">
        <v>0.42568148720078403</v>
      </c>
      <c r="E4985">
        <v>0.98520041062345898</v>
      </c>
      <c r="F4985">
        <v>17.278642149929201</v>
      </c>
    </row>
    <row r="4986" spans="1:6">
      <c r="A4986" t="s">
        <v>53870</v>
      </c>
      <c r="B4986" t="s">
        <v>53874</v>
      </c>
      <c r="C4986">
        <v>0</v>
      </c>
      <c r="D4986">
        <v>0.42568148720078403</v>
      </c>
      <c r="E4986">
        <v>0.98520041062345898</v>
      </c>
      <c r="F4986">
        <v>17.278642149929201</v>
      </c>
    </row>
    <row r="4987" spans="1:6">
      <c r="A4987" t="s">
        <v>53870</v>
      </c>
      <c r="B4987" t="s">
        <v>53875</v>
      </c>
      <c r="C4987">
        <v>0</v>
      </c>
      <c r="D4987">
        <v>0.42568148720078403</v>
      </c>
      <c r="E4987">
        <v>0.98520041062345898</v>
      </c>
      <c r="F4987">
        <v>17.278642149929201</v>
      </c>
    </row>
    <row r="4988" spans="1:6">
      <c r="A4988" t="s">
        <v>53870</v>
      </c>
      <c r="B4988" t="s">
        <v>53876</v>
      </c>
      <c r="C4988">
        <v>0.42388392965050198</v>
      </c>
      <c r="D4988">
        <v>0.42568148720078403</v>
      </c>
      <c r="E4988">
        <v>0.98520041062345898</v>
      </c>
      <c r="F4988">
        <v>17.278642149929201</v>
      </c>
    </row>
    <row r="4989" spans="1:6">
      <c r="A4989" t="s">
        <v>53870</v>
      </c>
      <c r="B4989" t="s">
        <v>53877</v>
      </c>
      <c r="C4989">
        <v>0</v>
      </c>
      <c r="D4989">
        <v>0.42568148720078403</v>
      </c>
      <c r="E4989">
        <v>0.98520041062345898</v>
      </c>
      <c r="F4989">
        <v>17.278642149929201</v>
      </c>
    </row>
    <row r="4990" spans="1:6">
      <c r="A4990" t="s">
        <v>53870</v>
      </c>
      <c r="B4990" t="s">
        <v>53878</v>
      </c>
      <c r="C4990">
        <v>0</v>
      </c>
      <c r="D4990">
        <v>0.42568148720078403</v>
      </c>
      <c r="E4990">
        <v>0.98520041062345898</v>
      </c>
      <c r="F4990">
        <v>17.278642149929201</v>
      </c>
    </row>
    <row r="4991" spans="1:6">
      <c r="A4991" t="s">
        <v>53879</v>
      </c>
      <c r="B4991" t="s">
        <v>53880</v>
      </c>
      <c r="C4991">
        <v>0.95982507502209502</v>
      </c>
      <c r="D4991">
        <v>0.77885405657144302</v>
      </c>
      <c r="E4991">
        <v>0.99739892513898598</v>
      </c>
      <c r="F4991">
        <v>14.519296827641901</v>
      </c>
    </row>
    <row r="4992" spans="1:6">
      <c r="A4992" t="s">
        <v>53879</v>
      </c>
      <c r="B4992" t="s">
        <v>53881</v>
      </c>
      <c r="C4992">
        <v>0</v>
      </c>
      <c r="D4992">
        <v>0.77885405657144302</v>
      </c>
      <c r="E4992">
        <v>0.99739892513898598</v>
      </c>
      <c r="F4992">
        <v>14.519296827641901</v>
      </c>
    </row>
    <row r="4993" spans="1:6">
      <c r="A4993" t="s">
        <v>53879</v>
      </c>
      <c r="B4993" t="s">
        <v>53882</v>
      </c>
      <c r="C4993">
        <v>0</v>
      </c>
      <c r="D4993">
        <v>0.77885405657144302</v>
      </c>
      <c r="E4993">
        <v>0.99739892513898598</v>
      </c>
      <c r="F4993">
        <v>14.519296827641901</v>
      </c>
    </row>
    <row r="4994" spans="1:6">
      <c r="A4994" t="s">
        <v>53879</v>
      </c>
      <c r="B4994" t="s">
        <v>53883</v>
      </c>
      <c r="C4994">
        <v>0</v>
      </c>
      <c r="D4994">
        <v>0.77885405657144302</v>
      </c>
      <c r="E4994">
        <v>0.99739892513898598</v>
      </c>
      <c r="F4994">
        <v>14.519296827641901</v>
      </c>
    </row>
    <row r="4995" spans="1:6">
      <c r="A4995" t="s">
        <v>53879</v>
      </c>
      <c r="B4995" t="s">
        <v>53884</v>
      </c>
      <c r="C4995">
        <v>0</v>
      </c>
      <c r="D4995">
        <v>0.77885405657144302</v>
      </c>
      <c r="E4995">
        <v>0.99739892513898598</v>
      </c>
      <c r="F4995">
        <v>14.519296827641901</v>
      </c>
    </row>
    <row r="4996" spans="1:6">
      <c r="A4996" t="s">
        <v>53879</v>
      </c>
      <c r="B4996" t="s">
        <v>53885</v>
      </c>
      <c r="C4996">
        <v>0</v>
      </c>
      <c r="D4996">
        <v>0.77885405657144302</v>
      </c>
      <c r="E4996">
        <v>0.99739892513898598</v>
      </c>
      <c r="F4996">
        <v>14.519296827641901</v>
      </c>
    </row>
    <row r="4997" spans="1:6">
      <c r="A4997" t="s">
        <v>53879</v>
      </c>
      <c r="B4997" t="s">
        <v>53886</v>
      </c>
      <c r="C4997">
        <v>4.09683914815284E-2</v>
      </c>
      <c r="D4997">
        <v>0.77885405657144302</v>
      </c>
      <c r="E4997">
        <v>0.99739892513898598</v>
      </c>
      <c r="F4997">
        <v>14.519296827641901</v>
      </c>
    </row>
    <row r="4998" spans="1:6">
      <c r="A4998" t="s">
        <v>53887</v>
      </c>
      <c r="B4998" t="s">
        <v>53888</v>
      </c>
      <c r="C4998">
        <v>0</v>
      </c>
      <c r="D4998">
        <v>3.6983995324480601E-2</v>
      </c>
      <c r="E4998">
        <v>0.95760123151677201</v>
      </c>
      <c r="F4998">
        <v>7.8173368357243804</v>
      </c>
    </row>
    <row r="4999" spans="1:6">
      <c r="A4999" t="s">
        <v>53887</v>
      </c>
      <c r="B4999" t="s">
        <v>53889</v>
      </c>
      <c r="C4999">
        <v>0</v>
      </c>
      <c r="D4999">
        <v>3.6983995324480601E-2</v>
      </c>
      <c r="E4999">
        <v>0.95760123151677201</v>
      </c>
      <c r="F4999">
        <v>7.8173368357243804</v>
      </c>
    </row>
    <row r="5000" spans="1:6">
      <c r="A5000" t="s">
        <v>53887</v>
      </c>
      <c r="B5000" t="s">
        <v>53890</v>
      </c>
      <c r="C5000">
        <v>0.50228799913808497</v>
      </c>
      <c r="D5000">
        <v>3.6983995324480601E-2</v>
      </c>
      <c r="E5000">
        <v>0.95760123151677201</v>
      </c>
      <c r="F5000">
        <v>7.8173368357243804</v>
      </c>
    </row>
    <row r="5001" spans="1:6">
      <c r="A5001" t="s">
        <v>53887</v>
      </c>
      <c r="B5001" t="s">
        <v>53891</v>
      </c>
      <c r="C5001">
        <v>0</v>
      </c>
      <c r="D5001">
        <v>3.6983995324480601E-2</v>
      </c>
      <c r="E5001">
        <v>0.95760123151677201</v>
      </c>
      <c r="F5001">
        <v>7.8173368357243804</v>
      </c>
    </row>
    <row r="5002" spans="1:6">
      <c r="A5002" t="s">
        <v>53887</v>
      </c>
      <c r="B5002" t="s">
        <v>53892</v>
      </c>
      <c r="C5002">
        <v>0.34853351345161598</v>
      </c>
      <c r="D5002">
        <v>3.6983995324480601E-2</v>
      </c>
      <c r="E5002">
        <v>0.95760123151677201</v>
      </c>
      <c r="F5002">
        <v>7.8173368357243804</v>
      </c>
    </row>
    <row r="5003" spans="1:6">
      <c r="A5003" t="s">
        <v>53893</v>
      </c>
      <c r="B5003" t="s">
        <v>53894</v>
      </c>
      <c r="C5003">
        <v>0</v>
      </c>
      <c r="D5003">
        <v>0.76862969199171405</v>
      </c>
      <c r="E5003">
        <v>0.942290804806036</v>
      </c>
      <c r="F5003">
        <v>16.871287128712801</v>
      </c>
    </row>
    <row r="5004" spans="1:6">
      <c r="A5004" t="s">
        <v>53893</v>
      </c>
      <c r="B5004" t="s">
        <v>53895</v>
      </c>
      <c r="C5004">
        <v>0</v>
      </c>
      <c r="D5004">
        <v>0.76862969199171405</v>
      </c>
      <c r="E5004">
        <v>0.942290804806036</v>
      </c>
      <c r="F5004">
        <v>16.871287128712801</v>
      </c>
    </row>
    <row r="5005" spans="1:6">
      <c r="A5005" t="s">
        <v>53893</v>
      </c>
      <c r="B5005" t="s">
        <v>53896</v>
      </c>
      <c r="C5005">
        <v>0</v>
      </c>
      <c r="D5005">
        <v>0.76862969199171405</v>
      </c>
      <c r="E5005">
        <v>0.942290804806036</v>
      </c>
      <c r="F5005">
        <v>16.871287128712801</v>
      </c>
    </row>
    <row r="5006" spans="1:6">
      <c r="A5006" t="s">
        <v>53893</v>
      </c>
      <c r="B5006" t="s">
        <v>53897</v>
      </c>
      <c r="C5006">
        <v>0.78549080480603595</v>
      </c>
      <c r="D5006">
        <v>0.76862969199171405</v>
      </c>
      <c r="E5006">
        <v>0.942290804806036</v>
      </c>
      <c r="F5006">
        <v>16.871287128712801</v>
      </c>
    </row>
    <row r="5007" spans="1:6">
      <c r="A5007" t="s">
        <v>53893</v>
      </c>
      <c r="B5007" t="s">
        <v>53898</v>
      </c>
      <c r="C5007">
        <v>0</v>
      </c>
      <c r="D5007">
        <v>0.76862969199171405</v>
      </c>
      <c r="E5007">
        <v>0.942290804806036</v>
      </c>
      <c r="F5007">
        <v>16.871287128712801</v>
      </c>
    </row>
    <row r="5008" spans="1:6">
      <c r="A5008" t="s">
        <v>53893</v>
      </c>
      <c r="B5008" t="s">
        <v>53899</v>
      </c>
      <c r="C5008">
        <v>0</v>
      </c>
      <c r="D5008">
        <v>0.76862969199171405</v>
      </c>
      <c r="E5008">
        <v>0.942290804806036</v>
      </c>
      <c r="F5008">
        <v>16.871287128712801</v>
      </c>
    </row>
    <row r="5009" spans="1:6">
      <c r="A5009" t="s">
        <v>53893</v>
      </c>
      <c r="B5009" t="s">
        <v>53900</v>
      </c>
      <c r="C5009">
        <v>0</v>
      </c>
      <c r="D5009">
        <v>0.76862969199171405</v>
      </c>
      <c r="E5009">
        <v>0.942290804806036</v>
      </c>
      <c r="F5009">
        <v>16.871287128712801</v>
      </c>
    </row>
    <row r="5010" spans="1:6">
      <c r="A5010" t="s">
        <v>53893</v>
      </c>
      <c r="B5010" t="s">
        <v>53901</v>
      </c>
      <c r="C5010">
        <v>0</v>
      </c>
      <c r="D5010">
        <v>0.76862969199171405</v>
      </c>
      <c r="E5010">
        <v>0.942290804806036</v>
      </c>
      <c r="F5010">
        <v>16.871287128712801</v>
      </c>
    </row>
    <row r="5011" spans="1:6">
      <c r="A5011" t="s">
        <v>53902</v>
      </c>
      <c r="B5011" t="s">
        <v>53903</v>
      </c>
      <c r="C5011">
        <v>0</v>
      </c>
      <c r="D5011">
        <v>0.51351205442219605</v>
      </c>
      <c r="E5011" t="s">
        <v>106</v>
      </c>
      <c r="F5011">
        <v>2.12891493230955</v>
      </c>
    </row>
    <row r="5012" spans="1:6">
      <c r="A5012" t="s">
        <v>53902</v>
      </c>
      <c r="B5012" t="s">
        <v>53904</v>
      </c>
      <c r="C5012">
        <v>0</v>
      </c>
      <c r="D5012">
        <v>0.51351205442219605</v>
      </c>
      <c r="E5012" t="s">
        <v>106</v>
      </c>
      <c r="F5012">
        <v>2.12891493230955</v>
      </c>
    </row>
    <row r="5013" spans="1:6">
      <c r="A5013" t="s">
        <v>53905</v>
      </c>
      <c r="B5013" t="s">
        <v>53906</v>
      </c>
      <c r="C5013">
        <v>0.25382619904868298</v>
      </c>
      <c r="D5013">
        <v>0.22094471370191299</v>
      </c>
      <c r="E5013">
        <v>0.94191113855351905</v>
      </c>
      <c r="F5013">
        <v>1.29480703172358</v>
      </c>
    </row>
    <row r="5014" spans="1:6">
      <c r="A5014" t="s">
        <v>53905</v>
      </c>
      <c r="B5014" t="s">
        <v>53907</v>
      </c>
      <c r="C5014">
        <v>0</v>
      </c>
      <c r="D5014">
        <v>0.22094471370191299</v>
      </c>
      <c r="E5014">
        <v>0.94191113855351905</v>
      </c>
      <c r="F5014">
        <v>1.29480703172358</v>
      </c>
    </row>
    <row r="5015" spans="1:6">
      <c r="A5015" t="s">
        <v>53905</v>
      </c>
      <c r="B5015" t="s">
        <v>53908</v>
      </c>
      <c r="C5015">
        <v>0</v>
      </c>
      <c r="D5015">
        <v>0.22094471370191299</v>
      </c>
      <c r="E5015">
        <v>0.94191113855351905</v>
      </c>
      <c r="F5015">
        <v>1.29480703172358</v>
      </c>
    </row>
    <row r="5016" spans="1:6">
      <c r="A5016" t="s">
        <v>53905</v>
      </c>
      <c r="B5016" t="s">
        <v>53909</v>
      </c>
      <c r="C5016">
        <v>0</v>
      </c>
      <c r="D5016">
        <v>0.22094471370191299</v>
      </c>
      <c r="E5016">
        <v>0.94191113855351905</v>
      </c>
      <c r="F5016">
        <v>1.29480703172358</v>
      </c>
    </row>
    <row r="5017" spans="1:6">
      <c r="A5017" t="s">
        <v>53905</v>
      </c>
      <c r="B5017" t="s">
        <v>53910</v>
      </c>
      <c r="C5017">
        <v>0</v>
      </c>
      <c r="D5017">
        <v>0.22094471370191299</v>
      </c>
      <c r="E5017">
        <v>0.94191113855351905</v>
      </c>
      <c r="F5017">
        <v>1.29480703172358</v>
      </c>
    </row>
    <row r="5018" spans="1:6">
      <c r="A5018" t="s">
        <v>53905</v>
      </c>
      <c r="B5018" t="s">
        <v>53911</v>
      </c>
      <c r="C5018">
        <v>0</v>
      </c>
      <c r="D5018">
        <v>0.22094471370191299</v>
      </c>
      <c r="E5018">
        <v>0.94191113855351905</v>
      </c>
      <c r="F5018">
        <v>1.29480703172358</v>
      </c>
    </row>
    <row r="5019" spans="1:6">
      <c r="A5019" t="s">
        <v>53905</v>
      </c>
      <c r="B5019" t="s">
        <v>53912</v>
      </c>
      <c r="C5019">
        <v>0</v>
      </c>
      <c r="D5019">
        <v>0.22094471370191299</v>
      </c>
      <c r="E5019">
        <v>0.94191113855351905</v>
      </c>
      <c r="F5019">
        <v>1.29480703172358</v>
      </c>
    </row>
    <row r="5020" spans="1:6">
      <c r="A5020" t="s">
        <v>53905</v>
      </c>
      <c r="B5020" t="s">
        <v>53913</v>
      </c>
      <c r="C5020">
        <v>0</v>
      </c>
      <c r="D5020">
        <v>0.22094471370191299</v>
      </c>
      <c r="E5020">
        <v>0.94191113855351905</v>
      </c>
      <c r="F5020">
        <v>1.29480703172358</v>
      </c>
    </row>
    <row r="5021" spans="1:6">
      <c r="A5021" t="s">
        <v>53905</v>
      </c>
      <c r="B5021" t="s">
        <v>53914</v>
      </c>
      <c r="C5021">
        <v>0</v>
      </c>
      <c r="D5021">
        <v>0.22094471370191299</v>
      </c>
      <c r="E5021">
        <v>0.94191113855351905</v>
      </c>
      <c r="F5021">
        <v>1.29480703172358</v>
      </c>
    </row>
    <row r="5022" spans="1:6">
      <c r="A5022" t="s">
        <v>53905</v>
      </c>
      <c r="B5022" t="s">
        <v>53915</v>
      </c>
      <c r="C5022">
        <v>0</v>
      </c>
      <c r="D5022">
        <v>0.22094471370191299</v>
      </c>
      <c r="E5022">
        <v>0.94191113855351905</v>
      </c>
      <c r="F5022">
        <v>1.29480703172358</v>
      </c>
    </row>
    <row r="5023" spans="1:6">
      <c r="A5023" t="s">
        <v>53905</v>
      </c>
      <c r="B5023" t="s">
        <v>53916</v>
      </c>
      <c r="C5023">
        <v>0.198349645702912</v>
      </c>
      <c r="D5023">
        <v>0.22094471370191299</v>
      </c>
      <c r="E5023">
        <v>0.94191113855351905</v>
      </c>
      <c r="F5023">
        <v>1.29480703172358</v>
      </c>
    </row>
    <row r="5024" spans="1:6">
      <c r="A5024" t="s">
        <v>53905</v>
      </c>
      <c r="B5024" t="s">
        <v>53917</v>
      </c>
      <c r="C5024">
        <v>0</v>
      </c>
      <c r="D5024">
        <v>0.22094471370191299</v>
      </c>
      <c r="E5024">
        <v>0.94191113855351905</v>
      </c>
      <c r="F5024">
        <v>1.29480703172358</v>
      </c>
    </row>
    <row r="5025" spans="1:6">
      <c r="A5025" t="s">
        <v>53918</v>
      </c>
      <c r="B5025" t="s">
        <v>53919</v>
      </c>
      <c r="C5025">
        <v>0.82248372388035795</v>
      </c>
      <c r="D5025">
        <v>0.42369538062269002</v>
      </c>
      <c r="E5025">
        <v>0.90088372388035798</v>
      </c>
      <c r="F5025">
        <v>4.1123459284703898</v>
      </c>
    </row>
    <row r="5026" spans="1:6">
      <c r="A5026" t="s">
        <v>53918</v>
      </c>
      <c r="B5026" t="s">
        <v>53920</v>
      </c>
      <c r="C5026">
        <v>0</v>
      </c>
      <c r="D5026">
        <v>0.42369538062269002</v>
      </c>
      <c r="E5026">
        <v>0.90088372388035798</v>
      </c>
      <c r="F5026">
        <v>4.1123459284703898</v>
      </c>
    </row>
    <row r="5027" spans="1:6">
      <c r="A5027" t="s">
        <v>53921</v>
      </c>
      <c r="B5027" t="s">
        <v>53922</v>
      </c>
      <c r="C5027">
        <v>0.917551309080605</v>
      </c>
      <c r="D5027">
        <v>0.76167173705664404</v>
      </c>
      <c r="E5027">
        <v>0.97675130908060503</v>
      </c>
      <c r="F5027">
        <v>15.6734693877551</v>
      </c>
    </row>
    <row r="5028" spans="1:6">
      <c r="A5028" t="s">
        <v>53921</v>
      </c>
      <c r="B5028" t="s">
        <v>53923</v>
      </c>
      <c r="C5028">
        <v>0</v>
      </c>
      <c r="D5028">
        <v>0.76167173705664404</v>
      </c>
      <c r="E5028">
        <v>0.97675130908060503</v>
      </c>
      <c r="F5028">
        <v>15.6734693877551</v>
      </c>
    </row>
    <row r="5029" spans="1:6">
      <c r="A5029" t="s">
        <v>53921</v>
      </c>
      <c r="B5029" t="s">
        <v>53924</v>
      </c>
      <c r="C5029">
        <v>0</v>
      </c>
      <c r="D5029">
        <v>0.76167173705664404</v>
      </c>
      <c r="E5029">
        <v>0.97675130908060503</v>
      </c>
      <c r="F5029">
        <v>15.6734693877551</v>
      </c>
    </row>
    <row r="5030" spans="1:6">
      <c r="A5030" t="s">
        <v>53925</v>
      </c>
      <c r="B5030" t="s">
        <v>53926</v>
      </c>
      <c r="C5030">
        <v>0.47344207063886901</v>
      </c>
      <c r="D5030">
        <v>0.13542985178182601</v>
      </c>
      <c r="E5030">
        <v>0.60304207063886905</v>
      </c>
      <c r="F5030">
        <v>16.463932107496401</v>
      </c>
    </row>
    <row r="5031" spans="1:6">
      <c r="A5031" t="s">
        <v>53925</v>
      </c>
      <c r="B5031" t="s">
        <v>53927</v>
      </c>
      <c r="C5031">
        <v>0</v>
      </c>
      <c r="D5031">
        <v>0.13542985178182601</v>
      </c>
      <c r="E5031">
        <v>0.60304207063886905</v>
      </c>
      <c r="F5031">
        <v>16.463932107496401</v>
      </c>
    </row>
    <row r="5032" spans="1:6">
      <c r="A5032" t="s">
        <v>53928</v>
      </c>
      <c r="B5032" t="s">
        <v>53929</v>
      </c>
      <c r="C5032">
        <v>0.51352267240426097</v>
      </c>
      <c r="D5032">
        <v>0.75926213398202702</v>
      </c>
      <c r="E5032">
        <v>0.74746862452034102</v>
      </c>
      <c r="F5032">
        <v>0</v>
      </c>
    </row>
    <row r="5033" spans="1:6">
      <c r="A5033" t="s">
        <v>53928</v>
      </c>
      <c r="B5033" t="s">
        <v>53930</v>
      </c>
      <c r="C5033">
        <v>0</v>
      </c>
      <c r="D5033">
        <v>0.75926213398202702</v>
      </c>
      <c r="E5033">
        <v>0.74746862452034102</v>
      </c>
      <c r="F5033">
        <v>0</v>
      </c>
    </row>
    <row r="5034" spans="1:6">
      <c r="A5034" t="s">
        <v>53928</v>
      </c>
      <c r="B5034" t="s">
        <v>53931</v>
      </c>
      <c r="C5034">
        <v>5.3376787201175897E-2</v>
      </c>
      <c r="D5034">
        <v>0.75926213398202702</v>
      </c>
      <c r="E5034">
        <v>0.74746862452034102</v>
      </c>
      <c r="F5034">
        <v>0</v>
      </c>
    </row>
    <row r="5035" spans="1:6">
      <c r="A5035" t="s">
        <v>53928</v>
      </c>
      <c r="B5035" t="s">
        <v>53932</v>
      </c>
      <c r="C5035">
        <v>0</v>
      </c>
      <c r="D5035">
        <v>0.75926213398202702</v>
      </c>
      <c r="E5035">
        <v>0.74746862452034102</v>
      </c>
      <c r="F5035">
        <v>0</v>
      </c>
    </row>
    <row r="5036" spans="1:6">
      <c r="A5036" t="s">
        <v>53928</v>
      </c>
      <c r="B5036" t="s">
        <v>53933</v>
      </c>
      <c r="C5036">
        <v>0</v>
      </c>
      <c r="D5036">
        <v>0.75926213398202702</v>
      </c>
      <c r="E5036">
        <v>0.74746862452034102</v>
      </c>
      <c r="F5036">
        <v>0</v>
      </c>
    </row>
    <row r="5037" spans="1:6">
      <c r="A5037" t="s">
        <v>53934</v>
      </c>
      <c r="B5037" t="s">
        <v>53935</v>
      </c>
      <c r="C5037">
        <v>0</v>
      </c>
      <c r="D5037">
        <v>0.90266371960391001</v>
      </c>
      <c r="E5037">
        <v>0.97899246217192304</v>
      </c>
      <c r="F5037">
        <v>1.1832693473428899</v>
      </c>
    </row>
    <row r="5038" spans="1:6">
      <c r="A5038" t="s">
        <v>53934</v>
      </c>
      <c r="B5038" t="s">
        <v>53936</v>
      </c>
      <c r="C5038">
        <v>0</v>
      </c>
      <c r="D5038">
        <v>0.90266371960391001</v>
      </c>
      <c r="E5038">
        <v>0.97899246217192304</v>
      </c>
      <c r="F5038">
        <v>1.1832693473428899</v>
      </c>
    </row>
    <row r="5039" spans="1:6">
      <c r="A5039" t="s">
        <v>53934</v>
      </c>
      <c r="B5039" t="s">
        <v>53937</v>
      </c>
      <c r="C5039">
        <v>0.96155613639686699</v>
      </c>
      <c r="D5039">
        <v>0.90266371960391001</v>
      </c>
      <c r="E5039">
        <v>0.97899246217192304</v>
      </c>
      <c r="F5039">
        <v>1.1832693473428899</v>
      </c>
    </row>
    <row r="5040" spans="1:6">
      <c r="A5040" t="s">
        <v>53934</v>
      </c>
      <c r="B5040" t="s">
        <v>53938</v>
      </c>
      <c r="C5040">
        <v>0.40273462221566902</v>
      </c>
      <c r="D5040">
        <v>0.90266371960391001</v>
      </c>
      <c r="E5040">
        <v>0.97899246217192304</v>
      </c>
      <c r="F5040">
        <v>1.1832693473428899</v>
      </c>
    </row>
    <row r="5041" spans="1:6">
      <c r="A5041" t="s">
        <v>53939</v>
      </c>
      <c r="B5041" t="s">
        <v>53940</v>
      </c>
      <c r="C5041">
        <v>0</v>
      </c>
      <c r="D5041">
        <v>0.203150861578342</v>
      </c>
      <c r="E5041" t="s">
        <v>106</v>
      </c>
      <c r="F5041">
        <v>1.5275813295615199</v>
      </c>
    </row>
    <row r="5042" spans="1:6">
      <c r="A5042" t="s">
        <v>53939</v>
      </c>
      <c r="B5042" t="s">
        <v>53941</v>
      </c>
      <c r="C5042">
        <v>0</v>
      </c>
      <c r="D5042">
        <v>0.203150861578342</v>
      </c>
      <c r="E5042" t="s">
        <v>106</v>
      </c>
      <c r="F5042">
        <v>1.5275813295615199</v>
      </c>
    </row>
    <row r="5043" spans="1:6">
      <c r="A5043" t="s">
        <v>53939</v>
      </c>
      <c r="B5043" t="s">
        <v>53942</v>
      </c>
      <c r="C5043">
        <v>0</v>
      </c>
      <c r="D5043">
        <v>0.203150861578342</v>
      </c>
      <c r="E5043" t="s">
        <v>106</v>
      </c>
      <c r="F5043">
        <v>1.5275813295615199</v>
      </c>
    </row>
    <row r="5044" spans="1:6">
      <c r="A5044" t="s">
        <v>53939</v>
      </c>
      <c r="B5044" t="s">
        <v>53943</v>
      </c>
      <c r="C5044">
        <v>0</v>
      </c>
      <c r="D5044">
        <v>0.203150861578342</v>
      </c>
      <c r="E5044" t="s">
        <v>106</v>
      </c>
      <c r="F5044">
        <v>1.5275813295615199</v>
      </c>
    </row>
    <row r="5045" spans="1:6">
      <c r="A5045" t="s">
        <v>53939</v>
      </c>
      <c r="B5045" t="s">
        <v>53944</v>
      </c>
      <c r="C5045">
        <v>0</v>
      </c>
      <c r="D5045">
        <v>0.203150861578342</v>
      </c>
      <c r="E5045" t="s">
        <v>106</v>
      </c>
      <c r="F5045">
        <v>1.5275813295615199</v>
      </c>
    </row>
    <row r="5046" spans="1:6">
      <c r="A5046" t="s">
        <v>53945</v>
      </c>
      <c r="B5046" t="s">
        <v>53946</v>
      </c>
      <c r="C5046">
        <v>0</v>
      </c>
      <c r="D5046">
        <v>0.41584962094872502</v>
      </c>
      <c r="E5046">
        <v>0.95799003487205403</v>
      </c>
      <c r="F5046">
        <v>10.9937361083047</v>
      </c>
    </row>
    <row r="5047" spans="1:6">
      <c r="A5047" t="s">
        <v>53945</v>
      </c>
      <c r="B5047" t="s">
        <v>53947</v>
      </c>
      <c r="C5047">
        <v>0</v>
      </c>
      <c r="D5047">
        <v>0.41584962094872502</v>
      </c>
      <c r="E5047">
        <v>0.95799003487205403</v>
      </c>
      <c r="F5047">
        <v>10.9937361083047</v>
      </c>
    </row>
    <row r="5048" spans="1:6">
      <c r="A5048" t="s">
        <v>53945</v>
      </c>
      <c r="B5048" t="s">
        <v>53948</v>
      </c>
      <c r="C5048">
        <v>0.28062751026996002</v>
      </c>
      <c r="D5048">
        <v>0.41584962094872502</v>
      </c>
      <c r="E5048">
        <v>0.95799003487205403</v>
      </c>
      <c r="F5048">
        <v>10.9937361083047</v>
      </c>
    </row>
    <row r="5049" spans="1:6">
      <c r="A5049" t="s">
        <v>53945</v>
      </c>
      <c r="B5049" t="s">
        <v>53949</v>
      </c>
      <c r="C5049">
        <v>0.66821378504950002</v>
      </c>
      <c r="D5049">
        <v>0.41584962094872502</v>
      </c>
      <c r="E5049">
        <v>0.95799003487205403</v>
      </c>
      <c r="F5049">
        <v>10.9937361083047</v>
      </c>
    </row>
    <row r="5050" spans="1:6">
      <c r="A5050" t="s">
        <v>53945</v>
      </c>
      <c r="B5050" t="s">
        <v>53950</v>
      </c>
      <c r="C5050">
        <v>0</v>
      </c>
      <c r="D5050">
        <v>0.41584962094872502</v>
      </c>
      <c r="E5050">
        <v>0.95799003487205403</v>
      </c>
      <c r="F5050">
        <v>10.9937361083047</v>
      </c>
    </row>
    <row r="5051" spans="1:6">
      <c r="A5051" t="s">
        <v>53945</v>
      </c>
      <c r="B5051" t="s">
        <v>53951</v>
      </c>
      <c r="C5051">
        <v>0</v>
      </c>
      <c r="D5051">
        <v>0.41584962094872502</v>
      </c>
      <c r="E5051">
        <v>0.95799003487205403</v>
      </c>
      <c r="F5051">
        <v>10.9937361083047</v>
      </c>
    </row>
    <row r="5052" spans="1:6">
      <c r="A5052" t="s">
        <v>53945</v>
      </c>
      <c r="B5052" t="s">
        <v>53952</v>
      </c>
      <c r="C5052">
        <v>0</v>
      </c>
      <c r="D5052">
        <v>0.41584962094872502</v>
      </c>
      <c r="E5052">
        <v>0.95799003487205403</v>
      </c>
      <c r="F5052">
        <v>10.9937361083047</v>
      </c>
    </row>
    <row r="5053" spans="1:6">
      <c r="A5053" t="s">
        <v>53953</v>
      </c>
      <c r="B5053" t="s">
        <v>53954</v>
      </c>
      <c r="C5053">
        <v>0</v>
      </c>
      <c r="D5053">
        <v>0.20655657401831001</v>
      </c>
      <c r="E5053" t="s">
        <v>106</v>
      </c>
      <c r="F5053">
        <v>5.5235401091129503</v>
      </c>
    </row>
    <row r="5054" spans="1:6">
      <c r="A5054" t="s">
        <v>53953</v>
      </c>
      <c r="B5054" t="s">
        <v>53955</v>
      </c>
      <c r="C5054">
        <v>0</v>
      </c>
      <c r="D5054">
        <v>0.20655657401831001</v>
      </c>
      <c r="E5054" t="s">
        <v>106</v>
      </c>
      <c r="F5054">
        <v>5.5235401091129503</v>
      </c>
    </row>
    <row r="5055" spans="1:6">
      <c r="A5055" t="s">
        <v>53956</v>
      </c>
      <c r="B5055" t="s">
        <v>53957</v>
      </c>
      <c r="C5055">
        <v>0.893218595607011</v>
      </c>
      <c r="D5055">
        <v>3.9419658078087602E-2</v>
      </c>
      <c r="E5055">
        <v>0.98924905426639098</v>
      </c>
      <c r="F5055">
        <v>19.616084057385301</v>
      </c>
    </row>
    <row r="5056" spans="1:6">
      <c r="A5056" t="s">
        <v>53956</v>
      </c>
      <c r="B5056" t="s">
        <v>53958</v>
      </c>
      <c r="C5056">
        <v>0</v>
      </c>
      <c r="D5056">
        <v>3.9419658078087602E-2</v>
      </c>
      <c r="E5056">
        <v>0.98924905426639098</v>
      </c>
      <c r="F5056">
        <v>19.616084057385301</v>
      </c>
    </row>
    <row r="5057" spans="1:6">
      <c r="A5057" t="s">
        <v>53956</v>
      </c>
      <c r="B5057" t="s">
        <v>53959</v>
      </c>
      <c r="C5057">
        <v>0</v>
      </c>
      <c r="D5057">
        <v>3.9419658078087602E-2</v>
      </c>
      <c r="E5057">
        <v>0.98924905426639098</v>
      </c>
      <c r="F5057">
        <v>19.616084057385301</v>
      </c>
    </row>
    <row r="5058" spans="1:6">
      <c r="A5058" t="s">
        <v>53956</v>
      </c>
      <c r="B5058" t="s">
        <v>53960</v>
      </c>
      <c r="C5058">
        <v>6.5422427444896099E-3</v>
      </c>
      <c r="D5058">
        <v>3.9419658078087602E-2</v>
      </c>
      <c r="E5058">
        <v>0.98924905426639098</v>
      </c>
      <c r="F5058">
        <v>19.616084057385301</v>
      </c>
    </row>
    <row r="5059" spans="1:6">
      <c r="A5059" t="s">
        <v>53956</v>
      </c>
      <c r="B5059" t="s">
        <v>53961</v>
      </c>
      <c r="C5059">
        <v>0</v>
      </c>
      <c r="D5059">
        <v>3.9419658078087602E-2</v>
      </c>
      <c r="E5059">
        <v>0.98924905426639098</v>
      </c>
      <c r="F5059">
        <v>19.616084057385301</v>
      </c>
    </row>
    <row r="5060" spans="1:6">
      <c r="A5060" t="s">
        <v>53956</v>
      </c>
      <c r="B5060" t="s">
        <v>53962</v>
      </c>
      <c r="C5060">
        <v>0</v>
      </c>
      <c r="D5060">
        <v>3.9419658078087602E-2</v>
      </c>
      <c r="E5060">
        <v>0.98924905426639098</v>
      </c>
      <c r="F5060">
        <v>19.616084057385301</v>
      </c>
    </row>
    <row r="5061" spans="1:6">
      <c r="A5061" t="s">
        <v>53956</v>
      </c>
      <c r="B5061" t="s">
        <v>53963</v>
      </c>
      <c r="C5061">
        <v>0</v>
      </c>
      <c r="D5061">
        <v>3.9419658078087602E-2</v>
      </c>
      <c r="E5061">
        <v>0.98924905426639098</v>
      </c>
      <c r="F5061">
        <v>19.616084057385301</v>
      </c>
    </row>
    <row r="5062" spans="1:6">
      <c r="A5062" t="s">
        <v>53956</v>
      </c>
      <c r="B5062" t="s">
        <v>53964</v>
      </c>
      <c r="C5062">
        <v>0</v>
      </c>
      <c r="D5062">
        <v>3.9419658078087602E-2</v>
      </c>
      <c r="E5062">
        <v>0.98924905426639098</v>
      </c>
      <c r="F5062">
        <v>19.616084057385301</v>
      </c>
    </row>
    <row r="5063" spans="1:6">
      <c r="A5063" t="s">
        <v>53956</v>
      </c>
      <c r="B5063" t="s">
        <v>53965</v>
      </c>
      <c r="C5063">
        <v>0</v>
      </c>
      <c r="D5063">
        <v>3.9419658078087602E-2</v>
      </c>
      <c r="E5063">
        <v>0.98924905426639098</v>
      </c>
      <c r="F5063">
        <v>19.616084057385301</v>
      </c>
    </row>
    <row r="5064" spans="1:6">
      <c r="A5064" t="s">
        <v>53956</v>
      </c>
      <c r="B5064" t="s">
        <v>53966</v>
      </c>
      <c r="C5064">
        <v>0</v>
      </c>
      <c r="D5064">
        <v>3.9419658078087602E-2</v>
      </c>
      <c r="E5064">
        <v>0.98924905426639098</v>
      </c>
      <c r="F5064">
        <v>19.616084057385301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2DA93-8C2B-4CD7-A5BB-2687433B5AF4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Mika Gustafsson</dc:creator>
  <cp:keywords/>
  <dc:description/>
  <cp:lastModifiedBy>Mika Gustafsson</cp:lastModifiedBy>
  <cp:revision/>
  <dcterms:created xsi:type="dcterms:W3CDTF">2019-02-08T06:43:13Z</dcterms:created>
  <dcterms:modified xsi:type="dcterms:W3CDTF">2021-07-02T14:16:34Z</dcterms:modified>
  <cp:category/>
  <cp:contentStatus/>
</cp:coreProperties>
</file>